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comments29.xml" ContentType="application/vnd.openxmlformats-officedocument.spreadsheetml.comments+xml"/>
  <Override PartName="/xl/comments12.xml" ContentType="application/vnd.openxmlformats-officedocument.spreadsheetml.comments+xml"/>
  <Override PartName="/xl/comments4.xml" ContentType="application/vnd.openxmlformats-officedocument.spreadsheetml.comments+xml"/>
  <Override PartName="/xl/comments24.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drawings/vmlDrawing5.vml" ContentType="application/vnd.openxmlformats-officedocument.vmlDrawing"/>
  <Override PartName="/xl/drawings/vmlDrawing6.vml" ContentType="application/vnd.openxmlformats-officedocument.vmlDrawing"/>
  <Override PartName="/xl/drawings/vmlDrawing7.vml" ContentType="application/vnd.openxmlformats-officedocument.vmlDrawing"/>
  <Override PartName="/xl/comments1.xml" ContentType="application/vnd.openxmlformats-officedocument.spreadsheetml.comments+xml"/>
  <Override PartName="/xl/sharedStrings.xml" ContentType="application/vnd.openxmlformats-officedocument.spreadsheetml.sharedStrings+xml"/>
  <Override PartName="/xl/worksheets/_rels/sheet29.xml.rels" ContentType="application/vnd.openxmlformats-package.relationships+xml"/>
  <Override PartName="/xl/worksheets/_rels/sheet27.xml.rels" ContentType="application/vnd.openxmlformats-package.relationships+xml"/>
  <Override PartName="/xl/worksheets/_rels/sheet24.xml.rels" ContentType="application/vnd.openxmlformats-package.relationships+xml"/>
  <Override PartName="/xl/worksheets/_rels/sheet12.xml.rels" ContentType="application/vnd.openxmlformats-package.relationships+xml"/>
  <Override PartName="/xl/worksheets/_rels/sheet6.xml.rels" ContentType="application/vnd.openxmlformats-package.relationships+xml"/>
  <Override PartName="/xl/worksheets/_rels/sheet1.xml.rels" ContentType="application/vnd.openxmlformats-package.relationships+xml"/>
  <Override PartName="/xl/worksheets/_rels/sheet4.xml.rels" ContentType="application/vnd.openxmlformats-package.relationships+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17.xml" ContentType="application/vnd.openxmlformats-officedocument.spreadsheetml.worksheet+xml"/>
  <Override PartName="/xl/worksheets/sheet29.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18.xml" ContentType="application/vnd.openxmlformats-officedocument.spreadsheetml.worksheet+xml"/>
  <Override PartName="/xl/worksheets/sheet1.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comments6.xml" ContentType="application/vnd.openxmlformats-officedocument.spreadsheetml.comments+xml"/>
  <Override PartName="/xl/styles.xml" ContentType="application/vnd.openxmlformats-officedocument.spreadsheetml.styles+xml"/>
  <Override PartName="/xl/_rels/workbook.xml.rels" ContentType="application/vnd.openxmlformats-package.relationships+xml"/>
  <Override PartName="/xl/comments27.xml" ContentType="application/vnd.openxmlformats-officedocument.spreadsheetml.comments+xml"/>
  <Override PartName="/xl/theme/theme1.xml" ContentType="application/vnd.openxmlformats-officedocument.theme+xml"/>
  <Override PartName="/xl/workbook.xml" ContentType="application/vnd.openxmlformats-officedocument.spreadsheetml.sheet.main+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odel" sheetId="1" state="visible" r:id="rId3"/>
    <sheet name="Annual Summary" sheetId="2" state="visible" r:id="rId4"/>
    <sheet name="QTR Summary" sheetId="3" state="visible" r:id="rId5"/>
    <sheet name="Actuals" sheetId="4" state="visible" r:id="rId6"/>
    <sheet name="Budget vs Actual" sheetId="5" state="visible" r:id="rId7"/>
    <sheet name="Q1 Reforecast vs Actual" sheetId="6" state="visible" r:id="rId8"/>
    <sheet name="Variance - Budget" sheetId="7" state="hidden" r:id="rId9"/>
    <sheet name="Variance - Reforecast" sheetId="8" state="visible" r:id="rId10"/>
    <sheet name="Budget" sheetId="9" state="visible" r:id="rId11"/>
    <sheet name="Reforecast Q1 2026" sheetId="10" state="hidden" r:id="rId12"/>
    <sheet name="BD Commission" sheetId="11" state="visible" r:id="rId13"/>
    <sheet name="Projects" sheetId="12" state="visible" r:id="rId14"/>
    <sheet name="Contracts In Process" sheetId="13" state="visible" r:id="rId15"/>
    <sheet name="Personnel" sheetId="14" state="visible" r:id="rId16"/>
    <sheet name="Uplifters" sheetId="15" state="visible" r:id="rId17"/>
    <sheet name="Appendix" sheetId="16" state="hidden" r:id="rId18"/>
    <sheet name="Sensitivity" sheetId="17" state="hidden" r:id="rId19"/>
    <sheet name="Curves" sheetId="18" state="hidden" r:id="rId20"/>
    <sheet name="Assumptions" sheetId="19" state="visible" r:id="rId21"/>
    <sheet name="Escalation" sheetId="20" state="hidden" r:id="rId22"/>
    <sheet name="Helpers" sheetId="21" state="hidden" r:id="rId23"/>
    <sheet name="LIHTC Project P&amp;L" sheetId="22" state="hidden" r:id="rId24"/>
    <sheet name="BD Commission Detail" sheetId="23" state="visible" r:id="rId25"/>
    <sheet name="Retention" sheetId="24" state="visible" r:id="rId26"/>
    <sheet name="APA Assumptions" sheetId="25" state="visible" r:id="rId27"/>
    <sheet name="APA Projection" sheetId="26" state="visible" r:id="rId28"/>
    <sheet name="Deal Terms" sheetId="27" state="visible" r:id="rId29"/>
    <sheet name="Staffing" sheetId="28" state="visible" r:id="rId30"/>
    <sheet name="Bonding Program" sheetId="29" state="visible" r:id="rId31"/>
  </sheets>
  <calcPr iterateCount="100" refMode="A1" iterate="tru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A197" authorId="0">
      <text>
        <r>
          <rPr>
            <sz val="10"/>
            <rFont val="Arial"/>
            <family val="2"/>
          </rPr>
          <t xml:space="preserve">Revised 26-Sep-26: posts once per LIHTC job at its completion month (Deal Terms G) = -MAX(0, actual savings thru 8/31 + trade &amp; bond margin Sep-26 forward). Non-cash (row 359 adds it back).</t>
        </r>
      </text>
    </comment>
    <comment ref="A198" authorId="0">
      <text>
        <r>
          <rPr>
            <sz val="10"/>
            <rFont val="Arial"/>
            <family val="2"/>
          </rPr>
          <t xml:space="preserve">Revised 26-Sep-26: savings are already in trade revenue less COGS. At each shared-savings job's Recognition Month (Deal Terms G) books -Client Share % (L) x MAX(0, cumulative savings K = actual thru 8/31 + forecast margin Sep-26 on).</t>
        </r>
      </text>
    </comment>
    <comment ref="J112" authorId="0">
      <text>
        <r>
          <rPr>
            <sz val="10"/>
            <rFont val="Arial"/>
            <family val="2"/>
          </rPr>
          <t xml:space="preserve">0: Lexington bond line ($192,026) billed in Aug-26 (col I).</t>
        </r>
      </text>
    </comment>
    <comment ref="J158" authorId="0">
      <text>
        <r>
          <rPr>
            <sz val="10"/>
            <rFont val="Arial"/>
            <family val="2"/>
          </rPr>
          <t xml:space="preserve">0: Lexington bond premium ($95,034) paid in Aug-26 (col I). Replace with actual at Sept close if any.</t>
        </r>
      </text>
    </comment>
    <comment ref="J358" authorId="0">
      <text>
        <r>
          <rPr>
            <sz val="10"/>
            <rFont val="Arial"/>
            <family val="2"/>
          </rPr>
          <t xml:space="preserve">8/31 B/S payables (8,606,048) less any Krueger bonding fee accrued in them (Bonding Program!H8), which is held to the payout month. When the cash build rolls: = -(B/S payables) + 'Bonding Program'!$H$8.</t>
        </r>
      </text>
    </comment>
    <comment ref="J359" authorId="0">
      <text>
        <r>
          <rPr>
            <sz val="10"/>
            <rFont val="Arial"/>
            <family val="2"/>
          </rPr>
          <t xml:space="preserve">First forecast month only: prior-month (Aug) GP is already in the opening AR/AP (rows 357-358), so no add-back. Roll each close: next month's first forecast column becomes =-&lt;col&gt;199 and this column clears with the closed cash block.</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J12" authorId="0">
      <text>
        <r>
          <rPr>
            <sz val="10"/>
            <rFont val="Arial"/>
            <family val="2"/>
          </rPr>
          <t xml:space="preserve">Aug-26 trades GL 5,304,128.59 less Lexington bond-line billing 192,026.25 (moved to row 15).</t>
        </r>
      </text>
    </comment>
    <comment ref="J14" authorId="0">
      <text>
        <r>
          <rPr>
            <sz val="10"/>
            <rFont val="Arial"/>
            <family val="2"/>
          </rPr>
          <t xml:space="preserve">Aug-26 trade COGS GL 5,503,997.59 less bond premiums 408,769.00 (Francis 313,735 CBI; Lexington 95,034) moved to row 16.</t>
        </r>
      </text>
    </comment>
    <comment ref="J49" authorId="0">
      <text>
        <r>
          <rPr>
            <sz val="10"/>
            <rFont val="Arial"/>
            <family val="2"/>
          </rPr>
          <t xml:space="preserve">Aug-26: incl. $11.02 Postage (5200-1001, no row).</t>
        </r>
      </text>
    </comment>
    <comment ref="J70" authorId="0">
      <text>
        <r>
          <rPr>
            <sz val="10"/>
            <rFont val="Arial"/>
            <family val="2"/>
          </rPr>
          <t xml:space="preserve">Aug-26: $8,800 12th &amp; Fir dev fee (4000-2524) + $10,200 Judkins acquisition fee (4000-5009) - no separate Judkins line.</t>
        </r>
      </text>
    </comment>
    <comment ref="J77" authorId="0">
      <text>
        <r>
          <rPr>
            <sz val="10"/>
            <rFont val="Arial"/>
            <family val="2"/>
          </rPr>
          <t xml:space="preserve">Aug-26: Development Fees - 2859 Francis (4000-2009) $127,514.</t>
        </r>
      </text>
    </comment>
    <comment ref="J90" authorId="0">
      <text>
        <r>
          <rPr>
            <sz val="10"/>
            <rFont val="Arial"/>
            <family val="2"/>
          </rPr>
          <t xml:space="preserve">Aug-26: $998.52 IT Software + $5,025 IT Services (5200-1051, no row).</t>
        </r>
      </text>
    </comment>
    <comment ref="J105" authorId="0">
      <text>
        <r>
          <rPr>
            <sz val="10"/>
            <rFont val="Arial"/>
            <family val="2"/>
          </rPr>
          <t xml:space="preserve">Aug-26: Misc +331.97 plus Due Diligence &amp; Pursuit credit +4,188.83 (5900-1050, no row).</t>
        </r>
      </text>
    </comment>
    <comment ref="J109" authorId="0">
      <text>
        <r>
          <rPr>
            <sz val="10"/>
            <rFont val="Arial"/>
            <family val="2"/>
          </rPr>
          <t xml:space="preserve">Aug-26: explicit 0 - no Steyn fee paid in Aug per ledger (Chris 26-Sep). Helpers!G20 reads this.</t>
        </r>
      </text>
    </comment>
  </commentList>
</comments>
</file>

<file path=xl/comments6.xml><?xml version="1.0" encoding="utf-8"?>
<comments xmlns="http://schemas.openxmlformats.org/spreadsheetml/2006/main" xmlns:xdr="http://schemas.openxmlformats.org/drawingml/2006/spreadsheetDrawing">
  <authors>
    <author>Unknown Author</author>
  </authors>
  <commentList>
    <comment ref="A118" authorId="0">
      <text>
        <r>
          <rPr>
            <sz val="10"/>
            <rFont val="Arial"/>
            <family val="2"/>
          </rPr>
          <t xml:space="preserve">Bridge from entity ledger net income (Actuals tab, ties to standalone P&amp;Ls) to the Model consolidated net income. Model books interest, tax, D&amp;A and bonding on its own schedules. = Model consolidated NI minus (ledger GC NI + ledger Six Peak NI).</t>
        </r>
      </text>
    </comment>
  </commentList>
</comments>
</file>

<file path=xl/comments12.xml><?xml version="1.0" encoding="utf-8"?>
<comments xmlns="http://schemas.openxmlformats.org/spreadsheetml/2006/main" xmlns:xdr="http://schemas.openxmlformats.org/drawingml/2006/spreadsheetDrawing">
  <authors>
    <author>Unknown Author</author>
  </authors>
  <commentList>
    <comment ref="B18" authorId="0">
      <text>
        <r>
          <rPr>
            <sz val="10"/>
            <rFont val="Arial"/>
            <family val="2"/>
          </rPr>
          <t xml:space="preserve">Restored 27-Sep-26 to the HVN Round 2 ROM ($11,317,385). The 26-Sep rename had copied the in-construction Riverton contract ($14,337,010.80) onto this row.</t>
        </r>
      </text>
    </comment>
    <comment ref="D9" authorId="0">
      <text>
        <r>
          <rPr>
            <sz val="10"/>
            <rFont val="Arial"/>
            <family val="2"/>
          </rPr>
          <t xml:space="preserve">26-Sep-26 (Chris): Riverton completion Feb-2028 (month 23) = start 5 + 19 months - 1. Curve 3 (19-month).</t>
        </r>
      </text>
    </comment>
  </commentList>
</comments>
</file>

<file path=xl/comments24.xml><?xml version="1.0" encoding="utf-8"?>
<comments xmlns="http://schemas.openxmlformats.org/spreadsheetml/2006/main" xmlns:xdr="http://schemas.openxmlformats.org/drawingml/2006/spreadsheetDrawing">
  <authors>
    <author>Unknown Author</author>
  </authors>
  <commentList>
    <comment ref="B1" authorId="0">
      <text>
        <r>
          <rPr>
            <sz val="10"/>
            <rFont val="Arial"/>
            <family val="2"/>
          </rPr>
          <t xml:space="preserve">Beginning retention &amp; remaining fee revenue rolled to 31-Aug-26 draw sheets (fee lines only).</t>
        </r>
      </text>
    </comment>
  </commentList>
</comments>
</file>

<file path=xl/comments27.xml><?xml version="1.0" encoding="utf-8"?>
<comments xmlns="http://schemas.openxmlformats.org/spreadsheetml/2006/main" xmlns:xdr="http://schemas.openxmlformats.org/drawingml/2006/spreadsheetDrawing">
  <authors>
    <author>Unknown Author</author>
  </authors>
  <commentList>
    <comment ref="J3" authorId="0">
      <text>
        <r>
          <rPr>
            <sz val="10"/>
            <rFont val="Arial"/>
            <family val="2"/>
          </rPr>
          <t xml:space="preserve">Per LV Board Portal Aug-26, Contract &amp; Backlog 'Buyout Savings' (KPI Buyout Savings to Date). For LIHTC jobs this is trade + bond-line spread. Lexington (KPI n/a) = trade + bond margin from its tab. Roll each close.</t>
        </r>
      </text>
    </comment>
  </commentList>
</comments>
</file>

<file path=xl/comments29.xml><?xml version="1.0" encoding="utf-8"?>
<comments xmlns="http://schemas.openxmlformats.org/spreadsheetml/2006/main" xmlns:xdr="http://schemas.openxmlformats.org/drawingml/2006/spreadsheetDrawing">
  <authors>
    <author>Unknown Author</author>
  </authors>
  <commentList>
    <comment ref="H7" authorId="0">
      <text>
        <r>
          <rPr>
            <sz val="10"/>
            <rFont val="Arial"/>
            <family val="2"/>
          </rPr>
          <t xml:space="preserve">Paid in the payout month (H9) through Model row 358. Acama and later bonds reach cash through the one-month GP collection lag instead.</t>
        </r>
      </text>
    </comment>
  </commentList>
</comments>
</file>

<file path=xl/sharedStrings.xml><?xml version="1.0" encoding="utf-8"?>
<sst xmlns="http://schemas.openxmlformats.org/spreadsheetml/2006/main" count="3716" uniqueCount="1487">
  <si>
    <t xml:space="preserve">Six Peak Capital - Financial Projections</t>
  </si>
  <si>
    <t xml:space="preserve">Month #</t>
  </si>
  <si>
    <t xml:space="preserve">YTD Actuals Snapshot:</t>
  </si>
  <si>
    <t xml:space="preserve">GC Revenue</t>
  </si>
  <si>
    <t xml:space="preserve">Other GC Income</t>
  </si>
  <si>
    <t xml:space="preserve">GC Fee Income</t>
  </si>
  <si>
    <t xml:space="preserve">Trades and Site Cost Billing</t>
  </si>
  <si>
    <t xml:space="preserve">Crenshaw</t>
  </si>
  <si>
    <t xml:space="preserve">Ramsgate</t>
  </si>
  <si>
    <t xml:space="preserve">Califa</t>
  </si>
  <si>
    <t xml:space="preserve">Whipple</t>
  </si>
  <si>
    <t xml:space="preserve">Nelrose</t>
  </si>
  <si>
    <t xml:space="preserve">Francis</t>
  </si>
  <si>
    <t xml:space="preserve">Lexington</t>
  </si>
  <si>
    <t xml:space="preserve">Riverton</t>
  </si>
  <si>
    <t xml:space="preserve">Acama</t>
  </si>
  <si>
    <t xml:space="preserve">Klump</t>
  </si>
  <si>
    <t xml:space="preserve">Scott</t>
  </si>
  <si>
    <t xml:space="preserve">Reseda</t>
  </si>
  <si>
    <t xml:space="preserve">3rd St</t>
  </si>
  <si>
    <t xml:space="preserve">Dickens</t>
  </si>
  <si>
    <t xml:space="preserve">Riverton 75</t>
  </si>
  <si>
    <t xml:space="preserve">Moorpark</t>
  </si>
  <si>
    <t xml:space="preserve">Beverly (BD-04)</t>
  </si>
  <si>
    <t xml:space="preserve">Troost</t>
  </si>
  <si>
    <t xml:space="preserve">BD-06</t>
  </si>
  <si>
    <t xml:space="preserve">BD-07</t>
  </si>
  <si>
    <t xml:space="preserve">BD-08</t>
  </si>
  <si>
    <t xml:space="preserve">BD-09</t>
  </si>
  <si>
    <t xml:space="preserve">BD-10</t>
  </si>
  <si>
    <t xml:space="preserve">BD-11</t>
  </si>
  <si>
    <t xml:space="preserve">BD-12</t>
  </si>
  <si>
    <t xml:space="preserve">BD-13</t>
  </si>
  <si>
    <t xml:space="preserve">BD-14</t>
  </si>
  <si>
    <t xml:space="preserve">BD-15</t>
  </si>
  <si>
    <t xml:space="preserve">BD-16</t>
  </si>
  <si>
    <t xml:space="preserve">BD-17</t>
  </si>
  <si>
    <t xml:space="preserve">BD-18</t>
  </si>
  <si>
    <t xml:space="preserve">BD-19</t>
  </si>
  <si>
    <t xml:space="preserve">BD-20</t>
  </si>
  <si>
    <t xml:space="preserve">BD-21</t>
  </si>
  <si>
    <t xml:space="preserve">BD-22</t>
  </si>
  <si>
    <t xml:space="preserve">BD-23</t>
  </si>
  <si>
    <t xml:space="preserve">BD-24</t>
  </si>
  <si>
    <t xml:space="preserve">BD-25</t>
  </si>
  <si>
    <t xml:space="preserve">BD-26</t>
  </si>
  <si>
    <t xml:space="preserve">BD-27</t>
  </si>
  <si>
    <t xml:space="preserve">BD-28</t>
  </si>
  <si>
    <t xml:space="preserve">BD-29</t>
  </si>
  <si>
    <t xml:space="preserve">BD-30</t>
  </si>
  <si>
    <t xml:space="preserve">Other (non-project)</t>
  </si>
  <si>
    <t xml:space="preserve">Total Trades and Site Cost Billing</t>
  </si>
  <si>
    <t xml:space="preserve">Total Revenues</t>
  </si>
  <si>
    <t xml:space="preserve">COGS - Trade and Site Costs</t>
  </si>
  <si>
    <t xml:space="preserve">Total COGS - Trade and Site Costs</t>
  </si>
  <si>
    <t xml:space="preserve">Bond Line Billed by Project (memo: already inside trade billing; from Bonding Program tab)</t>
  </si>
  <si>
    <t xml:space="preserve">Bond Line Billed (memo, not added to Gross Profit)</t>
  </si>
  <si>
    <t xml:space="preserve">Bonding Program by Project: Krueger cash fee; forecast bonds also bond line less premium (from Bonding Program tab)</t>
  </si>
  <si>
    <t xml:space="preserve">Bonding Program, net (Krueger cash fee; forecast bonds net of bond line less premium)</t>
  </si>
  <si>
    <t xml:space="preserve">Trade Cost True-Up (LIHTC pass-through: margin from Sep-26 reversed as it arises; pre-Sep actual at completion)</t>
  </si>
  <si>
    <t xml:space="preserve">Buyout Savings - Client Share (paid at completion)</t>
  </si>
  <si>
    <t xml:space="preserve">Gross Profit</t>
  </si>
  <si>
    <t xml:space="preserve">GC Gross Profit Margin %</t>
  </si>
  <si>
    <t xml:space="preserve">GC Costs</t>
  </si>
  <si>
    <t xml:space="preserve">5000-1000 Payroll</t>
  </si>
  <si>
    <t xml:space="preserve">5000-1001 Payroll Taxes</t>
  </si>
  <si>
    <t xml:space="preserve">SP Allocated to LV</t>
  </si>
  <si>
    <t xml:space="preserve">5000-1002 Employee Benefits</t>
  </si>
  <si>
    <t xml:space="preserve">5000-1003 Workers Comp</t>
  </si>
  <si>
    <t xml:space="preserve">5000-1005 Payroll Servicing Fees</t>
  </si>
  <si>
    <t xml:space="preserve">5000-1007 Payroll - Consultants</t>
  </si>
  <si>
    <t xml:space="preserve">5000-1018 Payroll - Self Performed Trades</t>
  </si>
  <si>
    <t xml:space="preserve">5100-1000 Rent Expense</t>
  </si>
  <si>
    <t xml:space="preserve">5200-1000 Office Supplies and Expenses</t>
  </si>
  <si>
    <t xml:space="preserve">5200-1002 Printing and Reproduction</t>
  </si>
  <si>
    <t xml:space="preserve">5200-1050 Computer and IT Expenses</t>
  </si>
  <si>
    <t xml:space="preserve">5200-1053 IT Software and Subscriptions</t>
  </si>
  <si>
    <t xml:space="preserve">5200-1054 Telephone Expenses</t>
  </si>
  <si>
    <t xml:space="preserve">5300-1050 Meals and Entertainment</t>
  </si>
  <si>
    <t xml:space="preserve">5500-1000 Legal and Professional Fees</t>
  </si>
  <si>
    <t xml:space="preserve">5500-1002 Accounting Consulting and Overhead</t>
  </si>
  <si>
    <t xml:space="preserve">5500-1004 Consultants and Other Professional Expenses</t>
  </si>
  <si>
    <t xml:space="preserve">5500-1050 General Insurance</t>
  </si>
  <si>
    <t xml:space="preserve">5700-1003 Other Utilities</t>
  </si>
  <si>
    <t xml:space="preserve">5800-1003 Consulting Fee</t>
  </si>
  <si>
    <t xml:space="preserve">5900-1000 Security Monitoring</t>
  </si>
  <si>
    <t xml:space="preserve">5900-1002 Repairs and Maintenance</t>
  </si>
  <si>
    <t xml:space="preserve">5900-1003 Janitorial and Cleaning Expenses</t>
  </si>
  <si>
    <t xml:space="preserve">5900-1005 Supplies and Other Job Site Overhead</t>
  </si>
  <si>
    <t xml:space="preserve">5900-1006 Auto and Truck Expense</t>
  </si>
  <si>
    <t xml:space="preserve">5900-1007 Landscaping</t>
  </si>
  <si>
    <t xml:space="preserve">5900-1040 Warranty and Other Job Adjustments</t>
  </si>
  <si>
    <t xml:space="preserve">5900-1075 Miscellaneous Expense</t>
  </si>
  <si>
    <t xml:space="preserve">5900-1080 Bank Service Charges</t>
  </si>
  <si>
    <t xml:space="preserve">5900-3000 Charitable Contribution</t>
  </si>
  <si>
    <t xml:space="preserve">BD Commission</t>
  </si>
  <si>
    <t xml:space="preserve">8200-2000 State Tax and Fees</t>
  </si>
  <si>
    <t xml:space="preserve">Total GC Costs</t>
  </si>
  <si>
    <t xml:space="preserve">GC Net Income</t>
  </si>
  <si>
    <t xml:space="preserve">GC Net Profit Margin %</t>
  </si>
  <si>
    <t xml:space="preserve">Six Peak Revenue</t>
  </si>
  <si>
    <t xml:space="preserve">Edgemont Management Fee</t>
  </si>
  <si>
    <t xml:space="preserve">Ramsgate Dev Fee - Construction</t>
  </si>
  <si>
    <t xml:space="preserve">Ramsgate Dev Fee - 20% Occ</t>
  </si>
  <si>
    <t xml:space="preserve">Ramsgate Dev Fee - 50% Occ</t>
  </si>
  <si>
    <t xml:space="preserve">Ramsgate Dev Fee - 90% Occ</t>
  </si>
  <si>
    <t xml:space="preserve">Crenshaw Development Fee</t>
  </si>
  <si>
    <t xml:space="preserve">12th &amp; Fir Developer Fee</t>
  </si>
  <si>
    <t xml:space="preserve">Klump Accounting Fee</t>
  </si>
  <si>
    <t xml:space="preserve">Klump Developer Fee</t>
  </si>
  <si>
    <t xml:space="preserve">Klump Guarantee Fee</t>
  </si>
  <si>
    <t xml:space="preserve">Scott Accounting Fee</t>
  </si>
  <si>
    <t xml:space="preserve">Scott Developer Fee</t>
  </si>
  <si>
    <t xml:space="preserve">Scott Guarantee Fee</t>
  </si>
  <si>
    <t xml:space="preserve">Francis LIHTC Revenue (SP Share)</t>
  </si>
  <si>
    <t xml:space="preserve">Reseda LIHTC Revenue (SP Share)</t>
  </si>
  <si>
    <t xml:space="preserve">3rd St LIHTC Revenue (SP Share)</t>
  </si>
  <si>
    <t xml:space="preserve">Uplifters Total to SP</t>
  </si>
  <si>
    <t xml:space="preserve">Non-Cash Revenue Items</t>
  </si>
  <si>
    <t xml:space="preserve">Less: Non-Cash Revenue Items (not assumed)</t>
  </si>
  <si>
    <t xml:space="preserve">APA LLP Net Income (Six Peak 50% share)</t>
  </si>
  <si>
    <t xml:space="preserve">Total Six Peak Revenue</t>
  </si>
  <si>
    <t xml:space="preserve">Six Peak Expenses</t>
  </si>
  <si>
    <t xml:space="preserve">5200-1060 Website Design</t>
  </si>
  <si>
    <t xml:space="preserve">5200-1061 Website Hosting</t>
  </si>
  <si>
    <t xml:space="preserve">5300-1000 Travel and Lodging</t>
  </si>
  <si>
    <t xml:space="preserve">5300-1001 Public Transportation</t>
  </si>
  <si>
    <t xml:space="preserve">5300-1002 Parking</t>
  </si>
  <si>
    <t xml:space="preserve">5500-1007 Dues and Subscriptions</t>
  </si>
  <si>
    <t xml:space="preserve">5500-1009 Entity Filing and Formation Fees</t>
  </si>
  <si>
    <t xml:space="preserve">5500-1010 Investment Management Software</t>
  </si>
  <si>
    <t xml:space="preserve">5500-1053 E&amp;O/D&amp;O Insurance</t>
  </si>
  <si>
    <t xml:space="preserve">Steyn Group Guaranty Fee</t>
  </si>
  <si>
    <t xml:space="preserve">Steyn Liquidity Guarantee Fee</t>
  </si>
  <si>
    <t xml:space="preserve">Francis Steyn Fee + PIK (from LIHTC Revenue)</t>
  </si>
  <si>
    <t xml:space="preserve">Reseda Steyn Fee + PIK (from LIHTC Revenue)</t>
  </si>
  <si>
    <t xml:space="preserve">3rd St Steyn Fee + PIK (from LIHTC Revenue)</t>
  </si>
  <si>
    <t xml:space="preserve">Total Six Peak Expenses</t>
  </si>
  <si>
    <t xml:space="preserve">Six Peak Net Income</t>
  </si>
  <si>
    <t xml:space="preserve">CONSOLIDATED P&amp;L</t>
  </si>
  <si>
    <t xml:space="preserve">GC Gross Profit</t>
  </si>
  <si>
    <t xml:space="preserve">Total Income (GC gross profit + SP revenue)</t>
  </si>
  <si>
    <t xml:space="preserve">GC Costs (net of trade COGS)</t>
  </si>
  <si>
    <t xml:space="preserve">Total Costs</t>
  </si>
  <si>
    <t xml:space="preserve">Consolidated Net Income</t>
  </si>
  <si>
    <t xml:space="preserve">Consolidated Margin %</t>
  </si>
  <si>
    <t xml:space="preserve">Consolidated NI — Over/(Under) Budget (Nov 2025)</t>
  </si>
  <si>
    <t xml:space="preserve">DEBT FACILITY</t>
  </si>
  <si>
    <t xml:space="preserve">Beginning Balance</t>
  </si>
  <si>
    <t xml:space="preserve">Quarterly Interest (15% / 4)</t>
  </si>
  <si>
    <t xml:space="preserve">Monthly Payment</t>
  </si>
  <si>
    <t xml:space="preserve">Ending Balance</t>
  </si>
  <si>
    <t xml:space="preserve">ROW RUN CAPITAL LLC - DEBT FACILITY</t>
  </si>
  <si>
    <t xml:space="preserve">Annual Payment (25% tranche)</t>
  </si>
  <si>
    <t xml:space="preserve">PROJECT INVESTMENT CAPITAL - DEBT FACILITY</t>
  </si>
  <si>
    <t xml:space="preserve">Klump - Beginning Balance</t>
  </si>
  <si>
    <t xml:space="preserve">Klump - Quarterly Interest</t>
  </si>
  <si>
    <t xml:space="preserve">Klump - Deal Distribution</t>
  </si>
  <si>
    <t xml:space="preserve">Klump - PIK Payment (LIHTC)</t>
  </si>
  <si>
    <t xml:space="preserve">Klump - Ending Balance</t>
  </si>
  <si>
    <t xml:space="preserve">Scott - Beginning Balance</t>
  </si>
  <si>
    <t xml:space="preserve">Scott - Quarterly Interest</t>
  </si>
  <si>
    <t xml:space="preserve">Scott - Deal Distribution</t>
  </si>
  <si>
    <t xml:space="preserve">Scott - PIK Payment (LIHTC)</t>
  </si>
  <si>
    <t xml:space="preserve">Scott - Ending Balance</t>
  </si>
  <si>
    <t xml:space="preserve">3rd St - Beginning Balance</t>
  </si>
  <si>
    <t xml:space="preserve">3rd St - Quarterly Interest</t>
  </si>
  <si>
    <t xml:space="preserve">3rd St - Deal Distribution</t>
  </si>
  <si>
    <t xml:space="preserve">3rd St - PIK Payment (LIHTC)</t>
  </si>
  <si>
    <t xml:space="preserve">3rd St - Ending Balance</t>
  </si>
  <si>
    <t xml:space="preserve">Reseda - Beginning Balance</t>
  </si>
  <si>
    <t xml:space="preserve">Reseda - Quarterly Interest</t>
  </si>
  <si>
    <t xml:space="preserve">Reseda - Deal Distribution</t>
  </si>
  <si>
    <t xml:space="preserve">Reseda - PIK Payment (LIHTC)</t>
  </si>
  <si>
    <t xml:space="preserve">Reseda - Ending Balance</t>
  </si>
  <si>
    <t xml:space="preserve">BONDING OUTSTANDING</t>
  </si>
  <si>
    <t xml:space="preserve">Total Bonding Outstanding</t>
  </si>
  <si>
    <t xml:space="preserve">  HVN BD deals, bonded (included in total above)</t>
  </si>
  <si>
    <t xml:space="preserve">CASH ON HAND</t>
  </si>
  <si>
    <t xml:space="preserve">LV (GC) Cash</t>
  </si>
  <si>
    <t xml:space="preserve">LV Beginning Cash</t>
  </si>
  <si>
    <t xml:space="preserve">LV Net Cash Flow</t>
  </si>
  <si>
    <t xml:space="preserve">LV Receivables</t>
  </si>
  <si>
    <t xml:space="preserve">LV Payables (8/31 B/S; Krueger bonding fee held, paid Jan-27)</t>
  </si>
  <si>
    <t xml:space="preserve">LV GP Collection Lag, less Deal-Terms Accruals (non-cash)</t>
  </si>
  <si>
    <t xml:space="preserve">LV to Six Peak Liquidating Distribution</t>
  </si>
  <si>
    <t xml:space="preserve">LV Retention Withheld</t>
  </si>
  <si>
    <t xml:space="preserve">LV Retention Collected</t>
  </si>
  <si>
    <t xml:space="preserve">LV Ending Cash</t>
  </si>
  <si>
    <t xml:space="preserve">Six Peak Cash</t>
  </si>
  <si>
    <t xml:space="preserve">SP Beginning Cash</t>
  </si>
  <si>
    <t xml:space="preserve">SP Net Cash Flow (excl. non-cash revenue)</t>
  </si>
  <si>
    <t xml:space="preserve">Debt Facility Payment</t>
  </si>
  <si>
    <t xml:space="preserve">Row Run Capital Payment</t>
  </si>
  <si>
    <t xml:space="preserve">PIK Repayment (included in SP Expenses above)</t>
  </si>
  <si>
    <t xml:space="preserve">SP Ending Cash</t>
  </si>
  <si>
    <t xml:space="preserve">Consolidated Cash</t>
  </si>
  <si>
    <t xml:space="preserve">Total Beginning Cash</t>
  </si>
  <si>
    <t xml:space="preserve">Tax Distribution (50.3% Consol NI)</t>
  </si>
  <si>
    <t xml:space="preserve">Total Ending Cash (Consolidated, net of Tax Distributions)</t>
  </si>
  <si>
    <t xml:space="preserve">Notes:</t>
  </si>
  <si>
    <t xml:space="preserve">Outstanding Steyn Fee Balances Owed (paid from future LIHTC revenue):</t>
  </si>
  <si>
    <t xml:space="preserve">3rd St: $563,546  (1% GMP + 3% liquidity requirement)</t>
  </si>
  <si>
    <t xml:space="preserve">Francis: $579,684 paid quarterly from LIHTC revenue starting Mo 42 (Sep 2029). No PIK capital invested.</t>
  </si>
  <si>
    <t xml:space="preserve">Reseda: $602,668 paid quarterly from LIHTC revenue starting Mo 45 (Dec 2029). Deal distributes $1,450,000 at project start (Mo 13, Apr 2027).</t>
  </si>
  <si>
    <t xml:space="preserve">CASH VERIFICATION — MODEL vs FINANCIAL STATEMENTS</t>
  </si>
  <si>
    <t xml:space="preserve">Actuals are entered at each close from the monthly packs in Accounting\Financials\2026 Financials: Six Peak Construction LA LP (Consolidated) B/S cash = LV (GC) cash; Six Peak Capital LP (Consolidated) B/S cash = Six Peak cash. Blue = hardcoded from the statements; black = formula.</t>
  </si>
  <si>
    <t xml:space="preserve">The cash build (rows 264-286) starts the month after the last close, so the live tie is on the opening balance (row 265 / 276 / 284). The "prior pack" rows keep what the model projected for a month before it closed, so forecast error is visible after the build rolls forward.</t>
  </si>
  <si>
    <t xml:space="preserve">A. ACTUAL CASH PER FINANCIAL STATEMENTS (month-end)</t>
  </si>
  <si>
    <t xml:space="preserve">Six Peak Construction LA LP (Consolidated) B/S — Cash  [LV (GC) cash]</t>
  </si>
  <si>
    <t xml:space="preserve">     Chase – LV Construction LLC (…5225), balance per GL</t>
  </si>
  <si>
    <t xml:space="preserve">     Chase – LV Savings</t>
  </si>
  <si>
    <t xml:space="preserve">     Chase – LV Affordable Construction LP (…0653)</t>
  </si>
  <si>
    <t xml:space="preserve">     Chase – Six Peak Const LA LP (…1097)</t>
  </si>
  <si>
    <t xml:space="preserve">     Check: bank accounts less B/S cash (should be 0)</t>
  </si>
  <si>
    <t xml:space="preserve">Six Peak Capital LP (Consolidated) B/S — Cash  [Six Peak cash]</t>
  </si>
  <si>
    <t xml:space="preserve">     Chase – Six Peak Capital LP (spc)</t>
  </si>
  <si>
    <t xml:space="preserve">     Chase – Six Peak Development (spd)</t>
  </si>
  <si>
    <t xml:space="preserve">     Other entities in the consolidation (Aimwell SW, Haralex, Aimwell)</t>
  </si>
  <si>
    <t xml:space="preserve">     Check: entity accounts less B/S cash (should be 0)</t>
  </si>
  <si>
    <t xml:space="preserve">Actual Consolidated Cash (LV + Six Peak)</t>
  </si>
  <si>
    <t xml:space="preserve">B. LV (GC) CASH — MODEL vs ACTUAL</t>
  </si>
  <si>
    <t xml:space="preserve">Actual per B/S</t>
  </si>
  <si>
    <t xml:space="preserve">Model (live): projected ending cash; in the last closed month, the next month's opening balance</t>
  </si>
  <si>
    <t xml:space="preserve">Variance — model less actual (must be 0 on the opening balance)</t>
  </si>
  <si>
    <t xml:space="preserve">Tie check</t>
  </si>
  <si>
    <t xml:space="preserve">Prior pack: model ending cash projected for this month-end (hardcode at each close)</t>
  </si>
  <si>
    <t xml:space="preserve">Forecast variance — prior pack less actual</t>
  </si>
  <si>
    <t xml:space="preserve">C. SIX PEAK CASH — MODEL vs ACTUAL</t>
  </si>
  <si>
    <t xml:space="preserve">D. CONSOLIDATED CASH — MODEL vs ACTUAL</t>
  </si>
  <si>
    <t xml:space="preserve">E. ACTUAL CASH ROLL-FORWARD — model-basis net income to B/S cash (why cash moved)</t>
  </si>
  <si>
    <t xml:space="preserve">Opening balances at 31-Dec-25 (packs' balance-forward columns) — column B holds the value</t>
  </si>
  <si>
    <t xml:space="preserve">     LV cash</t>
  </si>
  <si>
    <t xml:space="preserve">     LV receivables (AR + retention + other)</t>
  </si>
  <si>
    <t xml:space="preserve">     LV payables (AP &amp; accrued incl. due to Six Peak + retention payable)</t>
  </si>
  <si>
    <t xml:space="preserve">     Six Peak cash</t>
  </si>
  <si>
    <t xml:space="preserve">     Six Peak due from affiliates</t>
  </si>
  <si>
    <t xml:space="preserve">     Six Peak due to affiliates</t>
  </si>
  <si>
    <t xml:space="preserve">     Six Peak line of credit</t>
  </si>
  <si>
    <t xml:space="preserve">LV balance sheet inputs (Six Peak Construction LA LP Consolidated)</t>
  </si>
  <si>
    <t xml:space="preserve">     Accounts receivable</t>
  </si>
  <si>
    <t xml:space="preserve">     Retention receivable</t>
  </si>
  <si>
    <t xml:space="preserve">     Other receivable</t>
  </si>
  <si>
    <t xml:space="preserve">     Accounts payable &amp; accrued (incl. due to Six Peak Capital)</t>
  </si>
  <si>
    <t xml:space="preserve">     Retention payable</t>
  </si>
  <si>
    <t xml:space="preserve">LV cash roll-forward</t>
  </si>
  <si>
    <t xml:space="preserve">     Beginning cash (prior month-end B/S)</t>
  </si>
  <si>
    <t xml:space="preserve">     GC net income (Model row 147, Actuals)</t>
  </si>
  <si>
    <t xml:space="preserve">     (Increase)/decrease in receivables</t>
  </si>
  <si>
    <t xml:space="preserve">     Increase/(decrease) in payables</t>
  </si>
  <si>
    <t xml:space="preserve">     Other (deferred revenue, prepaids, fixed assets, org costs, capital) — plug</t>
  </si>
  <si>
    <t xml:space="preserve">     Ending cash per B/S</t>
  </si>
  <si>
    <t xml:space="preserve">     Cash change less net income (working capital + other)</t>
  </si>
  <si>
    <t xml:space="preserve">Six Peak balance sheet inputs (Six Peak Capital LP Consolidated)</t>
  </si>
  <si>
    <t xml:space="preserve">     Due from affiliates</t>
  </si>
  <si>
    <t xml:space="preserve">     Due to affiliates</t>
  </si>
  <si>
    <t xml:space="preserve">     Line of credit payable</t>
  </si>
  <si>
    <t xml:space="preserve">Six Peak cash roll-forward</t>
  </si>
  <si>
    <t xml:space="preserve">     Six Peak net income (Model row 203, Actuals)</t>
  </si>
  <si>
    <t xml:space="preserve">     Increase/(decrease) in due to affiliates</t>
  </si>
  <si>
    <t xml:space="preserve">     (Increase)/decrease in due from affiliates</t>
  </si>
  <si>
    <t xml:space="preserve">     Increase/(decrease) in line of credit</t>
  </si>
  <si>
    <t xml:space="preserve">     Other (CIP, investments, prepaids, P&amp;L items outside the model's SP net income) — plug</t>
  </si>
  <si>
    <t xml:space="preserve">The June-26 pack opened Six Peak cash at $165,368 = $665,368 B/S less $500,000 excluded (Assumptions!B30 still reads "=122223-500000"); the July B/S balance of $122,223 confirms the $500K left in July.</t>
  </si>
  <si>
    <t xml:space="preserve">The $299,000 line of credit was forgiven in June 2026 (non-cash, "debt forgiveness" on the SPC P&amp;L; reversed in Model row 169).</t>
  </si>
  <si>
    <t xml:space="preserve">At each close: fill section A and the balance sheet inputs from the new packs, enter the prior pack's projected month-end cash on the "prior pack" rows, then roll the cash build (Assumptions!B29/B30 and rows 265/267/268/276) one column right.</t>
  </si>
  <si>
    <t xml:space="preserve">Six Peak Capital - Annual Summary</t>
  </si>
  <si>
    <t xml:space="preserve">GC CONSTRUCTION P&amp;L</t>
  </si>
  <si>
    <t xml:space="preserve">FY 2026</t>
  </si>
  <si>
    <t xml:space="preserve">FY 2027</t>
  </si>
  <si>
    <t xml:space="preserve">FY 2028</t>
  </si>
  <si>
    <t xml:space="preserve">FY 2029</t>
  </si>
  <si>
    <t xml:space="preserve">FY 2030</t>
  </si>
  <si>
    <t xml:space="preserve">FY 2031</t>
  </si>
  <si>
    <t xml:space="preserve">FY 2032</t>
  </si>
  <si>
    <t xml:space="preserve">FY 2033</t>
  </si>
  <si>
    <t xml:space="preserve">FY 2034</t>
  </si>
  <si>
    <t xml:space="preserve">  Other GC Income</t>
  </si>
  <si>
    <t xml:space="preserve">  GC Fee Income</t>
  </si>
  <si>
    <t xml:space="preserve">  Trades and Site Cost Billing</t>
  </si>
  <si>
    <t xml:space="preserve">  Bond line billed (memo, inside trade billing)</t>
  </si>
  <si>
    <t xml:space="preserve">  Bonding program, net</t>
  </si>
  <si>
    <t xml:space="preserve">  Trade Cost True-Up (LIHTC pass-through)</t>
  </si>
  <si>
    <t xml:space="preserve">  Buyout Savings - LV Share</t>
  </si>
  <si>
    <t xml:space="preserve">  GC Personnel</t>
  </si>
  <si>
    <t xml:space="preserve">  GC Expenses</t>
  </si>
  <si>
    <t xml:space="preserve">  SP Allocated to LV</t>
  </si>
  <si>
    <t xml:space="preserve">  BD Commission</t>
  </si>
  <si>
    <t xml:space="preserve">Consolidated Net Income (Projection)</t>
  </si>
  <si>
    <t xml:space="preserve">Steyn Group Fees</t>
  </si>
  <si>
    <t xml:space="preserve">  Completion Guaranty Fee</t>
  </si>
  <si>
    <t xml:space="preserve">  Liquidity Guarantee Fee</t>
  </si>
  <si>
    <t xml:space="preserve">  Francis Steyn Fee + PIK (LIHTC)</t>
  </si>
  <si>
    <t xml:space="preserve">  Reseda Steyn Fee + PIK (LIHTC)</t>
  </si>
  <si>
    <t xml:space="preserve">  3rd St Steyn Fee + PIK (LIHTC)</t>
  </si>
  <si>
    <t xml:space="preserve">Debt Facilities</t>
  </si>
  <si>
    <t xml:space="preserve">  Debt Facility Payment</t>
  </si>
  <si>
    <t xml:space="preserve">  Debt Facility Balance</t>
  </si>
  <si>
    <t xml:space="preserve">  Row Run Capital Payment</t>
  </si>
  <si>
    <t xml:space="preserve">  Row Run Capital Balance</t>
  </si>
  <si>
    <t xml:space="preserve">  PIK Repayment (in Steyn + PIK above)</t>
  </si>
  <si>
    <t xml:space="preserve">  Investment Capital Outstanding</t>
  </si>
  <si>
    <t xml:space="preserve">Bonding Outstanding</t>
  </si>
  <si>
    <t xml:space="preserve">Total Ending Cash (net of Tax Distributions)</t>
  </si>
  <si>
    <t xml:space="preserve">Six Peak Capital - QTR Summary</t>
  </si>
  <si>
    <t xml:space="preserve">Q1 2026</t>
  </si>
  <si>
    <t xml:space="preserve">Q2 2026</t>
  </si>
  <si>
    <t xml:space="preserve">Q3 2026</t>
  </si>
  <si>
    <t xml:space="preserve">Q4 2026</t>
  </si>
  <si>
    <t xml:space="preserve">Q1 2027</t>
  </si>
  <si>
    <t xml:space="preserve">Q2 2027</t>
  </si>
  <si>
    <t xml:space="preserve">Q3 2027</t>
  </si>
  <si>
    <t xml:space="preserve">Q4 2027</t>
  </si>
  <si>
    <t xml:space="preserve">Q1 2028</t>
  </si>
  <si>
    <t xml:space="preserve">Q2 2028</t>
  </si>
  <si>
    <t xml:space="preserve">Q3 2028</t>
  </si>
  <si>
    <t xml:space="preserve">Q4 2028</t>
  </si>
  <si>
    <t xml:space="preserve">Q1 2029</t>
  </si>
  <si>
    <t xml:space="preserve">Q2 2029</t>
  </si>
  <si>
    <t xml:space="preserve">Q3 2029</t>
  </si>
  <si>
    <t xml:space="preserve">Q4 2029</t>
  </si>
  <si>
    <t xml:space="preserve">Q1 2030</t>
  </si>
  <si>
    <t xml:space="preserve">Q2 2030</t>
  </si>
  <si>
    <t xml:space="preserve">Q3 2030</t>
  </si>
  <si>
    <t xml:space="preserve">Q4 2030</t>
  </si>
  <si>
    <t xml:space="preserve">Q1 2031</t>
  </si>
  <si>
    <t xml:space="preserve">Q2 2031</t>
  </si>
  <si>
    <t xml:space="preserve">Q3 2031</t>
  </si>
  <si>
    <t xml:space="preserve">Q4 2031</t>
  </si>
  <si>
    <t xml:space="preserve">Q1 2032</t>
  </si>
  <si>
    <t xml:space="preserve">Q2 2032</t>
  </si>
  <si>
    <t xml:space="preserve">Q3 2032</t>
  </si>
  <si>
    <t xml:space="preserve">Q4 2032</t>
  </si>
  <si>
    <t xml:space="preserve">Q1 2033</t>
  </si>
  <si>
    <t xml:space="preserve">Q2 2033</t>
  </si>
  <si>
    <t xml:space="preserve">Q3 2033</t>
  </si>
  <si>
    <t xml:space="preserve">Q4 2033</t>
  </si>
  <si>
    <t xml:space="preserve">Q1 2034</t>
  </si>
  <si>
    <t xml:space="preserve">Q2 2034</t>
  </si>
  <si>
    <t xml:space="preserve">Q3 2034</t>
  </si>
  <si>
    <t xml:space="preserve">Q4 2034</t>
  </si>
  <si>
    <t xml:space="preserve">ACTUALS — monthly input area</t>
  </si>
  <si>
    <t xml:space="preserve">Enter close numbers from Yardi here. Blank = no actual yet (Model uses forecast).</t>
  </si>
  <si>
    <t xml:space="preserve">Project Supervision Revenue</t>
  </si>
  <si>
    <t xml:space="preserve">Project Administration Revenue</t>
  </si>
  <si>
    <t xml:space="preserve">COGS — Trades &amp; Site Costs</t>
  </si>
  <si>
    <t xml:space="preserve">Bonding Revenue: RETIRED 27-Sep-26, keep 0 (bond lines stay in row 12, as the ledger books them)</t>
  </si>
  <si>
    <t xml:space="preserve">Bonding Costs: RETIRED 27-Sep-26, keep 0 (premiums stay in row 14; Krueger via Bonding Program tab)</t>
  </si>
  <si>
    <t xml:space="preserve">Equip. Rental + D&amp;A (P&amp;L true-up)</t>
  </si>
  <si>
    <t xml:space="preserve">Interest, Tax &amp; Amort (P&amp;L true-up)</t>
  </si>
  <si>
    <t xml:space="preserve">Monthly Budget vs Actual</t>
  </si>
  <si>
    <t xml:space="preserve">Actuals vs the November 2025 approved budget, by month. Variance = Actual minus Budget; a positive variance is favorable (expenses are stored as negatives). Months with no actuals stay blank. YTD adjusts automatically to the number of closed months.</t>
  </si>
  <si>
    <t xml:space="preserve">VARIANCE COMMENTARY - as of Aug-26 close (Jan-Aug actual, Sep-Dec model)</t>
  </si>
  <si>
    <t xml:space="preserve">FY 2026 SUMMARY — ACTUAL + PROJECTION vs BUDGET</t>
  </si>
  <si>
    <t xml:space="preserve">The Nov-2025 budget's Yearly Summary lines. The budget carries LV at fee income only — trade cost passes through at zero margin, no bonding.</t>
  </si>
  <si>
    <t xml:space="preserve">FY Budget</t>
  </si>
  <si>
    <t xml:space="preserve">FY Actual+Proj</t>
  </si>
  <si>
    <t xml:space="preserve">Var</t>
  </si>
  <si>
    <t xml:space="preserve">YTD Budget</t>
  </si>
  <si>
    <t xml:space="preserve">YTD Actual</t>
  </si>
  <si>
    <t xml:space="preserve">YTD Var</t>
  </si>
  <si>
    <t xml:space="preserve">FY 2026: Actual + Projection vs Budget</t>
  </si>
  <si>
    <t xml:space="preserve">SIX PEAK CAPITAL</t>
  </si>
  <si>
    <t xml:space="preserve">Development &amp; management fees</t>
  </si>
  <si>
    <t xml:space="preserve">-$32K. Francis dev fee $128K (Aug, at closing) and Judkins $10K were unbudgeted, but the Ramsgate dev fee draws at $23.9K/mo vs $36.5K budgeted (-$151K for the year). The $299K June non-cash item is excluded.</t>
  </si>
  <si>
    <t xml:space="preserve">Total operating expenses</t>
  </si>
  <si>
    <t xml:space="preserve">-$712K. Exec consulting fee $66.7K/mo ($800K/yr, not budgeted; budget payroll is ~$430K/yr higher instead), outside advisory ~$28K/mo (-$355K), March legal $38K, benefits and payroll-servicing overages.</t>
  </si>
  <si>
    <t xml:space="preserve">-$744K, all expense-side (row 9).</t>
  </si>
  <si>
    <t xml:space="preserve">LV CONSTRUCTION</t>
  </si>
  <si>
    <t xml:space="preserve">Fee income (GC-CM + supervision + admin + other)</t>
  </si>
  <si>
    <t xml:space="preserve">+$668K. YTD +$124K (incl. $175K unbudgeted consulting income); Sep-Dec forecast $2.80M vs $2.25M budget (+$543K): Lexington (Sep), Riverton (now Feb-28 completion) and Acama (Dec) are not in the budget, and in-place jobs run ahead of their curves. Francis stays below budget after its 3-month-late NTP.</t>
  </si>
  <si>
    <t xml:space="preserve">Trade margin, net of deal terms</t>
  </si>
  <si>
    <t xml:space="preserve">+$236K. Budget assumes zero trade margin. YTD +$116K (Crenshaw/Ramsgate buyout savings, less Riverton's $104K premium in job cost); Sep-Dec +$193K forecast margin less the Crenshaw 50% client share (-$74K, Dec-26).</t>
  </si>
  <si>
    <t xml:space="preserve">Bonding program, net (Krueger cash fee)</t>
  </si>
  <si>
    <t xml:space="preserve">+$460K. YTD bond spread +$832K (Francis, Riverton, Lexington bond lines vs premiums), less the Acama bond line in Dec-26 ($319K billed vs $691K premium, -$372K). Krueger payment ($697K) is not in the forecast.</t>
  </si>
  <si>
    <t xml:space="preserve">+$1.36M = fees +$668K, trade margin +$236K, bonding +$460K.</t>
  </si>
  <si>
    <t xml:space="preserve">Total GC costs</t>
  </si>
  <si>
    <t xml:space="preserve">-$208K. YTD $160K under (personnel), but Sep-Dec forecast $1.66M vs $1.29M budget (-$368K): the staffing engine adds crew for Lexington, Riverton and Acama (payroll ~$260-280K/mo vs $176K budget) and the budgeted SP-to-LV allocation is $0.</t>
  </si>
  <si>
    <t xml:space="preserve">+$1.16M.</t>
  </si>
  <si>
    <t xml:space="preserve">CONSOLIDATED NET INCOME</t>
  </si>
  <si>
    <t xml:space="preserve">+$412K. LV +$1.16M (bonding spread, jobs ahead of curve, new jobs) offset by Six Peak -$744K (consulting and advisory cost not in the budget).</t>
  </si>
  <si>
    <t xml:space="preserve">   of which actual, closed months (per ledger)</t>
  </si>
  <si>
    <t xml:space="preserve">   June non-cash revenue item reversed (not assumed)</t>
  </si>
  <si>
    <t xml:space="preserve">   still forecast (remaining months)</t>
  </si>
  <si>
    <t xml:space="preserve">Note (30 Sep 2026): bond lines stay in trade billing and premiums in trade cost, as the ledger books them; bond line less premium is LV revenue. Bonding, net = Krueger cash fee above the premium (Bonding Program tab), held and paid January 2027.</t>
  </si>
  <si>
    <t xml:space="preserve">Closed months (auto):</t>
  </si>
  <si>
    <t xml:space="preserve">YTD 2026</t>
  </si>
  <si>
    <t xml:space="preserve">Line Item</t>
  </si>
  <si>
    <t xml:space="preserve">Actual</t>
  </si>
  <si>
    <t xml:space="preserve">Budget</t>
  </si>
  <si>
    <t xml:space="preserve">YTD Jan-Aug: Actual vs Budget (variance in AN) - job detail in the table below row 146</t>
  </si>
  <si>
    <t xml:space="preserve">GC / LV CONSTRUCTION: MONTHLY BUDGET VS ACTUAL</t>
  </si>
  <si>
    <t xml:space="preserve">+$213K, but +$175K of it is unbudgeted Consulting Fee Income (4000-4000: Jan $78K, Aug $97K). Supervision/admin fees are otherwise about on budget: in-place jobs ahead of their curves, Francis behind.</t>
  </si>
  <si>
    <t xml:space="preserve">-$89K. Francis GC fee was budgeted from May ($185K YTD) vs ~$11K billed after the Aug NTP; Ramsgate, Califa, Whipple and Crenshaw are ahead on billing.</t>
  </si>
  <si>
    <t xml:space="preserve">-$1.87M. Francis -$3.30M (NTP Aug vs May budget). Offsets: in-place jobs ahead of curve (Crenshaw +$324K, Nelrose +$313K on change orders, Ramsgate +$282K, Califa +$228K, Whipple +$75K) and Riverton +$207K (not budgeted). Bond lines excluded (see row 39).</t>
  </si>
  <si>
    <t xml:space="preserve">-$1.74M; mostly trade billing timing on Francis (row 36).</t>
  </si>
  <si>
    <t xml:space="preserve">+$1.99M; mirrors billing (budget passes trades through at zero margin). Actual trade margin YTD +$116K: Crenshaw +$144K, Ramsgate +$134K, Riverton -$107K (incl. $104K bond premium in job cost), Califa -$39K, rest GC Extras.</t>
  </si>
  <si>
    <t xml:space="preserve">Bonding Revenue</t>
  </si>
  <si>
    <t xml:space="preserve">+$1.24M, not budgeted: first-pay-app bond lines on Francis $839K (Jul), Riverton $212K (Jul), Lexington $192K (Aug).</t>
  </si>
  <si>
    <t xml:space="preserve">Bonding Costs</t>
  </si>
  <si>
    <t xml:space="preserve">-$411K, not budgeted: Francis CBI premium $314K and Lexington premium $95K (Aug), plus $2K in Jan. Net bond spread +$832K is the biggest single driver of the YTD beat. The Riverton premium ($104K) sits in trade COGS.</t>
  </si>
  <si>
    <t xml:space="preserve">+$1.07M = bond spread +$832K, fees +$124K (incl. $175K consulting income), trade margin +$116K.</t>
  </si>
  <si>
    <t xml:space="preserve">-$180K. Budget $176K/mo flat; actual rose from $145K (Jan) to $218K (Aug) as field staff were added (Francis, Riverton, Lexington, Acama). Read together with rows 47, 51 and 52: total LV personnel is $629K under.</t>
  </si>
  <si>
    <t xml:space="preserve">+$90K. Budget burden 15% of payroll vs ~7.6% actual.</t>
  </si>
  <si>
    <t xml:space="preserve">+$469K. Budget allocated $58.7K/mo of Six Peak personnel to LV; personnel is carried 100% at Six Peak, so $0 actual.</t>
  </si>
  <si>
    <t xml:space="preserve">+$149K. Budget 14% of payroll vs ~3% actual (fewer enrolled).</t>
  </si>
  <si>
    <t xml:space="preserve">-$250K. Consultant payroll ($29.2K/mo) not budgeted as its own line.</t>
  </si>
  <si>
    <t xml:space="preserve">+$333K. Apr ($251K) and May ($82K) credits: payroll reclassed to job cost for self-performed work.</t>
  </si>
  <si>
    <t xml:space="preserve">-$33K. Rent stepped up to $20.4K/mo from May vs $10K/mo budget.</t>
  </si>
  <si>
    <t xml:space="preserve">-$21K. Aug $17K.</t>
  </si>
  <si>
    <t xml:space="preserve">+$26K here but -$50K on row 57: IT is coded to 5200-1053 rather than the budgeted 5200-1050; net -$23K over budget.</t>
  </si>
  <si>
    <t xml:space="preserve">-$50K; see row 56.</t>
  </si>
  <si>
    <t xml:space="preserve">-$52K. Outside accounting support: Aug $26K, Feb $12K, May $12K.</t>
  </si>
  <si>
    <t xml:space="preserve">-$11K.</t>
  </si>
  <si>
    <t xml:space="preserve">-$105K. Outside consulting Mar-May ($42K / $42.5K / $21K), not budgeted; none since June.</t>
  </si>
  <si>
    <t xml:space="preserve">-$109K. Job-site supplies running ~$18K/mo vs $4.2K/mo budget.</t>
  </si>
  <si>
    <t xml:space="preserve">-$69K. May warranty / job-adjustment accrual of $74K.</t>
  </si>
  <si>
    <t xml:space="preserve">-$10K. Equipment rental and D&amp;A were booked here Jan-May (split to row 78 from June).</t>
  </si>
  <si>
    <t xml:space="preserve">-$8K. March state tax $11K.</t>
  </si>
  <si>
    <t xml:space="preserve">+$160K. Personnel under by $629K (incl. the $469K budgeted SP allocation) vs operating overages of ~$469K (consulting, job-site supplies, warranty, accounting, rent, IT).</t>
  </si>
  <si>
    <t xml:space="preserve">+$1.23M = gross profit +$1.07M plus GC costs +$160K.</t>
  </si>
  <si>
    <t xml:space="preserve">SIX PEAK CAPITAL: MONTHLY BUDGET VS ACTUAL</t>
  </si>
  <si>
    <t xml:space="preserve">+$299K. June $299K line-of-credit forgiveness booked as income; not budgeted. The Model reverses it (row 142).</t>
  </si>
  <si>
    <t xml:space="preserve">-$101K. Draws at $23.9K/mo vs $36.5K/mo budgeted.</t>
  </si>
  <si>
    <t xml:space="preserve">-$7K. $9,375/mo vs $10,227 budgeted.</t>
  </si>
  <si>
    <t xml:space="preserve">+$4K. $44K (Jul) + $8.8K (Aug) + $10.2K Judkins acquisition fee (booked on this line) vs $59K budget.</t>
  </si>
  <si>
    <t xml:space="preserve">+$128K. Francis development fee received in Aug at financial close; not budgeted for 2026.</t>
  </si>
  <si>
    <t xml:space="preserve">+$322K, of which $299K non-cash; +$23K excluding it.</t>
  </si>
  <si>
    <t xml:space="preserve">+$286K. Budget $90K/mo vs actual $54K/mo, but executive pay runs through Consulting Fee (row 128) at $66.7K/mo. Payroll plus consulting is -$247K over budget combined.</t>
  </si>
  <si>
    <t xml:space="preserve">-$45K. Benefits $12.1K/mo vs $6.6K budget.</t>
  </si>
  <si>
    <t xml:space="preserve">-$15K. $2.2K/mo vs $271 budget.</t>
  </si>
  <si>
    <t xml:space="preserve">+$13K under.</t>
  </si>
  <si>
    <t xml:space="preserve">+$16K under.</t>
  </si>
  <si>
    <t xml:space="preserve">-$40K. March legal $38K.</t>
  </si>
  <si>
    <t xml:space="preserve">+$22K under.</t>
  </si>
  <si>
    <t xml:space="preserve">-$251K. Outside advisory ~$28K/mo (plus $69K in May) vs $2K/mo budgeted.</t>
  </si>
  <si>
    <t xml:space="preserve">-$12K.</t>
  </si>
  <si>
    <t xml:space="preserve">-$8K. March filings $15K.</t>
  </si>
  <si>
    <t xml:space="preserve">-$533K. Executive consulting $66.7K/mo, not budgeted on this line (partly offsets payroll, row 107).</t>
  </si>
  <si>
    <t xml:space="preserve">-$27K. Jan/May items, plus interest and amortization booked here Jan-May.</t>
  </si>
  <si>
    <t xml:space="preserve">-$567K; drivers in rows 107, 123 and 128.</t>
  </si>
  <si>
    <t xml:space="preserve">+$52K. June reversal of $54.5K accrued interest after the LOC forgiveness.</t>
  </si>
  <si>
    <t xml:space="preserve">-$193K.</t>
  </si>
  <si>
    <t xml:space="preserve">CONSOLIDATED NET INCOME  (ties to Model)</t>
  </si>
  <si>
    <t xml:space="preserve">Consolidated Net Income (GC + Six Peak, entity ledger)</t>
  </si>
  <si>
    <t xml:space="preserve">+$1.04M. LV +$1.23M, Six Peak -$193K.</t>
  </si>
  <si>
    <t xml:space="preserve">Model timing &amp; schedule items (interest, tax, D&amp;A, bonding)</t>
  </si>
  <si>
    <t xml:space="preserve">0</t>
  </si>
  <si>
    <t xml:space="preserve">-$299K: the Model excludes the June non-cash item.</t>
  </si>
  <si>
    <t xml:space="preserve">CONSOLIDATED NET INCOME (per Model)</t>
  </si>
  <si>
    <t xml:space="preserve">+$742K on the Model basis.</t>
  </si>
  <si>
    <t xml:space="preserve">VARIANCE BY JOB - YTD Jan-Aug 2026 (8 closed months) vs Nov-25 budget</t>
  </si>
  <si>
    <t xml:space="preserve">Budget passes trade cost through at zero margin, so trade billing variance is timing/scope only; profit variance comes from fee lines (which follow billing), trade margin and bonding. Actual fees = KPI YTD revenue less trade billing (includes $175K Consulting Fee Income, 4000-4000).</t>
  </si>
  <si>
    <t xml:space="preserve">Job</t>
  </si>
  <si>
    <t xml:space="preserve">Budget trades</t>
  </si>
  <si>
    <t xml:space="preserve">Actual trades (ex-bond)</t>
  </si>
  <si>
    <t xml:space="preserve">Budget fees</t>
  </si>
  <si>
    <t xml:space="preserve">Actual fees</t>
  </si>
  <si>
    <t xml:space="preserve">Actual trade margin</t>
  </si>
  <si>
    <t xml:space="preserve">Bond net (rev - cost)</t>
  </si>
  <si>
    <t xml:space="preserve">GP var vs budget</t>
  </si>
  <si>
    <t xml:space="preserve">Schedule / billing-curve driver</t>
  </si>
  <si>
    <t xml:space="preserve">Budget Sep-25 to Sep-27 (24 mo, curve 2). NTP Aug-25, subcomp Sep-27 - ahead of the curve: 55% billed at 8/31 vs 46% budgeted. Fee lines follow billing, so fees +$225K.</t>
  </si>
  <si>
    <t xml:space="preserve">Budget Dec-24 to Dec-26. Still completes Dec-26; 2026 billing running ahead (+$324K). Budget leaves only $1.1M for Sep-Dec vs $2.55M backlog, so Q4 also beats budget.</t>
  </si>
  <si>
    <t xml:space="preserve">Budget Jan-26 to Aug-27 (19 mo, curve 3). Started Dec-25 (1 mo early), subcomp Aug-27; 47% billed vs 39% budgeted; contract $13.43M vs $12.86M budget.</t>
  </si>
  <si>
    <t xml:space="preserve">Budget Jan-26 to Aug-27. Started on time; subcomp now Oct-27 (+2 mo). 44% billed vs 39% budgeted; contract $15.35M vs $14.43M budget.</t>
  </si>
  <si>
    <t xml:space="preserve">Budget Dec-25 to Jul-27. Started Jan-26 (1 mo late), subcomp Jun-27. Contract $4.29M vs $3.64M budget (+$0.65M change orders) drives the trade overage; fees slightly under.</t>
  </si>
  <si>
    <t xml:space="preserve">Budget NTP May-26 ($43.8M, 30 mo to Nov-28). Actual NTP 17-Aug-26 (3 mo late), CofO Mar-29 -&gt; trades -$3.3M and fees -$354K YTD. Offset: bond line $839K billed Jul vs $314K CBI premium (+$525K, unbudgeted).</t>
  </si>
  <si>
    <t xml:space="preserve">Not in the Nov-25 budget. Started Aug-26. Bond line $212K billed Jul; the $104K premium was booked in trade cost (hence the trade-margin loss).</t>
  </si>
  <si>
    <t xml:space="preserve">Not in the budget. First pay app (Aug) was the bond line only: $192K billed vs $95K premium.</t>
  </si>
  <si>
    <t xml:space="preserve">Pre-con (Acama/Scott/Klump)</t>
  </si>
  <si>
    <t xml:space="preserve">Pre-construction costs; Jan-26 bonding cost $2K (no job).</t>
  </si>
  <si>
    <t xml:space="preserve">Total</t>
  </si>
  <si>
    <t xml:space="preserve">Ties to rows 32-41: trade billing var = row 36; fees = rows 32+34; trade margin = rows 36+38; bond net = rows 39+40.</t>
  </si>
  <si>
    <t xml:space="preserve">Monthly Reforecast vs Actual</t>
  </si>
  <si>
    <t xml:space="preserve">Actuals vs the Q1 2026 reforecast (frozen v26 snapshot), by month. Variance = Actual minus Reforecast; a positive variance is favorable (expenses are stored as negatives). YTD covers Jan to Jun 2026.</t>
  </si>
  <si>
    <t xml:space="preserve">FY 2026 SUMMARY — ACTUAL + PROJECTION vs Q1 REFORECAST</t>
  </si>
  <si>
    <t xml:space="preserve">Anchor: the frozen Q1 2026 reforecast (struck with Q1 actuals loaded). Same lines as the budget summary above the Budget vs Actual grid.</t>
  </si>
  <si>
    <t xml:space="preserve">FY Reforecast</t>
  </si>
  <si>
    <t xml:space="preserve">YTD Reforecast</t>
  </si>
  <si>
    <t xml:space="preserve">Reforecast</t>
  </si>
  <si>
    <t xml:space="preserve">VARIANCE — Budget (Nov 2025) vs Actual</t>
  </si>
  <si>
    <t xml:space="preserve">Variance computes for any month with actuals entered.</t>
  </si>
  <si>
    <t xml:space="preserve">Jan 2026</t>
  </si>
  <si>
    <t xml:space="preserve">Feb 2026</t>
  </si>
  <si>
    <t xml:space="preserve">Mar 2026</t>
  </si>
  <si>
    <t xml:space="preserve">Apr 2026</t>
  </si>
  <si>
    <t xml:space="preserve">May 2026</t>
  </si>
  <si>
    <t xml:space="preserve">Jun 2026</t>
  </si>
  <si>
    <t xml:space="preserve">Jul 2026</t>
  </si>
  <si>
    <t xml:space="preserve">Aug 2026</t>
  </si>
  <si>
    <t xml:space="preserve">Sep 2026</t>
  </si>
  <si>
    <t xml:space="preserve">Oct 2026</t>
  </si>
  <si>
    <t xml:space="preserve">Nov 2026</t>
  </si>
  <si>
    <t xml:space="preserve">Dec 2026</t>
  </si>
  <si>
    <t xml:space="preserve">YTD 2026 (Actuals only)</t>
  </si>
  <si>
    <t xml:space="preserve">$ Var</t>
  </si>
  <si>
    <t xml:space="preserve">% Var</t>
  </si>
  <si>
    <t xml:space="preserve">YTD $ Var</t>
  </si>
  <si>
    <t xml:space="preserve">GC Placeholder — Future Cost A</t>
  </si>
  <si>
    <t xml:space="preserve">GC Placeholder — Future Cost C</t>
  </si>
  <si>
    <t xml:space="preserve">TOTAL — sum of all P&amp;L lines</t>
  </si>
  <si>
    <t xml:space="preserve">VARIANCE — Reforecast Q1 2026 vs Actual</t>
  </si>
  <si>
    <t xml:space="preserve">BUDGET — approved November 2025</t>
  </si>
  <si>
    <t xml:space="preserve">Anchor for budget-vs-actual reporting. Mapped from the November 2025 consolidated projection model. Do not edit.</t>
  </si>
  <si>
    <t xml:space="preserve">GC-CM Fee Revenue</t>
  </si>
  <si>
    <t xml:space="preserve">KNOWN VARIANCE FROM SOURCE — documented, not corrected</t>
  </si>
  <si>
    <t xml:space="preserve">Finding: in the November 2025 budget model the Six Peak-to-LV payroll allocation does not net to zero on consolidation. LV is charged $704,200 for 2026 while Six Peak credits $711,242, a difference of $7,042.</t>
  </si>
  <si>
    <t xml:space="preserve">Cause: the November model escalates Six Peak salaries 2.0% effective July 2026 and the credit follows ($58,683 to $59,857 per month), but the offsetting charge to LV was left flat at $58,683 for all twelve months. The two sides are not driven off a single input, so the escalation was applied to one and not the other. January through June agree exactly; every month from July carries $1,174 of the gap.</t>
  </si>
  <si>
    <t xml:space="preserve">Treatment: each entity is carried at its own approved figure, so LV and Six Peak both tie exactly to the November model. The $7,042 remains as a favorable overstatement at the consolidated line only. Rows 23 (SP Allocated to LV) and 83 (Six Peak payroll, net of the contra) are the affected lines.</t>
  </si>
  <si>
    <t xml:space="preserve">Decision (C. Aiello, 8/13/2026): do not restate. The budget is an approved, frozen anchor and its value depends on not moving. The gap is 0.74% of budgeted consolidated net income of $947,956 and does not affect entity-level reporting.</t>
  </si>
  <si>
    <t xml:space="preserve">Action for the FY 2027 budget build: drive the allocation from a single input referenced by both entities so an escalation cannot be applied to one side alone.</t>
  </si>
  <si>
    <t xml:space="preserve">REFORECAST Q1 2026 — frozen v26 forecast snapshot</t>
  </si>
  <si>
    <t xml:space="preserve">Static reforecast struck with Q1 2026 actuals loaded. Anchor for reforecast-vs-actual reporting. Do not edit.</t>
  </si>
  <si>
    <t xml:space="preserve">BD COMMISSION ANALYSIS</t>
  </si>
  <si>
    <t xml:space="preserve">Annual breakdown of BD-sourced billing, gross profit, commission, and Tom's total comp.</t>
  </si>
  <si>
    <t xml:space="preserve">Fiscal Year</t>
  </si>
  <si>
    <t xml:space="preserve">BD Trades &amp; Site Billing</t>
  </si>
  <si>
    <t xml:space="preserve">BD Other GC Income</t>
  </si>
  <si>
    <t xml:space="preserve">BD GC Fee Income</t>
  </si>
  <si>
    <t xml:space="preserve">(folded into Other GC)</t>
  </si>
  <si>
    <t xml:space="preserve">BD Construction Billing (Total)</t>
  </si>
  <si>
    <t xml:space="preserve">GC Gross Profit (FY, excl. bonding)</t>
  </si>
  <si>
    <t xml:space="preserve">BD Gross Profit (allocated, excl. bonding)</t>
  </si>
  <si>
    <t xml:space="preserve">BD Commission (10%)</t>
  </si>
  <si>
    <t xml:space="preserve">Tom Base Salary</t>
  </si>
  <si>
    <t xml:space="preserve">Total Comp to Tom</t>
  </si>
  <si>
    <t xml:space="preserve">Commission % of Total Comp</t>
  </si>
  <si>
    <t xml:space="preserve">HVN BD Billing</t>
  </si>
  <si>
    <t xml:space="preserve">Non-HVN BD Billing</t>
  </si>
  <si>
    <t xml:space="preserve">HVN GP</t>
  </si>
  <si>
    <t xml:space="preserve">Non-HVN GP</t>
  </si>
  <si>
    <t xml:space="preserve">HVN Tier Rate</t>
  </si>
  <si>
    <t xml:space="preserve">HVN Commission</t>
  </si>
  <si>
    <t xml:space="preserve">Non-HVN Commission</t>
  </si>
  <si>
    <t xml:space="preserve">TOTAL</t>
  </si>
  <si>
    <t xml:space="preserve">• BD figures pull from Helpers BD memo (rows 96-101)</t>
  </si>
  <si>
    <t xml:space="preserve">• BD fees split: Other GC Income (Supervision+Admin) and GC Fee Income (GC-CM)</t>
  </si>
  <si>
    <t xml:space="preserve">• Commission floors at $0 each month (Model R51 formula)</t>
  </si>
  <si>
    <t xml:space="preserve">• Bonding revenue + costs excluded from BD math (Helpers r98/r99, unconditional since 14 Aug 2026)</t>
  </si>
  <si>
    <t xml:space="preserve">• Tom Base Salary FROZEN at Personnel!C46 ($222K) — no escalation (CY26 prorated to 9 mo)</t>
  </si>
  <si>
    <t xml:space="preserve">• HVN deals flagged on Projects column M (first 2 BD deals by start month per CY)</t>
  </si>
  <si>
    <t xml:space="preserve">• HVN/Non-HVN billings split via Model row 211 (HVN-only) vs row 200 (total)</t>
  </si>
  <si>
    <t xml:space="preserve">• HVN GP allocated proportionally: GP × (HVN billing / total billing)</t>
  </si>
  <si>
    <t xml:space="preserve">• HVN commission rate tiered annually by non-HVN billings — see Assumptions!A79</t>
  </si>
  <si>
    <t xml:space="preserve">• Total Commission (col I) floored at $0; flows to Model row 51 monthly via I/H × monthly GP</t>
  </si>
  <si>
    <t xml:space="preserve">Project</t>
  </si>
  <si>
    <t xml:space="preserve">Contract Value</t>
  </si>
  <si>
    <t xml:space="preserve">Start Month</t>
  </si>
  <si>
    <t xml:space="preserve">Duration</t>
  </si>
  <si>
    <t xml:space="preserve">Curve</t>
  </si>
  <si>
    <t xml:space="preserve">Bonded</t>
  </si>
  <si>
    <t xml:space="preserve">Active</t>
  </si>
  <si>
    <t xml:space="preserve">Bond Tier</t>
  </si>
  <si>
    <t xml:space="preserve">Bond Cost Rate</t>
  </si>
  <si>
    <t xml:space="preserve">Steyn Guaranty</t>
  </si>
  <si>
    <t xml:space="preserve">LIHTC</t>
  </si>
  <si>
    <t xml:space="preserve">Type</t>
  </si>
  <si>
    <t xml:space="preserve">Total Supervision</t>
  </si>
  <si>
    <t xml:space="preserve">Total GC-CM Fee</t>
  </si>
  <si>
    <t xml:space="preserve">Total Admin</t>
  </si>
  <si>
    <t xml:space="preserve">Total Fee Revenue</t>
  </si>
  <si>
    <t xml:space="preserve">Last Pay App (5% Retention)</t>
  </si>
  <si>
    <t xml:space="preserve">Last Month Date</t>
  </si>
  <si>
    <t xml:space="preserve">Bond Rev Rate</t>
  </si>
  <si>
    <t xml:space="preserve">WARNING: rows are hard-referenced BY POSITION from Model (13-56 / 60-103), Helpers</t>
  </si>
  <si>
    <t xml:space="preserve">End Month</t>
  </si>
  <si>
    <t xml:space="preserve">No</t>
  </si>
  <si>
    <t xml:space="preserve">Yes</t>
  </si>
  <si>
    <t xml:space="preserve">GC + Developer</t>
  </si>
  <si>
    <t xml:space="preserve">(96/97/101), Retention and Contracts In Process. Never insert or delete a row here.</t>
  </si>
  <si>
    <t xml:space="preserve">To add a deal, repurpose a BD placeholder row (17-46) and relabel the matching rows.</t>
  </si>
  <si>
    <t xml:space="preserve">3rd Party GC</t>
  </si>
  <si>
    <t xml:space="preserve">HVN?</t>
  </si>
  <si>
    <t xml:space="preserve">Troost (HVN)</t>
  </si>
  <si>
    <t xml:space="preserve">Monthly Billing of Contracts In Process (per Model) vs Breakeven</t>
  </si>
  <si>
    <t xml:space="preserve">Each job's monthly billing is the Model tab's trades &amp; site cost billing for that job (actuals for closed months, schedule-driven POC / curve after); GC fee + other GC income is pooled in the Model and shown on row 55, so row 56 ties to Model Total Revenues (check row 65). Breakeven billing = that month's overhead (Model Total GC Costs + Total Six Peak Expenses) ÷ that month's Model gross profit margin (after LIHTC true-up, buyout-savings client share and bonding). Where the month's margin is zero or negative, breakeven is n/m and row 63 shows GP less overhead. Summary rows in $ millions. Committed = active jobs (incl. rows 24-27); Pipeline = BD slots.</t>
  </si>
  <si>
    <t xml:space="preserve">Start</t>
  </si>
  <si>
    <t xml:space="preserve">Completion</t>
  </si>
  <si>
    <t xml:space="preserve">Dur</t>
  </si>
  <si>
    <t xml:space="preserve">Billed Apr-26 →</t>
  </si>
  <si>
    <t xml:space="preserve">COMMITTED CONTRACTS  (Active jobs)</t>
  </si>
  <si>
    <t xml:space="preserve">Committed: Monthly Billing In Place ($M)</t>
  </si>
  <si>
    <t xml:space="preserve">Committed: Jobs Active (#)</t>
  </si>
  <si>
    <t xml:space="preserve">COMMITTED (cont., rows 24-27: Klump, Scott, Beverly (BD-04), Troost)  —  PIPELINE (inactive BD deals) from row 28</t>
  </si>
  <si>
    <t xml:space="preserve">Pipeline: Monthly Billing In Place ($M)</t>
  </si>
  <si>
    <t xml:space="preserve">Pipeline: Jobs Active (#)</t>
  </si>
  <si>
    <t xml:space="preserve">GC Fee + Other GC Income (not by job) ($M)</t>
  </si>
  <si>
    <t xml:space="preserve">TOTAL MONTHLY BILLING IN PLACE ($M)</t>
  </si>
  <si>
    <t xml:space="preserve">TOTAL JOBS ACTIVE (#)</t>
  </si>
  <si>
    <t xml:space="preserve">Monthly Overhead in Place ($M) — Model Total GC Costs + Total Six Peak Expenses</t>
  </si>
  <si>
    <t xml:space="preserve">Gross Profit ($M) — Model r199, after LIHTC true-up, client share &amp; bonding</t>
  </si>
  <si>
    <t xml:space="preserve">Gross Profit Margin % (GP ÷ billing)</t>
  </si>
  <si>
    <t xml:space="preserve">Breakeven Billing = Overhead ÷ GP Margin ($M)</t>
  </si>
  <si>
    <t xml:space="preserve">Billing Surplus / (Gap) vs Breakeven ($M)</t>
  </si>
  <si>
    <t xml:space="preserve">Coverage: Gross Profit ÷ Overhead (x)</t>
  </si>
  <si>
    <t xml:space="preserve">Check: billing in place − Model Total Revenues (should be ✓)</t>
  </si>
  <si>
    <t xml:space="preserve">Personnel</t>
  </si>
  <si>
    <t xml:space="preserve">Month 1 = April 2026.  Named staff are costed from this tab; planned hires are generated by the Staffing tab from the deal set.</t>
  </si>
  <si>
    <t xml:space="preserve">Count</t>
  </si>
  <si>
    <t xml:space="preserve">Annual salary</t>
  </si>
  <si>
    <t xml:space="preserve">LV Construction - current headcount</t>
  </si>
  <si>
    <t xml:space="preserve">Six Peak Capital - current headcount</t>
  </si>
  <si>
    <t xml:space="preserve">Planned hires are generated by the Staffing tab from the deal set. Superseded planned rows were retired 18 Sep 2026; see the change record.</t>
  </si>
  <si>
    <t xml:space="preserve">Name</t>
  </si>
  <si>
    <t xml:space="preserve">Role</t>
  </si>
  <si>
    <t xml:space="preserve">Annual Salary</t>
  </si>
  <si>
    <t xml:space="preserve">Monthly Cost</t>
  </si>
  <si>
    <t xml:space="preserve">Consult %</t>
  </si>
  <si>
    <t xml:space="preserve">LV Alloc %</t>
  </si>
  <si>
    <t xml:space="preserve">Category</t>
  </si>
  <si>
    <t xml:space="preserve">Status</t>
  </si>
  <si>
    <t xml:space="preserve">Basis / Job</t>
  </si>
  <si>
    <t xml:space="preserve">Note</t>
  </si>
  <si>
    <t xml:space="preserve">Model Line</t>
  </si>
  <si>
    <t xml:space="preserve">Role Class</t>
  </si>
  <si>
    <t xml:space="preserve">Placement</t>
  </si>
  <si>
    <t xml:space="preserve">LV CONSTRUCTION - CURRENT PERSONNEL (Corporate)</t>
  </si>
  <si>
    <t xml:space="preserve">Kim Moreno</t>
  </si>
  <si>
    <t xml:space="preserve">Office Manager</t>
  </si>
  <si>
    <t xml:space="preserve">GC</t>
  </si>
  <si>
    <t xml:space="preserve">Corporate</t>
  </si>
  <si>
    <t xml:space="preserve">Current</t>
  </si>
  <si>
    <t xml:space="preserve">CORP</t>
  </si>
  <si>
    <t xml:space="preserve">Grady LaKamp (Corporate)</t>
  </si>
  <si>
    <t xml:space="preserve">President</t>
  </si>
  <si>
    <t xml:space="preserve">Joe LaKamp (Corporate)</t>
  </si>
  <si>
    <t xml:space="preserve">Vice President</t>
  </si>
  <si>
    <t xml:space="preserve">Current - ends Dec 26</t>
  </si>
  <si>
    <t xml:space="preserve">Ends Dec 2026</t>
  </si>
  <si>
    <t xml:space="preserve">Pedro Rosales (Corporate)</t>
  </si>
  <si>
    <t xml:space="preserve">Greg Smith (Corporate)</t>
  </si>
  <si>
    <t xml:space="preserve">Executive Project Manager</t>
  </si>
  <si>
    <t xml:space="preserve">LV CONSTRUCTION - CURRENT PERSONNEL (Field)</t>
  </si>
  <si>
    <t xml:space="preserve">Grady LaKamp (Field)</t>
  </si>
  <si>
    <t xml:space="preserve">Field</t>
  </si>
  <si>
    <t xml:space="preserve">Joe LaKamp (Field)</t>
  </si>
  <si>
    <t xml:space="preserve">Pedro Rosales (Field)</t>
  </si>
  <si>
    <t xml:space="preserve">PM</t>
  </si>
  <si>
    <t xml:space="preserve">Greg Smith (Field)</t>
  </si>
  <si>
    <t xml:space="preserve">Henry Vera</t>
  </si>
  <si>
    <t xml:space="preserve">Assistant Project Superintendent</t>
  </si>
  <si>
    <t xml:space="preserve">ASST</t>
  </si>
  <si>
    <t xml:space="preserve">Dorian Puentes</t>
  </si>
  <si>
    <t xml:space="preserve">Project Manager</t>
  </si>
  <si>
    <t xml:space="preserve">Roy Torres</t>
  </si>
  <si>
    <t xml:space="preserve">Project Superintendent</t>
  </si>
  <si>
    <t xml:space="preserve">SUPER</t>
  </si>
  <si>
    <t xml:space="preserve">Brisa Sanchez</t>
  </si>
  <si>
    <t xml:space="preserve">Project Coordinator</t>
  </si>
  <si>
    <t xml:space="preserve">PC</t>
  </si>
  <si>
    <t xml:space="preserve">Alina Akopians</t>
  </si>
  <si>
    <t xml:space="preserve">Mike Savaikie</t>
  </si>
  <si>
    <t xml:space="preserve">Daniel Carillo</t>
  </si>
  <si>
    <t xml:space="preserve">Steven Garcia</t>
  </si>
  <si>
    <t xml:space="preserve">Jesus Castellanos</t>
  </si>
  <si>
    <t xml:space="preserve">Jonathon (Taylor) Flores</t>
  </si>
  <si>
    <t xml:space="preserve">Alex Rodriquez</t>
  </si>
  <si>
    <t xml:space="preserve">Alex Rodriquez, offer signed 15 Sep 2026; on payroll 1 Sep</t>
  </si>
  <si>
    <t xml:space="preserve">Nick Donald</t>
  </si>
  <si>
    <t xml:space="preserve">Project Superintendent Assistant</t>
  </si>
  <si>
    <t xml:space="preserve">Logan Terriquez</t>
  </si>
  <si>
    <t xml:space="preserve">Ivan Delgado</t>
  </si>
  <si>
    <t xml:space="preserve">Operations Coordinator</t>
  </si>
  <si>
    <t xml:space="preserve">OPS</t>
  </si>
  <si>
    <t xml:space="preserve">Jonah Dobkin</t>
  </si>
  <si>
    <t xml:space="preserve">Assistant Project Manager</t>
  </si>
  <si>
    <t xml:space="preserve">APM</t>
  </si>
  <si>
    <t xml:space="preserve">Carlos Rocha</t>
  </si>
  <si>
    <t xml:space="preserve">Operations Associate</t>
  </si>
  <si>
    <t xml:space="preserve">LAB</t>
  </si>
  <si>
    <t xml:space="preserve">Devis Tejada</t>
  </si>
  <si>
    <t xml:space="preserve">Albert Wolfe</t>
  </si>
  <si>
    <t xml:space="preserve">Laborer</t>
  </si>
  <si>
    <t xml:space="preserve">LV CONSTRUCTION - PLANNED, FIXED DATE (not engine-driven)</t>
  </si>
  <si>
    <t xml:space="preserve">PC Add (Brisa profile)</t>
  </si>
  <si>
    <t xml:space="preserve">Planned</t>
  </si>
  <si>
    <t xml:space="preserve">Coordinator capacity</t>
  </si>
  <si>
    <t xml:space="preserve">Back office — kept as a fixed hire per Chris 10 Sep</t>
  </si>
  <si>
    <t xml:space="preserve">SIX PEAK CAPITAL - CURRENT PERSONNEL</t>
  </si>
  <si>
    <t xml:space="preserve">Chris Aiello</t>
  </si>
  <si>
    <t xml:space="preserve">Partner</t>
  </si>
  <si>
    <t xml:space="preserve">SixPeak</t>
  </si>
  <si>
    <t xml:space="preserve">SP</t>
  </si>
  <si>
    <t xml:space="preserve">SP-Fee</t>
  </si>
  <si>
    <t xml:space="preserve">Bob Kennedy</t>
  </si>
  <si>
    <t xml:space="preserve">Tom Taggart</t>
  </si>
  <si>
    <t xml:space="preserve">Asset Mgmt/Bus Dev</t>
  </si>
  <si>
    <t xml:space="preserve">SP-Prof</t>
  </si>
  <si>
    <t xml:space="preserve">Schuyler Dietz</t>
  </si>
  <si>
    <t xml:space="preserve">Associate</t>
  </si>
  <si>
    <t xml:space="preserve">Derek Sanders</t>
  </si>
  <si>
    <t xml:space="preserve">Director of Development</t>
  </si>
  <si>
    <t xml:space="preserve">SP-Payroll</t>
  </si>
  <si>
    <t xml:space="preserve">Robert Carrega</t>
  </si>
  <si>
    <t xml:space="preserve">Controller</t>
  </si>
  <si>
    <t xml:space="preserve">Chris Andresen</t>
  </si>
  <si>
    <t xml:space="preserve">CFO</t>
  </si>
  <si>
    <t xml:space="preserve">DEPARTED - no cost after End Month</t>
  </si>
  <si>
    <t xml:space="preserve">Lucy Mohler</t>
  </si>
  <si>
    <t xml:space="preserve">Asst Project Manager</t>
  </si>
  <si>
    <t xml:space="preserve">Departed 7/31/26</t>
  </si>
  <si>
    <t xml:space="preserve">Left the company 31 July 2026</t>
  </si>
  <si>
    <t xml:space="preserve">Alex Gottlieb</t>
  </si>
  <si>
    <t xml:space="preserve">Senior Superintendent</t>
  </si>
  <si>
    <t xml:space="preserve">LV CONSTRUCTION - ADDED SEPTEMBER 2026 (already on payroll)</t>
  </si>
  <si>
    <t xml:space="preserve">Alfredo Tapia Alvarez</t>
  </si>
  <si>
    <t xml:space="preserve">On payroll since Aug/Sep 2026; added to the model 18 Sep 2026</t>
  </si>
  <si>
    <t xml:space="preserve">Sammy Lozano</t>
  </si>
  <si>
    <t xml:space="preserve">Uplifters Foundation — Development Fee Program</t>
  </si>
  <si>
    <t xml:space="preserve">PROGRAM OVERVIEW</t>
  </si>
  <si>
    <t xml:space="preserve">Program Name</t>
  </si>
  <si>
    <t xml:space="preserve">Program Duration</t>
  </si>
  <si>
    <t xml:space="preserve">5 Years (Apr 2027 – Mar 2032)</t>
  </si>
  <si>
    <t xml:space="preserve">Total Properties</t>
  </si>
  <si>
    <t xml:space="preserve">Property Type</t>
  </si>
  <si>
    <t xml:space="preserve">Single-Family Residential (no ADUs)</t>
  </si>
  <si>
    <t xml:space="preserve">Avg Lot Price</t>
  </si>
  <si>
    <t xml:space="preserve">Avg Construction Cost</t>
  </si>
  <si>
    <t xml:space="preserve">Avg Sale Price</t>
  </si>
  <si>
    <t xml:space="preserve">ANNUAL P&amp;L SUMMARY</t>
  </si>
  <si>
    <t xml:space="preserve">Staffing Cost</t>
  </si>
  <si>
    <t xml:space="preserve">Other OpEx</t>
  </si>
  <si>
    <t xml:space="preserve">Net Fee Income</t>
  </si>
  <si>
    <t xml:space="preserve">SP Overhead Fee (to Six Peak)</t>
  </si>
  <si>
    <t xml:space="preserve">Net Before Profit Share</t>
  </si>
  <si>
    <t xml:space="preserve">Schuyler Profit Share (40/45/50%)</t>
  </si>
  <si>
    <t xml:space="preserve">NI After Profit Share (to Six Peak)</t>
  </si>
  <si>
    <t xml:space="preserve">Total to Six Peak</t>
  </si>
  <si>
    <t xml:space="preserve">ACQUISITION SCHEDULE</t>
  </si>
  <si>
    <t xml:space="preserve">Phase</t>
  </si>
  <si>
    <t xml:space="preserve">Properties</t>
  </si>
  <si>
    <t xml:space="preserve">Timing</t>
  </si>
  <si>
    <t xml:space="preserve">Phase 1 — Initial Acquisitions</t>
  </si>
  <si>
    <t xml:space="preserve">Apr – Sep 2027 (Mo 13-18)</t>
  </si>
  <si>
    <t xml:space="preserve">Acquisition</t>
  </si>
  <si>
    <t xml:space="preserve">Phase 2 — Ramp Up</t>
  </si>
  <si>
    <t xml:space="preserve">Oct 2027 – Sep 2028 (Mo 19-30)</t>
  </si>
  <si>
    <t xml:space="preserve">Acquisition → Development</t>
  </si>
  <si>
    <t xml:space="preserve">Phase 3 — Continued Buying</t>
  </si>
  <si>
    <t xml:space="preserve">Oct 2028 – Sep 2029 (Mo 31-42)</t>
  </si>
  <si>
    <t xml:space="preserve">Development → Leasing</t>
  </si>
  <si>
    <t xml:space="preserve">Phase 4 — Final Batch</t>
  </si>
  <si>
    <t xml:space="preserve">Oct 2029 – Sep 2030 (Mo 43-54)</t>
  </si>
  <si>
    <t xml:space="preserve">Leasing → Exits</t>
  </si>
  <si>
    <t xml:space="preserve">Apr 2027 – Sep 2030</t>
  </si>
  <si>
    <t xml:space="preserve">FEE STRUCTURE</t>
  </si>
  <si>
    <t xml:space="preserve">Fee Category</t>
  </si>
  <si>
    <t xml:space="preserve">Rate</t>
  </si>
  <si>
    <t xml:space="preserve">Basis</t>
  </si>
  <si>
    <t xml:space="preserve">Per Property</t>
  </si>
  <si>
    <t xml:space="preserve">× 60</t>
  </si>
  <si>
    <t xml:space="preserve">Notes</t>
  </si>
  <si>
    <t xml:space="preserve">Acquisition Fee</t>
  </si>
  <si>
    <t xml:space="preserve">1%</t>
  </si>
  <si>
    <t xml:space="preserve">Lot Price ($1,400,000)</t>
  </si>
  <si>
    <t xml:space="preserve">At closing</t>
  </si>
  <si>
    <t xml:space="preserve">Development Mgmt Fee</t>
  </si>
  <si>
    <t xml:space="preserve">6%</t>
  </si>
  <si>
    <t xml:space="preserve">Construction ($1,609,391)</t>
  </si>
  <si>
    <t xml:space="preserve">During renovation</t>
  </si>
  <si>
    <t xml:space="preserve">Leasing Commission</t>
  </si>
  <si>
    <t xml:space="preserve">3%</t>
  </si>
  <si>
    <t xml:space="preserve">Annual Rent ($180,000)</t>
  </si>
  <si>
    <t xml:space="preserve">At lease-up</t>
  </si>
  <si>
    <t xml:space="preserve">Exit / Disposition Fee</t>
  </si>
  <si>
    <t xml:space="preserve">Sale Price ($3,419,763)</t>
  </si>
  <si>
    <t xml:space="preserve">At disposition</t>
  </si>
  <si>
    <t xml:space="preserve">STAFFING &amp; COMPENSATION</t>
  </si>
  <si>
    <t xml:space="preserve">Annual Comp</t>
  </si>
  <si>
    <t xml:space="preserve">Monthly</t>
  </si>
  <si>
    <t xml:space="preserve">End</t>
  </si>
  <si>
    <t xml:space="preserve">Months</t>
  </si>
  <si>
    <t xml:space="preserve">Total Cost</t>
  </si>
  <si>
    <t xml:space="preserve">Project Manager 1</t>
  </si>
  <si>
    <t xml:space="preserve">Mo 14</t>
  </si>
  <si>
    <t xml:space="preserve">Mo 60</t>
  </si>
  <si>
    <t xml:space="preserve">Mo 17</t>
  </si>
  <si>
    <t xml:space="preserve">Accountant</t>
  </si>
  <si>
    <t xml:space="preserve">Mo 22</t>
  </si>
  <si>
    <t xml:space="preserve">Project Manager 2</t>
  </si>
  <si>
    <t xml:space="preserve">Mo 30</t>
  </si>
  <si>
    <t xml:space="preserve">Total Staffing Cost</t>
  </si>
  <si>
    <t xml:space="preserve">OTHER OPERATING EXPENSES</t>
  </si>
  <si>
    <t xml:space="preserve">Expense</t>
  </si>
  <si>
    <t xml:space="preserve">Annual</t>
  </si>
  <si>
    <t xml:space="preserve">Years</t>
  </si>
  <si>
    <t xml:space="preserve">Accounting / Audit / Tax</t>
  </si>
  <si>
    <t xml:space="preserve">Insurance</t>
  </si>
  <si>
    <t xml:space="preserve">Office Space</t>
  </si>
  <si>
    <t xml:space="preserve">Computer / Internet</t>
  </si>
  <si>
    <t xml:space="preserve">Total Other OpEx</t>
  </si>
  <si>
    <t xml:space="preserve">Note: Legal ($25K/project) is a deal cost in closing, not in P&amp;L</t>
  </si>
  <si>
    <t xml:space="preserve">ECONOMICS SUMMARY (CONFIRMED)</t>
  </si>
  <si>
    <t xml:space="preserve">Total Fee Revenue (60 properties)</t>
  </si>
  <si>
    <t xml:space="preserve">SP Overhead (10% Revenue, max $150K/yr)</t>
  </si>
  <si>
    <t xml:space="preserve">Schuyler Profit Share (40/45/50% tiered)</t>
  </si>
  <si>
    <t xml:space="preserve">LEADERSHIP &amp; ORGANIZATION</t>
  </si>
  <si>
    <t xml:space="preserve">Responsibility</t>
  </si>
  <si>
    <t xml:space="preserve">Program Lead</t>
  </si>
  <si>
    <t xml:space="preserve">Day-to-day leadership. Manages acquisitions, development oversight, investor relations. 40% bonus on net income.</t>
  </si>
  <si>
    <t xml:space="preserve">Leadership</t>
  </si>
  <si>
    <t xml:space="preserve">Senior leadership and strategic direction. Works directly with Schuyler on execution.</t>
  </si>
  <si>
    <t xml:space="preserve">PM Advisory</t>
  </si>
  <si>
    <t xml:space="preserve">Advises on PM employees. Guidance on renovation scoping, contractor mgmt, PM development.</t>
  </si>
  <si>
    <t xml:space="preserve">Accounting &amp; Back Office</t>
  </si>
  <si>
    <t xml:space="preserve">Manages accounting, financial reporting, and back office with Robert Carrega.</t>
  </si>
  <si>
    <t xml:space="preserve">Supports accounting and back office processes alongside Chris Andresen.</t>
  </si>
  <si>
    <t xml:space="preserve">Acquisitions &amp; Field</t>
  </si>
  <si>
    <t xml:space="preserve">Assists in acquisitions. Available on-the-ground resource daily for program execution.</t>
  </si>
  <si>
    <t xml:space="preserve">NOTES &amp; ASSUMPTIONS</t>
  </si>
  <si>
    <t xml:space="preserve">1.</t>
  </si>
  <si>
    <t xml:space="preserve">All 60 properties are single-family residential. No ADUs.</t>
  </si>
  <si>
    <t xml:space="preserve">2.</t>
  </si>
  <si>
    <t xml:space="preserve">Avg lot price: $1,400,000. Avg construction: $1,609,391. Avg sale: $3,419,763.</t>
  </si>
  <si>
    <t xml:space="preserve">3.</t>
  </si>
  <si>
    <t xml:space="preserve">Fees: 1% acquisition on lot, 6% development on construction, 3% leasing on rent ($180K/yr), 1% exit on sale.</t>
  </si>
  <si>
    <t xml:space="preserve">4.</t>
  </si>
  <si>
    <t xml:space="preserve">Legal ($25K/project) is a deal cost in closing, not in the Uplifters P&amp;L.</t>
  </si>
  <si>
    <t xml:space="preserve">5.</t>
  </si>
  <si>
    <t xml:space="preserve">SP Overhead is 10% of all fee revenue, capped at $150,000 per year, retained by Six Peak.</t>
  </si>
  <si>
    <t xml:space="preserve">6.</t>
  </si>
  <si>
    <t xml:space="preserve">Schuyler profit share (consultant, not an employee bonus): 40% on first 20 deals (Mo 10-24), 45% on next 20 (Mo 25-37), 50% on final 20 (Mo 38+). Paid on positive months only.</t>
  </si>
  <si>
    <t xml:space="preserve">7.</t>
  </si>
  <si>
    <t xml:space="preserve">Staffing: PM1 ($125K) Mo 11 (3 mo before first construction); PC ($90K) Mo 14 (after 4th acquisition); Accountant ($110K) Mo 19 (after 10th acquisition); PM2 ($125K) Mo 27 (at 24th acquisition).</t>
  </si>
  <si>
    <t xml:space="preserve">8.</t>
  </si>
  <si>
    <t xml:space="preserve">Other OpEx: Acctg/Audit/Tax ($40K/yr), Insurance ($20K/yr), Office ($2,500/mo), Computer ($24K/yr).</t>
  </si>
  <si>
    <t xml:space="preserve">9.</t>
  </si>
  <si>
    <t xml:space="preserve">Six Peak does NOT perform construction. All renovation contracted to third-party builders.</t>
  </si>
  <si>
    <t xml:space="preserve">10.</t>
  </si>
  <si>
    <t xml:space="preserve">Program: Apr 2027 (Mo 13) through Mar 2032. Revenue recognized as fees are earned.</t>
  </si>
  <si>
    <t xml:space="preserve">11.</t>
  </si>
  <si>
    <t xml:space="preserve">No debt will be used in the acquisition or development of the properties. All-equity structure.</t>
  </si>
  <si>
    <t xml:space="preserve">SP INTEGRATION ASSUMPTIONS</t>
  </si>
  <si>
    <t xml:space="preserve">SP Overhead Rate</t>
  </si>
  <si>
    <t xml:space="preserve">SP Overhead Annual Cap</t>
  </si>
  <si>
    <t xml:space="preserve">Schuyler Profit Share Rates</t>
  </si>
  <si>
    <t xml:space="preserve">40% (1-20) / 45% (21-40) / 50% (41-60)</t>
  </si>
  <si>
    <t xml:space="preserve">MONTHLY P&amp;L</t>
  </si>
  <si>
    <t xml:space="preserve">TREATMENT: Schuyler Dietz is engaged as a CONSULTANT. His 40/45/50% tiered participation is a</t>
  </si>
  <si>
    <t xml:space="preserve">   PROFIT SHARE on program net income, not an employee bonus. It is not W2 payroll and carries no</t>
  </si>
  <si>
    <t xml:space="preserve">   payroll burden. Personnel row 39 already flags him Consult% = 1, so he is excluded from the W2</t>
  </si>
  <si>
    <t xml:space="preserve">   basis (Helpers r4 / Model r111) and expensed via Model r186, 5500-1004 Consultants and Other</t>
  </si>
  <si>
    <t xml:space="preserve">   Professional Expenses. Relabelled 15 Aug 2026.</t>
  </si>
  <si>
    <t xml:space="preserve">Six Peak Capital - GC + Developer Deal Profitability (Net of Steyn Fees)</t>
  </si>
  <si>
    <t xml:space="preserve">  Revenue</t>
  </si>
  <si>
    <t xml:space="preserve">  Net to Six Peak</t>
  </si>
  <si>
    <t xml:space="preserve">  Cumulative Net</t>
  </si>
  <si>
    <t xml:space="preserve">  Steyn Fees</t>
  </si>
  <si>
    <t xml:space="preserve">ALL GC + DEVELOPER DEALS</t>
  </si>
  <si>
    <t xml:space="preserve">Total Net to Six Peak</t>
  </si>
  <si>
    <t xml:space="preserve">Total Cumulative Net</t>
  </si>
  <si>
    <t xml:space="preserve">First Month of Positive Net Income by Deal:</t>
  </si>
  <si>
    <t xml:space="preserve">  Crenshaw:</t>
  </si>
  <si>
    <t xml:space="preserve">  Ramsgate:</t>
  </si>
  <si>
    <t xml:space="preserve">  Klump:</t>
  </si>
  <si>
    <t xml:space="preserve">  Scott:</t>
  </si>
  <si>
    <t xml:space="preserve">  Francis:</t>
  </si>
  <si>
    <t xml:space="preserve">  Reseda:</t>
  </si>
  <si>
    <t xml:space="preserve">  3rd St:</t>
  </si>
  <si>
    <t xml:space="preserve">Beyond model period</t>
  </si>
  <si>
    <t xml:space="preserve">  All Deals Combined:</t>
  </si>
  <si>
    <t xml:space="preserve">Six Peak Capital - Sensitivity Analysis</t>
  </si>
  <si>
    <t xml:space="preserve">KEY ASSUMPTIONS (Change Yellow Cells for Analysis)</t>
  </si>
  <si>
    <t xml:space="preserve">Assumption</t>
  </si>
  <si>
    <t xml:space="preserve">Base Case</t>
  </si>
  <si>
    <t xml:space="preserve">Scenario</t>
  </si>
  <si>
    <t xml:space="preserve">Low</t>
  </si>
  <si>
    <t xml:space="preserve">High</t>
  </si>
  <si>
    <t xml:space="preserve">Unit</t>
  </si>
  <si>
    <t xml:space="preserve">GC Fee Rate (Supervision)</t>
  </si>
  <si>
    <t xml:space="preserve">%</t>
  </si>
  <si>
    <t xml:space="preserve">Each 1% ≈ $1.2M cumulative revenue impact</t>
  </si>
  <si>
    <t xml:space="preserve">GC-CM Fee Rate</t>
  </si>
  <si>
    <t xml:space="preserve">Admin Fee Rate</t>
  </si>
  <si>
    <t xml:space="preserve">Each 1% ≈ $400K cumulative revenue impact</t>
  </si>
  <si>
    <t xml:space="preserve">Annual Escalation Rate</t>
  </si>
  <si>
    <t xml:space="preserve">Impacts personnel costs &amp; revenue over time</t>
  </si>
  <si>
    <t xml:space="preserve">Bonding Revenue Rate</t>
  </si>
  <si>
    <t xml:space="preserve">One-time revenue at project start</t>
  </si>
  <si>
    <t xml:space="preserve">Tier 1 Bond Cost Rate</t>
  </si>
  <si>
    <t xml:space="preserve">Annual cost on bonded projects</t>
  </si>
  <si>
    <t xml:space="preserve">Tier 2 Bond Cost Rate</t>
  </si>
  <si>
    <t xml:space="preserve">Reseda/3rd St bonding costs</t>
  </si>
  <si>
    <t xml:space="preserve">Debt Facility Interest Rate</t>
  </si>
  <si>
    <t xml:space="preserve">PE debt at $1.6M starting balance</t>
  </si>
  <si>
    <t xml:space="preserve">Monthly Debt Payment</t>
  </si>
  <si>
    <t xml:space="preserve">$</t>
  </si>
  <si>
    <t xml:space="preserve">PE debt monthly payment</t>
  </si>
  <si>
    <t xml:space="preserve">PIK Accrual Rate</t>
  </si>
  <si>
    <t xml:space="preserve">Steyn investment capital return</t>
  </si>
  <si>
    <t xml:space="preserve">Steyn Completion Guaranty Rate</t>
  </si>
  <si>
    <t xml:space="preserve">1% of GMP for Steyn projects</t>
  </si>
  <si>
    <t xml:space="preserve">Steyn Liquidity Fee Rate</t>
  </si>
  <si>
    <t xml:space="preserve">3% of liquidity requirement</t>
  </si>
  <si>
    <t xml:space="preserve">GC Headcount Growth (New Hires)</t>
  </si>
  <si>
    <t xml:space="preserve">#</t>
  </si>
  <si>
    <t xml:space="preserve">Number of new hires over model period</t>
  </si>
  <si>
    <t xml:space="preserve">SP Monthly Operating Expenses</t>
  </si>
  <si>
    <t xml:space="preserve">Total SP monthly opex (rent+IT+etc.)</t>
  </si>
  <si>
    <t xml:space="preserve">PROJECT TOGGLE (Change to Yes/No on Projects Tab)</t>
  </si>
  <si>
    <t xml:space="preserve">GMP</t>
  </si>
  <si>
    <t xml:space="preserve">Steyn</t>
  </si>
  <si>
    <t xml:space="preserve">Dev</t>
  </si>
  <si>
    <t xml:space="preserve">8 mo</t>
  </si>
  <si>
    <t xml:space="preserve">16 mo</t>
  </si>
  <si>
    <t xml:space="preserve">3PGC</t>
  </si>
  <si>
    <t xml:space="preserve">15 mo</t>
  </si>
  <si>
    <t xml:space="preserve">19 mo</t>
  </si>
  <si>
    <t xml:space="preserve">24 mo</t>
  </si>
  <si>
    <t xml:space="preserve">30 mo</t>
  </si>
  <si>
    <t xml:space="preserve">ANNUAL RESULTS (Live from Model)</t>
  </si>
  <si>
    <t xml:space="preserve">Metric</t>
  </si>
  <si>
    <t xml:space="preserve">Total GC Revenue</t>
  </si>
  <si>
    <t xml:space="preserve">GC Profit Margin %</t>
  </si>
  <si>
    <t xml:space="preserve">Total Ending Cash</t>
  </si>
  <si>
    <t xml:space="preserve">PIK Outstanding</t>
  </si>
  <si>
    <t xml:space="preserve">GC REVENUE SENSITIVITY — Total Fee Revenue by Rate Combination</t>
  </si>
  <si>
    <t xml:space="preserve">Combined GMP: $251,968,791  |  Shows total fee revenue (Sup+GC+Admin) at different rate/overhead combos</t>
  </si>
  <si>
    <t xml:space="preserve">Total Fee Rate ↓  /  Overhead Rate →</t>
  </si>
  <si>
    <t xml:space="preserve">CASH POSITION ANALYSIS</t>
  </si>
  <si>
    <t xml:space="preserve">Entity</t>
  </si>
  <si>
    <t xml:space="preserve">Starting Cash</t>
  </si>
  <si>
    <t xml:space="preserve">FY 2027 Cash</t>
  </si>
  <si>
    <t xml:space="preserve">FY 2029 Cash</t>
  </si>
  <si>
    <t xml:space="preserve">FY 2031 Cash</t>
  </si>
  <si>
    <t xml:space="preserve">FY 2033 Cash</t>
  </si>
  <si>
    <t xml:space="preserve">LV (GC)</t>
  </si>
  <si>
    <t xml:space="preserve">Six Peak</t>
  </si>
  <si>
    <t xml:space="preserve">Consolidated</t>
  </si>
  <si>
    <t xml:space="preserve">STEYN GROUP — INVESTMENT &amp; FEE SUMMARY</t>
  </si>
  <si>
    <t xml:space="preserve">Completion Guaranty</t>
  </si>
  <si>
    <t xml:space="preserve">Liquidity Fee</t>
  </si>
  <si>
    <t xml:space="preserve">PIK Invested</t>
  </si>
  <si>
    <t xml:space="preserve">Total Steyn Fees</t>
  </si>
  <si>
    <t xml:space="preserve">LIHTC Payback</t>
  </si>
  <si>
    <t xml:space="preserve">Non-LIHTC — paid at start</t>
  </si>
  <si>
    <t xml:space="preserve">Quarterly from LIHTC rev</t>
  </si>
  <si>
    <t xml:space="preserve">Pending — no revenue yet</t>
  </si>
  <si>
    <t xml:space="preserve">TIER 2 BONDING SENSITIVITY — Reseda &amp; 3rd St</t>
  </si>
  <si>
    <t xml:space="preserve">Tier 2 Bonded GMP (Reseda + 3rd St)</t>
  </si>
  <si>
    <t xml:space="preserve">Current Tier 2 Rate</t>
  </si>
  <si>
    <t xml:space="preserve">Proposed Tier 2 Rate</t>
  </si>
  <si>
    <t xml:space="preserve">Current Cost (3.25%)</t>
  </si>
  <si>
    <t xml:space="preserve">Reduced Cost (1.50%)</t>
  </si>
  <si>
    <t xml:space="preserve">Annual Savings</t>
  </si>
  <si>
    <t xml:space="preserve">BONDING LIQUIDITY — 2.5% of Outstanding</t>
  </si>
  <si>
    <t xml:space="preserve">Assumes 2.5% liquidity required on total bonding outstanding. Tax distributions estimated at ~5% of GC NI.</t>
  </si>
  <si>
    <t xml:space="preserve">Bonding Outstanding (Year-End)</t>
  </si>
  <si>
    <t xml:space="preserve">2.5% Liquidity Requirement</t>
  </si>
  <si>
    <t xml:space="preserve">Total Ending Cash (Baseline)</t>
  </si>
  <si>
    <t xml:space="preserve">Est. Tax Distributions (~5% of GC NI)</t>
  </si>
  <si>
    <t xml:space="preserve">Cash After Tax Distributions</t>
  </si>
  <si>
    <t xml:space="preserve">Surplus / (Shortfall) vs Requirement</t>
  </si>
  <si>
    <t xml:space="preserve">HVN PIPELINE — ESTIMATED GC REVENUE (3 New Deals)</t>
  </si>
  <si>
    <t xml:space="preserve">Avg GMP (Califa/Whipple/Denny/Lexington/Acama)</t>
  </si>
  <si>
    <t xml:space="preserve">Effective GC Revenue Rate on GMP</t>
  </si>
  <si>
    <t xml:space="preserve">Revenue Per Deal (over project life)</t>
  </si>
  <si>
    <t xml:space="preserve">Number of New Deals (2 R2 + 1 R3)</t>
  </si>
  <si>
    <t xml:space="preserve">Total New Pipeline GMP (3 deals)</t>
  </si>
  <si>
    <t xml:space="preserve">Estimated Revenue Timeline (3 deals):</t>
  </si>
  <si>
    <t xml:space="preserve">2 Round 2 Deals (close ~Q3 FY27)</t>
  </si>
  <si>
    <t xml:space="preserve">1 Round 3 Deal (close ~Q1 FY28)</t>
  </si>
  <si>
    <t xml:space="preserve">Total New HVN Revenue</t>
  </si>
  <si>
    <t xml:space="preserve">FY28 revenue gap to breakeven: 1,225,136 → New pipeline covers 204%</t>
  </si>
  <si>
    <t xml:space="preserve">PREFERRED EQUITY (PIK) — PAYOFF &amp; STEYN RETURNS</t>
  </si>
  <si>
    <t xml:space="preserve">Reseda is the only active PIK investment. Capital accrues at 15%/yr (3.75% quarterly). Repaid from LIHTC revenue after Steyn fees.</t>
  </si>
  <si>
    <t xml:space="preserve">Amount</t>
  </si>
  <si>
    <t xml:space="preserve">Date / Month</t>
  </si>
  <si>
    <t xml:space="preserve">Reseda — Capital Invested</t>
  </si>
  <si>
    <t xml:space="preserve">Apr 2026 (Pre-model)</t>
  </si>
  <si>
    <t xml:space="preserve">Full amount deployed before model start</t>
  </si>
  <si>
    <t xml:space="preserve">Deal Distribution (Reseda)</t>
  </si>
  <si>
    <t xml:space="preserve">Apr 2027 (Mo 13)</t>
  </si>
  <si>
    <t xml:space="preserve">Returned at Reseda project start</t>
  </si>
  <si>
    <t xml:space="preserve">Remaining Balance (after dist)</t>
  </si>
  <si>
    <t xml:space="preserve">Apr 2027</t>
  </si>
  <si>
    <t xml:space="preserve">Reduced balance accrues interest</t>
  </si>
  <si>
    <t xml:space="preserve">PIK Fully Paid Off</t>
  </si>
  <si>
    <t xml:space="preserve">Apr 2030 (Mo 50)</t>
  </si>
  <si>
    <t xml:space="preserve">Repaid from LIHTC revenue after Steyn fees</t>
  </si>
  <si>
    <t xml:space="preserve">Total Interest Earned by Steyn</t>
  </si>
  <si>
    <t xml:space="preserve">Over 50 months</t>
  </si>
  <si>
    <t xml:space="preserve">15% annual accrual on outstanding balance</t>
  </si>
  <si>
    <t xml:space="preserve">Total Returned to Steyn</t>
  </si>
  <si>
    <t xml:space="preserve">By Apr 2030</t>
  </si>
  <si>
    <t xml:space="preserve">Principal + interest = 1.25x return</t>
  </si>
  <si>
    <t xml:space="preserve">Mo 1</t>
  </si>
  <si>
    <t xml:space="preserve">Mo 2</t>
  </si>
  <si>
    <t xml:space="preserve">Mo 3</t>
  </si>
  <si>
    <t xml:space="preserve">Mo 4</t>
  </si>
  <si>
    <t xml:space="preserve">Mo 5</t>
  </si>
  <si>
    <t xml:space="preserve">Mo 6</t>
  </si>
  <si>
    <t xml:space="preserve">Mo 7</t>
  </si>
  <si>
    <t xml:space="preserve">Mo 8</t>
  </si>
  <si>
    <t xml:space="preserve">Mo 9</t>
  </si>
  <si>
    <t xml:space="preserve">Mo 10</t>
  </si>
  <si>
    <t xml:space="preserve">Mo 11</t>
  </si>
  <si>
    <t xml:space="preserve">Mo 12</t>
  </si>
  <si>
    <t xml:space="preserve">Mo 13</t>
  </si>
  <si>
    <t xml:space="preserve">Mo 15</t>
  </si>
  <si>
    <t xml:space="preserve">Mo 16</t>
  </si>
  <si>
    <t xml:space="preserve">Mo 18</t>
  </si>
  <si>
    <t xml:space="preserve">Mo 19</t>
  </si>
  <si>
    <t xml:space="preserve">Mo 20</t>
  </si>
  <si>
    <t xml:space="preserve">Mo 21</t>
  </si>
  <si>
    <t xml:space="preserve">Mo 23</t>
  </si>
  <si>
    <t xml:space="preserve">Mo 24</t>
  </si>
  <si>
    <t xml:space="preserve">Mo 25</t>
  </si>
  <si>
    <t xml:space="preserve">Mo 26</t>
  </si>
  <si>
    <t xml:space="preserve">Mo 27</t>
  </si>
  <si>
    <t xml:space="preserve">Mo 28</t>
  </si>
  <si>
    <t xml:space="preserve">Mo 29</t>
  </si>
  <si>
    <t xml:space="preserve">Mo 31</t>
  </si>
  <si>
    <t xml:space="preserve">Mo 32</t>
  </si>
  <si>
    <t xml:space="preserve">Mo 33</t>
  </si>
  <si>
    <t xml:space="preserve">Mo 34</t>
  </si>
  <si>
    <t xml:space="preserve">Mo 35</t>
  </si>
  <si>
    <t xml:space="preserve">Mo 36</t>
  </si>
  <si>
    <t xml:space="preserve">Mo 37</t>
  </si>
  <si>
    <t xml:space="preserve">Mo 38</t>
  </si>
  <si>
    <t xml:space="preserve">Mo 39</t>
  </si>
  <si>
    <t xml:space="preserve">Mo 40</t>
  </si>
  <si>
    <t xml:space="preserve">Curve 1</t>
  </si>
  <si>
    <t xml:space="preserve">Curve 2</t>
  </si>
  <si>
    <t xml:space="preserve">Curve 3</t>
  </si>
  <si>
    <t xml:space="preserve">Renormalized (In-Place)</t>
  </si>
  <si>
    <t xml:space="preserve">Six Peak Capital - Model Assumptions</t>
  </si>
  <si>
    <t xml:space="preserve">GC Fee Structure</t>
  </si>
  <si>
    <t xml:space="preserve">Field Supervision Rate</t>
  </si>
  <si>
    <t xml:space="preserve">Project Admin Rate</t>
  </si>
  <si>
    <t xml:space="preserve">Total Fee Rate</t>
  </si>
  <si>
    <t xml:space="preserve">Effective Revenue Rate on GMP</t>
  </si>
  <si>
    <t xml:space="preserve">On-GMP rates set directly (overhead gross-up removed)</t>
  </si>
  <si>
    <t xml:space="preserve">Supervision Rate on GMP</t>
  </si>
  <si>
    <t xml:space="preserve">GC-CM Fee Rate on GMP</t>
  </si>
  <si>
    <t xml:space="preserve">Admin Rate on GMP</t>
  </si>
  <si>
    <t xml:space="preserve">Bonding</t>
  </si>
  <si>
    <t xml:space="preserve">Krueger CBI Premium Rate (Riverton actual 7/15/26)</t>
  </si>
  <si>
    <t xml:space="preserve">RETIRED 27-Sep-26: Krueger cash now on the Bonding Program tab (not referenced)</t>
  </si>
  <si>
    <t xml:space="preserve">Payroll Burden Rates</t>
  </si>
  <si>
    <t xml:space="preserve">Payroll Tax Rate</t>
  </si>
  <si>
    <t xml:space="preserve">Payroll Servicing Rate</t>
  </si>
  <si>
    <t xml:space="preserve">Employee Benefits Rate</t>
  </si>
  <si>
    <t xml:space="preserve">Workers Comp Rate</t>
  </si>
  <si>
    <t xml:space="preserve">Expense Escalation</t>
  </si>
  <si>
    <t xml:space="preserve">Annual Expense Escalation Rate</t>
  </si>
  <si>
    <t xml:space="preserve">Beginning Cash Balances</t>
  </si>
  <si>
    <t xml:space="preserve">LV (GC) Beginning Cash</t>
  </si>
  <si>
    <t xml:space="preserve">Six Peak Beginning Cash</t>
  </si>
  <si>
    <t xml:space="preserve">Debt Facility</t>
  </si>
  <si>
    <t xml:space="preserve">Debt Starting Balance (Apr 2026)</t>
  </si>
  <si>
    <t xml:space="preserve">Interest Rate (Annual)</t>
  </si>
  <si>
    <t xml:space="preserve">Quarterly Rate</t>
  </si>
  <si>
    <t xml:space="preserve">Monthly Payment Amount</t>
  </si>
  <si>
    <t xml:space="preserve">First Payment Month #</t>
  </si>
  <si>
    <t xml:space="preserve">(Month 7 = Oct 2026, paid off Dec 2027)</t>
  </si>
  <si>
    <t xml:space="preserve">Row Run Capital LLC</t>
  </si>
  <si>
    <t xml:space="preserve">Loan Amount</t>
  </si>
  <si>
    <t xml:space="preserve">Tranche Size (25%)</t>
  </si>
  <si>
    <t xml:space="preserve">Net Income Threshold</t>
  </si>
  <si>
    <t xml:space="preserve">(Payable only when annual consolidated NI &gt;= threshold)</t>
  </si>
  <si>
    <t xml:space="preserve">Steyn Group Guaranty</t>
  </si>
  <si>
    <t xml:space="preserve">Completion Guaranty Fee Rate</t>
  </si>
  <si>
    <t xml:space="preserve">Liquidity Guarantee Fee Rate</t>
  </si>
  <si>
    <t xml:space="preserve">Steyn Liquidity Requirements</t>
  </si>
  <si>
    <t xml:space="preserve">Project Investment Capital</t>
  </si>
  <si>
    <t xml:space="preserve">Accrual Rate (Annual)</t>
  </si>
  <si>
    <t xml:space="preserve">Quarterly Accrual Rate</t>
  </si>
  <si>
    <t xml:space="preserve">Klump - Capital Invested</t>
  </si>
  <si>
    <t xml:space="preserve">Scott - Capital Invested</t>
  </si>
  <si>
    <t xml:space="preserve">Reseda - Capital Invested</t>
  </si>
  <si>
    <t xml:space="preserve">3rd St - Capital Invested</t>
  </si>
  <si>
    <t xml:space="preserve">(Capital amounts TBD - enter when available)</t>
  </si>
  <si>
    <t xml:space="preserve">Monthly Fee Amount</t>
  </si>
  <si>
    <t xml:space="preserve">Last Active Month #</t>
  </si>
  <si>
    <t xml:space="preserve">PIK Detail Parameters</t>
  </si>
  <si>
    <t xml:space="preserve">Reseda - Initial PIK Balance</t>
  </si>
  <si>
    <t xml:space="preserve">Reseda - Monthly PIK Ramp</t>
  </si>
  <si>
    <t xml:space="preserve">Reseda - PIK Ramp Until Month</t>
  </si>
  <si>
    <t xml:space="preserve">3rd St - Initial PIK Balance</t>
  </si>
  <si>
    <t xml:space="preserve">3rd St - Final Tranche (draw base: 20/20/10/10/10/100%)</t>
  </si>
  <si>
    <t xml:space="preserve">HVN Commission Structure</t>
  </si>
  <si>
    <t xml:space="preserve">Number of HVN deals per year (informational)</t>
  </si>
  <si>
    <t xml:space="preserve">Tier</t>
  </si>
  <si>
    <t xml:space="preserve">Non-HVN BD Annual Billing &gt;=</t>
  </si>
  <si>
    <t xml:space="preserve">HVN Commission Rate</t>
  </si>
  <si>
    <t xml:space="preserve">Tier 0 (base)</t>
  </si>
  <si>
    <t xml:space="preserve">Tier 1</t>
  </si>
  <si>
    <t xml:space="preserve">Tier 2</t>
  </si>
  <si>
    <t xml:space="preserve">Tier 3</t>
  </si>
  <si>
    <t xml:space="preserve">(Thresholds measured by non-HVN BD annual billing; rate applied to that year's HVN GP)</t>
  </si>
  <si>
    <t xml:space="preserve">ALT-1 SCENARIO NOTES</t>
  </si>
  <si>
    <t xml:space="preserve">Built 14 Aug 2026 from 'Base Case (in-place) + HVN 3 (Dickens-Riverton-Moorpark)'.</t>
  </si>
  <si>
    <t xml:space="preserve">Month index: month 1 = Apr 2026. Projects!C is that index.</t>
  </si>
  <si>
    <t xml:space="preserve">Troost (Projects row 21, former BD-05 slot): GMP $15,189,509 from LV ROM 7/30/26.</t>
  </si>
  <si>
    <t xml:space="preserve">   Nov 2026 start treated as unbilled mobilisation; Projects!C=9 so first billing is Dec 2026.</t>
  </si>
  <si>
    <t xml:space="preserve">   Flagged HVN=Yes, so Tom earns the tiered HVN commission rate.</t>
  </si>
  <si>
    <t xml:space="preserve">   ROM total carries $223,464 of bonding inside it; Bonded set to No, bonding not modelled separately.</t>
  </si>
  <si>
    <t xml:space="preserve">Beverly (Projects row 20, BD-04 slot): GMP $25,026,331 from LV ROM 7/22/26.</t>
  </si>
  <si>
    <t xml:space="preserve">   Oct 2027 start treated as unbilled mobilisation; Projects!C=20 so first billing is Nov 2027.</t>
  </si>
  <si>
    <t xml:space="preserve">   Flagged HVN=No per direction, so Tom earns the standard 10% non-HVN commission.</t>
  </si>
  <si>
    <t xml:space="preserve">Klump and Scott switched Active=Yes, both moved to Projects!C=10 (Jan 2027).</t>
  </si>
  <si>
    <t xml:space="preserve">Model row 142 (BD Commission) restored to the BD Commission Detail engine with a $0 monthly floor.</t>
  </si>
  <si>
    <t xml:space="preserve">   It was hard-coded to 0 from Jun 2026 in all 11 June files. Circular by design; workbook has iterate=true.</t>
  </si>
  <si>
    <t xml:space="preserve">OPEN: no field staff added for the four newly-activated jobs. Personnel is a fixed roster,</t>
  </si>
  <si>
    <t xml:space="preserve">   so GC payroll does not scale with job count. Acama and Reseda each carry a named Sr Super.</t>
  </si>
  <si>
    <t xml:space="preserve">FIX: Model row 158 (Klump Guarantee Fee) was hardwired to column I (Aug 2026) with no month test,</t>
  </si>
  <si>
    <t xml:space="preserve">   so it booked $253,980 regardless of Klump's start month. Now month-tested against Projects!C11,</t>
  </si>
  <si>
    <t xml:space="preserve">   matching row 161 (Scott). Latent in all 11 June workbooks; only visible once the start crosses a FY.</t>
  </si>
  <si>
    <t xml:space="preserve">STAFFING: Personnel row 34 added - Project Coordinator on Brisa's profile, $90,000,</t>
  </si>
  <si>
    <t xml:space="preserve">   start month 10 (Jan 2027). Wired into Model r111 (payroll), Model r131 (15% recruiting</t>
  </si>
  <si>
    <t xml:space="preserve">   fee in the start month) and Helpers r4 (W2 basis, which drives taxes/benefits/WC/servicing).</t>
  </si>
  <si>
    <t xml:space="preserve">   Personnel row 28 'Placeholder Asst Super' left inactive and available for the Apr-Jul 2027 gap.</t>
  </si>
  <si>
    <t xml:space="preserve">FIX: Helpers rows 98/99 excluded bonding from the BD profit base only when 3rd St was</t>
  </si>
  <si>
    <t xml:space="preserve">   active and started. Apr-2027 monthly GP net of tier-2 bonding was -$3,384, so row 98</t>
  </si>
  <si>
    <t xml:space="preserve">   (BD fees / monthly GP) returned -54.3x and row 100 booked +$33.6m of phantom BD GP in</t>
  </si>
  <si>
    <t xml:space="preserve">   one month. Bonding is now excluded unconditionally, per BD Commission tab note row 19.</t>
  </si>
  <si>
    <t xml:space="preserve">   Analysis-only: Model row 142 draws on BD Commission Detail r53, so net income never moved.</t>
  </si>
  <si>
    <t xml:space="preserve">ALT-2: identical to ALT-1 except Uplifters!B2 = Yes (the single program switch,</t>
  </si>
  <si>
    <t xml:space="preserve">   feeding Model row 165 'Uplifters Total to SP' from Uplifters row 107).</t>
  </si>
  <si>
    <t xml:space="preserve">DEFECT FIXES APPLIED 14 Aug 2026 (see _START HERE open items):</t>
  </si>
  <si>
    <t xml:space="preserve">  r142 BD commission restored with a $0 monthly floor (was hardcoded 0 in the 4 HVN 3 files;</t>
  </si>
  <si>
    <t xml:space="preserve">       live but unfloored in the other 7, so negative months credited income).</t>
  </si>
  <si>
    <t xml:space="preserve">  r158 Klump guarantee fee month-tested (was pinned to Aug-26 regardless of start).</t>
  </si>
  <si>
    <t xml:space="preserve">  Appendix r15/r21 Steyn fees month-tested (were pinned to Aug-26 / Sep-26).</t>
  </si>
  <si>
    <t xml:space="preserve">  r155 12th &amp; Fir zeroed Apr-Jun 26 in every file, per Chris — nil actuals posted.</t>
  </si>
  <si>
    <t xml:space="preserve">  Helpers r98/r99 exclude bonding unconditionally (gate on 3rd St removed).</t>
  </si>
  <si>
    <t xml:space="preserve">  r105/r106 bonding now covers Projects rows 17-46, not just 6-16.</t>
  </si>
  <si>
    <t xml:space="preserve">  r258 added so bonded HVN deals appear in bonding outstanding.</t>
  </si>
  <si>
    <t xml:space="preserve">  NOT changed: Personnel does not scale with job count — LV BD scenarios stay optimistic.</t>
  </si>
  <si>
    <t xml:space="preserve">STAFFING ASSUMPTION (added 14 Aug 2026): two further senior superintendents, covering the</t>
  </si>
  <si>
    <t xml:space="preserve">   Troost start and the Klump/Scott pair rather than recycling crews through the Apr-Jul 2027 overlap:</t>
  </si>
  <si>
    <t xml:space="preserve">   Personnel row 46 Sr Super (Troost), $160,000, starts month 9 (Dec 2026, Troost's first billing month).</t>
  </si>
  <si>
    <t xml:space="preserve">   Personnel row 47 Sr Super (Klump/Scott), $160,000, starts month 10 (Jan 2027), covering both jobs.</t>
  </si>
  <si>
    <t xml:space="preserve">   Salary follows the named-project convention (Acama and Reseda Sr Supers, both $160,000).</t>
  </si>
  <si>
    <t xml:space="preserve">   Field roster adds now total 5 heads: 1 coordinator + 4 senior/assistant supers.</t>
  </si>
  <si>
    <t xml:space="preserve">   OPEN: both of these are modelling assumptions, not commitments. Troost could instead take the</t>
  </si>
  <si>
    <t xml:space="preserve">   Crenshaw crew (saves $160,000/yr but spends the April slack), and the Klump/Scott pair may need</t>
  </si>
  <si>
    <t xml:space="preserve">   two heads once both are framing. See 'ALT-2 Sequencing.html' for the full discussion list.</t>
  </si>
  <si>
    <t xml:space="preserve">Month</t>
  </si>
  <si>
    <t xml:space="preserve">Factor</t>
  </si>
  <si>
    <t xml:space="preserve">W2 Payroll Basis &amp; Bonding Calculations</t>
  </si>
  <si>
    <t xml:space="preserve">GC W2 Payroll Basis</t>
  </si>
  <si>
    <t xml:space="preserve">SP W2 Payroll Basis</t>
  </si>
  <si>
    <t xml:space="preserve">Bonding Outstanding by Project</t>
  </si>
  <si>
    <t xml:space="preserve">Steyn Fee Balance Tracking</t>
  </si>
  <si>
    <t xml:space="preserve">Francis Steyn - Beginning Balance</t>
  </si>
  <si>
    <t xml:space="preserve">Francis Steyn - Payment</t>
  </si>
  <si>
    <t xml:space="preserve">Francis Steyn - Ending Balance</t>
  </si>
  <si>
    <t xml:space="preserve">Reseda Steyn - Beginning Balance</t>
  </si>
  <si>
    <t xml:space="preserve">Reseda Steyn - Payment</t>
  </si>
  <si>
    <t xml:space="preserve">Reseda Steyn - Ending Balance</t>
  </si>
  <si>
    <t xml:space="preserve">3rd St Steyn</t>
  </si>
  <si>
    <t xml:space="preserve">Beg Balance</t>
  </si>
  <si>
    <t xml:space="preserve">Payment</t>
  </si>
  <si>
    <t xml:space="preserve">End Balance</t>
  </si>
  <si>
    <t xml:space="preserve">POST-MODEL LIHTC PROJECTIONS (10-Year Credit = 40 Quarters)</t>
  </si>
  <si>
    <t xml:space="preserve">Last Quarterly LIHTC Rate</t>
  </si>
  <si>
    <t xml:space="preserve">In-Model Quarterly Payments</t>
  </si>
  <si>
    <t xml:space="preserve">Remaining Quarters (Post-Model)</t>
  </si>
  <si>
    <t xml:space="preserve">Post-Model Total LIHTC Revenue</t>
  </si>
  <si>
    <t xml:space="preserve">3RD ST POST-MODEL PIK AMORTIZATION</t>
  </si>
  <si>
    <t xml:space="preserve">Quarter</t>
  </si>
  <si>
    <t xml:space="preserve">LIHTC Rev</t>
  </si>
  <si>
    <t xml:space="preserve">Steyn Bal</t>
  </si>
  <si>
    <t xml:space="preserve">Steyn Pmt</t>
  </si>
  <si>
    <t xml:space="preserve">PIK Bal</t>
  </si>
  <si>
    <t xml:space="preserve">PIK Interest</t>
  </si>
  <si>
    <t xml:space="preserve">PIK Pmt</t>
  </si>
  <si>
    <t xml:space="preserve">NOTE: two month-index conventions on this sheet. Rows 3-27: col C = month 1 (= Model col E).</t>
  </si>
  <si>
    <t xml:space="preserve">Rows 96-101: col C = month -2 (= Model col B). Check which block you are in before editing.</t>
  </si>
  <si>
    <t xml:space="preserve">BD MEMO ROWS  (moved from Model rows 203-207, 214)</t>
  </si>
  <si>
    <t xml:space="preserve">BD Construction Billing (memo)</t>
  </si>
  <si>
    <t xml:space="preserve">BD Revenue — CB + fees (memo)</t>
  </si>
  <si>
    <t xml:space="preserve">BD Share of fees (memo) = BD fees / GP excl. bonding program</t>
  </si>
  <si>
    <t xml:space="preserve">GC Gross Profit (memo) = GP excl. bonding program + SUM(R23:R53) + State Tax(55)</t>
  </si>
  <si>
    <t xml:space="preserve">BD Allocated GP (memo)</t>
  </si>
  <si>
    <t xml:space="preserve">HVN BD Construction Billing (memo)</t>
  </si>
  <si>
    <t xml:space="preserve">Project P&amp;L — Development Fee Income</t>
  </si>
  <si>
    <t xml:space="preserve">In-Model</t>
  </si>
  <si>
    <t xml:space="preserve">Post-Model</t>
  </si>
  <si>
    <t xml:space="preserve">Lifetime Total</t>
  </si>
  <si>
    <t xml:space="preserve">LIHTC Revenue</t>
  </si>
  <si>
    <t xml:space="preserve">GMP Fee (1%)</t>
  </si>
  <si>
    <t xml:space="preserve">Liquidity Guarantee Fee (3%)</t>
  </si>
  <si>
    <t xml:space="preserve">Net Income to Six Peak</t>
  </si>
  <si>
    <t xml:space="preserve">3rd Street</t>
  </si>
  <si>
    <t xml:space="preserve">COMBINED</t>
  </si>
  <si>
    <t xml:space="preserve">Total LIHTC Revenue</t>
  </si>
  <si>
    <t xml:space="preserve">Total GMP Fees</t>
  </si>
  <si>
    <t xml:space="preserve">Total Liquidity Fees</t>
  </si>
  <si>
    <t xml:space="preserve">Total PIK Interest</t>
  </si>
  <si>
    <t xml:space="preserve">Combined Net Income to Six Peak</t>
  </si>
  <si>
    <t xml:space="preserve">Interest Carry = Steyn balance accrual (GMP + Liquidity unpaid balance interest)</t>
  </si>
  <si>
    <t xml:space="preserve">PIK Interest = 15% annual (3.75% quarterly) on Project Investment Capital</t>
  </si>
  <si>
    <t xml:space="preserve">3rd St: 36 remaining quarterly LIHTC payments at $73,155; PIK balance of $570K fully repaid post-model</t>
  </si>
  <si>
    <t xml:space="preserve">Reseda: 28 remaining quarterly LIHTC payments at $81,362; PIK and Steyn fully repaid in-model</t>
  </si>
  <si>
    <t xml:space="preserve">Reseda: 28 post-model quarterly LIHTC payments at $81,362; PIK and Steyn fully repaid in-model</t>
  </si>
  <si>
    <t xml:space="preserve">BD COMMISSION — PER-DEAL ENGINE</t>
  </si>
  <si>
    <t xml:space="preserve">Advance rate (x GMP)</t>
  </si>
  <si>
    <t xml:space="preserve">Profit commission rate</t>
  </si>
  <si>
    <t xml:space="preserve">FY</t>
  </si>
  <si>
    <t xml:space="preserve">First m#</t>
  </si>
  <si>
    <t xml:space="preserve">Last m#</t>
  </si>
  <si>
    <t xml:space="preserve">BD Constr Billing</t>
  </si>
  <si>
    <t xml:space="preserve">HVN Billing</t>
  </si>
  <si>
    <t xml:space="preserve">Non-HVN Billing</t>
  </si>
  <si>
    <t xml:space="preserve">Total GC opex (rows23-55, incl BD comm + State Tax, +)</t>
  </si>
  <si>
    <t xml:space="preserve"># under construction</t>
  </si>
  <si>
    <t xml:space="preserve">Alloc cost / project</t>
  </si>
  <si>
    <t xml:space="preserve">Deal</t>
  </si>
  <si>
    <t xml:space="preserve">HVN</t>
  </si>
  <si>
    <t xml:space="preserve">Adv Month</t>
  </si>
  <si>
    <t xml:space="preserve">Tier Rate</t>
  </si>
  <si>
    <t xml:space="preserve">Life GP</t>
  </si>
  <si>
    <t xml:space="preserve">Life Alloc Cost</t>
  </si>
  <si>
    <t xml:space="preserve">Life NI</t>
  </si>
  <si>
    <t xml:space="preserve">Eff Rate</t>
  </si>
  <si>
    <t xml:space="preserve">Advance</t>
  </si>
  <si>
    <t xml:space="preserve">Earned (E)</t>
  </si>
  <si>
    <t xml:space="preserve">True-Up</t>
  </si>
  <si>
    <t xml:space="preserve">BD commission (positive) / month</t>
  </si>
  <si>
    <t xml:space="preserve">Beginning Retention</t>
  </si>
  <si>
    <t xml:space="preserve">Forecast Fee Revenue</t>
  </si>
  <si>
    <t xml:space="preserve">Retention @ 5%</t>
  </si>
  <si>
    <t xml:space="preserve">Total Retention</t>
  </si>
  <si>
    <t xml:space="preserve">Completion Month #</t>
  </si>
  <si>
    <t xml:space="preserve">Completion Date</t>
  </si>
  <si>
    <t xml:space="preserve">BD-01</t>
  </si>
  <si>
    <t xml:space="preserve">BD-02</t>
  </si>
  <si>
    <t xml:space="preserve">BD-03</t>
  </si>
  <si>
    <t xml:space="preserve">Adam Polk Architect LLP: Projection Assumptions</t>
  </si>
  <si>
    <t xml:space="preserve">Blue cells are inputs; black cells are calculated. Month 1 = Jul 2026.</t>
  </si>
  <si>
    <t xml:space="preserve">REVENUE</t>
  </si>
  <si>
    <t xml:space="preserve">Reseda: Permit/Bid/CD contract (reduced)</t>
  </si>
  <si>
    <t xml:space="preserve">Per Chris 7/3/26; billed evenly through Jan 2027</t>
  </si>
  <si>
    <t xml:space="preserve">Reseda: Permit/Bid/CD start month</t>
  </si>
  <si>
    <t xml:space="preserve">Reseda: Permit/Bid/CD months</t>
  </si>
  <si>
    <t xml:space="preserve">Jul 2026 - Jan 2027</t>
  </si>
  <si>
    <t xml:space="preserve">Reseda: Permit/Bid/CD monthly</t>
  </si>
  <si>
    <t xml:space="preserve">Calculated</t>
  </si>
  <si>
    <t xml:space="preserve">Reseda: Constr. Admin monthly</t>
  </si>
  <si>
    <t xml:space="preserve">Term Sheet 3.1(a)</t>
  </si>
  <si>
    <t xml:space="preserve">Reseda: Constr. Admin start month</t>
  </si>
  <si>
    <t xml:space="preserve">Mar 2027</t>
  </si>
  <si>
    <t xml:space="preserve">Reseda: Constr. Admin months</t>
  </si>
  <si>
    <t xml:space="preserve">Mar 2027 - Aug 2029</t>
  </si>
  <si>
    <t xml:space="preserve">Ramsgate: Constr. Admin monthly</t>
  </si>
  <si>
    <t xml:space="preserve">Term Sheet 3.1(b)</t>
  </si>
  <si>
    <t xml:space="preserve">Ramsgate: start month</t>
  </si>
  <si>
    <t xml:space="preserve">Ramsgate: months</t>
  </si>
  <si>
    <t xml:space="preserve">Aug 2026 - Oct 2027</t>
  </si>
  <si>
    <t xml:space="preserve">Francis: Constr. Admin monthly</t>
  </si>
  <si>
    <t xml:space="preserve">Term Sheet 3.1(c)</t>
  </si>
  <si>
    <t xml:space="preserve">Francis: start month</t>
  </si>
  <si>
    <t xml:space="preserve">Francis: months</t>
  </si>
  <si>
    <t xml:space="preserve">Aug 2026 - Jan 2029</t>
  </si>
  <si>
    <t xml:space="preserve">3rd Street: SD monthly</t>
  </si>
  <si>
    <t xml:space="preserve">Term Sheet 3.1(d); zero out if SD phase not billed</t>
  </si>
  <si>
    <t xml:space="preserve">3rd Street: SD start month</t>
  </si>
  <si>
    <t xml:space="preserve">3rd Street: SD contract cap</t>
  </si>
  <si>
    <t xml:space="preserve">Term Sheet 3.2(d)</t>
  </si>
  <si>
    <t xml:space="preserve">3rd Street: CD/Bid/Permit contract</t>
  </si>
  <si>
    <t xml:space="preserve">Per Chris 7/3/26</t>
  </si>
  <si>
    <t xml:space="preserve">3rd Street: CD/Bid/Permit start month</t>
  </si>
  <si>
    <t xml:space="preserve">Jan 2027</t>
  </si>
  <si>
    <t xml:space="preserve">3rd Street: CD/Bid/Permit months</t>
  </si>
  <si>
    <t xml:space="preserve">Jan 2027 - Dec 2027</t>
  </si>
  <si>
    <t xml:space="preserve">3rd Street: CD/Bid/Permit monthly</t>
  </si>
  <si>
    <t xml:space="preserve">3rd Street: Constr. Admin monthly</t>
  </si>
  <si>
    <t xml:space="preserve">3rd Street: Constr. Admin start month</t>
  </si>
  <si>
    <t xml:space="preserve">Apr 2028</t>
  </si>
  <si>
    <t xml:space="preserve">3rd Street: Constr. Admin months</t>
  </si>
  <si>
    <t xml:space="preserve">Runs past model end (Aug 2029); shown through model horizon only</t>
  </si>
  <si>
    <t xml:space="preserve">EXPENSES</t>
  </si>
  <si>
    <t xml:space="preserve">Partner draw (Adam Polk Architects, Inc.), monthly</t>
  </si>
  <si>
    <t xml:space="preserve">Term Sheet 2.1; paid to APA Inc., Adam's CA S corp</t>
  </si>
  <si>
    <t xml:space="preserve">Partner draw, monthly from increase</t>
  </si>
  <si>
    <t xml:space="preserve">$225,000 per year; adjusts when the 3rd St contract is signed</t>
  </si>
  <si>
    <t xml:space="preserve">Draw increase start month</t>
  </si>
  <si>
    <t xml:space="preserve">Linked to 3rd Street CD/Bid/Permit start (contract signing)</t>
  </si>
  <si>
    <t xml:space="preserve">Software, monthly</t>
  </si>
  <si>
    <t xml:space="preserve">Term Sheet 5.1(a)</t>
  </si>
  <si>
    <t xml:space="preserve">E&amp;O insurance, annual (paid Jul)</t>
  </si>
  <si>
    <t xml:space="preserve">Term Sheet 5.1(b)</t>
  </si>
  <si>
    <t xml:space="preserve">Startup reimbursement: APA Inc.</t>
  </si>
  <si>
    <t xml:space="preserve">Get-started costs, reimbursed Aug 2026</t>
  </si>
  <si>
    <t xml:space="preserve">Startup reimbursement: Six Peak</t>
  </si>
  <si>
    <t xml:space="preserve">Reimbursed Aug 2026</t>
  </si>
  <si>
    <t xml:space="preserve">Startup reimbursement month</t>
  </si>
  <si>
    <t xml:space="preserve">SIX PEAK RECOGNITION</t>
  </si>
  <si>
    <t xml:space="preserve">Reserve % of APA cash for post-2027 expenses</t>
  </si>
  <si>
    <t xml:space="preserve">Per Chris 9/1/26; funds the Six Peak share of the post-2027 expense tail</t>
  </si>
  <si>
    <t xml:space="preserve">Six Peak income start month #</t>
  </si>
  <si>
    <t xml:space="preserve">Model row 3 month #; 10 = Jan 2027, so no APA income in 2026</t>
  </si>
  <si>
    <t xml:space="preserve">Adam Polk Architect LLP: Cash Flow Projection (Jul 2026 - Aug 2029)</t>
  </si>
  <si>
    <t xml:space="preserve">Reseda: Permit / Bid / CD</t>
  </si>
  <si>
    <t xml:space="preserve">Reseda: Construction Admin</t>
  </si>
  <si>
    <t xml:space="preserve">Ramsgate: Construction Admin</t>
  </si>
  <si>
    <t xml:space="preserve">Francis: Construction Admin</t>
  </si>
  <si>
    <t xml:space="preserve">3rd Street: Schematic Design</t>
  </si>
  <si>
    <t xml:space="preserve">3rd Street: CD / Bid / Permit</t>
  </si>
  <si>
    <t xml:space="preserve">3rd Street: Construction Admin</t>
  </si>
  <si>
    <t xml:space="preserve">Total revenue</t>
  </si>
  <si>
    <t xml:space="preserve">Partner draw (APA Inc.)</t>
  </si>
  <si>
    <t xml:space="preserve">Software subscriptions</t>
  </si>
  <si>
    <t xml:space="preserve">E&amp;O insurance (annual)</t>
  </si>
  <si>
    <t xml:space="preserve">Startup reimbursements (APA + Six Peak)</t>
  </si>
  <si>
    <t xml:space="preserve">Total expenses</t>
  </si>
  <si>
    <t xml:space="preserve">Net cash flow</t>
  </si>
  <si>
    <t xml:space="preserve">Cumulative net cash flow</t>
  </si>
  <si>
    <t xml:space="preserve">SUMMARY (38 MONTHS)</t>
  </si>
  <si>
    <t xml:space="preserve">Net profit</t>
  </si>
  <si>
    <t xml:space="preserve">Six Peak share (50%)</t>
  </si>
  <si>
    <t xml:space="preserve">APA Inc. share (50%)</t>
  </si>
  <si>
    <t xml:space="preserve">APA Inc. total economics (draw + profit share)</t>
  </si>
  <si>
    <t xml:space="preserve">AGA separation payments are excluded from this projection and handled outside the company.</t>
  </si>
  <si>
    <t xml:space="preserve">Startup costs (APA Inc. $5,000; Six Peak $2,500) are reimbursed by the company in Aug 2026.</t>
  </si>
  <si>
    <t xml:space="preserve">Expenses fronted by Six Peak or APA Inc. are reimbursable by the company; profits split 50/50 after expenses.</t>
  </si>
  <si>
    <t xml:space="preserve">The APA Inc. draw adjusts to $225,000 per year ($18,750/mo) when the 3rd Street contract is signed (modeled Jan 2027).</t>
  </si>
  <si>
    <t xml:space="preserve">3rd Street construction admin (30 months from Apr 2028) runs past the model horizon; only months through Aug 2029 are shown.</t>
  </si>
  <si>
    <t xml:space="preserve">DEAL TERMS — drives Model rows 197 and 198. Set every input here, never in Model.</t>
  </si>
  <si>
    <t xml:space="preserve">LIHTC margin from Sep-26: 1 = reverse as it arises (27-Sep-26), 0 = at completion (26-Sep-26)</t>
  </si>
  <si>
    <t xml:space="preserve">Per Chris Aiello 2026-09-01; revised 2026-09-02 per Andresen. LIHTC = cost pass-through, LV earns only the 12.0391%. Shared = buyout savings split 50/50, recognised at the completion month in col G: LV share (col F) less the life margin accrued from Aug-26 (col I, auto). Jobs with G=0 keep the monthly strip until a completion month is set. Overruns 100% LV.</t>
  </si>
  <si>
    <t xml:space="preserve">Bonding is excluded from every true-up (27-Sep-26): bond-line cash is never owed back to an owner. See the Bonding Program tab.</t>
  </si>
  <si>
    <t xml:space="preserve">Model Row</t>
  </si>
  <si>
    <t xml:space="preserve">Fee Structure</t>
  </si>
  <si>
    <t xml:space="preserve">LIHTC flag</t>
  </si>
  <si>
    <t xml:space="preserve">Shared-savings flag</t>
  </si>
  <si>
    <t xml:space="preserve">LV Savings Share $ (superseded 26-Sep-26: see K x L)</t>
  </si>
  <si>
    <t xml:space="preserve">Recognition Month #</t>
  </si>
  <si>
    <t xml:space="preserve">Life Trade Margin from Sep-26 (auto, excludes bonding)</t>
  </si>
  <si>
    <t xml:space="preserve">Actual Buyout Savings thru 8/31/26 (LV Board Portal), less bond-line spread (27-Sep-26)</t>
  </si>
  <si>
    <t xml:space="preserve">Posted at completion (J, plus I when O1=0)</t>
  </si>
  <si>
    <t xml:space="preserve">Client Share of Savings %</t>
  </si>
  <si>
    <t xml:space="preserve">Shared savings 50/50</t>
  </si>
  <si>
    <t xml:space="preserve">Shared savings: client paid L% of cumulative savings (K) at Recognition Month</t>
  </si>
  <si>
    <t xml:space="preserve">LIHTC pass-through</t>
  </si>
  <si>
    <t xml:space="preserve">LIHTC: savings trued up at completion (Recognition Month = Retention completion month)</t>
  </si>
  <si>
    <t xml:space="preserve">n/a</t>
  </si>
  <si>
    <t xml:space="preserve">LIHTC CUMULATIVE TRADE MARGIN FROM SEP-26, FLOORED AT ZERO (drives Model row 197 when O1 = 1)</t>
  </si>
  <si>
    <t xml:space="preserve">Month # (Model row 3)</t>
  </si>
  <si>
    <t xml:space="preserve">Staffing Engine</t>
  </si>
  <si>
    <t xml:space="preserve">Hire slots are suppressed before August 2026 (month 5) — earlier months are closed and come from Actuals. Demand is derived from the Projects tab — Active, Start Month, End Month and Contract Value. Switch a job off and its crew disappears. Month 1 = April 2026.</t>
  </si>
  <si>
    <t xml:space="preserve">STAFFING RULES  (edit here, nowhere else)</t>
  </si>
  <si>
    <t xml:space="preserve">Superintendent per active job</t>
  </si>
  <si>
    <t xml:space="preserve">APM - large job</t>
  </si>
  <si>
    <t xml:space="preserve">APM - mid job</t>
  </si>
  <si>
    <t xml:space="preserve">APM - small job</t>
  </si>
  <si>
    <t xml:space="preserve">PM - large job  (Greg Smith carries 2)</t>
  </si>
  <si>
    <t xml:space="preserve">PM - mid job  (Pedro Rosales carries 5)</t>
  </si>
  <si>
    <t xml:space="preserve">PM - small job  (Dorian Puentes carries 2)</t>
  </si>
  <si>
    <t xml:space="preserve">Large job threshold (GMP $)</t>
  </si>
  <si>
    <t xml:space="preserve">Mid job threshold (GMP $)</t>
  </si>
  <si>
    <t xml:space="preserve">Superintendent lead (months before start)</t>
  </si>
  <si>
    <t xml:space="preserve">0 = the engine funds a super from the job start. Raise it to fund early hires.</t>
  </si>
  <si>
    <t xml:space="preserve">APM lead (months before start)</t>
  </si>
  <si>
    <t xml:space="preserve">PM lead (months before start)</t>
  </si>
  <si>
    <t xml:space="preserve">Demobilisation tail (months after end)</t>
  </si>
  <si>
    <t xml:space="preserve">Hire trigger tolerance</t>
  </si>
  <si>
    <t xml:space="preserve">Release window (months) - STRUCTURAL, see note</t>
  </si>
  <si>
    <t xml:space="preserve">hard-wired into the slot formulas; changing it needs a rebuild</t>
  </si>
  <si>
    <t xml:space="preserve">Severance (weeks)</t>
  </si>
  <si>
    <t xml:space="preserve">Placement fee (% of annual salary)</t>
  </si>
  <si>
    <t xml:space="preserve">Field engineer gate 1 (active jobs)</t>
  </si>
  <si>
    <t xml:space="preserve">Field engineer gate 2 (active jobs)</t>
  </si>
  <si>
    <t xml:space="preserve">ROLE RATES  (annual, today's dollars — escalation applied downstream)</t>
  </si>
  <si>
    <t xml:space="preserve">Asst Superintendent</t>
  </si>
  <si>
    <t xml:space="preserve">Field Engineer</t>
  </si>
  <si>
    <t xml:space="preserve">MONTHLY GRID</t>
  </si>
  <si>
    <t xml:space="preserve">DEMAND  (from the deal set)</t>
  </si>
  <si>
    <t xml:space="preserve">Active jobs</t>
  </si>
  <si>
    <t xml:space="preserve">Superintendents required (payroll, incl. lead time)</t>
  </si>
  <si>
    <t xml:space="preserve">APMs required</t>
  </si>
  <si>
    <t xml:space="preserve">PMs required</t>
  </si>
  <si>
    <t xml:space="preserve">SUPPLY  (named staff on the Personnel tab)</t>
  </si>
  <si>
    <t xml:space="preserve">Superintendents - named staff</t>
  </si>
  <si>
    <t xml:space="preserve">APMs - named staff</t>
  </si>
  <si>
    <t xml:space="preserve">PMs - named staff</t>
  </si>
  <si>
    <t xml:space="preserve">Field engineers - named staff</t>
  </si>
  <si>
    <t xml:space="preserve">HIRE SLOTS  (1 = filled that month)</t>
  </si>
  <si>
    <t xml:space="preserve">Superintendent slot 1</t>
  </si>
  <si>
    <t xml:space="preserve">Superintendent slot 2</t>
  </si>
  <si>
    <t xml:space="preserve">Superintendent slot 3</t>
  </si>
  <si>
    <t xml:space="preserve">Superintendent slot 4</t>
  </si>
  <si>
    <t xml:space="preserve">Superintendent slot 5</t>
  </si>
  <si>
    <t xml:space="preserve">Superintendent slot 6</t>
  </si>
  <si>
    <t xml:space="preserve">Superintendent slot 7</t>
  </si>
  <si>
    <t xml:space="preserve">Superintendent slot 8</t>
  </si>
  <si>
    <t xml:space="preserve">Superintendent slot 9</t>
  </si>
  <si>
    <t xml:space="preserve">Superintendent slot 10</t>
  </si>
  <si>
    <t xml:space="preserve">APM slot 1</t>
  </si>
  <si>
    <t xml:space="preserve">APM slot 2</t>
  </si>
  <si>
    <t xml:space="preserve">APM slot 3</t>
  </si>
  <si>
    <t xml:space="preserve">APM slot 4</t>
  </si>
  <si>
    <t xml:space="preserve">APM slot 5</t>
  </si>
  <si>
    <t xml:space="preserve">APM slot 6</t>
  </si>
  <si>
    <t xml:space="preserve">APM slot 7</t>
  </si>
  <si>
    <t xml:space="preserve">APM slot 8</t>
  </si>
  <si>
    <t xml:space="preserve">PM slot 1</t>
  </si>
  <si>
    <t xml:space="preserve">PM slot 2</t>
  </si>
  <si>
    <t xml:space="preserve">PM slot 3</t>
  </si>
  <si>
    <t xml:space="preserve">PM slot 4</t>
  </si>
  <si>
    <t xml:space="preserve">Field engineer slot 1</t>
  </si>
  <si>
    <t xml:space="preserve">Field engineer slot 2</t>
  </si>
  <si>
    <t xml:space="preserve">COST</t>
  </si>
  <si>
    <t xml:space="preserve">Slot payroll, monthly</t>
  </si>
  <si>
    <t xml:space="preserve">Placement fees</t>
  </si>
  <si>
    <t xml:space="preserve">Severance</t>
  </si>
  <si>
    <t xml:space="preserve">Total hire / exit cost</t>
  </si>
  <si>
    <t xml:space="preserve">CHECKS</t>
  </si>
  <si>
    <t xml:space="preserve">Superintendents - total supply</t>
  </si>
  <si>
    <t xml:space="preserve">Superintendent shortfall vs jobs (&gt;0 = a job with no super)</t>
  </si>
  <si>
    <t xml:space="preserve">Bench: supply less demand, all three roles</t>
  </si>
  <si>
    <t xml:space="preserve">ASST SUPERINTENDENT TIER  (added 18 Sep 2026)</t>
  </si>
  <si>
    <t xml:space="preserve">ASST - large job</t>
  </si>
  <si>
    <t xml:space="preserve">ASST - mid job</t>
  </si>
  <si>
    <t xml:space="preserve">ASST - small job</t>
  </si>
  <si>
    <t xml:space="preserve">Asst superintendents required</t>
  </si>
  <si>
    <t xml:space="preserve">Asst superintendents - named staff</t>
  </si>
  <si>
    <t xml:space="preserve">Asst superintendent slot 1</t>
  </si>
  <si>
    <t xml:space="preserve">Asst superintendent slot 2</t>
  </si>
  <si>
    <t xml:space="preserve">Asst superintendent slot 3</t>
  </si>
  <si>
    <t xml:space="preserve">Asst superintendent slot 4</t>
  </si>
  <si>
    <t xml:space="preserve">Asst superintendent slot 5</t>
  </si>
  <si>
    <t xml:space="preserve">Asst superintendent slot 6</t>
  </si>
  <si>
    <t xml:space="preserve">Wind-down taper - months before completion (PM and APM only)</t>
  </si>
  <si>
    <t xml:space="preserve">Wind-down crew factor (PM and APM only)</t>
  </si>
  <si>
    <t xml:space="preserve">Superintendents and assistant superintendents stay onsite to completion: no taper.</t>
  </si>
  <si>
    <t xml:space="preserve">BONDING PROGRAM: the one place bonding is calculated (built 27 Sep 2026, rule revised 30 Sep 2026)</t>
  </si>
  <si>
    <t xml:space="preserve">Bond line less CBI premium is LV revenue. Krueger cash (3.25% of GMP less the premium, after the equity cap) is a bonding expense. Blue cells on cream are inputs; notes below the table.</t>
  </si>
  <si>
    <t xml:space="preserve">PARAMETERS</t>
  </si>
  <si>
    <t xml:space="preserve">Bond line rate</t>
  </si>
  <si>
    <t xml:space="preserve">Billed on GMP less the bond line: amount = GMP x r / (1 + r)</t>
  </si>
  <si>
    <t xml:space="preserve">CBI premium rate</t>
  </si>
  <si>
    <t xml:space="preserve">Lexington actual: 95,034 / 12,993,776</t>
  </si>
  <si>
    <t xml:space="preserve">Program fee rate</t>
  </si>
  <si>
    <t xml:space="preserve">Krueger participant fee on GMP</t>
  </si>
  <si>
    <t xml:space="preserve">Krueger equity cap</t>
  </si>
  <si>
    <t xml:space="preserve">Class A equity: $18.0M valuation x 10%; reached at Francis</t>
  </si>
  <si>
    <t xml:space="preserve">Krueger cash owed, closed-month bonds</t>
  </si>
  <si>
    <t xml:space="preserve">Last closed month #</t>
  </si>
  <si>
    <t xml:space="preserve">Auto, from Model row 4 (Aug-26 = 5)</t>
  </si>
  <si>
    <t xml:space="preserve">Krueger cash accrued in ledger (in B/S payables)</t>
  </si>
  <si>
    <t xml:space="preserve">Krueger cash not yet in ledger</t>
  </si>
  <si>
    <t xml:space="preserve">Owed on closed-month bonds and not yet accrued in the ledger</t>
  </si>
  <si>
    <t xml:space="preserve">Krueger payout month # (input; Jan-27 = 10)</t>
  </si>
  <si>
    <t xml:space="preserve">Closing seq # (input)</t>
  </si>
  <si>
    <t xml:space="preserve">GMP override (input)</t>
  </si>
  <si>
    <t xml:space="preserve">GMP for bonding</t>
  </si>
  <si>
    <t xml:space="preserve">Bond month override (input)</t>
  </si>
  <si>
    <t xml:space="preserve">Bond month #</t>
  </si>
  <si>
    <t xml:space="preserve">Bond line rate override (input)</t>
  </si>
  <si>
    <t xml:space="preserve">Bond line, ledger actual</t>
  </si>
  <si>
    <t xml:space="preserve">Ledger month #</t>
  </si>
  <si>
    <t xml:space="preserve">CBI premium, ledger actual</t>
  </si>
  <si>
    <t xml:space="preserve">Program fee rate override (input)</t>
  </si>
  <si>
    <t xml:space="preserve">Krueger cash booked in ledger</t>
  </si>
  <si>
    <t xml:space="preserve">Retired 30 Sep (was equity-kept reclass; leave blank)</t>
  </si>
  <si>
    <t xml:space="preserve">Retired 30 Sep</t>
  </si>
  <si>
    <t xml:space="preserve">On</t>
  </si>
  <si>
    <t xml:space="preserve">Bond line</t>
  </si>
  <si>
    <t xml:space="preserve">CBI premium</t>
  </si>
  <si>
    <t xml:space="preserve">Program fee (GMP x rate)</t>
  </si>
  <si>
    <t xml:space="preserve">Krueger fee above premium</t>
  </si>
  <si>
    <t xml:space="preserve">Seq used</t>
  </si>
  <si>
    <t xml:space="preserve">Krueger equity-settled</t>
  </si>
  <si>
    <t xml:space="preserve">Krueger cash owed</t>
  </si>
  <si>
    <t xml:space="preserve">Net to LV (bond line - premium - Krueger cash)</t>
  </si>
  <si>
    <t xml:space="preserve">Bond line less premium (LV revenue)</t>
  </si>
  <si>
    <t xml:space="preserve">Krueger cash owed, not yet in ledger</t>
  </si>
  <si>
    <t xml:space="preserve">Bond line billed Dec-2025, before the model window. Krueger fee fully equity-settled.</t>
  </si>
  <si>
    <t xml:space="preserve">Bond line 2.00% billed Jul-26; CBI inv. 8/4. Cap reached here: $711,482 equity, rest cash.</t>
  </si>
  <si>
    <t xml:space="preserve">Bond line billed Aug-26; CBI paid 8/28. Post-cap: Krueger fee all cash.</t>
  </si>
  <si>
    <t xml:space="preserve">Bond line billed Jul-26; premium in July job cost. Krueger fee fully equity-settled.</t>
  </si>
  <si>
    <t xml:space="preserve">Forecast: bond line 1.5% of (GMP - bond line); premium at the Lexington actual rate; Krueger all cash.</t>
  </si>
  <si>
    <t xml:space="preserve">Check</t>
  </si>
  <si>
    <t xml:space="preserve">Krueger equity-settled total is within the cap</t>
  </si>
  <si>
    <t xml:space="preserve">Model row 150 (bond line memo) equals this tab for bond months inside the model window</t>
  </si>
  <si>
    <t xml:space="preserve">HOW IT FLOWS</t>
  </si>
  <si>
    <t xml:space="preserve">Model rows 106-149 (memo, not in Gross Profit): the bond line in its bond month. It is already inside trade billing, so it is shown for the board only.</t>
  </si>
  <si>
    <t xml:space="preserve">Model rows 152-195 -&gt; row 196 (in Gross Profit). Forecast bonds: bond line less premium less Krueger cash, in the bond month. Closed-month bonds: the ledger already has the bond line and premium; the row adds only the Krueger cash, in the month it is accrued (col P, else the last closed month), less whatever the ledger accrued (col O). Once accrued, closed months net to zero.</t>
  </si>
  <si>
    <t xml:space="preserve">Model row 358 (cash): J358 = 8/31 B/S payables with the Krueger accrual taken out (H8), so it is not paid in September; the payout month (H9) pays all Krueger cash owed on closed-month bonds (H7). When the cash build rolls, keep the +H8 term.</t>
  </si>
  <si>
    <t xml:space="preserve">Deal Terms: the LIHTC true-up excludes bonding. Bond-line cash is never owed back to an owner (Chris, 30 Sep).</t>
  </si>
  <si>
    <t xml:space="preserve">Direct bonding: to model a direct CBI program on a future job, set its Program fee rate override (col N) to the all-in direct rate. The Krueger fee column then carries only the rate above the premium.</t>
  </si>
  <si>
    <t xml:space="preserve">The rule (Chris Aiello, 30 Sep 2026; supersedes 27 Sep): bond line less CBI premium is LV revenue. Krueger's fee is 3.25% x GMP less the premium, settled in SPC equity in closing order to the $1.8M cap (a profits interest: no P&amp;L), then cash, a bonding expense. Krueger cash is held and paid January 2027. The 27 Sep equity reclass is eliminated.</t>
  </si>
</sst>
</file>

<file path=xl/styles.xml><?xml version="1.0" encoding="utf-8"?>
<styleSheet xmlns="http://schemas.openxmlformats.org/spreadsheetml/2006/main">
  <numFmts count="32">
    <numFmt numFmtId="164" formatCode="General"/>
    <numFmt numFmtId="165" formatCode="mmm\-yy"/>
    <numFmt numFmtId="166" formatCode="0"/>
    <numFmt numFmtId="167" formatCode="_(\$* #,##0_);[RED]_(\$* \(#,##0\);_(\$* \-_?_?_);_(@_)"/>
    <numFmt numFmtId="168" formatCode="0.0%;[RED]\(0.0%\);\-"/>
    <numFmt numFmtId="169" formatCode="#,##0;[RED]\(#,##0\);\-"/>
    <numFmt numFmtId="170" formatCode="_(\$* #,##0_);[RED]_(\$* \(#,##0\);_(\$* \-_);_(@_)"/>
    <numFmt numFmtId="171" formatCode="mmm\ yyyy"/>
    <numFmt numFmtId="172" formatCode="_(\$* #,##0_);_(\$* \(#,##0\);_(\$* \-??_);_(@_)"/>
    <numFmt numFmtId="173" formatCode="\$#,##0;&quot;($&quot;#,##0\);\-"/>
    <numFmt numFmtId="174" formatCode="General"/>
    <numFmt numFmtId="175" formatCode="_(\$* #,##0.00_);_(\$* \(#,##0.00\);_(\$* \-??_);_(@_)"/>
    <numFmt numFmtId="176" formatCode="0.0%"/>
    <numFmt numFmtId="177" formatCode="_(\$* #,##0_);_(\$* \(#,##0\);_(\$* \-_);_(@_)"/>
    <numFmt numFmtId="178" formatCode="0.0%;\(0.0%\);\-"/>
    <numFmt numFmtId="179" formatCode="0%"/>
    <numFmt numFmtId="180" formatCode="0.00%"/>
    <numFmt numFmtId="181" formatCode="0.0000%"/>
    <numFmt numFmtId="182" formatCode="\$#,##0"/>
    <numFmt numFmtId="183" formatCode="mmm\-yyyy"/>
    <numFmt numFmtId="184" formatCode="#,##0.0,,;\(#,##0.0,,\);&quot;&quot;"/>
    <numFmt numFmtId="185" formatCode="0;;&quot;&quot;"/>
    <numFmt numFmtId="186" formatCode="0.0%;[RED]\(0.0%\)"/>
    <numFmt numFmtId="187" formatCode="0.00\x"/>
    <numFmt numFmtId="188" formatCode="#,##0;[RED]\-#,##0;\✓"/>
    <numFmt numFmtId="189" formatCode="#,##0"/>
    <numFmt numFmtId="190" formatCode="#,##0.00"/>
    <numFmt numFmtId="191" formatCode="0.0000"/>
    <numFmt numFmtId="192" formatCode="[$$-409]#,##0.00;[RED]\-[$$-409]#,##0.00"/>
    <numFmt numFmtId="193" formatCode="#,##0;\(#,##0\);\-"/>
    <numFmt numFmtId="194" formatCode="0.00"/>
    <numFmt numFmtId="195" formatCode="0;;\-"/>
  </numFmts>
  <fonts count="56">
    <font>
      <sz val="10"/>
      <color theme="1"/>
      <name val="Aptos"/>
      <family val="2"/>
      <charset val="1"/>
    </font>
    <font>
      <sz val="10"/>
      <name val="Arial"/>
      <family val="0"/>
    </font>
    <font>
      <sz val="10"/>
      <name val="Arial"/>
      <family val="0"/>
    </font>
    <font>
      <sz val="10"/>
      <name val="Arial"/>
      <family val="0"/>
    </font>
    <font>
      <b val="true"/>
      <sz val="10"/>
      <color rgb="FF0B1833"/>
      <name val="Aptos"/>
      <family val="2"/>
      <charset val="1"/>
    </font>
    <font>
      <b val="true"/>
      <sz val="10"/>
      <color rgb="FFF8FAFC"/>
      <name val="Aptos"/>
      <family val="2"/>
      <charset val="1"/>
    </font>
    <font>
      <sz val="10"/>
      <color rgb="FF2C3A51"/>
      <name val="Aptos"/>
      <family val="2"/>
      <charset val="1"/>
    </font>
    <font>
      <sz val="10"/>
      <color rgb="FF000000"/>
      <name val="Aptos"/>
      <family val="2"/>
      <charset val="1"/>
    </font>
    <font>
      <b val="true"/>
      <i val="true"/>
      <sz val="10"/>
      <color rgb="FF2C3A51"/>
      <name val="Aptos"/>
      <family val="1"/>
      <charset val="1"/>
    </font>
    <font>
      <b val="true"/>
      <sz val="10"/>
      <color rgb="FFC4581A"/>
      <name val="Aptos"/>
      <family val="2"/>
      <charset val="1"/>
    </font>
    <font>
      <b val="true"/>
      <sz val="10"/>
      <color rgb="FF000000"/>
      <name val="Aptos"/>
      <family val="2"/>
      <charset val="1"/>
    </font>
    <font>
      <i val="true"/>
      <sz val="10"/>
      <color rgb="FF000000"/>
      <name val="Aptos"/>
      <family val="2"/>
      <charset val="1"/>
    </font>
    <font>
      <i val="true"/>
      <sz val="10"/>
      <color rgb="FFBFC7DA"/>
      <name val="Aptos"/>
      <family val="2"/>
      <charset val="1"/>
    </font>
    <font>
      <sz val="10"/>
      <color rgb="FFF8FAFC"/>
      <name val="Aptos"/>
      <family val="2"/>
      <charset val="1"/>
    </font>
    <font>
      <b val="true"/>
      <i val="true"/>
      <sz val="10"/>
      <color rgb="FFF8FAFC"/>
      <name val="Aptos"/>
      <family val="2"/>
      <charset val="1"/>
    </font>
    <font>
      <b val="true"/>
      <i val="true"/>
      <sz val="10"/>
      <color rgb="FFC4581A"/>
      <name val="Aptos"/>
      <family val="2"/>
      <charset val="1"/>
    </font>
    <font>
      <b val="true"/>
      <i val="true"/>
      <sz val="10"/>
      <color rgb="FF000000"/>
      <name val="Aptos"/>
      <family val="2"/>
      <charset val="1"/>
    </font>
    <font>
      <sz val="10"/>
      <name val="Aptos"/>
      <family val="2"/>
      <charset val="1"/>
    </font>
    <font>
      <b val="true"/>
      <sz val="10"/>
      <name val="Aptos"/>
      <family val="2"/>
      <charset val="1"/>
    </font>
    <font>
      <i val="true"/>
      <sz val="10"/>
      <color rgb="FF475569"/>
      <name val="Aptos"/>
      <family val="2"/>
      <charset val="1"/>
    </font>
    <font>
      <i val="true"/>
      <sz val="10"/>
      <color rgb="FF666666"/>
      <name val="Aptos"/>
      <family val="2"/>
      <charset val="1"/>
    </font>
    <font>
      <sz val="10"/>
      <color rgb="FF666666"/>
      <name val="Aptos"/>
      <family val="2"/>
      <charset val="1"/>
    </font>
    <font>
      <sz val="10"/>
      <color rgb="FF0000FF"/>
      <name val="Aptos"/>
      <family val="0"/>
      <charset val="1"/>
    </font>
    <font>
      <b val="true"/>
      <sz val="10"/>
      <color rgb="FF0B1833"/>
      <name val="Aptos"/>
      <family val="0"/>
      <charset val="1"/>
    </font>
    <font>
      <sz val="10"/>
      <name val="Arial"/>
      <family val="2"/>
    </font>
    <font>
      <b val="true"/>
      <sz val="10"/>
      <color rgb="FFFFFFFF"/>
      <name val="Aptos"/>
      <family val="2"/>
      <charset val="1"/>
    </font>
    <font>
      <b val="true"/>
      <sz val="10"/>
      <color rgb="FFFF0000"/>
      <name val="Aptos"/>
      <family val="2"/>
      <charset val="1"/>
    </font>
    <font>
      <sz val="10"/>
      <color rgb="FFFF0000"/>
      <name val="Aptos"/>
      <family val="2"/>
      <charset val="1"/>
    </font>
    <font>
      <sz val="10"/>
      <color rgb="FF475569"/>
      <name val="Aptos"/>
      <family val="2"/>
      <charset val="1"/>
    </font>
    <font>
      <sz val="10"/>
      <color rgb="FF0000FF"/>
      <name val="Aptos"/>
      <family val="2"/>
      <charset val="1"/>
    </font>
    <font>
      <i val="true"/>
      <sz val="10"/>
      <color rgb="FFC4581A"/>
      <name val="Aptos"/>
      <family val="2"/>
      <charset val="1"/>
    </font>
    <font>
      <sz val="10"/>
      <color rgb="FF2D2D2D"/>
      <name val="Aptos"/>
      <family val="0"/>
      <charset val="1"/>
    </font>
    <font>
      <b val="true"/>
      <sz val="10"/>
      <color rgb="FF2D2D2D"/>
      <name val="Aptos"/>
      <family val="0"/>
      <charset val="1"/>
    </font>
    <font>
      <sz val="10"/>
      <color rgb="FF008000"/>
      <name val="Aptos"/>
      <family val="2"/>
      <charset val="1"/>
    </font>
    <font>
      <b val="true"/>
      <sz val="10"/>
      <color rgb="FFFFFFFF"/>
      <name val="Aptos"/>
      <family val="0"/>
      <charset val="1"/>
    </font>
    <font>
      <sz val="10"/>
      <color rgb="FF0B1833"/>
      <name val="Aptos"/>
      <family val="2"/>
      <charset val="1"/>
    </font>
    <font>
      <b val="true"/>
      <sz val="10"/>
      <color rgb="FF475569"/>
      <name val="Aptos"/>
      <family val="0"/>
      <charset val="1"/>
    </font>
    <font>
      <sz val="10"/>
      <color rgb="FF0B1833"/>
      <name val="Aptos"/>
      <family val="0"/>
      <charset val="1"/>
    </font>
    <font>
      <b val="true"/>
      <sz val="12"/>
      <color rgb="FF0B1833"/>
      <name val="Aptos"/>
      <family val="0"/>
      <charset val="1"/>
    </font>
    <font>
      <sz val="9"/>
      <color rgb="FF666666"/>
      <name val="Aptos"/>
      <family val="0"/>
      <charset val="1"/>
    </font>
    <font>
      <b val="true"/>
      <sz val="9"/>
      <color rgb="FF666666"/>
      <name val="Aptos"/>
      <family val="0"/>
      <charset val="1"/>
    </font>
    <font>
      <sz val="9"/>
      <color rgb="FFC4581A"/>
      <name val="Aptos"/>
      <family val="0"/>
      <charset val="1"/>
    </font>
    <font>
      <b val="true"/>
      <sz val="10"/>
      <color rgb="FF1F3864"/>
      <name val="Aptos"/>
      <family val="2"/>
      <charset val="1"/>
    </font>
    <font>
      <i val="true"/>
      <sz val="10"/>
      <name val="Aptos"/>
      <family val="2"/>
      <charset val="1"/>
    </font>
    <font>
      <sz val="10"/>
      <color rgb="FF717F4B"/>
      <name val="Aptos"/>
      <family val="2"/>
      <charset val="1"/>
    </font>
    <font>
      <sz val="10"/>
      <color rgb="FFEF4444"/>
      <name val="Aptos"/>
      <family val="2"/>
      <charset val="1"/>
    </font>
    <font>
      <i val="true"/>
      <sz val="10"/>
      <color rgb="FF999999"/>
      <name val="Aptos"/>
      <family val="2"/>
      <charset val="1"/>
    </font>
    <font>
      <sz val="10"/>
      <color rgb="FF333333"/>
      <name val="Aptos"/>
      <family val="2"/>
      <charset val="1"/>
    </font>
    <font>
      <b val="true"/>
      <sz val="10"/>
      <color rgb="FF666666"/>
      <name val="Aptos"/>
      <family val="2"/>
      <charset val="1"/>
    </font>
    <font>
      <sz val="10"/>
      <color rgb="FF888888"/>
      <name val="Aptos"/>
      <family val="2"/>
      <charset val="1"/>
    </font>
    <font>
      <sz val="11"/>
      <color rgb="FF0000FF"/>
      <name val="Cambria"/>
      <family val="0"/>
      <charset val="1"/>
    </font>
    <font>
      <sz val="9"/>
      <color rgb="FF475569"/>
      <name val="Aptos"/>
      <family val="0"/>
      <charset val="1"/>
    </font>
    <font>
      <b val="true"/>
      <sz val="10"/>
      <color rgb="FFC4581A"/>
      <name val="Aptos"/>
      <family val="0"/>
      <charset val="1"/>
    </font>
    <font>
      <b val="true"/>
      <sz val="11"/>
      <name val="Cambria"/>
      <family val="0"/>
      <charset val="1"/>
    </font>
    <font>
      <b val="true"/>
      <sz val="9"/>
      <color rgb="FF475569"/>
      <name val="Aptos"/>
      <family val="0"/>
      <charset val="1"/>
    </font>
    <font>
      <b val="true"/>
      <sz val="10"/>
      <color rgb="FF2E7D32"/>
      <name val="Aptos"/>
      <family val="0"/>
      <charset val="1"/>
    </font>
  </fonts>
  <fills count="34">
    <fill>
      <patternFill patternType="none"/>
    </fill>
    <fill>
      <patternFill patternType="gray125"/>
    </fill>
    <fill>
      <patternFill patternType="solid">
        <fgColor rgb="FFF8FAFC"/>
        <bgColor rgb="FFF5F5F5"/>
      </patternFill>
    </fill>
    <fill>
      <patternFill patternType="solid">
        <fgColor rgb="FF0B1833"/>
        <bgColor rgb="FF1E2C44"/>
      </patternFill>
    </fill>
    <fill>
      <patternFill patternType="solid">
        <fgColor rgb="FF2C3A51"/>
        <bgColor rgb="FF1F3864"/>
      </patternFill>
    </fill>
    <fill>
      <patternFill patternType="solid">
        <fgColor rgb="FFE8ECF1"/>
        <bgColor rgb="FFE8ECF2"/>
      </patternFill>
    </fill>
    <fill>
      <patternFill patternType="solid">
        <fgColor rgb="FFFBE9E0"/>
        <bgColor rgb="FFFCE4D6"/>
      </patternFill>
    </fill>
    <fill>
      <patternFill patternType="solid">
        <fgColor rgb="FFFFFFFF"/>
        <bgColor rgb="FFF8FAFC"/>
      </patternFill>
    </fill>
    <fill>
      <patternFill patternType="solid">
        <fgColor rgb="FFDDE3ED"/>
        <bgColor rgb="FFDCE6F1"/>
      </patternFill>
    </fill>
    <fill>
      <patternFill patternType="solid">
        <fgColor rgb="FFE3E8F0"/>
        <bgColor rgb="FFE2E7F0"/>
      </patternFill>
    </fill>
    <fill>
      <patternFill patternType="solid">
        <fgColor rgb="FFC4581A"/>
        <bgColor rgb="FFEF4444"/>
      </patternFill>
    </fill>
    <fill>
      <patternFill patternType="solid">
        <fgColor rgb="FFE2E7F0"/>
        <bgColor rgb="FFE3E8F0"/>
      </patternFill>
    </fill>
    <fill>
      <patternFill patternType="solid">
        <fgColor rgb="FFEAEDF2"/>
        <bgColor rgb="FFE8ECF2"/>
      </patternFill>
    </fill>
    <fill>
      <patternFill patternType="solid">
        <fgColor rgb="FFF5F5F5"/>
        <bgColor rgb="FFF2F2F2"/>
      </patternFill>
    </fill>
    <fill>
      <patternFill patternType="solid">
        <fgColor rgb="FFF1E4DB"/>
        <bgColor rgb="FFFCE4D6"/>
      </patternFill>
    </fill>
    <fill>
      <patternFill patternType="solid">
        <fgColor rgb="FF1E2C44"/>
        <bgColor rgb="FF2D2D2D"/>
      </patternFill>
    </fill>
    <fill>
      <patternFill patternType="solid">
        <fgColor rgb="FFD6DCE4"/>
        <bgColor rgb="FFE0E0E0"/>
      </patternFill>
    </fill>
    <fill>
      <patternFill patternType="solid">
        <fgColor rgb="FFDCE6F1"/>
        <bgColor rgb="FFDDE3ED"/>
      </patternFill>
    </fill>
    <fill>
      <patternFill patternType="solid">
        <fgColor rgb="FFFCE4D6"/>
        <bgColor rgb="FFFBE9E0"/>
      </patternFill>
    </fill>
    <fill>
      <patternFill patternType="solid">
        <fgColor rgb="FF4A8B8C"/>
        <bgColor rgb="FF5E7B9B"/>
      </patternFill>
    </fill>
    <fill>
      <patternFill patternType="solid">
        <fgColor rgb="FF7B9464"/>
        <bgColor rgb="FF888888"/>
      </patternFill>
    </fill>
    <fill>
      <patternFill patternType="solid">
        <fgColor rgb="FFE2EFDA"/>
        <bgColor rgb="FFD4EDDA"/>
      </patternFill>
    </fill>
    <fill>
      <patternFill patternType="solid">
        <fgColor rgb="FF5E7B9B"/>
        <bgColor rgb="FF4A8B8C"/>
      </patternFill>
    </fill>
    <fill>
      <patternFill patternType="solid">
        <fgColor rgb="FFF2F2F2"/>
        <bgColor rgb="FFF5F5F5"/>
      </patternFill>
    </fill>
    <fill>
      <patternFill patternType="solid">
        <fgColor rgb="FF8EA3BE"/>
        <bgColor rgb="FF999999"/>
      </patternFill>
    </fill>
    <fill>
      <patternFill patternType="solid">
        <fgColor rgb="FFFDEBD0"/>
        <bgColor rgb="FFFBE9E0"/>
      </patternFill>
    </fill>
    <fill>
      <patternFill patternType="solid">
        <fgColor rgb="FF2E75B6"/>
        <bgColor rgb="FF4A8B8C"/>
      </patternFill>
    </fill>
    <fill>
      <patternFill patternType="solid">
        <fgColor rgb="FFD6E4F0"/>
        <bgColor rgb="FFDCE6F1"/>
      </patternFill>
    </fill>
    <fill>
      <patternFill patternType="solid">
        <fgColor rgb="FFFFF2CC"/>
        <bgColor rgb="FFFDEBD0"/>
      </patternFill>
    </fill>
    <fill>
      <patternFill patternType="solid">
        <fgColor rgb="FF1F3864"/>
        <bgColor rgb="FF17375E"/>
      </patternFill>
    </fill>
    <fill>
      <patternFill patternType="solid">
        <fgColor rgb="FF548235"/>
        <bgColor rgb="FF717F4B"/>
      </patternFill>
    </fill>
    <fill>
      <patternFill patternType="solid">
        <fgColor rgb="FF404040"/>
        <bgColor rgb="FF333333"/>
      </patternFill>
    </fill>
    <fill>
      <patternFill patternType="solid">
        <fgColor rgb="FFFFF8E1"/>
        <bgColor rgb="FFFFF2CC"/>
      </patternFill>
    </fill>
    <fill>
      <patternFill patternType="solid">
        <fgColor rgb="FFE8ECF2"/>
        <bgColor rgb="FFE8ECF1"/>
      </patternFill>
    </fill>
  </fills>
  <borders count="15">
    <border diagonalUp="false" diagonalDown="false">
      <left/>
      <right/>
      <top/>
      <bottom/>
      <diagonal/>
    </border>
    <border diagonalUp="false" diagonalDown="false">
      <left/>
      <right/>
      <top style="medium">
        <color rgb="FF2C3A51"/>
      </top>
      <bottom style="medium">
        <color rgb="FF2C3A51"/>
      </bottom>
      <diagonal/>
    </border>
    <border diagonalUp="false" diagonalDown="false">
      <left/>
      <right/>
      <top/>
      <bottom style="thin"/>
      <diagonal/>
    </border>
    <border diagonalUp="false" diagonalDown="false">
      <left/>
      <right/>
      <top style="thin"/>
      <bottom style="thin"/>
      <diagonal/>
    </border>
    <border diagonalUp="false" diagonalDown="false">
      <left/>
      <right/>
      <top style="thick"/>
      <bottom/>
      <diagonal/>
    </border>
    <border diagonalUp="false" diagonalDown="false">
      <left/>
      <right/>
      <top/>
      <bottom style="medium">
        <color rgb="FF2C3A51"/>
      </bottom>
      <diagonal/>
    </border>
    <border diagonalUp="false" diagonalDown="false">
      <left style="thin">
        <color rgb="FFE0E0E0"/>
      </left>
      <right style="thin">
        <color rgb="FFE0E0E0"/>
      </right>
      <top style="thin">
        <color rgb="FFE0E0E0"/>
      </top>
      <bottom style="thin">
        <color rgb="FFE0E0E0"/>
      </bottom>
      <diagonal/>
    </border>
    <border diagonalUp="false" diagonalDown="false">
      <left style="thin">
        <color rgb="FFE0E0E0"/>
      </left>
      <right/>
      <top style="thin">
        <color rgb="FFE0E0E0"/>
      </top>
      <bottom style="thin">
        <color rgb="FFE0E0E0"/>
      </bottom>
      <diagonal/>
    </border>
    <border diagonalUp="false" diagonalDown="false">
      <left style="thin"/>
      <right style="thin"/>
      <top style="thin"/>
      <bottom style="thin"/>
      <diagonal/>
    </border>
    <border diagonalUp="false" diagonalDown="false">
      <left/>
      <right/>
      <top/>
      <bottom style="medium"/>
      <diagonal/>
    </border>
    <border diagonalUp="false" diagonalDown="false">
      <left/>
      <right/>
      <top/>
      <bottom style="thin">
        <color rgb="FFB4C6E7"/>
      </bottom>
      <diagonal/>
    </border>
    <border diagonalUp="false" diagonalDown="false">
      <left/>
      <right/>
      <top style="thin"/>
      <bottom style="double"/>
      <diagonal/>
    </border>
    <border diagonalUp="false" diagonalDown="false">
      <left/>
      <right/>
      <top/>
      <bottom style="medium">
        <color rgb="FF1F3864"/>
      </bottom>
      <diagonal/>
    </border>
    <border diagonalUp="false" diagonalDown="false">
      <left/>
      <right/>
      <top style="thin">
        <color rgb="FF0B1833"/>
      </top>
      <bottom/>
      <diagonal/>
    </border>
    <border diagonalUp="false" diagonalDown="false">
      <left style="thin">
        <color rgb="FFE0E0E0"/>
      </left>
      <right style="thin">
        <color rgb="FFE0E0E0"/>
      </right>
      <top style="medium">
        <color rgb="FF0B1833"/>
      </top>
      <bottom style="thin">
        <color rgb="FFE0E0E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1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general" vertical="bottom" textRotation="0" wrapText="false" indent="0" shrinkToFit="false"/>
      <protection locked="true" hidden="false"/>
    </xf>
    <xf numFmtId="165" fontId="5" fillId="3" borderId="0" xfId="0" applyFont="true" applyBorder="false" applyAlignment="true" applyProtection="false">
      <alignment horizontal="center" vertical="bottom" textRotation="0" wrapText="false" indent="0" shrinkToFit="false"/>
      <protection locked="true" hidden="false"/>
    </xf>
    <xf numFmtId="166" fontId="6" fillId="2" borderId="0" xfId="0" applyFont="true" applyBorder="false" applyAlignment="true" applyProtection="false">
      <alignment horizontal="general" vertical="bottom" textRotation="0" wrapText="false" indent="0" shrinkToFit="false"/>
      <protection locked="true" hidden="false"/>
    </xf>
    <xf numFmtId="166" fontId="7" fillId="2" borderId="0" xfId="0" applyFont="true" applyBorder="false" applyAlignment="true" applyProtection="false">
      <alignment horizontal="center" vertical="bottom" textRotation="0" wrapText="false" indent="0" shrinkToFit="false"/>
      <protection locked="true" hidden="false"/>
    </xf>
    <xf numFmtId="166" fontId="0" fillId="0" borderId="0" xfId="0" applyFont="false" applyBorder="false" applyAlignment="true" applyProtection="false">
      <alignment horizontal="center" vertical="bottom" textRotation="0" wrapText="false" indent="0" shrinkToFit="false"/>
      <protection locked="true" hidden="false"/>
    </xf>
    <xf numFmtId="166" fontId="0" fillId="0" borderId="0" xfId="0" applyFont="false" applyBorder="false" applyAlignment="true" applyProtection="false">
      <alignment horizontal="general" vertical="bottom" textRotation="0" wrapText="false" indent="0" shrinkToFit="false"/>
      <protection locked="true" hidden="false"/>
    </xf>
    <xf numFmtId="166" fontId="8" fillId="2" borderId="0" xfId="0" applyFont="true" applyBorder="false" applyAlignment="true" applyProtection="false">
      <alignment horizontal="center" vertical="bottom" textRotation="0" wrapText="false" indent="0" shrinkToFit="false"/>
      <protection locked="true" hidden="false"/>
    </xf>
    <xf numFmtId="164" fontId="9" fillId="2" borderId="0" xfId="0" applyFont="true" applyBorder="false" applyAlignment="true" applyProtection="false">
      <alignment horizontal="general" vertical="bottom" textRotation="0" wrapText="false" indent="0" shrinkToFit="false"/>
      <protection locked="true" hidden="false"/>
    </xf>
    <xf numFmtId="167" fontId="10" fillId="2" borderId="0" xfId="0" applyFont="true" applyBorder="false" applyAlignment="true" applyProtection="false">
      <alignment horizontal="left" vertical="bottom" textRotation="0" wrapText="false" indent="0" shrinkToFit="false"/>
      <protection locked="true" hidden="false"/>
    </xf>
    <xf numFmtId="167" fontId="7" fillId="2" borderId="0" xfId="0" applyFont="true" applyBorder="false" applyAlignment="true" applyProtection="false">
      <alignment horizontal="general" vertical="bottom" textRotation="0" wrapText="false" indent="0" shrinkToFit="false"/>
      <protection locked="true" hidden="false"/>
    </xf>
    <xf numFmtId="167" fontId="11" fillId="2" borderId="0" xfId="0" applyFont="true" applyBorder="false" applyAlignment="true" applyProtection="false">
      <alignment horizontal="right" vertical="bottom" textRotation="0" wrapText="false" indent="0" shrinkToFit="false"/>
      <protection locked="true" hidden="false"/>
    </xf>
    <xf numFmtId="164" fontId="5" fillId="3" borderId="0" xfId="0" applyFont="true" applyBorder="false" applyAlignment="true" applyProtection="false">
      <alignment horizontal="left" vertical="bottom" textRotation="0" wrapText="true" indent="0" shrinkToFit="false"/>
      <protection locked="true" hidden="false"/>
    </xf>
    <xf numFmtId="167" fontId="12" fillId="3" borderId="0" xfId="0" applyFont="true" applyBorder="fals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left" vertical="bottom" textRotation="0" wrapText="true" indent="0" shrinkToFit="false"/>
      <protection locked="true" hidden="false"/>
    </xf>
    <xf numFmtId="167" fontId="7" fillId="2" borderId="0" xfId="0" applyFont="true" applyBorder="false" applyAlignment="true" applyProtection="false">
      <alignment horizontal="left" vertical="bottom" textRotation="0" wrapText="false" indent="0" shrinkToFit="false"/>
      <protection locked="true" hidden="false"/>
    </xf>
    <xf numFmtId="167" fontId="7" fillId="2" borderId="0" xfId="0" applyFont="true" applyBorder="false" applyAlignment="true" applyProtection="false">
      <alignment horizontal="center" vertical="bottom" textRotation="0" wrapText="true" indent="0" shrinkToFit="false"/>
      <protection locked="true" hidden="false"/>
    </xf>
    <xf numFmtId="167" fontId="7" fillId="2" borderId="0" xfId="0" applyFont="true" applyBorder="false" applyAlignment="true" applyProtection="false">
      <alignment horizontal="right" vertical="bottom"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0" shrinkToFit="false"/>
      <protection locked="true" hidden="false"/>
    </xf>
    <xf numFmtId="164" fontId="5" fillId="4" borderId="0" xfId="0" applyFont="true" applyBorder="false" applyAlignment="true" applyProtection="false">
      <alignment horizontal="general" vertical="bottom" textRotation="0" wrapText="false" indent="0" shrinkToFit="false"/>
      <protection locked="true" hidden="false"/>
    </xf>
    <xf numFmtId="167" fontId="5" fillId="4" borderId="0" xfId="0" applyFont="true" applyBorder="false" applyAlignment="true" applyProtection="false">
      <alignment horizontal="left" vertical="bottom" textRotation="0" wrapText="false" indent="0" shrinkToFit="false"/>
      <protection locked="true" hidden="false"/>
    </xf>
    <xf numFmtId="167" fontId="5" fillId="4" borderId="0" xfId="0" applyFont="true" applyBorder="false" applyAlignment="true" applyProtection="false">
      <alignment horizontal="general" vertical="bottom" textRotation="0" wrapText="false" indent="0" shrinkToFit="false"/>
      <protection locked="true" hidden="false"/>
    </xf>
    <xf numFmtId="167" fontId="14" fillId="4" borderId="0" xfId="0" applyFont="true" applyBorder="false" applyAlignment="true" applyProtection="false">
      <alignment horizontal="right" vertical="bottom" textRotation="0" wrapText="false" indent="0" shrinkToFit="false"/>
      <protection locked="true" hidden="false"/>
    </xf>
    <xf numFmtId="164" fontId="10" fillId="2"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1" shrinkToFit="false"/>
      <protection locked="true" hidden="false"/>
    </xf>
    <xf numFmtId="164" fontId="10" fillId="5" borderId="1" xfId="0" applyFont="true" applyBorder="true" applyAlignment="true" applyProtection="false">
      <alignment horizontal="general" vertical="bottom" textRotation="0" wrapText="false" indent="0" shrinkToFit="false"/>
      <protection locked="true" hidden="false"/>
    </xf>
    <xf numFmtId="167" fontId="10" fillId="5" borderId="1" xfId="0" applyFont="true" applyBorder="true" applyAlignment="true" applyProtection="false">
      <alignment horizontal="general" vertical="bottom" textRotation="0" wrapText="false" indent="0" shrinkToFit="false"/>
      <protection locked="true" hidden="false"/>
    </xf>
    <xf numFmtId="164" fontId="15" fillId="5" borderId="1" xfId="0" applyFont="true" applyBorder="true" applyAlignment="true" applyProtection="false">
      <alignment horizontal="general" vertical="bottom" textRotation="0" wrapText="false" indent="0" shrinkToFit="false"/>
      <protection locked="true" hidden="false"/>
    </xf>
    <xf numFmtId="167" fontId="16" fillId="5" borderId="1" xfId="0" applyFont="true" applyBorder="true" applyAlignment="true" applyProtection="false">
      <alignment horizontal="general" vertical="bottom" textRotation="0" wrapText="false" indent="0" shrinkToFit="false"/>
      <protection locked="true" hidden="false"/>
    </xf>
    <xf numFmtId="168" fontId="11" fillId="2" borderId="0" xfId="0" applyFont="true" applyBorder="false" applyAlignment="true" applyProtection="false">
      <alignment horizontal="general" vertical="bottom" textRotation="0" wrapText="false" indent="0" shrinkToFit="false"/>
      <protection locked="true" hidden="false"/>
    </xf>
    <xf numFmtId="167" fontId="10" fillId="4"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left" vertical="bottom" textRotation="0" wrapText="false" indent="0" shrinkToFit="false"/>
      <protection locked="true" hidden="false"/>
    </xf>
    <xf numFmtId="164" fontId="10" fillId="6" borderId="1" xfId="0" applyFont="true" applyBorder="true" applyAlignment="true" applyProtection="false">
      <alignment horizontal="general" vertical="bottom" textRotation="0" wrapText="false" indent="0" shrinkToFit="false"/>
      <protection locked="true" hidden="false"/>
    </xf>
    <xf numFmtId="167" fontId="10" fillId="6" borderId="1" xfId="0" applyFont="true" applyBorder="true" applyAlignment="true" applyProtection="false">
      <alignment horizontal="general" vertical="bottom" textRotation="0" wrapText="false" indent="0" shrinkToFit="false"/>
      <protection locked="true" hidden="false"/>
    </xf>
    <xf numFmtId="164" fontId="4" fillId="3" borderId="0" xfId="0" applyFont="true" applyBorder="false" applyAlignment="true" applyProtection="false">
      <alignment horizontal="center" vertical="bottom" textRotation="0" wrapText="true" indent="0" shrinkToFit="false"/>
      <protection locked="true" hidden="false"/>
    </xf>
    <xf numFmtId="167" fontId="10" fillId="3" borderId="0" xfId="0" applyFont="true" applyBorder="false" applyAlignment="true" applyProtection="false">
      <alignment horizontal="center" vertical="bottom" textRotation="0" wrapText="true" indent="0" shrinkToFit="false"/>
      <protection locked="true" hidden="false"/>
    </xf>
    <xf numFmtId="164" fontId="17" fillId="2" borderId="0" xfId="0" applyFont="true" applyBorder="false" applyAlignment="true" applyProtection="false">
      <alignment horizontal="general" vertical="bottom" textRotation="0" wrapText="false" indent="0" shrinkToFit="false"/>
      <protection locked="true" hidden="false"/>
    </xf>
    <xf numFmtId="164" fontId="18" fillId="5" borderId="1" xfId="0" applyFont="true" applyBorder="true" applyAlignment="true" applyProtection="false">
      <alignment horizontal="general" vertical="bottom" textRotation="0" wrapText="false" indent="0" shrinkToFit="false"/>
      <protection locked="true" hidden="false"/>
    </xf>
    <xf numFmtId="164" fontId="9" fillId="6" borderId="1" xfId="0" applyFont="true" applyBorder="true" applyAlignment="true" applyProtection="false">
      <alignment horizontal="general" vertical="bottom" textRotation="0" wrapText="false" indent="0" shrinkToFit="false"/>
      <protection locked="true" hidden="false"/>
    </xf>
    <xf numFmtId="164" fontId="19" fillId="2" borderId="0" xfId="0" applyFont="tru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center" vertical="bottom" textRotation="0" wrapText="true" indent="0" shrinkToFit="false"/>
      <protection locked="true" hidden="false"/>
    </xf>
    <xf numFmtId="164" fontId="7" fillId="5" borderId="1" xfId="0" applyFont="true" applyBorder="true" applyAlignment="true" applyProtection="false">
      <alignment horizontal="general" vertical="bottom" textRotation="0" wrapText="false" indent="0" shrinkToFit="false"/>
      <protection locked="true" hidden="false"/>
    </xf>
    <xf numFmtId="167" fontId="7" fillId="5" borderId="1" xfId="0" applyFont="true" applyBorder="true" applyAlignment="true" applyProtection="false">
      <alignment horizontal="general" vertical="bottom" textRotation="0" wrapText="false" indent="0" shrinkToFit="false"/>
      <protection locked="true" hidden="false"/>
    </xf>
    <xf numFmtId="164" fontId="7" fillId="7" borderId="0" xfId="0" applyFont="true" applyBorder="false" applyAlignment="true" applyProtection="false">
      <alignment horizontal="general" vertical="bottom" textRotation="0" wrapText="false" indent="0" shrinkToFit="false"/>
      <protection locked="true" hidden="false"/>
    </xf>
    <xf numFmtId="167" fontId="7" fillId="7" borderId="0" xfId="0" applyFont="tru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center" vertical="bottom" textRotation="0" wrapText="false" indent="0" shrinkToFit="false"/>
      <protection locked="true" hidden="false"/>
    </xf>
    <xf numFmtId="167" fontId="10" fillId="3" borderId="0" xfId="0" applyFont="true" applyBorder="false" applyAlignment="true" applyProtection="false">
      <alignment horizontal="general" vertical="bottom" textRotation="0" wrapText="false" indent="0" shrinkToFit="false"/>
      <protection locked="true" hidden="false"/>
    </xf>
    <xf numFmtId="164" fontId="7" fillId="2" borderId="2" xfId="0" applyFont="true" applyBorder="true" applyAlignment="true" applyProtection="false">
      <alignment horizontal="general" vertical="bottom" textRotation="0" wrapText="false" indent="0" shrinkToFit="false"/>
      <protection locked="true" hidden="false"/>
    </xf>
    <xf numFmtId="167" fontId="7" fillId="2" borderId="2" xfId="0" applyFont="true" applyBorder="true" applyAlignment="true" applyProtection="false">
      <alignment horizontal="right" vertical="bottom" textRotation="0" wrapText="false" indent="0" shrinkToFit="false"/>
      <protection locked="true" hidden="false"/>
    </xf>
    <xf numFmtId="164" fontId="10" fillId="8" borderId="3" xfId="0" applyFont="true" applyBorder="true" applyAlignment="true" applyProtection="false">
      <alignment horizontal="general" vertical="bottom" textRotation="0" wrapText="false" indent="0" shrinkToFit="false"/>
      <protection locked="true" hidden="false"/>
    </xf>
    <xf numFmtId="167" fontId="10" fillId="8" borderId="3" xfId="0" applyFont="true" applyBorder="true" applyAlignment="true" applyProtection="false">
      <alignment horizontal="right" vertical="bottom" textRotation="0" wrapText="false" indent="0" shrinkToFit="false"/>
      <protection locked="true" hidden="false"/>
    </xf>
    <xf numFmtId="164" fontId="7" fillId="5" borderId="0" xfId="0" applyFont="true" applyBorder="false" applyAlignment="true" applyProtection="false">
      <alignment horizontal="general" vertical="bottom" textRotation="0" wrapText="false" indent="0" shrinkToFit="false"/>
      <protection locked="true" hidden="false"/>
    </xf>
    <xf numFmtId="167" fontId="7" fillId="5" borderId="0" xfId="0" applyFont="true" applyBorder="false" applyAlignment="true" applyProtection="false">
      <alignment horizontal="right" vertical="bottom" textRotation="0" wrapText="false" indent="0" shrinkToFit="false"/>
      <protection locked="true" hidden="false"/>
    </xf>
    <xf numFmtId="164" fontId="7" fillId="5" borderId="2" xfId="0" applyFont="true" applyBorder="true" applyAlignment="true" applyProtection="false">
      <alignment horizontal="general" vertical="bottom" textRotation="0" wrapText="false" indent="0" shrinkToFit="false"/>
      <protection locked="true" hidden="false"/>
    </xf>
    <xf numFmtId="167" fontId="7" fillId="5" borderId="2" xfId="0" applyFont="true" applyBorder="true" applyAlignment="true" applyProtection="false">
      <alignment horizontal="right" vertical="bottom" textRotation="0" wrapText="false" indent="0" shrinkToFit="false"/>
      <protection locked="true" hidden="false"/>
    </xf>
    <xf numFmtId="164" fontId="10" fillId="8" borderId="2" xfId="0" applyFont="true" applyBorder="true" applyAlignment="true" applyProtection="false">
      <alignment horizontal="general" vertical="bottom" textRotation="0" wrapText="false" indent="0" shrinkToFit="false"/>
      <protection locked="true" hidden="false"/>
    </xf>
    <xf numFmtId="167" fontId="10" fillId="8" borderId="2" xfId="0" applyFont="true" applyBorder="true" applyAlignment="true" applyProtection="false">
      <alignment horizontal="right" vertical="bottom" textRotation="0" wrapText="false" indent="0" shrinkToFit="false"/>
      <protection locked="true" hidden="false"/>
    </xf>
    <xf numFmtId="164" fontId="10" fillId="7" borderId="0" xfId="0" applyFont="true" applyBorder="false" applyAlignment="true" applyProtection="false">
      <alignment horizontal="general" vertical="bottom" textRotation="0" wrapText="false" indent="0" shrinkToFit="false"/>
      <protection locked="true" hidden="false"/>
    </xf>
    <xf numFmtId="167" fontId="10" fillId="7" borderId="0" xfId="0" applyFont="true" applyBorder="false" applyAlignment="true" applyProtection="false">
      <alignment horizontal="right" vertical="bottom" textRotation="0" wrapText="false" indent="0" shrinkToFit="false"/>
      <protection locked="true" hidden="false"/>
    </xf>
    <xf numFmtId="164" fontId="5" fillId="3" borderId="4" xfId="0" applyFont="true" applyBorder="true" applyAlignment="true" applyProtection="false">
      <alignment horizontal="center" vertical="bottom" textRotation="0" wrapText="true" indent="0" shrinkToFit="false"/>
      <protection locked="true" hidden="false"/>
    </xf>
    <xf numFmtId="167" fontId="10" fillId="3" borderId="4" xfId="0" applyFont="true" applyBorder="true" applyAlignment="true" applyProtection="false">
      <alignment horizontal="center" vertical="bottom" textRotation="0" wrapText="true" indent="0" shrinkToFit="false"/>
      <protection locked="true" hidden="false"/>
    </xf>
    <xf numFmtId="164" fontId="5" fillId="7" borderId="0" xfId="0" applyFont="true" applyBorder="false" applyAlignment="true" applyProtection="false">
      <alignment horizontal="center" vertical="bottom" textRotation="0" wrapText="true" indent="0" shrinkToFit="false"/>
      <protection locked="true" hidden="false"/>
    </xf>
    <xf numFmtId="167" fontId="10" fillId="7" borderId="0" xfId="0" applyFont="true" applyBorder="false" applyAlignment="true" applyProtection="false">
      <alignment horizontal="center" vertical="bottom" textRotation="0" wrapText="true" indent="0" shrinkToFit="false"/>
      <protection locked="true" hidden="false"/>
    </xf>
    <xf numFmtId="164" fontId="10" fillId="9" borderId="1" xfId="0" applyFont="true" applyBorder="true" applyAlignment="true" applyProtection="false">
      <alignment horizontal="general" vertical="bottom" textRotation="0" wrapText="false" indent="0" shrinkToFit="false"/>
      <protection locked="true" hidden="false"/>
    </xf>
    <xf numFmtId="167" fontId="10" fillId="9" borderId="1" xfId="0" applyFont="true" applyBorder="true" applyAlignment="true" applyProtection="false">
      <alignment horizontal="general" vertical="bottom" textRotation="0" wrapText="false" indent="0" shrinkToFit="false"/>
      <protection locked="true" hidden="false"/>
    </xf>
    <xf numFmtId="164" fontId="20" fillId="2" borderId="0" xfId="0" applyFont="true" applyBorder="false" applyAlignment="true" applyProtection="false">
      <alignment horizontal="general" vertical="bottom" textRotation="0" wrapText="false" indent="0" shrinkToFit="false"/>
      <protection locked="true" hidden="false"/>
    </xf>
    <xf numFmtId="164" fontId="21" fillId="2" borderId="0" xfId="0" applyFont="true" applyBorder="false" applyAlignment="true" applyProtection="false">
      <alignment horizontal="general" vertical="bottom" textRotation="0" wrapText="false" indent="0" shrinkToFit="false"/>
      <protection locked="true" hidden="false"/>
    </xf>
    <xf numFmtId="167" fontId="7" fillId="0" borderId="0" xfId="0" applyFont="true" applyBorder="fals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7" fontId="22" fillId="2" borderId="0" xfId="0" applyFont="true" applyBorder="false" applyAlignment="true" applyProtection="false">
      <alignment horizontal="general" vertical="bottom" textRotation="0" wrapText="false" indent="0" shrinkToFit="false"/>
      <protection locked="true" hidden="false"/>
    </xf>
    <xf numFmtId="169" fontId="7" fillId="2" borderId="0" xfId="0" applyFont="true" applyBorder="false" applyAlignment="true" applyProtection="false">
      <alignment horizontal="general" vertical="bottom" textRotation="0" wrapText="false" indent="0" shrinkToFit="false"/>
      <protection locked="true" hidden="false"/>
    </xf>
    <xf numFmtId="164" fontId="23" fillId="2" borderId="0" xfId="0" applyFont="tru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bottom" textRotation="0" wrapText="false" indent="0" shrinkToFit="false"/>
      <protection locked="true" hidden="false"/>
    </xf>
    <xf numFmtId="164" fontId="16" fillId="5" borderId="1" xfId="0" applyFont="true" applyBorder="true" applyAlignment="true" applyProtection="false">
      <alignment horizontal="general" vertical="bottom" textRotation="0" wrapText="false" indent="0" shrinkToFit="false"/>
      <protection locked="true" hidden="false"/>
    </xf>
    <xf numFmtId="168" fontId="7" fillId="2" borderId="0" xfId="0" applyFont="true" applyBorder="false" applyAlignment="tru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bottom" textRotation="0" wrapText="false" indent="0" shrinkToFit="false"/>
      <protection locked="true" hidden="false"/>
    </xf>
    <xf numFmtId="167" fontId="17" fillId="2" borderId="0" xfId="0" applyFont="true" applyBorder="false" applyAlignment="true" applyProtection="false">
      <alignment horizontal="general" vertical="bottom" textRotation="0" wrapText="false" indent="0" shrinkToFit="false"/>
      <protection locked="true" hidden="false"/>
    </xf>
    <xf numFmtId="167" fontId="0" fillId="2" borderId="0" xfId="0" applyFont="false" applyBorder="false" applyAlignment="true" applyProtection="false">
      <alignment horizontal="general" vertical="bottom" textRotation="0" wrapText="false" indent="0" shrinkToFit="false"/>
      <protection locked="true" hidden="false"/>
    </xf>
    <xf numFmtId="164" fontId="7" fillId="9" borderId="1" xfId="0" applyFont="true" applyBorder="true" applyAlignment="true" applyProtection="false">
      <alignment horizontal="general" vertical="bottom" textRotation="0" wrapText="false" indent="0" shrinkToFit="false"/>
      <protection locked="true" hidden="false"/>
    </xf>
    <xf numFmtId="167" fontId="7" fillId="9" borderId="1" xfId="0" applyFont="true" applyBorder="true" applyAlignment="true" applyProtection="false">
      <alignment horizontal="general" vertical="bottom" textRotation="0" wrapText="false" indent="0" shrinkToFit="false"/>
      <protection locked="true" hidden="false"/>
    </xf>
    <xf numFmtId="167" fontId="10" fillId="2" borderId="0" xfId="0" applyFont="true" applyBorder="false" applyAlignment="true" applyProtection="false">
      <alignment horizontal="general" vertical="bottom" textRotation="0" wrapText="false" indent="0" shrinkToFit="false"/>
      <protection locked="true" hidden="false"/>
    </xf>
    <xf numFmtId="164" fontId="25" fillId="3" borderId="0" xfId="0" applyFont="true" applyBorder="false" applyAlignment="true" applyProtection="false">
      <alignment horizontal="center" vertical="bottom" textRotation="0" wrapText="false" indent="0" shrinkToFit="false"/>
      <protection locked="true" hidden="false"/>
    </xf>
    <xf numFmtId="164" fontId="25" fillId="4" borderId="0" xfId="0" applyFont="true" applyBorder="false" applyAlignment="true" applyProtection="false">
      <alignment horizontal="center" vertical="bottom" textRotation="0" wrapText="false" indent="0" shrinkToFit="false"/>
      <protection locked="true" hidden="false"/>
    </xf>
    <xf numFmtId="164" fontId="10" fillId="5" borderId="5" xfId="0" applyFont="true" applyBorder="true" applyAlignment="true" applyProtection="false">
      <alignment horizontal="general" vertical="bottom" textRotation="0" wrapText="false" indent="0" shrinkToFit="false"/>
      <protection locked="true" hidden="false"/>
    </xf>
    <xf numFmtId="167" fontId="26" fillId="5" borderId="5" xfId="0" applyFont="true" applyBorder="true" applyAlignment="true" applyProtection="false">
      <alignment horizontal="general" vertical="bottom" textRotation="0" wrapText="false" indent="0" shrinkToFit="false"/>
      <protection locked="true" hidden="false"/>
    </xf>
    <xf numFmtId="168" fontId="10" fillId="2"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7" fontId="10" fillId="5" borderId="5" xfId="0" applyFont="true" applyBorder="true" applyAlignment="true" applyProtection="false">
      <alignment horizontal="general" vertical="bottom" textRotation="0" wrapText="false" indent="0" shrinkToFit="false"/>
      <protection locked="true" hidden="false"/>
    </xf>
    <xf numFmtId="167" fontId="27" fillId="2" borderId="0" xfId="0" applyFont="true" applyBorder="false" applyAlignment="true" applyProtection="false">
      <alignment horizontal="general" vertical="bottom" textRotation="0" wrapText="false" indent="0" shrinkToFit="false"/>
      <protection locked="true" hidden="false"/>
    </xf>
    <xf numFmtId="170" fontId="7" fillId="2"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71" fontId="25" fillId="3" borderId="6" xfId="0" applyFont="true" applyBorder="true" applyAlignment="true" applyProtection="false">
      <alignment horizontal="center" vertical="bottom" textRotation="0" wrapText="false" indent="0" shrinkToFit="false"/>
      <protection locked="true" hidden="false"/>
    </xf>
    <xf numFmtId="164" fontId="28" fillId="0" borderId="0" xfId="0" applyFont="true" applyBorder="false" applyAlignment="true" applyProtection="false">
      <alignment horizontal="center" vertical="bottom" textRotation="0" wrapText="fals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72" fontId="29" fillId="0" borderId="0" xfId="0" applyFont="true" applyBorder="false" applyAlignment="true" applyProtection="false">
      <alignment horizontal="right"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72" fontId="4" fillId="0" borderId="0" xfId="0" applyFont="true" applyBorder="false" applyAlignment="true" applyProtection="false">
      <alignment horizontal="right"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8" fontId="29" fillId="0" borderId="0" xfId="0" applyFont="true" applyBorder="false" applyAlignment="true" applyProtection="false">
      <alignment horizontal="right" vertical="bottom" textRotation="0" wrapText="false" indent="0" shrinkToFit="false"/>
      <protection locked="true" hidden="false"/>
    </xf>
    <xf numFmtId="172" fontId="29" fillId="0" borderId="0" xfId="0" applyFont="true" applyBorder="false" applyAlignment="true" applyProtection="false">
      <alignment horizontal="general" vertical="bottom" textRotation="0" wrapText="false" indent="0" shrinkToFit="false"/>
      <protection locked="true" hidden="false"/>
    </xf>
    <xf numFmtId="167" fontId="0" fillId="0" borderId="0" xfId="0" applyFont="false" applyBorder="false" applyAlignment="true" applyProtection="false">
      <alignment horizontal="general" vertical="bottom" textRotation="0" wrapText="false" indent="0" shrinkToFit="false"/>
      <protection locked="true" hidden="false"/>
    </xf>
    <xf numFmtId="167" fontId="29" fillId="0" borderId="0" xfId="0" applyFont="true" applyBorder="false" applyAlignment="true" applyProtection="false">
      <alignment horizontal="right" vertical="bottom" textRotation="0" wrapText="false" indent="0" shrinkToFit="false"/>
      <protection locked="true" hidden="false"/>
    </xf>
    <xf numFmtId="164" fontId="30" fillId="0" borderId="0" xfId="0" applyFont="true" applyBorder="false" applyAlignment="true" applyProtection="false">
      <alignment horizontal="general" vertical="bottom" textRotation="0" wrapText="false" indent="0" shrinkToFit="false"/>
      <protection locked="true" hidden="false"/>
    </xf>
    <xf numFmtId="172" fontId="4" fillId="0" borderId="0" xfId="0" applyFont="true" applyBorder="false" applyAlignment="true" applyProtection="false">
      <alignment horizontal="general" vertical="bottom" textRotation="0" wrapText="false" indent="0" shrinkToFit="false"/>
      <protection locked="true" hidden="false"/>
    </xf>
    <xf numFmtId="172" fontId="9" fillId="0" borderId="0" xfId="0" applyFont="true" applyBorder="false" applyAlignment="true" applyProtection="false">
      <alignment horizontal="general" vertical="bottom" textRotation="0" wrapText="false" indent="0" shrinkToFit="false"/>
      <protection locked="true" hidden="false"/>
    </xf>
    <xf numFmtId="172" fontId="0" fillId="0" borderId="0" xfId="0" applyFont="false" applyBorder="false" applyAlignment="true" applyProtection="false">
      <alignment horizontal="general" vertical="bottom" textRotation="0" wrapText="false" indent="0" shrinkToFit="false"/>
      <protection locked="true" hidden="false"/>
    </xf>
    <xf numFmtId="164" fontId="31" fillId="0" borderId="6" xfId="0" applyFont="true" applyBorder="true" applyAlignment="true" applyProtection="false">
      <alignment horizontal="general" vertical="bottom" textRotation="0" wrapText="false" indent="0" shrinkToFit="false"/>
      <protection locked="true" hidden="false"/>
    </xf>
    <xf numFmtId="164" fontId="25" fillId="3" borderId="6" xfId="0" applyFont="true" applyBorder="true" applyAlignment="true" applyProtection="false">
      <alignment horizontal="center" vertical="center" textRotation="0" wrapText="true" indent="0" shrinkToFit="false"/>
      <protection locked="true" hidden="false"/>
    </xf>
    <xf numFmtId="164" fontId="25" fillId="3" borderId="0" xfId="0" applyFont="true" applyBorder="false" applyAlignment="true" applyProtection="false">
      <alignment horizontal="general" vertical="bottom" textRotation="0" wrapText="false" indent="0" shrinkToFit="false"/>
      <protection locked="true" hidden="false"/>
    </xf>
    <xf numFmtId="164" fontId="25" fillId="0" borderId="6" xfId="0" applyFont="true" applyBorder="true" applyAlignment="true" applyProtection="false">
      <alignment horizontal="general" vertical="bottom" textRotation="0" wrapText="false" indent="0" shrinkToFit="false"/>
      <protection locked="true" hidden="false"/>
    </xf>
    <xf numFmtId="173" fontId="31" fillId="0" borderId="6" xfId="0" applyFont="true" applyBorder="true" applyAlignment="true" applyProtection="false">
      <alignment horizontal="general" vertical="bottom" textRotation="0" wrapText="false" indent="0" shrinkToFit="false"/>
      <protection locked="true" hidden="false"/>
    </xf>
    <xf numFmtId="164" fontId="31" fillId="0" borderId="0" xfId="0" applyFont="true" applyBorder="false" applyAlignment="true" applyProtection="false">
      <alignment horizontal="left" vertical="center" textRotation="0" wrapText="false" indent="0" shrinkToFit="false"/>
      <protection locked="true" hidden="false"/>
    </xf>
    <xf numFmtId="164" fontId="4" fillId="0" borderId="6" xfId="0" applyFont="true" applyBorder="true" applyAlignment="true" applyProtection="false">
      <alignment horizontal="general" vertical="bottom" textRotation="0" wrapText="false" indent="0" shrinkToFit="false"/>
      <protection locked="true" hidden="false"/>
    </xf>
    <xf numFmtId="173" fontId="32" fillId="0" borderId="6" xfId="0" applyFont="true" applyBorder="true" applyAlignment="true" applyProtection="false">
      <alignment horizontal="general" vertical="bottom" textRotation="0" wrapText="false" indent="0" shrinkToFit="false"/>
      <protection locked="true" hidden="false"/>
    </xf>
    <xf numFmtId="164" fontId="9" fillId="0" borderId="6" xfId="0" applyFont="true" applyBorder="true" applyAlignment="true" applyProtection="false">
      <alignment horizontal="general" vertical="bottom" textRotation="0" wrapText="false" indent="0" shrinkToFit="false"/>
      <protection locked="true" hidden="false"/>
    </xf>
    <xf numFmtId="173" fontId="9" fillId="0" borderId="6" xfId="0" applyFont="true" applyBorder="true" applyAlignment="true" applyProtection="false">
      <alignment horizontal="general" vertical="bottom" textRotation="0" wrapText="false" indent="0" shrinkToFit="false"/>
      <protection locked="true" hidden="false"/>
    </xf>
    <xf numFmtId="164" fontId="32" fillId="0" borderId="0" xfId="0" applyFont="true" applyBorder="false" applyAlignment="true" applyProtection="false">
      <alignment horizontal="general" vertical="bottom" textRotation="0" wrapText="false" indent="0" shrinkToFit="false"/>
      <protection locked="true" hidden="false"/>
    </xf>
    <xf numFmtId="174" fontId="9" fillId="0" borderId="0" xfId="0" applyFont="true" applyBorder="false" applyAlignment="true" applyProtection="false">
      <alignment horizontal="center" vertical="bottom" textRotation="0" wrapText="false" indent="0" shrinkToFit="false"/>
      <protection locked="true" hidden="false"/>
    </xf>
    <xf numFmtId="171" fontId="25" fillId="3" borderId="6" xfId="0" applyFont="true" applyBorder="true" applyAlignment="true" applyProtection="false">
      <alignment horizontal="center" vertical="center" textRotation="0" wrapText="true" indent="0" shrinkToFit="false"/>
      <protection locked="true" hidden="false"/>
    </xf>
    <xf numFmtId="164" fontId="28" fillId="0" borderId="6" xfId="0" applyFont="true" applyBorder="true" applyAlignment="true" applyProtection="false">
      <alignment horizontal="general" vertical="bottom" textRotation="0" wrapText="false" indent="0" shrinkToFit="false"/>
      <protection locked="true" hidden="false"/>
    </xf>
    <xf numFmtId="164" fontId="25" fillId="3" borderId="0" xfId="0" applyFont="true" applyBorder="false" applyAlignment="true" applyProtection="false">
      <alignment horizontal="center" vertical="center" textRotation="0" wrapText="true" indent="0" shrinkToFit="false"/>
      <protection locked="true" hidden="false"/>
    </xf>
    <xf numFmtId="164" fontId="31" fillId="0" borderId="0" xfId="0" applyFont="true" applyBorder="false" applyAlignment="true" applyProtection="false">
      <alignment horizontal="general" vertical="bottom" textRotation="0" wrapText="false" indent="0" shrinkToFit="false"/>
      <protection locked="true" hidden="false"/>
    </xf>
    <xf numFmtId="173" fontId="31" fillId="0" borderId="0" xfId="0" applyFont="true" applyBorder="false" applyAlignment="true" applyProtection="false">
      <alignment horizontal="general" vertical="bottom" textRotation="0" wrapText="false" indent="0" shrinkToFit="false"/>
      <protection locked="true" hidden="false"/>
    </xf>
    <xf numFmtId="173" fontId="4" fillId="0" borderId="0" xfId="0" applyFont="true" applyBorder="false" applyAlignment="true" applyProtection="false">
      <alignment horizontal="general" vertical="bottom" textRotation="0" wrapText="false" indent="0" shrinkToFit="false"/>
      <protection locked="true" hidden="false"/>
    </xf>
    <xf numFmtId="164" fontId="25" fillId="3" borderId="7" xfId="0" applyFont="true" applyBorder="true" applyAlignment="true" applyProtection="false">
      <alignment horizontal="center" vertical="bottom" textRotation="0" wrapText="false" indent="0" shrinkToFit="false"/>
      <protection locked="true" hidden="false"/>
    </xf>
    <xf numFmtId="164" fontId="25" fillId="10" borderId="7" xfId="0" applyFont="true" applyBorder="true" applyAlignment="true" applyProtection="false">
      <alignment horizontal="center" vertical="bottom" textRotation="0" wrapText="false" indent="0" shrinkToFit="false"/>
      <protection locked="true" hidden="false"/>
    </xf>
    <xf numFmtId="164" fontId="25" fillId="3" borderId="6" xfId="0" applyFont="true" applyBorder="true" applyAlignment="true" applyProtection="false">
      <alignment horizontal="center" vertical="bottom" textRotation="0" wrapText="false" indent="0" shrinkToFit="false"/>
      <protection locked="true" hidden="false"/>
    </xf>
    <xf numFmtId="164" fontId="25" fillId="10" borderId="6" xfId="0" applyFont="true" applyBorder="true" applyAlignment="true" applyProtection="false">
      <alignment horizontal="center" vertical="bottom" textRotation="0" wrapText="false" indent="0" shrinkToFit="false"/>
      <protection locked="true" hidden="false"/>
    </xf>
    <xf numFmtId="164" fontId="17" fillId="0" borderId="6" xfId="0" applyFont="true" applyBorder="true" applyAlignment="true" applyProtection="false">
      <alignment horizontal="general" vertical="bottom" textRotation="0" wrapText="false" indent="0" shrinkToFit="false"/>
      <protection locked="true" hidden="false"/>
    </xf>
    <xf numFmtId="172" fontId="33" fillId="0" borderId="6" xfId="0" applyFont="true" applyBorder="true" applyAlignment="true" applyProtection="false">
      <alignment horizontal="right" vertical="bottom" textRotation="0" wrapText="false" indent="0" shrinkToFit="false"/>
      <protection locked="true" hidden="false"/>
    </xf>
    <xf numFmtId="172" fontId="17" fillId="0" borderId="6" xfId="0" applyFont="true" applyBorder="true" applyAlignment="true" applyProtection="false">
      <alignment horizontal="right" vertical="bottom" textRotation="0" wrapText="false" indent="0" shrinkToFit="false"/>
      <protection locked="true" hidden="false"/>
    </xf>
    <xf numFmtId="172" fontId="17" fillId="0" borderId="6" xfId="0" applyFont="true" applyBorder="true" applyAlignment="true" applyProtection="false">
      <alignment horizontal="general" vertical="bottom" textRotation="0" wrapText="false" indent="0" shrinkToFit="false"/>
      <protection locked="true" hidden="false"/>
    </xf>
    <xf numFmtId="172" fontId="18" fillId="0" borderId="6" xfId="0" applyFont="true" applyBorder="true" applyAlignment="true" applyProtection="false">
      <alignment horizontal="general" vertical="bottom" textRotation="0" wrapText="false" indent="0" shrinkToFit="false"/>
      <protection locked="true" hidden="false"/>
    </xf>
    <xf numFmtId="164" fontId="4" fillId="11" borderId="6" xfId="0" applyFont="true" applyBorder="true" applyAlignment="true" applyProtection="false">
      <alignment horizontal="general" vertical="bottom" textRotation="0" wrapText="false" indent="0" shrinkToFit="false"/>
      <protection locked="true" hidden="false"/>
    </xf>
    <xf numFmtId="172" fontId="4" fillId="11" borderId="6" xfId="0" applyFont="true" applyBorder="true" applyAlignment="true" applyProtection="false">
      <alignment horizontal="right" vertical="bottom" textRotation="0" wrapText="false" indent="0" shrinkToFit="false"/>
      <protection locked="true" hidden="false"/>
    </xf>
    <xf numFmtId="175" fontId="0" fillId="0" borderId="0" xfId="0" applyFont="false" applyBorder="false" applyAlignment="true" applyProtection="false">
      <alignment horizontal="general" vertical="bottom" textRotation="0" wrapText="false" indent="0" shrinkToFit="false"/>
      <protection locked="true" hidden="false"/>
    </xf>
    <xf numFmtId="164" fontId="7" fillId="0" borderId="6" xfId="0" applyFont="true" applyBorder="true" applyAlignment="true" applyProtection="false">
      <alignment horizontal="general" vertical="bottom" textRotation="0" wrapText="false" indent="0" shrinkToFit="false"/>
      <protection locked="true" hidden="false"/>
    </xf>
    <xf numFmtId="173" fontId="29" fillId="0" borderId="6" xfId="0" applyFont="true" applyBorder="true" applyAlignment="true" applyProtection="false">
      <alignment horizontal="general" vertical="bottom" textRotation="0" wrapText="false" indent="0" shrinkToFit="false"/>
      <protection locked="true" hidden="false"/>
    </xf>
    <xf numFmtId="176" fontId="29" fillId="0" borderId="6" xfId="0" applyFont="true" applyBorder="true" applyAlignment="true" applyProtection="false">
      <alignment horizontal="general" vertical="bottom" textRotation="0" wrapText="false" indent="0" shrinkToFit="false"/>
      <protection locked="true" hidden="false"/>
    </xf>
    <xf numFmtId="164" fontId="30" fillId="0" borderId="6"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31" fillId="0" borderId="0" xfId="0" applyFont="true" applyBorder="true" applyAlignment="true" applyProtection="false">
      <alignment horizontal="general" vertical="top" textRotation="0" wrapText="true" indent="0" shrinkToFit="false"/>
      <protection locked="true" hidden="false"/>
    </xf>
    <xf numFmtId="164" fontId="28" fillId="0" borderId="6" xfId="0" applyFont="true" applyBorder="true" applyAlignment="true" applyProtection="false">
      <alignment horizontal="center" vertical="bottom" textRotation="0" wrapText="false" indent="0" shrinkToFit="false"/>
      <protection locked="true" hidden="false"/>
    </xf>
    <xf numFmtId="167" fontId="17" fillId="0" borderId="0" xfId="0" applyFont="true" applyBorder="false" applyAlignment="true" applyProtection="false">
      <alignment horizontal="right" vertical="bottom" textRotation="0" wrapText="false" indent="0" shrinkToFit="false"/>
      <protection locked="true" hidden="false"/>
    </xf>
    <xf numFmtId="167" fontId="29" fillId="12" borderId="0" xfId="0" applyFont="true" applyBorder="false" applyAlignment="true" applyProtection="false">
      <alignment horizontal="general" vertical="bottom" textRotation="0" wrapText="false" indent="0" shrinkToFit="false"/>
      <protection locked="true" hidden="false"/>
    </xf>
    <xf numFmtId="167" fontId="29" fillId="12" borderId="0" xfId="0" applyFont="true" applyBorder="false" applyAlignment="true" applyProtection="false">
      <alignment horizontal="right" vertical="bottom" textRotation="0" wrapText="false" indent="0" shrinkToFit="false"/>
      <protection locked="true" hidden="false"/>
    </xf>
    <xf numFmtId="167" fontId="0" fillId="12" borderId="0" xfId="0" applyFont="false" applyBorder="false" applyAlignment="true" applyProtection="false">
      <alignment horizontal="general" vertical="bottom" textRotation="0" wrapText="false" indent="0" shrinkToFit="false"/>
      <protection locked="true" hidden="false"/>
    </xf>
    <xf numFmtId="167" fontId="4" fillId="0" borderId="0" xfId="0" applyFont="true" applyBorder="false" applyAlignment="true" applyProtection="false">
      <alignment horizontal="general" vertical="bottom" textRotation="0" wrapText="false" indent="0" shrinkToFit="false"/>
      <protection locked="true" hidden="false"/>
    </xf>
    <xf numFmtId="167" fontId="17" fillId="12" borderId="0" xfId="0" applyFont="true" applyBorder="false" applyAlignment="true" applyProtection="false">
      <alignment horizontal="right" vertical="bottom" textRotation="0" wrapText="false" indent="0" shrinkToFit="false"/>
      <protection locked="true" hidden="false"/>
    </xf>
    <xf numFmtId="167" fontId="4" fillId="0" borderId="0" xfId="0" applyFont="true" applyBorder="false" applyAlignment="true" applyProtection="false">
      <alignment horizontal="right" vertical="bottom" textRotation="0" wrapText="false" indent="0" shrinkToFit="false"/>
      <protection locked="true" hidden="false"/>
    </xf>
    <xf numFmtId="168" fontId="29" fillId="12" borderId="0" xfId="0" applyFont="true" applyBorder="false" applyAlignment="true" applyProtection="false">
      <alignment horizontal="general" vertical="bottom" textRotation="0" wrapText="false" indent="0" shrinkToFit="false"/>
      <protection locked="true" hidden="false"/>
    </xf>
    <xf numFmtId="167" fontId="9" fillId="0" borderId="0" xfId="0" applyFont="true" applyBorder="false" applyAlignment="true" applyProtection="false">
      <alignment horizontal="general" vertical="bottom" textRotation="0" wrapText="false" indent="0" shrinkToFit="false"/>
      <protection locked="true" hidden="false"/>
    </xf>
    <xf numFmtId="164" fontId="25" fillId="3" borderId="8" xfId="0" applyFont="true" applyBorder="true" applyAlignment="true" applyProtection="false">
      <alignment horizontal="center" vertical="center" textRotation="0" wrapText="true" indent="0" shrinkToFit="false"/>
      <protection locked="true" hidden="false"/>
    </xf>
    <xf numFmtId="164" fontId="18" fillId="0" borderId="6" xfId="0" applyFont="true" applyBorder="true" applyAlignment="true" applyProtection="false">
      <alignment horizontal="left" vertical="center" textRotation="0" wrapText="false" indent="0" shrinkToFit="false"/>
      <protection locked="true" hidden="false"/>
    </xf>
    <xf numFmtId="173" fontId="0" fillId="0" borderId="6" xfId="0" applyFont="false" applyBorder="true" applyAlignment="true" applyProtection="false">
      <alignment horizontal="right" vertical="center" textRotation="0" wrapText="false" indent="0" shrinkToFit="false"/>
      <protection locked="true" hidden="false"/>
    </xf>
    <xf numFmtId="173" fontId="18" fillId="0" borderId="6" xfId="0" applyFont="true" applyBorder="true" applyAlignment="true" applyProtection="false">
      <alignment horizontal="right" vertical="center" textRotation="0" wrapText="false" indent="0" shrinkToFit="false"/>
      <protection locked="true" hidden="false"/>
    </xf>
    <xf numFmtId="177" fontId="7" fillId="0" borderId="3" xfId="0" applyFont="true" applyBorder="true" applyAlignment="true" applyProtection="false">
      <alignment horizontal="left" vertical="center" textRotation="0" wrapText="false" indent="0" shrinkToFit="false"/>
      <protection locked="true" hidden="false"/>
    </xf>
    <xf numFmtId="173" fontId="4" fillId="0" borderId="6" xfId="0" applyFont="true" applyBorder="true" applyAlignment="true" applyProtection="false">
      <alignment horizontal="right" vertical="center" textRotation="0" wrapText="false" indent="0" shrinkToFit="false"/>
      <protection locked="true" hidden="false"/>
    </xf>
    <xf numFmtId="178" fontId="0" fillId="0" borderId="6" xfId="0" applyFont="false" applyBorder="true" applyAlignment="true" applyProtection="false">
      <alignment horizontal="right" vertical="center" textRotation="0" wrapText="false" indent="0" shrinkToFit="false"/>
      <protection locked="true" hidden="false"/>
    </xf>
    <xf numFmtId="179" fontId="7" fillId="0" borderId="3" xfId="0" applyFont="true" applyBorder="true" applyAlignment="true" applyProtection="false">
      <alignment horizontal="left" vertical="center" textRotation="0" wrapText="false" indent="0" shrinkToFit="false"/>
      <protection locked="true" hidden="false"/>
    </xf>
    <xf numFmtId="164" fontId="18" fillId="13" borderId="6" xfId="0" applyFont="true" applyBorder="true" applyAlignment="true" applyProtection="false">
      <alignment horizontal="left" vertical="center" textRotation="0" wrapText="false" indent="0" shrinkToFit="false"/>
      <protection locked="true" hidden="false"/>
    </xf>
    <xf numFmtId="173" fontId="0" fillId="13" borderId="6" xfId="0" applyFont="false" applyBorder="true" applyAlignment="true" applyProtection="false">
      <alignment horizontal="right" vertical="center" textRotation="0" wrapText="false" indent="0" shrinkToFit="false"/>
      <protection locked="true" hidden="false"/>
    </xf>
    <xf numFmtId="173" fontId="18" fillId="13" borderId="6" xfId="0" applyFont="true" applyBorder="true" applyAlignment="true" applyProtection="false">
      <alignment horizontal="right" vertical="center" textRotation="0" wrapText="false" indent="0" shrinkToFit="false"/>
      <protection locked="true" hidden="false"/>
    </xf>
    <xf numFmtId="177" fontId="7" fillId="13" borderId="3" xfId="0" applyFont="true" applyBorder="true" applyAlignment="true" applyProtection="false">
      <alignment horizontal="left" vertical="center" textRotation="0" wrapText="false" indent="0" shrinkToFit="false"/>
      <protection locked="true" hidden="false"/>
    </xf>
    <xf numFmtId="173" fontId="4" fillId="13" borderId="6" xfId="0" applyFont="true" applyBorder="true" applyAlignment="true" applyProtection="false">
      <alignment horizontal="right" vertical="center" textRotation="0" wrapText="false" indent="0" shrinkToFit="false"/>
      <protection locked="true" hidden="false"/>
    </xf>
    <xf numFmtId="178" fontId="0" fillId="13" borderId="6" xfId="0" applyFont="false" applyBorder="true" applyAlignment="true" applyProtection="false">
      <alignment horizontal="right" vertical="center" textRotation="0" wrapText="false" indent="0" shrinkToFit="false"/>
      <protection locked="true" hidden="false"/>
    </xf>
    <xf numFmtId="173" fontId="4" fillId="11" borderId="6" xfId="0" applyFont="true" applyBorder="true" applyAlignment="true" applyProtection="false">
      <alignment horizontal="right" vertical="bottom" textRotation="0" wrapText="false" indent="0" shrinkToFit="false"/>
      <protection locked="true" hidden="false"/>
    </xf>
    <xf numFmtId="177" fontId="9" fillId="11" borderId="3" xfId="0" applyFont="true" applyBorder="true" applyAlignment="true" applyProtection="false">
      <alignment horizontal="right" vertical="center" textRotation="0" wrapText="false" indent="0" shrinkToFit="false"/>
      <protection locked="true" hidden="false"/>
    </xf>
    <xf numFmtId="178" fontId="4" fillId="11" borderId="6" xfId="0" applyFont="true" applyBorder="true" applyAlignment="true" applyProtection="false">
      <alignment horizontal="right" vertical="bottom" textRotation="0" wrapText="false" indent="0" shrinkToFit="false"/>
      <protection locked="true" hidden="false"/>
    </xf>
    <xf numFmtId="177" fontId="4" fillId="11" borderId="3" xfId="0" applyFont="true" applyBorder="true" applyAlignment="true" applyProtection="false">
      <alignment horizontal="right" vertical="center" textRotation="0" wrapText="false" indent="0" shrinkToFit="false"/>
      <protection locked="true" hidden="false"/>
    </xf>
    <xf numFmtId="179" fontId="4" fillId="11" borderId="3" xfId="0" applyFont="true" applyBorder="true" applyAlignment="true" applyProtection="false">
      <alignment horizontal="right" vertical="center" textRotation="0" wrapText="false" indent="0" shrinkToFit="false"/>
      <protection locked="true" hidden="false"/>
    </xf>
    <xf numFmtId="164" fontId="19" fillId="0" borderId="0" xfId="0" applyFont="true" applyBorder="true" applyAlignment="true" applyProtection="false">
      <alignment horizontal="general" vertical="bottom" textRotation="0" wrapText="false" indent="0" shrinkToFit="false"/>
      <protection locked="true" hidden="false"/>
    </xf>
    <xf numFmtId="164" fontId="34" fillId="3" borderId="6"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70" fontId="29" fillId="0" borderId="0" xfId="0" applyFont="true" applyBorder="false" applyAlignment="true" applyProtection="false">
      <alignment horizontal="general" vertical="bottom" textRotation="0" wrapText="false" indent="0" shrinkToFit="false"/>
      <protection locked="true" hidden="false"/>
    </xf>
    <xf numFmtId="164" fontId="29" fillId="0" borderId="0" xfId="0" applyFont="true" applyBorder="false" applyAlignment="true" applyProtection="false">
      <alignment horizontal="general" vertical="bottom" textRotation="0" wrapText="false" indent="0" shrinkToFit="false"/>
      <protection locked="true" hidden="false"/>
    </xf>
    <xf numFmtId="180" fontId="35" fillId="0" borderId="0" xfId="0" applyFont="true" applyBorder="false" applyAlignment="true" applyProtection="false">
      <alignment horizontal="general" vertical="bottom" textRotation="0" wrapText="false" indent="0" shrinkToFit="false"/>
      <protection locked="true" hidden="false"/>
    </xf>
    <xf numFmtId="181" fontId="6" fillId="0" borderId="0" xfId="0" applyFont="true" applyBorder="false" applyAlignment="true" applyProtection="false">
      <alignment horizontal="general" vertical="bottom" textRotation="0" wrapText="false" indent="0" shrinkToFit="false"/>
      <protection locked="true" hidden="false"/>
    </xf>
    <xf numFmtId="174" fontId="31" fillId="0" borderId="6" xfId="0" applyFont="true" applyBorder="true" applyAlignment="true" applyProtection="false">
      <alignment horizontal="center" vertical="bottom" textRotation="0" wrapText="false" indent="0" shrinkToFit="false"/>
      <protection locked="true" hidden="false"/>
    </xf>
    <xf numFmtId="164" fontId="18" fillId="0" borderId="0" xfId="0" applyFont="true" applyBorder="false" applyAlignment="true" applyProtection="false">
      <alignment horizontal="center" vertical="center" textRotation="0" wrapText="false" indent="0" shrinkToFit="false"/>
      <protection locked="true" hidden="false"/>
    </xf>
    <xf numFmtId="164" fontId="29" fillId="0" borderId="0" xfId="0" applyFont="true" applyBorder="false" applyAlignment="true" applyProtection="false">
      <alignment horizontal="center" vertical="center" textRotation="0" wrapText="false" indent="0" shrinkToFit="false"/>
      <protection locked="true" hidden="false"/>
    </xf>
    <xf numFmtId="164" fontId="28" fillId="0" borderId="0" xfId="0" applyFont="true" applyBorder="false" applyAlignment="true" applyProtection="false">
      <alignment horizontal="general" vertical="bottom" textRotation="0" wrapText="false" indent="0" shrinkToFit="false"/>
      <protection locked="true" hidden="false"/>
    </xf>
    <xf numFmtId="164" fontId="36" fillId="0" borderId="0" xfId="0" applyFont="true" applyBorder="false" applyAlignment="true" applyProtection="false">
      <alignment horizontal="right" vertical="bottom" textRotation="0" wrapText="false" indent="0" shrinkToFit="false"/>
      <protection locked="true" hidden="false"/>
    </xf>
    <xf numFmtId="164" fontId="25" fillId="3" borderId="6" xfId="0" applyFont="true" applyBorder="true" applyAlignment="true" applyProtection="false">
      <alignment horizontal="left" vertical="center" textRotation="0" wrapText="true" indent="0" shrinkToFit="false"/>
      <protection locked="true" hidden="false"/>
    </xf>
    <xf numFmtId="165" fontId="25" fillId="3" borderId="6" xfId="0" applyFont="true" applyBorder="true" applyAlignment="true" applyProtection="false">
      <alignment horizontal="center" vertical="bottom" textRotation="90" wrapText="false" indent="0" shrinkToFit="false"/>
      <protection locked="true" hidden="false"/>
    </xf>
    <xf numFmtId="164" fontId="25" fillId="4" borderId="0" xfId="0" applyFont="true" applyBorder="false" applyAlignment="true" applyProtection="false">
      <alignment horizontal="general" vertical="bottom" textRotation="0" wrapText="false" indent="0" shrinkToFit="false"/>
      <protection locked="true" hidden="false"/>
    </xf>
    <xf numFmtId="164" fontId="0" fillId="4" borderId="0" xfId="0" applyFont="false" applyBorder="false" applyAlignment="true" applyProtection="false">
      <alignment horizontal="general" vertical="bottom" textRotation="0" wrapText="false" indent="0" shrinkToFit="false"/>
      <protection locked="true" hidden="false"/>
    </xf>
    <xf numFmtId="182" fontId="28" fillId="0" borderId="0" xfId="0" applyFont="true" applyBorder="false" applyAlignment="true" applyProtection="false">
      <alignment horizontal="general" vertical="bottom" textRotation="0" wrapText="false" indent="0" shrinkToFit="false"/>
      <protection locked="true" hidden="false"/>
    </xf>
    <xf numFmtId="183" fontId="31" fillId="0" borderId="0" xfId="0" applyFont="true" applyBorder="false" applyAlignment="true" applyProtection="false">
      <alignment horizontal="center" vertical="bottom" textRotation="0" wrapText="false" indent="0" shrinkToFit="false"/>
      <protection locked="true" hidden="false"/>
    </xf>
    <xf numFmtId="174" fontId="31" fillId="0" borderId="0" xfId="0" applyFont="true" applyBorder="false" applyAlignment="true" applyProtection="false">
      <alignment horizontal="center" vertical="bottom" textRotation="0" wrapText="false" indent="0" shrinkToFit="false"/>
      <protection locked="true" hidden="false"/>
    </xf>
    <xf numFmtId="184" fontId="0" fillId="0" borderId="0" xfId="0" applyFont="false" applyBorder="false" applyAlignment="true" applyProtection="false">
      <alignment horizontal="general" vertical="bottom" textRotation="0" wrapText="false" indent="0" shrinkToFit="false"/>
      <protection locked="true" hidden="false"/>
    </xf>
    <xf numFmtId="184" fontId="4" fillId="0" borderId="0" xfId="0" applyFont="true" applyBorder="false" applyAlignment="true" applyProtection="false">
      <alignment horizontal="center" vertical="bottom" textRotation="0" wrapText="false" indent="0" shrinkToFit="false"/>
      <protection locked="true" hidden="false"/>
    </xf>
    <xf numFmtId="185" fontId="4" fillId="0" borderId="0" xfId="0" applyFont="true" applyBorder="false" applyAlignment="true" applyProtection="false">
      <alignment horizontal="center" vertical="bottom" textRotation="0" wrapText="false" indent="0" shrinkToFit="false"/>
      <protection locked="true" hidden="false"/>
    </xf>
    <xf numFmtId="164" fontId="37" fillId="0" borderId="0" xfId="0" applyFont="true" applyBorder="false" applyAlignment="true" applyProtection="false">
      <alignment horizontal="general" vertical="bottom" textRotation="0" wrapText="false" indent="0" shrinkToFit="false"/>
      <protection locked="true" hidden="false"/>
    </xf>
    <xf numFmtId="184" fontId="28" fillId="0" borderId="0" xfId="0" applyFont="true" applyBorder="false" applyAlignment="true" applyProtection="false">
      <alignment horizontal="center" vertical="bottom" textRotation="0" wrapText="false" indent="0" shrinkToFit="false"/>
      <protection locked="true" hidden="false"/>
    </xf>
    <xf numFmtId="164" fontId="9" fillId="14" borderId="0" xfId="0" applyFont="true" applyBorder="false" applyAlignment="true" applyProtection="false">
      <alignment horizontal="general" vertical="bottom" textRotation="0" wrapText="false" indent="0" shrinkToFit="false"/>
      <protection locked="true" hidden="false"/>
    </xf>
    <xf numFmtId="164" fontId="0" fillId="14" borderId="0" xfId="0" applyFont="false" applyBorder="false" applyAlignment="true" applyProtection="false">
      <alignment horizontal="general" vertical="bottom" textRotation="0" wrapText="false" indent="0" shrinkToFit="false"/>
      <protection locked="true" hidden="false"/>
    </xf>
    <xf numFmtId="184" fontId="9" fillId="14" borderId="0" xfId="0" applyFont="true" applyBorder="false" applyAlignment="true" applyProtection="false">
      <alignment horizontal="center" vertical="bottom" textRotation="0" wrapText="false" indent="0" shrinkToFit="false"/>
      <protection locked="true" hidden="false"/>
    </xf>
    <xf numFmtId="185" fontId="9" fillId="14" borderId="0" xfId="0" applyFont="true" applyBorder="false" applyAlignment="true" applyProtection="false">
      <alignment horizontal="center" vertical="bottom" textRotation="0" wrapText="false" indent="0" shrinkToFit="false"/>
      <protection locked="true" hidden="false"/>
    </xf>
    <xf numFmtId="186" fontId="28" fillId="0" borderId="0" xfId="0" applyFont="true" applyBorder="false" applyAlignment="true" applyProtection="false">
      <alignment horizontal="center" vertical="bottom" textRotation="0" wrapText="false" indent="0" shrinkToFit="false"/>
      <protection locked="true" hidden="false"/>
    </xf>
    <xf numFmtId="187" fontId="28" fillId="0" borderId="0" xfId="0" applyFont="true" applyBorder="false" applyAlignment="true" applyProtection="false">
      <alignment horizontal="center" vertical="bottom" textRotation="0" wrapText="false" indent="0" shrinkToFit="false"/>
      <protection locked="true" hidden="false"/>
    </xf>
    <xf numFmtId="188" fontId="28" fillId="0" borderId="0" xfId="0" applyFont="true" applyBorder="false" applyAlignment="true" applyProtection="false">
      <alignment horizontal="center" vertical="bottom" textRotation="0" wrapText="false" indent="0" shrinkToFit="false"/>
      <protection locked="true" hidden="false"/>
    </xf>
    <xf numFmtId="164" fontId="38" fillId="0" borderId="0" xfId="0" applyFont="true" applyBorder="false" applyAlignment="true" applyProtection="false">
      <alignment horizontal="general" vertical="bottom" textRotation="0" wrapText="false" indent="0" shrinkToFit="false"/>
      <protection locked="true" hidden="false"/>
    </xf>
    <xf numFmtId="164" fontId="39" fillId="0" borderId="0" xfId="0" applyFont="true" applyBorder="false" applyAlignment="true" applyProtection="false">
      <alignment horizontal="general" vertical="bottom" textRotation="0" wrapText="false" indent="0" shrinkToFit="false"/>
      <protection locked="true" hidden="false"/>
    </xf>
    <xf numFmtId="164" fontId="40" fillId="0" borderId="0" xfId="0" applyFont="true" applyBorder="false" applyAlignment="true" applyProtection="false">
      <alignment horizontal="general" vertical="bottom" textRotation="0" wrapText="false" indent="0" shrinkToFit="false"/>
      <protection locked="true" hidden="false"/>
    </xf>
    <xf numFmtId="182" fontId="32" fillId="0" borderId="0" xfId="0" applyFont="true" applyBorder="false" applyAlignment="true" applyProtection="false">
      <alignment horizontal="general" vertical="bottom" textRotation="0" wrapText="false" indent="0" shrinkToFit="false"/>
      <protection locked="true" hidden="false"/>
    </xf>
    <xf numFmtId="164" fontId="41" fillId="0" borderId="0" xfId="0" applyFont="true" applyBorder="false" applyAlignment="true" applyProtection="false">
      <alignment horizontal="general" vertical="bottom" textRotation="0" wrapText="false" indent="0" shrinkToFit="false"/>
      <protection locked="true" hidden="false"/>
    </xf>
    <xf numFmtId="164" fontId="23" fillId="11" borderId="6" xfId="0" applyFont="true" applyBorder="true" applyAlignment="true" applyProtection="false">
      <alignment horizontal="general" vertical="bottom" textRotation="0" wrapText="false" indent="0" shrinkToFit="false"/>
      <protection locked="true" hidden="false"/>
    </xf>
    <xf numFmtId="164" fontId="0" fillId="11" borderId="6" xfId="0" applyFont="false" applyBorder="true" applyAlignment="true" applyProtection="false">
      <alignment horizontal="general" vertical="bottom" textRotation="0" wrapText="false" indent="0" shrinkToFit="false"/>
      <protection locked="true" hidden="false"/>
    </xf>
    <xf numFmtId="182" fontId="31" fillId="0" borderId="6" xfId="0" applyFont="true" applyBorder="true" applyAlignment="true" applyProtection="false">
      <alignment horizontal="general" vertical="bottom" textRotation="0" wrapText="false" indent="0" shrinkToFit="false"/>
      <protection locked="true" hidden="false"/>
    </xf>
    <xf numFmtId="179" fontId="31" fillId="0" borderId="6" xfId="0" applyFont="true" applyBorder="true" applyAlignment="true" applyProtection="false">
      <alignment horizontal="general" vertical="bottom" textRotation="0" wrapText="false" indent="0" shrinkToFit="false"/>
      <protection locked="true" hidden="false"/>
    </xf>
    <xf numFmtId="164" fontId="31" fillId="13" borderId="6" xfId="0" applyFont="true" applyBorder="true" applyAlignment="true" applyProtection="false">
      <alignment horizontal="general" vertical="bottom" textRotation="0" wrapText="false" indent="0" shrinkToFit="false"/>
      <protection locked="true" hidden="false"/>
    </xf>
    <xf numFmtId="182" fontId="31" fillId="13" borderId="6" xfId="0" applyFont="true" applyBorder="true" applyAlignment="true" applyProtection="false">
      <alignment horizontal="general" vertical="bottom" textRotation="0" wrapText="false" indent="0" shrinkToFit="false"/>
      <protection locked="true" hidden="false"/>
    </xf>
    <xf numFmtId="164" fontId="31" fillId="13" borderId="6" xfId="0" applyFont="true" applyBorder="true" applyAlignment="true" applyProtection="false">
      <alignment horizontal="center" vertical="bottom" textRotation="0" wrapText="false" indent="0" shrinkToFit="false"/>
      <protection locked="true" hidden="false"/>
    </xf>
    <xf numFmtId="179" fontId="31" fillId="13" borderId="6" xfId="0" applyFont="true" applyBorder="true" applyAlignment="true" applyProtection="false">
      <alignment horizontal="general" vertical="bottom" textRotation="0" wrapText="false" indent="0" shrinkToFit="false"/>
      <protection locked="true" hidden="false"/>
    </xf>
    <xf numFmtId="189" fontId="17" fillId="0" borderId="0" xfId="0" applyFont="true" applyBorder="false" applyAlignment="true" applyProtection="false">
      <alignment horizontal="general" vertical="bottom" textRotation="0" wrapText="false" indent="0" shrinkToFit="false"/>
      <protection locked="true" hidden="false"/>
    </xf>
    <xf numFmtId="170" fontId="17" fillId="0" borderId="0" xfId="0" applyFont="true" applyBorder="false" applyAlignment="true" applyProtection="false">
      <alignment horizontal="general" vertical="bottom" textRotation="0" wrapText="false" indent="0" shrinkToFit="false"/>
      <protection locked="true" hidden="false"/>
    </xf>
    <xf numFmtId="170" fontId="18" fillId="0" borderId="0" xfId="0" applyFont="true" applyBorder="false" applyAlignment="true" applyProtection="false">
      <alignment horizontal="general" vertical="bottom" textRotation="0" wrapText="false" indent="0" shrinkToFit="false"/>
      <protection locked="true" hidden="false"/>
    </xf>
    <xf numFmtId="164" fontId="25" fillId="15" borderId="0" xfId="0" applyFont="true" applyBorder="false" applyAlignment="true" applyProtection="false">
      <alignment horizontal="general" vertical="bottom" textRotation="0" wrapText="false" indent="0" shrinkToFit="false"/>
      <protection locked="true" hidden="false"/>
    </xf>
    <xf numFmtId="164" fontId="42" fillId="16" borderId="0" xfId="0" applyFont="true" applyBorder="false" applyAlignment="true" applyProtection="false">
      <alignment horizontal="general" vertical="bottom" textRotation="0" wrapText="false" indent="0" shrinkToFit="false"/>
      <protection locked="true" hidden="false"/>
    </xf>
    <xf numFmtId="164" fontId="18" fillId="17" borderId="2" xfId="0" applyFont="true" applyBorder="true" applyAlignment="true" applyProtection="false">
      <alignment horizontal="general" vertical="bottom" textRotation="0" wrapText="false" indent="0" shrinkToFit="false"/>
      <protection locked="true" hidden="false"/>
    </xf>
    <xf numFmtId="170" fontId="18" fillId="18" borderId="2" xfId="0" applyFont="true" applyBorder="true" applyAlignment="true" applyProtection="false">
      <alignment horizontal="general" vertical="bottom" textRotation="0" wrapText="false" indent="0" shrinkToFit="false"/>
      <protection locked="true" hidden="false"/>
    </xf>
    <xf numFmtId="164" fontId="18" fillId="17" borderId="9" xfId="0" applyFont="true" applyBorder="true" applyAlignment="true" applyProtection="false">
      <alignment horizontal="general" vertical="bottom" textRotation="0" wrapText="false" indent="0" shrinkToFit="false"/>
      <protection locked="true" hidden="false"/>
    </xf>
    <xf numFmtId="170" fontId="18" fillId="18" borderId="9" xfId="0" applyFont="true" applyBorder="true" applyAlignment="true" applyProtection="false">
      <alignment horizontal="general" vertical="bottom" textRotation="0" wrapText="false" indent="0" shrinkToFit="false"/>
      <protection locked="true" hidden="false"/>
    </xf>
    <xf numFmtId="164" fontId="25" fillId="19" borderId="0" xfId="0" applyFont="true" applyBorder="false" applyAlignment="true" applyProtection="false">
      <alignment horizontal="general" vertical="bottom" textRotation="0" wrapText="false" indent="0" shrinkToFit="false"/>
      <protection locked="true" hidden="false"/>
    </xf>
    <xf numFmtId="164" fontId="18" fillId="17" borderId="0" xfId="0" applyFont="true" applyBorder="false" applyAlignment="true" applyProtection="false">
      <alignment horizontal="general" vertical="bottom" textRotation="0" wrapText="false" indent="0" shrinkToFit="false"/>
      <protection locked="true" hidden="false"/>
    </xf>
    <xf numFmtId="164" fontId="43" fillId="0" borderId="0" xfId="0" applyFont="true" applyBorder="false" applyAlignment="true" applyProtection="false">
      <alignment horizontal="general" vertical="bottom" textRotation="0" wrapText="false" indent="0" shrinkToFit="false"/>
      <protection locked="true" hidden="false"/>
    </xf>
    <xf numFmtId="189" fontId="18" fillId="17" borderId="0" xfId="0" applyFont="true" applyBorder="false" applyAlignment="true" applyProtection="false">
      <alignment horizontal="general" vertical="bottom" textRotation="0" wrapText="false" indent="0" shrinkToFit="false"/>
      <protection locked="true" hidden="false"/>
    </xf>
    <xf numFmtId="170" fontId="18" fillId="17" borderId="0" xfId="0" applyFont="true" applyBorder="false" applyAlignment="true" applyProtection="false">
      <alignment horizontal="general" vertical="bottom" textRotation="0" wrapText="false" indent="0" shrinkToFit="false"/>
      <protection locked="true" hidden="false"/>
    </xf>
    <xf numFmtId="164" fontId="25" fillId="20" borderId="0" xfId="0" applyFont="true" applyBorder="false" applyAlignment="true" applyProtection="false">
      <alignment horizontal="general" vertical="bottom" textRotation="0" wrapText="false" indent="0" shrinkToFit="false"/>
      <protection locked="true" hidden="false"/>
    </xf>
    <xf numFmtId="164" fontId="18" fillId="21" borderId="0" xfId="0" applyFont="true" applyBorder="false" applyAlignment="true" applyProtection="false">
      <alignment horizontal="general" vertical="bottom" textRotation="0" wrapText="false" indent="0" shrinkToFit="false"/>
      <protection locked="true" hidden="false"/>
    </xf>
    <xf numFmtId="170" fontId="18" fillId="21" borderId="0" xfId="0" applyFont="true" applyBorder="false" applyAlignment="true" applyProtection="false">
      <alignment horizontal="general" vertical="bottom" textRotation="0" wrapText="false" indent="0" shrinkToFit="false"/>
      <protection locked="true" hidden="false"/>
    </xf>
    <xf numFmtId="164" fontId="25" fillId="22" borderId="0" xfId="0" applyFont="true" applyBorder="false" applyAlignment="true" applyProtection="false">
      <alignment horizontal="general" vertical="bottom" textRotation="0" wrapText="false" indent="0" shrinkToFit="false"/>
      <protection locked="true" hidden="false"/>
    </xf>
    <xf numFmtId="164" fontId="18" fillId="23" borderId="0" xfId="0" applyFont="true" applyBorder="false" applyAlignment="true" applyProtection="false">
      <alignment horizontal="general" vertical="bottom" textRotation="0" wrapText="false" indent="0" shrinkToFit="false"/>
      <protection locked="true" hidden="false"/>
    </xf>
    <xf numFmtId="170" fontId="18" fillId="23" borderId="0" xfId="0" applyFont="true" applyBorder="false" applyAlignment="true" applyProtection="false">
      <alignment horizontal="general" vertical="bottom" textRotation="0" wrapText="false" indent="0" shrinkToFit="false"/>
      <protection locked="true" hidden="false"/>
    </xf>
    <xf numFmtId="164" fontId="25" fillId="10" borderId="0" xfId="0" applyFont="true" applyBorder="false" applyAlignment="true" applyProtection="false">
      <alignment horizontal="general" vertical="bottom" textRotation="0" wrapText="false" indent="0" shrinkToFit="false"/>
      <protection locked="true" hidden="false"/>
    </xf>
    <xf numFmtId="164" fontId="18" fillId="18" borderId="0" xfId="0" applyFont="true" applyBorder="false" applyAlignment="true" applyProtection="false">
      <alignment horizontal="general" vertical="bottom" textRotation="0" wrapText="false" indent="0" shrinkToFit="false"/>
      <protection locked="true" hidden="false"/>
    </xf>
    <xf numFmtId="170" fontId="18" fillId="18" borderId="0" xfId="0" applyFont="true" applyBorder="false" applyAlignment="true" applyProtection="false">
      <alignment horizontal="general" vertical="bottom" textRotation="0" wrapText="fals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true" applyAlignment="true" applyProtection="false">
      <alignment horizontal="general" vertical="bottom" textRotation="0" wrapText="true" indent="0" shrinkToFit="false"/>
      <protection locked="true" hidden="false"/>
    </xf>
    <xf numFmtId="164" fontId="25" fillId="24" borderId="0" xfId="0" applyFont="true" applyBorder="false" applyAlignment="true" applyProtection="false">
      <alignment horizontal="general" vertical="bottom" textRotation="0" wrapText="false" indent="0" shrinkToFit="false"/>
      <protection locked="true" hidden="false"/>
    </xf>
    <xf numFmtId="176" fontId="17" fillId="0" borderId="0" xfId="0" applyFont="true" applyBorder="false" applyAlignment="true" applyProtection="false">
      <alignment horizontal="general" vertical="bottom" textRotation="0" wrapText="false" indent="0" shrinkToFit="false"/>
      <protection locked="true" hidden="false"/>
    </xf>
    <xf numFmtId="170" fontId="10" fillId="0" borderId="0" xfId="0" applyFont="true" applyBorder="false" applyAlignment="true" applyProtection="false">
      <alignment horizontal="general" vertical="bottom" textRotation="0" wrapText="false" indent="0" shrinkToFit="false"/>
      <protection locked="true" hidden="false"/>
    </xf>
    <xf numFmtId="170" fontId="7" fillId="0" borderId="0" xfId="0" applyFont="true" applyBorder="false" applyAlignment="true" applyProtection="false">
      <alignment horizontal="general" vertical="bottom" textRotation="0" wrapText="false" indent="0" shrinkToFit="false"/>
      <protection locked="true" hidden="false"/>
    </xf>
    <xf numFmtId="170" fontId="0" fillId="0" borderId="0" xfId="0" applyFont="false" applyBorder="false" applyAlignment="true" applyProtection="false">
      <alignment horizontal="general" vertical="bottom" textRotation="0" wrapText="false" indent="0" shrinkToFit="false"/>
      <protection locked="true" hidden="false"/>
    </xf>
    <xf numFmtId="170" fontId="44" fillId="2" borderId="0" xfId="0" applyFont="true" applyBorder="false" applyAlignment="true" applyProtection="false">
      <alignment horizontal="general" vertical="bottom" textRotation="0" wrapText="false" indent="0" shrinkToFit="false"/>
      <protection locked="true" hidden="false"/>
    </xf>
    <xf numFmtId="164" fontId="4" fillId="5" borderId="1" xfId="0" applyFont="true" applyBorder="true" applyAlignment="true" applyProtection="false">
      <alignment horizontal="general" vertical="bottom" textRotation="0" wrapText="false" indent="0" shrinkToFit="false"/>
      <protection locked="true" hidden="false"/>
    </xf>
    <xf numFmtId="170" fontId="4" fillId="5" borderId="1" xfId="0" applyFont="true" applyBorder="true" applyAlignment="true" applyProtection="false">
      <alignment horizontal="general" vertical="bottom" textRotation="0" wrapText="false" indent="0" shrinkToFit="false"/>
      <protection locked="true" hidden="false"/>
    </xf>
    <xf numFmtId="170" fontId="4" fillId="2" borderId="0" xfId="0" applyFont="true" applyBorder="false" applyAlignment="true" applyProtection="false">
      <alignment horizontal="general" vertical="bottom" textRotation="0" wrapText="false" indent="0" shrinkToFit="false"/>
      <protection locked="true" hidden="false"/>
    </xf>
    <xf numFmtId="164" fontId="45" fillId="2" borderId="0" xfId="0" applyFont="true" applyBorder="false" applyAlignment="true" applyProtection="false">
      <alignment horizontal="general" vertical="bottom" textRotation="0" wrapText="false" indent="0" shrinkToFit="false"/>
      <protection locked="true" hidden="false"/>
    </xf>
    <xf numFmtId="170" fontId="45" fillId="2" borderId="0" xfId="0" applyFont="true" applyBorder="false" applyAlignment="true" applyProtection="false">
      <alignment horizontal="general" vertical="bottom" textRotation="0" wrapText="false" indent="0" shrinkToFit="false"/>
      <protection locked="true" hidden="false"/>
    </xf>
    <xf numFmtId="165" fontId="35" fillId="2" borderId="0" xfId="0" applyFont="true" applyBorder="false" applyAlignment="true" applyProtection="false">
      <alignment horizontal="general" vertical="bottom" textRotation="0" wrapText="false" indent="0" shrinkToFit="false"/>
      <protection locked="true" hidden="false"/>
    </xf>
    <xf numFmtId="164" fontId="46" fillId="2" borderId="0" xfId="0" applyFont="true" applyBorder="false" applyAlignment="true" applyProtection="false">
      <alignment horizontal="general" vertical="bottom" textRotation="0" wrapText="false" indent="0" shrinkToFit="false"/>
      <protection locked="true" hidden="false"/>
    </xf>
    <xf numFmtId="165" fontId="4" fillId="2" borderId="0" xfId="0" applyFont="true" applyBorder="false" applyAlignment="true" applyProtection="false">
      <alignment horizontal="general" vertical="bottom" textRotation="0" wrapText="false" indent="0" shrinkToFit="false"/>
      <protection locked="true" hidden="false"/>
    </xf>
    <xf numFmtId="180" fontId="44" fillId="2" borderId="0" xfId="0" applyFont="true" applyBorder="false" applyAlignment="true" applyProtection="false">
      <alignment horizontal="general" vertical="bottom" textRotation="0" wrapText="false" indent="0" shrinkToFit="false"/>
      <protection locked="true" hidden="false"/>
    </xf>
    <xf numFmtId="180" fontId="29" fillId="25" borderId="0" xfId="0" applyFont="true" applyBorder="false" applyAlignment="true" applyProtection="false">
      <alignment horizontal="general" vertical="bottom" textRotation="0" wrapText="false" indent="0" shrinkToFit="false"/>
      <protection locked="true" hidden="false"/>
    </xf>
    <xf numFmtId="180" fontId="35" fillId="2" borderId="0" xfId="0" applyFont="true" applyBorder="false" applyAlignment="true" applyProtection="false">
      <alignment horizontal="general" vertical="bottom" textRotation="0" wrapText="false" indent="0" shrinkToFit="false"/>
      <protection locked="true" hidden="false"/>
    </xf>
    <xf numFmtId="170" fontId="29" fillId="25" borderId="0" xfId="0" applyFont="true" applyBorder="false" applyAlignment="true" applyProtection="false">
      <alignment horizontal="general" vertical="bottom" textRotation="0" wrapText="false" indent="0" shrinkToFit="false"/>
      <protection locked="true" hidden="false"/>
    </xf>
    <xf numFmtId="170" fontId="35" fillId="2" borderId="0" xfId="0" applyFont="true" applyBorder="false" applyAlignment="true" applyProtection="false">
      <alignment horizontal="general" vertical="bottom" textRotation="0" wrapText="false" indent="0" shrinkToFit="false"/>
      <protection locked="true" hidden="false"/>
    </xf>
    <xf numFmtId="189" fontId="29" fillId="2" borderId="0" xfId="0" applyFont="true" applyBorder="false" applyAlignment="true" applyProtection="false">
      <alignment horizontal="general" vertical="bottom" textRotation="0" wrapText="false" indent="0" shrinkToFit="false"/>
      <protection locked="true" hidden="false"/>
    </xf>
    <xf numFmtId="189" fontId="29" fillId="25" borderId="0" xfId="0" applyFont="true" applyBorder="false" applyAlignment="true" applyProtection="false">
      <alignment horizontal="general" vertical="bottom" textRotation="0" wrapText="false" indent="0" shrinkToFit="false"/>
      <protection locked="true" hidden="false"/>
    </xf>
    <xf numFmtId="189" fontId="35" fillId="2" borderId="0" xfId="0" applyFont="true" applyBorder="false" applyAlignment="true" applyProtection="false">
      <alignment horizontal="general" vertical="bottom" textRotation="0" wrapText="false" indent="0" shrinkToFit="false"/>
      <protection locked="true" hidden="false"/>
    </xf>
    <xf numFmtId="170" fontId="29" fillId="2" borderId="0" xfId="0" applyFont="true" applyBorder="false" applyAlignment="true" applyProtection="false">
      <alignment horizontal="general" vertical="bottom" textRotation="0" wrapText="false" indent="0" shrinkToFit="false"/>
      <protection locked="true" hidden="false"/>
    </xf>
    <xf numFmtId="164" fontId="44" fillId="2" borderId="0" xfId="0" applyFont="true" applyBorder="false" applyAlignment="true" applyProtection="false">
      <alignment horizontal="general" vertical="bottom" textRotation="0" wrapText="false" indent="0" shrinkToFit="false"/>
      <protection locked="true" hidden="false"/>
    </xf>
    <xf numFmtId="164" fontId="5" fillId="4" borderId="0" xfId="0" applyFont="true" applyBorder="false" applyAlignment="true" applyProtection="false">
      <alignment horizontal="center" vertical="bottom" textRotation="0" wrapText="false" indent="0" shrinkToFit="false"/>
      <protection locked="true" hidden="false"/>
    </xf>
    <xf numFmtId="170" fontId="9" fillId="6" borderId="1" xfId="0" applyFont="true" applyBorder="true" applyAlignment="true" applyProtection="false">
      <alignment horizontal="general" vertical="bottom" textRotation="0" wrapText="false" indent="0" shrinkToFit="false"/>
      <protection locked="true" hidden="false"/>
    </xf>
    <xf numFmtId="164" fontId="4" fillId="9" borderId="1" xfId="0" applyFont="true" applyBorder="true" applyAlignment="true" applyProtection="false">
      <alignment horizontal="general" vertical="bottom" textRotation="0" wrapText="false" indent="0" shrinkToFit="false"/>
      <protection locked="true" hidden="false"/>
    </xf>
    <xf numFmtId="170" fontId="4" fillId="9" borderId="1" xfId="0" applyFont="true" applyBorder="true" applyAlignment="tru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general" vertical="bottom" textRotation="0" wrapText="false" indent="0" shrinkToFit="false"/>
      <protection locked="true" hidden="false"/>
    </xf>
    <xf numFmtId="180" fontId="5" fillId="2" borderId="0" xfId="0" applyFont="true" applyBorder="false" applyAlignment="true" applyProtection="false">
      <alignment horizontal="center" vertical="bottom" textRotation="0" wrapText="false" indent="0" shrinkToFit="false"/>
      <protection locked="true" hidden="false"/>
    </xf>
    <xf numFmtId="180" fontId="6" fillId="2" borderId="0" xfId="0" applyFont="true" applyBorder="false" applyAlignment="true" applyProtection="false">
      <alignment horizontal="general" vertical="bottom" textRotation="0" wrapText="false" indent="0" shrinkToFit="false"/>
      <protection locked="true" hidden="false"/>
    </xf>
    <xf numFmtId="170" fontId="4" fillId="25" borderId="0" xfId="0" applyFont="true" applyBorder="false" applyAlignment="true" applyProtection="false">
      <alignment horizontal="general" vertical="bottom" textRotation="0" wrapText="false" indent="0" shrinkToFit="false"/>
      <protection locked="true" hidden="false"/>
    </xf>
    <xf numFmtId="170" fontId="29" fillId="9" borderId="1" xfId="0" applyFont="true" applyBorder="true" applyAlignment="true" applyProtection="false">
      <alignment horizontal="general" vertical="bottom" textRotation="0" wrapText="false" indent="0" shrinkToFit="false"/>
      <protection locked="true" hidden="false"/>
    </xf>
    <xf numFmtId="170" fontId="35" fillId="9" borderId="1" xfId="0" applyFont="true" applyBorder="true" applyAlignment="true" applyProtection="false">
      <alignment horizontal="general" vertical="bottom" textRotation="0" wrapText="false" indent="0" shrinkToFit="false"/>
      <protection locked="true" hidden="false"/>
    </xf>
    <xf numFmtId="180" fontId="29" fillId="2" borderId="0" xfId="0" applyFont="true" applyBorder="false" applyAlignment="true" applyProtection="false">
      <alignment horizontal="general" vertical="bottom" textRotation="0" wrapText="false" indent="0" shrinkToFit="false"/>
      <protection locked="true" hidden="false"/>
    </xf>
    <xf numFmtId="164" fontId="29" fillId="2" borderId="0" xfId="0" applyFont="true" applyBorder="false" applyAlignment="true" applyProtection="false">
      <alignment horizontal="general" vertical="bottom" textRotation="0" wrapText="false" indent="0" shrinkToFit="false"/>
      <protection locked="true" hidden="false"/>
    </xf>
    <xf numFmtId="164" fontId="35" fillId="2" borderId="0" xfId="0" applyFont="true" applyBorder="false" applyAlignment="true" applyProtection="false">
      <alignment horizontal="general" vertical="bottom" textRotation="0" wrapText="false" indent="0" shrinkToFit="false"/>
      <protection locked="true" hidden="false"/>
    </xf>
    <xf numFmtId="170" fontId="9" fillId="2" borderId="0" xfId="0" applyFont="true" applyBorder="false" applyAlignment="true" applyProtection="false">
      <alignment horizontal="general" vertical="bottom" textRotation="0" wrapText="false" indent="0" shrinkToFit="false"/>
      <protection locked="true" hidden="false"/>
    </xf>
    <xf numFmtId="180" fontId="29"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81" fontId="0" fillId="0" borderId="0" xfId="0" applyFont="false" applyBorder="false" applyAlignment="true" applyProtection="false">
      <alignment horizontal="general" vertical="bottom" textRotation="0" wrapText="false" indent="0" shrinkToFit="false"/>
      <protection locked="true" hidden="false"/>
    </xf>
    <xf numFmtId="189" fontId="0" fillId="0" borderId="0" xfId="0" applyFont="false" applyBorder="false" applyAlignment="true" applyProtection="false">
      <alignment horizontal="general" vertical="bottom" textRotation="0" wrapText="false" indent="0" shrinkToFit="false"/>
      <protection locked="true" hidden="false"/>
    </xf>
    <xf numFmtId="164" fontId="29" fillId="25" borderId="0" xfId="0" applyFont="true" applyBorder="false" applyAlignment="true" applyProtection="false">
      <alignment horizontal="general" vertical="bottom" textRotation="0" wrapText="false" indent="0" shrinkToFit="false"/>
      <protection locked="true" hidden="false"/>
    </xf>
    <xf numFmtId="164" fontId="46" fillId="0" borderId="0" xfId="0" applyFont="true" applyBorder="false" applyAlignment="true" applyProtection="false">
      <alignment horizontal="general" vertical="bottom" textRotation="0" wrapText="false" indent="0" shrinkToFit="false"/>
      <protection locked="true" hidden="false"/>
    </xf>
    <xf numFmtId="170" fontId="35" fillId="0" borderId="0" xfId="0" applyFont="true" applyBorder="false" applyAlignment="true" applyProtection="false">
      <alignment horizontal="general" vertical="bottom" textRotation="0" wrapText="false" indent="0" shrinkToFit="false"/>
      <protection locked="true" hidden="false"/>
    </xf>
    <xf numFmtId="164" fontId="17" fillId="4" borderId="0" xfId="0" applyFont="true" applyBorder="false" applyAlignment="true" applyProtection="false">
      <alignment horizontal="general" vertical="bottom" textRotation="0" wrapText="false" indent="0" shrinkToFit="false"/>
      <protection locked="true" hidden="false"/>
    </xf>
    <xf numFmtId="190" fontId="17" fillId="0" borderId="0" xfId="0" applyFont="true" applyBorder="false" applyAlignment="true" applyProtection="false">
      <alignment horizontal="general" vertical="bottom" textRotation="0" wrapText="false" indent="0" shrinkToFit="false"/>
      <protection locked="true" hidden="false"/>
    </xf>
    <xf numFmtId="164" fontId="25" fillId="26" borderId="0" xfId="0" applyFont="true" applyBorder="false" applyAlignment="true" applyProtection="false">
      <alignment horizontal="general" vertical="bottom" textRotation="0" wrapText="false" indent="0" shrinkToFit="false"/>
      <protection locked="true" hidden="false"/>
    </xf>
    <xf numFmtId="164" fontId="17" fillId="27" borderId="10" xfId="0" applyFont="true" applyBorder="true" applyAlignment="true" applyProtection="false">
      <alignment horizontal="general" vertical="bottom" textRotation="0" wrapText="false" indent="0" shrinkToFit="false"/>
      <protection locked="true" hidden="false"/>
    </xf>
    <xf numFmtId="170" fontId="17" fillId="27" borderId="10" xfId="0" applyFont="true" applyBorder="true" applyAlignment="true" applyProtection="false">
      <alignment horizontal="right" vertical="bottom" textRotation="0" wrapText="false" indent="0" shrinkToFit="false"/>
      <protection locked="true" hidden="false"/>
    </xf>
    <xf numFmtId="164" fontId="17" fillId="7" borderId="10" xfId="0" applyFont="true" applyBorder="true" applyAlignment="true" applyProtection="false">
      <alignment horizontal="general" vertical="bottom" textRotation="0" wrapText="false" indent="0" shrinkToFit="false"/>
      <protection locked="true" hidden="false"/>
    </xf>
    <xf numFmtId="170" fontId="17" fillId="7" borderId="10" xfId="0" applyFont="true" applyBorder="true" applyAlignment="true" applyProtection="false">
      <alignment horizontal="right" vertical="bottom" textRotation="0" wrapText="false" indent="0" shrinkToFit="false"/>
      <protection locked="true" hidden="false"/>
    </xf>
    <xf numFmtId="189" fontId="17" fillId="27" borderId="10" xfId="0" applyFont="true" applyBorder="true" applyAlignment="true" applyProtection="false">
      <alignment horizontal="right" vertical="bottom" textRotation="0" wrapText="false" indent="0" shrinkToFit="false"/>
      <protection locked="true" hidden="false"/>
    </xf>
    <xf numFmtId="164" fontId="25" fillId="3" borderId="0" xfId="0" applyFont="true" applyBorder="false" applyAlignment="true" applyProtection="false">
      <alignment horizontal="left" vertical="center" textRotation="0" wrapText="false" indent="0" shrinkToFit="false"/>
      <protection locked="true" hidden="false"/>
    </xf>
    <xf numFmtId="164" fontId="35" fillId="0" borderId="0" xfId="0" applyFont="true" applyBorder="false" applyAlignment="true" applyProtection="false">
      <alignment horizontal="general" vertical="bottom" textRotation="0" wrapText="false" indent="0" shrinkToFit="false"/>
      <protection locked="true" hidden="false"/>
    </xf>
    <xf numFmtId="164" fontId="35" fillId="28" borderId="0" xfId="0" applyFont="true" applyBorder="false" applyAlignment="true" applyProtection="false">
      <alignment horizontal="right" vertical="bottom" textRotation="0" wrapText="false" indent="0" shrinkToFit="false"/>
      <protection locked="true" hidden="false"/>
    </xf>
    <xf numFmtId="164" fontId="35" fillId="0" borderId="3" xfId="0" applyFont="true" applyBorder="true" applyAlignment="true" applyProtection="false">
      <alignment horizontal="left" vertical="center" textRotation="0" wrapText="false" indent="0" shrinkToFit="false"/>
      <protection locked="true" hidden="false"/>
    </xf>
    <xf numFmtId="177" fontId="4" fillId="28" borderId="3" xfId="0" applyFont="true" applyBorder="true" applyAlignment="true" applyProtection="false">
      <alignment horizontal="right" vertical="center" textRotation="0" wrapText="false" indent="0" shrinkToFit="false"/>
      <protection locked="true" hidden="false"/>
    </xf>
    <xf numFmtId="179" fontId="9" fillId="28" borderId="3" xfId="0" applyFont="true" applyBorder="true" applyAlignment="true" applyProtection="false">
      <alignment horizontal="center" vertical="center" textRotation="0" wrapText="false" indent="0" shrinkToFit="false"/>
      <protection locked="true" hidden="false"/>
    </xf>
    <xf numFmtId="191" fontId="35" fillId="0" borderId="0" xfId="0" applyFont="true" applyBorder="false" applyAlignment="true" applyProtection="false">
      <alignment horizontal="general" vertical="bottom" textRotation="0" wrapText="false" indent="0" shrinkToFit="false"/>
      <protection locked="true" hidden="false"/>
    </xf>
    <xf numFmtId="170" fontId="4" fillId="0" borderId="0" xfId="0" applyFont="true" applyBorder="false" applyAlignment="true" applyProtection="false">
      <alignment horizontal="general" vertical="bottom" textRotation="0" wrapText="false" indent="0" shrinkToFit="false"/>
      <protection locked="true" hidden="false"/>
    </xf>
    <xf numFmtId="164" fontId="45" fillId="0" borderId="0" xfId="0" applyFont="true" applyBorder="false" applyAlignment="true" applyProtection="false">
      <alignment horizontal="general" vertical="bottom" textRotation="0" wrapText="false" indent="0" shrinkToFit="false"/>
      <protection locked="true" hidden="false"/>
    </xf>
    <xf numFmtId="170" fontId="45" fillId="0" borderId="0" xfId="0" applyFont="true" applyBorder="false" applyAlignment="true" applyProtection="false">
      <alignment horizontal="general" vertical="bottom" textRotation="0" wrapText="false" indent="0" shrinkToFit="false"/>
      <protection locked="true" hidden="false"/>
    </xf>
    <xf numFmtId="192" fontId="0" fillId="0" borderId="0" xfId="0" applyFont="false" applyBorder="false" applyAlignment="true" applyProtection="false">
      <alignment horizontal="general" vertical="bottom" textRotation="0" wrapText="false" indent="0" shrinkToFit="false"/>
      <protection locked="true" hidden="false"/>
    </xf>
    <xf numFmtId="164" fontId="42" fillId="0" borderId="0" xfId="0" applyFont="true" applyBorder="false" applyAlignment="true" applyProtection="false">
      <alignment horizontal="general" vertical="bottom" textRotation="0" wrapText="false" indent="0" shrinkToFit="false"/>
      <protection locked="true" hidden="false"/>
    </xf>
    <xf numFmtId="164" fontId="47" fillId="0" borderId="0" xfId="0" applyFont="true" applyBorder="false" applyAlignment="true" applyProtection="false">
      <alignment horizontal="general" vertical="bottom" textRotation="0" wrapText="false" indent="0" shrinkToFit="false"/>
      <protection locked="true" hidden="false"/>
    </xf>
    <xf numFmtId="170" fontId="18" fillId="0" borderId="11" xfId="0" applyFont="true" applyBorder="true" applyAlignment="true" applyProtection="false">
      <alignment horizontal="general" vertical="bottom" textRotation="0" wrapText="false" indent="0" shrinkToFit="false"/>
      <protection locked="true" hidden="false"/>
    </xf>
    <xf numFmtId="167" fontId="10" fillId="0" borderId="0" xfId="0" applyFont="true" applyBorder="false" applyAlignment="true" applyProtection="false">
      <alignment horizontal="right" vertical="bottom" textRotation="0" wrapText="false" indent="0" shrinkToFit="false"/>
      <protection locked="true" hidden="false"/>
    </xf>
    <xf numFmtId="173" fontId="17" fillId="0" borderId="0" xfId="0" applyFont="true" applyBorder="false" applyAlignment="true" applyProtection="false">
      <alignment horizontal="general" vertical="bottom" textRotation="0" wrapText="false" indent="0" shrinkToFit="false"/>
      <protection locked="true" hidden="false"/>
    </xf>
    <xf numFmtId="178" fontId="17" fillId="0" borderId="0" xfId="0" applyFont="true" applyBorder="false" applyAlignment="true" applyProtection="false">
      <alignment horizontal="general" vertical="bottom" textRotation="0" wrapText="false" indent="0" shrinkToFit="false"/>
      <protection locked="true" hidden="false"/>
    </xf>
    <xf numFmtId="173" fontId="35" fillId="0" borderId="0" xfId="0" applyFont="true" applyBorder="false" applyAlignment="true" applyProtection="false">
      <alignment horizontal="right" vertical="center" textRotation="0" wrapText="false" indent="0" shrinkToFit="false"/>
      <protection locked="true" hidden="false"/>
    </xf>
    <xf numFmtId="164" fontId="17" fillId="0" borderId="0" xfId="0" applyFont="true" applyBorder="false" applyAlignment="true" applyProtection="false">
      <alignment horizontal="center" vertical="bottom" textRotation="0" wrapText="false" indent="0" shrinkToFit="false"/>
      <protection locked="true" hidden="false"/>
    </xf>
    <xf numFmtId="164" fontId="17" fillId="0" borderId="12" xfId="0" applyFont="true" applyBorder="true" applyAlignment="true" applyProtection="false">
      <alignment horizontal="general" vertical="bottom" textRotation="0" wrapText="false" indent="0" shrinkToFit="false"/>
      <protection locked="true" hidden="false"/>
    </xf>
    <xf numFmtId="164" fontId="18" fillId="0" borderId="12" xfId="0" applyFont="true" applyBorder="true" applyAlignment="true" applyProtection="false">
      <alignment horizontal="center" vertical="bottom" textRotation="0" wrapText="false" indent="0" shrinkToFit="false"/>
      <protection locked="true" hidden="false"/>
    </xf>
    <xf numFmtId="164" fontId="25" fillId="29" borderId="0" xfId="0" applyFont="true" applyBorder="false" applyAlignment="true" applyProtection="false">
      <alignment horizontal="general" vertical="bottom" textRotation="0" wrapText="false" indent="0" shrinkToFit="false"/>
      <protection locked="true" hidden="false"/>
    </xf>
    <xf numFmtId="170" fontId="25" fillId="29" borderId="0" xfId="0" applyFont="true" applyBorder="false" applyAlignment="true" applyProtection="false">
      <alignment horizontal="general" vertical="bottom" textRotation="0" wrapText="false" indent="0" shrinkToFit="false"/>
      <protection locked="true" hidden="false"/>
    </xf>
    <xf numFmtId="164" fontId="17" fillId="27" borderId="0" xfId="0" applyFont="true" applyBorder="false" applyAlignment="true" applyProtection="false">
      <alignment horizontal="general" vertical="bottom" textRotation="0" wrapText="false" indent="0" shrinkToFit="false"/>
      <protection locked="true" hidden="false"/>
    </xf>
    <xf numFmtId="170" fontId="17" fillId="27" borderId="0" xfId="0" applyFont="true" applyBorder="false" applyAlignment="true" applyProtection="false">
      <alignment horizontal="general" vertical="bottom" textRotation="0" wrapText="false" indent="0" shrinkToFit="false"/>
      <protection locked="true" hidden="false"/>
    </xf>
    <xf numFmtId="164" fontId="10" fillId="0" borderId="11" xfId="0" applyFont="true" applyBorder="true" applyAlignment="true" applyProtection="false">
      <alignment horizontal="general" vertical="bottom" textRotation="0" wrapText="false" indent="0" shrinkToFit="false"/>
      <protection locked="true" hidden="false"/>
    </xf>
    <xf numFmtId="170" fontId="10" fillId="0" borderId="11" xfId="0" applyFont="true" applyBorder="true" applyAlignment="true" applyProtection="false">
      <alignment horizontal="general" vertical="bottom" textRotation="0" wrapText="false" indent="0" shrinkToFit="false"/>
      <protection locked="true" hidden="false"/>
    </xf>
    <xf numFmtId="170" fontId="25" fillId="26" borderId="0" xfId="0" applyFont="true" applyBorder="false" applyAlignment="true" applyProtection="false">
      <alignment horizontal="general" vertical="bottom" textRotation="0" wrapText="false" indent="0" shrinkToFit="false"/>
      <protection locked="true" hidden="false"/>
    </xf>
    <xf numFmtId="164" fontId="17" fillId="17" borderId="0" xfId="0" applyFont="true" applyBorder="false" applyAlignment="true" applyProtection="false">
      <alignment horizontal="general" vertical="bottom" textRotation="0" wrapText="false" indent="0" shrinkToFit="false"/>
      <protection locked="true" hidden="false"/>
    </xf>
    <xf numFmtId="170" fontId="17" fillId="17" borderId="0" xfId="0" applyFont="true" applyBorder="false" applyAlignment="true" applyProtection="false">
      <alignment horizontal="general" vertical="bottom" textRotation="0" wrapText="false" indent="0" shrinkToFit="false"/>
      <protection locked="true" hidden="false"/>
    </xf>
    <xf numFmtId="164" fontId="47" fillId="17" borderId="0" xfId="0" applyFont="true" applyBorder="false" applyAlignment="true" applyProtection="false">
      <alignment horizontal="general" vertical="bottom" textRotation="0" wrapText="false" indent="0" shrinkToFit="false"/>
      <protection locked="true" hidden="false"/>
    </xf>
    <xf numFmtId="170" fontId="47" fillId="17" borderId="0" xfId="0" applyFont="true" applyBorder="false" applyAlignment="true" applyProtection="false">
      <alignment horizontal="general" vertical="bottom" textRotation="0" wrapText="false" indent="0" shrinkToFit="false"/>
      <protection locked="true" hidden="false"/>
    </xf>
    <xf numFmtId="164" fontId="25" fillId="30" borderId="11" xfId="0" applyFont="true" applyBorder="true" applyAlignment="true" applyProtection="false">
      <alignment horizontal="general" vertical="bottom" textRotation="0" wrapText="false" indent="0" shrinkToFit="false"/>
      <protection locked="true" hidden="false"/>
    </xf>
    <xf numFmtId="170" fontId="25" fillId="30" borderId="11" xfId="0" applyFont="true" applyBorder="true" applyAlignment="true" applyProtection="false">
      <alignment horizontal="general" vertical="bottom" textRotation="0" wrapText="false" indent="0" shrinkToFit="false"/>
      <protection locked="true" hidden="false"/>
    </xf>
    <xf numFmtId="164" fontId="17" fillId="21" borderId="0" xfId="0" applyFont="true" applyBorder="false" applyAlignment="true" applyProtection="false">
      <alignment horizontal="general" vertical="bottom" textRotation="0" wrapText="false" indent="0" shrinkToFit="false"/>
      <protection locked="true" hidden="false"/>
    </xf>
    <xf numFmtId="170" fontId="17" fillId="21" borderId="0" xfId="0" applyFont="true" applyBorder="false" applyAlignment="true" applyProtection="false">
      <alignment horizontal="general" vertical="bottom" textRotation="0" wrapText="false" indent="0" shrinkToFit="false"/>
      <protection locked="true" hidden="false"/>
    </xf>
    <xf numFmtId="164" fontId="17" fillId="30" borderId="0" xfId="0" applyFont="true" applyBorder="false" applyAlignment="true" applyProtection="false">
      <alignment horizontal="general" vertical="bottom" textRotation="0" wrapText="false" indent="0" shrinkToFit="false"/>
      <protection locked="true" hidden="false"/>
    </xf>
    <xf numFmtId="170" fontId="17" fillId="30" borderId="0" xfId="0" applyFont="true" applyBorder="false" applyAlignment="true" applyProtection="false">
      <alignment horizontal="general" vertical="bottom" textRotation="0" wrapText="false" indent="0" shrinkToFit="false"/>
      <protection locked="true" hidden="false"/>
    </xf>
    <xf numFmtId="170" fontId="47" fillId="0" borderId="0" xfId="0" applyFont="true" applyBorder="false" applyAlignment="true" applyProtection="false">
      <alignment horizontal="general" vertical="bottom" textRotation="0" wrapText="false" indent="0" shrinkToFit="false"/>
      <protection locked="true" hidden="false"/>
    </xf>
    <xf numFmtId="164" fontId="25" fillId="31" borderId="0" xfId="0" applyFont="true" applyBorder="false" applyAlignment="true" applyProtection="false">
      <alignment horizontal="general" vertical="bottom" textRotation="0" wrapText="false" indent="0" shrinkToFit="false"/>
      <protection locked="true" hidden="false"/>
    </xf>
    <xf numFmtId="170" fontId="25" fillId="31" borderId="0" xfId="0" applyFont="true" applyBorder="false" applyAlignment="true" applyProtection="false">
      <alignment horizontal="general" vertical="bottom" textRotation="0" wrapText="false" indent="0" shrinkToFit="false"/>
      <protection locked="true" hidden="false"/>
    </xf>
    <xf numFmtId="164" fontId="17" fillId="0" borderId="11" xfId="0" applyFont="true" applyBorder="true" applyAlignment="true" applyProtection="false">
      <alignment horizontal="general" vertical="bottom" textRotation="0" wrapText="false" indent="0" shrinkToFit="false"/>
      <protection locked="true" hidden="false"/>
    </xf>
    <xf numFmtId="170" fontId="17" fillId="0" borderId="11" xfId="0" applyFont="true" applyBorder="true" applyAlignment="true" applyProtection="false">
      <alignment horizontal="general" vertical="bottom" textRotation="0" wrapText="false" indent="0" shrinkToFit="false"/>
      <protection locked="true" hidden="false"/>
    </xf>
    <xf numFmtId="164" fontId="17" fillId="31" borderId="0" xfId="0" applyFont="true" applyBorder="false" applyAlignment="true" applyProtection="false">
      <alignment horizontal="general" vertical="bottom" textRotation="0" wrapText="false" indent="0" shrinkToFit="false"/>
      <protection locked="true" hidden="false"/>
    </xf>
    <xf numFmtId="170" fontId="17" fillId="31" borderId="0" xfId="0" applyFont="true" applyBorder="false" applyAlignment="true" applyProtection="false">
      <alignment horizontal="general" vertical="bottom" textRotation="0" wrapText="false" indent="0" shrinkToFit="false"/>
      <protection locked="true" hidden="false"/>
    </xf>
    <xf numFmtId="164" fontId="17" fillId="23" borderId="0" xfId="0" applyFont="true" applyBorder="false" applyAlignment="true" applyProtection="false">
      <alignment horizontal="general" vertical="bottom" textRotation="0" wrapText="false" indent="0" shrinkToFit="false"/>
      <protection locked="true" hidden="false"/>
    </xf>
    <xf numFmtId="170" fontId="17" fillId="23" borderId="0" xfId="0" applyFont="true" applyBorder="false" applyAlignment="true" applyProtection="false">
      <alignment horizontal="general" vertical="bottom" textRotation="0" wrapText="false" indent="0" shrinkToFit="false"/>
      <protection locked="true" hidden="false"/>
    </xf>
    <xf numFmtId="164" fontId="47" fillId="23" borderId="0" xfId="0" applyFont="true" applyBorder="false" applyAlignment="true" applyProtection="false">
      <alignment horizontal="general" vertical="bottom" textRotation="0" wrapText="false" indent="0" shrinkToFit="false"/>
      <protection locked="true" hidden="false"/>
    </xf>
    <xf numFmtId="170" fontId="47" fillId="23" borderId="0" xfId="0" applyFont="true" applyBorder="false" applyAlignment="true" applyProtection="false">
      <alignment horizontal="general" vertical="bottom" textRotation="0" wrapText="false" indent="0" shrinkToFit="false"/>
      <protection locked="true" hidden="false"/>
    </xf>
    <xf numFmtId="164" fontId="48" fillId="0" borderId="0" xfId="0" applyFont="true" applyBorder="false" applyAlignment="true" applyProtection="false">
      <alignment horizontal="general" vertical="bottom" textRotation="0" wrapText="false" indent="0" shrinkToFit="false"/>
      <protection locked="true" hidden="false"/>
    </xf>
    <xf numFmtId="164" fontId="49" fillId="0" borderId="0" xfId="0" applyFont="true" applyBorder="false" applyAlignment="true" applyProtection="false">
      <alignment horizontal="general" vertical="bottom" textRotation="0" wrapText="false" indent="0" shrinkToFit="false"/>
      <protection locked="true" hidden="false"/>
    </xf>
    <xf numFmtId="180" fontId="0" fillId="0" borderId="0" xfId="0" applyFont="false" applyBorder="false" applyAlignment="true" applyProtection="false">
      <alignment horizontal="general" vertical="bottom" textRotation="0" wrapText="false" indent="0" shrinkToFit="false"/>
      <protection locked="true" hidden="false"/>
    </xf>
    <xf numFmtId="176" fontId="0" fillId="0" borderId="0" xfId="0" applyFont="false" applyBorder="false" applyAlignment="true" applyProtection="false">
      <alignment horizontal="general" vertical="bottom" textRotation="0" wrapText="false" indent="0" shrinkToFit="false"/>
      <protection locked="true" hidden="false"/>
    </xf>
    <xf numFmtId="166" fontId="25" fillId="3" borderId="0" xfId="0" applyFont="true" applyBorder="false" applyAlignment="true" applyProtection="false">
      <alignment horizontal="center" vertical="center" textRotation="0" wrapText="true" indent="0" shrinkToFit="false"/>
      <protection locked="true" hidden="false"/>
    </xf>
    <xf numFmtId="167" fontId="25" fillId="3" borderId="0" xfId="0" applyFont="true" applyBorder="false" applyAlignment="true" applyProtection="false">
      <alignment horizontal="center" vertical="center" textRotation="0" wrapText="true" indent="0" shrinkToFit="false"/>
      <protection locked="true" hidden="false"/>
    </xf>
    <xf numFmtId="179" fontId="25" fillId="3" borderId="0" xfId="0" applyFont="true" applyBorder="false" applyAlignment="true" applyProtection="false">
      <alignment horizontal="center" vertical="center" textRotation="0" wrapText="true" indent="0" shrinkToFit="false"/>
      <protection locked="true" hidden="false"/>
    </xf>
    <xf numFmtId="179" fontId="0" fillId="0" borderId="0" xfId="0" applyFont="fals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70" fontId="31" fillId="0" borderId="0" xfId="0" applyFont="true" applyBorder="false" applyAlignment="true" applyProtection="false">
      <alignment horizontal="general" vertical="bottom" textRotation="0" wrapText="false" indent="0" shrinkToFit="false"/>
      <protection locked="true" hidden="false"/>
    </xf>
    <xf numFmtId="166" fontId="31" fillId="0" borderId="0" xfId="0" applyFont="true" applyBorder="false" applyAlignment="true" applyProtection="false">
      <alignment horizontal="center" vertical="bottom" textRotation="0" wrapText="false" indent="0" shrinkToFit="false"/>
      <protection locked="true" hidden="false"/>
    </xf>
    <xf numFmtId="165" fontId="31" fillId="0" borderId="0" xfId="0" applyFont="true" applyBorder="false" applyAlignment="true" applyProtection="false">
      <alignment horizontal="center" vertical="bottom" textRotation="0" wrapText="false" indent="0" shrinkToFit="false"/>
      <protection locked="true" hidden="false"/>
    </xf>
    <xf numFmtId="166" fontId="29" fillId="0" borderId="0" xfId="0" applyFont="true" applyBorder="false" applyAlignment="true" applyProtection="false">
      <alignment horizontal="center" vertical="bottom" textRotation="0" wrapText="false" indent="0" shrinkToFit="false"/>
      <protection locked="true" hidden="false"/>
    </xf>
    <xf numFmtId="179" fontId="29" fillId="0" borderId="0" xfId="0" applyFont="true" applyBorder="false" applyAlignment="true" applyProtection="false">
      <alignment horizontal="general" vertical="bottom" textRotation="0" wrapText="false" indent="0" shrinkToFit="false"/>
      <protection locked="true" hidden="false"/>
    </xf>
    <xf numFmtId="166" fontId="5" fillId="3" borderId="0" xfId="0" applyFont="true" applyBorder="false" applyAlignment="true" applyProtection="false">
      <alignment horizontal="center" vertical="bottom" textRotation="0" wrapText="false" indent="0" shrinkToFit="false"/>
      <protection locked="true" hidden="false"/>
    </xf>
    <xf numFmtId="164" fontId="32" fillId="0" borderId="13" xfId="0" applyFont="true" applyBorder="true" applyAlignment="true" applyProtection="false">
      <alignment horizontal="general" vertical="bottom" textRotation="0" wrapText="false" indent="0" shrinkToFit="false"/>
      <protection locked="true" hidden="false"/>
    </xf>
    <xf numFmtId="170" fontId="32" fillId="0" borderId="13" xfId="0" applyFont="true" applyBorder="true" applyAlignment="true" applyProtection="false">
      <alignment horizontal="general" vertical="bottom" textRotation="0" wrapText="false" indent="0" shrinkToFit="false"/>
      <protection locked="true" hidden="false"/>
    </xf>
    <xf numFmtId="164" fontId="9" fillId="0" borderId="13" xfId="0" applyFont="true" applyBorder="true" applyAlignment="true" applyProtection="false">
      <alignment horizontal="general" vertical="bottom" textRotation="0" wrapText="false" indent="0" shrinkToFit="false"/>
      <protection locked="true" hidden="false"/>
    </xf>
    <xf numFmtId="170" fontId="9" fillId="0" borderId="13" xfId="0" applyFont="true" applyBorder="true" applyAlignment="true" applyProtection="false">
      <alignment horizontal="general" vertical="bottom" textRotation="0" wrapText="false" indent="0" shrinkToFit="false"/>
      <protection locked="true" hidden="false"/>
    </xf>
    <xf numFmtId="170" fontId="9" fillId="0" borderId="0" xfId="0" applyFont="true" applyBorder="false" applyAlignment="true" applyProtection="false">
      <alignment horizontal="general" vertical="bottom" textRotation="0" wrapText="false" indent="0" shrinkToFit="false"/>
      <protection locked="true" hidden="false"/>
    </xf>
    <xf numFmtId="164" fontId="38" fillId="7" borderId="0" xfId="0" applyFont="true" applyBorder="false" applyAlignment="true" applyProtection="false">
      <alignment horizontal="general" vertical="bottom" textRotation="0" wrapText="false" indent="0" shrinkToFit="false"/>
      <protection locked="true" hidden="false"/>
    </xf>
    <xf numFmtId="164" fontId="50" fillId="0" borderId="0" xfId="0" applyFont="true" applyBorder="false" applyAlignment="true" applyProtection="false">
      <alignment horizontal="general" vertical="bottom" textRotation="0" wrapText="false" indent="0" shrinkToFit="false"/>
      <protection locked="true" hidden="false"/>
    </xf>
    <xf numFmtId="164" fontId="51" fillId="7" borderId="0" xfId="0" applyFont="true" applyBorder="false" applyAlignment="true" applyProtection="false">
      <alignment horizontal="general" vertical="bottom" textRotation="0" wrapText="false" indent="0" shrinkToFit="false"/>
      <protection locked="true" hidden="false"/>
    </xf>
    <xf numFmtId="193" fontId="52" fillId="13" borderId="6" xfId="0" applyFont="true" applyBorder="true" applyAlignment="true" applyProtection="false">
      <alignment horizontal="general" vertical="bottom" textRotation="0" wrapText="false" indent="0" shrinkToFit="false"/>
      <protection locked="true" hidden="false"/>
    </xf>
    <xf numFmtId="179" fontId="31" fillId="13" borderId="6" xfId="0" applyFont="true" applyBorder="true" applyAlignment="true" applyProtection="false">
      <alignment horizontal="center" vertical="bottom" textRotation="0" wrapText="false" indent="0" shrinkToFit="false"/>
      <protection locked="true" hidden="false"/>
    </xf>
    <xf numFmtId="164" fontId="31" fillId="7" borderId="6" xfId="0" applyFont="true" applyBorder="true" applyAlignment="true" applyProtection="false">
      <alignment horizontal="center" vertical="bottom" textRotation="0" wrapText="false" indent="0" shrinkToFit="false"/>
      <protection locked="true" hidden="false"/>
    </xf>
    <xf numFmtId="164" fontId="31" fillId="7" borderId="6" xfId="0" applyFont="true" applyBorder="true" applyAlignment="true" applyProtection="false">
      <alignment horizontal="general" vertical="bottom" textRotation="0" wrapText="false" indent="0" shrinkToFit="false"/>
      <protection locked="true" hidden="false"/>
    </xf>
    <xf numFmtId="193" fontId="52" fillId="7" borderId="6" xfId="0" applyFont="true" applyBorder="true" applyAlignment="true" applyProtection="false">
      <alignment horizontal="general" vertical="bottom" textRotation="0" wrapText="false" indent="0" shrinkToFit="false"/>
      <protection locked="true" hidden="false"/>
    </xf>
    <xf numFmtId="179" fontId="31" fillId="7" borderId="6" xfId="0" applyFont="true" applyBorder="true" applyAlignment="true" applyProtection="false">
      <alignment horizontal="center" vertical="bottom" textRotation="0" wrapText="false" indent="0" shrinkToFit="false"/>
      <protection locked="true" hidden="false"/>
    </xf>
    <xf numFmtId="166" fontId="31" fillId="13" borderId="6" xfId="0" applyFont="true" applyBorder="true" applyAlignment="true" applyProtection="false">
      <alignment horizontal="center" vertical="bottom" textRotation="0" wrapText="false" indent="0" shrinkToFit="false"/>
      <protection locked="true" hidden="false"/>
    </xf>
    <xf numFmtId="166" fontId="31" fillId="7" borderId="6" xfId="0" applyFont="true" applyBorder="true" applyAlignment="true" applyProtection="false">
      <alignment horizontal="center" vertical="bottom" textRotation="0" wrapText="false" indent="0" shrinkToFit="false"/>
      <protection locked="true" hidden="false"/>
    </xf>
    <xf numFmtId="164" fontId="53" fillId="0" borderId="0" xfId="0" applyFont="true" applyBorder="false" applyAlignment="true" applyProtection="false">
      <alignment horizontal="general" vertical="bottom" textRotation="0" wrapText="false" indent="0" shrinkToFit="false"/>
      <protection locked="true" hidden="false"/>
    </xf>
    <xf numFmtId="194" fontId="32" fillId="0" borderId="6" xfId="0" applyFont="true" applyBorder="true" applyAlignment="true" applyProtection="false">
      <alignment horizontal="general" vertical="bottom" textRotation="0" wrapText="false" indent="0" shrinkToFit="false"/>
      <protection locked="true" hidden="false"/>
    </xf>
    <xf numFmtId="182" fontId="32" fillId="0" borderId="6" xfId="0" applyFont="true" applyBorder="true" applyAlignment="true" applyProtection="false">
      <alignment horizontal="general" vertical="bottom" textRotation="0" wrapText="false" indent="0" shrinkToFit="false"/>
      <protection locked="true" hidden="false"/>
    </xf>
    <xf numFmtId="179" fontId="32" fillId="0" borderId="6" xfId="0" applyFont="true" applyBorder="true" applyAlignment="true" applyProtection="false">
      <alignment horizontal="general" vertical="bottom" textRotation="0" wrapText="false" indent="0" shrinkToFit="false"/>
      <protection locked="true" hidden="false"/>
    </xf>
    <xf numFmtId="165" fontId="31" fillId="0" borderId="0" xfId="0" applyFont="true" applyBorder="false" applyAlignment="true" applyProtection="false">
      <alignment horizontal="general" vertical="bottom" textRotation="0" wrapText="false" indent="0" shrinkToFit="false"/>
      <protection locked="true" hidden="false"/>
    </xf>
    <xf numFmtId="194" fontId="31" fillId="0" borderId="0" xfId="0" applyFont="true" applyBorder="false" applyAlignment="true" applyProtection="false">
      <alignment horizontal="general" vertical="bottom" textRotation="0" wrapText="false" indent="0" shrinkToFit="false"/>
      <protection locked="true" hidden="false"/>
    </xf>
    <xf numFmtId="195" fontId="31" fillId="0" borderId="0" xfId="0" applyFont="true" applyBorder="false" applyAlignment="true" applyProtection="false">
      <alignment horizontal="general" vertical="bottom" textRotation="0" wrapText="false" indent="0" shrinkToFit="false"/>
      <protection locked="true" hidden="false"/>
    </xf>
    <xf numFmtId="182" fontId="31" fillId="0" borderId="0" xfId="0" applyFont="true" applyBorder="false" applyAlignment="true" applyProtection="false">
      <alignment horizontal="general" vertical="bottom" textRotation="0" wrapText="false" indent="0" shrinkToFit="false"/>
      <protection locked="true" hidden="false"/>
    </xf>
    <xf numFmtId="164" fontId="51" fillId="0" borderId="0" xfId="0" applyFont="true" applyBorder="false" applyAlignment="true" applyProtection="false">
      <alignment horizontal="general" vertical="center" textRotation="0" wrapText="false" indent="0" shrinkToFit="false"/>
      <protection locked="true" hidden="false"/>
    </xf>
    <xf numFmtId="164" fontId="54" fillId="0" borderId="0" xfId="0" applyFont="true" applyBorder="false" applyAlignment="true" applyProtection="false">
      <alignment horizontal="general" vertical="bottom" textRotation="0" wrapText="false" indent="0" shrinkToFit="false"/>
      <protection locked="true" hidden="false"/>
    </xf>
    <xf numFmtId="181" fontId="31" fillId="7" borderId="6" xfId="0" applyFont="true" applyBorder="true" applyAlignment="true" applyProtection="false">
      <alignment horizontal="right" vertical="bottom" textRotation="0" wrapText="false" indent="0" shrinkToFit="false"/>
      <protection locked="true" hidden="false"/>
    </xf>
    <xf numFmtId="164" fontId="51" fillId="0" borderId="0" xfId="0" applyFont="true" applyBorder="false" applyAlignment="true" applyProtection="false">
      <alignment horizontal="general" vertical="bottom" textRotation="0" wrapText="false" indent="0" shrinkToFit="false"/>
      <protection locked="true" hidden="false"/>
    </xf>
    <xf numFmtId="181" fontId="22" fillId="32" borderId="6" xfId="0" applyFont="true" applyBorder="true" applyAlignment="true" applyProtection="false">
      <alignment horizontal="right" vertical="bottom" textRotation="0" wrapText="false" indent="0" shrinkToFit="false"/>
      <protection locked="true" hidden="false"/>
    </xf>
    <xf numFmtId="189" fontId="22" fillId="32" borderId="6" xfId="0" applyFont="true" applyBorder="true" applyAlignment="true" applyProtection="false">
      <alignment horizontal="right" vertical="bottom" textRotation="0" wrapText="false" indent="0" shrinkToFit="false"/>
      <protection locked="true" hidden="false"/>
    </xf>
    <xf numFmtId="164" fontId="32" fillId="0" borderId="0" xfId="0" applyFont="true" applyBorder="false" applyAlignment="false" applyProtection="false">
      <alignment horizontal="general" vertical="bottom" textRotation="0" wrapText="false" indent="0" shrinkToFit="false"/>
      <protection locked="true" hidden="false"/>
    </xf>
    <xf numFmtId="189" fontId="22" fillId="32" borderId="0" xfId="0" applyFont="true" applyBorder="false" applyAlignment="true" applyProtection="false">
      <alignment horizontal="right" vertical="bottom" textRotation="0" wrapText="false" indent="0" shrinkToFit="false"/>
      <protection locked="true" hidden="false"/>
    </xf>
    <xf numFmtId="166" fontId="31" fillId="7" borderId="6" xfId="0" applyFont="true" applyBorder="true" applyAlignment="true" applyProtection="false">
      <alignment horizontal="right" vertical="bottom" textRotation="0" wrapText="false" indent="0" shrinkToFit="false"/>
      <protection locked="true" hidden="false"/>
    </xf>
    <xf numFmtId="189" fontId="32" fillId="7" borderId="6" xfId="0" applyFont="true" applyBorder="true" applyAlignment="true" applyProtection="false">
      <alignment horizontal="right" vertical="bottom" textRotation="0" wrapText="false" indent="0" shrinkToFit="false"/>
      <protection locked="true" hidden="false"/>
    </xf>
    <xf numFmtId="166" fontId="22" fillId="32" borderId="0" xfId="0" applyFont="true" applyBorder="false" applyAlignment="true" applyProtection="false">
      <alignment horizontal="right" vertical="bottom" textRotation="0" wrapText="false" indent="0" shrinkToFit="false"/>
      <protection locked="true" hidden="false"/>
    </xf>
    <xf numFmtId="164" fontId="31" fillId="13" borderId="6" xfId="0" applyFont="true" applyBorder="true" applyAlignment="true" applyProtection="false">
      <alignment horizontal="left" vertical="center" textRotation="0" wrapText="false" indent="0" shrinkToFit="false"/>
      <protection locked="true" hidden="false"/>
    </xf>
    <xf numFmtId="166" fontId="22" fillId="32" borderId="6" xfId="0" applyFont="true" applyBorder="true" applyAlignment="true" applyProtection="false">
      <alignment horizontal="center" vertical="center" textRotation="0" wrapText="false" indent="0" shrinkToFit="false"/>
      <protection locked="true" hidden="false"/>
    </xf>
    <xf numFmtId="164" fontId="31" fillId="13" borderId="6" xfId="0" applyFont="true" applyBorder="true" applyAlignment="true" applyProtection="false">
      <alignment horizontal="center" vertical="center" textRotation="0" wrapText="false" indent="0" shrinkToFit="false"/>
      <protection locked="true" hidden="false"/>
    </xf>
    <xf numFmtId="193" fontId="22" fillId="32" borderId="6" xfId="0" applyFont="true" applyBorder="true" applyAlignment="true" applyProtection="false">
      <alignment horizontal="right" vertical="center" textRotation="0" wrapText="false" indent="0" shrinkToFit="false"/>
      <protection locked="true" hidden="false"/>
    </xf>
    <xf numFmtId="193" fontId="31" fillId="13" borderId="6" xfId="0" applyFont="true" applyBorder="true" applyAlignment="true" applyProtection="false">
      <alignment horizontal="right" vertical="center" textRotation="0" wrapText="false" indent="0" shrinkToFit="false"/>
      <protection locked="true" hidden="false"/>
    </xf>
    <xf numFmtId="166" fontId="31" fillId="13" borderId="6" xfId="0" applyFont="true" applyBorder="true" applyAlignment="true" applyProtection="false">
      <alignment horizontal="center" vertical="center" textRotation="0" wrapText="false" indent="0" shrinkToFit="false"/>
      <protection locked="true" hidden="false"/>
    </xf>
    <xf numFmtId="180" fontId="22" fillId="32" borderId="6" xfId="0" applyFont="true" applyBorder="true" applyAlignment="true" applyProtection="false">
      <alignment horizontal="right" vertical="center" textRotation="0" wrapText="false" indent="0" shrinkToFit="false"/>
      <protection locked="true" hidden="false"/>
    </xf>
    <xf numFmtId="193" fontId="52" fillId="13" borderId="6" xfId="0" applyFont="true" applyBorder="true" applyAlignment="true" applyProtection="false">
      <alignment horizontal="right" vertical="center" textRotation="0" wrapText="false" indent="0" shrinkToFit="false"/>
      <protection locked="true" hidden="false"/>
    </xf>
    <xf numFmtId="164" fontId="51" fillId="13" borderId="6" xfId="0" applyFont="true" applyBorder="true" applyAlignment="true" applyProtection="false">
      <alignment horizontal="left" vertical="center" textRotation="0" wrapText="false" indent="0" shrinkToFit="false"/>
      <protection locked="true" hidden="false"/>
    </xf>
    <xf numFmtId="164" fontId="31" fillId="7" borderId="6" xfId="0" applyFont="true" applyBorder="true" applyAlignment="true" applyProtection="false">
      <alignment horizontal="left" vertical="center" textRotation="0" wrapText="false" indent="0" shrinkToFit="false"/>
      <protection locked="true" hidden="false"/>
    </xf>
    <xf numFmtId="164" fontId="31" fillId="7" borderId="6" xfId="0" applyFont="true" applyBorder="true" applyAlignment="true" applyProtection="false">
      <alignment horizontal="center" vertical="center" textRotation="0" wrapText="false" indent="0" shrinkToFit="false"/>
      <protection locked="true" hidden="false"/>
    </xf>
    <xf numFmtId="193" fontId="31" fillId="7" borderId="6" xfId="0" applyFont="true" applyBorder="true" applyAlignment="true" applyProtection="false">
      <alignment horizontal="right" vertical="center" textRotation="0" wrapText="false" indent="0" shrinkToFit="false"/>
      <protection locked="true" hidden="false"/>
    </xf>
    <xf numFmtId="166" fontId="31" fillId="7" borderId="6" xfId="0" applyFont="true" applyBorder="true" applyAlignment="true" applyProtection="false">
      <alignment horizontal="center" vertical="center" textRotation="0" wrapText="false" indent="0" shrinkToFit="false"/>
      <protection locked="true" hidden="false"/>
    </xf>
    <xf numFmtId="193" fontId="52" fillId="7" borderId="6" xfId="0" applyFont="true" applyBorder="true" applyAlignment="true" applyProtection="false">
      <alignment horizontal="right" vertical="center" textRotation="0" wrapText="false" indent="0" shrinkToFit="false"/>
      <protection locked="true" hidden="false"/>
    </xf>
    <xf numFmtId="164" fontId="51" fillId="7" borderId="6" xfId="0" applyFont="true" applyBorder="true" applyAlignment="true" applyProtection="false">
      <alignment horizontal="left" vertical="center" textRotation="0" wrapText="false" indent="0" shrinkToFit="false"/>
      <protection locked="true" hidden="false"/>
    </xf>
    <xf numFmtId="164" fontId="32" fillId="33" borderId="14" xfId="0" applyFont="true" applyBorder="true" applyAlignment="true" applyProtection="false">
      <alignment horizontal="general" vertical="bottom" textRotation="0" wrapText="false" indent="0" shrinkToFit="false"/>
      <protection locked="true" hidden="false"/>
    </xf>
    <xf numFmtId="193" fontId="32" fillId="33" borderId="14" xfId="0" applyFont="true" applyBorder="true" applyAlignment="true" applyProtection="false">
      <alignment horizontal="right" vertical="bottom" textRotation="0" wrapText="false" indent="0" shrinkToFit="false"/>
      <protection locked="true" hidden="false"/>
    </xf>
    <xf numFmtId="193" fontId="52" fillId="33" borderId="14" xfId="0" applyFont="true" applyBorder="true" applyAlignment="true" applyProtection="false">
      <alignment horizontal="right" vertical="bottom" textRotation="0" wrapText="false" indent="0" shrinkToFit="false"/>
      <protection locked="true" hidden="false"/>
    </xf>
    <xf numFmtId="164" fontId="55" fillId="0" borderId="6" xfId="0" applyFont="true" applyBorder="true" applyAlignment="true" applyProtection="false">
      <alignment horizontal="center" vertical="bottom" textRotation="0" wrapText="fals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ont>
        <color rgb="FFFF0000"/>
      </font>
    </dxf>
    <dxf>
      <fill>
        <patternFill>
          <bgColor rgb="FFD4EDDA"/>
        </patternFill>
      </fill>
    </dxf>
    <dxf>
      <fill>
        <patternFill>
          <bgColor rgb="FFF8D7DA"/>
        </patternFill>
      </fill>
    </dxf>
    <dxf>
      <font>
        <color rgb="FFFFFFFF"/>
      </font>
      <fill>
        <patternFill>
          <bgColor rgb="FFC4581A"/>
        </patternFill>
      </fill>
    </dxf>
    <dxf>
      <font>
        <color rgb="FFFFFFFF"/>
      </font>
      <fill>
        <patternFill>
          <bgColor rgb="FF5E7B9B"/>
        </patternFill>
      </fill>
    </dxf>
  </dxfs>
  <colors>
    <indexedColors>
      <rgbColor rgb="FF000000"/>
      <rgbColor rgb="FFFFFFFF"/>
      <rgbColor rgb="FFFF0000"/>
      <rgbColor rgb="FFEAEDF2"/>
      <rgbColor rgb="FF0000FF"/>
      <rgbColor rgb="FFFDEBD0"/>
      <rgbColor rgb="FFF2F2F2"/>
      <rgbColor rgb="FFE3E8F0"/>
      <rgbColor rgb="FF800000"/>
      <rgbColor rgb="FF008000"/>
      <rgbColor rgb="FF1E2C44"/>
      <rgbColor rgb="FF717F4B"/>
      <rgbColor rgb="FFF8FAFC"/>
      <rgbColor rgb="FF2E7D32"/>
      <rgbColor rgb="FFBFC7DA"/>
      <rgbColor rgb="FF888888"/>
      <rgbColor rgb="FF8EA3BE"/>
      <rgbColor rgb="FF666666"/>
      <rgbColor rgb="FFFFF8E1"/>
      <rgbColor rgb="FFE2EFDA"/>
      <rgbColor rgb="FF660066"/>
      <rgbColor rgb="FFDDE3ED"/>
      <rgbColor rgb="FF548235"/>
      <rgbColor rgb="FFB4C6E7"/>
      <rgbColor rgb="FF2C3A51"/>
      <rgbColor rgb="FFF5F5F5"/>
      <rgbColor rgb="FFFBE9E0"/>
      <rgbColor rgb="FFE8ECF2"/>
      <rgbColor rgb="FF800080"/>
      <rgbColor rgb="FF800000"/>
      <rgbColor rgb="FF475569"/>
      <rgbColor rgb="FF0000FF"/>
      <rgbColor rgb="FFE8ECF1"/>
      <rgbColor rgb="FFDCE6F1"/>
      <rgbColor rgb="FFD4EDDA"/>
      <rgbColor rgb="FFFFF2CC"/>
      <rgbColor rgb="FFD6DCE4"/>
      <rgbColor rgb="FFFCE4D6"/>
      <rgbColor rgb="FFE0E0E0"/>
      <rgbColor rgb="FFF8D7DA"/>
      <rgbColor rgb="FF2E75B6"/>
      <rgbColor rgb="FFD6E4F0"/>
      <rgbColor rgb="FF7B9464"/>
      <rgbColor rgb="FFF1E4DB"/>
      <rgbColor rgb="FFE2E7F0"/>
      <rgbColor rgb="FFC4581A"/>
      <rgbColor rgb="FF5E7B9B"/>
      <rgbColor rgb="FF999999"/>
      <rgbColor rgb="FF17375E"/>
      <rgbColor rgb="FF4A8B8C"/>
      <rgbColor rgb="FF0B1833"/>
      <rgbColor rgb="FF2D2D2D"/>
      <rgbColor rgb="FF404040"/>
      <rgbColor rgb="FFEF4444"/>
      <rgbColor rgb="FF1F3864"/>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2.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3.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4.vml"/>
</Relationships>
</file>

<file path=xl/worksheets/_rels/sheet24.xml.rels><?xml version="1.0" encoding="UTF-8"?>
<Relationships xmlns="http://schemas.openxmlformats.org/package/2006/relationships"><Relationship Id="rId1" Type="http://schemas.openxmlformats.org/officeDocument/2006/relationships/comments" Target="../comments24.xml"/><Relationship Id="rId2" Type="http://schemas.openxmlformats.org/officeDocument/2006/relationships/vmlDrawing" Target="../drawings/vmlDrawing5.vml"/>
</Relationships>
</file>

<file path=xl/worksheets/_rels/sheet27.xml.rels><?xml version="1.0" encoding="UTF-8"?>
<Relationships xmlns="http://schemas.openxmlformats.org/package/2006/relationships"><Relationship Id="rId1" Type="http://schemas.openxmlformats.org/officeDocument/2006/relationships/comments" Target="../comments27.xml"/><Relationship Id="rId2" Type="http://schemas.openxmlformats.org/officeDocument/2006/relationships/vmlDrawing" Target="../drawings/vmlDrawing6.vml"/>
</Relationships>
</file>

<file path=xl/worksheets/_rels/sheet29.xml.rels><?xml version="1.0" encoding="UTF-8"?>
<Relationships xmlns="http://schemas.openxmlformats.org/package/2006/relationships"><Relationship Id="rId1" Type="http://schemas.openxmlformats.org/officeDocument/2006/relationships/comments" Target="../comments29.xml"/><Relationship Id="rId2" Type="http://schemas.openxmlformats.org/officeDocument/2006/relationships/vmlDrawing" Target="../drawings/vmlDrawing7.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VX470"/>
  <sheetViews>
    <sheetView showFormulas="false" showGridLines="true" showRowColHeaders="true" showZeros="true" rightToLeft="false" tabSelected="true" showOutlineSymbols="true" defaultGridColor="true" view="normal" topLeftCell="A1" colorId="64" zoomScale="85" zoomScaleNormal="85" zoomScalePageLayoutView="100" workbookViewId="0">
      <pane xSplit="1" ySplit="6" topLeftCell="B251" activePane="bottomRight" state="frozen"/>
      <selection pane="topLeft" activeCell="A1" activeCellId="0" sqref="A1"/>
      <selection pane="topRight" activeCell="B1" activeCellId="0" sqref="B1"/>
      <selection pane="bottomLeft" activeCell="A251" activeCellId="0" sqref="A251"/>
      <selection pane="bottomRight" activeCell="F283" activeCellId="0" sqref="F283"/>
    </sheetView>
  </sheetViews>
  <sheetFormatPr defaultColWidth="8.7109375" defaultRowHeight="13.5" zeroHeight="false" outlineLevelRow="1" outlineLevelCol="0"/>
  <cols>
    <col collapsed="false" customWidth="true" hidden="false" outlineLevel="0" max="1" min="1" style="1" width="83.57"/>
    <col collapsed="false" customWidth="true" hidden="false" outlineLevel="0" max="98" min="2" style="1" width="14"/>
    <col collapsed="false" customWidth="true" hidden="false" outlineLevel="0" max="109" min="99" style="1" width="13"/>
    <col collapsed="false" customWidth="true" hidden="false" outlineLevel="0" max="16384" min="16384" style="1" width="11.57"/>
  </cols>
  <sheetData>
    <row r="1" customFormat="false" ht="17.25" hidden="false" customHeight="true" outlineLevel="0" collapsed="false">
      <c r="A1" s="2" t="s">
        <v>0</v>
      </c>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row>
    <row r="2" customFormat="false" ht="15" hidden="false" customHeight="true" outlineLevel="0" collapsed="false">
      <c r="A2" s="4"/>
      <c r="B2" s="5" t="n">
        <v>46023</v>
      </c>
      <c r="C2" s="5" t="n">
        <v>46054</v>
      </c>
      <c r="D2" s="5" t="n">
        <v>46082</v>
      </c>
      <c r="E2" s="5" t="n">
        <v>46113</v>
      </c>
      <c r="F2" s="5" t="n">
        <v>46143</v>
      </c>
      <c r="G2" s="5" t="n">
        <v>46174</v>
      </c>
      <c r="H2" s="5" t="n">
        <v>46204</v>
      </c>
      <c r="I2" s="5" t="n">
        <v>46235</v>
      </c>
      <c r="J2" s="5" t="n">
        <v>46266</v>
      </c>
      <c r="K2" s="5" t="n">
        <v>46296</v>
      </c>
      <c r="L2" s="5" t="n">
        <v>46327</v>
      </c>
      <c r="M2" s="5" t="n">
        <v>46357</v>
      </c>
      <c r="N2" s="5" t="n">
        <v>46388</v>
      </c>
      <c r="O2" s="5" t="n">
        <v>46419</v>
      </c>
      <c r="P2" s="5" t="n">
        <v>46447</v>
      </c>
      <c r="Q2" s="5" t="n">
        <v>46478</v>
      </c>
      <c r="R2" s="5" t="n">
        <v>46508</v>
      </c>
      <c r="S2" s="5" t="n">
        <v>46539</v>
      </c>
      <c r="T2" s="5" t="n">
        <v>46569</v>
      </c>
      <c r="U2" s="5" t="n">
        <v>46600</v>
      </c>
      <c r="V2" s="5" t="n">
        <v>46631</v>
      </c>
      <c r="W2" s="5" t="n">
        <v>46661</v>
      </c>
      <c r="X2" s="5" t="n">
        <v>46692</v>
      </c>
      <c r="Y2" s="5" t="n">
        <v>46722</v>
      </c>
      <c r="Z2" s="5" t="n">
        <v>46753</v>
      </c>
      <c r="AA2" s="5" t="n">
        <v>46784</v>
      </c>
      <c r="AB2" s="5" t="n">
        <v>46813</v>
      </c>
      <c r="AC2" s="5" t="n">
        <v>46844</v>
      </c>
      <c r="AD2" s="5" t="n">
        <v>46874</v>
      </c>
      <c r="AE2" s="5" t="n">
        <v>46905</v>
      </c>
      <c r="AF2" s="5" t="n">
        <v>46935</v>
      </c>
      <c r="AG2" s="5" t="n">
        <v>46966</v>
      </c>
      <c r="AH2" s="5" t="n">
        <v>46997</v>
      </c>
      <c r="AI2" s="5" t="n">
        <v>47027</v>
      </c>
      <c r="AJ2" s="5" t="n">
        <v>47058</v>
      </c>
      <c r="AK2" s="5" t="n">
        <v>47088</v>
      </c>
      <c r="AL2" s="5" t="n">
        <v>47119</v>
      </c>
      <c r="AM2" s="5" t="n">
        <v>47150</v>
      </c>
      <c r="AN2" s="5" t="n">
        <v>47178</v>
      </c>
      <c r="AO2" s="5" t="n">
        <v>47209</v>
      </c>
      <c r="AP2" s="5" t="n">
        <v>47239</v>
      </c>
      <c r="AQ2" s="5" t="n">
        <v>47270</v>
      </c>
      <c r="AR2" s="5" t="n">
        <v>47300</v>
      </c>
      <c r="AS2" s="5" t="n">
        <v>47331</v>
      </c>
      <c r="AT2" s="5" t="n">
        <v>47362</v>
      </c>
      <c r="AU2" s="5" t="n">
        <v>47392</v>
      </c>
      <c r="AV2" s="5" t="n">
        <v>47423</v>
      </c>
      <c r="AW2" s="5" t="n">
        <v>47453</v>
      </c>
      <c r="AX2" s="5" t="n">
        <v>47484</v>
      </c>
      <c r="AY2" s="5" t="n">
        <v>47515</v>
      </c>
      <c r="AZ2" s="5" t="n">
        <v>47543</v>
      </c>
      <c r="BA2" s="5" t="n">
        <v>47574</v>
      </c>
      <c r="BB2" s="5" t="n">
        <v>47604</v>
      </c>
      <c r="BC2" s="5" t="n">
        <v>47635</v>
      </c>
      <c r="BD2" s="5" t="n">
        <v>47665</v>
      </c>
      <c r="BE2" s="5" t="n">
        <v>47696</v>
      </c>
      <c r="BF2" s="5" t="n">
        <v>47727</v>
      </c>
      <c r="BG2" s="5" t="n">
        <v>47757</v>
      </c>
      <c r="BH2" s="5" t="n">
        <v>47788</v>
      </c>
      <c r="BI2" s="5" t="n">
        <v>47818</v>
      </c>
      <c r="BJ2" s="5" t="n">
        <v>47849</v>
      </c>
      <c r="BK2" s="5" t="n">
        <v>47880</v>
      </c>
      <c r="BL2" s="5" t="n">
        <v>47908</v>
      </c>
      <c r="BM2" s="5" t="n">
        <v>47939</v>
      </c>
      <c r="BN2" s="5" t="n">
        <v>47969</v>
      </c>
      <c r="BO2" s="5" t="n">
        <v>48000</v>
      </c>
      <c r="BP2" s="5" t="n">
        <v>48030</v>
      </c>
      <c r="BQ2" s="5" t="n">
        <v>48061</v>
      </c>
      <c r="BR2" s="5" t="n">
        <v>48092</v>
      </c>
      <c r="BS2" s="5" t="n">
        <v>48122</v>
      </c>
      <c r="BT2" s="5" t="n">
        <v>48153</v>
      </c>
      <c r="BU2" s="5" t="n">
        <v>48183</v>
      </c>
      <c r="BV2" s="5" t="n">
        <v>48214</v>
      </c>
      <c r="BW2" s="5" t="n">
        <v>48245</v>
      </c>
      <c r="BX2" s="5" t="n">
        <v>48274</v>
      </c>
      <c r="BY2" s="5" t="n">
        <v>48305</v>
      </c>
      <c r="BZ2" s="5" t="n">
        <v>48335</v>
      </c>
      <c r="CA2" s="5" t="n">
        <v>48366</v>
      </c>
      <c r="CB2" s="5" t="n">
        <v>48396</v>
      </c>
      <c r="CC2" s="5" t="n">
        <v>48427</v>
      </c>
      <c r="CD2" s="5" t="n">
        <v>48458</v>
      </c>
      <c r="CE2" s="5" t="n">
        <v>48488</v>
      </c>
      <c r="CF2" s="5" t="n">
        <v>48519</v>
      </c>
      <c r="CG2" s="5" t="n">
        <v>48549</v>
      </c>
      <c r="CH2" s="5" t="n">
        <v>48580</v>
      </c>
      <c r="CI2" s="5" t="n">
        <v>48611</v>
      </c>
      <c r="CJ2" s="5" t="n">
        <v>48639</v>
      </c>
      <c r="CK2" s="5" t="n">
        <v>48670</v>
      </c>
      <c r="CL2" s="5" t="n">
        <v>48700</v>
      </c>
      <c r="CM2" s="5" t="n">
        <v>48731</v>
      </c>
      <c r="CN2" s="5" t="n">
        <v>48761</v>
      </c>
      <c r="CO2" s="5" t="n">
        <v>48792</v>
      </c>
      <c r="CP2" s="5" t="n">
        <v>48823</v>
      </c>
      <c r="CQ2" s="5" t="n">
        <v>48853</v>
      </c>
      <c r="CR2" s="5" t="n">
        <v>48884</v>
      </c>
      <c r="CS2" s="5" t="n">
        <v>48914</v>
      </c>
      <c r="CT2" s="5" t="n">
        <v>48945</v>
      </c>
      <c r="CU2" s="5" t="n">
        <v>48976</v>
      </c>
      <c r="CV2" s="5" t="n">
        <v>49004</v>
      </c>
      <c r="CW2" s="5" t="n">
        <v>49035</v>
      </c>
      <c r="CX2" s="5" t="n">
        <v>49065</v>
      </c>
      <c r="CY2" s="5" t="n">
        <v>49096</v>
      </c>
      <c r="CZ2" s="5" t="n">
        <v>49126</v>
      </c>
      <c r="DA2" s="5" t="n">
        <v>49157</v>
      </c>
      <c r="DB2" s="5" t="n">
        <v>49188</v>
      </c>
      <c r="DC2" s="5" t="n">
        <v>49218</v>
      </c>
      <c r="DD2" s="5" t="n">
        <v>49249</v>
      </c>
      <c r="DE2" s="5" t="n">
        <v>49279</v>
      </c>
    </row>
    <row r="3" s="9" customFormat="true" ht="15" hidden="false" customHeight="true" outlineLevel="0" collapsed="false">
      <c r="A3" s="6" t="s">
        <v>1</v>
      </c>
      <c r="B3" s="7" t="n">
        <v>-2</v>
      </c>
      <c r="C3" s="7" t="n">
        <v>-1</v>
      </c>
      <c r="D3" s="7" t="n">
        <v>0</v>
      </c>
      <c r="E3" s="7" t="n">
        <v>1</v>
      </c>
      <c r="F3" s="7" t="n">
        <v>2</v>
      </c>
      <c r="G3" s="7" t="n">
        <v>3</v>
      </c>
      <c r="H3" s="7" t="n">
        <v>4</v>
      </c>
      <c r="I3" s="7" t="n">
        <v>5</v>
      </c>
      <c r="J3" s="7" t="n">
        <v>6</v>
      </c>
      <c r="K3" s="7" t="n">
        <v>7</v>
      </c>
      <c r="L3" s="7" t="n">
        <v>8</v>
      </c>
      <c r="M3" s="7" t="n">
        <v>9</v>
      </c>
      <c r="N3" s="7" t="n">
        <v>10</v>
      </c>
      <c r="O3" s="7" t="n">
        <v>11</v>
      </c>
      <c r="P3" s="7" t="n">
        <v>12</v>
      </c>
      <c r="Q3" s="7" t="n">
        <v>13</v>
      </c>
      <c r="R3" s="7" t="n">
        <v>14</v>
      </c>
      <c r="S3" s="7" t="n">
        <v>15</v>
      </c>
      <c r="T3" s="7" t="n">
        <v>16</v>
      </c>
      <c r="U3" s="7" t="n">
        <v>17</v>
      </c>
      <c r="V3" s="7" t="n">
        <v>18</v>
      </c>
      <c r="W3" s="7" t="n">
        <v>19</v>
      </c>
      <c r="X3" s="7" t="n">
        <v>20</v>
      </c>
      <c r="Y3" s="7" t="n">
        <v>21</v>
      </c>
      <c r="Z3" s="7" t="n">
        <v>22</v>
      </c>
      <c r="AA3" s="7" t="n">
        <v>23</v>
      </c>
      <c r="AB3" s="7" t="n">
        <v>24</v>
      </c>
      <c r="AC3" s="7" t="n">
        <v>25</v>
      </c>
      <c r="AD3" s="7" t="n">
        <v>26</v>
      </c>
      <c r="AE3" s="7" t="n">
        <v>27</v>
      </c>
      <c r="AF3" s="7" t="n">
        <v>28</v>
      </c>
      <c r="AG3" s="7" t="n">
        <v>29</v>
      </c>
      <c r="AH3" s="7" t="n">
        <v>30</v>
      </c>
      <c r="AI3" s="7" t="n">
        <v>31</v>
      </c>
      <c r="AJ3" s="7" t="n">
        <v>32</v>
      </c>
      <c r="AK3" s="7" t="n">
        <v>33</v>
      </c>
      <c r="AL3" s="7" t="n">
        <v>34</v>
      </c>
      <c r="AM3" s="7" t="n">
        <v>35</v>
      </c>
      <c r="AN3" s="7" t="n">
        <v>36</v>
      </c>
      <c r="AO3" s="7" t="n">
        <v>37</v>
      </c>
      <c r="AP3" s="7" t="n">
        <v>38</v>
      </c>
      <c r="AQ3" s="7" t="n">
        <v>39</v>
      </c>
      <c r="AR3" s="7" t="n">
        <v>40</v>
      </c>
      <c r="AS3" s="7" t="n">
        <v>41</v>
      </c>
      <c r="AT3" s="7" t="n">
        <v>42</v>
      </c>
      <c r="AU3" s="7" t="n">
        <v>43</v>
      </c>
      <c r="AV3" s="7" t="n">
        <v>44</v>
      </c>
      <c r="AW3" s="7" t="n">
        <v>45</v>
      </c>
      <c r="AX3" s="7" t="n">
        <v>46</v>
      </c>
      <c r="AY3" s="7" t="n">
        <v>47</v>
      </c>
      <c r="AZ3" s="7" t="n">
        <v>48</v>
      </c>
      <c r="BA3" s="7" t="n">
        <v>49</v>
      </c>
      <c r="BB3" s="7" t="n">
        <v>50</v>
      </c>
      <c r="BC3" s="7" t="n">
        <v>51</v>
      </c>
      <c r="BD3" s="7" t="n">
        <v>52</v>
      </c>
      <c r="BE3" s="7" t="n">
        <v>53</v>
      </c>
      <c r="BF3" s="7" t="n">
        <v>54</v>
      </c>
      <c r="BG3" s="7" t="n">
        <v>55</v>
      </c>
      <c r="BH3" s="7" t="n">
        <v>56</v>
      </c>
      <c r="BI3" s="7" t="n">
        <v>57</v>
      </c>
      <c r="BJ3" s="7" t="n">
        <v>58</v>
      </c>
      <c r="BK3" s="7" t="n">
        <v>59</v>
      </c>
      <c r="BL3" s="7" t="n">
        <v>60</v>
      </c>
      <c r="BM3" s="7" t="n">
        <v>61</v>
      </c>
      <c r="BN3" s="7" t="n">
        <v>62</v>
      </c>
      <c r="BO3" s="7" t="n">
        <v>63</v>
      </c>
      <c r="BP3" s="7" t="n">
        <v>64</v>
      </c>
      <c r="BQ3" s="7" t="n">
        <v>65</v>
      </c>
      <c r="BR3" s="7" t="n">
        <v>66</v>
      </c>
      <c r="BS3" s="7" t="n">
        <v>67</v>
      </c>
      <c r="BT3" s="7" t="n">
        <v>68</v>
      </c>
      <c r="BU3" s="7" t="n">
        <v>69</v>
      </c>
      <c r="BV3" s="7" t="n">
        <v>70</v>
      </c>
      <c r="BW3" s="7" t="n">
        <v>71</v>
      </c>
      <c r="BX3" s="7" t="n">
        <v>72</v>
      </c>
      <c r="BY3" s="7" t="n">
        <v>73</v>
      </c>
      <c r="BZ3" s="7" t="n">
        <v>74</v>
      </c>
      <c r="CA3" s="7" t="n">
        <v>75</v>
      </c>
      <c r="CB3" s="7" t="n">
        <v>76</v>
      </c>
      <c r="CC3" s="7" t="n">
        <v>77</v>
      </c>
      <c r="CD3" s="7" t="n">
        <v>78</v>
      </c>
      <c r="CE3" s="7" t="n">
        <v>79</v>
      </c>
      <c r="CF3" s="7" t="n">
        <v>80</v>
      </c>
      <c r="CG3" s="7" t="n">
        <v>81</v>
      </c>
      <c r="CH3" s="7" t="n">
        <v>82</v>
      </c>
      <c r="CI3" s="7" t="n">
        <v>83</v>
      </c>
      <c r="CJ3" s="7" t="n">
        <v>84</v>
      </c>
      <c r="CK3" s="7" t="n">
        <v>85</v>
      </c>
      <c r="CL3" s="7" t="n">
        <v>86</v>
      </c>
      <c r="CM3" s="7" t="n">
        <v>87</v>
      </c>
      <c r="CN3" s="7" t="n">
        <v>88</v>
      </c>
      <c r="CO3" s="7" t="n">
        <v>89</v>
      </c>
      <c r="CP3" s="7" t="n">
        <v>90</v>
      </c>
      <c r="CQ3" s="7" t="n">
        <v>91</v>
      </c>
      <c r="CR3" s="7" t="n">
        <v>92</v>
      </c>
      <c r="CS3" s="7" t="n">
        <v>93</v>
      </c>
      <c r="CT3" s="7" t="n">
        <v>94</v>
      </c>
      <c r="CU3" s="7" t="n">
        <v>95</v>
      </c>
      <c r="CV3" s="7" t="n">
        <v>96</v>
      </c>
      <c r="CW3" s="7" t="n">
        <v>97</v>
      </c>
      <c r="CX3" s="7" t="n">
        <v>98</v>
      </c>
      <c r="CY3" s="7" t="n">
        <v>99</v>
      </c>
      <c r="CZ3" s="7" t="n">
        <v>100</v>
      </c>
      <c r="DA3" s="7" t="n">
        <v>101</v>
      </c>
      <c r="DB3" s="7" t="n">
        <v>102</v>
      </c>
      <c r="DC3" s="7" t="n">
        <v>103</v>
      </c>
      <c r="DD3" s="7" t="n">
        <v>104</v>
      </c>
      <c r="DE3" s="7" t="n">
        <v>105</v>
      </c>
      <c r="DF3" s="8"/>
      <c r="DG3" s="8"/>
      <c r="DH3" s="8"/>
      <c r="DI3" s="8"/>
      <c r="DJ3" s="8"/>
      <c r="DK3" s="8"/>
      <c r="DL3" s="8"/>
      <c r="DM3" s="8"/>
      <c r="DN3" s="8"/>
      <c r="DO3" s="8"/>
      <c r="DP3" s="8"/>
      <c r="DQ3" s="8"/>
      <c r="DR3" s="8"/>
      <c r="DS3" s="8"/>
      <c r="DT3" s="8"/>
      <c r="DU3" s="8"/>
      <c r="DV3" s="8"/>
      <c r="DW3" s="8"/>
      <c r="DX3" s="8"/>
      <c r="DY3" s="8"/>
      <c r="DZ3" s="8"/>
      <c r="EA3" s="8"/>
      <c r="EB3" s="8"/>
      <c r="EC3" s="8"/>
      <c r="ED3" s="8"/>
      <c r="EE3" s="8"/>
      <c r="EF3" s="8"/>
      <c r="EG3" s="8"/>
      <c r="EH3" s="8"/>
      <c r="EI3" s="8"/>
      <c r="EJ3" s="8"/>
      <c r="EK3" s="8"/>
      <c r="EL3" s="8"/>
      <c r="EM3" s="8"/>
      <c r="EN3" s="8"/>
      <c r="EO3" s="8"/>
      <c r="EP3" s="8"/>
      <c r="EQ3" s="8"/>
      <c r="ER3" s="8"/>
      <c r="ES3" s="8"/>
      <c r="ET3" s="8"/>
      <c r="EU3" s="8"/>
      <c r="EV3" s="8"/>
      <c r="EW3" s="8"/>
      <c r="EX3" s="8"/>
      <c r="EY3" s="8"/>
      <c r="EZ3" s="8"/>
      <c r="FA3" s="8"/>
      <c r="FB3" s="8"/>
      <c r="FC3" s="8"/>
      <c r="FD3" s="8"/>
      <c r="FE3" s="8"/>
      <c r="FF3" s="8"/>
      <c r="FG3" s="8"/>
      <c r="FH3" s="8"/>
      <c r="FI3" s="8"/>
      <c r="FJ3" s="8"/>
      <c r="FK3" s="8"/>
      <c r="FL3" s="8"/>
      <c r="FM3" s="8"/>
      <c r="FN3" s="8"/>
      <c r="FO3" s="8"/>
      <c r="FP3" s="8"/>
      <c r="FQ3" s="8"/>
      <c r="FR3" s="8"/>
      <c r="FS3" s="8"/>
      <c r="FT3" s="8"/>
      <c r="FU3" s="8"/>
      <c r="FV3" s="8"/>
      <c r="FW3" s="8"/>
      <c r="FX3" s="8"/>
      <c r="FY3" s="8"/>
      <c r="FZ3" s="8"/>
      <c r="GA3" s="8"/>
      <c r="GB3" s="8"/>
      <c r="GC3" s="8"/>
      <c r="GD3" s="8"/>
      <c r="GE3" s="8"/>
      <c r="GF3" s="8"/>
      <c r="GG3" s="8"/>
      <c r="GH3" s="8"/>
      <c r="GI3" s="8"/>
      <c r="GJ3" s="8"/>
      <c r="GK3" s="8"/>
      <c r="GL3" s="8"/>
      <c r="GM3" s="8"/>
      <c r="GN3" s="8"/>
      <c r="GO3" s="8"/>
      <c r="GP3" s="8"/>
      <c r="GQ3" s="8"/>
      <c r="GR3" s="8"/>
      <c r="GS3" s="8"/>
      <c r="GT3" s="8"/>
      <c r="GU3" s="8"/>
      <c r="GV3" s="8"/>
      <c r="GW3" s="8"/>
      <c r="GX3" s="8"/>
      <c r="GY3" s="8"/>
      <c r="GZ3" s="8"/>
      <c r="HA3" s="8"/>
      <c r="HB3" s="8"/>
      <c r="HC3" s="8"/>
      <c r="HD3" s="8"/>
      <c r="HE3" s="8"/>
      <c r="HF3" s="8"/>
      <c r="HG3" s="8"/>
      <c r="HH3" s="8"/>
      <c r="HI3" s="8"/>
      <c r="HJ3" s="8"/>
      <c r="HK3" s="8"/>
      <c r="HL3" s="8"/>
      <c r="HM3" s="8"/>
      <c r="HN3" s="8"/>
      <c r="HO3" s="8"/>
      <c r="HP3" s="8"/>
      <c r="HQ3" s="8"/>
      <c r="HR3" s="8"/>
      <c r="HS3" s="8"/>
      <c r="HT3" s="8"/>
      <c r="HU3" s="8"/>
      <c r="HV3" s="8"/>
      <c r="HW3" s="8"/>
      <c r="HX3" s="8"/>
      <c r="HY3" s="8"/>
      <c r="HZ3" s="8"/>
      <c r="IA3" s="8"/>
      <c r="IB3" s="8"/>
      <c r="IC3" s="8"/>
      <c r="ID3" s="8"/>
      <c r="IE3" s="8"/>
      <c r="IF3" s="8"/>
      <c r="IG3" s="8"/>
      <c r="IH3" s="8"/>
      <c r="II3" s="8"/>
      <c r="IJ3" s="8"/>
      <c r="IK3" s="8"/>
      <c r="IL3" s="8"/>
      <c r="IM3" s="8"/>
      <c r="IN3" s="8"/>
      <c r="IO3" s="8"/>
      <c r="IP3" s="8"/>
      <c r="IQ3" s="8"/>
      <c r="IR3" s="8"/>
      <c r="IS3" s="8"/>
      <c r="IT3" s="8"/>
      <c r="IU3" s="8"/>
      <c r="IV3" s="8"/>
      <c r="IW3" s="8"/>
      <c r="IX3" s="8"/>
      <c r="IY3" s="8"/>
      <c r="IZ3" s="8"/>
      <c r="JA3" s="8"/>
      <c r="JB3" s="8"/>
      <c r="JC3" s="8"/>
      <c r="JD3" s="8"/>
      <c r="JE3" s="8"/>
      <c r="JF3" s="8"/>
      <c r="JG3" s="8"/>
      <c r="JH3" s="8"/>
      <c r="JI3" s="8"/>
      <c r="JJ3" s="8"/>
      <c r="JK3" s="8"/>
      <c r="JL3" s="8"/>
      <c r="JM3" s="8"/>
      <c r="JN3" s="8"/>
      <c r="JO3" s="8"/>
      <c r="JP3" s="8"/>
      <c r="JQ3" s="8"/>
      <c r="JR3" s="8"/>
      <c r="JS3" s="8"/>
      <c r="JT3" s="8"/>
      <c r="JU3" s="8"/>
      <c r="JV3" s="8"/>
      <c r="JW3" s="8"/>
      <c r="JX3" s="8"/>
      <c r="JY3" s="8"/>
      <c r="JZ3" s="8"/>
      <c r="KA3" s="8"/>
      <c r="KB3" s="8"/>
      <c r="KC3" s="8"/>
      <c r="KD3" s="8"/>
      <c r="KE3" s="8"/>
      <c r="KF3" s="8"/>
      <c r="KG3" s="8"/>
      <c r="KH3" s="8"/>
      <c r="KI3" s="8"/>
      <c r="KJ3" s="8"/>
      <c r="KK3" s="8"/>
      <c r="KL3" s="8"/>
      <c r="KM3" s="8"/>
      <c r="KN3" s="8"/>
      <c r="KO3" s="8"/>
      <c r="KP3" s="8"/>
      <c r="KQ3" s="8"/>
      <c r="KR3" s="8"/>
      <c r="KS3" s="8"/>
      <c r="KT3" s="8"/>
      <c r="KU3" s="8"/>
      <c r="KV3" s="8"/>
      <c r="KW3" s="8"/>
      <c r="KX3" s="8"/>
      <c r="KY3" s="8"/>
      <c r="KZ3" s="8"/>
      <c r="LA3" s="8"/>
      <c r="LB3" s="8"/>
      <c r="LC3" s="8"/>
      <c r="LD3" s="8"/>
      <c r="LE3" s="8"/>
      <c r="LF3" s="8"/>
      <c r="LG3" s="8"/>
      <c r="LH3" s="8"/>
      <c r="LI3" s="8"/>
      <c r="LJ3" s="8"/>
      <c r="LK3" s="8"/>
      <c r="LL3" s="8"/>
      <c r="LM3" s="8"/>
      <c r="LN3" s="8"/>
      <c r="LO3" s="8"/>
      <c r="LP3" s="8"/>
      <c r="LQ3" s="8"/>
      <c r="LR3" s="8"/>
      <c r="LS3" s="8"/>
      <c r="LT3" s="8"/>
      <c r="LU3" s="8"/>
      <c r="LV3" s="8"/>
      <c r="LW3" s="8"/>
      <c r="LX3" s="8"/>
      <c r="LY3" s="8"/>
      <c r="LZ3" s="8"/>
      <c r="MA3" s="8"/>
      <c r="MB3" s="8"/>
      <c r="MC3" s="8"/>
      <c r="MD3" s="8"/>
      <c r="ME3" s="8"/>
      <c r="MF3" s="8"/>
      <c r="MG3" s="8"/>
      <c r="MH3" s="8"/>
      <c r="MI3" s="8"/>
      <c r="MJ3" s="8"/>
      <c r="MK3" s="8"/>
      <c r="ML3" s="8"/>
      <c r="MM3" s="8"/>
      <c r="MN3" s="8"/>
      <c r="MO3" s="8"/>
      <c r="MP3" s="8"/>
      <c r="MQ3" s="8"/>
      <c r="MR3" s="8"/>
      <c r="MS3" s="8"/>
      <c r="MT3" s="8"/>
      <c r="MU3" s="8"/>
      <c r="MV3" s="8"/>
      <c r="MW3" s="8"/>
      <c r="MX3" s="8"/>
      <c r="MY3" s="8"/>
      <c r="MZ3" s="8"/>
      <c r="NA3" s="8"/>
      <c r="NB3" s="8"/>
      <c r="NC3" s="8"/>
      <c r="ND3" s="8"/>
      <c r="NE3" s="8"/>
      <c r="NF3" s="8"/>
      <c r="NG3" s="8"/>
      <c r="NH3" s="8"/>
      <c r="NI3" s="8"/>
      <c r="NJ3" s="8"/>
      <c r="NK3" s="8"/>
      <c r="NL3" s="8"/>
      <c r="NM3" s="8"/>
      <c r="NN3" s="8"/>
      <c r="NO3" s="8"/>
      <c r="NP3" s="8"/>
      <c r="NQ3" s="8"/>
      <c r="NR3" s="8"/>
      <c r="NS3" s="8"/>
      <c r="NT3" s="8"/>
      <c r="NU3" s="8"/>
      <c r="NV3" s="8"/>
      <c r="NW3" s="8"/>
      <c r="NX3" s="8"/>
      <c r="NY3" s="8"/>
      <c r="NZ3" s="8"/>
      <c r="OA3" s="8"/>
      <c r="OB3" s="8"/>
      <c r="OC3" s="8"/>
      <c r="OD3" s="8"/>
      <c r="OE3" s="8"/>
      <c r="OF3" s="8"/>
      <c r="OG3" s="8"/>
      <c r="OH3" s="8"/>
      <c r="OI3" s="8"/>
      <c r="OJ3" s="8"/>
      <c r="OK3" s="8"/>
      <c r="OL3" s="8"/>
      <c r="OM3" s="8"/>
      <c r="ON3" s="8"/>
      <c r="OO3" s="8"/>
      <c r="OP3" s="8"/>
      <c r="OQ3" s="8"/>
      <c r="OR3" s="8"/>
      <c r="OS3" s="8"/>
      <c r="OT3" s="8"/>
      <c r="OU3" s="8"/>
      <c r="OV3" s="8"/>
      <c r="OW3" s="8"/>
      <c r="OX3" s="8"/>
      <c r="OY3" s="8"/>
      <c r="OZ3" s="8"/>
      <c r="PA3" s="8"/>
      <c r="PB3" s="8"/>
      <c r="PC3" s="8"/>
      <c r="PD3" s="8"/>
      <c r="PE3" s="8"/>
      <c r="PF3" s="8"/>
      <c r="PG3" s="8"/>
      <c r="PH3" s="8"/>
      <c r="PI3" s="8"/>
      <c r="PJ3" s="8"/>
      <c r="PK3" s="8"/>
      <c r="PL3" s="8"/>
      <c r="PM3" s="8"/>
      <c r="PN3" s="8"/>
      <c r="PO3" s="8"/>
      <c r="PP3" s="8"/>
      <c r="PQ3" s="8"/>
      <c r="PR3" s="8"/>
      <c r="PS3" s="8"/>
      <c r="PT3" s="8"/>
      <c r="PU3" s="8"/>
      <c r="PV3" s="8"/>
      <c r="PW3" s="8"/>
      <c r="PX3" s="8"/>
      <c r="PY3" s="8"/>
      <c r="PZ3" s="8"/>
      <c r="QA3" s="8"/>
      <c r="QB3" s="8"/>
      <c r="QC3" s="8"/>
      <c r="QD3" s="8"/>
      <c r="QE3" s="8"/>
      <c r="QF3" s="8"/>
      <c r="QG3" s="8"/>
      <c r="QH3" s="8"/>
      <c r="QI3" s="8"/>
      <c r="QJ3" s="8"/>
      <c r="QK3" s="8"/>
      <c r="QL3" s="8"/>
      <c r="QM3" s="8"/>
      <c r="QN3" s="8"/>
      <c r="QO3" s="8"/>
      <c r="QP3" s="8"/>
      <c r="QQ3" s="8"/>
      <c r="QR3" s="8"/>
      <c r="QS3" s="8"/>
      <c r="QT3" s="8"/>
      <c r="QU3" s="8"/>
      <c r="QV3" s="8"/>
      <c r="QW3" s="8"/>
      <c r="QX3" s="8"/>
      <c r="QY3" s="8"/>
      <c r="QZ3" s="8"/>
      <c r="RA3" s="8"/>
      <c r="RB3" s="8"/>
      <c r="RC3" s="8"/>
      <c r="RD3" s="8"/>
      <c r="RE3" s="8"/>
      <c r="RF3" s="8"/>
      <c r="RG3" s="8"/>
      <c r="RH3" s="8"/>
      <c r="RI3" s="8"/>
      <c r="RJ3" s="8"/>
      <c r="RK3" s="8"/>
      <c r="RL3" s="8"/>
      <c r="RM3" s="8"/>
      <c r="RN3" s="8"/>
      <c r="RO3" s="8"/>
      <c r="RP3" s="8"/>
      <c r="RQ3" s="8"/>
      <c r="RR3" s="8"/>
      <c r="RS3" s="8"/>
      <c r="RT3" s="8"/>
      <c r="RU3" s="8"/>
      <c r="RV3" s="8"/>
      <c r="RW3" s="8"/>
      <c r="RX3" s="8"/>
      <c r="RY3" s="8"/>
      <c r="RZ3" s="8"/>
      <c r="SA3" s="8"/>
      <c r="SB3" s="8"/>
      <c r="SC3" s="8"/>
      <c r="SD3" s="8"/>
      <c r="SE3" s="8"/>
      <c r="SF3" s="8"/>
      <c r="SG3" s="8"/>
      <c r="SH3" s="8"/>
      <c r="SI3" s="8"/>
      <c r="SJ3" s="8"/>
      <c r="SK3" s="8"/>
      <c r="SL3" s="8"/>
      <c r="SM3" s="8"/>
      <c r="SN3" s="8"/>
      <c r="SO3" s="8"/>
      <c r="SP3" s="8"/>
      <c r="SQ3" s="8"/>
      <c r="SR3" s="8"/>
      <c r="SS3" s="8"/>
      <c r="ST3" s="8"/>
      <c r="SU3" s="8"/>
      <c r="SV3" s="8"/>
      <c r="SW3" s="8"/>
      <c r="SX3" s="8"/>
      <c r="SY3" s="8"/>
      <c r="SZ3" s="8"/>
      <c r="TA3" s="8"/>
      <c r="TB3" s="8"/>
      <c r="TC3" s="8"/>
      <c r="TD3" s="8"/>
      <c r="TE3" s="8"/>
      <c r="TF3" s="8"/>
      <c r="TG3" s="8"/>
      <c r="TH3" s="8"/>
      <c r="TI3" s="8"/>
      <c r="TJ3" s="8"/>
      <c r="TK3" s="8"/>
      <c r="TL3" s="8"/>
      <c r="TM3" s="8"/>
      <c r="TN3" s="8"/>
      <c r="TO3" s="8"/>
      <c r="TP3" s="8"/>
      <c r="TQ3" s="8"/>
      <c r="TR3" s="8"/>
      <c r="TS3" s="8"/>
      <c r="TT3" s="8"/>
      <c r="TU3" s="8"/>
      <c r="TV3" s="8"/>
      <c r="TW3" s="8"/>
      <c r="TX3" s="8"/>
      <c r="TY3" s="8"/>
      <c r="TZ3" s="8"/>
      <c r="UA3" s="8"/>
      <c r="UB3" s="8"/>
      <c r="UC3" s="8"/>
      <c r="UD3" s="8"/>
      <c r="UE3" s="8"/>
      <c r="UF3" s="8"/>
      <c r="UG3" s="8"/>
      <c r="UH3" s="8"/>
      <c r="UI3" s="8"/>
      <c r="UJ3" s="8"/>
      <c r="UK3" s="8"/>
      <c r="UL3" s="8"/>
      <c r="UM3" s="8"/>
      <c r="UN3" s="8"/>
      <c r="UO3" s="8"/>
      <c r="UP3" s="8"/>
      <c r="UQ3" s="8"/>
      <c r="UR3" s="8"/>
      <c r="US3" s="8"/>
      <c r="UT3" s="8"/>
      <c r="UU3" s="8"/>
      <c r="UV3" s="8"/>
      <c r="UW3" s="8"/>
      <c r="UX3" s="8"/>
      <c r="UY3" s="8"/>
      <c r="UZ3" s="8"/>
      <c r="VA3" s="8"/>
      <c r="VB3" s="8"/>
      <c r="VC3" s="8"/>
      <c r="VD3" s="8"/>
      <c r="VE3" s="8"/>
      <c r="VF3" s="8"/>
      <c r="VG3" s="8"/>
      <c r="VH3" s="8"/>
      <c r="VI3" s="8"/>
      <c r="VJ3" s="8"/>
      <c r="VK3" s="8"/>
      <c r="VL3" s="8"/>
      <c r="VM3" s="8"/>
      <c r="VN3" s="8"/>
      <c r="VO3" s="8"/>
      <c r="VP3" s="8"/>
      <c r="VQ3" s="8"/>
      <c r="VR3" s="8"/>
      <c r="VS3" s="8"/>
      <c r="VT3" s="8"/>
      <c r="VU3" s="8"/>
      <c r="VV3" s="8"/>
      <c r="VW3" s="8"/>
      <c r="VX3" s="8"/>
    </row>
    <row r="4" s="9" customFormat="true" ht="15" hidden="false" customHeight="true" outlineLevel="0" collapsed="false">
      <c r="A4" s="6"/>
      <c r="B4" s="10" t="str">
        <f aca="false">IF(ISBLANK(Actuals!C14),"","Actuals")</f>
        <v>Actuals</v>
      </c>
      <c r="C4" s="10" t="str">
        <f aca="false">IF(ISBLANK(Actuals!D14),"","Actuals")</f>
        <v>Actuals</v>
      </c>
      <c r="D4" s="10" t="str">
        <f aca="false">IF(ISBLANK(Actuals!E14),"","Actuals")</f>
        <v>Actuals</v>
      </c>
      <c r="E4" s="10" t="str">
        <f aca="false">IF(ISBLANK(Actuals!F14),"","Actuals")</f>
        <v>Actuals</v>
      </c>
      <c r="F4" s="10" t="str">
        <f aca="false">IF(ISBLANK(Actuals!G14),"","Actuals")</f>
        <v>Actuals</v>
      </c>
      <c r="G4" s="10" t="str">
        <f aca="false">IF(ISBLANK(Actuals!H14),"","Actuals")</f>
        <v>Actuals</v>
      </c>
      <c r="H4" s="10" t="str">
        <f aca="false">IF(ISBLANK(Actuals!I14),"","Actuals")</f>
        <v>Actuals</v>
      </c>
      <c r="I4" s="10" t="str">
        <f aca="false">IF(ISBLANK(Actuals!J14),"","Actuals")</f>
        <v>Actuals</v>
      </c>
      <c r="J4" s="10" t="str">
        <f aca="false">IF(ISBLANK(Actuals!K14),"","Actuals")</f>
        <v/>
      </c>
      <c r="K4" s="10" t="str">
        <f aca="false">IF(ISBLANK(Actuals!L14),"","Actuals")</f>
        <v/>
      </c>
      <c r="L4" s="10" t="str">
        <f aca="false">IF(ISBLANK(Actuals!M14),"","Actuals")</f>
        <v/>
      </c>
      <c r="M4" s="10" t="str">
        <f aca="false">IF(ISBLANK(Actuals!N14),"","Actuals")</f>
        <v/>
      </c>
      <c r="N4" s="10" t="str">
        <f aca="false">IF(ISBLANK(Actuals!O14),"","Actuals")</f>
        <v/>
      </c>
      <c r="O4" s="10" t="str">
        <f aca="false">IF(ISBLANK(Actuals!P14),"","Actuals")</f>
        <v/>
      </c>
      <c r="P4" s="10" t="str">
        <f aca="false">IF(ISBLANK(Actuals!Q14),"","Actuals")</f>
        <v/>
      </c>
      <c r="Q4" s="10" t="str">
        <f aca="false">IF(ISBLANK(Actuals!R14),"","Actuals")</f>
        <v/>
      </c>
      <c r="R4" s="10" t="str">
        <f aca="false">IF(ISBLANK(Actuals!S14),"","Actuals")</f>
        <v/>
      </c>
      <c r="S4" s="10" t="str">
        <f aca="false">IF(ISBLANK(Actuals!T14),"","Actuals")</f>
        <v/>
      </c>
      <c r="T4" s="10" t="str">
        <f aca="false">IF(ISBLANK(Actuals!U14),"","Actuals")</f>
        <v/>
      </c>
      <c r="U4" s="10" t="str">
        <f aca="false">IF(ISBLANK(Actuals!V14),"","Actuals")</f>
        <v/>
      </c>
      <c r="V4" s="10" t="str">
        <f aca="false">IF(ISBLANK(Actuals!W14),"","Actuals")</f>
        <v/>
      </c>
      <c r="W4" s="10" t="str">
        <f aca="false">IF(ISBLANK(Actuals!X14),"","Actuals")</f>
        <v/>
      </c>
      <c r="X4" s="10" t="str">
        <f aca="false">IF(ISBLANK(Actuals!Y14),"","Actuals")</f>
        <v/>
      </c>
      <c r="Y4" s="10" t="str">
        <f aca="false">IF(ISBLANK(Actuals!Z14),"","Actuals")</f>
        <v/>
      </c>
      <c r="Z4" s="10" t="str">
        <f aca="false">IF(ISBLANK(Actuals!AA14),"","Actuals")</f>
        <v/>
      </c>
      <c r="AA4" s="10" t="str">
        <f aca="false">IF(ISBLANK(Actuals!AB14),"","Actuals")</f>
        <v/>
      </c>
      <c r="AB4" s="10" t="str">
        <f aca="false">IF(ISBLANK(Actuals!AC14),"","Actuals")</f>
        <v/>
      </c>
      <c r="AC4" s="10" t="str">
        <f aca="false">IF(ISBLANK(Actuals!AD14),"","Actuals")</f>
        <v/>
      </c>
      <c r="AD4" s="10" t="str">
        <f aca="false">IF(ISBLANK(Actuals!AE14),"","Actuals")</f>
        <v/>
      </c>
      <c r="AE4" s="10" t="str">
        <f aca="false">IF(ISBLANK(Actuals!AF14),"","Actuals")</f>
        <v/>
      </c>
      <c r="AF4" s="10" t="str">
        <f aca="false">IF(ISBLANK(Actuals!AG14),"","Actuals")</f>
        <v/>
      </c>
      <c r="AG4" s="10" t="str">
        <f aca="false">IF(ISBLANK(Actuals!AH14),"","Actuals")</f>
        <v/>
      </c>
      <c r="AH4" s="10" t="str">
        <f aca="false">IF(ISBLANK(Actuals!AI14),"","Actuals")</f>
        <v/>
      </c>
      <c r="AI4" s="10" t="str">
        <f aca="false">IF(ISBLANK(Actuals!AJ14),"","Actuals")</f>
        <v/>
      </c>
      <c r="AJ4" s="10" t="str">
        <f aca="false">IF(ISBLANK(Actuals!AK14),"","Actuals")</f>
        <v/>
      </c>
      <c r="AK4" s="10" t="str">
        <f aca="false">IF(ISBLANK(Actuals!AL14),"","Actuals")</f>
        <v/>
      </c>
      <c r="AL4" s="10" t="str">
        <f aca="false">IF(ISBLANK(Actuals!AM14),"","Actuals")</f>
        <v/>
      </c>
      <c r="AM4" s="10" t="str">
        <f aca="false">IF(ISBLANK(Actuals!AN14),"","Actuals")</f>
        <v/>
      </c>
      <c r="AN4" s="10" t="str">
        <f aca="false">IF(ISBLANK(Actuals!AO14),"","Actuals")</f>
        <v/>
      </c>
      <c r="AO4" s="10" t="str">
        <f aca="false">IF(ISBLANK(Actuals!AP14),"","Actuals")</f>
        <v/>
      </c>
      <c r="AP4" s="10" t="str">
        <f aca="false">IF(ISBLANK(Actuals!AQ14),"","Actuals")</f>
        <v/>
      </c>
      <c r="AQ4" s="10" t="str">
        <f aca="false">IF(ISBLANK(Actuals!AR14),"","Actuals")</f>
        <v/>
      </c>
      <c r="AR4" s="10" t="str">
        <f aca="false">IF(ISBLANK(Actuals!AS14),"","Actuals")</f>
        <v/>
      </c>
      <c r="AS4" s="10" t="str">
        <f aca="false">IF(ISBLANK(Actuals!AT14),"","Actuals")</f>
        <v/>
      </c>
      <c r="AT4" s="10" t="str">
        <f aca="false">IF(ISBLANK(Actuals!AU14),"","Actuals")</f>
        <v/>
      </c>
      <c r="AU4" s="10" t="str">
        <f aca="false">IF(ISBLANK(Actuals!AV14),"","Actuals")</f>
        <v/>
      </c>
      <c r="AV4" s="10" t="str">
        <f aca="false">IF(ISBLANK(Actuals!AW14),"","Actuals")</f>
        <v/>
      </c>
      <c r="AW4" s="10" t="str">
        <f aca="false">IF(ISBLANK(Actuals!AX14),"","Actuals")</f>
        <v/>
      </c>
      <c r="AX4" s="10" t="str">
        <f aca="false">IF(ISBLANK(Actuals!AY14),"","Actuals")</f>
        <v/>
      </c>
      <c r="AY4" s="10" t="str">
        <f aca="false">IF(ISBLANK(Actuals!AZ14),"","Actuals")</f>
        <v/>
      </c>
      <c r="AZ4" s="10" t="str">
        <f aca="false">IF(ISBLANK(Actuals!BA14),"","Actuals")</f>
        <v/>
      </c>
      <c r="BA4" s="10" t="str">
        <f aca="false">IF(ISBLANK(Actuals!BB14),"","Actuals")</f>
        <v/>
      </c>
      <c r="BB4" s="10" t="str">
        <f aca="false">IF(ISBLANK(Actuals!BC14),"","Actuals")</f>
        <v/>
      </c>
      <c r="BC4" s="10" t="str">
        <f aca="false">IF(ISBLANK(Actuals!BD14),"","Actuals")</f>
        <v/>
      </c>
      <c r="BD4" s="10" t="str">
        <f aca="false">IF(ISBLANK(Actuals!BE14),"","Actuals")</f>
        <v/>
      </c>
      <c r="BE4" s="10" t="str">
        <f aca="false">IF(ISBLANK(Actuals!BF14),"","Actuals")</f>
        <v/>
      </c>
      <c r="BF4" s="10" t="str">
        <f aca="false">IF(ISBLANK(Actuals!BG14),"","Actuals")</f>
        <v/>
      </c>
      <c r="BG4" s="10" t="str">
        <f aca="false">IF(ISBLANK(Actuals!BH14),"","Actuals")</f>
        <v/>
      </c>
      <c r="BH4" s="10" t="str">
        <f aca="false">IF(ISBLANK(Actuals!BI14),"","Actuals")</f>
        <v/>
      </c>
      <c r="BI4" s="10" t="str">
        <f aca="false">IF(ISBLANK(Actuals!BJ14),"","Actuals")</f>
        <v/>
      </c>
      <c r="BJ4" s="10" t="str">
        <f aca="false">IF(ISBLANK(Actuals!BK14),"","Actuals")</f>
        <v/>
      </c>
      <c r="BK4" s="10" t="str">
        <f aca="false">IF(ISBLANK(Actuals!BL14),"","Actuals")</f>
        <v/>
      </c>
      <c r="BL4" s="10" t="str">
        <f aca="false">IF(ISBLANK(Actuals!BM14),"","Actuals")</f>
        <v/>
      </c>
      <c r="BM4" s="10" t="str">
        <f aca="false">IF(ISBLANK(Actuals!BN14),"","Actuals")</f>
        <v/>
      </c>
      <c r="BN4" s="10" t="str">
        <f aca="false">IF(ISBLANK(Actuals!BO14),"","Actuals")</f>
        <v/>
      </c>
      <c r="BO4" s="10" t="str">
        <f aca="false">IF(ISBLANK(Actuals!BP14),"","Actuals")</f>
        <v/>
      </c>
      <c r="BP4" s="10" t="str">
        <f aca="false">IF(ISBLANK(Actuals!BQ14),"","Actuals")</f>
        <v/>
      </c>
      <c r="BQ4" s="10" t="str">
        <f aca="false">IF(ISBLANK(Actuals!BR14),"","Actuals")</f>
        <v/>
      </c>
      <c r="BR4" s="10" t="str">
        <f aca="false">IF(ISBLANK(Actuals!BS14),"","Actuals")</f>
        <v/>
      </c>
      <c r="BS4" s="10" t="str">
        <f aca="false">IF(ISBLANK(Actuals!BT14),"","Actuals")</f>
        <v/>
      </c>
      <c r="BT4" s="10" t="str">
        <f aca="false">IF(ISBLANK(Actuals!BU14),"","Actuals")</f>
        <v/>
      </c>
      <c r="BU4" s="10" t="str">
        <f aca="false">IF(ISBLANK(Actuals!BV14),"","Actuals")</f>
        <v/>
      </c>
      <c r="BV4" s="10" t="str">
        <f aca="false">IF(ISBLANK(Actuals!BW14),"","Actuals")</f>
        <v/>
      </c>
      <c r="BW4" s="10" t="str">
        <f aca="false">IF(ISBLANK(Actuals!BX14),"","Actuals")</f>
        <v/>
      </c>
      <c r="BX4" s="10" t="str">
        <f aca="false">IF(ISBLANK(Actuals!BY14),"","Actuals")</f>
        <v/>
      </c>
      <c r="BY4" s="10" t="str">
        <f aca="false">IF(ISBLANK(Actuals!BZ14),"","Actuals")</f>
        <v/>
      </c>
      <c r="BZ4" s="10" t="str">
        <f aca="false">IF(ISBLANK(Actuals!CA14),"","Actuals")</f>
        <v/>
      </c>
      <c r="CA4" s="10" t="str">
        <f aca="false">IF(ISBLANK(Actuals!CB14),"","Actuals")</f>
        <v/>
      </c>
      <c r="CB4" s="10" t="str">
        <f aca="false">IF(ISBLANK(Actuals!CC14),"","Actuals")</f>
        <v/>
      </c>
      <c r="CC4" s="10" t="str">
        <f aca="false">IF(ISBLANK(Actuals!CD14),"","Actuals")</f>
        <v/>
      </c>
      <c r="CD4" s="10" t="str">
        <f aca="false">IF(ISBLANK(Actuals!CE14),"","Actuals")</f>
        <v/>
      </c>
      <c r="CE4" s="10" t="str">
        <f aca="false">IF(ISBLANK(Actuals!CF14),"","Actuals")</f>
        <v/>
      </c>
      <c r="CF4" s="10" t="str">
        <f aca="false">IF(ISBLANK(Actuals!CG14),"","Actuals")</f>
        <v/>
      </c>
      <c r="CG4" s="10" t="str">
        <f aca="false">IF(ISBLANK(Actuals!CH14),"","Actuals")</f>
        <v/>
      </c>
      <c r="CH4" s="10" t="str">
        <f aca="false">IF(ISBLANK(Actuals!CI14),"","Actuals")</f>
        <v/>
      </c>
      <c r="CI4" s="10" t="str">
        <f aca="false">IF(ISBLANK(Actuals!CJ14),"","Actuals")</f>
        <v/>
      </c>
      <c r="CJ4" s="10" t="str">
        <f aca="false">IF(ISBLANK(Actuals!CK14),"","Actuals")</f>
        <v/>
      </c>
      <c r="CK4" s="10" t="str">
        <f aca="false">IF(ISBLANK(Actuals!CL14),"","Actuals")</f>
        <v/>
      </c>
      <c r="CL4" s="10" t="str">
        <f aca="false">IF(ISBLANK(Actuals!CM14),"","Actuals")</f>
        <v/>
      </c>
      <c r="CM4" s="10" t="str">
        <f aca="false">IF(ISBLANK(Actuals!CN14),"","Actuals")</f>
        <v/>
      </c>
      <c r="CN4" s="10" t="str">
        <f aca="false">IF(ISBLANK(Actuals!CO14),"","Actuals")</f>
        <v/>
      </c>
      <c r="CO4" s="10" t="str">
        <f aca="false">IF(ISBLANK(Actuals!CP14),"","Actuals")</f>
        <v/>
      </c>
      <c r="CP4" s="10" t="str">
        <f aca="false">IF(ISBLANK(Actuals!CQ14),"","Actuals")</f>
        <v/>
      </c>
      <c r="CQ4" s="10" t="str">
        <f aca="false">IF(ISBLANK(Actuals!CR14),"","Actuals")</f>
        <v/>
      </c>
      <c r="CR4" s="10" t="str">
        <f aca="false">IF(ISBLANK(Actuals!CS14),"","Actuals")</f>
        <v/>
      </c>
      <c r="CS4" s="10" t="str">
        <f aca="false">IF(ISBLANK(Actuals!CT14),"","Actuals")</f>
        <v/>
      </c>
      <c r="CT4" s="10" t="str">
        <f aca="false">IF(ISBLANK(Actuals!CU14),"","Actuals")</f>
        <v/>
      </c>
      <c r="CU4" s="10" t="str">
        <f aca="false">IF(ISBLANK(Actuals!CV14),"","Actuals")</f>
        <v/>
      </c>
      <c r="CV4" s="10" t="str">
        <f aca="false">IF(ISBLANK(Actuals!CW14),"","Actuals")</f>
        <v/>
      </c>
      <c r="CW4" s="10" t="str">
        <f aca="false">IF(ISBLANK(Actuals!CX14),"","Actuals")</f>
        <v/>
      </c>
      <c r="CX4" s="10" t="str">
        <f aca="false">IF(ISBLANK(Actuals!CY14),"","Actuals")</f>
        <v/>
      </c>
      <c r="CY4" s="10" t="str">
        <f aca="false">IF(ISBLANK(Actuals!CZ14),"","Actuals")</f>
        <v/>
      </c>
      <c r="CZ4" s="10" t="str">
        <f aca="false">IF(ISBLANK(Actuals!DA14),"","Actuals")</f>
        <v/>
      </c>
      <c r="DA4" s="10" t="str">
        <f aca="false">IF(ISBLANK(Actuals!DB14),"","Actuals")</f>
        <v/>
      </c>
      <c r="DB4" s="10" t="str">
        <f aca="false">IF(ISBLANK(Actuals!DC14),"","Actuals")</f>
        <v/>
      </c>
      <c r="DC4" s="10" t="str">
        <f aca="false">IF(ISBLANK(Actuals!DD14),"","Actuals")</f>
        <v/>
      </c>
      <c r="DD4" s="10" t="str">
        <f aca="false">IF(ISBLANK(Actuals!DE14),"","Actuals")</f>
        <v/>
      </c>
      <c r="DE4" s="10" t="str">
        <f aca="false">IF(ISBLANK(Actuals!DF14),"","Actuals")</f>
        <v/>
      </c>
      <c r="DF4" s="8"/>
      <c r="DG4" s="8"/>
      <c r="DH4" s="8"/>
      <c r="DI4" s="8"/>
      <c r="DJ4" s="8"/>
      <c r="DK4" s="8"/>
      <c r="DL4" s="8"/>
      <c r="DM4" s="8"/>
      <c r="DN4" s="8"/>
      <c r="DO4" s="8"/>
      <c r="DP4" s="8"/>
      <c r="DQ4" s="8"/>
      <c r="DR4" s="8"/>
      <c r="DS4" s="8"/>
      <c r="DT4" s="8"/>
      <c r="DU4" s="8"/>
      <c r="DV4" s="8"/>
      <c r="DW4" s="8"/>
      <c r="DX4" s="8"/>
      <c r="DY4" s="8"/>
      <c r="DZ4" s="8"/>
      <c r="EA4" s="8"/>
      <c r="EB4" s="8"/>
      <c r="EC4" s="8"/>
      <c r="ED4" s="8"/>
      <c r="EE4" s="8"/>
      <c r="EF4" s="8"/>
      <c r="EG4" s="8"/>
      <c r="EH4" s="8"/>
      <c r="EI4" s="8"/>
      <c r="EJ4" s="8"/>
      <c r="EK4" s="8"/>
      <c r="EL4" s="8"/>
      <c r="EM4" s="8"/>
      <c r="EN4" s="8"/>
      <c r="EO4" s="8"/>
      <c r="EP4" s="8"/>
      <c r="EQ4" s="8"/>
      <c r="ER4" s="8"/>
      <c r="ES4" s="8"/>
      <c r="ET4" s="8"/>
      <c r="EU4" s="8"/>
      <c r="EV4" s="8"/>
      <c r="EW4" s="8"/>
      <c r="EX4" s="8"/>
      <c r="EY4" s="8"/>
      <c r="EZ4" s="8"/>
      <c r="FA4" s="8"/>
      <c r="FB4" s="8"/>
      <c r="FC4" s="8"/>
      <c r="FD4" s="8"/>
      <c r="FE4" s="8"/>
      <c r="FF4" s="8"/>
      <c r="FG4" s="8"/>
      <c r="FH4" s="8"/>
      <c r="FI4" s="8"/>
      <c r="FJ4" s="8"/>
      <c r="FK4" s="8"/>
      <c r="FL4" s="8"/>
      <c r="FM4" s="8"/>
      <c r="FN4" s="8"/>
      <c r="FO4" s="8"/>
      <c r="FP4" s="8"/>
      <c r="FQ4" s="8"/>
      <c r="FR4" s="8"/>
      <c r="FS4" s="8"/>
      <c r="FT4" s="8"/>
      <c r="FU4" s="8"/>
      <c r="FV4" s="8"/>
      <c r="FW4" s="8"/>
      <c r="FX4" s="8"/>
      <c r="FY4" s="8"/>
      <c r="FZ4" s="8"/>
      <c r="GA4" s="8"/>
      <c r="GB4" s="8"/>
      <c r="GC4" s="8"/>
      <c r="GD4" s="8"/>
      <c r="GE4" s="8"/>
      <c r="GF4" s="8"/>
      <c r="GG4" s="8"/>
      <c r="GH4" s="8"/>
      <c r="GI4" s="8"/>
      <c r="GJ4" s="8"/>
      <c r="GK4" s="8"/>
      <c r="GL4" s="8"/>
      <c r="GM4" s="8"/>
      <c r="GN4" s="8"/>
      <c r="GO4" s="8"/>
      <c r="GP4" s="8"/>
      <c r="GQ4" s="8"/>
      <c r="GR4" s="8"/>
      <c r="GS4" s="8"/>
      <c r="GT4" s="8"/>
      <c r="GU4" s="8"/>
      <c r="GV4" s="8"/>
      <c r="GW4" s="8"/>
      <c r="GX4" s="8"/>
      <c r="GY4" s="8"/>
      <c r="GZ4" s="8"/>
      <c r="HA4" s="8"/>
      <c r="HB4" s="8"/>
      <c r="HC4" s="8"/>
      <c r="HD4" s="8"/>
      <c r="HE4" s="8"/>
      <c r="HF4" s="8"/>
      <c r="HG4" s="8"/>
      <c r="HH4" s="8"/>
      <c r="HI4" s="8"/>
      <c r="HJ4" s="8"/>
      <c r="HK4" s="8"/>
      <c r="HL4" s="8"/>
      <c r="HM4" s="8"/>
      <c r="HN4" s="8"/>
      <c r="HO4" s="8"/>
      <c r="HP4" s="8"/>
      <c r="HQ4" s="8"/>
      <c r="HR4" s="8"/>
      <c r="HS4" s="8"/>
      <c r="HT4" s="8"/>
      <c r="HU4" s="8"/>
      <c r="HV4" s="8"/>
      <c r="HW4" s="8"/>
      <c r="HX4" s="8"/>
      <c r="HY4" s="8"/>
      <c r="HZ4" s="8"/>
      <c r="IA4" s="8"/>
      <c r="IB4" s="8"/>
      <c r="IC4" s="8"/>
      <c r="ID4" s="8"/>
      <c r="IE4" s="8"/>
      <c r="IF4" s="8"/>
      <c r="IG4" s="8"/>
      <c r="IH4" s="8"/>
      <c r="II4" s="8"/>
      <c r="IJ4" s="8"/>
      <c r="IK4" s="8"/>
      <c r="IL4" s="8"/>
      <c r="IM4" s="8"/>
      <c r="IN4" s="8"/>
      <c r="IO4" s="8"/>
      <c r="IP4" s="8"/>
      <c r="IQ4" s="8"/>
      <c r="IR4" s="8"/>
      <c r="IS4" s="8"/>
      <c r="IT4" s="8"/>
      <c r="IU4" s="8"/>
      <c r="IV4" s="8"/>
      <c r="IW4" s="8"/>
      <c r="IX4" s="8"/>
      <c r="IY4" s="8"/>
      <c r="IZ4" s="8"/>
      <c r="JA4" s="8"/>
      <c r="JB4" s="8"/>
      <c r="JC4" s="8"/>
      <c r="JD4" s="8"/>
      <c r="JE4" s="8"/>
      <c r="JF4" s="8"/>
      <c r="JG4" s="8"/>
      <c r="JH4" s="8"/>
      <c r="JI4" s="8"/>
      <c r="JJ4" s="8"/>
      <c r="JK4" s="8"/>
      <c r="JL4" s="8"/>
      <c r="JM4" s="8"/>
      <c r="JN4" s="8"/>
      <c r="JO4" s="8"/>
      <c r="JP4" s="8"/>
      <c r="JQ4" s="8"/>
      <c r="JR4" s="8"/>
      <c r="JS4" s="8"/>
      <c r="JT4" s="8"/>
      <c r="JU4" s="8"/>
      <c r="JV4" s="8"/>
      <c r="JW4" s="8"/>
      <c r="JX4" s="8"/>
      <c r="JY4" s="8"/>
      <c r="JZ4" s="8"/>
      <c r="KA4" s="8"/>
      <c r="KB4" s="8"/>
      <c r="KC4" s="8"/>
      <c r="KD4" s="8"/>
      <c r="KE4" s="8"/>
      <c r="KF4" s="8"/>
      <c r="KG4" s="8"/>
      <c r="KH4" s="8"/>
      <c r="KI4" s="8"/>
      <c r="KJ4" s="8"/>
      <c r="KK4" s="8"/>
      <c r="KL4" s="8"/>
      <c r="KM4" s="8"/>
      <c r="KN4" s="8"/>
      <c r="KO4" s="8"/>
      <c r="KP4" s="8"/>
      <c r="KQ4" s="8"/>
      <c r="KR4" s="8"/>
      <c r="KS4" s="8"/>
      <c r="KT4" s="8"/>
      <c r="KU4" s="8"/>
      <c r="KV4" s="8"/>
      <c r="KW4" s="8"/>
      <c r="KX4" s="8"/>
      <c r="KY4" s="8"/>
      <c r="KZ4" s="8"/>
      <c r="LA4" s="8"/>
      <c r="LB4" s="8"/>
      <c r="LC4" s="8"/>
      <c r="LD4" s="8"/>
      <c r="LE4" s="8"/>
      <c r="LF4" s="8"/>
      <c r="LG4" s="8"/>
      <c r="LH4" s="8"/>
      <c r="LI4" s="8"/>
      <c r="LJ4" s="8"/>
      <c r="LK4" s="8"/>
      <c r="LL4" s="8"/>
      <c r="LM4" s="8"/>
      <c r="LN4" s="8"/>
      <c r="LO4" s="8"/>
      <c r="LP4" s="8"/>
      <c r="LQ4" s="8"/>
      <c r="LR4" s="8"/>
      <c r="LS4" s="8"/>
      <c r="LT4" s="8"/>
      <c r="LU4" s="8"/>
      <c r="LV4" s="8"/>
      <c r="LW4" s="8"/>
      <c r="LX4" s="8"/>
      <c r="LY4" s="8"/>
      <c r="LZ4" s="8"/>
      <c r="MA4" s="8"/>
      <c r="MB4" s="8"/>
      <c r="MC4" s="8"/>
      <c r="MD4" s="8"/>
      <c r="ME4" s="8"/>
      <c r="MF4" s="8"/>
      <c r="MG4" s="8"/>
      <c r="MH4" s="8"/>
      <c r="MI4" s="8"/>
      <c r="MJ4" s="8"/>
      <c r="MK4" s="8"/>
      <c r="ML4" s="8"/>
      <c r="MM4" s="8"/>
      <c r="MN4" s="8"/>
      <c r="MO4" s="8"/>
      <c r="MP4" s="8"/>
      <c r="MQ4" s="8"/>
      <c r="MR4" s="8"/>
      <c r="MS4" s="8"/>
      <c r="MT4" s="8"/>
      <c r="MU4" s="8"/>
      <c r="MV4" s="8"/>
      <c r="MW4" s="8"/>
      <c r="MX4" s="8"/>
      <c r="MY4" s="8"/>
      <c r="MZ4" s="8"/>
      <c r="NA4" s="8"/>
      <c r="NB4" s="8"/>
      <c r="NC4" s="8"/>
      <c r="ND4" s="8"/>
      <c r="NE4" s="8"/>
      <c r="NF4" s="8"/>
      <c r="NG4" s="8"/>
      <c r="NH4" s="8"/>
      <c r="NI4" s="8"/>
      <c r="NJ4" s="8"/>
      <c r="NK4" s="8"/>
      <c r="NL4" s="8"/>
      <c r="NM4" s="8"/>
      <c r="NN4" s="8"/>
      <c r="NO4" s="8"/>
      <c r="NP4" s="8"/>
      <c r="NQ4" s="8"/>
      <c r="NR4" s="8"/>
      <c r="NS4" s="8"/>
      <c r="NT4" s="8"/>
      <c r="NU4" s="8"/>
      <c r="NV4" s="8"/>
      <c r="NW4" s="8"/>
      <c r="NX4" s="8"/>
      <c r="NY4" s="8"/>
      <c r="NZ4" s="8"/>
      <c r="OA4" s="8"/>
      <c r="OB4" s="8"/>
      <c r="OC4" s="8"/>
      <c r="OD4" s="8"/>
      <c r="OE4" s="8"/>
      <c r="OF4" s="8"/>
      <c r="OG4" s="8"/>
      <c r="OH4" s="8"/>
      <c r="OI4" s="8"/>
      <c r="OJ4" s="8"/>
      <c r="OK4" s="8"/>
      <c r="OL4" s="8"/>
      <c r="OM4" s="8"/>
      <c r="ON4" s="8"/>
      <c r="OO4" s="8"/>
      <c r="OP4" s="8"/>
      <c r="OQ4" s="8"/>
      <c r="OR4" s="8"/>
      <c r="OS4" s="8"/>
      <c r="OT4" s="8"/>
      <c r="OU4" s="8"/>
      <c r="OV4" s="8"/>
      <c r="OW4" s="8"/>
      <c r="OX4" s="8"/>
      <c r="OY4" s="8"/>
      <c r="OZ4" s="8"/>
      <c r="PA4" s="8"/>
      <c r="PB4" s="8"/>
      <c r="PC4" s="8"/>
      <c r="PD4" s="8"/>
      <c r="PE4" s="8"/>
      <c r="PF4" s="8"/>
      <c r="PG4" s="8"/>
      <c r="PH4" s="8"/>
      <c r="PI4" s="8"/>
      <c r="PJ4" s="8"/>
      <c r="PK4" s="8"/>
      <c r="PL4" s="8"/>
      <c r="PM4" s="8"/>
      <c r="PN4" s="8"/>
      <c r="PO4" s="8"/>
      <c r="PP4" s="8"/>
      <c r="PQ4" s="8"/>
      <c r="PR4" s="8"/>
      <c r="PS4" s="8"/>
      <c r="PT4" s="8"/>
      <c r="PU4" s="8"/>
      <c r="PV4" s="8"/>
      <c r="PW4" s="8"/>
      <c r="PX4" s="8"/>
      <c r="PY4" s="8"/>
      <c r="PZ4" s="8"/>
      <c r="QA4" s="8"/>
      <c r="QB4" s="8"/>
      <c r="QC4" s="8"/>
      <c r="QD4" s="8"/>
      <c r="QE4" s="8"/>
      <c r="QF4" s="8"/>
      <c r="QG4" s="8"/>
      <c r="QH4" s="8"/>
      <c r="QI4" s="8"/>
      <c r="QJ4" s="8"/>
      <c r="QK4" s="8"/>
      <c r="QL4" s="8"/>
      <c r="QM4" s="8"/>
      <c r="QN4" s="8"/>
      <c r="QO4" s="8"/>
      <c r="QP4" s="8"/>
      <c r="QQ4" s="8"/>
      <c r="QR4" s="8"/>
      <c r="QS4" s="8"/>
      <c r="QT4" s="8"/>
      <c r="QU4" s="8"/>
      <c r="QV4" s="8"/>
      <c r="QW4" s="8"/>
      <c r="QX4" s="8"/>
      <c r="QY4" s="8"/>
      <c r="QZ4" s="8"/>
      <c r="RA4" s="8"/>
      <c r="RB4" s="8"/>
      <c r="RC4" s="8"/>
      <c r="RD4" s="8"/>
      <c r="RE4" s="8"/>
      <c r="RF4" s="8"/>
      <c r="RG4" s="8"/>
      <c r="RH4" s="8"/>
      <c r="RI4" s="8"/>
      <c r="RJ4" s="8"/>
      <c r="RK4" s="8"/>
      <c r="RL4" s="8"/>
      <c r="RM4" s="8"/>
      <c r="RN4" s="8"/>
      <c r="RO4" s="8"/>
      <c r="RP4" s="8"/>
      <c r="RQ4" s="8"/>
      <c r="RR4" s="8"/>
      <c r="RS4" s="8"/>
      <c r="RT4" s="8"/>
      <c r="RU4" s="8"/>
      <c r="RV4" s="8"/>
      <c r="RW4" s="8"/>
      <c r="RX4" s="8"/>
      <c r="RY4" s="8"/>
      <c r="RZ4" s="8"/>
      <c r="SA4" s="8"/>
      <c r="SB4" s="8"/>
      <c r="SC4" s="8"/>
      <c r="SD4" s="8"/>
      <c r="SE4" s="8"/>
      <c r="SF4" s="8"/>
      <c r="SG4" s="8"/>
      <c r="SH4" s="8"/>
      <c r="SI4" s="8"/>
      <c r="SJ4" s="8"/>
      <c r="SK4" s="8"/>
      <c r="SL4" s="8"/>
      <c r="SM4" s="8"/>
      <c r="SN4" s="8"/>
      <c r="SO4" s="8"/>
      <c r="SP4" s="8"/>
      <c r="SQ4" s="8"/>
      <c r="SR4" s="8"/>
      <c r="SS4" s="8"/>
      <c r="ST4" s="8"/>
      <c r="SU4" s="8"/>
      <c r="SV4" s="8"/>
      <c r="SW4" s="8"/>
      <c r="SX4" s="8"/>
      <c r="SY4" s="8"/>
      <c r="SZ4" s="8"/>
      <c r="TA4" s="8"/>
      <c r="TB4" s="8"/>
      <c r="TC4" s="8"/>
      <c r="TD4" s="8"/>
      <c r="TE4" s="8"/>
      <c r="TF4" s="8"/>
      <c r="TG4" s="8"/>
      <c r="TH4" s="8"/>
      <c r="TI4" s="8"/>
      <c r="TJ4" s="8"/>
      <c r="TK4" s="8"/>
      <c r="TL4" s="8"/>
      <c r="TM4" s="8"/>
      <c r="TN4" s="8"/>
      <c r="TO4" s="8"/>
      <c r="TP4" s="8"/>
      <c r="TQ4" s="8"/>
      <c r="TR4" s="8"/>
      <c r="TS4" s="8"/>
      <c r="TT4" s="8"/>
      <c r="TU4" s="8"/>
      <c r="TV4" s="8"/>
      <c r="TW4" s="8"/>
      <c r="TX4" s="8"/>
      <c r="TY4" s="8"/>
      <c r="TZ4" s="8"/>
      <c r="UA4" s="8"/>
      <c r="UB4" s="8"/>
      <c r="UC4" s="8"/>
      <c r="UD4" s="8"/>
      <c r="UE4" s="8"/>
      <c r="UF4" s="8"/>
      <c r="UG4" s="8"/>
      <c r="UH4" s="8"/>
      <c r="UI4" s="8"/>
      <c r="UJ4" s="8"/>
      <c r="UK4" s="8"/>
      <c r="UL4" s="8"/>
      <c r="UM4" s="8"/>
      <c r="UN4" s="8"/>
      <c r="UO4" s="8"/>
      <c r="UP4" s="8"/>
      <c r="UQ4" s="8"/>
      <c r="UR4" s="8"/>
      <c r="US4" s="8"/>
      <c r="UT4" s="8"/>
      <c r="UU4" s="8"/>
      <c r="UV4" s="8"/>
      <c r="UW4" s="8"/>
      <c r="UX4" s="8"/>
      <c r="UY4" s="8"/>
      <c r="UZ4" s="8"/>
      <c r="VA4" s="8"/>
      <c r="VB4" s="8"/>
      <c r="VC4" s="8"/>
      <c r="VD4" s="8"/>
      <c r="VE4" s="8"/>
      <c r="VF4" s="8"/>
      <c r="VG4" s="8"/>
      <c r="VH4" s="8"/>
      <c r="VI4" s="8"/>
      <c r="VJ4" s="8"/>
      <c r="VK4" s="8"/>
      <c r="VL4" s="8"/>
      <c r="VM4" s="8"/>
      <c r="VN4" s="8"/>
      <c r="VO4" s="8"/>
      <c r="VP4" s="8"/>
      <c r="VQ4" s="8"/>
      <c r="VR4" s="8"/>
      <c r="VS4" s="8"/>
      <c r="VT4" s="8"/>
      <c r="VU4" s="8"/>
      <c r="VV4" s="8"/>
      <c r="VW4" s="8"/>
      <c r="VX4" s="8"/>
    </row>
    <row r="5" customFormat="false" ht="15" hidden="false" customHeight="true" outlineLevel="0" collapsed="false">
      <c r="A5" s="11" t="s">
        <v>2</v>
      </c>
      <c r="B5" s="12"/>
      <c r="C5" s="13"/>
      <c r="D5" s="13"/>
      <c r="E5" s="14"/>
      <c r="F5" s="12"/>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3"/>
      <c r="BL5" s="13"/>
      <c r="BM5" s="13"/>
      <c r="BN5" s="13"/>
      <c r="BO5" s="13"/>
      <c r="BP5" s="13"/>
      <c r="BQ5" s="13"/>
      <c r="BR5" s="13"/>
      <c r="BS5" s="13"/>
      <c r="BT5" s="13"/>
      <c r="BU5" s="13"/>
      <c r="BV5" s="13"/>
      <c r="BW5" s="13"/>
      <c r="BX5" s="13"/>
      <c r="BY5" s="13"/>
      <c r="BZ5" s="13"/>
      <c r="CA5" s="13"/>
      <c r="CB5" s="13"/>
      <c r="CC5" s="13"/>
      <c r="CD5" s="13"/>
      <c r="CE5" s="13"/>
      <c r="CF5" s="13"/>
      <c r="CG5" s="13"/>
      <c r="CH5" s="13"/>
      <c r="CI5" s="13"/>
      <c r="CJ5" s="13"/>
      <c r="CK5" s="13"/>
      <c r="CL5" s="13"/>
      <c r="CM5" s="13"/>
      <c r="CN5" s="13"/>
      <c r="CO5" s="13"/>
      <c r="CP5" s="13"/>
      <c r="CQ5" s="13"/>
      <c r="CR5" s="13"/>
      <c r="CS5" s="13"/>
      <c r="CT5" s="13"/>
      <c r="CU5" s="13"/>
      <c r="CV5" s="13"/>
      <c r="CW5" s="13"/>
      <c r="CX5" s="13"/>
      <c r="CY5" s="13"/>
      <c r="CZ5" s="13"/>
      <c r="DA5" s="13"/>
      <c r="DB5" s="13"/>
      <c r="DC5" s="13"/>
      <c r="DD5" s="13"/>
      <c r="DE5" s="13"/>
    </row>
    <row r="6" s="17" customFormat="true" ht="42" hidden="false" customHeight="true" outlineLevel="0" collapsed="false">
      <c r="A6" s="15"/>
      <c r="B6" s="16"/>
      <c r="C6" s="16"/>
      <c r="D6" s="16"/>
      <c r="E6" s="16" t="str">
        <f aca="false">MID(IF(AND(Projects!$G$2="Yes",Projects!$C$2=E$3),", "&amp;Projects!$A$2,"")&amp;IF(AND(Projects!$G$3="Yes",Projects!$C$3=E$3),", "&amp;Projects!$A$3,"")&amp;IF(AND(Projects!$G$4="Yes",Projects!$C$4=E$3),", "&amp;Projects!$A$4,"")&amp;IF(AND(Projects!$G$5="Yes",Projects!$C$5=E$3),", "&amp;Projects!$A$5,"")&amp;IF(AND(Projects!$G$6="Yes",Projects!$C$6=E$3),", "&amp;Projects!$A$6,"")&amp;IF(AND(Projects!$G$7="Yes",Projects!$C$7=E$3),", "&amp;Projects!$A$7,"")&amp;IF(AND(Projects!$G$8="Yes",Projects!$C$8=E$3),", "&amp;Projects!$A$8,"")&amp;IF(AND(Projects!$G$9="Yes",Projects!$C$9=E$3),", "&amp;Projects!$A$9,"")&amp;IF(AND(Projects!$G$10="Yes",Projects!$C$10=E$3),", "&amp;Projects!$A$10,"")&amp;IF(AND(Projects!$G$11="Yes",Projects!$C$11=E$3),", "&amp;Projects!$A$11,"")&amp;IF(AND(Projects!$G$12="Yes",Projects!$C$12=E$3),", "&amp;Projects!$A$12,"")&amp;IF(AND(Projects!$G$13="Yes",Projects!$C$13=E$3),", "&amp;Projects!$A$13,"")&amp;IF(AND(Projects!$G$14="Yes",Projects!$C$14=E$3),", "&amp;Projects!$A$14,"")&amp;IF(AND(Projects!$G$15="Yes",Projects!$C$15=E$3),", "&amp;Projects!$A$15,"")&amp;IF(AND(Projects!$G$16="Yes",Projects!$C$16=E$3),", "&amp;Projects!$A$16,"")&amp;IF(AND(Projects!$G$17="Yes",Projects!$C$17=E$3),", "&amp;Projects!$A$17,"")&amp;IF(AND(Projects!$G$18="Yes",Projects!$C$18=E$3),", "&amp;Projects!$A$18,"")&amp;IF(AND(Projects!$G$19="Yes",Projects!$C$19=E$3),", "&amp;Projects!$A$19,"")&amp;IF(AND(Projects!$G$20="Yes",Projects!$C$20=E$3),", "&amp;Projects!$A$20,"")&amp;IF(AND(Projects!$G$21="Yes",Projects!$C$21=E$3),", "&amp;Projects!$A$21,"")&amp;IF(AND(Projects!$G$22="Yes",Projects!$C$22=E$3),", "&amp;Projects!$A$22,"")&amp;IF(AND(Projects!$G$23="Yes",Projects!$C$23=E$3),", "&amp;Projects!$A$23,"")&amp;IF(AND(Projects!$G$24="Yes",Projects!$C$24=E$3),", "&amp;Projects!$A$24,"")&amp;IF(AND(Projects!$G$25="Yes",Projects!$C$25=E$3),", "&amp;Projects!$A$25,"")&amp;IF(AND(Projects!$G$26="Yes",Projects!$C$26=E$3),", "&amp;Projects!$A$26,"")&amp;IF(AND(Projects!$G$27="Yes",Projects!$C$27=E$3),", "&amp;Projects!$A$27,"")&amp;IF(AND(Projects!$G$28="Yes",Projects!$C$28=E$3),", "&amp;Projects!$A$28,"")&amp;IF(AND(Projects!$G$29="Yes",Projects!$C$29=E$3),", "&amp;Projects!$A$29,"")&amp;IF(AND(Projects!$G$30="Yes",Projects!$C$30=E$3),", "&amp;Projects!$A$30,"")&amp;IF(AND(Projects!$G$31="Yes",Projects!$C$31=E$3),", "&amp;Projects!$A$31,"")&amp;IF(AND(Projects!$G$32="Yes",Projects!$C$32=E$3),", "&amp;Projects!$A$32,"")&amp;IF(AND(Projects!$G$33="Yes",Projects!$C$33=E$3),", "&amp;Projects!$A$33,"")&amp;IF(AND(Projects!$G$34="Yes",Projects!$C$34=E$3),", "&amp;Projects!$A$34,"")&amp;IF(AND(Projects!$G$35="Yes",Projects!$C$35=E$3),", "&amp;Projects!$A$35,"")&amp;IF(AND(Projects!$G$36="Yes",Projects!$C$36=E$3),", "&amp;Projects!$A$36,"")&amp;IF(AND(Projects!$G$37="Yes",Projects!$C$37=E$3),", "&amp;Projects!$A$37,"")&amp;IF(AND(Projects!$G$38="Yes",Projects!$C$38=E$3),", "&amp;Projects!$A$38,"")&amp;IF(AND(Projects!$G$39="Yes",Projects!$C$39=E$3),", "&amp;Projects!$A$39,"")&amp;IF(AND(Projects!$G$40="Yes",Projects!$C$40=E$3),", "&amp;Projects!$A$40,"")&amp;IF(AND(Projects!$G$41="Yes",Projects!$C$41=E$3),", "&amp;Projects!$A$41,"")&amp;IF(AND(Projects!$G$42="Yes",Projects!$C$42=E$3),", "&amp;Projects!$A$42,"")&amp;IF(AND(Projects!$G$43="Yes",Projects!$C$43=E$3),", "&amp;Projects!$A$43,"")&amp;IF(AND(Projects!$G$44="Yes",Projects!$C$44=E$3),", "&amp;Projects!$A$44,"")&amp;IF(AND(Projects!$G$45="Yes",Projects!$C$45=E$3),", "&amp;Projects!$A$45,"")&amp;IF(AND(Projects!$G$46="Yes",Projects!$C$46=E$3),", "&amp;Projects!$A$46,""),3,10000)</f>
        <v>Crenshaw, Ramsgate, Califa, Whipple, Nelrose</v>
      </c>
      <c r="F6" s="16" t="str">
        <f aca="false">MID(IF(AND(Projects!$G$2="Yes",Projects!$C$2=F$3),", "&amp;Projects!$A$2,"")&amp;IF(AND(Projects!$G$3="Yes",Projects!$C$3=F$3),", "&amp;Projects!$A$3,"")&amp;IF(AND(Projects!$G$4="Yes",Projects!$C$4=F$3),", "&amp;Projects!$A$4,"")&amp;IF(AND(Projects!$G$5="Yes",Projects!$C$5=F$3),", "&amp;Projects!$A$5,"")&amp;IF(AND(Projects!$G$6="Yes",Projects!$C$6=F$3),", "&amp;Projects!$A$6,"")&amp;IF(AND(Projects!$G$7="Yes",Projects!$C$7=F$3),", "&amp;Projects!$A$7,"")&amp;IF(AND(Projects!$G$8="Yes",Projects!$C$8=F$3),", "&amp;Projects!$A$8,"")&amp;IF(AND(Projects!$G$9="Yes",Projects!$C$9=F$3),", "&amp;Projects!$A$9,"")&amp;IF(AND(Projects!$G$10="Yes",Projects!$C$10=F$3),", "&amp;Projects!$A$10,"")&amp;IF(AND(Projects!$G$11="Yes",Projects!$C$11=F$3),", "&amp;Projects!$A$11,"")&amp;IF(AND(Projects!$G$12="Yes",Projects!$C$12=F$3),", "&amp;Projects!$A$12,"")&amp;IF(AND(Projects!$G$13="Yes",Projects!$C$13=F$3),", "&amp;Projects!$A$13,"")&amp;IF(AND(Projects!$G$14="Yes",Projects!$C$14=F$3),", "&amp;Projects!$A$14,"")&amp;IF(AND(Projects!$G$15="Yes",Projects!$C$15=F$3),", "&amp;Projects!$A$15,"")&amp;IF(AND(Projects!$G$16="Yes",Projects!$C$16=F$3),", "&amp;Projects!$A$16,"")&amp;IF(AND(Projects!$G$17="Yes",Projects!$C$17=F$3),", "&amp;Projects!$A$17,"")&amp;IF(AND(Projects!$G$18="Yes",Projects!$C$18=F$3),", "&amp;Projects!$A$18,"")&amp;IF(AND(Projects!$G$19="Yes",Projects!$C$19=F$3),", "&amp;Projects!$A$19,"")&amp;IF(AND(Projects!$G$20="Yes",Projects!$C$20=F$3),", "&amp;Projects!$A$20,"")&amp;IF(AND(Projects!$G$21="Yes",Projects!$C$21=F$3),", "&amp;Projects!$A$21,"")&amp;IF(AND(Projects!$G$22="Yes",Projects!$C$22=F$3),", "&amp;Projects!$A$22,"")&amp;IF(AND(Projects!$G$23="Yes",Projects!$C$23=F$3),", "&amp;Projects!$A$23,"")&amp;IF(AND(Projects!$G$24="Yes",Projects!$C$24=F$3),", "&amp;Projects!$A$24,"")&amp;IF(AND(Projects!$G$25="Yes",Projects!$C$25=F$3),", "&amp;Projects!$A$25,"")&amp;IF(AND(Projects!$G$26="Yes",Projects!$C$26=F$3),", "&amp;Projects!$A$26,"")&amp;IF(AND(Projects!$G$27="Yes",Projects!$C$27=F$3),", "&amp;Projects!$A$27,"")&amp;IF(AND(Projects!$G$28="Yes",Projects!$C$28=F$3),", "&amp;Projects!$A$28,"")&amp;IF(AND(Projects!$G$29="Yes",Projects!$C$29=F$3),", "&amp;Projects!$A$29,"")&amp;IF(AND(Projects!$G$30="Yes",Projects!$C$30=F$3),", "&amp;Projects!$A$30,"")&amp;IF(AND(Projects!$G$31="Yes",Projects!$C$31=F$3),", "&amp;Projects!$A$31,"")&amp;IF(AND(Projects!$G$32="Yes",Projects!$C$32=F$3),", "&amp;Projects!$A$32,"")&amp;IF(AND(Projects!$G$33="Yes",Projects!$C$33=F$3),", "&amp;Projects!$A$33,"")&amp;IF(AND(Projects!$G$34="Yes",Projects!$C$34=F$3),", "&amp;Projects!$A$34,"")&amp;IF(AND(Projects!$G$35="Yes",Projects!$C$35=F$3),", "&amp;Projects!$A$35,"")&amp;IF(AND(Projects!$G$36="Yes",Projects!$C$36=F$3),", "&amp;Projects!$A$36,"")&amp;IF(AND(Projects!$G$37="Yes",Projects!$C$37=F$3),", "&amp;Projects!$A$37,"")&amp;IF(AND(Projects!$G$38="Yes",Projects!$C$38=F$3),", "&amp;Projects!$A$38,"")&amp;IF(AND(Projects!$G$39="Yes",Projects!$C$39=F$3),", "&amp;Projects!$A$39,"")&amp;IF(AND(Projects!$G$40="Yes",Projects!$C$40=F$3),", "&amp;Projects!$A$40,"")&amp;IF(AND(Projects!$G$41="Yes",Projects!$C$41=F$3),", "&amp;Projects!$A$41,"")&amp;IF(AND(Projects!$G$42="Yes",Projects!$C$42=F$3),", "&amp;Projects!$A$42,"")&amp;IF(AND(Projects!$G$43="Yes",Projects!$C$43=F$3),", "&amp;Projects!$A$43,"")&amp;IF(AND(Projects!$G$44="Yes",Projects!$C$44=F$3),", "&amp;Projects!$A$44,"")&amp;IF(AND(Projects!$G$45="Yes",Projects!$C$45=F$3),", "&amp;Projects!$A$45,"")&amp;IF(AND(Projects!$G$46="Yes",Projects!$C$46=F$3),", "&amp;Projects!$A$46,""),3,10000)</f>
        <v/>
      </c>
      <c r="G6" s="16" t="str">
        <f aca="false">MID(IF(AND(Projects!$G$2="Yes",Projects!$C$2=G$3),", "&amp;Projects!$A$2,"")&amp;IF(AND(Projects!$G$3="Yes",Projects!$C$3=G$3),", "&amp;Projects!$A$3,"")&amp;IF(AND(Projects!$G$4="Yes",Projects!$C$4=G$3),", "&amp;Projects!$A$4,"")&amp;IF(AND(Projects!$G$5="Yes",Projects!$C$5=G$3),", "&amp;Projects!$A$5,"")&amp;IF(AND(Projects!$G$6="Yes",Projects!$C$6=G$3),", "&amp;Projects!$A$6,"")&amp;IF(AND(Projects!$G$7="Yes",Projects!$C$7=G$3),", "&amp;Projects!$A$7,"")&amp;IF(AND(Projects!$G$8="Yes",Projects!$C$8=G$3),", "&amp;Projects!$A$8,"")&amp;IF(AND(Projects!$G$9="Yes",Projects!$C$9=G$3),", "&amp;Projects!$A$9,"")&amp;IF(AND(Projects!$G$10="Yes",Projects!$C$10=G$3),", "&amp;Projects!$A$10,"")&amp;IF(AND(Projects!$G$11="Yes",Projects!$C$11=G$3),", "&amp;Projects!$A$11,"")&amp;IF(AND(Projects!$G$12="Yes",Projects!$C$12=G$3),", "&amp;Projects!$A$12,"")&amp;IF(AND(Projects!$G$13="Yes",Projects!$C$13=G$3),", "&amp;Projects!$A$13,"")&amp;IF(AND(Projects!$G$14="Yes",Projects!$C$14=G$3),", "&amp;Projects!$A$14,"")&amp;IF(AND(Projects!$G$15="Yes",Projects!$C$15=G$3),", "&amp;Projects!$A$15,"")&amp;IF(AND(Projects!$G$16="Yes",Projects!$C$16=G$3),", "&amp;Projects!$A$16,"")&amp;IF(AND(Projects!$G$17="Yes",Projects!$C$17=G$3),", "&amp;Projects!$A$17,"")&amp;IF(AND(Projects!$G$18="Yes",Projects!$C$18=G$3),", "&amp;Projects!$A$18,"")&amp;IF(AND(Projects!$G$19="Yes",Projects!$C$19=G$3),", "&amp;Projects!$A$19,"")&amp;IF(AND(Projects!$G$20="Yes",Projects!$C$20=G$3),", "&amp;Projects!$A$20,"")&amp;IF(AND(Projects!$G$21="Yes",Projects!$C$21=G$3),", "&amp;Projects!$A$21,"")&amp;IF(AND(Projects!$G$22="Yes",Projects!$C$22=G$3),", "&amp;Projects!$A$22,"")&amp;IF(AND(Projects!$G$23="Yes",Projects!$C$23=G$3),", "&amp;Projects!$A$23,"")&amp;IF(AND(Projects!$G$24="Yes",Projects!$C$24=G$3),", "&amp;Projects!$A$24,"")&amp;IF(AND(Projects!$G$25="Yes",Projects!$C$25=G$3),", "&amp;Projects!$A$25,"")&amp;IF(AND(Projects!$G$26="Yes",Projects!$C$26=G$3),", "&amp;Projects!$A$26,"")&amp;IF(AND(Projects!$G$27="Yes",Projects!$C$27=G$3),", "&amp;Projects!$A$27,"")&amp;IF(AND(Projects!$G$28="Yes",Projects!$C$28=G$3),", "&amp;Projects!$A$28,"")&amp;IF(AND(Projects!$G$29="Yes",Projects!$C$29=G$3),", "&amp;Projects!$A$29,"")&amp;IF(AND(Projects!$G$30="Yes",Projects!$C$30=G$3),", "&amp;Projects!$A$30,"")&amp;IF(AND(Projects!$G$31="Yes",Projects!$C$31=G$3),", "&amp;Projects!$A$31,"")&amp;IF(AND(Projects!$G$32="Yes",Projects!$C$32=G$3),", "&amp;Projects!$A$32,"")&amp;IF(AND(Projects!$G$33="Yes",Projects!$C$33=G$3),", "&amp;Projects!$A$33,"")&amp;IF(AND(Projects!$G$34="Yes",Projects!$C$34=G$3),", "&amp;Projects!$A$34,"")&amp;IF(AND(Projects!$G$35="Yes",Projects!$C$35=G$3),", "&amp;Projects!$A$35,"")&amp;IF(AND(Projects!$G$36="Yes",Projects!$C$36=G$3),", "&amp;Projects!$A$36,"")&amp;IF(AND(Projects!$G$37="Yes",Projects!$C$37=G$3),", "&amp;Projects!$A$37,"")&amp;IF(AND(Projects!$G$38="Yes",Projects!$C$38=G$3),", "&amp;Projects!$A$38,"")&amp;IF(AND(Projects!$G$39="Yes",Projects!$C$39=G$3),", "&amp;Projects!$A$39,"")&amp;IF(AND(Projects!$G$40="Yes",Projects!$C$40=G$3),", "&amp;Projects!$A$40,"")&amp;IF(AND(Projects!$G$41="Yes",Projects!$C$41=G$3),", "&amp;Projects!$A$41,"")&amp;IF(AND(Projects!$G$42="Yes",Projects!$C$42=G$3),", "&amp;Projects!$A$42,"")&amp;IF(AND(Projects!$G$43="Yes",Projects!$C$43=G$3),", "&amp;Projects!$A$43,"")&amp;IF(AND(Projects!$G$44="Yes",Projects!$C$44=G$3),", "&amp;Projects!$A$44,"")&amp;IF(AND(Projects!$G$45="Yes",Projects!$C$45=G$3),", "&amp;Projects!$A$45,"")&amp;IF(AND(Projects!$G$46="Yes",Projects!$C$46=G$3),", "&amp;Projects!$A$46,""),3,10000)</f>
        <v/>
      </c>
      <c r="H6" s="16" t="str">
        <f aca="false">MID(IF(AND(Projects!$G$2="Yes",Projects!$C$2=H$3),", "&amp;Projects!$A$2,"")&amp;IF(AND(Projects!$G$3="Yes",Projects!$C$3=H$3),", "&amp;Projects!$A$3,"")&amp;IF(AND(Projects!$G$4="Yes",Projects!$C$4=H$3),", "&amp;Projects!$A$4,"")&amp;IF(AND(Projects!$G$5="Yes",Projects!$C$5=H$3),", "&amp;Projects!$A$5,"")&amp;IF(AND(Projects!$G$6="Yes",Projects!$C$6=H$3),", "&amp;Projects!$A$6,"")&amp;IF(AND(Projects!$G$7="Yes",Projects!$C$7=H$3),", "&amp;Projects!$A$7,"")&amp;IF(AND(Projects!$G$8="Yes",Projects!$C$8=H$3),", "&amp;Projects!$A$8,"")&amp;IF(AND(Projects!$G$9="Yes",Projects!$C$9=H$3),", "&amp;Projects!$A$9,"")&amp;IF(AND(Projects!$G$10="Yes",Projects!$C$10=H$3),", "&amp;Projects!$A$10,"")&amp;IF(AND(Projects!$G$11="Yes",Projects!$C$11=H$3),", "&amp;Projects!$A$11,"")&amp;IF(AND(Projects!$G$12="Yes",Projects!$C$12=H$3),", "&amp;Projects!$A$12,"")&amp;IF(AND(Projects!$G$13="Yes",Projects!$C$13=H$3),", "&amp;Projects!$A$13,"")&amp;IF(AND(Projects!$G$14="Yes",Projects!$C$14=H$3),", "&amp;Projects!$A$14,"")&amp;IF(AND(Projects!$G$15="Yes",Projects!$C$15=H$3),", "&amp;Projects!$A$15,"")&amp;IF(AND(Projects!$G$16="Yes",Projects!$C$16=H$3),", "&amp;Projects!$A$16,"")&amp;IF(AND(Projects!$G$17="Yes",Projects!$C$17=H$3),", "&amp;Projects!$A$17,"")&amp;IF(AND(Projects!$G$18="Yes",Projects!$C$18=H$3),", "&amp;Projects!$A$18,"")&amp;IF(AND(Projects!$G$19="Yes",Projects!$C$19=H$3),", "&amp;Projects!$A$19,"")&amp;IF(AND(Projects!$G$20="Yes",Projects!$C$20=H$3),", "&amp;Projects!$A$20,"")&amp;IF(AND(Projects!$G$21="Yes",Projects!$C$21=H$3),", "&amp;Projects!$A$21,"")&amp;IF(AND(Projects!$G$22="Yes",Projects!$C$22=H$3),", "&amp;Projects!$A$22,"")&amp;IF(AND(Projects!$G$23="Yes",Projects!$C$23=H$3),", "&amp;Projects!$A$23,"")&amp;IF(AND(Projects!$G$24="Yes",Projects!$C$24=H$3),", "&amp;Projects!$A$24,"")&amp;IF(AND(Projects!$G$25="Yes",Projects!$C$25=H$3),", "&amp;Projects!$A$25,"")&amp;IF(AND(Projects!$G$26="Yes",Projects!$C$26=H$3),", "&amp;Projects!$A$26,"")&amp;IF(AND(Projects!$G$27="Yes",Projects!$C$27=H$3),", "&amp;Projects!$A$27,"")&amp;IF(AND(Projects!$G$28="Yes",Projects!$C$28=H$3),", "&amp;Projects!$A$28,"")&amp;IF(AND(Projects!$G$29="Yes",Projects!$C$29=H$3),", "&amp;Projects!$A$29,"")&amp;IF(AND(Projects!$G$30="Yes",Projects!$C$30=H$3),", "&amp;Projects!$A$30,"")&amp;IF(AND(Projects!$G$31="Yes",Projects!$C$31=H$3),", "&amp;Projects!$A$31,"")&amp;IF(AND(Projects!$G$32="Yes",Projects!$C$32=H$3),", "&amp;Projects!$A$32,"")&amp;IF(AND(Projects!$G$33="Yes",Projects!$C$33=H$3),", "&amp;Projects!$A$33,"")&amp;IF(AND(Projects!$G$34="Yes",Projects!$C$34=H$3),", "&amp;Projects!$A$34,"")&amp;IF(AND(Projects!$G$35="Yes",Projects!$C$35=H$3),", "&amp;Projects!$A$35,"")&amp;IF(AND(Projects!$G$36="Yes",Projects!$C$36=H$3),", "&amp;Projects!$A$36,"")&amp;IF(AND(Projects!$G$37="Yes",Projects!$C$37=H$3),", "&amp;Projects!$A$37,"")&amp;IF(AND(Projects!$G$38="Yes",Projects!$C$38=H$3),", "&amp;Projects!$A$38,"")&amp;IF(AND(Projects!$G$39="Yes",Projects!$C$39=H$3),", "&amp;Projects!$A$39,"")&amp;IF(AND(Projects!$G$40="Yes",Projects!$C$40=H$3),", "&amp;Projects!$A$40,"")&amp;IF(AND(Projects!$G$41="Yes",Projects!$C$41=H$3),", "&amp;Projects!$A$41,"")&amp;IF(AND(Projects!$G$42="Yes",Projects!$C$42=H$3),", "&amp;Projects!$A$42,"")&amp;IF(AND(Projects!$G$43="Yes",Projects!$C$43=H$3),", "&amp;Projects!$A$43,"")&amp;IF(AND(Projects!$G$44="Yes",Projects!$C$44=H$3),", "&amp;Projects!$A$44,"")&amp;IF(AND(Projects!$G$45="Yes",Projects!$C$45=H$3),", "&amp;Projects!$A$45,"")&amp;IF(AND(Projects!$G$46="Yes",Projects!$C$46=H$3),", "&amp;Projects!$A$46,""),3,10000)</f>
        <v/>
      </c>
      <c r="I6" s="16" t="str">
        <f aca="false">MID(IF(AND(Projects!$G$2="Yes",Projects!$C$2=I$3),", "&amp;Projects!$A$2,"")&amp;IF(AND(Projects!$G$3="Yes",Projects!$C$3=I$3),", "&amp;Projects!$A$3,"")&amp;IF(AND(Projects!$G$4="Yes",Projects!$C$4=I$3),", "&amp;Projects!$A$4,"")&amp;IF(AND(Projects!$G$5="Yes",Projects!$C$5=I$3),", "&amp;Projects!$A$5,"")&amp;IF(AND(Projects!$G$6="Yes",Projects!$C$6=I$3),", "&amp;Projects!$A$6,"")&amp;IF(AND(Projects!$G$7="Yes",Projects!$C$7=I$3),", "&amp;Projects!$A$7,"")&amp;IF(AND(Projects!$G$8="Yes",Projects!$C$8=I$3),", "&amp;Projects!$A$8,"")&amp;IF(AND(Projects!$G$9="Yes",Projects!$C$9=I$3),", "&amp;Projects!$A$9,"")&amp;IF(AND(Projects!$G$10="Yes",Projects!$C$10=I$3),", "&amp;Projects!$A$10,"")&amp;IF(AND(Projects!$G$11="Yes",Projects!$C$11=I$3),", "&amp;Projects!$A$11,"")&amp;IF(AND(Projects!$G$12="Yes",Projects!$C$12=I$3),", "&amp;Projects!$A$12,"")&amp;IF(AND(Projects!$G$13="Yes",Projects!$C$13=I$3),", "&amp;Projects!$A$13,"")&amp;IF(AND(Projects!$G$14="Yes",Projects!$C$14=I$3),", "&amp;Projects!$A$14,"")&amp;IF(AND(Projects!$G$15="Yes",Projects!$C$15=I$3),", "&amp;Projects!$A$15,"")&amp;IF(AND(Projects!$G$16="Yes",Projects!$C$16=I$3),", "&amp;Projects!$A$16,"")&amp;IF(AND(Projects!$G$17="Yes",Projects!$C$17=I$3),", "&amp;Projects!$A$17,"")&amp;IF(AND(Projects!$G$18="Yes",Projects!$C$18=I$3),", "&amp;Projects!$A$18,"")&amp;IF(AND(Projects!$G$19="Yes",Projects!$C$19=I$3),", "&amp;Projects!$A$19,"")&amp;IF(AND(Projects!$G$20="Yes",Projects!$C$20=I$3),", "&amp;Projects!$A$20,"")&amp;IF(AND(Projects!$G$21="Yes",Projects!$C$21=I$3),", "&amp;Projects!$A$21,"")&amp;IF(AND(Projects!$G$22="Yes",Projects!$C$22=I$3),", "&amp;Projects!$A$22,"")&amp;IF(AND(Projects!$G$23="Yes",Projects!$C$23=I$3),", "&amp;Projects!$A$23,"")&amp;IF(AND(Projects!$G$24="Yes",Projects!$C$24=I$3),", "&amp;Projects!$A$24,"")&amp;IF(AND(Projects!$G$25="Yes",Projects!$C$25=I$3),", "&amp;Projects!$A$25,"")&amp;IF(AND(Projects!$G$26="Yes",Projects!$C$26=I$3),", "&amp;Projects!$A$26,"")&amp;IF(AND(Projects!$G$27="Yes",Projects!$C$27=I$3),", "&amp;Projects!$A$27,"")&amp;IF(AND(Projects!$G$28="Yes",Projects!$C$28=I$3),", "&amp;Projects!$A$28,"")&amp;IF(AND(Projects!$G$29="Yes",Projects!$C$29=I$3),", "&amp;Projects!$A$29,"")&amp;IF(AND(Projects!$G$30="Yes",Projects!$C$30=I$3),", "&amp;Projects!$A$30,"")&amp;IF(AND(Projects!$G$31="Yes",Projects!$C$31=I$3),", "&amp;Projects!$A$31,"")&amp;IF(AND(Projects!$G$32="Yes",Projects!$C$32=I$3),", "&amp;Projects!$A$32,"")&amp;IF(AND(Projects!$G$33="Yes",Projects!$C$33=I$3),", "&amp;Projects!$A$33,"")&amp;IF(AND(Projects!$G$34="Yes",Projects!$C$34=I$3),", "&amp;Projects!$A$34,"")&amp;IF(AND(Projects!$G$35="Yes",Projects!$C$35=I$3),", "&amp;Projects!$A$35,"")&amp;IF(AND(Projects!$G$36="Yes",Projects!$C$36=I$3),", "&amp;Projects!$A$36,"")&amp;IF(AND(Projects!$G$37="Yes",Projects!$C$37=I$3),", "&amp;Projects!$A$37,"")&amp;IF(AND(Projects!$G$38="Yes",Projects!$C$38=I$3),", "&amp;Projects!$A$38,"")&amp;IF(AND(Projects!$G$39="Yes",Projects!$C$39=I$3),", "&amp;Projects!$A$39,"")&amp;IF(AND(Projects!$G$40="Yes",Projects!$C$40=I$3),", "&amp;Projects!$A$40,"")&amp;IF(AND(Projects!$G$41="Yes",Projects!$C$41=I$3),", "&amp;Projects!$A$41,"")&amp;IF(AND(Projects!$G$42="Yes",Projects!$C$42=I$3),", "&amp;Projects!$A$42,"")&amp;IF(AND(Projects!$G$43="Yes",Projects!$C$43=I$3),", "&amp;Projects!$A$43,"")&amp;IF(AND(Projects!$G$44="Yes",Projects!$C$44=I$3),", "&amp;Projects!$A$44,"")&amp;IF(AND(Projects!$G$45="Yes",Projects!$C$45=I$3),", "&amp;Projects!$A$45,"")&amp;IF(AND(Projects!$G$46="Yes",Projects!$C$46=I$3),", "&amp;Projects!$A$46,""),3,10000)</f>
        <v>Francis, Riverton</v>
      </c>
      <c r="J6" s="16" t="str">
        <f aca="false">MID(IF(AND(Projects!$G$2="Yes",Projects!$C$2=J$3),", "&amp;Projects!$A$2,"")&amp;IF(AND(Projects!$G$3="Yes",Projects!$C$3=J$3),", "&amp;Projects!$A$3,"")&amp;IF(AND(Projects!$G$4="Yes",Projects!$C$4=J$3),", "&amp;Projects!$A$4,"")&amp;IF(AND(Projects!$G$5="Yes",Projects!$C$5=J$3),", "&amp;Projects!$A$5,"")&amp;IF(AND(Projects!$G$6="Yes",Projects!$C$6=J$3),", "&amp;Projects!$A$6,"")&amp;IF(AND(Projects!$G$7="Yes",Projects!$C$7=J$3),", "&amp;Projects!$A$7,"")&amp;IF(AND(Projects!$G$8="Yes",Projects!$C$8=J$3),", "&amp;Projects!$A$8,"")&amp;IF(AND(Projects!$G$9="Yes",Projects!$C$9=J$3),", "&amp;Projects!$A$9,"")&amp;IF(AND(Projects!$G$10="Yes",Projects!$C$10=J$3),", "&amp;Projects!$A$10,"")&amp;IF(AND(Projects!$G$11="Yes",Projects!$C$11=J$3),", "&amp;Projects!$A$11,"")&amp;IF(AND(Projects!$G$12="Yes",Projects!$C$12=J$3),", "&amp;Projects!$A$12,"")&amp;IF(AND(Projects!$G$13="Yes",Projects!$C$13=J$3),", "&amp;Projects!$A$13,"")&amp;IF(AND(Projects!$G$14="Yes",Projects!$C$14=J$3),", "&amp;Projects!$A$14,"")&amp;IF(AND(Projects!$G$15="Yes",Projects!$C$15=J$3),", "&amp;Projects!$A$15,"")&amp;IF(AND(Projects!$G$16="Yes",Projects!$C$16=J$3),", "&amp;Projects!$A$16,"")&amp;IF(AND(Projects!$G$17="Yes",Projects!$C$17=J$3),", "&amp;Projects!$A$17,"")&amp;IF(AND(Projects!$G$18="Yes",Projects!$C$18=J$3),", "&amp;Projects!$A$18,"")&amp;IF(AND(Projects!$G$19="Yes",Projects!$C$19=J$3),", "&amp;Projects!$A$19,"")&amp;IF(AND(Projects!$G$20="Yes",Projects!$C$20=J$3),", "&amp;Projects!$A$20,"")&amp;IF(AND(Projects!$G$21="Yes",Projects!$C$21=J$3),", "&amp;Projects!$A$21,"")&amp;IF(AND(Projects!$G$22="Yes",Projects!$C$22=J$3),", "&amp;Projects!$A$22,"")&amp;IF(AND(Projects!$G$23="Yes",Projects!$C$23=J$3),", "&amp;Projects!$A$23,"")&amp;IF(AND(Projects!$G$24="Yes",Projects!$C$24=J$3),", "&amp;Projects!$A$24,"")&amp;IF(AND(Projects!$G$25="Yes",Projects!$C$25=J$3),", "&amp;Projects!$A$25,"")&amp;IF(AND(Projects!$G$26="Yes",Projects!$C$26=J$3),", "&amp;Projects!$A$26,"")&amp;IF(AND(Projects!$G$27="Yes",Projects!$C$27=J$3),", "&amp;Projects!$A$27,"")&amp;IF(AND(Projects!$G$28="Yes",Projects!$C$28=J$3),", "&amp;Projects!$A$28,"")&amp;IF(AND(Projects!$G$29="Yes",Projects!$C$29=J$3),", "&amp;Projects!$A$29,"")&amp;IF(AND(Projects!$G$30="Yes",Projects!$C$30=J$3),", "&amp;Projects!$A$30,"")&amp;IF(AND(Projects!$G$31="Yes",Projects!$C$31=J$3),", "&amp;Projects!$A$31,"")&amp;IF(AND(Projects!$G$32="Yes",Projects!$C$32=J$3),", "&amp;Projects!$A$32,"")&amp;IF(AND(Projects!$G$33="Yes",Projects!$C$33=J$3),", "&amp;Projects!$A$33,"")&amp;IF(AND(Projects!$G$34="Yes",Projects!$C$34=J$3),", "&amp;Projects!$A$34,"")&amp;IF(AND(Projects!$G$35="Yes",Projects!$C$35=J$3),", "&amp;Projects!$A$35,"")&amp;IF(AND(Projects!$G$36="Yes",Projects!$C$36=J$3),", "&amp;Projects!$A$36,"")&amp;IF(AND(Projects!$G$37="Yes",Projects!$C$37=J$3),", "&amp;Projects!$A$37,"")&amp;IF(AND(Projects!$G$38="Yes",Projects!$C$38=J$3),", "&amp;Projects!$A$38,"")&amp;IF(AND(Projects!$G$39="Yes",Projects!$C$39=J$3),", "&amp;Projects!$A$39,"")&amp;IF(AND(Projects!$G$40="Yes",Projects!$C$40=J$3),", "&amp;Projects!$A$40,"")&amp;IF(AND(Projects!$G$41="Yes",Projects!$C$41=J$3),", "&amp;Projects!$A$41,"")&amp;IF(AND(Projects!$G$42="Yes",Projects!$C$42=J$3),", "&amp;Projects!$A$42,"")&amp;IF(AND(Projects!$G$43="Yes",Projects!$C$43=J$3),", "&amp;Projects!$A$43,"")&amp;IF(AND(Projects!$G$44="Yes",Projects!$C$44=J$3),", "&amp;Projects!$A$44,"")&amp;IF(AND(Projects!$G$45="Yes",Projects!$C$45=J$3),", "&amp;Projects!$A$45,"")&amp;IF(AND(Projects!$G$46="Yes",Projects!$C$46=J$3),", "&amp;Projects!$A$46,""),3,10000)</f>
        <v>Lexington</v>
      </c>
      <c r="K6" s="16" t="str">
        <f aca="false">MID(IF(AND(Projects!$G$2="Yes",Projects!$C$2=K$3),", "&amp;Projects!$A$2,"")&amp;IF(AND(Projects!$G$3="Yes",Projects!$C$3=K$3),", "&amp;Projects!$A$3,"")&amp;IF(AND(Projects!$G$4="Yes",Projects!$C$4=K$3),", "&amp;Projects!$A$4,"")&amp;IF(AND(Projects!$G$5="Yes",Projects!$C$5=K$3),", "&amp;Projects!$A$5,"")&amp;IF(AND(Projects!$G$6="Yes",Projects!$C$6=K$3),", "&amp;Projects!$A$6,"")&amp;IF(AND(Projects!$G$7="Yes",Projects!$C$7=K$3),", "&amp;Projects!$A$7,"")&amp;IF(AND(Projects!$G$8="Yes",Projects!$C$8=K$3),", "&amp;Projects!$A$8,"")&amp;IF(AND(Projects!$G$9="Yes",Projects!$C$9=K$3),", "&amp;Projects!$A$9,"")&amp;IF(AND(Projects!$G$10="Yes",Projects!$C$10=K$3),", "&amp;Projects!$A$10,"")&amp;IF(AND(Projects!$G$11="Yes",Projects!$C$11=K$3),", "&amp;Projects!$A$11,"")&amp;IF(AND(Projects!$G$12="Yes",Projects!$C$12=K$3),", "&amp;Projects!$A$12,"")&amp;IF(AND(Projects!$G$13="Yes",Projects!$C$13=K$3),", "&amp;Projects!$A$13,"")&amp;IF(AND(Projects!$G$14="Yes",Projects!$C$14=K$3),", "&amp;Projects!$A$14,"")&amp;IF(AND(Projects!$G$15="Yes",Projects!$C$15=K$3),", "&amp;Projects!$A$15,"")&amp;IF(AND(Projects!$G$16="Yes",Projects!$C$16=K$3),", "&amp;Projects!$A$16,"")&amp;IF(AND(Projects!$G$17="Yes",Projects!$C$17=K$3),", "&amp;Projects!$A$17,"")&amp;IF(AND(Projects!$G$18="Yes",Projects!$C$18=K$3),", "&amp;Projects!$A$18,"")&amp;IF(AND(Projects!$G$19="Yes",Projects!$C$19=K$3),", "&amp;Projects!$A$19,"")&amp;IF(AND(Projects!$G$20="Yes",Projects!$C$20=K$3),", "&amp;Projects!$A$20,"")&amp;IF(AND(Projects!$G$21="Yes",Projects!$C$21=K$3),", "&amp;Projects!$A$21,"")&amp;IF(AND(Projects!$G$22="Yes",Projects!$C$22=K$3),", "&amp;Projects!$A$22,"")&amp;IF(AND(Projects!$G$23="Yes",Projects!$C$23=K$3),", "&amp;Projects!$A$23,"")&amp;IF(AND(Projects!$G$24="Yes",Projects!$C$24=K$3),", "&amp;Projects!$A$24,"")&amp;IF(AND(Projects!$G$25="Yes",Projects!$C$25=K$3),", "&amp;Projects!$A$25,"")&amp;IF(AND(Projects!$G$26="Yes",Projects!$C$26=K$3),", "&amp;Projects!$A$26,"")&amp;IF(AND(Projects!$G$27="Yes",Projects!$C$27=K$3),", "&amp;Projects!$A$27,"")&amp;IF(AND(Projects!$G$28="Yes",Projects!$C$28=K$3),", "&amp;Projects!$A$28,"")&amp;IF(AND(Projects!$G$29="Yes",Projects!$C$29=K$3),", "&amp;Projects!$A$29,"")&amp;IF(AND(Projects!$G$30="Yes",Projects!$C$30=K$3),", "&amp;Projects!$A$30,"")&amp;IF(AND(Projects!$G$31="Yes",Projects!$C$31=K$3),", "&amp;Projects!$A$31,"")&amp;IF(AND(Projects!$G$32="Yes",Projects!$C$32=K$3),", "&amp;Projects!$A$32,"")&amp;IF(AND(Projects!$G$33="Yes",Projects!$C$33=K$3),", "&amp;Projects!$A$33,"")&amp;IF(AND(Projects!$G$34="Yes",Projects!$C$34=K$3),", "&amp;Projects!$A$34,"")&amp;IF(AND(Projects!$G$35="Yes",Projects!$C$35=K$3),", "&amp;Projects!$A$35,"")&amp;IF(AND(Projects!$G$36="Yes",Projects!$C$36=K$3),", "&amp;Projects!$A$36,"")&amp;IF(AND(Projects!$G$37="Yes",Projects!$C$37=K$3),", "&amp;Projects!$A$37,"")&amp;IF(AND(Projects!$G$38="Yes",Projects!$C$38=K$3),", "&amp;Projects!$A$38,"")&amp;IF(AND(Projects!$G$39="Yes",Projects!$C$39=K$3),", "&amp;Projects!$A$39,"")&amp;IF(AND(Projects!$G$40="Yes",Projects!$C$40=K$3),", "&amp;Projects!$A$40,"")&amp;IF(AND(Projects!$G$41="Yes",Projects!$C$41=K$3),", "&amp;Projects!$A$41,"")&amp;IF(AND(Projects!$G$42="Yes",Projects!$C$42=K$3),", "&amp;Projects!$A$42,"")&amp;IF(AND(Projects!$G$43="Yes",Projects!$C$43=K$3),", "&amp;Projects!$A$43,"")&amp;IF(AND(Projects!$G$44="Yes",Projects!$C$44=K$3),", "&amp;Projects!$A$44,"")&amp;IF(AND(Projects!$G$45="Yes",Projects!$C$45=K$3),", "&amp;Projects!$A$45,"")&amp;IF(AND(Projects!$G$46="Yes",Projects!$C$46=K$3),", "&amp;Projects!$A$46,""),3,10000)</f>
        <v/>
      </c>
      <c r="L6" s="16" t="str">
        <f aca="false">MID(IF(AND(Projects!$G$2="Yes",Projects!$C$2=L$3),", "&amp;Projects!$A$2,"")&amp;IF(AND(Projects!$G$3="Yes",Projects!$C$3=L$3),", "&amp;Projects!$A$3,"")&amp;IF(AND(Projects!$G$4="Yes",Projects!$C$4=L$3),", "&amp;Projects!$A$4,"")&amp;IF(AND(Projects!$G$5="Yes",Projects!$C$5=L$3),", "&amp;Projects!$A$5,"")&amp;IF(AND(Projects!$G$6="Yes",Projects!$C$6=L$3),", "&amp;Projects!$A$6,"")&amp;IF(AND(Projects!$G$7="Yes",Projects!$C$7=L$3),", "&amp;Projects!$A$7,"")&amp;IF(AND(Projects!$G$8="Yes",Projects!$C$8=L$3),", "&amp;Projects!$A$8,"")&amp;IF(AND(Projects!$G$9="Yes",Projects!$C$9=L$3),", "&amp;Projects!$A$9,"")&amp;IF(AND(Projects!$G$10="Yes",Projects!$C$10=L$3),", "&amp;Projects!$A$10,"")&amp;IF(AND(Projects!$G$11="Yes",Projects!$C$11=L$3),", "&amp;Projects!$A$11,"")&amp;IF(AND(Projects!$G$12="Yes",Projects!$C$12=L$3),", "&amp;Projects!$A$12,"")&amp;IF(AND(Projects!$G$13="Yes",Projects!$C$13=L$3),", "&amp;Projects!$A$13,"")&amp;IF(AND(Projects!$G$14="Yes",Projects!$C$14=L$3),", "&amp;Projects!$A$14,"")&amp;IF(AND(Projects!$G$15="Yes",Projects!$C$15=L$3),", "&amp;Projects!$A$15,"")&amp;IF(AND(Projects!$G$16="Yes",Projects!$C$16=L$3),", "&amp;Projects!$A$16,"")&amp;IF(AND(Projects!$G$17="Yes",Projects!$C$17=L$3),", "&amp;Projects!$A$17,"")&amp;IF(AND(Projects!$G$18="Yes",Projects!$C$18=L$3),", "&amp;Projects!$A$18,"")&amp;IF(AND(Projects!$G$19="Yes",Projects!$C$19=L$3),", "&amp;Projects!$A$19,"")&amp;IF(AND(Projects!$G$20="Yes",Projects!$C$20=L$3),", "&amp;Projects!$A$20,"")&amp;IF(AND(Projects!$G$21="Yes",Projects!$C$21=L$3),", "&amp;Projects!$A$21,"")&amp;IF(AND(Projects!$G$22="Yes",Projects!$C$22=L$3),", "&amp;Projects!$A$22,"")&amp;IF(AND(Projects!$G$23="Yes",Projects!$C$23=L$3),", "&amp;Projects!$A$23,"")&amp;IF(AND(Projects!$G$24="Yes",Projects!$C$24=L$3),", "&amp;Projects!$A$24,"")&amp;IF(AND(Projects!$G$25="Yes",Projects!$C$25=L$3),", "&amp;Projects!$A$25,"")&amp;IF(AND(Projects!$G$26="Yes",Projects!$C$26=L$3),", "&amp;Projects!$A$26,"")&amp;IF(AND(Projects!$G$27="Yes",Projects!$C$27=L$3),", "&amp;Projects!$A$27,"")&amp;IF(AND(Projects!$G$28="Yes",Projects!$C$28=L$3),", "&amp;Projects!$A$28,"")&amp;IF(AND(Projects!$G$29="Yes",Projects!$C$29=L$3),", "&amp;Projects!$A$29,"")&amp;IF(AND(Projects!$G$30="Yes",Projects!$C$30=L$3),", "&amp;Projects!$A$30,"")&amp;IF(AND(Projects!$G$31="Yes",Projects!$C$31=L$3),", "&amp;Projects!$A$31,"")&amp;IF(AND(Projects!$G$32="Yes",Projects!$C$32=L$3),", "&amp;Projects!$A$32,"")&amp;IF(AND(Projects!$G$33="Yes",Projects!$C$33=L$3),", "&amp;Projects!$A$33,"")&amp;IF(AND(Projects!$G$34="Yes",Projects!$C$34=L$3),", "&amp;Projects!$A$34,"")&amp;IF(AND(Projects!$G$35="Yes",Projects!$C$35=L$3),", "&amp;Projects!$A$35,"")&amp;IF(AND(Projects!$G$36="Yes",Projects!$C$36=L$3),", "&amp;Projects!$A$36,"")&amp;IF(AND(Projects!$G$37="Yes",Projects!$C$37=L$3),", "&amp;Projects!$A$37,"")&amp;IF(AND(Projects!$G$38="Yes",Projects!$C$38=L$3),", "&amp;Projects!$A$38,"")&amp;IF(AND(Projects!$G$39="Yes",Projects!$C$39=L$3),", "&amp;Projects!$A$39,"")&amp;IF(AND(Projects!$G$40="Yes",Projects!$C$40=L$3),", "&amp;Projects!$A$40,"")&amp;IF(AND(Projects!$G$41="Yes",Projects!$C$41=L$3),", "&amp;Projects!$A$41,"")&amp;IF(AND(Projects!$G$42="Yes",Projects!$C$42=L$3),", "&amp;Projects!$A$42,"")&amp;IF(AND(Projects!$G$43="Yes",Projects!$C$43=L$3),", "&amp;Projects!$A$43,"")&amp;IF(AND(Projects!$G$44="Yes",Projects!$C$44=L$3),", "&amp;Projects!$A$44,"")&amp;IF(AND(Projects!$G$45="Yes",Projects!$C$45=L$3),", "&amp;Projects!$A$45,"")&amp;IF(AND(Projects!$G$46="Yes",Projects!$C$46=L$3),", "&amp;Projects!$A$46,""),3,10000)</f>
        <v/>
      </c>
      <c r="M6" s="16" t="str">
        <f aca="false">MID(IF(AND(Projects!$G$2="Yes",Projects!$C$2=M$3),", "&amp;Projects!$A$2,"")&amp;IF(AND(Projects!$G$3="Yes",Projects!$C$3=M$3),", "&amp;Projects!$A$3,"")&amp;IF(AND(Projects!$G$4="Yes",Projects!$C$4=M$3),", "&amp;Projects!$A$4,"")&amp;IF(AND(Projects!$G$5="Yes",Projects!$C$5=M$3),", "&amp;Projects!$A$5,"")&amp;IF(AND(Projects!$G$6="Yes",Projects!$C$6=M$3),", "&amp;Projects!$A$6,"")&amp;IF(AND(Projects!$G$7="Yes",Projects!$C$7=M$3),", "&amp;Projects!$A$7,"")&amp;IF(AND(Projects!$G$8="Yes",Projects!$C$8=M$3),", "&amp;Projects!$A$8,"")&amp;IF(AND(Projects!$G$9="Yes",Projects!$C$9=M$3),", "&amp;Projects!$A$9,"")&amp;IF(AND(Projects!$G$10="Yes",Projects!$C$10=M$3),", "&amp;Projects!$A$10,"")&amp;IF(AND(Projects!$G$11="Yes",Projects!$C$11=M$3),", "&amp;Projects!$A$11,"")&amp;IF(AND(Projects!$G$12="Yes",Projects!$C$12=M$3),", "&amp;Projects!$A$12,"")&amp;IF(AND(Projects!$G$13="Yes",Projects!$C$13=M$3),", "&amp;Projects!$A$13,"")&amp;IF(AND(Projects!$G$14="Yes",Projects!$C$14=M$3),", "&amp;Projects!$A$14,"")&amp;IF(AND(Projects!$G$15="Yes",Projects!$C$15=M$3),", "&amp;Projects!$A$15,"")&amp;IF(AND(Projects!$G$16="Yes",Projects!$C$16=M$3),", "&amp;Projects!$A$16,"")&amp;IF(AND(Projects!$G$17="Yes",Projects!$C$17=M$3),", "&amp;Projects!$A$17,"")&amp;IF(AND(Projects!$G$18="Yes",Projects!$C$18=M$3),", "&amp;Projects!$A$18,"")&amp;IF(AND(Projects!$G$19="Yes",Projects!$C$19=M$3),", "&amp;Projects!$A$19,"")&amp;IF(AND(Projects!$G$20="Yes",Projects!$C$20=M$3),", "&amp;Projects!$A$20,"")&amp;IF(AND(Projects!$G$21="Yes",Projects!$C$21=M$3),", "&amp;Projects!$A$21,"")&amp;IF(AND(Projects!$G$22="Yes",Projects!$C$22=M$3),", "&amp;Projects!$A$22,"")&amp;IF(AND(Projects!$G$23="Yes",Projects!$C$23=M$3),", "&amp;Projects!$A$23,"")&amp;IF(AND(Projects!$G$24="Yes",Projects!$C$24=M$3),", "&amp;Projects!$A$24,"")&amp;IF(AND(Projects!$G$25="Yes",Projects!$C$25=M$3),", "&amp;Projects!$A$25,"")&amp;IF(AND(Projects!$G$26="Yes",Projects!$C$26=M$3),", "&amp;Projects!$A$26,"")&amp;IF(AND(Projects!$G$27="Yes",Projects!$C$27=M$3),", "&amp;Projects!$A$27,"")&amp;IF(AND(Projects!$G$28="Yes",Projects!$C$28=M$3),", "&amp;Projects!$A$28,"")&amp;IF(AND(Projects!$G$29="Yes",Projects!$C$29=M$3),", "&amp;Projects!$A$29,"")&amp;IF(AND(Projects!$G$30="Yes",Projects!$C$30=M$3),", "&amp;Projects!$A$30,"")&amp;IF(AND(Projects!$G$31="Yes",Projects!$C$31=M$3),", "&amp;Projects!$A$31,"")&amp;IF(AND(Projects!$G$32="Yes",Projects!$C$32=M$3),", "&amp;Projects!$A$32,"")&amp;IF(AND(Projects!$G$33="Yes",Projects!$C$33=M$3),", "&amp;Projects!$A$33,"")&amp;IF(AND(Projects!$G$34="Yes",Projects!$C$34=M$3),", "&amp;Projects!$A$34,"")&amp;IF(AND(Projects!$G$35="Yes",Projects!$C$35=M$3),", "&amp;Projects!$A$35,"")&amp;IF(AND(Projects!$G$36="Yes",Projects!$C$36=M$3),", "&amp;Projects!$A$36,"")&amp;IF(AND(Projects!$G$37="Yes",Projects!$C$37=M$3),", "&amp;Projects!$A$37,"")&amp;IF(AND(Projects!$G$38="Yes",Projects!$C$38=M$3),", "&amp;Projects!$A$38,"")&amp;IF(AND(Projects!$G$39="Yes",Projects!$C$39=M$3),", "&amp;Projects!$A$39,"")&amp;IF(AND(Projects!$G$40="Yes",Projects!$C$40=M$3),", "&amp;Projects!$A$40,"")&amp;IF(AND(Projects!$G$41="Yes",Projects!$C$41=M$3),", "&amp;Projects!$A$41,"")&amp;IF(AND(Projects!$G$42="Yes",Projects!$C$42=M$3),", "&amp;Projects!$A$42,"")&amp;IF(AND(Projects!$G$43="Yes",Projects!$C$43=M$3),", "&amp;Projects!$A$43,"")&amp;IF(AND(Projects!$G$44="Yes",Projects!$C$44=M$3),", "&amp;Projects!$A$44,"")&amp;IF(AND(Projects!$G$45="Yes",Projects!$C$45=M$3),", "&amp;Projects!$A$45,"")&amp;IF(AND(Projects!$G$46="Yes",Projects!$C$46=M$3),", "&amp;Projects!$A$46,""),3,10000)</f>
        <v>Acama</v>
      </c>
      <c r="N6" s="16" t="str">
        <f aca="false">MID(IF(AND(Projects!$G$2="Yes",Projects!$C$2=N$3),", "&amp;Projects!$A$2,"")&amp;IF(AND(Projects!$G$3="Yes",Projects!$C$3=N$3),", "&amp;Projects!$A$3,"")&amp;IF(AND(Projects!$G$4="Yes",Projects!$C$4=N$3),", "&amp;Projects!$A$4,"")&amp;IF(AND(Projects!$G$5="Yes",Projects!$C$5=N$3),", "&amp;Projects!$A$5,"")&amp;IF(AND(Projects!$G$6="Yes",Projects!$C$6=N$3),", "&amp;Projects!$A$6,"")&amp;IF(AND(Projects!$G$7="Yes",Projects!$C$7=N$3),", "&amp;Projects!$A$7,"")&amp;IF(AND(Projects!$G$8="Yes",Projects!$C$8=N$3),", "&amp;Projects!$A$8,"")&amp;IF(AND(Projects!$G$9="Yes",Projects!$C$9=N$3),", "&amp;Projects!$A$9,"")&amp;IF(AND(Projects!$G$10="Yes",Projects!$C$10=N$3),", "&amp;Projects!$A$10,"")&amp;IF(AND(Projects!$G$11="Yes",Projects!$C$11=N$3),", "&amp;Projects!$A$11,"")&amp;IF(AND(Projects!$G$12="Yes",Projects!$C$12=N$3),", "&amp;Projects!$A$12,"")&amp;IF(AND(Projects!$G$13="Yes",Projects!$C$13=N$3),", "&amp;Projects!$A$13,"")&amp;IF(AND(Projects!$G$14="Yes",Projects!$C$14=N$3),", "&amp;Projects!$A$14,"")&amp;IF(AND(Projects!$G$15="Yes",Projects!$C$15=N$3),", "&amp;Projects!$A$15,"")&amp;IF(AND(Projects!$G$16="Yes",Projects!$C$16=N$3),", "&amp;Projects!$A$16,"")&amp;IF(AND(Projects!$G$17="Yes",Projects!$C$17=N$3),", "&amp;Projects!$A$17,"")&amp;IF(AND(Projects!$G$18="Yes",Projects!$C$18=N$3),", "&amp;Projects!$A$18,"")&amp;IF(AND(Projects!$G$19="Yes",Projects!$C$19=N$3),", "&amp;Projects!$A$19,"")&amp;IF(AND(Projects!$G$20="Yes",Projects!$C$20=N$3),", "&amp;Projects!$A$20,"")&amp;IF(AND(Projects!$G$21="Yes",Projects!$C$21=N$3),", "&amp;Projects!$A$21,"")&amp;IF(AND(Projects!$G$22="Yes",Projects!$C$22=N$3),", "&amp;Projects!$A$22,"")&amp;IF(AND(Projects!$G$23="Yes",Projects!$C$23=N$3),", "&amp;Projects!$A$23,"")&amp;IF(AND(Projects!$G$24="Yes",Projects!$C$24=N$3),", "&amp;Projects!$A$24,"")&amp;IF(AND(Projects!$G$25="Yes",Projects!$C$25=N$3),", "&amp;Projects!$A$25,"")&amp;IF(AND(Projects!$G$26="Yes",Projects!$C$26=N$3),", "&amp;Projects!$A$26,"")&amp;IF(AND(Projects!$G$27="Yes",Projects!$C$27=N$3),", "&amp;Projects!$A$27,"")&amp;IF(AND(Projects!$G$28="Yes",Projects!$C$28=N$3),", "&amp;Projects!$A$28,"")&amp;IF(AND(Projects!$G$29="Yes",Projects!$C$29=N$3),", "&amp;Projects!$A$29,"")&amp;IF(AND(Projects!$G$30="Yes",Projects!$C$30=N$3),", "&amp;Projects!$A$30,"")&amp;IF(AND(Projects!$G$31="Yes",Projects!$C$31=N$3),", "&amp;Projects!$A$31,"")&amp;IF(AND(Projects!$G$32="Yes",Projects!$C$32=N$3),", "&amp;Projects!$A$32,"")&amp;IF(AND(Projects!$G$33="Yes",Projects!$C$33=N$3),", "&amp;Projects!$A$33,"")&amp;IF(AND(Projects!$G$34="Yes",Projects!$C$34=N$3),", "&amp;Projects!$A$34,"")&amp;IF(AND(Projects!$G$35="Yes",Projects!$C$35=N$3),", "&amp;Projects!$A$35,"")&amp;IF(AND(Projects!$G$36="Yes",Projects!$C$36=N$3),", "&amp;Projects!$A$36,"")&amp;IF(AND(Projects!$G$37="Yes",Projects!$C$37=N$3),", "&amp;Projects!$A$37,"")&amp;IF(AND(Projects!$G$38="Yes",Projects!$C$38=N$3),", "&amp;Projects!$A$38,"")&amp;IF(AND(Projects!$G$39="Yes",Projects!$C$39=N$3),", "&amp;Projects!$A$39,"")&amp;IF(AND(Projects!$G$40="Yes",Projects!$C$40=N$3),", "&amp;Projects!$A$40,"")&amp;IF(AND(Projects!$G$41="Yes",Projects!$C$41=N$3),", "&amp;Projects!$A$41,"")&amp;IF(AND(Projects!$G$42="Yes",Projects!$C$42=N$3),", "&amp;Projects!$A$42,"")&amp;IF(AND(Projects!$G$43="Yes",Projects!$C$43=N$3),", "&amp;Projects!$A$43,"")&amp;IF(AND(Projects!$G$44="Yes",Projects!$C$44=N$3),", "&amp;Projects!$A$44,"")&amp;IF(AND(Projects!$G$45="Yes",Projects!$C$45=N$3),", "&amp;Projects!$A$45,"")&amp;IF(AND(Projects!$G$46="Yes",Projects!$C$46=N$3),", "&amp;Projects!$A$46,""),3,10000)</f>
        <v>Scott, Troost (HVN)</v>
      </c>
      <c r="O6" s="16" t="str">
        <f aca="false">MID(IF(AND(Projects!$G$2="Yes",Projects!$C$2=O$3),", "&amp;Projects!$A$2,"")&amp;IF(AND(Projects!$G$3="Yes",Projects!$C$3=O$3),", "&amp;Projects!$A$3,"")&amp;IF(AND(Projects!$G$4="Yes",Projects!$C$4=O$3),", "&amp;Projects!$A$4,"")&amp;IF(AND(Projects!$G$5="Yes",Projects!$C$5=O$3),", "&amp;Projects!$A$5,"")&amp;IF(AND(Projects!$G$6="Yes",Projects!$C$6=O$3),", "&amp;Projects!$A$6,"")&amp;IF(AND(Projects!$G$7="Yes",Projects!$C$7=O$3),", "&amp;Projects!$A$7,"")&amp;IF(AND(Projects!$G$8="Yes",Projects!$C$8=O$3),", "&amp;Projects!$A$8,"")&amp;IF(AND(Projects!$G$9="Yes",Projects!$C$9=O$3),", "&amp;Projects!$A$9,"")&amp;IF(AND(Projects!$G$10="Yes",Projects!$C$10=O$3),", "&amp;Projects!$A$10,"")&amp;IF(AND(Projects!$G$11="Yes",Projects!$C$11=O$3),", "&amp;Projects!$A$11,"")&amp;IF(AND(Projects!$G$12="Yes",Projects!$C$12=O$3),", "&amp;Projects!$A$12,"")&amp;IF(AND(Projects!$G$13="Yes",Projects!$C$13=O$3),", "&amp;Projects!$A$13,"")&amp;IF(AND(Projects!$G$14="Yes",Projects!$C$14=O$3),", "&amp;Projects!$A$14,"")&amp;IF(AND(Projects!$G$15="Yes",Projects!$C$15=O$3),", "&amp;Projects!$A$15,"")&amp;IF(AND(Projects!$G$16="Yes",Projects!$C$16=O$3),", "&amp;Projects!$A$16,"")&amp;IF(AND(Projects!$G$17="Yes",Projects!$C$17=O$3),", "&amp;Projects!$A$17,"")&amp;IF(AND(Projects!$G$18="Yes",Projects!$C$18=O$3),", "&amp;Projects!$A$18,"")&amp;IF(AND(Projects!$G$19="Yes",Projects!$C$19=O$3),", "&amp;Projects!$A$19,"")&amp;IF(AND(Projects!$G$20="Yes",Projects!$C$20=O$3),", "&amp;Projects!$A$20,"")&amp;IF(AND(Projects!$G$21="Yes",Projects!$C$21=O$3),", "&amp;Projects!$A$21,"")&amp;IF(AND(Projects!$G$22="Yes",Projects!$C$22=O$3),", "&amp;Projects!$A$22,"")&amp;IF(AND(Projects!$G$23="Yes",Projects!$C$23=O$3),", "&amp;Projects!$A$23,"")&amp;IF(AND(Projects!$G$24="Yes",Projects!$C$24=O$3),", "&amp;Projects!$A$24,"")&amp;IF(AND(Projects!$G$25="Yes",Projects!$C$25=O$3),", "&amp;Projects!$A$25,"")&amp;IF(AND(Projects!$G$26="Yes",Projects!$C$26=O$3),", "&amp;Projects!$A$26,"")&amp;IF(AND(Projects!$G$27="Yes",Projects!$C$27=O$3),", "&amp;Projects!$A$27,"")&amp;IF(AND(Projects!$G$28="Yes",Projects!$C$28=O$3),", "&amp;Projects!$A$28,"")&amp;IF(AND(Projects!$G$29="Yes",Projects!$C$29=O$3),", "&amp;Projects!$A$29,"")&amp;IF(AND(Projects!$G$30="Yes",Projects!$C$30=O$3),", "&amp;Projects!$A$30,"")&amp;IF(AND(Projects!$G$31="Yes",Projects!$C$31=O$3),", "&amp;Projects!$A$31,"")&amp;IF(AND(Projects!$G$32="Yes",Projects!$C$32=O$3),", "&amp;Projects!$A$32,"")&amp;IF(AND(Projects!$G$33="Yes",Projects!$C$33=O$3),", "&amp;Projects!$A$33,"")&amp;IF(AND(Projects!$G$34="Yes",Projects!$C$34=O$3),", "&amp;Projects!$A$34,"")&amp;IF(AND(Projects!$G$35="Yes",Projects!$C$35=O$3),", "&amp;Projects!$A$35,"")&amp;IF(AND(Projects!$G$36="Yes",Projects!$C$36=O$3),", "&amp;Projects!$A$36,"")&amp;IF(AND(Projects!$G$37="Yes",Projects!$C$37=O$3),", "&amp;Projects!$A$37,"")&amp;IF(AND(Projects!$G$38="Yes",Projects!$C$38=O$3),", "&amp;Projects!$A$38,"")&amp;IF(AND(Projects!$G$39="Yes",Projects!$C$39=O$3),", "&amp;Projects!$A$39,"")&amp;IF(AND(Projects!$G$40="Yes",Projects!$C$40=O$3),", "&amp;Projects!$A$40,"")&amp;IF(AND(Projects!$G$41="Yes",Projects!$C$41=O$3),", "&amp;Projects!$A$41,"")&amp;IF(AND(Projects!$G$42="Yes",Projects!$C$42=O$3),", "&amp;Projects!$A$42,"")&amp;IF(AND(Projects!$G$43="Yes",Projects!$C$43=O$3),", "&amp;Projects!$A$43,"")&amp;IF(AND(Projects!$G$44="Yes",Projects!$C$44=O$3),", "&amp;Projects!$A$44,"")&amp;IF(AND(Projects!$G$45="Yes",Projects!$C$45=O$3),", "&amp;Projects!$A$45,"")&amp;IF(AND(Projects!$G$46="Yes",Projects!$C$46=O$3),", "&amp;Projects!$A$46,""),3,10000)</f>
        <v>Klump</v>
      </c>
      <c r="P6" s="16" t="str">
        <f aca="false">MID(IF(AND(Projects!$G$2="Yes",Projects!$C$2=P$3),", "&amp;Projects!$A$2,"")&amp;IF(AND(Projects!$G$3="Yes",Projects!$C$3=P$3),", "&amp;Projects!$A$3,"")&amp;IF(AND(Projects!$G$4="Yes",Projects!$C$4=P$3),", "&amp;Projects!$A$4,"")&amp;IF(AND(Projects!$G$5="Yes",Projects!$C$5=P$3),", "&amp;Projects!$A$5,"")&amp;IF(AND(Projects!$G$6="Yes",Projects!$C$6=P$3),", "&amp;Projects!$A$6,"")&amp;IF(AND(Projects!$G$7="Yes",Projects!$C$7=P$3),", "&amp;Projects!$A$7,"")&amp;IF(AND(Projects!$G$8="Yes",Projects!$C$8=P$3),", "&amp;Projects!$A$8,"")&amp;IF(AND(Projects!$G$9="Yes",Projects!$C$9=P$3),", "&amp;Projects!$A$9,"")&amp;IF(AND(Projects!$G$10="Yes",Projects!$C$10=P$3),", "&amp;Projects!$A$10,"")&amp;IF(AND(Projects!$G$11="Yes",Projects!$C$11=P$3),", "&amp;Projects!$A$11,"")&amp;IF(AND(Projects!$G$12="Yes",Projects!$C$12=P$3),", "&amp;Projects!$A$12,"")&amp;IF(AND(Projects!$G$13="Yes",Projects!$C$13=P$3),", "&amp;Projects!$A$13,"")&amp;IF(AND(Projects!$G$14="Yes",Projects!$C$14=P$3),", "&amp;Projects!$A$14,"")&amp;IF(AND(Projects!$G$15="Yes",Projects!$C$15=P$3),", "&amp;Projects!$A$15,"")&amp;IF(AND(Projects!$G$16="Yes",Projects!$C$16=P$3),", "&amp;Projects!$A$16,"")&amp;IF(AND(Projects!$G$17="Yes",Projects!$C$17=P$3),", "&amp;Projects!$A$17,"")&amp;IF(AND(Projects!$G$18="Yes",Projects!$C$18=P$3),", "&amp;Projects!$A$18,"")&amp;IF(AND(Projects!$G$19="Yes",Projects!$C$19=P$3),", "&amp;Projects!$A$19,"")&amp;IF(AND(Projects!$G$20="Yes",Projects!$C$20=P$3),", "&amp;Projects!$A$20,"")&amp;IF(AND(Projects!$G$21="Yes",Projects!$C$21=P$3),", "&amp;Projects!$A$21,"")&amp;IF(AND(Projects!$G$22="Yes",Projects!$C$22=P$3),", "&amp;Projects!$A$22,"")&amp;IF(AND(Projects!$G$23="Yes",Projects!$C$23=P$3),", "&amp;Projects!$A$23,"")&amp;IF(AND(Projects!$G$24="Yes",Projects!$C$24=P$3),", "&amp;Projects!$A$24,"")&amp;IF(AND(Projects!$G$25="Yes",Projects!$C$25=P$3),", "&amp;Projects!$A$25,"")&amp;IF(AND(Projects!$G$26="Yes",Projects!$C$26=P$3),", "&amp;Projects!$A$26,"")&amp;IF(AND(Projects!$G$27="Yes",Projects!$C$27=P$3),", "&amp;Projects!$A$27,"")&amp;IF(AND(Projects!$G$28="Yes",Projects!$C$28=P$3),", "&amp;Projects!$A$28,"")&amp;IF(AND(Projects!$G$29="Yes",Projects!$C$29=P$3),", "&amp;Projects!$A$29,"")&amp;IF(AND(Projects!$G$30="Yes",Projects!$C$30=P$3),", "&amp;Projects!$A$30,"")&amp;IF(AND(Projects!$G$31="Yes",Projects!$C$31=P$3),", "&amp;Projects!$A$31,"")&amp;IF(AND(Projects!$G$32="Yes",Projects!$C$32=P$3),", "&amp;Projects!$A$32,"")&amp;IF(AND(Projects!$G$33="Yes",Projects!$C$33=P$3),", "&amp;Projects!$A$33,"")&amp;IF(AND(Projects!$G$34="Yes",Projects!$C$34=P$3),", "&amp;Projects!$A$34,"")&amp;IF(AND(Projects!$G$35="Yes",Projects!$C$35=P$3),", "&amp;Projects!$A$35,"")&amp;IF(AND(Projects!$G$36="Yes",Projects!$C$36=P$3),", "&amp;Projects!$A$36,"")&amp;IF(AND(Projects!$G$37="Yes",Projects!$C$37=P$3),", "&amp;Projects!$A$37,"")&amp;IF(AND(Projects!$G$38="Yes",Projects!$C$38=P$3),", "&amp;Projects!$A$38,"")&amp;IF(AND(Projects!$G$39="Yes",Projects!$C$39=P$3),", "&amp;Projects!$A$39,"")&amp;IF(AND(Projects!$G$40="Yes",Projects!$C$40=P$3),", "&amp;Projects!$A$40,"")&amp;IF(AND(Projects!$G$41="Yes",Projects!$C$41=P$3),", "&amp;Projects!$A$41,"")&amp;IF(AND(Projects!$G$42="Yes",Projects!$C$42=P$3),", "&amp;Projects!$A$42,"")&amp;IF(AND(Projects!$G$43="Yes",Projects!$C$43=P$3),", "&amp;Projects!$A$43,"")&amp;IF(AND(Projects!$G$44="Yes",Projects!$C$44=P$3),", "&amp;Projects!$A$44,"")&amp;IF(AND(Projects!$G$45="Yes",Projects!$C$45=P$3),", "&amp;Projects!$A$45,"")&amp;IF(AND(Projects!$G$46="Yes",Projects!$C$46=P$3),", "&amp;Projects!$A$46,""),3,10000)</f>
        <v/>
      </c>
      <c r="Q6" s="16" t="str">
        <f aca="false">MID(IF(AND(Projects!$G$2="Yes",Projects!$C$2=Q$3),", "&amp;Projects!$A$2,"")&amp;IF(AND(Projects!$G$3="Yes",Projects!$C$3=Q$3),", "&amp;Projects!$A$3,"")&amp;IF(AND(Projects!$G$4="Yes",Projects!$C$4=Q$3),", "&amp;Projects!$A$4,"")&amp;IF(AND(Projects!$G$5="Yes",Projects!$C$5=Q$3),", "&amp;Projects!$A$5,"")&amp;IF(AND(Projects!$G$6="Yes",Projects!$C$6=Q$3),", "&amp;Projects!$A$6,"")&amp;IF(AND(Projects!$G$7="Yes",Projects!$C$7=Q$3),", "&amp;Projects!$A$7,"")&amp;IF(AND(Projects!$G$8="Yes",Projects!$C$8=Q$3),", "&amp;Projects!$A$8,"")&amp;IF(AND(Projects!$G$9="Yes",Projects!$C$9=Q$3),", "&amp;Projects!$A$9,"")&amp;IF(AND(Projects!$G$10="Yes",Projects!$C$10=Q$3),", "&amp;Projects!$A$10,"")&amp;IF(AND(Projects!$G$11="Yes",Projects!$C$11=Q$3),", "&amp;Projects!$A$11,"")&amp;IF(AND(Projects!$G$12="Yes",Projects!$C$12=Q$3),", "&amp;Projects!$A$12,"")&amp;IF(AND(Projects!$G$13="Yes",Projects!$C$13=Q$3),", "&amp;Projects!$A$13,"")&amp;IF(AND(Projects!$G$14="Yes",Projects!$C$14=Q$3),", "&amp;Projects!$A$14,"")&amp;IF(AND(Projects!$G$15="Yes",Projects!$C$15=Q$3),", "&amp;Projects!$A$15,"")&amp;IF(AND(Projects!$G$16="Yes",Projects!$C$16=Q$3),", "&amp;Projects!$A$16,"")&amp;IF(AND(Projects!$G$17="Yes",Projects!$C$17=Q$3),", "&amp;Projects!$A$17,"")&amp;IF(AND(Projects!$G$18="Yes",Projects!$C$18=Q$3),", "&amp;Projects!$A$18,"")&amp;IF(AND(Projects!$G$19="Yes",Projects!$C$19=Q$3),", "&amp;Projects!$A$19,"")&amp;IF(AND(Projects!$G$20="Yes",Projects!$C$20=Q$3),", "&amp;Projects!$A$20,"")&amp;IF(AND(Projects!$G$21="Yes",Projects!$C$21=Q$3),", "&amp;Projects!$A$21,"")&amp;IF(AND(Projects!$G$22="Yes",Projects!$C$22=Q$3),", "&amp;Projects!$A$22,"")&amp;IF(AND(Projects!$G$23="Yes",Projects!$C$23=Q$3),", "&amp;Projects!$A$23,"")&amp;IF(AND(Projects!$G$24="Yes",Projects!$C$24=Q$3),", "&amp;Projects!$A$24,"")&amp;IF(AND(Projects!$G$25="Yes",Projects!$C$25=Q$3),", "&amp;Projects!$A$25,"")&amp;IF(AND(Projects!$G$26="Yes",Projects!$C$26=Q$3),", "&amp;Projects!$A$26,"")&amp;IF(AND(Projects!$G$27="Yes",Projects!$C$27=Q$3),", "&amp;Projects!$A$27,"")&amp;IF(AND(Projects!$G$28="Yes",Projects!$C$28=Q$3),", "&amp;Projects!$A$28,"")&amp;IF(AND(Projects!$G$29="Yes",Projects!$C$29=Q$3),", "&amp;Projects!$A$29,"")&amp;IF(AND(Projects!$G$30="Yes",Projects!$C$30=Q$3),", "&amp;Projects!$A$30,"")&amp;IF(AND(Projects!$G$31="Yes",Projects!$C$31=Q$3),", "&amp;Projects!$A$31,"")&amp;IF(AND(Projects!$G$32="Yes",Projects!$C$32=Q$3),", "&amp;Projects!$A$32,"")&amp;IF(AND(Projects!$G$33="Yes",Projects!$C$33=Q$3),", "&amp;Projects!$A$33,"")&amp;IF(AND(Projects!$G$34="Yes",Projects!$C$34=Q$3),", "&amp;Projects!$A$34,"")&amp;IF(AND(Projects!$G$35="Yes",Projects!$C$35=Q$3),", "&amp;Projects!$A$35,"")&amp;IF(AND(Projects!$G$36="Yes",Projects!$C$36=Q$3),", "&amp;Projects!$A$36,"")&amp;IF(AND(Projects!$G$37="Yes",Projects!$C$37=Q$3),", "&amp;Projects!$A$37,"")&amp;IF(AND(Projects!$G$38="Yes",Projects!$C$38=Q$3),", "&amp;Projects!$A$38,"")&amp;IF(AND(Projects!$G$39="Yes",Projects!$C$39=Q$3),", "&amp;Projects!$A$39,"")&amp;IF(AND(Projects!$G$40="Yes",Projects!$C$40=Q$3),", "&amp;Projects!$A$40,"")&amp;IF(AND(Projects!$G$41="Yes",Projects!$C$41=Q$3),", "&amp;Projects!$A$41,"")&amp;IF(AND(Projects!$G$42="Yes",Projects!$C$42=Q$3),", "&amp;Projects!$A$42,"")&amp;IF(AND(Projects!$G$43="Yes",Projects!$C$43=Q$3),", "&amp;Projects!$A$43,"")&amp;IF(AND(Projects!$G$44="Yes",Projects!$C$44=Q$3),", "&amp;Projects!$A$44,"")&amp;IF(AND(Projects!$G$45="Yes",Projects!$C$45=Q$3),", "&amp;Projects!$A$45,"")&amp;IF(AND(Projects!$G$46="Yes",Projects!$C$46=Q$3),", "&amp;Projects!$A$46,""),3,10000)</f>
        <v>Reseda</v>
      </c>
      <c r="R6" s="16" t="str">
        <f aca="false">MID(IF(AND(Projects!$G$2="Yes",Projects!$C$2=R$3),", "&amp;Projects!$A$2,"")&amp;IF(AND(Projects!$G$3="Yes",Projects!$C$3=R$3),", "&amp;Projects!$A$3,"")&amp;IF(AND(Projects!$G$4="Yes",Projects!$C$4=R$3),", "&amp;Projects!$A$4,"")&amp;IF(AND(Projects!$G$5="Yes",Projects!$C$5=R$3),", "&amp;Projects!$A$5,"")&amp;IF(AND(Projects!$G$6="Yes",Projects!$C$6=R$3),", "&amp;Projects!$A$6,"")&amp;IF(AND(Projects!$G$7="Yes",Projects!$C$7=R$3),", "&amp;Projects!$A$7,"")&amp;IF(AND(Projects!$G$8="Yes",Projects!$C$8=R$3),", "&amp;Projects!$A$8,"")&amp;IF(AND(Projects!$G$9="Yes",Projects!$C$9=R$3),", "&amp;Projects!$A$9,"")&amp;IF(AND(Projects!$G$10="Yes",Projects!$C$10=R$3),", "&amp;Projects!$A$10,"")&amp;IF(AND(Projects!$G$11="Yes",Projects!$C$11=R$3),", "&amp;Projects!$A$11,"")&amp;IF(AND(Projects!$G$12="Yes",Projects!$C$12=R$3),", "&amp;Projects!$A$12,"")&amp;IF(AND(Projects!$G$13="Yes",Projects!$C$13=R$3),", "&amp;Projects!$A$13,"")&amp;IF(AND(Projects!$G$14="Yes",Projects!$C$14=R$3),", "&amp;Projects!$A$14,"")&amp;IF(AND(Projects!$G$15="Yes",Projects!$C$15=R$3),", "&amp;Projects!$A$15,"")&amp;IF(AND(Projects!$G$16="Yes",Projects!$C$16=R$3),", "&amp;Projects!$A$16,"")&amp;IF(AND(Projects!$G$17="Yes",Projects!$C$17=R$3),", "&amp;Projects!$A$17,"")&amp;IF(AND(Projects!$G$18="Yes",Projects!$C$18=R$3),", "&amp;Projects!$A$18,"")&amp;IF(AND(Projects!$G$19="Yes",Projects!$C$19=R$3),", "&amp;Projects!$A$19,"")&amp;IF(AND(Projects!$G$20="Yes",Projects!$C$20=R$3),", "&amp;Projects!$A$20,"")&amp;IF(AND(Projects!$G$21="Yes",Projects!$C$21=R$3),", "&amp;Projects!$A$21,"")&amp;IF(AND(Projects!$G$22="Yes",Projects!$C$22=R$3),", "&amp;Projects!$A$22,"")&amp;IF(AND(Projects!$G$23="Yes",Projects!$C$23=R$3),", "&amp;Projects!$A$23,"")&amp;IF(AND(Projects!$G$24="Yes",Projects!$C$24=R$3),", "&amp;Projects!$A$24,"")&amp;IF(AND(Projects!$G$25="Yes",Projects!$C$25=R$3),", "&amp;Projects!$A$25,"")&amp;IF(AND(Projects!$G$26="Yes",Projects!$C$26=R$3),", "&amp;Projects!$A$26,"")&amp;IF(AND(Projects!$G$27="Yes",Projects!$C$27=R$3),", "&amp;Projects!$A$27,"")&amp;IF(AND(Projects!$G$28="Yes",Projects!$C$28=R$3),", "&amp;Projects!$A$28,"")&amp;IF(AND(Projects!$G$29="Yes",Projects!$C$29=R$3),", "&amp;Projects!$A$29,"")&amp;IF(AND(Projects!$G$30="Yes",Projects!$C$30=R$3),", "&amp;Projects!$A$30,"")&amp;IF(AND(Projects!$G$31="Yes",Projects!$C$31=R$3),", "&amp;Projects!$A$31,"")&amp;IF(AND(Projects!$G$32="Yes",Projects!$C$32=R$3),", "&amp;Projects!$A$32,"")&amp;IF(AND(Projects!$G$33="Yes",Projects!$C$33=R$3),", "&amp;Projects!$A$33,"")&amp;IF(AND(Projects!$G$34="Yes",Projects!$C$34=R$3),", "&amp;Projects!$A$34,"")&amp;IF(AND(Projects!$G$35="Yes",Projects!$C$35=R$3),", "&amp;Projects!$A$35,"")&amp;IF(AND(Projects!$G$36="Yes",Projects!$C$36=R$3),", "&amp;Projects!$A$36,"")&amp;IF(AND(Projects!$G$37="Yes",Projects!$C$37=R$3),", "&amp;Projects!$A$37,"")&amp;IF(AND(Projects!$G$38="Yes",Projects!$C$38=R$3),", "&amp;Projects!$A$38,"")&amp;IF(AND(Projects!$G$39="Yes",Projects!$C$39=R$3),", "&amp;Projects!$A$39,"")&amp;IF(AND(Projects!$G$40="Yes",Projects!$C$40=R$3),", "&amp;Projects!$A$40,"")&amp;IF(AND(Projects!$G$41="Yes",Projects!$C$41=R$3),", "&amp;Projects!$A$41,"")&amp;IF(AND(Projects!$G$42="Yes",Projects!$C$42=R$3),", "&amp;Projects!$A$42,"")&amp;IF(AND(Projects!$G$43="Yes",Projects!$C$43=R$3),", "&amp;Projects!$A$43,"")&amp;IF(AND(Projects!$G$44="Yes",Projects!$C$44=R$3),", "&amp;Projects!$A$44,"")&amp;IF(AND(Projects!$G$45="Yes",Projects!$C$45=R$3),", "&amp;Projects!$A$45,"")&amp;IF(AND(Projects!$G$46="Yes",Projects!$C$46=R$3),", "&amp;Projects!$A$46,""),3,10000)</f>
        <v>Dickens</v>
      </c>
      <c r="S6" s="16" t="str">
        <f aca="false">MID(IF(AND(Projects!$G$2="Yes",Projects!$C$2=S$3),", "&amp;Projects!$A$2,"")&amp;IF(AND(Projects!$G$3="Yes",Projects!$C$3=S$3),", "&amp;Projects!$A$3,"")&amp;IF(AND(Projects!$G$4="Yes",Projects!$C$4=S$3),", "&amp;Projects!$A$4,"")&amp;IF(AND(Projects!$G$5="Yes",Projects!$C$5=S$3),", "&amp;Projects!$A$5,"")&amp;IF(AND(Projects!$G$6="Yes",Projects!$C$6=S$3),", "&amp;Projects!$A$6,"")&amp;IF(AND(Projects!$G$7="Yes",Projects!$C$7=S$3),", "&amp;Projects!$A$7,"")&amp;IF(AND(Projects!$G$8="Yes",Projects!$C$8=S$3),", "&amp;Projects!$A$8,"")&amp;IF(AND(Projects!$G$9="Yes",Projects!$C$9=S$3),", "&amp;Projects!$A$9,"")&amp;IF(AND(Projects!$G$10="Yes",Projects!$C$10=S$3),", "&amp;Projects!$A$10,"")&amp;IF(AND(Projects!$G$11="Yes",Projects!$C$11=S$3),", "&amp;Projects!$A$11,"")&amp;IF(AND(Projects!$G$12="Yes",Projects!$C$12=S$3),", "&amp;Projects!$A$12,"")&amp;IF(AND(Projects!$G$13="Yes",Projects!$C$13=S$3),", "&amp;Projects!$A$13,"")&amp;IF(AND(Projects!$G$14="Yes",Projects!$C$14=S$3),", "&amp;Projects!$A$14,"")&amp;IF(AND(Projects!$G$15="Yes",Projects!$C$15=S$3),", "&amp;Projects!$A$15,"")&amp;IF(AND(Projects!$G$16="Yes",Projects!$C$16=S$3),", "&amp;Projects!$A$16,"")&amp;IF(AND(Projects!$G$17="Yes",Projects!$C$17=S$3),", "&amp;Projects!$A$17,"")&amp;IF(AND(Projects!$G$18="Yes",Projects!$C$18=S$3),", "&amp;Projects!$A$18,"")&amp;IF(AND(Projects!$G$19="Yes",Projects!$C$19=S$3),", "&amp;Projects!$A$19,"")&amp;IF(AND(Projects!$G$20="Yes",Projects!$C$20=S$3),", "&amp;Projects!$A$20,"")&amp;IF(AND(Projects!$G$21="Yes",Projects!$C$21=S$3),", "&amp;Projects!$A$21,"")&amp;IF(AND(Projects!$G$22="Yes",Projects!$C$22=S$3),", "&amp;Projects!$A$22,"")&amp;IF(AND(Projects!$G$23="Yes",Projects!$C$23=S$3),", "&amp;Projects!$A$23,"")&amp;IF(AND(Projects!$G$24="Yes",Projects!$C$24=S$3),", "&amp;Projects!$A$24,"")&amp;IF(AND(Projects!$G$25="Yes",Projects!$C$25=S$3),", "&amp;Projects!$A$25,"")&amp;IF(AND(Projects!$G$26="Yes",Projects!$C$26=S$3),", "&amp;Projects!$A$26,"")&amp;IF(AND(Projects!$G$27="Yes",Projects!$C$27=S$3),", "&amp;Projects!$A$27,"")&amp;IF(AND(Projects!$G$28="Yes",Projects!$C$28=S$3),", "&amp;Projects!$A$28,"")&amp;IF(AND(Projects!$G$29="Yes",Projects!$C$29=S$3),", "&amp;Projects!$A$29,"")&amp;IF(AND(Projects!$G$30="Yes",Projects!$C$30=S$3),", "&amp;Projects!$A$30,"")&amp;IF(AND(Projects!$G$31="Yes",Projects!$C$31=S$3),", "&amp;Projects!$A$31,"")&amp;IF(AND(Projects!$G$32="Yes",Projects!$C$32=S$3),", "&amp;Projects!$A$32,"")&amp;IF(AND(Projects!$G$33="Yes",Projects!$C$33=S$3),", "&amp;Projects!$A$33,"")&amp;IF(AND(Projects!$G$34="Yes",Projects!$C$34=S$3),", "&amp;Projects!$A$34,"")&amp;IF(AND(Projects!$G$35="Yes",Projects!$C$35=S$3),", "&amp;Projects!$A$35,"")&amp;IF(AND(Projects!$G$36="Yes",Projects!$C$36=S$3),", "&amp;Projects!$A$36,"")&amp;IF(AND(Projects!$G$37="Yes",Projects!$C$37=S$3),", "&amp;Projects!$A$37,"")&amp;IF(AND(Projects!$G$38="Yes",Projects!$C$38=S$3),", "&amp;Projects!$A$38,"")&amp;IF(AND(Projects!$G$39="Yes",Projects!$C$39=S$3),", "&amp;Projects!$A$39,"")&amp;IF(AND(Projects!$G$40="Yes",Projects!$C$40=S$3),", "&amp;Projects!$A$40,"")&amp;IF(AND(Projects!$G$41="Yes",Projects!$C$41=S$3),", "&amp;Projects!$A$41,"")&amp;IF(AND(Projects!$G$42="Yes",Projects!$C$42=S$3),", "&amp;Projects!$A$42,"")&amp;IF(AND(Projects!$G$43="Yes",Projects!$C$43=S$3),", "&amp;Projects!$A$43,"")&amp;IF(AND(Projects!$G$44="Yes",Projects!$C$44=S$3),", "&amp;Projects!$A$44,"")&amp;IF(AND(Projects!$G$45="Yes",Projects!$C$45=S$3),", "&amp;Projects!$A$45,"")&amp;IF(AND(Projects!$G$46="Yes",Projects!$C$46=S$3),", "&amp;Projects!$A$46,""),3,10000)</f>
        <v>Riverton 75</v>
      </c>
      <c r="T6" s="16" t="str">
        <f aca="false">MID(IF(AND(Projects!$G$2="Yes",Projects!$C$2=T$3),", "&amp;Projects!$A$2,"")&amp;IF(AND(Projects!$G$3="Yes",Projects!$C$3=T$3),", "&amp;Projects!$A$3,"")&amp;IF(AND(Projects!$G$4="Yes",Projects!$C$4=T$3),", "&amp;Projects!$A$4,"")&amp;IF(AND(Projects!$G$5="Yes",Projects!$C$5=T$3),", "&amp;Projects!$A$5,"")&amp;IF(AND(Projects!$G$6="Yes",Projects!$C$6=T$3),", "&amp;Projects!$A$6,"")&amp;IF(AND(Projects!$G$7="Yes",Projects!$C$7=T$3),", "&amp;Projects!$A$7,"")&amp;IF(AND(Projects!$G$8="Yes",Projects!$C$8=T$3),", "&amp;Projects!$A$8,"")&amp;IF(AND(Projects!$G$9="Yes",Projects!$C$9=T$3),", "&amp;Projects!$A$9,"")&amp;IF(AND(Projects!$G$10="Yes",Projects!$C$10=T$3),", "&amp;Projects!$A$10,"")&amp;IF(AND(Projects!$G$11="Yes",Projects!$C$11=T$3),", "&amp;Projects!$A$11,"")&amp;IF(AND(Projects!$G$12="Yes",Projects!$C$12=T$3),", "&amp;Projects!$A$12,"")&amp;IF(AND(Projects!$G$13="Yes",Projects!$C$13=T$3),", "&amp;Projects!$A$13,"")&amp;IF(AND(Projects!$G$14="Yes",Projects!$C$14=T$3),", "&amp;Projects!$A$14,"")&amp;IF(AND(Projects!$G$15="Yes",Projects!$C$15=T$3),", "&amp;Projects!$A$15,"")&amp;IF(AND(Projects!$G$16="Yes",Projects!$C$16=T$3),", "&amp;Projects!$A$16,"")&amp;IF(AND(Projects!$G$17="Yes",Projects!$C$17=T$3),", "&amp;Projects!$A$17,"")&amp;IF(AND(Projects!$G$18="Yes",Projects!$C$18=T$3),", "&amp;Projects!$A$18,"")&amp;IF(AND(Projects!$G$19="Yes",Projects!$C$19=T$3),", "&amp;Projects!$A$19,"")&amp;IF(AND(Projects!$G$20="Yes",Projects!$C$20=T$3),", "&amp;Projects!$A$20,"")&amp;IF(AND(Projects!$G$21="Yes",Projects!$C$21=T$3),", "&amp;Projects!$A$21,"")&amp;IF(AND(Projects!$G$22="Yes",Projects!$C$22=T$3),", "&amp;Projects!$A$22,"")&amp;IF(AND(Projects!$G$23="Yes",Projects!$C$23=T$3),", "&amp;Projects!$A$23,"")&amp;IF(AND(Projects!$G$24="Yes",Projects!$C$24=T$3),", "&amp;Projects!$A$24,"")&amp;IF(AND(Projects!$G$25="Yes",Projects!$C$25=T$3),", "&amp;Projects!$A$25,"")&amp;IF(AND(Projects!$G$26="Yes",Projects!$C$26=T$3),", "&amp;Projects!$A$26,"")&amp;IF(AND(Projects!$G$27="Yes",Projects!$C$27=T$3),", "&amp;Projects!$A$27,"")&amp;IF(AND(Projects!$G$28="Yes",Projects!$C$28=T$3),", "&amp;Projects!$A$28,"")&amp;IF(AND(Projects!$G$29="Yes",Projects!$C$29=T$3),", "&amp;Projects!$A$29,"")&amp;IF(AND(Projects!$G$30="Yes",Projects!$C$30=T$3),", "&amp;Projects!$A$30,"")&amp;IF(AND(Projects!$G$31="Yes",Projects!$C$31=T$3),", "&amp;Projects!$A$31,"")&amp;IF(AND(Projects!$G$32="Yes",Projects!$C$32=T$3),", "&amp;Projects!$A$32,"")&amp;IF(AND(Projects!$G$33="Yes",Projects!$C$33=T$3),", "&amp;Projects!$A$33,"")&amp;IF(AND(Projects!$G$34="Yes",Projects!$C$34=T$3),", "&amp;Projects!$A$34,"")&amp;IF(AND(Projects!$G$35="Yes",Projects!$C$35=T$3),", "&amp;Projects!$A$35,"")&amp;IF(AND(Projects!$G$36="Yes",Projects!$C$36=T$3),", "&amp;Projects!$A$36,"")&amp;IF(AND(Projects!$G$37="Yes",Projects!$C$37=T$3),", "&amp;Projects!$A$37,"")&amp;IF(AND(Projects!$G$38="Yes",Projects!$C$38=T$3),", "&amp;Projects!$A$38,"")&amp;IF(AND(Projects!$G$39="Yes",Projects!$C$39=T$3),", "&amp;Projects!$A$39,"")&amp;IF(AND(Projects!$G$40="Yes",Projects!$C$40=T$3),", "&amp;Projects!$A$40,"")&amp;IF(AND(Projects!$G$41="Yes",Projects!$C$41=T$3),", "&amp;Projects!$A$41,"")&amp;IF(AND(Projects!$G$42="Yes",Projects!$C$42=T$3),", "&amp;Projects!$A$42,"")&amp;IF(AND(Projects!$G$43="Yes",Projects!$C$43=T$3),", "&amp;Projects!$A$43,"")&amp;IF(AND(Projects!$G$44="Yes",Projects!$C$44=T$3),", "&amp;Projects!$A$44,"")&amp;IF(AND(Projects!$G$45="Yes",Projects!$C$45=T$3),", "&amp;Projects!$A$45,"")&amp;IF(AND(Projects!$G$46="Yes",Projects!$C$46=T$3),", "&amp;Projects!$A$46,""),3,10000)</f>
        <v>Moorpark</v>
      </c>
      <c r="U6" s="16" t="str">
        <f aca="false">MID(IF(AND(Projects!$G$2="Yes",Projects!$C$2=U$3),", "&amp;Projects!$A$2,"")&amp;IF(AND(Projects!$G$3="Yes",Projects!$C$3=U$3),", "&amp;Projects!$A$3,"")&amp;IF(AND(Projects!$G$4="Yes",Projects!$C$4=U$3),", "&amp;Projects!$A$4,"")&amp;IF(AND(Projects!$G$5="Yes",Projects!$C$5=U$3),", "&amp;Projects!$A$5,"")&amp;IF(AND(Projects!$G$6="Yes",Projects!$C$6=U$3),", "&amp;Projects!$A$6,"")&amp;IF(AND(Projects!$G$7="Yes",Projects!$C$7=U$3),", "&amp;Projects!$A$7,"")&amp;IF(AND(Projects!$G$8="Yes",Projects!$C$8=U$3),", "&amp;Projects!$A$8,"")&amp;IF(AND(Projects!$G$9="Yes",Projects!$C$9=U$3),", "&amp;Projects!$A$9,"")&amp;IF(AND(Projects!$G$10="Yes",Projects!$C$10=U$3),", "&amp;Projects!$A$10,"")&amp;IF(AND(Projects!$G$11="Yes",Projects!$C$11=U$3),", "&amp;Projects!$A$11,"")&amp;IF(AND(Projects!$G$12="Yes",Projects!$C$12=U$3),", "&amp;Projects!$A$12,"")&amp;IF(AND(Projects!$G$13="Yes",Projects!$C$13=U$3),", "&amp;Projects!$A$13,"")&amp;IF(AND(Projects!$G$14="Yes",Projects!$C$14=U$3),", "&amp;Projects!$A$14,"")&amp;IF(AND(Projects!$G$15="Yes",Projects!$C$15=U$3),", "&amp;Projects!$A$15,"")&amp;IF(AND(Projects!$G$16="Yes",Projects!$C$16=U$3),", "&amp;Projects!$A$16,"")&amp;IF(AND(Projects!$G$17="Yes",Projects!$C$17=U$3),", "&amp;Projects!$A$17,"")&amp;IF(AND(Projects!$G$18="Yes",Projects!$C$18=U$3),", "&amp;Projects!$A$18,"")&amp;IF(AND(Projects!$G$19="Yes",Projects!$C$19=U$3),", "&amp;Projects!$A$19,"")&amp;IF(AND(Projects!$G$20="Yes",Projects!$C$20=U$3),", "&amp;Projects!$A$20,"")&amp;IF(AND(Projects!$G$21="Yes",Projects!$C$21=U$3),", "&amp;Projects!$A$21,"")&amp;IF(AND(Projects!$G$22="Yes",Projects!$C$22=U$3),", "&amp;Projects!$A$22,"")&amp;IF(AND(Projects!$G$23="Yes",Projects!$C$23=U$3),", "&amp;Projects!$A$23,"")&amp;IF(AND(Projects!$G$24="Yes",Projects!$C$24=U$3),", "&amp;Projects!$A$24,"")&amp;IF(AND(Projects!$G$25="Yes",Projects!$C$25=U$3),", "&amp;Projects!$A$25,"")&amp;IF(AND(Projects!$G$26="Yes",Projects!$C$26=U$3),", "&amp;Projects!$A$26,"")&amp;IF(AND(Projects!$G$27="Yes",Projects!$C$27=U$3),", "&amp;Projects!$A$27,"")&amp;IF(AND(Projects!$G$28="Yes",Projects!$C$28=U$3),", "&amp;Projects!$A$28,"")&amp;IF(AND(Projects!$G$29="Yes",Projects!$C$29=U$3),", "&amp;Projects!$A$29,"")&amp;IF(AND(Projects!$G$30="Yes",Projects!$C$30=U$3),", "&amp;Projects!$A$30,"")&amp;IF(AND(Projects!$G$31="Yes",Projects!$C$31=U$3),", "&amp;Projects!$A$31,"")&amp;IF(AND(Projects!$G$32="Yes",Projects!$C$32=U$3),", "&amp;Projects!$A$32,"")&amp;IF(AND(Projects!$G$33="Yes",Projects!$C$33=U$3),", "&amp;Projects!$A$33,"")&amp;IF(AND(Projects!$G$34="Yes",Projects!$C$34=U$3),", "&amp;Projects!$A$34,"")&amp;IF(AND(Projects!$G$35="Yes",Projects!$C$35=U$3),", "&amp;Projects!$A$35,"")&amp;IF(AND(Projects!$G$36="Yes",Projects!$C$36=U$3),", "&amp;Projects!$A$36,"")&amp;IF(AND(Projects!$G$37="Yes",Projects!$C$37=U$3),", "&amp;Projects!$A$37,"")&amp;IF(AND(Projects!$G$38="Yes",Projects!$C$38=U$3),", "&amp;Projects!$A$38,"")&amp;IF(AND(Projects!$G$39="Yes",Projects!$C$39=U$3),", "&amp;Projects!$A$39,"")&amp;IF(AND(Projects!$G$40="Yes",Projects!$C$40=U$3),", "&amp;Projects!$A$40,"")&amp;IF(AND(Projects!$G$41="Yes",Projects!$C$41=U$3),", "&amp;Projects!$A$41,"")&amp;IF(AND(Projects!$G$42="Yes",Projects!$C$42=U$3),", "&amp;Projects!$A$42,"")&amp;IF(AND(Projects!$G$43="Yes",Projects!$C$43=U$3),", "&amp;Projects!$A$43,"")&amp;IF(AND(Projects!$G$44="Yes",Projects!$C$44=U$3),", "&amp;Projects!$A$44,"")&amp;IF(AND(Projects!$G$45="Yes",Projects!$C$45=U$3),", "&amp;Projects!$A$45,"")&amp;IF(AND(Projects!$G$46="Yes",Projects!$C$46=U$3),", "&amp;Projects!$A$46,""),3,10000)</f>
        <v/>
      </c>
      <c r="V6" s="16" t="str">
        <f aca="false">MID(IF(AND(Projects!$G$2="Yes",Projects!$C$2=V$3),", "&amp;Projects!$A$2,"")&amp;IF(AND(Projects!$G$3="Yes",Projects!$C$3=V$3),", "&amp;Projects!$A$3,"")&amp;IF(AND(Projects!$G$4="Yes",Projects!$C$4=V$3),", "&amp;Projects!$A$4,"")&amp;IF(AND(Projects!$G$5="Yes",Projects!$C$5=V$3),", "&amp;Projects!$A$5,"")&amp;IF(AND(Projects!$G$6="Yes",Projects!$C$6=V$3),", "&amp;Projects!$A$6,"")&amp;IF(AND(Projects!$G$7="Yes",Projects!$C$7=V$3),", "&amp;Projects!$A$7,"")&amp;IF(AND(Projects!$G$8="Yes",Projects!$C$8=V$3),", "&amp;Projects!$A$8,"")&amp;IF(AND(Projects!$G$9="Yes",Projects!$C$9=V$3),", "&amp;Projects!$A$9,"")&amp;IF(AND(Projects!$G$10="Yes",Projects!$C$10=V$3),", "&amp;Projects!$A$10,"")&amp;IF(AND(Projects!$G$11="Yes",Projects!$C$11=V$3),", "&amp;Projects!$A$11,"")&amp;IF(AND(Projects!$G$12="Yes",Projects!$C$12=V$3),", "&amp;Projects!$A$12,"")&amp;IF(AND(Projects!$G$13="Yes",Projects!$C$13=V$3),", "&amp;Projects!$A$13,"")&amp;IF(AND(Projects!$G$14="Yes",Projects!$C$14=V$3),", "&amp;Projects!$A$14,"")&amp;IF(AND(Projects!$G$15="Yes",Projects!$C$15=V$3),", "&amp;Projects!$A$15,"")&amp;IF(AND(Projects!$G$16="Yes",Projects!$C$16=V$3),", "&amp;Projects!$A$16,"")&amp;IF(AND(Projects!$G$17="Yes",Projects!$C$17=V$3),", "&amp;Projects!$A$17,"")&amp;IF(AND(Projects!$G$18="Yes",Projects!$C$18=V$3),", "&amp;Projects!$A$18,"")&amp;IF(AND(Projects!$G$19="Yes",Projects!$C$19=V$3),", "&amp;Projects!$A$19,"")&amp;IF(AND(Projects!$G$20="Yes",Projects!$C$20=V$3),", "&amp;Projects!$A$20,"")&amp;IF(AND(Projects!$G$21="Yes",Projects!$C$21=V$3),", "&amp;Projects!$A$21,"")&amp;IF(AND(Projects!$G$22="Yes",Projects!$C$22=V$3),", "&amp;Projects!$A$22,"")&amp;IF(AND(Projects!$G$23="Yes",Projects!$C$23=V$3),", "&amp;Projects!$A$23,"")&amp;IF(AND(Projects!$G$24="Yes",Projects!$C$24=V$3),", "&amp;Projects!$A$24,"")&amp;IF(AND(Projects!$G$25="Yes",Projects!$C$25=V$3),", "&amp;Projects!$A$25,"")&amp;IF(AND(Projects!$G$26="Yes",Projects!$C$26=V$3),", "&amp;Projects!$A$26,"")&amp;IF(AND(Projects!$G$27="Yes",Projects!$C$27=V$3),", "&amp;Projects!$A$27,"")&amp;IF(AND(Projects!$G$28="Yes",Projects!$C$28=V$3),", "&amp;Projects!$A$28,"")&amp;IF(AND(Projects!$G$29="Yes",Projects!$C$29=V$3),", "&amp;Projects!$A$29,"")&amp;IF(AND(Projects!$G$30="Yes",Projects!$C$30=V$3),", "&amp;Projects!$A$30,"")&amp;IF(AND(Projects!$G$31="Yes",Projects!$C$31=V$3),", "&amp;Projects!$A$31,"")&amp;IF(AND(Projects!$G$32="Yes",Projects!$C$32=V$3),", "&amp;Projects!$A$32,"")&amp;IF(AND(Projects!$G$33="Yes",Projects!$C$33=V$3),", "&amp;Projects!$A$33,"")&amp;IF(AND(Projects!$G$34="Yes",Projects!$C$34=V$3),", "&amp;Projects!$A$34,"")&amp;IF(AND(Projects!$G$35="Yes",Projects!$C$35=V$3),", "&amp;Projects!$A$35,"")&amp;IF(AND(Projects!$G$36="Yes",Projects!$C$36=V$3),", "&amp;Projects!$A$36,"")&amp;IF(AND(Projects!$G$37="Yes",Projects!$C$37=V$3),", "&amp;Projects!$A$37,"")&amp;IF(AND(Projects!$G$38="Yes",Projects!$C$38=V$3),", "&amp;Projects!$A$38,"")&amp;IF(AND(Projects!$G$39="Yes",Projects!$C$39=V$3),", "&amp;Projects!$A$39,"")&amp;IF(AND(Projects!$G$40="Yes",Projects!$C$40=V$3),", "&amp;Projects!$A$40,"")&amp;IF(AND(Projects!$G$41="Yes",Projects!$C$41=V$3),", "&amp;Projects!$A$41,"")&amp;IF(AND(Projects!$G$42="Yes",Projects!$C$42=V$3),", "&amp;Projects!$A$42,"")&amp;IF(AND(Projects!$G$43="Yes",Projects!$C$43=V$3),", "&amp;Projects!$A$43,"")&amp;IF(AND(Projects!$G$44="Yes",Projects!$C$44=V$3),", "&amp;Projects!$A$44,"")&amp;IF(AND(Projects!$G$45="Yes",Projects!$C$45=V$3),", "&amp;Projects!$A$45,"")&amp;IF(AND(Projects!$G$46="Yes",Projects!$C$46=V$3),", "&amp;Projects!$A$46,""),3,10000)</f>
        <v/>
      </c>
      <c r="W6" s="16" t="str">
        <f aca="false">MID(IF(AND(Projects!$G$2="Yes",Projects!$C$2=W$3),", "&amp;Projects!$A$2,"")&amp;IF(AND(Projects!$G$3="Yes",Projects!$C$3=W$3),", "&amp;Projects!$A$3,"")&amp;IF(AND(Projects!$G$4="Yes",Projects!$C$4=W$3),", "&amp;Projects!$A$4,"")&amp;IF(AND(Projects!$G$5="Yes",Projects!$C$5=W$3),", "&amp;Projects!$A$5,"")&amp;IF(AND(Projects!$G$6="Yes",Projects!$C$6=W$3),", "&amp;Projects!$A$6,"")&amp;IF(AND(Projects!$G$7="Yes",Projects!$C$7=W$3),", "&amp;Projects!$A$7,"")&amp;IF(AND(Projects!$G$8="Yes",Projects!$C$8=W$3),", "&amp;Projects!$A$8,"")&amp;IF(AND(Projects!$G$9="Yes",Projects!$C$9=W$3),", "&amp;Projects!$A$9,"")&amp;IF(AND(Projects!$G$10="Yes",Projects!$C$10=W$3),", "&amp;Projects!$A$10,"")&amp;IF(AND(Projects!$G$11="Yes",Projects!$C$11=W$3),", "&amp;Projects!$A$11,"")&amp;IF(AND(Projects!$G$12="Yes",Projects!$C$12=W$3),", "&amp;Projects!$A$12,"")&amp;IF(AND(Projects!$G$13="Yes",Projects!$C$13=W$3),", "&amp;Projects!$A$13,"")&amp;IF(AND(Projects!$G$14="Yes",Projects!$C$14=W$3),", "&amp;Projects!$A$14,"")&amp;IF(AND(Projects!$G$15="Yes",Projects!$C$15=W$3),", "&amp;Projects!$A$15,"")&amp;IF(AND(Projects!$G$16="Yes",Projects!$C$16=W$3),", "&amp;Projects!$A$16,"")&amp;IF(AND(Projects!$G$17="Yes",Projects!$C$17=W$3),", "&amp;Projects!$A$17,"")&amp;IF(AND(Projects!$G$18="Yes",Projects!$C$18=W$3),", "&amp;Projects!$A$18,"")&amp;IF(AND(Projects!$G$19="Yes",Projects!$C$19=W$3),", "&amp;Projects!$A$19,"")&amp;IF(AND(Projects!$G$20="Yes",Projects!$C$20=W$3),", "&amp;Projects!$A$20,"")&amp;IF(AND(Projects!$G$21="Yes",Projects!$C$21=W$3),", "&amp;Projects!$A$21,"")&amp;IF(AND(Projects!$G$22="Yes",Projects!$C$22=W$3),", "&amp;Projects!$A$22,"")&amp;IF(AND(Projects!$G$23="Yes",Projects!$C$23=W$3),", "&amp;Projects!$A$23,"")&amp;IF(AND(Projects!$G$24="Yes",Projects!$C$24=W$3),", "&amp;Projects!$A$24,"")&amp;IF(AND(Projects!$G$25="Yes",Projects!$C$25=W$3),", "&amp;Projects!$A$25,"")&amp;IF(AND(Projects!$G$26="Yes",Projects!$C$26=W$3),", "&amp;Projects!$A$26,"")&amp;IF(AND(Projects!$G$27="Yes",Projects!$C$27=W$3),", "&amp;Projects!$A$27,"")&amp;IF(AND(Projects!$G$28="Yes",Projects!$C$28=W$3),", "&amp;Projects!$A$28,"")&amp;IF(AND(Projects!$G$29="Yes",Projects!$C$29=W$3),", "&amp;Projects!$A$29,"")&amp;IF(AND(Projects!$G$30="Yes",Projects!$C$30=W$3),", "&amp;Projects!$A$30,"")&amp;IF(AND(Projects!$G$31="Yes",Projects!$C$31=W$3),", "&amp;Projects!$A$31,"")&amp;IF(AND(Projects!$G$32="Yes",Projects!$C$32=W$3),", "&amp;Projects!$A$32,"")&amp;IF(AND(Projects!$G$33="Yes",Projects!$C$33=W$3),", "&amp;Projects!$A$33,"")&amp;IF(AND(Projects!$G$34="Yes",Projects!$C$34=W$3),", "&amp;Projects!$A$34,"")&amp;IF(AND(Projects!$G$35="Yes",Projects!$C$35=W$3),", "&amp;Projects!$A$35,"")&amp;IF(AND(Projects!$G$36="Yes",Projects!$C$36=W$3),", "&amp;Projects!$A$36,"")&amp;IF(AND(Projects!$G$37="Yes",Projects!$C$37=W$3),", "&amp;Projects!$A$37,"")&amp;IF(AND(Projects!$G$38="Yes",Projects!$C$38=W$3),", "&amp;Projects!$A$38,"")&amp;IF(AND(Projects!$G$39="Yes",Projects!$C$39=W$3),", "&amp;Projects!$A$39,"")&amp;IF(AND(Projects!$G$40="Yes",Projects!$C$40=W$3),", "&amp;Projects!$A$40,"")&amp;IF(AND(Projects!$G$41="Yes",Projects!$C$41=W$3),", "&amp;Projects!$A$41,"")&amp;IF(AND(Projects!$G$42="Yes",Projects!$C$42=W$3),", "&amp;Projects!$A$42,"")&amp;IF(AND(Projects!$G$43="Yes",Projects!$C$43=W$3),", "&amp;Projects!$A$43,"")&amp;IF(AND(Projects!$G$44="Yes",Projects!$C$44=W$3),", "&amp;Projects!$A$44,"")&amp;IF(AND(Projects!$G$45="Yes",Projects!$C$45=W$3),", "&amp;Projects!$A$45,"")&amp;IF(AND(Projects!$G$46="Yes",Projects!$C$46=W$3),", "&amp;Projects!$A$46,""),3,10000)</f>
        <v/>
      </c>
      <c r="X6" s="16" t="str">
        <f aca="false">MID(IF(AND(Projects!$G$2="Yes",Projects!$C$2=X$3),", "&amp;Projects!$A$2,"")&amp;IF(AND(Projects!$G$3="Yes",Projects!$C$3=X$3),", "&amp;Projects!$A$3,"")&amp;IF(AND(Projects!$G$4="Yes",Projects!$C$4=X$3),", "&amp;Projects!$A$4,"")&amp;IF(AND(Projects!$G$5="Yes",Projects!$C$5=X$3),", "&amp;Projects!$A$5,"")&amp;IF(AND(Projects!$G$6="Yes",Projects!$C$6=X$3),", "&amp;Projects!$A$6,"")&amp;IF(AND(Projects!$G$7="Yes",Projects!$C$7=X$3),", "&amp;Projects!$A$7,"")&amp;IF(AND(Projects!$G$8="Yes",Projects!$C$8=X$3),", "&amp;Projects!$A$8,"")&amp;IF(AND(Projects!$G$9="Yes",Projects!$C$9=X$3),", "&amp;Projects!$A$9,"")&amp;IF(AND(Projects!$G$10="Yes",Projects!$C$10=X$3),", "&amp;Projects!$A$10,"")&amp;IF(AND(Projects!$G$11="Yes",Projects!$C$11=X$3),", "&amp;Projects!$A$11,"")&amp;IF(AND(Projects!$G$12="Yes",Projects!$C$12=X$3),", "&amp;Projects!$A$12,"")&amp;IF(AND(Projects!$G$13="Yes",Projects!$C$13=X$3),", "&amp;Projects!$A$13,"")&amp;IF(AND(Projects!$G$14="Yes",Projects!$C$14=X$3),", "&amp;Projects!$A$14,"")&amp;IF(AND(Projects!$G$15="Yes",Projects!$C$15=X$3),", "&amp;Projects!$A$15,"")&amp;IF(AND(Projects!$G$16="Yes",Projects!$C$16=X$3),", "&amp;Projects!$A$16,"")&amp;IF(AND(Projects!$G$17="Yes",Projects!$C$17=X$3),", "&amp;Projects!$A$17,"")&amp;IF(AND(Projects!$G$18="Yes",Projects!$C$18=X$3),", "&amp;Projects!$A$18,"")&amp;IF(AND(Projects!$G$19="Yes",Projects!$C$19=X$3),", "&amp;Projects!$A$19,"")&amp;IF(AND(Projects!$G$20="Yes",Projects!$C$20=X$3),", "&amp;Projects!$A$20,"")&amp;IF(AND(Projects!$G$21="Yes",Projects!$C$21=X$3),", "&amp;Projects!$A$21,"")&amp;IF(AND(Projects!$G$22="Yes",Projects!$C$22=X$3),", "&amp;Projects!$A$22,"")&amp;IF(AND(Projects!$G$23="Yes",Projects!$C$23=X$3),", "&amp;Projects!$A$23,"")&amp;IF(AND(Projects!$G$24="Yes",Projects!$C$24=X$3),", "&amp;Projects!$A$24,"")&amp;IF(AND(Projects!$G$25="Yes",Projects!$C$25=X$3),", "&amp;Projects!$A$25,"")&amp;IF(AND(Projects!$G$26="Yes",Projects!$C$26=X$3),", "&amp;Projects!$A$26,"")&amp;IF(AND(Projects!$G$27="Yes",Projects!$C$27=X$3),", "&amp;Projects!$A$27,"")&amp;IF(AND(Projects!$G$28="Yes",Projects!$C$28=X$3),", "&amp;Projects!$A$28,"")&amp;IF(AND(Projects!$G$29="Yes",Projects!$C$29=X$3),", "&amp;Projects!$A$29,"")&amp;IF(AND(Projects!$G$30="Yes",Projects!$C$30=X$3),", "&amp;Projects!$A$30,"")&amp;IF(AND(Projects!$G$31="Yes",Projects!$C$31=X$3),", "&amp;Projects!$A$31,"")&amp;IF(AND(Projects!$G$32="Yes",Projects!$C$32=X$3),", "&amp;Projects!$A$32,"")&amp;IF(AND(Projects!$G$33="Yes",Projects!$C$33=X$3),", "&amp;Projects!$A$33,"")&amp;IF(AND(Projects!$G$34="Yes",Projects!$C$34=X$3),", "&amp;Projects!$A$34,"")&amp;IF(AND(Projects!$G$35="Yes",Projects!$C$35=X$3),", "&amp;Projects!$A$35,"")&amp;IF(AND(Projects!$G$36="Yes",Projects!$C$36=X$3),", "&amp;Projects!$A$36,"")&amp;IF(AND(Projects!$G$37="Yes",Projects!$C$37=X$3),", "&amp;Projects!$A$37,"")&amp;IF(AND(Projects!$G$38="Yes",Projects!$C$38=X$3),", "&amp;Projects!$A$38,"")&amp;IF(AND(Projects!$G$39="Yes",Projects!$C$39=X$3),", "&amp;Projects!$A$39,"")&amp;IF(AND(Projects!$G$40="Yes",Projects!$C$40=X$3),", "&amp;Projects!$A$40,"")&amp;IF(AND(Projects!$G$41="Yes",Projects!$C$41=X$3),", "&amp;Projects!$A$41,"")&amp;IF(AND(Projects!$G$42="Yes",Projects!$C$42=X$3),", "&amp;Projects!$A$42,"")&amp;IF(AND(Projects!$G$43="Yes",Projects!$C$43=X$3),", "&amp;Projects!$A$43,"")&amp;IF(AND(Projects!$G$44="Yes",Projects!$C$44=X$3),", "&amp;Projects!$A$44,"")&amp;IF(AND(Projects!$G$45="Yes",Projects!$C$45=X$3),", "&amp;Projects!$A$45,"")&amp;IF(AND(Projects!$G$46="Yes",Projects!$C$46=X$3),", "&amp;Projects!$A$46,""),3,10000)</f>
        <v>Beverly (BD-04)</v>
      </c>
      <c r="Y6" s="16" t="str">
        <f aca="false">MID(IF(AND(Projects!$G$2="Yes",Projects!$C$2=Y$3),", "&amp;Projects!$A$2,"")&amp;IF(AND(Projects!$G$3="Yes",Projects!$C$3=Y$3),", "&amp;Projects!$A$3,"")&amp;IF(AND(Projects!$G$4="Yes",Projects!$C$4=Y$3),", "&amp;Projects!$A$4,"")&amp;IF(AND(Projects!$G$5="Yes",Projects!$C$5=Y$3),", "&amp;Projects!$A$5,"")&amp;IF(AND(Projects!$G$6="Yes",Projects!$C$6=Y$3),", "&amp;Projects!$A$6,"")&amp;IF(AND(Projects!$G$7="Yes",Projects!$C$7=Y$3),", "&amp;Projects!$A$7,"")&amp;IF(AND(Projects!$G$8="Yes",Projects!$C$8=Y$3),", "&amp;Projects!$A$8,"")&amp;IF(AND(Projects!$G$9="Yes",Projects!$C$9=Y$3),", "&amp;Projects!$A$9,"")&amp;IF(AND(Projects!$G$10="Yes",Projects!$C$10=Y$3),", "&amp;Projects!$A$10,"")&amp;IF(AND(Projects!$G$11="Yes",Projects!$C$11=Y$3),", "&amp;Projects!$A$11,"")&amp;IF(AND(Projects!$G$12="Yes",Projects!$C$12=Y$3),", "&amp;Projects!$A$12,"")&amp;IF(AND(Projects!$G$13="Yes",Projects!$C$13=Y$3),", "&amp;Projects!$A$13,"")&amp;IF(AND(Projects!$G$14="Yes",Projects!$C$14=Y$3),", "&amp;Projects!$A$14,"")&amp;IF(AND(Projects!$G$15="Yes",Projects!$C$15=Y$3),", "&amp;Projects!$A$15,"")&amp;IF(AND(Projects!$G$16="Yes",Projects!$C$16=Y$3),", "&amp;Projects!$A$16,"")&amp;IF(AND(Projects!$G$17="Yes",Projects!$C$17=Y$3),", "&amp;Projects!$A$17,"")&amp;IF(AND(Projects!$G$18="Yes",Projects!$C$18=Y$3),", "&amp;Projects!$A$18,"")&amp;IF(AND(Projects!$G$19="Yes",Projects!$C$19=Y$3),", "&amp;Projects!$A$19,"")&amp;IF(AND(Projects!$G$20="Yes",Projects!$C$20=Y$3),", "&amp;Projects!$A$20,"")&amp;IF(AND(Projects!$G$21="Yes",Projects!$C$21=Y$3),", "&amp;Projects!$A$21,"")&amp;IF(AND(Projects!$G$22="Yes",Projects!$C$22=Y$3),", "&amp;Projects!$A$22,"")&amp;IF(AND(Projects!$G$23="Yes",Projects!$C$23=Y$3),", "&amp;Projects!$A$23,"")&amp;IF(AND(Projects!$G$24="Yes",Projects!$C$24=Y$3),", "&amp;Projects!$A$24,"")&amp;IF(AND(Projects!$G$25="Yes",Projects!$C$25=Y$3),", "&amp;Projects!$A$25,"")&amp;IF(AND(Projects!$G$26="Yes",Projects!$C$26=Y$3),", "&amp;Projects!$A$26,"")&amp;IF(AND(Projects!$G$27="Yes",Projects!$C$27=Y$3),", "&amp;Projects!$A$27,"")&amp;IF(AND(Projects!$G$28="Yes",Projects!$C$28=Y$3),", "&amp;Projects!$A$28,"")&amp;IF(AND(Projects!$G$29="Yes",Projects!$C$29=Y$3),", "&amp;Projects!$A$29,"")&amp;IF(AND(Projects!$G$30="Yes",Projects!$C$30=Y$3),", "&amp;Projects!$A$30,"")&amp;IF(AND(Projects!$G$31="Yes",Projects!$C$31=Y$3),", "&amp;Projects!$A$31,"")&amp;IF(AND(Projects!$G$32="Yes",Projects!$C$32=Y$3),", "&amp;Projects!$A$32,"")&amp;IF(AND(Projects!$G$33="Yes",Projects!$C$33=Y$3),", "&amp;Projects!$A$33,"")&amp;IF(AND(Projects!$G$34="Yes",Projects!$C$34=Y$3),", "&amp;Projects!$A$34,"")&amp;IF(AND(Projects!$G$35="Yes",Projects!$C$35=Y$3),", "&amp;Projects!$A$35,"")&amp;IF(AND(Projects!$G$36="Yes",Projects!$C$36=Y$3),", "&amp;Projects!$A$36,"")&amp;IF(AND(Projects!$G$37="Yes",Projects!$C$37=Y$3),", "&amp;Projects!$A$37,"")&amp;IF(AND(Projects!$G$38="Yes",Projects!$C$38=Y$3),", "&amp;Projects!$A$38,"")&amp;IF(AND(Projects!$G$39="Yes",Projects!$C$39=Y$3),", "&amp;Projects!$A$39,"")&amp;IF(AND(Projects!$G$40="Yes",Projects!$C$40=Y$3),", "&amp;Projects!$A$40,"")&amp;IF(AND(Projects!$G$41="Yes",Projects!$C$41=Y$3),", "&amp;Projects!$A$41,"")&amp;IF(AND(Projects!$G$42="Yes",Projects!$C$42=Y$3),", "&amp;Projects!$A$42,"")&amp;IF(AND(Projects!$G$43="Yes",Projects!$C$43=Y$3),", "&amp;Projects!$A$43,"")&amp;IF(AND(Projects!$G$44="Yes",Projects!$C$44=Y$3),", "&amp;Projects!$A$44,"")&amp;IF(AND(Projects!$G$45="Yes",Projects!$C$45=Y$3),", "&amp;Projects!$A$45,"")&amp;IF(AND(Projects!$G$46="Yes",Projects!$C$46=Y$3),", "&amp;Projects!$A$46,""),3,10000)</f>
        <v/>
      </c>
      <c r="Z6" s="16" t="str">
        <f aca="false">MID(IF(AND(Projects!$G$2="Yes",Projects!$C$2=Z$3),", "&amp;Projects!$A$2,"")&amp;IF(AND(Projects!$G$3="Yes",Projects!$C$3=Z$3),", "&amp;Projects!$A$3,"")&amp;IF(AND(Projects!$G$4="Yes",Projects!$C$4=Z$3),", "&amp;Projects!$A$4,"")&amp;IF(AND(Projects!$G$5="Yes",Projects!$C$5=Z$3),", "&amp;Projects!$A$5,"")&amp;IF(AND(Projects!$G$6="Yes",Projects!$C$6=Z$3),", "&amp;Projects!$A$6,"")&amp;IF(AND(Projects!$G$7="Yes",Projects!$C$7=Z$3),", "&amp;Projects!$A$7,"")&amp;IF(AND(Projects!$G$8="Yes",Projects!$C$8=Z$3),", "&amp;Projects!$A$8,"")&amp;IF(AND(Projects!$G$9="Yes",Projects!$C$9=Z$3),", "&amp;Projects!$A$9,"")&amp;IF(AND(Projects!$G$10="Yes",Projects!$C$10=Z$3),", "&amp;Projects!$A$10,"")&amp;IF(AND(Projects!$G$11="Yes",Projects!$C$11=Z$3),", "&amp;Projects!$A$11,"")&amp;IF(AND(Projects!$G$12="Yes",Projects!$C$12=Z$3),", "&amp;Projects!$A$12,"")&amp;IF(AND(Projects!$G$13="Yes",Projects!$C$13=Z$3),", "&amp;Projects!$A$13,"")&amp;IF(AND(Projects!$G$14="Yes",Projects!$C$14=Z$3),", "&amp;Projects!$A$14,"")&amp;IF(AND(Projects!$G$15="Yes",Projects!$C$15=Z$3),", "&amp;Projects!$A$15,"")&amp;IF(AND(Projects!$G$16="Yes",Projects!$C$16=Z$3),", "&amp;Projects!$A$16,"")&amp;IF(AND(Projects!$G$17="Yes",Projects!$C$17=Z$3),", "&amp;Projects!$A$17,"")&amp;IF(AND(Projects!$G$18="Yes",Projects!$C$18=Z$3),", "&amp;Projects!$A$18,"")&amp;IF(AND(Projects!$G$19="Yes",Projects!$C$19=Z$3),", "&amp;Projects!$A$19,"")&amp;IF(AND(Projects!$G$20="Yes",Projects!$C$20=Z$3),", "&amp;Projects!$A$20,"")&amp;IF(AND(Projects!$G$21="Yes",Projects!$C$21=Z$3),", "&amp;Projects!$A$21,"")&amp;IF(AND(Projects!$G$22="Yes",Projects!$C$22=Z$3),", "&amp;Projects!$A$22,"")&amp;IF(AND(Projects!$G$23="Yes",Projects!$C$23=Z$3),", "&amp;Projects!$A$23,"")&amp;IF(AND(Projects!$G$24="Yes",Projects!$C$24=Z$3),", "&amp;Projects!$A$24,"")&amp;IF(AND(Projects!$G$25="Yes",Projects!$C$25=Z$3),", "&amp;Projects!$A$25,"")&amp;IF(AND(Projects!$G$26="Yes",Projects!$C$26=Z$3),", "&amp;Projects!$A$26,"")&amp;IF(AND(Projects!$G$27="Yes",Projects!$C$27=Z$3),", "&amp;Projects!$A$27,"")&amp;IF(AND(Projects!$G$28="Yes",Projects!$C$28=Z$3),", "&amp;Projects!$A$28,"")&amp;IF(AND(Projects!$G$29="Yes",Projects!$C$29=Z$3),", "&amp;Projects!$A$29,"")&amp;IF(AND(Projects!$G$30="Yes",Projects!$C$30=Z$3),", "&amp;Projects!$A$30,"")&amp;IF(AND(Projects!$G$31="Yes",Projects!$C$31=Z$3),", "&amp;Projects!$A$31,"")&amp;IF(AND(Projects!$G$32="Yes",Projects!$C$32=Z$3),", "&amp;Projects!$A$32,"")&amp;IF(AND(Projects!$G$33="Yes",Projects!$C$33=Z$3),", "&amp;Projects!$A$33,"")&amp;IF(AND(Projects!$G$34="Yes",Projects!$C$34=Z$3),", "&amp;Projects!$A$34,"")&amp;IF(AND(Projects!$G$35="Yes",Projects!$C$35=Z$3),", "&amp;Projects!$A$35,"")&amp;IF(AND(Projects!$G$36="Yes",Projects!$C$36=Z$3),", "&amp;Projects!$A$36,"")&amp;IF(AND(Projects!$G$37="Yes",Projects!$C$37=Z$3),", "&amp;Projects!$A$37,"")&amp;IF(AND(Projects!$G$38="Yes",Projects!$C$38=Z$3),", "&amp;Projects!$A$38,"")&amp;IF(AND(Projects!$G$39="Yes",Projects!$C$39=Z$3),", "&amp;Projects!$A$39,"")&amp;IF(AND(Projects!$G$40="Yes",Projects!$C$40=Z$3),", "&amp;Projects!$A$40,"")&amp;IF(AND(Projects!$G$41="Yes",Projects!$C$41=Z$3),", "&amp;Projects!$A$41,"")&amp;IF(AND(Projects!$G$42="Yes",Projects!$C$42=Z$3),", "&amp;Projects!$A$42,"")&amp;IF(AND(Projects!$G$43="Yes",Projects!$C$43=Z$3),", "&amp;Projects!$A$43,"")&amp;IF(AND(Projects!$G$44="Yes",Projects!$C$44=Z$3),", "&amp;Projects!$A$44,"")&amp;IF(AND(Projects!$G$45="Yes",Projects!$C$45=Z$3),", "&amp;Projects!$A$45,"")&amp;IF(AND(Projects!$G$46="Yes",Projects!$C$46=Z$3),", "&amp;Projects!$A$46,""),3,10000)</f>
        <v/>
      </c>
      <c r="AA6" s="16" t="str">
        <f aca="false">MID(IF(AND(Projects!$G$2="Yes",Projects!$C$2=AA$3),", "&amp;Projects!$A$2,"")&amp;IF(AND(Projects!$G$3="Yes",Projects!$C$3=AA$3),", "&amp;Projects!$A$3,"")&amp;IF(AND(Projects!$G$4="Yes",Projects!$C$4=AA$3),", "&amp;Projects!$A$4,"")&amp;IF(AND(Projects!$G$5="Yes",Projects!$C$5=AA$3),", "&amp;Projects!$A$5,"")&amp;IF(AND(Projects!$G$6="Yes",Projects!$C$6=AA$3),", "&amp;Projects!$A$6,"")&amp;IF(AND(Projects!$G$7="Yes",Projects!$C$7=AA$3),", "&amp;Projects!$A$7,"")&amp;IF(AND(Projects!$G$8="Yes",Projects!$C$8=AA$3),", "&amp;Projects!$A$8,"")&amp;IF(AND(Projects!$G$9="Yes",Projects!$C$9=AA$3),", "&amp;Projects!$A$9,"")&amp;IF(AND(Projects!$G$10="Yes",Projects!$C$10=AA$3),", "&amp;Projects!$A$10,"")&amp;IF(AND(Projects!$G$11="Yes",Projects!$C$11=AA$3),", "&amp;Projects!$A$11,"")&amp;IF(AND(Projects!$G$12="Yes",Projects!$C$12=AA$3),", "&amp;Projects!$A$12,"")&amp;IF(AND(Projects!$G$13="Yes",Projects!$C$13=AA$3),", "&amp;Projects!$A$13,"")&amp;IF(AND(Projects!$G$14="Yes",Projects!$C$14=AA$3),", "&amp;Projects!$A$14,"")&amp;IF(AND(Projects!$G$15="Yes",Projects!$C$15=AA$3),", "&amp;Projects!$A$15,"")&amp;IF(AND(Projects!$G$16="Yes",Projects!$C$16=AA$3),", "&amp;Projects!$A$16,"")&amp;IF(AND(Projects!$G$17="Yes",Projects!$C$17=AA$3),", "&amp;Projects!$A$17,"")&amp;IF(AND(Projects!$G$18="Yes",Projects!$C$18=AA$3),", "&amp;Projects!$A$18,"")&amp;IF(AND(Projects!$G$19="Yes",Projects!$C$19=AA$3),", "&amp;Projects!$A$19,"")&amp;IF(AND(Projects!$G$20="Yes",Projects!$C$20=AA$3),", "&amp;Projects!$A$20,"")&amp;IF(AND(Projects!$G$21="Yes",Projects!$C$21=AA$3),", "&amp;Projects!$A$21,"")&amp;IF(AND(Projects!$G$22="Yes",Projects!$C$22=AA$3),", "&amp;Projects!$A$22,"")&amp;IF(AND(Projects!$G$23="Yes",Projects!$C$23=AA$3),", "&amp;Projects!$A$23,"")&amp;IF(AND(Projects!$G$24="Yes",Projects!$C$24=AA$3),", "&amp;Projects!$A$24,"")&amp;IF(AND(Projects!$G$25="Yes",Projects!$C$25=AA$3),", "&amp;Projects!$A$25,"")&amp;IF(AND(Projects!$G$26="Yes",Projects!$C$26=AA$3),", "&amp;Projects!$A$26,"")&amp;IF(AND(Projects!$G$27="Yes",Projects!$C$27=AA$3),", "&amp;Projects!$A$27,"")&amp;IF(AND(Projects!$G$28="Yes",Projects!$C$28=AA$3),", "&amp;Projects!$A$28,"")&amp;IF(AND(Projects!$G$29="Yes",Projects!$C$29=AA$3),", "&amp;Projects!$A$29,"")&amp;IF(AND(Projects!$G$30="Yes",Projects!$C$30=AA$3),", "&amp;Projects!$A$30,"")&amp;IF(AND(Projects!$G$31="Yes",Projects!$C$31=AA$3),", "&amp;Projects!$A$31,"")&amp;IF(AND(Projects!$G$32="Yes",Projects!$C$32=AA$3),", "&amp;Projects!$A$32,"")&amp;IF(AND(Projects!$G$33="Yes",Projects!$C$33=AA$3),", "&amp;Projects!$A$33,"")&amp;IF(AND(Projects!$G$34="Yes",Projects!$C$34=AA$3),", "&amp;Projects!$A$34,"")&amp;IF(AND(Projects!$G$35="Yes",Projects!$C$35=AA$3),", "&amp;Projects!$A$35,"")&amp;IF(AND(Projects!$G$36="Yes",Projects!$C$36=AA$3),", "&amp;Projects!$A$36,"")&amp;IF(AND(Projects!$G$37="Yes",Projects!$C$37=AA$3),", "&amp;Projects!$A$37,"")&amp;IF(AND(Projects!$G$38="Yes",Projects!$C$38=AA$3),", "&amp;Projects!$A$38,"")&amp;IF(AND(Projects!$G$39="Yes",Projects!$C$39=AA$3),", "&amp;Projects!$A$39,"")&amp;IF(AND(Projects!$G$40="Yes",Projects!$C$40=AA$3),", "&amp;Projects!$A$40,"")&amp;IF(AND(Projects!$G$41="Yes",Projects!$C$41=AA$3),", "&amp;Projects!$A$41,"")&amp;IF(AND(Projects!$G$42="Yes",Projects!$C$42=AA$3),", "&amp;Projects!$A$42,"")&amp;IF(AND(Projects!$G$43="Yes",Projects!$C$43=AA$3),", "&amp;Projects!$A$43,"")&amp;IF(AND(Projects!$G$44="Yes",Projects!$C$44=AA$3),", "&amp;Projects!$A$44,"")&amp;IF(AND(Projects!$G$45="Yes",Projects!$C$45=AA$3),", "&amp;Projects!$A$45,"")&amp;IF(AND(Projects!$G$46="Yes",Projects!$C$46=AA$3),", "&amp;Projects!$A$46,""),3,10000)</f>
        <v/>
      </c>
      <c r="AB6" s="16" t="str">
        <f aca="false">MID(IF(AND(Projects!$G$2="Yes",Projects!$C$2=AB$3),", "&amp;Projects!$A$2,"")&amp;IF(AND(Projects!$G$3="Yes",Projects!$C$3=AB$3),", "&amp;Projects!$A$3,"")&amp;IF(AND(Projects!$G$4="Yes",Projects!$C$4=AB$3),", "&amp;Projects!$A$4,"")&amp;IF(AND(Projects!$G$5="Yes",Projects!$C$5=AB$3),", "&amp;Projects!$A$5,"")&amp;IF(AND(Projects!$G$6="Yes",Projects!$C$6=AB$3),", "&amp;Projects!$A$6,"")&amp;IF(AND(Projects!$G$7="Yes",Projects!$C$7=AB$3),", "&amp;Projects!$A$7,"")&amp;IF(AND(Projects!$G$8="Yes",Projects!$C$8=AB$3),", "&amp;Projects!$A$8,"")&amp;IF(AND(Projects!$G$9="Yes",Projects!$C$9=AB$3),", "&amp;Projects!$A$9,"")&amp;IF(AND(Projects!$G$10="Yes",Projects!$C$10=AB$3),", "&amp;Projects!$A$10,"")&amp;IF(AND(Projects!$G$11="Yes",Projects!$C$11=AB$3),", "&amp;Projects!$A$11,"")&amp;IF(AND(Projects!$G$12="Yes",Projects!$C$12=AB$3),", "&amp;Projects!$A$12,"")&amp;IF(AND(Projects!$G$13="Yes",Projects!$C$13=AB$3),", "&amp;Projects!$A$13,"")&amp;IF(AND(Projects!$G$14="Yes",Projects!$C$14=AB$3),", "&amp;Projects!$A$14,"")&amp;IF(AND(Projects!$G$15="Yes",Projects!$C$15=AB$3),", "&amp;Projects!$A$15,"")&amp;IF(AND(Projects!$G$16="Yes",Projects!$C$16=AB$3),", "&amp;Projects!$A$16,"")&amp;IF(AND(Projects!$G$17="Yes",Projects!$C$17=AB$3),", "&amp;Projects!$A$17,"")&amp;IF(AND(Projects!$G$18="Yes",Projects!$C$18=AB$3),", "&amp;Projects!$A$18,"")&amp;IF(AND(Projects!$G$19="Yes",Projects!$C$19=AB$3),", "&amp;Projects!$A$19,"")&amp;IF(AND(Projects!$G$20="Yes",Projects!$C$20=AB$3),", "&amp;Projects!$A$20,"")&amp;IF(AND(Projects!$G$21="Yes",Projects!$C$21=AB$3),", "&amp;Projects!$A$21,"")&amp;IF(AND(Projects!$G$22="Yes",Projects!$C$22=AB$3),", "&amp;Projects!$A$22,"")&amp;IF(AND(Projects!$G$23="Yes",Projects!$C$23=AB$3),", "&amp;Projects!$A$23,"")&amp;IF(AND(Projects!$G$24="Yes",Projects!$C$24=AB$3),", "&amp;Projects!$A$24,"")&amp;IF(AND(Projects!$G$25="Yes",Projects!$C$25=AB$3),", "&amp;Projects!$A$25,"")&amp;IF(AND(Projects!$G$26="Yes",Projects!$C$26=AB$3),", "&amp;Projects!$A$26,"")&amp;IF(AND(Projects!$G$27="Yes",Projects!$C$27=AB$3),", "&amp;Projects!$A$27,"")&amp;IF(AND(Projects!$G$28="Yes",Projects!$C$28=AB$3),", "&amp;Projects!$A$28,"")&amp;IF(AND(Projects!$G$29="Yes",Projects!$C$29=AB$3),", "&amp;Projects!$A$29,"")&amp;IF(AND(Projects!$G$30="Yes",Projects!$C$30=AB$3),", "&amp;Projects!$A$30,"")&amp;IF(AND(Projects!$G$31="Yes",Projects!$C$31=AB$3),", "&amp;Projects!$A$31,"")&amp;IF(AND(Projects!$G$32="Yes",Projects!$C$32=AB$3),", "&amp;Projects!$A$32,"")&amp;IF(AND(Projects!$G$33="Yes",Projects!$C$33=AB$3),", "&amp;Projects!$A$33,"")&amp;IF(AND(Projects!$G$34="Yes",Projects!$C$34=AB$3),", "&amp;Projects!$A$34,"")&amp;IF(AND(Projects!$G$35="Yes",Projects!$C$35=AB$3),", "&amp;Projects!$A$35,"")&amp;IF(AND(Projects!$G$36="Yes",Projects!$C$36=AB$3),", "&amp;Projects!$A$36,"")&amp;IF(AND(Projects!$G$37="Yes",Projects!$C$37=AB$3),", "&amp;Projects!$A$37,"")&amp;IF(AND(Projects!$G$38="Yes",Projects!$C$38=AB$3),", "&amp;Projects!$A$38,"")&amp;IF(AND(Projects!$G$39="Yes",Projects!$C$39=AB$3),", "&amp;Projects!$A$39,"")&amp;IF(AND(Projects!$G$40="Yes",Projects!$C$40=AB$3),", "&amp;Projects!$A$40,"")&amp;IF(AND(Projects!$G$41="Yes",Projects!$C$41=AB$3),", "&amp;Projects!$A$41,"")&amp;IF(AND(Projects!$G$42="Yes",Projects!$C$42=AB$3),", "&amp;Projects!$A$42,"")&amp;IF(AND(Projects!$G$43="Yes",Projects!$C$43=AB$3),", "&amp;Projects!$A$43,"")&amp;IF(AND(Projects!$G$44="Yes",Projects!$C$44=AB$3),", "&amp;Projects!$A$44,"")&amp;IF(AND(Projects!$G$45="Yes",Projects!$C$45=AB$3),", "&amp;Projects!$A$45,"")&amp;IF(AND(Projects!$G$46="Yes",Projects!$C$46=AB$3),", "&amp;Projects!$A$46,""),3,10000)</f>
        <v>BD-08</v>
      </c>
      <c r="AC6" s="16" t="str">
        <f aca="false">MID(IF(AND(Projects!$G$2="Yes",Projects!$C$2=AC$3),", "&amp;Projects!$A$2,"")&amp;IF(AND(Projects!$G$3="Yes",Projects!$C$3=AC$3),", "&amp;Projects!$A$3,"")&amp;IF(AND(Projects!$G$4="Yes",Projects!$C$4=AC$3),", "&amp;Projects!$A$4,"")&amp;IF(AND(Projects!$G$5="Yes",Projects!$C$5=AC$3),", "&amp;Projects!$A$5,"")&amp;IF(AND(Projects!$G$6="Yes",Projects!$C$6=AC$3),", "&amp;Projects!$A$6,"")&amp;IF(AND(Projects!$G$7="Yes",Projects!$C$7=AC$3),", "&amp;Projects!$A$7,"")&amp;IF(AND(Projects!$G$8="Yes",Projects!$C$8=AC$3),", "&amp;Projects!$A$8,"")&amp;IF(AND(Projects!$G$9="Yes",Projects!$C$9=AC$3),", "&amp;Projects!$A$9,"")&amp;IF(AND(Projects!$G$10="Yes",Projects!$C$10=AC$3),", "&amp;Projects!$A$10,"")&amp;IF(AND(Projects!$G$11="Yes",Projects!$C$11=AC$3),", "&amp;Projects!$A$11,"")&amp;IF(AND(Projects!$G$12="Yes",Projects!$C$12=AC$3),", "&amp;Projects!$A$12,"")&amp;IF(AND(Projects!$G$13="Yes",Projects!$C$13=AC$3),", "&amp;Projects!$A$13,"")&amp;IF(AND(Projects!$G$14="Yes",Projects!$C$14=AC$3),", "&amp;Projects!$A$14,"")&amp;IF(AND(Projects!$G$15="Yes",Projects!$C$15=AC$3),", "&amp;Projects!$A$15,"")&amp;IF(AND(Projects!$G$16="Yes",Projects!$C$16=AC$3),", "&amp;Projects!$A$16,"")&amp;IF(AND(Projects!$G$17="Yes",Projects!$C$17=AC$3),", "&amp;Projects!$A$17,"")&amp;IF(AND(Projects!$G$18="Yes",Projects!$C$18=AC$3),", "&amp;Projects!$A$18,"")&amp;IF(AND(Projects!$G$19="Yes",Projects!$C$19=AC$3),", "&amp;Projects!$A$19,"")&amp;IF(AND(Projects!$G$20="Yes",Projects!$C$20=AC$3),", "&amp;Projects!$A$20,"")&amp;IF(AND(Projects!$G$21="Yes",Projects!$C$21=AC$3),", "&amp;Projects!$A$21,"")&amp;IF(AND(Projects!$G$22="Yes",Projects!$C$22=AC$3),", "&amp;Projects!$A$22,"")&amp;IF(AND(Projects!$G$23="Yes",Projects!$C$23=AC$3),", "&amp;Projects!$A$23,"")&amp;IF(AND(Projects!$G$24="Yes",Projects!$C$24=AC$3),", "&amp;Projects!$A$24,"")&amp;IF(AND(Projects!$G$25="Yes",Projects!$C$25=AC$3),", "&amp;Projects!$A$25,"")&amp;IF(AND(Projects!$G$26="Yes",Projects!$C$26=AC$3),", "&amp;Projects!$A$26,"")&amp;IF(AND(Projects!$G$27="Yes",Projects!$C$27=AC$3),", "&amp;Projects!$A$27,"")&amp;IF(AND(Projects!$G$28="Yes",Projects!$C$28=AC$3),", "&amp;Projects!$A$28,"")&amp;IF(AND(Projects!$G$29="Yes",Projects!$C$29=AC$3),", "&amp;Projects!$A$29,"")&amp;IF(AND(Projects!$G$30="Yes",Projects!$C$30=AC$3),", "&amp;Projects!$A$30,"")&amp;IF(AND(Projects!$G$31="Yes",Projects!$C$31=AC$3),", "&amp;Projects!$A$31,"")&amp;IF(AND(Projects!$G$32="Yes",Projects!$C$32=AC$3),", "&amp;Projects!$A$32,"")&amp;IF(AND(Projects!$G$33="Yes",Projects!$C$33=AC$3),", "&amp;Projects!$A$33,"")&amp;IF(AND(Projects!$G$34="Yes",Projects!$C$34=AC$3),", "&amp;Projects!$A$34,"")&amp;IF(AND(Projects!$G$35="Yes",Projects!$C$35=AC$3),", "&amp;Projects!$A$35,"")&amp;IF(AND(Projects!$G$36="Yes",Projects!$C$36=AC$3),", "&amp;Projects!$A$36,"")&amp;IF(AND(Projects!$G$37="Yes",Projects!$C$37=AC$3),", "&amp;Projects!$A$37,"")&amp;IF(AND(Projects!$G$38="Yes",Projects!$C$38=AC$3),", "&amp;Projects!$A$38,"")&amp;IF(AND(Projects!$G$39="Yes",Projects!$C$39=AC$3),", "&amp;Projects!$A$39,"")&amp;IF(AND(Projects!$G$40="Yes",Projects!$C$40=AC$3),", "&amp;Projects!$A$40,"")&amp;IF(AND(Projects!$G$41="Yes",Projects!$C$41=AC$3),", "&amp;Projects!$A$41,"")&amp;IF(AND(Projects!$G$42="Yes",Projects!$C$42=AC$3),", "&amp;Projects!$A$42,"")&amp;IF(AND(Projects!$G$43="Yes",Projects!$C$43=AC$3),", "&amp;Projects!$A$43,"")&amp;IF(AND(Projects!$G$44="Yes",Projects!$C$44=AC$3),", "&amp;Projects!$A$44,"")&amp;IF(AND(Projects!$G$45="Yes",Projects!$C$45=AC$3),", "&amp;Projects!$A$45,"")&amp;IF(AND(Projects!$G$46="Yes",Projects!$C$46=AC$3),", "&amp;Projects!$A$46,""),3,10000)</f>
        <v/>
      </c>
      <c r="AD6" s="16" t="str">
        <f aca="false">MID(IF(AND(Projects!$G$2="Yes",Projects!$C$2=AD$3),", "&amp;Projects!$A$2,"")&amp;IF(AND(Projects!$G$3="Yes",Projects!$C$3=AD$3),", "&amp;Projects!$A$3,"")&amp;IF(AND(Projects!$G$4="Yes",Projects!$C$4=AD$3),", "&amp;Projects!$A$4,"")&amp;IF(AND(Projects!$G$5="Yes",Projects!$C$5=AD$3),", "&amp;Projects!$A$5,"")&amp;IF(AND(Projects!$G$6="Yes",Projects!$C$6=AD$3),", "&amp;Projects!$A$6,"")&amp;IF(AND(Projects!$G$7="Yes",Projects!$C$7=AD$3),", "&amp;Projects!$A$7,"")&amp;IF(AND(Projects!$G$8="Yes",Projects!$C$8=AD$3),", "&amp;Projects!$A$8,"")&amp;IF(AND(Projects!$G$9="Yes",Projects!$C$9=AD$3),", "&amp;Projects!$A$9,"")&amp;IF(AND(Projects!$G$10="Yes",Projects!$C$10=AD$3),", "&amp;Projects!$A$10,"")&amp;IF(AND(Projects!$G$11="Yes",Projects!$C$11=AD$3),", "&amp;Projects!$A$11,"")&amp;IF(AND(Projects!$G$12="Yes",Projects!$C$12=AD$3),", "&amp;Projects!$A$12,"")&amp;IF(AND(Projects!$G$13="Yes",Projects!$C$13=AD$3),", "&amp;Projects!$A$13,"")&amp;IF(AND(Projects!$G$14="Yes",Projects!$C$14=AD$3),", "&amp;Projects!$A$14,"")&amp;IF(AND(Projects!$G$15="Yes",Projects!$C$15=AD$3),", "&amp;Projects!$A$15,"")&amp;IF(AND(Projects!$G$16="Yes",Projects!$C$16=AD$3),", "&amp;Projects!$A$16,"")&amp;IF(AND(Projects!$G$17="Yes",Projects!$C$17=AD$3),", "&amp;Projects!$A$17,"")&amp;IF(AND(Projects!$G$18="Yes",Projects!$C$18=AD$3),", "&amp;Projects!$A$18,"")&amp;IF(AND(Projects!$G$19="Yes",Projects!$C$19=AD$3),", "&amp;Projects!$A$19,"")&amp;IF(AND(Projects!$G$20="Yes",Projects!$C$20=AD$3),", "&amp;Projects!$A$20,"")&amp;IF(AND(Projects!$G$21="Yes",Projects!$C$21=AD$3),", "&amp;Projects!$A$21,"")&amp;IF(AND(Projects!$G$22="Yes",Projects!$C$22=AD$3),", "&amp;Projects!$A$22,"")&amp;IF(AND(Projects!$G$23="Yes",Projects!$C$23=AD$3),", "&amp;Projects!$A$23,"")&amp;IF(AND(Projects!$G$24="Yes",Projects!$C$24=AD$3),", "&amp;Projects!$A$24,"")&amp;IF(AND(Projects!$G$25="Yes",Projects!$C$25=AD$3),", "&amp;Projects!$A$25,"")&amp;IF(AND(Projects!$G$26="Yes",Projects!$C$26=AD$3),", "&amp;Projects!$A$26,"")&amp;IF(AND(Projects!$G$27="Yes",Projects!$C$27=AD$3),", "&amp;Projects!$A$27,"")&amp;IF(AND(Projects!$G$28="Yes",Projects!$C$28=AD$3),", "&amp;Projects!$A$28,"")&amp;IF(AND(Projects!$G$29="Yes",Projects!$C$29=AD$3),", "&amp;Projects!$A$29,"")&amp;IF(AND(Projects!$G$30="Yes",Projects!$C$30=AD$3),", "&amp;Projects!$A$30,"")&amp;IF(AND(Projects!$G$31="Yes",Projects!$C$31=AD$3),", "&amp;Projects!$A$31,"")&amp;IF(AND(Projects!$G$32="Yes",Projects!$C$32=AD$3),", "&amp;Projects!$A$32,"")&amp;IF(AND(Projects!$G$33="Yes",Projects!$C$33=AD$3),", "&amp;Projects!$A$33,"")&amp;IF(AND(Projects!$G$34="Yes",Projects!$C$34=AD$3),", "&amp;Projects!$A$34,"")&amp;IF(AND(Projects!$G$35="Yes",Projects!$C$35=AD$3),", "&amp;Projects!$A$35,"")&amp;IF(AND(Projects!$G$36="Yes",Projects!$C$36=AD$3),", "&amp;Projects!$A$36,"")&amp;IF(AND(Projects!$G$37="Yes",Projects!$C$37=AD$3),", "&amp;Projects!$A$37,"")&amp;IF(AND(Projects!$G$38="Yes",Projects!$C$38=AD$3),", "&amp;Projects!$A$38,"")&amp;IF(AND(Projects!$G$39="Yes",Projects!$C$39=AD$3),", "&amp;Projects!$A$39,"")&amp;IF(AND(Projects!$G$40="Yes",Projects!$C$40=AD$3),", "&amp;Projects!$A$40,"")&amp;IF(AND(Projects!$G$41="Yes",Projects!$C$41=AD$3),", "&amp;Projects!$A$41,"")&amp;IF(AND(Projects!$G$42="Yes",Projects!$C$42=AD$3),", "&amp;Projects!$A$42,"")&amp;IF(AND(Projects!$G$43="Yes",Projects!$C$43=AD$3),", "&amp;Projects!$A$43,"")&amp;IF(AND(Projects!$G$44="Yes",Projects!$C$44=AD$3),", "&amp;Projects!$A$44,"")&amp;IF(AND(Projects!$G$45="Yes",Projects!$C$45=AD$3),", "&amp;Projects!$A$45,"")&amp;IF(AND(Projects!$G$46="Yes",Projects!$C$46=AD$3),", "&amp;Projects!$A$46,""),3,10000)</f>
        <v/>
      </c>
      <c r="AE6" s="16" t="str">
        <f aca="false">MID(IF(AND(Projects!$G$2="Yes",Projects!$C$2=AE$3),", "&amp;Projects!$A$2,"")&amp;IF(AND(Projects!$G$3="Yes",Projects!$C$3=AE$3),", "&amp;Projects!$A$3,"")&amp;IF(AND(Projects!$G$4="Yes",Projects!$C$4=AE$3),", "&amp;Projects!$A$4,"")&amp;IF(AND(Projects!$G$5="Yes",Projects!$C$5=AE$3),", "&amp;Projects!$A$5,"")&amp;IF(AND(Projects!$G$6="Yes",Projects!$C$6=AE$3),", "&amp;Projects!$A$6,"")&amp;IF(AND(Projects!$G$7="Yes",Projects!$C$7=AE$3),", "&amp;Projects!$A$7,"")&amp;IF(AND(Projects!$G$8="Yes",Projects!$C$8=AE$3),", "&amp;Projects!$A$8,"")&amp;IF(AND(Projects!$G$9="Yes",Projects!$C$9=AE$3),", "&amp;Projects!$A$9,"")&amp;IF(AND(Projects!$G$10="Yes",Projects!$C$10=AE$3),", "&amp;Projects!$A$10,"")&amp;IF(AND(Projects!$G$11="Yes",Projects!$C$11=AE$3),", "&amp;Projects!$A$11,"")&amp;IF(AND(Projects!$G$12="Yes",Projects!$C$12=AE$3),", "&amp;Projects!$A$12,"")&amp;IF(AND(Projects!$G$13="Yes",Projects!$C$13=AE$3),", "&amp;Projects!$A$13,"")&amp;IF(AND(Projects!$G$14="Yes",Projects!$C$14=AE$3),", "&amp;Projects!$A$14,"")&amp;IF(AND(Projects!$G$15="Yes",Projects!$C$15=AE$3),", "&amp;Projects!$A$15,"")&amp;IF(AND(Projects!$G$16="Yes",Projects!$C$16=AE$3),", "&amp;Projects!$A$16,"")&amp;IF(AND(Projects!$G$17="Yes",Projects!$C$17=AE$3),", "&amp;Projects!$A$17,"")&amp;IF(AND(Projects!$G$18="Yes",Projects!$C$18=AE$3),", "&amp;Projects!$A$18,"")&amp;IF(AND(Projects!$G$19="Yes",Projects!$C$19=AE$3),", "&amp;Projects!$A$19,"")&amp;IF(AND(Projects!$G$20="Yes",Projects!$C$20=AE$3),", "&amp;Projects!$A$20,"")&amp;IF(AND(Projects!$G$21="Yes",Projects!$C$21=AE$3),", "&amp;Projects!$A$21,"")&amp;IF(AND(Projects!$G$22="Yes",Projects!$C$22=AE$3),", "&amp;Projects!$A$22,"")&amp;IF(AND(Projects!$G$23="Yes",Projects!$C$23=AE$3),", "&amp;Projects!$A$23,"")&amp;IF(AND(Projects!$G$24="Yes",Projects!$C$24=AE$3),", "&amp;Projects!$A$24,"")&amp;IF(AND(Projects!$G$25="Yes",Projects!$C$25=AE$3),", "&amp;Projects!$A$25,"")&amp;IF(AND(Projects!$G$26="Yes",Projects!$C$26=AE$3),", "&amp;Projects!$A$26,"")&amp;IF(AND(Projects!$G$27="Yes",Projects!$C$27=AE$3),", "&amp;Projects!$A$27,"")&amp;IF(AND(Projects!$G$28="Yes",Projects!$C$28=AE$3),", "&amp;Projects!$A$28,"")&amp;IF(AND(Projects!$G$29="Yes",Projects!$C$29=AE$3),", "&amp;Projects!$A$29,"")&amp;IF(AND(Projects!$G$30="Yes",Projects!$C$30=AE$3),", "&amp;Projects!$A$30,"")&amp;IF(AND(Projects!$G$31="Yes",Projects!$C$31=AE$3),", "&amp;Projects!$A$31,"")&amp;IF(AND(Projects!$G$32="Yes",Projects!$C$32=AE$3),", "&amp;Projects!$A$32,"")&amp;IF(AND(Projects!$G$33="Yes",Projects!$C$33=AE$3),", "&amp;Projects!$A$33,"")&amp;IF(AND(Projects!$G$34="Yes",Projects!$C$34=AE$3),", "&amp;Projects!$A$34,"")&amp;IF(AND(Projects!$G$35="Yes",Projects!$C$35=AE$3),", "&amp;Projects!$A$35,"")&amp;IF(AND(Projects!$G$36="Yes",Projects!$C$36=AE$3),", "&amp;Projects!$A$36,"")&amp;IF(AND(Projects!$G$37="Yes",Projects!$C$37=AE$3),", "&amp;Projects!$A$37,"")&amp;IF(AND(Projects!$G$38="Yes",Projects!$C$38=AE$3),", "&amp;Projects!$A$38,"")&amp;IF(AND(Projects!$G$39="Yes",Projects!$C$39=AE$3),", "&amp;Projects!$A$39,"")&amp;IF(AND(Projects!$G$40="Yes",Projects!$C$40=AE$3),", "&amp;Projects!$A$40,"")&amp;IF(AND(Projects!$G$41="Yes",Projects!$C$41=AE$3),", "&amp;Projects!$A$41,"")&amp;IF(AND(Projects!$G$42="Yes",Projects!$C$42=AE$3),", "&amp;Projects!$A$42,"")&amp;IF(AND(Projects!$G$43="Yes",Projects!$C$43=AE$3),", "&amp;Projects!$A$43,"")&amp;IF(AND(Projects!$G$44="Yes",Projects!$C$44=AE$3),", "&amp;Projects!$A$44,"")&amp;IF(AND(Projects!$G$45="Yes",Projects!$C$45=AE$3),", "&amp;Projects!$A$45,"")&amp;IF(AND(Projects!$G$46="Yes",Projects!$C$46=AE$3),", "&amp;Projects!$A$46,""),3,10000)</f>
        <v>3rd St</v>
      </c>
      <c r="AF6" s="16" t="str">
        <f aca="false">MID(IF(AND(Projects!$G$2="Yes",Projects!$C$2=AF$3),", "&amp;Projects!$A$2,"")&amp;IF(AND(Projects!$G$3="Yes",Projects!$C$3=AF$3),", "&amp;Projects!$A$3,"")&amp;IF(AND(Projects!$G$4="Yes",Projects!$C$4=AF$3),", "&amp;Projects!$A$4,"")&amp;IF(AND(Projects!$G$5="Yes",Projects!$C$5=AF$3),", "&amp;Projects!$A$5,"")&amp;IF(AND(Projects!$G$6="Yes",Projects!$C$6=AF$3),", "&amp;Projects!$A$6,"")&amp;IF(AND(Projects!$G$7="Yes",Projects!$C$7=AF$3),", "&amp;Projects!$A$7,"")&amp;IF(AND(Projects!$G$8="Yes",Projects!$C$8=AF$3),", "&amp;Projects!$A$8,"")&amp;IF(AND(Projects!$G$9="Yes",Projects!$C$9=AF$3),", "&amp;Projects!$A$9,"")&amp;IF(AND(Projects!$G$10="Yes",Projects!$C$10=AF$3),", "&amp;Projects!$A$10,"")&amp;IF(AND(Projects!$G$11="Yes",Projects!$C$11=AF$3),", "&amp;Projects!$A$11,"")&amp;IF(AND(Projects!$G$12="Yes",Projects!$C$12=AF$3),", "&amp;Projects!$A$12,"")&amp;IF(AND(Projects!$G$13="Yes",Projects!$C$13=AF$3),", "&amp;Projects!$A$13,"")&amp;IF(AND(Projects!$G$14="Yes",Projects!$C$14=AF$3),", "&amp;Projects!$A$14,"")&amp;IF(AND(Projects!$G$15="Yes",Projects!$C$15=AF$3),", "&amp;Projects!$A$15,"")&amp;IF(AND(Projects!$G$16="Yes",Projects!$C$16=AF$3),", "&amp;Projects!$A$16,"")&amp;IF(AND(Projects!$G$17="Yes",Projects!$C$17=AF$3),", "&amp;Projects!$A$17,"")&amp;IF(AND(Projects!$G$18="Yes",Projects!$C$18=AF$3),", "&amp;Projects!$A$18,"")&amp;IF(AND(Projects!$G$19="Yes",Projects!$C$19=AF$3),", "&amp;Projects!$A$19,"")&amp;IF(AND(Projects!$G$20="Yes",Projects!$C$20=AF$3),", "&amp;Projects!$A$20,"")&amp;IF(AND(Projects!$G$21="Yes",Projects!$C$21=AF$3),", "&amp;Projects!$A$21,"")&amp;IF(AND(Projects!$G$22="Yes",Projects!$C$22=AF$3),", "&amp;Projects!$A$22,"")&amp;IF(AND(Projects!$G$23="Yes",Projects!$C$23=AF$3),", "&amp;Projects!$A$23,"")&amp;IF(AND(Projects!$G$24="Yes",Projects!$C$24=AF$3),", "&amp;Projects!$A$24,"")&amp;IF(AND(Projects!$G$25="Yes",Projects!$C$25=AF$3),", "&amp;Projects!$A$25,"")&amp;IF(AND(Projects!$G$26="Yes",Projects!$C$26=AF$3),", "&amp;Projects!$A$26,"")&amp;IF(AND(Projects!$G$27="Yes",Projects!$C$27=AF$3),", "&amp;Projects!$A$27,"")&amp;IF(AND(Projects!$G$28="Yes",Projects!$C$28=AF$3),", "&amp;Projects!$A$28,"")&amp;IF(AND(Projects!$G$29="Yes",Projects!$C$29=AF$3),", "&amp;Projects!$A$29,"")&amp;IF(AND(Projects!$G$30="Yes",Projects!$C$30=AF$3),", "&amp;Projects!$A$30,"")&amp;IF(AND(Projects!$G$31="Yes",Projects!$C$31=AF$3),", "&amp;Projects!$A$31,"")&amp;IF(AND(Projects!$G$32="Yes",Projects!$C$32=AF$3),", "&amp;Projects!$A$32,"")&amp;IF(AND(Projects!$G$33="Yes",Projects!$C$33=AF$3),", "&amp;Projects!$A$33,"")&amp;IF(AND(Projects!$G$34="Yes",Projects!$C$34=AF$3),", "&amp;Projects!$A$34,"")&amp;IF(AND(Projects!$G$35="Yes",Projects!$C$35=AF$3),", "&amp;Projects!$A$35,"")&amp;IF(AND(Projects!$G$36="Yes",Projects!$C$36=AF$3),", "&amp;Projects!$A$36,"")&amp;IF(AND(Projects!$G$37="Yes",Projects!$C$37=AF$3),", "&amp;Projects!$A$37,"")&amp;IF(AND(Projects!$G$38="Yes",Projects!$C$38=AF$3),", "&amp;Projects!$A$38,"")&amp;IF(AND(Projects!$G$39="Yes",Projects!$C$39=AF$3),", "&amp;Projects!$A$39,"")&amp;IF(AND(Projects!$G$40="Yes",Projects!$C$40=AF$3),", "&amp;Projects!$A$40,"")&amp;IF(AND(Projects!$G$41="Yes",Projects!$C$41=AF$3),", "&amp;Projects!$A$41,"")&amp;IF(AND(Projects!$G$42="Yes",Projects!$C$42=AF$3),", "&amp;Projects!$A$42,"")&amp;IF(AND(Projects!$G$43="Yes",Projects!$C$43=AF$3),", "&amp;Projects!$A$43,"")&amp;IF(AND(Projects!$G$44="Yes",Projects!$C$44=AF$3),", "&amp;Projects!$A$44,"")&amp;IF(AND(Projects!$G$45="Yes",Projects!$C$45=AF$3),", "&amp;Projects!$A$45,"")&amp;IF(AND(Projects!$G$46="Yes",Projects!$C$46=AF$3),", "&amp;Projects!$A$46,""),3,10000)</f>
        <v/>
      </c>
      <c r="AG6" s="16" t="str">
        <f aca="false">MID(IF(AND(Projects!$G$2="Yes",Projects!$C$2=AG$3),", "&amp;Projects!$A$2,"")&amp;IF(AND(Projects!$G$3="Yes",Projects!$C$3=AG$3),", "&amp;Projects!$A$3,"")&amp;IF(AND(Projects!$G$4="Yes",Projects!$C$4=AG$3),", "&amp;Projects!$A$4,"")&amp;IF(AND(Projects!$G$5="Yes",Projects!$C$5=AG$3),", "&amp;Projects!$A$5,"")&amp;IF(AND(Projects!$G$6="Yes",Projects!$C$6=AG$3),", "&amp;Projects!$A$6,"")&amp;IF(AND(Projects!$G$7="Yes",Projects!$C$7=AG$3),", "&amp;Projects!$A$7,"")&amp;IF(AND(Projects!$G$8="Yes",Projects!$C$8=AG$3),", "&amp;Projects!$A$8,"")&amp;IF(AND(Projects!$G$9="Yes",Projects!$C$9=AG$3),", "&amp;Projects!$A$9,"")&amp;IF(AND(Projects!$G$10="Yes",Projects!$C$10=AG$3),", "&amp;Projects!$A$10,"")&amp;IF(AND(Projects!$G$11="Yes",Projects!$C$11=AG$3),", "&amp;Projects!$A$11,"")&amp;IF(AND(Projects!$G$12="Yes",Projects!$C$12=AG$3),", "&amp;Projects!$A$12,"")&amp;IF(AND(Projects!$G$13="Yes",Projects!$C$13=AG$3),", "&amp;Projects!$A$13,"")&amp;IF(AND(Projects!$G$14="Yes",Projects!$C$14=AG$3),", "&amp;Projects!$A$14,"")&amp;IF(AND(Projects!$G$15="Yes",Projects!$C$15=AG$3),", "&amp;Projects!$A$15,"")&amp;IF(AND(Projects!$G$16="Yes",Projects!$C$16=AG$3),", "&amp;Projects!$A$16,"")&amp;IF(AND(Projects!$G$17="Yes",Projects!$C$17=AG$3),", "&amp;Projects!$A$17,"")&amp;IF(AND(Projects!$G$18="Yes",Projects!$C$18=AG$3),", "&amp;Projects!$A$18,"")&amp;IF(AND(Projects!$G$19="Yes",Projects!$C$19=AG$3),", "&amp;Projects!$A$19,"")&amp;IF(AND(Projects!$G$20="Yes",Projects!$C$20=AG$3),", "&amp;Projects!$A$20,"")&amp;IF(AND(Projects!$G$21="Yes",Projects!$C$21=AG$3),", "&amp;Projects!$A$21,"")&amp;IF(AND(Projects!$G$22="Yes",Projects!$C$22=AG$3),", "&amp;Projects!$A$22,"")&amp;IF(AND(Projects!$G$23="Yes",Projects!$C$23=AG$3),", "&amp;Projects!$A$23,"")&amp;IF(AND(Projects!$G$24="Yes",Projects!$C$24=AG$3),", "&amp;Projects!$A$24,"")&amp;IF(AND(Projects!$G$25="Yes",Projects!$C$25=AG$3),", "&amp;Projects!$A$25,"")&amp;IF(AND(Projects!$G$26="Yes",Projects!$C$26=AG$3),", "&amp;Projects!$A$26,"")&amp;IF(AND(Projects!$G$27="Yes",Projects!$C$27=AG$3),", "&amp;Projects!$A$27,"")&amp;IF(AND(Projects!$G$28="Yes",Projects!$C$28=AG$3),", "&amp;Projects!$A$28,"")&amp;IF(AND(Projects!$G$29="Yes",Projects!$C$29=AG$3),", "&amp;Projects!$A$29,"")&amp;IF(AND(Projects!$G$30="Yes",Projects!$C$30=AG$3),", "&amp;Projects!$A$30,"")&amp;IF(AND(Projects!$G$31="Yes",Projects!$C$31=AG$3),", "&amp;Projects!$A$31,"")&amp;IF(AND(Projects!$G$32="Yes",Projects!$C$32=AG$3),", "&amp;Projects!$A$32,"")&amp;IF(AND(Projects!$G$33="Yes",Projects!$C$33=AG$3),", "&amp;Projects!$A$33,"")&amp;IF(AND(Projects!$G$34="Yes",Projects!$C$34=AG$3),", "&amp;Projects!$A$34,"")&amp;IF(AND(Projects!$G$35="Yes",Projects!$C$35=AG$3),", "&amp;Projects!$A$35,"")&amp;IF(AND(Projects!$G$36="Yes",Projects!$C$36=AG$3),", "&amp;Projects!$A$36,"")&amp;IF(AND(Projects!$G$37="Yes",Projects!$C$37=AG$3),", "&amp;Projects!$A$37,"")&amp;IF(AND(Projects!$G$38="Yes",Projects!$C$38=AG$3),", "&amp;Projects!$A$38,"")&amp;IF(AND(Projects!$G$39="Yes",Projects!$C$39=AG$3),", "&amp;Projects!$A$39,"")&amp;IF(AND(Projects!$G$40="Yes",Projects!$C$40=AG$3),", "&amp;Projects!$A$40,"")&amp;IF(AND(Projects!$G$41="Yes",Projects!$C$41=AG$3),", "&amp;Projects!$A$41,"")&amp;IF(AND(Projects!$G$42="Yes",Projects!$C$42=AG$3),", "&amp;Projects!$A$42,"")&amp;IF(AND(Projects!$G$43="Yes",Projects!$C$43=AG$3),", "&amp;Projects!$A$43,"")&amp;IF(AND(Projects!$G$44="Yes",Projects!$C$44=AG$3),", "&amp;Projects!$A$44,"")&amp;IF(AND(Projects!$G$45="Yes",Projects!$C$45=AG$3),", "&amp;Projects!$A$45,"")&amp;IF(AND(Projects!$G$46="Yes",Projects!$C$46=AG$3),", "&amp;Projects!$A$46,""),3,10000)</f>
        <v>BD-09</v>
      </c>
      <c r="AH6" s="16" t="str">
        <f aca="false">MID(IF(AND(Projects!$G$2="Yes",Projects!$C$2=AH$3),", "&amp;Projects!$A$2,"")&amp;IF(AND(Projects!$G$3="Yes",Projects!$C$3=AH$3),", "&amp;Projects!$A$3,"")&amp;IF(AND(Projects!$G$4="Yes",Projects!$C$4=AH$3),", "&amp;Projects!$A$4,"")&amp;IF(AND(Projects!$G$5="Yes",Projects!$C$5=AH$3),", "&amp;Projects!$A$5,"")&amp;IF(AND(Projects!$G$6="Yes",Projects!$C$6=AH$3),", "&amp;Projects!$A$6,"")&amp;IF(AND(Projects!$G$7="Yes",Projects!$C$7=AH$3),", "&amp;Projects!$A$7,"")&amp;IF(AND(Projects!$G$8="Yes",Projects!$C$8=AH$3),", "&amp;Projects!$A$8,"")&amp;IF(AND(Projects!$G$9="Yes",Projects!$C$9=AH$3),", "&amp;Projects!$A$9,"")&amp;IF(AND(Projects!$G$10="Yes",Projects!$C$10=AH$3),", "&amp;Projects!$A$10,"")&amp;IF(AND(Projects!$G$11="Yes",Projects!$C$11=AH$3),", "&amp;Projects!$A$11,"")&amp;IF(AND(Projects!$G$12="Yes",Projects!$C$12=AH$3),", "&amp;Projects!$A$12,"")&amp;IF(AND(Projects!$G$13="Yes",Projects!$C$13=AH$3),", "&amp;Projects!$A$13,"")&amp;IF(AND(Projects!$G$14="Yes",Projects!$C$14=AH$3),", "&amp;Projects!$A$14,"")&amp;IF(AND(Projects!$G$15="Yes",Projects!$C$15=AH$3),", "&amp;Projects!$A$15,"")&amp;IF(AND(Projects!$G$16="Yes",Projects!$C$16=AH$3),", "&amp;Projects!$A$16,"")&amp;IF(AND(Projects!$G$17="Yes",Projects!$C$17=AH$3),", "&amp;Projects!$A$17,"")&amp;IF(AND(Projects!$G$18="Yes",Projects!$C$18=AH$3),", "&amp;Projects!$A$18,"")&amp;IF(AND(Projects!$G$19="Yes",Projects!$C$19=AH$3),", "&amp;Projects!$A$19,"")&amp;IF(AND(Projects!$G$20="Yes",Projects!$C$20=AH$3),", "&amp;Projects!$A$20,"")&amp;IF(AND(Projects!$G$21="Yes",Projects!$C$21=AH$3),", "&amp;Projects!$A$21,"")&amp;IF(AND(Projects!$G$22="Yes",Projects!$C$22=AH$3),", "&amp;Projects!$A$22,"")&amp;IF(AND(Projects!$G$23="Yes",Projects!$C$23=AH$3),", "&amp;Projects!$A$23,"")&amp;IF(AND(Projects!$G$24="Yes",Projects!$C$24=AH$3),", "&amp;Projects!$A$24,"")&amp;IF(AND(Projects!$G$25="Yes",Projects!$C$25=AH$3),", "&amp;Projects!$A$25,"")&amp;IF(AND(Projects!$G$26="Yes",Projects!$C$26=AH$3),", "&amp;Projects!$A$26,"")&amp;IF(AND(Projects!$G$27="Yes",Projects!$C$27=AH$3),", "&amp;Projects!$A$27,"")&amp;IF(AND(Projects!$G$28="Yes",Projects!$C$28=AH$3),", "&amp;Projects!$A$28,"")&amp;IF(AND(Projects!$G$29="Yes",Projects!$C$29=AH$3),", "&amp;Projects!$A$29,"")&amp;IF(AND(Projects!$G$30="Yes",Projects!$C$30=AH$3),", "&amp;Projects!$A$30,"")&amp;IF(AND(Projects!$G$31="Yes",Projects!$C$31=AH$3),", "&amp;Projects!$A$31,"")&amp;IF(AND(Projects!$G$32="Yes",Projects!$C$32=AH$3),", "&amp;Projects!$A$32,"")&amp;IF(AND(Projects!$G$33="Yes",Projects!$C$33=AH$3),", "&amp;Projects!$A$33,"")&amp;IF(AND(Projects!$G$34="Yes",Projects!$C$34=AH$3),", "&amp;Projects!$A$34,"")&amp;IF(AND(Projects!$G$35="Yes",Projects!$C$35=AH$3),", "&amp;Projects!$A$35,"")&amp;IF(AND(Projects!$G$36="Yes",Projects!$C$36=AH$3),", "&amp;Projects!$A$36,"")&amp;IF(AND(Projects!$G$37="Yes",Projects!$C$37=AH$3),", "&amp;Projects!$A$37,"")&amp;IF(AND(Projects!$G$38="Yes",Projects!$C$38=AH$3),", "&amp;Projects!$A$38,"")&amp;IF(AND(Projects!$G$39="Yes",Projects!$C$39=AH$3),", "&amp;Projects!$A$39,"")&amp;IF(AND(Projects!$G$40="Yes",Projects!$C$40=AH$3),", "&amp;Projects!$A$40,"")&amp;IF(AND(Projects!$G$41="Yes",Projects!$C$41=AH$3),", "&amp;Projects!$A$41,"")&amp;IF(AND(Projects!$G$42="Yes",Projects!$C$42=AH$3),", "&amp;Projects!$A$42,"")&amp;IF(AND(Projects!$G$43="Yes",Projects!$C$43=AH$3),", "&amp;Projects!$A$43,"")&amp;IF(AND(Projects!$G$44="Yes",Projects!$C$44=AH$3),", "&amp;Projects!$A$44,"")&amp;IF(AND(Projects!$G$45="Yes",Projects!$C$45=AH$3),", "&amp;Projects!$A$45,"")&amp;IF(AND(Projects!$G$46="Yes",Projects!$C$46=AH$3),", "&amp;Projects!$A$46,""),3,10000)</f>
        <v>BD-10</v>
      </c>
      <c r="AI6" s="16" t="str">
        <f aca="false">MID(IF(AND(Projects!$G$2="Yes",Projects!$C$2=AI$3),", "&amp;Projects!$A$2,"")&amp;IF(AND(Projects!$G$3="Yes",Projects!$C$3=AI$3),", "&amp;Projects!$A$3,"")&amp;IF(AND(Projects!$G$4="Yes",Projects!$C$4=AI$3),", "&amp;Projects!$A$4,"")&amp;IF(AND(Projects!$G$5="Yes",Projects!$C$5=AI$3),", "&amp;Projects!$A$5,"")&amp;IF(AND(Projects!$G$6="Yes",Projects!$C$6=AI$3),", "&amp;Projects!$A$6,"")&amp;IF(AND(Projects!$G$7="Yes",Projects!$C$7=AI$3),", "&amp;Projects!$A$7,"")&amp;IF(AND(Projects!$G$8="Yes",Projects!$C$8=AI$3),", "&amp;Projects!$A$8,"")&amp;IF(AND(Projects!$G$9="Yes",Projects!$C$9=AI$3),", "&amp;Projects!$A$9,"")&amp;IF(AND(Projects!$G$10="Yes",Projects!$C$10=AI$3),", "&amp;Projects!$A$10,"")&amp;IF(AND(Projects!$G$11="Yes",Projects!$C$11=AI$3),", "&amp;Projects!$A$11,"")&amp;IF(AND(Projects!$G$12="Yes",Projects!$C$12=AI$3),", "&amp;Projects!$A$12,"")&amp;IF(AND(Projects!$G$13="Yes",Projects!$C$13=AI$3),", "&amp;Projects!$A$13,"")&amp;IF(AND(Projects!$G$14="Yes",Projects!$C$14=AI$3),", "&amp;Projects!$A$14,"")&amp;IF(AND(Projects!$G$15="Yes",Projects!$C$15=AI$3),", "&amp;Projects!$A$15,"")&amp;IF(AND(Projects!$G$16="Yes",Projects!$C$16=AI$3),", "&amp;Projects!$A$16,"")&amp;IF(AND(Projects!$G$17="Yes",Projects!$C$17=AI$3),", "&amp;Projects!$A$17,"")&amp;IF(AND(Projects!$G$18="Yes",Projects!$C$18=AI$3),", "&amp;Projects!$A$18,"")&amp;IF(AND(Projects!$G$19="Yes",Projects!$C$19=AI$3),", "&amp;Projects!$A$19,"")&amp;IF(AND(Projects!$G$20="Yes",Projects!$C$20=AI$3),", "&amp;Projects!$A$20,"")&amp;IF(AND(Projects!$G$21="Yes",Projects!$C$21=AI$3),", "&amp;Projects!$A$21,"")&amp;IF(AND(Projects!$G$22="Yes",Projects!$C$22=AI$3),", "&amp;Projects!$A$22,"")&amp;IF(AND(Projects!$G$23="Yes",Projects!$C$23=AI$3),", "&amp;Projects!$A$23,"")&amp;IF(AND(Projects!$G$24="Yes",Projects!$C$24=AI$3),", "&amp;Projects!$A$24,"")&amp;IF(AND(Projects!$G$25="Yes",Projects!$C$25=AI$3),", "&amp;Projects!$A$25,"")&amp;IF(AND(Projects!$G$26="Yes",Projects!$C$26=AI$3),", "&amp;Projects!$A$26,"")&amp;IF(AND(Projects!$G$27="Yes",Projects!$C$27=AI$3),", "&amp;Projects!$A$27,"")&amp;IF(AND(Projects!$G$28="Yes",Projects!$C$28=AI$3),", "&amp;Projects!$A$28,"")&amp;IF(AND(Projects!$G$29="Yes",Projects!$C$29=AI$3),", "&amp;Projects!$A$29,"")&amp;IF(AND(Projects!$G$30="Yes",Projects!$C$30=AI$3),", "&amp;Projects!$A$30,"")&amp;IF(AND(Projects!$G$31="Yes",Projects!$C$31=AI$3),", "&amp;Projects!$A$31,"")&amp;IF(AND(Projects!$G$32="Yes",Projects!$C$32=AI$3),", "&amp;Projects!$A$32,"")&amp;IF(AND(Projects!$G$33="Yes",Projects!$C$33=AI$3),", "&amp;Projects!$A$33,"")&amp;IF(AND(Projects!$G$34="Yes",Projects!$C$34=AI$3),", "&amp;Projects!$A$34,"")&amp;IF(AND(Projects!$G$35="Yes",Projects!$C$35=AI$3),", "&amp;Projects!$A$35,"")&amp;IF(AND(Projects!$G$36="Yes",Projects!$C$36=AI$3),", "&amp;Projects!$A$36,"")&amp;IF(AND(Projects!$G$37="Yes",Projects!$C$37=AI$3),", "&amp;Projects!$A$37,"")&amp;IF(AND(Projects!$G$38="Yes",Projects!$C$38=AI$3),", "&amp;Projects!$A$38,"")&amp;IF(AND(Projects!$G$39="Yes",Projects!$C$39=AI$3),", "&amp;Projects!$A$39,"")&amp;IF(AND(Projects!$G$40="Yes",Projects!$C$40=AI$3),", "&amp;Projects!$A$40,"")&amp;IF(AND(Projects!$G$41="Yes",Projects!$C$41=AI$3),", "&amp;Projects!$A$41,"")&amp;IF(AND(Projects!$G$42="Yes",Projects!$C$42=AI$3),", "&amp;Projects!$A$42,"")&amp;IF(AND(Projects!$G$43="Yes",Projects!$C$43=AI$3),", "&amp;Projects!$A$43,"")&amp;IF(AND(Projects!$G$44="Yes",Projects!$C$44=AI$3),", "&amp;Projects!$A$44,"")&amp;IF(AND(Projects!$G$45="Yes",Projects!$C$45=AI$3),", "&amp;Projects!$A$45,"")&amp;IF(AND(Projects!$G$46="Yes",Projects!$C$46=AI$3),", "&amp;Projects!$A$46,""),3,10000)</f>
        <v>BD-11</v>
      </c>
      <c r="AJ6" s="16" t="str">
        <f aca="false">MID(IF(AND(Projects!$G$2="Yes",Projects!$C$2=AJ$3),", "&amp;Projects!$A$2,"")&amp;IF(AND(Projects!$G$3="Yes",Projects!$C$3=AJ$3),", "&amp;Projects!$A$3,"")&amp;IF(AND(Projects!$G$4="Yes",Projects!$C$4=AJ$3),", "&amp;Projects!$A$4,"")&amp;IF(AND(Projects!$G$5="Yes",Projects!$C$5=AJ$3),", "&amp;Projects!$A$5,"")&amp;IF(AND(Projects!$G$6="Yes",Projects!$C$6=AJ$3),", "&amp;Projects!$A$6,"")&amp;IF(AND(Projects!$G$7="Yes",Projects!$C$7=AJ$3),", "&amp;Projects!$A$7,"")&amp;IF(AND(Projects!$G$8="Yes",Projects!$C$8=AJ$3),", "&amp;Projects!$A$8,"")&amp;IF(AND(Projects!$G$9="Yes",Projects!$C$9=AJ$3),", "&amp;Projects!$A$9,"")&amp;IF(AND(Projects!$G$10="Yes",Projects!$C$10=AJ$3),", "&amp;Projects!$A$10,"")&amp;IF(AND(Projects!$G$11="Yes",Projects!$C$11=AJ$3),", "&amp;Projects!$A$11,"")&amp;IF(AND(Projects!$G$12="Yes",Projects!$C$12=AJ$3),", "&amp;Projects!$A$12,"")&amp;IF(AND(Projects!$G$13="Yes",Projects!$C$13=AJ$3),", "&amp;Projects!$A$13,"")&amp;IF(AND(Projects!$G$14="Yes",Projects!$C$14=AJ$3),", "&amp;Projects!$A$14,"")&amp;IF(AND(Projects!$G$15="Yes",Projects!$C$15=AJ$3),", "&amp;Projects!$A$15,"")&amp;IF(AND(Projects!$G$16="Yes",Projects!$C$16=AJ$3),", "&amp;Projects!$A$16,"")&amp;IF(AND(Projects!$G$17="Yes",Projects!$C$17=AJ$3),", "&amp;Projects!$A$17,"")&amp;IF(AND(Projects!$G$18="Yes",Projects!$C$18=AJ$3),", "&amp;Projects!$A$18,"")&amp;IF(AND(Projects!$G$19="Yes",Projects!$C$19=AJ$3),", "&amp;Projects!$A$19,"")&amp;IF(AND(Projects!$G$20="Yes",Projects!$C$20=AJ$3),", "&amp;Projects!$A$20,"")&amp;IF(AND(Projects!$G$21="Yes",Projects!$C$21=AJ$3),", "&amp;Projects!$A$21,"")&amp;IF(AND(Projects!$G$22="Yes",Projects!$C$22=AJ$3),", "&amp;Projects!$A$22,"")&amp;IF(AND(Projects!$G$23="Yes",Projects!$C$23=AJ$3),", "&amp;Projects!$A$23,"")&amp;IF(AND(Projects!$G$24="Yes",Projects!$C$24=AJ$3),", "&amp;Projects!$A$24,"")&amp;IF(AND(Projects!$G$25="Yes",Projects!$C$25=AJ$3),", "&amp;Projects!$A$25,"")&amp;IF(AND(Projects!$G$26="Yes",Projects!$C$26=AJ$3),", "&amp;Projects!$A$26,"")&amp;IF(AND(Projects!$G$27="Yes",Projects!$C$27=AJ$3),", "&amp;Projects!$A$27,"")&amp;IF(AND(Projects!$G$28="Yes",Projects!$C$28=AJ$3),", "&amp;Projects!$A$28,"")&amp;IF(AND(Projects!$G$29="Yes",Projects!$C$29=AJ$3),", "&amp;Projects!$A$29,"")&amp;IF(AND(Projects!$G$30="Yes",Projects!$C$30=AJ$3),", "&amp;Projects!$A$30,"")&amp;IF(AND(Projects!$G$31="Yes",Projects!$C$31=AJ$3),", "&amp;Projects!$A$31,"")&amp;IF(AND(Projects!$G$32="Yes",Projects!$C$32=AJ$3),", "&amp;Projects!$A$32,"")&amp;IF(AND(Projects!$G$33="Yes",Projects!$C$33=AJ$3),", "&amp;Projects!$A$33,"")&amp;IF(AND(Projects!$G$34="Yes",Projects!$C$34=AJ$3),", "&amp;Projects!$A$34,"")&amp;IF(AND(Projects!$G$35="Yes",Projects!$C$35=AJ$3),", "&amp;Projects!$A$35,"")&amp;IF(AND(Projects!$G$36="Yes",Projects!$C$36=AJ$3),", "&amp;Projects!$A$36,"")&amp;IF(AND(Projects!$G$37="Yes",Projects!$C$37=AJ$3),", "&amp;Projects!$A$37,"")&amp;IF(AND(Projects!$G$38="Yes",Projects!$C$38=AJ$3),", "&amp;Projects!$A$38,"")&amp;IF(AND(Projects!$G$39="Yes",Projects!$C$39=AJ$3),", "&amp;Projects!$A$39,"")&amp;IF(AND(Projects!$G$40="Yes",Projects!$C$40=AJ$3),", "&amp;Projects!$A$40,"")&amp;IF(AND(Projects!$G$41="Yes",Projects!$C$41=AJ$3),", "&amp;Projects!$A$41,"")&amp;IF(AND(Projects!$G$42="Yes",Projects!$C$42=AJ$3),", "&amp;Projects!$A$42,"")&amp;IF(AND(Projects!$G$43="Yes",Projects!$C$43=AJ$3),", "&amp;Projects!$A$43,"")&amp;IF(AND(Projects!$G$44="Yes",Projects!$C$44=AJ$3),", "&amp;Projects!$A$44,"")&amp;IF(AND(Projects!$G$45="Yes",Projects!$C$45=AJ$3),", "&amp;Projects!$A$45,"")&amp;IF(AND(Projects!$G$46="Yes",Projects!$C$46=AJ$3),", "&amp;Projects!$A$46,""),3,10000)</f>
        <v>BD-12</v>
      </c>
      <c r="AK6" s="16" t="str">
        <f aca="false">MID(IF(AND(Projects!$G$2="Yes",Projects!$C$2=AK$3),", "&amp;Projects!$A$2,"")&amp;IF(AND(Projects!$G$3="Yes",Projects!$C$3=AK$3),", "&amp;Projects!$A$3,"")&amp;IF(AND(Projects!$G$4="Yes",Projects!$C$4=AK$3),", "&amp;Projects!$A$4,"")&amp;IF(AND(Projects!$G$5="Yes",Projects!$C$5=AK$3),", "&amp;Projects!$A$5,"")&amp;IF(AND(Projects!$G$6="Yes",Projects!$C$6=AK$3),", "&amp;Projects!$A$6,"")&amp;IF(AND(Projects!$G$7="Yes",Projects!$C$7=AK$3),", "&amp;Projects!$A$7,"")&amp;IF(AND(Projects!$G$8="Yes",Projects!$C$8=AK$3),", "&amp;Projects!$A$8,"")&amp;IF(AND(Projects!$G$9="Yes",Projects!$C$9=AK$3),", "&amp;Projects!$A$9,"")&amp;IF(AND(Projects!$G$10="Yes",Projects!$C$10=AK$3),", "&amp;Projects!$A$10,"")&amp;IF(AND(Projects!$G$11="Yes",Projects!$C$11=AK$3),", "&amp;Projects!$A$11,"")&amp;IF(AND(Projects!$G$12="Yes",Projects!$C$12=AK$3),", "&amp;Projects!$A$12,"")&amp;IF(AND(Projects!$G$13="Yes",Projects!$C$13=AK$3),", "&amp;Projects!$A$13,"")&amp;IF(AND(Projects!$G$14="Yes",Projects!$C$14=AK$3),", "&amp;Projects!$A$14,"")&amp;IF(AND(Projects!$G$15="Yes",Projects!$C$15=AK$3),", "&amp;Projects!$A$15,"")&amp;IF(AND(Projects!$G$16="Yes",Projects!$C$16=AK$3),", "&amp;Projects!$A$16,"")&amp;IF(AND(Projects!$G$17="Yes",Projects!$C$17=AK$3),", "&amp;Projects!$A$17,"")&amp;IF(AND(Projects!$G$18="Yes",Projects!$C$18=AK$3),", "&amp;Projects!$A$18,"")&amp;IF(AND(Projects!$G$19="Yes",Projects!$C$19=AK$3),", "&amp;Projects!$A$19,"")&amp;IF(AND(Projects!$G$20="Yes",Projects!$C$20=AK$3),", "&amp;Projects!$A$20,"")&amp;IF(AND(Projects!$G$21="Yes",Projects!$C$21=AK$3),", "&amp;Projects!$A$21,"")&amp;IF(AND(Projects!$G$22="Yes",Projects!$C$22=AK$3),", "&amp;Projects!$A$22,"")&amp;IF(AND(Projects!$G$23="Yes",Projects!$C$23=AK$3),", "&amp;Projects!$A$23,"")&amp;IF(AND(Projects!$G$24="Yes",Projects!$C$24=AK$3),", "&amp;Projects!$A$24,"")&amp;IF(AND(Projects!$G$25="Yes",Projects!$C$25=AK$3),", "&amp;Projects!$A$25,"")&amp;IF(AND(Projects!$G$26="Yes",Projects!$C$26=AK$3),", "&amp;Projects!$A$26,"")&amp;IF(AND(Projects!$G$27="Yes",Projects!$C$27=AK$3),", "&amp;Projects!$A$27,"")&amp;IF(AND(Projects!$G$28="Yes",Projects!$C$28=AK$3),", "&amp;Projects!$A$28,"")&amp;IF(AND(Projects!$G$29="Yes",Projects!$C$29=AK$3),", "&amp;Projects!$A$29,"")&amp;IF(AND(Projects!$G$30="Yes",Projects!$C$30=AK$3),", "&amp;Projects!$A$30,"")&amp;IF(AND(Projects!$G$31="Yes",Projects!$C$31=AK$3),", "&amp;Projects!$A$31,"")&amp;IF(AND(Projects!$G$32="Yes",Projects!$C$32=AK$3),", "&amp;Projects!$A$32,"")&amp;IF(AND(Projects!$G$33="Yes",Projects!$C$33=AK$3),", "&amp;Projects!$A$33,"")&amp;IF(AND(Projects!$G$34="Yes",Projects!$C$34=AK$3),", "&amp;Projects!$A$34,"")&amp;IF(AND(Projects!$G$35="Yes",Projects!$C$35=AK$3),", "&amp;Projects!$A$35,"")&amp;IF(AND(Projects!$G$36="Yes",Projects!$C$36=AK$3),", "&amp;Projects!$A$36,"")&amp;IF(AND(Projects!$G$37="Yes",Projects!$C$37=AK$3),", "&amp;Projects!$A$37,"")&amp;IF(AND(Projects!$G$38="Yes",Projects!$C$38=AK$3),", "&amp;Projects!$A$38,"")&amp;IF(AND(Projects!$G$39="Yes",Projects!$C$39=AK$3),", "&amp;Projects!$A$39,"")&amp;IF(AND(Projects!$G$40="Yes",Projects!$C$40=AK$3),", "&amp;Projects!$A$40,"")&amp;IF(AND(Projects!$G$41="Yes",Projects!$C$41=AK$3),", "&amp;Projects!$A$41,"")&amp;IF(AND(Projects!$G$42="Yes",Projects!$C$42=AK$3),", "&amp;Projects!$A$42,"")&amp;IF(AND(Projects!$G$43="Yes",Projects!$C$43=AK$3),", "&amp;Projects!$A$43,"")&amp;IF(AND(Projects!$G$44="Yes",Projects!$C$44=AK$3),", "&amp;Projects!$A$44,"")&amp;IF(AND(Projects!$G$45="Yes",Projects!$C$45=AK$3),", "&amp;Projects!$A$45,"")&amp;IF(AND(Projects!$G$46="Yes",Projects!$C$46=AK$3),", "&amp;Projects!$A$46,""),3,10000)</f>
        <v>BD-13</v>
      </c>
      <c r="AL6" s="16" t="str">
        <f aca="false">MID(IF(AND(Projects!$G$2="Yes",Projects!$C$2=AL$3),", "&amp;Projects!$A$2,"")&amp;IF(AND(Projects!$G$3="Yes",Projects!$C$3=AL$3),", "&amp;Projects!$A$3,"")&amp;IF(AND(Projects!$G$4="Yes",Projects!$C$4=AL$3),", "&amp;Projects!$A$4,"")&amp;IF(AND(Projects!$G$5="Yes",Projects!$C$5=AL$3),", "&amp;Projects!$A$5,"")&amp;IF(AND(Projects!$G$6="Yes",Projects!$C$6=AL$3),", "&amp;Projects!$A$6,"")&amp;IF(AND(Projects!$G$7="Yes",Projects!$C$7=AL$3),", "&amp;Projects!$A$7,"")&amp;IF(AND(Projects!$G$8="Yes",Projects!$C$8=AL$3),", "&amp;Projects!$A$8,"")&amp;IF(AND(Projects!$G$9="Yes",Projects!$C$9=AL$3),", "&amp;Projects!$A$9,"")&amp;IF(AND(Projects!$G$10="Yes",Projects!$C$10=AL$3),", "&amp;Projects!$A$10,"")&amp;IF(AND(Projects!$G$11="Yes",Projects!$C$11=AL$3),", "&amp;Projects!$A$11,"")&amp;IF(AND(Projects!$G$12="Yes",Projects!$C$12=AL$3),", "&amp;Projects!$A$12,"")&amp;IF(AND(Projects!$G$13="Yes",Projects!$C$13=AL$3),", "&amp;Projects!$A$13,"")&amp;IF(AND(Projects!$G$14="Yes",Projects!$C$14=AL$3),", "&amp;Projects!$A$14,"")&amp;IF(AND(Projects!$G$15="Yes",Projects!$C$15=AL$3),", "&amp;Projects!$A$15,"")&amp;IF(AND(Projects!$G$16="Yes",Projects!$C$16=AL$3),", "&amp;Projects!$A$16,"")&amp;IF(AND(Projects!$G$17="Yes",Projects!$C$17=AL$3),", "&amp;Projects!$A$17,"")&amp;IF(AND(Projects!$G$18="Yes",Projects!$C$18=AL$3),", "&amp;Projects!$A$18,"")&amp;IF(AND(Projects!$G$19="Yes",Projects!$C$19=AL$3),", "&amp;Projects!$A$19,"")&amp;IF(AND(Projects!$G$20="Yes",Projects!$C$20=AL$3),", "&amp;Projects!$A$20,"")&amp;IF(AND(Projects!$G$21="Yes",Projects!$C$21=AL$3),", "&amp;Projects!$A$21,"")&amp;IF(AND(Projects!$G$22="Yes",Projects!$C$22=AL$3),", "&amp;Projects!$A$22,"")&amp;IF(AND(Projects!$G$23="Yes",Projects!$C$23=AL$3),", "&amp;Projects!$A$23,"")&amp;IF(AND(Projects!$G$24="Yes",Projects!$C$24=AL$3),", "&amp;Projects!$A$24,"")&amp;IF(AND(Projects!$G$25="Yes",Projects!$C$25=AL$3),", "&amp;Projects!$A$25,"")&amp;IF(AND(Projects!$G$26="Yes",Projects!$C$26=AL$3),", "&amp;Projects!$A$26,"")&amp;IF(AND(Projects!$G$27="Yes",Projects!$C$27=AL$3),", "&amp;Projects!$A$27,"")&amp;IF(AND(Projects!$G$28="Yes",Projects!$C$28=AL$3),", "&amp;Projects!$A$28,"")&amp;IF(AND(Projects!$G$29="Yes",Projects!$C$29=AL$3),", "&amp;Projects!$A$29,"")&amp;IF(AND(Projects!$G$30="Yes",Projects!$C$30=AL$3),", "&amp;Projects!$A$30,"")&amp;IF(AND(Projects!$G$31="Yes",Projects!$C$31=AL$3),", "&amp;Projects!$A$31,"")&amp;IF(AND(Projects!$G$32="Yes",Projects!$C$32=AL$3),", "&amp;Projects!$A$32,"")&amp;IF(AND(Projects!$G$33="Yes",Projects!$C$33=AL$3),", "&amp;Projects!$A$33,"")&amp;IF(AND(Projects!$G$34="Yes",Projects!$C$34=AL$3),", "&amp;Projects!$A$34,"")&amp;IF(AND(Projects!$G$35="Yes",Projects!$C$35=AL$3),", "&amp;Projects!$A$35,"")&amp;IF(AND(Projects!$G$36="Yes",Projects!$C$36=AL$3),", "&amp;Projects!$A$36,"")&amp;IF(AND(Projects!$G$37="Yes",Projects!$C$37=AL$3),", "&amp;Projects!$A$37,"")&amp;IF(AND(Projects!$G$38="Yes",Projects!$C$38=AL$3),", "&amp;Projects!$A$38,"")&amp;IF(AND(Projects!$G$39="Yes",Projects!$C$39=AL$3),", "&amp;Projects!$A$39,"")&amp;IF(AND(Projects!$G$40="Yes",Projects!$C$40=AL$3),", "&amp;Projects!$A$40,"")&amp;IF(AND(Projects!$G$41="Yes",Projects!$C$41=AL$3),", "&amp;Projects!$A$41,"")&amp;IF(AND(Projects!$G$42="Yes",Projects!$C$42=AL$3),", "&amp;Projects!$A$42,"")&amp;IF(AND(Projects!$G$43="Yes",Projects!$C$43=AL$3),", "&amp;Projects!$A$43,"")&amp;IF(AND(Projects!$G$44="Yes",Projects!$C$44=AL$3),", "&amp;Projects!$A$44,"")&amp;IF(AND(Projects!$G$45="Yes",Projects!$C$45=AL$3),", "&amp;Projects!$A$45,"")&amp;IF(AND(Projects!$G$46="Yes",Projects!$C$46=AL$3),", "&amp;Projects!$A$46,""),3,10000)</f>
        <v>BD-14</v>
      </c>
      <c r="AM6" s="16" t="str">
        <f aca="false">MID(IF(AND(Projects!$G$2="Yes",Projects!$C$2=AM$3),", "&amp;Projects!$A$2,"")&amp;IF(AND(Projects!$G$3="Yes",Projects!$C$3=AM$3),", "&amp;Projects!$A$3,"")&amp;IF(AND(Projects!$G$4="Yes",Projects!$C$4=AM$3),", "&amp;Projects!$A$4,"")&amp;IF(AND(Projects!$G$5="Yes",Projects!$C$5=AM$3),", "&amp;Projects!$A$5,"")&amp;IF(AND(Projects!$G$6="Yes",Projects!$C$6=AM$3),", "&amp;Projects!$A$6,"")&amp;IF(AND(Projects!$G$7="Yes",Projects!$C$7=AM$3),", "&amp;Projects!$A$7,"")&amp;IF(AND(Projects!$G$8="Yes",Projects!$C$8=AM$3),", "&amp;Projects!$A$8,"")&amp;IF(AND(Projects!$G$9="Yes",Projects!$C$9=AM$3),", "&amp;Projects!$A$9,"")&amp;IF(AND(Projects!$G$10="Yes",Projects!$C$10=AM$3),", "&amp;Projects!$A$10,"")&amp;IF(AND(Projects!$G$11="Yes",Projects!$C$11=AM$3),", "&amp;Projects!$A$11,"")&amp;IF(AND(Projects!$G$12="Yes",Projects!$C$12=AM$3),", "&amp;Projects!$A$12,"")&amp;IF(AND(Projects!$G$13="Yes",Projects!$C$13=AM$3),", "&amp;Projects!$A$13,"")&amp;IF(AND(Projects!$G$14="Yes",Projects!$C$14=AM$3),", "&amp;Projects!$A$14,"")&amp;IF(AND(Projects!$G$15="Yes",Projects!$C$15=AM$3),", "&amp;Projects!$A$15,"")&amp;IF(AND(Projects!$G$16="Yes",Projects!$C$16=AM$3),", "&amp;Projects!$A$16,"")&amp;IF(AND(Projects!$G$17="Yes",Projects!$C$17=AM$3),", "&amp;Projects!$A$17,"")&amp;IF(AND(Projects!$G$18="Yes",Projects!$C$18=AM$3),", "&amp;Projects!$A$18,"")&amp;IF(AND(Projects!$G$19="Yes",Projects!$C$19=AM$3),", "&amp;Projects!$A$19,"")&amp;IF(AND(Projects!$G$20="Yes",Projects!$C$20=AM$3),", "&amp;Projects!$A$20,"")&amp;IF(AND(Projects!$G$21="Yes",Projects!$C$21=AM$3),", "&amp;Projects!$A$21,"")&amp;IF(AND(Projects!$G$22="Yes",Projects!$C$22=AM$3),", "&amp;Projects!$A$22,"")&amp;IF(AND(Projects!$G$23="Yes",Projects!$C$23=AM$3),", "&amp;Projects!$A$23,"")&amp;IF(AND(Projects!$G$24="Yes",Projects!$C$24=AM$3),", "&amp;Projects!$A$24,"")&amp;IF(AND(Projects!$G$25="Yes",Projects!$C$25=AM$3),", "&amp;Projects!$A$25,"")&amp;IF(AND(Projects!$G$26="Yes",Projects!$C$26=AM$3),", "&amp;Projects!$A$26,"")&amp;IF(AND(Projects!$G$27="Yes",Projects!$C$27=AM$3),", "&amp;Projects!$A$27,"")&amp;IF(AND(Projects!$G$28="Yes",Projects!$C$28=AM$3),", "&amp;Projects!$A$28,"")&amp;IF(AND(Projects!$G$29="Yes",Projects!$C$29=AM$3),", "&amp;Projects!$A$29,"")&amp;IF(AND(Projects!$G$30="Yes",Projects!$C$30=AM$3),", "&amp;Projects!$A$30,"")&amp;IF(AND(Projects!$G$31="Yes",Projects!$C$31=AM$3),", "&amp;Projects!$A$31,"")&amp;IF(AND(Projects!$G$32="Yes",Projects!$C$32=AM$3),", "&amp;Projects!$A$32,"")&amp;IF(AND(Projects!$G$33="Yes",Projects!$C$33=AM$3),", "&amp;Projects!$A$33,"")&amp;IF(AND(Projects!$G$34="Yes",Projects!$C$34=AM$3),", "&amp;Projects!$A$34,"")&amp;IF(AND(Projects!$G$35="Yes",Projects!$C$35=AM$3),", "&amp;Projects!$A$35,"")&amp;IF(AND(Projects!$G$36="Yes",Projects!$C$36=AM$3),", "&amp;Projects!$A$36,"")&amp;IF(AND(Projects!$G$37="Yes",Projects!$C$37=AM$3),", "&amp;Projects!$A$37,"")&amp;IF(AND(Projects!$G$38="Yes",Projects!$C$38=AM$3),", "&amp;Projects!$A$38,"")&amp;IF(AND(Projects!$G$39="Yes",Projects!$C$39=AM$3),", "&amp;Projects!$A$39,"")&amp;IF(AND(Projects!$G$40="Yes",Projects!$C$40=AM$3),", "&amp;Projects!$A$40,"")&amp;IF(AND(Projects!$G$41="Yes",Projects!$C$41=AM$3),", "&amp;Projects!$A$41,"")&amp;IF(AND(Projects!$G$42="Yes",Projects!$C$42=AM$3),", "&amp;Projects!$A$42,"")&amp;IF(AND(Projects!$G$43="Yes",Projects!$C$43=AM$3),", "&amp;Projects!$A$43,"")&amp;IF(AND(Projects!$G$44="Yes",Projects!$C$44=AM$3),", "&amp;Projects!$A$44,"")&amp;IF(AND(Projects!$G$45="Yes",Projects!$C$45=AM$3),", "&amp;Projects!$A$45,"")&amp;IF(AND(Projects!$G$46="Yes",Projects!$C$46=AM$3),", "&amp;Projects!$A$46,""),3,10000)</f>
        <v>BD-15</v>
      </c>
      <c r="AN6" s="16" t="str">
        <f aca="false">MID(IF(AND(Projects!$G$2="Yes",Projects!$C$2=AN$3),", "&amp;Projects!$A$2,"")&amp;IF(AND(Projects!$G$3="Yes",Projects!$C$3=AN$3),", "&amp;Projects!$A$3,"")&amp;IF(AND(Projects!$G$4="Yes",Projects!$C$4=AN$3),", "&amp;Projects!$A$4,"")&amp;IF(AND(Projects!$G$5="Yes",Projects!$C$5=AN$3),", "&amp;Projects!$A$5,"")&amp;IF(AND(Projects!$G$6="Yes",Projects!$C$6=AN$3),", "&amp;Projects!$A$6,"")&amp;IF(AND(Projects!$G$7="Yes",Projects!$C$7=AN$3),", "&amp;Projects!$A$7,"")&amp;IF(AND(Projects!$G$8="Yes",Projects!$C$8=AN$3),", "&amp;Projects!$A$8,"")&amp;IF(AND(Projects!$G$9="Yes",Projects!$C$9=AN$3),", "&amp;Projects!$A$9,"")&amp;IF(AND(Projects!$G$10="Yes",Projects!$C$10=AN$3),", "&amp;Projects!$A$10,"")&amp;IF(AND(Projects!$G$11="Yes",Projects!$C$11=AN$3),", "&amp;Projects!$A$11,"")&amp;IF(AND(Projects!$G$12="Yes",Projects!$C$12=AN$3),", "&amp;Projects!$A$12,"")&amp;IF(AND(Projects!$G$13="Yes",Projects!$C$13=AN$3),", "&amp;Projects!$A$13,"")&amp;IF(AND(Projects!$G$14="Yes",Projects!$C$14=AN$3),", "&amp;Projects!$A$14,"")&amp;IF(AND(Projects!$G$15="Yes",Projects!$C$15=AN$3),", "&amp;Projects!$A$15,"")&amp;IF(AND(Projects!$G$16="Yes",Projects!$C$16=AN$3),", "&amp;Projects!$A$16,"")&amp;IF(AND(Projects!$G$17="Yes",Projects!$C$17=AN$3),", "&amp;Projects!$A$17,"")&amp;IF(AND(Projects!$G$18="Yes",Projects!$C$18=AN$3),", "&amp;Projects!$A$18,"")&amp;IF(AND(Projects!$G$19="Yes",Projects!$C$19=AN$3),", "&amp;Projects!$A$19,"")&amp;IF(AND(Projects!$G$20="Yes",Projects!$C$20=AN$3),", "&amp;Projects!$A$20,"")&amp;IF(AND(Projects!$G$21="Yes",Projects!$C$21=AN$3),", "&amp;Projects!$A$21,"")&amp;IF(AND(Projects!$G$22="Yes",Projects!$C$22=AN$3),", "&amp;Projects!$A$22,"")&amp;IF(AND(Projects!$G$23="Yes",Projects!$C$23=AN$3),", "&amp;Projects!$A$23,"")&amp;IF(AND(Projects!$G$24="Yes",Projects!$C$24=AN$3),", "&amp;Projects!$A$24,"")&amp;IF(AND(Projects!$G$25="Yes",Projects!$C$25=AN$3),", "&amp;Projects!$A$25,"")&amp;IF(AND(Projects!$G$26="Yes",Projects!$C$26=AN$3),", "&amp;Projects!$A$26,"")&amp;IF(AND(Projects!$G$27="Yes",Projects!$C$27=AN$3),", "&amp;Projects!$A$27,"")&amp;IF(AND(Projects!$G$28="Yes",Projects!$C$28=AN$3),", "&amp;Projects!$A$28,"")&amp;IF(AND(Projects!$G$29="Yes",Projects!$C$29=AN$3),", "&amp;Projects!$A$29,"")&amp;IF(AND(Projects!$G$30="Yes",Projects!$C$30=AN$3),", "&amp;Projects!$A$30,"")&amp;IF(AND(Projects!$G$31="Yes",Projects!$C$31=AN$3),", "&amp;Projects!$A$31,"")&amp;IF(AND(Projects!$G$32="Yes",Projects!$C$32=AN$3),", "&amp;Projects!$A$32,"")&amp;IF(AND(Projects!$G$33="Yes",Projects!$C$33=AN$3),", "&amp;Projects!$A$33,"")&amp;IF(AND(Projects!$G$34="Yes",Projects!$C$34=AN$3),", "&amp;Projects!$A$34,"")&amp;IF(AND(Projects!$G$35="Yes",Projects!$C$35=AN$3),", "&amp;Projects!$A$35,"")&amp;IF(AND(Projects!$G$36="Yes",Projects!$C$36=AN$3),", "&amp;Projects!$A$36,"")&amp;IF(AND(Projects!$G$37="Yes",Projects!$C$37=AN$3),", "&amp;Projects!$A$37,"")&amp;IF(AND(Projects!$G$38="Yes",Projects!$C$38=AN$3),", "&amp;Projects!$A$38,"")&amp;IF(AND(Projects!$G$39="Yes",Projects!$C$39=AN$3),", "&amp;Projects!$A$39,"")&amp;IF(AND(Projects!$G$40="Yes",Projects!$C$40=AN$3),", "&amp;Projects!$A$40,"")&amp;IF(AND(Projects!$G$41="Yes",Projects!$C$41=AN$3),", "&amp;Projects!$A$41,"")&amp;IF(AND(Projects!$G$42="Yes",Projects!$C$42=AN$3),", "&amp;Projects!$A$42,"")&amp;IF(AND(Projects!$G$43="Yes",Projects!$C$43=AN$3),", "&amp;Projects!$A$43,"")&amp;IF(AND(Projects!$G$44="Yes",Projects!$C$44=AN$3),", "&amp;Projects!$A$44,"")&amp;IF(AND(Projects!$G$45="Yes",Projects!$C$45=AN$3),", "&amp;Projects!$A$45,"")&amp;IF(AND(Projects!$G$46="Yes",Projects!$C$46=AN$3),", "&amp;Projects!$A$46,""),3,10000)</f>
        <v>BD-16</v>
      </c>
      <c r="AO6" s="16" t="str">
        <f aca="false">MID(IF(AND(Projects!$G$2="Yes",Projects!$C$2=AO$3),", "&amp;Projects!$A$2,"")&amp;IF(AND(Projects!$G$3="Yes",Projects!$C$3=AO$3),", "&amp;Projects!$A$3,"")&amp;IF(AND(Projects!$G$4="Yes",Projects!$C$4=AO$3),", "&amp;Projects!$A$4,"")&amp;IF(AND(Projects!$G$5="Yes",Projects!$C$5=AO$3),", "&amp;Projects!$A$5,"")&amp;IF(AND(Projects!$G$6="Yes",Projects!$C$6=AO$3),", "&amp;Projects!$A$6,"")&amp;IF(AND(Projects!$G$7="Yes",Projects!$C$7=AO$3),", "&amp;Projects!$A$7,"")&amp;IF(AND(Projects!$G$8="Yes",Projects!$C$8=AO$3),", "&amp;Projects!$A$8,"")&amp;IF(AND(Projects!$G$9="Yes",Projects!$C$9=AO$3),", "&amp;Projects!$A$9,"")&amp;IF(AND(Projects!$G$10="Yes",Projects!$C$10=AO$3),", "&amp;Projects!$A$10,"")&amp;IF(AND(Projects!$G$11="Yes",Projects!$C$11=AO$3),", "&amp;Projects!$A$11,"")&amp;IF(AND(Projects!$G$12="Yes",Projects!$C$12=AO$3),", "&amp;Projects!$A$12,"")&amp;IF(AND(Projects!$G$13="Yes",Projects!$C$13=AO$3),", "&amp;Projects!$A$13,"")&amp;IF(AND(Projects!$G$14="Yes",Projects!$C$14=AO$3),", "&amp;Projects!$A$14,"")&amp;IF(AND(Projects!$G$15="Yes",Projects!$C$15=AO$3),", "&amp;Projects!$A$15,"")&amp;IF(AND(Projects!$G$16="Yes",Projects!$C$16=AO$3),", "&amp;Projects!$A$16,"")&amp;IF(AND(Projects!$G$17="Yes",Projects!$C$17=AO$3),", "&amp;Projects!$A$17,"")&amp;IF(AND(Projects!$G$18="Yes",Projects!$C$18=AO$3),", "&amp;Projects!$A$18,"")&amp;IF(AND(Projects!$G$19="Yes",Projects!$C$19=AO$3),", "&amp;Projects!$A$19,"")&amp;IF(AND(Projects!$G$20="Yes",Projects!$C$20=AO$3),", "&amp;Projects!$A$20,"")&amp;IF(AND(Projects!$G$21="Yes",Projects!$C$21=AO$3),", "&amp;Projects!$A$21,"")&amp;IF(AND(Projects!$G$22="Yes",Projects!$C$22=AO$3),", "&amp;Projects!$A$22,"")&amp;IF(AND(Projects!$G$23="Yes",Projects!$C$23=AO$3),", "&amp;Projects!$A$23,"")&amp;IF(AND(Projects!$G$24="Yes",Projects!$C$24=AO$3),", "&amp;Projects!$A$24,"")&amp;IF(AND(Projects!$G$25="Yes",Projects!$C$25=AO$3),", "&amp;Projects!$A$25,"")&amp;IF(AND(Projects!$G$26="Yes",Projects!$C$26=AO$3),", "&amp;Projects!$A$26,"")&amp;IF(AND(Projects!$G$27="Yes",Projects!$C$27=AO$3),", "&amp;Projects!$A$27,"")&amp;IF(AND(Projects!$G$28="Yes",Projects!$C$28=AO$3),", "&amp;Projects!$A$28,"")&amp;IF(AND(Projects!$G$29="Yes",Projects!$C$29=AO$3),", "&amp;Projects!$A$29,"")&amp;IF(AND(Projects!$G$30="Yes",Projects!$C$30=AO$3),", "&amp;Projects!$A$30,"")&amp;IF(AND(Projects!$G$31="Yes",Projects!$C$31=AO$3),", "&amp;Projects!$A$31,"")&amp;IF(AND(Projects!$G$32="Yes",Projects!$C$32=AO$3),", "&amp;Projects!$A$32,"")&amp;IF(AND(Projects!$G$33="Yes",Projects!$C$33=AO$3),", "&amp;Projects!$A$33,"")&amp;IF(AND(Projects!$G$34="Yes",Projects!$C$34=AO$3),", "&amp;Projects!$A$34,"")&amp;IF(AND(Projects!$G$35="Yes",Projects!$C$35=AO$3),", "&amp;Projects!$A$35,"")&amp;IF(AND(Projects!$G$36="Yes",Projects!$C$36=AO$3),", "&amp;Projects!$A$36,"")&amp;IF(AND(Projects!$G$37="Yes",Projects!$C$37=AO$3),", "&amp;Projects!$A$37,"")&amp;IF(AND(Projects!$G$38="Yes",Projects!$C$38=AO$3),", "&amp;Projects!$A$38,"")&amp;IF(AND(Projects!$G$39="Yes",Projects!$C$39=AO$3),", "&amp;Projects!$A$39,"")&amp;IF(AND(Projects!$G$40="Yes",Projects!$C$40=AO$3),", "&amp;Projects!$A$40,"")&amp;IF(AND(Projects!$G$41="Yes",Projects!$C$41=AO$3),", "&amp;Projects!$A$41,"")&amp;IF(AND(Projects!$G$42="Yes",Projects!$C$42=AO$3),", "&amp;Projects!$A$42,"")&amp;IF(AND(Projects!$G$43="Yes",Projects!$C$43=AO$3),", "&amp;Projects!$A$43,"")&amp;IF(AND(Projects!$G$44="Yes",Projects!$C$44=AO$3),", "&amp;Projects!$A$44,"")&amp;IF(AND(Projects!$G$45="Yes",Projects!$C$45=AO$3),", "&amp;Projects!$A$45,"")&amp;IF(AND(Projects!$G$46="Yes",Projects!$C$46=AO$3),", "&amp;Projects!$A$46,""),3,10000)</f>
        <v>BD-17</v>
      </c>
      <c r="AP6" s="16" t="str">
        <f aca="false">MID(IF(AND(Projects!$G$2="Yes",Projects!$C$2=AP$3),", "&amp;Projects!$A$2,"")&amp;IF(AND(Projects!$G$3="Yes",Projects!$C$3=AP$3),", "&amp;Projects!$A$3,"")&amp;IF(AND(Projects!$G$4="Yes",Projects!$C$4=AP$3),", "&amp;Projects!$A$4,"")&amp;IF(AND(Projects!$G$5="Yes",Projects!$C$5=AP$3),", "&amp;Projects!$A$5,"")&amp;IF(AND(Projects!$G$6="Yes",Projects!$C$6=AP$3),", "&amp;Projects!$A$6,"")&amp;IF(AND(Projects!$G$7="Yes",Projects!$C$7=AP$3),", "&amp;Projects!$A$7,"")&amp;IF(AND(Projects!$G$8="Yes",Projects!$C$8=AP$3),", "&amp;Projects!$A$8,"")&amp;IF(AND(Projects!$G$9="Yes",Projects!$C$9=AP$3),", "&amp;Projects!$A$9,"")&amp;IF(AND(Projects!$G$10="Yes",Projects!$C$10=AP$3),", "&amp;Projects!$A$10,"")&amp;IF(AND(Projects!$G$11="Yes",Projects!$C$11=AP$3),", "&amp;Projects!$A$11,"")&amp;IF(AND(Projects!$G$12="Yes",Projects!$C$12=AP$3),", "&amp;Projects!$A$12,"")&amp;IF(AND(Projects!$G$13="Yes",Projects!$C$13=AP$3),", "&amp;Projects!$A$13,"")&amp;IF(AND(Projects!$G$14="Yes",Projects!$C$14=AP$3),", "&amp;Projects!$A$14,"")&amp;IF(AND(Projects!$G$15="Yes",Projects!$C$15=AP$3),", "&amp;Projects!$A$15,"")&amp;IF(AND(Projects!$G$16="Yes",Projects!$C$16=AP$3),", "&amp;Projects!$A$16,"")&amp;IF(AND(Projects!$G$17="Yes",Projects!$C$17=AP$3),", "&amp;Projects!$A$17,"")&amp;IF(AND(Projects!$G$18="Yes",Projects!$C$18=AP$3),", "&amp;Projects!$A$18,"")&amp;IF(AND(Projects!$G$19="Yes",Projects!$C$19=AP$3),", "&amp;Projects!$A$19,"")&amp;IF(AND(Projects!$G$20="Yes",Projects!$C$20=AP$3),", "&amp;Projects!$A$20,"")&amp;IF(AND(Projects!$G$21="Yes",Projects!$C$21=AP$3),", "&amp;Projects!$A$21,"")&amp;IF(AND(Projects!$G$22="Yes",Projects!$C$22=AP$3),", "&amp;Projects!$A$22,"")&amp;IF(AND(Projects!$G$23="Yes",Projects!$C$23=AP$3),", "&amp;Projects!$A$23,"")&amp;IF(AND(Projects!$G$24="Yes",Projects!$C$24=AP$3),", "&amp;Projects!$A$24,"")&amp;IF(AND(Projects!$G$25="Yes",Projects!$C$25=AP$3),", "&amp;Projects!$A$25,"")&amp;IF(AND(Projects!$G$26="Yes",Projects!$C$26=AP$3),", "&amp;Projects!$A$26,"")&amp;IF(AND(Projects!$G$27="Yes",Projects!$C$27=AP$3),", "&amp;Projects!$A$27,"")&amp;IF(AND(Projects!$G$28="Yes",Projects!$C$28=AP$3),", "&amp;Projects!$A$28,"")&amp;IF(AND(Projects!$G$29="Yes",Projects!$C$29=AP$3),", "&amp;Projects!$A$29,"")&amp;IF(AND(Projects!$G$30="Yes",Projects!$C$30=AP$3),", "&amp;Projects!$A$30,"")&amp;IF(AND(Projects!$G$31="Yes",Projects!$C$31=AP$3),", "&amp;Projects!$A$31,"")&amp;IF(AND(Projects!$G$32="Yes",Projects!$C$32=AP$3),", "&amp;Projects!$A$32,"")&amp;IF(AND(Projects!$G$33="Yes",Projects!$C$33=AP$3),", "&amp;Projects!$A$33,"")&amp;IF(AND(Projects!$G$34="Yes",Projects!$C$34=AP$3),", "&amp;Projects!$A$34,"")&amp;IF(AND(Projects!$G$35="Yes",Projects!$C$35=AP$3),", "&amp;Projects!$A$35,"")&amp;IF(AND(Projects!$G$36="Yes",Projects!$C$36=AP$3),", "&amp;Projects!$A$36,"")&amp;IF(AND(Projects!$G$37="Yes",Projects!$C$37=AP$3),", "&amp;Projects!$A$37,"")&amp;IF(AND(Projects!$G$38="Yes",Projects!$C$38=AP$3),", "&amp;Projects!$A$38,"")&amp;IF(AND(Projects!$G$39="Yes",Projects!$C$39=AP$3),", "&amp;Projects!$A$39,"")&amp;IF(AND(Projects!$G$40="Yes",Projects!$C$40=AP$3),", "&amp;Projects!$A$40,"")&amp;IF(AND(Projects!$G$41="Yes",Projects!$C$41=AP$3),", "&amp;Projects!$A$41,"")&amp;IF(AND(Projects!$G$42="Yes",Projects!$C$42=AP$3),", "&amp;Projects!$A$42,"")&amp;IF(AND(Projects!$G$43="Yes",Projects!$C$43=AP$3),", "&amp;Projects!$A$43,"")&amp;IF(AND(Projects!$G$44="Yes",Projects!$C$44=AP$3),", "&amp;Projects!$A$44,"")&amp;IF(AND(Projects!$G$45="Yes",Projects!$C$45=AP$3),", "&amp;Projects!$A$45,"")&amp;IF(AND(Projects!$G$46="Yes",Projects!$C$46=AP$3),", "&amp;Projects!$A$46,""),3,10000)</f>
        <v>BD-18</v>
      </c>
      <c r="AQ6" s="16" t="str">
        <f aca="false">MID(IF(AND(Projects!$G$2="Yes",Projects!$C$2=AQ$3),", "&amp;Projects!$A$2,"")&amp;IF(AND(Projects!$G$3="Yes",Projects!$C$3=AQ$3),", "&amp;Projects!$A$3,"")&amp;IF(AND(Projects!$G$4="Yes",Projects!$C$4=AQ$3),", "&amp;Projects!$A$4,"")&amp;IF(AND(Projects!$G$5="Yes",Projects!$C$5=AQ$3),", "&amp;Projects!$A$5,"")&amp;IF(AND(Projects!$G$6="Yes",Projects!$C$6=AQ$3),", "&amp;Projects!$A$6,"")&amp;IF(AND(Projects!$G$7="Yes",Projects!$C$7=AQ$3),", "&amp;Projects!$A$7,"")&amp;IF(AND(Projects!$G$8="Yes",Projects!$C$8=AQ$3),", "&amp;Projects!$A$8,"")&amp;IF(AND(Projects!$G$9="Yes",Projects!$C$9=AQ$3),", "&amp;Projects!$A$9,"")&amp;IF(AND(Projects!$G$10="Yes",Projects!$C$10=AQ$3),", "&amp;Projects!$A$10,"")&amp;IF(AND(Projects!$G$11="Yes",Projects!$C$11=AQ$3),", "&amp;Projects!$A$11,"")&amp;IF(AND(Projects!$G$12="Yes",Projects!$C$12=AQ$3),", "&amp;Projects!$A$12,"")&amp;IF(AND(Projects!$G$13="Yes",Projects!$C$13=AQ$3),", "&amp;Projects!$A$13,"")&amp;IF(AND(Projects!$G$14="Yes",Projects!$C$14=AQ$3),", "&amp;Projects!$A$14,"")&amp;IF(AND(Projects!$G$15="Yes",Projects!$C$15=AQ$3),", "&amp;Projects!$A$15,"")&amp;IF(AND(Projects!$G$16="Yes",Projects!$C$16=AQ$3),", "&amp;Projects!$A$16,"")&amp;IF(AND(Projects!$G$17="Yes",Projects!$C$17=AQ$3),", "&amp;Projects!$A$17,"")&amp;IF(AND(Projects!$G$18="Yes",Projects!$C$18=AQ$3),", "&amp;Projects!$A$18,"")&amp;IF(AND(Projects!$G$19="Yes",Projects!$C$19=AQ$3),", "&amp;Projects!$A$19,"")&amp;IF(AND(Projects!$G$20="Yes",Projects!$C$20=AQ$3),", "&amp;Projects!$A$20,"")&amp;IF(AND(Projects!$G$21="Yes",Projects!$C$21=AQ$3),", "&amp;Projects!$A$21,"")&amp;IF(AND(Projects!$G$22="Yes",Projects!$C$22=AQ$3),", "&amp;Projects!$A$22,"")&amp;IF(AND(Projects!$G$23="Yes",Projects!$C$23=AQ$3),", "&amp;Projects!$A$23,"")&amp;IF(AND(Projects!$G$24="Yes",Projects!$C$24=AQ$3),", "&amp;Projects!$A$24,"")&amp;IF(AND(Projects!$G$25="Yes",Projects!$C$25=AQ$3),", "&amp;Projects!$A$25,"")&amp;IF(AND(Projects!$G$26="Yes",Projects!$C$26=AQ$3),", "&amp;Projects!$A$26,"")&amp;IF(AND(Projects!$G$27="Yes",Projects!$C$27=AQ$3),", "&amp;Projects!$A$27,"")&amp;IF(AND(Projects!$G$28="Yes",Projects!$C$28=AQ$3),", "&amp;Projects!$A$28,"")&amp;IF(AND(Projects!$G$29="Yes",Projects!$C$29=AQ$3),", "&amp;Projects!$A$29,"")&amp;IF(AND(Projects!$G$30="Yes",Projects!$C$30=AQ$3),", "&amp;Projects!$A$30,"")&amp;IF(AND(Projects!$G$31="Yes",Projects!$C$31=AQ$3),", "&amp;Projects!$A$31,"")&amp;IF(AND(Projects!$G$32="Yes",Projects!$C$32=AQ$3),", "&amp;Projects!$A$32,"")&amp;IF(AND(Projects!$G$33="Yes",Projects!$C$33=AQ$3),", "&amp;Projects!$A$33,"")&amp;IF(AND(Projects!$G$34="Yes",Projects!$C$34=AQ$3),", "&amp;Projects!$A$34,"")&amp;IF(AND(Projects!$G$35="Yes",Projects!$C$35=AQ$3),", "&amp;Projects!$A$35,"")&amp;IF(AND(Projects!$G$36="Yes",Projects!$C$36=AQ$3),", "&amp;Projects!$A$36,"")&amp;IF(AND(Projects!$G$37="Yes",Projects!$C$37=AQ$3),", "&amp;Projects!$A$37,"")&amp;IF(AND(Projects!$G$38="Yes",Projects!$C$38=AQ$3),", "&amp;Projects!$A$38,"")&amp;IF(AND(Projects!$G$39="Yes",Projects!$C$39=AQ$3),", "&amp;Projects!$A$39,"")&amp;IF(AND(Projects!$G$40="Yes",Projects!$C$40=AQ$3),", "&amp;Projects!$A$40,"")&amp;IF(AND(Projects!$G$41="Yes",Projects!$C$41=AQ$3),", "&amp;Projects!$A$41,"")&amp;IF(AND(Projects!$G$42="Yes",Projects!$C$42=AQ$3),", "&amp;Projects!$A$42,"")&amp;IF(AND(Projects!$G$43="Yes",Projects!$C$43=AQ$3),", "&amp;Projects!$A$43,"")&amp;IF(AND(Projects!$G$44="Yes",Projects!$C$44=AQ$3),", "&amp;Projects!$A$44,"")&amp;IF(AND(Projects!$G$45="Yes",Projects!$C$45=AQ$3),", "&amp;Projects!$A$45,"")&amp;IF(AND(Projects!$G$46="Yes",Projects!$C$46=AQ$3),", "&amp;Projects!$A$46,""),3,10000)</f>
        <v>BD-19</v>
      </c>
      <c r="AR6" s="16" t="str">
        <f aca="false">MID(IF(AND(Projects!$G$2="Yes",Projects!$C$2=AR$3),", "&amp;Projects!$A$2,"")&amp;IF(AND(Projects!$G$3="Yes",Projects!$C$3=AR$3),", "&amp;Projects!$A$3,"")&amp;IF(AND(Projects!$G$4="Yes",Projects!$C$4=AR$3),", "&amp;Projects!$A$4,"")&amp;IF(AND(Projects!$G$5="Yes",Projects!$C$5=AR$3),", "&amp;Projects!$A$5,"")&amp;IF(AND(Projects!$G$6="Yes",Projects!$C$6=AR$3),", "&amp;Projects!$A$6,"")&amp;IF(AND(Projects!$G$7="Yes",Projects!$C$7=AR$3),", "&amp;Projects!$A$7,"")&amp;IF(AND(Projects!$G$8="Yes",Projects!$C$8=AR$3),", "&amp;Projects!$A$8,"")&amp;IF(AND(Projects!$G$9="Yes",Projects!$C$9=AR$3),", "&amp;Projects!$A$9,"")&amp;IF(AND(Projects!$G$10="Yes",Projects!$C$10=AR$3),", "&amp;Projects!$A$10,"")&amp;IF(AND(Projects!$G$11="Yes",Projects!$C$11=AR$3),", "&amp;Projects!$A$11,"")&amp;IF(AND(Projects!$G$12="Yes",Projects!$C$12=AR$3),", "&amp;Projects!$A$12,"")&amp;IF(AND(Projects!$G$13="Yes",Projects!$C$13=AR$3),", "&amp;Projects!$A$13,"")&amp;IF(AND(Projects!$G$14="Yes",Projects!$C$14=AR$3),", "&amp;Projects!$A$14,"")&amp;IF(AND(Projects!$G$15="Yes",Projects!$C$15=AR$3),", "&amp;Projects!$A$15,"")&amp;IF(AND(Projects!$G$16="Yes",Projects!$C$16=AR$3),", "&amp;Projects!$A$16,"")&amp;IF(AND(Projects!$G$17="Yes",Projects!$C$17=AR$3),", "&amp;Projects!$A$17,"")&amp;IF(AND(Projects!$G$18="Yes",Projects!$C$18=AR$3),", "&amp;Projects!$A$18,"")&amp;IF(AND(Projects!$G$19="Yes",Projects!$C$19=AR$3),", "&amp;Projects!$A$19,"")&amp;IF(AND(Projects!$G$20="Yes",Projects!$C$20=AR$3),", "&amp;Projects!$A$20,"")&amp;IF(AND(Projects!$G$21="Yes",Projects!$C$21=AR$3),", "&amp;Projects!$A$21,"")&amp;IF(AND(Projects!$G$22="Yes",Projects!$C$22=AR$3),", "&amp;Projects!$A$22,"")&amp;IF(AND(Projects!$G$23="Yes",Projects!$C$23=AR$3),", "&amp;Projects!$A$23,"")&amp;IF(AND(Projects!$G$24="Yes",Projects!$C$24=AR$3),", "&amp;Projects!$A$24,"")&amp;IF(AND(Projects!$G$25="Yes",Projects!$C$25=AR$3),", "&amp;Projects!$A$25,"")&amp;IF(AND(Projects!$G$26="Yes",Projects!$C$26=AR$3),", "&amp;Projects!$A$26,"")&amp;IF(AND(Projects!$G$27="Yes",Projects!$C$27=AR$3),", "&amp;Projects!$A$27,"")&amp;IF(AND(Projects!$G$28="Yes",Projects!$C$28=AR$3),", "&amp;Projects!$A$28,"")&amp;IF(AND(Projects!$G$29="Yes",Projects!$C$29=AR$3),", "&amp;Projects!$A$29,"")&amp;IF(AND(Projects!$G$30="Yes",Projects!$C$30=AR$3),", "&amp;Projects!$A$30,"")&amp;IF(AND(Projects!$G$31="Yes",Projects!$C$31=AR$3),", "&amp;Projects!$A$31,"")&amp;IF(AND(Projects!$G$32="Yes",Projects!$C$32=AR$3),", "&amp;Projects!$A$32,"")&amp;IF(AND(Projects!$G$33="Yes",Projects!$C$33=AR$3),", "&amp;Projects!$A$33,"")&amp;IF(AND(Projects!$G$34="Yes",Projects!$C$34=AR$3),", "&amp;Projects!$A$34,"")&amp;IF(AND(Projects!$G$35="Yes",Projects!$C$35=AR$3),", "&amp;Projects!$A$35,"")&amp;IF(AND(Projects!$G$36="Yes",Projects!$C$36=AR$3),", "&amp;Projects!$A$36,"")&amp;IF(AND(Projects!$G$37="Yes",Projects!$C$37=AR$3),", "&amp;Projects!$A$37,"")&amp;IF(AND(Projects!$G$38="Yes",Projects!$C$38=AR$3),", "&amp;Projects!$A$38,"")&amp;IF(AND(Projects!$G$39="Yes",Projects!$C$39=AR$3),", "&amp;Projects!$A$39,"")&amp;IF(AND(Projects!$G$40="Yes",Projects!$C$40=AR$3),", "&amp;Projects!$A$40,"")&amp;IF(AND(Projects!$G$41="Yes",Projects!$C$41=AR$3),", "&amp;Projects!$A$41,"")&amp;IF(AND(Projects!$G$42="Yes",Projects!$C$42=AR$3),", "&amp;Projects!$A$42,"")&amp;IF(AND(Projects!$G$43="Yes",Projects!$C$43=AR$3),", "&amp;Projects!$A$43,"")&amp;IF(AND(Projects!$G$44="Yes",Projects!$C$44=AR$3),", "&amp;Projects!$A$44,"")&amp;IF(AND(Projects!$G$45="Yes",Projects!$C$45=AR$3),", "&amp;Projects!$A$45,"")&amp;IF(AND(Projects!$G$46="Yes",Projects!$C$46=AR$3),", "&amp;Projects!$A$46,""),3,10000)</f>
        <v/>
      </c>
      <c r="AS6" s="16" t="str">
        <f aca="false">MID(IF(AND(Projects!$G$2="Yes",Projects!$C$2=AS$3),", "&amp;Projects!$A$2,"")&amp;IF(AND(Projects!$G$3="Yes",Projects!$C$3=AS$3),", "&amp;Projects!$A$3,"")&amp;IF(AND(Projects!$G$4="Yes",Projects!$C$4=AS$3),", "&amp;Projects!$A$4,"")&amp;IF(AND(Projects!$G$5="Yes",Projects!$C$5=AS$3),", "&amp;Projects!$A$5,"")&amp;IF(AND(Projects!$G$6="Yes",Projects!$C$6=AS$3),", "&amp;Projects!$A$6,"")&amp;IF(AND(Projects!$G$7="Yes",Projects!$C$7=AS$3),", "&amp;Projects!$A$7,"")&amp;IF(AND(Projects!$G$8="Yes",Projects!$C$8=AS$3),", "&amp;Projects!$A$8,"")&amp;IF(AND(Projects!$G$9="Yes",Projects!$C$9=AS$3),", "&amp;Projects!$A$9,"")&amp;IF(AND(Projects!$G$10="Yes",Projects!$C$10=AS$3),", "&amp;Projects!$A$10,"")&amp;IF(AND(Projects!$G$11="Yes",Projects!$C$11=AS$3),", "&amp;Projects!$A$11,"")&amp;IF(AND(Projects!$G$12="Yes",Projects!$C$12=AS$3),", "&amp;Projects!$A$12,"")&amp;IF(AND(Projects!$G$13="Yes",Projects!$C$13=AS$3),", "&amp;Projects!$A$13,"")&amp;IF(AND(Projects!$G$14="Yes",Projects!$C$14=AS$3),", "&amp;Projects!$A$14,"")&amp;IF(AND(Projects!$G$15="Yes",Projects!$C$15=AS$3),", "&amp;Projects!$A$15,"")&amp;IF(AND(Projects!$G$16="Yes",Projects!$C$16=AS$3),", "&amp;Projects!$A$16,"")&amp;IF(AND(Projects!$G$17="Yes",Projects!$C$17=AS$3),", "&amp;Projects!$A$17,"")&amp;IF(AND(Projects!$G$18="Yes",Projects!$C$18=AS$3),", "&amp;Projects!$A$18,"")&amp;IF(AND(Projects!$G$19="Yes",Projects!$C$19=AS$3),", "&amp;Projects!$A$19,"")&amp;IF(AND(Projects!$G$20="Yes",Projects!$C$20=AS$3),", "&amp;Projects!$A$20,"")&amp;IF(AND(Projects!$G$21="Yes",Projects!$C$21=AS$3),", "&amp;Projects!$A$21,"")&amp;IF(AND(Projects!$G$22="Yes",Projects!$C$22=AS$3),", "&amp;Projects!$A$22,"")&amp;IF(AND(Projects!$G$23="Yes",Projects!$C$23=AS$3),", "&amp;Projects!$A$23,"")&amp;IF(AND(Projects!$G$24="Yes",Projects!$C$24=AS$3),", "&amp;Projects!$A$24,"")&amp;IF(AND(Projects!$G$25="Yes",Projects!$C$25=AS$3),", "&amp;Projects!$A$25,"")&amp;IF(AND(Projects!$G$26="Yes",Projects!$C$26=AS$3),", "&amp;Projects!$A$26,"")&amp;IF(AND(Projects!$G$27="Yes",Projects!$C$27=AS$3),", "&amp;Projects!$A$27,"")&amp;IF(AND(Projects!$G$28="Yes",Projects!$C$28=AS$3),", "&amp;Projects!$A$28,"")&amp;IF(AND(Projects!$G$29="Yes",Projects!$C$29=AS$3),", "&amp;Projects!$A$29,"")&amp;IF(AND(Projects!$G$30="Yes",Projects!$C$30=AS$3),", "&amp;Projects!$A$30,"")&amp;IF(AND(Projects!$G$31="Yes",Projects!$C$31=AS$3),", "&amp;Projects!$A$31,"")&amp;IF(AND(Projects!$G$32="Yes",Projects!$C$32=AS$3),", "&amp;Projects!$A$32,"")&amp;IF(AND(Projects!$G$33="Yes",Projects!$C$33=AS$3),", "&amp;Projects!$A$33,"")&amp;IF(AND(Projects!$G$34="Yes",Projects!$C$34=AS$3),", "&amp;Projects!$A$34,"")&amp;IF(AND(Projects!$G$35="Yes",Projects!$C$35=AS$3),", "&amp;Projects!$A$35,"")&amp;IF(AND(Projects!$G$36="Yes",Projects!$C$36=AS$3),", "&amp;Projects!$A$36,"")&amp;IF(AND(Projects!$G$37="Yes",Projects!$C$37=AS$3),", "&amp;Projects!$A$37,"")&amp;IF(AND(Projects!$G$38="Yes",Projects!$C$38=AS$3),", "&amp;Projects!$A$38,"")&amp;IF(AND(Projects!$G$39="Yes",Projects!$C$39=AS$3),", "&amp;Projects!$A$39,"")&amp;IF(AND(Projects!$G$40="Yes",Projects!$C$40=AS$3),", "&amp;Projects!$A$40,"")&amp;IF(AND(Projects!$G$41="Yes",Projects!$C$41=AS$3),", "&amp;Projects!$A$41,"")&amp;IF(AND(Projects!$G$42="Yes",Projects!$C$42=AS$3),", "&amp;Projects!$A$42,"")&amp;IF(AND(Projects!$G$43="Yes",Projects!$C$43=AS$3),", "&amp;Projects!$A$43,"")&amp;IF(AND(Projects!$G$44="Yes",Projects!$C$44=AS$3),", "&amp;Projects!$A$44,"")&amp;IF(AND(Projects!$G$45="Yes",Projects!$C$45=AS$3),", "&amp;Projects!$A$45,"")&amp;IF(AND(Projects!$G$46="Yes",Projects!$C$46=AS$3),", "&amp;Projects!$A$46,""),3,10000)</f>
        <v/>
      </c>
      <c r="AT6" s="16" t="str">
        <f aca="false">MID(IF(AND(Projects!$G$2="Yes",Projects!$C$2=AT$3),", "&amp;Projects!$A$2,"")&amp;IF(AND(Projects!$G$3="Yes",Projects!$C$3=AT$3),", "&amp;Projects!$A$3,"")&amp;IF(AND(Projects!$G$4="Yes",Projects!$C$4=AT$3),", "&amp;Projects!$A$4,"")&amp;IF(AND(Projects!$G$5="Yes",Projects!$C$5=AT$3),", "&amp;Projects!$A$5,"")&amp;IF(AND(Projects!$G$6="Yes",Projects!$C$6=AT$3),", "&amp;Projects!$A$6,"")&amp;IF(AND(Projects!$G$7="Yes",Projects!$C$7=AT$3),", "&amp;Projects!$A$7,"")&amp;IF(AND(Projects!$G$8="Yes",Projects!$C$8=AT$3),", "&amp;Projects!$A$8,"")&amp;IF(AND(Projects!$G$9="Yes",Projects!$C$9=AT$3),", "&amp;Projects!$A$9,"")&amp;IF(AND(Projects!$G$10="Yes",Projects!$C$10=AT$3),", "&amp;Projects!$A$10,"")&amp;IF(AND(Projects!$G$11="Yes",Projects!$C$11=AT$3),", "&amp;Projects!$A$11,"")&amp;IF(AND(Projects!$G$12="Yes",Projects!$C$12=AT$3),", "&amp;Projects!$A$12,"")&amp;IF(AND(Projects!$G$13="Yes",Projects!$C$13=AT$3),", "&amp;Projects!$A$13,"")&amp;IF(AND(Projects!$G$14="Yes",Projects!$C$14=AT$3),", "&amp;Projects!$A$14,"")&amp;IF(AND(Projects!$G$15="Yes",Projects!$C$15=AT$3),", "&amp;Projects!$A$15,"")&amp;IF(AND(Projects!$G$16="Yes",Projects!$C$16=AT$3),", "&amp;Projects!$A$16,"")&amp;IF(AND(Projects!$G$17="Yes",Projects!$C$17=AT$3),", "&amp;Projects!$A$17,"")&amp;IF(AND(Projects!$G$18="Yes",Projects!$C$18=AT$3),", "&amp;Projects!$A$18,"")&amp;IF(AND(Projects!$G$19="Yes",Projects!$C$19=AT$3),", "&amp;Projects!$A$19,"")&amp;IF(AND(Projects!$G$20="Yes",Projects!$C$20=AT$3),", "&amp;Projects!$A$20,"")&amp;IF(AND(Projects!$G$21="Yes",Projects!$C$21=AT$3),", "&amp;Projects!$A$21,"")&amp;IF(AND(Projects!$G$22="Yes",Projects!$C$22=AT$3),", "&amp;Projects!$A$22,"")&amp;IF(AND(Projects!$G$23="Yes",Projects!$C$23=AT$3),", "&amp;Projects!$A$23,"")&amp;IF(AND(Projects!$G$24="Yes",Projects!$C$24=AT$3),", "&amp;Projects!$A$24,"")&amp;IF(AND(Projects!$G$25="Yes",Projects!$C$25=AT$3),", "&amp;Projects!$A$25,"")&amp;IF(AND(Projects!$G$26="Yes",Projects!$C$26=AT$3),", "&amp;Projects!$A$26,"")&amp;IF(AND(Projects!$G$27="Yes",Projects!$C$27=AT$3),", "&amp;Projects!$A$27,"")&amp;IF(AND(Projects!$G$28="Yes",Projects!$C$28=AT$3),", "&amp;Projects!$A$28,"")&amp;IF(AND(Projects!$G$29="Yes",Projects!$C$29=AT$3),", "&amp;Projects!$A$29,"")&amp;IF(AND(Projects!$G$30="Yes",Projects!$C$30=AT$3),", "&amp;Projects!$A$30,"")&amp;IF(AND(Projects!$G$31="Yes",Projects!$C$31=AT$3),", "&amp;Projects!$A$31,"")&amp;IF(AND(Projects!$G$32="Yes",Projects!$C$32=AT$3),", "&amp;Projects!$A$32,"")&amp;IF(AND(Projects!$G$33="Yes",Projects!$C$33=AT$3),", "&amp;Projects!$A$33,"")&amp;IF(AND(Projects!$G$34="Yes",Projects!$C$34=AT$3),", "&amp;Projects!$A$34,"")&amp;IF(AND(Projects!$G$35="Yes",Projects!$C$35=AT$3),", "&amp;Projects!$A$35,"")&amp;IF(AND(Projects!$G$36="Yes",Projects!$C$36=AT$3),", "&amp;Projects!$A$36,"")&amp;IF(AND(Projects!$G$37="Yes",Projects!$C$37=AT$3),", "&amp;Projects!$A$37,"")&amp;IF(AND(Projects!$G$38="Yes",Projects!$C$38=AT$3),", "&amp;Projects!$A$38,"")&amp;IF(AND(Projects!$G$39="Yes",Projects!$C$39=AT$3),", "&amp;Projects!$A$39,"")&amp;IF(AND(Projects!$G$40="Yes",Projects!$C$40=AT$3),", "&amp;Projects!$A$40,"")&amp;IF(AND(Projects!$G$41="Yes",Projects!$C$41=AT$3),", "&amp;Projects!$A$41,"")&amp;IF(AND(Projects!$G$42="Yes",Projects!$C$42=AT$3),", "&amp;Projects!$A$42,"")&amp;IF(AND(Projects!$G$43="Yes",Projects!$C$43=AT$3),", "&amp;Projects!$A$43,"")&amp;IF(AND(Projects!$G$44="Yes",Projects!$C$44=AT$3),", "&amp;Projects!$A$44,"")&amp;IF(AND(Projects!$G$45="Yes",Projects!$C$45=AT$3),", "&amp;Projects!$A$45,"")&amp;IF(AND(Projects!$G$46="Yes",Projects!$C$46=AT$3),", "&amp;Projects!$A$46,""),3,10000)</f>
        <v/>
      </c>
      <c r="AU6" s="16" t="str">
        <f aca="false">MID(IF(AND(Projects!$G$2="Yes",Projects!$C$2=AU$3),", "&amp;Projects!$A$2,"")&amp;IF(AND(Projects!$G$3="Yes",Projects!$C$3=AU$3),", "&amp;Projects!$A$3,"")&amp;IF(AND(Projects!$G$4="Yes",Projects!$C$4=AU$3),", "&amp;Projects!$A$4,"")&amp;IF(AND(Projects!$G$5="Yes",Projects!$C$5=AU$3),", "&amp;Projects!$A$5,"")&amp;IF(AND(Projects!$G$6="Yes",Projects!$C$6=AU$3),", "&amp;Projects!$A$6,"")&amp;IF(AND(Projects!$G$7="Yes",Projects!$C$7=AU$3),", "&amp;Projects!$A$7,"")&amp;IF(AND(Projects!$G$8="Yes",Projects!$C$8=AU$3),", "&amp;Projects!$A$8,"")&amp;IF(AND(Projects!$G$9="Yes",Projects!$C$9=AU$3),", "&amp;Projects!$A$9,"")&amp;IF(AND(Projects!$G$10="Yes",Projects!$C$10=AU$3),", "&amp;Projects!$A$10,"")&amp;IF(AND(Projects!$G$11="Yes",Projects!$C$11=AU$3),", "&amp;Projects!$A$11,"")&amp;IF(AND(Projects!$G$12="Yes",Projects!$C$12=AU$3),", "&amp;Projects!$A$12,"")&amp;IF(AND(Projects!$G$13="Yes",Projects!$C$13=AU$3),", "&amp;Projects!$A$13,"")&amp;IF(AND(Projects!$G$14="Yes",Projects!$C$14=AU$3),", "&amp;Projects!$A$14,"")&amp;IF(AND(Projects!$G$15="Yes",Projects!$C$15=AU$3),", "&amp;Projects!$A$15,"")&amp;IF(AND(Projects!$G$16="Yes",Projects!$C$16=AU$3),", "&amp;Projects!$A$16,"")&amp;IF(AND(Projects!$G$17="Yes",Projects!$C$17=AU$3),", "&amp;Projects!$A$17,"")&amp;IF(AND(Projects!$G$18="Yes",Projects!$C$18=AU$3),", "&amp;Projects!$A$18,"")&amp;IF(AND(Projects!$G$19="Yes",Projects!$C$19=AU$3),", "&amp;Projects!$A$19,"")&amp;IF(AND(Projects!$G$20="Yes",Projects!$C$20=AU$3),", "&amp;Projects!$A$20,"")&amp;IF(AND(Projects!$G$21="Yes",Projects!$C$21=AU$3),", "&amp;Projects!$A$21,"")&amp;IF(AND(Projects!$G$22="Yes",Projects!$C$22=AU$3),", "&amp;Projects!$A$22,"")&amp;IF(AND(Projects!$G$23="Yes",Projects!$C$23=AU$3),", "&amp;Projects!$A$23,"")&amp;IF(AND(Projects!$G$24="Yes",Projects!$C$24=AU$3),", "&amp;Projects!$A$24,"")&amp;IF(AND(Projects!$G$25="Yes",Projects!$C$25=AU$3),", "&amp;Projects!$A$25,"")&amp;IF(AND(Projects!$G$26="Yes",Projects!$C$26=AU$3),", "&amp;Projects!$A$26,"")&amp;IF(AND(Projects!$G$27="Yes",Projects!$C$27=AU$3),", "&amp;Projects!$A$27,"")&amp;IF(AND(Projects!$G$28="Yes",Projects!$C$28=AU$3),", "&amp;Projects!$A$28,"")&amp;IF(AND(Projects!$G$29="Yes",Projects!$C$29=AU$3),", "&amp;Projects!$A$29,"")&amp;IF(AND(Projects!$G$30="Yes",Projects!$C$30=AU$3),", "&amp;Projects!$A$30,"")&amp;IF(AND(Projects!$G$31="Yes",Projects!$C$31=AU$3),", "&amp;Projects!$A$31,"")&amp;IF(AND(Projects!$G$32="Yes",Projects!$C$32=AU$3),", "&amp;Projects!$A$32,"")&amp;IF(AND(Projects!$G$33="Yes",Projects!$C$33=AU$3),", "&amp;Projects!$A$33,"")&amp;IF(AND(Projects!$G$34="Yes",Projects!$C$34=AU$3),", "&amp;Projects!$A$34,"")&amp;IF(AND(Projects!$G$35="Yes",Projects!$C$35=AU$3),", "&amp;Projects!$A$35,"")&amp;IF(AND(Projects!$G$36="Yes",Projects!$C$36=AU$3),", "&amp;Projects!$A$36,"")&amp;IF(AND(Projects!$G$37="Yes",Projects!$C$37=AU$3),", "&amp;Projects!$A$37,"")&amp;IF(AND(Projects!$G$38="Yes",Projects!$C$38=AU$3),", "&amp;Projects!$A$38,"")&amp;IF(AND(Projects!$G$39="Yes",Projects!$C$39=AU$3),", "&amp;Projects!$A$39,"")&amp;IF(AND(Projects!$G$40="Yes",Projects!$C$40=AU$3),", "&amp;Projects!$A$40,"")&amp;IF(AND(Projects!$G$41="Yes",Projects!$C$41=AU$3),", "&amp;Projects!$A$41,"")&amp;IF(AND(Projects!$G$42="Yes",Projects!$C$42=AU$3),", "&amp;Projects!$A$42,"")&amp;IF(AND(Projects!$G$43="Yes",Projects!$C$43=AU$3),", "&amp;Projects!$A$43,"")&amp;IF(AND(Projects!$G$44="Yes",Projects!$C$44=AU$3),", "&amp;Projects!$A$44,"")&amp;IF(AND(Projects!$G$45="Yes",Projects!$C$45=AU$3),", "&amp;Projects!$A$45,"")&amp;IF(AND(Projects!$G$46="Yes",Projects!$C$46=AU$3),", "&amp;Projects!$A$46,""),3,10000)</f>
        <v>BD-20</v>
      </c>
      <c r="AV6" s="16" t="str">
        <f aca="false">MID(IF(AND(Projects!$G$2="Yes",Projects!$C$2=AV$3),", "&amp;Projects!$A$2,"")&amp;IF(AND(Projects!$G$3="Yes",Projects!$C$3=AV$3),", "&amp;Projects!$A$3,"")&amp;IF(AND(Projects!$G$4="Yes",Projects!$C$4=AV$3),", "&amp;Projects!$A$4,"")&amp;IF(AND(Projects!$G$5="Yes",Projects!$C$5=AV$3),", "&amp;Projects!$A$5,"")&amp;IF(AND(Projects!$G$6="Yes",Projects!$C$6=AV$3),", "&amp;Projects!$A$6,"")&amp;IF(AND(Projects!$G$7="Yes",Projects!$C$7=AV$3),", "&amp;Projects!$A$7,"")&amp;IF(AND(Projects!$G$8="Yes",Projects!$C$8=AV$3),", "&amp;Projects!$A$8,"")&amp;IF(AND(Projects!$G$9="Yes",Projects!$C$9=AV$3),", "&amp;Projects!$A$9,"")&amp;IF(AND(Projects!$G$10="Yes",Projects!$C$10=AV$3),", "&amp;Projects!$A$10,"")&amp;IF(AND(Projects!$G$11="Yes",Projects!$C$11=AV$3),", "&amp;Projects!$A$11,"")&amp;IF(AND(Projects!$G$12="Yes",Projects!$C$12=AV$3),", "&amp;Projects!$A$12,"")&amp;IF(AND(Projects!$G$13="Yes",Projects!$C$13=AV$3),", "&amp;Projects!$A$13,"")&amp;IF(AND(Projects!$G$14="Yes",Projects!$C$14=AV$3),", "&amp;Projects!$A$14,"")&amp;IF(AND(Projects!$G$15="Yes",Projects!$C$15=AV$3),", "&amp;Projects!$A$15,"")&amp;IF(AND(Projects!$G$16="Yes",Projects!$C$16=AV$3),", "&amp;Projects!$A$16,"")&amp;IF(AND(Projects!$G$17="Yes",Projects!$C$17=AV$3),", "&amp;Projects!$A$17,"")&amp;IF(AND(Projects!$G$18="Yes",Projects!$C$18=AV$3),", "&amp;Projects!$A$18,"")&amp;IF(AND(Projects!$G$19="Yes",Projects!$C$19=AV$3),", "&amp;Projects!$A$19,"")&amp;IF(AND(Projects!$G$20="Yes",Projects!$C$20=AV$3),", "&amp;Projects!$A$20,"")&amp;IF(AND(Projects!$G$21="Yes",Projects!$C$21=AV$3),", "&amp;Projects!$A$21,"")&amp;IF(AND(Projects!$G$22="Yes",Projects!$C$22=AV$3),", "&amp;Projects!$A$22,"")&amp;IF(AND(Projects!$G$23="Yes",Projects!$C$23=AV$3),", "&amp;Projects!$A$23,"")&amp;IF(AND(Projects!$G$24="Yes",Projects!$C$24=AV$3),", "&amp;Projects!$A$24,"")&amp;IF(AND(Projects!$G$25="Yes",Projects!$C$25=AV$3),", "&amp;Projects!$A$25,"")&amp;IF(AND(Projects!$G$26="Yes",Projects!$C$26=AV$3),", "&amp;Projects!$A$26,"")&amp;IF(AND(Projects!$G$27="Yes",Projects!$C$27=AV$3),", "&amp;Projects!$A$27,"")&amp;IF(AND(Projects!$G$28="Yes",Projects!$C$28=AV$3),", "&amp;Projects!$A$28,"")&amp;IF(AND(Projects!$G$29="Yes",Projects!$C$29=AV$3),", "&amp;Projects!$A$29,"")&amp;IF(AND(Projects!$G$30="Yes",Projects!$C$30=AV$3),", "&amp;Projects!$A$30,"")&amp;IF(AND(Projects!$G$31="Yes",Projects!$C$31=AV$3),", "&amp;Projects!$A$31,"")&amp;IF(AND(Projects!$G$32="Yes",Projects!$C$32=AV$3),", "&amp;Projects!$A$32,"")&amp;IF(AND(Projects!$G$33="Yes",Projects!$C$33=AV$3),", "&amp;Projects!$A$33,"")&amp;IF(AND(Projects!$G$34="Yes",Projects!$C$34=AV$3),", "&amp;Projects!$A$34,"")&amp;IF(AND(Projects!$G$35="Yes",Projects!$C$35=AV$3),", "&amp;Projects!$A$35,"")&amp;IF(AND(Projects!$G$36="Yes",Projects!$C$36=AV$3),", "&amp;Projects!$A$36,"")&amp;IF(AND(Projects!$G$37="Yes",Projects!$C$37=AV$3),", "&amp;Projects!$A$37,"")&amp;IF(AND(Projects!$G$38="Yes",Projects!$C$38=AV$3),", "&amp;Projects!$A$38,"")&amp;IF(AND(Projects!$G$39="Yes",Projects!$C$39=AV$3),", "&amp;Projects!$A$39,"")&amp;IF(AND(Projects!$G$40="Yes",Projects!$C$40=AV$3),", "&amp;Projects!$A$40,"")&amp;IF(AND(Projects!$G$41="Yes",Projects!$C$41=AV$3),", "&amp;Projects!$A$41,"")&amp;IF(AND(Projects!$G$42="Yes",Projects!$C$42=AV$3),", "&amp;Projects!$A$42,"")&amp;IF(AND(Projects!$G$43="Yes",Projects!$C$43=AV$3),", "&amp;Projects!$A$43,"")&amp;IF(AND(Projects!$G$44="Yes",Projects!$C$44=AV$3),", "&amp;Projects!$A$44,"")&amp;IF(AND(Projects!$G$45="Yes",Projects!$C$45=AV$3),", "&amp;Projects!$A$45,"")&amp;IF(AND(Projects!$G$46="Yes",Projects!$C$46=AV$3),", "&amp;Projects!$A$46,""),3,10000)</f>
        <v>BD-21</v>
      </c>
      <c r="AW6" s="16" t="str">
        <f aca="false">MID(IF(AND(Projects!$G$2="Yes",Projects!$C$2=AW$3),", "&amp;Projects!$A$2,"")&amp;IF(AND(Projects!$G$3="Yes",Projects!$C$3=AW$3),", "&amp;Projects!$A$3,"")&amp;IF(AND(Projects!$G$4="Yes",Projects!$C$4=AW$3),", "&amp;Projects!$A$4,"")&amp;IF(AND(Projects!$G$5="Yes",Projects!$C$5=AW$3),", "&amp;Projects!$A$5,"")&amp;IF(AND(Projects!$G$6="Yes",Projects!$C$6=AW$3),", "&amp;Projects!$A$6,"")&amp;IF(AND(Projects!$G$7="Yes",Projects!$C$7=AW$3),", "&amp;Projects!$A$7,"")&amp;IF(AND(Projects!$G$8="Yes",Projects!$C$8=AW$3),", "&amp;Projects!$A$8,"")&amp;IF(AND(Projects!$G$9="Yes",Projects!$C$9=AW$3),", "&amp;Projects!$A$9,"")&amp;IF(AND(Projects!$G$10="Yes",Projects!$C$10=AW$3),", "&amp;Projects!$A$10,"")&amp;IF(AND(Projects!$G$11="Yes",Projects!$C$11=AW$3),", "&amp;Projects!$A$11,"")&amp;IF(AND(Projects!$G$12="Yes",Projects!$C$12=AW$3),", "&amp;Projects!$A$12,"")&amp;IF(AND(Projects!$G$13="Yes",Projects!$C$13=AW$3),", "&amp;Projects!$A$13,"")&amp;IF(AND(Projects!$G$14="Yes",Projects!$C$14=AW$3),", "&amp;Projects!$A$14,"")&amp;IF(AND(Projects!$G$15="Yes",Projects!$C$15=AW$3),", "&amp;Projects!$A$15,"")&amp;IF(AND(Projects!$G$16="Yes",Projects!$C$16=AW$3),", "&amp;Projects!$A$16,"")&amp;IF(AND(Projects!$G$17="Yes",Projects!$C$17=AW$3),", "&amp;Projects!$A$17,"")&amp;IF(AND(Projects!$G$18="Yes",Projects!$C$18=AW$3),", "&amp;Projects!$A$18,"")&amp;IF(AND(Projects!$G$19="Yes",Projects!$C$19=AW$3),", "&amp;Projects!$A$19,"")&amp;IF(AND(Projects!$G$20="Yes",Projects!$C$20=AW$3),", "&amp;Projects!$A$20,"")&amp;IF(AND(Projects!$G$21="Yes",Projects!$C$21=AW$3),", "&amp;Projects!$A$21,"")&amp;IF(AND(Projects!$G$22="Yes",Projects!$C$22=AW$3),", "&amp;Projects!$A$22,"")&amp;IF(AND(Projects!$G$23="Yes",Projects!$C$23=AW$3),", "&amp;Projects!$A$23,"")&amp;IF(AND(Projects!$G$24="Yes",Projects!$C$24=AW$3),", "&amp;Projects!$A$24,"")&amp;IF(AND(Projects!$G$25="Yes",Projects!$C$25=AW$3),", "&amp;Projects!$A$25,"")&amp;IF(AND(Projects!$G$26="Yes",Projects!$C$26=AW$3),", "&amp;Projects!$A$26,"")&amp;IF(AND(Projects!$G$27="Yes",Projects!$C$27=AW$3),", "&amp;Projects!$A$27,"")&amp;IF(AND(Projects!$G$28="Yes",Projects!$C$28=AW$3),", "&amp;Projects!$A$28,"")&amp;IF(AND(Projects!$G$29="Yes",Projects!$C$29=AW$3),", "&amp;Projects!$A$29,"")&amp;IF(AND(Projects!$G$30="Yes",Projects!$C$30=AW$3),", "&amp;Projects!$A$30,"")&amp;IF(AND(Projects!$G$31="Yes",Projects!$C$31=AW$3),", "&amp;Projects!$A$31,"")&amp;IF(AND(Projects!$G$32="Yes",Projects!$C$32=AW$3),", "&amp;Projects!$A$32,"")&amp;IF(AND(Projects!$G$33="Yes",Projects!$C$33=AW$3),", "&amp;Projects!$A$33,"")&amp;IF(AND(Projects!$G$34="Yes",Projects!$C$34=AW$3),", "&amp;Projects!$A$34,"")&amp;IF(AND(Projects!$G$35="Yes",Projects!$C$35=AW$3),", "&amp;Projects!$A$35,"")&amp;IF(AND(Projects!$G$36="Yes",Projects!$C$36=AW$3),", "&amp;Projects!$A$36,"")&amp;IF(AND(Projects!$G$37="Yes",Projects!$C$37=AW$3),", "&amp;Projects!$A$37,"")&amp;IF(AND(Projects!$G$38="Yes",Projects!$C$38=AW$3),", "&amp;Projects!$A$38,"")&amp;IF(AND(Projects!$G$39="Yes",Projects!$C$39=AW$3),", "&amp;Projects!$A$39,"")&amp;IF(AND(Projects!$G$40="Yes",Projects!$C$40=AW$3),", "&amp;Projects!$A$40,"")&amp;IF(AND(Projects!$G$41="Yes",Projects!$C$41=AW$3),", "&amp;Projects!$A$41,"")&amp;IF(AND(Projects!$G$42="Yes",Projects!$C$42=AW$3),", "&amp;Projects!$A$42,"")&amp;IF(AND(Projects!$G$43="Yes",Projects!$C$43=AW$3),", "&amp;Projects!$A$43,"")&amp;IF(AND(Projects!$G$44="Yes",Projects!$C$44=AW$3),", "&amp;Projects!$A$44,"")&amp;IF(AND(Projects!$G$45="Yes",Projects!$C$45=AW$3),", "&amp;Projects!$A$45,"")&amp;IF(AND(Projects!$G$46="Yes",Projects!$C$46=AW$3),", "&amp;Projects!$A$46,""),3,10000)</f>
        <v/>
      </c>
      <c r="AX6" s="16" t="str">
        <f aca="false">MID(IF(AND(Projects!$G$2="Yes",Projects!$C$2=AX$3),", "&amp;Projects!$A$2,"")&amp;IF(AND(Projects!$G$3="Yes",Projects!$C$3=AX$3),", "&amp;Projects!$A$3,"")&amp;IF(AND(Projects!$G$4="Yes",Projects!$C$4=AX$3),", "&amp;Projects!$A$4,"")&amp;IF(AND(Projects!$G$5="Yes",Projects!$C$5=AX$3),", "&amp;Projects!$A$5,"")&amp;IF(AND(Projects!$G$6="Yes",Projects!$C$6=AX$3),", "&amp;Projects!$A$6,"")&amp;IF(AND(Projects!$G$7="Yes",Projects!$C$7=AX$3),", "&amp;Projects!$A$7,"")&amp;IF(AND(Projects!$G$8="Yes",Projects!$C$8=AX$3),", "&amp;Projects!$A$8,"")&amp;IF(AND(Projects!$G$9="Yes",Projects!$C$9=AX$3),", "&amp;Projects!$A$9,"")&amp;IF(AND(Projects!$G$10="Yes",Projects!$C$10=AX$3),", "&amp;Projects!$A$10,"")&amp;IF(AND(Projects!$G$11="Yes",Projects!$C$11=AX$3),", "&amp;Projects!$A$11,"")&amp;IF(AND(Projects!$G$12="Yes",Projects!$C$12=AX$3),", "&amp;Projects!$A$12,"")&amp;IF(AND(Projects!$G$13="Yes",Projects!$C$13=AX$3),", "&amp;Projects!$A$13,"")&amp;IF(AND(Projects!$G$14="Yes",Projects!$C$14=AX$3),", "&amp;Projects!$A$14,"")&amp;IF(AND(Projects!$G$15="Yes",Projects!$C$15=AX$3),", "&amp;Projects!$A$15,"")&amp;IF(AND(Projects!$G$16="Yes",Projects!$C$16=AX$3),", "&amp;Projects!$A$16,"")&amp;IF(AND(Projects!$G$17="Yes",Projects!$C$17=AX$3),", "&amp;Projects!$A$17,"")&amp;IF(AND(Projects!$G$18="Yes",Projects!$C$18=AX$3),", "&amp;Projects!$A$18,"")&amp;IF(AND(Projects!$G$19="Yes",Projects!$C$19=AX$3),", "&amp;Projects!$A$19,"")&amp;IF(AND(Projects!$G$20="Yes",Projects!$C$20=AX$3),", "&amp;Projects!$A$20,"")&amp;IF(AND(Projects!$G$21="Yes",Projects!$C$21=AX$3),", "&amp;Projects!$A$21,"")&amp;IF(AND(Projects!$G$22="Yes",Projects!$C$22=AX$3),", "&amp;Projects!$A$22,"")&amp;IF(AND(Projects!$G$23="Yes",Projects!$C$23=AX$3),", "&amp;Projects!$A$23,"")&amp;IF(AND(Projects!$G$24="Yes",Projects!$C$24=AX$3),", "&amp;Projects!$A$24,"")&amp;IF(AND(Projects!$G$25="Yes",Projects!$C$25=AX$3),", "&amp;Projects!$A$25,"")&amp;IF(AND(Projects!$G$26="Yes",Projects!$C$26=AX$3),", "&amp;Projects!$A$26,"")&amp;IF(AND(Projects!$G$27="Yes",Projects!$C$27=AX$3),", "&amp;Projects!$A$27,"")&amp;IF(AND(Projects!$G$28="Yes",Projects!$C$28=AX$3),", "&amp;Projects!$A$28,"")&amp;IF(AND(Projects!$G$29="Yes",Projects!$C$29=AX$3),", "&amp;Projects!$A$29,"")&amp;IF(AND(Projects!$G$30="Yes",Projects!$C$30=AX$3),", "&amp;Projects!$A$30,"")&amp;IF(AND(Projects!$G$31="Yes",Projects!$C$31=AX$3),", "&amp;Projects!$A$31,"")&amp;IF(AND(Projects!$G$32="Yes",Projects!$C$32=AX$3),", "&amp;Projects!$A$32,"")&amp;IF(AND(Projects!$G$33="Yes",Projects!$C$33=AX$3),", "&amp;Projects!$A$33,"")&amp;IF(AND(Projects!$G$34="Yes",Projects!$C$34=AX$3),", "&amp;Projects!$A$34,"")&amp;IF(AND(Projects!$G$35="Yes",Projects!$C$35=AX$3),", "&amp;Projects!$A$35,"")&amp;IF(AND(Projects!$G$36="Yes",Projects!$C$36=AX$3),", "&amp;Projects!$A$36,"")&amp;IF(AND(Projects!$G$37="Yes",Projects!$C$37=AX$3),", "&amp;Projects!$A$37,"")&amp;IF(AND(Projects!$G$38="Yes",Projects!$C$38=AX$3),", "&amp;Projects!$A$38,"")&amp;IF(AND(Projects!$G$39="Yes",Projects!$C$39=AX$3),", "&amp;Projects!$A$39,"")&amp;IF(AND(Projects!$G$40="Yes",Projects!$C$40=AX$3),", "&amp;Projects!$A$40,"")&amp;IF(AND(Projects!$G$41="Yes",Projects!$C$41=AX$3),", "&amp;Projects!$A$41,"")&amp;IF(AND(Projects!$G$42="Yes",Projects!$C$42=AX$3),", "&amp;Projects!$A$42,"")&amp;IF(AND(Projects!$G$43="Yes",Projects!$C$43=AX$3),", "&amp;Projects!$A$43,"")&amp;IF(AND(Projects!$G$44="Yes",Projects!$C$44=AX$3),", "&amp;Projects!$A$44,"")&amp;IF(AND(Projects!$G$45="Yes",Projects!$C$45=AX$3),", "&amp;Projects!$A$45,"")&amp;IF(AND(Projects!$G$46="Yes",Projects!$C$46=AX$3),", "&amp;Projects!$A$46,""),3,10000)</f>
        <v/>
      </c>
      <c r="AY6" s="16" t="str">
        <f aca="false">MID(IF(AND(Projects!$G$2="Yes",Projects!$C$2=AY$3),", "&amp;Projects!$A$2,"")&amp;IF(AND(Projects!$G$3="Yes",Projects!$C$3=AY$3),", "&amp;Projects!$A$3,"")&amp;IF(AND(Projects!$G$4="Yes",Projects!$C$4=AY$3),", "&amp;Projects!$A$4,"")&amp;IF(AND(Projects!$G$5="Yes",Projects!$C$5=AY$3),", "&amp;Projects!$A$5,"")&amp;IF(AND(Projects!$G$6="Yes",Projects!$C$6=AY$3),", "&amp;Projects!$A$6,"")&amp;IF(AND(Projects!$G$7="Yes",Projects!$C$7=AY$3),", "&amp;Projects!$A$7,"")&amp;IF(AND(Projects!$G$8="Yes",Projects!$C$8=AY$3),", "&amp;Projects!$A$8,"")&amp;IF(AND(Projects!$G$9="Yes",Projects!$C$9=AY$3),", "&amp;Projects!$A$9,"")&amp;IF(AND(Projects!$G$10="Yes",Projects!$C$10=AY$3),", "&amp;Projects!$A$10,"")&amp;IF(AND(Projects!$G$11="Yes",Projects!$C$11=AY$3),", "&amp;Projects!$A$11,"")&amp;IF(AND(Projects!$G$12="Yes",Projects!$C$12=AY$3),", "&amp;Projects!$A$12,"")&amp;IF(AND(Projects!$G$13="Yes",Projects!$C$13=AY$3),", "&amp;Projects!$A$13,"")&amp;IF(AND(Projects!$G$14="Yes",Projects!$C$14=AY$3),", "&amp;Projects!$A$14,"")&amp;IF(AND(Projects!$G$15="Yes",Projects!$C$15=AY$3),", "&amp;Projects!$A$15,"")&amp;IF(AND(Projects!$G$16="Yes",Projects!$C$16=AY$3),", "&amp;Projects!$A$16,"")&amp;IF(AND(Projects!$G$17="Yes",Projects!$C$17=AY$3),", "&amp;Projects!$A$17,"")&amp;IF(AND(Projects!$G$18="Yes",Projects!$C$18=AY$3),", "&amp;Projects!$A$18,"")&amp;IF(AND(Projects!$G$19="Yes",Projects!$C$19=AY$3),", "&amp;Projects!$A$19,"")&amp;IF(AND(Projects!$G$20="Yes",Projects!$C$20=AY$3),", "&amp;Projects!$A$20,"")&amp;IF(AND(Projects!$G$21="Yes",Projects!$C$21=AY$3),", "&amp;Projects!$A$21,"")&amp;IF(AND(Projects!$G$22="Yes",Projects!$C$22=AY$3),", "&amp;Projects!$A$22,"")&amp;IF(AND(Projects!$G$23="Yes",Projects!$C$23=AY$3),", "&amp;Projects!$A$23,"")&amp;IF(AND(Projects!$G$24="Yes",Projects!$C$24=AY$3),", "&amp;Projects!$A$24,"")&amp;IF(AND(Projects!$G$25="Yes",Projects!$C$25=AY$3),", "&amp;Projects!$A$25,"")&amp;IF(AND(Projects!$G$26="Yes",Projects!$C$26=AY$3),", "&amp;Projects!$A$26,"")&amp;IF(AND(Projects!$G$27="Yes",Projects!$C$27=AY$3),", "&amp;Projects!$A$27,"")&amp;IF(AND(Projects!$G$28="Yes",Projects!$C$28=AY$3),", "&amp;Projects!$A$28,"")&amp;IF(AND(Projects!$G$29="Yes",Projects!$C$29=AY$3),", "&amp;Projects!$A$29,"")&amp;IF(AND(Projects!$G$30="Yes",Projects!$C$30=AY$3),", "&amp;Projects!$A$30,"")&amp;IF(AND(Projects!$G$31="Yes",Projects!$C$31=AY$3),", "&amp;Projects!$A$31,"")&amp;IF(AND(Projects!$G$32="Yes",Projects!$C$32=AY$3),", "&amp;Projects!$A$32,"")&amp;IF(AND(Projects!$G$33="Yes",Projects!$C$33=AY$3),", "&amp;Projects!$A$33,"")&amp;IF(AND(Projects!$G$34="Yes",Projects!$C$34=AY$3),", "&amp;Projects!$A$34,"")&amp;IF(AND(Projects!$G$35="Yes",Projects!$C$35=AY$3),", "&amp;Projects!$A$35,"")&amp;IF(AND(Projects!$G$36="Yes",Projects!$C$36=AY$3),", "&amp;Projects!$A$36,"")&amp;IF(AND(Projects!$G$37="Yes",Projects!$C$37=AY$3),", "&amp;Projects!$A$37,"")&amp;IF(AND(Projects!$G$38="Yes",Projects!$C$38=AY$3),", "&amp;Projects!$A$38,"")&amp;IF(AND(Projects!$G$39="Yes",Projects!$C$39=AY$3),", "&amp;Projects!$A$39,"")&amp;IF(AND(Projects!$G$40="Yes",Projects!$C$40=AY$3),", "&amp;Projects!$A$40,"")&amp;IF(AND(Projects!$G$41="Yes",Projects!$C$41=AY$3),", "&amp;Projects!$A$41,"")&amp;IF(AND(Projects!$G$42="Yes",Projects!$C$42=AY$3),", "&amp;Projects!$A$42,"")&amp;IF(AND(Projects!$G$43="Yes",Projects!$C$43=AY$3),", "&amp;Projects!$A$43,"")&amp;IF(AND(Projects!$G$44="Yes",Projects!$C$44=AY$3),", "&amp;Projects!$A$44,"")&amp;IF(AND(Projects!$G$45="Yes",Projects!$C$45=AY$3),", "&amp;Projects!$A$45,"")&amp;IF(AND(Projects!$G$46="Yes",Projects!$C$46=AY$3),", "&amp;Projects!$A$46,""),3,10000)</f>
        <v/>
      </c>
      <c r="AZ6" s="16" t="str">
        <f aca="false">MID(IF(AND(Projects!$G$2="Yes",Projects!$C$2=AZ$3),", "&amp;Projects!$A$2,"")&amp;IF(AND(Projects!$G$3="Yes",Projects!$C$3=AZ$3),", "&amp;Projects!$A$3,"")&amp;IF(AND(Projects!$G$4="Yes",Projects!$C$4=AZ$3),", "&amp;Projects!$A$4,"")&amp;IF(AND(Projects!$G$5="Yes",Projects!$C$5=AZ$3),", "&amp;Projects!$A$5,"")&amp;IF(AND(Projects!$G$6="Yes",Projects!$C$6=AZ$3),", "&amp;Projects!$A$6,"")&amp;IF(AND(Projects!$G$7="Yes",Projects!$C$7=AZ$3),", "&amp;Projects!$A$7,"")&amp;IF(AND(Projects!$G$8="Yes",Projects!$C$8=AZ$3),", "&amp;Projects!$A$8,"")&amp;IF(AND(Projects!$G$9="Yes",Projects!$C$9=AZ$3),", "&amp;Projects!$A$9,"")&amp;IF(AND(Projects!$G$10="Yes",Projects!$C$10=AZ$3),", "&amp;Projects!$A$10,"")&amp;IF(AND(Projects!$G$11="Yes",Projects!$C$11=AZ$3),", "&amp;Projects!$A$11,"")&amp;IF(AND(Projects!$G$12="Yes",Projects!$C$12=AZ$3),", "&amp;Projects!$A$12,"")&amp;IF(AND(Projects!$G$13="Yes",Projects!$C$13=AZ$3),", "&amp;Projects!$A$13,"")&amp;IF(AND(Projects!$G$14="Yes",Projects!$C$14=AZ$3),", "&amp;Projects!$A$14,"")&amp;IF(AND(Projects!$G$15="Yes",Projects!$C$15=AZ$3),", "&amp;Projects!$A$15,"")&amp;IF(AND(Projects!$G$16="Yes",Projects!$C$16=AZ$3),", "&amp;Projects!$A$16,"")&amp;IF(AND(Projects!$G$17="Yes",Projects!$C$17=AZ$3),", "&amp;Projects!$A$17,"")&amp;IF(AND(Projects!$G$18="Yes",Projects!$C$18=AZ$3),", "&amp;Projects!$A$18,"")&amp;IF(AND(Projects!$G$19="Yes",Projects!$C$19=AZ$3),", "&amp;Projects!$A$19,"")&amp;IF(AND(Projects!$G$20="Yes",Projects!$C$20=AZ$3),", "&amp;Projects!$A$20,"")&amp;IF(AND(Projects!$G$21="Yes",Projects!$C$21=AZ$3),", "&amp;Projects!$A$21,"")&amp;IF(AND(Projects!$G$22="Yes",Projects!$C$22=AZ$3),", "&amp;Projects!$A$22,"")&amp;IF(AND(Projects!$G$23="Yes",Projects!$C$23=AZ$3),", "&amp;Projects!$A$23,"")&amp;IF(AND(Projects!$G$24="Yes",Projects!$C$24=AZ$3),", "&amp;Projects!$A$24,"")&amp;IF(AND(Projects!$G$25="Yes",Projects!$C$25=AZ$3),", "&amp;Projects!$A$25,"")&amp;IF(AND(Projects!$G$26="Yes",Projects!$C$26=AZ$3),", "&amp;Projects!$A$26,"")&amp;IF(AND(Projects!$G$27="Yes",Projects!$C$27=AZ$3),", "&amp;Projects!$A$27,"")&amp;IF(AND(Projects!$G$28="Yes",Projects!$C$28=AZ$3),", "&amp;Projects!$A$28,"")&amp;IF(AND(Projects!$G$29="Yes",Projects!$C$29=AZ$3),", "&amp;Projects!$A$29,"")&amp;IF(AND(Projects!$G$30="Yes",Projects!$C$30=AZ$3),", "&amp;Projects!$A$30,"")&amp;IF(AND(Projects!$G$31="Yes",Projects!$C$31=AZ$3),", "&amp;Projects!$A$31,"")&amp;IF(AND(Projects!$G$32="Yes",Projects!$C$32=AZ$3),", "&amp;Projects!$A$32,"")&amp;IF(AND(Projects!$G$33="Yes",Projects!$C$33=AZ$3),", "&amp;Projects!$A$33,"")&amp;IF(AND(Projects!$G$34="Yes",Projects!$C$34=AZ$3),", "&amp;Projects!$A$34,"")&amp;IF(AND(Projects!$G$35="Yes",Projects!$C$35=AZ$3),", "&amp;Projects!$A$35,"")&amp;IF(AND(Projects!$G$36="Yes",Projects!$C$36=AZ$3),", "&amp;Projects!$A$36,"")&amp;IF(AND(Projects!$G$37="Yes",Projects!$C$37=AZ$3),", "&amp;Projects!$A$37,"")&amp;IF(AND(Projects!$G$38="Yes",Projects!$C$38=AZ$3),", "&amp;Projects!$A$38,"")&amp;IF(AND(Projects!$G$39="Yes",Projects!$C$39=AZ$3),", "&amp;Projects!$A$39,"")&amp;IF(AND(Projects!$G$40="Yes",Projects!$C$40=AZ$3),", "&amp;Projects!$A$40,"")&amp;IF(AND(Projects!$G$41="Yes",Projects!$C$41=AZ$3),", "&amp;Projects!$A$41,"")&amp;IF(AND(Projects!$G$42="Yes",Projects!$C$42=AZ$3),", "&amp;Projects!$A$42,"")&amp;IF(AND(Projects!$G$43="Yes",Projects!$C$43=AZ$3),", "&amp;Projects!$A$43,"")&amp;IF(AND(Projects!$G$44="Yes",Projects!$C$44=AZ$3),", "&amp;Projects!$A$44,"")&amp;IF(AND(Projects!$G$45="Yes",Projects!$C$45=AZ$3),", "&amp;Projects!$A$45,"")&amp;IF(AND(Projects!$G$46="Yes",Projects!$C$46=AZ$3),", "&amp;Projects!$A$46,""),3,10000)</f>
        <v>BD-22</v>
      </c>
      <c r="BA6" s="16" t="str">
        <f aca="false">MID(IF(AND(Projects!$G$2="Yes",Projects!$C$2=BA$3),", "&amp;Projects!$A$2,"")&amp;IF(AND(Projects!$G$3="Yes",Projects!$C$3=BA$3),", "&amp;Projects!$A$3,"")&amp;IF(AND(Projects!$G$4="Yes",Projects!$C$4=BA$3),", "&amp;Projects!$A$4,"")&amp;IF(AND(Projects!$G$5="Yes",Projects!$C$5=BA$3),", "&amp;Projects!$A$5,"")&amp;IF(AND(Projects!$G$6="Yes",Projects!$C$6=BA$3),", "&amp;Projects!$A$6,"")&amp;IF(AND(Projects!$G$7="Yes",Projects!$C$7=BA$3),", "&amp;Projects!$A$7,"")&amp;IF(AND(Projects!$G$8="Yes",Projects!$C$8=BA$3),", "&amp;Projects!$A$8,"")&amp;IF(AND(Projects!$G$9="Yes",Projects!$C$9=BA$3),", "&amp;Projects!$A$9,"")&amp;IF(AND(Projects!$G$10="Yes",Projects!$C$10=BA$3),", "&amp;Projects!$A$10,"")&amp;IF(AND(Projects!$G$11="Yes",Projects!$C$11=BA$3),", "&amp;Projects!$A$11,"")&amp;IF(AND(Projects!$G$12="Yes",Projects!$C$12=BA$3),", "&amp;Projects!$A$12,"")&amp;IF(AND(Projects!$G$13="Yes",Projects!$C$13=BA$3),", "&amp;Projects!$A$13,"")&amp;IF(AND(Projects!$G$14="Yes",Projects!$C$14=BA$3),", "&amp;Projects!$A$14,"")&amp;IF(AND(Projects!$G$15="Yes",Projects!$C$15=BA$3),", "&amp;Projects!$A$15,"")&amp;IF(AND(Projects!$G$16="Yes",Projects!$C$16=BA$3),", "&amp;Projects!$A$16,"")&amp;IF(AND(Projects!$G$17="Yes",Projects!$C$17=BA$3),", "&amp;Projects!$A$17,"")&amp;IF(AND(Projects!$G$18="Yes",Projects!$C$18=BA$3),", "&amp;Projects!$A$18,"")&amp;IF(AND(Projects!$G$19="Yes",Projects!$C$19=BA$3),", "&amp;Projects!$A$19,"")&amp;IF(AND(Projects!$G$20="Yes",Projects!$C$20=BA$3),", "&amp;Projects!$A$20,"")&amp;IF(AND(Projects!$G$21="Yes",Projects!$C$21=BA$3),", "&amp;Projects!$A$21,"")&amp;IF(AND(Projects!$G$22="Yes",Projects!$C$22=BA$3),", "&amp;Projects!$A$22,"")&amp;IF(AND(Projects!$G$23="Yes",Projects!$C$23=BA$3),", "&amp;Projects!$A$23,"")&amp;IF(AND(Projects!$G$24="Yes",Projects!$C$24=BA$3),", "&amp;Projects!$A$24,"")&amp;IF(AND(Projects!$G$25="Yes",Projects!$C$25=BA$3),", "&amp;Projects!$A$25,"")&amp;IF(AND(Projects!$G$26="Yes",Projects!$C$26=BA$3),", "&amp;Projects!$A$26,"")&amp;IF(AND(Projects!$G$27="Yes",Projects!$C$27=BA$3),", "&amp;Projects!$A$27,"")&amp;IF(AND(Projects!$G$28="Yes",Projects!$C$28=BA$3),", "&amp;Projects!$A$28,"")&amp;IF(AND(Projects!$G$29="Yes",Projects!$C$29=BA$3),", "&amp;Projects!$A$29,"")&amp;IF(AND(Projects!$G$30="Yes",Projects!$C$30=BA$3),", "&amp;Projects!$A$30,"")&amp;IF(AND(Projects!$G$31="Yes",Projects!$C$31=BA$3),", "&amp;Projects!$A$31,"")&amp;IF(AND(Projects!$G$32="Yes",Projects!$C$32=BA$3),", "&amp;Projects!$A$32,"")&amp;IF(AND(Projects!$G$33="Yes",Projects!$C$33=BA$3),", "&amp;Projects!$A$33,"")&amp;IF(AND(Projects!$G$34="Yes",Projects!$C$34=BA$3),", "&amp;Projects!$A$34,"")&amp;IF(AND(Projects!$G$35="Yes",Projects!$C$35=BA$3),", "&amp;Projects!$A$35,"")&amp;IF(AND(Projects!$G$36="Yes",Projects!$C$36=BA$3),", "&amp;Projects!$A$36,"")&amp;IF(AND(Projects!$G$37="Yes",Projects!$C$37=BA$3),", "&amp;Projects!$A$37,"")&amp;IF(AND(Projects!$G$38="Yes",Projects!$C$38=BA$3),", "&amp;Projects!$A$38,"")&amp;IF(AND(Projects!$G$39="Yes",Projects!$C$39=BA$3),", "&amp;Projects!$A$39,"")&amp;IF(AND(Projects!$G$40="Yes",Projects!$C$40=BA$3),", "&amp;Projects!$A$40,"")&amp;IF(AND(Projects!$G$41="Yes",Projects!$C$41=BA$3),", "&amp;Projects!$A$41,"")&amp;IF(AND(Projects!$G$42="Yes",Projects!$C$42=BA$3),", "&amp;Projects!$A$42,"")&amp;IF(AND(Projects!$G$43="Yes",Projects!$C$43=BA$3),", "&amp;Projects!$A$43,"")&amp;IF(AND(Projects!$G$44="Yes",Projects!$C$44=BA$3),", "&amp;Projects!$A$44,"")&amp;IF(AND(Projects!$G$45="Yes",Projects!$C$45=BA$3),", "&amp;Projects!$A$45,"")&amp;IF(AND(Projects!$G$46="Yes",Projects!$C$46=BA$3),", "&amp;Projects!$A$46,""),3,10000)</f>
        <v>BD-23</v>
      </c>
      <c r="BB6" s="16" t="str">
        <f aca="false">MID(IF(AND(Projects!$G$2="Yes",Projects!$C$2=BB$3),", "&amp;Projects!$A$2,"")&amp;IF(AND(Projects!$G$3="Yes",Projects!$C$3=BB$3),", "&amp;Projects!$A$3,"")&amp;IF(AND(Projects!$G$4="Yes",Projects!$C$4=BB$3),", "&amp;Projects!$A$4,"")&amp;IF(AND(Projects!$G$5="Yes",Projects!$C$5=BB$3),", "&amp;Projects!$A$5,"")&amp;IF(AND(Projects!$G$6="Yes",Projects!$C$6=BB$3),", "&amp;Projects!$A$6,"")&amp;IF(AND(Projects!$G$7="Yes",Projects!$C$7=BB$3),", "&amp;Projects!$A$7,"")&amp;IF(AND(Projects!$G$8="Yes",Projects!$C$8=BB$3),", "&amp;Projects!$A$8,"")&amp;IF(AND(Projects!$G$9="Yes",Projects!$C$9=BB$3),", "&amp;Projects!$A$9,"")&amp;IF(AND(Projects!$G$10="Yes",Projects!$C$10=BB$3),", "&amp;Projects!$A$10,"")&amp;IF(AND(Projects!$G$11="Yes",Projects!$C$11=BB$3),", "&amp;Projects!$A$11,"")&amp;IF(AND(Projects!$G$12="Yes",Projects!$C$12=BB$3),", "&amp;Projects!$A$12,"")&amp;IF(AND(Projects!$G$13="Yes",Projects!$C$13=BB$3),", "&amp;Projects!$A$13,"")&amp;IF(AND(Projects!$G$14="Yes",Projects!$C$14=BB$3),", "&amp;Projects!$A$14,"")&amp;IF(AND(Projects!$G$15="Yes",Projects!$C$15=BB$3),", "&amp;Projects!$A$15,"")&amp;IF(AND(Projects!$G$16="Yes",Projects!$C$16=BB$3),", "&amp;Projects!$A$16,"")&amp;IF(AND(Projects!$G$17="Yes",Projects!$C$17=BB$3),", "&amp;Projects!$A$17,"")&amp;IF(AND(Projects!$G$18="Yes",Projects!$C$18=BB$3),", "&amp;Projects!$A$18,"")&amp;IF(AND(Projects!$G$19="Yes",Projects!$C$19=BB$3),", "&amp;Projects!$A$19,"")&amp;IF(AND(Projects!$G$20="Yes",Projects!$C$20=BB$3),", "&amp;Projects!$A$20,"")&amp;IF(AND(Projects!$G$21="Yes",Projects!$C$21=BB$3),", "&amp;Projects!$A$21,"")&amp;IF(AND(Projects!$G$22="Yes",Projects!$C$22=BB$3),", "&amp;Projects!$A$22,"")&amp;IF(AND(Projects!$G$23="Yes",Projects!$C$23=BB$3),", "&amp;Projects!$A$23,"")&amp;IF(AND(Projects!$G$24="Yes",Projects!$C$24=BB$3),", "&amp;Projects!$A$24,"")&amp;IF(AND(Projects!$G$25="Yes",Projects!$C$25=BB$3),", "&amp;Projects!$A$25,"")&amp;IF(AND(Projects!$G$26="Yes",Projects!$C$26=BB$3),", "&amp;Projects!$A$26,"")&amp;IF(AND(Projects!$G$27="Yes",Projects!$C$27=BB$3),", "&amp;Projects!$A$27,"")&amp;IF(AND(Projects!$G$28="Yes",Projects!$C$28=BB$3),", "&amp;Projects!$A$28,"")&amp;IF(AND(Projects!$G$29="Yes",Projects!$C$29=BB$3),", "&amp;Projects!$A$29,"")&amp;IF(AND(Projects!$G$30="Yes",Projects!$C$30=BB$3),", "&amp;Projects!$A$30,"")&amp;IF(AND(Projects!$G$31="Yes",Projects!$C$31=BB$3),", "&amp;Projects!$A$31,"")&amp;IF(AND(Projects!$G$32="Yes",Projects!$C$32=BB$3),", "&amp;Projects!$A$32,"")&amp;IF(AND(Projects!$G$33="Yes",Projects!$C$33=BB$3),", "&amp;Projects!$A$33,"")&amp;IF(AND(Projects!$G$34="Yes",Projects!$C$34=BB$3),", "&amp;Projects!$A$34,"")&amp;IF(AND(Projects!$G$35="Yes",Projects!$C$35=BB$3),", "&amp;Projects!$A$35,"")&amp;IF(AND(Projects!$G$36="Yes",Projects!$C$36=BB$3),", "&amp;Projects!$A$36,"")&amp;IF(AND(Projects!$G$37="Yes",Projects!$C$37=BB$3),", "&amp;Projects!$A$37,"")&amp;IF(AND(Projects!$G$38="Yes",Projects!$C$38=BB$3),", "&amp;Projects!$A$38,"")&amp;IF(AND(Projects!$G$39="Yes",Projects!$C$39=BB$3),", "&amp;Projects!$A$39,"")&amp;IF(AND(Projects!$G$40="Yes",Projects!$C$40=BB$3),", "&amp;Projects!$A$40,"")&amp;IF(AND(Projects!$G$41="Yes",Projects!$C$41=BB$3),", "&amp;Projects!$A$41,"")&amp;IF(AND(Projects!$G$42="Yes",Projects!$C$42=BB$3),", "&amp;Projects!$A$42,"")&amp;IF(AND(Projects!$G$43="Yes",Projects!$C$43=BB$3),", "&amp;Projects!$A$43,"")&amp;IF(AND(Projects!$G$44="Yes",Projects!$C$44=BB$3),", "&amp;Projects!$A$44,"")&amp;IF(AND(Projects!$G$45="Yes",Projects!$C$45=BB$3),", "&amp;Projects!$A$45,"")&amp;IF(AND(Projects!$G$46="Yes",Projects!$C$46=BB$3),", "&amp;Projects!$A$46,""),3,10000)</f>
        <v>BD-24</v>
      </c>
      <c r="BC6" s="16" t="str">
        <f aca="false">MID(IF(AND(Projects!$G$2="Yes",Projects!$C$2=BC$3),", "&amp;Projects!$A$2,"")&amp;IF(AND(Projects!$G$3="Yes",Projects!$C$3=BC$3),", "&amp;Projects!$A$3,"")&amp;IF(AND(Projects!$G$4="Yes",Projects!$C$4=BC$3),", "&amp;Projects!$A$4,"")&amp;IF(AND(Projects!$G$5="Yes",Projects!$C$5=BC$3),", "&amp;Projects!$A$5,"")&amp;IF(AND(Projects!$G$6="Yes",Projects!$C$6=BC$3),", "&amp;Projects!$A$6,"")&amp;IF(AND(Projects!$G$7="Yes",Projects!$C$7=BC$3),", "&amp;Projects!$A$7,"")&amp;IF(AND(Projects!$G$8="Yes",Projects!$C$8=BC$3),", "&amp;Projects!$A$8,"")&amp;IF(AND(Projects!$G$9="Yes",Projects!$C$9=BC$3),", "&amp;Projects!$A$9,"")&amp;IF(AND(Projects!$G$10="Yes",Projects!$C$10=BC$3),", "&amp;Projects!$A$10,"")&amp;IF(AND(Projects!$G$11="Yes",Projects!$C$11=BC$3),", "&amp;Projects!$A$11,"")&amp;IF(AND(Projects!$G$12="Yes",Projects!$C$12=BC$3),", "&amp;Projects!$A$12,"")&amp;IF(AND(Projects!$G$13="Yes",Projects!$C$13=BC$3),", "&amp;Projects!$A$13,"")&amp;IF(AND(Projects!$G$14="Yes",Projects!$C$14=BC$3),", "&amp;Projects!$A$14,"")&amp;IF(AND(Projects!$G$15="Yes",Projects!$C$15=BC$3),", "&amp;Projects!$A$15,"")&amp;IF(AND(Projects!$G$16="Yes",Projects!$C$16=BC$3),", "&amp;Projects!$A$16,"")&amp;IF(AND(Projects!$G$17="Yes",Projects!$C$17=BC$3),", "&amp;Projects!$A$17,"")&amp;IF(AND(Projects!$G$18="Yes",Projects!$C$18=BC$3),", "&amp;Projects!$A$18,"")&amp;IF(AND(Projects!$G$19="Yes",Projects!$C$19=BC$3),", "&amp;Projects!$A$19,"")&amp;IF(AND(Projects!$G$20="Yes",Projects!$C$20=BC$3),", "&amp;Projects!$A$20,"")&amp;IF(AND(Projects!$G$21="Yes",Projects!$C$21=BC$3),", "&amp;Projects!$A$21,"")&amp;IF(AND(Projects!$G$22="Yes",Projects!$C$22=BC$3),", "&amp;Projects!$A$22,"")&amp;IF(AND(Projects!$G$23="Yes",Projects!$C$23=BC$3),", "&amp;Projects!$A$23,"")&amp;IF(AND(Projects!$G$24="Yes",Projects!$C$24=BC$3),", "&amp;Projects!$A$24,"")&amp;IF(AND(Projects!$G$25="Yes",Projects!$C$25=BC$3),", "&amp;Projects!$A$25,"")&amp;IF(AND(Projects!$G$26="Yes",Projects!$C$26=BC$3),", "&amp;Projects!$A$26,"")&amp;IF(AND(Projects!$G$27="Yes",Projects!$C$27=BC$3),", "&amp;Projects!$A$27,"")&amp;IF(AND(Projects!$G$28="Yes",Projects!$C$28=BC$3),", "&amp;Projects!$A$28,"")&amp;IF(AND(Projects!$G$29="Yes",Projects!$C$29=BC$3),", "&amp;Projects!$A$29,"")&amp;IF(AND(Projects!$G$30="Yes",Projects!$C$30=BC$3),", "&amp;Projects!$A$30,"")&amp;IF(AND(Projects!$G$31="Yes",Projects!$C$31=BC$3),", "&amp;Projects!$A$31,"")&amp;IF(AND(Projects!$G$32="Yes",Projects!$C$32=BC$3),", "&amp;Projects!$A$32,"")&amp;IF(AND(Projects!$G$33="Yes",Projects!$C$33=BC$3),", "&amp;Projects!$A$33,"")&amp;IF(AND(Projects!$G$34="Yes",Projects!$C$34=BC$3),", "&amp;Projects!$A$34,"")&amp;IF(AND(Projects!$G$35="Yes",Projects!$C$35=BC$3),", "&amp;Projects!$A$35,"")&amp;IF(AND(Projects!$G$36="Yes",Projects!$C$36=BC$3),", "&amp;Projects!$A$36,"")&amp;IF(AND(Projects!$G$37="Yes",Projects!$C$37=BC$3),", "&amp;Projects!$A$37,"")&amp;IF(AND(Projects!$G$38="Yes",Projects!$C$38=BC$3),", "&amp;Projects!$A$38,"")&amp;IF(AND(Projects!$G$39="Yes",Projects!$C$39=BC$3),", "&amp;Projects!$A$39,"")&amp;IF(AND(Projects!$G$40="Yes",Projects!$C$40=BC$3),", "&amp;Projects!$A$40,"")&amp;IF(AND(Projects!$G$41="Yes",Projects!$C$41=BC$3),", "&amp;Projects!$A$41,"")&amp;IF(AND(Projects!$G$42="Yes",Projects!$C$42=BC$3),", "&amp;Projects!$A$42,"")&amp;IF(AND(Projects!$G$43="Yes",Projects!$C$43=BC$3),", "&amp;Projects!$A$43,"")&amp;IF(AND(Projects!$G$44="Yes",Projects!$C$44=BC$3),", "&amp;Projects!$A$44,"")&amp;IF(AND(Projects!$G$45="Yes",Projects!$C$45=BC$3),", "&amp;Projects!$A$45,"")&amp;IF(AND(Projects!$G$46="Yes",Projects!$C$46=BC$3),", "&amp;Projects!$A$46,""),3,10000)</f>
        <v>BD-25</v>
      </c>
      <c r="BD6" s="16" t="str">
        <f aca="false">MID(IF(AND(Projects!$G$2="Yes",Projects!$C$2=BD$3),", "&amp;Projects!$A$2,"")&amp;IF(AND(Projects!$G$3="Yes",Projects!$C$3=BD$3),", "&amp;Projects!$A$3,"")&amp;IF(AND(Projects!$G$4="Yes",Projects!$C$4=BD$3),", "&amp;Projects!$A$4,"")&amp;IF(AND(Projects!$G$5="Yes",Projects!$C$5=BD$3),", "&amp;Projects!$A$5,"")&amp;IF(AND(Projects!$G$6="Yes",Projects!$C$6=BD$3),", "&amp;Projects!$A$6,"")&amp;IF(AND(Projects!$G$7="Yes",Projects!$C$7=BD$3),", "&amp;Projects!$A$7,"")&amp;IF(AND(Projects!$G$8="Yes",Projects!$C$8=BD$3),", "&amp;Projects!$A$8,"")&amp;IF(AND(Projects!$G$9="Yes",Projects!$C$9=BD$3),", "&amp;Projects!$A$9,"")&amp;IF(AND(Projects!$G$10="Yes",Projects!$C$10=BD$3),", "&amp;Projects!$A$10,"")&amp;IF(AND(Projects!$G$11="Yes",Projects!$C$11=BD$3),", "&amp;Projects!$A$11,"")&amp;IF(AND(Projects!$G$12="Yes",Projects!$C$12=BD$3),", "&amp;Projects!$A$12,"")&amp;IF(AND(Projects!$G$13="Yes",Projects!$C$13=BD$3),", "&amp;Projects!$A$13,"")&amp;IF(AND(Projects!$G$14="Yes",Projects!$C$14=BD$3),", "&amp;Projects!$A$14,"")&amp;IF(AND(Projects!$G$15="Yes",Projects!$C$15=BD$3),", "&amp;Projects!$A$15,"")&amp;IF(AND(Projects!$G$16="Yes",Projects!$C$16=BD$3),", "&amp;Projects!$A$16,"")&amp;IF(AND(Projects!$G$17="Yes",Projects!$C$17=BD$3),", "&amp;Projects!$A$17,"")&amp;IF(AND(Projects!$G$18="Yes",Projects!$C$18=BD$3),", "&amp;Projects!$A$18,"")&amp;IF(AND(Projects!$G$19="Yes",Projects!$C$19=BD$3),", "&amp;Projects!$A$19,"")&amp;IF(AND(Projects!$G$20="Yes",Projects!$C$20=BD$3),", "&amp;Projects!$A$20,"")&amp;IF(AND(Projects!$G$21="Yes",Projects!$C$21=BD$3),", "&amp;Projects!$A$21,"")&amp;IF(AND(Projects!$G$22="Yes",Projects!$C$22=BD$3),", "&amp;Projects!$A$22,"")&amp;IF(AND(Projects!$G$23="Yes",Projects!$C$23=BD$3),", "&amp;Projects!$A$23,"")&amp;IF(AND(Projects!$G$24="Yes",Projects!$C$24=BD$3),", "&amp;Projects!$A$24,"")&amp;IF(AND(Projects!$G$25="Yes",Projects!$C$25=BD$3),", "&amp;Projects!$A$25,"")&amp;IF(AND(Projects!$G$26="Yes",Projects!$C$26=BD$3),", "&amp;Projects!$A$26,"")&amp;IF(AND(Projects!$G$27="Yes",Projects!$C$27=BD$3),", "&amp;Projects!$A$27,"")&amp;IF(AND(Projects!$G$28="Yes",Projects!$C$28=BD$3),", "&amp;Projects!$A$28,"")&amp;IF(AND(Projects!$G$29="Yes",Projects!$C$29=BD$3),", "&amp;Projects!$A$29,"")&amp;IF(AND(Projects!$G$30="Yes",Projects!$C$30=BD$3),", "&amp;Projects!$A$30,"")&amp;IF(AND(Projects!$G$31="Yes",Projects!$C$31=BD$3),", "&amp;Projects!$A$31,"")&amp;IF(AND(Projects!$G$32="Yes",Projects!$C$32=BD$3),", "&amp;Projects!$A$32,"")&amp;IF(AND(Projects!$G$33="Yes",Projects!$C$33=BD$3),", "&amp;Projects!$A$33,"")&amp;IF(AND(Projects!$G$34="Yes",Projects!$C$34=BD$3),", "&amp;Projects!$A$34,"")&amp;IF(AND(Projects!$G$35="Yes",Projects!$C$35=BD$3),", "&amp;Projects!$A$35,"")&amp;IF(AND(Projects!$G$36="Yes",Projects!$C$36=BD$3),", "&amp;Projects!$A$36,"")&amp;IF(AND(Projects!$G$37="Yes",Projects!$C$37=BD$3),", "&amp;Projects!$A$37,"")&amp;IF(AND(Projects!$G$38="Yes",Projects!$C$38=BD$3),", "&amp;Projects!$A$38,"")&amp;IF(AND(Projects!$G$39="Yes",Projects!$C$39=BD$3),", "&amp;Projects!$A$39,"")&amp;IF(AND(Projects!$G$40="Yes",Projects!$C$40=BD$3),", "&amp;Projects!$A$40,"")&amp;IF(AND(Projects!$G$41="Yes",Projects!$C$41=BD$3),", "&amp;Projects!$A$41,"")&amp;IF(AND(Projects!$G$42="Yes",Projects!$C$42=BD$3),", "&amp;Projects!$A$42,"")&amp;IF(AND(Projects!$G$43="Yes",Projects!$C$43=BD$3),", "&amp;Projects!$A$43,"")&amp;IF(AND(Projects!$G$44="Yes",Projects!$C$44=BD$3),", "&amp;Projects!$A$44,"")&amp;IF(AND(Projects!$G$45="Yes",Projects!$C$45=BD$3),", "&amp;Projects!$A$45,"")&amp;IF(AND(Projects!$G$46="Yes",Projects!$C$46=BD$3),", "&amp;Projects!$A$46,""),3,10000)</f>
        <v>BD-26</v>
      </c>
      <c r="BE6" s="16" t="str">
        <f aca="false">MID(IF(AND(Projects!$G$2="Yes",Projects!$C$2=BE$3),", "&amp;Projects!$A$2,"")&amp;IF(AND(Projects!$G$3="Yes",Projects!$C$3=BE$3),", "&amp;Projects!$A$3,"")&amp;IF(AND(Projects!$G$4="Yes",Projects!$C$4=BE$3),", "&amp;Projects!$A$4,"")&amp;IF(AND(Projects!$G$5="Yes",Projects!$C$5=BE$3),", "&amp;Projects!$A$5,"")&amp;IF(AND(Projects!$G$6="Yes",Projects!$C$6=BE$3),", "&amp;Projects!$A$6,"")&amp;IF(AND(Projects!$G$7="Yes",Projects!$C$7=BE$3),", "&amp;Projects!$A$7,"")&amp;IF(AND(Projects!$G$8="Yes",Projects!$C$8=BE$3),", "&amp;Projects!$A$8,"")&amp;IF(AND(Projects!$G$9="Yes",Projects!$C$9=BE$3),", "&amp;Projects!$A$9,"")&amp;IF(AND(Projects!$G$10="Yes",Projects!$C$10=BE$3),", "&amp;Projects!$A$10,"")&amp;IF(AND(Projects!$G$11="Yes",Projects!$C$11=BE$3),", "&amp;Projects!$A$11,"")&amp;IF(AND(Projects!$G$12="Yes",Projects!$C$12=BE$3),", "&amp;Projects!$A$12,"")&amp;IF(AND(Projects!$G$13="Yes",Projects!$C$13=BE$3),", "&amp;Projects!$A$13,"")&amp;IF(AND(Projects!$G$14="Yes",Projects!$C$14=BE$3),", "&amp;Projects!$A$14,"")&amp;IF(AND(Projects!$G$15="Yes",Projects!$C$15=BE$3),", "&amp;Projects!$A$15,"")&amp;IF(AND(Projects!$G$16="Yes",Projects!$C$16=BE$3),", "&amp;Projects!$A$16,"")&amp;IF(AND(Projects!$G$17="Yes",Projects!$C$17=BE$3),", "&amp;Projects!$A$17,"")&amp;IF(AND(Projects!$G$18="Yes",Projects!$C$18=BE$3),", "&amp;Projects!$A$18,"")&amp;IF(AND(Projects!$G$19="Yes",Projects!$C$19=BE$3),", "&amp;Projects!$A$19,"")&amp;IF(AND(Projects!$G$20="Yes",Projects!$C$20=BE$3),", "&amp;Projects!$A$20,"")&amp;IF(AND(Projects!$G$21="Yes",Projects!$C$21=BE$3),", "&amp;Projects!$A$21,"")&amp;IF(AND(Projects!$G$22="Yes",Projects!$C$22=BE$3),", "&amp;Projects!$A$22,"")&amp;IF(AND(Projects!$G$23="Yes",Projects!$C$23=BE$3),", "&amp;Projects!$A$23,"")&amp;IF(AND(Projects!$G$24="Yes",Projects!$C$24=BE$3),", "&amp;Projects!$A$24,"")&amp;IF(AND(Projects!$G$25="Yes",Projects!$C$25=BE$3),", "&amp;Projects!$A$25,"")&amp;IF(AND(Projects!$G$26="Yes",Projects!$C$26=BE$3),", "&amp;Projects!$A$26,"")&amp;IF(AND(Projects!$G$27="Yes",Projects!$C$27=BE$3),", "&amp;Projects!$A$27,"")&amp;IF(AND(Projects!$G$28="Yes",Projects!$C$28=BE$3),", "&amp;Projects!$A$28,"")&amp;IF(AND(Projects!$G$29="Yes",Projects!$C$29=BE$3),", "&amp;Projects!$A$29,"")&amp;IF(AND(Projects!$G$30="Yes",Projects!$C$30=BE$3),", "&amp;Projects!$A$30,"")&amp;IF(AND(Projects!$G$31="Yes",Projects!$C$31=BE$3),", "&amp;Projects!$A$31,"")&amp;IF(AND(Projects!$G$32="Yes",Projects!$C$32=BE$3),", "&amp;Projects!$A$32,"")&amp;IF(AND(Projects!$G$33="Yes",Projects!$C$33=BE$3),", "&amp;Projects!$A$33,"")&amp;IF(AND(Projects!$G$34="Yes",Projects!$C$34=BE$3),", "&amp;Projects!$A$34,"")&amp;IF(AND(Projects!$G$35="Yes",Projects!$C$35=BE$3),", "&amp;Projects!$A$35,"")&amp;IF(AND(Projects!$G$36="Yes",Projects!$C$36=BE$3),", "&amp;Projects!$A$36,"")&amp;IF(AND(Projects!$G$37="Yes",Projects!$C$37=BE$3),", "&amp;Projects!$A$37,"")&amp;IF(AND(Projects!$G$38="Yes",Projects!$C$38=BE$3),", "&amp;Projects!$A$38,"")&amp;IF(AND(Projects!$G$39="Yes",Projects!$C$39=BE$3),", "&amp;Projects!$A$39,"")&amp;IF(AND(Projects!$G$40="Yes",Projects!$C$40=BE$3),", "&amp;Projects!$A$40,"")&amp;IF(AND(Projects!$G$41="Yes",Projects!$C$41=BE$3),", "&amp;Projects!$A$41,"")&amp;IF(AND(Projects!$G$42="Yes",Projects!$C$42=BE$3),", "&amp;Projects!$A$42,"")&amp;IF(AND(Projects!$G$43="Yes",Projects!$C$43=BE$3),", "&amp;Projects!$A$43,"")&amp;IF(AND(Projects!$G$44="Yes",Projects!$C$44=BE$3),", "&amp;Projects!$A$44,"")&amp;IF(AND(Projects!$G$45="Yes",Projects!$C$45=BE$3),", "&amp;Projects!$A$45,"")&amp;IF(AND(Projects!$G$46="Yes",Projects!$C$46=BE$3),", "&amp;Projects!$A$46,""),3,10000)</f>
        <v>BD-27</v>
      </c>
      <c r="BF6" s="16" t="str">
        <f aca="false">MID(IF(AND(Projects!$G$2="Yes",Projects!$C$2=BF$3),", "&amp;Projects!$A$2,"")&amp;IF(AND(Projects!$G$3="Yes",Projects!$C$3=BF$3),", "&amp;Projects!$A$3,"")&amp;IF(AND(Projects!$G$4="Yes",Projects!$C$4=BF$3),", "&amp;Projects!$A$4,"")&amp;IF(AND(Projects!$G$5="Yes",Projects!$C$5=BF$3),", "&amp;Projects!$A$5,"")&amp;IF(AND(Projects!$G$6="Yes",Projects!$C$6=BF$3),", "&amp;Projects!$A$6,"")&amp;IF(AND(Projects!$G$7="Yes",Projects!$C$7=BF$3),", "&amp;Projects!$A$7,"")&amp;IF(AND(Projects!$G$8="Yes",Projects!$C$8=BF$3),", "&amp;Projects!$A$8,"")&amp;IF(AND(Projects!$G$9="Yes",Projects!$C$9=BF$3),", "&amp;Projects!$A$9,"")&amp;IF(AND(Projects!$G$10="Yes",Projects!$C$10=BF$3),", "&amp;Projects!$A$10,"")&amp;IF(AND(Projects!$G$11="Yes",Projects!$C$11=BF$3),", "&amp;Projects!$A$11,"")&amp;IF(AND(Projects!$G$12="Yes",Projects!$C$12=BF$3),", "&amp;Projects!$A$12,"")&amp;IF(AND(Projects!$G$13="Yes",Projects!$C$13=BF$3),", "&amp;Projects!$A$13,"")&amp;IF(AND(Projects!$G$14="Yes",Projects!$C$14=BF$3),", "&amp;Projects!$A$14,"")&amp;IF(AND(Projects!$G$15="Yes",Projects!$C$15=BF$3),", "&amp;Projects!$A$15,"")&amp;IF(AND(Projects!$G$16="Yes",Projects!$C$16=BF$3),", "&amp;Projects!$A$16,"")&amp;IF(AND(Projects!$G$17="Yes",Projects!$C$17=BF$3),", "&amp;Projects!$A$17,"")&amp;IF(AND(Projects!$G$18="Yes",Projects!$C$18=BF$3),", "&amp;Projects!$A$18,"")&amp;IF(AND(Projects!$G$19="Yes",Projects!$C$19=BF$3),", "&amp;Projects!$A$19,"")&amp;IF(AND(Projects!$G$20="Yes",Projects!$C$20=BF$3),", "&amp;Projects!$A$20,"")&amp;IF(AND(Projects!$G$21="Yes",Projects!$C$21=BF$3),", "&amp;Projects!$A$21,"")&amp;IF(AND(Projects!$G$22="Yes",Projects!$C$22=BF$3),", "&amp;Projects!$A$22,"")&amp;IF(AND(Projects!$G$23="Yes",Projects!$C$23=BF$3),", "&amp;Projects!$A$23,"")&amp;IF(AND(Projects!$G$24="Yes",Projects!$C$24=BF$3),", "&amp;Projects!$A$24,"")&amp;IF(AND(Projects!$G$25="Yes",Projects!$C$25=BF$3),", "&amp;Projects!$A$25,"")&amp;IF(AND(Projects!$G$26="Yes",Projects!$C$26=BF$3),", "&amp;Projects!$A$26,"")&amp;IF(AND(Projects!$G$27="Yes",Projects!$C$27=BF$3),", "&amp;Projects!$A$27,"")&amp;IF(AND(Projects!$G$28="Yes",Projects!$C$28=BF$3),", "&amp;Projects!$A$28,"")&amp;IF(AND(Projects!$G$29="Yes",Projects!$C$29=BF$3),", "&amp;Projects!$A$29,"")&amp;IF(AND(Projects!$G$30="Yes",Projects!$C$30=BF$3),", "&amp;Projects!$A$30,"")&amp;IF(AND(Projects!$G$31="Yes",Projects!$C$31=BF$3),", "&amp;Projects!$A$31,"")&amp;IF(AND(Projects!$G$32="Yes",Projects!$C$32=BF$3),", "&amp;Projects!$A$32,"")&amp;IF(AND(Projects!$G$33="Yes",Projects!$C$33=BF$3),", "&amp;Projects!$A$33,"")&amp;IF(AND(Projects!$G$34="Yes",Projects!$C$34=BF$3),", "&amp;Projects!$A$34,"")&amp;IF(AND(Projects!$G$35="Yes",Projects!$C$35=BF$3),", "&amp;Projects!$A$35,"")&amp;IF(AND(Projects!$G$36="Yes",Projects!$C$36=BF$3),", "&amp;Projects!$A$36,"")&amp;IF(AND(Projects!$G$37="Yes",Projects!$C$37=BF$3),", "&amp;Projects!$A$37,"")&amp;IF(AND(Projects!$G$38="Yes",Projects!$C$38=BF$3),", "&amp;Projects!$A$38,"")&amp;IF(AND(Projects!$G$39="Yes",Projects!$C$39=BF$3),", "&amp;Projects!$A$39,"")&amp;IF(AND(Projects!$G$40="Yes",Projects!$C$40=BF$3),", "&amp;Projects!$A$40,"")&amp;IF(AND(Projects!$G$41="Yes",Projects!$C$41=BF$3),", "&amp;Projects!$A$41,"")&amp;IF(AND(Projects!$G$42="Yes",Projects!$C$42=BF$3),", "&amp;Projects!$A$42,"")&amp;IF(AND(Projects!$G$43="Yes",Projects!$C$43=BF$3),", "&amp;Projects!$A$43,"")&amp;IF(AND(Projects!$G$44="Yes",Projects!$C$44=BF$3),", "&amp;Projects!$A$44,"")&amp;IF(AND(Projects!$G$45="Yes",Projects!$C$45=BF$3),", "&amp;Projects!$A$45,"")&amp;IF(AND(Projects!$G$46="Yes",Projects!$C$46=BF$3),", "&amp;Projects!$A$46,""),3,10000)</f>
        <v>BD-28</v>
      </c>
      <c r="BG6" s="16" t="str">
        <f aca="false">MID(IF(AND(Projects!$G$2="Yes",Projects!$C$2=BG$3),", "&amp;Projects!$A$2,"")&amp;IF(AND(Projects!$G$3="Yes",Projects!$C$3=BG$3),", "&amp;Projects!$A$3,"")&amp;IF(AND(Projects!$G$4="Yes",Projects!$C$4=BG$3),", "&amp;Projects!$A$4,"")&amp;IF(AND(Projects!$G$5="Yes",Projects!$C$5=BG$3),", "&amp;Projects!$A$5,"")&amp;IF(AND(Projects!$G$6="Yes",Projects!$C$6=BG$3),", "&amp;Projects!$A$6,"")&amp;IF(AND(Projects!$G$7="Yes",Projects!$C$7=BG$3),", "&amp;Projects!$A$7,"")&amp;IF(AND(Projects!$G$8="Yes",Projects!$C$8=BG$3),", "&amp;Projects!$A$8,"")&amp;IF(AND(Projects!$G$9="Yes",Projects!$C$9=BG$3),", "&amp;Projects!$A$9,"")&amp;IF(AND(Projects!$G$10="Yes",Projects!$C$10=BG$3),", "&amp;Projects!$A$10,"")&amp;IF(AND(Projects!$G$11="Yes",Projects!$C$11=BG$3),", "&amp;Projects!$A$11,"")&amp;IF(AND(Projects!$G$12="Yes",Projects!$C$12=BG$3),", "&amp;Projects!$A$12,"")&amp;IF(AND(Projects!$G$13="Yes",Projects!$C$13=BG$3),", "&amp;Projects!$A$13,"")&amp;IF(AND(Projects!$G$14="Yes",Projects!$C$14=BG$3),", "&amp;Projects!$A$14,"")&amp;IF(AND(Projects!$G$15="Yes",Projects!$C$15=BG$3),", "&amp;Projects!$A$15,"")&amp;IF(AND(Projects!$G$16="Yes",Projects!$C$16=BG$3),", "&amp;Projects!$A$16,"")&amp;IF(AND(Projects!$G$17="Yes",Projects!$C$17=BG$3),", "&amp;Projects!$A$17,"")&amp;IF(AND(Projects!$G$18="Yes",Projects!$C$18=BG$3),", "&amp;Projects!$A$18,"")&amp;IF(AND(Projects!$G$19="Yes",Projects!$C$19=BG$3),", "&amp;Projects!$A$19,"")&amp;IF(AND(Projects!$G$20="Yes",Projects!$C$20=BG$3),", "&amp;Projects!$A$20,"")&amp;IF(AND(Projects!$G$21="Yes",Projects!$C$21=BG$3),", "&amp;Projects!$A$21,"")&amp;IF(AND(Projects!$G$22="Yes",Projects!$C$22=BG$3),", "&amp;Projects!$A$22,"")&amp;IF(AND(Projects!$G$23="Yes",Projects!$C$23=BG$3),", "&amp;Projects!$A$23,"")&amp;IF(AND(Projects!$G$24="Yes",Projects!$C$24=BG$3),", "&amp;Projects!$A$24,"")&amp;IF(AND(Projects!$G$25="Yes",Projects!$C$25=BG$3),", "&amp;Projects!$A$25,"")&amp;IF(AND(Projects!$G$26="Yes",Projects!$C$26=BG$3),", "&amp;Projects!$A$26,"")&amp;IF(AND(Projects!$G$27="Yes",Projects!$C$27=BG$3),", "&amp;Projects!$A$27,"")&amp;IF(AND(Projects!$G$28="Yes",Projects!$C$28=BG$3),", "&amp;Projects!$A$28,"")&amp;IF(AND(Projects!$G$29="Yes",Projects!$C$29=BG$3),", "&amp;Projects!$A$29,"")&amp;IF(AND(Projects!$G$30="Yes",Projects!$C$30=BG$3),", "&amp;Projects!$A$30,"")&amp;IF(AND(Projects!$G$31="Yes",Projects!$C$31=BG$3),", "&amp;Projects!$A$31,"")&amp;IF(AND(Projects!$G$32="Yes",Projects!$C$32=BG$3),", "&amp;Projects!$A$32,"")&amp;IF(AND(Projects!$G$33="Yes",Projects!$C$33=BG$3),", "&amp;Projects!$A$33,"")&amp;IF(AND(Projects!$G$34="Yes",Projects!$C$34=BG$3),", "&amp;Projects!$A$34,"")&amp;IF(AND(Projects!$G$35="Yes",Projects!$C$35=BG$3),", "&amp;Projects!$A$35,"")&amp;IF(AND(Projects!$G$36="Yes",Projects!$C$36=BG$3),", "&amp;Projects!$A$36,"")&amp;IF(AND(Projects!$G$37="Yes",Projects!$C$37=BG$3),", "&amp;Projects!$A$37,"")&amp;IF(AND(Projects!$G$38="Yes",Projects!$C$38=BG$3),", "&amp;Projects!$A$38,"")&amp;IF(AND(Projects!$G$39="Yes",Projects!$C$39=BG$3),", "&amp;Projects!$A$39,"")&amp;IF(AND(Projects!$G$40="Yes",Projects!$C$40=BG$3),", "&amp;Projects!$A$40,"")&amp;IF(AND(Projects!$G$41="Yes",Projects!$C$41=BG$3),", "&amp;Projects!$A$41,"")&amp;IF(AND(Projects!$G$42="Yes",Projects!$C$42=BG$3),", "&amp;Projects!$A$42,"")&amp;IF(AND(Projects!$G$43="Yes",Projects!$C$43=BG$3),", "&amp;Projects!$A$43,"")&amp;IF(AND(Projects!$G$44="Yes",Projects!$C$44=BG$3),", "&amp;Projects!$A$44,"")&amp;IF(AND(Projects!$G$45="Yes",Projects!$C$45=BG$3),", "&amp;Projects!$A$45,"")&amp;IF(AND(Projects!$G$46="Yes",Projects!$C$46=BG$3),", "&amp;Projects!$A$46,""),3,10000)</f>
        <v>BD-29</v>
      </c>
      <c r="BH6" s="16" t="str">
        <f aca="false">MID(IF(AND(Projects!$G$2="Yes",Projects!$C$2=BH$3),", "&amp;Projects!$A$2,"")&amp;IF(AND(Projects!$G$3="Yes",Projects!$C$3=BH$3),", "&amp;Projects!$A$3,"")&amp;IF(AND(Projects!$G$4="Yes",Projects!$C$4=BH$3),", "&amp;Projects!$A$4,"")&amp;IF(AND(Projects!$G$5="Yes",Projects!$C$5=BH$3),", "&amp;Projects!$A$5,"")&amp;IF(AND(Projects!$G$6="Yes",Projects!$C$6=BH$3),", "&amp;Projects!$A$6,"")&amp;IF(AND(Projects!$G$7="Yes",Projects!$C$7=BH$3),", "&amp;Projects!$A$7,"")&amp;IF(AND(Projects!$G$8="Yes",Projects!$C$8=BH$3),", "&amp;Projects!$A$8,"")&amp;IF(AND(Projects!$G$9="Yes",Projects!$C$9=BH$3),", "&amp;Projects!$A$9,"")&amp;IF(AND(Projects!$G$10="Yes",Projects!$C$10=BH$3),", "&amp;Projects!$A$10,"")&amp;IF(AND(Projects!$G$11="Yes",Projects!$C$11=BH$3),", "&amp;Projects!$A$11,"")&amp;IF(AND(Projects!$G$12="Yes",Projects!$C$12=BH$3),", "&amp;Projects!$A$12,"")&amp;IF(AND(Projects!$G$13="Yes",Projects!$C$13=BH$3),", "&amp;Projects!$A$13,"")&amp;IF(AND(Projects!$G$14="Yes",Projects!$C$14=BH$3),", "&amp;Projects!$A$14,"")&amp;IF(AND(Projects!$G$15="Yes",Projects!$C$15=BH$3),", "&amp;Projects!$A$15,"")&amp;IF(AND(Projects!$G$16="Yes",Projects!$C$16=BH$3),", "&amp;Projects!$A$16,"")&amp;IF(AND(Projects!$G$17="Yes",Projects!$C$17=BH$3),", "&amp;Projects!$A$17,"")&amp;IF(AND(Projects!$G$18="Yes",Projects!$C$18=BH$3),", "&amp;Projects!$A$18,"")&amp;IF(AND(Projects!$G$19="Yes",Projects!$C$19=BH$3),", "&amp;Projects!$A$19,"")&amp;IF(AND(Projects!$G$20="Yes",Projects!$C$20=BH$3),", "&amp;Projects!$A$20,"")&amp;IF(AND(Projects!$G$21="Yes",Projects!$C$21=BH$3),", "&amp;Projects!$A$21,"")&amp;IF(AND(Projects!$G$22="Yes",Projects!$C$22=BH$3),", "&amp;Projects!$A$22,"")&amp;IF(AND(Projects!$G$23="Yes",Projects!$C$23=BH$3),", "&amp;Projects!$A$23,"")&amp;IF(AND(Projects!$G$24="Yes",Projects!$C$24=BH$3),", "&amp;Projects!$A$24,"")&amp;IF(AND(Projects!$G$25="Yes",Projects!$C$25=BH$3),", "&amp;Projects!$A$25,"")&amp;IF(AND(Projects!$G$26="Yes",Projects!$C$26=BH$3),", "&amp;Projects!$A$26,"")&amp;IF(AND(Projects!$G$27="Yes",Projects!$C$27=BH$3),", "&amp;Projects!$A$27,"")&amp;IF(AND(Projects!$G$28="Yes",Projects!$C$28=BH$3),", "&amp;Projects!$A$28,"")&amp;IF(AND(Projects!$G$29="Yes",Projects!$C$29=BH$3),", "&amp;Projects!$A$29,"")&amp;IF(AND(Projects!$G$30="Yes",Projects!$C$30=BH$3),", "&amp;Projects!$A$30,"")&amp;IF(AND(Projects!$G$31="Yes",Projects!$C$31=BH$3),", "&amp;Projects!$A$31,"")&amp;IF(AND(Projects!$G$32="Yes",Projects!$C$32=BH$3),", "&amp;Projects!$A$32,"")&amp;IF(AND(Projects!$G$33="Yes",Projects!$C$33=BH$3),", "&amp;Projects!$A$33,"")&amp;IF(AND(Projects!$G$34="Yes",Projects!$C$34=BH$3),", "&amp;Projects!$A$34,"")&amp;IF(AND(Projects!$G$35="Yes",Projects!$C$35=BH$3),", "&amp;Projects!$A$35,"")&amp;IF(AND(Projects!$G$36="Yes",Projects!$C$36=BH$3),", "&amp;Projects!$A$36,"")&amp;IF(AND(Projects!$G$37="Yes",Projects!$C$37=BH$3),", "&amp;Projects!$A$37,"")&amp;IF(AND(Projects!$G$38="Yes",Projects!$C$38=BH$3),", "&amp;Projects!$A$38,"")&amp;IF(AND(Projects!$G$39="Yes",Projects!$C$39=BH$3),", "&amp;Projects!$A$39,"")&amp;IF(AND(Projects!$G$40="Yes",Projects!$C$40=BH$3),", "&amp;Projects!$A$40,"")&amp;IF(AND(Projects!$G$41="Yes",Projects!$C$41=BH$3),", "&amp;Projects!$A$41,"")&amp;IF(AND(Projects!$G$42="Yes",Projects!$C$42=BH$3),", "&amp;Projects!$A$42,"")&amp;IF(AND(Projects!$G$43="Yes",Projects!$C$43=BH$3),", "&amp;Projects!$A$43,"")&amp;IF(AND(Projects!$G$44="Yes",Projects!$C$44=BH$3),", "&amp;Projects!$A$44,"")&amp;IF(AND(Projects!$G$45="Yes",Projects!$C$45=BH$3),", "&amp;Projects!$A$45,"")&amp;IF(AND(Projects!$G$46="Yes",Projects!$C$46=BH$3),", "&amp;Projects!$A$46,""),3,10000)</f>
        <v>BD-30</v>
      </c>
      <c r="BI6" s="16" t="str">
        <f aca="false">MID(IF(AND(Projects!$G$2="Yes",Projects!$C$2=BI$3),", "&amp;Projects!$A$2,"")&amp;IF(AND(Projects!$G$3="Yes",Projects!$C$3=BI$3),", "&amp;Projects!$A$3,"")&amp;IF(AND(Projects!$G$4="Yes",Projects!$C$4=BI$3),", "&amp;Projects!$A$4,"")&amp;IF(AND(Projects!$G$5="Yes",Projects!$C$5=BI$3),", "&amp;Projects!$A$5,"")&amp;IF(AND(Projects!$G$6="Yes",Projects!$C$6=BI$3),", "&amp;Projects!$A$6,"")&amp;IF(AND(Projects!$G$7="Yes",Projects!$C$7=BI$3),", "&amp;Projects!$A$7,"")&amp;IF(AND(Projects!$G$8="Yes",Projects!$C$8=BI$3),", "&amp;Projects!$A$8,"")&amp;IF(AND(Projects!$G$9="Yes",Projects!$C$9=BI$3),", "&amp;Projects!$A$9,"")&amp;IF(AND(Projects!$G$10="Yes",Projects!$C$10=BI$3),", "&amp;Projects!$A$10,"")&amp;IF(AND(Projects!$G$11="Yes",Projects!$C$11=BI$3),", "&amp;Projects!$A$11,"")&amp;IF(AND(Projects!$G$12="Yes",Projects!$C$12=BI$3),", "&amp;Projects!$A$12,"")&amp;IF(AND(Projects!$G$13="Yes",Projects!$C$13=BI$3),", "&amp;Projects!$A$13,"")&amp;IF(AND(Projects!$G$14="Yes",Projects!$C$14=BI$3),", "&amp;Projects!$A$14,"")&amp;IF(AND(Projects!$G$15="Yes",Projects!$C$15=BI$3),", "&amp;Projects!$A$15,"")&amp;IF(AND(Projects!$G$16="Yes",Projects!$C$16=BI$3),", "&amp;Projects!$A$16,"")&amp;IF(AND(Projects!$G$17="Yes",Projects!$C$17=BI$3),", "&amp;Projects!$A$17,"")&amp;IF(AND(Projects!$G$18="Yes",Projects!$C$18=BI$3),", "&amp;Projects!$A$18,"")&amp;IF(AND(Projects!$G$19="Yes",Projects!$C$19=BI$3),", "&amp;Projects!$A$19,"")&amp;IF(AND(Projects!$G$20="Yes",Projects!$C$20=BI$3),", "&amp;Projects!$A$20,"")&amp;IF(AND(Projects!$G$21="Yes",Projects!$C$21=BI$3),", "&amp;Projects!$A$21,"")&amp;IF(AND(Projects!$G$22="Yes",Projects!$C$22=BI$3),", "&amp;Projects!$A$22,"")&amp;IF(AND(Projects!$G$23="Yes",Projects!$C$23=BI$3),", "&amp;Projects!$A$23,"")&amp;IF(AND(Projects!$G$24="Yes",Projects!$C$24=BI$3),", "&amp;Projects!$A$24,"")&amp;IF(AND(Projects!$G$25="Yes",Projects!$C$25=BI$3),", "&amp;Projects!$A$25,"")&amp;IF(AND(Projects!$G$26="Yes",Projects!$C$26=BI$3),", "&amp;Projects!$A$26,"")&amp;IF(AND(Projects!$G$27="Yes",Projects!$C$27=BI$3),", "&amp;Projects!$A$27,"")&amp;IF(AND(Projects!$G$28="Yes",Projects!$C$28=BI$3),", "&amp;Projects!$A$28,"")&amp;IF(AND(Projects!$G$29="Yes",Projects!$C$29=BI$3),", "&amp;Projects!$A$29,"")&amp;IF(AND(Projects!$G$30="Yes",Projects!$C$30=BI$3),", "&amp;Projects!$A$30,"")&amp;IF(AND(Projects!$G$31="Yes",Projects!$C$31=BI$3),", "&amp;Projects!$A$31,"")&amp;IF(AND(Projects!$G$32="Yes",Projects!$C$32=BI$3),", "&amp;Projects!$A$32,"")&amp;IF(AND(Projects!$G$33="Yes",Projects!$C$33=BI$3),", "&amp;Projects!$A$33,"")&amp;IF(AND(Projects!$G$34="Yes",Projects!$C$34=BI$3),", "&amp;Projects!$A$34,"")&amp;IF(AND(Projects!$G$35="Yes",Projects!$C$35=BI$3),", "&amp;Projects!$A$35,"")&amp;IF(AND(Projects!$G$36="Yes",Projects!$C$36=BI$3),", "&amp;Projects!$A$36,"")&amp;IF(AND(Projects!$G$37="Yes",Projects!$C$37=BI$3),", "&amp;Projects!$A$37,"")&amp;IF(AND(Projects!$G$38="Yes",Projects!$C$38=BI$3),", "&amp;Projects!$A$38,"")&amp;IF(AND(Projects!$G$39="Yes",Projects!$C$39=BI$3),", "&amp;Projects!$A$39,"")&amp;IF(AND(Projects!$G$40="Yes",Projects!$C$40=BI$3),", "&amp;Projects!$A$40,"")&amp;IF(AND(Projects!$G$41="Yes",Projects!$C$41=BI$3),", "&amp;Projects!$A$41,"")&amp;IF(AND(Projects!$G$42="Yes",Projects!$C$42=BI$3),", "&amp;Projects!$A$42,"")&amp;IF(AND(Projects!$G$43="Yes",Projects!$C$43=BI$3),", "&amp;Projects!$A$43,"")&amp;IF(AND(Projects!$G$44="Yes",Projects!$C$44=BI$3),", "&amp;Projects!$A$44,"")&amp;IF(AND(Projects!$G$45="Yes",Projects!$C$45=BI$3),", "&amp;Projects!$A$45,"")&amp;IF(AND(Projects!$G$46="Yes",Projects!$C$46=BI$3),", "&amp;Projects!$A$46,""),3,10000)</f>
        <v/>
      </c>
      <c r="BJ6" s="16" t="str">
        <f aca="false">MID(IF(AND(Projects!$G$2="Yes",Projects!$C$2=BJ$3),", "&amp;Projects!$A$2,"")&amp;IF(AND(Projects!$G$3="Yes",Projects!$C$3=BJ$3),", "&amp;Projects!$A$3,"")&amp;IF(AND(Projects!$G$4="Yes",Projects!$C$4=BJ$3),", "&amp;Projects!$A$4,"")&amp;IF(AND(Projects!$G$5="Yes",Projects!$C$5=BJ$3),", "&amp;Projects!$A$5,"")&amp;IF(AND(Projects!$G$6="Yes",Projects!$C$6=BJ$3),", "&amp;Projects!$A$6,"")&amp;IF(AND(Projects!$G$7="Yes",Projects!$C$7=BJ$3),", "&amp;Projects!$A$7,"")&amp;IF(AND(Projects!$G$8="Yes",Projects!$C$8=BJ$3),", "&amp;Projects!$A$8,"")&amp;IF(AND(Projects!$G$9="Yes",Projects!$C$9=BJ$3),", "&amp;Projects!$A$9,"")&amp;IF(AND(Projects!$G$10="Yes",Projects!$C$10=BJ$3),", "&amp;Projects!$A$10,"")&amp;IF(AND(Projects!$G$11="Yes",Projects!$C$11=BJ$3),", "&amp;Projects!$A$11,"")&amp;IF(AND(Projects!$G$12="Yes",Projects!$C$12=BJ$3),", "&amp;Projects!$A$12,"")&amp;IF(AND(Projects!$G$13="Yes",Projects!$C$13=BJ$3),", "&amp;Projects!$A$13,"")&amp;IF(AND(Projects!$G$14="Yes",Projects!$C$14=BJ$3),", "&amp;Projects!$A$14,"")&amp;IF(AND(Projects!$G$15="Yes",Projects!$C$15=BJ$3),", "&amp;Projects!$A$15,"")&amp;IF(AND(Projects!$G$16="Yes",Projects!$C$16=BJ$3),", "&amp;Projects!$A$16,"")&amp;IF(AND(Projects!$G$17="Yes",Projects!$C$17=BJ$3),", "&amp;Projects!$A$17,"")&amp;IF(AND(Projects!$G$18="Yes",Projects!$C$18=BJ$3),", "&amp;Projects!$A$18,"")&amp;IF(AND(Projects!$G$19="Yes",Projects!$C$19=BJ$3),", "&amp;Projects!$A$19,"")&amp;IF(AND(Projects!$G$20="Yes",Projects!$C$20=BJ$3),", "&amp;Projects!$A$20,"")&amp;IF(AND(Projects!$G$21="Yes",Projects!$C$21=BJ$3),", "&amp;Projects!$A$21,"")&amp;IF(AND(Projects!$G$22="Yes",Projects!$C$22=BJ$3),", "&amp;Projects!$A$22,"")&amp;IF(AND(Projects!$G$23="Yes",Projects!$C$23=BJ$3),", "&amp;Projects!$A$23,"")&amp;IF(AND(Projects!$G$24="Yes",Projects!$C$24=BJ$3),", "&amp;Projects!$A$24,"")&amp;IF(AND(Projects!$G$25="Yes",Projects!$C$25=BJ$3),", "&amp;Projects!$A$25,"")&amp;IF(AND(Projects!$G$26="Yes",Projects!$C$26=BJ$3),", "&amp;Projects!$A$26,"")&amp;IF(AND(Projects!$G$27="Yes",Projects!$C$27=BJ$3),", "&amp;Projects!$A$27,"")&amp;IF(AND(Projects!$G$28="Yes",Projects!$C$28=BJ$3),", "&amp;Projects!$A$28,"")&amp;IF(AND(Projects!$G$29="Yes",Projects!$C$29=BJ$3),", "&amp;Projects!$A$29,"")&amp;IF(AND(Projects!$G$30="Yes",Projects!$C$30=BJ$3),", "&amp;Projects!$A$30,"")&amp;IF(AND(Projects!$G$31="Yes",Projects!$C$31=BJ$3),", "&amp;Projects!$A$31,"")&amp;IF(AND(Projects!$G$32="Yes",Projects!$C$32=BJ$3),", "&amp;Projects!$A$32,"")&amp;IF(AND(Projects!$G$33="Yes",Projects!$C$33=BJ$3),", "&amp;Projects!$A$33,"")&amp;IF(AND(Projects!$G$34="Yes",Projects!$C$34=BJ$3),", "&amp;Projects!$A$34,"")&amp;IF(AND(Projects!$G$35="Yes",Projects!$C$35=BJ$3),", "&amp;Projects!$A$35,"")&amp;IF(AND(Projects!$G$36="Yes",Projects!$C$36=BJ$3),", "&amp;Projects!$A$36,"")&amp;IF(AND(Projects!$G$37="Yes",Projects!$C$37=BJ$3),", "&amp;Projects!$A$37,"")&amp;IF(AND(Projects!$G$38="Yes",Projects!$C$38=BJ$3),", "&amp;Projects!$A$38,"")&amp;IF(AND(Projects!$G$39="Yes",Projects!$C$39=BJ$3),", "&amp;Projects!$A$39,"")&amp;IF(AND(Projects!$G$40="Yes",Projects!$C$40=BJ$3),", "&amp;Projects!$A$40,"")&amp;IF(AND(Projects!$G$41="Yes",Projects!$C$41=BJ$3),", "&amp;Projects!$A$41,"")&amp;IF(AND(Projects!$G$42="Yes",Projects!$C$42=BJ$3),", "&amp;Projects!$A$42,"")&amp;IF(AND(Projects!$G$43="Yes",Projects!$C$43=BJ$3),", "&amp;Projects!$A$43,"")&amp;IF(AND(Projects!$G$44="Yes",Projects!$C$44=BJ$3),", "&amp;Projects!$A$44,"")&amp;IF(AND(Projects!$G$45="Yes",Projects!$C$45=BJ$3),", "&amp;Projects!$A$45,"")&amp;IF(AND(Projects!$G$46="Yes",Projects!$C$46=BJ$3),", "&amp;Projects!$A$46,""),3,10000)</f>
        <v/>
      </c>
      <c r="BK6" s="16" t="str">
        <f aca="false">MID(IF(AND(Projects!$G$2="Yes",Projects!$C$2=BK$3),", "&amp;Projects!$A$2,"")&amp;IF(AND(Projects!$G$3="Yes",Projects!$C$3=BK$3),", "&amp;Projects!$A$3,"")&amp;IF(AND(Projects!$G$4="Yes",Projects!$C$4=BK$3),", "&amp;Projects!$A$4,"")&amp;IF(AND(Projects!$G$5="Yes",Projects!$C$5=BK$3),", "&amp;Projects!$A$5,"")&amp;IF(AND(Projects!$G$6="Yes",Projects!$C$6=BK$3),", "&amp;Projects!$A$6,"")&amp;IF(AND(Projects!$G$7="Yes",Projects!$C$7=BK$3),", "&amp;Projects!$A$7,"")&amp;IF(AND(Projects!$G$8="Yes",Projects!$C$8=BK$3),", "&amp;Projects!$A$8,"")&amp;IF(AND(Projects!$G$9="Yes",Projects!$C$9=BK$3),", "&amp;Projects!$A$9,"")&amp;IF(AND(Projects!$G$10="Yes",Projects!$C$10=BK$3),", "&amp;Projects!$A$10,"")&amp;IF(AND(Projects!$G$11="Yes",Projects!$C$11=BK$3),", "&amp;Projects!$A$11,"")&amp;IF(AND(Projects!$G$12="Yes",Projects!$C$12=BK$3),", "&amp;Projects!$A$12,"")&amp;IF(AND(Projects!$G$13="Yes",Projects!$C$13=BK$3),", "&amp;Projects!$A$13,"")&amp;IF(AND(Projects!$G$14="Yes",Projects!$C$14=BK$3),", "&amp;Projects!$A$14,"")&amp;IF(AND(Projects!$G$15="Yes",Projects!$C$15=BK$3),", "&amp;Projects!$A$15,"")&amp;IF(AND(Projects!$G$16="Yes",Projects!$C$16=BK$3),", "&amp;Projects!$A$16,"")&amp;IF(AND(Projects!$G$17="Yes",Projects!$C$17=BK$3),", "&amp;Projects!$A$17,"")&amp;IF(AND(Projects!$G$18="Yes",Projects!$C$18=BK$3),", "&amp;Projects!$A$18,"")&amp;IF(AND(Projects!$G$19="Yes",Projects!$C$19=BK$3),", "&amp;Projects!$A$19,"")&amp;IF(AND(Projects!$G$20="Yes",Projects!$C$20=BK$3),", "&amp;Projects!$A$20,"")&amp;IF(AND(Projects!$G$21="Yes",Projects!$C$21=BK$3),", "&amp;Projects!$A$21,"")&amp;IF(AND(Projects!$G$22="Yes",Projects!$C$22=BK$3),", "&amp;Projects!$A$22,"")&amp;IF(AND(Projects!$G$23="Yes",Projects!$C$23=BK$3),", "&amp;Projects!$A$23,"")&amp;IF(AND(Projects!$G$24="Yes",Projects!$C$24=BK$3),", "&amp;Projects!$A$24,"")&amp;IF(AND(Projects!$G$25="Yes",Projects!$C$25=BK$3),", "&amp;Projects!$A$25,"")&amp;IF(AND(Projects!$G$26="Yes",Projects!$C$26=BK$3),", "&amp;Projects!$A$26,"")&amp;IF(AND(Projects!$G$27="Yes",Projects!$C$27=BK$3),", "&amp;Projects!$A$27,"")&amp;IF(AND(Projects!$G$28="Yes",Projects!$C$28=BK$3),", "&amp;Projects!$A$28,"")&amp;IF(AND(Projects!$G$29="Yes",Projects!$C$29=BK$3),", "&amp;Projects!$A$29,"")&amp;IF(AND(Projects!$G$30="Yes",Projects!$C$30=BK$3),", "&amp;Projects!$A$30,"")&amp;IF(AND(Projects!$G$31="Yes",Projects!$C$31=BK$3),", "&amp;Projects!$A$31,"")&amp;IF(AND(Projects!$G$32="Yes",Projects!$C$32=BK$3),", "&amp;Projects!$A$32,"")&amp;IF(AND(Projects!$G$33="Yes",Projects!$C$33=BK$3),", "&amp;Projects!$A$33,"")&amp;IF(AND(Projects!$G$34="Yes",Projects!$C$34=BK$3),", "&amp;Projects!$A$34,"")&amp;IF(AND(Projects!$G$35="Yes",Projects!$C$35=BK$3),", "&amp;Projects!$A$35,"")&amp;IF(AND(Projects!$G$36="Yes",Projects!$C$36=BK$3),", "&amp;Projects!$A$36,"")&amp;IF(AND(Projects!$G$37="Yes",Projects!$C$37=BK$3),", "&amp;Projects!$A$37,"")&amp;IF(AND(Projects!$G$38="Yes",Projects!$C$38=BK$3),", "&amp;Projects!$A$38,"")&amp;IF(AND(Projects!$G$39="Yes",Projects!$C$39=BK$3),", "&amp;Projects!$A$39,"")&amp;IF(AND(Projects!$G$40="Yes",Projects!$C$40=BK$3),", "&amp;Projects!$A$40,"")&amp;IF(AND(Projects!$G$41="Yes",Projects!$C$41=BK$3),", "&amp;Projects!$A$41,"")&amp;IF(AND(Projects!$G$42="Yes",Projects!$C$42=BK$3),", "&amp;Projects!$A$42,"")&amp;IF(AND(Projects!$G$43="Yes",Projects!$C$43=BK$3),", "&amp;Projects!$A$43,"")&amp;IF(AND(Projects!$G$44="Yes",Projects!$C$44=BK$3),", "&amp;Projects!$A$44,"")&amp;IF(AND(Projects!$G$45="Yes",Projects!$C$45=BK$3),", "&amp;Projects!$A$45,"")&amp;IF(AND(Projects!$G$46="Yes",Projects!$C$46=BK$3),", "&amp;Projects!$A$46,""),3,10000)</f>
        <v/>
      </c>
      <c r="BL6" s="16" t="str">
        <f aca="false">MID(IF(AND(Projects!$G$2="Yes",Projects!$C$2=BL$3),", "&amp;Projects!$A$2,"")&amp;IF(AND(Projects!$G$3="Yes",Projects!$C$3=BL$3),", "&amp;Projects!$A$3,"")&amp;IF(AND(Projects!$G$4="Yes",Projects!$C$4=BL$3),", "&amp;Projects!$A$4,"")&amp;IF(AND(Projects!$G$5="Yes",Projects!$C$5=BL$3),", "&amp;Projects!$A$5,"")&amp;IF(AND(Projects!$G$6="Yes",Projects!$C$6=BL$3),", "&amp;Projects!$A$6,"")&amp;IF(AND(Projects!$G$7="Yes",Projects!$C$7=BL$3),", "&amp;Projects!$A$7,"")&amp;IF(AND(Projects!$G$8="Yes",Projects!$C$8=BL$3),", "&amp;Projects!$A$8,"")&amp;IF(AND(Projects!$G$9="Yes",Projects!$C$9=BL$3),", "&amp;Projects!$A$9,"")&amp;IF(AND(Projects!$G$10="Yes",Projects!$C$10=BL$3),", "&amp;Projects!$A$10,"")&amp;IF(AND(Projects!$G$11="Yes",Projects!$C$11=BL$3),", "&amp;Projects!$A$11,"")&amp;IF(AND(Projects!$G$12="Yes",Projects!$C$12=BL$3),", "&amp;Projects!$A$12,"")&amp;IF(AND(Projects!$G$13="Yes",Projects!$C$13=BL$3),", "&amp;Projects!$A$13,"")&amp;IF(AND(Projects!$G$14="Yes",Projects!$C$14=BL$3),", "&amp;Projects!$A$14,"")&amp;IF(AND(Projects!$G$15="Yes",Projects!$C$15=BL$3),", "&amp;Projects!$A$15,"")&amp;IF(AND(Projects!$G$16="Yes",Projects!$C$16=BL$3),", "&amp;Projects!$A$16,"")&amp;IF(AND(Projects!$G$17="Yes",Projects!$C$17=BL$3),", "&amp;Projects!$A$17,"")&amp;IF(AND(Projects!$G$18="Yes",Projects!$C$18=BL$3),", "&amp;Projects!$A$18,"")&amp;IF(AND(Projects!$G$19="Yes",Projects!$C$19=BL$3),", "&amp;Projects!$A$19,"")&amp;IF(AND(Projects!$G$20="Yes",Projects!$C$20=BL$3),", "&amp;Projects!$A$20,"")&amp;IF(AND(Projects!$G$21="Yes",Projects!$C$21=BL$3),", "&amp;Projects!$A$21,"")&amp;IF(AND(Projects!$G$22="Yes",Projects!$C$22=BL$3),", "&amp;Projects!$A$22,"")&amp;IF(AND(Projects!$G$23="Yes",Projects!$C$23=BL$3),", "&amp;Projects!$A$23,"")&amp;IF(AND(Projects!$G$24="Yes",Projects!$C$24=BL$3),", "&amp;Projects!$A$24,"")&amp;IF(AND(Projects!$G$25="Yes",Projects!$C$25=BL$3),", "&amp;Projects!$A$25,"")&amp;IF(AND(Projects!$G$26="Yes",Projects!$C$26=BL$3),", "&amp;Projects!$A$26,"")&amp;IF(AND(Projects!$G$27="Yes",Projects!$C$27=BL$3),", "&amp;Projects!$A$27,"")&amp;IF(AND(Projects!$G$28="Yes",Projects!$C$28=BL$3),", "&amp;Projects!$A$28,"")&amp;IF(AND(Projects!$G$29="Yes",Projects!$C$29=BL$3),", "&amp;Projects!$A$29,"")&amp;IF(AND(Projects!$G$30="Yes",Projects!$C$30=BL$3),", "&amp;Projects!$A$30,"")&amp;IF(AND(Projects!$G$31="Yes",Projects!$C$31=BL$3),", "&amp;Projects!$A$31,"")&amp;IF(AND(Projects!$G$32="Yes",Projects!$C$32=BL$3),", "&amp;Projects!$A$32,"")&amp;IF(AND(Projects!$G$33="Yes",Projects!$C$33=BL$3),", "&amp;Projects!$A$33,"")&amp;IF(AND(Projects!$G$34="Yes",Projects!$C$34=BL$3),", "&amp;Projects!$A$34,"")&amp;IF(AND(Projects!$G$35="Yes",Projects!$C$35=BL$3),", "&amp;Projects!$A$35,"")&amp;IF(AND(Projects!$G$36="Yes",Projects!$C$36=BL$3),", "&amp;Projects!$A$36,"")&amp;IF(AND(Projects!$G$37="Yes",Projects!$C$37=BL$3),", "&amp;Projects!$A$37,"")&amp;IF(AND(Projects!$G$38="Yes",Projects!$C$38=BL$3),", "&amp;Projects!$A$38,"")&amp;IF(AND(Projects!$G$39="Yes",Projects!$C$39=BL$3),", "&amp;Projects!$A$39,"")&amp;IF(AND(Projects!$G$40="Yes",Projects!$C$40=BL$3),", "&amp;Projects!$A$40,"")&amp;IF(AND(Projects!$G$41="Yes",Projects!$C$41=BL$3),", "&amp;Projects!$A$41,"")&amp;IF(AND(Projects!$G$42="Yes",Projects!$C$42=BL$3),", "&amp;Projects!$A$42,"")&amp;IF(AND(Projects!$G$43="Yes",Projects!$C$43=BL$3),", "&amp;Projects!$A$43,"")&amp;IF(AND(Projects!$G$44="Yes",Projects!$C$44=BL$3),", "&amp;Projects!$A$44,"")&amp;IF(AND(Projects!$G$45="Yes",Projects!$C$45=BL$3),", "&amp;Projects!$A$45,"")&amp;IF(AND(Projects!$G$46="Yes",Projects!$C$46=BL$3),", "&amp;Projects!$A$46,""),3,10000)</f>
        <v/>
      </c>
      <c r="BM6" s="16" t="str">
        <f aca="false">MID(IF(AND(Projects!$G$2="Yes",Projects!$C$2=BM$3),", "&amp;Projects!$A$2,"")&amp;IF(AND(Projects!$G$3="Yes",Projects!$C$3=BM$3),", "&amp;Projects!$A$3,"")&amp;IF(AND(Projects!$G$4="Yes",Projects!$C$4=BM$3),", "&amp;Projects!$A$4,"")&amp;IF(AND(Projects!$G$5="Yes",Projects!$C$5=BM$3),", "&amp;Projects!$A$5,"")&amp;IF(AND(Projects!$G$6="Yes",Projects!$C$6=BM$3),", "&amp;Projects!$A$6,"")&amp;IF(AND(Projects!$G$7="Yes",Projects!$C$7=BM$3),", "&amp;Projects!$A$7,"")&amp;IF(AND(Projects!$G$8="Yes",Projects!$C$8=BM$3),", "&amp;Projects!$A$8,"")&amp;IF(AND(Projects!$G$9="Yes",Projects!$C$9=BM$3),", "&amp;Projects!$A$9,"")&amp;IF(AND(Projects!$G$10="Yes",Projects!$C$10=BM$3),", "&amp;Projects!$A$10,"")&amp;IF(AND(Projects!$G$11="Yes",Projects!$C$11=BM$3),", "&amp;Projects!$A$11,"")&amp;IF(AND(Projects!$G$12="Yes",Projects!$C$12=BM$3),", "&amp;Projects!$A$12,"")&amp;IF(AND(Projects!$G$13="Yes",Projects!$C$13=BM$3),", "&amp;Projects!$A$13,"")&amp;IF(AND(Projects!$G$14="Yes",Projects!$C$14=BM$3),", "&amp;Projects!$A$14,"")&amp;IF(AND(Projects!$G$15="Yes",Projects!$C$15=BM$3),", "&amp;Projects!$A$15,"")&amp;IF(AND(Projects!$G$16="Yes",Projects!$C$16=BM$3),", "&amp;Projects!$A$16,"")&amp;IF(AND(Projects!$G$17="Yes",Projects!$C$17=BM$3),", "&amp;Projects!$A$17,"")&amp;IF(AND(Projects!$G$18="Yes",Projects!$C$18=BM$3),", "&amp;Projects!$A$18,"")&amp;IF(AND(Projects!$G$19="Yes",Projects!$C$19=BM$3),", "&amp;Projects!$A$19,"")&amp;IF(AND(Projects!$G$20="Yes",Projects!$C$20=BM$3),", "&amp;Projects!$A$20,"")&amp;IF(AND(Projects!$G$21="Yes",Projects!$C$21=BM$3),", "&amp;Projects!$A$21,"")&amp;IF(AND(Projects!$G$22="Yes",Projects!$C$22=BM$3),", "&amp;Projects!$A$22,"")&amp;IF(AND(Projects!$G$23="Yes",Projects!$C$23=BM$3),", "&amp;Projects!$A$23,"")&amp;IF(AND(Projects!$G$24="Yes",Projects!$C$24=BM$3),", "&amp;Projects!$A$24,"")&amp;IF(AND(Projects!$G$25="Yes",Projects!$C$25=BM$3),", "&amp;Projects!$A$25,"")&amp;IF(AND(Projects!$G$26="Yes",Projects!$C$26=BM$3),", "&amp;Projects!$A$26,"")&amp;IF(AND(Projects!$G$27="Yes",Projects!$C$27=BM$3),", "&amp;Projects!$A$27,"")&amp;IF(AND(Projects!$G$28="Yes",Projects!$C$28=BM$3),", "&amp;Projects!$A$28,"")&amp;IF(AND(Projects!$G$29="Yes",Projects!$C$29=BM$3),", "&amp;Projects!$A$29,"")&amp;IF(AND(Projects!$G$30="Yes",Projects!$C$30=BM$3),", "&amp;Projects!$A$30,"")&amp;IF(AND(Projects!$G$31="Yes",Projects!$C$31=BM$3),", "&amp;Projects!$A$31,"")&amp;IF(AND(Projects!$G$32="Yes",Projects!$C$32=BM$3),", "&amp;Projects!$A$32,"")&amp;IF(AND(Projects!$G$33="Yes",Projects!$C$33=BM$3),", "&amp;Projects!$A$33,"")&amp;IF(AND(Projects!$G$34="Yes",Projects!$C$34=BM$3),", "&amp;Projects!$A$34,"")&amp;IF(AND(Projects!$G$35="Yes",Projects!$C$35=BM$3),", "&amp;Projects!$A$35,"")&amp;IF(AND(Projects!$G$36="Yes",Projects!$C$36=BM$3),", "&amp;Projects!$A$36,"")&amp;IF(AND(Projects!$G$37="Yes",Projects!$C$37=BM$3),", "&amp;Projects!$A$37,"")&amp;IF(AND(Projects!$G$38="Yes",Projects!$C$38=BM$3),", "&amp;Projects!$A$38,"")&amp;IF(AND(Projects!$G$39="Yes",Projects!$C$39=BM$3),", "&amp;Projects!$A$39,"")&amp;IF(AND(Projects!$G$40="Yes",Projects!$C$40=BM$3),", "&amp;Projects!$A$40,"")&amp;IF(AND(Projects!$G$41="Yes",Projects!$C$41=BM$3),", "&amp;Projects!$A$41,"")&amp;IF(AND(Projects!$G$42="Yes",Projects!$C$42=BM$3),", "&amp;Projects!$A$42,"")&amp;IF(AND(Projects!$G$43="Yes",Projects!$C$43=BM$3),", "&amp;Projects!$A$43,"")&amp;IF(AND(Projects!$G$44="Yes",Projects!$C$44=BM$3),", "&amp;Projects!$A$44,"")&amp;IF(AND(Projects!$G$45="Yes",Projects!$C$45=BM$3),", "&amp;Projects!$A$45,"")&amp;IF(AND(Projects!$G$46="Yes",Projects!$C$46=BM$3),", "&amp;Projects!$A$46,""),3,10000)</f>
        <v/>
      </c>
      <c r="BN6" s="16" t="str">
        <f aca="false">MID(IF(AND(Projects!$G$2="Yes",Projects!$C$2=BN$3),", "&amp;Projects!$A$2,"")&amp;IF(AND(Projects!$G$3="Yes",Projects!$C$3=BN$3),", "&amp;Projects!$A$3,"")&amp;IF(AND(Projects!$G$4="Yes",Projects!$C$4=BN$3),", "&amp;Projects!$A$4,"")&amp;IF(AND(Projects!$G$5="Yes",Projects!$C$5=BN$3),", "&amp;Projects!$A$5,"")&amp;IF(AND(Projects!$G$6="Yes",Projects!$C$6=BN$3),", "&amp;Projects!$A$6,"")&amp;IF(AND(Projects!$G$7="Yes",Projects!$C$7=BN$3),", "&amp;Projects!$A$7,"")&amp;IF(AND(Projects!$G$8="Yes",Projects!$C$8=BN$3),", "&amp;Projects!$A$8,"")&amp;IF(AND(Projects!$G$9="Yes",Projects!$C$9=BN$3),", "&amp;Projects!$A$9,"")&amp;IF(AND(Projects!$G$10="Yes",Projects!$C$10=BN$3),", "&amp;Projects!$A$10,"")&amp;IF(AND(Projects!$G$11="Yes",Projects!$C$11=BN$3),", "&amp;Projects!$A$11,"")&amp;IF(AND(Projects!$G$12="Yes",Projects!$C$12=BN$3),", "&amp;Projects!$A$12,"")&amp;IF(AND(Projects!$G$13="Yes",Projects!$C$13=BN$3),", "&amp;Projects!$A$13,"")&amp;IF(AND(Projects!$G$14="Yes",Projects!$C$14=BN$3),", "&amp;Projects!$A$14,"")&amp;IF(AND(Projects!$G$15="Yes",Projects!$C$15=BN$3),", "&amp;Projects!$A$15,"")&amp;IF(AND(Projects!$G$16="Yes",Projects!$C$16=BN$3),", "&amp;Projects!$A$16,"")&amp;IF(AND(Projects!$G$17="Yes",Projects!$C$17=BN$3),", "&amp;Projects!$A$17,"")&amp;IF(AND(Projects!$G$18="Yes",Projects!$C$18=BN$3),", "&amp;Projects!$A$18,"")&amp;IF(AND(Projects!$G$19="Yes",Projects!$C$19=BN$3),", "&amp;Projects!$A$19,"")&amp;IF(AND(Projects!$G$20="Yes",Projects!$C$20=BN$3),", "&amp;Projects!$A$20,"")&amp;IF(AND(Projects!$G$21="Yes",Projects!$C$21=BN$3),", "&amp;Projects!$A$21,"")&amp;IF(AND(Projects!$G$22="Yes",Projects!$C$22=BN$3),", "&amp;Projects!$A$22,"")&amp;IF(AND(Projects!$G$23="Yes",Projects!$C$23=BN$3),", "&amp;Projects!$A$23,"")&amp;IF(AND(Projects!$G$24="Yes",Projects!$C$24=BN$3),", "&amp;Projects!$A$24,"")&amp;IF(AND(Projects!$G$25="Yes",Projects!$C$25=BN$3),", "&amp;Projects!$A$25,"")&amp;IF(AND(Projects!$G$26="Yes",Projects!$C$26=BN$3),", "&amp;Projects!$A$26,"")&amp;IF(AND(Projects!$G$27="Yes",Projects!$C$27=BN$3),", "&amp;Projects!$A$27,"")&amp;IF(AND(Projects!$G$28="Yes",Projects!$C$28=BN$3),", "&amp;Projects!$A$28,"")&amp;IF(AND(Projects!$G$29="Yes",Projects!$C$29=BN$3),", "&amp;Projects!$A$29,"")&amp;IF(AND(Projects!$G$30="Yes",Projects!$C$30=BN$3),", "&amp;Projects!$A$30,"")&amp;IF(AND(Projects!$G$31="Yes",Projects!$C$31=BN$3),", "&amp;Projects!$A$31,"")&amp;IF(AND(Projects!$G$32="Yes",Projects!$C$32=BN$3),", "&amp;Projects!$A$32,"")&amp;IF(AND(Projects!$G$33="Yes",Projects!$C$33=BN$3),", "&amp;Projects!$A$33,"")&amp;IF(AND(Projects!$G$34="Yes",Projects!$C$34=BN$3),", "&amp;Projects!$A$34,"")&amp;IF(AND(Projects!$G$35="Yes",Projects!$C$35=BN$3),", "&amp;Projects!$A$35,"")&amp;IF(AND(Projects!$G$36="Yes",Projects!$C$36=BN$3),", "&amp;Projects!$A$36,"")&amp;IF(AND(Projects!$G$37="Yes",Projects!$C$37=BN$3),", "&amp;Projects!$A$37,"")&amp;IF(AND(Projects!$G$38="Yes",Projects!$C$38=BN$3),", "&amp;Projects!$A$38,"")&amp;IF(AND(Projects!$G$39="Yes",Projects!$C$39=BN$3),", "&amp;Projects!$A$39,"")&amp;IF(AND(Projects!$G$40="Yes",Projects!$C$40=BN$3),", "&amp;Projects!$A$40,"")&amp;IF(AND(Projects!$G$41="Yes",Projects!$C$41=BN$3),", "&amp;Projects!$A$41,"")&amp;IF(AND(Projects!$G$42="Yes",Projects!$C$42=BN$3),", "&amp;Projects!$A$42,"")&amp;IF(AND(Projects!$G$43="Yes",Projects!$C$43=BN$3),", "&amp;Projects!$A$43,"")&amp;IF(AND(Projects!$G$44="Yes",Projects!$C$44=BN$3),", "&amp;Projects!$A$44,"")&amp;IF(AND(Projects!$G$45="Yes",Projects!$C$45=BN$3),", "&amp;Projects!$A$45,"")&amp;IF(AND(Projects!$G$46="Yes",Projects!$C$46=BN$3),", "&amp;Projects!$A$46,""),3,10000)</f>
        <v/>
      </c>
      <c r="BO6" s="16" t="str">
        <f aca="false">MID(IF(AND(Projects!$G$2="Yes",Projects!$C$2=BO$3),", "&amp;Projects!$A$2,"")&amp;IF(AND(Projects!$G$3="Yes",Projects!$C$3=BO$3),", "&amp;Projects!$A$3,"")&amp;IF(AND(Projects!$G$4="Yes",Projects!$C$4=BO$3),", "&amp;Projects!$A$4,"")&amp;IF(AND(Projects!$G$5="Yes",Projects!$C$5=BO$3),", "&amp;Projects!$A$5,"")&amp;IF(AND(Projects!$G$6="Yes",Projects!$C$6=BO$3),", "&amp;Projects!$A$6,"")&amp;IF(AND(Projects!$G$7="Yes",Projects!$C$7=BO$3),", "&amp;Projects!$A$7,"")&amp;IF(AND(Projects!$G$8="Yes",Projects!$C$8=BO$3),", "&amp;Projects!$A$8,"")&amp;IF(AND(Projects!$G$9="Yes",Projects!$C$9=BO$3),", "&amp;Projects!$A$9,"")&amp;IF(AND(Projects!$G$10="Yes",Projects!$C$10=BO$3),", "&amp;Projects!$A$10,"")&amp;IF(AND(Projects!$G$11="Yes",Projects!$C$11=BO$3),", "&amp;Projects!$A$11,"")&amp;IF(AND(Projects!$G$12="Yes",Projects!$C$12=BO$3),", "&amp;Projects!$A$12,"")&amp;IF(AND(Projects!$G$13="Yes",Projects!$C$13=BO$3),", "&amp;Projects!$A$13,"")&amp;IF(AND(Projects!$G$14="Yes",Projects!$C$14=BO$3),", "&amp;Projects!$A$14,"")&amp;IF(AND(Projects!$G$15="Yes",Projects!$C$15=BO$3),", "&amp;Projects!$A$15,"")&amp;IF(AND(Projects!$G$16="Yes",Projects!$C$16=BO$3),", "&amp;Projects!$A$16,"")&amp;IF(AND(Projects!$G$17="Yes",Projects!$C$17=BO$3),", "&amp;Projects!$A$17,"")&amp;IF(AND(Projects!$G$18="Yes",Projects!$C$18=BO$3),", "&amp;Projects!$A$18,"")&amp;IF(AND(Projects!$G$19="Yes",Projects!$C$19=BO$3),", "&amp;Projects!$A$19,"")&amp;IF(AND(Projects!$G$20="Yes",Projects!$C$20=BO$3),", "&amp;Projects!$A$20,"")&amp;IF(AND(Projects!$G$21="Yes",Projects!$C$21=BO$3),", "&amp;Projects!$A$21,"")&amp;IF(AND(Projects!$G$22="Yes",Projects!$C$22=BO$3),", "&amp;Projects!$A$22,"")&amp;IF(AND(Projects!$G$23="Yes",Projects!$C$23=BO$3),", "&amp;Projects!$A$23,"")&amp;IF(AND(Projects!$G$24="Yes",Projects!$C$24=BO$3),", "&amp;Projects!$A$24,"")&amp;IF(AND(Projects!$G$25="Yes",Projects!$C$25=BO$3),", "&amp;Projects!$A$25,"")&amp;IF(AND(Projects!$G$26="Yes",Projects!$C$26=BO$3),", "&amp;Projects!$A$26,"")&amp;IF(AND(Projects!$G$27="Yes",Projects!$C$27=BO$3),", "&amp;Projects!$A$27,"")&amp;IF(AND(Projects!$G$28="Yes",Projects!$C$28=BO$3),", "&amp;Projects!$A$28,"")&amp;IF(AND(Projects!$G$29="Yes",Projects!$C$29=BO$3),", "&amp;Projects!$A$29,"")&amp;IF(AND(Projects!$G$30="Yes",Projects!$C$30=BO$3),", "&amp;Projects!$A$30,"")&amp;IF(AND(Projects!$G$31="Yes",Projects!$C$31=BO$3),", "&amp;Projects!$A$31,"")&amp;IF(AND(Projects!$G$32="Yes",Projects!$C$32=BO$3),", "&amp;Projects!$A$32,"")&amp;IF(AND(Projects!$G$33="Yes",Projects!$C$33=BO$3),", "&amp;Projects!$A$33,"")&amp;IF(AND(Projects!$G$34="Yes",Projects!$C$34=BO$3),", "&amp;Projects!$A$34,"")&amp;IF(AND(Projects!$G$35="Yes",Projects!$C$35=BO$3),", "&amp;Projects!$A$35,"")&amp;IF(AND(Projects!$G$36="Yes",Projects!$C$36=BO$3),", "&amp;Projects!$A$36,"")&amp;IF(AND(Projects!$G$37="Yes",Projects!$C$37=BO$3),", "&amp;Projects!$A$37,"")&amp;IF(AND(Projects!$G$38="Yes",Projects!$C$38=BO$3),", "&amp;Projects!$A$38,"")&amp;IF(AND(Projects!$G$39="Yes",Projects!$C$39=BO$3),", "&amp;Projects!$A$39,"")&amp;IF(AND(Projects!$G$40="Yes",Projects!$C$40=BO$3),", "&amp;Projects!$A$40,"")&amp;IF(AND(Projects!$G$41="Yes",Projects!$C$41=BO$3),", "&amp;Projects!$A$41,"")&amp;IF(AND(Projects!$G$42="Yes",Projects!$C$42=BO$3),", "&amp;Projects!$A$42,"")&amp;IF(AND(Projects!$G$43="Yes",Projects!$C$43=BO$3),", "&amp;Projects!$A$43,"")&amp;IF(AND(Projects!$G$44="Yes",Projects!$C$44=BO$3),", "&amp;Projects!$A$44,"")&amp;IF(AND(Projects!$G$45="Yes",Projects!$C$45=BO$3),", "&amp;Projects!$A$45,"")&amp;IF(AND(Projects!$G$46="Yes",Projects!$C$46=BO$3),", "&amp;Projects!$A$46,""),3,10000)</f>
        <v/>
      </c>
      <c r="BP6" s="16" t="str">
        <f aca="false">MID(IF(AND(Projects!$G$2="Yes",Projects!$C$2=BP$3),", "&amp;Projects!$A$2,"")&amp;IF(AND(Projects!$G$3="Yes",Projects!$C$3=BP$3),", "&amp;Projects!$A$3,"")&amp;IF(AND(Projects!$G$4="Yes",Projects!$C$4=BP$3),", "&amp;Projects!$A$4,"")&amp;IF(AND(Projects!$G$5="Yes",Projects!$C$5=BP$3),", "&amp;Projects!$A$5,"")&amp;IF(AND(Projects!$G$6="Yes",Projects!$C$6=BP$3),", "&amp;Projects!$A$6,"")&amp;IF(AND(Projects!$G$7="Yes",Projects!$C$7=BP$3),", "&amp;Projects!$A$7,"")&amp;IF(AND(Projects!$G$8="Yes",Projects!$C$8=BP$3),", "&amp;Projects!$A$8,"")&amp;IF(AND(Projects!$G$9="Yes",Projects!$C$9=BP$3),", "&amp;Projects!$A$9,"")&amp;IF(AND(Projects!$G$10="Yes",Projects!$C$10=BP$3),", "&amp;Projects!$A$10,"")&amp;IF(AND(Projects!$G$11="Yes",Projects!$C$11=BP$3),", "&amp;Projects!$A$11,"")&amp;IF(AND(Projects!$G$12="Yes",Projects!$C$12=BP$3),", "&amp;Projects!$A$12,"")&amp;IF(AND(Projects!$G$13="Yes",Projects!$C$13=BP$3),", "&amp;Projects!$A$13,"")&amp;IF(AND(Projects!$G$14="Yes",Projects!$C$14=BP$3),", "&amp;Projects!$A$14,"")&amp;IF(AND(Projects!$G$15="Yes",Projects!$C$15=BP$3),", "&amp;Projects!$A$15,"")&amp;IF(AND(Projects!$G$16="Yes",Projects!$C$16=BP$3),", "&amp;Projects!$A$16,"")&amp;IF(AND(Projects!$G$17="Yes",Projects!$C$17=BP$3),", "&amp;Projects!$A$17,"")&amp;IF(AND(Projects!$G$18="Yes",Projects!$C$18=BP$3),", "&amp;Projects!$A$18,"")&amp;IF(AND(Projects!$G$19="Yes",Projects!$C$19=BP$3),", "&amp;Projects!$A$19,"")&amp;IF(AND(Projects!$G$20="Yes",Projects!$C$20=BP$3),", "&amp;Projects!$A$20,"")&amp;IF(AND(Projects!$G$21="Yes",Projects!$C$21=BP$3),", "&amp;Projects!$A$21,"")&amp;IF(AND(Projects!$G$22="Yes",Projects!$C$22=BP$3),", "&amp;Projects!$A$22,"")&amp;IF(AND(Projects!$G$23="Yes",Projects!$C$23=BP$3),", "&amp;Projects!$A$23,"")&amp;IF(AND(Projects!$G$24="Yes",Projects!$C$24=BP$3),", "&amp;Projects!$A$24,"")&amp;IF(AND(Projects!$G$25="Yes",Projects!$C$25=BP$3),", "&amp;Projects!$A$25,"")&amp;IF(AND(Projects!$G$26="Yes",Projects!$C$26=BP$3),", "&amp;Projects!$A$26,"")&amp;IF(AND(Projects!$G$27="Yes",Projects!$C$27=BP$3),", "&amp;Projects!$A$27,"")&amp;IF(AND(Projects!$G$28="Yes",Projects!$C$28=BP$3),", "&amp;Projects!$A$28,"")&amp;IF(AND(Projects!$G$29="Yes",Projects!$C$29=BP$3),", "&amp;Projects!$A$29,"")&amp;IF(AND(Projects!$G$30="Yes",Projects!$C$30=BP$3),", "&amp;Projects!$A$30,"")&amp;IF(AND(Projects!$G$31="Yes",Projects!$C$31=BP$3),", "&amp;Projects!$A$31,"")&amp;IF(AND(Projects!$G$32="Yes",Projects!$C$32=BP$3),", "&amp;Projects!$A$32,"")&amp;IF(AND(Projects!$G$33="Yes",Projects!$C$33=BP$3),", "&amp;Projects!$A$33,"")&amp;IF(AND(Projects!$G$34="Yes",Projects!$C$34=BP$3),", "&amp;Projects!$A$34,"")&amp;IF(AND(Projects!$G$35="Yes",Projects!$C$35=BP$3),", "&amp;Projects!$A$35,"")&amp;IF(AND(Projects!$G$36="Yes",Projects!$C$36=BP$3),", "&amp;Projects!$A$36,"")&amp;IF(AND(Projects!$G$37="Yes",Projects!$C$37=BP$3),", "&amp;Projects!$A$37,"")&amp;IF(AND(Projects!$G$38="Yes",Projects!$C$38=BP$3),", "&amp;Projects!$A$38,"")&amp;IF(AND(Projects!$G$39="Yes",Projects!$C$39=BP$3),", "&amp;Projects!$A$39,"")&amp;IF(AND(Projects!$G$40="Yes",Projects!$C$40=BP$3),", "&amp;Projects!$A$40,"")&amp;IF(AND(Projects!$G$41="Yes",Projects!$C$41=BP$3),", "&amp;Projects!$A$41,"")&amp;IF(AND(Projects!$G$42="Yes",Projects!$C$42=BP$3),", "&amp;Projects!$A$42,"")&amp;IF(AND(Projects!$G$43="Yes",Projects!$C$43=BP$3),", "&amp;Projects!$A$43,"")&amp;IF(AND(Projects!$G$44="Yes",Projects!$C$44=BP$3),", "&amp;Projects!$A$44,"")&amp;IF(AND(Projects!$G$45="Yes",Projects!$C$45=BP$3),", "&amp;Projects!$A$45,"")&amp;IF(AND(Projects!$G$46="Yes",Projects!$C$46=BP$3),", "&amp;Projects!$A$46,""),3,10000)</f>
        <v/>
      </c>
      <c r="BQ6" s="16" t="str">
        <f aca="false">MID(IF(AND(Projects!$G$2="Yes",Projects!$C$2=BQ$3),", "&amp;Projects!$A$2,"")&amp;IF(AND(Projects!$G$3="Yes",Projects!$C$3=BQ$3),", "&amp;Projects!$A$3,"")&amp;IF(AND(Projects!$G$4="Yes",Projects!$C$4=BQ$3),", "&amp;Projects!$A$4,"")&amp;IF(AND(Projects!$G$5="Yes",Projects!$C$5=BQ$3),", "&amp;Projects!$A$5,"")&amp;IF(AND(Projects!$G$6="Yes",Projects!$C$6=BQ$3),", "&amp;Projects!$A$6,"")&amp;IF(AND(Projects!$G$7="Yes",Projects!$C$7=BQ$3),", "&amp;Projects!$A$7,"")&amp;IF(AND(Projects!$G$8="Yes",Projects!$C$8=BQ$3),", "&amp;Projects!$A$8,"")&amp;IF(AND(Projects!$G$9="Yes",Projects!$C$9=BQ$3),", "&amp;Projects!$A$9,"")&amp;IF(AND(Projects!$G$10="Yes",Projects!$C$10=BQ$3),", "&amp;Projects!$A$10,"")&amp;IF(AND(Projects!$G$11="Yes",Projects!$C$11=BQ$3),", "&amp;Projects!$A$11,"")&amp;IF(AND(Projects!$G$12="Yes",Projects!$C$12=BQ$3),", "&amp;Projects!$A$12,"")&amp;IF(AND(Projects!$G$13="Yes",Projects!$C$13=BQ$3),", "&amp;Projects!$A$13,"")&amp;IF(AND(Projects!$G$14="Yes",Projects!$C$14=BQ$3),", "&amp;Projects!$A$14,"")&amp;IF(AND(Projects!$G$15="Yes",Projects!$C$15=BQ$3),", "&amp;Projects!$A$15,"")&amp;IF(AND(Projects!$G$16="Yes",Projects!$C$16=BQ$3),", "&amp;Projects!$A$16,"")&amp;IF(AND(Projects!$G$17="Yes",Projects!$C$17=BQ$3),", "&amp;Projects!$A$17,"")&amp;IF(AND(Projects!$G$18="Yes",Projects!$C$18=BQ$3),", "&amp;Projects!$A$18,"")&amp;IF(AND(Projects!$G$19="Yes",Projects!$C$19=BQ$3),", "&amp;Projects!$A$19,"")&amp;IF(AND(Projects!$G$20="Yes",Projects!$C$20=BQ$3),", "&amp;Projects!$A$20,"")&amp;IF(AND(Projects!$G$21="Yes",Projects!$C$21=BQ$3),", "&amp;Projects!$A$21,"")&amp;IF(AND(Projects!$G$22="Yes",Projects!$C$22=BQ$3),", "&amp;Projects!$A$22,"")&amp;IF(AND(Projects!$G$23="Yes",Projects!$C$23=BQ$3),", "&amp;Projects!$A$23,"")&amp;IF(AND(Projects!$G$24="Yes",Projects!$C$24=BQ$3),", "&amp;Projects!$A$24,"")&amp;IF(AND(Projects!$G$25="Yes",Projects!$C$25=BQ$3),", "&amp;Projects!$A$25,"")&amp;IF(AND(Projects!$G$26="Yes",Projects!$C$26=BQ$3),", "&amp;Projects!$A$26,"")&amp;IF(AND(Projects!$G$27="Yes",Projects!$C$27=BQ$3),", "&amp;Projects!$A$27,"")&amp;IF(AND(Projects!$G$28="Yes",Projects!$C$28=BQ$3),", "&amp;Projects!$A$28,"")&amp;IF(AND(Projects!$G$29="Yes",Projects!$C$29=BQ$3),", "&amp;Projects!$A$29,"")&amp;IF(AND(Projects!$G$30="Yes",Projects!$C$30=BQ$3),", "&amp;Projects!$A$30,"")&amp;IF(AND(Projects!$G$31="Yes",Projects!$C$31=BQ$3),", "&amp;Projects!$A$31,"")&amp;IF(AND(Projects!$G$32="Yes",Projects!$C$32=BQ$3),", "&amp;Projects!$A$32,"")&amp;IF(AND(Projects!$G$33="Yes",Projects!$C$33=BQ$3),", "&amp;Projects!$A$33,"")&amp;IF(AND(Projects!$G$34="Yes",Projects!$C$34=BQ$3),", "&amp;Projects!$A$34,"")&amp;IF(AND(Projects!$G$35="Yes",Projects!$C$35=BQ$3),", "&amp;Projects!$A$35,"")&amp;IF(AND(Projects!$G$36="Yes",Projects!$C$36=BQ$3),", "&amp;Projects!$A$36,"")&amp;IF(AND(Projects!$G$37="Yes",Projects!$C$37=BQ$3),", "&amp;Projects!$A$37,"")&amp;IF(AND(Projects!$G$38="Yes",Projects!$C$38=BQ$3),", "&amp;Projects!$A$38,"")&amp;IF(AND(Projects!$G$39="Yes",Projects!$C$39=BQ$3),", "&amp;Projects!$A$39,"")&amp;IF(AND(Projects!$G$40="Yes",Projects!$C$40=BQ$3),", "&amp;Projects!$A$40,"")&amp;IF(AND(Projects!$G$41="Yes",Projects!$C$41=BQ$3),", "&amp;Projects!$A$41,"")&amp;IF(AND(Projects!$G$42="Yes",Projects!$C$42=BQ$3),", "&amp;Projects!$A$42,"")&amp;IF(AND(Projects!$G$43="Yes",Projects!$C$43=BQ$3),", "&amp;Projects!$A$43,"")&amp;IF(AND(Projects!$G$44="Yes",Projects!$C$44=BQ$3),", "&amp;Projects!$A$44,"")&amp;IF(AND(Projects!$G$45="Yes",Projects!$C$45=BQ$3),", "&amp;Projects!$A$45,"")&amp;IF(AND(Projects!$G$46="Yes",Projects!$C$46=BQ$3),", "&amp;Projects!$A$46,""),3,10000)</f>
        <v/>
      </c>
      <c r="BR6" s="16" t="str">
        <f aca="false">MID(IF(AND(Projects!$G$2="Yes",Projects!$C$2=BR$3),", "&amp;Projects!$A$2,"")&amp;IF(AND(Projects!$G$3="Yes",Projects!$C$3=BR$3),", "&amp;Projects!$A$3,"")&amp;IF(AND(Projects!$G$4="Yes",Projects!$C$4=BR$3),", "&amp;Projects!$A$4,"")&amp;IF(AND(Projects!$G$5="Yes",Projects!$C$5=BR$3),", "&amp;Projects!$A$5,"")&amp;IF(AND(Projects!$G$6="Yes",Projects!$C$6=BR$3),", "&amp;Projects!$A$6,"")&amp;IF(AND(Projects!$G$7="Yes",Projects!$C$7=BR$3),", "&amp;Projects!$A$7,"")&amp;IF(AND(Projects!$G$8="Yes",Projects!$C$8=BR$3),", "&amp;Projects!$A$8,"")&amp;IF(AND(Projects!$G$9="Yes",Projects!$C$9=BR$3),", "&amp;Projects!$A$9,"")&amp;IF(AND(Projects!$G$10="Yes",Projects!$C$10=BR$3),", "&amp;Projects!$A$10,"")&amp;IF(AND(Projects!$G$11="Yes",Projects!$C$11=BR$3),", "&amp;Projects!$A$11,"")&amp;IF(AND(Projects!$G$12="Yes",Projects!$C$12=BR$3),", "&amp;Projects!$A$12,"")&amp;IF(AND(Projects!$G$13="Yes",Projects!$C$13=BR$3),", "&amp;Projects!$A$13,"")&amp;IF(AND(Projects!$G$14="Yes",Projects!$C$14=BR$3),", "&amp;Projects!$A$14,"")&amp;IF(AND(Projects!$G$15="Yes",Projects!$C$15=BR$3),", "&amp;Projects!$A$15,"")&amp;IF(AND(Projects!$G$16="Yes",Projects!$C$16=BR$3),", "&amp;Projects!$A$16,"")&amp;IF(AND(Projects!$G$17="Yes",Projects!$C$17=BR$3),", "&amp;Projects!$A$17,"")&amp;IF(AND(Projects!$G$18="Yes",Projects!$C$18=BR$3),", "&amp;Projects!$A$18,"")&amp;IF(AND(Projects!$G$19="Yes",Projects!$C$19=BR$3),", "&amp;Projects!$A$19,"")&amp;IF(AND(Projects!$G$20="Yes",Projects!$C$20=BR$3),", "&amp;Projects!$A$20,"")&amp;IF(AND(Projects!$G$21="Yes",Projects!$C$21=BR$3),", "&amp;Projects!$A$21,"")&amp;IF(AND(Projects!$G$22="Yes",Projects!$C$22=BR$3),", "&amp;Projects!$A$22,"")&amp;IF(AND(Projects!$G$23="Yes",Projects!$C$23=BR$3),", "&amp;Projects!$A$23,"")&amp;IF(AND(Projects!$G$24="Yes",Projects!$C$24=BR$3),", "&amp;Projects!$A$24,"")&amp;IF(AND(Projects!$G$25="Yes",Projects!$C$25=BR$3),", "&amp;Projects!$A$25,"")&amp;IF(AND(Projects!$G$26="Yes",Projects!$C$26=BR$3),", "&amp;Projects!$A$26,"")&amp;IF(AND(Projects!$G$27="Yes",Projects!$C$27=BR$3),", "&amp;Projects!$A$27,"")&amp;IF(AND(Projects!$G$28="Yes",Projects!$C$28=BR$3),", "&amp;Projects!$A$28,"")&amp;IF(AND(Projects!$G$29="Yes",Projects!$C$29=BR$3),", "&amp;Projects!$A$29,"")&amp;IF(AND(Projects!$G$30="Yes",Projects!$C$30=BR$3),", "&amp;Projects!$A$30,"")&amp;IF(AND(Projects!$G$31="Yes",Projects!$C$31=BR$3),", "&amp;Projects!$A$31,"")&amp;IF(AND(Projects!$G$32="Yes",Projects!$C$32=BR$3),", "&amp;Projects!$A$32,"")&amp;IF(AND(Projects!$G$33="Yes",Projects!$C$33=BR$3),", "&amp;Projects!$A$33,"")&amp;IF(AND(Projects!$G$34="Yes",Projects!$C$34=BR$3),", "&amp;Projects!$A$34,"")&amp;IF(AND(Projects!$G$35="Yes",Projects!$C$35=BR$3),", "&amp;Projects!$A$35,"")&amp;IF(AND(Projects!$G$36="Yes",Projects!$C$36=BR$3),", "&amp;Projects!$A$36,"")&amp;IF(AND(Projects!$G$37="Yes",Projects!$C$37=BR$3),", "&amp;Projects!$A$37,"")&amp;IF(AND(Projects!$G$38="Yes",Projects!$C$38=BR$3),", "&amp;Projects!$A$38,"")&amp;IF(AND(Projects!$G$39="Yes",Projects!$C$39=BR$3),", "&amp;Projects!$A$39,"")&amp;IF(AND(Projects!$G$40="Yes",Projects!$C$40=BR$3),", "&amp;Projects!$A$40,"")&amp;IF(AND(Projects!$G$41="Yes",Projects!$C$41=BR$3),", "&amp;Projects!$A$41,"")&amp;IF(AND(Projects!$G$42="Yes",Projects!$C$42=BR$3),", "&amp;Projects!$A$42,"")&amp;IF(AND(Projects!$G$43="Yes",Projects!$C$43=BR$3),", "&amp;Projects!$A$43,"")&amp;IF(AND(Projects!$G$44="Yes",Projects!$C$44=BR$3),", "&amp;Projects!$A$44,"")&amp;IF(AND(Projects!$G$45="Yes",Projects!$C$45=BR$3),", "&amp;Projects!$A$45,"")&amp;IF(AND(Projects!$G$46="Yes",Projects!$C$46=BR$3),", "&amp;Projects!$A$46,""),3,10000)</f>
        <v/>
      </c>
      <c r="BS6" s="16" t="str">
        <f aca="false">MID(IF(AND(Projects!$G$2="Yes",Projects!$C$2=BS$3),", "&amp;Projects!$A$2,"")&amp;IF(AND(Projects!$G$3="Yes",Projects!$C$3=BS$3),", "&amp;Projects!$A$3,"")&amp;IF(AND(Projects!$G$4="Yes",Projects!$C$4=BS$3),", "&amp;Projects!$A$4,"")&amp;IF(AND(Projects!$G$5="Yes",Projects!$C$5=BS$3),", "&amp;Projects!$A$5,"")&amp;IF(AND(Projects!$G$6="Yes",Projects!$C$6=BS$3),", "&amp;Projects!$A$6,"")&amp;IF(AND(Projects!$G$7="Yes",Projects!$C$7=BS$3),", "&amp;Projects!$A$7,"")&amp;IF(AND(Projects!$G$8="Yes",Projects!$C$8=BS$3),", "&amp;Projects!$A$8,"")&amp;IF(AND(Projects!$G$9="Yes",Projects!$C$9=BS$3),", "&amp;Projects!$A$9,"")&amp;IF(AND(Projects!$G$10="Yes",Projects!$C$10=BS$3),", "&amp;Projects!$A$10,"")&amp;IF(AND(Projects!$G$11="Yes",Projects!$C$11=BS$3),", "&amp;Projects!$A$11,"")&amp;IF(AND(Projects!$G$12="Yes",Projects!$C$12=BS$3),", "&amp;Projects!$A$12,"")&amp;IF(AND(Projects!$G$13="Yes",Projects!$C$13=BS$3),", "&amp;Projects!$A$13,"")&amp;IF(AND(Projects!$G$14="Yes",Projects!$C$14=BS$3),", "&amp;Projects!$A$14,"")&amp;IF(AND(Projects!$G$15="Yes",Projects!$C$15=BS$3),", "&amp;Projects!$A$15,"")&amp;IF(AND(Projects!$G$16="Yes",Projects!$C$16=BS$3),", "&amp;Projects!$A$16,"")&amp;IF(AND(Projects!$G$17="Yes",Projects!$C$17=BS$3),", "&amp;Projects!$A$17,"")&amp;IF(AND(Projects!$G$18="Yes",Projects!$C$18=BS$3),", "&amp;Projects!$A$18,"")&amp;IF(AND(Projects!$G$19="Yes",Projects!$C$19=BS$3),", "&amp;Projects!$A$19,"")&amp;IF(AND(Projects!$G$20="Yes",Projects!$C$20=BS$3),", "&amp;Projects!$A$20,"")&amp;IF(AND(Projects!$G$21="Yes",Projects!$C$21=BS$3),", "&amp;Projects!$A$21,"")&amp;IF(AND(Projects!$G$22="Yes",Projects!$C$22=BS$3),", "&amp;Projects!$A$22,"")&amp;IF(AND(Projects!$G$23="Yes",Projects!$C$23=BS$3),", "&amp;Projects!$A$23,"")&amp;IF(AND(Projects!$G$24="Yes",Projects!$C$24=BS$3),", "&amp;Projects!$A$24,"")&amp;IF(AND(Projects!$G$25="Yes",Projects!$C$25=BS$3),", "&amp;Projects!$A$25,"")&amp;IF(AND(Projects!$G$26="Yes",Projects!$C$26=BS$3),", "&amp;Projects!$A$26,"")&amp;IF(AND(Projects!$G$27="Yes",Projects!$C$27=BS$3),", "&amp;Projects!$A$27,"")&amp;IF(AND(Projects!$G$28="Yes",Projects!$C$28=BS$3),", "&amp;Projects!$A$28,"")&amp;IF(AND(Projects!$G$29="Yes",Projects!$C$29=BS$3),", "&amp;Projects!$A$29,"")&amp;IF(AND(Projects!$G$30="Yes",Projects!$C$30=BS$3),", "&amp;Projects!$A$30,"")&amp;IF(AND(Projects!$G$31="Yes",Projects!$C$31=BS$3),", "&amp;Projects!$A$31,"")&amp;IF(AND(Projects!$G$32="Yes",Projects!$C$32=BS$3),", "&amp;Projects!$A$32,"")&amp;IF(AND(Projects!$G$33="Yes",Projects!$C$33=BS$3),", "&amp;Projects!$A$33,"")&amp;IF(AND(Projects!$G$34="Yes",Projects!$C$34=BS$3),", "&amp;Projects!$A$34,"")&amp;IF(AND(Projects!$G$35="Yes",Projects!$C$35=BS$3),", "&amp;Projects!$A$35,"")&amp;IF(AND(Projects!$G$36="Yes",Projects!$C$36=BS$3),", "&amp;Projects!$A$36,"")&amp;IF(AND(Projects!$G$37="Yes",Projects!$C$37=BS$3),", "&amp;Projects!$A$37,"")&amp;IF(AND(Projects!$G$38="Yes",Projects!$C$38=BS$3),", "&amp;Projects!$A$38,"")&amp;IF(AND(Projects!$G$39="Yes",Projects!$C$39=BS$3),", "&amp;Projects!$A$39,"")&amp;IF(AND(Projects!$G$40="Yes",Projects!$C$40=BS$3),", "&amp;Projects!$A$40,"")&amp;IF(AND(Projects!$G$41="Yes",Projects!$C$41=BS$3),", "&amp;Projects!$A$41,"")&amp;IF(AND(Projects!$G$42="Yes",Projects!$C$42=BS$3),", "&amp;Projects!$A$42,"")&amp;IF(AND(Projects!$G$43="Yes",Projects!$C$43=BS$3),", "&amp;Projects!$A$43,"")&amp;IF(AND(Projects!$G$44="Yes",Projects!$C$44=BS$3),", "&amp;Projects!$A$44,"")&amp;IF(AND(Projects!$G$45="Yes",Projects!$C$45=BS$3),", "&amp;Projects!$A$45,"")&amp;IF(AND(Projects!$G$46="Yes",Projects!$C$46=BS$3),", "&amp;Projects!$A$46,""),3,10000)</f>
        <v/>
      </c>
      <c r="BT6" s="16" t="str">
        <f aca="false">MID(IF(AND(Projects!$G$2="Yes",Projects!$C$2=BT$3),", "&amp;Projects!$A$2,"")&amp;IF(AND(Projects!$G$3="Yes",Projects!$C$3=BT$3),", "&amp;Projects!$A$3,"")&amp;IF(AND(Projects!$G$4="Yes",Projects!$C$4=BT$3),", "&amp;Projects!$A$4,"")&amp;IF(AND(Projects!$G$5="Yes",Projects!$C$5=BT$3),", "&amp;Projects!$A$5,"")&amp;IF(AND(Projects!$G$6="Yes",Projects!$C$6=BT$3),", "&amp;Projects!$A$6,"")&amp;IF(AND(Projects!$G$7="Yes",Projects!$C$7=BT$3),", "&amp;Projects!$A$7,"")&amp;IF(AND(Projects!$G$8="Yes",Projects!$C$8=BT$3),", "&amp;Projects!$A$8,"")&amp;IF(AND(Projects!$G$9="Yes",Projects!$C$9=BT$3),", "&amp;Projects!$A$9,"")&amp;IF(AND(Projects!$G$10="Yes",Projects!$C$10=BT$3),", "&amp;Projects!$A$10,"")&amp;IF(AND(Projects!$G$11="Yes",Projects!$C$11=BT$3),", "&amp;Projects!$A$11,"")&amp;IF(AND(Projects!$G$12="Yes",Projects!$C$12=BT$3),", "&amp;Projects!$A$12,"")&amp;IF(AND(Projects!$G$13="Yes",Projects!$C$13=BT$3),", "&amp;Projects!$A$13,"")&amp;IF(AND(Projects!$G$14="Yes",Projects!$C$14=BT$3),", "&amp;Projects!$A$14,"")&amp;IF(AND(Projects!$G$15="Yes",Projects!$C$15=BT$3),", "&amp;Projects!$A$15,"")&amp;IF(AND(Projects!$G$16="Yes",Projects!$C$16=BT$3),", "&amp;Projects!$A$16,"")&amp;IF(AND(Projects!$G$17="Yes",Projects!$C$17=BT$3),", "&amp;Projects!$A$17,"")&amp;IF(AND(Projects!$G$18="Yes",Projects!$C$18=BT$3),", "&amp;Projects!$A$18,"")&amp;IF(AND(Projects!$G$19="Yes",Projects!$C$19=BT$3),", "&amp;Projects!$A$19,"")&amp;IF(AND(Projects!$G$20="Yes",Projects!$C$20=BT$3),", "&amp;Projects!$A$20,"")&amp;IF(AND(Projects!$G$21="Yes",Projects!$C$21=BT$3),", "&amp;Projects!$A$21,"")&amp;IF(AND(Projects!$G$22="Yes",Projects!$C$22=BT$3),", "&amp;Projects!$A$22,"")&amp;IF(AND(Projects!$G$23="Yes",Projects!$C$23=BT$3),", "&amp;Projects!$A$23,"")&amp;IF(AND(Projects!$G$24="Yes",Projects!$C$24=BT$3),", "&amp;Projects!$A$24,"")&amp;IF(AND(Projects!$G$25="Yes",Projects!$C$25=BT$3),", "&amp;Projects!$A$25,"")&amp;IF(AND(Projects!$G$26="Yes",Projects!$C$26=BT$3),", "&amp;Projects!$A$26,"")&amp;IF(AND(Projects!$G$27="Yes",Projects!$C$27=BT$3),", "&amp;Projects!$A$27,"")&amp;IF(AND(Projects!$G$28="Yes",Projects!$C$28=BT$3),", "&amp;Projects!$A$28,"")&amp;IF(AND(Projects!$G$29="Yes",Projects!$C$29=BT$3),", "&amp;Projects!$A$29,"")&amp;IF(AND(Projects!$G$30="Yes",Projects!$C$30=BT$3),", "&amp;Projects!$A$30,"")&amp;IF(AND(Projects!$G$31="Yes",Projects!$C$31=BT$3),", "&amp;Projects!$A$31,"")&amp;IF(AND(Projects!$G$32="Yes",Projects!$C$32=BT$3),", "&amp;Projects!$A$32,"")&amp;IF(AND(Projects!$G$33="Yes",Projects!$C$33=BT$3),", "&amp;Projects!$A$33,"")&amp;IF(AND(Projects!$G$34="Yes",Projects!$C$34=BT$3),", "&amp;Projects!$A$34,"")&amp;IF(AND(Projects!$G$35="Yes",Projects!$C$35=BT$3),", "&amp;Projects!$A$35,"")&amp;IF(AND(Projects!$G$36="Yes",Projects!$C$36=BT$3),", "&amp;Projects!$A$36,"")&amp;IF(AND(Projects!$G$37="Yes",Projects!$C$37=BT$3),", "&amp;Projects!$A$37,"")&amp;IF(AND(Projects!$G$38="Yes",Projects!$C$38=BT$3),", "&amp;Projects!$A$38,"")&amp;IF(AND(Projects!$G$39="Yes",Projects!$C$39=BT$3),", "&amp;Projects!$A$39,"")&amp;IF(AND(Projects!$G$40="Yes",Projects!$C$40=BT$3),", "&amp;Projects!$A$40,"")&amp;IF(AND(Projects!$G$41="Yes",Projects!$C$41=BT$3),", "&amp;Projects!$A$41,"")&amp;IF(AND(Projects!$G$42="Yes",Projects!$C$42=BT$3),", "&amp;Projects!$A$42,"")&amp;IF(AND(Projects!$G$43="Yes",Projects!$C$43=BT$3),", "&amp;Projects!$A$43,"")&amp;IF(AND(Projects!$G$44="Yes",Projects!$C$44=BT$3),", "&amp;Projects!$A$44,"")&amp;IF(AND(Projects!$G$45="Yes",Projects!$C$45=BT$3),", "&amp;Projects!$A$45,"")&amp;IF(AND(Projects!$G$46="Yes",Projects!$C$46=BT$3),", "&amp;Projects!$A$46,""),3,10000)</f>
        <v/>
      </c>
      <c r="BU6" s="16" t="str">
        <f aca="false">MID(IF(AND(Projects!$G$2="Yes",Projects!$C$2=BU$3),", "&amp;Projects!$A$2,"")&amp;IF(AND(Projects!$G$3="Yes",Projects!$C$3=BU$3),", "&amp;Projects!$A$3,"")&amp;IF(AND(Projects!$G$4="Yes",Projects!$C$4=BU$3),", "&amp;Projects!$A$4,"")&amp;IF(AND(Projects!$G$5="Yes",Projects!$C$5=BU$3),", "&amp;Projects!$A$5,"")&amp;IF(AND(Projects!$G$6="Yes",Projects!$C$6=BU$3),", "&amp;Projects!$A$6,"")&amp;IF(AND(Projects!$G$7="Yes",Projects!$C$7=BU$3),", "&amp;Projects!$A$7,"")&amp;IF(AND(Projects!$G$8="Yes",Projects!$C$8=BU$3),", "&amp;Projects!$A$8,"")&amp;IF(AND(Projects!$G$9="Yes",Projects!$C$9=BU$3),", "&amp;Projects!$A$9,"")&amp;IF(AND(Projects!$G$10="Yes",Projects!$C$10=BU$3),", "&amp;Projects!$A$10,"")&amp;IF(AND(Projects!$G$11="Yes",Projects!$C$11=BU$3),", "&amp;Projects!$A$11,"")&amp;IF(AND(Projects!$G$12="Yes",Projects!$C$12=BU$3),", "&amp;Projects!$A$12,"")&amp;IF(AND(Projects!$G$13="Yes",Projects!$C$13=BU$3),", "&amp;Projects!$A$13,"")&amp;IF(AND(Projects!$G$14="Yes",Projects!$C$14=BU$3),", "&amp;Projects!$A$14,"")&amp;IF(AND(Projects!$G$15="Yes",Projects!$C$15=BU$3),", "&amp;Projects!$A$15,"")&amp;IF(AND(Projects!$G$16="Yes",Projects!$C$16=BU$3),", "&amp;Projects!$A$16,"")&amp;IF(AND(Projects!$G$17="Yes",Projects!$C$17=BU$3),", "&amp;Projects!$A$17,"")&amp;IF(AND(Projects!$G$18="Yes",Projects!$C$18=BU$3),", "&amp;Projects!$A$18,"")&amp;IF(AND(Projects!$G$19="Yes",Projects!$C$19=BU$3),", "&amp;Projects!$A$19,"")&amp;IF(AND(Projects!$G$20="Yes",Projects!$C$20=BU$3),", "&amp;Projects!$A$20,"")&amp;IF(AND(Projects!$G$21="Yes",Projects!$C$21=BU$3),", "&amp;Projects!$A$21,"")&amp;IF(AND(Projects!$G$22="Yes",Projects!$C$22=BU$3),", "&amp;Projects!$A$22,"")&amp;IF(AND(Projects!$G$23="Yes",Projects!$C$23=BU$3),", "&amp;Projects!$A$23,"")&amp;IF(AND(Projects!$G$24="Yes",Projects!$C$24=BU$3),", "&amp;Projects!$A$24,"")&amp;IF(AND(Projects!$G$25="Yes",Projects!$C$25=BU$3),", "&amp;Projects!$A$25,"")&amp;IF(AND(Projects!$G$26="Yes",Projects!$C$26=BU$3),", "&amp;Projects!$A$26,"")&amp;IF(AND(Projects!$G$27="Yes",Projects!$C$27=BU$3),", "&amp;Projects!$A$27,"")&amp;IF(AND(Projects!$G$28="Yes",Projects!$C$28=BU$3),", "&amp;Projects!$A$28,"")&amp;IF(AND(Projects!$G$29="Yes",Projects!$C$29=BU$3),", "&amp;Projects!$A$29,"")&amp;IF(AND(Projects!$G$30="Yes",Projects!$C$30=BU$3),", "&amp;Projects!$A$30,"")&amp;IF(AND(Projects!$G$31="Yes",Projects!$C$31=BU$3),", "&amp;Projects!$A$31,"")&amp;IF(AND(Projects!$G$32="Yes",Projects!$C$32=BU$3),", "&amp;Projects!$A$32,"")&amp;IF(AND(Projects!$G$33="Yes",Projects!$C$33=BU$3),", "&amp;Projects!$A$33,"")&amp;IF(AND(Projects!$G$34="Yes",Projects!$C$34=BU$3),", "&amp;Projects!$A$34,"")&amp;IF(AND(Projects!$G$35="Yes",Projects!$C$35=BU$3),", "&amp;Projects!$A$35,"")&amp;IF(AND(Projects!$G$36="Yes",Projects!$C$36=BU$3),", "&amp;Projects!$A$36,"")&amp;IF(AND(Projects!$G$37="Yes",Projects!$C$37=BU$3),", "&amp;Projects!$A$37,"")&amp;IF(AND(Projects!$G$38="Yes",Projects!$C$38=BU$3),", "&amp;Projects!$A$38,"")&amp;IF(AND(Projects!$G$39="Yes",Projects!$C$39=BU$3),", "&amp;Projects!$A$39,"")&amp;IF(AND(Projects!$G$40="Yes",Projects!$C$40=BU$3),", "&amp;Projects!$A$40,"")&amp;IF(AND(Projects!$G$41="Yes",Projects!$C$41=BU$3),", "&amp;Projects!$A$41,"")&amp;IF(AND(Projects!$G$42="Yes",Projects!$C$42=BU$3),", "&amp;Projects!$A$42,"")&amp;IF(AND(Projects!$G$43="Yes",Projects!$C$43=BU$3),", "&amp;Projects!$A$43,"")&amp;IF(AND(Projects!$G$44="Yes",Projects!$C$44=BU$3),", "&amp;Projects!$A$44,"")&amp;IF(AND(Projects!$G$45="Yes",Projects!$C$45=BU$3),", "&amp;Projects!$A$45,"")&amp;IF(AND(Projects!$G$46="Yes",Projects!$C$46=BU$3),", "&amp;Projects!$A$46,""),3,10000)</f>
        <v/>
      </c>
      <c r="BV6" s="16" t="str">
        <f aca="false">MID(IF(AND(Projects!$G$2="Yes",Projects!$C$2=BV$3),", "&amp;Projects!$A$2,"")&amp;IF(AND(Projects!$G$3="Yes",Projects!$C$3=BV$3),", "&amp;Projects!$A$3,"")&amp;IF(AND(Projects!$G$4="Yes",Projects!$C$4=BV$3),", "&amp;Projects!$A$4,"")&amp;IF(AND(Projects!$G$5="Yes",Projects!$C$5=BV$3),", "&amp;Projects!$A$5,"")&amp;IF(AND(Projects!$G$6="Yes",Projects!$C$6=BV$3),", "&amp;Projects!$A$6,"")&amp;IF(AND(Projects!$G$7="Yes",Projects!$C$7=BV$3),", "&amp;Projects!$A$7,"")&amp;IF(AND(Projects!$G$8="Yes",Projects!$C$8=BV$3),", "&amp;Projects!$A$8,"")&amp;IF(AND(Projects!$G$9="Yes",Projects!$C$9=BV$3),", "&amp;Projects!$A$9,"")&amp;IF(AND(Projects!$G$10="Yes",Projects!$C$10=BV$3),", "&amp;Projects!$A$10,"")&amp;IF(AND(Projects!$G$11="Yes",Projects!$C$11=BV$3),", "&amp;Projects!$A$11,"")&amp;IF(AND(Projects!$G$12="Yes",Projects!$C$12=BV$3),", "&amp;Projects!$A$12,"")&amp;IF(AND(Projects!$G$13="Yes",Projects!$C$13=BV$3),", "&amp;Projects!$A$13,"")&amp;IF(AND(Projects!$G$14="Yes",Projects!$C$14=BV$3),", "&amp;Projects!$A$14,"")&amp;IF(AND(Projects!$G$15="Yes",Projects!$C$15=BV$3),", "&amp;Projects!$A$15,"")&amp;IF(AND(Projects!$G$16="Yes",Projects!$C$16=BV$3),", "&amp;Projects!$A$16,"")&amp;IF(AND(Projects!$G$17="Yes",Projects!$C$17=BV$3),", "&amp;Projects!$A$17,"")&amp;IF(AND(Projects!$G$18="Yes",Projects!$C$18=BV$3),", "&amp;Projects!$A$18,"")&amp;IF(AND(Projects!$G$19="Yes",Projects!$C$19=BV$3),", "&amp;Projects!$A$19,"")&amp;IF(AND(Projects!$G$20="Yes",Projects!$C$20=BV$3),", "&amp;Projects!$A$20,"")&amp;IF(AND(Projects!$G$21="Yes",Projects!$C$21=BV$3),", "&amp;Projects!$A$21,"")&amp;IF(AND(Projects!$G$22="Yes",Projects!$C$22=BV$3),", "&amp;Projects!$A$22,"")&amp;IF(AND(Projects!$G$23="Yes",Projects!$C$23=BV$3),", "&amp;Projects!$A$23,"")&amp;IF(AND(Projects!$G$24="Yes",Projects!$C$24=BV$3),", "&amp;Projects!$A$24,"")&amp;IF(AND(Projects!$G$25="Yes",Projects!$C$25=BV$3),", "&amp;Projects!$A$25,"")&amp;IF(AND(Projects!$G$26="Yes",Projects!$C$26=BV$3),", "&amp;Projects!$A$26,"")&amp;IF(AND(Projects!$G$27="Yes",Projects!$C$27=BV$3),", "&amp;Projects!$A$27,"")&amp;IF(AND(Projects!$G$28="Yes",Projects!$C$28=BV$3),", "&amp;Projects!$A$28,"")&amp;IF(AND(Projects!$G$29="Yes",Projects!$C$29=BV$3),", "&amp;Projects!$A$29,"")&amp;IF(AND(Projects!$G$30="Yes",Projects!$C$30=BV$3),", "&amp;Projects!$A$30,"")&amp;IF(AND(Projects!$G$31="Yes",Projects!$C$31=BV$3),", "&amp;Projects!$A$31,"")&amp;IF(AND(Projects!$G$32="Yes",Projects!$C$32=BV$3),", "&amp;Projects!$A$32,"")&amp;IF(AND(Projects!$G$33="Yes",Projects!$C$33=BV$3),", "&amp;Projects!$A$33,"")&amp;IF(AND(Projects!$G$34="Yes",Projects!$C$34=BV$3),", "&amp;Projects!$A$34,"")&amp;IF(AND(Projects!$G$35="Yes",Projects!$C$35=BV$3),", "&amp;Projects!$A$35,"")&amp;IF(AND(Projects!$G$36="Yes",Projects!$C$36=BV$3),", "&amp;Projects!$A$36,"")&amp;IF(AND(Projects!$G$37="Yes",Projects!$C$37=BV$3),", "&amp;Projects!$A$37,"")&amp;IF(AND(Projects!$G$38="Yes",Projects!$C$38=BV$3),", "&amp;Projects!$A$38,"")&amp;IF(AND(Projects!$G$39="Yes",Projects!$C$39=BV$3),", "&amp;Projects!$A$39,"")&amp;IF(AND(Projects!$G$40="Yes",Projects!$C$40=BV$3),", "&amp;Projects!$A$40,"")&amp;IF(AND(Projects!$G$41="Yes",Projects!$C$41=BV$3),", "&amp;Projects!$A$41,"")&amp;IF(AND(Projects!$G$42="Yes",Projects!$C$42=BV$3),", "&amp;Projects!$A$42,"")&amp;IF(AND(Projects!$G$43="Yes",Projects!$C$43=BV$3),", "&amp;Projects!$A$43,"")&amp;IF(AND(Projects!$G$44="Yes",Projects!$C$44=BV$3),", "&amp;Projects!$A$44,"")&amp;IF(AND(Projects!$G$45="Yes",Projects!$C$45=BV$3),", "&amp;Projects!$A$45,"")&amp;IF(AND(Projects!$G$46="Yes",Projects!$C$46=BV$3),", "&amp;Projects!$A$46,""),3,10000)</f>
        <v/>
      </c>
      <c r="BW6" s="16" t="str">
        <f aca="false">MID(IF(AND(Projects!$G$2="Yes",Projects!$C$2=BW$3),", "&amp;Projects!$A$2,"")&amp;IF(AND(Projects!$G$3="Yes",Projects!$C$3=BW$3),", "&amp;Projects!$A$3,"")&amp;IF(AND(Projects!$G$4="Yes",Projects!$C$4=BW$3),", "&amp;Projects!$A$4,"")&amp;IF(AND(Projects!$G$5="Yes",Projects!$C$5=BW$3),", "&amp;Projects!$A$5,"")&amp;IF(AND(Projects!$G$6="Yes",Projects!$C$6=BW$3),", "&amp;Projects!$A$6,"")&amp;IF(AND(Projects!$G$7="Yes",Projects!$C$7=BW$3),", "&amp;Projects!$A$7,"")&amp;IF(AND(Projects!$G$8="Yes",Projects!$C$8=BW$3),", "&amp;Projects!$A$8,"")&amp;IF(AND(Projects!$G$9="Yes",Projects!$C$9=BW$3),", "&amp;Projects!$A$9,"")&amp;IF(AND(Projects!$G$10="Yes",Projects!$C$10=BW$3),", "&amp;Projects!$A$10,"")&amp;IF(AND(Projects!$G$11="Yes",Projects!$C$11=BW$3),", "&amp;Projects!$A$11,"")&amp;IF(AND(Projects!$G$12="Yes",Projects!$C$12=BW$3),", "&amp;Projects!$A$12,"")&amp;IF(AND(Projects!$G$13="Yes",Projects!$C$13=BW$3),", "&amp;Projects!$A$13,"")&amp;IF(AND(Projects!$G$14="Yes",Projects!$C$14=BW$3),", "&amp;Projects!$A$14,"")&amp;IF(AND(Projects!$G$15="Yes",Projects!$C$15=BW$3),", "&amp;Projects!$A$15,"")&amp;IF(AND(Projects!$G$16="Yes",Projects!$C$16=BW$3),", "&amp;Projects!$A$16,"")&amp;IF(AND(Projects!$G$17="Yes",Projects!$C$17=BW$3),", "&amp;Projects!$A$17,"")&amp;IF(AND(Projects!$G$18="Yes",Projects!$C$18=BW$3),", "&amp;Projects!$A$18,"")&amp;IF(AND(Projects!$G$19="Yes",Projects!$C$19=BW$3),", "&amp;Projects!$A$19,"")&amp;IF(AND(Projects!$G$20="Yes",Projects!$C$20=BW$3),", "&amp;Projects!$A$20,"")&amp;IF(AND(Projects!$G$21="Yes",Projects!$C$21=BW$3),", "&amp;Projects!$A$21,"")&amp;IF(AND(Projects!$G$22="Yes",Projects!$C$22=BW$3),", "&amp;Projects!$A$22,"")&amp;IF(AND(Projects!$G$23="Yes",Projects!$C$23=BW$3),", "&amp;Projects!$A$23,"")&amp;IF(AND(Projects!$G$24="Yes",Projects!$C$24=BW$3),", "&amp;Projects!$A$24,"")&amp;IF(AND(Projects!$G$25="Yes",Projects!$C$25=BW$3),", "&amp;Projects!$A$25,"")&amp;IF(AND(Projects!$G$26="Yes",Projects!$C$26=BW$3),", "&amp;Projects!$A$26,"")&amp;IF(AND(Projects!$G$27="Yes",Projects!$C$27=BW$3),", "&amp;Projects!$A$27,"")&amp;IF(AND(Projects!$G$28="Yes",Projects!$C$28=BW$3),", "&amp;Projects!$A$28,"")&amp;IF(AND(Projects!$G$29="Yes",Projects!$C$29=BW$3),", "&amp;Projects!$A$29,"")&amp;IF(AND(Projects!$G$30="Yes",Projects!$C$30=BW$3),", "&amp;Projects!$A$30,"")&amp;IF(AND(Projects!$G$31="Yes",Projects!$C$31=BW$3),", "&amp;Projects!$A$31,"")&amp;IF(AND(Projects!$G$32="Yes",Projects!$C$32=BW$3),", "&amp;Projects!$A$32,"")&amp;IF(AND(Projects!$G$33="Yes",Projects!$C$33=BW$3),", "&amp;Projects!$A$33,"")&amp;IF(AND(Projects!$G$34="Yes",Projects!$C$34=BW$3),", "&amp;Projects!$A$34,"")&amp;IF(AND(Projects!$G$35="Yes",Projects!$C$35=BW$3),", "&amp;Projects!$A$35,"")&amp;IF(AND(Projects!$G$36="Yes",Projects!$C$36=BW$3),", "&amp;Projects!$A$36,"")&amp;IF(AND(Projects!$G$37="Yes",Projects!$C$37=BW$3),", "&amp;Projects!$A$37,"")&amp;IF(AND(Projects!$G$38="Yes",Projects!$C$38=BW$3),", "&amp;Projects!$A$38,"")&amp;IF(AND(Projects!$G$39="Yes",Projects!$C$39=BW$3),", "&amp;Projects!$A$39,"")&amp;IF(AND(Projects!$G$40="Yes",Projects!$C$40=BW$3),", "&amp;Projects!$A$40,"")&amp;IF(AND(Projects!$G$41="Yes",Projects!$C$41=BW$3),", "&amp;Projects!$A$41,"")&amp;IF(AND(Projects!$G$42="Yes",Projects!$C$42=BW$3),", "&amp;Projects!$A$42,"")&amp;IF(AND(Projects!$G$43="Yes",Projects!$C$43=BW$3),", "&amp;Projects!$A$43,"")&amp;IF(AND(Projects!$G$44="Yes",Projects!$C$44=BW$3),", "&amp;Projects!$A$44,"")&amp;IF(AND(Projects!$G$45="Yes",Projects!$C$45=BW$3),", "&amp;Projects!$A$45,"")&amp;IF(AND(Projects!$G$46="Yes",Projects!$C$46=BW$3),", "&amp;Projects!$A$46,""),3,10000)</f>
        <v/>
      </c>
      <c r="BX6" s="16" t="str">
        <f aca="false">MID(IF(AND(Projects!$G$2="Yes",Projects!$C$2=BX$3),", "&amp;Projects!$A$2,"")&amp;IF(AND(Projects!$G$3="Yes",Projects!$C$3=BX$3),", "&amp;Projects!$A$3,"")&amp;IF(AND(Projects!$G$4="Yes",Projects!$C$4=BX$3),", "&amp;Projects!$A$4,"")&amp;IF(AND(Projects!$G$5="Yes",Projects!$C$5=BX$3),", "&amp;Projects!$A$5,"")&amp;IF(AND(Projects!$G$6="Yes",Projects!$C$6=BX$3),", "&amp;Projects!$A$6,"")&amp;IF(AND(Projects!$G$7="Yes",Projects!$C$7=BX$3),", "&amp;Projects!$A$7,"")&amp;IF(AND(Projects!$G$8="Yes",Projects!$C$8=BX$3),", "&amp;Projects!$A$8,"")&amp;IF(AND(Projects!$G$9="Yes",Projects!$C$9=BX$3),", "&amp;Projects!$A$9,"")&amp;IF(AND(Projects!$G$10="Yes",Projects!$C$10=BX$3),", "&amp;Projects!$A$10,"")&amp;IF(AND(Projects!$G$11="Yes",Projects!$C$11=BX$3),", "&amp;Projects!$A$11,"")&amp;IF(AND(Projects!$G$12="Yes",Projects!$C$12=BX$3),", "&amp;Projects!$A$12,"")&amp;IF(AND(Projects!$G$13="Yes",Projects!$C$13=BX$3),", "&amp;Projects!$A$13,"")&amp;IF(AND(Projects!$G$14="Yes",Projects!$C$14=BX$3),", "&amp;Projects!$A$14,"")&amp;IF(AND(Projects!$G$15="Yes",Projects!$C$15=BX$3),", "&amp;Projects!$A$15,"")&amp;IF(AND(Projects!$G$16="Yes",Projects!$C$16=BX$3),", "&amp;Projects!$A$16,"")&amp;IF(AND(Projects!$G$17="Yes",Projects!$C$17=BX$3),", "&amp;Projects!$A$17,"")&amp;IF(AND(Projects!$G$18="Yes",Projects!$C$18=BX$3),", "&amp;Projects!$A$18,"")&amp;IF(AND(Projects!$G$19="Yes",Projects!$C$19=BX$3),", "&amp;Projects!$A$19,"")&amp;IF(AND(Projects!$G$20="Yes",Projects!$C$20=BX$3),", "&amp;Projects!$A$20,"")&amp;IF(AND(Projects!$G$21="Yes",Projects!$C$21=BX$3),", "&amp;Projects!$A$21,"")&amp;IF(AND(Projects!$G$22="Yes",Projects!$C$22=BX$3),", "&amp;Projects!$A$22,"")&amp;IF(AND(Projects!$G$23="Yes",Projects!$C$23=BX$3),", "&amp;Projects!$A$23,"")&amp;IF(AND(Projects!$G$24="Yes",Projects!$C$24=BX$3),", "&amp;Projects!$A$24,"")&amp;IF(AND(Projects!$G$25="Yes",Projects!$C$25=BX$3),", "&amp;Projects!$A$25,"")&amp;IF(AND(Projects!$G$26="Yes",Projects!$C$26=BX$3),", "&amp;Projects!$A$26,"")&amp;IF(AND(Projects!$G$27="Yes",Projects!$C$27=BX$3),", "&amp;Projects!$A$27,"")&amp;IF(AND(Projects!$G$28="Yes",Projects!$C$28=BX$3),", "&amp;Projects!$A$28,"")&amp;IF(AND(Projects!$G$29="Yes",Projects!$C$29=BX$3),", "&amp;Projects!$A$29,"")&amp;IF(AND(Projects!$G$30="Yes",Projects!$C$30=BX$3),", "&amp;Projects!$A$30,"")&amp;IF(AND(Projects!$G$31="Yes",Projects!$C$31=BX$3),", "&amp;Projects!$A$31,"")&amp;IF(AND(Projects!$G$32="Yes",Projects!$C$32=BX$3),", "&amp;Projects!$A$32,"")&amp;IF(AND(Projects!$G$33="Yes",Projects!$C$33=BX$3),", "&amp;Projects!$A$33,"")&amp;IF(AND(Projects!$G$34="Yes",Projects!$C$34=BX$3),", "&amp;Projects!$A$34,"")&amp;IF(AND(Projects!$G$35="Yes",Projects!$C$35=BX$3),", "&amp;Projects!$A$35,"")&amp;IF(AND(Projects!$G$36="Yes",Projects!$C$36=BX$3),", "&amp;Projects!$A$36,"")&amp;IF(AND(Projects!$G$37="Yes",Projects!$C$37=BX$3),", "&amp;Projects!$A$37,"")&amp;IF(AND(Projects!$G$38="Yes",Projects!$C$38=BX$3),", "&amp;Projects!$A$38,"")&amp;IF(AND(Projects!$G$39="Yes",Projects!$C$39=BX$3),", "&amp;Projects!$A$39,"")&amp;IF(AND(Projects!$G$40="Yes",Projects!$C$40=BX$3),", "&amp;Projects!$A$40,"")&amp;IF(AND(Projects!$G$41="Yes",Projects!$C$41=BX$3),", "&amp;Projects!$A$41,"")&amp;IF(AND(Projects!$G$42="Yes",Projects!$C$42=BX$3),", "&amp;Projects!$A$42,"")&amp;IF(AND(Projects!$G$43="Yes",Projects!$C$43=BX$3),", "&amp;Projects!$A$43,"")&amp;IF(AND(Projects!$G$44="Yes",Projects!$C$44=BX$3),", "&amp;Projects!$A$44,"")&amp;IF(AND(Projects!$G$45="Yes",Projects!$C$45=BX$3),", "&amp;Projects!$A$45,"")&amp;IF(AND(Projects!$G$46="Yes",Projects!$C$46=BX$3),", "&amp;Projects!$A$46,""),3,10000)</f>
        <v/>
      </c>
      <c r="BY6" s="16" t="str">
        <f aca="false">MID(IF(AND(Projects!$G$2="Yes",Projects!$C$2=BY$3),", "&amp;Projects!$A$2,"")&amp;IF(AND(Projects!$G$3="Yes",Projects!$C$3=BY$3),", "&amp;Projects!$A$3,"")&amp;IF(AND(Projects!$G$4="Yes",Projects!$C$4=BY$3),", "&amp;Projects!$A$4,"")&amp;IF(AND(Projects!$G$5="Yes",Projects!$C$5=BY$3),", "&amp;Projects!$A$5,"")&amp;IF(AND(Projects!$G$6="Yes",Projects!$C$6=BY$3),", "&amp;Projects!$A$6,"")&amp;IF(AND(Projects!$G$7="Yes",Projects!$C$7=BY$3),", "&amp;Projects!$A$7,"")&amp;IF(AND(Projects!$G$8="Yes",Projects!$C$8=BY$3),", "&amp;Projects!$A$8,"")&amp;IF(AND(Projects!$G$9="Yes",Projects!$C$9=BY$3),", "&amp;Projects!$A$9,"")&amp;IF(AND(Projects!$G$10="Yes",Projects!$C$10=BY$3),", "&amp;Projects!$A$10,"")&amp;IF(AND(Projects!$G$11="Yes",Projects!$C$11=BY$3),", "&amp;Projects!$A$11,"")&amp;IF(AND(Projects!$G$12="Yes",Projects!$C$12=BY$3),", "&amp;Projects!$A$12,"")&amp;IF(AND(Projects!$G$13="Yes",Projects!$C$13=BY$3),", "&amp;Projects!$A$13,"")&amp;IF(AND(Projects!$G$14="Yes",Projects!$C$14=BY$3),", "&amp;Projects!$A$14,"")&amp;IF(AND(Projects!$G$15="Yes",Projects!$C$15=BY$3),", "&amp;Projects!$A$15,"")&amp;IF(AND(Projects!$G$16="Yes",Projects!$C$16=BY$3),", "&amp;Projects!$A$16,"")&amp;IF(AND(Projects!$G$17="Yes",Projects!$C$17=BY$3),", "&amp;Projects!$A$17,"")&amp;IF(AND(Projects!$G$18="Yes",Projects!$C$18=BY$3),", "&amp;Projects!$A$18,"")&amp;IF(AND(Projects!$G$19="Yes",Projects!$C$19=BY$3),", "&amp;Projects!$A$19,"")&amp;IF(AND(Projects!$G$20="Yes",Projects!$C$20=BY$3),", "&amp;Projects!$A$20,"")&amp;IF(AND(Projects!$G$21="Yes",Projects!$C$21=BY$3),", "&amp;Projects!$A$21,"")&amp;IF(AND(Projects!$G$22="Yes",Projects!$C$22=BY$3),", "&amp;Projects!$A$22,"")&amp;IF(AND(Projects!$G$23="Yes",Projects!$C$23=BY$3),", "&amp;Projects!$A$23,"")&amp;IF(AND(Projects!$G$24="Yes",Projects!$C$24=BY$3),", "&amp;Projects!$A$24,"")&amp;IF(AND(Projects!$G$25="Yes",Projects!$C$25=BY$3),", "&amp;Projects!$A$25,"")&amp;IF(AND(Projects!$G$26="Yes",Projects!$C$26=BY$3),", "&amp;Projects!$A$26,"")&amp;IF(AND(Projects!$G$27="Yes",Projects!$C$27=BY$3),", "&amp;Projects!$A$27,"")&amp;IF(AND(Projects!$G$28="Yes",Projects!$C$28=BY$3),", "&amp;Projects!$A$28,"")&amp;IF(AND(Projects!$G$29="Yes",Projects!$C$29=BY$3),", "&amp;Projects!$A$29,"")&amp;IF(AND(Projects!$G$30="Yes",Projects!$C$30=BY$3),", "&amp;Projects!$A$30,"")&amp;IF(AND(Projects!$G$31="Yes",Projects!$C$31=BY$3),", "&amp;Projects!$A$31,"")&amp;IF(AND(Projects!$G$32="Yes",Projects!$C$32=BY$3),", "&amp;Projects!$A$32,"")&amp;IF(AND(Projects!$G$33="Yes",Projects!$C$33=BY$3),", "&amp;Projects!$A$33,"")&amp;IF(AND(Projects!$G$34="Yes",Projects!$C$34=BY$3),", "&amp;Projects!$A$34,"")&amp;IF(AND(Projects!$G$35="Yes",Projects!$C$35=BY$3),", "&amp;Projects!$A$35,"")&amp;IF(AND(Projects!$G$36="Yes",Projects!$C$36=BY$3),", "&amp;Projects!$A$36,"")&amp;IF(AND(Projects!$G$37="Yes",Projects!$C$37=BY$3),", "&amp;Projects!$A$37,"")&amp;IF(AND(Projects!$G$38="Yes",Projects!$C$38=BY$3),", "&amp;Projects!$A$38,"")&amp;IF(AND(Projects!$G$39="Yes",Projects!$C$39=BY$3),", "&amp;Projects!$A$39,"")&amp;IF(AND(Projects!$G$40="Yes",Projects!$C$40=BY$3),", "&amp;Projects!$A$40,"")&amp;IF(AND(Projects!$G$41="Yes",Projects!$C$41=BY$3),", "&amp;Projects!$A$41,"")&amp;IF(AND(Projects!$G$42="Yes",Projects!$C$42=BY$3),", "&amp;Projects!$A$42,"")&amp;IF(AND(Projects!$G$43="Yes",Projects!$C$43=BY$3),", "&amp;Projects!$A$43,"")&amp;IF(AND(Projects!$G$44="Yes",Projects!$C$44=BY$3),", "&amp;Projects!$A$44,"")&amp;IF(AND(Projects!$G$45="Yes",Projects!$C$45=BY$3),", "&amp;Projects!$A$45,"")&amp;IF(AND(Projects!$G$46="Yes",Projects!$C$46=BY$3),", "&amp;Projects!$A$46,""),3,10000)</f>
        <v/>
      </c>
      <c r="BZ6" s="16" t="str">
        <f aca="false">MID(IF(AND(Projects!$G$2="Yes",Projects!$C$2=BZ$3),", "&amp;Projects!$A$2,"")&amp;IF(AND(Projects!$G$3="Yes",Projects!$C$3=BZ$3),", "&amp;Projects!$A$3,"")&amp;IF(AND(Projects!$G$4="Yes",Projects!$C$4=BZ$3),", "&amp;Projects!$A$4,"")&amp;IF(AND(Projects!$G$5="Yes",Projects!$C$5=BZ$3),", "&amp;Projects!$A$5,"")&amp;IF(AND(Projects!$G$6="Yes",Projects!$C$6=BZ$3),", "&amp;Projects!$A$6,"")&amp;IF(AND(Projects!$G$7="Yes",Projects!$C$7=BZ$3),", "&amp;Projects!$A$7,"")&amp;IF(AND(Projects!$G$8="Yes",Projects!$C$8=BZ$3),", "&amp;Projects!$A$8,"")&amp;IF(AND(Projects!$G$9="Yes",Projects!$C$9=BZ$3),", "&amp;Projects!$A$9,"")&amp;IF(AND(Projects!$G$10="Yes",Projects!$C$10=BZ$3),", "&amp;Projects!$A$10,"")&amp;IF(AND(Projects!$G$11="Yes",Projects!$C$11=BZ$3),", "&amp;Projects!$A$11,"")&amp;IF(AND(Projects!$G$12="Yes",Projects!$C$12=BZ$3),", "&amp;Projects!$A$12,"")&amp;IF(AND(Projects!$G$13="Yes",Projects!$C$13=BZ$3),", "&amp;Projects!$A$13,"")&amp;IF(AND(Projects!$G$14="Yes",Projects!$C$14=BZ$3),", "&amp;Projects!$A$14,"")&amp;IF(AND(Projects!$G$15="Yes",Projects!$C$15=BZ$3),", "&amp;Projects!$A$15,"")&amp;IF(AND(Projects!$G$16="Yes",Projects!$C$16=BZ$3),", "&amp;Projects!$A$16,"")&amp;IF(AND(Projects!$G$17="Yes",Projects!$C$17=BZ$3),", "&amp;Projects!$A$17,"")&amp;IF(AND(Projects!$G$18="Yes",Projects!$C$18=BZ$3),", "&amp;Projects!$A$18,"")&amp;IF(AND(Projects!$G$19="Yes",Projects!$C$19=BZ$3),", "&amp;Projects!$A$19,"")&amp;IF(AND(Projects!$G$20="Yes",Projects!$C$20=BZ$3),", "&amp;Projects!$A$20,"")&amp;IF(AND(Projects!$G$21="Yes",Projects!$C$21=BZ$3),", "&amp;Projects!$A$21,"")&amp;IF(AND(Projects!$G$22="Yes",Projects!$C$22=BZ$3),", "&amp;Projects!$A$22,"")&amp;IF(AND(Projects!$G$23="Yes",Projects!$C$23=BZ$3),", "&amp;Projects!$A$23,"")&amp;IF(AND(Projects!$G$24="Yes",Projects!$C$24=BZ$3),", "&amp;Projects!$A$24,"")&amp;IF(AND(Projects!$G$25="Yes",Projects!$C$25=BZ$3),", "&amp;Projects!$A$25,"")&amp;IF(AND(Projects!$G$26="Yes",Projects!$C$26=BZ$3),", "&amp;Projects!$A$26,"")&amp;IF(AND(Projects!$G$27="Yes",Projects!$C$27=BZ$3),", "&amp;Projects!$A$27,"")&amp;IF(AND(Projects!$G$28="Yes",Projects!$C$28=BZ$3),", "&amp;Projects!$A$28,"")&amp;IF(AND(Projects!$G$29="Yes",Projects!$C$29=BZ$3),", "&amp;Projects!$A$29,"")&amp;IF(AND(Projects!$G$30="Yes",Projects!$C$30=BZ$3),", "&amp;Projects!$A$30,"")&amp;IF(AND(Projects!$G$31="Yes",Projects!$C$31=BZ$3),", "&amp;Projects!$A$31,"")&amp;IF(AND(Projects!$G$32="Yes",Projects!$C$32=BZ$3),", "&amp;Projects!$A$32,"")&amp;IF(AND(Projects!$G$33="Yes",Projects!$C$33=BZ$3),", "&amp;Projects!$A$33,"")&amp;IF(AND(Projects!$G$34="Yes",Projects!$C$34=BZ$3),", "&amp;Projects!$A$34,"")&amp;IF(AND(Projects!$G$35="Yes",Projects!$C$35=BZ$3),", "&amp;Projects!$A$35,"")&amp;IF(AND(Projects!$G$36="Yes",Projects!$C$36=BZ$3),", "&amp;Projects!$A$36,"")&amp;IF(AND(Projects!$G$37="Yes",Projects!$C$37=BZ$3),", "&amp;Projects!$A$37,"")&amp;IF(AND(Projects!$G$38="Yes",Projects!$C$38=BZ$3),", "&amp;Projects!$A$38,"")&amp;IF(AND(Projects!$G$39="Yes",Projects!$C$39=BZ$3),", "&amp;Projects!$A$39,"")&amp;IF(AND(Projects!$G$40="Yes",Projects!$C$40=BZ$3),", "&amp;Projects!$A$40,"")&amp;IF(AND(Projects!$G$41="Yes",Projects!$C$41=BZ$3),", "&amp;Projects!$A$41,"")&amp;IF(AND(Projects!$G$42="Yes",Projects!$C$42=BZ$3),", "&amp;Projects!$A$42,"")&amp;IF(AND(Projects!$G$43="Yes",Projects!$C$43=BZ$3),", "&amp;Projects!$A$43,"")&amp;IF(AND(Projects!$G$44="Yes",Projects!$C$44=BZ$3),", "&amp;Projects!$A$44,"")&amp;IF(AND(Projects!$G$45="Yes",Projects!$C$45=BZ$3),", "&amp;Projects!$A$45,"")&amp;IF(AND(Projects!$G$46="Yes",Projects!$C$46=BZ$3),", "&amp;Projects!$A$46,""),3,10000)</f>
        <v/>
      </c>
      <c r="CA6" s="16" t="str">
        <f aca="false">MID(IF(AND(Projects!$G$2="Yes",Projects!$C$2=CA$3),", "&amp;Projects!$A$2,"")&amp;IF(AND(Projects!$G$3="Yes",Projects!$C$3=CA$3),", "&amp;Projects!$A$3,"")&amp;IF(AND(Projects!$G$4="Yes",Projects!$C$4=CA$3),", "&amp;Projects!$A$4,"")&amp;IF(AND(Projects!$G$5="Yes",Projects!$C$5=CA$3),", "&amp;Projects!$A$5,"")&amp;IF(AND(Projects!$G$6="Yes",Projects!$C$6=CA$3),", "&amp;Projects!$A$6,"")&amp;IF(AND(Projects!$G$7="Yes",Projects!$C$7=CA$3),", "&amp;Projects!$A$7,"")&amp;IF(AND(Projects!$G$8="Yes",Projects!$C$8=CA$3),", "&amp;Projects!$A$8,"")&amp;IF(AND(Projects!$G$9="Yes",Projects!$C$9=CA$3),", "&amp;Projects!$A$9,"")&amp;IF(AND(Projects!$G$10="Yes",Projects!$C$10=CA$3),", "&amp;Projects!$A$10,"")&amp;IF(AND(Projects!$G$11="Yes",Projects!$C$11=CA$3),", "&amp;Projects!$A$11,"")&amp;IF(AND(Projects!$G$12="Yes",Projects!$C$12=CA$3),", "&amp;Projects!$A$12,"")&amp;IF(AND(Projects!$G$13="Yes",Projects!$C$13=CA$3),", "&amp;Projects!$A$13,"")&amp;IF(AND(Projects!$G$14="Yes",Projects!$C$14=CA$3),", "&amp;Projects!$A$14,"")&amp;IF(AND(Projects!$G$15="Yes",Projects!$C$15=CA$3),", "&amp;Projects!$A$15,"")&amp;IF(AND(Projects!$G$16="Yes",Projects!$C$16=CA$3),", "&amp;Projects!$A$16,"")&amp;IF(AND(Projects!$G$17="Yes",Projects!$C$17=CA$3),", "&amp;Projects!$A$17,"")&amp;IF(AND(Projects!$G$18="Yes",Projects!$C$18=CA$3),", "&amp;Projects!$A$18,"")&amp;IF(AND(Projects!$G$19="Yes",Projects!$C$19=CA$3),", "&amp;Projects!$A$19,"")&amp;IF(AND(Projects!$G$20="Yes",Projects!$C$20=CA$3),", "&amp;Projects!$A$20,"")&amp;IF(AND(Projects!$G$21="Yes",Projects!$C$21=CA$3),", "&amp;Projects!$A$21,"")&amp;IF(AND(Projects!$G$22="Yes",Projects!$C$22=CA$3),", "&amp;Projects!$A$22,"")&amp;IF(AND(Projects!$G$23="Yes",Projects!$C$23=CA$3),", "&amp;Projects!$A$23,"")&amp;IF(AND(Projects!$G$24="Yes",Projects!$C$24=CA$3),", "&amp;Projects!$A$24,"")&amp;IF(AND(Projects!$G$25="Yes",Projects!$C$25=CA$3),", "&amp;Projects!$A$25,"")&amp;IF(AND(Projects!$G$26="Yes",Projects!$C$26=CA$3),", "&amp;Projects!$A$26,"")&amp;IF(AND(Projects!$G$27="Yes",Projects!$C$27=CA$3),", "&amp;Projects!$A$27,"")&amp;IF(AND(Projects!$G$28="Yes",Projects!$C$28=CA$3),", "&amp;Projects!$A$28,"")&amp;IF(AND(Projects!$G$29="Yes",Projects!$C$29=CA$3),", "&amp;Projects!$A$29,"")&amp;IF(AND(Projects!$G$30="Yes",Projects!$C$30=CA$3),", "&amp;Projects!$A$30,"")&amp;IF(AND(Projects!$G$31="Yes",Projects!$C$31=CA$3),", "&amp;Projects!$A$31,"")&amp;IF(AND(Projects!$G$32="Yes",Projects!$C$32=CA$3),", "&amp;Projects!$A$32,"")&amp;IF(AND(Projects!$G$33="Yes",Projects!$C$33=CA$3),", "&amp;Projects!$A$33,"")&amp;IF(AND(Projects!$G$34="Yes",Projects!$C$34=CA$3),", "&amp;Projects!$A$34,"")&amp;IF(AND(Projects!$G$35="Yes",Projects!$C$35=CA$3),", "&amp;Projects!$A$35,"")&amp;IF(AND(Projects!$G$36="Yes",Projects!$C$36=CA$3),", "&amp;Projects!$A$36,"")&amp;IF(AND(Projects!$G$37="Yes",Projects!$C$37=CA$3),", "&amp;Projects!$A$37,"")&amp;IF(AND(Projects!$G$38="Yes",Projects!$C$38=CA$3),", "&amp;Projects!$A$38,"")&amp;IF(AND(Projects!$G$39="Yes",Projects!$C$39=CA$3),", "&amp;Projects!$A$39,"")&amp;IF(AND(Projects!$G$40="Yes",Projects!$C$40=CA$3),", "&amp;Projects!$A$40,"")&amp;IF(AND(Projects!$G$41="Yes",Projects!$C$41=CA$3),", "&amp;Projects!$A$41,"")&amp;IF(AND(Projects!$G$42="Yes",Projects!$C$42=CA$3),", "&amp;Projects!$A$42,"")&amp;IF(AND(Projects!$G$43="Yes",Projects!$C$43=CA$3),", "&amp;Projects!$A$43,"")&amp;IF(AND(Projects!$G$44="Yes",Projects!$C$44=CA$3),", "&amp;Projects!$A$44,"")&amp;IF(AND(Projects!$G$45="Yes",Projects!$C$45=CA$3),", "&amp;Projects!$A$45,"")&amp;IF(AND(Projects!$G$46="Yes",Projects!$C$46=CA$3),", "&amp;Projects!$A$46,""),3,10000)</f>
        <v/>
      </c>
      <c r="CB6" s="16" t="str">
        <f aca="false">MID(IF(AND(Projects!$G$2="Yes",Projects!$C$2=CB$3),", "&amp;Projects!$A$2,"")&amp;IF(AND(Projects!$G$3="Yes",Projects!$C$3=CB$3),", "&amp;Projects!$A$3,"")&amp;IF(AND(Projects!$G$4="Yes",Projects!$C$4=CB$3),", "&amp;Projects!$A$4,"")&amp;IF(AND(Projects!$G$5="Yes",Projects!$C$5=CB$3),", "&amp;Projects!$A$5,"")&amp;IF(AND(Projects!$G$6="Yes",Projects!$C$6=CB$3),", "&amp;Projects!$A$6,"")&amp;IF(AND(Projects!$G$7="Yes",Projects!$C$7=CB$3),", "&amp;Projects!$A$7,"")&amp;IF(AND(Projects!$G$8="Yes",Projects!$C$8=CB$3),", "&amp;Projects!$A$8,"")&amp;IF(AND(Projects!$G$9="Yes",Projects!$C$9=CB$3),", "&amp;Projects!$A$9,"")&amp;IF(AND(Projects!$G$10="Yes",Projects!$C$10=CB$3),", "&amp;Projects!$A$10,"")&amp;IF(AND(Projects!$G$11="Yes",Projects!$C$11=CB$3),", "&amp;Projects!$A$11,"")&amp;IF(AND(Projects!$G$12="Yes",Projects!$C$12=CB$3),", "&amp;Projects!$A$12,"")&amp;IF(AND(Projects!$G$13="Yes",Projects!$C$13=CB$3),", "&amp;Projects!$A$13,"")&amp;IF(AND(Projects!$G$14="Yes",Projects!$C$14=CB$3),", "&amp;Projects!$A$14,"")&amp;IF(AND(Projects!$G$15="Yes",Projects!$C$15=CB$3),", "&amp;Projects!$A$15,"")&amp;IF(AND(Projects!$G$16="Yes",Projects!$C$16=CB$3),", "&amp;Projects!$A$16,"")&amp;IF(AND(Projects!$G$17="Yes",Projects!$C$17=CB$3),", "&amp;Projects!$A$17,"")&amp;IF(AND(Projects!$G$18="Yes",Projects!$C$18=CB$3),", "&amp;Projects!$A$18,"")&amp;IF(AND(Projects!$G$19="Yes",Projects!$C$19=CB$3),", "&amp;Projects!$A$19,"")&amp;IF(AND(Projects!$G$20="Yes",Projects!$C$20=CB$3),", "&amp;Projects!$A$20,"")&amp;IF(AND(Projects!$G$21="Yes",Projects!$C$21=CB$3),", "&amp;Projects!$A$21,"")&amp;IF(AND(Projects!$G$22="Yes",Projects!$C$22=CB$3),", "&amp;Projects!$A$22,"")&amp;IF(AND(Projects!$G$23="Yes",Projects!$C$23=CB$3),", "&amp;Projects!$A$23,"")&amp;IF(AND(Projects!$G$24="Yes",Projects!$C$24=CB$3),", "&amp;Projects!$A$24,"")&amp;IF(AND(Projects!$G$25="Yes",Projects!$C$25=CB$3),", "&amp;Projects!$A$25,"")&amp;IF(AND(Projects!$G$26="Yes",Projects!$C$26=CB$3),", "&amp;Projects!$A$26,"")&amp;IF(AND(Projects!$G$27="Yes",Projects!$C$27=CB$3),", "&amp;Projects!$A$27,"")&amp;IF(AND(Projects!$G$28="Yes",Projects!$C$28=CB$3),", "&amp;Projects!$A$28,"")&amp;IF(AND(Projects!$G$29="Yes",Projects!$C$29=CB$3),", "&amp;Projects!$A$29,"")&amp;IF(AND(Projects!$G$30="Yes",Projects!$C$30=CB$3),", "&amp;Projects!$A$30,"")&amp;IF(AND(Projects!$G$31="Yes",Projects!$C$31=CB$3),", "&amp;Projects!$A$31,"")&amp;IF(AND(Projects!$G$32="Yes",Projects!$C$32=CB$3),", "&amp;Projects!$A$32,"")&amp;IF(AND(Projects!$G$33="Yes",Projects!$C$33=CB$3),", "&amp;Projects!$A$33,"")&amp;IF(AND(Projects!$G$34="Yes",Projects!$C$34=CB$3),", "&amp;Projects!$A$34,"")&amp;IF(AND(Projects!$G$35="Yes",Projects!$C$35=CB$3),", "&amp;Projects!$A$35,"")&amp;IF(AND(Projects!$G$36="Yes",Projects!$C$36=CB$3),", "&amp;Projects!$A$36,"")&amp;IF(AND(Projects!$G$37="Yes",Projects!$C$37=CB$3),", "&amp;Projects!$A$37,"")&amp;IF(AND(Projects!$G$38="Yes",Projects!$C$38=CB$3),", "&amp;Projects!$A$38,"")&amp;IF(AND(Projects!$G$39="Yes",Projects!$C$39=CB$3),", "&amp;Projects!$A$39,"")&amp;IF(AND(Projects!$G$40="Yes",Projects!$C$40=CB$3),", "&amp;Projects!$A$40,"")&amp;IF(AND(Projects!$G$41="Yes",Projects!$C$41=CB$3),", "&amp;Projects!$A$41,"")&amp;IF(AND(Projects!$G$42="Yes",Projects!$C$42=CB$3),", "&amp;Projects!$A$42,"")&amp;IF(AND(Projects!$G$43="Yes",Projects!$C$43=CB$3),", "&amp;Projects!$A$43,"")&amp;IF(AND(Projects!$G$44="Yes",Projects!$C$44=CB$3),", "&amp;Projects!$A$44,"")&amp;IF(AND(Projects!$G$45="Yes",Projects!$C$45=CB$3),", "&amp;Projects!$A$45,"")&amp;IF(AND(Projects!$G$46="Yes",Projects!$C$46=CB$3),", "&amp;Projects!$A$46,""),3,10000)</f>
        <v/>
      </c>
      <c r="CC6" s="16" t="str">
        <f aca="false">MID(IF(AND(Projects!$G$2="Yes",Projects!$C$2=CC$3),", "&amp;Projects!$A$2,"")&amp;IF(AND(Projects!$G$3="Yes",Projects!$C$3=CC$3),", "&amp;Projects!$A$3,"")&amp;IF(AND(Projects!$G$4="Yes",Projects!$C$4=CC$3),", "&amp;Projects!$A$4,"")&amp;IF(AND(Projects!$G$5="Yes",Projects!$C$5=CC$3),", "&amp;Projects!$A$5,"")&amp;IF(AND(Projects!$G$6="Yes",Projects!$C$6=CC$3),", "&amp;Projects!$A$6,"")&amp;IF(AND(Projects!$G$7="Yes",Projects!$C$7=CC$3),", "&amp;Projects!$A$7,"")&amp;IF(AND(Projects!$G$8="Yes",Projects!$C$8=CC$3),", "&amp;Projects!$A$8,"")&amp;IF(AND(Projects!$G$9="Yes",Projects!$C$9=CC$3),", "&amp;Projects!$A$9,"")&amp;IF(AND(Projects!$G$10="Yes",Projects!$C$10=CC$3),", "&amp;Projects!$A$10,"")&amp;IF(AND(Projects!$G$11="Yes",Projects!$C$11=CC$3),", "&amp;Projects!$A$11,"")&amp;IF(AND(Projects!$G$12="Yes",Projects!$C$12=CC$3),", "&amp;Projects!$A$12,"")&amp;IF(AND(Projects!$G$13="Yes",Projects!$C$13=CC$3),", "&amp;Projects!$A$13,"")&amp;IF(AND(Projects!$G$14="Yes",Projects!$C$14=CC$3),", "&amp;Projects!$A$14,"")&amp;IF(AND(Projects!$G$15="Yes",Projects!$C$15=CC$3),", "&amp;Projects!$A$15,"")&amp;IF(AND(Projects!$G$16="Yes",Projects!$C$16=CC$3),", "&amp;Projects!$A$16,"")&amp;IF(AND(Projects!$G$17="Yes",Projects!$C$17=CC$3),", "&amp;Projects!$A$17,"")&amp;IF(AND(Projects!$G$18="Yes",Projects!$C$18=CC$3),", "&amp;Projects!$A$18,"")&amp;IF(AND(Projects!$G$19="Yes",Projects!$C$19=CC$3),", "&amp;Projects!$A$19,"")&amp;IF(AND(Projects!$G$20="Yes",Projects!$C$20=CC$3),", "&amp;Projects!$A$20,"")&amp;IF(AND(Projects!$G$21="Yes",Projects!$C$21=CC$3),", "&amp;Projects!$A$21,"")&amp;IF(AND(Projects!$G$22="Yes",Projects!$C$22=CC$3),", "&amp;Projects!$A$22,"")&amp;IF(AND(Projects!$G$23="Yes",Projects!$C$23=CC$3),", "&amp;Projects!$A$23,"")&amp;IF(AND(Projects!$G$24="Yes",Projects!$C$24=CC$3),", "&amp;Projects!$A$24,"")&amp;IF(AND(Projects!$G$25="Yes",Projects!$C$25=CC$3),", "&amp;Projects!$A$25,"")&amp;IF(AND(Projects!$G$26="Yes",Projects!$C$26=CC$3),", "&amp;Projects!$A$26,"")&amp;IF(AND(Projects!$G$27="Yes",Projects!$C$27=CC$3),", "&amp;Projects!$A$27,"")&amp;IF(AND(Projects!$G$28="Yes",Projects!$C$28=CC$3),", "&amp;Projects!$A$28,"")&amp;IF(AND(Projects!$G$29="Yes",Projects!$C$29=CC$3),", "&amp;Projects!$A$29,"")&amp;IF(AND(Projects!$G$30="Yes",Projects!$C$30=CC$3),", "&amp;Projects!$A$30,"")&amp;IF(AND(Projects!$G$31="Yes",Projects!$C$31=CC$3),", "&amp;Projects!$A$31,"")&amp;IF(AND(Projects!$G$32="Yes",Projects!$C$32=CC$3),", "&amp;Projects!$A$32,"")&amp;IF(AND(Projects!$G$33="Yes",Projects!$C$33=CC$3),", "&amp;Projects!$A$33,"")&amp;IF(AND(Projects!$G$34="Yes",Projects!$C$34=CC$3),", "&amp;Projects!$A$34,"")&amp;IF(AND(Projects!$G$35="Yes",Projects!$C$35=CC$3),", "&amp;Projects!$A$35,"")&amp;IF(AND(Projects!$G$36="Yes",Projects!$C$36=CC$3),", "&amp;Projects!$A$36,"")&amp;IF(AND(Projects!$G$37="Yes",Projects!$C$37=CC$3),", "&amp;Projects!$A$37,"")&amp;IF(AND(Projects!$G$38="Yes",Projects!$C$38=CC$3),", "&amp;Projects!$A$38,"")&amp;IF(AND(Projects!$G$39="Yes",Projects!$C$39=CC$3),", "&amp;Projects!$A$39,"")&amp;IF(AND(Projects!$G$40="Yes",Projects!$C$40=CC$3),", "&amp;Projects!$A$40,"")&amp;IF(AND(Projects!$G$41="Yes",Projects!$C$41=CC$3),", "&amp;Projects!$A$41,"")&amp;IF(AND(Projects!$G$42="Yes",Projects!$C$42=CC$3),", "&amp;Projects!$A$42,"")&amp;IF(AND(Projects!$G$43="Yes",Projects!$C$43=CC$3),", "&amp;Projects!$A$43,"")&amp;IF(AND(Projects!$G$44="Yes",Projects!$C$44=CC$3),", "&amp;Projects!$A$44,"")&amp;IF(AND(Projects!$G$45="Yes",Projects!$C$45=CC$3),", "&amp;Projects!$A$45,"")&amp;IF(AND(Projects!$G$46="Yes",Projects!$C$46=CC$3),", "&amp;Projects!$A$46,""),3,10000)</f>
        <v/>
      </c>
      <c r="CD6" s="16" t="str">
        <f aca="false">MID(IF(AND(Projects!$G$2="Yes",Projects!$C$2=CD$3),", "&amp;Projects!$A$2,"")&amp;IF(AND(Projects!$G$3="Yes",Projects!$C$3=CD$3),", "&amp;Projects!$A$3,"")&amp;IF(AND(Projects!$G$4="Yes",Projects!$C$4=CD$3),", "&amp;Projects!$A$4,"")&amp;IF(AND(Projects!$G$5="Yes",Projects!$C$5=CD$3),", "&amp;Projects!$A$5,"")&amp;IF(AND(Projects!$G$6="Yes",Projects!$C$6=CD$3),", "&amp;Projects!$A$6,"")&amp;IF(AND(Projects!$G$7="Yes",Projects!$C$7=CD$3),", "&amp;Projects!$A$7,"")&amp;IF(AND(Projects!$G$8="Yes",Projects!$C$8=CD$3),", "&amp;Projects!$A$8,"")&amp;IF(AND(Projects!$G$9="Yes",Projects!$C$9=CD$3),", "&amp;Projects!$A$9,"")&amp;IF(AND(Projects!$G$10="Yes",Projects!$C$10=CD$3),", "&amp;Projects!$A$10,"")&amp;IF(AND(Projects!$G$11="Yes",Projects!$C$11=CD$3),", "&amp;Projects!$A$11,"")&amp;IF(AND(Projects!$G$12="Yes",Projects!$C$12=CD$3),", "&amp;Projects!$A$12,"")&amp;IF(AND(Projects!$G$13="Yes",Projects!$C$13=CD$3),", "&amp;Projects!$A$13,"")&amp;IF(AND(Projects!$G$14="Yes",Projects!$C$14=CD$3),", "&amp;Projects!$A$14,"")&amp;IF(AND(Projects!$G$15="Yes",Projects!$C$15=CD$3),", "&amp;Projects!$A$15,"")&amp;IF(AND(Projects!$G$16="Yes",Projects!$C$16=CD$3),", "&amp;Projects!$A$16,"")&amp;IF(AND(Projects!$G$17="Yes",Projects!$C$17=CD$3),", "&amp;Projects!$A$17,"")&amp;IF(AND(Projects!$G$18="Yes",Projects!$C$18=CD$3),", "&amp;Projects!$A$18,"")&amp;IF(AND(Projects!$G$19="Yes",Projects!$C$19=CD$3),", "&amp;Projects!$A$19,"")&amp;IF(AND(Projects!$G$20="Yes",Projects!$C$20=CD$3),", "&amp;Projects!$A$20,"")&amp;IF(AND(Projects!$G$21="Yes",Projects!$C$21=CD$3),", "&amp;Projects!$A$21,"")&amp;IF(AND(Projects!$G$22="Yes",Projects!$C$22=CD$3),", "&amp;Projects!$A$22,"")&amp;IF(AND(Projects!$G$23="Yes",Projects!$C$23=CD$3),", "&amp;Projects!$A$23,"")&amp;IF(AND(Projects!$G$24="Yes",Projects!$C$24=CD$3),", "&amp;Projects!$A$24,"")&amp;IF(AND(Projects!$G$25="Yes",Projects!$C$25=CD$3),", "&amp;Projects!$A$25,"")&amp;IF(AND(Projects!$G$26="Yes",Projects!$C$26=CD$3),", "&amp;Projects!$A$26,"")&amp;IF(AND(Projects!$G$27="Yes",Projects!$C$27=CD$3),", "&amp;Projects!$A$27,"")&amp;IF(AND(Projects!$G$28="Yes",Projects!$C$28=CD$3),", "&amp;Projects!$A$28,"")&amp;IF(AND(Projects!$G$29="Yes",Projects!$C$29=CD$3),", "&amp;Projects!$A$29,"")&amp;IF(AND(Projects!$G$30="Yes",Projects!$C$30=CD$3),", "&amp;Projects!$A$30,"")&amp;IF(AND(Projects!$G$31="Yes",Projects!$C$31=CD$3),", "&amp;Projects!$A$31,"")&amp;IF(AND(Projects!$G$32="Yes",Projects!$C$32=CD$3),", "&amp;Projects!$A$32,"")&amp;IF(AND(Projects!$G$33="Yes",Projects!$C$33=CD$3),", "&amp;Projects!$A$33,"")&amp;IF(AND(Projects!$G$34="Yes",Projects!$C$34=CD$3),", "&amp;Projects!$A$34,"")&amp;IF(AND(Projects!$G$35="Yes",Projects!$C$35=CD$3),", "&amp;Projects!$A$35,"")&amp;IF(AND(Projects!$G$36="Yes",Projects!$C$36=CD$3),", "&amp;Projects!$A$36,"")&amp;IF(AND(Projects!$G$37="Yes",Projects!$C$37=CD$3),", "&amp;Projects!$A$37,"")&amp;IF(AND(Projects!$G$38="Yes",Projects!$C$38=CD$3),", "&amp;Projects!$A$38,"")&amp;IF(AND(Projects!$G$39="Yes",Projects!$C$39=CD$3),", "&amp;Projects!$A$39,"")&amp;IF(AND(Projects!$G$40="Yes",Projects!$C$40=CD$3),", "&amp;Projects!$A$40,"")&amp;IF(AND(Projects!$G$41="Yes",Projects!$C$41=CD$3),", "&amp;Projects!$A$41,"")&amp;IF(AND(Projects!$G$42="Yes",Projects!$C$42=CD$3),", "&amp;Projects!$A$42,"")&amp;IF(AND(Projects!$G$43="Yes",Projects!$C$43=CD$3),", "&amp;Projects!$A$43,"")&amp;IF(AND(Projects!$G$44="Yes",Projects!$C$44=CD$3),", "&amp;Projects!$A$44,"")&amp;IF(AND(Projects!$G$45="Yes",Projects!$C$45=CD$3),", "&amp;Projects!$A$45,"")&amp;IF(AND(Projects!$G$46="Yes",Projects!$C$46=CD$3),", "&amp;Projects!$A$46,""),3,10000)</f>
        <v/>
      </c>
      <c r="CE6" s="16" t="str">
        <f aca="false">MID(IF(AND(Projects!$G$2="Yes",Projects!$C$2=CE$3),", "&amp;Projects!$A$2,"")&amp;IF(AND(Projects!$G$3="Yes",Projects!$C$3=CE$3),", "&amp;Projects!$A$3,"")&amp;IF(AND(Projects!$G$4="Yes",Projects!$C$4=CE$3),", "&amp;Projects!$A$4,"")&amp;IF(AND(Projects!$G$5="Yes",Projects!$C$5=CE$3),", "&amp;Projects!$A$5,"")&amp;IF(AND(Projects!$G$6="Yes",Projects!$C$6=CE$3),", "&amp;Projects!$A$6,"")&amp;IF(AND(Projects!$G$7="Yes",Projects!$C$7=CE$3),", "&amp;Projects!$A$7,"")&amp;IF(AND(Projects!$G$8="Yes",Projects!$C$8=CE$3),", "&amp;Projects!$A$8,"")&amp;IF(AND(Projects!$G$9="Yes",Projects!$C$9=CE$3),", "&amp;Projects!$A$9,"")&amp;IF(AND(Projects!$G$10="Yes",Projects!$C$10=CE$3),", "&amp;Projects!$A$10,"")&amp;IF(AND(Projects!$G$11="Yes",Projects!$C$11=CE$3),", "&amp;Projects!$A$11,"")&amp;IF(AND(Projects!$G$12="Yes",Projects!$C$12=CE$3),", "&amp;Projects!$A$12,"")&amp;IF(AND(Projects!$G$13="Yes",Projects!$C$13=CE$3),", "&amp;Projects!$A$13,"")&amp;IF(AND(Projects!$G$14="Yes",Projects!$C$14=CE$3),", "&amp;Projects!$A$14,"")&amp;IF(AND(Projects!$G$15="Yes",Projects!$C$15=CE$3),", "&amp;Projects!$A$15,"")&amp;IF(AND(Projects!$G$16="Yes",Projects!$C$16=CE$3),", "&amp;Projects!$A$16,"")&amp;IF(AND(Projects!$G$17="Yes",Projects!$C$17=CE$3),", "&amp;Projects!$A$17,"")&amp;IF(AND(Projects!$G$18="Yes",Projects!$C$18=CE$3),", "&amp;Projects!$A$18,"")&amp;IF(AND(Projects!$G$19="Yes",Projects!$C$19=CE$3),", "&amp;Projects!$A$19,"")&amp;IF(AND(Projects!$G$20="Yes",Projects!$C$20=CE$3),", "&amp;Projects!$A$20,"")&amp;IF(AND(Projects!$G$21="Yes",Projects!$C$21=CE$3),", "&amp;Projects!$A$21,"")&amp;IF(AND(Projects!$G$22="Yes",Projects!$C$22=CE$3),", "&amp;Projects!$A$22,"")&amp;IF(AND(Projects!$G$23="Yes",Projects!$C$23=CE$3),", "&amp;Projects!$A$23,"")&amp;IF(AND(Projects!$G$24="Yes",Projects!$C$24=CE$3),", "&amp;Projects!$A$24,"")&amp;IF(AND(Projects!$G$25="Yes",Projects!$C$25=CE$3),", "&amp;Projects!$A$25,"")&amp;IF(AND(Projects!$G$26="Yes",Projects!$C$26=CE$3),", "&amp;Projects!$A$26,"")&amp;IF(AND(Projects!$G$27="Yes",Projects!$C$27=CE$3),", "&amp;Projects!$A$27,"")&amp;IF(AND(Projects!$G$28="Yes",Projects!$C$28=CE$3),", "&amp;Projects!$A$28,"")&amp;IF(AND(Projects!$G$29="Yes",Projects!$C$29=CE$3),", "&amp;Projects!$A$29,"")&amp;IF(AND(Projects!$G$30="Yes",Projects!$C$30=CE$3),", "&amp;Projects!$A$30,"")&amp;IF(AND(Projects!$G$31="Yes",Projects!$C$31=CE$3),", "&amp;Projects!$A$31,"")&amp;IF(AND(Projects!$G$32="Yes",Projects!$C$32=CE$3),", "&amp;Projects!$A$32,"")&amp;IF(AND(Projects!$G$33="Yes",Projects!$C$33=CE$3),", "&amp;Projects!$A$33,"")&amp;IF(AND(Projects!$G$34="Yes",Projects!$C$34=CE$3),", "&amp;Projects!$A$34,"")&amp;IF(AND(Projects!$G$35="Yes",Projects!$C$35=CE$3),", "&amp;Projects!$A$35,"")&amp;IF(AND(Projects!$G$36="Yes",Projects!$C$36=CE$3),", "&amp;Projects!$A$36,"")&amp;IF(AND(Projects!$G$37="Yes",Projects!$C$37=CE$3),", "&amp;Projects!$A$37,"")&amp;IF(AND(Projects!$G$38="Yes",Projects!$C$38=CE$3),", "&amp;Projects!$A$38,"")&amp;IF(AND(Projects!$G$39="Yes",Projects!$C$39=CE$3),", "&amp;Projects!$A$39,"")&amp;IF(AND(Projects!$G$40="Yes",Projects!$C$40=CE$3),", "&amp;Projects!$A$40,"")&amp;IF(AND(Projects!$G$41="Yes",Projects!$C$41=CE$3),", "&amp;Projects!$A$41,"")&amp;IF(AND(Projects!$G$42="Yes",Projects!$C$42=CE$3),", "&amp;Projects!$A$42,"")&amp;IF(AND(Projects!$G$43="Yes",Projects!$C$43=CE$3),", "&amp;Projects!$A$43,"")&amp;IF(AND(Projects!$G$44="Yes",Projects!$C$44=CE$3),", "&amp;Projects!$A$44,"")&amp;IF(AND(Projects!$G$45="Yes",Projects!$C$45=CE$3),", "&amp;Projects!$A$45,"")&amp;IF(AND(Projects!$G$46="Yes",Projects!$C$46=CE$3),", "&amp;Projects!$A$46,""),3,10000)</f>
        <v/>
      </c>
      <c r="CF6" s="16" t="str">
        <f aca="false">MID(IF(AND(Projects!$G$2="Yes",Projects!$C$2=CF$3),", "&amp;Projects!$A$2,"")&amp;IF(AND(Projects!$G$3="Yes",Projects!$C$3=CF$3),", "&amp;Projects!$A$3,"")&amp;IF(AND(Projects!$G$4="Yes",Projects!$C$4=CF$3),", "&amp;Projects!$A$4,"")&amp;IF(AND(Projects!$G$5="Yes",Projects!$C$5=CF$3),", "&amp;Projects!$A$5,"")&amp;IF(AND(Projects!$G$6="Yes",Projects!$C$6=CF$3),", "&amp;Projects!$A$6,"")&amp;IF(AND(Projects!$G$7="Yes",Projects!$C$7=CF$3),", "&amp;Projects!$A$7,"")&amp;IF(AND(Projects!$G$8="Yes",Projects!$C$8=CF$3),", "&amp;Projects!$A$8,"")&amp;IF(AND(Projects!$G$9="Yes",Projects!$C$9=CF$3),", "&amp;Projects!$A$9,"")&amp;IF(AND(Projects!$G$10="Yes",Projects!$C$10=CF$3),", "&amp;Projects!$A$10,"")&amp;IF(AND(Projects!$G$11="Yes",Projects!$C$11=CF$3),", "&amp;Projects!$A$11,"")&amp;IF(AND(Projects!$G$12="Yes",Projects!$C$12=CF$3),", "&amp;Projects!$A$12,"")&amp;IF(AND(Projects!$G$13="Yes",Projects!$C$13=CF$3),", "&amp;Projects!$A$13,"")&amp;IF(AND(Projects!$G$14="Yes",Projects!$C$14=CF$3),", "&amp;Projects!$A$14,"")&amp;IF(AND(Projects!$G$15="Yes",Projects!$C$15=CF$3),", "&amp;Projects!$A$15,"")&amp;IF(AND(Projects!$G$16="Yes",Projects!$C$16=CF$3),", "&amp;Projects!$A$16,"")&amp;IF(AND(Projects!$G$17="Yes",Projects!$C$17=CF$3),", "&amp;Projects!$A$17,"")&amp;IF(AND(Projects!$G$18="Yes",Projects!$C$18=CF$3),", "&amp;Projects!$A$18,"")&amp;IF(AND(Projects!$G$19="Yes",Projects!$C$19=CF$3),", "&amp;Projects!$A$19,"")&amp;IF(AND(Projects!$G$20="Yes",Projects!$C$20=CF$3),", "&amp;Projects!$A$20,"")&amp;IF(AND(Projects!$G$21="Yes",Projects!$C$21=CF$3),", "&amp;Projects!$A$21,"")&amp;IF(AND(Projects!$G$22="Yes",Projects!$C$22=CF$3),", "&amp;Projects!$A$22,"")&amp;IF(AND(Projects!$G$23="Yes",Projects!$C$23=CF$3),", "&amp;Projects!$A$23,"")&amp;IF(AND(Projects!$G$24="Yes",Projects!$C$24=CF$3),", "&amp;Projects!$A$24,"")&amp;IF(AND(Projects!$G$25="Yes",Projects!$C$25=CF$3),", "&amp;Projects!$A$25,"")&amp;IF(AND(Projects!$G$26="Yes",Projects!$C$26=CF$3),", "&amp;Projects!$A$26,"")&amp;IF(AND(Projects!$G$27="Yes",Projects!$C$27=CF$3),", "&amp;Projects!$A$27,"")&amp;IF(AND(Projects!$G$28="Yes",Projects!$C$28=CF$3),", "&amp;Projects!$A$28,"")&amp;IF(AND(Projects!$G$29="Yes",Projects!$C$29=CF$3),", "&amp;Projects!$A$29,"")&amp;IF(AND(Projects!$G$30="Yes",Projects!$C$30=CF$3),", "&amp;Projects!$A$30,"")&amp;IF(AND(Projects!$G$31="Yes",Projects!$C$31=CF$3),", "&amp;Projects!$A$31,"")&amp;IF(AND(Projects!$G$32="Yes",Projects!$C$32=CF$3),", "&amp;Projects!$A$32,"")&amp;IF(AND(Projects!$G$33="Yes",Projects!$C$33=CF$3),", "&amp;Projects!$A$33,"")&amp;IF(AND(Projects!$G$34="Yes",Projects!$C$34=CF$3),", "&amp;Projects!$A$34,"")&amp;IF(AND(Projects!$G$35="Yes",Projects!$C$35=CF$3),", "&amp;Projects!$A$35,"")&amp;IF(AND(Projects!$G$36="Yes",Projects!$C$36=CF$3),", "&amp;Projects!$A$36,"")&amp;IF(AND(Projects!$G$37="Yes",Projects!$C$37=CF$3),", "&amp;Projects!$A$37,"")&amp;IF(AND(Projects!$G$38="Yes",Projects!$C$38=CF$3),", "&amp;Projects!$A$38,"")&amp;IF(AND(Projects!$G$39="Yes",Projects!$C$39=CF$3),", "&amp;Projects!$A$39,"")&amp;IF(AND(Projects!$G$40="Yes",Projects!$C$40=CF$3),", "&amp;Projects!$A$40,"")&amp;IF(AND(Projects!$G$41="Yes",Projects!$C$41=CF$3),", "&amp;Projects!$A$41,"")&amp;IF(AND(Projects!$G$42="Yes",Projects!$C$42=CF$3),", "&amp;Projects!$A$42,"")&amp;IF(AND(Projects!$G$43="Yes",Projects!$C$43=CF$3),", "&amp;Projects!$A$43,"")&amp;IF(AND(Projects!$G$44="Yes",Projects!$C$44=CF$3),", "&amp;Projects!$A$44,"")&amp;IF(AND(Projects!$G$45="Yes",Projects!$C$45=CF$3),", "&amp;Projects!$A$45,"")&amp;IF(AND(Projects!$G$46="Yes",Projects!$C$46=CF$3),", "&amp;Projects!$A$46,""),3,10000)</f>
        <v/>
      </c>
      <c r="CG6" s="16" t="str">
        <f aca="false">MID(IF(AND(Projects!$G$2="Yes",Projects!$C$2=CG$3),", "&amp;Projects!$A$2,"")&amp;IF(AND(Projects!$G$3="Yes",Projects!$C$3=CG$3),", "&amp;Projects!$A$3,"")&amp;IF(AND(Projects!$G$4="Yes",Projects!$C$4=CG$3),", "&amp;Projects!$A$4,"")&amp;IF(AND(Projects!$G$5="Yes",Projects!$C$5=CG$3),", "&amp;Projects!$A$5,"")&amp;IF(AND(Projects!$G$6="Yes",Projects!$C$6=CG$3),", "&amp;Projects!$A$6,"")&amp;IF(AND(Projects!$G$7="Yes",Projects!$C$7=CG$3),", "&amp;Projects!$A$7,"")&amp;IF(AND(Projects!$G$8="Yes",Projects!$C$8=CG$3),", "&amp;Projects!$A$8,"")&amp;IF(AND(Projects!$G$9="Yes",Projects!$C$9=CG$3),", "&amp;Projects!$A$9,"")&amp;IF(AND(Projects!$G$10="Yes",Projects!$C$10=CG$3),", "&amp;Projects!$A$10,"")&amp;IF(AND(Projects!$G$11="Yes",Projects!$C$11=CG$3),", "&amp;Projects!$A$11,"")&amp;IF(AND(Projects!$G$12="Yes",Projects!$C$12=CG$3),", "&amp;Projects!$A$12,"")&amp;IF(AND(Projects!$G$13="Yes",Projects!$C$13=CG$3),", "&amp;Projects!$A$13,"")&amp;IF(AND(Projects!$G$14="Yes",Projects!$C$14=CG$3),", "&amp;Projects!$A$14,"")&amp;IF(AND(Projects!$G$15="Yes",Projects!$C$15=CG$3),", "&amp;Projects!$A$15,"")&amp;IF(AND(Projects!$G$16="Yes",Projects!$C$16=CG$3),", "&amp;Projects!$A$16,"")&amp;IF(AND(Projects!$G$17="Yes",Projects!$C$17=CG$3),", "&amp;Projects!$A$17,"")&amp;IF(AND(Projects!$G$18="Yes",Projects!$C$18=CG$3),", "&amp;Projects!$A$18,"")&amp;IF(AND(Projects!$G$19="Yes",Projects!$C$19=CG$3),", "&amp;Projects!$A$19,"")&amp;IF(AND(Projects!$G$20="Yes",Projects!$C$20=CG$3),", "&amp;Projects!$A$20,"")&amp;IF(AND(Projects!$G$21="Yes",Projects!$C$21=CG$3),", "&amp;Projects!$A$21,"")&amp;IF(AND(Projects!$G$22="Yes",Projects!$C$22=CG$3),", "&amp;Projects!$A$22,"")&amp;IF(AND(Projects!$G$23="Yes",Projects!$C$23=CG$3),", "&amp;Projects!$A$23,"")&amp;IF(AND(Projects!$G$24="Yes",Projects!$C$24=CG$3),", "&amp;Projects!$A$24,"")&amp;IF(AND(Projects!$G$25="Yes",Projects!$C$25=CG$3),", "&amp;Projects!$A$25,"")&amp;IF(AND(Projects!$G$26="Yes",Projects!$C$26=CG$3),", "&amp;Projects!$A$26,"")&amp;IF(AND(Projects!$G$27="Yes",Projects!$C$27=CG$3),", "&amp;Projects!$A$27,"")&amp;IF(AND(Projects!$G$28="Yes",Projects!$C$28=CG$3),", "&amp;Projects!$A$28,"")&amp;IF(AND(Projects!$G$29="Yes",Projects!$C$29=CG$3),", "&amp;Projects!$A$29,"")&amp;IF(AND(Projects!$G$30="Yes",Projects!$C$30=CG$3),", "&amp;Projects!$A$30,"")&amp;IF(AND(Projects!$G$31="Yes",Projects!$C$31=CG$3),", "&amp;Projects!$A$31,"")&amp;IF(AND(Projects!$G$32="Yes",Projects!$C$32=CG$3),", "&amp;Projects!$A$32,"")&amp;IF(AND(Projects!$G$33="Yes",Projects!$C$33=CG$3),", "&amp;Projects!$A$33,"")&amp;IF(AND(Projects!$G$34="Yes",Projects!$C$34=CG$3),", "&amp;Projects!$A$34,"")&amp;IF(AND(Projects!$G$35="Yes",Projects!$C$35=CG$3),", "&amp;Projects!$A$35,"")&amp;IF(AND(Projects!$G$36="Yes",Projects!$C$36=CG$3),", "&amp;Projects!$A$36,"")&amp;IF(AND(Projects!$G$37="Yes",Projects!$C$37=CG$3),", "&amp;Projects!$A$37,"")&amp;IF(AND(Projects!$G$38="Yes",Projects!$C$38=CG$3),", "&amp;Projects!$A$38,"")&amp;IF(AND(Projects!$G$39="Yes",Projects!$C$39=CG$3),", "&amp;Projects!$A$39,"")&amp;IF(AND(Projects!$G$40="Yes",Projects!$C$40=CG$3),", "&amp;Projects!$A$40,"")&amp;IF(AND(Projects!$G$41="Yes",Projects!$C$41=CG$3),", "&amp;Projects!$A$41,"")&amp;IF(AND(Projects!$G$42="Yes",Projects!$C$42=CG$3),", "&amp;Projects!$A$42,"")&amp;IF(AND(Projects!$G$43="Yes",Projects!$C$43=CG$3),", "&amp;Projects!$A$43,"")&amp;IF(AND(Projects!$G$44="Yes",Projects!$C$44=CG$3),", "&amp;Projects!$A$44,"")&amp;IF(AND(Projects!$G$45="Yes",Projects!$C$45=CG$3),", "&amp;Projects!$A$45,"")&amp;IF(AND(Projects!$G$46="Yes",Projects!$C$46=CG$3),", "&amp;Projects!$A$46,""),3,10000)</f>
        <v/>
      </c>
      <c r="CH6" s="16" t="str">
        <f aca="false">MID(IF(AND(Projects!$G$2="Yes",Projects!$C$2=CH$3),", "&amp;Projects!$A$2,"")&amp;IF(AND(Projects!$G$3="Yes",Projects!$C$3=CH$3),", "&amp;Projects!$A$3,"")&amp;IF(AND(Projects!$G$4="Yes",Projects!$C$4=CH$3),", "&amp;Projects!$A$4,"")&amp;IF(AND(Projects!$G$5="Yes",Projects!$C$5=CH$3),", "&amp;Projects!$A$5,"")&amp;IF(AND(Projects!$G$6="Yes",Projects!$C$6=CH$3),", "&amp;Projects!$A$6,"")&amp;IF(AND(Projects!$G$7="Yes",Projects!$C$7=CH$3),", "&amp;Projects!$A$7,"")&amp;IF(AND(Projects!$G$8="Yes",Projects!$C$8=CH$3),", "&amp;Projects!$A$8,"")&amp;IF(AND(Projects!$G$9="Yes",Projects!$C$9=CH$3),", "&amp;Projects!$A$9,"")&amp;IF(AND(Projects!$G$10="Yes",Projects!$C$10=CH$3),", "&amp;Projects!$A$10,"")&amp;IF(AND(Projects!$G$11="Yes",Projects!$C$11=CH$3),", "&amp;Projects!$A$11,"")&amp;IF(AND(Projects!$G$12="Yes",Projects!$C$12=CH$3),", "&amp;Projects!$A$12,"")&amp;IF(AND(Projects!$G$13="Yes",Projects!$C$13=CH$3),", "&amp;Projects!$A$13,"")&amp;IF(AND(Projects!$G$14="Yes",Projects!$C$14=CH$3),", "&amp;Projects!$A$14,"")&amp;IF(AND(Projects!$G$15="Yes",Projects!$C$15=CH$3),", "&amp;Projects!$A$15,"")&amp;IF(AND(Projects!$G$16="Yes",Projects!$C$16=CH$3),", "&amp;Projects!$A$16,"")&amp;IF(AND(Projects!$G$17="Yes",Projects!$C$17=CH$3),", "&amp;Projects!$A$17,"")&amp;IF(AND(Projects!$G$18="Yes",Projects!$C$18=CH$3),", "&amp;Projects!$A$18,"")&amp;IF(AND(Projects!$G$19="Yes",Projects!$C$19=CH$3),", "&amp;Projects!$A$19,"")&amp;IF(AND(Projects!$G$20="Yes",Projects!$C$20=CH$3),", "&amp;Projects!$A$20,"")&amp;IF(AND(Projects!$G$21="Yes",Projects!$C$21=CH$3),", "&amp;Projects!$A$21,"")&amp;IF(AND(Projects!$G$22="Yes",Projects!$C$22=CH$3),", "&amp;Projects!$A$22,"")&amp;IF(AND(Projects!$G$23="Yes",Projects!$C$23=CH$3),", "&amp;Projects!$A$23,"")&amp;IF(AND(Projects!$G$24="Yes",Projects!$C$24=CH$3),", "&amp;Projects!$A$24,"")&amp;IF(AND(Projects!$G$25="Yes",Projects!$C$25=CH$3),", "&amp;Projects!$A$25,"")&amp;IF(AND(Projects!$G$26="Yes",Projects!$C$26=CH$3),", "&amp;Projects!$A$26,"")&amp;IF(AND(Projects!$G$27="Yes",Projects!$C$27=CH$3),", "&amp;Projects!$A$27,"")&amp;IF(AND(Projects!$G$28="Yes",Projects!$C$28=CH$3),", "&amp;Projects!$A$28,"")&amp;IF(AND(Projects!$G$29="Yes",Projects!$C$29=CH$3),", "&amp;Projects!$A$29,"")&amp;IF(AND(Projects!$G$30="Yes",Projects!$C$30=CH$3),", "&amp;Projects!$A$30,"")&amp;IF(AND(Projects!$G$31="Yes",Projects!$C$31=CH$3),", "&amp;Projects!$A$31,"")&amp;IF(AND(Projects!$G$32="Yes",Projects!$C$32=CH$3),", "&amp;Projects!$A$32,"")&amp;IF(AND(Projects!$G$33="Yes",Projects!$C$33=CH$3),", "&amp;Projects!$A$33,"")&amp;IF(AND(Projects!$G$34="Yes",Projects!$C$34=CH$3),", "&amp;Projects!$A$34,"")&amp;IF(AND(Projects!$G$35="Yes",Projects!$C$35=CH$3),", "&amp;Projects!$A$35,"")&amp;IF(AND(Projects!$G$36="Yes",Projects!$C$36=CH$3),", "&amp;Projects!$A$36,"")&amp;IF(AND(Projects!$G$37="Yes",Projects!$C$37=CH$3),", "&amp;Projects!$A$37,"")&amp;IF(AND(Projects!$G$38="Yes",Projects!$C$38=CH$3),", "&amp;Projects!$A$38,"")&amp;IF(AND(Projects!$G$39="Yes",Projects!$C$39=CH$3),", "&amp;Projects!$A$39,"")&amp;IF(AND(Projects!$G$40="Yes",Projects!$C$40=CH$3),", "&amp;Projects!$A$40,"")&amp;IF(AND(Projects!$G$41="Yes",Projects!$C$41=CH$3),", "&amp;Projects!$A$41,"")&amp;IF(AND(Projects!$G$42="Yes",Projects!$C$42=CH$3),", "&amp;Projects!$A$42,"")&amp;IF(AND(Projects!$G$43="Yes",Projects!$C$43=CH$3),", "&amp;Projects!$A$43,"")&amp;IF(AND(Projects!$G$44="Yes",Projects!$C$44=CH$3),", "&amp;Projects!$A$44,"")&amp;IF(AND(Projects!$G$45="Yes",Projects!$C$45=CH$3),", "&amp;Projects!$A$45,"")&amp;IF(AND(Projects!$G$46="Yes",Projects!$C$46=CH$3),", "&amp;Projects!$A$46,""),3,10000)</f>
        <v/>
      </c>
      <c r="CI6" s="16" t="str">
        <f aca="false">MID(IF(AND(Projects!$G$2="Yes",Projects!$C$2=CI$3),", "&amp;Projects!$A$2,"")&amp;IF(AND(Projects!$G$3="Yes",Projects!$C$3=CI$3),", "&amp;Projects!$A$3,"")&amp;IF(AND(Projects!$G$4="Yes",Projects!$C$4=CI$3),", "&amp;Projects!$A$4,"")&amp;IF(AND(Projects!$G$5="Yes",Projects!$C$5=CI$3),", "&amp;Projects!$A$5,"")&amp;IF(AND(Projects!$G$6="Yes",Projects!$C$6=CI$3),", "&amp;Projects!$A$6,"")&amp;IF(AND(Projects!$G$7="Yes",Projects!$C$7=CI$3),", "&amp;Projects!$A$7,"")&amp;IF(AND(Projects!$G$8="Yes",Projects!$C$8=CI$3),", "&amp;Projects!$A$8,"")&amp;IF(AND(Projects!$G$9="Yes",Projects!$C$9=CI$3),", "&amp;Projects!$A$9,"")&amp;IF(AND(Projects!$G$10="Yes",Projects!$C$10=CI$3),", "&amp;Projects!$A$10,"")&amp;IF(AND(Projects!$G$11="Yes",Projects!$C$11=CI$3),", "&amp;Projects!$A$11,"")&amp;IF(AND(Projects!$G$12="Yes",Projects!$C$12=CI$3),", "&amp;Projects!$A$12,"")&amp;IF(AND(Projects!$G$13="Yes",Projects!$C$13=CI$3),", "&amp;Projects!$A$13,"")&amp;IF(AND(Projects!$G$14="Yes",Projects!$C$14=CI$3),", "&amp;Projects!$A$14,"")&amp;IF(AND(Projects!$G$15="Yes",Projects!$C$15=CI$3),", "&amp;Projects!$A$15,"")&amp;IF(AND(Projects!$G$16="Yes",Projects!$C$16=CI$3),", "&amp;Projects!$A$16,"")&amp;IF(AND(Projects!$G$17="Yes",Projects!$C$17=CI$3),", "&amp;Projects!$A$17,"")&amp;IF(AND(Projects!$G$18="Yes",Projects!$C$18=CI$3),", "&amp;Projects!$A$18,"")&amp;IF(AND(Projects!$G$19="Yes",Projects!$C$19=CI$3),", "&amp;Projects!$A$19,"")&amp;IF(AND(Projects!$G$20="Yes",Projects!$C$20=CI$3),", "&amp;Projects!$A$20,"")&amp;IF(AND(Projects!$G$21="Yes",Projects!$C$21=CI$3),", "&amp;Projects!$A$21,"")&amp;IF(AND(Projects!$G$22="Yes",Projects!$C$22=CI$3),", "&amp;Projects!$A$22,"")&amp;IF(AND(Projects!$G$23="Yes",Projects!$C$23=CI$3),", "&amp;Projects!$A$23,"")&amp;IF(AND(Projects!$G$24="Yes",Projects!$C$24=CI$3),", "&amp;Projects!$A$24,"")&amp;IF(AND(Projects!$G$25="Yes",Projects!$C$25=CI$3),", "&amp;Projects!$A$25,"")&amp;IF(AND(Projects!$G$26="Yes",Projects!$C$26=CI$3),", "&amp;Projects!$A$26,"")&amp;IF(AND(Projects!$G$27="Yes",Projects!$C$27=CI$3),", "&amp;Projects!$A$27,"")&amp;IF(AND(Projects!$G$28="Yes",Projects!$C$28=CI$3),", "&amp;Projects!$A$28,"")&amp;IF(AND(Projects!$G$29="Yes",Projects!$C$29=CI$3),", "&amp;Projects!$A$29,"")&amp;IF(AND(Projects!$G$30="Yes",Projects!$C$30=CI$3),", "&amp;Projects!$A$30,"")&amp;IF(AND(Projects!$G$31="Yes",Projects!$C$31=CI$3),", "&amp;Projects!$A$31,"")&amp;IF(AND(Projects!$G$32="Yes",Projects!$C$32=CI$3),", "&amp;Projects!$A$32,"")&amp;IF(AND(Projects!$G$33="Yes",Projects!$C$33=CI$3),", "&amp;Projects!$A$33,"")&amp;IF(AND(Projects!$G$34="Yes",Projects!$C$34=CI$3),", "&amp;Projects!$A$34,"")&amp;IF(AND(Projects!$G$35="Yes",Projects!$C$35=CI$3),", "&amp;Projects!$A$35,"")&amp;IF(AND(Projects!$G$36="Yes",Projects!$C$36=CI$3),", "&amp;Projects!$A$36,"")&amp;IF(AND(Projects!$G$37="Yes",Projects!$C$37=CI$3),", "&amp;Projects!$A$37,"")&amp;IF(AND(Projects!$G$38="Yes",Projects!$C$38=CI$3),", "&amp;Projects!$A$38,"")&amp;IF(AND(Projects!$G$39="Yes",Projects!$C$39=CI$3),", "&amp;Projects!$A$39,"")&amp;IF(AND(Projects!$G$40="Yes",Projects!$C$40=CI$3),", "&amp;Projects!$A$40,"")&amp;IF(AND(Projects!$G$41="Yes",Projects!$C$41=CI$3),", "&amp;Projects!$A$41,"")&amp;IF(AND(Projects!$G$42="Yes",Projects!$C$42=CI$3),", "&amp;Projects!$A$42,"")&amp;IF(AND(Projects!$G$43="Yes",Projects!$C$43=CI$3),", "&amp;Projects!$A$43,"")&amp;IF(AND(Projects!$G$44="Yes",Projects!$C$44=CI$3),", "&amp;Projects!$A$44,"")&amp;IF(AND(Projects!$G$45="Yes",Projects!$C$45=CI$3),", "&amp;Projects!$A$45,"")&amp;IF(AND(Projects!$G$46="Yes",Projects!$C$46=CI$3),", "&amp;Projects!$A$46,""),3,10000)</f>
        <v/>
      </c>
      <c r="CJ6" s="16" t="str">
        <f aca="false">MID(IF(AND(Projects!$G$2="Yes",Projects!$C$2=CJ$3),", "&amp;Projects!$A$2,"")&amp;IF(AND(Projects!$G$3="Yes",Projects!$C$3=CJ$3),", "&amp;Projects!$A$3,"")&amp;IF(AND(Projects!$G$4="Yes",Projects!$C$4=CJ$3),", "&amp;Projects!$A$4,"")&amp;IF(AND(Projects!$G$5="Yes",Projects!$C$5=CJ$3),", "&amp;Projects!$A$5,"")&amp;IF(AND(Projects!$G$6="Yes",Projects!$C$6=CJ$3),", "&amp;Projects!$A$6,"")&amp;IF(AND(Projects!$G$7="Yes",Projects!$C$7=CJ$3),", "&amp;Projects!$A$7,"")&amp;IF(AND(Projects!$G$8="Yes",Projects!$C$8=CJ$3),", "&amp;Projects!$A$8,"")&amp;IF(AND(Projects!$G$9="Yes",Projects!$C$9=CJ$3),", "&amp;Projects!$A$9,"")&amp;IF(AND(Projects!$G$10="Yes",Projects!$C$10=CJ$3),", "&amp;Projects!$A$10,"")&amp;IF(AND(Projects!$G$11="Yes",Projects!$C$11=CJ$3),", "&amp;Projects!$A$11,"")&amp;IF(AND(Projects!$G$12="Yes",Projects!$C$12=CJ$3),", "&amp;Projects!$A$12,"")&amp;IF(AND(Projects!$G$13="Yes",Projects!$C$13=CJ$3),", "&amp;Projects!$A$13,"")&amp;IF(AND(Projects!$G$14="Yes",Projects!$C$14=CJ$3),", "&amp;Projects!$A$14,"")&amp;IF(AND(Projects!$G$15="Yes",Projects!$C$15=CJ$3),", "&amp;Projects!$A$15,"")&amp;IF(AND(Projects!$G$16="Yes",Projects!$C$16=CJ$3),", "&amp;Projects!$A$16,"")&amp;IF(AND(Projects!$G$17="Yes",Projects!$C$17=CJ$3),", "&amp;Projects!$A$17,"")&amp;IF(AND(Projects!$G$18="Yes",Projects!$C$18=CJ$3),", "&amp;Projects!$A$18,"")&amp;IF(AND(Projects!$G$19="Yes",Projects!$C$19=CJ$3),", "&amp;Projects!$A$19,"")&amp;IF(AND(Projects!$G$20="Yes",Projects!$C$20=CJ$3),", "&amp;Projects!$A$20,"")&amp;IF(AND(Projects!$G$21="Yes",Projects!$C$21=CJ$3),", "&amp;Projects!$A$21,"")&amp;IF(AND(Projects!$G$22="Yes",Projects!$C$22=CJ$3),", "&amp;Projects!$A$22,"")&amp;IF(AND(Projects!$G$23="Yes",Projects!$C$23=CJ$3),", "&amp;Projects!$A$23,"")&amp;IF(AND(Projects!$G$24="Yes",Projects!$C$24=CJ$3),", "&amp;Projects!$A$24,"")&amp;IF(AND(Projects!$G$25="Yes",Projects!$C$25=CJ$3),", "&amp;Projects!$A$25,"")&amp;IF(AND(Projects!$G$26="Yes",Projects!$C$26=CJ$3),", "&amp;Projects!$A$26,"")&amp;IF(AND(Projects!$G$27="Yes",Projects!$C$27=CJ$3),", "&amp;Projects!$A$27,"")&amp;IF(AND(Projects!$G$28="Yes",Projects!$C$28=CJ$3),", "&amp;Projects!$A$28,"")&amp;IF(AND(Projects!$G$29="Yes",Projects!$C$29=CJ$3),", "&amp;Projects!$A$29,"")&amp;IF(AND(Projects!$G$30="Yes",Projects!$C$30=CJ$3),", "&amp;Projects!$A$30,"")&amp;IF(AND(Projects!$G$31="Yes",Projects!$C$31=CJ$3),", "&amp;Projects!$A$31,"")&amp;IF(AND(Projects!$G$32="Yes",Projects!$C$32=CJ$3),", "&amp;Projects!$A$32,"")&amp;IF(AND(Projects!$G$33="Yes",Projects!$C$33=CJ$3),", "&amp;Projects!$A$33,"")&amp;IF(AND(Projects!$G$34="Yes",Projects!$C$34=CJ$3),", "&amp;Projects!$A$34,"")&amp;IF(AND(Projects!$G$35="Yes",Projects!$C$35=CJ$3),", "&amp;Projects!$A$35,"")&amp;IF(AND(Projects!$G$36="Yes",Projects!$C$36=CJ$3),", "&amp;Projects!$A$36,"")&amp;IF(AND(Projects!$G$37="Yes",Projects!$C$37=CJ$3),", "&amp;Projects!$A$37,"")&amp;IF(AND(Projects!$G$38="Yes",Projects!$C$38=CJ$3),", "&amp;Projects!$A$38,"")&amp;IF(AND(Projects!$G$39="Yes",Projects!$C$39=CJ$3),", "&amp;Projects!$A$39,"")&amp;IF(AND(Projects!$G$40="Yes",Projects!$C$40=CJ$3),", "&amp;Projects!$A$40,"")&amp;IF(AND(Projects!$G$41="Yes",Projects!$C$41=CJ$3),", "&amp;Projects!$A$41,"")&amp;IF(AND(Projects!$G$42="Yes",Projects!$C$42=CJ$3),", "&amp;Projects!$A$42,"")&amp;IF(AND(Projects!$G$43="Yes",Projects!$C$43=CJ$3),", "&amp;Projects!$A$43,"")&amp;IF(AND(Projects!$G$44="Yes",Projects!$C$44=CJ$3),", "&amp;Projects!$A$44,"")&amp;IF(AND(Projects!$G$45="Yes",Projects!$C$45=CJ$3),", "&amp;Projects!$A$45,"")&amp;IF(AND(Projects!$G$46="Yes",Projects!$C$46=CJ$3),", "&amp;Projects!$A$46,""),3,10000)</f>
        <v/>
      </c>
      <c r="CK6" s="16" t="str">
        <f aca="false">MID(IF(AND(Projects!$G$2="Yes",Projects!$C$2=CK$3),", "&amp;Projects!$A$2,"")&amp;IF(AND(Projects!$G$3="Yes",Projects!$C$3=CK$3),", "&amp;Projects!$A$3,"")&amp;IF(AND(Projects!$G$4="Yes",Projects!$C$4=CK$3),", "&amp;Projects!$A$4,"")&amp;IF(AND(Projects!$G$5="Yes",Projects!$C$5=CK$3),", "&amp;Projects!$A$5,"")&amp;IF(AND(Projects!$G$6="Yes",Projects!$C$6=CK$3),", "&amp;Projects!$A$6,"")&amp;IF(AND(Projects!$G$7="Yes",Projects!$C$7=CK$3),", "&amp;Projects!$A$7,"")&amp;IF(AND(Projects!$G$8="Yes",Projects!$C$8=CK$3),", "&amp;Projects!$A$8,"")&amp;IF(AND(Projects!$G$9="Yes",Projects!$C$9=CK$3),", "&amp;Projects!$A$9,"")&amp;IF(AND(Projects!$G$10="Yes",Projects!$C$10=CK$3),", "&amp;Projects!$A$10,"")&amp;IF(AND(Projects!$G$11="Yes",Projects!$C$11=CK$3),", "&amp;Projects!$A$11,"")&amp;IF(AND(Projects!$G$12="Yes",Projects!$C$12=CK$3),", "&amp;Projects!$A$12,"")&amp;IF(AND(Projects!$G$13="Yes",Projects!$C$13=CK$3),", "&amp;Projects!$A$13,"")&amp;IF(AND(Projects!$G$14="Yes",Projects!$C$14=CK$3),", "&amp;Projects!$A$14,"")&amp;IF(AND(Projects!$G$15="Yes",Projects!$C$15=CK$3),", "&amp;Projects!$A$15,"")&amp;IF(AND(Projects!$G$16="Yes",Projects!$C$16=CK$3),", "&amp;Projects!$A$16,"")&amp;IF(AND(Projects!$G$17="Yes",Projects!$C$17=CK$3),", "&amp;Projects!$A$17,"")&amp;IF(AND(Projects!$G$18="Yes",Projects!$C$18=CK$3),", "&amp;Projects!$A$18,"")&amp;IF(AND(Projects!$G$19="Yes",Projects!$C$19=CK$3),", "&amp;Projects!$A$19,"")&amp;IF(AND(Projects!$G$20="Yes",Projects!$C$20=CK$3),", "&amp;Projects!$A$20,"")&amp;IF(AND(Projects!$G$21="Yes",Projects!$C$21=CK$3),", "&amp;Projects!$A$21,"")&amp;IF(AND(Projects!$G$22="Yes",Projects!$C$22=CK$3),", "&amp;Projects!$A$22,"")&amp;IF(AND(Projects!$G$23="Yes",Projects!$C$23=CK$3),", "&amp;Projects!$A$23,"")&amp;IF(AND(Projects!$G$24="Yes",Projects!$C$24=CK$3),", "&amp;Projects!$A$24,"")&amp;IF(AND(Projects!$G$25="Yes",Projects!$C$25=CK$3),", "&amp;Projects!$A$25,"")&amp;IF(AND(Projects!$G$26="Yes",Projects!$C$26=CK$3),", "&amp;Projects!$A$26,"")&amp;IF(AND(Projects!$G$27="Yes",Projects!$C$27=CK$3),", "&amp;Projects!$A$27,"")&amp;IF(AND(Projects!$G$28="Yes",Projects!$C$28=CK$3),", "&amp;Projects!$A$28,"")&amp;IF(AND(Projects!$G$29="Yes",Projects!$C$29=CK$3),", "&amp;Projects!$A$29,"")&amp;IF(AND(Projects!$G$30="Yes",Projects!$C$30=CK$3),", "&amp;Projects!$A$30,"")&amp;IF(AND(Projects!$G$31="Yes",Projects!$C$31=CK$3),", "&amp;Projects!$A$31,"")&amp;IF(AND(Projects!$G$32="Yes",Projects!$C$32=CK$3),", "&amp;Projects!$A$32,"")&amp;IF(AND(Projects!$G$33="Yes",Projects!$C$33=CK$3),", "&amp;Projects!$A$33,"")&amp;IF(AND(Projects!$G$34="Yes",Projects!$C$34=CK$3),", "&amp;Projects!$A$34,"")&amp;IF(AND(Projects!$G$35="Yes",Projects!$C$35=CK$3),", "&amp;Projects!$A$35,"")&amp;IF(AND(Projects!$G$36="Yes",Projects!$C$36=CK$3),", "&amp;Projects!$A$36,"")&amp;IF(AND(Projects!$G$37="Yes",Projects!$C$37=CK$3),", "&amp;Projects!$A$37,"")&amp;IF(AND(Projects!$G$38="Yes",Projects!$C$38=CK$3),", "&amp;Projects!$A$38,"")&amp;IF(AND(Projects!$G$39="Yes",Projects!$C$39=CK$3),", "&amp;Projects!$A$39,"")&amp;IF(AND(Projects!$G$40="Yes",Projects!$C$40=CK$3),", "&amp;Projects!$A$40,"")&amp;IF(AND(Projects!$G$41="Yes",Projects!$C$41=CK$3),", "&amp;Projects!$A$41,"")&amp;IF(AND(Projects!$G$42="Yes",Projects!$C$42=CK$3),", "&amp;Projects!$A$42,"")&amp;IF(AND(Projects!$G$43="Yes",Projects!$C$43=CK$3),", "&amp;Projects!$A$43,"")&amp;IF(AND(Projects!$G$44="Yes",Projects!$C$44=CK$3),", "&amp;Projects!$A$44,"")&amp;IF(AND(Projects!$G$45="Yes",Projects!$C$45=CK$3),", "&amp;Projects!$A$45,"")&amp;IF(AND(Projects!$G$46="Yes",Projects!$C$46=CK$3),", "&amp;Projects!$A$46,""),3,10000)</f>
        <v/>
      </c>
      <c r="CL6" s="16" t="str">
        <f aca="false">MID(IF(AND(Projects!$G$2="Yes",Projects!$C$2=CL$3),", "&amp;Projects!$A$2,"")&amp;IF(AND(Projects!$G$3="Yes",Projects!$C$3=CL$3),", "&amp;Projects!$A$3,"")&amp;IF(AND(Projects!$G$4="Yes",Projects!$C$4=CL$3),", "&amp;Projects!$A$4,"")&amp;IF(AND(Projects!$G$5="Yes",Projects!$C$5=CL$3),", "&amp;Projects!$A$5,"")&amp;IF(AND(Projects!$G$6="Yes",Projects!$C$6=CL$3),", "&amp;Projects!$A$6,"")&amp;IF(AND(Projects!$G$7="Yes",Projects!$C$7=CL$3),", "&amp;Projects!$A$7,"")&amp;IF(AND(Projects!$G$8="Yes",Projects!$C$8=CL$3),", "&amp;Projects!$A$8,"")&amp;IF(AND(Projects!$G$9="Yes",Projects!$C$9=CL$3),", "&amp;Projects!$A$9,"")&amp;IF(AND(Projects!$G$10="Yes",Projects!$C$10=CL$3),", "&amp;Projects!$A$10,"")&amp;IF(AND(Projects!$G$11="Yes",Projects!$C$11=CL$3),", "&amp;Projects!$A$11,"")&amp;IF(AND(Projects!$G$12="Yes",Projects!$C$12=CL$3),", "&amp;Projects!$A$12,"")&amp;IF(AND(Projects!$G$13="Yes",Projects!$C$13=CL$3),", "&amp;Projects!$A$13,"")&amp;IF(AND(Projects!$G$14="Yes",Projects!$C$14=CL$3),", "&amp;Projects!$A$14,"")&amp;IF(AND(Projects!$G$15="Yes",Projects!$C$15=CL$3),", "&amp;Projects!$A$15,"")&amp;IF(AND(Projects!$G$16="Yes",Projects!$C$16=CL$3),", "&amp;Projects!$A$16,"")&amp;IF(AND(Projects!$G$17="Yes",Projects!$C$17=CL$3),", "&amp;Projects!$A$17,"")&amp;IF(AND(Projects!$G$18="Yes",Projects!$C$18=CL$3),", "&amp;Projects!$A$18,"")&amp;IF(AND(Projects!$G$19="Yes",Projects!$C$19=CL$3),", "&amp;Projects!$A$19,"")&amp;IF(AND(Projects!$G$20="Yes",Projects!$C$20=CL$3),", "&amp;Projects!$A$20,"")&amp;IF(AND(Projects!$G$21="Yes",Projects!$C$21=CL$3),", "&amp;Projects!$A$21,"")&amp;IF(AND(Projects!$G$22="Yes",Projects!$C$22=CL$3),", "&amp;Projects!$A$22,"")&amp;IF(AND(Projects!$G$23="Yes",Projects!$C$23=CL$3),", "&amp;Projects!$A$23,"")&amp;IF(AND(Projects!$G$24="Yes",Projects!$C$24=CL$3),", "&amp;Projects!$A$24,"")&amp;IF(AND(Projects!$G$25="Yes",Projects!$C$25=CL$3),", "&amp;Projects!$A$25,"")&amp;IF(AND(Projects!$G$26="Yes",Projects!$C$26=CL$3),", "&amp;Projects!$A$26,"")&amp;IF(AND(Projects!$G$27="Yes",Projects!$C$27=CL$3),", "&amp;Projects!$A$27,"")&amp;IF(AND(Projects!$G$28="Yes",Projects!$C$28=CL$3),", "&amp;Projects!$A$28,"")&amp;IF(AND(Projects!$G$29="Yes",Projects!$C$29=CL$3),", "&amp;Projects!$A$29,"")&amp;IF(AND(Projects!$G$30="Yes",Projects!$C$30=CL$3),", "&amp;Projects!$A$30,"")&amp;IF(AND(Projects!$G$31="Yes",Projects!$C$31=CL$3),", "&amp;Projects!$A$31,"")&amp;IF(AND(Projects!$G$32="Yes",Projects!$C$32=CL$3),", "&amp;Projects!$A$32,"")&amp;IF(AND(Projects!$G$33="Yes",Projects!$C$33=CL$3),", "&amp;Projects!$A$33,"")&amp;IF(AND(Projects!$G$34="Yes",Projects!$C$34=CL$3),", "&amp;Projects!$A$34,"")&amp;IF(AND(Projects!$G$35="Yes",Projects!$C$35=CL$3),", "&amp;Projects!$A$35,"")&amp;IF(AND(Projects!$G$36="Yes",Projects!$C$36=CL$3),", "&amp;Projects!$A$36,"")&amp;IF(AND(Projects!$G$37="Yes",Projects!$C$37=CL$3),", "&amp;Projects!$A$37,"")&amp;IF(AND(Projects!$G$38="Yes",Projects!$C$38=CL$3),", "&amp;Projects!$A$38,"")&amp;IF(AND(Projects!$G$39="Yes",Projects!$C$39=CL$3),", "&amp;Projects!$A$39,"")&amp;IF(AND(Projects!$G$40="Yes",Projects!$C$40=CL$3),", "&amp;Projects!$A$40,"")&amp;IF(AND(Projects!$G$41="Yes",Projects!$C$41=CL$3),", "&amp;Projects!$A$41,"")&amp;IF(AND(Projects!$G$42="Yes",Projects!$C$42=CL$3),", "&amp;Projects!$A$42,"")&amp;IF(AND(Projects!$G$43="Yes",Projects!$C$43=CL$3),", "&amp;Projects!$A$43,"")&amp;IF(AND(Projects!$G$44="Yes",Projects!$C$44=CL$3),", "&amp;Projects!$A$44,"")&amp;IF(AND(Projects!$G$45="Yes",Projects!$C$45=CL$3),", "&amp;Projects!$A$45,"")&amp;IF(AND(Projects!$G$46="Yes",Projects!$C$46=CL$3),", "&amp;Projects!$A$46,""),3,10000)</f>
        <v/>
      </c>
      <c r="CM6" s="16" t="str">
        <f aca="false">MID(IF(AND(Projects!$G$2="Yes",Projects!$C$2=CM$3),", "&amp;Projects!$A$2,"")&amp;IF(AND(Projects!$G$3="Yes",Projects!$C$3=CM$3),", "&amp;Projects!$A$3,"")&amp;IF(AND(Projects!$G$4="Yes",Projects!$C$4=CM$3),", "&amp;Projects!$A$4,"")&amp;IF(AND(Projects!$G$5="Yes",Projects!$C$5=CM$3),", "&amp;Projects!$A$5,"")&amp;IF(AND(Projects!$G$6="Yes",Projects!$C$6=CM$3),", "&amp;Projects!$A$6,"")&amp;IF(AND(Projects!$G$7="Yes",Projects!$C$7=CM$3),", "&amp;Projects!$A$7,"")&amp;IF(AND(Projects!$G$8="Yes",Projects!$C$8=CM$3),", "&amp;Projects!$A$8,"")&amp;IF(AND(Projects!$G$9="Yes",Projects!$C$9=CM$3),", "&amp;Projects!$A$9,"")&amp;IF(AND(Projects!$G$10="Yes",Projects!$C$10=CM$3),", "&amp;Projects!$A$10,"")&amp;IF(AND(Projects!$G$11="Yes",Projects!$C$11=CM$3),", "&amp;Projects!$A$11,"")&amp;IF(AND(Projects!$G$12="Yes",Projects!$C$12=CM$3),", "&amp;Projects!$A$12,"")&amp;IF(AND(Projects!$G$13="Yes",Projects!$C$13=CM$3),", "&amp;Projects!$A$13,"")&amp;IF(AND(Projects!$G$14="Yes",Projects!$C$14=CM$3),", "&amp;Projects!$A$14,"")&amp;IF(AND(Projects!$G$15="Yes",Projects!$C$15=CM$3),", "&amp;Projects!$A$15,"")&amp;IF(AND(Projects!$G$16="Yes",Projects!$C$16=CM$3),", "&amp;Projects!$A$16,"")&amp;IF(AND(Projects!$G$17="Yes",Projects!$C$17=CM$3),", "&amp;Projects!$A$17,"")&amp;IF(AND(Projects!$G$18="Yes",Projects!$C$18=CM$3),", "&amp;Projects!$A$18,"")&amp;IF(AND(Projects!$G$19="Yes",Projects!$C$19=CM$3),", "&amp;Projects!$A$19,"")&amp;IF(AND(Projects!$G$20="Yes",Projects!$C$20=CM$3),", "&amp;Projects!$A$20,"")&amp;IF(AND(Projects!$G$21="Yes",Projects!$C$21=CM$3),", "&amp;Projects!$A$21,"")&amp;IF(AND(Projects!$G$22="Yes",Projects!$C$22=CM$3),", "&amp;Projects!$A$22,"")&amp;IF(AND(Projects!$G$23="Yes",Projects!$C$23=CM$3),", "&amp;Projects!$A$23,"")&amp;IF(AND(Projects!$G$24="Yes",Projects!$C$24=CM$3),", "&amp;Projects!$A$24,"")&amp;IF(AND(Projects!$G$25="Yes",Projects!$C$25=CM$3),", "&amp;Projects!$A$25,"")&amp;IF(AND(Projects!$G$26="Yes",Projects!$C$26=CM$3),", "&amp;Projects!$A$26,"")&amp;IF(AND(Projects!$G$27="Yes",Projects!$C$27=CM$3),", "&amp;Projects!$A$27,"")&amp;IF(AND(Projects!$G$28="Yes",Projects!$C$28=CM$3),", "&amp;Projects!$A$28,"")&amp;IF(AND(Projects!$G$29="Yes",Projects!$C$29=CM$3),", "&amp;Projects!$A$29,"")&amp;IF(AND(Projects!$G$30="Yes",Projects!$C$30=CM$3),", "&amp;Projects!$A$30,"")&amp;IF(AND(Projects!$G$31="Yes",Projects!$C$31=CM$3),", "&amp;Projects!$A$31,"")&amp;IF(AND(Projects!$G$32="Yes",Projects!$C$32=CM$3),", "&amp;Projects!$A$32,"")&amp;IF(AND(Projects!$G$33="Yes",Projects!$C$33=CM$3),", "&amp;Projects!$A$33,"")&amp;IF(AND(Projects!$G$34="Yes",Projects!$C$34=CM$3),", "&amp;Projects!$A$34,"")&amp;IF(AND(Projects!$G$35="Yes",Projects!$C$35=CM$3),", "&amp;Projects!$A$35,"")&amp;IF(AND(Projects!$G$36="Yes",Projects!$C$36=CM$3),", "&amp;Projects!$A$36,"")&amp;IF(AND(Projects!$G$37="Yes",Projects!$C$37=CM$3),", "&amp;Projects!$A$37,"")&amp;IF(AND(Projects!$G$38="Yes",Projects!$C$38=CM$3),", "&amp;Projects!$A$38,"")&amp;IF(AND(Projects!$G$39="Yes",Projects!$C$39=CM$3),", "&amp;Projects!$A$39,"")&amp;IF(AND(Projects!$G$40="Yes",Projects!$C$40=CM$3),", "&amp;Projects!$A$40,"")&amp;IF(AND(Projects!$G$41="Yes",Projects!$C$41=CM$3),", "&amp;Projects!$A$41,"")&amp;IF(AND(Projects!$G$42="Yes",Projects!$C$42=CM$3),", "&amp;Projects!$A$42,"")&amp;IF(AND(Projects!$G$43="Yes",Projects!$C$43=CM$3),", "&amp;Projects!$A$43,"")&amp;IF(AND(Projects!$G$44="Yes",Projects!$C$44=CM$3),", "&amp;Projects!$A$44,"")&amp;IF(AND(Projects!$G$45="Yes",Projects!$C$45=CM$3),", "&amp;Projects!$A$45,"")&amp;IF(AND(Projects!$G$46="Yes",Projects!$C$46=CM$3),", "&amp;Projects!$A$46,""),3,10000)</f>
        <v/>
      </c>
      <c r="CN6" s="16" t="str">
        <f aca="false">MID(IF(AND(Projects!$G$2="Yes",Projects!$C$2=CN$3),", "&amp;Projects!$A$2,"")&amp;IF(AND(Projects!$G$3="Yes",Projects!$C$3=CN$3),", "&amp;Projects!$A$3,"")&amp;IF(AND(Projects!$G$4="Yes",Projects!$C$4=CN$3),", "&amp;Projects!$A$4,"")&amp;IF(AND(Projects!$G$5="Yes",Projects!$C$5=CN$3),", "&amp;Projects!$A$5,"")&amp;IF(AND(Projects!$G$6="Yes",Projects!$C$6=CN$3),", "&amp;Projects!$A$6,"")&amp;IF(AND(Projects!$G$7="Yes",Projects!$C$7=CN$3),", "&amp;Projects!$A$7,"")&amp;IF(AND(Projects!$G$8="Yes",Projects!$C$8=CN$3),", "&amp;Projects!$A$8,"")&amp;IF(AND(Projects!$G$9="Yes",Projects!$C$9=CN$3),", "&amp;Projects!$A$9,"")&amp;IF(AND(Projects!$G$10="Yes",Projects!$C$10=CN$3),", "&amp;Projects!$A$10,"")&amp;IF(AND(Projects!$G$11="Yes",Projects!$C$11=CN$3),", "&amp;Projects!$A$11,"")&amp;IF(AND(Projects!$G$12="Yes",Projects!$C$12=CN$3),", "&amp;Projects!$A$12,"")&amp;IF(AND(Projects!$G$13="Yes",Projects!$C$13=CN$3),", "&amp;Projects!$A$13,"")&amp;IF(AND(Projects!$G$14="Yes",Projects!$C$14=CN$3),", "&amp;Projects!$A$14,"")&amp;IF(AND(Projects!$G$15="Yes",Projects!$C$15=CN$3),", "&amp;Projects!$A$15,"")&amp;IF(AND(Projects!$G$16="Yes",Projects!$C$16=CN$3),", "&amp;Projects!$A$16,"")&amp;IF(AND(Projects!$G$17="Yes",Projects!$C$17=CN$3),", "&amp;Projects!$A$17,"")&amp;IF(AND(Projects!$G$18="Yes",Projects!$C$18=CN$3),", "&amp;Projects!$A$18,"")&amp;IF(AND(Projects!$G$19="Yes",Projects!$C$19=CN$3),", "&amp;Projects!$A$19,"")&amp;IF(AND(Projects!$G$20="Yes",Projects!$C$20=CN$3),", "&amp;Projects!$A$20,"")&amp;IF(AND(Projects!$G$21="Yes",Projects!$C$21=CN$3),", "&amp;Projects!$A$21,"")&amp;IF(AND(Projects!$G$22="Yes",Projects!$C$22=CN$3),", "&amp;Projects!$A$22,"")&amp;IF(AND(Projects!$G$23="Yes",Projects!$C$23=CN$3),", "&amp;Projects!$A$23,"")&amp;IF(AND(Projects!$G$24="Yes",Projects!$C$24=CN$3),", "&amp;Projects!$A$24,"")&amp;IF(AND(Projects!$G$25="Yes",Projects!$C$25=CN$3),", "&amp;Projects!$A$25,"")&amp;IF(AND(Projects!$G$26="Yes",Projects!$C$26=CN$3),", "&amp;Projects!$A$26,"")&amp;IF(AND(Projects!$G$27="Yes",Projects!$C$27=CN$3),", "&amp;Projects!$A$27,"")&amp;IF(AND(Projects!$G$28="Yes",Projects!$C$28=CN$3),", "&amp;Projects!$A$28,"")&amp;IF(AND(Projects!$G$29="Yes",Projects!$C$29=CN$3),", "&amp;Projects!$A$29,"")&amp;IF(AND(Projects!$G$30="Yes",Projects!$C$30=CN$3),", "&amp;Projects!$A$30,"")&amp;IF(AND(Projects!$G$31="Yes",Projects!$C$31=CN$3),", "&amp;Projects!$A$31,"")&amp;IF(AND(Projects!$G$32="Yes",Projects!$C$32=CN$3),", "&amp;Projects!$A$32,"")&amp;IF(AND(Projects!$G$33="Yes",Projects!$C$33=CN$3),", "&amp;Projects!$A$33,"")&amp;IF(AND(Projects!$G$34="Yes",Projects!$C$34=CN$3),", "&amp;Projects!$A$34,"")&amp;IF(AND(Projects!$G$35="Yes",Projects!$C$35=CN$3),", "&amp;Projects!$A$35,"")&amp;IF(AND(Projects!$G$36="Yes",Projects!$C$36=CN$3),", "&amp;Projects!$A$36,"")&amp;IF(AND(Projects!$G$37="Yes",Projects!$C$37=CN$3),", "&amp;Projects!$A$37,"")&amp;IF(AND(Projects!$G$38="Yes",Projects!$C$38=CN$3),", "&amp;Projects!$A$38,"")&amp;IF(AND(Projects!$G$39="Yes",Projects!$C$39=CN$3),", "&amp;Projects!$A$39,"")&amp;IF(AND(Projects!$G$40="Yes",Projects!$C$40=CN$3),", "&amp;Projects!$A$40,"")&amp;IF(AND(Projects!$G$41="Yes",Projects!$C$41=CN$3),", "&amp;Projects!$A$41,"")&amp;IF(AND(Projects!$G$42="Yes",Projects!$C$42=CN$3),", "&amp;Projects!$A$42,"")&amp;IF(AND(Projects!$G$43="Yes",Projects!$C$43=CN$3),", "&amp;Projects!$A$43,"")&amp;IF(AND(Projects!$G$44="Yes",Projects!$C$44=CN$3),", "&amp;Projects!$A$44,"")&amp;IF(AND(Projects!$G$45="Yes",Projects!$C$45=CN$3),", "&amp;Projects!$A$45,"")&amp;IF(AND(Projects!$G$46="Yes",Projects!$C$46=CN$3),", "&amp;Projects!$A$46,""),3,10000)</f>
        <v/>
      </c>
      <c r="CO6" s="16" t="str">
        <f aca="false">MID(IF(AND(Projects!$G$2="Yes",Projects!$C$2=CO$3),", "&amp;Projects!$A$2,"")&amp;IF(AND(Projects!$G$3="Yes",Projects!$C$3=CO$3),", "&amp;Projects!$A$3,"")&amp;IF(AND(Projects!$G$4="Yes",Projects!$C$4=CO$3),", "&amp;Projects!$A$4,"")&amp;IF(AND(Projects!$G$5="Yes",Projects!$C$5=CO$3),", "&amp;Projects!$A$5,"")&amp;IF(AND(Projects!$G$6="Yes",Projects!$C$6=CO$3),", "&amp;Projects!$A$6,"")&amp;IF(AND(Projects!$G$7="Yes",Projects!$C$7=CO$3),", "&amp;Projects!$A$7,"")&amp;IF(AND(Projects!$G$8="Yes",Projects!$C$8=CO$3),", "&amp;Projects!$A$8,"")&amp;IF(AND(Projects!$G$9="Yes",Projects!$C$9=CO$3),", "&amp;Projects!$A$9,"")&amp;IF(AND(Projects!$G$10="Yes",Projects!$C$10=CO$3),", "&amp;Projects!$A$10,"")&amp;IF(AND(Projects!$G$11="Yes",Projects!$C$11=CO$3),", "&amp;Projects!$A$11,"")&amp;IF(AND(Projects!$G$12="Yes",Projects!$C$12=CO$3),", "&amp;Projects!$A$12,"")&amp;IF(AND(Projects!$G$13="Yes",Projects!$C$13=CO$3),", "&amp;Projects!$A$13,"")&amp;IF(AND(Projects!$G$14="Yes",Projects!$C$14=CO$3),", "&amp;Projects!$A$14,"")&amp;IF(AND(Projects!$G$15="Yes",Projects!$C$15=CO$3),", "&amp;Projects!$A$15,"")&amp;IF(AND(Projects!$G$16="Yes",Projects!$C$16=CO$3),", "&amp;Projects!$A$16,"")&amp;IF(AND(Projects!$G$17="Yes",Projects!$C$17=CO$3),", "&amp;Projects!$A$17,"")&amp;IF(AND(Projects!$G$18="Yes",Projects!$C$18=CO$3),", "&amp;Projects!$A$18,"")&amp;IF(AND(Projects!$G$19="Yes",Projects!$C$19=CO$3),", "&amp;Projects!$A$19,"")&amp;IF(AND(Projects!$G$20="Yes",Projects!$C$20=CO$3),", "&amp;Projects!$A$20,"")&amp;IF(AND(Projects!$G$21="Yes",Projects!$C$21=CO$3),", "&amp;Projects!$A$21,"")&amp;IF(AND(Projects!$G$22="Yes",Projects!$C$22=CO$3),", "&amp;Projects!$A$22,"")&amp;IF(AND(Projects!$G$23="Yes",Projects!$C$23=CO$3),", "&amp;Projects!$A$23,"")&amp;IF(AND(Projects!$G$24="Yes",Projects!$C$24=CO$3),", "&amp;Projects!$A$24,"")&amp;IF(AND(Projects!$G$25="Yes",Projects!$C$25=CO$3),", "&amp;Projects!$A$25,"")&amp;IF(AND(Projects!$G$26="Yes",Projects!$C$26=CO$3),", "&amp;Projects!$A$26,"")&amp;IF(AND(Projects!$G$27="Yes",Projects!$C$27=CO$3),", "&amp;Projects!$A$27,"")&amp;IF(AND(Projects!$G$28="Yes",Projects!$C$28=CO$3),", "&amp;Projects!$A$28,"")&amp;IF(AND(Projects!$G$29="Yes",Projects!$C$29=CO$3),", "&amp;Projects!$A$29,"")&amp;IF(AND(Projects!$G$30="Yes",Projects!$C$30=CO$3),", "&amp;Projects!$A$30,"")&amp;IF(AND(Projects!$G$31="Yes",Projects!$C$31=CO$3),", "&amp;Projects!$A$31,"")&amp;IF(AND(Projects!$G$32="Yes",Projects!$C$32=CO$3),", "&amp;Projects!$A$32,"")&amp;IF(AND(Projects!$G$33="Yes",Projects!$C$33=CO$3),", "&amp;Projects!$A$33,"")&amp;IF(AND(Projects!$G$34="Yes",Projects!$C$34=CO$3),", "&amp;Projects!$A$34,"")&amp;IF(AND(Projects!$G$35="Yes",Projects!$C$35=CO$3),", "&amp;Projects!$A$35,"")&amp;IF(AND(Projects!$G$36="Yes",Projects!$C$36=CO$3),", "&amp;Projects!$A$36,"")&amp;IF(AND(Projects!$G$37="Yes",Projects!$C$37=CO$3),", "&amp;Projects!$A$37,"")&amp;IF(AND(Projects!$G$38="Yes",Projects!$C$38=CO$3),", "&amp;Projects!$A$38,"")&amp;IF(AND(Projects!$G$39="Yes",Projects!$C$39=CO$3),", "&amp;Projects!$A$39,"")&amp;IF(AND(Projects!$G$40="Yes",Projects!$C$40=CO$3),", "&amp;Projects!$A$40,"")&amp;IF(AND(Projects!$G$41="Yes",Projects!$C$41=CO$3),", "&amp;Projects!$A$41,"")&amp;IF(AND(Projects!$G$42="Yes",Projects!$C$42=CO$3),", "&amp;Projects!$A$42,"")&amp;IF(AND(Projects!$G$43="Yes",Projects!$C$43=CO$3),", "&amp;Projects!$A$43,"")&amp;IF(AND(Projects!$G$44="Yes",Projects!$C$44=CO$3),", "&amp;Projects!$A$44,"")&amp;IF(AND(Projects!$G$45="Yes",Projects!$C$45=CO$3),", "&amp;Projects!$A$45,"")&amp;IF(AND(Projects!$G$46="Yes",Projects!$C$46=CO$3),", "&amp;Projects!$A$46,""),3,10000)</f>
        <v/>
      </c>
      <c r="CP6" s="16" t="str">
        <f aca="false">MID(IF(AND(Projects!$G$2="Yes",Projects!$C$2=CP$3),", "&amp;Projects!$A$2,"")&amp;IF(AND(Projects!$G$3="Yes",Projects!$C$3=CP$3),", "&amp;Projects!$A$3,"")&amp;IF(AND(Projects!$G$4="Yes",Projects!$C$4=CP$3),", "&amp;Projects!$A$4,"")&amp;IF(AND(Projects!$G$5="Yes",Projects!$C$5=CP$3),", "&amp;Projects!$A$5,"")&amp;IF(AND(Projects!$G$6="Yes",Projects!$C$6=CP$3),", "&amp;Projects!$A$6,"")&amp;IF(AND(Projects!$G$7="Yes",Projects!$C$7=CP$3),", "&amp;Projects!$A$7,"")&amp;IF(AND(Projects!$G$8="Yes",Projects!$C$8=CP$3),", "&amp;Projects!$A$8,"")&amp;IF(AND(Projects!$G$9="Yes",Projects!$C$9=CP$3),", "&amp;Projects!$A$9,"")&amp;IF(AND(Projects!$G$10="Yes",Projects!$C$10=CP$3),", "&amp;Projects!$A$10,"")&amp;IF(AND(Projects!$G$11="Yes",Projects!$C$11=CP$3),", "&amp;Projects!$A$11,"")&amp;IF(AND(Projects!$G$12="Yes",Projects!$C$12=CP$3),", "&amp;Projects!$A$12,"")&amp;IF(AND(Projects!$G$13="Yes",Projects!$C$13=CP$3),", "&amp;Projects!$A$13,"")&amp;IF(AND(Projects!$G$14="Yes",Projects!$C$14=CP$3),", "&amp;Projects!$A$14,"")&amp;IF(AND(Projects!$G$15="Yes",Projects!$C$15=CP$3),", "&amp;Projects!$A$15,"")&amp;IF(AND(Projects!$G$16="Yes",Projects!$C$16=CP$3),", "&amp;Projects!$A$16,"")&amp;IF(AND(Projects!$G$17="Yes",Projects!$C$17=CP$3),", "&amp;Projects!$A$17,"")&amp;IF(AND(Projects!$G$18="Yes",Projects!$C$18=CP$3),", "&amp;Projects!$A$18,"")&amp;IF(AND(Projects!$G$19="Yes",Projects!$C$19=CP$3),", "&amp;Projects!$A$19,"")&amp;IF(AND(Projects!$G$20="Yes",Projects!$C$20=CP$3),", "&amp;Projects!$A$20,"")&amp;IF(AND(Projects!$G$21="Yes",Projects!$C$21=CP$3),", "&amp;Projects!$A$21,"")&amp;IF(AND(Projects!$G$22="Yes",Projects!$C$22=CP$3),", "&amp;Projects!$A$22,"")&amp;IF(AND(Projects!$G$23="Yes",Projects!$C$23=CP$3),", "&amp;Projects!$A$23,"")&amp;IF(AND(Projects!$G$24="Yes",Projects!$C$24=CP$3),", "&amp;Projects!$A$24,"")&amp;IF(AND(Projects!$G$25="Yes",Projects!$C$25=CP$3),", "&amp;Projects!$A$25,"")&amp;IF(AND(Projects!$G$26="Yes",Projects!$C$26=CP$3),", "&amp;Projects!$A$26,"")&amp;IF(AND(Projects!$G$27="Yes",Projects!$C$27=CP$3),", "&amp;Projects!$A$27,"")&amp;IF(AND(Projects!$G$28="Yes",Projects!$C$28=CP$3),", "&amp;Projects!$A$28,"")&amp;IF(AND(Projects!$G$29="Yes",Projects!$C$29=CP$3),", "&amp;Projects!$A$29,"")&amp;IF(AND(Projects!$G$30="Yes",Projects!$C$30=CP$3),", "&amp;Projects!$A$30,"")&amp;IF(AND(Projects!$G$31="Yes",Projects!$C$31=CP$3),", "&amp;Projects!$A$31,"")&amp;IF(AND(Projects!$G$32="Yes",Projects!$C$32=CP$3),", "&amp;Projects!$A$32,"")&amp;IF(AND(Projects!$G$33="Yes",Projects!$C$33=CP$3),", "&amp;Projects!$A$33,"")&amp;IF(AND(Projects!$G$34="Yes",Projects!$C$34=CP$3),", "&amp;Projects!$A$34,"")&amp;IF(AND(Projects!$G$35="Yes",Projects!$C$35=CP$3),", "&amp;Projects!$A$35,"")&amp;IF(AND(Projects!$G$36="Yes",Projects!$C$36=CP$3),", "&amp;Projects!$A$36,"")&amp;IF(AND(Projects!$G$37="Yes",Projects!$C$37=CP$3),", "&amp;Projects!$A$37,"")&amp;IF(AND(Projects!$G$38="Yes",Projects!$C$38=CP$3),", "&amp;Projects!$A$38,"")&amp;IF(AND(Projects!$G$39="Yes",Projects!$C$39=CP$3),", "&amp;Projects!$A$39,"")&amp;IF(AND(Projects!$G$40="Yes",Projects!$C$40=CP$3),", "&amp;Projects!$A$40,"")&amp;IF(AND(Projects!$G$41="Yes",Projects!$C$41=CP$3),", "&amp;Projects!$A$41,"")&amp;IF(AND(Projects!$G$42="Yes",Projects!$C$42=CP$3),", "&amp;Projects!$A$42,"")&amp;IF(AND(Projects!$G$43="Yes",Projects!$C$43=CP$3),", "&amp;Projects!$A$43,"")&amp;IF(AND(Projects!$G$44="Yes",Projects!$C$44=CP$3),", "&amp;Projects!$A$44,"")&amp;IF(AND(Projects!$G$45="Yes",Projects!$C$45=CP$3),", "&amp;Projects!$A$45,"")&amp;IF(AND(Projects!$G$46="Yes",Projects!$C$46=CP$3),", "&amp;Projects!$A$46,""),3,10000)</f>
        <v/>
      </c>
      <c r="CQ6" s="16" t="str">
        <f aca="false">MID(IF(AND(Projects!$G$2="Yes",Projects!$C$2=CQ$3),", "&amp;Projects!$A$2,"")&amp;IF(AND(Projects!$G$3="Yes",Projects!$C$3=CQ$3),", "&amp;Projects!$A$3,"")&amp;IF(AND(Projects!$G$4="Yes",Projects!$C$4=CQ$3),", "&amp;Projects!$A$4,"")&amp;IF(AND(Projects!$G$5="Yes",Projects!$C$5=CQ$3),", "&amp;Projects!$A$5,"")&amp;IF(AND(Projects!$G$6="Yes",Projects!$C$6=CQ$3),", "&amp;Projects!$A$6,"")&amp;IF(AND(Projects!$G$7="Yes",Projects!$C$7=CQ$3),", "&amp;Projects!$A$7,"")&amp;IF(AND(Projects!$G$8="Yes",Projects!$C$8=CQ$3),", "&amp;Projects!$A$8,"")&amp;IF(AND(Projects!$G$9="Yes",Projects!$C$9=CQ$3),", "&amp;Projects!$A$9,"")&amp;IF(AND(Projects!$G$10="Yes",Projects!$C$10=CQ$3),", "&amp;Projects!$A$10,"")&amp;IF(AND(Projects!$G$11="Yes",Projects!$C$11=CQ$3),", "&amp;Projects!$A$11,"")&amp;IF(AND(Projects!$G$12="Yes",Projects!$C$12=CQ$3),", "&amp;Projects!$A$12,"")&amp;IF(AND(Projects!$G$13="Yes",Projects!$C$13=CQ$3),", "&amp;Projects!$A$13,"")&amp;IF(AND(Projects!$G$14="Yes",Projects!$C$14=CQ$3),", "&amp;Projects!$A$14,"")&amp;IF(AND(Projects!$G$15="Yes",Projects!$C$15=CQ$3),", "&amp;Projects!$A$15,"")&amp;IF(AND(Projects!$G$16="Yes",Projects!$C$16=CQ$3),", "&amp;Projects!$A$16,"")&amp;IF(AND(Projects!$G$17="Yes",Projects!$C$17=CQ$3),", "&amp;Projects!$A$17,"")&amp;IF(AND(Projects!$G$18="Yes",Projects!$C$18=CQ$3),", "&amp;Projects!$A$18,"")&amp;IF(AND(Projects!$G$19="Yes",Projects!$C$19=CQ$3),", "&amp;Projects!$A$19,"")&amp;IF(AND(Projects!$G$20="Yes",Projects!$C$20=CQ$3),", "&amp;Projects!$A$20,"")&amp;IF(AND(Projects!$G$21="Yes",Projects!$C$21=CQ$3),", "&amp;Projects!$A$21,"")&amp;IF(AND(Projects!$G$22="Yes",Projects!$C$22=CQ$3),", "&amp;Projects!$A$22,"")&amp;IF(AND(Projects!$G$23="Yes",Projects!$C$23=CQ$3),", "&amp;Projects!$A$23,"")&amp;IF(AND(Projects!$G$24="Yes",Projects!$C$24=CQ$3),", "&amp;Projects!$A$24,"")&amp;IF(AND(Projects!$G$25="Yes",Projects!$C$25=CQ$3),", "&amp;Projects!$A$25,"")&amp;IF(AND(Projects!$G$26="Yes",Projects!$C$26=CQ$3),", "&amp;Projects!$A$26,"")&amp;IF(AND(Projects!$G$27="Yes",Projects!$C$27=CQ$3),", "&amp;Projects!$A$27,"")&amp;IF(AND(Projects!$G$28="Yes",Projects!$C$28=CQ$3),", "&amp;Projects!$A$28,"")&amp;IF(AND(Projects!$G$29="Yes",Projects!$C$29=CQ$3),", "&amp;Projects!$A$29,"")&amp;IF(AND(Projects!$G$30="Yes",Projects!$C$30=CQ$3),", "&amp;Projects!$A$30,"")&amp;IF(AND(Projects!$G$31="Yes",Projects!$C$31=CQ$3),", "&amp;Projects!$A$31,"")&amp;IF(AND(Projects!$G$32="Yes",Projects!$C$32=CQ$3),", "&amp;Projects!$A$32,"")&amp;IF(AND(Projects!$G$33="Yes",Projects!$C$33=CQ$3),", "&amp;Projects!$A$33,"")&amp;IF(AND(Projects!$G$34="Yes",Projects!$C$34=CQ$3),", "&amp;Projects!$A$34,"")&amp;IF(AND(Projects!$G$35="Yes",Projects!$C$35=CQ$3),", "&amp;Projects!$A$35,"")&amp;IF(AND(Projects!$G$36="Yes",Projects!$C$36=CQ$3),", "&amp;Projects!$A$36,"")&amp;IF(AND(Projects!$G$37="Yes",Projects!$C$37=CQ$3),", "&amp;Projects!$A$37,"")&amp;IF(AND(Projects!$G$38="Yes",Projects!$C$38=CQ$3),", "&amp;Projects!$A$38,"")&amp;IF(AND(Projects!$G$39="Yes",Projects!$C$39=CQ$3),", "&amp;Projects!$A$39,"")&amp;IF(AND(Projects!$G$40="Yes",Projects!$C$40=CQ$3),", "&amp;Projects!$A$40,"")&amp;IF(AND(Projects!$G$41="Yes",Projects!$C$41=CQ$3),", "&amp;Projects!$A$41,"")&amp;IF(AND(Projects!$G$42="Yes",Projects!$C$42=CQ$3),", "&amp;Projects!$A$42,"")&amp;IF(AND(Projects!$G$43="Yes",Projects!$C$43=CQ$3),", "&amp;Projects!$A$43,"")&amp;IF(AND(Projects!$G$44="Yes",Projects!$C$44=CQ$3),", "&amp;Projects!$A$44,"")&amp;IF(AND(Projects!$G$45="Yes",Projects!$C$45=CQ$3),", "&amp;Projects!$A$45,"")&amp;IF(AND(Projects!$G$46="Yes",Projects!$C$46=CQ$3),", "&amp;Projects!$A$46,""),3,10000)</f>
        <v/>
      </c>
      <c r="CR6" s="16" t="str">
        <f aca="false">MID(IF(AND(Projects!$G$2="Yes",Projects!$C$2=CR$3),", "&amp;Projects!$A$2,"")&amp;IF(AND(Projects!$G$3="Yes",Projects!$C$3=CR$3),", "&amp;Projects!$A$3,"")&amp;IF(AND(Projects!$G$4="Yes",Projects!$C$4=CR$3),", "&amp;Projects!$A$4,"")&amp;IF(AND(Projects!$G$5="Yes",Projects!$C$5=CR$3),", "&amp;Projects!$A$5,"")&amp;IF(AND(Projects!$G$6="Yes",Projects!$C$6=CR$3),", "&amp;Projects!$A$6,"")&amp;IF(AND(Projects!$G$7="Yes",Projects!$C$7=CR$3),", "&amp;Projects!$A$7,"")&amp;IF(AND(Projects!$G$8="Yes",Projects!$C$8=CR$3),", "&amp;Projects!$A$8,"")&amp;IF(AND(Projects!$G$9="Yes",Projects!$C$9=CR$3),", "&amp;Projects!$A$9,"")&amp;IF(AND(Projects!$G$10="Yes",Projects!$C$10=CR$3),", "&amp;Projects!$A$10,"")&amp;IF(AND(Projects!$G$11="Yes",Projects!$C$11=CR$3),", "&amp;Projects!$A$11,"")&amp;IF(AND(Projects!$G$12="Yes",Projects!$C$12=CR$3),", "&amp;Projects!$A$12,"")&amp;IF(AND(Projects!$G$13="Yes",Projects!$C$13=CR$3),", "&amp;Projects!$A$13,"")&amp;IF(AND(Projects!$G$14="Yes",Projects!$C$14=CR$3),", "&amp;Projects!$A$14,"")&amp;IF(AND(Projects!$G$15="Yes",Projects!$C$15=CR$3),", "&amp;Projects!$A$15,"")&amp;IF(AND(Projects!$G$16="Yes",Projects!$C$16=CR$3),", "&amp;Projects!$A$16,"")&amp;IF(AND(Projects!$G$17="Yes",Projects!$C$17=CR$3),", "&amp;Projects!$A$17,"")&amp;IF(AND(Projects!$G$18="Yes",Projects!$C$18=CR$3),", "&amp;Projects!$A$18,"")&amp;IF(AND(Projects!$G$19="Yes",Projects!$C$19=CR$3),", "&amp;Projects!$A$19,"")&amp;IF(AND(Projects!$G$20="Yes",Projects!$C$20=CR$3),", "&amp;Projects!$A$20,"")&amp;IF(AND(Projects!$G$21="Yes",Projects!$C$21=CR$3),", "&amp;Projects!$A$21,"")&amp;IF(AND(Projects!$G$22="Yes",Projects!$C$22=CR$3),", "&amp;Projects!$A$22,"")&amp;IF(AND(Projects!$G$23="Yes",Projects!$C$23=CR$3),", "&amp;Projects!$A$23,"")&amp;IF(AND(Projects!$G$24="Yes",Projects!$C$24=CR$3),", "&amp;Projects!$A$24,"")&amp;IF(AND(Projects!$G$25="Yes",Projects!$C$25=CR$3),", "&amp;Projects!$A$25,"")&amp;IF(AND(Projects!$G$26="Yes",Projects!$C$26=CR$3),", "&amp;Projects!$A$26,"")&amp;IF(AND(Projects!$G$27="Yes",Projects!$C$27=CR$3),", "&amp;Projects!$A$27,"")&amp;IF(AND(Projects!$G$28="Yes",Projects!$C$28=CR$3),", "&amp;Projects!$A$28,"")&amp;IF(AND(Projects!$G$29="Yes",Projects!$C$29=CR$3),", "&amp;Projects!$A$29,"")&amp;IF(AND(Projects!$G$30="Yes",Projects!$C$30=CR$3),", "&amp;Projects!$A$30,"")&amp;IF(AND(Projects!$G$31="Yes",Projects!$C$31=CR$3),", "&amp;Projects!$A$31,"")&amp;IF(AND(Projects!$G$32="Yes",Projects!$C$32=CR$3),", "&amp;Projects!$A$32,"")&amp;IF(AND(Projects!$G$33="Yes",Projects!$C$33=CR$3),", "&amp;Projects!$A$33,"")&amp;IF(AND(Projects!$G$34="Yes",Projects!$C$34=CR$3),", "&amp;Projects!$A$34,"")&amp;IF(AND(Projects!$G$35="Yes",Projects!$C$35=CR$3),", "&amp;Projects!$A$35,"")&amp;IF(AND(Projects!$G$36="Yes",Projects!$C$36=CR$3),", "&amp;Projects!$A$36,"")&amp;IF(AND(Projects!$G$37="Yes",Projects!$C$37=CR$3),", "&amp;Projects!$A$37,"")&amp;IF(AND(Projects!$G$38="Yes",Projects!$C$38=CR$3),", "&amp;Projects!$A$38,"")&amp;IF(AND(Projects!$G$39="Yes",Projects!$C$39=CR$3),", "&amp;Projects!$A$39,"")&amp;IF(AND(Projects!$G$40="Yes",Projects!$C$40=CR$3),", "&amp;Projects!$A$40,"")&amp;IF(AND(Projects!$G$41="Yes",Projects!$C$41=CR$3),", "&amp;Projects!$A$41,"")&amp;IF(AND(Projects!$G$42="Yes",Projects!$C$42=CR$3),", "&amp;Projects!$A$42,"")&amp;IF(AND(Projects!$G$43="Yes",Projects!$C$43=CR$3),", "&amp;Projects!$A$43,"")&amp;IF(AND(Projects!$G$44="Yes",Projects!$C$44=CR$3),", "&amp;Projects!$A$44,"")&amp;IF(AND(Projects!$G$45="Yes",Projects!$C$45=CR$3),", "&amp;Projects!$A$45,"")&amp;IF(AND(Projects!$G$46="Yes",Projects!$C$46=CR$3),", "&amp;Projects!$A$46,""),3,10000)</f>
        <v/>
      </c>
      <c r="CS6" s="16" t="str">
        <f aca="false">MID(IF(AND(Projects!$G$2="Yes",Projects!$C$2=CS$3),", "&amp;Projects!$A$2,"")&amp;IF(AND(Projects!$G$3="Yes",Projects!$C$3=CS$3),", "&amp;Projects!$A$3,"")&amp;IF(AND(Projects!$G$4="Yes",Projects!$C$4=CS$3),", "&amp;Projects!$A$4,"")&amp;IF(AND(Projects!$G$5="Yes",Projects!$C$5=CS$3),", "&amp;Projects!$A$5,"")&amp;IF(AND(Projects!$G$6="Yes",Projects!$C$6=CS$3),", "&amp;Projects!$A$6,"")&amp;IF(AND(Projects!$G$7="Yes",Projects!$C$7=CS$3),", "&amp;Projects!$A$7,"")&amp;IF(AND(Projects!$G$8="Yes",Projects!$C$8=CS$3),", "&amp;Projects!$A$8,"")&amp;IF(AND(Projects!$G$9="Yes",Projects!$C$9=CS$3),", "&amp;Projects!$A$9,"")&amp;IF(AND(Projects!$G$10="Yes",Projects!$C$10=CS$3),", "&amp;Projects!$A$10,"")&amp;IF(AND(Projects!$G$11="Yes",Projects!$C$11=CS$3),", "&amp;Projects!$A$11,"")&amp;IF(AND(Projects!$G$12="Yes",Projects!$C$12=CS$3),", "&amp;Projects!$A$12,"")&amp;IF(AND(Projects!$G$13="Yes",Projects!$C$13=CS$3),", "&amp;Projects!$A$13,"")&amp;IF(AND(Projects!$G$14="Yes",Projects!$C$14=CS$3),", "&amp;Projects!$A$14,"")&amp;IF(AND(Projects!$G$15="Yes",Projects!$C$15=CS$3),", "&amp;Projects!$A$15,"")&amp;IF(AND(Projects!$G$16="Yes",Projects!$C$16=CS$3),", "&amp;Projects!$A$16,"")&amp;IF(AND(Projects!$G$17="Yes",Projects!$C$17=CS$3),", "&amp;Projects!$A$17,"")&amp;IF(AND(Projects!$G$18="Yes",Projects!$C$18=CS$3),", "&amp;Projects!$A$18,"")&amp;IF(AND(Projects!$G$19="Yes",Projects!$C$19=CS$3),", "&amp;Projects!$A$19,"")&amp;IF(AND(Projects!$G$20="Yes",Projects!$C$20=CS$3),", "&amp;Projects!$A$20,"")&amp;IF(AND(Projects!$G$21="Yes",Projects!$C$21=CS$3),", "&amp;Projects!$A$21,"")&amp;IF(AND(Projects!$G$22="Yes",Projects!$C$22=CS$3),", "&amp;Projects!$A$22,"")&amp;IF(AND(Projects!$G$23="Yes",Projects!$C$23=CS$3),", "&amp;Projects!$A$23,"")&amp;IF(AND(Projects!$G$24="Yes",Projects!$C$24=CS$3),", "&amp;Projects!$A$24,"")&amp;IF(AND(Projects!$G$25="Yes",Projects!$C$25=CS$3),", "&amp;Projects!$A$25,"")&amp;IF(AND(Projects!$G$26="Yes",Projects!$C$26=CS$3),", "&amp;Projects!$A$26,"")&amp;IF(AND(Projects!$G$27="Yes",Projects!$C$27=CS$3),", "&amp;Projects!$A$27,"")&amp;IF(AND(Projects!$G$28="Yes",Projects!$C$28=CS$3),", "&amp;Projects!$A$28,"")&amp;IF(AND(Projects!$G$29="Yes",Projects!$C$29=CS$3),", "&amp;Projects!$A$29,"")&amp;IF(AND(Projects!$G$30="Yes",Projects!$C$30=CS$3),", "&amp;Projects!$A$30,"")&amp;IF(AND(Projects!$G$31="Yes",Projects!$C$31=CS$3),", "&amp;Projects!$A$31,"")&amp;IF(AND(Projects!$G$32="Yes",Projects!$C$32=CS$3),", "&amp;Projects!$A$32,"")&amp;IF(AND(Projects!$G$33="Yes",Projects!$C$33=CS$3),", "&amp;Projects!$A$33,"")&amp;IF(AND(Projects!$G$34="Yes",Projects!$C$34=CS$3),", "&amp;Projects!$A$34,"")&amp;IF(AND(Projects!$G$35="Yes",Projects!$C$35=CS$3),", "&amp;Projects!$A$35,"")&amp;IF(AND(Projects!$G$36="Yes",Projects!$C$36=CS$3),", "&amp;Projects!$A$36,"")&amp;IF(AND(Projects!$G$37="Yes",Projects!$C$37=CS$3),", "&amp;Projects!$A$37,"")&amp;IF(AND(Projects!$G$38="Yes",Projects!$C$38=CS$3),", "&amp;Projects!$A$38,"")&amp;IF(AND(Projects!$G$39="Yes",Projects!$C$39=CS$3),", "&amp;Projects!$A$39,"")&amp;IF(AND(Projects!$G$40="Yes",Projects!$C$40=CS$3),", "&amp;Projects!$A$40,"")&amp;IF(AND(Projects!$G$41="Yes",Projects!$C$41=CS$3),", "&amp;Projects!$A$41,"")&amp;IF(AND(Projects!$G$42="Yes",Projects!$C$42=CS$3),", "&amp;Projects!$A$42,"")&amp;IF(AND(Projects!$G$43="Yes",Projects!$C$43=CS$3),", "&amp;Projects!$A$43,"")&amp;IF(AND(Projects!$G$44="Yes",Projects!$C$44=CS$3),", "&amp;Projects!$A$44,"")&amp;IF(AND(Projects!$G$45="Yes",Projects!$C$45=CS$3),", "&amp;Projects!$A$45,"")&amp;IF(AND(Projects!$G$46="Yes",Projects!$C$46=CS$3),", "&amp;Projects!$A$46,""),3,10000)</f>
        <v/>
      </c>
      <c r="CT6" s="16" t="str">
        <f aca="false">MID(IF(AND(Projects!$G$2="Yes",Projects!$C$2=CT$3),", "&amp;Projects!$A$2,"")&amp;IF(AND(Projects!$G$3="Yes",Projects!$C$3=CT$3),", "&amp;Projects!$A$3,"")&amp;IF(AND(Projects!$G$4="Yes",Projects!$C$4=CT$3),", "&amp;Projects!$A$4,"")&amp;IF(AND(Projects!$G$5="Yes",Projects!$C$5=CT$3),", "&amp;Projects!$A$5,"")&amp;IF(AND(Projects!$G$6="Yes",Projects!$C$6=CT$3),", "&amp;Projects!$A$6,"")&amp;IF(AND(Projects!$G$7="Yes",Projects!$C$7=CT$3),", "&amp;Projects!$A$7,"")&amp;IF(AND(Projects!$G$8="Yes",Projects!$C$8=CT$3),", "&amp;Projects!$A$8,"")&amp;IF(AND(Projects!$G$9="Yes",Projects!$C$9=CT$3),", "&amp;Projects!$A$9,"")&amp;IF(AND(Projects!$G$10="Yes",Projects!$C$10=CT$3),", "&amp;Projects!$A$10,"")&amp;IF(AND(Projects!$G$11="Yes",Projects!$C$11=CT$3),", "&amp;Projects!$A$11,"")&amp;IF(AND(Projects!$G$12="Yes",Projects!$C$12=CT$3),", "&amp;Projects!$A$12,"")&amp;IF(AND(Projects!$G$13="Yes",Projects!$C$13=CT$3),", "&amp;Projects!$A$13,"")&amp;IF(AND(Projects!$G$14="Yes",Projects!$C$14=CT$3),", "&amp;Projects!$A$14,"")&amp;IF(AND(Projects!$G$15="Yes",Projects!$C$15=CT$3),", "&amp;Projects!$A$15,"")&amp;IF(AND(Projects!$G$16="Yes",Projects!$C$16=CT$3),", "&amp;Projects!$A$16,"")&amp;IF(AND(Projects!$G$17="Yes",Projects!$C$17=CT$3),", "&amp;Projects!$A$17,"")&amp;IF(AND(Projects!$G$18="Yes",Projects!$C$18=CT$3),", "&amp;Projects!$A$18,"")&amp;IF(AND(Projects!$G$19="Yes",Projects!$C$19=CT$3),", "&amp;Projects!$A$19,"")&amp;IF(AND(Projects!$G$20="Yes",Projects!$C$20=CT$3),", "&amp;Projects!$A$20,"")&amp;IF(AND(Projects!$G$21="Yes",Projects!$C$21=CT$3),", "&amp;Projects!$A$21,"")&amp;IF(AND(Projects!$G$22="Yes",Projects!$C$22=CT$3),", "&amp;Projects!$A$22,"")&amp;IF(AND(Projects!$G$23="Yes",Projects!$C$23=CT$3),", "&amp;Projects!$A$23,"")&amp;IF(AND(Projects!$G$24="Yes",Projects!$C$24=CT$3),", "&amp;Projects!$A$24,"")&amp;IF(AND(Projects!$G$25="Yes",Projects!$C$25=CT$3),", "&amp;Projects!$A$25,"")&amp;IF(AND(Projects!$G$26="Yes",Projects!$C$26=CT$3),", "&amp;Projects!$A$26,"")&amp;IF(AND(Projects!$G$27="Yes",Projects!$C$27=CT$3),", "&amp;Projects!$A$27,"")&amp;IF(AND(Projects!$G$28="Yes",Projects!$C$28=CT$3),", "&amp;Projects!$A$28,"")&amp;IF(AND(Projects!$G$29="Yes",Projects!$C$29=CT$3),", "&amp;Projects!$A$29,"")&amp;IF(AND(Projects!$G$30="Yes",Projects!$C$30=CT$3),", "&amp;Projects!$A$30,"")&amp;IF(AND(Projects!$G$31="Yes",Projects!$C$31=CT$3),", "&amp;Projects!$A$31,"")&amp;IF(AND(Projects!$G$32="Yes",Projects!$C$32=CT$3),", "&amp;Projects!$A$32,"")&amp;IF(AND(Projects!$G$33="Yes",Projects!$C$33=CT$3),", "&amp;Projects!$A$33,"")&amp;IF(AND(Projects!$G$34="Yes",Projects!$C$34=CT$3),", "&amp;Projects!$A$34,"")&amp;IF(AND(Projects!$G$35="Yes",Projects!$C$35=CT$3),", "&amp;Projects!$A$35,"")&amp;IF(AND(Projects!$G$36="Yes",Projects!$C$36=CT$3),", "&amp;Projects!$A$36,"")&amp;IF(AND(Projects!$G$37="Yes",Projects!$C$37=CT$3),", "&amp;Projects!$A$37,"")&amp;IF(AND(Projects!$G$38="Yes",Projects!$C$38=CT$3),", "&amp;Projects!$A$38,"")&amp;IF(AND(Projects!$G$39="Yes",Projects!$C$39=CT$3),", "&amp;Projects!$A$39,"")&amp;IF(AND(Projects!$G$40="Yes",Projects!$C$40=CT$3),", "&amp;Projects!$A$40,"")&amp;IF(AND(Projects!$G$41="Yes",Projects!$C$41=CT$3),", "&amp;Projects!$A$41,"")&amp;IF(AND(Projects!$G$42="Yes",Projects!$C$42=CT$3),", "&amp;Projects!$A$42,"")&amp;IF(AND(Projects!$G$43="Yes",Projects!$C$43=CT$3),", "&amp;Projects!$A$43,"")&amp;IF(AND(Projects!$G$44="Yes",Projects!$C$44=CT$3),", "&amp;Projects!$A$44,"")&amp;IF(AND(Projects!$G$45="Yes",Projects!$C$45=CT$3),", "&amp;Projects!$A$45,"")&amp;IF(AND(Projects!$G$46="Yes",Projects!$C$46=CT$3),", "&amp;Projects!$A$46,""),3,10000)</f>
        <v/>
      </c>
      <c r="CU6" s="16" t="str">
        <f aca="false">MID(IF(AND(Projects!$G$2="Yes",Projects!$C$2=CU$3),", "&amp;Projects!$A$2,"")&amp;IF(AND(Projects!$G$3="Yes",Projects!$C$3=CU$3),", "&amp;Projects!$A$3,"")&amp;IF(AND(Projects!$G$4="Yes",Projects!$C$4=CU$3),", "&amp;Projects!$A$4,"")&amp;IF(AND(Projects!$G$5="Yes",Projects!$C$5=CU$3),", "&amp;Projects!$A$5,"")&amp;IF(AND(Projects!$G$6="Yes",Projects!$C$6=CU$3),", "&amp;Projects!$A$6,"")&amp;IF(AND(Projects!$G$7="Yes",Projects!$C$7=CU$3),", "&amp;Projects!$A$7,"")&amp;IF(AND(Projects!$G$8="Yes",Projects!$C$8=CU$3),", "&amp;Projects!$A$8,"")&amp;IF(AND(Projects!$G$9="Yes",Projects!$C$9=CU$3),", "&amp;Projects!$A$9,"")&amp;IF(AND(Projects!$G$10="Yes",Projects!$C$10=CU$3),", "&amp;Projects!$A$10,"")&amp;IF(AND(Projects!$G$11="Yes",Projects!$C$11=CU$3),", "&amp;Projects!$A$11,"")&amp;IF(AND(Projects!$G$12="Yes",Projects!$C$12=CU$3),", "&amp;Projects!$A$12,"")&amp;IF(AND(Projects!$G$13="Yes",Projects!$C$13=CU$3),", "&amp;Projects!$A$13,"")&amp;IF(AND(Projects!$G$14="Yes",Projects!$C$14=CU$3),", "&amp;Projects!$A$14,"")&amp;IF(AND(Projects!$G$15="Yes",Projects!$C$15=CU$3),", "&amp;Projects!$A$15,"")&amp;IF(AND(Projects!$G$16="Yes",Projects!$C$16=CU$3),", "&amp;Projects!$A$16,"")&amp;IF(AND(Projects!$G$17="Yes",Projects!$C$17=CU$3),", "&amp;Projects!$A$17,"")&amp;IF(AND(Projects!$G$18="Yes",Projects!$C$18=CU$3),", "&amp;Projects!$A$18,"")&amp;IF(AND(Projects!$G$19="Yes",Projects!$C$19=CU$3),", "&amp;Projects!$A$19,"")&amp;IF(AND(Projects!$G$20="Yes",Projects!$C$20=CU$3),", "&amp;Projects!$A$20,"")&amp;IF(AND(Projects!$G$21="Yes",Projects!$C$21=CU$3),", "&amp;Projects!$A$21,"")&amp;IF(AND(Projects!$G$22="Yes",Projects!$C$22=CU$3),", "&amp;Projects!$A$22,"")&amp;IF(AND(Projects!$G$23="Yes",Projects!$C$23=CU$3),", "&amp;Projects!$A$23,"")&amp;IF(AND(Projects!$G$24="Yes",Projects!$C$24=CU$3),", "&amp;Projects!$A$24,"")&amp;IF(AND(Projects!$G$25="Yes",Projects!$C$25=CU$3),", "&amp;Projects!$A$25,"")&amp;IF(AND(Projects!$G$26="Yes",Projects!$C$26=CU$3),", "&amp;Projects!$A$26,"")&amp;IF(AND(Projects!$G$27="Yes",Projects!$C$27=CU$3),", "&amp;Projects!$A$27,"")&amp;IF(AND(Projects!$G$28="Yes",Projects!$C$28=CU$3),", "&amp;Projects!$A$28,"")&amp;IF(AND(Projects!$G$29="Yes",Projects!$C$29=CU$3),", "&amp;Projects!$A$29,"")&amp;IF(AND(Projects!$G$30="Yes",Projects!$C$30=CU$3),", "&amp;Projects!$A$30,"")&amp;IF(AND(Projects!$G$31="Yes",Projects!$C$31=CU$3),", "&amp;Projects!$A$31,"")&amp;IF(AND(Projects!$G$32="Yes",Projects!$C$32=CU$3),", "&amp;Projects!$A$32,"")&amp;IF(AND(Projects!$G$33="Yes",Projects!$C$33=CU$3),", "&amp;Projects!$A$33,"")&amp;IF(AND(Projects!$G$34="Yes",Projects!$C$34=CU$3),", "&amp;Projects!$A$34,"")&amp;IF(AND(Projects!$G$35="Yes",Projects!$C$35=CU$3),", "&amp;Projects!$A$35,"")&amp;IF(AND(Projects!$G$36="Yes",Projects!$C$36=CU$3),", "&amp;Projects!$A$36,"")&amp;IF(AND(Projects!$G$37="Yes",Projects!$C$37=CU$3),", "&amp;Projects!$A$37,"")&amp;IF(AND(Projects!$G$38="Yes",Projects!$C$38=CU$3),", "&amp;Projects!$A$38,"")&amp;IF(AND(Projects!$G$39="Yes",Projects!$C$39=CU$3),", "&amp;Projects!$A$39,"")&amp;IF(AND(Projects!$G$40="Yes",Projects!$C$40=CU$3),", "&amp;Projects!$A$40,"")&amp;IF(AND(Projects!$G$41="Yes",Projects!$C$41=CU$3),", "&amp;Projects!$A$41,"")&amp;IF(AND(Projects!$G$42="Yes",Projects!$C$42=CU$3),", "&amp;Projects!$A$42,"")&amp;IF(AND(Projects!$G$43="Yes",Projects!$C$43=CU$3),", "&amp;Projects!$A$43,"")&amp;IF(AND(Projects!$G$44="Yes",Projects!$C$44=CU$3),", "&amp;Projects!$A$44,"")&amp;IF(AND(Projects!$G$45="Yes",Projects!$C$45=CU$3),", "&amp;Projects!$A$45,"")&amp;IF(AND(Projects!$G$46="Yes",Projects!$C$46=CU$3),", "&amp;Projects!$A$46,""),3,10000)</f>
        <v/>
      </c>
      <c r="CV6" s="16" t="str">
        <f aca="false">MID(IF(AND(Projects!$G$2="Yes",Projects!$C$2=CV$3),", "&amp;Projects!$A$2,"")&amp;IF(AND(Projects!$G$3="Yes",Projects!$C$3=CV$3),", "&amp;Projects!$A$3,"")&amp;IF(AND(Projects!$G$4="Yes",Projects!$C$4=CV$3),", "&amp;Projects!$A$4,"")&amp;IF(AND(Projects!$G$5="Yes",Projects!$C$5=CV$3),", "&amp;Projects!$A$5,"")&amp;IF(AND(Projects!$G$6="Yes",Projects!$C$6=CV$3),", "&amp;Projects!$A$6,"")&amp;IF(AND(Projects!$G$7="Yes",Projects!$C$7=CV$3),", "&amp;Projects!$A$7,"")&amp;IF(AND(Projects!$G$8="Yes",Projects!$C$8=CV$3),", "&amp;Projects!$A$8,"")&amp;IF(AND(Projects!$G$9="Yes",Projects!$C$9=CV$3),", "&amp;Projects!$A$9,"")&amp;IF(AND(Projects!$G$10="Yes",Projects!$C$10=CV$3),", "&amp;Projects!$A$10,"")&amp;IF(AND(Projects!$G$11="Yes",Projects!$C$11=CV$3),", "&amp;Projects!$A$11,"")&amp;IF(AND(Projects!$G$12="Yes",Projects!$C$12=CV$3),", "&amp;Projects!$A$12,"")&amp;IF(AND(Projects!$G$13="Yes",Projects!$C$13=CV$3),", "&amp;Projects!$A$13,"")&amp;IF(AND(Projects!$G$14="Yes",Projects!$C$14=CV$3),", "&amp;Projects!$A$14,"")&amp;IF(AND(Projects!$G$15="Yes",Projects!$C$15=CV$3),", "&amp;Projects!$A$15,"")&amp;IF(AND(Projects!$G$16="Yes",Projects!$C$16=CV$3),", "&amp;Projects!$A$16,"")&amp;IF(AND(Projects!$G$17="Yes",Projects!$C$17=CV$3),", "&amp;Projects!$A$17,"")&amp;IF(AND(Projects!$G$18="Yes",Projects!$C$18=CV$3),", "&amp;Projects!$A$18,"")&amp;IF(AND(Projects!$G$19="Yes",Projects!$C$19=CV$3),", "&amp;Projects!$A$19,"")&amp;IF(AND(Projects!$G$20="Yes",Projects!$C$20=CV$3),", "&amp;Projects!$A$20,"")&amp;IF(AND(Projects!$G$21="Yes",Projects!$C$21=CV$3),", "&amp;Projects!$A$21,"")&amp;IF(AND(Projects!$G$22="Yes",Projects!$C$22=CV$3),", "&amp;Projects!$A$22,"")&amp;IF(AND(Projects!$G$23="Yes",Projects!$C$23=CV$3),", "&amp;Projects!$A$23,"")&amp;IF(AND(Projects!$G$24="Yes",Projects!$C$24=CV$3),", "&amp;Projects!$A$24,"")&amp;IF(AND(Projects!$G$25="Yes",Projects!$C$25=CV$3),", "&amp;Projects!$A$25,"")&amp;IF(AND(Projects!$G$26="Yes",Projects!$C$26=CV$3),", "&amp;Projects!$A$26,"")&amp;IF(AND(Projects!$G$27="Yes",Projects!$C$27=CV$3),", "&amp;Projects!$A$27,"")&amp;IF(AND(Projects!$G$28="Yes",Projects!$C$28=CV$3),", "&amp;Projects!$A$28,"")&amp;IF(AND(Projects!$G$29="Yes",Projects!$C$29=CV$3),", "&amp;Projects!$A$29,"")&amp;IF(AND(Projects!$G$30="Yes",Projects!$C$30=CV$3),", "&amp;Projects!$A$30,"")&amp;IF(AND(Projects!$G$31="Yes",Projects!$C$31=CV$3),", "&amp;Projects!$A$31,"")&amp;IF(AND(Projects!$G$32="Yes",Projects!$C$32=CV$3),", "&amp;Projects!$A$32,"")&amp;IF(AND(Projects!$G$33="Yes",Projects!$C$33=CV$3),", "&amp;Projects!$A$33,"")&amp;IF(AND(Projects!$G$34="Yes",Projects!$C$34=CV$3),", "&amp;Projects!$A$34,"")&amp;IF(AND(Projects!$G$35="Yes",Projects!$C$35=CV$3),", "&amp;Projects!$A$35,"")&amp;IF(AND(Projects!$G$36="Yes",Projects!$C$36=CV$3),", "&amp;Projects!$A$36,"")&amp;IF(AND(Projects!$G$37="Yes",Projects!$C$37=CV$3),", "&amp;Projects!$A$37,"")&amp;IF(AND(Projects!$G$38="Yes",Projects!$C$38=CV$3),", "&amp;Projects!$A$38,"")&amp;IF(AND(Projects!$G$39="Yes",Projects!$C$39=CV$3),", "&amp;Projects!$A$39,"")&amp;IF(AND(Projects!$G$40="Yes",Projects!$C$40=CV$3),", "&amp;Projects!$A$40,"")&amp;IF(AND(Projects!$G$41="Yes",Projects!$C$41=CV$3),", "&amp;Projects!$A$41,"")&amp;IF(AND(Projects!$G$42="Yes",Projects!$C$42=CV$3),", "&amp;Projects!$A$42,"")&amp;IF(AND(Projects!$G$43="Yes",Projects!$C$43=CV$3),", "&amp;Projects!$A$43,"")&amp;IF(AND(Projects!$G$44="Yes",Projects!$C$44=CV$3),", "&amp;Projects!$A$44,"")&amp;IF(AND(Projects!$G$45="Yes",Projects!$C$45=CV$3),", "&amp;Projects!$A$45,"")&amp;IF(AND(Projects!$G$46="Yes",Projects!$C$46=CV$3),", "&amp;Projects!$A$46,""),3,10000)</f>
        <v/>
      </c>
      <c r="CW6" s="16" t="str">
        <f aca="false">MID(IF(AND(Projects!$G$2="Yes",Projects!$C$2=CW$3),", "&amp;Projects!$A$2,"")&amp;IF(AND(Projects!$G$3="Yes",Projects!$C$3=CW$3),", "&amp;Projects!$A$3,"")&amp;IF(AND(Projects!$G$4="Yes",Projects!$C$4=CW$3),", "&amp;Projects!$A$4,"")&amp;IF(AND(Projects!$G$5="Yes",Projects!$C$5=CW$3),", "&amp;Projects!$A$5,"")&amp;IF(AND(Projects!$G$6="Yes",Projects!$C$6=CW$3),", "&amp;Projects!$A$6,"")&amp;IF(AND(Projects!$G$7="Yes",Projects!$C$7=CW$3),", "&amp;Projects!$A$7,"")&amp;IF(AND(Projects!$G$8="Yes",Projects!$C$8=CW$3),", "&amp;Projects!$A$8,"")&amp;IF(AND(Projects!$G$9="Yes",Projects!$C$9=CW$3),", "&amp;Projects!$A$9,"")&amp;IF(AND(Projects!$G$10="Yes",Projects!$C$10=CW$3),", "&amp;Projects!$A$10,"")&amp;IF(AND(Projects!$G$11="Yes",Projects!$C$11=CW$3),", "&amp;Projects!$A$11,"")&amp;IF(AND(Projects!$G$12="Yes",Projects!$C$12=CW$3),", "&amp;Projects!$A$12,"")&amp;IF(AND(Projects!$G$13="Yes",Projects!$C$13=CW$3),", "&amp;Projects!$A$13,"")&amp;IF(AND(Projects!$G$14="Yes",Projects!$C$14=CW$3),", "&amp;Projects!$A$14,"")&amp;IF(AND(Projects!$G$15="Yes",Projects!$C$15=CW$3),", "&amp;Projects!$A$15,"")&amp;IF(AND(Projects!$G$16="Yes",Projects!$C$16=CW$3),", "&amp;Projects!$A$16,"")&amp;IF(AND(Projects!$G$17="Yes",Projects!$C$17=CW$3),", "&amp;Projects!$A$17,"")&amp;IF(AND(Projects!$G$18="Yes",Projects!$C$18=CW$3),", "&amp;Projects!$A$18,"")&amp;IF(AND(Projects!$G$19="Yes",Projects!$C$19=CW$3),", "&amp;Projects!$A$19,"")&amp;IF(AND(Projects!$G$20="Yes",Projects!$C$20=CW$3),", "&amp;Projects!$A$20,"")&amp;IF(AND(Projects!$G$21="Yes",Projects!$C$21=CW$3),", "&amp;Projects!$A$21,"")&amp;IF(AND(Projects!$G$22="Yes",Projects!$C$22=CW$3),", "&amp;Projects!$A$22,"")&amp;IF(AND(Projects!$G$23="Yes",Projects!$C$23=CW$3),", "&amp;Projects!$A$23,"")&amp;IF(AND(Projects!$G$24="Yes",Projects!$C$24=CW$3),", "&amp;Projects!$A$24,"")&amp;IF(AND(Projects!$G$25="Yes",Projects!$C$25=CW$3),", "&amp;Projects!$A$25,"")&amp;IF(AND(Projects!$G$26="Yes",Projects!$C$26=CW$3),", "&amp;Projects!$A$26,"")&amp;IF(AND(Projects!$G$27="Yes",Projects!$C$27=CW$3),", "&amp;Projects!$A$27,"")&amp;IF(AND(Projects!$G$28="Yes",Projects!$C$28=CW$3),", "&amp;Projects!$A$28,"")&amp;IF(AND(Projects!$G$29="Yes",Projects!$C$29=CW$3),", "&amp;Projects!$A$29,"")&amp;IF(AND(Projects!$G$30="Yes",Projects!$C$30=CW$3),", "&amp;Projects!$A$30,"")&amp;IF(AND(Projects!$G$31="Yes",Projects!$C$31=CW$3),", "&amp;Projects!$A$31,"")&amp;IF(AND(Projects!$G$32="Yes",Projects!$C$32=CW$3),", "&amp;Projects!$A$32,"")&amp;IF(AND(Projects!$G$33="Yes",Projects!$C$33=CW$3),", "&amp;Projects!$A$33,"")&amp;IF(AND(Projects!$G$34="Yes",Projects!$C$34=CW$3),", "&amp;Projects!$A$34,"")&amp;IF(AND(Projects!$G$35="Yes",Projects!$C$35=CW$3),", "&amp;Projects!$A$35,"")&amp;IF(AND(Projects!$G$36="Yes",Projects!$C$36=CW$3),", "&amp;Projects!$A$36,"")&amp;IF(AND(Projects!$G$37="Yes",Projects!$C$37=CW$3),", "&amp;Projects!$A$37,"")&amp;IF(AND(Projects!$G$38="Yes",Projects!$C$38=CW$3),", "&amp;Projects!$A$38,"")&amp;IF(AND(Projects!$G$39="Yes",Projects!$C$39=CW$3),", "&amp;Projects!$A$39,"")&amp;IF(AND(Projects!$G$40="Yes",Projects!$C$40=CW$3),", "&amp;Projects!$A$40,"")&amp;IF(AND(Projects!$G$41="Yes",Projects!$C$41=CW$3),", "&amp;Projects!$A$41,"")&amp;IF(AND(Projects!$G$42="Yes",Projects!$C$42=CW$3),", "&amp;Projects!$A$42,"")&amp;IF(AND(Projects!$G$43="Yes",Projects!$C$43=CW$3),", "&amp;Projects!$A$43,"")&amp;IF(AND(Projects!$G$44="Yes",Projects!$C$44=CW$3),", "&amp;Projects!$A$44,"")&amp;IF(AND(Projects!$G$45="Yes",Projects!$C$45=CW$3),", "&amp;Projects!$A$45,"")&amp;IF(AND(Projects!$G$46="Yes",Projects!$C$46=CW$3),", "&amp;Projects!$A$46,""),3,10000)</f>
        <v/>
      </c>
      <c r="CX6" s="16" t="str">
        <f aca="false">MID(IF(AND(Projects!$G$2="Yes",Projects!$C$2=CX$3),", "&amp;Projects!$A$2,"")&amp;IF(AND(Projects!$G$3="Yes",Projects!$C$3=CX$3),", "&amp;Projects!$A$3,"")&amp;IF(AND(Projects!$G$4="Yes",Projects!$C$4=CX$3),", "&amp;Projects!$A$4,"")&amp;IF(AND(Projects!$G$5="Yes",Projects!$C$5=CX$3),", "&amp;Projects!$A$5,"")&amp;IF(AND(Projects!$G$6="Yes",Projects!$C$6=CX$3),", "&amp;Projects!$A$6,"")&amp;IF(AND(Projects!$G$7="Yes",Projects!$C$7=CX$3),", "&amp;Projects!$A$7,"")&amp;IF(AND(Projects!$G$8="Yes",Projects!$C$8=CX$3),", "&amp;Projects!$A$8,"")&amp;IF(AND(Projects!$G$9="Yes",Projects!$C$9=CX$3),", "&amp;Projects!$A$9,"")&amp;IF(AND(Projects!$G$10="Yes",Projects!$C$10=CX$3),", "&amp;Projects!$A$10,"")&amp;IF(AND(Projects!$G$11="Yes",Projects!$C$11=CX$3),", "&amp;Projects!$A$11,"")&amp;IF(AND(Projects!$G$12="Yes",Projects!$C$12=CX$3),", "&amp;Projects!$A$12,"")&amp;IF(AND(Projects!$G$13="Yes",Projects!$C$13=CX$3),", "&amp;Projects!$A$13,"")&amp;IF(AND(Projects!$G$14="Yes",Projects!$C$14=CX$3),", "&amp;Projects!$A$14,"")&amp;IF(AND(Projects!$G$15="Yes",Projects!$C$15=CX$3),", "&amp;Projects!$A$15,"")&amp;IF(AND(Projects!$G$16="Yes",Projects!$C$16=CX$3),", "&amp;Projects!$A$16,"")&amp;IF(AND(Projects!$G$17="Yes",Projects!$C$17=CX$3),", "&amp;Projects!$A$17,"")&amp;IF(AND(Projects!$G$18="Yes",Projects!$C$18=CX$3),", "&amp;Projects!$A$18,"")&amp;IF(AND(Projects!$G$19="Yes",Projects!$C$19=CX$3),", "&amp;Projects!$A$19,"")&amp;IF(AND(Projects!$G$20="Yes",Projects!$C$20=CX$3),", "&amp;Projects!$A$20,"")&amp;IF(AND(Projects!$G$21="Yes",Projects!$C$21=CX$3),", "&amp;Projects!$A$21,"")&amp;IF(AND(Projects!$G$22="Yes",Projects!$C$22=CX$3),", "&amp;Projects!$A$22,"")&amp;IF(AND(Projects!$G$23="Yes",Projects!$C$23=CX$3),", "&amp;Projects!$A$23,"")&amp;IF(AND(Projects!$G$24="Yes",Projects!$C$24=CX$3),", "&amp;Projects!$A$24,"")&amp;IF(AND(Projects!$G$25="Yes",Projects!$C$25=CX$3),", "&amp;Projects!$A$25,"")&amp;IF(AND(Projects!$G$26="Yes",Projects!$C$26=CX$3),", "&amp;Projects!$A$26,"")&amp;IF(AND(Projects!$G$27="Yes",Projects!$C$27=CX$3),", "&amp;Projects!$A$27,"")&amp;IF(AND(Projects!$G$28="Yes",Projects!$C$28=CX$3),", "&amp;Projects!$A$28,"")&amp;IF(AND(Projects!$G$29="Yes",Projects!$C$29=CX$3),", "&amp;Projects!$A$29,"")&amp;IF(AND(Projects!$G$30="Yes",Projects!$C$30=CX$3),", "&amp;Projects!$A$30,"")&amp;IF(AND(Projects!$G$31="Yes",Projects!$C$31=CX$3),", "&amp;Projects!$A$31,"")&amp;IF(AND(Projects!$G$32="Yes",Projects!$C$32=CX$3),", "&amp;Projects!$A$32,"")&amp;IF(AND(Projects!$G$33="Yes",Projects!$C$33=CX$3),", "&amp;Projects!$A$33,"")&amp;IF(AND(Projects!$G$34="Yes",Projects!$C$34=CX$3),", "&amp;Projects!$A$34,"")&amp;IF(AND(Projects!$G$35="Yes",Projects!$C$35=CX$3),", "&amp;Projects!$A$35,"")&amp;IF(AND(Projects!$G$36="Yes",Projects!$C$36=CX$3),", "&amp;Projects!$A$36,"")&amp;IF(AND(Projects!$G$37="Yes",Projects!$C$37=CX$3),", "&amp;Projects!$A$37,"")&amp;IF(AND(Projects!$G$38="Yes",Projects!$C$38=CX$3),", "&amp;Projects!$A$38,"")&amp;IF(AND(Projects!$G$39="Yes",Projects!$C$39=CX$3),", "&amp;Projects!$A$39,"")&amp;IF(AND(Projects!$G$40="Yes",Projects!$C$40=CX$3),", "&amp;Projects!$A$40,"")&amp;IF(AND(Projects!$G$41="Yes",Projects!$C$41=CX$3),", "&amp;Projects!$A$41,"")&amp;IF(AND(Projects!$G$42="Yes",Projects!$C$42=CX$3),", "&amp;Projects!$A$42,"")&amp;IF(AND(Projects!$G$43="Yes",Projects!$C$43=CX$3),", "&amp;Projects!$A$43,"")&amp;IF(AND(Projects!$G$44="Yes",Projects!$C$44=CX$3),", "&amp;Projects!$A$44,"")&amp;IF(AND(Projects!$G$45="Yes",Projects!$C$45=CX$3),", "&amp;Projects!$A$45,"")&amp;IF(AND(Projects!$G$46="Yes",Projects!$C$46=CX$3),", "&amp;Projects!$A$46,""),3,10000)</f>
        <v/>
      </c>
      <c r="CY6" s="16" t="str">
        <f aca="false">MID(IF(AND(Projects!$G$2="Yes",Projects!$C$2=CY$3),", "&amp;Projects!$A$2,"")&amp;IF(AND(Projects!$G$3="Yes",Projects!$C$3=CY$3),", "&amp;Projects!$A$3,"")&amp;IF(AND(Projects!$G$4="Yes",Projects!$C$4=CY$3),", "&amp;Projects!$A$4,"")&amp;IF(AND(Projects!$G$5="Yes",Projects!$C$5=CY$3),", "&amp;Projects!$A$5,"")&amp;IF(AND(Projects!$G$6="Yes",Projects!$C$6=CY$3),", "&amp;Projects!$A$6,"")&amp;IF(AND(Projects!$G$7="Yes",Projects!$C$7=CY$3),", "&amp;Projects!$A$7,"")&amp;IF(AND(Projects!$G$8="Yes",Projects!$C$8=CY$3),", "&amp;Projects!$A$8,"")&amp;IF(AND(Projects!$G$9="Yes",Projects!$C$9=CY$3),", "&amp;Projects!$A$9,"")&amp;IF(AND(Projects!$G$10="Yes",Projects!$C$10=CY$3),", "&amp;Projects!$A$10,"")&amp;IF(AND(Projects!$G$11="Yes",Projects!$C$11=CY$3),", "&amp;Projects!$A$11,"")&amp;IF(AND(Projects!$G$12="Yes",Projects!$C$12=CY$3),", "&amp;Projects!$A$12,"")&amp;IF(AND(Projects!$G$13="Yes",Projects!$C$13=CY$3),", "&amp;Projects!$A$13,"")&amp;IF(AND(Projects!$G$14="Yes",Projects!$C$14=CY$3),", "&amp;Projects!$A$14,"")&amp;IF(AND(Projects!$G$15="Yes",Projects!$C$15=CY$3),", "&amp;Projects!$A$15,"")&amp;IF(AND(Projects!$G$16="Yes",Projects!$C$16=CY$3),", "&amp;Projects!$A$16,"")&amp;IF(AND(Projects!$G$17="Yes",Projects!$C$17=CY$3),", "&amp;Projects!$A$17,"")&amp;IF(AND(Projects!$G$18="Yes",Projects!$C$18=CY$3),", "&amp;Projects!$A$18,"")&amp;IF(AND(Projects!$G$19="Yes",Projects!$C$19=CY$3),", "&amp;Projects!$A$19,"")&amp;IF(AND(Projects!$G$20="Yes",Projects!$C$20=CY$3),", "&amp;Projects!$A$20,"")&amp;IF(AND(Projects!$G$21="Yes",Projects!$C$21=CY$3),", "&amp;Projects!$A$21,"")&amp;IF(AND(Projects!$G$22="Yes",Projects!$C$22=CY$3),", "&amp;Projects!$A$22,"")&amp;IF(AND(Projects!$G$23="Yes",Projects!$C$23=CY$3),", "&amp;Projects!$A$23,"")&amp;IF(AND(Projects!$G$24="Yes",Projects!$C$24=CY$3),", "&amp;Projects!$A$24,"")&amp;IF(AND(Projects!$G$25="Yes",Projects!$C$25=CY$3),", "&amp;Projects!$A$25,"")&amp;IF(AND(Projects!$G$26="Yes",Projects!$C$26=CY$3),", "&amp;Projects!$A$26,"")&amp;IF(AND(Projects!$G$27="Yes",Projects!$C$27=CY$3),", "&amp;Projects!$A$27,"")&amp;IF(AND(Projects!$G$28="Yes",Projects!$C$28=CY$3),", "&amp;Projects!$A$28,"")&amp;IF(AND(Projects!$G$29="Yes",Projects!$C$29=CY$3),", "&amp;Projects!$A$29,"")&amp;IF(AND(Projects!$G$30="Yes",Projects!$C$30=CY$3),", "&amp;Projects!$A$30,"")&amp;IF(AND(Projects!$G$31="Yes",Projects!$C$31=CY$3),", "&amp;Projects!$A$31,"")&amp;IF(AND(Projects!$G$32="Yes",Projects!$C$32=CY$3),", "&amp;Projects!$A$32,"")&amp;IF(AND(Projects!$G$33="Yes",Projects!$C$33=CY$3),", "&amp;Projects!$A$33,"")&amp;IF(AND(Projects!$G$34="Yes",Projects!$C$34=CY$3),", "&amp;Projects!$A$34,"")&amp;IF(AND(Projects!$G$35="Yes",Projects!$C$35=CY$3),", "&amp;Projects!$A$35,"")&amp;IF(AND(Projects!$G$36="Yes",Projects!$C$36=CY$3),", "&amp;Projects!$A$36,"")&amp;IF(AND(Projects!$G$37="Yes",Projects!$C$37=CY$3),", "&amp;Projects!$A$37,"")&amp;IF(AND(Projects!$G$38="Yes",Projects!$C$38=CY$3),", "&amp;Projects!$A$38,"")&amp;IF(AND(Projects!$G$39="Yes",Projects!$C$39=CY$3),", "&amp;Projects!$A$39,"")&amp;IF(AND(Projects!$G$40="Yes",Projects!$C$40=CY$3),", "&amp;Projects!$A$40,"")&amp;IF(AND(Projects!$G$41="Yes",Projects!$C$41=CY$3),", "&amp;Projects!$A$41,"")&amp;IF(AND(Projects!$G$42="Yes",Projects!$C$42=CY$3),", "&amp;Projects!$A$42,"")&amp;IF(AND(Projects!$G$43="Yes",Projects!$C$43=CY$3),", "&amp;Projects!$A$43,"")&amp;IF(AND(Projects!$G$44="Yes",Projects!$C$44=CY$3),", "&amp;Projects!$A$44,"")&amp;IF(AND(Projects!$G$45="Yes",Projects!$C$45=CY$3),", "&amp;Projects!$A$45,"")&amp;IF(AND(Projects!$G$46="Yes",Projects!$C$46=CY$3),", "&amp;Projects!$A$46,""),3,10000)</f>
        <v/>
      </c>
      <c r="CZ6" s="16" t="str">
        <f aca="false">MID(IF(AND(Projects!$G$2="Yes",Projects!$C$2=CZ$3),", "&amp;Projects!$A$2,"")&amp;IF(AND(Projects!$G$3="Yes",Projects!$C$3=CZ$3),", "&amp;Projects!$A$3,"")&amp;IF(AND(Projects!$G$4="Yes",Projects!$C$4=CZ$3),", "&amp;Projects!$A$4,"")&amp;IF(AND(Projects!$G$5="Yes",Projects!$C$5=CZ$3),", "&amp;Projects!$A$5,"")&amp;IF(AND(Projects!$G$6="Yes",Projects!$C$6=CZ$3),", "&amp;Projects!$A$6,"")&amp;IF(AND(Projects!$G$7="Yes",Projects!$C$7=CZ$3),", "&amp;Projects!$A$7,"")&amp;IF(AND(Projects!$G$8="Yes",Projects!$C$8=CZ$3),", "&amp;Projects!$A$8,"")&amp;IF(AND(Projects!$G$9="Yes",Projects!$C$9=CZ$3),", "&amp;Projects!$A$9,"")&amp;IF(AND(Projects!$G$10="Yes",Projects!$C$10=CZ$3),", "&amp;Projects!$A$10,"")&amp;IF(AND(Projects!$G$11="Yes",Projects!$C$11=CZ$3),", "&amp;Projects!$A$11,"")&amp;IF(AND(Projects!$G$12="Yes",Projects!$C$12=CZ$3),", "&amp;Projects!$A$12,"")&amp;IF(AND(Projects!$G$13="Yes",Projects!$C$13=CZ$3),", "&amp;Projects!$A$13,"")&amp;IF(AND(Projects!$G$14="Yes",Projects!$C$14=CZ$3),", "&amp;Projects!$A$14,"")&amp;IF(AND(Projects!$G$15="Yes",Projects!$C$15=CZ$3),", "&amp;Projects!$A$15,"")&amp;IF(AND(Projects!$G$16="Yes",Projects!$C$16=CZ$3),", "&amp;Projects!$A$16,"")&amp;IF(AND(Projects!$G$17="Yes",Projects!$C$17=CZ$3),", "&amp;Projects!$A$17,"")&amp;IF(AND(Projects!$G$18="Yes",Projects!$C$18=CZ$3),", "&amp;Projects!$A$18,"")&amp;IF(AND(Projects!$G$19="Yes",Projects!$C$19=CZ$3),", "&amp;Projects!$A$19,"")&amp;IF(AND(Projects!$G$20="Yes",Projects!$C$20=CZ$3),", "&amp;Projects!$A$20,"")&amp;IF(AND(Projects!$G$21="Yes",Projects!$C$21=CZ$3),", "&amp;Projects!$A$21,"")&amp;IF(AND(Projects!$G$22="Yes",Projects!$C$22=CZ$3),", "&amp;Projects!$A$22,"")&amp;IF(AND(Projects!$G$23="Yes",Projects!$C$23=CZ$3),", "&amp;Projects!$A$23,"")&amp;IF(AND(Projects!$G$24="Yes",Projects!$C$24=CZ$3),", "&amp;Projects!$A$24,"")&amp;IF(AND(Projects!$G$25="Yes",Projects!$C$25=CZ$3),", "&amp;Projects!$A$25,"")&amp;IF(AND(Projects!$G$26="Yes",Projects!$C$26=CZ$3),", "&amp;Projects!$A$26,"")&amp;IF(AND(Projects!$G$27="Yes",Projects!$C$27=CZ$3),", "&amp;Projects!$A$27,"")&amp;IF(AND(Projects!$G$28="Yes",Projects!$C$28=CZ$3),", "&amp;Projects!$A$28,"")&amp;IF(AND(Projects!$G$29="Yes",Projects!$C$29=CZ$3),", "&amp;Projects!$A$29,"")&amp;IF(AND(Projects!$G$30="Yes",Projects!$C$30=CZ$3),", "&amp;Projects!$A$30,"")&amp;IF(AND(Projects!$G$31="Yes",Projects!$C$31=CZ$3),", "&amp;Projects!$A$31,"")&amp;IF(AND(Projects!$G$32="Yes",Projects!$C$32=CZ$3),", "&amp;Projects!$A$32,"")&amp;IF(AND(Projects!$G$33="Yes",Projects!$C$33=CZ$3),", "&amp;Projects!$A$33,"")&amp;IF(AND(Projects!$G$34="Yes",Projects!$C$34=CZ$3),", "&amp;Projects!$A$34,"")&amp;IF(AND(Projects!$G$35="Yes",Projects!$C$35=CZ$3),", "&amp;Projects!$A$35,"")&amp;IF(AND(Projects!$G$36="Yes",Projects!$C$36=CZ$3),", "&amp;Projects!$A$36,"")&amp;IF(AND(Projects!$G$37="Yes",Projects!$C$37=CZ$3),", "&amp;Projects!$A$37,"")&amp;IF(AND(Projects!$G$38="Yes",Projects!$C$38=CZ$3),", "&amp;Projects!$A$38,"")&amp;IF(AND(Projects!$G$39="Yes",Projects!$C$39=CZ$3),", "&amp;Projects!$A$39,"")&amp;IF(AND(Projects!$G$40="Yes",Projects!$C$40=CZ$3),", "&amp;Projects!$A$40,"")&amp;IF(AND(Projects!$G$41="Yes",Projects!$C$41=CZ$3),", "&amp;Projects!$A$41,"")&amp;IF(AND(Projects!$G$42="Yes",Projects!$C$42=CZ$3),", "&amp;Projects!$A$42,"")&amp;IF(AND(Projects!$G$43="Yes",Projects!$C$43=CZ$3),", "&amp;Projects!$A$43,"")&amp;IF(AND(Projects!$G$44="Yes",Projects!$C$44=CZ$3),", "&amp;Projects!$A$44,"")&amp;IF(AND(Projects!$G$45="Yes",Projects!$C$45=CZ$3),", "&amp;Projects!$A$45,"")&amp;IF(AND(Projects!$G$46="Yes",Projects!$C$46=CZ$3),", "&amp;Projects!$A$46,""),3,10000)</f>
        <v/>
      </c>
      <c r="DA6" s="16" t="str">
        <f aca="false">MID(IF(AND(Projects!$G$2="Yes",Projects!$C$2=DA$3),", "&amp;Projects!$A$2,"")&amp;IF(AND(Projects!$G$3="Yes",Projects!$C$3=DA$3),", "&amp;Projects!$A$3,"")&amp;IF(AND(Projects!$G$4="Yes",Projects!$C$4=DA$3),", "&amp;Projects!$A$4,"")&amp;IF(AND(Projects!$G$5="Yes",Projects!$C$5=DA$3),", "&amp;Projects!$A$5,"")&amp;IF(AND(Projects!$G$6="Yes",Projects!$C$6=DA$3),", "&amp;Projects!$A$6,"")&amp;IF(AND(Projects!$G$7="Yes",Projects!$C$7=DA$3),", "&amp;Projects!$A$7,"")&amp;IF(AND(Projects!$G$8="Yes",Projects!$C$8=DA$3),", "&amp;Projects!$A$8,"")&amp;IF(AND(Projects!$G$9="Yes",Projects!$C$9=DA$3),", "&amp;Projects!$A$9,"")&amp;IF(AND(Projects!$G$10="Yes",Projects!$C$10=DA$3),", "&amp;Projects!$A$10,"")&amp;IF(AND(Projects!$G$11="Yes",Projects!$C$11=DA$3),", "&amp;Projects!$A$11,"")&amp;IF(AND(Projects!$G$12="Yes",Projects!$C$12=DA$3),", "&amp;Projects!$A$12,"")&amp;IF(AND(Projects!$G$13="Yes",Projects!$C$13=DA$3),", "&amp;Projects!$A$13,"")&amp;IF(AND(Projects!$G$14="Yes",Projects!$C$14=DA$3),", "&amp;Projects!$A$14,"")&amp;IF(AND(Projects!$G$15="Yes",Projects!$C$15=DA$3),", "&amp;Projects!$A$15,"")&amp;IF(AND(Projects!$G$16="Yes",Projects!$C$16=DA$3),", "&amp;Projects!$A$16,"")&amp;IF(AND(Projects!$G$17="Yes",Projects!$C$17=DA$3),", "&amp;Projects!$A$17,"")&amp;IF(AND(Projects!$G$18="Yes",Projects!$C$18=DA$3),", "&amp;Projects!$A$18,"")&amp;IF(AND(Projects!$G$19="Yes",Projects!$C$19=DA$3),", "&amp;Projects!$A$19,"")&amp;IF(AND(Projects!$G$20="Yes",Projects!$C$20=DA$3),", "&amp;Projects!$A$20,"")&amp;IF(AND(Projects!$G$21="Yes",Projects!$C$21=DA$3),", "&amp;Projects!$A$21,"")&amp;IF(AND(Projects!$G$22="Yes",Projects!$C$22=DA$3),", "&amp;Projects!$A$22,"")&amp;IF(AND(Projects!$G$23="Yes",Projects!$C$23=DA$3),", "&amp;Projects!$A$23,"")&amp;IF(AND(Projects!$G$24="Yes",Projects!$C$24=DA$3),", "&amp;Projects!$A$24,"")&amp;IF(AND(Projects!$G$25="Yes",Projects!$C$25=DA$3),", "&amp;Projects!$A$25,"")&amp;IF(AND(Projects!$G$26="Yes",Projects!$C$26=DA$3),", "&amp;Projects!$A$26,"")&amp;IF(AND(Projects!$G$27="Yes",Projects!$C$27=DA$3),", "&amp;Projects!$A$27,"")&amp;IF(AND(Projects!$G$28="Yes",Projects!$C$28=DA$3),", "&amp;Projects!$A$28,"")&amp;IF(AND(Projects!$G$29="Yes",Projects!$C$29=DA$3),", "&amp;Projects!$A$29,"")&amp;IF(AND(Projects!$G$30="Yes",Projects!$C$30=DA$3),", "&amp;Projects!$A$30,"")&amp;IF(AND(Projects!$G$31="Yes",Projects!$C$31=DA$3),", "&amp;Projects!$A$31,"")&amp;IF(AND(Projects!$G$32="Yes",Projects!$C$32=DA$3),", "&amp;Projects!$A$32,"")&amp;IF(AND(Projects!$G$33="Yes",Projects!$C$33=DA$3),", "&amp;Projects!$A$33,"")&amp;IF(AND(Projects!$G$34="Yes",Projects!$C$34=DA$3),", "&amp;Projects!$A$34,"")&amp;IF(AND(Projects!$G$35="Yes",Projects!$C$35=DA$3),", "&amp;Projects!$A$35,"")&amp;IF(AND(Projects!$G$36="Yes",Projects!$C$36=DA$3),", "&amp;Projects!$A$36,"")&amp;IF(AND(Projects!$G$37="Yes",Projects!$C$37=DA$3),", "&amp;Projects!$A$37,"")&amp;IF(AND(Projects!$G$38="Yes",Projects!$C$38=DA$3),", "&amp;Projects!$A$38,"")&amp;IF(AND(Projects!$G$39="Yes",Projects!$C$39=DA$3),", "&amp;Projects!$A$39,"")&amp;IF(AND(Projects!$G$40="Yes",Projects!$C$40=DA$3),", "&amp;Projects!$A$40,"")&amp;IF(AND(Projects!$G$41="Yes",Projects!$C$41=DA$3),", "&amp;Projects!$A$41,"")&amp;IF(AND(Projects!$G$42="Yes",Projects!$C$42=DA$3),", "&amp;Projects!$A$42,"")&amp;IF(AND(Projects!$G$43="Yes",Projects!$C$43=DA$3),", "&amp;Projects!$A$43,"")&amp;IF(AND(Projects!$G$44="Yes",Projects!$C$44=DA$3),", "&amp;Projects!$A$44,"")&amp;IF(AND(Projects!$G$45="Yes",Projects!$C$45=DA$3),", "&amp;Projects!$A$45,"")&amp;IF(AND(Projects!$G$46="Yes",Projects!$C$46=DA$3),", "&amp;Projects!$A$46,""),3,10000)</f>
        <v/>
      </c>
      <c r="DB6" s="16" t="str">
        <f aca="false">MID(IF(AND(Projects!$G$2="Yes",Projects!$C$2=DB$3),", "&amp;Projects!$A$2,"")&amp;IF(AND(Projects!$G$3="Yes",Projects!$C$3=DB$3),", "&amp;Projects!$A$3,"")&amp;IF(AND(Projects!$G$4="Yes",Projects!$C$4=DB$3),", "&amp;Projects!$A$4,"")&amp;IF(AND(Projects!$G$5="Yes",Projects!$C$5=DB$3),", "&amp;Projects!$A$5,"")&amp;IF(AND(Projects!$G$6="Yes",Projects!$C$6=DB$3),", "&amp;Projects!$A$6,"")&amp;IF(AND(Projects!$G$7="Yes",Projects!$C$7=DB$3),", "&amp;Projects!$A$7,"")&amp;IF(AND(Projects!$G$8="Yes",Projects!$C$8=DB$3),", "&amp;Projects!$A$8,"")&amp;IF(AND(Projects!$G$9="Yes",Projects!$C$9=DB$3),", "&amp;Projects!$A$9,"")&amp;IF(AND(Projects!$G$10="Yes",Projects!$C$10=DB$3),", "&amp;Projects!$A$10,"")&amp;IF(AND(Projects!$G$11="Yes",Projects!$C$11=DB$3),", "&amp;Projects!$A$11,"")&amp;IF(AND(Projects!$G$12="Yes",Projects!$C$12=DB$3),", "&amp;Projects!$A$12,"")&amp;IF(AND(Projects!$G$13="Yes",Projects!$C$13=DB$3),", "&amp;Projects!$A$13,"")&amp;IF(AND(Projects!$G$14="Yes",Projects!$C$14=DB$3),", "&amp;Projects!$A$14,"")&amp;IF(AND(Projects!$G$15="Yes",Projects!$C$15=DB$3),", "&amp;Projects!$A$15,"")&amp;IF(AND(Projects!$G$16="Yes",Projects!$C$16=DB$3),", "&amp;Projects!$A$16,"")&amp;IF(AND(Projects!$G$17="Yes",Projects!$C$17=DB$3),", "&amp;Projects!$A$17,"")&amp;IF(AND(Projects!$G$18="Yes",Projects!$C$18=DB$3),", "&amp;Projects!$A$18,"")&amp;IF(AND(Projects!$G$19="Yes",Projects!$C$19=DB$3),", "&amp;Projects!$A$19,"")&amp;IF(AND(Projects!$G$20="Yes",Projects!$C$20=DB$3),", "&amp;Projects!$A$20,"")&amp;IF(AND(Projects!$G$21="Yes",Projects!$C$21=DB$3),", "&amp;Projects!$A$21,"")&amp;IF(AND(Projects!$G$22="Yes",Projects!$C$22=DB$3),", "&amp;Projects!$A$22,"")&amp;IF(AND(Projects!$G$23="Yes",Projects!$C$23=DB$3),", "&amp;Projects!$A$23,"")&amp;IF(AND(Projects!$G$24="Yes",Projects!$C$24=DB$3),", "&amp;Projects!$A$24,"")&amp;IF(AND(Projects!$G$25="Yes",Projects!$C$25=DB$3),", "&amp;Projects!$A$25,"")&amp;IF(AND(Projects!$G$26="Yes",Projects!$C$26=DB$3),", "&amp;Projects!$A$26,"")&amp;IF(AND(Projects!$G$27="Yes",Projects!$C$27=DB$3),", "&amp;Projects!$A$27,"")&amp;IF(AND(Projects!$G$28="Yes",Projects!$C$28=DB$3),", "&amp;Projects!$A$28,"")&amp;IF(AND(Projects!$G$29="Yes",Projects!$C$29=DB$3),", "&amp;Projects!$A$29,"")&amp;IF(AND(Projects!$G$30="Yes",Projects!$C$30=DB$3),", "&amp;Projects!$A$30,"")&amp;IF(AND(Projects!$G$31="Yes",Projects!$C$31=DB$3),", "&amp;Projects!$A$31,"")&amp;IF(AND(Projects!$G$32="Yes",Projects!$C$32=DB$3),", "&amp;Projects!$A$32,"")&amp;IF(AND(Projects!$G$33="Yes",Projects!$C$33=DB$3),", "&amp;Projects!$A$33,"")&amp;IF(AND(Projects!$G$34="Yes",Projects!$C$34=DB$3),", "&amp;Projects!$A$34,"")&amp;IF(AND(Projects!$G$35="Yes",Projects!$C$35=DB$3),", "&amp;Projects!$A$35,"")&amp;IF(AND(Projects!$G$36="Yes",Projects!$C$36=DB$3),", "&amp;Projects!$A$36,"")&amp;IF(AND(Projects!$G$37="Yes",Projects!$C$37=DB$3),", "&amp;Projects!$A$37,"")&amp;IF(AND(Projects!$G$38="Yes",Projects!$C$38=DB$3),", "&amp;Projects!$A$38,"")&amp;IF(AND(Projects!$G$39="Yes",Projects!$C$39=DB$3),", "&amp;Projects!$A$39,"")&amp;IF(AND(Projects!$G$40="Yes",Projects!$C$40=DB$3),", "&amp;Projects!$A$40,"")&amp;IF(AND(Projects!$G$41="Yes",Projects!$C$41=DB$3),", "&amp;Projects!$A$41,"")&amp;IF(AND(Projects!$G$42="Yes",Projects!$C$42=DB$3),", "&amp;Projects!$A$42,"")&amp;IF(AND(Projects!$G$43="Yes",Projects!$C$43=DB$3),", "&amp;Projects!$A$43,"")&amp;IF(AND(Projects!$G$44="Yes",Projects!$C$44=DB$3),", "&amp;Projects!$A$44,"")&amp;IF(AND(Projects!$G$45="Yes",Projects!$C$45=DB$3),", "&amp;Projects!$A$45,"")&amp;IF(AND(Projects!$G$46="Yes",Projects!$C$46=DB$3),", "&amp;Projects!$A$46,""),3,10000)</f>
        <v/>
      </c>
      <c r="DC6" s="16" t="str">
        <f aca="false">MID(IF(AND(Projects!$G$2="Yes",Projects!$C$2=DC$3),", "&amp;Projects!$A$2,"")&amp;IF(AND(Projects!$G$3="Yes",Projects!$C$3=DC$3),", "&amp;Projects!$A$3,"")&amp;IF(AND(Projects!$G$4="Yes",Projects!$C$4=DC$3),", "&amp;Projects!$A$4,"")&amp;IF(AND(Projects!$G$5="Yes",Projects!$C$5=DC$3),", "&amp;Projects!$A$5,"")&amp;IF(AND(Projects!$G$6="Yes",Projects!$C$6=DC$3),", "&amp;Projects!$A$6,"")&amp;IF(AND(Projects!$G$7="Yes",Projects!$C$7=DC$3),", "&amp;Projects!$A$7,"")&amp;IF(AND(Projects!$G$8="Yes",Projects!$C$8=DC$3),", "&amp;Projects!$A$8,"")&amp;IF(AND(Projects!$G$9="Yes",Projects!$C$9=DC$3),", "&amp;Projects!$A$9,"")&amp;IF(AND(Projects!$G$10="Yes",Projects!$C$10=DC$3),", "&amp;Projects!$A$10,"")&amp;IF(AND(Projects!$G$11="Yes",Projects!$C$11=DC$3),", "&amp;Projects!$A$11,"")&amp;IF(AND(Projects!$G$12="Yes",Projects!$C$12=DC$3),", "&amp;Projects!$A$12,"")&amp;IF(AND(Projects!$G$13="Yes",Projects!$C$13=DC$3),", "&amp;Projects!$A$13,"")&amp;IF(AND(Projects!$G$14="Yes",Projects!$C$14=DC$3),", "&amp;Projects!$A$14,"")&amp;IF(AND(Projects!$G$15="Yes",Projects!$C$15=DC$3),", "&amp;Projects!$A$15,"")&amp;IF(AND(Projects!$G$16="Yes",Projects!$C$16=DC$3),", "&amp;Projects!$A$16,"")&amp;IF(AND(Projects!$G$17="Yes",Projects!$C$17=DC$3),", "&amp;Projects!$A$17,"")&amp;IF(AND(Projects!$G$18="Yes",Projects!$C$18=DC$3),", "&amp;Projects!$A$18,"")&amp;IF(AND(Projects!$G$19="Yes",Projects!$C$19=DC$3),", "&amp;Projects!$A$19,"")&amp;IF(AND(Projects!$G$20="Yes",Projects!$C$20=DC$3),", "&amp;Projects!$A$20,"")&amp;IF(AND(Projects!$G$21="Yes",Projects!$C$21=DC$3),", "&amp;Projects!$A$21,"")&amp;IF(AND(Projects!$G$22="Yes",Projects!$C$22=DC$3),", "&amp;Projects!$A$22,"")&amp;IF(AND(Projects!$G$23="Yes",Projects!$C$23=DC$3),", "&amp;Projects!$A$23,"")&amp;IF(AND(Projects!$G$24="Yes",Projects!$C$24=DC$3),", "&amp;Projects!$A$24,"")&amp;IF(AND(Projects!$G$25="Yes",Projects!$C$25=DC$3),", "&amp;Projects!$A$25,"")&amp;IF(AND(Projects!$G$26="Yes",Projects!$C$26=DC$3),", "&amp;Projects!$A$26,"")&amp;IF(AND(Projects!$G$27="Yes",Projects!$C$27=DC$3),", "&amp;Projects!$A$27,"")&amp;IF(AND(Projects!$G$28="Yes",Projects!$C$28=DC$3),", "&amp;Projects!$A$28,"")&amp;IF(AND(Projects!$G$29="Yes",Projects!$C$29=DC$3),", "&amp;Projects!$A$29,"")&amp;IF(AND(Projects!$G$30="Yes",Projects!$C$30=DC$3),", "&amp;Projects!$A$30,"")&amp;IF(AND(Projects!$G$31="Yes",Projects!$C$31=DC$3),", "&amp;Projects!$A$31,"")&amp;IF(AND(Projects!$G$32="Yes",Projects!$C$32=DC$3),", "&amp;Projects!$A$32,"")&amp;IF(AND(Projects!$G$33="Yes",Projects!$C$33=DC$3),", "&amp;Projects!$A$33,"")&amp;IF(AND(Projects!$G$34="Yes",Projects!$C$34=DC$3),", "&amp;Projects!$A$34,"")&amp;IF(AND(Projects!$G$35="Yes",Projects!$C$35=DC$3),", "&amp;Projects!$A$35,"")&amp;IF(AND(Projects!$G$36="Yes",Projects!$C$36=DC$3),", "&amp;Projects!$A$36,"")&amp;IF(AND(Projects!$G$37="Yes",Projects!$C$37=DC$3),", "&amp;Projects!$A$37,"")&amp;IF(AND(Projects!$G$38="Yes",Projects!$C$38=DC$3),", "&amp;Projects!$A$38,"")&amp;IF(AND(Projects!$G$39="Yes",Projects!$C$39=DC$3),", "&amp;Projects!$A$39,"")&amp;IF(AND(Projects!$G$40="Yes",Projects!$C$40=DC$3),", "&amp;Projects!$A$40,"")&amp;IF(AND(Projects!$G$41="Yes",Projects!$C$41=DC$3),", "&amp;Projects!$A$41,"")&amp;IF(AND(Projects!$G$42="Yes",Projects!$C$42=DC$3),", "&amp;Projects!$A$42,"")&amp;IF(AND(Projects!$G$43="Yes",Projects!$C$43=DC$3),", "&amp;Projects!$A$43,"")&amp;IF(AND(Projects!$G$44="Yes",Projects!$C$44=DC$3),", "&amp;Projects!$A$44,"")&amp;IF(AND(Projects!$G$45="Yes",Projects!$C$45=DC$3),", "&amp;Projects!$A$45,"")&amp;IF(AND(Projects!$G$46="Yes",Projects!$C$46=DC$3),", "&amp;Projects!$A$46,""),3,10000)</f>
        <v/>
      </c>
      <c r="DD6" s="16" t="str">
        <f aca="false">MID(IF(AND(Projects!$G$2="Yes",Projects!$C$2=DD$3),", "&amp;Projects!$A$2,"")&amp;IF(AND(Projects!$G$3="Yes",Projects!$C$3=DD$3),", "&amp;Projects!$A$3,"")&amp;IF(AND(Projects!$G$4="Yes",Projects!$C$4=DD$3),", "&amp;Projects!$A$4,"")&amp;IF(AND(Projects!$G$5="Yes",Projects!$C$5=DD$3),", "&amp;Projects!$A$5,"")&amp;IF(AND(Projects!$G$6="Yes",Projects!$C$6=DD$3),", "&amp;Projects!$A$6,"")&amp;IF(AND(Projects!$G$7="Yes",Projects!$C$7=DD$3),", "&amp;Projects!$A$7,"")&amp;IF(AND(Projects!$G$8="Yes",Projects!$C$8=DD$3),", "&amp;Projects!$A$8,"")&amp;IF(AND(Projects!$G$9="Yes",Projects!$C$9=DD$3),", "&amp;Projects!$A$9,"")&amp;IF(AND(Projects!$G$10="Yes",Projects!$C$10=DD$3),", "&amp;Projects!$A$10,"")&amp;IF(AND(Projects!$G$11="Yes",Projects!$C$11=DD$3),", "&amp;Projects!$A$11,"")&amp;IF(AND(Projects!$G$12="Yes",Projects!$C$12=DD$3),", "&amp;Projects!$A$12,"")&amp;IF(AND(Projects!$G$13="Yes",Projects!$C$13=DD$3),", "&amp;Projects!$A$13,"")&amp;IF(AND(Projects!$G$14="Yes",Projects!$C$14=DD$3),", "&amp;Projects!$A$14,"")&amp;IF(AND(Projects!$G$15="Yes",Projects!$C$15=DD$3),", "&amp;Projects!$A$15,"")&amp;IF(AND(Projects!$G$16="Yes",Projects!$C$16=DD$3),", "&amp;Projects!$A$16,"")&amp;IF(AND(Projects!$G$17="Yes",Projects!$C$17=DD$3),", "&amp;Projects!$A$17,"")&amp;IF(AND(Projects!$G$18="Yes",Projects!$C$18=DD$3),", "&amp;Projects!$A$18,"")&amp;IF(AND(Projects!$G$19="Yes",Projects!$C$19=DD$3),", "&amp;Projects!$A$19,"")&amp;IF(AND(Projects!$G$20="Yes",Projects!$C$20=DD$3),", "&amp;Projects!$A$20,"")&amp;IF(AND(Projects!$G$21="Yes",Projects!$C$21=DD$3),", "&amp;Projects!$A$21,"")&amp;IF(AND(Projects!$G$22="Yes",Projects!$C$22=DD$3),", "&amp;Projects!$A$22,"")&amp;IF(AND(Projects!$G$23="Yes",Projects!$C$23=DD$3),", "&amp;Projects!$A$23,"")&amp;IF(AND(Projects!$G$24="Yes",Projects!$C$24=DD$3),", "&amp;Projects!$A$24,"")&amp;IF(AND(Projects!$G$25="Yes",Projects!$C$25=DD$3),", "&amp;Projects!$A$25,"")&amp;IF(AND(Projects!$G$26="Yes",Projects!$C$26=DD$3),", "&amp;Projects!$A$26,"")&amp;IF(AND(Projects!$G$27="Yes",Projects!$C$27=DD$3),", "&amp;Projects!$A$27,"")&amp;IF(AND(Projects!$G$28="Yes",Projects!$C$28=DD$3),", "&amp;Projects!$A$28,"")&amp;IF(AND(Projects!$G$29="Yes",Projects!$C$29=DD$3),", "&amp;Projects!$A$29,"")&amp;IF(AND(Projects!$G$30="Yes",Projects!$C$30=DD$3),", "&amp;Projects!$A$30,"")&amp;IF(AND(Projects!$G$31="Yes",Projects!$C$31=DD$3),", "&amp;Projects!$A$31,"")&amp;IF(AND(Projects!$G$32="Yes",Projects!$C$32=DD$3),", "&amp;Projects!$A$32,"")&amp;IF(AND(Projects!$G$33="Yes",Projects!$C$33=DD$3),", "&amp;Projects!$A$33,"")&amp;IF(AND(Projects!$G$34="Yes",Projects!$C$34=DD$3),", "&amp;Projects!$A$34,"")&amp;IF(AND(Projects!$G$35="Yes",Projects!$C$35=DD$3),", "&amp;Projects!$A$35,"")&amp;IF(AND(Projects!$G$36="Yes",Projects!$C$36=DD$3),", "&amp;Projects!$A$36,"")&amp;IF(AND(Projects!$G$37="Yes",Projects!$C$37=DD$3),", "&amp;Projects!$A$37,"")&amp;IF(AND(Projects!$G$38="Yes",Projects!$C$38=DD$3),", "&amp;Projects!$A$38,"")&amp;IF(AND(Projects!$G$39="Yes",Projects!$C$39=DD$3),", "&amp;Projects!$A$39,"")&amp;IF(AND(Projects!$G$40="Yes",Projects!$C$40=DD$3),", "&amp;Projects!$A$40,"")&amp;IF(AND(Projects!$G$41="Yes",Projects!$C$41=DD$3),", "&amp;Projects!$A$41,"")&amp;IF(AND(Projects!$G$42="Yes",Projects!$C$42=DD$3),", "&amp;Projects!$A$42,"")&amp;IF(AND(Projects!$G$43="Yes",Projects!$C$43=DD$3),", "&amp;Projects!$A$43,"")&amp;IF(AND(Projects!$G$44="Yes",Projects!$C$44=DD$3),", "&amp;Projects!$A$44,"")&amp;IF(AND(Projects!$G$45="Yes",Projects!$C$45=DD$3),", "&amp;Projects!$A$45,"")&amp;IF(AND(Projects!$G$46="Yes",Projects!$C$46=DD$3),", "&amp;Projects!$A$46,""),3,10000)</f>
        <v/>
      </c>
      <c r="DE6" s="16" t="str">
        <f aca="false">MID(IF(AND(Projects!$G$2="Yes",Projects!$C$2=DE$3),", "&amp;Projects!$A$2,"")&amp;IF(AND(Projects!$G$3="Yes",Projects!$C$3=DE$3),", "&amp;Projects!$A$3,"")&amp;IF(AND(Projects!$G$4="Yes",Projects!$C$4=DE$3),", "&amp;Projects!$A$4,"")&amp;IF(AND(Projects!$G$5="Yes",Projects!$C$5=DE$3),", "&amp;Projects!$A$5,"")&amp;IF(AND(Projects!$G$6="Yes",Projects!$C$6=DE$3),", "&amp;Projects!$A$6,"")&amp;IF(AND(Projects!$G$7="Yes",Projects!$C$7=DE$3),", "&amp;Projects!$A$7,"")&amp;IF(AND(Projects!$G$8="Yes",Projects!$C$8=DE$3),", "&amp;Projects!$A$8,"")&amp;IF(AND(Projects!$G$9="Yes",Projects!$C$9=DE$3),", "&amp;Projects!$A$9,"")&amp;IF(AND(Projects!$G$10="Yes",Projects!$C$10=DE$3),", "&amp;Projects!$A$10,"")&amp;IF(AND(Projects!$G$11="Yes",Projects!$C$11=DE$3),", "&amp;Projects!$A$11,"")&amp;IF(AND(Projects!$G$12="Yes",Projects!$C$12=DE$3),", "&amp;Projects!$A$12,"")&amp;IF(AND(Projects!$G$13="Yes",Projects!$C$13=DE$3),", "&amp;Projects!$A$13,"")&amp;IF(AND(Projects!$G$14="Yes",Projects!$C$14=DE$3),", "&amp;Projects!$A$14,"")&amp;IF(AND(Projects!$G$15="Yes",Projects!$C$15=DE$3),", "&amp;Projects!$A$15,"")&amp;IF(AND(Projects!$G$16="Yes",Projects!$C$16=DE$3),", "&amp;Projects!$A$16,"")&amp;IF(AND(Projects!$G$17="Yes",Projects!$C$17=DE$3),", "&amp;Projects!$A$17,"")&amp;IF(AND(Projects!$G$18="Yes",Projects!$C$18=DE$3),", "&amp;Projects!$A$18,"")&amp;IF(AND(Projects!$G$19="Yes",Projects!$C$19=DE$3),", "&amp;Projects!$A$19,"")&amp;IF(AND(Projects!$G$20="Yes",Projects!$C$20=DE$3),", "&amp;Projects!$A$20,"")&amp;IF(AND(Projects!$G$21="Yes",Projects!$C$21=DE$3),", "&amp;Projects!$A$21,"")&amp;IF(AND(Projects!$G$22="Yes",Projects!$C$22=DE$3),", "&amp;Projects!$A$22,"")&amp;IF(AND(Projects!$G$23="Yes",Projects!$C$23=DE$3),", "&amp;Projects!$A$23,"")&amp;IF(AND(Projects!$G$24="Yes",Projects!$C$24=DE$3),", "&amp;Projects!$A$24,"")&amp;IF(AND(Projects!$G$25="Yes",Projects!$C$25=DE$3),", "&amp;Projects!$A$25,"")&amp;IF(AND(Projects!$G$26="Yes",Projects!$C$26=DE$3),", "&amp;Projects!$A$26,"")&amp;IF(AND(Projects!$G$27="Yes",Projects!$C$27=DE$3),", "&amp;Projects!$A$27,"")&amp;IF(AND(Projects!$G$28="Yes",Projects!$C$28=DE$3),", "&amp;Projects!$A$28,"")&amp;IF(AND(Projects!$G$29="Yes",Projects!$C$29=DE$3),", "&amp;Projects!$A$29,"")&amp;IF(AND(Projects!$G$30="Yes",Projects!$C$30=DE$3),", "&amp;Projects!$A$30,"")&amp;IF(AND(Projects!$G$31="Yes",Projects!$C$31=DE$3),", "&amp;Projects!$A$31,"")&amp;IF(AND(Projects!$G$32="Yes",Projects!$C$32=DE$3),", "&amp;Projects!$A$32,"")&amp;IF(AND(Projects!$G$33="Yes",Projects!$C$33=DE$3),", "&amp;Projects!$A$33,"")&amp;IF(AND(Projects!$G$34="Yes",Projects!$C$34=DE$3),", "&amp;Projects!$A$34,"")&amp;IF(AND(Projects!$G$35="Yes",Projects!$C$35=DE$3),", "&amp;Projects!$A$35,"")&amp;IF(AND(Projects!$G$36="Yes",Projects!$C$36=DE$3),", "&amp;Projects!$A$36,"")&amp;IF(AND(Projects!$G$37="Yes",Projects!$C$37=DE$3),", "&amp;Projects!$A$37,"")&amp;IF(AND(Projects!$G$38="Yes",Projects!$C$38=DE$3),", "&amp;Projects!$A$38,"")&amp;IF(AND(Projects!$G$39="Yes",Projects!$C$39=DE$3),", "&amp;Projects!$A$39,"")&amp;IF(AND(Projects!$G$40="Yes",Projects!$C$40=DE$3),", "&amp;Projects!$A$40,"")&amp;IF(AND(Projects!$G$41="Yes",Projects!$C$41=DE$3),", "&amp;Projects!$A$41,"")&amp;IF(AND(Projects!$G$42="Yes",Projects!$C$42=DE$3),", "&amp;Projects!$A$42,"")&amp;IF(AND(Projects!$G$43="Yes",Projects!$C$43=DE$3),", "&amp;Projects!$A$43,"")&amp;IF(AND(Projects!$G$44="Yes",Projects!$C$44=DE$3),", "&amp;Projects!$A$44,"")&amp;IF(AND(Projects!$G$45="Yes",Projects!$C$45=DE$3),", "&amp;Projects!$A$45,"")&amp;IF(AND(Projects!$G$46="Yes",Projects!$C$46=DE$3),", "&amp;Projects!$A$46,""),3,10000)</f>
        <v/>
      </c>
    </row>
    <row r="7" s="22" customFormat="true" ht="9.75" hidden="false" customHeight="true" outlineLevel="0" collapsed="false">
      <c r="A7" s="18"/>
      <c r="B7" s="19"/>
      <c r="C7" s="20"/>
      <c r="D7" s="20"/>
      <c r="E7" s="21"/>
      <c r="F7" s="19"/>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D7" s="20"/>
      <c r="BE7" s="20"/>
      <c r="BF7" s="20"/>
      <c r="BG7" s="20"/>
      <c r="BH7" s="20"/>
      <c r="BI7" s="20"/>
      <c r="BJ7" s="20"/>
      <c r="BK7" s="20"/>
      <c r="BL7" s="20"/>
      <c r="BM7" s="20"/>
      <c r="BN7" s="20"/>
      <c r="BO7" s="20"/>
      <c r="BP7" s="20"/>
      <c r="BQ7" s="20"/>
      <c r="BR7" s="20"/>
      <c r="BS7" s="20"/>
      <c r="BT7" s="20"/>
      <c r="BU7" s="20"/>
      <c r="BV7" s="20"/>
      <c r="BW7" s="20"/>
      <c r="BX7" s="20"/>
      <c r="BY7" s="20"/>
      <c r="BZ7" s="20"/>
      <c r="CA7" s="20"/>
      <c r="CB7" s="20"/>
      <c r="CC7" s="20"/>
      <c r="CD7" s="20"/>
      <c r="CE7" s="20"/>
      <c r="CF7" s="20"/>
      <c r="CG7" s="20"/>
      <c r="CH7" s="20"/>
      <c r="CI7" s="20"/>
      <c r="CJ7" s="20"/>
      <c r="CK7" s="20"/>
      <c r="CL7" s="20"/>
      <c r="CM7" s="20"/>
      <c r="CN7" s="20"/>
      <c r="CO7" s="20"/>
      <c r="CP7" s="20"/>
      <c r="CQ7" s="20"/>
      <c r="CR7" s="20"/>
      <c r="CS7" s="20"/>
      <c r="CT7" s="20"/>
      <c r="CU7" s="20"/>
      <c r="CV7" s="20"/>
      <c r="CW7" s="20"/>
      <c r="CX7" s="20"/>
      <c r="CY7" s="20"/>
      <c r="CZ7" s="20"/>
      <c r="DA7" s="20"/>
      <c r="DB7" s="20"/>
      <c r="DC7" s="20"/>
      <c r="DD7" s="20"/>
      <c r="DE7" s="20"/>
    </row>
    <row r="8" s="23" customFormat="true" ht="15" hidden="false" customHeight="true" outlineLevel="0" collapsed="false">
      <c r="A8" s="23" t="s">
        <v>3</v>
      </c>
      <c r="B8" s="24"/>
      <c r="C8" s="25"/>
      <c r="D8" s="25"/>
      <c r="E8" s="26"/>
      <c r="F8" s="24"/>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5"/>
      <c r="AS8" s="25"/>
      <c r="AT8" s="25"/>
      <c r="AU8" s="25"/>
      <c r="AV8" s="25"/>
      <c r="AW8" s="25"/>
      <c r="AX8" s="25"/>
      <c r="AY8" s="25"/>
      <c r="AZ8" s="25"/>
      <c r="BA8" s="25"/>
      <c r="BB8" s="25"/>
      <c r="BC8" s="25"/>
      <c r="BD8" s="25"/>
      <c r="BE8" s="25"/>
      <c r="BF8" s="25"/>
      <c r="BG8" s="25"/>
      <c r="BH8" s="25"/>
      <c r="BI8" s="25"/>
      <c r="BJ8" s="25"/>
      <c r="BK8" s="25"/>
      <c r="BL8" s="25"/>
      <c r="BM8" s="25"/>
      <c r="BN8" s="25"/>
      <c r="BO8" s="25"/>
      <c r="BP8" s="25"/>
      <c r="BQ8" s="25"/>
      <c r="BR8" s="25"/>
      <c r="BS8" s="25"/>
      <c r="BT8" s="25"/>
      <c r="BU8" s="25"/>
      <c r="BV8" s="25"/>
      <c r="BW8" s="25"/>
      <c r="BX8" s="25"/>
      <c r="BY8" s="25"/>
      <c r="BZ8" s="25"/>
      <c r="CA8" s="25"/>
      <c r="CB8" s="25"/>
      <c r="CC8" s="25"/>
      <c r="CD8" s="25"/>
      <c r="CE8" s="25"/>
      <c r="CF8" s="25"/>
      <c r="CG8" s="25"/>
      <c r="CH8" s="25"/>
      <c r="CI8" s="25"/>
      <c r="CJ8" s="25"/>
      <c r="CK8" s="25"/>
      <c r="CL8" s="25"/>
      <c r="CM8" s="25"/>
      <c r="CN8" s="25"/>
      <c r="CO8" s="25"/>
      <c r="CP8" s="25"/>
      <c r="CQ8" s="25"/>
      <c r="CR8" s="25"/>
      <c r="CS8" s="25"/>
      <c r="CT8" s="25"/>
      <c r="CU8" s="25"/>
      <c r="CV8" s="25"/>
      <c r="CW8" s="25"/>
      <c r="CX8" s="25"/>
      <c r="CY8" s="25"/>
      <c r="CZ8" s="25"/>
      <c r="DA8" s="25"/>
      <c r="DB8" s="25"/>
      <c r="DC8" s="25"/>
      <c r="DD8" s="25"/>
      <c r="DE8" s="25"/>
    </row>
    <row r="9" customFormat="false" ht="15" hidden="false" customHeight="true" outlineLevel="0" collapsed="false">
      <c r="A9" s="22"/>
      <c r="B9" s="19"/>
      <c r="C9" s="13"/>
      <c r="D9" s="13"/>
      <c r="E9" s="13"/>
      <c r="F9" s="13"/>
      <c r="G9" s="13"/>
      <c r="H9" s="13"/>
      <c r="I9" s="13"/>
      <c r="J9" s="13"/>
      <c r="K9" s="13"/>
      <c r="L9" s="13"/>
      <c r="M9" s="13"/>
      <c r="N9" s="13"/>
      <c r="O9" s="13"/>
      <c r="P9" s="13"/>
      <c r="Q9" s="13"/>
      <c r="R9" s="13"/>
      <c r="S9" s="13"/>
      <c r="T9" s="13"/>
      <c r="U9" s="13"/>
      <c r="V9" s="13"/>
      <c r="W9" s="13"/>
      <c r="X9" s="13"/>
      <c r="Y9" s="13"/>
      <c r="Z9" s="13"/>
      <c r="AA9" s="13"/>
      <c r="AB9" s="13"/>
      <c r="AC9" s="13"/>
      <c r="AD9" s="13"/>
      <c r="AE9" s="13"/>
      <c r="AF9" s="13"/>
      <c r="AG9" s="13"/>
      <c r="AH9" s="13"/>
      <c r="AI9" s="13"/>
      <c r="AJ9" s="13"/>
      <c r="AK9" s="13"/>
      <c r="AL9" s="13"/>
      <c r="AM9" s="13"/>
      <c r="AN9" s="13"/>
      <c r="AO9" s="13"/>
      <c r="AP9" s="13"/>
      <c r="AQ9" s="13"/>
      <c r="AR9" s="13"/>
      <c r="AS9" s="13"/>
      <c r="AT9" s="13"/>
      <c r="AU9" s="13"/>
      <c r="AV9" s="13"/>
      <c r="AW9" s="13"/>
      <c r="AX9" s="13"/>
      <c r="AY9" s="13"/>
      <c r="AZ9" s="13"/>
      <c r="BA9" s="13"/>
      <c r="BB9" s="13"/>
      <c r="BC9" s="13"/>
      <c r="BD9" s="13"/>
      <c r="BE9" s="13"/>
      <c r="BF9" s="13"/>
      <c r="BG9" s="13"/>
      <c r="BH9" s="13"/>
      <c r="BI9" s="13"/>
      <c r="BJ9" s="13"/>
      <c r="BK9" s="13"/>
      <c r="BL9" s="13"/>
      <c r="BM9" s="13"/>
      <c r="BN9" s="13"/>
      <c r="BO9" s="13"/>
      <c r="BP9" s="13"/>
      <c r="BQ9" s="13"/>
      <c r="BR9" s="13"/>
      <c r="BS9" s="13"/>
      <c r="BT9" s="13"/>
      <c r="BU9" s="13"/>
      <c r="BV9" s="13"/>
      <c r="BW9" s="13"/>
      <c r="BX9" s="13"/>
      <c r="BY9" s="13"/>
      <c r="BZ9" s="13"/>
      <c r="CA9" s="13"/>
      <c r="CB9" s="13"/>
      <c r="CC9" s="13"/>
      <c r="CD9" s="13"/>
      <c r="CE9" s="13"/>
      <c r="CF9" s="13"/>
      <c r="CG9" s="13"/>
      <c r="CH9" s="13"/>
      <c r="CI9" s="13"/>
      <c r="CJ9" s="13"/>
      <c r="CK9" s="13"/>
      <c r="CL9" s="13"/>
      <c r="CM9" s="13"/>
      <c r="CN9" s="13"/>
      <c r="CO9" s="13"/>
      <c r="CP9" s="13"/>
      <c r="CQ9" s="13"/>
      <c r="CR9" s="13"/>
      <c r="CS9" s="13"/>
      <c r="CT9" s="13"/>
      <c r="CU9" s="13"/>
      <c r="CV9" s="13"/>
      <c r="CW9" s="13"/>
      <c r="CX9" s="13"/>
      <c r="CY9" s="13"/>
      <c r="CZ9" s="13"/>
      <c r="DA9" s="13"/>
      <c r="DB9" s="13"/>
      <c r="DC9" s="13"/>
      <c r="DD9" s="13"/>
      <c r="DE9" s="13"/>
    </row>
    <row r="10" customFormat="false" ht="15" hidden="false" customHeight="true" outlineLevel="0" collapsed="false">
      <c r="A10" s="22" t="s">
        <v>4</v>
      </c>
      <c r="B10" s="13" t="n">
        <f aca="false">IF(ISBLANK(Actuals!C8),0,Actuals!C8)</f>
        <v>116367.35</v>
      </c>
      <c r="C10" s="13" t="n">
        <f aca="false">IF(ISBLANK(Actuals!D8),0,Actuals!D8)</f>
        <v>138804.22</v>
      </c>
      <c r="D10" s="13" t="n">
        <f aca="false">IF(ISBLANK(Actuals!E8),0,Actuals!E8)</f>
        <v>219366.88</v>
      </c>
      <c r="E10" s="13" t="n">
        <f aca="false">IF(ISBLANK(Actuals!F8),(SUMPRODUCT((Projects!$G$2:$G$14="Yes")*(1&gt;=Projects!$C$2:$C$14)*(1&lt;Projects!$C$2:$C$14+Projects!$D$2:$D$14)*Projects!$B$2:$B$14*Assumptions!$B$10/Projects!$D$2:$D$14*0.95)+SUMPRODUCT((Projects!$G$2:$G$14="Yes")*(1=Projects!$C$2:$C$14+Projects!$D$2:$D$14-1)*Projects!$B$2:$B$14*Assumptions!$B$10*0.05)+SUMPRODUCT((Projects!$G$17:$G$46="Yes")*(1&gt;=Projects!$C$17:$C$46)*(1&lt;Projects!$C$17:$C$46+Projects!$D$17:$D$46)*Projects!$B$17:$B$46*Assumptions!$B$10/Projects!$D$17:$D$46*0.95)+SUMPRODUCT((Projects!$G$17:$G$46="Yes")*(1=Projects!$C$17:$C$46+Projects!$D$17:$D$46-1)*Projects!$B$17:$B$46*Assumptions!$B$10*0.05))+(SUMPRODUCT((Projects!$G$2:$G$14="Yes")*(1&gt;=Projects!$C$2:$C$14)*(1&lt;Projects!$C$2:$C$14+Projects!$D$2:$D$14)*Projects!$B$2:$B$14*Assumptions!$B$12/Projects!$D$2:$D$14*0.95)+SUMPRODUCT((Projects!$G$2:$G$14="Yes")*(1=Projects!$C$2:$C$14+Projects!$D$2:$D$14-1)*Projects!$B$2:$B$14*Assumptions!$B$12*0.05)+SUMPRODUCT((Projects!$G$17:$G$46="Yes")*(1&gt;=Projects!$C$17:$C$46)*(1&lt;Projects!$C$17:$C$46+Projects!$D$17:$D$46)*Projects!$B$17:$B$46*Assumptions!$B$12/Projects!$D$17:$D$46*0.95)+SUMPRODUCT((Projects!$G$17:$G$46="Yes")*(1=Projects!$C$17:$C$46+Projects!$D$17:$D$46-1)*Projects!$B$17:$B$46*Assumptions!$B$12*0.05)),Actuals!F8)</f>
        <v>212079.14</v>
      </c>
      <c r="F10" s="13" t="n">
        <f aca="false">IF(ISBLANK(Actuals!G8),295126.83*Curves!C$6/SUM(Curves!$C$6:$I$6)+1008656.9*Curves!C$7/SUM(Curves!$C$7:$Q$7)+692704.95*Curves!C$8/SUM(Curves!$C$8:$P$8)+790610.91*Curves!C$9/SUM(Curves!$C$9:$P$9)+188945.64*Curves!C$4/SUM(Curves!$C$4:$T$4)+SUMPRODUCT((Projects!$G$8:$G$14="Yes")*(2&gt;=Projects!$C$8:$C$14)*(2&lt;Projects!$C$8:$C$14+Projects!$D$8:$D$14)*Projects!$B$8:$B$14*Assumptions!$B$10/Projects!$D$8:$D$14*0.95)+SUMPRODUCT((Projects!$G$8:$G$14="Yes")*(2=Projects!$C$8:$C$14+Projects!$D$8:$D$14-1)*Projects!$B$8:$B$14*Assumptions!$B$10*0.05)+SUMPRODUCT((Projects!$G$17:$G$46="Yes")*(2&gt;=Projects!$C$17:$C$46)*(2&lt;Projects!$C$17:$C$46+Projects!$D$17:$D$46)*Projects!$B$17:$B$46*Assumptions!$B$10/Projects!$D$17:$D$46*0.95)+SUMPRODUCT((Projects!$G$17:$G$46="Yes")*(2=Projects!$C$17:$C$46+Projects!$D$17:$D$46-1)*Projects!$B$17:$B$46*Assumptions!$B$10*0.05)+SUMPRODUCT((Projects!$G$8:$G$14="Yes")*(2&gt;=Projects!$C$8:$C$14)*(2&lt;Projects!$C$8:$C$14+Projects!$D$8:$D$14)*Projects!$B$8:$B$14*Assumptions!$B$12/Projects!$D$8:$D$14*0.95)+SUMPRODUCT((Projects!$G$8:$G$14="Yes")*(2=Projects!$C$8:$C$14+Projects!$D$8:$D$14-1)*Projects!$B$8:$B$14*Assumptions!$B$12*0.05)+SUMPRODUCT((Projects!$G$17:$G$46="Yes")*(2&gt;=Projects!$C$17:$C$46)*(2&lt;Projects!$C$17:$C$46+Projects!$D$17:$D$46)*Projects!$B$17:$B$46*Assumptions!$B$12/Projects!$D$17:$D$46*0.95)+SUMPRODUCT((Projects!$G$17:$G$46="Yes")*(2=Projects!$C$17:$C$46+Projects!$D$17:$D$46-1)*Projects!$B$17:$B$46*Assumptions!$B$12*0.05),Actuals!G8)</f>
        <v>267726.14</v>
      </c>
      <c r="G10" s="13" t="n">
        <f aca="false">IF(ISBLANK(Actuals!H8),274422.33*Curves!D$6/SUM(Curves!$E$6:$I$6)+882574.78*Curves!D$7/SUM(Curves!$E$7:$Q$7)+600344.29*Curves!D$8/SUM(Curves!$E$8:$P$8)+685196.13*Curves!D$9/SUM(Curves!$E$9:$P$9)+161723.42*Curves!D$4/SUM(Curves!$E$4:$T$4)+SUMPRODUCT((Projects!$G$8:$G$14="Yes")*(3&gt;=Projects!$C$8:$C$14)*(3&lt;Projects!$C$8:$C$14+Projects!$D$8:$D$14)*Projects!$B$8:$B$14*Assumptions!$B$10/Projects!$D$8:$D$14*0.95)+SUMPRODUCT((Projects!$G$8:$G$14="Yes")*(3=Projects!$C$8:$C$14+Projects!$D$8:$D$14-1)*Projects!$B$8:$B$14*Assumptions!$B$10*0.05)+SUMPRODUCT((Projects!$G$17:$G$46="Yes")*(3&gt;=Projects!$C$17:$C$46)*(3&lt;Projects!$C$17:$C$46+Projects!$D$17:$D$46)*Projects!$B$17:$B$46*Assumptions!$B$10/Projects!$D$17:$D$46*0.95)+SUMPRODUCT((Projects!$G$17:$G$46="Yes")*(3=Projects!$C$17:$C$46+Projects!$D$17:$D$46-1)*Projects!$B$17:$B$46*Assumptions!$B$10*0.05)+SUMPRODUCT((Projects!$G$8:$G$14="Yes")*(3&gt;=Projects!$C$8:$C$14)*(3&lt;Projects!$C$8:$C$14+Projects!$D$8:$D$14)*Projects!$B$8:$B$14*Assumptions!$B$12/Projects!$D$8:$D$14*0.95)+SUMPRODUCT((Projects!$G$8:$G$14="Yes")*(3=Projects!$C$8:$C$14+Projects!$D$8:$D$14-1)*Projects!$B$8:$B$14*Assumptions!$B$12*0.05)+SUMPRODUCT((Projects!$G$17:$G$46="Yes")*(3&gt;=Projects!$C$17:$C$46)*(3&lt;Projects!$C$17:$C$46+Projects!$D$17:$D$46)*Projects!$B$17:$B$46*Assumptions!$B$12/Projects!$D$17:$D$46*0.95)+SUMPRODUCT((Projects!$G$17:$G$46="Yes")*(3=Projects!$C$17:$C$46+Projects!$D$17:$D$46-1)*Projects!$B$17:$B$46*Assumptions!$B$12*0.05),Actuals!H8)</f>
        <v>374773.89</v>
      </c>
      <c r="H10" s="13" t="n">
        <f aca="false">IF(ISBLANK(Actuals!I8),274422.33*Curves!E$6/SUM(Curves!$E$6:$I$6)+882574.78*Curves!E$7/SUM(Curves!$E$7:$Q$7)+600344.29*Curves!E$8/SUM(Curves!$E$8:$P$8)+685196.13*Curves!E$9/SUM(Curves!$E$9:$P$9)+161723.42*Curves!E$4/SUM(Curves!$E$4:$T$4)+SUMPRODUCT((Projects!$G$8:$G$14="Yes")*(4&gt;=Projects!$C$8:$C$14)*(4&lt;Projects!$C$8:$C$14+Projects!$D$8:$D$14)*Projects!$B$8:$B$14*Assumptions!$B$10/Projects!$D$8:$D$14*0.95)+SUMPRODUCT((Projects!$G$8:$G$14="Yes")*(4=Projects!$C$8:$C$14+Projects!$D$8:$D$14-1)*Projects!$B$8:$B$14*Assumptions!$B$10*0.05)+SUMPRODUCT((Projects!$G$17:$G$46="Yes")*(4&gt;=Projects!$C$17:$C$46)*(4&lt;Projects!$C$17:$C$46+Projects!$D$17:$D$46)*Projects!$B$17:$B$46*Assumptions!$B$10/Projects!$D$17:$D$46*0.95)+SUMPRODUCT((Projects!$G$17:$G$46="Yes")*(4=Projects!$C$17:$C$46+Projects!$D$17:$D$46-1)*Projects!$B$17:$B$46*Assumptions!$B$10*0.05)+SUMPRODUCT((Projects!$G$8:$G$14="Yes")*(4&gt;=Projects!$C$8:$C$14)*(4&lt;Projects!$C$8:$C$14+Projects!$D$8:$D$14)*Projects!$B$8:$B$14*Assumptions!$B$12/Projects!$D$8:$D$14*0.95)+SUMPRODUCT((Projects!$G$8:$G$14="Yes")*(4=Projects!$C$8:$C$14+Projects!$D$8:$D$14-1)*Projects!$B$8:$B$14*Assumptions!$B$12*0.05)+SUMPRODUCT((Projects!$G$17:$G$46="Yes")*(4&gt;=Projects!$C$17:$C$46)*(4&lt;Projects!$C$17:$C$46+Projects!$D$17:$D$46)*Projects!$B$17:$B$46*Assumptions!$B$12/Projects!$D$17:$D$46*0.95)+SUMPRODUCT((Projects!$G$17:$G$46="Yes")*(4=Projects!$C$17:$C$46+Projects!$D$17:$D$46-1)*Projects!$B$17:$B$46*Assumptions!$B$12*0.05),Actuals!I8)</f>
        <v>344954.34</v>
      </c>
      <c r="I10" s="13" t="n">
        <f aca="false">IF(ISBLANK(Actuals!J8),274422.33*Curves!F$6/SUM(Curves!$E$6:$I$6)+0*Curves!F$7/SUM(Curves!$E$7:$Q$7)+0*Curves!F$8/SUM(Curves!$E$8:$P$8)+0*Curves!F$9/SUM(Curves!$E$9:$P$9)+0*Curves!F$4/SUM(Curves!$E$4:$T$4)+SUMPRODUCT((Projects!$G$8:$G$14="Yes")*(5&gt;=Projects!$C$8:$C$14)*(5&lt;Projects!$C$8:$C$14+Projects!$D$8:$D$14)*Projects!$B$8:$B$14*Assumptions!$B$10/Projects!$D$8:$D$14*0.95)+SUMPRODUCT((Projects!$G$8:$G$14="Yes")*(5=Projects!$C$8:$C$14+Projects!$D$8:$D$14-1)*Projects!$B$8:$B$14*Assumptions!$B$10*0.05)+SUMPRODUCT((Projects!$G$17:$G$46="Yes")*(5&gt;=Projects!$C$17:$C$46)*(5&lt;Projects!$C$17:$C$46+Projects!$D$17:$D$46)*Projects!$B$17:$B$46*Assumptions!$B$10/Projects!$D$17:$D$46*0.95)+SUMPRODUCT((Projects!$G$17:$G$46="Yes")*(5=Projects!$C$17:$C$46+Projects!$D$17:$D$46-1)*Projects!$B$17:$B$46*Assumptions!$B$10*0.05)+SUMPRODUCT((Projects!$G$8:$G$14="Yes")*(5&gt;=Projects!$C$8:$C$14)*(5&lt;Projects!$C$8:$C$14+Projects!$D$8:$D$14)*Projects!$B$8:$B$14*Assumptions!$B$12/Projects!$D$8:$D$14*0.95)+SUMPRODUCT((Projects!$G$8:$G$14="Yes")*(5=Projects!$C$8:$C$14+Projects!$D$8:$D$14-1)*Projects!$B$8:$B$14*Assumptions!$B$12*0.05)+SUMPRODUCT((Projects!$G$17:$G$46="Yes")*(5&gt;=Projects!$C$17:$C$46)*(5&lt;Projects!$C$17:$C$46+Projects!$D$17:$D$46)*Projects!$B$17:$B$46*Assumptions!$B$12/Projects!$D$17:$D$46*0.95)+SUMPRODUCT((Projects!$G$17:$G$46="Yes")*(5=Projects!$C$17:$C$46+Projects!$D$17:$D$46-1)*Projects!$B$17:$B$46*Assumptions!$B$12*0.05)+178042.52+24920.93,Actuals!J8)</f>
        <v>470819.03</v>
      </c>
      <c r="J10" s="13" t="n">
        <f aca="false">IF(ISBLANK(Actuals!K8),274422.33*Curves!G$6/SUM(Curves!$E$6:$I$6)+0*Curves!G$7/SUM(Curves!$E$7:$Q$7)+0*Curves!G$8/SUM(Curves!$E$8:$P$8)+0*Curves!G$9/SUM(Curves!$E$9:$P$9)+0*Curves!G$4/SUM(Curves!$E$4:$T$4)+SUMPRODUCT((Projects!$G$8:$G$14="Yes")*(6&gt;=Projects!$C$8:$C$14)*(6&lt;Projects!$C$8:$C$14+Projects!$D$8:$D$14)*Projects!$B$8:$B$14*Assumptions!$B$10/Projects!$D$8:$D$14*0.95)+SUMPRODUCT((Projects!$G$8:$G$14="Yes")*(6=Projects!$C$8:$C$14+Projects!$D$8:$D$14-1)*Projects!$B$8:$B$14*Assumptions!$B$10*0.05)+SUMPRODUCT((Projects!$G$17:$G$46="Yes")*(6&gt;=Projects!$C$17:$C$46)*(6&lt;Projects!$C$17:$C$46+Projects!$D$17:$D$46)*Projects!$B$17:$B$46*Assumptions!$B$10/Projects!$D$17:$D$46*0.95)+SUMPRODUCT((Projects!$G$17:$G$46="Yes")*(6=Projects!$C$17:$C$46+Projects!$D$17:$D$46-1)*Projects!$B$17:$B$46*Assumptions!$B$10*0.05)+SUMPRODUCT((Projects!$G$8:$G$14="Yes")*(6&gt;=Projects!$C$8:$C$14)*(6&lt;Projects!$C$8:$C$14+Projects!$D$8:$D$14)*Projects!$B$8:$B$14*Assumptions!$B$12/Projects!$D$8:$D$14*0.95)+SUMPRODUCT((Projects!$G$8:$G$14="Yes")*(6=Projects!$C$8:$C$14+Projects!$D$8:$D$14-1)*Projects!$B$8:$B$14*Assumptions!$B$12*0.05)+SUMPRODUCT((Projects!$G$17:$G$46="Yes")*(6&gt;=Projects!$C$17:$C$46)*(6&lt;Projects!$C$17:$C$46+Projects!$D$17:$D$46)*Projects!$B$17:$B$46*Assumptions!$B$12/Projects!$D$17:$D$46*0.95)+SUMPRODUCT((Projects!$G$17:$G$46="Yes")*(6=Projects!$C$17:$C$46+Projects!$D$17:$D$46-1)*Projects!$B$17:$B$46*Assumptions!$B$12*0.05)+194677.56+59181.05,Actuals!K8)</f>
        <v>402418.553227665</v>
      </c>
      <c r="K10" s="13" t="n">
        <f aca="false">IF(ISBLANK(Actuals!L8),274422.33*Curves!H$6/SUM(Curves!$E$6:$I$6)+0*Curves!H$7/SUM(Curves!$E$7:$Q$7)+0*Curves!H$8/SUM(Curves!$E$8:$P$8)+0*Curves!H$9/SUM(Curves!$E$9:$P$9)+0*Curves!H$4/SUM(Curves!$E$4:$T$4)+SUMPRODUCT((Projects!$G$8:$G$14="Yes")*(7&gt;=Projects!$C$8:$C$14)*(7&lt;Projects!$C$8:$C$14+Projects!$D$8:$D$14)*Projects!$B$8:$B$14*Assumptions!$B$10/Projects!$D$8:$D$14*0.95)+SUMPRODUCT((Projects!$G$8:$G$14="Yes")*(7=Projects!$C$8:$C$14+Projects!$D$8:$D$14-1)*Projects!$B$8:$B$14*Assumptions!$B$10*0.05)+SUMPRODUCT((Projects!$G$17:$G$46="Yes")*(7&gt;=Projects!$C$17:$C$46)*(7&lt;Projects!$C$17:$C$46+Projects!$D$17:$D$46)*Projects!$B$17:$B$46*Assumptions!$B$10/Projects!$D$17:$D$46*0.95)+SUMPRODUCT((Projects!$G$17:$G$46="Yes")*(7=Projects!$C$17:$C$46+Projects!$D$17:$D$46-1)*Projects!$B$17:$B$46*Assumptions!$B$10*0.05)+SUMPRODUCT((Projects!$G$8:$G$14="Yes")*(7&gt;=Projects!$C$8:$C$14)*(7&lt;Projects!$C$8:$C$14+Projects!$D$8:$D$14)*Projects!$B$8:$B$14*Assumptions!$B$12/Projects!$D$8:$D$14*0.95)+SUMPRODUCT((Projects!$G$8:$G$14="Yes")*(7=Projects!$C$8:$C$14+Projects!$D$8:$D$14-1)*Projects!$B$8:$B$14*Assumptions!$B$12*0.05)+SUMPRODUCT((Projects!$G$17:$G$46="Yes")*(7&gt;=Projects!$C$17:$C$46)*(7&lt;Projects!$C$17:$C$46+Projects!$D$17:$D$46)*Projects!$B$17:$B$46*Assumptions!$B$12/Projects!$D$17:$D$46*0.95)+SUMPRODUCT((Projects!$G$17:$G$46="Yes")*(7=Projects!$C$17:$C$46+Projects!$D$17:$D$46-1)*Projects!$B$17:$B$46*Assumptions!$B$12*0.05)+197289.25+83126.03,Actuals!L8)</f>
        <v>421095.409433325</v>
      </c>
      <c r="L10" s="13" t="n">
        <f aca="false">IF(ISBLANK(Actuals!M8),274422.33*Curves!I$6/SUM(Curves!$E$6:$I$6)+0*Curves!I$7/SUM(Curves!$E$7:$Q$7)+0*Curves!I$8/SUM(Curves!$E$8:$P$8)+0*Curves!I$9/SUM(Curves!$E$9:$P$9)+0*Curves!I$4/SUM(Curves!$E$4:$T$4)+SUMPRODUCT((Projects!$G$8:$G$14="Yes")*(8&gt;=Projects!$C$8:$C$14)*(8&lt;Projects!$C$8:$C$14+Projects!$D$8:$D$14)*Projects!$B$8:$B$14*Assumptions!$B$10/Projects!$D$8:$D$14*0.95)+SUMPRODUCT((Projects!$G$8:$G$14="Yes")*(8=Projects!$C$8:$C$14+Projects!$D$8:$D$14-1)*Projects!$B$8:$B$14*Assumptions!$B$10*0.05)+SUMPRODUCT((Projects!$G$17:$G$46="Yes")*(8&gt;=Projects!$C$17:$C$46)*(8&lt;Projects!$C$17:$C$46+Projects!$D$17:$D$46)*Projects!$B$17:$B$46*Assumptions!$B$10/Projects!$D$17:$D$46*0.95)+SUMPRODUCT((Projects!$G$17:$G$46="Yes")*(8=Projects!$C$17:$C$46+Projects!$D$17:$D$46-1)*Projects!$B$17:$B$46*Assumptions!$B$10*0.05)+SUMPRODUCT((Projects!$G$8:$G$14="Yes")*(8&gt;=Projects!$C$8:$C$14)*(8&lt;Projects!$C$8:$C$14+Projects!$D$8:$D$14)*Projects!$B$8:$B$14*Assumptions!$B$12/Projects!$D$8:$D$14*0.95)+SUMPRODUCT((Projects!$G$8:$G$14="Yes")*(8=Projects!$C$8:$C$14+Projects!$D$8:$D$14-1)*Projects!$B$8:$B$14*Assumptions!$B$12*0.05)+SUMPRODUCT((Projects!$G$17:$G$46="Yes")*(8&gt;=Projects!$C$17:$C$46)*(8&lt;Projects!$C$17:$C$46+Projects!$D$17:$D$46)*Projects!$B$17:$B$46*Assumptions!$B$12/Projects!$D$17:$D$46*0.95)+SUMPRODUCT((Projects!$G$17:$G$46="Yes")*(8=Projects!$C$17:$C$46+Projects!$D$17:$D$46-1)*Projects!$B$17:$B$46*Assumptions!$B$12*0.05)+169595.35+54036.08,Actuals!M8)</f>
        <v>356949.523620118</v>
      </c>
      <c r="M10" s="13" t="n">
        <f aca="false">IF(ISBLANK(Actuals!N8),0*Curves!J$7/SUM(Curves!$E$7:$Q$7)+0*Curves!J$8/SUM(Curves!$E$8:$P$8)+0*Curves!J$9/SUM(Curves!$E$9:$P$9)+0*Curves!J$4/SUM(Curves!$E$4:$T$4)+SUMPRODUCT((Projects!$G$8:$G$14="Yes")*(9&gt;=Projects!$C$8:$C$14)*(9&lt;Projects!$C$8:$C$14+Projects!$D$8:$D$14)*Projects!$B$8:$B$14*Assumptions!$B$10/Projects!$D$8:$D$14*0.95)+SUMPRODUCT((Projects!$G$8:$G$14="Yes")*(9=Projects!$C$8:$C$14+Projects!$D$8:$D$14-1)*Projects!$B$8:$B$14*Assumptions!$B$10*0.05)+SUMPRODUCT((Projects!$G$17:$G$46="Yes")*(9&gt;=Projects!$C$17:$C$46)*(9&lt;Projects!$C$17:$C$46+Projects!$D$17:$D$46)*Projects!$B$17:$B$46*Assumptions!$B$10/Projects!$D$17:$D$46*0.95)+SUMPRODUCT((Projects!$G$17:$G$46="Yes")*(9=Projects!$C$17:$C$46+Projects!$D$17:$D$46-1)*Projects!$B$17:$B$46*Assumptions!$B$10*0.05)+SUMPRODUCT((Projects!$G$8:$G$14="Yes")*(9&gt;=Projects!$C$8:$C$14)*(9&lt;Projects!$C$8:$C$14+Projects!$D$8:$D$14)*Projects!$B$8:$B$14*Assumptions!$B$12/Projects!$D$8:$D$14*0.95)+SUMPRODUCT((Projects!$G$8:$G$14="Yes")*(9=Projects!$C$8:$C$14+Projects!$D$8:$D$14-1)*Projects!$B$8:$B$14*Assumptions!$B$12*0.05)+SUMPRODUCT((Projects!$G$17:$G$46="Yes")*(9&gt;=Projects!$C$17:$C$46)*(9&lt;Projects!$C$17:$C$46+Projects!$D$17:$D$46)*Projects!$B$17:$B$46*Assumptions!$B$12/Projects!$D$17:$D$46*0.95)+SUMPRODUCT((Projects!$G$17:$G$46="Yes")*(9=Projects!$C$17:$C$46+Projects!$D$17:$D$46-1)*Projects!$B$17:$B$46*Assumptions!$B$12*0.05)+185750.1+40497.24,Actuals!N8)</f>
        <v>378161.545301715</v>
      </c>
      <c r="N10" s="13" t="n">
        <f aca="false">IF(ISBLANK(Actuals!O8),0*Curves!K$7/SUM(Curves!$E$7:$Q$7)+0*Curves!K$8/SUM(Curves!$E$8:$P$8)+0*Curves!K$9/SUM(Curves!$E$9:$P$9)+0*Curves!K$4/SUM(Curves!$E$4:$T$4)+SUMPRODUCT((Projects!$G$8:$G$14="Yes")*(10&gt;=Projects!$C$8:$C$14)*(10&lt;Projects!$C$8:$C$14+Projects!$D$8:$D$14)*Projects!$B$8:$B$14*Assumptions!$B$10/Projects!$D$8:$D$14*0.95)+SUMPRODUCT((Projects!$G$8:$G$14="Yes")*(10=Projects!$C$8:$C$14+Projects!$D$8:$D$14-1)*Projects!$B$8:$B$14*Assumptions!$B$10*0.05)+SUMPRODUCT((Projects!$G$17:$G$46="Yes")*(10&gt;=Projects!$C$17:$C$46)*(10&lt;Projects!$C$17:$C$46+Projects!$D$17:$D$46)*Projects!$B$17:$B$46*Assumptions!$B$10/Projects!$D$17:$D$46*0.95)+SUMPRODUCT((Projects!$G$17:$G$46="Yes")*(10=Projects!$C$17:$C$46+Projects!$D$17:$D$46-1)*Projects!$B$17:$B$46*Assumptions!$B$10*0.05)+SUMPRODUCT((Projects!$G$8:$G$14="Yes")*(10&gt;=Projects!$C$8:$C$14)*(10&lt;Projects!$C$8:$C$14+Projects!$D$8:$D$14)*Projects!$B$8:$B$14*Assumptions!$B$12/Projects!$D$8:$D$14*0.95)+SUMPRODUCT((Projects!$G$8:$G$14="Yes")*(10=Projects!$C$8:$C$14+Projects!$D$8:$D$14-1)*Projects!$B$8:$B$14*Assumptions!$B$12*0.05)+SUMPRODUCT((Projects!$G$17:$G$46="Yes")*(10&gt;=Projects!$C$17:$C$46)*(10&lt;Projects!$C$17:$C$46+Projects!$D$17:$D$46)*Projects!$B$17:$B$46*Assumptions!$B$12/Projects!$D$17:$D$46*0.95)+SUMPRODUCT((Projects!$G$17:$G$46="Yes")*(10=Projects!$C$17:$C$46+Projects!$D$17:$D$46-1)*Projects!$B$17:$B$46*Assumptions!$B$12*0.05)+192704.46+51592,Actuals!O8)</f>
        <v>474412.390043777</v>
      </c>
      <c r="O10" s="13" t="n">
        <f aca="false">IF(ISBLANK(Actuals!P8),0*Curves!L$7/SUM(Curves!$E$7:$Q$7)+0*Curves!L$8/SUM(Curves!$E$8:$P$8)+0*Curves!L$9/SUM(Curves!$E$9:$P$9)+0*Curves!L$4/SUM(Curves!$E$4:$T$4)+SUMPRODUCT((Projects!$G$8:$G$14="Yes")*(11&gt;=Projects!$C$8:$C$14)*(11&lt;Projects!$C$8:$C$14+Projects!$D$8:$D$14)*Projects!$B$8:$B$14*Assumptions!$B$10/Projects!$D$8:$D$14*0.95)+SUMPRODUCT((Projects!$G$8:$G$14="Yes")*(11=Projects!$C$8:$C$14+Projects!$D$8:$D$14-1)*Projects!$B$8:$B$14*Assumptions!$B$10*0.05)+SUMPRODUCT((Projects!$G$17:$G$46="Yes")*(11&gt;=Projects!$C$17:$C$46)*(11&lt;Projects!$C$17:$C$46+Projects!$D$17:$D$46)*Projects!$B$17:$B$46*Assumptions!$B$10/Projects!$D$17:$D$46*0.95)+SUMPRODUCT((Projects!$G$17:$G$46="Yes")*(11=Projects!$C$17:$C$46+Projects!$D$17:$D$46-1)*Projects!$B$17:$B$46*Assumptions!$B$10*0.05)+SUMPRODUCT((Projects!$G$8:$G$14="Yes")*(11&gt;=Projects!$C$8:$C$14)*(11&lt;Projects!$C$8:$C$14+Projects!$D$8:$D$14)*Projects!$B$8:$B$14*Assumptions!$B$12/Projects!$D$8:$D$14*0.95)+SUMPRODUCT((Projects!$G$8:$G$14="Yes")*(11=Projects!$C$8:$C$14+Projects!$D$8:$D$14-1)*Projects!$B$8:$B$14*Assumptions!$B$12*0.05)+SUMPRODUCT((Projects!$G$17:$G$46="Yes")*(11&gt;=Projects!$C$17:$C$46)*(11&lt;Projects!$C$17:$C$46+Projects!$D$17:$D$46)*Projects!$B$17:$B$46*Assumptions!$B$12/Projects!$D$17:$D$46*0.95)+SUMPRODUCT((Projects!$G$17:$G$46="Yes")*(11=Projects!$C$17:$C$46+Projects!$D$17:$D$46-1)*Projects!$B$17:$B$46*Assumptions!$B$12*0.05)+167996.31+41736.77,Actuals!P8)</f>
        <v>472791.870726527</v>
      </c>
      <c r="P10" s="13" t="n">
        <f aca="false">IF(ISBLANK(Actuals!Q8),0*Curves!M$7/SUM(Curves!$E$7:$Q$7)+0*Curves!M$8/SUM(Curves!$E$8:$P$8)+0*Curves!M$9/SUM(Curves!$E$9:$P$9)+0*Curves!M$4/SUM(Curves!$E$4:$T$4)+SUMPRODUCT((Projects!$G$8:$G$14="Yes")*(12&gt;=Projects!$C$8:$C$14)*(12&lt;Projects!$C$8:$C$14+Projects!$D$8:$D$14)*Projects!$B$8:$B$14*Assumptions!$B$10/Projects!$D$8:$D$14*0.95)+SUMPRODUCT((Projects!$G$8:$G$14="Yes")*(12=Projects!$C$8:$C$14+Projects!$D$8:$D$14-1)*Projects!$B$8:$B$14*Assumptions!$B$10*0.05)+SUMPRODUCT((Projects!$G$17:$G$46="Yes")*(12&gt;=Projects!$C$17:$C$46)*(12&lt;Projects!$C$17:$C$46+Projects!$D$17:$D$46)*Projects!$B$17:$B$46*Assumptions!$B$10/Projects!$D$17:$D$46*0.95)+SUMPRODUCT((Projects!$G$17:$G$46="Yes")*(12=Projects!$C$17:$C$46+Projects!$D$17:$D$46-1)*Projects!$B$17:$B$46*Assumptions!$B$10*0.05)+SUMPRODUCT((Projects!$G$8:$G$14="Yes")*(12&gt;=Projects!$C$8:$C$14)*(12&lt;Projects!$C$8:$C$14+Projects!$D$8:$D$14)*Projects!$B$8:$B$14*Assumptions!$B$12/Projects!$D$8:$D$14*0.95)+SUMPRODUCT((Projects!$G$8:$G$14="Yes")*(12=Projects!$C$8:$C$14+Projects!$D$8:$D$14-1)*Projects!$B$8:$B$14*Assumptions!$B$12*0.05)+SUMPRODUCT((Projects!$G$17:$G$46="Yes")*(12&gt;=Projects!$C$17:$C$46)*(12&lt;Projects!$C$17:$C$46+Projects!$D$17:$D$46)*Projects!$B$17:$B$46*Assumptions!$B$12/Projects!$D$17:$D$46*0.95)+SUMPRODUCT((Projects!$G$17:$G$46="Yes")*(12=Projects!$C$17:$C$46+Projects!$D$17:$D$46-1)*Projects!$B$17:$B$46*Assumptions!$B$12*0.05)+177880.09+50356.25,Actuals!Q8)</f>
        <v>491295.130726527</v>
      </c>
      <c r="Q10" s="13" t="n">
        <f aca="false">IF(ISBLANK(Actuals!R8),0*Curves!N$7/SUM(Curves!$E$7:$Q$7)+0*Curves!N$8/SUM(Curves!$E$8:$P$8)+0*Curves!N$9/SUM(Curves!$E$9:$P$9)+0*Curves!N$4/SUM(Curves!$E$4:$T$4)+SUMPRODUCT((Projects!$G$8:$G$14="Yes")*(13&gt;=Projects!$C$8:$C$14)*(13&lt;Projects!$C$8:$C$14+Projects!$D$8:$D$14)*Projects!$B$8:$B$14*Assumptions!$B$10/Projects!$D$8:$D$14*0.95)+SUMPRODUCT((Projects!$G$8:$G$14="Yes")*(13=Projects!$C$8:$C$14+Projects!$D$8:$D$14-1)*Projects!$B$8:$B$14*Assumptions!$B$10*0.05)+SUMPRODUCT((Projects!$G$17:$G$46="Yes")*(13&gt;=Projects!$C$17:$C$46)*(13&lt;Projects!$C$17:$C$46+Projects!$D$17:$D$46)*Projects!$B$17:$B$46*Assumptions!$B$10/Projects!$D$17:$D$46*0.95)+SUMPRODUCT((Projects!$G$17:$G$46="Yes")*(13=Projects!$C$17:$C$46+Projects!$D$17:$D$46-1)*Projects!$B$17:$B$46*Assumptions!$B$10*0.05)+SUMPRODUCT((Projects!$G$8:$G$14="Yes")*(13&gt;=Projects!$C$8:$C$14)*(13&lt;Projects!$C$8:$C$14+Projects!$D$8:$D$14)*Projects!$B$8:$B$14*Assumptions!$B$12/Projects!$D$8:$D$14*0.95)+SUMPRODUCT((Projects!$G$8:$G$14="Yes")*(13=Projects!$C$8:$C$14+Projects!$D$8:$D$14-1)*Projects!$B$8:$B$14*Assumptions!$B$12*0.05)+SUMPRODUCT((Projects!$G$17:$G$46="Yes")*(13&gt;=Projects!$C$17:$C$46)*(13&lt;Projects!$C$17:$C$46+Projects!$D$17:$D$46)*Projects!$B$17:$B$46*Assumptions!$B$12/Projects!$D$17:$D$46*0.95)+SUMPRODUCT((Projects!$G$17:$G$46="Yes")*(13=Projects!$C$17:$C$46+Projects!$D$17:$D$46-1)*Projects!$B$17:$B$46*Assumptions!$B$12*0.05)+156532.47+42530.55,Actuals!R8)</f>
        <v>560735.846394611</v>
      </c>
      <c r="R10" s="13" t="n">
        <f aca="false">IF(ISBLANK(Actuals!S8),0*Curves!O$7/SUM(Curves!$E$7:$Q$7)+0*Curves!O$8/SUM(Curves!$E$8:$P$8)+0*Curves!O$9/SUM(Curves!$E$9:$P$9)+0*Curves!O$4/SUM(Curves!$E$4:$T$4)+SUMPRODUCT((Projects!$G$8:$G$14="Yes")*(14&gt;=Projects!$C$8:$C$14)*(14&lt;Projects!$C$8:$C$14+Projects!$D$8:$D$14)*Projects!$B$8:$B$14*Assumptions!$B$10/Projects!$D$8:$D$14*0.95)+SUMPRODUCT((Projects!$G$8:$G$14="Yes")*(14=Projects!$C$8:$C$14+Projects!$D$8:$D$14-1)*Projects!$B$8:$B$14*Assumptions!$B$10*0.05)+SUMPRODUCT((Projects!$G$17:$G$46="Yes")*(14&gt;=Projects!$C$17:$C$46)*(14&lt;Projects!$C$17:$C$46+Projects!$D$17:$D$46)*Projects!$B$17:$B$46*Assumptions!$B$10/Projects!$D$17:$D$46*0.95)+SUMPRODUCT((Projects!$G$17:$G$46="Yes")*(14=Projects!$C$17:$C$46+Projects!$D$17:$D$46-1)*Projects!$B$17:$B$46*Assumptions!$B$10*0.05)+SUMPRODUCT((Projects!$G$8:$G$14="Yes")*(14&gt;=Projects!$C$8:$C$14)*(14&lt;Projects!$C$8:$C$14+Projects!$D$8:$D$14)*Projects!$B$8:$B$14*Assumptions!$B$12/Projects!$D$8:$D$14*0.95)+SUMPRODUCT((Projects!$G$8:$G$14="Yes")*(14=Projects!$C$8:$C$14+Projects!$D$8:$D$14-1)*Projects!$B$8:$B$14*Assumptions!$B$12*0.05)+SUMPRODUCT((Projects!$G$17:$G$46="Yes")*(14&gt;=Projects!$C$17:$C$46)*(14&lt;Projects!$C$17:$C$46+Projects!$D$17:$D$46)*Projects!$B$17:$B$46*Assumptions!$B$12/Projects!$D$17:$D$46*0.95)+SUMPRODUCT((Projects!$G$17:$G$46="Yes")*(14=Projects!$C$17:$C$46+Projects!$D$17:$D$46-1)*Projects!$B$17:$B$46*Assumptions!$B$12*0.05)+123894.47+52270.25,Actuals!S8)</f>
        <v>590520.80899086</v>
      </c>
      <c r="S10" s="13" t="n">
        <f aca="false">IF(ISBLANK(Actuals!T8),0*Curves!P$7/SUM(Curves!$E$7:$Q$7)+0*Curves!P$8/SUM(Curves!$E$8:$P$8)+0*Curves!P$9/SUM(Curves!$E$9:$P$9)+0*Curves!P$4/SUM(Curves!$E$4:$T$4)+SUMPRODUCT((Projects!$G$8:$G$14="Yes")*(15&gt;=Projects!$C$8:$C$14)*(15&lt;Projects!$C$8:$C$14+Projects!$D$8:$D$14)*Projects!$B$8:$B$14*Assumptions!$B$10/Projects!$D$8:$D$14*0.95)+SUMPRODUCT((Projects!$G$8:$G$14="Yes")*(15=Projects!$C$8:$C$14+Projects!$D$8:$D$14-1)*Projects!$B$8:$B$14*Assumptions!$B$10*0.05)+SUMPRODUCT((Projects!$G$17:$G$46="Yes")*(15&gt;=Projects!$C$17:$C$46)*(15&lt;Projects!$C$17:$C$46+Projects!$D$17:$D$46)*Projects!$B$17:$B$46*Assumptions!$B$10/Projects!$D$17:$D$46*0.95)+SUMPRODUCT((Projects!$G$17:$G$46="Yes")*(15=Projects!$C$17:$C$46+Projects!$D$17:$D$46-1)*Projects!$B$17:$B$46*Assumptions!$B$10*0.05)+SUMPRODUCT((Projects!$G$8:$G$14="Yes")*(15&gt;=Projects!$C$8:$C$14)*(15&lt;Projects!$C$8:$C$14+Projects!$D$8:$D$14)*Projects!$B$8:$B$14*Assumptions!$B$12/Projects!$D$8:$D$14*0.95)+SUMPRODUCT((Projects!$G$8:$G$14="Yes")*(15=Projects!$C$8:$C$14+Projects!$D$8:$D$14-1)*Projects!$B$8:$B$14*Assumptions!$B$12*0.05)+SUMPRODUCT((Projects!$G$17:$G$46="Yes")*(15&gt;=Projects!$C$17:$C$46)*(15&lt;Projects!$C$17:$C$46+Projects!$D$17:$D$46)*Projects!$B$17:$B$46*Assumptions!$B$12/Projects!$D$17:$D$46*0.95)+SUMPRODUCT((Projects!$G$17:$G$46="Yes")*(15=Projects!$C$17:$C$46+Projects!$D$17:$D$46-1)*Projects!$B$17:$B$46*Assumptions!$B$12*0.05)+135161.17+49127.97,Actuals!T8)</f>
        <v>637574.20404461</v>
      </c>
      <c r="T10" s="13" t="n">
        <f aca="false">IF(ISBLANK(Actuals!U8),0*Curves!Q$7/SUM(Curves!$E$7:$Q$7)+0*Curves!Q$4/SUM(Curves!$E$4:$T$4)+SUMPRODUCT((Projects!$G$8:$G$14="Yes")*(16&gt;=Projects!$C$8:$C$14)*(16&lt;Projects!$C$8:$C$14+Projects!$D$8:$D$14)*Projects!$B$8:$B$14*Assumptions!$B$10/Projects!$D$8:$D$14*0.95)+SUMPRODUCT((Projects!$G$8:$G$14="Yes")*(16=Projects!$C$8:$C$14+Projects!$D$8:$D$14-1)*Projects!$B$8:$B$14*Assumptions!$B$10*0.05)+SUMPRODUCT((Projects!$G$17:$G$46="Yes")*(16&gt;=Projects!$C$17:$C$46)*(16&lt;Projects!$C$17:$C$46+Projects!$D$17:$D$46)*Projects!$B$17:$B$46*Assumptions!$B$10/Projects!$D$17:$D$46*0.95)+SUMPRODUCT((Projects!$G$17:$G$46="Yes")*(16=Projects!$C$17:$C$46+Projects!$D$17:$D$46-1)*Projects!$B$17:$B$46*Assumptions!$B$10*0.05)+SUMPRODUCT((Projects!$G$8:$G$14="Yes")*(16&gt;=Projects!$C$8:$C$14)*(16&lt;Projects!$C$8:$C$14+Projects!$D$8:$D$14)*Projects!$B$8:$B$14*Assumptions!$B$12/Projects!$D$8:$D$14*0.95)+SUMPRODUCT((Projects!$G$8:$G$14="Yes")*(16=Projects!$C$8:$C$14+Projects!$D$8:$D$14-1)*Projects!$B$8:$B$14*Assumptions!$B$12*0.05)+SUMPRODUCT((Projects!$G$17:$G$46="Yes")*(16&gt;=Projects!$C$17:$C$46)*(16&lt;Projects!$C$17:$C$46+Projects!$D$17:$D$46)*Projects!$B$17:$B$46*Assumptions!$B$12/Projects!$D$17:$D$46*0.95)+SUMPRODUCT((Projects!$G$17:$G$46="Yes")*(16=Projects!$C$17:$C$46+Projects!$D$17:$D$46-1)*Projects!$B$17:$B$46*Assumptions!$B$12*0.05)+149759.43+88120.25,Actuals!U8)</f>
        <v>754603.25871236</v>
      </c>
      <c r="U10" s="13" t="n">
        <f aca="false">IF(ISBLANK(Actuals!V8),0*Curves!R$4/SUM(Curves!$E$4:$T$4)+SUMPRODUCT((Projects!$G$8:$G$14="Yes")*(17&gt;=Projects!$C$8:$C$14)*(17&lt;Projects!$C$8:$C$14+Projects!$D$8:$D$14)*Projects!$B$8:$B$14*Assumptions!$B$10/Projects!$D$8:$D$14*0.95)+SUMPRODUCT((Projects!$G$8:$G$14="Yes")*(17=Projects!$C$8:$C$14+Projects!$D$8:$D$14-1)*Projects!$B$8:$B$14*Assumptions!$B$10*0.05)+SUMPRODUCT((Projects!$G$17:$G$46="Yes")*(17&gt;=Projects!$C$17:$C$46)*(17&lt;Projects!$C$17:$C$46+Projects!$D$17:$D$46)*Projects!$B$17:$B$46*Assumptions!$B$10/Projects!$D$17:$D$46*0.95)+SUMPRODUCT((Projects!$G$17:$G$46="Yes")*(17=Projects!$C$17:$C$46+Projects!$D$17:$D$46-1)*Projects!$B$17:$B$46*Assumptions!$B$10*0.05)+SUMPRODUCT((Projects!$G$8:$G$14="Yes")*(17&gt;=Projects!$C$8:$C$14)*(17&lt;Projects!$C$8:$C$14+Projects!$D$8:$D$14)*Projects!$B$8:$B$14*Assumptions!$B$12/Projects!$D$8:$D$14*0.95)+SUMPRODUCT((Projects!$G$8:$G$14="Yes")*(17=Projects!$C$8:$C$14+Projects!$D$8:$D$14-1)*Projects!$B$8:$B$14*Assumptions!$B$12*0.05)+SUMPRODUCT((Projects!$G$17:$G$46="Yes")*(17&gt;=Projects!$C$17:$C$46)*(17&lt;Projects!$C$17:$C$46+Projects!$D$17:$D$46)*Projects!$B$17:$B$46*Assumptions!$B$12/Projects!$D$17:$D$46*0.95)+SUMPRODUCT((Projects!$G$17:$G$46="Yes")*(17=Projects!$C$17:$C$46+Projects!$D$17:$D$46-1)*Projects!$B$17:$B$46*Assumptions!$B$12*0.05)+119578.88+56313.11,Actuals!V8)</f>
        <v>692615.56871236</v>
      </c>
      <c r="V10" s="13" t="n">
        <f aca="false">IF(ISBLANK(Actuals!W8),0*Curves!S$4/SUM(Curves!$E$4:$T$4)+SUMPRODUCT((Projects!$G$8:$G$14="Yes")*(18&gt;=Projects!$C$8:$C$14)*(18&lt;Projects!$C$8:$C$14+Projects!$D$8:$D$14)*Projects!$B$8:$B$14*Assumptions!$B$10/Projects!$D$8:$D$14*0.95)+SUMPRODUCT((Projects!$G$8:$G$14="Yes")*(18=Projects!$C$8:$C$14+Projects!$D$8:$D$14-1)*Projects!$B$8:$B$14*Assumptions!$B$10*0.05)+SUMPRODUCT((Projects!$G$17:$G$46="Yes")*(18&gt;=Projects!$C$17:$C$46)*(18&lt;Projects!$C$17:$C$46+Projects!$D$17:$D$46)*Projects!$B$17:$B$46*Assumptions!$B$10/Projects!$D$17:$D$46*0.95)+SUMPRODUCT((Projects!$G$17:$G$46="Yes")*(18=Projects!$C$17:$C$46+Projects!$D$17:$D$46-1)*Projects!$B$17:$B$46*Assumptions!$B$10*0.05)+SUMPRODUCT((Projects!$G$8:$G$14="Yes")*(18&gt;=Projects!$C$8:$C$14)*(18&lt;Projects!$C$8:$C$14+Projects!$D$8:$D$14)*Projects!$B$8:$B$14*Assumptions!$B$12/Projects!$D$8:$D$14*0.95)+SUMPRODUCT((Projects!$G$8:$G$14="Yes")*(18=Projects!$C$8:$C$14+Projects!$D$8:$D$14-1)*Projects!$B$8:$B$14*Assumptions!$B$12*0.05)+SUMPRODUCT((Projects!$G$17:$G$46="Yes")*(18&gt;=Projects!$C$17:$C$46)*(18&lt;Projects!$C$17:$C$46+Projects!$D$17:$D$46)*Projects!$B$17:$B$46*Assumptions!$B$12/Projects!$D$17:$D$46*0.95)+SUMPRODUCT((Projects!$G$17:$G$46="Yes")*(18=Projects!$C$17:$C$46+Projects!$D$17:$D$46-1)*Projects!$B$17:$B$46*Assumptions!$B$12*0.05)+51829.51+167929.79,Actuals!W8)</f>
        <v>736482.87871236</v>
      </c>
      <c r="W10" s="13" t="n">
        <f aca="false">IF(ISBLANK(Actuals!X8),0*Curves!T$4/SUM(Curves!$E$4:$T$4)+SUMPRODUCT((Projects!$G$8:$G$14="Yes")*(19&gt;=Projects!$C$8:$C$14)*(19&lt;Projects!$C$8:$C$14+Projects!$D$8:$D$14)*Projects!$B$8:$B$14*Assumptions!$B$10/Projects!$D$8:$D$14*0.95)+SUMPRODUCT((Projects!$G$8:$G$14="Yes")*(19=Projects!$C$8:$C$14+Projects!$D$8:$D$14-1)*Projects!$B$8:$B$14*Assumptions!$B$10*0.05)+SUMPRODUCT((Projects!$G$17:$G$46="Yes")*(19&gt;=Projects!$C$17:$C$46)*(19&lt;Projects!$C$17:$C$46+Projects!$D$17:$D$46)*Projects!$B$17:$B$46*Assumptions!$B$10/Projects!$D$17:$D$46*0.95)+SUMPRODUCT((Projects!$G$17:$G$46="Yes")*(19=Projects!$C$17:$C$46+Projects!$D$17:$D$46-1)*Projects!$B$17:$B$46*Assumptions!$B$10*0.05)+SUMPRODUCT((Projects!$G$8:$G$14="Yes")*(19&gt;=Projects!$C$8:$C$14)*(19&lt;Projects!$C$8:$C$14+Projects!$D$8:$D$14)*Projects!$B$8:$B$14*Assumptions!$B$12/Projects!$D$8:$D$14*0.95)+SUMPRODUCT((Projects!$G$8:$G$14="Yes")*(19=Projects!$C$8:$C$14+Projects!$D$8:$D$14-1)*Projects!$B$8:$B$14*Assumptions!$B$12*0.05)+SUMPRODUCT((Projects!$G$17:$G$46="Yes")*(19&gt;=Projects!$C$17:$C$46)*(19&lt;Projects!$C$17:$C$46+Projects!$D$17:$D$46)*Projects!$B$17:$B$46*Assumptions!$B$12/Projects!$D$17:$D$46*0.95)+SUMPRODUCT((Projects!$G$17:$G$46="Yes")*(19=Projects!$C$17:$C$46+Projects!$D$17:$D$46-1)*Projects!$B$17:$B$46*Assumptions!$B$12*0.05)+12036.71+106082.83,Actuals!X8)</f>
        <v>634843.11871236</v>
      </c>
      <c r="X10" s="13" t="n">
        <f aca="false">IF(ISBLANK(Actuals!Y8),0+SUMPRODUCT((Projects!$G$8:$G$14="Yes")*(20&gt;=Projects!$C$8:$C$14)*(20&lt;Projects!$C$8:$C$14+Projects!$D$8:$D$14)*Projects!$B$8:$B$14*Assumptions!$B$10/Projects!$D$8:$D$14*0.95)+SUMPRODUCT((Projects!$G$8:$G$14="Yes")*(20=Projects!$C$8:$C$14+Projects!$D$8:$D$14-1)*Projects!$B$8:$B$14*Assumptions!$B$10*0.05)+SUMPRODUCT((Projects!$G$17:$G$46="Yes")*(20&gt;=Projects!$C$17:$C$46)*(20&lt;Projects!$C$17:$C$46+Projects!$D$17:$D$46)*Projects!$B$17:$B$46*Assumptions!$B$10/Projects!$D$17:$D$46*0.95)+SUMPRODUCT((Projects!$G$17:$G$46="Yes")*(20=Projects!$C$17:$C$46+Projects!$D$17:$D$46-1)*Projects!$B$17:$B$46*Assumptions!$B$10*0.05)+SUMPRODUCT((Projects!$G$8:$G$14="Yes")*(20&gt;=Projects!$C$8:$C$14)*(20&lt;Projects!$C$8:$C$14+Projects!$D$8:$D$14)*Projects!$B$8:$B$14*Assumptions!$B$12/Projects!$D$8:$D$14*0.95)+SUMPRODUCT((Projects!$G$8:$G$14="Yes")*(20=Projects!$C$8:$C$14+Projects!$D$8:$D$14-1)*Projects!$B$8:$B$14*Assumptions!$B$12*0.05)+SUMPRODUCT((Projects!$G$17:$G$46="Yes")*(20&gt;=Projects!$C$17:$C$46)*(20&lt;Projects!$C$17:$C$46+Projects!$D$17:$D$46)*Projects!$B$17:$B$46*Assumptions!$B$12/Projects!$D$17:$D$46*0.95)+SUMPRODUCT((Projects!$G$17:$G$46="Yes")*(20=Projects!$C$17:$C$46+Projects!$D$17:$D$46-1)*Projects!$B$17:$B$46*Assumptions!$B$12*0.05)+0+217899.85,Actuals!Y8)</f>
        <v>802773.515863966</v>
      </c>
      <c r="Y10" s="13" t="n">
        <f aca="false">IF(ISBLANK(Actuals!Z8),0+SUMPRODUCT((Projects!$G$8:$G$14="Yes")*(21&gt;=Projects!$C$8:$C$14)*(21&lt;Projects!$C$8:$C$14+Projects!$D$8:$D$14)*Projects!$B$8:$B$14*Assumptions!$B$10/Projects!$D$8:$D$14*0.95)+SUMPRODUCT((Projects!$G$8:$G$14="Yes")*(21=Projects!$C$8:$C$14+Projects!$D$8:$D$14-1)*Projects!$B$8:$B$14*Assumptions!$B$10*0.05)+SUMPRODUCT((Projects!$G$17:$G$46="Yes")*(21&gt;=Projects!$C$17:$C$46)*(21&lt;Projects!$C$17:$C$46+Projects!$D$17:$D$46)*Projects!$B$17:$B$46*Assumptions!$B$10/Projects!$D$17:$D$46*0.95)+SUMPRODUCT((Projects!$G$17:$G$46="Yes")*(21=Projects!$C$17:$C$46+Projects!$D$17:$D$46-1)*Projects!$B$17:$B$46*Assumptions!$B$10*0.05)+SUMPRODUCT((Projects!$G$8:$G$14="Yes")*(21&gt;=Projects!$C$8:$C$14)*(21&lt;Projects!$C$8:$C$14+Projects!$D$8:$D$14)*Projects!$B$8:$B$14*Assumptions!$B$12/Projects!$D$8:$D$14*0.95)+SUMPRODUCT((Projects!$G$8:$G$14="Yes")*(21=Projects!$C$8:$C$14+Projects!$D$8:$D$14-1)*Projects!$B$8:$B$14*Assumptions!$B$12*0.05)+SUMPRODUCT((Projects!$G$17:$G$46="Yes")*(21&gt;=Projects!$C$17:$C$46)*(21&lt;Projects!$C$17:$C$46+Projects!$D$17:$D$46)*Projects!$B$17:$B$46*Assumptions!$B$12/Projects!$D$17:$D$46*0.95)+SUMPRODUCT((Projects!$G$17:$G$46="Yes")*(21=Projects!$C$17:$C$46+Projects!$D$17:$D$46-1)*Projects!$B$17:$B$46*Assumptions!$B$12*0.05)+0+125465.1,Actuals!Z8)</f>
        <v>710338.765863966</v>
      </c>
      <c r="Z10" s="13" t="n">
        <f aca="false">IF(ISBLANK(Actuals!AA8),0+SUMPRODUCT((Projects!$G$8:$G$14="Yes")*(22&gt;=Projects!$C$8:$C$14)*(22&lt;Projects!$C$8:$C$14+Projects!$D$8:$D$14)*Projects!$B$8:$B$14*Assumptions!$B$10/Projects!$D$8:$D$14*0.95)+SUMPRODUCT((Projects!$G$8:$G$14="Yes")*(22=Projects!$C$8:$C$14+Projects!$D$8:$D$14-1)*Projects!$B$8:$B$14*Assumptions!$B$10*0.05)+SUMPRODUCT((Projects!$G$17:$G$46="Yes")*(22&gt;=Projects!$C$17:$C$46)*(22&lt;Projects!$C$17:$C$46+Projects!$D$17:$D$46)*Projects!$B$17:$B$46*Assumptions!$B$10/Projects!$D$17:$D$46*0.95)+SUMPRODUCT((Projects!$G$17:$G$46="Yes")*(22=Projects!$C$17:$C$46+Projects!$D$17:$D$46-1)*Projects!$B$17:$B$46*Assumptions!$B$10*0.05)+SUMPRODUCT((Projects!$G$8:$G$14="Yes")*(22&gt;=Projects!$C$8:$C$14)*(22&lt;Projects!$C$8:$C$14+Projects!$D$8:$D$14)*Projects!$B$8:$B$14*Assumptions!$B$12/Projects!$D$8:$D$14*0.95)+SUMPRODUCT((Projects!$G$8:$G$14="Yes")*(22=Projects!$C$8:$C$14+Projects!$D$8:$D$14-1)*Projects!$B$8:$B$14*Assumptions!$B$12*0.05)+SUMPRODUCT((Projects!$G$17:$G$46="Yes")*(22&gt;=Projects!$C$17:$C$46)*(22&lt;Projects!$C$17:$C$46+Projects!$D$17:$D$46)*Projects!$B$17:$B$46*Assumptions!$B$12/Projects!$D$17:$D$46*0.95)+SUMPRODUCT((Projects!$G$17:$G$46="Yes")*(22=Projects!$C$17:$C$46+Projects!$D$17:$D$46-1)*Projects!$B$17:$B$46*Assumptions!$B$12*0.05)+0+197662.91,Actuals!AA8)</f>
        <v>782536.575863967</v>
      </c>
      <c r="AA10" s="13" t="n">
        <f aca="false">IF(ISBLANK(Actuals!AB8),0+SUMPRODUCT((Projects!$G$8:$G$14="Yes")*(23&gt;=Projects!$C$8:$C$14)*(23&lt;Projects!$C$8:$C$14+Projects!$D$8:$D$14)*Projects!$B$8:$B$14*Assumptions!$B$10/Projects!$D$8:$D$14*0.95)+SUMPRODUCT((Projects!$G$8:$G$14="Yes")*(23=Projects!$C$8:$C$14+Projects!$D$8:$D$14-1)*Projects!$B$8:$B$14*Assumptions!$B$10*0.05)+SUMPRODUCT((Projects!$G$17:$G$46="Yes")*(23&gt;=Projects!$C$17:$C$46)*(23&lt;Projects!$C$17:$C$46+Projects!$D$17:$D$46)*Projects!$B$17:$B$46*Assumptions!$B$10/Projects!$D$17:$D$46*0.95)+SUMPRODUCT((Projects!$G$17:$G$46="Yes")*(23=Projects!$C$17:$C$46+Projects!$D$17:$D$46-1)*Projects!$B$17:$B$46*Assumptions!$B$10*0.05)+SUMPRODUCT((Projects!$G$8:$G$14="Yes")*(23&gt;=Projects!$C$8:$C$14)*(23&lt;Projects!$C$8:$C$14+Projects!$D$8:$D$14)*Projects!$B$8:$B$14*Assumptions!$B$12/Projects!$D$8:$D$14*0.95)+SUMPRODUCT((Projects!$G$8:$G$14="Yes")*(23=Projects!$C$8:$C$14+Projects!$D$8:$D$14-1)*Projects!$B$8:$B$14*Assumptions!$B$12*0.05)+SUMPRODUCT((Projects!$G$17:$G$46="Yes")*(23&gt;=Projects!$C$17:$C$46)*(23&lt;Projects!$C$17:$C$46+Projects!$D$17:$D$46)*Projects!$B$17:$B$46*Assumptions!$B$12/Projects!$D$17:$D$46*0.95)+SUMPRODUCT((Projects!$G$17:$G$46="Yes")*(23=Projects!$C$17:$C$46+Projects!$D$17:$D$46-1)*Projects!$B$17:$B$46*Assumptions!$B$12*0.05)+0+165055.08,Actuals!AB8)</f>
        <v>799244.478763266</v>
      </c>
      <c r="AB10" s="13" t="n">
        <f aca="false">IF(ISBLANK(Actuals!AC8),0+SUMPRODUCT((Projects!$G$8:$G$14="Yes")*(24&gt;=Projects!$C$8:$C$14)*(24&lt;Projects!$C$8:$C$14+Projects!$D$8:$D$14)*Projects!$B$8:$B$14*Assumptions!$B$10/Projects!$D$8:$D$14*0.95)+SUMPRODUCT((Projects!$G$8:$G$14="Yes")*(24=Projects!$C$8:$C$14+Projects!$D$8:$D$14-1)*Projects!$B$8:$B$14*Assumptions!$B$10*0.05)+SUMPRODUCT((Projects!$G$17:$G$46="Yes")*(24&gt;=Projects!$C$17:$C$46)*(24&lt;Projects!$C$17:$C$46+Projects!$D$17:$D$46)*Projects!$B$17:$B$46*Assumptions!$B$10/Projects!$D$17:$D$46*0.95)+SUMPRODUCT((Projects!$G$17:$G$46="Yes")*(24=Projects!$C$17:$C$46+Projects!$D$17:$D$46-1)*Projects!$B$17:$B$46*Assumptions!$B$10*0.05)+SUMPRODUCT((Projects!$G$8:$G$14="Yes")*(24&gt;=Projects!$C$8:$C$14)*(24&lt;Projects!$C$8:$C$14+Projects!$D$8:$D$14)*Projects!$B$8:$B$14*Assumptions!$B$12/Projects!$D$8:$D$14*0.95)+SUMPRODUCT((Projects!$G$8:$G$14="Yes")*(24=Projects!$C$8:$C$14+Projects!$D$8:$D$14-1)*Projects!$B$8:$B$14*Assumptions!$B$12*0.05)+SUMPRODUCT((Projects!$G$17:$G$46="Yes")*(24&gt;=Projects!$C$17:$C$46)*(24&lt;Projects!$C$17:$C$46+Projects!$D$17:$D$46)*Projects!$B$17:$B$46*Assumptions!$B$12/Projects!$D$17:$D$46*0.95)+SUMPRODUCT((Projects!$G$17:$G$46="Yes")*(24=Projects!$C$17:$C$46+Projects!$D$17:$D$46-1)*Projects!$B$17:$B$46*Assumptions!$B$12*0.05)+0+112515.83,Actuals!AC8)</f>
        <v>754684.604132654</v>
      </c>
      <c r="AC10" s="13" t="n">
        <f aca="false">IF(ISBLANK(Actuals!AD8),0+SUMPRODUCT((Projects!$G$8:$G$14="Yes")*(25&gt;=Projects!$C$8:$C$14)*(25&lt;Projects!$C$8:$C$14+Projects!$D$8:$D$14)*Projects!$B$8:$B$14*Assumptions!$B$10/Projects!$D$8:$D$14*0.95)+SUMPRODUCT((Projects!$G$8:$G$14="Yes")*(25=Projects!$C$8:$C$14+Projects!$D$8:$D$14-1)*Projects!$B$8:$B$14*Assumptions!$B$10*0.05)+SUMPRODUCT((Projects!$G$17:$G$46="Yes")*(25&gt;=Projects!$C$17:$C$46)*(25&lt;Projects!$C$17:$C$46+Projects!$D$17:$D$46)*Projects!$B$17:$B$46*Assumptions!$B$10/Projects!$D$17:$D$46*0.95)+SUMPRODUCT((Projects!$G$17:$G$46="Yes")*(25=Projects!$C$17:$C$46+Projects!$D$17:$D$46-1)*Projects!$B$17:$B$46*Assumptions!$B$10*0.05)+SUMPRODUCT((Projects!$G$8:$G$14="Yes")*(25&gt;=Projects!$C$8:$C$14)*(25&lt;Projects!$C$8:$C$14+Projects!$D$8:$D$14)*Projects!$B$8:$B$14*Assumptions!$B$12/Projects!$D$8:$D$14*0.95)+SUMPRODUCT((Projects!$G$8:$G$14="Yes")*(25=Projects!$C$8:$C$14+Projects!$D$8:$D$14-1)*Projects!$B$8:$B$14*Assumptions!$B$12*0.05)+SUMPRODUCT((Projects!$G$17:$G$46="Yes")*(25&gt;=Projects!$C$17:$C$46)*(25&lt;Projects!$C$17:$C$46+Projects!$D$17:$D$46)*Projects!$B$17:$B$46*Assumptions!$B$12/Projects!$D$17:$D$46*0.95)+SUMPRODUCT((Projects!$G$17:$G$46="Yes")*(25=Projects!$C$17:$C$46+Projects!$D$17:$D$46-1)*Projects!$B$17:$B$46*Assumptions!$B$12*0.05)+0+71206.06,Actuals!AD8)</f>
        <v>623984.151796679</v>
      </c>
      <c r="AD10" s="13" t="n">
        <f aca="false">IF(ISBLANK(Actuals!AE8),0+SUMPRODUCT((Projects!$G$8:$G$14="Yes")*(26&gt;=Projects!$C$8:$C$14)*(26&lt;Projects!$C$8:$C$14+Projects!$D$8:$D$14)*Projects!$B$8:$B$14*Assumptions!$B$10/Projects!$D$8:$D$14*0.95)+SUMPRODUCT((Projects!$G$8:$G$14="Yes")*(26=Projects!$C$8:$C$14+Projects!$D$8:$D$14-1)*Projects!$B$8:$B$14*Assumptions!$B$10*0.05)+SUMPRODUCT((Projects!$G$17:$G$46="Yes")*(26&gt;=Projects!$C$17:$C$46)*(26&lt;Projects!$C$17:$C$46+Projects!$D$17:$D$46)*Projects!$B$17:$B$46*Assumptions!$B$10/Projects!$D$17:$D$46*0.95)+SUMPRODUCT((Projects!$G$17:$G$46="Yes")*(26=Projects!$C$17:$C$46+Projects!$D$17:$D$46-1)*Projects!$B$17:$B$46*Assumptions!$B$10*0.05)+SUMPRODUCT((Projects!$G$8:$G$14="Yes")*(26&gt;=Projects!$C$8:$C$14)*(26&lt;Projects!$C$8:$C$14+Projects!$D$8:$D$14)*Projects!$B$8:$B$14*Assumptions!$B$12/Projects!$D$8:$D$14*0.95)+SUMPRODUCT((Projects!$G$8:$G$14="Yes")*(26=Projects!$C$8:$C$14+Projects!$D$8:$D$14-1)*Projects!$B$8:$B$14*Assumptions!$B$12*0.05)+SUMPRODUCT((Projects!$G$17:$G$46="Yes")*(26&gt;=Projects!$C$17:$C$46)*(26&lt;Projects!$C$17:$C$46+Projects!$D$17:$D$46)*Projects!$B$17:$B$46*Assumptions!$B$12/Projects!$D$17:$D$46*0.95)+SUMPRODUCT((Projects!$G$17:$G$46="Yes")*(26=Projects!$C$17:$C$46+Projects!$D$17:$D$46-1)*Projects!$B$17:$B$46*Assumptions!$B$12*0.05)+0+84320.29,Actuals!AE8)</f>
        <v>637098.381796679</v>
      </c>
      <c r="AE10" s="13" t="n">
        <f aca="false">IF(ISBLANK(Actuals!AF8),0+SUMPRODUCT((Projects!$G$8:$G$14="Yes")*(27&gt;=Projects!$C$8:$C$14)*(27&lt;Projects!$C$8:$C$14+Projects!$D$8:$D$14)*Projects!$B$8:$B$14*Assumptions!$B$10/Projects!$D$8:$D$14*0.95)+SUMPRODUCT((Projects!$G$8:$G$14="Yes")*(27=Projects!$C$8:$C$14+Projects!$D$8:$D$14-1)*Projects!$B$8:$B$14*Assumptions!$B$10*0.05)+SUMPRODUCT((Projects!$G$17:$G$46="Yes")*(27&gt;=Projects!$C$17:$C$46)*(27&lt;Projects!$C$17:$C$46+Projects!$D$17:$D$46)*Projects!$B$17:$B$46*Assumptions!$B$10/Projects!$D$17:$D$46*0.95)+SUMPRODUCT((Projects!$G$17:$G$46="Yes")*(27=Projects!$C$17:$C$46+Projects!$D$17:$D$46-1)*Projects!$B$17:$B$46*Assumptions!$B$10*0.05)+SUMPRODUCT((Projects!$G$8:$G$14="Yes")*(27&gt;=Projects!$C$8:$C$14)*(27&lt;Projects!$C$8:$C$14+Projects!$D$8:$D$14)*Projects!$B$8:$B$14*Assumptions!$B$12/Projects!$D$8:$D$14*0.95)+SUMPRODUCT((Projects!$G$8:$G$14="Yes")*(27=Projects!$C$8:$C$14+Projects!$D$8:$D$14-1)*Projects!$B$8:$B$14*Assumptions!$B$12*0.05)+SUMPRODUCT((Projects!$G$17:$G$46="Yes")*(27&gt;=Projects!$C$17:$C$46)*(27&lt;Projects!$C$17:$C$46+Projects!$D$17:$D$46)*Projects!$B$17:$B$46*Assumptions!$B$12/Projects!$D$17:$D$46*0.95)+SUMPRODUCT((Projects!$G$17:$G$46="Yes")*(27=Projects!$C$17:$C$46+Projects!$D$17:$D$46-1)*Projects!$B$17:$B$46*Assumptions!$B$12*0.05)+0+79138.58,Actuals!AF8)</f>
        <v>722008.082230612</v>
      </c>
      <c r="AF10" s="13" t="n">
        <f aca="false">IF(ISBLANK(Actuals!AG8),0+SUMPRODUCT((Projects!$G$8:$G$14="Yes")*(28&gt;=Projects!$C$8:$C$14)*(28&lt;Projects!$C$8:$C$14+Projects!$D$8:$D$14)*Projects!$B$8:$B$14*Assumptions!$B$10/Projects!$D$8:$D$14*0.95)+SUMPRODUCT((Projects!$G$8:$G$14="Yes")*(28=Projects!$C$8:$C$14+Projects!$D$8:$D$14-1)*Projects!$B$8:$B$14*Assumptions!$B$10*0.05)+SUMPRODUCT((Projects!$G$17:$G$46="Yes")*(28&gt;=Projects!$C$17:$C$46)*(28&lt;Projects!$C$17:$C$46+Projects!$D$17:$D$46)*Projects!$B$17:$B$46*Assumptions!$B$10/Projects!$D$17:$D$46*0.95)+SUMPRODUCT((Projects!$G$17:$G$46="Yes")*(28=Projects!$C$17:$C$46+Projects!$D$17:$D$46-1)*Projects!$B$17:$B$46*Assumptions!$B$10*0.05)+SUMPRODUCT((Projects!$G$8:$G$14="Yes")*(28&gt;=Projects!$C$8:$C$14)*(28&lt;Projects!$C$8:$C$14+Projects!$D$8:$D$14)*Projects!$B$8:$B$14*Assumptions!$B$12/Projects!$D$8:$D$14*0.95)+SUMPRODUCT((Projects!$G$8:$G$14="Yes")*(28=Projects!$C$8:$C$14+Projects!$D$8:$D$14-1)*Projects!$B$8:$B$14*Assumptions!$B$12*0.05)+SUMPRODUCT((Projects!$G$17:$G$46="Yes")*(28&gt;=Projects!$C$17:$C$46)*(28&lt;Projects!$C$17:$C$46+Projects!$D$17:$D$46)*Projects!$B$17:$B$46*Assumptions!$B$12/Projects!$D$17:$D$46*0.95)+SUMPRODUCT((Projects!$G$17:$G$46="Yes")*(28=Projects!$C$17:$C$46+Projects!$D$17:$D$46-1)*Projects!$B$17:$B$46*Assumptions!$B$12*0.05)+0+97862.63,Actuals!AG8)</f>
        <v>818933.856972675</v>
      </c>
      <c r="AG10" s="13" t="n">
        <f aca="false">IF(ISBLANK(Actuals!AH8),0+SUMPRODUCT((Projects!$G$8:$G$14="Yes")*(29&gt;=Projects!$C$8:$C$14)*(29&lt;Projects!$C$8:$C$14+Projects!$D$8:$D$14)*Projects!$B$8:$B$14*Assumptions!$B$10/Projects!$D$8:$D$14*0.95)+SUMPRODUCT((Projects!$G$8:$G$14="Yes")*(29=Projects!$C$8:$C$14+Projects!$D$8:$D$14-1)*Projects!$B$8:$B$14*Assumptions!$B$10*0.05)+SUMPRODUCT((Projects!$G$17:$G$46="Yes")*(29&gt;=Projects!$C$17:$C$46)*(29&lt;Projects!$C$17:$C$46+Projects!$D$17:$D$46)*Projects!$B$17:$B$46*Assumptions!$B$10/Projects!$D$17:$D$46*0.95)+SUMPRODUCT((Projects!$G$17:$G$46="Yes")*(29=Projects!$C$17:$C$46+Projects!$D$17:$D$46-1)*Projects!$B$17:$B$46*Assumptions!$B$10*0.05)+SUMPRODUCT((Projects!$G$8:$G$14="Yes")*(29&gt;=Projects!$C$8:$C$14)*(29&lt;Projects!$C$8:$C$14+Projects!$D$8:$D$14)*Projects!$B$8:$B$14*Assumptions!$B$12/Projects!$D$8:$D$14*0.95)+SUMPRODUCT((Projects!$G$8:$G$14="Yes")*(29=Projects!$C$8:$C$14+Projects!$D$8:$D$14-1)*Projects!$B$8:$B$14*Assumptions!$B$12*0.05)+SUMPRODUCT((Projects!$G$17:$G$46="Yes")*(29&gt;=Projects!$C$17:$C$46)*(29&lt;Projects!$C$17:$C$46+Projects!$D$17:$D$46)*Projects!$B$17:$B$46*Assumptions!$B$12/Projects!$D$17:$D$46*0.95)+SUMPRODUCT((Projects!$G$17:$G$46="Yes")*(29=Projects!$C$17:$C$46+Projects!$D$17:$D$46-1)*Projects!$B$17:$B$46*Assumptions!$B$12*0.05)+0+169949.87,Actuals!AH8)</f>
        <v>829476.0081713</v>
      </c>
      <c r="AH10" s="13" t="n">
        <f aca="false">IF(ISBLANK(Actuals!AI8),0+SUMPRODUCT((Projects!$G$8:$G$14="Yes")*(30&gt;=Projects!$C$8:$C$14)*(30&lt;Projects!$C$8:$C$14+Projects!$D$8:$D$14)*Projects!$B$8:$B$14*Assumptions!$B$10/Projects!$D$8:$D$14*0.95)+SUMPRODUCT((Projects!$G$8:$G$14="Yes")*(30=Projects!$C$8:$C$14+Projects!$D$8:$D$14-1)*Projects!$B$8:$B$14*Assumptions!$B$10*0.05)+SUMPRODUCT((Projects!$G$17:$G$46="Yes")*(30&gt;=Projects!$C$17:$C$46)*(30&lt;Projects!$C$17:$C$46+Projects!$D$17:$D$46)*Projects!$B$17:$B$46*Assumptions!$B$10/Projects!$D$17:$D$46*0.95)+SUMPRODUCT((Projects!$G$17:$G$46="Yes")*(30=Projects!$C$17:$C$46+Projects!$D$17:$D$46-1)*Projects!$B$17:$B$46*Assumptions!$B$10*0.05)+SUMPRODUCT((Projects!$G$8:$G$14="Yes")*(30&gt;=Projects!$C$8:$C$14)*(30&lt;Projects!$C$8:$C$14+Projects!$D$8:$D$14)*Projects!$B$8:$B$14*Assumptions!$B$12/Projects!$D$8:$D$14*0.95)+SUMPRODUCT((Projects!$G$8:$G$14="Yes")*(30=Projects!$C$8:$C$14+Projects!$D$8:$D$14-1)*Projects!$B$8:$B$14*Assumptions!$B$12*0.05)+SUMPRODUCT((Projects!$G$17:$G$46="Yes")*(30&gt;=Projects!$C$17:$C$46)*(30&lt;Projects!$C$17:$C$46+Projects!$D$17:$D$46)*Projects!$B$17:$B$46*Assumptions!$B$12/Projects!$D$17:$D$46*0.95)+SUMPRODUCT((Projects!$G$17:$G$46="Yes")*(30=Projects!$C$17:$C$46+Projects!$D$17:$D$46-1)*Projects!$B$17:$B$46*Assumptions!$B$12*0.05)+0+157724.98,Actuals!AI8)</f>
        <v>813280.8968058</v>
      </c>
      <c r="AI10" s="13" t="n">
        <f aca="false">IF(ISBLANK(Actuals!AJ8),0+SUMPRODUCT((Projects!$G$8:$G$14="Yes")*(31&gt;=Projects!$C$8:$C$14)*(31&lt;Projects!$C$8:$C$14+Projects!$D$8:$D$14)*Projects!$B$8:$B$14*Assumptions!$B$10/Projects!$D$8:$D$14*0.95)+SUMPRODUCT((Projects!$G$8:$G$14="Yes")*(31=Projects!$C$8:$C$14+Projects!$D$8:$D$14-1)*Projects!$B$8:$B$14*Assumptions!$B$10*0.05)+SUMPRODUCT((Projects!$G$17:$G$46="Yes")*(31&gt;=Projects!$C$17:$C$46)*(31&lt;Projects!$C$17:$C$46+Projects!$D$17:$D$46)*Projects!$B$17:$B$46*Assumptions!$B$10/Projects!$D$17:$D$46*0.95)+SUMPRODUCT((Projects!$G$17:$G$46="Yes")*(31=Projects!$C$17:$C$46+Projects!$D$17:$D$46-1)*Projects!$B$17:$B$46*Assumptions!$B$10*0.05)+SUMPRODUCT((Projects!$G$8:$G$14="Yes")*(31&gt;=Projects!$C$8:$C$14)*(31&lt;Projects!$C$8:$C$14+Projects!$D$8:$D$14)*Projects!$B$8:$B$14*Assumptions!$B$12/Projects!$D$8:$D$14*0.95)+SUMPRODUCT((Projects!$G$8:$G$14="Yes")*(31=Projects!$C$8:$C$14+Projects!$D$8:$D$14-1)*Projects!$B$8:$B$14*Assumptions!$B$12*0.05)+SUMPRODUCT((Projects!$G$17:$G$46="Yes")*(31&gt;=Projects!$C$17:$C$46)*(31&lt;Projects!$C$17:$C$46+Projects!$D$17:$D$46)*Projects!$B$17:$B$46*Assumptions!$B$12/Projects!$D$17:$D$46*0.95)+SUMPRODUCT((Projects!$G$17:$G$46="Yes")*(31=Projects!$C$17:$C$46+Projects!$D$17:$D$46-1)*Projects!$B$17:$B$46*Assumptions!$B$12*0.05)+0+154201.06,Actuals!AJ8)</f>
        <v>861353.2268058</v>
      </c>
      <c r="AJ10" s="13" t="n">
        <f aca="false">IF(ISBLANK(Actuals!AK8),0+SUMPRODUCT((Projects!$G$8:$G$14="Yes")*(32&gt;=Projects!$C$8:$C$14)*(32&lt;Projects!$C$8:$C$14+Projects!$D$8:$D$14)*Projects!$B$8:$B$14*Assumptions!$B$10/Projects!$D$8:$D$14*0.95)+SUMPRODUCT((Projects!$G$8:$G$14="Yes")*(32=Projects!$C$8:$C$14+Projects!$D$8:$D$14-1)*Projects!$B$8:$B$14*Assumptions!$B$10*0.05)+SUMPRODUCT((Projects!$G$17:$G$46="Yes")*(32&gt;=Projects!$C$17:$C$46)*(32&lt;Projects!$C$17:$C$46+Projects!$D$17:$D$46)*Projects!$B$17:$B$46*Assumptions!$B$10/Projects!$D$17:$D$46*0.95)+SUMPRODUCT((Projects!$G$17:$G$46="Yes")*(32=Projects!$C$17:$C$46+Projects!$D$17:$D$46-1)*Projects!$B$17:$B$46*Assumptions!$B$10*0.05)+SUMPRODUCT((Projects!$G$8:$G$14="Yes")*(32&gt;=Projects!$C$8:$C$14)*(32&lt;Projects!$C$8:$C$14+Projects!$D$8:$D$14)*Projects!$B$8:$B$14*Assumptions!$B$12/Projects!$D$8:$D$14*0.95)+SUMPRODUCT((Projects!$G$8:$G$14="Yes")*(32=Projects!$C$8:$C$14+Projects!$D$8:$D$14-1)*Projects!$B$8:$B$14*Assumptions!$B$12*0.05)+SUMPRODUCT((Projects!$G$17:$G$46="Yes")*(32&gt;=Projects!$C$17:$C$46)*(32&lt;Projects!$C$17:$C$46+Projects!$D$17:$D$46)*Projects!$B$17:$B$46*Assumptions!$B$12/Projects!$D$17:$D$46*0.95)+SUMPRODUCT((Projects!$G$17:$G$46="Yes")*(32=Projects!$C$17:$C$46+Projects!$D$17:$D$46-1)*Projects!$B$17:$B$46*Assumptions!$B$12*0.05)+0+84129.61,Actuals!AK8)</f>
        <v>968702.0867508</v>
      </c>
      <c r="AK10" s="13" t="n">
        <f aca="false">IF(ISBLANK(Actuals!AL8),0+SUMPRODUCT((Projects!$G$8:$G$14="Yes")*(33&gt;=Projects!$C$8:$C$14)*(33&lt;Projects!$C$8:$C$14+Projects!$D$8:$D$14)*Projects!$B$8:$B$14*Assumptions!$B$10/Projects!$D$8:$D$14*0.95)+SUMPRODUCT((Projects!$G$8:$G$14="Yes")*(33=Projects!$C$8:$C$14+Projects!$D$8:$D$14-1)*Projects!$B$8:$B$14*Assumptions!$B$10*0.05)+SUMPRODUCT((Projects!$G$17:$G$46="Yes")*(33&gt;=Projects!$C$17:$C$46)*(33&lt;Projects!$C$17:$C$46+Projects!$D$17:$D$46)*Projects!$B$17:$B$46*Assumptions!$B$10/Projects!$D$17:$D$46*0.95)+SUMPRODUCT((Projects!$G$17:$G$46="Yes")*(33=Projects!$C$17:$C$46+Projects!$D$17:$D$46-1)*Projects!$B$17:$B$46*Assumptions!$B$10*0.05)+SUMPRODUCT((Projects!$G$8:$G$14="Yes")*(33&gt;=Projects!$C$8:$C$14)*(33&lt;Projects!$C$8:$C$14+Projects!$D$8:$D$14)*Projects!$B$8:$B$14*Assumptions!$B$12/Projects!$D$8:$D$14*0.95)+SUMPRODUCT((Projects!$G$8:$G$14="Yes")*(33=Projects!$C$8:$C$14+Projects!$D$8:$D$14-1)*Projects!$B$8:$B$14*Assumptions!$B$12*0.05)+SUMPRODUCT((Projects!$G$17:$G$46="Yes")*(33&gt;=Projects!$C$17:$C$46)*(33&lt;Projects!$C$17:$C$46+Projects!$D$17:$D$46)*Projects!$B$17:$B$46*Assumptions!$B$12/Projects!$D$17:$D$46*0.95)+SUMPRODUCT((Projects!$G$17:$G$46="Yes")*(33=Projects!$C$17:$C$46+Projects!$D$17:$D$46-1)*Projects!$B$17:$B$46*Assumptions!$B$12*0.05)+0+69839.32,Actuals!AL8)</f>
        <v>808526.568028873</v>
      </c>
      <c r="AL10" s="13" t="n">
        <f aca="false">IF(ISBLANK(Actuals!AM8),0+SUMPRODUCT((Projects!$G$8:$G$14="Yes")*(34&gt;=Projects!$C$8:$C$14)*(34&lt;Projects!$C$8:$C$14+Projects!$D$8:$D$14)*Projects!$B$8:$B$14*Assumptions!$B$10/Projects!$D$8:$D$14*0.95)+SUMPRODUCT((Projects!$G$8:$G$14="Yes")*(34=Projects!$C$8:$C$14+Projects!$D$8:$D$14-1)*Projects!$B$8:$B$14*Assumptions!$B$10*0.05)+SUMPRODUCT((Projects!$G$17:$G$46="Yes")*(34&gt;=Projects!$C$17:$C$46)*(34&lt;Projects!$C$17:$C$46+Projects!$D$17:$D$46)*Projects!$B$17:$B$46*Assumptions!$B$10/Projects!$D$17:$D$46*0.95)+SUMPRODUCT((Projects!$G$17:$G$46="Yes")*(34=Projects!$C$17:$C$46+Projects!$D$17:$D$46-1)*Projects!$B$17:$B$46*Assumptions!$B$10*0.05)+SUMPRODUCT((Projects!$G$8:$G$14="Yes")*(34&gt;=Projects!$C$8:$C$14)*(34&lt;Projects!$C$8:$C$14+Projects!$D$8:$D$14)*Projects!$B$8:$B$14*Assumptions!$B$12/Projects!$D$8:$D$14*0.95)+SUMPRODUCT((Projects!$G$8:$G$14="Yes")*(34=Projects!$C$8:$C$14+Projects!$D$8:$D$14-1)*Projects!$B$8:$B$14*Assumptions!$B$12*0.05)+SUMPRODUCT((Projects!$G$17:$G$46="Yes")*(34&gt;=Projects!$C$17:$C$46)*(34&lt;Projects!$C$17:$C$46+Projects!$D$17:$D$46)*Projects!$B$17:$B$46*Assumptions!$B$12/Projects!$D$17:$D$46*0.95)+SUMPRODUCT((Projects!$G$17:$G$46="Yes")*(34=Projects!$C$17:$C$46+Projects!$D$17:$D$46-1)*Projects!$B$17:$B$46*Assumptions!$B$12*0.05)+0+78016.5,Actuals!AM8)</f>
        <v>853880.562589123</v>
      </c>
      <c r="AM10" s="13" t="n">
        <f aca="false">IF(ISBLANK(Actuals!AN8),0+SUMPRODUCT((Projects!$G$8:$G$14="Yes")*(35&gt;=Projects!$C$8:$C$14)*(35&lt;Projects!$C$8:$C$14+Projects!$D$8:$D$14)*Projects!$B$8:$B$14*Assumptions!$B$10/Projects!$D$8:$D$14*0.95)+SUMPRODUCT((Projects!$G$8:$G$14="Yes")*(35=Projects!$C$8:$C$14+Projects!$D$8:$D$14-1)*Projects!$B$8:$B$14*Assumptions!$B$10*0.05)+SUMPRODUCT((Projects!$G$17:$G$46="Yes")*(35&gt;=Projects!$C$17:$C$46)*(35&lt;Projects!$C$17:$C$46+Projects!$D$17:$D$46)*Projects!$B$17:$B$46*Assumptions!$B$10/Projects!$D$17:$D$46*0.95)+SUMPRODUCT((Projects!$G$17:$G$46="Yes")*(35=Projects!$C$17:$C$46+Projects!$D$17:$D$46-1)*Projects!$B$17:$B$46*Assumptions!$B$10*0.05)+SUMPRODUCT((Projects!$G$8:$G$14="Yes")*(35&gt;=Projects!$C$8:$C$14)*(35&lt;Projects!$C$8:$C$14+Projects!$D$8:$D$14)*Projects!$B$8:$B$14*Assumptions!$B$12/Projects!$D$8:$D$14*0.95)+SUMPRODUCT((Projects!$G$8:$G$14="Yes")*(35=Projects!$C$8:$C$14+Projects!$D$8:$D$14-1)*Projects!$B$8:$B$14*Assumptions!$B$12*0.05)+SUMPRODUCT((Projects!$G$17:$G$46="Yes")*(35&gt;=Projects!$C$17:$C$46)*(35&lt;Projects!$C$17:$C$46+Projects!$D$17:$D$46)*Projects!$B$17:$B$46*Assumptions!$B$12/Projects!$D$17:$D$46*0.95)+SUMPRODUCT((Projects!$G$17:$G$46="Yes")*(35=Projects!$C$17:$C$46+Projects!$D$17:$D$46-1)*Projects!$B$17:$B$46*Assumptions!$B$12*0.05)+0+84806.09,Actuals!AN8)</f>
        <v>795708.623253623</v>
      </c>
      <c r="AN10" s="13" t="n">
        <f aca="false">IF(ISBLANK(Actuals!AO8),0+SUMPRODUCT((Projects!$G$8:$G$14="Yes")*(36&gt;=Projects!$C$8:$C$14)*(36&lt;Projects!$C$8:$C$14+Projects!$D$8:$D$14)*Projects!$B$8:$B$14*Assumptions!$B$10/Projects!$D$8:$D$14*0.95)+SUMPRODUCT((Projects!$G$8:$G$14="Yes")*(36=Projects!$C$8:$C$14+Projects!$D$8:$D$14-1)*Projects!$B$8:$B$14*Assumptions!$B$10*0.05)+SUMPRODUCT((Projects!$G$17:$G$46="Yes")*(36&gt;=Projects!$C$17:$C$46)*(36&lt;Projects!$C$17:$C$46+Projects!$D$17:$D$46)*Projects!$B$17:$B$46*Assumptions!$B$10/Projects!$D$17:$D$46*0.95)+SUMPRODUCT((Projects!$G$17:$G$46="Yes")*(36=Projects!$C$17:$C$46+Projects!$D$17:$D$46-1)*Projects!$B$17:$B$46*Assumptions!$B$10*0.05)+SUMPRODUCT((Projects!$G$8:$G$14="Yes")*(36&gt;=Projects!$C$8:$C$14)*(36&lt;Projects!$C$8:$C$14+Projects!$D$8:$D$14)*Projects!$B$8:$B$14*Assumptions!$B$12/Projects!$D$8:$D$14*0.95)+SUMPRODUCT((Projects!$G$8:$G$14="Yes")*(36=Projects!$C$8:$C$14+Projects!$D$8:$D$14-1)*Projects!$B$8:$B$14*Assumptions!$B$12*0.05)+SUMPRODUCT((Projects!$G$17:$G$46="Yes")*(36&gt;=Projects!$C$17:$C$46)*(36&lt;Projects!$C$17:$C$46+Projects!$D$17:$D$46)*Projects!$B$17:$B$46*Assumptions!$B$12/Projects!$D$17:$D$46*0.95)+SUMPRODUCT((Projects!$G$17:$G$46="Yes")*(36=Projects!$C$17:$C$46+Projects!$D$17:$D$46-1)*Projects!$B$17:$B$46*Assumptions!$B$12*0.05)+0+22816.35,Actuals!AO8)</f>
        <v>785315.133253623</v>
      </c>
      <c r="AO10" s="13" t="n">
        <f aca="false">IF(ISBLANK(Actuals!AP8),0+SUMPRODUCT((Projects!$G$8:$G$14="Yes")*(37&gt;=Projects!$C$8:$C$14)*(37&lt;Projects!$C$8:$C$14+Projects!$D$8:$D$14)*Projects!$B$8:$B$14*Assumptions!$B$10/Projects!$D$8:$D$14*0.95)+SUMPRODUCT((Projects!$G$8:$G$14="Yes")*(37=Projects!$C$8:$C$14+Projects!$D$8:$D$14-1)*Projects!$B$8:$B$14*Assumptions!$B$10*0.05)+SUMPRODUCT((Projects!$G$17:$G$46="Yes")*(37&gt;=Projects!$C$17:$C$46)*(37&lt;Projects!$C$17:$C$46+Projects!$D$17:$D$46)*Projects!$B$17:$B$46*Assumptions!$B$10/Projects!$D$17:$D$46*0.95)+SUMPRODUCT((Projects!$G$17:$G$46="Yes")*(37=Projects!$C$17:$C$46+Projects!$D$17:$D$46-1)*Projects!$B$17:$B$46*Assumptions!$B$10*0.05)+SUMPRODUCT((Projects!$G$8:$G$14="Yes")*(37&gt;=Projects!$C$8:$C$14)*(37&lt;Projects!$C$8:$C$14+Projects!$D$8:$D$14)*Projects!$B$8:$B$14*Assumptions!$B$12/Projects!$D$8:$D$14*0.95)+SUMPRODUCT((Projects!$G$8:$G$14="Yes")*(37=Projects!$C$8:$C$14+Projects!$D$8:$D$14-1)*Projects!$B$8:$B$14*Assumptions!$B$12*0.05)+SUMPRODUCT((Projects!$G$17:$G$46="Yes")*(37&gt;=Projects!$C$17:$C$46)*(37&lt;Projects!$C$17:$C$46+Projects!$D$17:$D$46)*Projects!$B$17:$B$46*Assumptions!$B$12/Projects!$D$17:$D$46*0.95)+SUMPRODUCT((Projects!$G$17:$G$46="Yes")*(37=Projects!$C$17:$C$46+Projects!$D$17:$D$46-1)*Projects!$B$17:$B$46*Assumptions!$B$12*0.05)+0,Actuals!AP8)</f>
        <v>814095.033253623</v>
      </c>
      <c r="AP10" s="13" t="n">
        <f aca="false">IF(ISBLANK(Actuals!AQ8),0+SUMPRODUCT((Projects!$G$8:$G$14="Yes")*(38&gt;=Projects!$C$8:$C$14)*(38&lt;Projects!$C$8:$C$14+Projects!$D$8:$D$14)*Projects!$B$8:$B$14*Assumptions!$B$10/Projects!$D$8:$D$14*0.95)+SUMPRODUCT((Projects!$G$8:$G$14="Yes")*(38=Projects!$C$8:$C$14+Projects!$D$8:$D$14-1)*Projects!$B$8:$B$14*Assumptions!$B$10*0.05)+SUMPRODUCT((Projects!$G$17:$G$46="Yes")*(38&gt;=Projects!$C$17:$C$46)*(38&lt;Projects!$C$17:$C$46+Projects!$D$17:$D$46)*Projects!$B$17:$B$46*Assumptions!$B$10/Projects!$D$17:$D$46*0.95)+SUMPRODUCT((Projects!$G$17:$G$46="Yes")*(38=Projects!$C$17:$C$46+Projects!$D$17:$D$46-1)*Projects!$B$17:$B$46*Assumptions!$B$10*0.05)+SUMPRODUCT((Projects!$G$8:$G$14="Yes")*(38&gt;=Projects!$C$8:$C$14)*(38&lt;Projects!$C$8:$C$14+Projects!$D$8:$D$14)*Projects!$B$8:$B$14*Assumptions!$B$12/Projects!$D$8:$D$14*0.95)+SUMPRODUCT((Projects!$G$8:$G$14="Yes")*(38=Projects!$C$8:$C$14+Projects!$D$8:$D$14-1)*Projects!$B$8:$B$14*Assumptions!$B$12*0.05)+SUMPRODUCT((Projects!$G$17:$G$46="Yes")*(38&gt;=Projects!$C$17:$C$46)*(38&lt;Projects!$C$17:$C$46+Projects!$D$17:$D$46)*Projects!$B$17:$B$46*Assumptions!$B$12/Projects!$D$17:$D$46*0.95)+SUMPRODUCT((Projects!$G$17:$G$46="Yes")*(38=Projects!$C$17:$C$46+Projects!$D$17:$D$46-1)*Projects!$B$17:$B$46*Assumptions!$B$12*0.05)+0,Actuals!AQ8)</f>
        <v>876010.533253623</v>
      </c>
      <c r="AQ10" s="13" t="n">
        <f aca="false">IF(ISBLANK(Actuals!AR8),0+SUMPRODUCT((Projects!$G$8:$G$14="Yes")*(39&gt;=Projects!$C$8:$C$14)*(39&lt;Projects!$C$8:$C$14+Projects!$D$8:$D$14)*Projects!$B$8:$B$14*Assumptions!$B$10/Projects!$D$8:$D$14*0.95)+SUMPRODUCT((Projects!$G$8:$G$14="Yes")*(39=Projects!$C$8:$C$14+Projects!$D$8:$D$14-1)*Projects!$B$8:$B$14*Assumptions!$B$10*0.05)+SUMPRODUCT((Projects!$G$17:$G$46="Yes")*(39&gt;=Projects!$C$17:$C$46)*(39&lt;Projects!$C$17:$C$46+Projects!$D$17:$D$46)*Projects!$B$17:$B$46*Assumptions!$B$10/Projects!$D$17:$D$46*0.95)+SUMPRODUCT((Projects!$G$17:$G$46="Yes")*(39=Projects!$C$17:$C$46+Projects!$D$17:$D$46-1)*Projects!$B$17:$B$46*Assumptions!$B$10*0.05)+SUMPRODUCT((Projects!$G$8:$G$14="Yes")*(39&gt;=Projects!$C$8:$C$14)*(39&lt;Projects!$C$8:$C$14+Projects!$D$8:$D$14)*Projects!$B$8:$B$14*Assumptions!$B$12/Projects!$D$8:$D$14*0.95)+SUMPRODUCT((Projects!$G$8:$G$14="Yes")*(39=Projects!$C$8:$C$14+Projects!$D$8:$D$14-1)*Projects!$B$8:$B$14*Assumptions!$B$12*0.05)+SUMPRODUCT((Projects!$G$17:$G$46="Yes")*(39&gt;=Projects!$C$17:$C$46)*(39&lt;Projects!$C$17:$C$46+Projects!$D$17:$D$46)*Projects!$B$17:$B$46*Assumptions!$B$12/Projects!$D$17:$D$46*0.95)+SUMPRODUCT((Projects!$G$17:$G$46="Yes")*(39=Projects!$C$17:$C$46+Projects!$D$17:$D$46-1)*Projects!$B$17:$B$46*Assumptions!$B$12*0.05)+0,Actuals!AR8)</f>
        <v>927606.783253623</v>
      </c>
      <c r="AR10" s="13" t="n">
        <f aca="false">IF(ISBLANK(Actuals!AS8),0+SUMPRODUCT((Projects!$G$8:$G$14="Yes")*(40&gt;=Projects!$C$8:$C$14)*(40&lt;Projects!$C$8:$C$14+Projects!$D$8:$D$14)*Projects!$B$8:$B$14*Assumptions!$B$10/Projects!$D$8:$D$14*0.95)+SUMPRODUCT((Projects!$G$8:$G$14="Yes")*(40=Projects!$C$8:$C$14+Projects!$D$8:$D$14-1)*Projects!$B$8:$B$14*Assumptions!$B$10*0.05)+SUMPRODUCT((Projects!$G$17:$G$46="Yes")*(40&gt;=Projects!$C$17:$C$46)*(40&lt;Projects!$C$17:$C$46+Projects!$D$17:$D$46)*Projects!$B$17:$B$46*Assumptions!$B$10/Projects!$D$17:$D$46*0.95)+SUMPRODUCT((Projects!$G$17:$G$46="Yes")*(40=Projects!$C$17:$C$46+Projects!$D$17:$D$46-1)*Projects!$B$17:$B$46*Assumptions!$B$10*0.05)+SUMPRODUCT((Projects!$G$8:$G$14="Yes")*(40&gt;=Projects!$C$8:$C$14)*(40&lt;Projects!$C$8:$C$14+Projects!$D$8:$D$14)*Projects!$B$8:$B$14*Assumptions!$B$12/Projects!$D$8:$D$14*0.95)+SUMPRODUCT((Projects!$G$8:$G$14="Yes")*(40=Projects!$C$8:$C$14+Projects!$D$8:$D$14-1)*Projects!$B$8:$B$14*Assumptions!$B$12*0.05)+SUMPRODUCT((Projects!$G$17:$G$46="Yes")*(40&gt;=Projects!$C$17:$C$46)*(40&lt;Projects!$C$17:$C$46+Projects!$D$17:$D$46)*Projects!$B$17:$B$46*Assumptions!$B$12/Projects!$D$17:$D$46*0.95)+SUMPRODUCT((Projects!$G$17:$G$46="Yes")*(40=Projects!$C$17:$C$46+Projects!$D$17:$D$46-1)*Projects!$B$17:$B$46*Assumptions!$B$12*0.05)+0,Actuals!AS8)</f>
        <v>927606.783253623</v>
      </c>
      <c r="AS10" s="13" t="n">
        <f aca="false">IF(ISBLANK(Actuals!AT8),0+SUMPRODUCT((Projects!$G$8:$G$14="Yes")*(41&gt;=Projects!$C$8:$C$14)*(41&lt;Projects!$C$8:$C$14+Projects!$D$8:$D$14)*Projects!$B$8:$B$14*Assumptions!$B$10/Projects!$D$8:$D$14*0.95)+SUMPRODUCT((Projects!$G$8:$G$14="Yes")*(41=Projects!$C$8:$C$14+Projects!$D$8:$D$14-1)*Projects!$B$8:$B$14*Assumptions!$B$10*0.05)+SUMPRODUCT((Projects!$G$17:$G$46="Yes")*(41&gt;=Projects!$C$17:$C$46)*(41&lt;Projects!$C$17:$C$46+Projects!$D$17:$D$46)*Projects!$B$17:$B$46*Assumptions!$B$10/Projects!$D$17:$D$46*0.95)+SUMPRODUCT((Projects!$G$17:$G$46="Yes")*(41=Projects!$C$17:$C$46+Projects!$D$17:$D$46-1)*Projects!$B$17:$B$46*Assumptions!$B$10*0.05)+SUMPRODUCT((Projects!$G$8:$G$14="Yes")*(41&gt;=Projects!$C$8:$C$14)*(41&lt;Projects!$C$8:$C$14+Projects!$D$8:$D$14)*Projects!$B$8:$B$14*Assumptions!$B$12/Projects!$D$8:$D$14*0.95)+SUMPRODUCT((Projects!$G$8:$G$14="Yes")*(41=Projects!$C$8:$C$14+Projects!$D$8:$D$14-1)*Projects!$B$8:$B$14*Assumptions!$B$12*0.05)+SUMPRODUCT((Projects!$G$17:$G$46="Yes")*(41&gt;=Projects!$C$17:$C$46)*(41&lt;Projects!$C$17:$C$46+Projects!$D$17:$D$46)*Projects!$B$17:$B$46*Assumptions!$B$12/Projects!$D$17:$D$46*0.95)+SUMPRODUCT((Projects!$G$17:$G$46="Yes")*(41=Projects!$C$17:$C$46+Projects!$D$17:$D$46-1)*Projects!$B$17:$B$46*Assumptions!$B$12*0.05)+0,Actuals!AT8)</f>
        <v>927606.783253623</v>
      </c>
      <c r="AT10" s="13" t="n">
        <f aca="false">IF(ISBLANK(Actuals!AU8),0+SUMPRODUCT((Projects!$G$8:$G$14="Yes")*(42&gt;=Projects!$C$8:$C$14)*(42&lt;Projects!$C$8:$C$14+Projects!$D$8:$D$14)*Projects!$B$8:$B$14*Assumptions!$B$10/Projects!$D$8:$D$14*0.95)+SUMPRODUCT((Projects!$G$8:$G$14="Yes")*(42=Projects!$C$8:$C$14+Projects!$D$8:$D$14-1)*Projects!$B$8:$B$14*Assumptions!$B$10*0.05)+SUMPRODUCT((Projects!$G$17:$G$46="Yes")*(42&gt;=Projects!$C$17:$C$46)*(42&lt;Projects!$C$17:$C$46+Projects!$D$17:$D$46)*Projects!$B$17:$B$46*Assumptions!$B$10/Projects!$D$17:$D$46*0.95)+SUMPRODUCT((Projects!$G$17:$G$46="Yes")*(42=Projects!$C$17:$C$46+Projects!$D$17:$D$46-1)*Projects!$B$17:$B$46*Assumptions!$B$10*0.05)+SUMPRODUCT((Projects!$G$8:$G$14="Yes")*(42&gt;=Projects!$C$8:$C$14)*(42&lt;Projects!$C$8:$C$14+Projects!$D$8:$D$14)*Projects!$B$8:$B$14*Assumptions!$B$12/Projects!$D$8:$D$14*0.95)+SUMPRODUCT((Projects!$G$8:$G$14="Yes")*(42=Projects!$C$8:$C$14+Projects!$D$8:$D$14-1)*Projects!$B$8:$B$14*Assumptions!$B$12*0.05)+SUMPRODUCT((Projects!$G$17:$G$46="Yes")*(42&gt;=Projects!$C$17:$C$46)*(42&lt;Projects!$C$17:$C$46+Projects!$D$17:$D$46)*Projects!$B$17:$B$46*Assumptions!$B$12/Projects!$D$17:$D$46*0.95)+SUMPRODUCT((Projects!$G$17:$G$46="Yes")*(42=Projects!$C$17:$C$46+Projects!$D$17:$D$46-1)*Projects!$B$17:$B$46*Assumptions!$B$12*0.05)+0,Actuals!AU8)</f>
        <v>1145228.65536112</v>
      </c>
      <c r="AU10" s="13" t="n">
        <f aca="false">IF(ISBLANK(Actuals!AV8),0+SUMPRODUCT((Projects!$G$8:$G$14="Yes")*(43&gt;=Projects!$C$8:$C$14)*(43&lt;Projects!$C$8:$C$14+Projects!$D$8:$D$14)*Projects!$B$8:$B$14*Assumptions!$B$10/Projects!$D$8:$D$14*0.95)+SUMPRODUCT((Projects!$G$8:$G$14="Yes")*(43=Projects!$C$8:$C$14+Projects!$D$8:$D$14-1)*Projects!$B$8:$B$14*Assumptions!$B$10*0.05)+SUMPRODUCT((Projects!$G$17:$G$46="Yes")*(43&gt;=Projects!$C$17:$C$46)*(43&lt;Projects!$C$17:$C$46+Projects!$D$17:$D$46)*Projects!$B$17:$B$46*Assumptions!$B$10/Projects!$D$17:$D$46*0.95)+SUMPRODUCT((Projects!$G$17:$G$46="Yes")*(43=Projects!$C$17:$C$46+Projects!$D$17:$D$46-1)*Projects!$B$17:$B$46*Assumptions!$B$10*0.05)+SUMPRODUCT((Projects!$G$8:$G$14="Yes")*(43&gt;=Projects!$C$8:$C$14)*(43&lt;Projects!$C$8:$C$14+Projects!$D$8:$D$14)*Projects!$B$8:$B$14*Assumptions!$B$12/Projects!$D$8:$D$14*0.95)+SUMPRODUCT((Projects!$G$8:$G$14="Yes")*(43=Projects!$C$8:$C$14+Projects!$D$8:$D$14-1)*Projects!$B$8:$B$14*Assumptions!$B$12*0.05)+SUMPRODUCT((Projects!$G$17:$G$46="Yes")*(43&gt;=Projects!$C$17:$C$46)*(43&lt;Projects!$C$17:$C$46+Projects!$D$17:$D$46)*Projects!$B$17:$B$46*Assumptions!$B$12/Projects!$D$17:$D$46*0.95)+SUMPRODUCT((Projects!$G$17:$G$46="Yes")*(43=Projects!$C$17:$C$46+Projects!$D$17:$D$46-1)*Projects!$B$17:$B$46*Assumptions!$B$12*0.05)+0,Actuals!AV8)</f>
        <v>915077.068198094</v>
      </c>
      <c r="AV10" s="13" t="n">
        <f aca="false">IF(ISBLANK(Actuals!AW8),0+SUMPRODUCT((Projects!$G$8:$G$14="Yes")*(44&gt;=Projects!$C$8:$C$14)*(44&lt;Projects!$C$8:$C$14+Projects!$D$8:$D$14)*Projects!$B$8:$B$14*Assumptions!$B$10/Projects!$D$8:$D$14*0.95)+SUMPRODUCT((Projects!$G$8:$G$14="Yes")*(44=Projects!$C$8:$C$14+Projects!$D$8:$D$14-1)*Projects!$B$8:$B$14*Assumptions!$B$10*0.05)+SUMPRODUCT((Projects!$G$17:$G$46="Yes")*(44&gt;=Projects!$C$17:$C$46)*(44&lt;Projects!$C$17:$C$46+Projects!$D$17:$D$46)*Projects!$B$17:$B$46*Assumptions!$B$10/Projects!$D$17:$D$46*0.95)+SUMPRODUCT((Projects!$G$17:$G$46="Yes")*(44=Projects!$C$17:$C$46+Projects!$D$17:$D$46-1)*Projects!$B$17:$B$46*Assumptions!$B$10*0.05)+SUMPRODUCT((Projects!$G$8:$G$14="Yes")*(44&gt;=Projects!$C$8:$C$14)*(44&lt;Projects!$C$8:$C$14+Projects!$D$8:$D$14)*Projects!$B$8:$B$14*Assumptions!$B$12/Projects!$D$8:$D$14*0.95)+SUMPRODUCT((Projects!$G$8:$G$14="Yes")*(44=Projects!$C$8:$C$14+Projects!$D$8:$D$14-1)*Projects!$B$8:$B$14*Assumptions!$B$12*0.05)+SUMPRODUCT((Projects!$G$17:$G$46="Yes")*(44&gt;=Projects!$C$17:$C$46)*(44&lt;Projects!$C$17:$C$46+Projects!$D$17:$D$46)*Projects!$B$17:$B$46*Assumptions!$B$12/Projects!$D$17:$D$46*0.95)+SUMPRODUCT((Projects!$G$17:$G$46="Yes")*(44=Projects!$C$17:$C$46+Projects!$D$17:$D$46-1)*Projects!$B$17:$B$46*Assumptions!$B$12*0.05)+0,Actuals!AW8)</f>
        <v>812438.910433933</v>
      </c>
      <c r="AW10" s="13" t="n">
        <f aca="false">IF(ISBLANK(Actuals!AX8),0+SUMPRODUCT((Projects!$G$8:$G$14="Yes")*(45&gt;=Projects!$C$8:$C$14)*(45&lt;Projects!$C$8:$C$14+Projects!$D$8:$D$14)*Projects!$B$8:$B$14*Assumptions!$B$10/Projects!$D$8:$D$14*0.95)+SUMPRODUCT((Projects!$G$8:$G$14="Yes")*(45=Projects!$C$8:$C$14+Projects!$D$8:$D$14-1)*Projects!$B$8:$B$14*Assumptions!$B$10*0.05)+SUMPRODUCT((Projects!$G$17:$G$46="Yes")*(45&gt;=Projects!$C$17:$C$46)*(45&lt;Projects!$C$17:$C$46+Projects!$D$17:$D$46)*Projects!$B$17:$B$46*Assumptions!$B$10/Projects!$D$17:$D$46*0.95)+SUMPRODUCT((Projects!$G$17:$G$46="Yes")*(45=Projects!$C$17:$C$46+Projects!$D$17:$D$46-1)*Projects!$B$17:$B$46*Assumptions!$B$10*0.05)+SUMPRODUCT((Projects!$G$8:$G$14="Yes")*(45&gt;=Projects!$C$8:$C$14)*(45&lt;Projects!$C$8:$C$14+Projects!$D$8:$D$14)*Projects!$B$8:$B$14*Assumptions!$B$12/Projects!$D$8:$D$14*0.95)+SUMPRODUCT((Projects!$G$8:$G$14="Yes")*(45=Projects!$C$8:$C$14+Projects!$D$8:$D$14-1)*Projects!$B$8:$B$14*Assumptions!$B$12*0.05)+SUMPRODUCT((Projects!$G$17:$G$46="Yes")*(45&gt;=Projects!$C$17:$C$46)*(45&lt;Projects!$C$17:$C$46+Projects!$D$17:$D$46)*Projects!$B$17:$B$46*Assumptions!$B$12/Projects!$D$17:$D$46*0.95)+SUMPRODUCT((Projects!$G$17:$G$46="Yes")*(45=Projects!$C$17:$C$46+Projects!$D$17:$D$46-1)*Projects!$B$17:$B$46*Assumptions!$B$12*0.05)+0,Actuals!AX8)</f>
        <v>812438.910433933</v>
      </c>
      <c r="AX10" s="13" t="n">
        <f aca="false">IF(ISBLANK(Actuals!AY8),0+SUMPRODUCT((Projects!$G$8:$G$14="Yes")*(46&gt;=Projects!$C$8:$C$14)*(46&lt;Projects!$C$8:$C$14+Projects!$D$8:$D$14)*Projects!$B$8:$B$14*Assumptions!$B$10/Projects!$D$8:$D$14*0.95)+SUMPRODUCT((Projects!$G$8:$G$14="Yes")*(46=Projects!$C$8:$C$14+Projects!$D$8:$D$14-1)*Projects!$B$8:$B$14*Assumptions!$B$10*0.05)+SUMPRODUCT((Projects!$G$17:$G$46="Yes")*(46&gt;=Projects!$C$17:$C$46)*(46&lt;Projects!$C$17:$C$46+Projects!$D$17:$D$46)*Projects!$B$17:$B$46*Assumptions!$B$10/Projects!$D$17:$D$46*0.95)+SUMPRODUCT((Projects!$G$17:$G$46="Yes")*(46=Projects!$C$17:$C$46+Projects!$D$17:$D$46-1)*Projects!$B$17:$B$46*Assumptions!$B$10*0.05)+SUMPRODUCT((Projects!$G$8:$G$14="Yes")*(46&gt;=Projects!$C$8:$C$14)*(46&lt;Projects!$C$8:$C$14+Projects!$D$8:$D$14)*Projects!$B$8:$B$14*Assumptions!$B$12/Projects!$D$8:$D$14*0.95)+SUMPRODUCT((Projects!$G$8:$G$14="Yes")*(46=Projects!$C$8:$C$14+Projects!$D$8:$D$14-1)*Projects!$B$8:$B$14*Assumptions!$B$12*0.05)+SUMPRODUCT((Projects!$G$17:$G$46="Yes")*(46&gt;=Projects!$C$17:$C$46)*(46&lt;Projects!$C$17:$C$46+Projects!$D$17:$D$46)*Projects!$B$17:$B$46*Assumptions!$B$12/Projects!$D$17:$D$46*0.95)+SUMPRODUCT((Projects!$G$17:$G$46="Yes")*(46=Projects!$C$17:$C$46+Projects!$D$17:$D$46-1)*Projects!$B$17:$B$46*Assumptions!$B$12*0.05)+0,Actuals!AY8)</f>
        <v>812438.910433933</v>
      </c>
      <c r="AY10" s="13" t="n">
        <f aca="false">IF(ISBLANK(Actuals!AZ8),0+SUMPRODUCT((Projects!$G$8:$G$14="Yes")*(47&gt;=Projects!$C$8:$C$14)*(47&lt;Projects!$C$8:$C$14+Projects!$D$8:$D$14)*Projects!$B$8:$B$14*Assumptions!$B$10/Projects!$D$8:$D$14*0.95)+SUMPRODUCT((Projects!$G$8:$G$14="Yes")*(47=Projects!$C$8:$C$14+Projects!$D$8:$D$14-1)*Projects!$B$8:$B$14*Assumptions!$B$10*0.05)+SUMPRODUCT((Projects!$G$17:$G$46="Yes")*(47&gt;=Projects!$C$17:$C$46)*(47&lt;Projects!$C$17:$C$46+Projects!$D$17:$D$46)*Projects!$B$17:$B$46*Assumptions!$B$10/Projects!$D$17:$D$46*0.95)+SUMPRODUCT((Projects!$G$17:$G$46="Yes")*(47=Projects!$C$17:$C$46+Projects!$D$17:$D$46-1)*Projects!$B$17:$B$46*Assumptions!$B$10*0.05)+SUMPRODUCT((Projects!$G$8:$G$14="Yes")*(47&gt;=Projects!$C$8:$C$14)*(47&lt;Projects!$C$8:$C$14+Projects!$D$8:$D$14)*Projects!$B$8:$B$14*Assumptions!$B$12/Projects!$D$8:$D$14*0.95)+SUMPRODUCT((Projects!$G$8:$G$14="Yes")*(47=Projects!$C$8:$C$14+Projects!$D$8:$D$14-1)*Projects!$B$8:$B$14*Assumptions!$B$12*0.05)+SUMPRODUCT((Projects!$G$17:$G$46="Yes")*(47&gt;=Projects!$C$17:$C$46)*(47&lt;Projects!$C$17:$C$46+Projects!$D$17:$D$46)*Projects!$B$17:$B$46*Assumptions!$B$12/Projects!$D$17:$D$46*0.95)+SUMPRODUCT((Projects!$G$17:$G$46="Yes")*(47=Projects!$C$17:$C$46+Projects!$D$17:$D$46-1)*Projects!$B$17:$B$46*Assumptions!$B$12*0.05)+0,Actuals!AZ8)</f>
        <v>874354.410433933</v>
      </c>
      <c r="AZ10" s="13" t="n">
        <f aca="false">IF(ISBLANK(Actuals!BA8),0+SUMPRODUCT((Projects!$G$8:$G$14="Yes")*(48&gt;=Projects!$C$8:$C$14)*(48&lt;Projects!$C$8:$C$14+Projects!$D$8:$D$14)*Projects!$B$8:$B$14*Assumptions!$B$10/Projects!$D$8:$D$14*0.95)+SUMPRODUCT((Projects!$G$8:$G$14="Yes")*(48=Projects!$C$8:$C$14+Projects!$D$8:$D$14-1)*Projects!$B$8:$B$14*Assumptions!$B$10*0.05)+SUMPRODUCT((Projects!$G$17:$G$46="Yes")*(48&gt;=Projects!$C$17:$C$46)*(48&lt;Projects!$C$17:$C$46+Projects!$D$17:$D$46)*Projects!$B$17:$B$46*Assumptions!$B$10/Projects!$D$17:$D$46*0.95)+SUMPRODUCT((Projects!$G$17:$G$46="Yes")*(48=Projects!$C$17:$C$46+Projects!$D$17:$D$46-1)*Projects!$B$17:$B$46*Assumptions!$B$10*0.05)+SUMPRODUCT((Projects!$G$8:$G$14="Yes")*(48&gt;=Projects!$C$8:$C$14)*(48&lt;Projects!$C$8:$C$14+Projects!$D$8:$D$14)*Projects!$B$8:$B$14*Assumptions!$B$12/Projects!$D$8:$D$14*0.95)+SUMPRODUCT((Projects!$G$8:$G$14="Yes")*(48=Projects!$C$8:$C$14+Projects!$D$8:$D$14-1)*Projects!$B$8:$B$14*Assumptions!$B$12*0.05)+SUMPRODUCT((Projects!$G$17:$G$46="Yes")*(48&gt;=Projects!$C$17:$C$46)*(48&lt;Projects!$C$17:$C$46+Projects!$D$17:$D$46)*Projects!$B$17:$B$46*Assumptions!$B$12/Projects!$D$17:$D$46*0.95)+SUMPRODUCT((Projects!$G$17:$G$46="Yes")*(48=Projects!$C$17:$C$46+Projects!$D$17:$D$46-1)*Projects!$B$17:$B$46*Assumptions!$B$12*0.05)+0,Actuals!BA8)</f>
        <v>864035.160433933</v>
      </c>
      <c r="BA10" s="13" t="n">
        <f aca="false">IF(ISBLANK(Actuals!BB8),0+SUMPRODUCT((Projects!$G$8:$G$14="Yes")*(49&gt;=Projects!$C$8:$C$14)*(49&lt;Projects!$C$8:$C$14+Projects!$D$8:$D$14)*Projects!$B$8:$B$14*Assumptions!$B$10/Projects!$D$8:$D$14*0.95)+SUMPRODUCT((Projects!$G$8:$G$14="Yes")*(49=Projects!$C$8:$C$14+Projects!$D$8:$D$14-1)*Projects!$B$8:$B$14*Assumptions!$B$10*0.05)+SUMPRODUCT((Projects!$G$17:$G$46="Yes")*(49&gt;=Projects!$C$17:$C$46)*(49&lt;Projects!$C$17:$C$46+Projects!$D$17:$D$46)*Projects!$B$17:$B$46*Assumptions!$B$10/Projects!$D$17:$D$46*0.95)+SUMPRODUCT((Projects!$G$17:$G$46="Yes")*(49=Projects!$C$17:$C$46+Projects!$D$17:$D$46-1)*Projects!$B$17:$B$46*Assumptions!$B$10*0.05)+SUMPRODUCT((Projects!$G$8:$G$14="Yes")*(49&gt;=Projects!$C$8:$C$14)*(49&lt;Projects!$C$8:$C$14+Projects!$D$8:$D$14)*Projects!$B$8:$B$14*Assumptions!$B$12/Projects!$D$8:$D$14*0.95)+SUMPRODUCT((Projects!$G$8:$G$14="Yes")*(49=Projects!$C$8:$C$14+Projects!$D$8:$D$14-1)*Projects!$B$8:$B$14*Assumptions!$B$12*0.05)+SUMPRODUCT((Projects!$G$17:$G$46="Yes")*(49&gt;=Projects!$C$17:$C$46)*(49&lt;Projects!$C$17:$C$46+Projects!$D$17:$D$46)*Projects!$B$17:$B$46*Assumptions!$B$12/Projects!$D$17:$D$46*0.95)+SUMPRODUCT((Projects!$G$17:$G$46="Yes")*(49=Projects!$C$17:$C$46+Projects!$D$17:$D$46-1)*Projects!$B$17:$B$46*Assumptions!$B$12*0.05)+0,Actuals!BB8)</f>
        <v>853715.910433933</v>
      </c>
      <c r="BB10" s="13" t="n">
        <f aca="false">IF(ISBLANK(Actuals!BC8),0+SUMPRODUCT((Projects!$G$8:$G$14="Yes")*(50&gt;=Projects!$C$8:$C$14)*(50&lt;Projects!$C$8:$C$14+Projects!$D$8:$D$14)*Projects!$B$8:$B$14*Assumptions!$B$10/Projects!$D$8:$D$14*0.95)+SUMPRODUCT((Projects!$G$8:$G$14="Yes")*(50=Projects!$C$8:$C$14+Projects!$D$8:$D$14-1)*Projects!$B$8:$B$14*Assumptions!$B$10*0.05)+SUMPRODUCT((Projects!$G$17:$G$46="Yes")*(50&gt;=Projects!$C$17:$C$46)*(50&lt;Projects!$C$17:$C$46+Projects!$D$17:$D$46)*Projects!$B$17:$B$46*Assumptions!$B$10/Projects!$D$17:$D$46*0.95)+SUMPRODUCT((Projects!$G$17:$G$46="Yes")*(50=Projects!$C$17:$C$46+Projects!$D$17:$D$46-1)*Projects!$B$17:$B$46*Assumptions!$B$10*0.05)+SUMPRODUCT((Projects!$G$8:$G$14="Yes")*(50&gt;=Projects!$C$8:$C$14)*(50&lt;Projects!$C$8:$C$14+Projects!$D$8:$D$14)*Projects!$B$8:$B$14*Assumptions!$B$12/Projects!$D$8:$D$14*0.95)+SUMPRODUCT((Projects!$G$8:$G$14="Yes")*(50=Projects!$C$8:$C$14+Projects!$D$8:$D$14-1)*Projects!$B$8:$B$14*Assumptions!$B$12*0.05)+SUMPRODUCT((Projects!$G$17:$G$46="Yes")*(50&gt;=Projects!$C$17:$C$46)*(50&lt;Projects!$C$17:$C$46+Projects!$D$17:$D$46)*Projects!$B$17:$B$46*Assumptions!$B$12/Projects!$D$17:$D$46*0.95)+SUMPRODUCT((Projects!$G$17:$G$46="Yes")*(50=Projects!$C$17:$C$46+Projects!$D$17:$D$46-1)*Projects!$B$17:$B$46*Assumptions!$B$12*0.05)+0,Actuals!BC8)</f>
        <v>853715.910433933</v>
      </c>
      <c r="BC10" s="13" t="n">
        <f aca="false">IF(ISBLANK(Actuals!BD8),0+SUMPRODUCT((Projects!$G$8:$G$14="Yes")*(51&gt;=Projects!$C$8:$C$14)*(51&lt;Projects!$C$8:$C$14+Projects!$D$8:$D$14)*Projects!$B$8:$B$14*Assumptions!$B$10/Projects!$D$8:$D$14*0.95)+SUMPRODUCT((Projects!$G$8:$G$14="Yes")*(51=Projects!$C$8:$C$14+Projects!$D$8:$D$14-1)*Projects!$B$8:$B$14*Assumptions!$B$10*0.05)+SUMPRODUCT((Projects!$G$17:$G$46="Yes")*(51&gt;=Projects!$C$17:$C$46)*(51&lt;Projects!$C$17:$C$46+Projects!$D$17:$D$46)*Projects!$B$17:$B$46*Assumptions!$B$10/Projects!$D$17:$D$46*0.95)+SUMPRODUCT((Projects!$G$17:$G$46="Yes")*(51=Projects!$C$17:$C$46+Projects!$D$17:$D$46-1)*Projects!$B$17:$B$46*Assumptions!$B$10*0.05)+SUMPRODUCT((Projects!$G$8:$G$14="Yes")*(51&gt;=Projects!$C$8:$C$14)*(51&lt;Projects!$C$8:$C$14+Projects!$D$8:$D$14)*Projects!$B$8:$B$14*Assumptions!$B$12/Projects!$D$8:$D$14*0.95)+SUMPRODUCT((Projects!$G$8:$G$14="Yes")*(51=Projects!$C$8:$C$14+Projects!$D$8:$D$14-1)*Projects!$B$8:$B$14*Assumptions!$B$12*0.05)+SUMPRODUCT((Projects!$G$17:$G$46="Yes")*(51&gt;=Projects!$C$17:$C$46)*(51&lt;Projects!$C$17:$C$46+Projects!$D$17:$D$46)*Projects!$B$17:$B$46*Assumptions!$B$12/Projects!$D$17:$D$46*0.95)+SUMPRODUCT((Projects!$G$17:$G$46="Yes")*(51=Projects!$C$17:$C$46+Projects!$D$17:$D$46-1)*Projects!$B$17:$B$46*Assumptions!$B$12*0.05)+0,Actuals!BD8)</f>
        <v>853715.910433933</v>
      </c>
      <c r="BD10" s="13" t="n">
        <f aca="false">IF(ISBLANK(Actuals!BE8),0+SUMPRODUCT((Projects!$G$8:$G$14="Yes")*(52&gt;=Projects!$C$8:$C$14)*(52&lt;Projects!$C$8:$C$14+Projects!$D$8:$D$14)*Projects!$B$8:$B$14*Assumptions!$B$10/Projects!$D$8:$D$14*0.95)+SUMPRODUCT((Projects!$G$8:$G$14="Yes")*(52=Projects!$C$8:$C$14+Projects!$D$8:$D$14-1)*Projects!$B$8:$B$14*Assumptions!$B$10*0.05)+SUMPRODUCT((Projects!$G$17:$G$46="Yes")*(52&gt;=Projects!$C$17:$C$46)*(52&lt;Projects!$C$17:$C$46+Projects!$D$17:$D$46)*Projects!$B$17:$B$46*Assumptions!$B$10/Projects!$D$17:$D$46*0.95)+SUMPRODUCT((Projects!$G$17:$G$46="Yes")*(52=Projects!$C$17:$C$46+Projects!$D$17:$D$46-1)*Projects!$B$17:$B$46*Assumptions!$B$10*0.05)+SUMPRODUCT((Projects!$G$8:$G$14="Yes")*(52&gt;=Projects!$C$8:$C$14)*(52&lt;Projects!$C$8:$C$14+Projects!$D$8:$D$14)*Projects!$B$8:$B$14*Assumptions!$B$12/Projects!$D$8:$D$14*0.95)+SUMPRODUCT((Projects!$G$8:$G$14="Yes")*(52=Projects!$C$8:$C$14+Projects!$D$8:$D$14-1)*Projects!$B$8:$B$14*Assumptions!$B$12*0.05)+SUMPRODUCT((Projects!$G$17:$G$46="Yes")*(52&gt;=Projects!$C$17:$C$46)*(52&lt;Projects!$C$17:$C$46+Projects!$D$17:$D$46)*Projects!$B$17:$B$46*Assumptions!$B$12/Projects!$D$17:$D$46*0.95)+SUMPRODUCT((Projects!$G$17:$G$46="Yes")*(52=Projects!$C$17:$C$46+Projects!$D$17:$D$46-1)*Projects!$B$17:$B$46*Assumptions!$B$12*0.05)+0,Actuals!BE8)</f>
        <v>864035.160433933</v>
      </c>
      <c r="BE10" s="13" t="n">
        <f aca="false">IF(ISBLANK(Actuals!BF8),0+SUMPRODUCT((Projects!$G$8:$G$14="Yes")*(53&gt;=Projects!$C$8:$C$14)*(53&lt;Projects!$C$8:$C$14+Projects!$D$8:$D$14)*Projects!$B$8:$B$14*Assumptions!$B$10/Projects!$D$8:$D$14*0.95)+SUMPRODUCT((Projects!$G$8:$G$14="Yes")*(53=Projects!$C$8:$C$14+Projects!$D$8:$D$14-1)*Projects!$B$8:$B$14*Assumptions!$B$10*0.05)+SUMPRODUCT((Projects!$G$17:$G$46="Yes")*(53&gt;=Projects!$C$17:$C$46)*(53&lt;Projects!$C$17:$C$46+Projects!$D$17:$D$46)*Projects!$B$17:$B$46*Assumptions!$B$10/Projects!$D$17:$D$46*0.95)+SUMPRODUCT((Projects!$G$17:$G$46="Yes")*(53=Projects!$C$17:$C$46+Projects!$D$17:$D$46-1)*Projects!$B$17:$B$46*Assumptions!$B$10*0.05)+SUMPRODUCT((Projects!$G$8:$G$14="Yes")*(53&gt;=Projects!$C$8:$C$14)*(53&lt;Projects!$C$8:$C$14+Projects!$D$8:$D$14)*Projects!$B$8:$B$14*Assumptions!$B$12/Projects!$D$8:$D$14*0.95)+SUMPRODUCT((Projects!$G$8:$G$14="Yes")*(53=Projects!$C$8:$C$14+Projects!$D$8:$D$14-1)*Projects!$B$8:$B$14*Assumptions!$B$12*0.05)+SUMPRODUCT((Projects!$G$17:$G$46="Yes")*(53&gt;=Projects!$C$17:$C$46)*(53&lt;Projects!$C$17:$C$46+Projects!$D$17:$D$46)*Projects!$B$17:$B$46*Assumptions!$B$12/Projects!$D$17:$D$46*0.95)+SUMPRODUCT((Projects!$G$17:$G$46="Yes")*(53=Projects!$C$17:$C$46+Projects!$D$17:$D$46-1)*Projects!$B$17:$B$46*Assumptions!$B$12*0.05)+0,Actuals!BF8)</f>
        <v>874354.410433933</v>
      </c>
      <c r="BF10" s="13" t="n">
        <f aca="false">IF(ISBLANK(Actuals!BG8),0+SUMPRODUCT((Projects!$G$8:$G$14="Yes")*(54&gt;=Projects!$C$8:$C$14)*(54&lt;Projects!$C$8:$C$14+Projects!$D$8:$D$14)*Projects!$B$8:$B$14*Assumptions!$B$10/Projects!$D$8:$D$14*0.95)+SUMPRODUCT((Projects!$G$8:$G$14="Yes")*(54=Projects!$C$8:$C$14+Projects!$D$8:$D$14-1)*Projects!$B$8:$B$14*Assumptions!$B$10*0.05)+SUMPRODUCT((Projects!$G$17:$G$46="Yes")*(54&gt;=Projects!$C$17:$C$46)*(54&lt;Projects!$C$17:$C$46+Projects!$D$17:$D$46)*Projects!$B$17:$B$46*Assumptions!$B$10/Projects!$D$17:$D$46*0.95)+SUMPRODUCT((Projects!$G$17:$G$46="Yes")*(54=Projects!$C$17:$C$46+Projects!$D$17:$D$46-1)*Projects!$B$17:$B$46*Assumptions!$B$10*0.05)+SUMPRODUCT((Projects!$G$8:$G$14="Yes")*(54&gt;=Projects!$C$8:$C$14)*(54&lt;Projects!$C$8:$C$14+Projects!$D$8:$D$14)*Projects!$B$8:$B$14*Assumptions!$B$12/Projects!$D$8:$D$14*0.95)+SUMPRODUCT((Projects!$G$8:$G$14="Yes")*(54=Projects!$C$8:$C$14+Projects!$D$8:$D$14-1)*Projects!$B$8:$B$14*Assumptions!$B$12*0.05)+SUMPRODUCT((Projects!$G$17:$G$46="Yes")*(54&gt;=Projects!$C$17:$C$46)*(54&lt;Projects!$C$17:$C$46+Projects!$D$17:$D$46)*Projects!$B$17:$B$46*Assumptions!$B$12/Projects!$D$17:$D$46*0.95)+SUMPRODUCT((Projects!$G$17:$G$46="Yes")*(54=Projects!$C$17:$C$46+Projects!$D$17:$D$46-1)*Projects!$B$17:$B$46*Assumptions!$B$12*0.05)+0,Actuals!BG8)</f>
        <v>853715.910433933</v>
      </c>
      <c r="BG10" s="13" t="n">
        <f aca="false">IF(ISBLANK(Actuals!BH8),0+SUMPRODUCT((Projects!$G$8:$G$14="Yes")*(55&gt;=Projects!$C$8:$C$14)*(55&lt;Projects!$C$8:$C$14+Projects!$D$8:$D$14)*Projects!$B$8:$B$14*Assumptions!$B$10/Projects!$D$8:$D$14*0.95)+SUMPRODUCT((Projects!$G$8:$G$14="Yes")*(55=Projects!$C$8:$C$14+Projects!$D$8:$D$14-1)*Projects!$B$8:$B$14*Assumptions!$B$10*0.05)+SUMPRODUCT((Projects!$G$17:$G$46="Yes")*(55&gt;=Projects!$C$17:$C$46)*(55&lt;Projects!$C$17:$C$46+Projects!$D$17:$D$46)*Projects!$B$17:$B$46*Assumptions!$B$10/Projects!$D$17:$D$46*0.95)+SUMPRODUCT((Projects!$G$17:$G$46="Yes")*(55=Projects!$C$17:$C$46+Projects!$D$17:$D$46-1)*Projects!$B$17:$B$46*Assumptions!$B$10*0.05)+SUMPRODUCT((Projects!$G$8:$G$14="Yes")*(55&gt;=Projects!$C$8:$C$14)*(55&lt;Projects!$C$8:$C$14+Projects!$D$8:$D$14)*Projects!$B$8:$B$14*Assumptions!$B$12/Projects!$D$8:$D$14*0.95)+SUMPRODUCT((Projects!$G$8:$G$14="Yes")*(55=Projects!$C$8:$C$14+Projects!$D$8:$D$14-1)*Projects!$B$8:$B$14*Assumptions!$B$12*0.05)+SUMPRODUCT((Projects!$G$17:$G$46="Yes")*(55&gt;=Projects!$C$17:$C$46)*(55&lt;Projects!$C$17:$C$46+Projects!$D$17:$D$46)*Projects!$B$17:$B$46*Assumptions!$B$12/Projects!$D$17:$D$46*0.95)+SUMPRODUCT((Projects!$G$17:$G$46="Yes")*(55=Projects!$C$17:$C$46+Projects!$D$17:$D$46-1)*Projects!$B$17:$B$46*Assumptions!$B$12*0.05)+0,Actuals!BH8)</f>
        <v>864035.160433933</v>
      </c>
      <c r="BH10" s="13" t="n">
        <f aca="false">IF(ISBLANK(Actuals!BI8),0+SUMPRODUCT((Projects!$G$8:$G$14="Yes")*(56&gt;=Projects!$C$8:$C$14)*(56&lt;Projects!$C$8:$C$14+Projects!$D$8:$D$14)*Projects!$B$8:$B$14*Assumptions!$B$10/Projects!$D$8:$D$14*0.95)+SUMPRODUCT((Projects!$G$8:$G$14="Yes")*(56=Projects!$C$8:$C$14+Projects!$D$8:$D$14-1)*Projects!$B$8:$B$14*Assumptions!$B$10*0.05)+SUMPRODUCT((Projects!$G$17:$G$46="Yes")*(56&gt;=Projects!$C$17:$C$46)*(56&lt;Projects!$C$17:$C$46+Projects!$D$17:$D$46)*Projects!$B$17:$B$46*Assumptions!$B$10/Projects!$D$17:$D$46*0.95)+SUMPRODUCT((Projects!$G$17:$G$46="Yes")*(56=Projects!$C$17:$C$46+Projects!$D$17:$D$46-1)*Projects!$B$17:$B$46*Assumptions!$B$10*0.05)+SUMPRODUCT((Projects!$G$8:$G$14="Yes")*(56&gt;=Projects!$C$8:$C$14)*(56&lt;Projects!$C$8:$C$14+Projects!$D$8:$D$14)*Projects!$B$8:$B$14*Assumptions!$B$12/Projects!$D$8:$D$14*0.95)+SUMPRODUCT((Projects!$G$8:$G$14="Yes")*(56=Projects!$C$8:$C$14+Projects!$D$8:$D$14-1)*Projects!$B$8:$B$14*Assumptions!$B$12*0.05)+SUMPRODUCT((Projects!$G$17:$G$46="Yes")*(56&gt;=Projects!$C$17:$C$46)*(56&lt;Projects!$C$17:$C$46+Projects!$D$17:$D$46)*Projects!$B$17:$B$46*Assumptions!$B$12/Projects!$D$17:$D$46*0.95)+SUMPRODUCT((Projects!$G$17:$G$46="Yes")*(56=Projects!$C$17:$C$46+Projects!$D$17:$D$46-1)*Projects!$B$17:$B$46*Assumptions!$B$12*0.05)+0,Actuals!BI8)</f>
        <v>1016604.00585593</v>
      </c>
      <c r="BI10" s="13" t="n">
        <f aca="false">IF(ISBLANK(Actuals!BJ8),0+SUMPRODUCT((Projects!$G$8:$G$14="Yes")*(57&gt;=Projects!$C$8:$C$14)*(57&lt;Projects!$C$8:$C$14+Projects!$D$8:$D$14)*Projects!$B$8:$B$14*Assumptions!$B$10/Projects!$D$8:$D$14*0.95)+SUMPRODUCT((Projects!$G$8:$G$14="Yes")*(57=Projects!$C$8:$C$14+Projects!$D$8:$D$14-1)*Projects!$B$8:$B$14*Assumptions!$B$10*0.05)+SUMPRODUCT((Projects!$G$17:$G$46="Yes")*(57&gt;=Projects!$C$17:$C$46)*(57&lt;Projects!$C$17:$C$46+Projects!$D$17:$D$46)*Projects!$B$17:$B$46*Assumptions!$B$10/Projects!$D$17:$D$46*0.95)+SUMPRODUCT((Projects!$G$17:$G$46="Yes")*(57=Projects!$C$17:$C$46+Projects!$D$17:$D$46-1)*Projects!$B$17:$B$46*Assumptions!$B$10*0.05)+SUMPRODUCT((Projects!$G$8:$G$14="Yes")*(57&gt;=Projects!$C$8:$C$14)*(57&lt;Projects!$C$8:$C$14+Projects!$D$8:$D$14)*Projects!$B$8:$B$14*Assumptions!$B$12/Projects!$D$8:$D$14*0.95)+SUMPRODUCT((Projects!$G$8:$G$14="Yes")*(57=Projects!$C$8:$C$14+Projects!$D$8:$D$14-1)*Projects!$B$8:$B$14*Assumptions!$B$12*0.05)+SUMPRODUCT((Projects!$G$17:$G$46="Yes")*(57&gt;=Projects!$C$17:$C$46)*(57&lt;Projects!$C$17:$C$46+Projects!$D$17:$D$46)*Projects!$B$17:$B$46*Assumptions!$B$12/Projects!$D$17:$D$46*0.95)+SUMPRODUCT((Projects!$G$17:$G$46="Yes")*(57=Projects!$C$17:$C$46+Projects!$D$17:$D$46-1)*Projects!$B$17:$B$46*Assumptions!$B$12*0.05)+0,Actuals!BJ8)</f>
        <v>712028.25</v>
      </c>
      <c r="BJ10" s="13" t="n">
        <f aca="false">IF(ISBLANK(Actuals!BK8),0+SUMPRODUCT((Projects!$G$8:$G$14="Yes")*(58&gt;=Projects!$C$8:$C$14)*(58&lt;Projects!$C$8:$C$14+Projects!$D$8:$D$14)*Projects!$B$8:$B$14*Assumptions!$B$10/Projects!$D$8:$D$14*0.95)+SUMPRODUCT((Projects!$G$8:$G$14="Yes")*(58=Projects!$C$8:$C$14+Projects!$D$8:$D$14-1)*Projects!$B$8:$B$14*Assumptions!$B$10*0.05)+SUMPRODUCT((Projects!$G$17:$G$46="Yes")*(58&gt;=Projects!$C$17:$C$46)*(58&lt;Projects!$C$17:$C$46+Projects!$D$17:$D$46)*Projects!$B$17:$B$46*Assumptions!$B$10/Projects!$D$17:$D$46*0.95)+SUMPRODUCT((Projects!$G$17:$G$46="Yes")*(58=Projects!$C$17:$C$46+Projects!$D$17:$D$46-1)*Projects!$B$17:$B$46*Assumptions!$B$10*0.05)+SUMPRODUCT((Projects!$G$8:$G$14="Yes")*(58&gt;=Projects!$C$8:$C$14)*(58&lt;Projects!$C$8:$C$14+Projects!$D$8:$D$14)*Projects!$B$8:$B$14*Assumptions!$B$12/Projects!$D$8:$D$14*0.95)+SUMPRODUCT((Projects!$G$8:$G$14="Yes")*(58=Projects!$C$8:$C$14+Projects!$D$8:$D$14-1)*Projects!$B$8:$B$14*Assumptions!$B$12*0.05)+SUMPRODUCT((Projects!$G$17:$G$46="Yes")*(58&gt;=Projects!$C$17:$C$46)*(58&lt;Projects!$C$17:$C$46+Projects!$D$17:$D$46)*Projects!$B$17:$B$46*Assumptions!$B$12/Projects!$D$17:$D$46*0.95)+SUMPRODUCT((Projects!$G$17:$G$46="Yes")*(58=Projects!$C$17:$C$46+Projects!$D$17:$D$46-1)*Projects!$B$17:$B$46*Assumptions!$B$12*0.05)+0,Actuals!BK8)</f>
        <v>608835.75</v>
      </c>
      <c r="BK10" s="13" t="n">
        <f aca="false">IF(ISBLANK(Actuals!BL8),0+SUMPRODUCT((Projects!$G$8:$G$14="Yes")*(59&gt;=Projects!$C$8:$C$14)*(59&lt;Projects!$C$8:$C$14+Projects!$D$8:$D$14)*Projects!$B$8:$B$14*Assumptions!$B$10/Projects!$D$8:$D$14*0.95)+SUMPRODUCT((Projects!$G$8:$G$14="Yes")*(59=Projects!$C$8:$C$14+Projects!$D$8:$D$14-1)*Projects!$B$8:$B$14*Assumptions!$B$10*0.05)+SUMPRODUCT((Projects!$G$17:$G$46="Yes")*(59&gt;=Projects!$C$17:$C$46)*(59&lt;Projects!$C$17:$C$46+Projects!$D$17:$D$46)*Projects!$B$17:$B$46*Assumptions!$B$10/Projects!$D$17:$D$46*0.95)+SUMPRODUCT((Projects!$G$17:$G$46="Yes")*(59=Projects!$C$17:$C$46+Projects!$D$17:$D$46-1)*Projects!$B$17:$B$46*Assumptions!$B$10*0.05)+SUMPRODUCT((Projects!$G$8:$G$14="Yes")*(59&gt;=Projects!$C$8:$C$14)*(59&lt;Projects!$C$8:$C$14+Projects!$D$8:$D$14)*Projects!$B$8:$B$14*Assumptions!$B$12/Projects!$D$8:$D$14*0.95)+SUMPRODUCT((Projects!$G$8:$G$14="Yes")*(59=Projects!$C$8:$C$14+Projects!$D$8:$D$14-1)*Projects!$B$8:$B$14*Assumptions!$B$12*0.05)+SUMPRODUCT((Projects!$G$17:$G$46="Yes")*(59&gt;=Projects!$C$17:$C$46)*(59&lt;Projects!$C$17:$C$46+Projects!$D$17:$D$46)*Projects!$B$17:$B$46*Assumptions!$B$12/Projects!$D$17:$D$46*0.95)+SUMPRODUCT((Projects!$G$17:$G$46="Yes")*(59=Projects!$C$17:$C$46+Projects!$D$17:$D$46-1)*Projects!$B$17:$B$46*Assumptions!$B$12*0.05)+0,Actuals!BL8)</f>
        <v>608835.75</v>
      </c>
      <c r="BL10" s="13" t="n">
        <f aca="false">IF(ISBLANK(Actuals!BM8),0+SUMPRODUCT((Projects!$G$8:$G$14="Yes")*(60&gt;=Projects!$C$8:$C$14)*(60&lt;Projects!$C$8:$C$14+Projects!$D$8:$D$14)*Projects!$B$8:$B$14*Assumptions!$B$10/Projects!$D$8:$D$14*0.95)+SUMPRODUCT((Projects!$G$8:$G$14="Yes")*(60=Projects!$C$8:$C$14+Projects!$D$8:$D$14-1)*Projects!$B$8:$B$14*Assumptions!$B$10*0.05)+SUMPRODUCT((Projects!$G$17:$G$46="Yes")*(60&gt;=Projects!$C$17:$C$46)*(60&lt;Projects!$C$17:$C$46+Projects!$D$17:$D$46)*Projects!$B$17:$B$46*Assumptions!$B$10/Projects!$D$17:$D$46*0.95)+SUMPRODUCT((Projects!$G$17:$G$46="Yes")*(60=Projects!$C$17:$C$46+Projects!$D$17:$D$46-1)*Projects!$B$17:$B$46*Assumptions!$B$10*0.05)+SUMPRODUCT((Projects!$G$8:$G$14="Yes")*(60&gt;=Projects!$C$8:$C$14)*(60&lt;Projects!$C$8:$C$14+Projects!$D$8:$D$14)*Projects!$B$8:$B$14*Assumptions!$B$12/Projects!$D$8:$D$14*0.95)+SUMPRODUCT((Projects!$G$8:$G$14="Yes")*(60=Projects!$C$8:$C$14+Projects!$D$8:$D$14-1)*Projects!$B$8:$B$14*Assumptions!$B$12*0.05)+SUMPRODUCT((Projects!$G$17:$G$46="Yes")*(60&gt;=Projects!$C$17:$C$46)*(60&lt;Projects!$C$17:$C$46+Projects!$D$17:$D$46)*Projects!$B$17:$B$46*Assumptions!$B$12/Projects!$D$17:$D$46*0.95)+SUMPRODUCT((Projects!$G$17:$G$46="Yes")*(60=Projects!$C$17:$C$46+Projects!$D$17:$D$46-1)*Projects!$B$17:$B$46*Assumptions!$B$12*0.05)+0,Actuals!BM8)</f>
        <v>608835.75</v>
      </c>
      <c r="BM10" s="13" t="n">
        <f aca="false">IF(ISBLANK(Actuals!BN8),0+SUMPRODUCT((Projects!$G$8:$G$14="Yes")*(61&gt;=Projects!$C$8:$C$14)*(61&lt;Projects!$C$8:$C$14+Projects!$D$8:$D$14)*Projects!$B$8:$B$14*Assumptions!$B$10/Projects!$D$8:$D$14*0.95)+SUMPRODUCT((Projects!$G$8:$G$14="Yes")*(61=Projects!$C$8:$C$14+Projects!$D$8:$D$14-1)*Projects!$B$8:$B$14*Assumptions!$B$10*0.05)+SUMPRODUCT((Projects!$G$17:$G$46="Yes")*(61&gt;=Projects!$C$17:$C$46)*(61&lt;Projects!$C$17:$C$46+Projects!$D$17:$D$46)*Projects!$B$17:$B$46*Assumptions!$B$10/Projects!$D$17:$D$46*0.95)+SUMPRODUCT((Projects!$G$17:$G$46="Yes")*(61=Projects!$C$17:$C$46+Projects!$D$17:$D$46-1)*Projects!$B$17:$B$46*Assumptions!$B$10*0.05)+SUMPRODUCT((Projects!$G$8:$G$14="Yes")*(61&gt;=Projects!$C$8:$C$14)*(61&lt;Projects!$C$8:$C$14+Projects!$D$8:$D$14)*Projects!$B$8:$B$14*Assumptions!$B$12/Projects!$D$8:$D$14*0.95)+SUMPRODUCT((Projects!$G$8:$G$14="Yes")*(61=Projects!$C$8:$C$14+Projects!$D$8:$D$14-1)*Projects!$B$8:$B$14*Assumptions!$B$12*0.05)+SUMPRODUCT((Projects!$G$17:$G$46="Yes")*(61&gt;=Projects!$C$17:$C$46)*(61&lt;Projects!$C$17:$C$46+Projects!$D$17:$D$46)*Projects!$B$17:$B$46*Assumptions!$B$12/Projects!$D$17:$D$46*0.95)+SUMPRODUCT((Projects!$G$17:$G$46="Yes")*(61=Projects!$C$17:$C$46+Projects!$D$17:$D$46-1)*Projects!$B$17:$B$46*Assumptions!$B$12*0.05)+0,Actuals!BN8)</f>
        <v>670751.25</v>
      </c>
      <c r="BN10" s="13" t="n">
        <f aca="false">IF(ISBLANK(Actuals!BO8),0+SUMPRODUCT((Projects!$G$8:$G$14="Yes")*(62&gt;=Projects!$C$8:$C$14)*(62&lt;Projects!$C$8:$C$14+Projects!$D$8:$D$14)*Projects!$B$8:$B$14*Assumptions!$B$10/Projects!$D$8:$D$14*0.95)+SUMPRODUCT((Projects!$G$8:$G$14="Yes")*(62=Projects!$C$8:$C$14+Projects!$D$8:$D$14-1)*Projects!$B$8:$B$14*Assumptions!$B$10*0.05)+SUMPRODUCT((Projects!$G$17:$G$46="Yes")*(62&gt;=Projects!$C$17:$C$46)*(62&lt;Projects!$C$17:$C$46+Projects!$D$17:$D$46)*Projects!$B$17:$B$46*Assumptions!$B$10/Projects!$D$17:$D$46*0.95)+SUMPRODUCT((Projects!$G$17:$G$46="Yes")*(62=Projects!$C$17:$C$46+Projects!$D$17:$D$46-1)*Projects!$B$17:$B$46*Assumptions!$B$10*0.05)+SUMPRODUCT((Projects!$G$8:$G$14="Yes")*(62&gt;=Projects!$C$8:$C$14)*(62&lt;Projects!$C$8:$C$14+Projects!$D$8:$D$14)*Projects!$B$8:$B$14*Assumptions!$B$12/Projects!$D$8:$D$14*0.95)+SUMPRODUCT((Projects!$G$8:$G$14="Yes")*(62=Projects!$C$8:$C$14+Projects!$D$8:$D$14-1)*Projects!$B$8:$B$14*Assumptions!$B$12*0.05)+SUMPRODUCT((Projects!$G$17:$G$46="Yes")*(62&gt;=Projects!$C$17:$C$46)*(62&lt;Projects!$C$17:$C$46+Projects!$D$17:$D$46)*Projects!$B$17:$B$46*Assumptions!$B$12/Projects!$D$17:$D$46*0.95)+SUMPRODUCT((Projects!$G$17:$G$46="Yes")*(62=Projects!$C$17:$C$46+Projects!$D$17:$D$46-1)*Projects!$B$17:$B$46*Assumptions!$B$12*0.05)+0,Actuals!BO8)</f>
        <v>598516.5</v>
      </c>
      <c r="BO10" s="13" t="n">
        <f aca="false">IF(ISBLANK(Actuals!BP8),0+SUMPRODUCT((Projects!$G$8:$G$14="Yes")*(63&gt;=Projects!$C$8:$C$14)*(63&lt;Projects!$C$8:$C$14+Projects!$D$8:$D$14)*Projects!$B$8:$B$14*Assumptions!$B$10/Projects!$D$8:$D$14*0.95)+SUMPRODUCT((Projects!$G$8:$G$14="Yes")*(63=Projects!$C$8:$C$14+Projects!$D$8:$D$14-1)*Projects!$B$8:$B$14*Assumptions!$B$10*0.05)+SUMPRODUCT((Projects!$G$17:$G$46="Yes")*(63&gt;=Projects!$C$17:$C$46)*(63&lt;Projects!$C$17:$C$46+Projects!$D$17:$D$46)*Projects!$B$17:$B$46*Assumptions!$B$10/Projects!$D$17:$D$46*0.95)+SUMPRODUCT((Projects!$G$17:$G$46="Yes")*(63=Projects!$C$17:$C$46+Projects!$D$17:$D$46-1)*Projects!$B$17:$B$46*Assumptions!$B$10*0.05)+SUMPRODUCT((Projects!$G$8:$G$14="Yes")*(63&gt;=Projects!$C$8:$C$14)*(63&lt;Projects!$C$8:$C$14+Projects!$D$8:$D$14)*Projects!$B$8:$B$14*Assumptions!$B$12/Projects!$D$8:$D$14*0.95)+SUMPRODUCT((Projects!$G$8:$G$14="Yes")*(63=Projects!$C$8:$C$14+Projects!$D$8:$D$14-1)*Projects!$B$8:$B$14*Assumptions!$B$12*0.05)+SUMPRODUCT((Projects!$G$17:$G$46="Yes")*(63&gt;=Projects!$C$17:$C$46)*(63&lt;Projects!$C$17:$C$46+Projects!$D$17:$D$46)*Projects!$B$17:$B$46*Assumptions!$B$12/Projects!$D$17:$D$46*0.95)+SUMPRODUCT((Projects!$G$17:$G$46="Yes")*(63=Projects!$C$17:$C$46+Projects!$D$17:$D$46-1)*Projects!$B$17:$B$46*Assumptions!$B$12*0.05)+0,Actuals!BP8)</f>
        <v>495324</v>
      </c>
      <c r="BP10" s="13" t="n">
        <f aca="false">IF(ISBLANK(Actuals!BQ8),0+SUMPRODUCT((Projects!$G$8:$G$14="Yes")*(64&gt;=Projects!$C$8:$C$14)*(64&lt;Projects!$C$8:$C$14+Projects!$D$8:$D$14)*Projects!$B$8:$B$14*Assumptions!$B$10/Projects!$D$8:$D$14*0.95)+SUMPRODUCT((Projects!$G$8:$G$14="Yes")*(64=Projects!$C$8:$C$14+Projects!$D$8:$D$14-1)*Projects!$B$8:$B$14*Assumptions!$B$10*0.05)+SUMPRODUCT((Projects!$G$17:$G$46="Yes")*(64&gt;=Projects!$C$17:$C$46)*(64&lt;Projects!$C$17:$C$46+Projects!$D$17:$D$46)*Projects!$B$17:$B$46*Assumptions!$B$10/Projects!$D$17:$D$46*0.95)+SUMPRODUCT((Projects!$G$17:$G$46="Yes")*(64=Projects!$C$17:$C$46+Projects!$D$17:$D$46-1)*Projects!$B$17:$B$46*Assumptions!$B$10*0.05)+SUMPRODUCT((Projects!$G$8:$G$14="Yes")*(64&gt;=Projects!$C$8:$C$14)*(64&lt;Projects!$C$8:$C$14+Projects!$D$8:$D$14)*Projects!$B$8:$B$14*Assumptions!$B$12/Projects!$D$8:$D$14*0.95)+SUMPRODUCT((Projects!$G$8:$G$14="Yes")*(64=Projects!$C$8:$C$14+Projects!$D$8:$D$14-1)*Projects!$B$8:$B$14*Assumptions!$B$12*0.05)+SUMPRODUCT((Projects!$G$17:$G$46="Yes")*(64&gt;=Projects!$C$17:$C$46)*(64&lt;Projects!$C$17:$C$46+Projects!$D$17:$D$46)*Projects!$B$17:$B$46*Assumptions!$B$12/Projects!$D$17:$D$46*0.95)+SUMPRODUCT((Projects!$G$17:$G$46="Yes")*(64=Projects!$C$17:$C$46+Projects!$D$17:$D$46-1)*Projects!$B$17:$B$46*Assumptions!$B$12*0.05)+0,Actuals!BQ8)</f>
        <v>495324</v>
      </c>
      <c r="BQ10" s="13" t="n">
        <f aca="false">IF(ISBLANK(Actuals!BR8),0+SUMPRODUCT((Projects!$G$8:$G$14="Yes")*(65&gt;=Projects!$C$8:$C$14)*(65&lt;Projects!$C$8:$C$14+Projects!$D$8:$D$14)*Projects!$B$8:$B$14*Assumptions!$B$10/Projects!$D$8:$D$14*0.95)+SUMPRODUCT((Projects!$G$8:$G$14="Yes")*(65=Projects!$C$8:$C$14+Projects!$D$8:$D$14-1)*Projects!$B$8:$B$14*Assumptions!$B$10*0.05)+SUMPRODUCT((Projects!$G$17:$G$46="Yes")*(65&gt;=Projects!$C$17:$C$46)*(65&lt;Projects!$C$17:$C$46+Projects!$D$17:$D$46)*Projects!$B$17:$B$46*Assumptions!$B$10/Projects!$D$17:$D$46*0.95)+SUMPRODUCT((Projects!$G$17:$G$46="Yes")*(65=Projects!$C$17:$C$46+Projects!$D$17:$D$46-1)*Projects!$B$17:$B$46*Assumptions!$B$10*0.05)+SUMPRODUCT((Projects!$G$8:$G$14="Yes")*(65&gt;=Projects!$C$8:$C$14)*(65&lt;Projects!$C$8:$C$14+Projects!$D$8:$D$14)*Projects!$B$8:$B$14*Assumptions!$B$12/Projects!$D$8:$D$14*0.95)+SUMPRODUCT((Projects!$G$8:$G$14="Yes")*(65=Projects!$C$8:$C$14+Projects!$D$8:$D$14-1)*Projects!$B$8:$B$14*Assumptions!$B$12*0.05)+SUMPRODUCT((Projects!$G$17:$G$46="Yes")*(65&gt;=Projects!$C$17:$C$46)*(65&lt;Projects!$C$17:$C$46+Projects!$D$17:$D$46)*Projects!$B$17:$B$46*Assumptions!$B$12/Projects!$D$17:$D$46*0.95)+SUMPRODUCT((Projects!$G$17:$G$46="Yes")*(65=Projects!$C$17:$C$46+Projects!$D$17:$D$46-1)*Projects!$B$17:$B$46*Assumptions!$B$12*0.05)+0,Actuals!BR8)</f>
        <v>495324</v>
      </c>
      <c r="BR10" s="13" t="n">
        <f aca="false">IF(ISBLANK(Actuals!BS8),0+SUMPRODUCT((Projects!$G$8:$G$14="Yes")*(66&gt;=Projects!$C$8:$C$14)*(66&lt;Projects!$C$8:$C$14+Projects!$D$8:$D$14)*Projects!$B$8:$B$14*Assumptions!$B$10/Projects!$D$8:$D$14*0.95)+SUMPRODUCT((Projects!$G$8:$G$14="Yes")*(66=Projects!$C$8:$C$14+Projects!$D$8:$D$14-1)*Projects!$B$8:$B$14*Assumptions!$B$10*0.05)+SUMPRODUCT((Projects!$G$17:$G$46="Yes")*(66&gt;=Projects!$C$17:$C$46)*(66&lt;Projects!$C$17:$C$46+Projects!$D$17:$D$46)*Projects!$B$17:$B$46*Assumptions!$B$10/Projects!$D$17:$D$46*0.95)+SUMPRODUCT((Projects!$G$17:$G$46="Yes")*(66=Projects!$C$17:$C$46+Projects!$D$17:$D$46-1)*Projects!$B$17:$B$46*Assumptions!$B$10*0.05)+SUMPRODUCT((Projects!$G$8:$G$14="Yes")*(66&gt;=Projects!$C$8:$C$14)*(66&lt;Projects!$C$8:$C$14+Projects!$D$8:$D$14)*Projects!$B$8:$B$14*Assumptions!$B$12/Projects!$D$8:$D$14*0.95)+SUMPRODUCT((Projects!$G$8:$G$14="Yes")*(66=Projects!$C$8:$C$14+Projects!$D$8:$D$14-1)*Projects!$B$8:$B$14*Assumptions!$B$12*0.05)+SUMPRODUCT((Projects!$G$17:$G$46="Yes")*(66&gt;=Projects!$C$17:$C$46)*(66&lt;Projects!$C$17:$C$46+Projects!$D$17:$D$46)*Projects!$B$17:$B$46*Assumptions!$B$12/Projects!$D$17:$D$46*0.95)+SUMPRODUCT((Projects!$G$17:$G$46="Yes")*(66=Projects!$C$17:$C$46+Projects!$D$17:$D$46-1)*Projects!$B$17:$B$46*Assumptions!$B$12*0.05)+0,Actuals!BS8)</f>
        <v>546920.25</v>
      </c>
      <c r="BS10" s="13" t="n">
        <f aca="false">IF(ISBLANK(Actuals!BT8),0+SUMPRODUCT((Projects!$G$8:$G$14="Yes")*(67&gt;=Projects!$C$8:$C$14)*(67&lt;Projects!$C$8:$C$14+Projects!$D$8:$D$14)*Projects!$B$8:$B$14*Assumptions!$B$10/Projects!$D$8:$D$14*0.95)+SUMPRODUCT((Projects!$G$8:$G$14="Yes")*(67=Projects!$C$8:$C$14+Projects!$D$8:$D$14-1)*Projects!$B$8:$B$14*Assumptions!$B$10*0.05)+SUMPRODUCT((Projects!$G$17:$G$46="Yes")*(67&gt;=Projects!$C$17:$C$46)*(67&lt;Projects!$C$17:$C$46+Projects!$D$17:$D$46)*Projects!$B$17:$B$46*Assumptions!$B$10/Projects!$D$17:$D$46*0.95)+SUMPRODUCT((Projects!$G$17:$G$46="Yes")*(67=Projects!$C$17:$C$46+Projects!$D$17:$D$46-1)*Projects!$B$17:$B$46*Assumptions!$B$10*0.05)+SUMPRODUCT((Projects!$G$8:$G$14="Yes")*(67&gt;=Projects!$C$8:$C$14)*(67&lt;Projects!$C$8:$C$14+Projects!$D$8:$D$14)*Projects!$B$8:$B$14*Assumptions!$B$12/Projects!$D$8:$D$14*0.95)+SUMPRODUCT((Projects!$G$8:$G$14="Yes")*(67=Projects!$C$8:$C$14+Projects!$D$8:$D$14-1)*Projects!$B$8:$B$14*Assumptions!$B$12*0.05)+SUMPRODUCT((Projects!$G$17:$G$46="Yes")*(67&gt;=Projects!$C$17:$C$46)*(67&lt;Projects!$C$17:$C$46+Projects!$D$17:$D$46)*Projects!$B$17:$B$46*Assumptions!$B$12/Projects!$D$17:$D$46*0.95)+SUMPRODUCT((Projects!$G$17:$G$46="Yes")*(67=Projects!$C$17:$C$46+Projects!$D$17:$D$46-1)*Projects!$B$17:$B$46*Assumptions!$B$12*0.05)+0,Actuals!BT8)</f>
        <v>505643.25</v>
      </c>
      <c r="BT10" s="13" t="n">
        <f aca="false">IF(ISBLANK(Actuals!BU8),0+SUMPRODUCT((Projects!$G$8:$G$14="Yes")*(68&gt;=Projects!$C$8:$C$14)*(68&lt;Projects!$C$8:$C$14+Projects!$D$8:$D$14)*Projects!$B$8:$B$14*Assumptions!$B$10/Projects!$D$8:$D$14*0.95)+SUMPRODUCT((Projects!$G$8:$G$14="Yes")*(68=Projects!$C$8:$C$14+Projects!$D$8:$D$14-1)*Projects!$B$8:$B$14*Assumptions!$B$10*0.05)+SUMPRODUCT((Projects!$G$17:$G$46="Yes")*(68&gt;=Projects!$C$17:$C$46)*(68&lt;Projects!$C$17:$C$46+Projects!$D$17:$D$46)*Projects!$B$17:$B$46*Assumptions!$B$10/Projects!$D$17:$D$46*0.95)+SUMPRODUCT((Projects!$G$17:$G$46="Yes")*(68=Projects!$C$17:$C$46+Projects!$D$17:$D$46-1)*Projects!$B$17:$B$46*Assumptions!$B$10*0.05)+SUMPRODUCT((Projects!$G$8:$G$14="Yes")*(68&gt;=Projects!$C$8:$C$14)*(68&lt;Projects!$C$8:$C$14+Projects!$D$8:$D$14)*Projects!$B$8:$B$14*Assumptions!$B$12/Projects!$D$8:$D$14*0.95)+SUMPRODUCT((Projects!$G$8:$G$14="Yes")*(68=Projects!$C$8:$C$14+Projects!$D$8:$D$14-1)*Projects!$B$8:$B$14*Assumptions!$B$12*0.05)+SUMPRODUCT((Projects!$G$17:$G$46="Yes")*(68&gt;=Projects!$C$17:$C$46)*(68&lt;Projects!$C$17:$C$46+Projects!$D$17:$D$46)*Projects!$B$17:$B$46*Assumptions!$B$12/Projects!$D$17:$D$46*0.95)+SUMPRODUCT((Projects!$G$17:$G$46="Yes")*(68=Projects!$C$17:$C$46+Projects!$D$17:$D$46-1)*Projects!$B$17:$B$46*Assumptions!$B$12*0.05)+0,Actuals!BU8)</f>
        <v>433408.5</v>
      </c>
      <c r="BU10" s="13" t="n">
        <f aca="false">IF(ISBLANK(Actuals!BV8),0+SUMPRODUCT((Projects!$G$8:$G$14="Yes")*(69&gt;=Projects!$C$8:$C$14)*(69&lt;Projects!$C$8:$C$14+Projects!$D$8:$D$14)*Projects!$B$8:$B$14*Assumptions!$B$10/Projects!$D$8:$D$14*0.95)+SUMPRODUCT((Projects!$G$8:$G$14="Yes")*(69=Projects!$C$8:$C$14+Projects!$D$8:$D$14-1)*Projects!$B$8:$B$14*Assumptions!$B$10*0.05)+SUMPRODUCT((Projects!$G$17:$G$46="Yes")*(69&gt;=Projects!$C$17:$C$46)*(69&lt;Projects!$C$17:$C$46+Projects!$D$17:$D$46)*Projects!$B$17:$B$46*Assumptions!$B$10/Projects!$D$17:$D$46*0.95)+SUMPRODUCT((Projects!$G$17:$G$46="Yes")*(69=Projects!$C$17:$C$46+Projects!$D$17:$D$46-1)*Projects!$B$17:$B$46*Assumptions!$B$10*0.05)+SUMPRODUCT((Projects!$G$8:$G$14="Yes")*(69&gt;=Projects!$C$8:$C$14)*(69&lt;Projects!$C$8:$C$14+Projects!$D$8:$D$14)*Projects!$B$8:$B$14*Assumptions!$B$12/Projects!$D$8:$D$14*0.95)+SUMPRODUCT((Projects!$G$8:$G$14="Yes")*(69=Projects!$C$8:$C$14+Projects!$D$8:$D$14-1)*Projects!$B$8:$B$14*Assumptions!$B$12*0.05)+SUMPRODUCT((Projects!$G$17:$G$46="Yes")*(69&gt;=Projects!$C$17:$C$46)*(69&lt;Projects!$C$17:$C$46+Projects!$D$17:$D$46)*Projects!$B$17:$B$46*Assumptions!$B$12/Projects!$D$17:$D$46*0.95)+SUMPRODUCT((Projects!$G$17:$G$46="Yes")*(69=Projects!$C$17:$C$46+Projects!$D$17:$D$46-1)*Projects!$B$17:$B$46*Assumptions!$B$12*0.05)+0,Actuals!BV8)</f>
        <v>381812.25</v>
      </c>
      <c r="BV10" s="13" t="n">
        <f aca="false">IF(ISBLANK(Actuals!BW8),0+SUMPRODUCT((Projects!$G$8:$G$14="Yes")*(70&gt;=Projects!$C$8:$C$14)*(70&lt;Projects!$C$8:$C$14+Projects!$D$8:$D$14)*Projects!$B$8:$B$14*Assumptions!$B$10/Projects!$D$8:$D$14*0.95)+SUMPRODUCT((Projects!$G$8:$G$14="Yes")*(70=Projects!$C$8:$C$14+Projects!$D$8:$D$14-1)*Projects!$B$8:$B$14*Assumptions!$B$10*0.05)+SUMPRODUCT((Projects!$G$17:$G$46="Yes")*(70&gt;=Projects!$C$17:$C$46)*(70&lt;Projects!$C$17:$C$46+Projects!$D$17:$D$46)*Projects!$B$17:$B$46*Assumptions!$B$10/Projects!$D$17:$D$46*0.95)+SUMPRODUCT((Projects!$G$17:$G$46="Yes")*(70=Projects!$C$17:$C$46+Projects!$D$17:$D$46-1)*Projects!$B$17:$B$46*Assumptions!$B$10*0.05)+SUMPRODUCT((Projects!$G$8:$G$14="Yes")*(70&gt;=Projects!$C$8:$C$14)*(70&lt;Projects!$C$8:$C$14+Projects!$D$8:$D$14)*Projects!$B$8:$B$14*Assumptions!$B$12/Projects!$D$8:$D$14*0.95)+SUMPRODUCT((Projects!$G$8:$G$14="Yes")*(70=Projects!$C$8:$C$14+Projects!$D$8:$D$14-1)*Projects!$B$8:$B$14*Assumptions!$B$12*0.05)+SUMPRODUCT((Projects!$G$17:$G$46="Yes")*(70&gt;=Projects!$C$17:$C$46)*(70&lt;Projects!$C$17:$C$46+Projects!$D$17:$D$46)*Projects!$B$17:$B$46*Assumptions!$B$12/Projects!$D$17:$D$46*0.95)+SUMPRODUCT((Projects!$G$17:$G$46="Yes")*(70=Projects!$C$17:$C$46+Projects!$D$17:$D$46-1)*Projects!$B$17:$B$46*Assumptions!$B$12*0.05)+0,Actuals!BW8)</f>
        <v>340535.25</v>
      </c>
      <c r="BW10" s="13" t="n">
        <f aca="false">IF(ISBLANK(Actuals!BX8),0+SUMPRODUCT((Projects!$G$8:$G$14="Yes")*(71&gt;=Projects!$C$8:$C$14)*(71&lt;Projects!$C$8:$C$14+Projects!$D$8:$D$14)*Projects!$B$8:$B$14*Assumptions!$B$10/Projects!$D$8:$D$14*0.95)+SUMPRODUCT((Projects!$G$8:$G$14="Yes")*(71=Projects!$C$8:$C$14+Projects!$D$8:$D$14-1)*Projects!$B$8:$B$14*Assumptions!$B$10*0.05)+SUMPRODUCT((Projects!$G$17:$G$46="Yes")*(71&gt;=Projects!$C$17:$C$46)*(71&lt;Projects!$C$17:$C$46+Projects!$D$17:$D$46)*Projects!$B$17:$B$46*Assumptions!$B$10/Projects!$D$17:$D$46*0.95)+SUMPRODUCT((Projects!$G$17:$G$46="Yes")*(71=Projects!$C$17:$C$46+Projects!$D$17:$D$46-1)*Projects!$B$17:$B$46*Assumptions!$B$10*0.05)+SUMPRODUCT((Projects!$G$8:$G$14="Yes")*(71&gt;=Projects!$C$8:$C$14)*(71&lt;Projects!$C$8:$C$14+Projects!$D$8:$D$14)*Projects!$B$8:$B$14*Assumptions!$B$12/Projects!$D$8:$D$14*0.95)+SUMPRODUCT((Projects!$G$8:$G$14="Yes")*(71=Projects!$C$8:$C$14+Projects!$D$8:$D$14-1)*Projects!$B$8:$B$14*Assumptions!$B$12*0.05)+SUMPRODUCT((Projects!$G$17:$G$46="Yes")*(71&gt;=Projects!$C$17:$C$46)*(71&lt;Projects!$C$17:$C$46+Projects!$D$17:$D$46)*Projects!$B$17:$B$46*Assumptions!$B$12/Projects!$D$17:$D$46*0.95)+SUMPRODUCT((Projects!$G$17:$G$46="Yes")*(71=Projects!$C$17:$C$46+Projects!$D$17:$D$46-1)*Projects!$B$17:$B$46*Assumptions!$B$12*0.05)+0,Actuals!BX8)</f>
        <v>268300.5</v>
      </c>
      <c r="BX10" s="13" t="n">
        <f aca="false">IF(ISBLANK(Actuals!BY8),0+SUMPRODUCT((Projects!$G$8:$G$14="Yes")*(72&gt;=Projects!$C$8:$C$14)*(72&lt;Projects!$C$8:$C$14+Projects!$D$8:$D$14)*Projects!$B$8:$B$14*Assumptions!$B$10/Projects!$D$8:$D$14*0.95)+SUMPRODUCT((Projects!$G$8:$G$14="Yes")*(72=Projects!$C$8:$C$14+Projects!$D$8:$D$14-1)*Projects!$B$8:$B$14*Assumptions!$B$10*0.05)+SUMPRODUCT((Projects!$G$17:$G$46="Yes")*(72&gt;=Projects!$C$17:$C$46)*(72&lt;Projects!$C$17:$C$46+Projects!$D$17:$D$46)*Projects!$B$17:$B$46*Assumptions!$B$10/Projects!$D$17:$D$46*0.95)+SUMPRODUCT((Projects!$G$17:$G$46="Yes")*(72=Projects!$C$17:$C$46+Projects!$D$17:$D$46-1)*Projects!$B$17:$B$46*Assumptions!$B$10*0.05)+SUMPRODUCT((Projects!$G$8:$G$14="Yes")*(72&gt;=Projects!$C$8:$C$14)*(72&lt;Projects!$C$8:$C$14+Projects!$D$8:$D$14)*Projects!$B$8:$B$14*Assumptions!$B$12/Projects!$D$8:$D$14*0.95)+SUMPRODUCT((Projects!$G$8:$G$14="Yes")*(72=Projects!$C$8:$C$14+Projects!$D$8:$D$14-1)*Projects!$B$8:$B$14*Assumptions!$B$12*0.05)+SUMPRODUCT((Projects!$G$17:$G$46="Yes")*(72&gt;=Projects!$C$17:$C$46)*(72&lt;Projects!$C$17:$C$46+Projects!$D$17:$D$46)*Projects!$B$17:$B$46*Assumptions!$B$12/Projects!$D$17:$D$46*0.95)+SUMPRODUCT((Projects!$G$17:$G$46="Yes")*(72=Projects!$C$17:$C$46+Projects!$D$17:$D$46-1)*Projects!$B$17:$B$46*Assumptions!$B$12*0.05)+0,Actuals!BY8)</f>
        <v>216704.25</v>
      </c>
      <c r="BY10" s="13" t="n">
        <f aca="false">IF(ISBLANK(Actuals!BZ8),0+SUMPRODUCT((Projects!$G$8:$G$14="Yes")*(73&gt;=Projects!$C$8:$C$14)*(73&lt;Projects!$C$8:$C$14+Projects!$D$8:$D$14)*Projects!$B$8:$B$14*Assumptions!$B$10/Projects!$D$8:$D$14*0.95)+SUMPRODUCT((Projects!$G$8:$G$14="Yes")*(73=Projects!$C$8:$C$14+Projects!$D$8:$D$14-1)*Projects!$B$8:$B$14*Assumptions!$B$10*0.05)+SUMPRODUCT((Projects!$G$17:$G$46="Yes")*(73&gt;=Projects!$C$17:$C$46)*(73&lt;Projects!$C$17:$C$46+Projects!$D$17:$D$46)*Projects!$B$17:$B$46*Assumptions!$B$10/Projects!$D$17:$D$46*0.95)+SUMPRODUCT((Projects!$G$17:$G$46="Yes")*(73=Projects!$C$17:$C$46+Projects!$D$17:$D$46-1)*Projects!$B$17:$B$46*Assumptions!$B$10*0.05)+SUMPRODUCT((Projects!$G$8:$G$14="Yes")*(73&gt;=Projects!$C$8:$C$14)*(73&lt;Projects!$C$8:$C$14+Projects!$D$8:$D$14)*Projects!$B$8:$B$14*Assumptions!$B$12/Projects!$D$8:$D$14*0.95)+SUMPRODUCT((Projects!$G$8:$G$14="Yes")*(73=Projects!$C$8:$C$14+Projects!$D$8:$D$14-1)*Projects!$B$8:$B$14*Assumptions!$B$12*0.05)+SUMPRODUCT((Projects!$G$17:$G$46="Yes")*(73&gt;=Projects!$C$17:$C$46)*(73&lt;Projects!$C$17:$C$46+Projects!$D$17:$D$46)*Projects!$B$17:$B$46*Assumptions!$B$12/Projects!$D$17:$D$46*0.95)+SUMPRODUCT((Projects!$G$17:$G$46="Yes")*(73=Projects!$C$17:$C$46+Projects!$D$17:$D$46-1)*Projects!$B$17:$B$46*Assumptions!$B$12*0.05)+0,Actuals!BZ8)</f>
        <v>175427.25</v>
      </c>
      <c r="BZ10" s="13" t="n">
        <f aca="false">IF(ISBLANK(Actuals!CA8),0+SUMPRODUCT((Projects!$G$8:$G$14="Yes")*(74&gt;=Projects!$C$8:$C$14)*(74&lt;Projects!$C$8:$C$14+Projects!$D$8:$D$14)*Projects!$B$8:$B$14*Assumptions!$B$10/Projects!$D$8:$D$14*0.95)+SUMPRODUCT((Projects!$G$8:$G$14="Yes")*(74=Projects!$C$8:$C$14+Projects!$D$8:$D$14-1)*Projects!$B$8:$B$14*Assumptions!$B$10*0.05)+SUMPRODUCT((Projects!$G$17:$G$46="Yes")*(74&gt;=Projects!$C$17:$C$46)*(74&lt;Projects!$C$17:$C$46+Projects!$D$17:$D$46)*Projects!$B$17:$B$46*Assumptions!$B$10/Projects!$D$17:$D$46*0.95)+SUMPRODUCT((Projects!$G$17:$G$46="Yes")*(74=Projects!$C$17:$C$46+Projects!$D$17:$D$46-1)*Projects!$B$17:$B$46*Assumptions!$B$10*0.05)+SUMPRODUCT((Projects!$G$8:$G$14="Yes")*(74&gt;=Projects!$C$8:$C$14)*(74&lt;Projects!$C$8:$C$14+Projects!$D$8:$D$14)*Projects!$B$8:$B$14*Assumptions!$B$12/Projects!$D$8:$D$14*0.95)+SUMPRODUCT((Projects!$G$8:$G$14="Yes")*(74=Projects!$C$8:$C$14+Projects!$D$8:$D$14-1)*Projects!$B$8:$B$14*Assumptions!$B$12*0.05)+SUMPRODUCT((Projects!$G$17:$G$46="Yes")*(74&gt;=Projects!$C$17:$C$46)*(74&lt;Projects!$C$17:$C$46+Projects!$D$17:$D$46)*Projects!$B$17:$B$46*Assumptions!$B$12/Projects!$D$17:$D$46*0.95)+SUMPRODUCT((Projects!$G$17:$G$46="Yes")*(74=Projects!$C$17:$C$46+Projects!$D$17:$D$46-1)*Projects!$B$17:$B$46*Assumptions!$B$12*0.05)+0,Actuals!CA8)</f>
        <v>103192.5</v>
      </c>
      <c r="CA10" s="13" t="n">
        <f aca="false">IF(ISBLANK(Actuals!CB8),0+SUMPRODUCT((Projects!$G$8:$G$14="Yes")*(75&gt;=Projects!$C$8:$C$14)*(75&lt;Projects!$C$8:$C$14+Projects!$D$8:$D$14)*Projects!$B$8:$B$14*Assumptions!$B$10/Projects!$D$8:$D$14*0.95)+SUMPRODUCT((Projects!$G$8:$G$14="Yes")*(75=Projects!$C$8:$C$14+Projects!$D$8:$D$14-1)*Projects!$B$8:$B$14*Assumptions!$B$10*0.05)+SUMPRODUCT((Projects!$G$17:$G$46="Yes")*(75&gt;=Projects!$C$17:$C$46)*(75&lt;Projects!$C$17:$C$46+Projects!$D$17:$D$46)*Projects!$B$17:$B$46*Assumptions!$B$10/Projects!$D$17:$D$46*0.95)+SUMPRODUCT((Projects!$G$17:$G$46="Yes")*(75=Projects!$C$17:$C$46+Projects!$D$17:$D$46-1)*Projects!$B$17:$B$46*Assumptions!$B$10*0.05)+SUMPRODUCT((Projects!$G$8:$G$14="Yes")*(75&gt;=Projects!$C$8:$C$14)*(75&lt;Projects!$C$8:$C$14+Projects!$D$8:$D$14)*Projects!$B$8:$B$14*Assumptions!$B$12/Projects!$D$8:$D$14*0.95)+SUMPRODUCT((Projects!$G$8:$G$14="Yes")*(75=Projects!$C$8:$C$14+Projects!$D$8:$D$14-1)*Projects!$B$8:$B$14*Assumptions!$B$12*0.05)+SUMPRODUCT((Projects!$G$17:$G$46="Yes")*(75&gt;=Projects!$C$17:$C$46)*(75&lt;Projects!$C$17:$C$46+Projects!$D$17:$D$46)*Projects!$B$17:$B$46*Assumptions!$B$12/Projects!$D$17:$D$46*0.95)+SUMPRODUCT((Projects!$G$17:$G$46="Yes")*(75=Projects!$C$17:$C$46+Projects!$D$17:$D$46-1)*Projects!$B$17:$B$46*Assumptions!$B$12*0.05)+0,Actuals!CB8)</f>
        <v>0</v>
      </c>
      <c r="CB10" s="13" t="n">
        <f aca="false">IF(ISBLANK(Actuals!CC8),0+SUMPRODUCT((Projects!$G$8:$G$14="Yes")*(76&gt;=Projects!$C$8:$C$14)*(76&lt;Projects!$C$8:$C$14+Projects!$D$8:$D$14)*Projects!$B$8:$B$14*Assumptions!$B$10/Projects!$D$8:$D$14*0.95)+SUMPRODUCT((Projects!$G$8:$G$14="Yes")*(76=Projects!$C$8:$C$14+Projects!$D$8:$D$14-1)*Projects!$B$8:$B$14*Assumptions!$B$10*0.05)+SUMPRODUCT((Projects!$G$17:$G$46="Yes")*(76&gt;=Projects!$C$17:$C$46)*(76&lt;Projects!$C$17:$C$46+Projects!$D$17:$D$46)*Projects!$B$17:$B$46*Assumptions!$B$10/Projects!$D$17:$D$46*0.95)+SUMPRODUCT((Projects!$G$17:$G$46="Yes")*(76=Projects!$C$17:$C$46+Projects!$D$17:$D$46-1)*Projects!$B$17:$B$46*Assumptions!$B$10*0.05)+SUMPRODUCT((Projects!$G$8:$G$14="Yes")*(76&gt;=Projects!$C$8:$C$14)*(76&lt;Projects!$C$8:$C$14+Projects!$D$8:$D$14)*Projects!$B$8:$B$14*Assumptions!$B$12/Projects!$D$8:$D$14*0.95)+SUMPRODUCT((Projects!$G$8:$G$14="Yes")*(76=Projects!$C$8:$C$14+Projects!$D$8:$D$14-1)*Projects!$B$8:$B$14*Assumptions!$B$12*0.05)+SUMPRODUCT((Projects!$G$17:$G$46="Yes")*(76&gt;=Projects!$C$17:$C$46)*(76&lt;Projects!$C$17:$C$46+Projects!$D$17:$D$46)*Projects!$B$17:$B$46*Assumptions!$B$12/Projects!$D$17:$D$46*0.95)+SUMPRODUCT((Projects!$G$17:$G$46="Yes")*(76=Projects!$C$17:$C$46+Projects!$D$17:$D$46-1)*Projects!$B$17:$B$46*Assumptions!$B$12*0.05)+0,Actuals!CC8)</f>
        <v>0</v>
      </c>
      <c r="CC10" s="13" t="n">
        <f aca="false">IF(ISBLANK(Actuals!CD8),0+SUMPRODUCT((Projects!$G$8:$G$14="Yes")*(77&gt;=Projects!$C$8:$C$14)*(77&lt;Projects!$C$8:$C$14+Projects!$D$8:$D$14)*Projects!$B$8:$B$14*Assumptions!$B$10/Projects!$D$8:$D$14*0.95)+SUMPRODUCT((Projects!$G$8:$G$14="Yes")*(77=Projects!$C$8:$C$14+Projects!$D$8:$D$14-1)*Projects!$B$8:$B$14*Assumptions!$B$10*0.05)+SUMPRODUCT((Projects!$G$17:$G$46="Yes")*(77&gt;=Projects!$C$17:$C$46)*(77&lt;Projects!$C$17:$C$46+Projects!$D$17:$D$46)*Projects!$B$17:$B$46*Assumptions!$B$10/Projects!$D$17:$D$46*0.95)+SUMPRODUCT((Projects!$G$17:$G$46="Yes")*(77=Projects!$C$17:$C$46+Projects!$D$17:$D$46-1)*Projects!$B$17:$B$46*Assumptions!$B$10*0.05)+SUMPRODUCT((Projects!$G$8:$G$14="Yes")*(77&gt;=Projects!$C$8:$C$14)*(77&lt;Projects!$C$8:$C$14+Projects!$D$8:$D$14)*Projects!$B$8:$B$14*Assumptions!$B$12/Projects!$D$8:$D$14*0.95)+SUMPRODUCT((Projects!$G$8:$G$14="Yes")*(77=Projects!$C$8:$C$14+Projects!$D$8:$D$14-1)*Projects!$B$8:$B$14*Assumptions!$B$12*0.05)+SUMPRODUCT((Projects!$G$17:$G$46="Yes")*(77&gt;=Projects!$C$17:$C$46)*(77&lt;Projects!$C$17:$C$46+Projects!$D$17:$D$46)*Projects!$B$17:$B$46*Assumptions!$B$12/Projects!$D$17:$D$46*0.95)+SUMPRODUCT((Projects!$G$17:$G$46="Yes")*(77=Projects!$C$17:$C$46+Projects!$D$17:$D$46-1)*Projects!$B$17:$B$46*Assumptions!$B$12*0.05)+0,Actuals!CD8)</f>
        <v>0</v>
      </c>
      <c r="CD10" s="13" t="n">
        <f aca="false">IF(ISBLANK(Actuals!CE8),0+SUMPRODUCT((Projects!$G$8:$G$14="Yes")*(78&gt;=Projects!$C$8:$C$14)*(78&lt;Projects!$C$8:$C$14+Projects!$D$8:$D$14)*Projects!$B$8:$B$14*Assumptions!$B$10/Projects!$D$8:$D$14*0.95)+SUMPRODUCT((Projects!$G$8:$G$14="Yes")*(78=Projects!$C$8:$C$14+Projects!$D$8:$D$14-1)*Projects!$B$8:$B$14*Assumptions!$B$10*0.05)+SUMPRODUCT((Projects!$G$17:$G$46="Yes")*(78&gt;=Projects!$C$17:$C$46)*(78&lt;Projects!$C$17:$C$46+Projects!$D$17:$D$46)*Projects!$B$17:$B$46*Assumptions!$B$10/Projects!$D$17:$D$46*0.95)+SUMPRODUCT((Projects!$G$17:$G$46="Yes")*(78=Projects!$C$17:$C$46+Projects!$D$17:$D$46-1)*Projects!$B$17:$B$46*Assumptions!$B$10*0.05)+SUMPRODUCT((Projects!$G$8:$G$14="Yes")*(78&gt;=Projects!$C$8:$C$14)*(78&lt;Projects!$C$8:$C$14+Projects!$D$8:$D$14)*Projects!$B$8:$B$14*Assumptions!$B$12/Projects!$D$8:$D$14*0.95)+SUMPRODUCT((Projects!$G$8:$G$14="Yes")*(78=Projects!$C$8:$C$14+Projects!$D$8:$D$14-1)*Projects!$B$8:$B$14*Assumptions!$B$12*0.05)+SUMPRODUCT((Projects!$G$17:$G$46="Yes")*(78&gt;=Projects!$C$17:$C$46)*(78&lt;Projects!$C$17:$C$46+Projects!$D$17:$D$46)*Projects!$B$17:$B$46*Assumptions!$B$12/Projects!$D$17:$D$46*0.95)+SUMPRODUCT((Projects!$G$17:$G$46="Yes")*(78=Projects!$C$17:$C$46+Projects!$D$17:$D$46-1)*Projects!$B$17:$B$46*Assumptions!$B$12*0.05)+0,Actuals!CE8)</f>
        <v>0</v>
      </c>
      <c r="CE10" s="13" t="n">
        <f aca="false">IF(ISBLANK(Actuals!CF8),0+SUMPRODUCT((Projects!$G$8:$G$14="Yes")*(79&gt;=Projects!$C$8:$C$14)*(79&lt;Projects!$C$8:$C$14+Projects!$D$8:$D$14)*Projects!$B$8:$B$14*Assumptions!$B$10/Projects!$D$8:$D$14*0.95)+SUMPRODUCT((Projects!$G$8:$G$14="Yes")*(79=Projects!$C$8:$C$14+Projects!$D$8:$D$14-1)*Projects!$B$8:$B$14*Assumptions!$B$10*0.05)+SUMPRODUCT((Projects!$G$17:$G$46="Yes")*(79&gt;=Projects!$C$17:$C$46)*(79&lt;Projects!$C$17:$C$46+Projects!$D$17:$D$46)*Projects!$B$17:$B$46*Assumptions!$B$10/Projects!$D$17:$D$46*0.95)+SUMPRODUCT((Projects!$G$17:$G$46="Yes")*(79=Projects!$C$17:$C$46+Projects!$D$17:$D$46-1)*Projects!$B$17:$B$46*Assumptions!$B$10*0.05)+SUMPRODUCT((Projects!$G$8:$G$14="Yes")*(79&gt;=Projects!$C$8:$C$14)*(79&lt;Projects!$C$8:$C$14+Projects!$D$8:$D$14)*Projects!$B$8:$B$14*Assumptions!$B$12/Projects!$D$8:$D$14*0.95)+SUMPRODUCT((Projects!$G$8:$G$14="Yes")*(79=Projects!$C$8:$C$14+Projects!$D$8:$D$14-1)*Projects!$B$8:$B$14*Assumptions!$B$12*0.05)+SUMPRODUCT((Projects!$G$17:$G$46="Yes")*(79&gt;=Projects!$C$17:$C$46)*(79&lt;Projects!$C$17:$C$46+Projects!$D$17:$D$46)*Projects!$B$17:$B$46*Assumptions!$B$12/Projects!$D$17:$D$46*0.95)+SUMPRODUCT((Projects!$G$17:$G$46="Yes")*(79=Projects!$C$17:$C$46+Projects!$D$17:$D$46-1)*Projects!$B$17:$B$46*Assumptions!$B$12*0.05)+0,Actuals!CF8)</f>
        <v>0</v>
      </c>
      <c r="CF10" s="13" t="n">
        <f aca="false">IF(ISBLANK(Actuals!CG8),0+SUMPRODUCT((Projects!$G$8:$G$14="Yes")*(80&gt;=Projects!$C$8:$C$14)*(80&lt;Projects!$C$8:$C$14+Projects!$D$8:$D$14)*Projects!$B$8:$B$14*Assumptions!$B$10/Projects!$D$8:$D$14*0.95)+SUMPRODUCT((Projects!$G$8:$G$14="Yes")*(80=Projects!$C$8:$C$14+Projects!$D$8:$D$14-1)*Projects!$B$8:$B$14*Assumptions!$B$10*0.05)+SUMPRODUCT((Projects!$G$17:$G$46="Yes")*(80&gt;=Projects!$C$17:$C$46)*(80&lt;Projects!$C$17:$C$46+Projects!$D$17:$D$46)*Projects!$B$17:$B$46*Assumptions!$B$10/Projects!$D$17:$D$46*0.95)+SUMPRODUCT((Projects!$G$17:$G$46="Yes")*(80=Projects!$C$17:$C$46+Projects!$D$17:$D$46-1)*Projects!$B$17:$B$46*Assumptions!$B$10*0.05)+SUMPRODUCT((Projects!$G$8:$G$14="Yes")*(80&gt;=Projects!$C$8:$C$14)*(80&lt;Projects!$C$8:$C$14+Projects!$D$8:$D$14)*Projects!$B$8:$B$14*Assumptions!$B$12/Projects!$D$8:$D$14*0.95)+SUMPRODUCT((Projects!$G$8:$G$14="Yes")*(80=Projects!$C$8:$C$14+Projects!$D$8:$D$14-1)*Projects!$B$8:$B$14*Assumptions!$B$12*0.05)+SUMPRODUCT((Projects!$G$17:$G$46="Yes")*(80&gt;=Projects!$C$17:$C$46)*(80&lt;Projects!$C$17:$C$46+Projects!$D$17:$D$46)*Projects!$B$17:$B$46*Assumptions!$B$12/Projects!$D$17:$D$46*0.95)+SUMPRODUCT((Projects!$G$17:$G$46="Yes")*(80=Projects!$C$17:$C$46+Projects!$D$17:$D$46-1)*Projects!$B$17:$B$46*Assumptions!$B$12*0.05)+0,Actuals!CG8)</f>
        <v>0</v>
      </c>
      <c r="CG10" s="13" t="n">
        <f aca="false">IF(ISBLANK(Actuals!CH8),0+SUMPRODUCT((Projects!$G$8:$G$14="Yes")*(81&gt;=Projects!$C$8:$C$14)*(81&lt;Projects!$C$8:$C$14+Projects!$D$8:$D$14)*Projects!$B$8:$B$14*Assumptions!$B$10/Projects!$D$8:$D$14*0.95)+SUMPRODUCT((Projects!$G$8:$G$14="Yes")*(81=Projects!$C$8:$C$14+Projects!$D$8:$D$14-1)*Projects!$B$8:$B$14*Assumptions!$B$10*0.05)+SUMPRODUCT((Projects!$G$17:$G$46="Yes")*(81&gt;=Projects!$C$17:$C$46)*(81&lt;Projects!$C$17:$C$46+Projects!$D$17:$D$46)*Projects!$B$17:$B$46*Assumptions!$B$10/Projects!$D$17:$D$46*0.95)+SUMPRODUCT((Projects!$G$17:$G$46="Yes")*(81=Projects!$C$17:$C$46+Projects!$D$17:$D$46-1)*Projects!$B$17:$B$46*Assumptions!$B$10*0.05)+SUMPRODUCT((Projects!$G$8:$G$14="Yes")*(81&gt;=Projects!$C$8:$C$14)*(81&lt;Projects!$C$8:$C$14+Projects!$D$8:$D$14)*Projects!$B$8:$B$14*Assumptions!$B$12/Projects!$D$8:$D$14*0.95)+SUMPRODUCT((Projects!$G$8:$G$14="Yes")*(81=Projects!$C$8:$C$14+Projects!$D$8:$D$14-1)*Projects!$B$8:$B$14*Assumptions!$B$12*0.05)+SUMPRODUCT((Projects!$G$17:$G$46="Yes")*(81&gt;=Projects!$C$17:$C$46)*(81&lt;Projects!$C$17:$C$46+Projects!$D$17:$D$46)*Projects!$B$17:$B$46*Assumptions!$B$12/Projects!$D$17:$D$46*0.95)+SUMPRODUCT((Projects!$G$17:$G$46="Yes")*(81=Projects!$C$17:$C$46+Projects!$D$17:$D$46-1)*Projects!$B$17:$B$46*Assumptions!$B$12*0.05)+0,Actuals!CH8)</f>
        <v>0</v>
      </c>
      <c r="CH10" s="13" t="n">
        <f aca="false">IF(ISBLANK(Actuals!CI8),0+SUMPRODUCT((Projects!$G$8:$G$14="Yes")*(82&gt;=Projects!$C$8:$C$14)*(82&lt;Projects!$C$8:$C$14+Projects!$D$8:$D$14)*Projects!$B$8:$B$14*Assumptions!$B$10/Projects!$D$8:$D$14*0.95)+SUMPRODUCT((Projects!$G$8:$G$14="Yes")*(82=Projects!$C$8:$C$14+Projects!$D$8:$D$14-1)*Projects!$B$8:$B$14*Assumptions!$B$10*0.05)+SUMPRODUCT((Projects!$G$17:$G$46="Yes")*(82&gt;=Projects!$C$17:$C$46)*(82&lt;Projects!$C$17:$C$46+Projects!$D$17:$D$46)*Projects!$B$17:$B$46*Assumptions!$B$10/Projects!$D$17:$D$46*0.95)+SUMPRODUCT((Projects!$G$17:$G$46="Yes")*(82=Projects!$C$17:$C$46+Projects!$D$17:$D$46-1)*Projects!$B$17:$B$46*Assumptions!$B$10*0.05)+SUMPRODUCT((Projects!$G$8:$G$14="Yes")*(82&gt;=Projects!$C$8:$C$14)*(82&lt;Projects!$C$8:$C$14+Projects!$D$8:$D$14)*Projects!$B$8:$B$14*Assumptions!$B$12/Projects!$D$8:$D$14*0.95)+SUMPRODUCT((Projects!$G$8:$G$14="Yes")*(82=Projects!$C$8:$C$14+Projects!$D$8:$D$14-1)*Projects!$B$8:$B$14*Assumptions!$B$12*0.05)+SUMPRODUCT((Projects!$G$17:$G$46="Yes")*(82&gt;=Projects!$C$17:$C$46)*(82&lt;Projects!$C$17:$C$46+Projects!$D$17:$D$46)*Projects!$B$17:$B$46*Assumptions!$B$12/Projects!$D$17:$D$46*0.95)+SUMPRODUCT((Projects!$G$17:$G$46="Yes")*(82=Projects!$C$17:$C$46+Projects!$D$17:$D$46-1)*Projects!$B$17:$B$46*Assumptions!$B$12*0.05)+0,Actuals!CI8)</f>
        <v>0</v>
      </c>
      <c r="CI10" s="13" t="n">
        <f aca="false">IF(ISBLANK(Actuals!CJ8),0+SUMPRODUCT((Projects!$G$8:$G$14="Yes")*(83&gt;=Projects!$C$8:$C$14)*(83&lt;Projects!$C$8:$C$14+Projects!$D$8:$D$14)*Projects!$B$8:$B$14*Assumptions!$B$10/Projects!$D$8:$D$14*0.95)+SUMPRODUCT((Projects!$G$8:$G$14="Yes")*(83=Projects!$C$8:$C$14+Projects!$D$8:$D$14-1)*Projects!$B$8:$B$14*Assumptions!$B$10*0.05)+SUMPRODUCT((Projects!$G$17:$G$46="Yes")*(83&gt;=Projects!$C$17:$C$46)*(83&lt;Projects!$C$17:$C$46+Projects!$D$17:$D$46)*Projects!$B$17:$B$46*Assumptions!$B$10/Projects!$D$17:$D$46*0.95)+SUMPRODUCT((Projects!$G$17:$G$46="Yes")*(83=Projects!$C$17:$C$46+Projects!$D$17:$D$46-1)*Projects!$B$17:$B$46*Assumptions!$B$10*0.05)+SUMPRODUCT((Projects!$G$8:$G$14="Yes")*(83&gt;=Projects!$C$8:$C$14)*(83&lt;Projects!$C$8:$C$14+Projects!$D$8:$D$14)*Projects!$B$8:$B$14*Assumptions!$B$12/Projects!$D$8:$D$14*0.95)+SUMPRODUCT((Projects!$G$8:$G$14="Yes")*(83=Projects!$C$8:$C$14+Projects!$D$8:$D$14-1)*Projects!$B$8:$B$14*Assumptions!$B$12*0.05)+SUMPRODUCT((Projects!$G$17:$G$46="Yes")*(83&gt;=Projects!$C$17:$C$46)*(83&lt;Projects!$C$17:$C$46+Projects!$D$17:$D$46)*Projects!$B$17:$B$46*Assumptions!$B$12/Projects!$D$17:$D$46*0.95)+SUMPRODUCT((Projects!$G$17:$G$46="Yes")*(83=Projects!$C$17:$C$46+Projects!$D$17:$D$46-1)*Projects!$B$17:$B$46*Assumptions!$B$12*0.05)+0,Actuals!CJ8)</f>
        <v>0</v>
      </c>
      <c r="CJ10" s="13" t="n">
        <f aca="false">IF(ISBLANK(Actuals!CK8),0+SUMPRODUCT((Projects!$G$8:$G$14="Yes")*(84&gt;=Projects!$C$8:$C$14)*(84&lt;Projects!$C$8:$C$14+Projects!$D$8:$D$14)*Projects!$B$8:$B$14*Assumptions!$B$10/Projects!$D$8:$D$14*0.95)+SUMPRODUCT((Projects!$G$8:$G$14="Yes")*(84=Projects!$C$8:$C$14+Projects!$D$8:$D$14-1)*Projects!$B$8:$B$14*Assumptions!$B$10*0.05)+SUMPRODUCT((Projects!$G$17:$G$46="Yes")*(84&gt;=Projects!$C$17:$C$46)*(84&lt;Projects!$C$17:$C$46+Projects!$D$17:$D$46)*Projects!$B$17:$B$46*Assumptions!$B$10/Projects!$D$17:$D$46*0.95)+SUMPRODUCT((Projects!$G$17:$G$46="Yes")*(84=Projects!$C$17:$C$46+Projects!$D$17:$D$46-1)*Projects!$B$17:$B$46*Assumptions!$B$10*0.05)+SUMPRODUCT((Projects!$G$8:$G$14="Yes")*(84&gt;=Projects!$C$8:$C$14)*(84&lt;Projects!$C$8:$C$14+Projects!$D$8:$D$14)*Projects!$B$8:$B$14*Assumptions!$B$12/Projects!$D$8:$D$14*0.95)+SUMPRODUCT((Projects!$G$8:$G$14="Yes")*(84=Projects!$C$8:$C$14+Projects!$D$8:$D$14-1)*Projects!$B$8:$B$14*Assumptions!$B$12*0.05)+SUMPRODUCT((Projects!$G$17:$G$46="Yes")*(84&gt;=Projects!$C$17:$C$46)*(84&lt;Projects!$C$17:$C$46+Projects!$D$17:$D$46)*Projects!$B$17:$B$46*Assumptions!$B$12/Projects!$D$17:$D$46*0.95)+SUMPRODUCT((Projects!$G$17:$G$46="Yes")*(84=Projects!$C$17:$C$46+Projects!$D$17:$D$46-1)*Projects!$B$17:$B$46*Assumptions!$B$12*0.05)+0,Actuals!CK8)</f>
        <v>0</v>
      </c>
      <c r="CK10" s="13" t="n">
        <f aca="false">IF(ISBLANK(Actuals!CL8),0+SUMPRODUCT((Projects!$G$8:$G$14="Yes")*(85&gt;=Projects!$C$8:$C$14)*(85&lt;Projects!$C$8:$C$14+Projects!$D$8:$D$14)*Projects!$B$8:$B$14*Assumptions!$B$10/Projects!$D$8:$D$14*0.95)+SUMPRODUCT((Projects!$G$8:$G$14="Yes")*(85=Projects!$C$8:$C$14+Projects!$D$8:$D$14-1)*Projects!$B$8:$B$14*Assumptions!$B$10*0.05)+SUMPRODUCT((Projects!$G$17:$G$46="Yes")*(85&gt;=Projects!$C$17:$C$46)*(85&lt;Projects!$C$17:$C$46+Projects!$D$17:$D$46)*Projects!$B$17:$B$46*Assumptions!$B$10/Projects!$D$17:$D$46*0.95)+SUMPRODUCT((Projects!$G$17:$G$46="Yes")*(85=Projects!$C$17:$C$46+Projects!$D$17:$D$46-1)*Projects!$B$17:$B$46*Assumptions!$B$10*0.05)+SUMPRODUCT((Projects!$G$8:$G$14="Yes")*(85&gt;=Projects!$C$8:$C$14)*(85&lt;Projects!$C$8:$C$14+Projects!$D$8:$D$14)*Projects!$B$8:$B$14*Assumptions!$B$12/Projects!$D$8:$D$14*0.95)+SUMPRODUCT((Projects!$G$8:$G$14="Yes")*(85=Projects!$C$8:$C$14+Projects!$D$8:$D$14-1)*Projects!$B$8:$B$14*Assumptions!$B$12*0.05)+SUMPRODUCT((Projects!$G$17:$G$46="Yes")*(85&gt;=Projects!$C$17:$C$46)*(85&lt;Projects!$C$17:$C$46+Projects!$D$17:$D$46)*Projects!$B$17:$B$46*Assumptions!$B$12/Projects!$D$17:$D$46*0.95)+SUMPRODUCT((Projects!$G$17:$G$46="Yes")*(85=Projects!$C$17:$C$46+Projects!$D$17:$D$46-1)*Projects!$B$17:$B$46*Assumptions!$B$12*0.05)+0,Actuals!CL8)</f>
        <v>0</v>
      </c>
      <c r="CL10" s="13" t="n">
        <f aca="false">IF(ISBLANK(Actuals!CM8),0+SUMPRODUCT((Projects!$G$8:$G$14="Yes")*(86&gt;=Projects!$C$8:$C$14)*(86&lt;Projects!$C$8:$C$14+Projects!$D$8:$D$14)*Projects!$B$8:$B$14*Assumptions!$B$10/Projects!$D$8:$D$14*0.95)+SUMPRODUCT((Projects!$G$8:$G$14="Yes")*(86=Projects!$C$8:$C$14+Projects!$D$8:$D$14-1)*Projects!$B$8:$B$14*Assumptions!$B$10*0.05)+SUMPRODUCT((Projects!$G$17:$G$46="Yes")*(86&gt;=Projects!$C$17:$C$46)*(86&lt;Projects!$C$17:$C$46+Projects!$D$17:$D$46)*Projects!$B$17:$B$46*Assumptions!$B$10/Projects!$D$17:$D$46*0.95)+SUMPRODUCT((Projects!$G$17:$G$46="Yes")*(86=Projects!$C$17:$C$46+Projects!$D$17:$D$46-1)*Projects!$B$17:$B$46*Assumptions!$B$10*0.05)+SUMPRODUCT((Projects!$G$8:$G$14="Yes")*(86&gt;=Projects!$C$8:$C$14)*(86&lt;Projects!$C$8:$C$14+Projects!$D$8:$D$14)*Projects!$B$8:$B$14*Assumptions!$B$12/Projects!$D$8:$D$14*0.95)+SUMPRODUCT((Projects!$G$8:$G$14="Yes")*(86=Projects!$C$8:$C$14+Projects!$D$8:$D$14-1)*Projects!$B$8:$B$14*Assumptions!$B$12*0.05)+SUMPRODUCT((Projects!$G$17:$G$46="Yes")*(86&gt;=Projects!$C$17:$C$46)*(86&lt;Projects!$C$17:$C$46+Projects!$D$17:$D$46)*Projects!$B$17:$B$46*Assumptions!$B$12/Projects!$D$17:$D$46*0.95)+SUMPRODUCT((Projects!$G$17:$G$46="Yes")*(86=Projects!$C$17:$C$46+Projects!$D$17:$D$46-1)*Projects!$B$17:$B$46*Assumptions!$B$12*0.05)+0,Actuals!CM8)</f>
        <v>0</v>
      </c>
      <c r="CM10" s="13" t="n">
        <f aca="false">IF(ISBLANK(Actuals!CN8),0+SUMPRODUCT((Projects!$G$8:$G$14="Yes")*(87&gt;=Projects!$C$8:$C$14)*(87&lt;Projects!$C$8:$C$14+Projects!$D$8:$D$14)*Projects!$B$8:$B$14*Assumptions!$B$10/Projects!$D$8:$D$14*0.95)+SUMPRODUCT((Projects!$G$8:$G$14="Yes")*(87=Projects!$C$8:$C$14+Projects!$D$8:$D$14-1)*Projects!$B$8:$B$14*Assumptions!$B$10*0.05)+SUMPRODUCT((Projects!$G$17:$G$46="Yes")*(87&gt;=Projects!$C$17:$C$46)*(87&lt;Projects!$C$17:$C$46+Projects!$D$17:$D$46)*Projects!$B$17:$B$46*Assumptions!$B$10/Projects!$D$17:$D$46*0.95)+SUMPRODUCT((Projects!$G$17:$G$46="Yes")*(87=Projects!$C$17:$C$46+Projects!$D$17:$D$46-1)*Projects!$B$17:$B$46*Assumptions!$B$10*0.05)+SUMPRODUCT((Projects!$G$8:$G$14="Yes")*(87&gt;=Projects!$C$8:$C$14)*(87&lt;Projects!$C$8:$C$14+Projects!$D$8:$D$14)*Projects!$B$8:$B$14*Assumptions!$B$12/Projects!$D$8:$D$14*0.95)+SUMPRODUCT((Projects!$G$8:$G$14="Yes")*(87=Projects!$C$8:$C$14+Projects!$D$8:$D$14-1)*Projects!$B$8:$B$14*Assumptions!$B$12*0.05)+SUMPRODUCT((Projects!$G$17:$G$46="Yes")*(87&gt;=Projects!$C$17:$C$46)*(87&lt;Projects!$C$17:$C$46+Projects!$D$17:$D$46)*Projects!$B$17:$B$46*Assumptions!$B$12/Projects!$D$17:$D$46*0.95)+SUMPRODUCT((Projects!$G$17:$G$46="Yes")*(87=Projects!$C$17:$C$46+Projects!$D$17:$D$46-1)*Projects!$B$17:$B$46*Assumptions!$B$12*0.05)+0,Actuals!CN8)</f>
        <v>0</v>
      </c>
      <c r="CN10" s="13" t="n">
        <f aca="false">IF(ISBLANK(Actuals!CO8),0+SUMPRODUCT((Projects!$G$8:$G$14="Yes")*(88&gt;=Projects!$C$8:$C$14)*(88&lt;Projects!$C$8:$C$14+Projects!$D$8:$D$14)*Projects!$B$8:$B$14*Assumptions!$B$10/Projects!$D$8:$D$14*0.95)+SUMPRODUCT((Projects!$G$8:$G$14="Yes")*(88=Projects!$C$8:$C$14+Projects!$D$8:$D$14-1)*Projects!$B$8:$B$14*Assumptions!$B$10*0.05)+SUMPRODUCT((Projects!$G$17:$G$46="Yes")*(88&gt;=Projects!$C$17:$C$46)*(88&lt;Projects!$C$17:$C$46+Projects!$D$17:$D$46)*Projects!$B$17:$B$46*Assumptions!$B$10/Projects!$D$17:$D$46*0.95)+SUMPRODUCT((Projects!$G$17:$G$46="Yes")*(88=Projects!$C$17:$C$46+Projects!$D$17:$D$46-1)*Projects!$B$17:$B$46*Assumptions!$B$10*0.05)+SUMPRODUCT((Projects!$G$8:$G$14="Yes")*(88&gt;=Projects!$C$8:$C$14)*(88&lt;Projects!$C$8:$C$14+Projects!$D$8:$D$14)*Projects!$B$8:$B$14*Assumptions!$B$12/Projects!$D$8:$D$14*0.95)+SUMPRODUCT((Projects!$G$8:$G$14="Yes")*(88=Projects!$C$8:$C$14+Projects!$D$8:$D$14-1)*Projects!$B$8:$B$14*Assumptions!$B$12*0.05)+SUMPRODUCT((Projects!$G$17:$G$46="Yes")*(88&gt;=Projects!$C$17:$C$46)*(88&lt;Projects!$C$17:$C$46+Projects!$D$17:$D$46)*Projects!$B$17:$B$46*Assumptions!$B$12/Projects!$D$17:$D$46*0.95)+SUMPRODUCT((Projects!$G$17:$G$46="Yes")*(88=Projects!$C$17:$C$46+Projects!$D$17:$D$46-1)*Projects!$B$17:$B$46*Assumptions!$B$12*0.05)+0,Actuals!CO8)</f>
        <v>0</v>
      </c>
      <c r="CO10" s="13" t="n">
        <f aca="false">IF(ISBLANK(Actuals!CP8),0+SUMPRODUCT((Projects!$G$8:$G$14="Yes")*(89&gt;=Projects!$C$8:$C$14)*(89&lt;Projects!$C$8:$C$14+Projects!$D$8:$D$14)*Projects!$B$8:$B$14*Assumptions!$B$10/Projects!$D$8:$D$14*0.95)+SUMPRODUCT((Projects!$G$8:$G$14="Yes")*(89=Projects!$C$8:$C$14+Projects!$D$8:$D$14-1)*Projects!$B$8:$B$14*Assumptions!$B$10*0.05)+SUMPRODUCT((Projects!$G$17:$G$46="Yes")*(89&gt;=Projects!$C$17:$C$46)*(89&lt;Projects!$C$17:$C$46+Projects!$D$17:$D$46)*Projects!$B$17:$B$46*Assumptions!$B$10/Projects!$D$17:$D$46*0.95)+SUMPRODUCT((Projects!$G$17:$G$46="Yes")*(89=Projects!$C$17:$C$46+Projects!$D$17:$D$46-1)*Projects!$B$17:$B$46*Assumptions!$B$10*0.05)+SUMPRODUCT((Projects!$G$8:$G$14="Yes")*(89&gt;=Projects!$C$8:$C$14)*(89&lt;Projects!$C$8:$C$14+Projects!$D$8:$D$14)*Projects!$B$8:$B$14*Assumptions!$B$12/Projects!$D$8:$D$14*0.95)+SUMPRODUCT((Projects!$G$8:$G$14="Yes")*(89=Projects!$C$8:$C$14+Projects!$D$8:$D$14-1)*Projects!$B$8:$B$14*Assumptions!$B$12*0.05)+SUMPRODUCT((Projects!$G$17:$G$46="Yes")*(89&gt;=Projects!$C$17:$C$46)*(89&lt;Projects!$C$17:$C$46+Projects!$D$17:$D$46)*Projects!$B$17:$B$46*Assumptions!$B$12/Projects!$D$17:$D$46*0.95)+SUMPRODUCT((Projects!$G$17:$G$46="Yes")*(89=Projects!$C$17:$C$46+Projects!$D$17:$D$46-1)*Projects!$B$17:$B$46*Assumptions!$B$12*0.05)+0,Actuals!CP8)</f>
        <v>0</v>
      </c>
      <c r="CP10" s="13" t="n">
        <f aca="false">IF(ISBLANK(Actuals!CQ8),0+SUMPRODUCT((Projects!$G$8:$G$14="Yes")*(90&gt;=Projects!$C$8:$C$14)*(90&lt;Projects!$C$8:$C$14+Projects!$D$8:$D$14)*Projects!$B$8:$B$14*Assumptions!$B$10/Projects!$D$8:$D$14*0.95)+SUMPRODUCT((Projects!$G$8:$G$14="Yes")*(90=Projects!$C$8:$C$14+Projects!$D$8:$D$14-1)*Projects!$B$8:$B$14*Assumptions!$B$10*0.05)+SUMPRODUCT((Projects!$G$17:$G$46="Yes")*(90&gt;=Projects!$C$17:$C$46)*(90&lt;Projects!$C$17:$C$46+Projects!$D$17:$D$46)*Projects!$B$17:$B$46*Assumptions!$B$10/Projects!$D$17:$D$46*0.95)+SUMPRODUCT((Projects!$G$17:$G$46="Yes")*(90=Projects!$C$17:$C$46+Projects!$D$17:$D$46-1)*Projects!$B$17:$B$46*Assumptions!$B$10*0.05)+SUMPRODUCT((Projects!$G$8:$G$14="Yes")*(90&gt;=Projects!$C$8:$C$14)*(90&lt;Projects!$C$8:$C$14+Projects!$D$8:$D$14)*Projects!$B$8:$B$14*Assumptions!$B$12/Projects!$D$8:$D$14*0.95)+SUMPRODUCT((Projects!$G$8:$G$14="Yes")*(90=Projects!$C$8:$C$14+Projects!$D$8:$D$14-1)*Projects!$B$8:$B$14*Assumptions!$B$12*0.05)+SUMPRODUCT((Projects!$G$17:$G$46="Yes")*(90&gt;=Projects!$C$17:$C$46)*(90&lt;Projects!$C$17:$C$46+Projects!$D$17:$D$46)*Projects!$B$17:$B$46*Assumptions!$B$12/Projects!$D$17:$D$46*0.95)+SUMPRODUCT((Projects!$G$17:$G$46="Yes")*(90=Projects!$C$17:$C$46+Projects!$D$17:$D$46-1)*Projects!$B$17:$B$46*Assumptions!$B$12*0.05)+0,Actuals!CQ8)</f>
        <v>0</v>
      </c>
      <c r="CQ10" s="13" t="n">
        <f aca="false">IF(ISBLANK(Actuals!CR8),0+SUMPRODUCT((Projects!$G$8:$G$14="Yes")*(91&gt;=Projects!$C$8:$C$14)*(91&lt;Projects!$C$8:$C$14+Projects!$D$8:$D$14)*Projects!$B$8:$B$14*Assumptions!$B$10/Projects!$D$8:$D$14*0.95)+SUMPRODUCT((Projects!$G$8:$G$14="Yes")*(91=Projects!$C$8:$C$14+Projects!$D$8:$D$14-1)*Projects!$B$8:$B$14*Assumptions!$B$10*0.05)+SUMPRODUCT((Projects!$G$17:$G$46="Yes")*(91&gt;=Projects!$C$17:$C$46)*(91&lt;Projects!$C$17:$C$46+Projects!$D$17:$D$46)*Projects!$B$17:$B$46*Assumptions!$B$10/Projects!$D$17:$D$46*0.95)+SUMPRODUCT((Projects!$G$17:$G$46="Yes")*(91=Projects!$C$17:$C$46+Projects!$D$17:$D$46-1)*Projects!$B$17:$B$46*Assumptions!$B$10*0.05)+SUMPRODUCT((Projects!$G$8:$G$14="Yes")*(91&gt;=Projects!$C$8:$C$14)*(91&lt;Projects!$C$8:$C$14+Projects!$D$8:$D$14)*Projects!$B$8:$B$14*Assumptions!$B$12/Projects!$D$8:$D$14*0.95)+SUMPRODUCT((Projects!$G$8:$G$14="Yes")*(91=Projects!$C$8:$C$14+Projects!$D$8:$D$14-1)*Projects!$B$8:$B$14*Assumptions!$B$12*0.05)+SUMPRODUCT((Projects!$G$17:$G$46="Yes")*(91&gt;=Projects!$C$17:$C$46)*(91&lt;Projects!$C$17:$C$46+Projects!$D$17:$D$46)*Projects!$B$17:$B$46*Assumptions!$B$12/Projects!$D$17:$D$46*0.95)+SUMPRODUCT((Projects!$G$17:$G$46="Yes")*(91=Projects!$C$17:$C$46+Projects!$D$17:$D$46-1)*Projects!$B$17:$B$46*Assumptions!$B$12*0.05)+0,Actuals!CR8)</f>
        <v>0</v>
      </c>
      <c r="CR10" s="13" t="n">
        <f aca="false">IF(ISBLANK(Actuals!CS8),0+SUMPRODUCT((Projects!$G$8:$G$14="Yes")*(92&gt;=Projects!$C$8:$C$14)*(92&lt;Projects!$C$8:$C$14+Projects!$D$8:$D$14)*Projects!$B$8:$B$14*Assumptions!$B$10/Projects!$D$8:$D$14*0.95)+SUMPRODUCT((Projects!$G$8:$G$14="Yes")*(92=Projects!$C$8:$C$14+Projects!$D$8:$D$14-1)*Projects!$B$8:$B$14*Assumptions!$B$10*0.05)+SUMPRODUCT((Projects!$G$17:$G$46="Yes")*(92&gt;=Projects!$C$17:$C$46)*(92&lt;Projects!$C$17:$C$46+Projects!$D$17:$D$46)*Projects!$B$17:$B$46*Assumptions!$B$10/Projects!$D$17:$D$46*0.95)+SUMPRODUCT((Projects!$G$17:$G$46="Yes")*(92=Projects!$C$17:$C$46+Projects!$D$17:$D$46-1)*Projects!$B$17:$B$46*Assumptions!$B$10*0.05)+SUMPRODUCT((Projects!$G$8:$G$14="Yes")*(92&gt;=Projects!$C$8:$C$14)*(92&lt;Projects!$C$8:$C$14+Projects!$D$8:$D$14)*Projects!$B$8:$B$14*Assumptions!$B$12/Projects!$D$8:$D$14*0.95)+SUMPRODUCT((Projects!$G$8:$G$14="Yes")*(92=Projects!$C$8:$C$14+Projects!$D$8:$D$14-1)*Projects!$B$8:$B$14*Assumptions!$B$12*0.05)+SUMPRODUCT((Projects!$G$17:$G$46="Yes")*(92&gt;=Projects!$C$17:$C$46)*(92&lt;Projects!$C$17:$C$46+Projects!$D$17:$D$46)*Projects!$B$17:$B$46*Assumptions!$B$12/Projects!$D$17:$D$46*0.95)+SUMPRODUCT((Projects!$G$17:$G$46="Yes")*(92=Projects!$C$17:$C$46+Projects!$D$17:$D$46-1)*Projects!$B$17:$B$46*Assumptions!$B$12*0.05)+0,Actuals!CS8)</f>
        <v>0</v>
      </c>
      <c r="CS10" s="13" t="n">
        <f aca="false">IF(ISBLANK(Actuals!CT8),0+SUMPRODUCT((Projects!$G$8:$G$14="Yes")*(93&gt;=Projects!$C$8:$C$14)*(93&lt;Projects!$C$8:$C$14+Projects!$D$8:$D$14)*Projects!$B$8:$B$14*Assumptions!$B$10/Projects!$D$8:$D$14*0.95)+SUMPRODUCT((Projects!$G$8:$G$14="Yes")*(93=Projects!$C$8:$C$14+Projects!$D$8:$D$14-1)*Projects!$B$8:$B$14*Assumptions!$B$10*0.05)+SUMPRODUCT((Projects!$G$17:$G$46="Yes")*(93&gt;=Projects!$C$17:$C$46)*(93&lt;Projects!$C$17:$C$46+Projects!$D$17:$D$46)*Projects!$B$17:$B$46*Assumptions!$B$10/Projects!$D$17:$D$46*0.95)+SUMPRODUCT((Projects!$G$17:$G$46="Yes")*(93=Projects!$C$17:$C$46+Projects!$D$17:$D$46-1)*Projects!$B$17:$B$46*Assumptions!$B$10*0.05)+SUMPRODUCT((Projects!$G$8:$G$14="Yes")*(93&gt;=Projects!$C$8:$C$14)*(93&lt;Projects!$C$8:$C$14+Projects!$D$8:$D$14)*Projects!$B$8:$B$14*Assumptions!$B$12/Projects!$D$8:$D$14*0.95)+SUMPRODUCT((Projects!$G$8:$G$14="Yes")*(93=Projects!$C$8:$C$14+Projects!$D$8:$D$14-1)*Projects!$B$8:$B$14*Assumptions!$B$12*0.05)+SUMPRODUCT((Projects!$G$17:$G$46="Yes")*(93&gt;=Projects!$C$17:$C$46)*(93&lt;Projects!$C$17:$C$46+Projects!$D$17:$D$46)*Projects!$B$17:$B$46*Assumptions!$B$12/Projects!$D$17:$D$46*0.95)+SUMPRODUCT((Projects!$G$17:$G$46="Yes")*(93=Projects!$C$17:$C$46+Projects!$D$17:$D$46-1)*Projects!$B$17:$B$46*Assumptions!$B$12*0.05)+0,Actuals!CT8)</f>
        <v>0</v>
      </c>
      <c r="CT10" s="13" t="n">
        <f aca="false">IF(ISBLANK(Actuals!CU8),0+SUMPRODUCT((Projects!$G$8:$G$14="Yes")*(94&gt;=Projects!$C$8:$C$14)*(94&lt;Projects!$C$8:$C$14+Projects!$D$8:$D$14)*Projects!$B$8:$B$14*Assumptions!$B$10/Projects!$D$8:$D$14*0.95)+SUMPRODUCT((Projects!$G$8:$G$14="Yes")*(94=Projects!$C$8:$C$14+Projects!$D$8:$D$14-1)*Projects!$B$8:$B$14*Assumptions!$B$10*0.05)+SUMPRODUCT((Projects!$G$17:$G$46="Yes")*(94&gt;=Projects!$C$17:$C$46)*(94&lt;Projects!$C$17:$C$46+Projects!$D$17:$D$46)*Projects!$B$17:$B$46*Assumptions!$B$10/Projects!$D$17:$D$46*0.95)+SUMPRODUCT((Projects!$G$17:$G$46="Yes")*(94=Projects!$C$17:$C$46+Projects!$D$17:$D$46-1)*Projects!$B$17:$B$46*Assumptions!$B$10*0.05)+SUMPRODUCT((Projects!$G$8:$G$14="Yes")*(94&gt;=Projects!$C$8:$C$14)*(94&lt;Projects!$C$8:$C$14+Projects!$D$8:$D$14)*Projects!$B$8:$B$14*Assumptions!$B$12/Projects!$D$8:$D$14*0.95)+SUMPRODUCT((Projects!$G$8:$G$14="Yes")*(94=Projects!$C$8:$C$14+Projects!$D$8:$D$14-1)*Projects!$B$8:$B$14*Assumptions!$B$12*0.05)+SUMPRODUCT((Projects!$G$17:$G$46="Yes")*(94&gt;=Projects!$C$17:$C$46)*(94&lt;Projects!$C$17:$C$46+Projects!$D$17:$D$46)*Projects!$B$17:$B$46*Assumptions!$B$12/Projects!$D$17:$D$46*0.95)+SUMPRODUCT((Projects!$G$17:$G$46="Yes")*(94=Projects!$C$17:$C$46+Projects!$D$17:$D$46-1)*Projects!$B$17:$B$46*Assumptions!$B$12*0.05)+0,Actuals!CU8)</f>
        <v>0</v>
      </c>
      <c r="CU10" s="13" t="n">
        <f aca="false">IF(ISBLANK(Actuals!CV8),0+SUMPRODUCT((Projects!$G$8:$G$14="Yes")*(95&gt;=Projects!$C$8:$C$14)*(95&lt;Projects!$C$8:$C$14+Projects!$D$8:$D$14)*Projects!$B$8:$B$14*Assumptions!$B$10/Projects!$D$8:$D$14*0.95)+SUMPRODUCT((Projects!$G$8:$G$14="Yes")*(95=Projects!$C$8:$C$14+Projects!$D$8:$D$14-1)*Projects!$B$8:$B$14*Assumptions!$B$10*0.05)+SUMPRODUCT((Projects!$G$17:$G$46="Yes")*(95&gt;=Projects!$C$17:$C$46)*(95&lt;Projects!$C$17:$C$46+Projects!$D$17:$D$46)*Projects!$B$17:$B$46*Assumptions!$B$10/Projects!$D$17:$D$46*0.95)+SUMPRODUCT((Projects!$G$17:$G$46="Yes")*(95=Projects!$C$17:$C$46+Projects!$D$17:$D$46-1)*Projects!$B$17:$B$46*Assumptions!$B$10*0.05)+SUMPRODUCT((Projects!$G$8:$G$14="Yes")*(95&gt;=Projects!$C$8:$C$14)*(95&lt;Projects!$C$8:$C$14+Projects!$D$8:$D$14)*Projects!$B$8:$B$14*Assumptions!$B$12/Projects!$D$8:$D$14*0.95)+SUMPRODUCT((Projects!$G$8:$G$14="Yes")*(95=Projects!$C$8:$C$14+Projects!$D$8:$D$14-1)*Projects!$B$8:$B$14*Assumptions!$B$12*0.05)+SUMPRODUCT((Projects!$G$17:$G$46="Yes")*(95&gt;=Projects!$C$17:$C$46)*(95&lt;Projects!$C$17:$C$46+Projects!$D$17:$D$46)*Projects!$B$17:$B$46*Assumptions!$B$12/Projects!$D$17:$D$46*0.95)+SUMPRODUCT((Projects!$G$17:$G$46="Yes")*(95=Projects!$C$17:$C$46+Projects!$D$17:$D$46-1)*Projects!$B$17:$B$46*Assumptions!$B$12*0.05)+0,Actuals!CV8)</f>
        <v>0</v>
      </c>
      <c r="CV10" s="13" t="n">
        <f aca="false">IF(ISBLANK(Actuals!CW8),0+SUMPRODUCT((Projects!$G$8:$G$14="Yes")*(96&gt;=Projects!$C$8:$C$14)*(96&lt;Projects!$C$8:$C$14+Projects!$D$8:$D$14)*Projects!$B$8:$B$14*Assumptions!$B$10/Projects!$D$8:$D$14*0.95)+SUMPRODUCT((Projects!$G$8:$G$14="Yes")*(96=Projects!$C$8:$C$14+Projects!$D$8:$D$14-1)*Projects!$B$8:$B$14*Assumptions!$B$10*0.05)+SUMPRODUCT((Projects!$G$17:$G$46="Yes")*(96&gt;=Projects!$C$17:$C$46)*(96&lt;Projects!$C$17:$C$46+Projects!$D$17:$D$46)*Projects!$B$17:$B$46*Assumptions!$B$10/Projects!$D$17:$D$46*0.95)+SUMPRODUCT((Projects!$G$17:$G$46="Yes")*(96=Projects!$C$17:$C$46+Projects!$D$17:$D$46-1)*Projects!$B$17:$B$46*Assumptions!$B$10*0.05)+SUMPRODUCT((Projects!$G$8:$G$14="Yes")*(96&gt;=Projects!$C$8:$C$14)*(96&lt;Projects!$C$8:$C$14+Projects!$D$8:$D$14)*Projects!$B$8:$B$14*Assumptions!$B$12/Projects!$D$8:$D$14*0.95)+SUMPRODUCT((Projects!$G$8:$G$14="Yes")*(96=Projects!$C$8:$C$14+Projects!$D$8:$D$14-1)*Projects!$B$8:$B$14*Assumptions!$B$12*0.05)+SUMPRODUCT((Projects!$G$17:$G$46="Yes")*(96&gt;=Projects!$C$17:$C$46)*(96&lt;Projects!$C$17:$C$46+Projects!$D$17:$D$46)*Projects!$B$17:$B$46*Assumptions!$B$12/Projects!$D$17:$D$46*0.95)+SUMPRODUCT((Projects!$G$17:$G$46="Yes")*(96=Projects!$C$17:$C$46+Projects!$D$17:$D$46-1)*Projects!$B$17:$B$46*Assumptions!$B$12*0.05)+0,Actuals!CW8)</f>
        <v>0</v>
      </c>
      <c r="CW10" s="13" t="n">
        <f aca="false">IF(ISBLANK(Actuals!CX8),0+SUMPRODUCT((Projects!$G$8:$G$14="Yes")*(97&gt;=Projects!$C$8:$C$14)*(97&lt;Projects!$C$8:$C$14+Projects!$D$8:$D$14)*Projects!$B$8:$B$14*Assumptions!$B$10/Projects!$D$8:$D$14*0.95)+SUMPRODUCT((Projects!$G$8:$G$14="Yes")*(97=Projects!$C$8:$C$14+Projects!$D$8:$D$14-1)*Projects!$B$8:$B$14*Assumptions!$B$10*0.05)+SUMPRODUCT((Projects!$G$17:$G$46="Yes")*(97&gt;=Projects!$C$17:$C$46)*(97&lt;Projects!$C$17:$C$46+Projects!$D$17:$D$46)*Projects!$B$17:$B$46*Assumptions!$B$10/Projects!$D$17:$D$46*0.95)+SUMPRODUCT((Projects!$G$17:$G$46="Yes")*(97=Projects!$C$17:$C$46+Projects!$D$17:$D$46-1)*Projects!$B$17:$B$46*Assumptions!$B$10*0.05)+SUMPRODUCT((Projects!$G$8:$G$14="Yes")*(97&gt;=Projects!$C$8:$C$14)*(97&lt;Projects!$C$8:$C$14+Projects!$D$8:$D$14)*Projects!$B$8:$B$14*Assumptions!$B$12/Projects!$D$8:$D$14*0.95)+SUMPRODUCT((Projects!$G$8:$G$14="Yes")*(97=Projects!$C$8:$C$14+Projects!$D$8:$D$14-1)*Projects!$B$8:$B$14*Assumptions!$B$12*0.05)+SUMPRODUCT((Projects!$G$17:$G$46="Yes")*(97&gt;=Projects!$C$17:$C$46)*(97&lt;Projects!$C$17:$C$46+Projects!$D$17:$D$46)*Projects!$B$17:$B$46*Assumptions!$B$12/Projects!$D$17:$D$46*0.95)+SUMPRODUCT((Projects!$G$17:$G$46="Yes")*(97=Projects!$C$17:$C$46+Projects!$D$17:$D$46-1)*Projects!$B$17:$B$46*Assumptions!$B$12*0.05)+0,Actuals!CX8)</f>
        <v>0</v>
      </c>
      <c r="CX10" s="13" t="n">
        <f aca="false">IF(ISBLANK(Actuals!CY8),0+SUMPRODUCT((Projects!$G$8:$G$14="Yes")*(98&gt;=Projects!$C$8:$C$14)*(98&lt;Projects!$C$8:$C$14+Projects!$D$8:$D$14)*Projects!$B$8:$B$14*Assumptions!$B$10/Projects!$D$8:$D$14*0.95)+SUMPRODUCT((Projects!$G$8:$G$14="Yes")*(98=Projects!$C$8:$C$14+Projects!$D$8:$D$14-1)*Projects!$B$8:$B$14*Assumptions!$B$10*0.05)+SUMPRODUCT((Projects!$G$17:$G$46="Yes")*(98&gt;=Projects!$C$17:$C$46)*(98&lt;Projects!$C$17:$C$46+Projects!$D$17:$D$46)*Projects!$B$17:$B$46*Assumptions!$B$10/Projects!$D$17:$D$46*0.95)+SUMPRODUCT((Projects!$G$17:$G$46="Yes")*(98=Projects!$C$17:$C$46+Projects!$D$17:$D$46-1)*Projects!$B$17:$B$46*Assumptions!$B$10*0.05)+SUMPRODUCT((Projects!$G$8:$G$14="Yes")*(98&gt;=Projects!$C$8:$C$14)*(98&lt;Projects!$C$8:$C$14+Projects!$D$8:$D$14)*Projects!$B$8:$B$14*Assumptions!$B$12/Projects!$D$8:$D$14*0.95)+SUMPRODUCT((Projects!$G$8:$G$14="Yes")*(98=Projects!$C$8:$C$14+Projects!$D$8:$D$14-1)*Projects!$B$8:$B$14*Assumptions!$B$12*0.05)+SUMPRODUCT((Projects!$G$17:$G$46="Yes")*(98&gt;=Projects!$C$17:$C$46)*(98&lt;Projects!$C$17:$C$46+Projects!$D$17:$D$46)*Projects!$B$17:$B$46*Assumptions!$B$12/Projects!$D$17:$D$46*0.95)+SUMPRODUCT((Projects!$G$17:$G$46="Yes")*(98=Projects!$C$17:$C$46+Projects!$D$17:$D$46-1)*Projects!$B$17:$B$46*Assumptions!$B$12*0.05)+0,Actuals!CY8)</f>
        <v>0</v>
      </c>
      <c r="CY10" s="13" t="n">
        <f aca="false">IF(ISBLANK(Actuals!CZ8),0+SUMPRODUCT((Projects!$G$8:$G$14="Yes")*(99&gt;=Projects!$C$8:$C$14)*(99&lt;Projects!$C$8:$C$14+Projects!$D$8:$D$14)*Projects!$B$8:$B$14*Assumptions!$B$10/Projects!$D$8:$D$14*0.95)+SUMPRODUCT((Projects!$G$8:$G$14="Yes")*(99=Projects!$C$8:$C$14+Projects!$D$8:$D$14-1)*Projects!$B$8:$B$14*Assumptions!$B$10*0.05)+SUMPRODUCT((Projects!$G$17:$G$46="Yes")*(99&gt;=Projects!$C$17:$C$46)*(99&lt;Projects!$C$17:$C$46+Projects!$D$17:$D$46)*Projects!$B$17:$B$46*Assumptions!$B$10/Projects!$D$17:$D$46*0.95)+SUMPRODUCT((Projects!$G$17:$G$46="Yes")*(99=Projects!$C$17:$C$46+Projects!$D$17:$D$46-1)*Projects!$B$17:$B$46*Assumptions!$B$10*0.05)+SUMPRODUCT((Projects!$G$8:$G$14="Yes")*(99&gt;=Projects!$C$8:$C$14)*(99&lt;Projects!$C$8:$C$14+Projects!$D$8:$D$14)*Projects!$B$8:$B$14*Assumptions!$B$12/Projects!$D$8:$D$14*0.95)+SUMPRODUCT((Projects!$G$8:$G$14="Yes")*(99=Projects!$C$8:$C$14+Projects!$D$8:$D$14-1)*Projects!$B$8:$B$14*Assumptions!$B$12*0.05)+SUMPRODUCT((Projects!$G$17:$G$46="Yes")*(99&gt;=Projects!$C$17:$C$46)*(99&lt;Projects!$C$17:$C$46+Projects!$D$17:$D$46)*Projects!$B$17:$B$46*Assumptions!$B$12/Projects!$D$17:$D$46*0.95)+SUMPRODUCT((Projects!$G$17:$G$46="Yes")*(99=Projects!$C$17:$C$46+Projects!$D$17:$D$46-1)*Projects!$B$17:$B$46*Assumptions!$B$12*0.05)+0,Actuals!CZ8)</f>
        <v>0</v>
      </c>
      <c r="CZ10" s="13" t="n">
        <f aca="false">IF(ISBLANK(Actuals!DA8),0+SUMPRODUCT((Projects!$G$8:$G$14="Yes")*(100&gt;=Projects!$C$8:$C$14)*(100&lt;Projects!$C$8:$C$14+Projects!$D$8:$D$14)*Projects!$B$8:$B$14*Assumptions!$B$10/Projects!$D$8:$D$14*0.95)+SUMPRODUCT((Projects!$G$8:$G$14="Yes")*(100=Projects!$C$8:$C$14+Projects!$D$8:$D$14-1)*Projects!$B$8:$B$14*Assumptions!$B$10*0.05)+SUMPRODUCT((Projects!$G$17:$G$46="Yes")*(100&gt;=Projects!$C$17:$C$46)*(100&lt;Projects!$C$17:$C$46+Projects!$D$17:$D$46)*Projects!$B$17:$B$46*Assumptions!$B$10/Projects!$D$17:$D$46*0.95)+SUMPRODUCT((Projects!$G$17:$G$46="Yes")*(100=Projects!$C$17:$C$46+Projects!$D$17:$D$46-1)*Projects!$B$17:$B$46*Assumptions!$B$10*0.05)+SUMPRODUCT((Projects!$G$8:$G$14="Yes")*(100&gt;=Projects!$C$8:$C$14)*(100&lt;Projects!$C$8:$C$14+Projects!$D$8:$D$14)*Projects!$B$8:$B$14*Assumptions!$B$12/Projects!$D$8:$D$14*0.95)+SUMPRODUCT((Projects!$G$8:$G$14="Yes")*(100=Projects!$C$8:$C$14+Projects!$D$8:$D$14-1)*Projects!$B$8:$B$14*Assumptions!$B$12*0.05)+SUMPRODUCT((Projects!$G$17:$G$46="Yes")*(100&gt;=Projects!$C$17:$C$46)*(100&lt;Projects!$C$17:$C$46+Projects!$D$17:$D$46)*Projects!$B$17:$B$46*Assumptions!$B$12/Projects!$D$17:$D$46*0.95)+SUMPRODUCT((Projects!$G$17:$G$46="Yes")*(100=Projects!$C$17:$C$46+Projects!$D$17:$D$46-1)*Projects!$B$17:$B$46*Assumptions!$B$12*0.05)+0,Actuals!DA8)</f>
        <v>0</v>
      </c>
      <c r="DA10" s="13" t="n">
        <f aca="false">IF(ISBLANK(Actuals!DB8),0+SUMPRODUCT((Projects!$G$8:$G$14="Yes")*(101&gt;=Projects!$C$8:$C$14)*(101&lt;Projects!$C$8:$C$14+Projects!$D$8:$D$14)*Projects!$B$8:$B$14*Assumptions!$B$10/Projects!$D$8:$D$14*0.95)+SUMPRODUCT((Projects!$G$8:$G$14="Yes")*(101=Projects!$C$8:$C$14+Projects!$D$8:$D$14-1)*Projects!$B$8:$B$14*Assumptions!$B$10*0.05)+SUMPRODUCT((Projects!$G$17:$G$46="Yes")*(101&gt;=Projects!$C$17:$C$46)*(101&lt;Projects!$C$17:$C$46+Projects!$D$17:$D$46)*Projects!$B$17:$B$46*Assumptions!$B$10/Projects!$D$17:$D$46*0.95)+SUMPRODUCT((Projects!$G$17:$G$46="Yes")*(101=Projects!$C$17:$C$46+Projects!$D$17:$D$46-1)*Projects!$B$17:$B$46*Assumptions!$B$10*0.05)+SUMPRODUCT((Projects!$G$8:$G$14="Yes")*(101&gt;=Projects!$C$8:$C$14)*(101&lt;Projects!$C$8:$C$14+Projects!$D$8:$D$14)*Projects!$B$8:$B$14*Assumptions!$B$12/Projects!$D$8:$D$14*0.95)+SUMPRODUCT((Projects!$G$8:$G$14="Yes")*(101=Projects!$C$8:$C$14+Projects!$D$8:$D$14-1)*Projects!$B$8:$B$14*Assumptions!$B$12*0.05)+SUMPRODUCT((Projects!$G$17:$G$46="Yes")*(101&gt;=Projects!$C$17:$C$46)*(101&lt;Projects!$C$17:$C$46+Projects!$D$17:$D$46)*Projects!$B$17:$B$46*Assumptions!$B$12/Projects!$D$17:$D$46*0.95)+SUMPRODUCT((Projects!$G$17:$G$46="Yes")*(101=Projects!$C$17:$C$46+Projects!$D$17:$D$46-1)*Projects!$B$17:$B$46*Assumptions!$B$12*0.05)+0,Actuals!DB8)</f>
        <v>0</v>
      </c>
      <c r="DB10" s="13" t="n">
        <f aca="false">IF(ISBLANK(Actuals!DC8),0+SUMPRODUCT((Projects!$G$8:$G$14="Yes")*(102&gt;=Projects!$C$8:$C$14)*(102&lt;Projects!$C$8:$C$14+Projects!$D$8:$D$14)*Projects!$B$8:$B$14*Assumptions!$B$10/Projects!$D$8:$D$14*0.95)+SUMPRODUCT((Projects!$G$8:$G$14="Yes")*(102=Projects!$C$8:$C$14+Projects!$D$8:$D$14-1)*Projects!$B$8:$B$14*Assumptions!$B$10*0.05)+SUMPRODUCT((Projects!$G$17:$G$46="Yes")*(102&gt;=Projects!$C$17:$C$46)*(102&lt;Projects!$C$17:$C$46+Projects!$D$17:$D$46)*Projects!$B$17:$B$46*Assumptions!$B$10/Projects!$D$17:$D$46*0.95)+SUMPRODUCT((Projects!$G$17:$G$46="Yes")*(102=Projects!$C$17:$C$46+Projects!$D$17:$D$46-1)*Projects!$B$17:$B$46*Assumptions!$B$10*0.05)+SUMPRODUCT((Projects!$G$8:$G$14="Yes")*(102&gt;=Projects!$C$8:$C$14)*(102&lt;Projects!$C$8:$C$14+Projects!$D$8:$D$14)*Projects!$B$8:$B$14*Assumptions!$B$12/Projects!$D$8:$D$14*0.95)+SUMPRODUCT((Projects!$G$8:$G$14="Yes")*(102=Projects!$C$8:$C$14+Projects!$D$8:$D$14-1)*Projects!$B$8:$B$14*Assumptions!$B$12*0.05)+SUMPRODUCT((Projects!$G$17:$G$46="Yes")*(102&gt;=Projects!$C$17:$C$46)*(102&lt;Projects!$C$17:$C$46+Projects!$D$17:$D$46)*Projects!$B$17:$B$46*Assumptions!$B$12/Projects!$D$17:$D$46*0.95)+SUMPRODUCT((Projects!$G$17:$G$46="Yes")*(102=Projects!$C$17:$C$46+Projects!$D$17:$D$46-1)*Projects!$B$17:$B$46*Assumptions!$B$12*0.05)+0,Actuals!DC8)</f>
        <v>0</v>
      </c>
      <c r="DC10" s="13" t="n">
        <f aca="false">IF(ISBLANK(Actuals!DD8),0+SUMPRODUCT((Projects!$G$8:$G$14="Yes")*(103&gt;=Projects!$C$8:$C$14)*(103&lt;Projects!$C$8:$C$14+Projects!$D$8:$D$14)*Projects!$B$8:$B$14*Assumptions!$B$10/Projects!$D$8:$D$14*0.95)+SUMPRODUCT((Projects!$G$8:$G$14="Yes")*(103=Projects!$C$8:$C$14+Projects!$D$8:$D$14-1)*Projects!$B$8:$B$14*Assumptions!$B$10*0.05)+SUMPRODUCT((Projects!$G$17:$G$46="Yes")*(103&gt;=Projects!$C$17:$C$46)*(103&lt;Projects!$C$17:$C$46+Projects!$D$17:$D$46)*Projects!$B$17:$B$46*Assumptions!$B$10/Projects!$D$17:$D$46*0.95)+SUMPRODUCT((Projects!$G$17:$G$46="Yes")*(103=Projects!$C$17:$C$46+Projects!$D$17:$D$46-1)*Projects!$B$17:$B$46*Assumptions!$B$10*0.05)+SUMPRODUCT((Projects!$G$8:$G$14="Yes")*(103&gt;=Projects!$C$8:$C$14)*(103&lt;Projects!$C$8:$C$14+Projects!$D$8:$D$14)*Projects!$B$8:$B$14*Assumptions!$B$12/Projects!$D$8:$D$14*0.95)+SUMPRODUCT((Projects!$G$8:$G$14="Yes")*(103=Projects!$C$8:$C$14+Projects!$D$8:$D$14-1)*Projects!$B$8:$B$14*Assumptions!$B$12*0.05)+SUMPRODUCT((Projects!$G$17:$G$46="Yes")*(103&gt;=Projects!$C$17:$C$46)*(103&lt;Projects!$C$17:$C$46+Projects!$D$17:$D$46)*Projects!$B$17:$B$46*Assumptions!$B$12/Projects!$D$17:$D$46*0.95)+SUMPRODUCT((Projects!$G$17:$G$46="Yes")*(103=Projects!$C$17:$C$46+Projects!$D$17:$D$46-1)*Projects!$B$17:$B$46*Assumptions!$B$12*0.05)+0,Actuals!DD8)</f>
        <v>0</v>
      </c>
      <c r="DD10" s="13" t="n">
        <f aca="false">IF(ISBLANK(Actuals!DE8),0+SUMPRODUCT((Projects!$G$8:$G$14="Yes")*(104&gt;=Projects!$C$8:$C$14)*(104&lt;Projects!$C$8:$C$14+Projects!$D$8:$D$14)*Projects!$B$8:$B$14*Assumptions!$B$10/Projects!$D$8:$D$14*0.95)+SUMPRODUCT((Projects!$G$8:$G$14="Yes")*(104=Projects!$C$8:$C$14+Projects!$D$8:$D$14-1)*Projects!$B$8:$B$14*Assumptions!$B$10*0.05)+SUMPRODUCT((Projects!$G$17:$G$46="Yes")*(104&gt;=Projects!$C$17:$C$46)*(104&lt;Projects!$C$17:$C$46+Projects!$D$17:$D$46)*Projects!$B$17:$B$46*Assumptions!$B$10/Projects!$D$17:$D$46*0.95)+SUMPRODUCT((Projects!$G$17:$G$46="Yes")*(104=Projects!$C$17:$C$46+Projects!$D$17:$D$46-1)*Projects!$B$17:$B$46*Assumptions!$B$10*0.05)+SUMPRODUCT((Projects!$G$8:$G$14="Yes")*(104&gt;=Projects!$C$8:$C$14)*(104&lt;Projects!$C$8:$C$14+Projects!$D$8:$D$14)*Projects!$B$8:$B$14*Assumptions!$B$12/Projects!$D$8:$D$14*0.95)+SUMPRODUCT((Projects!$G$8:$G$14="Yes")*(104=Projects!$C$8:$C$14+Projects!$D$8:$D$14-1)*Projects!$B$8:$B$14*Assumptions!$B$12*0.05)+SUMPRODUCT((Projects!$G$17:$G$46="Yes")*(104&gt;=Projects!$C$17:$C$46)*(104&lt;Projects!$C$17:$C$46+Projects!$D$17:$D$46)*Projects!$B$17:$B$46*Assumptions!$B$12/Projects!$D$17:$D$46*0.95)+SUMPRODUCT((Projects!$G$17:$G$46="Yes")*(104=Projects!$C$17:$C$46+Projects!$D$17:$D$46-1)*Projects!$B$17:$B$46*Assumptions!$B$12*0.05)+0,Actuals!DE8)</f>
        <v>0</v>
      </c>
      <c r="DE10" s="13" t="n">
        <f aca="false">IF(ISBLANK(Actuals!DF8),0+SUMPRODUCT((Projects!$G$8:$G$14="Yes")*(105&gt;=Projects!$C$8:$C$14)*(105&lt;Projects!$C$8:$C$14+Projects!$D$8:$D$14)*Projects!$B$8:$B$14*Assumptions!$B$10/Projects!$D$8:$D$14*0.95)+SUMPRODUCT((Projects!$G$8:$G$14="Yes")*(105=Projects!$C$8:$C$14+Projects!$D$8:$D$14-1)*Projects!$B$8:$B$14*Assumptions!$B$10*0.05)+SUMPRODUCT((Projects!$G$17:$G$46="Yes")*(105&gt;=Projects!$C$17:$C$46)*(105&lt;Projects!$C$17:$C$46+Projects!$D$17:$D$46)*Projects!$B$17:$B$46*Assumptions!$B$10/Projects!$D$17:$D$46*0.95)+SUMPRODUCT((Projects!$G$17:$G$46="Yes")*(105=Projects!$C$17:$C$46+Projects!$D$17:$D$46-1)*Projects!$B$17:$B$46*Assumptions!$B$10*0.05)+SUMPRODUCT((Projects!$G$8:$G$14="Yes")*(105&gt;=Projects!$C$8:$C$14)*(105&lt;Projects!$C$8:$C$14+Projects!$D$8:$D$14)*Projects!$B$8:$B$14*Assumptions!$B$12/Projects!$D$8:$D$14*0.95)+SUMPRODUCT((Projects!$G$8:$G$14="Yes")*(105=Projects!$C$8:$C$14+Projects!$D$8:$D$14-1)*Projects!$B$8:$B$14*Assumptions!$B$12*0.05)+SUMPRODUCT((Projects!$G$17:$G$46="Yes")*(105&gt;=Projects!$C$17:$C$46)*(105&lt;Projects!$C$17:$C$46+Projects!$D$17:$D$46)*Projects!$B$17:$B$46*Assumptions!$B$12/Projects!$D$17:$D$46*0.95)+SUMPRODUCT((Projects!$G$17:$G$46="Yes")*(105=Projects!$C$17:$C$46+Projects!$D$17:$D$46-1)*Projects!$B$17:$B$46*Assumptions!$B$12*0.05)+0,Actuals!DF8)</f>
        <v>0</v>
      </c>
    </row>
    <row r="11" customFormat="false" ht="15" hidden="false" customHeight="true" outlineLevel="0" collapsed="false">
      <c r="A11" s="22" t="s">
        <v>5</v>
      </c>
      <c r="B11" s="13" t="n">
        <f aca="false">IF(ISBLANK(Actuals!C10),0,Actuals!C10)</f>
        <v>95370.25</v>
      </c>
      <c r="C11" s="13" t="n">
        <f aca="false">IF(ISBLANK(Actuals!D10),0,Actuals!D10)</f>
        <v>173282.89</v>
      </c>
      <c r="D11" s="13" t="n">
        <f aca="false">IF(ISBLANK(Actuals!E10),0,Actuals!E10)</f>
        <v>50438.85</v>
      </c>
      <c r="E11" s="13" t="n">
        <f aca="false">IF(ISBLANK(Actuals!F10),SUMPRODUCT((Projects!$G$2:$G$14="Yes")*(1&gt;=Projects!$C$2:$C$14)*(1&lt;Projects!$C$2:$C$14+Projects!$D$2:$D$14)*Projects!$B$2:$B$14*Assumptions!$B$11/Projects!$D$2:$D$14*0.95)+SUMPRODUCT((Projects!$G$2:$G$14="Yes")*(1=Projects!$C$2:$C$14+Projects!$D$2:$D$14-1)*Projects!$B$2:$B$14*Assumptions!$B$11*0.05)+SUMPRODUCT((Projects!$G$17:$G$46="Yes")*(1&gt;=Projects!$C$17:$C$46)*(1&lt;Projects!$C$17:$C$46+Projects!$D$17:$D$46)*Projects!$B$17:$B$46*Assumptions!$B$11/Projects!$D$17:$D$46*0.95)+SUMPRODUCT((Projects!$G$17:$G$46="Yes")*(1=Projects!$C$17:$C$46+Projects!$D$17:$D$46-1)*Projects!$B$17:$B$46*Assumptions!$B$11*0.05),Actuals!F10)</f>
        <v>167518.85</v>
      </c>
      <c r="F11" s="13" t="n">
        <f aca="false">IF(ISBLANK(Actuals!G10),291059.35*Curves!C$6/SUM(Curves!$C$6:$I$6)+890698.1*Curves!C$7/SUM(Curves!$C$7:$Q$7)+581071.09*Curves!C$8/SUM(Curves!$C$8:$P$8)+708999.51*Curves!C$9/SUM(Curves!$C$9:$P$9)+277408.54*Curves!C$4/SUM(Curves!$C$4:$T$4)+SUMPRODUCT((Projects!$G$8:$G$14="Yes")*(2&gt;=Projects!$C$8:$C$14)*(2&lt;Projects!$C$8:$C$14+Projects!$D$8:$D$14)*Projects!$B$8:$B$14*Assumptions!$B$11/Projects!$D$8:$D$14*0.95)+SUMPRODUCT((Projects!$G$8:$G$14="Yes")*(2=Projects!$C$8:$C$14+Projects!$D$8:$D$14-1)*Projects!$B$8:$B$14*Assumptions!$B$11*0.05)+SUMPRODUCT((Projects!$G$17:$G$46="Yes")*(2&gt;=Projects!$C$17:$C$46)*(2&lt;Projects!$C$17:$C$46+Projects!$D$17:$D$46)*Projects!$B$17:$B$46*Assumptions!$B$11/Projects!$D$17:$D$46*0.95)+SUMPRODUCT((Projects!$G$17:$G$46="Yes")*(2=Projects!$C$17:$C$46+Projects!$D$17:$D$46-1)*Projects!$B$17:$B$46*Assumptions!$B$11*0.05),Actuals!G10)</f>
        <v>209057.26</v>
      </c>
      <c r="G11" s="13" t="n">
        <f aca="false">IF(ISBLANK(Actuals!H10),210070.22*Curves!D$6/SUM(Curves!$E$6:$I$6)+735478.88*Curves!D$7/SUM(Curves!$E$7:$Q$7)+443593.08*Curves!D$8/SUM(Curves!$E$8:$P$8)+595501.12*Curves!D$9/SUM(Curves!$E$9:$P$9)+226689.92*Curves!D$4/SUM(Curves!$E$4:$T$4)+SUMPRODUCT((Projects!$G$8:$G$14="Yes")*(3&gt;=Projects!$C$8:$C$14)*(3&lt;Projects!$C$8:$C$14+Projects!$D$8:$D$14)*Projects!$B$8:$B$14*Assumptions!$B$11/Projects!$D$8:$D$14*0.95)+SUMPRODUCT((Projects!$G$8:$G$14="Yes")*(3=Projects!$C$8:$C$14+Projects!$D$8:$D$14-1)*Projects!$B$8:$B$14*Assumptions!$B$11*0.05)+SUMPRODUCT((Projects!$G$17:$G$46="Yes")*(3&gt;=Projects!$C$17:$C$46)*(3&lt;Projects!$C$17:$C$46+Projects!$D$17:$D$46)*Projects!$B$17:$B$46*Assumptions!$B$11/Projects!$D$17:$D$46*0.95)+SUMPRODUCT((Projects!$G$17:$G$46="Yes")*(3=Projects!$C$17:$C$46+Projects!$D$17:$D$46-1)*Projects!$B$17:$B$46*Assumptions!$B$11*0.05),Actuals!H10)</f>
        <v>292966.36</v>
      </c>
      <c r="H11" s="13" t="n">
        <f aca="false">IF(ISBLANK(Actuals!I10),210070.22*Curves!E$6/SUM(Curves!$E$6:$I$6)+735478.88*Curves!E$7/SUM(Curves!$E$7:$Q$7)+443593.08*Curves!E$8/SUM(Curves!$E$8:$P$8)+595501.12*Curves!E$9/SUM(Curves!$E$9:$P$9)+226689.92*Curves!E$4/SUM(Curves!$E$4:$T$4)+SUMPRODUCT((Projects!$G$8:$G$14="Yes")*(4&gt;=Projects!$C$8:$C$14)*(4&lt;Projects!$C$8:$C$14+Projects!$D$8:$D$14)*Projects!$B$8:$B$14*Assumptions!$B$11/Projects!$D$8:$D$14*0.95)+SUMPRODUCT((Projects!$G$8:$G$14="Yes")*(4=Projects!$C$8:$C$14+Projects!$D$8:$D$14-1)*Projects!$B$8:$B$14*Assumptions!$B$11*0.05)+SUMPRODUCT((Projects!$G$17:$G$46="Yes")*(4&gt;=Projects!$C$17:$C$46)*(4&lt;Projects!$C$17:$C$46+Projects!$D$17:$D$46)*Projects!$B$17:$B$46*Assumptions!$B$11/Projects!$D$17:$D$46*0.95)+SUMPRODUCT((Projects!$G$17:$G$46="Yes")*(4=Projects!$C$17:$C$46+Projects!$D$17:$D$46-1)*Projects!$B$17:$B$46*Assumptions!$B$11*0.05),Actuals!I10)</f>
        <v>271584.24</v>
      </c>
      <c r="I11" s="13" t="n">
        <f aca="false">IF(ISBLANK(Actuals!J10),210070.22*Curves!F$6/SUM(Curves!$E$6:$I$6)+0*Curves!F$7/SUM(Curves!$E$7:$Q$7)+0*Curves!F$8/SUM(Curves!$E$8:$P$8)+0*Curves!F$9/SUM(Curves!$E$9:$P$9)+0*Curves!F$4/SUM(Curves!$E$4:$T$4)+SUMPRODUCT((Projects!$G$8:$G$14="Yes")*(5&gt;=Projects!$C$8:$C$14)*(5&lt;Projects!$C$8:$C$14+Projects!$D$8:$D$14)*Projects!$B$8:$B$14*Assumptions!$B$11/Projects!$D$8:$D$14*0.95)+SUMPRODUCT((Projects!$G$8:$G$14="Yes")*(5=Projects!$C$8:$C$14+Projects!$D$8:$D$14-1)*Projects!$B$8:$B$14*Assumptions!$B$11*0.05)+SUMPRODUCT((Projects!$G$17:$G$46="Yes")*(5&gt;=Projects!$C$17:$C$46)*(5&lt;Projects!$C$17:$C$46+Projects!$D$17:$D$46)*Projects!$B$17:$B$46*Assumptions!$B$11/Projects!$D$17:$D$46*0.95)+SUMPRODUCT((Projects!$G$17:$G$46="Yes")*(5=Projects!$C$17:$C$46+Projects!$D$17:$D$46-1)*Projects!$B$17:$B$46*Assumptions!$B$11*0.05)+147961.15+18690.7,Actuals!J10)</f>
        <v>289785.36</v>
      </c>
      <c r="J11" s="13" t="n">
        <f aca="false">IF(ISBLANK(Actuals!K10),210070.22*Curves!G$6/SUM(Curves!$E$6:$I$6)+0*Curves!G$7/SUM(Curves!$E$7:$Q$7)+0*Curves!G$8/SUM(Curves!$E$8:$P$8)+0*Curves!G$9/SUM(Curves!$E$9:$P$9)+0*Curves!G$4/SUM(Curves!$E$4:$T$4)+SUMPRODUCT((Projects!$G$8:$G$14="Yes")*(6&gt;=Projects!$C$8:$C$14)*(6&lt;Projects!$C$8:$C$14+Projects!$D$8:$D$14)*Projects!$B$8:$B$14*Assumptions!$B$11/Projects!$D$8:$D$14*0.95)+SUMPRODUCT((Projects!$G$8:$G$14="Yes")*(6=Projects!$C$8:$C$14+Projects!$D$8:$D$14-1)*Projects!$B$8:$B$14*Assumptions!$B$11*0.05)+SUMPRODUCT((Projects!$G$17:$G$46="Yes")*(6&gt;=Projects!$C$17:$C$46)*(6&lt;Projects!$C$17:$C$46+Projects!$D$17:$D$46)*Projects!$B$17:$B$46*Assumptions!$B$11/Projects!$D$17:$D$46*0.95)+SUMPRODUCT((Projects!$G$17:$G$46="Yes")*(6=Projects!$C$17:$C$46+Projects!$D$17:$D$46-1)*Projects!$B$17:$B$46*Assumptions!$B$11*0.05)+162842.07+44385.79,Actuals!K10)</f>
        <v>319492.968624924</v>
      </c>
      <c r="K11" s="13" t="n">
        <f aca="false">IF(ISBLANK(Actuals!L10),210070.22*Curves!H$6/SUM(Curves!$E$6:$I$6)+0*Curves!H$7/SUM(Curves!$E$7:$Q$7)+0*Curves!H$8/SUM(Curves!$E$8:$P$8)+0*Curves!H$9/SUM(Curves!$E$9:$P$9)+0*Curves!H$4/SUM(Curves!$E$4:$T$4)+SUMPRODUCT((Projects!$G$8:$G$14="Yes")*(7&gt;=Projects!$C$8:$C$14)*(7&lt;Projects!$C$8:$C$14+Projects!$D$8:$D$14)*Projects!$B$8:$B$14*Assumptions!$B$11/Projects!$D$8:$D$14*0.95)+SUMPRODUCT((Projects!$G$8:$G$14="Yes")*(7=Projects!$C$8:$C$14+Projects!$D$8:$D$14-1)*Projects!$B$8:$B$14*Assumptions!$B$11*0.05)+SUMPRODUCT((Projects!$G$17:$G$46="Yes")*(7&gt;=Projects!$C$17:$C$46)*(7&lt;Projects!$C$17:$C$46+Projects!$D$17:$D$46)*Projects!$B$17:$B$46*Assumptions!$B$11/Projects!$D$17:$D$46*0.95)+SUMPRODUCT((Projects!$G$17:$G$46="Yes")*(7=Projects!$C$17:$C$46+Projects!$D$17:$D$46-1)*Projects!$B$17:$B$46*Assumptions!$B$11*0.05)+170438.71+62344.53,Actuals!L10)</f>
        <v>339016.353279152</v>
      </c>
      <c r="L11" s="13" t="n">
        <f aca="false">IF(ISBLANK(Actuals!M10),210070.22*Curves!I$6/SUM(Curves!$E$6:$I$6)+0*Curves!I$7/SUM(Curves!$E$7:$Q$7)+0*Curves!I$8/SUM(Curves!$E$8:$P$8)+0*Curves!I$9/SUM(Curves!$E$9:$P$9)+0*Curves!I$4/SUM(Curves!$E$4:$T$4)+SUMPRODUCT((Projects!$G$8:$G$14="Yes")*(8&gt;=Projects!$C$8:$C$14)*(8&lt;Projects!$C$8:$C$14+Projects!$D$8:$D$14)*Projects!$B$8:$B$14*Assumptions!$B$11/Projects!$D$8:$D$14*0.95)+SUMPRODUCT((Projects!$G$8:$G$14="Yes")*(8=Projects!$C$8:$C$14+Projects!$D$8:$D$14-1)*Projects!$B$8:$B$14*Assumptions!$B$11*0.05)+SUMPRODUCT((Projects!$G$17:$G$46="Yes")*(8&gt;=Projects!$C$17:$C$46)*(8&lt;Projects!$C$17:$C$46+Projects!$D$17:$D$46)*Projects!$B$17:$B$46*Assumptions!$B$11/Projects!$D$17:$D$46*0.95)+SUMPRODUCT((Projects!$G$17:$G$46="Yes")*(8=Projects!$C$17:$C$46+Projects!$D$17:$D$46-1)*Projects!$B$17:$B$46*Assumptions!$B$11*0.05)+140981.69+40527.07,Actuals!M10)</f>
        <v>282106.23683904</v>
      </c>
      <c r="M11" s="13" t="n">
        <f aca="false">IF(ISBLANK(Actuals!N10),0*Curves!J$7/SUM(Curves!$E$7:$Q$7)+0*Curves!J$8/SUM(Curves!$E$8:$P$8)+0*Curves!J$9/SUM(Curves!$E$9:$P$9)+0*Curves!J$4/SUM(Curves!$E$4:$T$4)+SUMPRODUCT((Projects!$G$8:$G$14="Yes")*(9&gt;=Projects!$C$8:$C$14)*(9&lt;Projects!$C$8:$C$14+Projects!$D$8:$D$14)*Projects!$B$8:$B$14*Assumptions!$B$11/Projects!$D$8:$D$14*0.95)+SUMPRODUCT((Projects!$G$8:$G$14="Yes")*(9=Projects!$C$8:$C$14+Projects!$D$8:$D$14-1)*Projects!$B$8:$B$14*Assumptions!$B$11*0.05)+SUMPRODUCT((Projects!$G$17:$G$46="Yes")*(9&gt;=Projects!$C$17:$C$46)*(9&lt;Projects!$C$17:$C$46+Projects!$D$17:$D$46)*Projects!$B$17:$B$46*Assumptions!$B$11/Projects!$D$17:$D$46*0.95)+SUMPRODUCT((Projects!$G$17:$G$46="Yes")*(9=Projects!$C$17:$C$46+Projects!$D$17:$D$46-1)*Projects!$B$17:$B$46*Assumptions!$B$11*0.05)+151633.52+30372.93,Actuals!N10)</f>
        <v>295941.551922338</v>
      </c>
      <c r="N11" s="13" t="n">
        <f aca="false">IF(ISBLANK(Actuals!O10),0*Curves!K$7/SUM(Curves!$E$7:$Q$7)+0*Curves!K$8/SUM(Curves!$E$8:$P$8)+0*Curves!K$9/SUM(Curves!$E$9:$P$9)+0*Curves!K$4/SUM(Curves!$E$4:$T$4)+SUMPRODUCT((Projects!$G$8:$G$14="Yes")*(10&gt;=Projects!$C$8:$C$14)*(10&lt;Projects!$C$8:$C$14+Projects!$D$8:$D$14)*Projects!$B$8:$B$14*Assumptions!$B$11/Projects!$D$8:$D$14*0.95)+SUMPRODUCT((Projects!$G$8:$G$14="Yes")*(10=Projects!$C$8:$C$14+Projects!$D$8:$D$14-1)*Projects!$B$8:$B$14*Assumptions!$B$11*0.05)+SUMPRODUCT((Projects!$G$17:$G$46="Yes")*(10&gt;=Projects!$C$17:$C$46)*(10&lt;Projects!$C$17:$C$46+Projects!$D$17:$D$46)*Projects!$B$17:$B$46*Assumptions!$B$11/Projects!$D$17:$D$46*0.95)+SUMPRODUCT((Projects!$G$17:$G$46="Yes")*(10=Projects!$C$17:$C$46+Projects!$D$17:$D$46-1)*Projects!$B$17:$B$46*Assumptions!$B$11*0.05)+160688.12+38694.01,Actuals!O10)</f>
        <v>371968.241294988</v>
      </c>
      <c r="O11" s="13" t="n">
        <f aca="false">IF(ISBLANK(Actuals!P10),0*Curves!L$7/SUM(Curves!$E$7:$Q$7)+0*Curves!L$8/SUM(Curves!$E$8:$P$8)+0*Curves!L$9/SUM(Curves!$E$9:$P$9)+0*Curves!L$4/SUM(Curves!$E$4:$T$4)+SUMPRODUCT((Projects!$G$8:$G$14="Yes")*(11&gt;=Projects!$C$8:$C$14)*(11&lt;Projects!$C$8:$C$14+Projects!$D$8:$D$14)*Projects!$B$8:$B$14*Assumptions!$B$11/Projects!$D$8:$D$14*0.95)+SUMPRODUCT((Projects!$G$8:$G$14="Yes")*(11=Projects!$C$8:$C$14+Projects!$D$8:$D$14-1)*Projects!$B$8:$B$14*Assumptions!$B$11*0.05)+SUMPRODUCT((Projects!$G$17:$G$46="Yes")*(11&gt;=Projects!$C$17:$C$46)*(11&lt;Projects!$C$17:$C$46+Projects!$D$17:$D$46)*Projects!$B$17:$B$46*Assumptions!$B$11/Projects!$D$17:$D$46*0.95)+SUMPRODUCT((Projects!$G$17:$G$46="Yes")*(11=Projects!$C$17:$C$46+Projects!$D$17:$D$46-1)*Projects!$B$17:$B$46*Assumptions!$B$11*0.05)+139809.39+31302.58,Actuals!P10)</f>
        <v>368405.107093188</v>
      </c>
      <c r="P11" s="13" t="n">
        <f aca="false">IF(ISBLANK(Actuals!Q10),0*Curves!M$7/SUM(Curves!$E$7:$Q$7)+0*Curves!M$8/SUM(Curves!$E$8:$P$8)+0*Curves!M$9/SUM(Curves!$E$9:$P$9)+0*Curves!M$4/SUM(Curves!$E$4:$T$4)+SUMPRODUCT((Projects!$G$8:$G$14="Yes")*(12&gt;=Projects!$C$8:$C$14)*(12&lt;Projects!$C$8:$C$14+Projects!$D$8:$D$14)*Projects!$B$8:$B$14*Assumptions!$B$11/Projects!$D$8:$D$14*0.95)+SUMPRODUCT((Projects!$G$8:$G$14="Yes")*(12=Projects!$C$8:$C$14+Projects!$D$8:$D$14-1)*Projects!$B$8:$B$14*Assumptions!$B$11*0.05)+SUMPRODUCT((Projects!$G$17:$G$46="Yes")*(12&gt;=Projects!$C$17:$C$46)*(12&lt;Projects!$C$17:$C$46+Projects!$D$17:$D$46)*Projects!$B$17:$B$46*Assumptions!$B$11/Projects!$D$17:$D$46*0.95)+SUMPRODUCT((Projects!$G$17:$G$46="Yes")*(12=Projects!$C$17:$C$46+Projects!$D$17:$D$46-1)*Projects!$B$17:$B$46*Assumptions!$B$11*0.05)+142239.09+37767.2,Actuals!Q10)</f>
        <v>377299.427093188</v>
      </c>
      <c r="Q11" s="13" t="n">
        <f aca="false">IF(ISBLANK(Actuals!R10),0*Curves!N$7/SUM(Curves!$E$7:$Q$7)+0*Curves!N$8/SUM(Curves!$E$8:$P$8)+0*Curves!N$9/SUM(Curves!$E$9:$P$9)+0*Curves!N$4/SUM(Curves!$E$4:$T$4)+SUMPRODUCT((Projects!$G$8:$G$14="Yes")*(13&gt;=Projects!$C$8:$C$14)*(13&lt;Projects!$C$8:$C$14+Projects!$D$8:$D$14)*Projects!$B$8:$B$14*Assumptions!$B$11/Projects!$D$8:$D$14*0.95)+SUMPRODUCT((Projects!$G$8:$G$14="Yes")*(13=Projects!$C$8:$C$14+Projects!$D$8:$D$14-1)*Projects!$B$8:$B$14*Assumptions!$B$11*0.05)+SUMPRODUCT((Projects!$G$17:$G$46="Yes")*(13&gt;=Projects!$C$17:$C$46)*(13&lt;Projects!$C$17:$C$46+Projects!$D$17:$D$46)*Projects!$B$17:$B$46*Assumptions!$B$11/Projects!$D$17:$D$46*0.95)+SUMPRODUCT((Projects!$G$17:$G$46="Yes")*(13=Projects!$C$17:$C$46+Projects!$D$17:$D$46-1)*Projects!$B$17:$B$46*Assumptions!$B$11*0.05)+125821.33+31897.91,Actuals!R10)</f>
        <v>428972.545482322</v>
      </c>
      <c r="R11" s="13" t="n">
        <f aca="false">IF(ISBLANK(Actuals!S10),0*Curves!O$7/SUM(Curves!$E$7:$Q$7)+0*Curves!O$8/SUM(Curves!$E$8:$P$8)+0*Curves!O$9/SUM(Curves!$E$9:$P$9)+0*Curves!O$4/SUM(Curves!$E$4:$T$4)+SUMPRODUCT((Projects!$G$8:$G$14="Yes")*(14&gt;=Projects!$C$8:$C$14)*(14&lt;Projects!$C$8:$C$14+Projects!$D$8:$D$14)*Projects!$B$8:$B$14*Assumptions!$B$11/Projects!$D$8:$D$14*0.95)+SUMPRODUCT((Projects!$G$8:$G$14="Yes")*(14=Projects!$C$8:$C$14+Projects!$D$8:$D$14-1)*Projects!$B$8:$B$14*Assumptions!$B$11*0.05)+SUMPRODUCT((Projects!$G$17:$G$46="Yes")*(14&gt;=Projects!$C$17:$C$46)*(14&lt;Projects!$C$17:$C$46+Projects!$D$17:$D$46)*Projects!$B$17:$B$46*Assumptions!$B$11/Projects!$D$17:$D$46*0.95)+SUMPRODUCT((Projects!$G$17:$G$46="Yes")*(14=Projects!$C$17:$C$46+Projects!$D$17:$D$46-1)*Projects!$B$17:$B$46*Assumptions!$B$11*0.05)+98095.58+39202.69,Actuals!S10)</f>
        <v>448063.830979322</v>
      </c>
      <c r="S11" s="13" t="n">
        <f aca="false">IF(ISBLANK(Actuals!T10),0*Curves!P$7/SUM(Curves!$E$7:$Q$7)+0*Curves!P$8/SUM(Curves!$E$8:$P$8)+0*Curves!P$9/SUM(Curves!$E$9:$P$9)+0*Curves!P$4/SUM(Curves!$E$4:$T$4)+SUMPRODUCT((Projects!$G$8:$G$14="Yes")*(15&gt;=Projects!$C$8:$C$14)*(15&lt;Projects!$C$8:$C$14+Projects!$D$8:$D$14)*Projects!$B$8:$B$14*Assumptions!$B$11/Projects!$D$8:$D$14*0.95)+SUMPRODUCT((Projects!$G$8:$G$14="Yes")*(15=Projects!$C$8:$C$14+Projects!$D$8:$D$14-1)*Projects!$B$8:$B$14*Assumptions!$B$11*0.05)+SUMPRODUCT((Projects!$G$17:$G$46="Yes")*(15&gt;=Projects!$C$17:$C$46)*(15&lt;Projects!$C$17:$C$46+Projects!$D$17:$D$46)*Projects!$B$17:$B$46*Assumptions!$B$11/Projects!$D$17:$D$46*0.95)+SUMPRODUCT((Projects!$G$17:$G$46="Yes")*(15=Projects!$C$17:$C$46+Projects!$D$17:$D$46-1)*Projects!$B$17:$B$46*Assumptions!$B$11*0.05)+104710.45+36845.99,Actuals!T10)</f>
        <v>481518.590802322</v>
      </c>
      <c r="T11" s="13" t="n">
        <f aca="false">IF(ISBLANK(Actuals!U10),0*Curves!Q$7/SUM(Curves!$E$7:$Q$7)+0*Curves!Q$4/SUM(Curves!$E$4:$T$4)+SUMPRODUCT((Projects!$G$8:$G$14="Yes")*(16&gt;=Projects!$C$8:$C$14)*(16&lt;Projects!$C$8:$C$14+Projects!$D$8:$D$14)*Projects!$B$8:$B$14*Assumptions!$B$11/Projects!$D$8:$D$14*0.95)+SUMPRODUCT((Projects!$G$8:$G$14="Yes")*(16=Projects!$C$8:$C$14+Projects!$D$8:$D$14-1)*Projects!$B$8:$B$14*Assumptions!$B$11*0.05)+SUMPRODUCT((Projects!$G$17:$G$46="Yes")*(16&gt;=Projects!$C$17:$C$46)*(16&lt;Projects!$C$17:$C$46+Projects!$D$17:$D$46)*Projects!$B$17:$B$46*Assumptions!$B$11/Projects!$D$17:$D$46*0.95)+SUMPRODUCT((Projects!$G$17:$G$46="Yes")*(16=Projects!$C$17:$C$46+Projects!$D$17:$D$46-1)*Projects!$B$17:$B$46*Assumptions!$B$11*0.05)+115950.51+66090.19,Actuals!U10)</f>
        <v>569581.506268522</v>
      </c>
      <c r="U11" s="13" t="n">
        <f aca="false">IF(ISBLANK(Actuals!V10),0*Curves!R$4/SUM(Curves!$E$4:$T$4)+SUMPRODUCT((Projects!$G$8:$G$14="Yes")*(17&gt;=Projects!$C$8:$C$14)*(17&lt;Projects!$C$8:$C$14+Projects!$D$8:$D$14)*Projects!$B$8:$B$14*Assumptions!$B$11/Projects!$D$8:$D$14*0.95)+SUMPRODUCT((Projects!$G$8:$G$14="Yes")*(17=Projects!$C$8:$C$14+Projects!$D$8:$D$14-1)*Projects!$B$8:$B$14*Assumptions!$B$11*0.05)+SUMPRODUCT((Projects!$G$17:$G$46="Yes")*(17&gt;=Projects!$C$17:$C$46)*(17&lt;Projects!$C$17:$C$46+Projects!$D$17:$D$46)*Projects!$B$17:$B$46*Assumptions!$B$11/Projects!$D$17:$D$46*0.95)+SUMPRODUCT((Projects!$G$17:$G$46="Yes")*(17=Projects!$C$17:$C$46+Projects!$D$17:$D$46-1)*Projects!$B$17:$B$46*Assumptions!$B$11*0.05)+93352.59+42234.83,Actuals!V10)</f>
        <v>523128.226268522</v>
      </c>
      <c r="V11" s="13" t="n">
        <f aca="false">IF(ISBLANK(Actuals!W10),0*Curves!S$4/SUM(Curves!$E$4:$T$4)+SUMPRODUCT((Projects!$G$8:$G$14="Yes")*(18&gt;=Projects!$C$8:$C$14)*(18&lt;Projects!$C$8:$C$14+Projects!$D$8:$D$14)*Projects!$B$8:$B$14*Assumptions!$B$11/Projects!$D$8:$D$14*0.95)+SUMPRODUCT((Projects!$G$8:$G$14="Yes")*(18=Projects!$C$8:$C$14+Projects!$D$8:$D$14-1)*Projects!$B$8:$B$14*Assumptions!$B$11*0.05)+SUMPRODUCT((Projects!$G$17:$G$46="Yes")*(18&gt;=Projects!$C$17:$C$46)*(18&lt;Projects!$C$17:$C$46+Projects!$D$17:$D$46)*Projects!$B$17:$B$46*Assumptions!$B$11/Projects!$D$17:$D$46*0.95)+SUMPRODUCT((Projects!$G$17:$G$46="Yes")*(18=Projects!$C$17:$C$46+Projects!$D$17:$D$46-1)*Projects!$B$17:$B$46*Assumptions!$B$11*0.05)+40060.13+125947.35,Actuals!W10)</f>
        <v>553548.286268522</v>
      </c>
      <c r="W11" s="13" t="n">
        <f aca="false">IF(ISBLANK(Actuals!X10),0*Curves!T$4/SUM(Curves!$E$4:$T$4)+SUMPRODUCT((Projects!$G$8:$G$14="Yes")*(19&gt;=Projects!$C$8:$C$14)*(19&lt;Projects!$C$8:$C$14+Projects!$D$8:$D$14)*Projects!$B$8:$B$14*Assumptions!$B$11/Projects!$D$8:$D$14*0.95)+SUMPRODUCT((Projects!$G$8:$G$14="Yes")*(19=Projects!$C$8:$C$14+Projects!$D$8:$D$14-1)*Projects!$B$8:$B$14*Assumptions!$B$11*0.05)+SUMPRODUCT((Projects!$G$17:$G$46="Yes")*(19&gt;=Projects!$C$17:$C$46)*(19&lt;Projects!$C$17:$C$46+Projects!$D$17:$D$46)*Projects!$B$17:$B$46*Assumptions!$B$11/Projects!$D$17:$D$46*0.95)+SUMPRODUCT((Projects!$G$17:$G$46="Yes")*(19=Projects!$C$17:$C$46+Projects!$D$17:$D$46-1)*Projects!$B$17:$B$46*Assumptions!$B$11*0.05)+9027.54+79562.13,Actuals!X10)</f>
        <v>476130.476268522</v>
      </c>
      <c r="X11" s="13" t="n">
        <f aca="false">IF(ISBLANK(Actuals!Y10),0+SUMPRODUCT((Projects!$G$8:$G$14="Yes")*(20&gt;=Projects!$C$8:$C$14)*(20&lt;Projects!$C$8:$C$14+Projects!$D$8:$D$14)*Projects!$B$8:$B$14*Assumptions!$B$11/Projects!$D$8:$D$14*0.95)+SUMPRODUCT((Projects!$G$8:$G$14="Yes")*(20=Projects!$C$8:$C$14+Projects!$D$8:$D$14-1)*Projects!$B$8:$B$14*Assumptions!$B$11*0.05)+SUMPRODUCT((Projects!$G$17:$G$46="Yes")*(20&gt;=Projects!$C$17:$C$46)*(20&lt;Projects!$C$17:$C$46+Projects!$D$17:$D$46)*Projects!$B$17:$B$46*Assumptions!$B$11/Projects!$D$17:$D$46*0.95)+SUMPRODUCT((Projects!$G$17:$G$46="Yes")*(20=Projects!$C$17:$C$46+Projects!$D$17:$D$46-1)*Projects!$B$17:$B$46*Assumptions!$B$11*0.05)+0+163424.9,Actuals!Y10)</f>
        <v>602078.02397583</v>
      </c>
      <c r="Y11" s="13" t="n">
        <f aca="false">IF(ISBLANK(Actuals!Z10),0+SUMPRODUCT((Projects!$G$8:$G$14="Yes")*(21&gt;=Projects!$C$8:$C$14)*(21&lt;Projects!$C$8:$C$14+Projects!$D$8:$D$14)*Projects!$B$8:$B$14*Assumptions!$B$11/Projects!$D$8:$D$14*0.95)+SUMPRODUCT((Projects!$G$8:$G$14="Yes")*(21=Projects!$C$8:$C$14+Projects!$D$8:$D$14-1)*Projects!$B$8:$B$14*Assumptions!$B$11*0.05)+SUMPRODUCT((Projects!$G$17:$G$46="Yes")*(21&gt;=Projects!$C$17:$C$46)*(21&lt;Projects!$C$17:$C$46+Projects!$D$17:$D$46)*Projects!$B$17:$B$46*Assumptions!$B$11/Projects!$D$17:$D$46*0.95)+SUMPRODUCT((Projects!$G$17:$G$46="Yes")*(21=Projects!$C$17:$C$46+Projects!$D$17:$D$46-1)*Projects!$B$17:$B$46*Assumptions!$B$11*0.05)+0+94098.83,Actuals!Z10)</f>
        <v>532751.95397583</v>
      </c>
      <c r="Z11" s="13" t="n">
        <f aca="false">IF(ISBLANK(Actuals!AA10),0+SUMPRODUCT((Projects!$G$8:$G$14="Yes")*(22&gt;=Projects!$C$8:$C$14)*(22&lt;Projects!$C$8:$C$14+Projects!$D$8:$D$14)*Projects!$B$8:$B$14*Assumptions!$B$11/Projects!$D$8:$D$14*0.95)+SUMPRODUCT((Projects!$G$8:$G$14="Yes")*(22=Projects!$C$8:$C$14+Projects!$D$8:$D$14-1)*Projects!$B$8:$B$14*Assumptions!$B$11*0.05)+SUMPRODUCT((Projects!$G$17:$G$46="Yes")*(22&gt;=Projects!$C$17:$C$46)*(22&lt;Projects!$C$17:$C$46+Projects!$D$17:$D$46)*Projects!$B$17:$B$46*Assumptions!$B$11/Projects!$D$17:$D$46*0.95)+SUMPRODUCT((Projects!$G$17:$G$46="Yes")*(22=Projects!$C$17:$C$46+Projects!$D$17:$D$46-1)*Projects!$B$17:$B$46*Assumptions!$B$11*0.05)+0+148247.2,Actuals!AA10)</f>
        <v>586900.32397583</v>
      </c>
      <c r="AA11" s="13" t="n">
        <f aca="false">IF(ISBLANK(Actuals!AB10),0+SUMPRODUCT((Projects!$G$8:$G$14="Yes")*(23&gt;=Projects!$C$8:$C$14)*(23&lt;Projects!$C$8:$C$14+Projects!$D$8:$D$14)*Projects!$B$8:$B$14*Assumptions!$B$11/Projects!$D$8:$D$14*0.95)+SUMPRODUCT((Projects!$G$8:$G$14="Yes")*(23=Projects!$C$8:$C$14+Projects!$D$8:$D$14-1)*Projects!$B$8:$B$14*Assumptions!$B$11*0.05)+SUMPRODUCT((Projects!$G$17:$G$46="Yes")*(23&gt;=Projects!$C$17:$C$46)*(23&lt;Projects!$C$17:$C$46+Projects!$D$17:$D$46)*Projects!$B$17:$B$46*Assumptions!$B$11/Projects!$D$17:$D$46*0.95)+SUMPRODUCT((Projects!$G$17:$G$46="Yes")*(23=Projects!$C$17:$C$46+Projects!$D$17:$D$46-1)*Projects!$B$17:$B$46*Assumptions!$B$11*0.05)+0+123791.33,Actuals!AB10)</f>
        <v>599431.07443767</v>
      </c>
      <c r="AB11" s="13" t="n">
        <f aca="false">IF(ISBLANK(Actuals!AC10),0+SUMPRODUCT((Projects!$G$8:$G$14="Yes")*(24&gt;=Projects!$C$8:$C$14)*(24&lt;Projects!$C$8:$C$14+Projects!$D$8:$D$14)*Projects!$B$8:$B$14*Assumptions!$B$11/Projects!$D$8:$D$14*0.95)+SUMPRODUCT((Projects!$G$8:$G$14="Yes")*(24=Projects!$C$8:$C$14+Projects!$D$8:$D$14-1)*Projects!$B$8:$B$14*Assumptions!$B$11*0.05)+SUMPRODUCT((Projects!$G$17:$G$46="Yes")*(24&gt;=Projects!$C$17:$C$46)*(24&lt;Projects!$C$17:$C$46+Projects!$D$17:$D$46)*Projects!$B$17:$B$46*Assumptions!$B$11/Projects!$D$17:$D$46*0.95)+SUMPRODUCT((Projects!$G$17:$G$46="Yes")*(24=Projects!$C$17:$C$46+Projects!$D$17:$D$46-1)*Projects!$B$17:$B$46*Assumptions!$B$11*0.05)+0+84386.88,Actuals!AC10)</f>
        <v>566011.12696778</v>
      </c>
      <c r="AC11" s="13" t="n">
        <f aca="false">IF(ISBLANK(Actuals!AD10),0+SUMPRODUCT((Projects!$G$8:$G$14="Yes")*(25&gt;=Projects!$C$8:$C$14)*(25&lt;Projects!$C$8:$C$14+Projects!$D$8:$D$14)*Projects!$B$8:$B$14*Assumptions!$B$11/Projects!$D$8:$D$14*0.95)+SUMPRODUCT((Projects!$G$8:$G$14="Yes")*(25=Projects!$C$8:$C$14+Projects!$D$8:$D$14-1)*Projects!$B$8:$B$14*Assumptions!$B$11*0.05)+SUMPRODUCT((Projects!$G$17:$G$46="Yes")*(25&gt;=Projects!$C$17:$C$46)*(25&lt;Projects!$C$17:$C$46+Projects!$D$17:$D$46)*Projects!$B$17:$B$46*Assumptions!$B$11/Projects!$D$17:$D$46*0.95)+SUMPRODUCT((Projects!$G$17:$G$46="Yes")*(25=Projects!$C$17:$C$46+Projects!$D$17:$D$46-1)*Projects!$B$17:$B$46*Assumptions!$B$11*0.05)+0+53404.55,Actuals!AD10)</f>
        <v>467986.1100602</v>
      </c>
      <c r="AD11" s="13" t="n">
        <f aca="false">IF(ISBLANK(Actuals!AE10),0+SUMPRODUCT((Projects!$G$8:$G$14="Yes")*(26&gt;=Projects!$C$8:$C$14)*(26&lt;Projects!$C$8:$C$14+Projects!$D$8:$D$14)*Projects!$B$8:$B$14*Assumptions!$B$11/Projects!$D$8:$D$14*0.95)+SUMPRODUCT((Projects!$G$8:$G$14="Yes")*(26=Projects!$C$8:$C$14+Projects!$D$8:$D$14-1)*Projects!$B$8:$B$14*Assumptions!$B$11*0.05)+SUMPRODUCT((Projects!$G$17:$G$46="Yes")*(26&gt;=Projects!$C$17:$C$46)*(26&lt;Projects!$C$17:$C$46+Projects!$D$17:$D$46)*Projects!$B$17:$B$46*Assumptions!$B$11/Projects!$D$17:$D$46*0.95)+SUMPRODUCT((Projects!$G$17:$G$46="Yes")*(26=Projects!$C$17:$C$46+Projects!$D$17:$D$46-1)*Projects!$B$17:$B$46*Assumptions!$B$11*0.05)+0+63240.23,Actuals!AE10)</f>
        <v>477821.7900602</v>
      </c>
      <c r="AE11" s="13" t="n">
        <f aca="false">IF(ISBLANK(Actuals!AF10),0+SUMPRODUCT((Projects!$G$8:$G$14="Yes")*(27&gt;=Projects!$C$8:$C$14)*(27&lt;Projects!$C$8:$C$14+Projects!$D$8:$D$14)*Projects!$B$8:$B$14*Assumptions!$B$11/Projects!$D$8:$D$14*0.95)+SUMPRODUCT((Projects!$G$8:$G$14="Yes")*(27=Projects!$C$8:$C$14+Projects!$D$8:$D$14-1)*Projects!$B$8:$B$14*Assumptions!$B$11*0.05)+SUMPRODUCT((Projects!$G$17:$G$46="Yes")*(27&gt;=Projects!$C$17:$C$46)*(27&lt;Projects!$C$17:$C$46+Projects!$D$17:$D$46)*Projects!$B$17:$B$46*Assumptions!$B$11/Projects!$D$17:$D$46*0.95)+SUMPRODUCT((Projects!$G$17:$G$46="Yes")*(27=Projects!$C$17:$C$46+Projects!$D$17:$D$46-1)*Projects!$B$17:$B$46*Assumptions!$B$11*0.05)+0+59353.95,Actuals!AF10)</f>
        <v>541503.740494813</v>
      </c>
      <c r="AF11" s="13" t="n">
        <f aca="false">IF(ISBLANK(Actuals!AG10),0+SUMPRODUCT((Projects!$G$8:$G$14="Yes")*(28&gt;=Projects!$C$8:$C$14)*(28&lt;Projects!$C$8:$C$14+Projects!$D$8:$D$14)*Projects!$B$8:$B$14*Assumptions!$B$11/Projects!$D$8:$D$14*0.95)+SUMPRODUCT((Projects!$G$8:$G$14="Yes")*(28=Projects!$C$8:$C$14+Projects!$D$8:$D$14-1)*Projects!$B$8:$B$14*Assumptions!$B$11*0.05)+SUMPRODUCT((Projects!$G$17:$G$46="Yes")*(28&gt;=Projects!$C$17:$C$46)*(28&lt;Projects!$C$17:$C$46+Projects!$D$17:$D$46)*Projects!$B$17:$B$46*Assumptions!$B$11/Projects!$D$17:$D$46*0.95)+SUMPRODUCT((Projects!$G$17:$G$46="Yes")*(28=Projects!$C$17:$C$46+Projects!$D$17:$D$46-1)*Projects!$B$17:$B$46*Assumptions!$B$11*0.05)+0+73396.98,Actuals!AG10)</f>
        <v>614197.779867463</v>
      </c>
      <c r="AG11" s="13" t="n">
        <f aca="false">IF(ISBLANK(Actuals!AH10),0+SUMPRODUCT((Projects!$G$8:$G$14="Yes")*(29&gt;=Projects!$C$8:$C$14)*(29&lt;Projects!$C$8:$C$14+Projects!$D$8:$D$14)*Projects!$B$8:$B$14*Assumptions!$B$11/Projects!$D$8:$D$14*0.95)+SUMPRODUCT((Projects!$G$8:$G$14="Yes")*(29=Projects!$C$8:$C$14+Projects!$D$8:$D$14-1)*Projects!$B$8:$B$14*Assumptions!$B$11*0.05)+SUMPRODUCT((Projects!$G$17:$G$46="Yes")*(29&gt;=Projects!$C$17:$C$46)*(29&lt;Projects!$C$17:$C$46+Projects!$D$17:$D$46)*Projects!$B$17:$B$46*Assumptions!$B$11/Projects!$D$17:$D$46*0.95)+SUMPRODUCT((Projects!$G$17:$G$46="Yes")*(29=Projects!$C$17:$C$46+Projects!$D$17:$D$46-1)*Projects!$B$17:$B$46*Assumptions!$B$11*0.05)+0+127462.41,Actuals!AH10)</f>
        <v>622104.616920363</v>
      </c>
      <c r="AH11" s="13" t="n">
        <f aca="false">IF(ISBLANK(Actuals!AI10),0+SUMPRODUCT((Projects!$G$8:$G$14="Yes")*(30&gt;=Projects!$C$8:$C$14)*(30&lt;Projects!$C$8:$C$14+Projects!$D$8:$D$14)*Projects!$B$8:$B$14*Assumptions!$B$11/Projects!$D$8:$D$14*0.95)+SUMPRODUCT((Projects!$G$8:$G$14="Yes")*(30=Projects!$C$8:$C$14+Projects!$D$8:$D$14-1)*Projects!$B$8:$B$14*Assumptions!$B$11*0.05)+SUMPRODUCT((Projects!$G$17:$G$46="Yes")*(30&gt;=Projects!$C$17:$C$46)*(30&lt;Projects!$C$17:$C$46+Projects!$D$17:$D$46)*Projects!$B$17:$B$46*Assumptions!$B$11/Projects!$D$17:$D$46*0.95)+SUMPRODUCT((Projects!$G$17:$G$46="Yes")*(30=Projects!$C$17:$C$46+Projects!$D$17:$D$46-1)*Projects!$B$17:$B$46*Assumptions!$B$11*0.05)+0+118293.75,Actuals!AI10)</f>
        <v>609958.305323963</v>
      </c>
      <c r="AI11" s="13" t="n">
        <f aca="false">IF(ISBLANK(Actuals!AJ10),0+SUMPRODUCT((Projects!$G$8:$G$14="Yes")*(31&gt;=Projects!$C$8:$C$14)*(31&lt;Projects!$C$8:$C$14+Projects!$D$8:$D$14)*Projects!$B$8:$B$14*Assumptions!$B$11/Projects!$D$8:$D$14*0.95)+SUMPRODUCT((Projects!$G$8:$G$14="Yes")*(31=Projects!$C$8:$C$14+Projects!$D$8:$D$14-1)*Projects!$B$8:$B$14*Assumptions!$B$11*0.05)+SUMPRODUCT((Projects!$G$17:$G$46="Yes")*(31&gt;=Projects!$C$17:$C$46)*(31&lt;Projects!$C$17:$C$46+Projects!$D$17:$D$46)*Projects!$B$17:$B$46*Assumptions!$B$11/Projects!$D$17:$D$46*0.95)+SUMPRODUCT((Projects!$G$17:$G$46="Yes")*(31=Projects!$C$17:$C$46+Projects!$D$17:$D$46-1)*Projects!$B$17:$B$46*Assumptions!$B$11*0.05)+0+115650.8,Actuals!AJ10)</f>
        <v>646012.355323963</v>
      </c>
      <c r="AJ11" s="13" t="n">
        <f aca="false">IF(ISBLANK(Actuals!AK10),0+SUMPRODUCT((Projects!$G$8:$G$14="Yes")*(32&gt;=Projects!$C$8:$C$14)*(32&lt;Projects!$C$8:$C$14+Projects!$D$8:$D$14)*Projects!$B$8:$B$14*Assumptions!$B$11/Projects!$D$8:$D$14*0.95)+SUMPRODUCT((Projects!$G$8:$G$14="Yes")*(32=Projects!$C$8:$C$14+Projects!$D$8:$D$14-1)*Projects!$B$8:$B$14*Assumptions!$B$11*0.05)+SUMPRODUCT((Projects!$G$17:$G$46="Yes")*(32&gt;=Projects!$C$17:$C$46)*(32&lt;Projects!$C$17:$C$46+Projects!$D$17:$D$46)*Projects!$B$17:$B$46*Assumptions!$B$11/Projects!$D$17:$D$46*0.95)+SUMPRODUCT((Projects!$G$17:$G$46="Yes")*(32=Projects!$C$17:$C$46+Projects!$D$17:$D$46-1)*Projects!$B$17:$B$46*Assumptions!$B$11*0.05)+0+63097.22,Actuals!AK10)</f>
        <v>726523.363039963</v>
      </c>
      <c r="AK11" s="13" t="n">
        <f aca="false">IF(ISBLANK(Actuals!AL10),0+SUMPRODUCT((Projects!$G$8:$G$14="Yes")*(33&gt;=Projects!$C$8:$C$14)*(33&lt;Projects!$C$8:$C$14+Projects!$D$8:$D$14)*Projects!$B$8:$B$14*Assumptions!$B$11/Projects!$D$8:$D$14*0.95)+SUMPRODUCT((Projects!$G$8:$G$14="Yes")*(33=Projects!$C$8:$C$14+Projects!$D$8:$D$14-1)*Projects!$B$8:$B$14*Assumptions!$B$11*0.05)+SUMPRODUCT((Projects!$G$17:$G$46="Yes")*(33&gt;=Projects!$C$17:$C$46)*(33&lt;Projects!$C$17:$C$46+Projects!$D$17:$D$46)*Projects!$B$17:$B$46*Assumptions!$B$11/Projects!$D$17:$D$46*0.95)+SUMPRODUCT((Projects!$G$17:$G$46="Yes")*(33=Projects!$C$17:$C$46+Projects!$D$17:$D$46-1)*Projects!$B$17:$B$46*Assumptions!$B$11*0.05)+0+52379.49,Actuals!AL10)</f>
        <v>606392.241643255</v>
      </c>
      <c r="AL11" s="13" t="n">
        <f aca="false">IF(ISBLANK(Actuals!AM10),0+SUMPRODUCT((Projects!$G$8:$G$14="Yes")*(34&gt;=Projects!$C$8:$C$14)*(34&lt;Projects!$C$8:$C$14+Projects!$D$8:$D$14)*Projects!$B$8:$B$14*Assumptions!$B$11/Projects!$D$8:$D$14*0.95)+SUMPRODUCT((Projects!$G$8:$G$14="Yes")*(34=Projects!$C$8:$C$14+Projects!$D$8:$D$14-1)*Projects!$B$8:$B$14*Assumptions!$B$11*0.05)+SUMPRODUCT((Projects!$G$17:$G$46="Yes")*(34&gt;=Projects!$C$17:$C$46)*(34&lt;Projects!$C$17:$C$46+Projects!$D$17:$D$46)*Projects!$B$17:$B$46*Assumptions!$B$11/Projects!$D$17:$D$46*0.95)+SUMPRODUCT((Projects!$G$17:$G$46="Yes")*(34=Projects!$C$17:$C$46+Projects!$D$17:$D$46-1)*Projects!$B$17:$B$46*Assumptions!$B$11*0.05)+0+58512.38,Actuals!AM10)</f>
        <v>640407.607463455</v>
      </c>
      <c r="AM11" s="13" t="n">
        <f aca="false">IF(ISBLANK(Actuals!AN10),0+SUMPRODUCT((Projects!$G$8:$G$14="Yes")*(35&gt;=Projects!$C$8:$C$14)*(35&lt;Projects!$C$8:$C$14+Projects!$D$8:$D$14)*Projects!$B$8:$B$14*Assumptions!$B$11/Projects!$D$8:$D$14*0.95)+SUMPRODUCT((Projects!$G$8:$G$14="Yes")*(35=Projects!$C$8:$C$14+Projects!$D$8:$D$14-1)*Projects!$B$8:$B$14*Assumptions!$B$11*0.05)+SUMPRODUCT((Projects!$G$17:$G$46="Yes")*(35&gt;=Projects!$C$17:$C$46)*(35&lt;Projects!$C$17:$C$46+Projects!$D$17:$D$46)*Projects!$B$17:$B$46*Assumptions!$B$11/Projects!$D$17:$D$46*0.95)+SUMPRODUCT((Projects!$G$17:$G$46="Yes")*(35=Projects!$C$17:$C$46+Projects!$D$17:$D$46-1)*Projects!$B$17:$B$46*Assumptions!$B$11*0.05)+0+63604.57,Actuals!AN10)</f>
        <v>596778.886531055</v>
      </c>
      <c r="AN11" s="13" t="n">
        <f aca="false">IF(ISBLANK(Actuals!AO10),0+SUMPRODUCT((Projects!$G$8:$G$14="Yes")*(36&gt;=Projects!$C$8:$C$14)*(36&lt;Projects!$C$8:$C$14+Projects!$D$8:$D$14)*Projects!$B$8:$B$14*Assumptions!$B$11/Projects!$D$8:$D$14*0.95)+SUMPRODUCT((Projects!$G$8:$G$14="Yes")*(36=Projects!$C$8:$C$14+Projects!$D$8:$D$14-1)*Projects!$B$8:$B$14*Assumptions!$B$11*0.05)+SUMPRODUCT((Projects!$G$17:$G$46="Yes")*(36&gt;=Projects!$C$17:$C$46)*(36&lt;Projects!$C$17:$C$46+Projects!$D$17:$D$46)*Projects!$B$17:$B$46*Assumptions!$B$11/Projects!$D$17:$D$46*0.95)+SUMPRODUCT((Projects!$G$17:$G$46="Yes")*(36=Projects!$C$17:$C$46+Projects!$D$17:$D$46-1)*Projects!$B$17:$B$46*Assumptions!$B$11*0.05)+0+17112.26,Actuals!AO10)</f>
        <v>588983.576531055</v>
      </c>
      <c r="AO11" s="13" t="n">
        <f aca="false">IF(ISBLANK(Actuals!AP10),0+SUMPRODUCT((Projects!$G$8:$G$14="Yes")*(37&gt;=Projects!$C$8:$C$14)*(37&lt;Projects!$C$8:$C$14+Projects!$D$8:$D$14)*Projects!$B$8:$B$14*Assumptions!$B$11/Projects!$D$8:$D$14*0.95)+SUMPRODUCT((Projects!$G$8:$G$14="Yes")*(37=Projects!$C$8:$C$14+Projects!$D$8:$D$14-1)*Projects!$B$8:$B$14*Assumptions!$B$11*0.05)+SUMPRODUCT((Projects!$G$17:$G$46="Yes")*(37&gt;=Projects!$C$17:$C$46)*(37&lt;Projects!$C$17:$C$46+Projects!$D$17:$D$46)*Projects!$B$17:$B$46*Assumptions!$B$11/Projects!$D$17:$D$46*0.95)+SUMPRODUCT((Projects!$G$17:$G$46="Yes")*(37=Projects!$C$17:$C$46+Projects!$D$17:$D$46-1)*Projects!$B$17:$B$46*Assumptions!$B$11*0.05)+0,Actuals!AP10)</f>
        <v>610568.316531055</v>
      </c>
      <c r="AP11" s="13" t="n">
        <f aca="false">IF(ISBLANK(Actuals!AQ10),0+SUMPRODUCT((Projects!$G$8:$G$14="Yes")*(38&gt;=Projects!$C$8:$C$14)*(38&lt;Projects!$C$8:$C$14+Projects!$D$8:$D$14)*Projects!$B$8:$B$14*Assumptions!$B$11/Projects!$D$8:$D$14*0.95)+SUMPRODUCT((Projects!$G$8:$G$14="Yes")*(38=Projects!$C$8:$C$14+Projects!$D$8:$D$14-1)*Projects!$B$8:$B$14*Assumptions!$B$11*0.05)+SUMPRODUCT((Projects!$G$17:$G$46="Yes")*(38&gt;=Projects!$C$17:$C$46)*(38&lt;Projects!$C$17:$C$46+Projects!$D$17:$D$46)*Projects!$B$17:$B$46*Assumptions!$B$11/Projects!$D$17:$D$46*0.95)+SUMPRODUCT((Projects!$G$17:$G$46="Yes")*(38=Projects!$C$17:$C$46+Projects!$D$17:$D$46-1)*Projects!$B$17:$B$46*Assumptions!$B$11*0.05)+0,Actuals!AQ10)</f>
        <v>657004.716531055</v>
      </c>
      <c r="AQ11" s="13" t="n">
        <f aca="false">IF(ISBLANK(Actuals!AR10),0+SUMPRODUCT((Projects!$G$8:$G$14="Yes")*(39&gt;=Projects!$C$8:$C$14)*(39&lt;Projects!$C$8:$C$14+Projects!$D$8:$D$14)*Projects!$B$8:$B$14*Assumptions!$B$11/Projects!$D$8:$D$14*0.95)+SUMPRODUCT((Projects!$G$8:$G$14="Yes")*(39=Projects!$C$8:$C$14+Projects!$D$8:$D$14-1)*Projects!$B$8:$B$14*Assumptions!$B$11*0.05)+SUMPRODUCT((Projects!$G$17:$G$46="Yes")*(39&gt;=Projects!$C$17:$C$46)*(39&lt;Projects!$C$17:$C$46+Projects!$D$17:$D$46)*Projects!$B$17:$B$46*Assumptions!$B$11/Projects!$D$17:$D$46*0.95)+SUMPRODUCT((Projects!$G$17:$G$46="Yes")*(39=Projects!$C$17:$C$46+Projects!$D$17:$D$46-1)*Projects!$B$17:$B$46*Assumptions!$B$11*0.05)+0,Actuals!AR10)</f>
        <v>695701.716531055</v>
      </c>
      <c r="AR11" s="13" t="n">
        <f aca="false">IF(ISBLANK(Actuals!AS10),0+SUMPRODUCT((Projects!$G$8:$G$14="Yes")*(40&gt;=Projects!$C$8:$C$14)*(40&lt;Projects!$C$8:$C$14+Projects!$D$8:$D$14)*Projects!$B$8:$B$14*Assumptions!$B$11/Projects!$D$8:$D$14*0.95)+SUMPRODUCT((Projects!$G$8:$G$14="Yes")*(40=Projects!$C$8:$C$14+Projects!$D$8:$D$14-1)*Projects!$B$8:$B$14*Assumptions!$B$11*0.05)+SUMPRODUCT((Projects!$G$17:$G$46="Yes")*(40&gt;=Projects!$C$17:$C$46)*(40&lt;Projects!$C$17:$C$46+Projects!$D$17:$D$46)*Projects!$B$17:$B$46*Assumptions!$B$11/Projects!$D$17:$D$46*0.95)+SUMPRODUCT((Projects!$G$17:$G$46="Yes")*(40=Projects!$C$17:$C$46+Projects!$D$17:$D$46-1)*Projects!$B$17:$B$46*Assumptions!$B$11*0.05)+0,Actuals!AS10)</f>
        <v>695701.716531055</v>
      </c>
      <c r="AS11" s="13" t="n">
        <f aca="false">IF(ISBLANK(Actuals!AT10),0+SUMPRODUCT((Projects!$G$8:$G$14="Yes")*(41&gt;=Projects!$C$8:$C$14)*(41&lt;Projects!$C$8:$C$14+Projects!$D$8:$D$14)*Projects!$B$8:$B$14*Assumptions!$B$11/Projects!$D$8:$D$14*0.95)+SUMPRODUCT((Projects!$G$8:$G$14="Yes")*(41=Projects!$C$8:$C$14+Projects!$D$8:$D$14-1)*Projects!$B$8:$B$14*Assumptions!$B$11*0.05)+SUMPRODUCT((Projects!$G$17:$G$46="Yes")*(41&gt;=Projects!$C$17:$C$46)*(41&lt;Projects!$C$17:$C$46+Projects!$D$17:$D$46)*Projects!$B$17:$B$46*Assumptions!$B$11/Projects!$D$17:$D$46*0.95)+SUMPRODUCT((Projects!$G$17:$G$46="Yes")*(41=Projects!$C$17:$C$46+Projects!$D$17:$D$46-1)*Projects!$B$17:$B$46*Assumptions!$B$11*0.05)+0,Actuals!AT10)</f>
        <v>695701.716531055</v>
      </c>
      <c r="AT11" s="13" t="n">
        <f aca="false">IF(ISBLANK(Actuals!AU10),0+SUMPRODUCT((Projects!$G$8:$G$14="Yes")*(42&gt;=Projects!$C$8:$C$14)*(42&lt;Projects!$C$8:$C$14+Projects!$D$8:$D$14)*Projects!$B$8:$B$14*Assumptions!$B$11/Projects!$D$8:$D$14*0.95)+SUMPRODUCT((Projects!$G$8:$G$14="Yes")*(42=Projects!$C$8:$C$14+Projects!$D$8:$D$14-1)*Projects!$B$8:$B$14*Assumptions!$B$11*0.05)+SUMPRODUCT((Projects!$G$17:$G$46="Yes")*(42&gt;=Projects!$C$17:$C$46)*(42&lt;Projects!$C$17:$C$46+Projects!$D$17:$D$46)*Projects!$B$17:$B$46*Assumptions!$B$11/Projects!$D$17:$D$46*0.95)+SUMPRODUCT((Projects!$G$17:$G$46="Yes")*(42=Projects!$C$17:$C$46+Projects!$D$17:$D$46-1)*Projects!$B$17:$B$46*Assumptions!$B$11*0.05)+0,Actuals!AU10)</f>
        <v>858917.329777055</v>
      </c>
      <c r="AU11" s="13" t="n">
        <f aca="false">IF(ISBLANK(Actuals!AV10),0+SUMPRODUCT((Projects!$G$8:$G$14="Yes")*(43&gt;=Projects!$C$8:$C$14)*(43&lt;Projects!$C$8:$C$14+Projects!$D$8:$D$14)*Projects!$B$8:$B$14*Assumptions!$B$11/Projects!$D$8:$D$14*0.95)+SUMPRODUCT((Projects!$G$8:$G$14="Yes")*(43=Projects!$C$8:$C$14+Projects!$D$8:$D$14-1)*Projects!$B$8:$B$14*Assumptions!$B$11*0.05)+SUMPRODUCT((Projects!$G$17:$G$46="Yes")*(43&gt;=Projects!$C$17:$C$46)*(43&lt;Projects!$C$17:$C$46+Projects!$D$17:$D$46)*Projects!$B$17:$B$46*Assumptions!$B$11/Projects!$D$17:$D$46*0.95)+SUMPRODUCT((Projects!$G$17:$G$46="Yes")*(43=Projects!$C$17:$C$46+Projects!$D$17:$D$46-1)*Projects!$B$17:$B$46*Assumptions!$B$11*0.05)+0,Actuals!AV10)</f>
        <v>686304.475772205</v>
      </c>
      <c r="AV11" s="13" t="n">
        <f aca="false">IF(ISBLANK(Actuals!AW10),0+SUMPRODUCT((Projects!$G$8:$G$14="Yes")*(44&gt;=Projects!$C$8:$C$14)*(44&lt;Projects!$C$8:$C$14+Projects!$D$8:$D$14)*Projects!$B$8:$B$14*Assumptions!$B$11/Projects!$D$8:$D$14*0.95)+SUMPRODUCT((Projects!$G$8:$G$14="Yes")*(44=Projects!$C$8:$C$14+Projects!$D$8:$D$14-1)*Projects!$B$8:$B$14*Assumptions!$B$11*0.05)+SUMPRODUCT((Projects!$G$17:$G$46="Yes")*(44&gt;=Projects!$C$17:$C$46)*(44&lt;Projects!$C$17:$C$46+Projects!$D$17:$D$46)*Projects!$B$17:$B$46*Assumptions!$B$11/Projects!$D$17:$D$46*0.95)+SUMPRODUCT((Projects!$G$17:$G$46="Yes")*(44=Projects!$C$17:$C$46+Projects!$D$17:$D$46-1)*Projects!$B$17:$B$46*Assumptions!$B$11*0.05)+0,Actuals!AW10)</f>
        <v>609326.230434613</v>
      </c>
      <c r="AW11" s="13" t="n">
        <f aca="false">IF(ISBLANK(Actuals!AX10),0+SUMPRODUCT((Projects!$G$8:$G$14="Yes")*(45&gt;=Projects!$C$8:$C$14)*(45&lt;Projects!$C$8:$C$14+Projects!$D$8:$D$14)*Projects!$B$8:$B$14*Assumptions!$B$11/Projects!$D$8:$D$14*0.95)+SUMPRODUCT((Projects!$G$8:$G$14="Yes")*(45=Projects!$C$8:$C$14+Projects!$D$8:$D$14-1)*Projects!$B$8:$B$14*Assumptions!$B$11*0.05)+SUMPRODUCT((Projects!$G$17:$G$46="Yes")*(45&gt;=Projects!$C$17:$C$46)*(45&lt;Projects!$C$17:$C$46+Projects!$D$17:$D$46)*Projects!$B$17:$B$46*Assumptions!$B$11/Projects!$D$17:$D$46*0.95)+SUMPRODUCT((Projects!$G$17:$G$46="Yes")*(45=Projects!$C$17:$C$46+Projects!$D$17:$D$46-1)*Projects!$B$17:$B$46*Assumptions!$B$11*0.05)+0,Actuals!AX10)</f>
        <v>609326.230434613</v>
      </c>
      <c r="AX11" s="13" t="n">
        <f aca="false">IF(ISBLANK(Actuals!AY10),0+SUMPRODUCT((Projects!$G$8:$G$14="Yes")*(46&gt;=Projects!$C$8:$C$14)*(46&lt;Projects!$C$8:$C$14+Projects!$D$8:$D$14)*Projects!$B$8:$B$14*Assumptions!$B$11/Projects!$D$8:$D$14*0.95)+SUMPRODUCT((Projects!$G$8:$G$14="Yes")*(46=Projects!$C$8:$C$14+Projects!$D$8:$D$14-1)*Projects!$B$8:$B$14*Assumptions!$B$11*0.05)+SUMPRODUCT((Projects!$G$17:$G$46="Yes")*(46&gt;=Projects!$C$17:$C$46)*(46&lt;Projects!$C$17:$C$46+Projects!$D$17:$D$46)*Projects!$B$17:$B$46*Assumptions!$B$11/Projects!$D$17:$D$46*0.95)+SUMPRODUCT((Projects!$G$17:$G$46="Yes")*(46=Projects!$C$17:$C$46+Projects!$D$17:$D$46-1)*Projects!$B$17:$B$46*Assumptions!$B$11*0.05)+0,Actuals!AY10)</f>
        <v>609326.230434613</v>
      </c>
      <c r="AY11" s="13" t="n">
        <f aca="false">IF(ISBLANK(Actuals!AZ10),0+SUMPRODUCT((Projects!$G$8:$G$14="Yes")*(47&gt;=Projects!$C$8:$C$14)*(47&lt;Projects!$C$8:$C$14+Projects!$D$8:$D$14)*Projects!$B$8:$B$14*Assumptions!$B$11/Projects!$D$8:$D$14*0.95)+SUMPRODUCT((Projects!$G$8:$G$14="Yes")*(47=Projects!$C$8:$C$14+Projects!$D$8:$D$14-1)*Projects!$B$8:$B$14*Assumptions!$B$11*0.05)+SUMPRODUCT((Projects!$G$17:$G$46="Yes")*(47&gt;=Projects!$C$17:$C$46)*(47&lt;Projects!$C$17:$C$46+Projects!$D$17:$D$46)*Projects!$B$17:$B$46*Assumptions!$B$11/Projects!$D$17:$D$46*0.95)+SUMPRODUCT((Projects!$G$17:$G$46="Yes")*(47=Projects!$C$17:$C$46+Projects!$D$17:$D$46-1)*Projects!$B$17:$B$46*Assumptions!$B$11*0.05)+0,Actuals!AZ10)</f>
        <v>655762.630434613</v>
      </c>
      <c r="AZ11" s="13" t="n">
        <f aca="false">IF(ISBLANK(Actuals!BA10),0+SUMPRODUCT((Projects!$G$8:$G$14="Yes")*(48&gt;=Projects!$C$8:$C$14)*(48&lt;Projects!$C$8:$C$14+Projects!$D$8:$D$14)*Projects!$B$8:$B$14*Assumptions!$B$11/Projects!$D$8:$D$14*0.95)+SUMPRODUCT((Projects!$G$8:$G$14="Yes")*(48=Projects!$C$8:$C$14+Projects!$D$8:$D$14-1)*Projects!$B$8:$B$14*Assumptions!$B$11*0.05)+SUMPRODUCT((Projects!$G$17:$G$46="Yes")*(48&gt;=Projects!$C$17:$C$46)*(48&lt;Projects!$C$17:$C$46+Projects!$D$17:$D$46)*Projects!$B$17:$B$46*Assumptions!$B$11/Projects!$D$17:$D$46*0.95)+SUMPRODUCT((Projects!$G$17:$G$46="Yes")*(48=Projects!$C$17:$C$46+Projects!$D$17:$D$46-1)*Projects!$B$17:$B$46*Assumptions!$B$11*0.05)+0,Actuals!BA10)</f>
        <v>648023.230434613</v>
      </c>
      <c r="BA11" s="13" t="n">
        <f aca="false">IF(ISBLANK(Actuals!BB10),0+SUMPRODUCT((Projects!$G$8:$G$14="Yes")*(49&gt;=Projects!$C$8:$C$14)*(49&lt;Projects!$C$8:$C$14+Projects!$D$8:$D$14)*Projects!$B$8:$B$14*Assumptions!$B$11/Projects!$D$8:$D$14*0.95)+SUMPRODUCT((Projects!$G$8:$G$14="Yes")*(49=Projects!$C$8:$C$14+Projects!$D$8:$D$14-1)*Projects!$B$8:$B$14*Assumptions!$B$11*0.05)+SUMPRODUCT((Projects!$G$17:$G$46="Yes")*(49&gt;=Projects!$C$17:$C$46)*(49&lt;Projects!$C$17:$C$46+Projects!$D$17:$D$46)*Projects!$B$17:$B$46*Assumptions!$B$11/Projects!$D$17:$D$46*0.95)+SUMPRODUCT((Projects!$G$17:$G$46="Yes")*(49=Projects!$C$17:$C$46+Projects!$D$17:$D$46-1)*Projects!$B$17:$B$46*Assumptions!$B$11*0.05)+0,Actuals!BB10)</f>
        <v>640283.830434613</v>
      </c>
      <c r="BB11" s="13" t="n">
        <f aca="false">IF(ISBLANK(Actuals!BC10),0+SUMPRODUCT((Projects!$G$8:$G$14="Yes")*(50&gt;=Projects!$C$8:$C$14)*(50&lt;Projects!$C$8:$C$14+Projects!$D$8:$D$14)*Projects!$B$8:$B$14*Assumptions!$B$11/Projects!$D$8:$D$14*0.95)+SUMPRODUCT((Projects!$G$8:$G$14="Yes")*(50=Projects!$C$8:$C$14+Projects!$D$8:$D$14-1)*Projects!$B$8:$B$14*Assumptions!$B$11*0.05)+SUMPRODUCT((Projects!$G$17:$G$46="Yes")*(50&gt;=Projects!$C$17:$C$46)*(50&lt;Projects!$C$17:$C$46+Projects!$D$17:$D$46)*Projects!$B$17:$B$46*Assumptions!$B$11/Projects!$D$17:$D$46*0.95)+SUMPRODUCT((Projects!$G$17:$G$46="Yes")*(50=Projects!$C$17:$C$46+Projects!$D$17:$D$46-1)*Projects!$B$17:$B$46*Assumptions!$B$11*0.05)+0,Actuals!BC10)</f>
        <v>640283.830434613</v>
      </c>
      <c r="BC11" s="13" t="n">
        <f aca="false">IF(ISBLANK(Actuals!BD10),0+SUMPRODUCT((Projects!$G$8:$G$14="Yes")*(51&gt;=Projects!$C$8:$C$14)*(51&lt;Projects!$C$8:$C$14+Projects!$D$8:$D$14)*Projects!$B$8:$B$14*Assumptions!$B$11/Projects!$D$8:$D$14*0.95)+SUMPRODUCT((Projects!$G$8:$G$14="Yes")*(51=Projects!$C$8:$C$14+Projects!$D$8:$D$14-1)*Projects!$B$8:$B$14*Assumptions!$B$11*0.05)+SUMPRODUCT((Projects!$G$17:$G$46="Yes")*(51&gt;=Projects!$C$17:$C$46)*(51&lt;Projects!$C$17:$C$46+Projects!$D$17:$D$46)*Projects!$B$17:$B$46*Assumptions!$B$11/Projects!$D$17:$D$46*0.95)+SUMPRODUCT((Projects!$G$17:$G$46="Yes")*(51=Projects!$C$17:$C$46+Projects!$D$17:$D$46-1)*Projects!$B$17:$B$46*Assumptions!$B$11*0.05)+0,Actuals!BD10)</f>
        <v>640283.830434613</v>
      </c>
      <c r="BD11" s="13" t="n">
        <f aca="false">IF(ISBLANK(Actuals!BE10),0+SUMPRODUCT((Projects!$G$8:$G$14="Yes")*(52&gt;=Projects!$C$8:$C$14)*(52&lt;Projects!$C$8:$C$14+Projects!$D$8:$D$14)*Projects!$B$8:$B$14*Assumptions!$B$11/Projects!$D$8:$D$14*0.95)+SUMPRODUCT((Projects!$G$8:$G$14="Yes")*(52=Projects!$C$8:$C$14+Projects!$D$8:$D$14-1)*Projects!$B$8:$B$14*Assumptions!$B$11*0.05)+SUMPRODUCT((Projects!$G$17:$G$46="Yes")*(52&gt;=Projects!$C$17:$C$46)*(52&lt;Projects!$C$17:$C$46+Projects!$D$17:$D$46)*Projects!$B$17:$B$46*Assumptions!$B$11/Projects!$D$17:$D$46*0.95)+SUMPRODUCT((Projects!$G$17:$G$46="Yes")*(52=Projects!$C$17:$C$46+Projects!$D$17:$D$46-1)*Projects!$B$17:$B$46*Assumptions!$B$11*0.05)+0,Actuals!BE10)</f>
        <v>648023.230434613</v>
      </c>
      <c r="BE11" s="13" t="n">
        <f aca="false">IF(ISBLANK(Actuals!BF10),0+SUMPRODUCT((Projects!$G$8:$G$14="Yes")*(53&gt;=Projects!$C$8:$C$14)*(53&lt;Projects!$C$8:$C$14+Projects!$D$8:$D$14)*Projects!$B$8:$B$14*Assumptions!$B$11/Projects!$D$8:$D$14*0.95)+SUMPRODUCT((Projects!$G$8:$G$14="Yes")*(53=Projects!$C$8:$C$14+Projects!$D$8:$D$14-1)*Projects!$B$8:$B$14*Assumptions!$B$11*0.05)+SUMPRODUCT((Projects!$G$17:$G$46="Yes")*(53&gt;=Projects!$C$17:$C$46)*(53&lt;Projects!$C$17:$C$46+Projects!$D$17:$D$46)*Projects!$B$17:$B$46*Assumptions!$B$11/Projects!$D$17:$D$46*0.95)+SUMPRODUCT((Projects!$G$17:$G$46="Yes")*(53=Projects!$C$17:$C$46+Projects!$D$17:$D$46-1)*Projects!$B$17:$B$46*Assumptions!$B$11*0.05)+0,Actuals!BF10)</f>
        <v>655762.630434613</v>
      </c>
      <c r="BF11" s="13" t="n">
        <f aca="false">IF(ISBLANK(Actuals!BG10),0+SUMPRODUCT((Projects!$G$8:$G$14="Yes")*(54&gt;=Projects!$C$8:$C$14)*(54&lt;Projects!$C$8:$C$14+Projects!$D$8:$D$14)*Projects!$B$8:$B$14*Assumptions!$B$11/Projects!$D$8:$D$14*0.95)+SUMPRODUCT((Projects!$G$8:$G$14="Yes")*(54=Projects!$C$8:$C$14+Projects!$D$8:$D$14-1)*Projects!$B$8:$B$14*Assumptions!$B$11*0.05)+SUMPRODUCT((Projects!$G$17:$G$46="Yes")*(54&gt;=Projects!$C$17:$C$46)*(54&lt;Projects!$C$17:$C$46+Projects!$D$17:$D$46)*Projects!$B$17:$B$46*Assumptions!$B$11/Projects!$D$17:$D$46*0.95)+SUMPRODUCT((Projects!$G$17:$G$46="Yes")*(54=Projects!$C$17:$C$46+Projects!$D$17:$D$46-1)*Projects!$B$17:$B$46*Assumptions!$B$11*0.05)+0,Actuals!BG10)</f>
        <v>640283.830434613</v>
      </c>
      <c r="BG11" s="13" t="n">
        <f aca="false">IF(ISBLANK(Actuals!BH10),0+SUMPRODUCT((Projects!$G$8:$G$14="Yes")*(55&gt;=Projects!$C$8:$C$14)*(55&lt;Projects!$C$8:$C$14+Projects!$D$8:$D$14)*Projects!$B$8:$B$14*Assumptions!$B$11/Projects!$D$8:$D$14*0.95)+SUMPRODUCT((Projects!$G$8:$G$14="Yes")*(55=Projects!$C$8:$C$14+Projects!$D$8:$D$14-1)*Projects!$B$8:$B$14*Assumptions!$B$11*0.05)+SUMPRODUCT((Projects!$G$17:$G$46="Yes")*(55&gt;=Projects!$C$17:$C$46)*(55&lt;Projects!$C$17:$C$46+Projects!$D$17:$D$46)*Projects!$B$17:$B$46*Assumptions!$B$11/Projects!$D$17:$D$46*0.95)+SUMPRODUCT((Projects!$G$17:$G$46="Yes")*(55=Projects!$C$17:$C$46+Projects!$D$17:$D$46-1)*Projects!$B$17:$B$46*Assumptions!$B$11*0.05)+0,Actuals!BH10)</f>
        <v>648023.230434613</v>
      </c>
      <c r="BH11" s="13" t="n">
        <f aca="false">IF(ISBLANK(Actuals!BI10),0+SUMPRODUCT((Projects!$G$8:$G$14="Yes")*(56&gt;=Projects!$C$8:$C$14)*(56&lt;Projects!$C$8:$C$14+Projects!$D$8:$D$14)*Projects!$B$8:$B$14*Assumptions!$B$11/Projects!$D$8:$D$14*0.95)+SUMPRODUCT((Projects!$G$8:$G$14="Yes")*(56=Projects!$C$8:$C$14+Projects!$D$8:$D$14-1)*Projects!$B$8:$B$14*Assumptions!$B$11*0.05)+SUMPRODUCT((Projects!$G$17:$G$46="Yes")*(56&gt;=Projects!$C$17:$C$46)*(56&lt;Projects!$C$17:$C$46+Projects!$D$17:$D$46)*Projects!$B$17:$B$46*Assumptions!$B$11/Projects!$D$17:$D$46*0.95)+SUMPRODUCT((Projects!$G$17:$G$46="Yes")*(56=Projects!$C$17:$C$46+Projects!$D$17:$D$46-1)*Projects!$B$17:$B$46*Assumptions!$B$11*0.05)+0,Actuals!BI10)</f>
        <v>762449.310068213</v>
      </c>
      <c r="BI11" s="13" t="n">
        <f aca="false">IF(ISBLANK(Actuals!BJ10),0+SUMPRODUCT((Projects!$G$8:$G$14="Yes")*(57&gt;=Projects!$C$8:$C$14)*(57&lt;Projects!$C$8:$C$14+Projects!$D$8:$D$14)*Projects!$B$8:$B$14*Assumptions!$B$11/Projects!$D$8:$D$14*0.95)+SUMPRODUCT((Projects!$G$8:$G$14="Yes")*(57=Projects!$C$8:$C$14+Projects!$D$8:$D$14-1)*Projects!$B$8:$B$14*Assumptions!$B$11*0.05)+SUMPRODUCT((Projects!$G$17:$G$46="Yes")*(57&gt;=Projects!$C$17:$C$46)*(57&lt;Projects!$C$17:$C$46+Projects!$D$17:$D$46)*Projects!$B$17:$B$46*Assumptions!$B$11/Projects!$D$17:$D$46*0.95)+SUMPRODUCT((Projects!$G$17:$G$46="Yes")*(57=Projects!$C$17:$C$46+Projects!$D$17:$D$46-1)*Projects!$B$17:$B$46*Assumptions!$B$11*0.05)+0,Actuals!BJ10)</f>
        <v>534018.6</v>
      </c>
      <c r="BJ11" s="13" t="n">
        <f aca="false">IF(ISBLANK(Actuals!BK10),0+SUMPRODUCT((Projects!$G$8:$G$14="Yes")*(58&gt;=Projects!$C$8:$C$14)*(58&lt;Projects!$C$8:$C$14+Projects!$D$8:$D$14)*Projects!$B$8:$B$14*Assumptions!$B$11/Projects!$D$8:$D$14*0.95)+SUMPRODUCT((Projects!$G$8:$G$14="Yes")*(58=Projects!$C$8:$C$14+Projects!$D$8:$D$14-1)*Projects!$B$8:$B$14*Assumptions!$B$11*0.05)+SUMPRODUCT((Projects!$G$17:$G$46="Yes")*(58&gt;=Projects!$C$17:$C$46)*(58&lt;Projects!$C$17:$C$46+Projects!$D$17:$D$46)*Projects!$B$17:$B$46*Assumptions!$B$11/Projects!$D$17:$D$46*0.95)+SUMPRODUCT((Projects!$G$17:$G$46="Yes")*(58=Projects!$C$17:$C$46+Projects!$D$17:$D$46-1)*Projects!$B$17:$B$46*Assumptions!$B$11*0.05)+0,Actuals!BK10)</f>
        <v>456624.6</v>
      </c>
      <c r="BK11" s="13" t="n">
        <f aca="false">IF(ISBLANK(Actuals!BL10),0+SUMPRODUCT((Projects!$G$8:$G$14="Yes")*(59&gt;=Projects!$C$8:$C$14)*(59&lt;Projects!$C$8:$C$14+Projects!$D$8:$D$14)*Projects!$B$8:$B$14*Assumptions!$B$11/Projects!$D$8:$D$14*0.95)+SUMPRODUCT((Projects!$G$8:$G$14="Yes")*(59=Projects!$C$8:$C$14+Projects!$D$8:$D$14-1)*Projects!$B$8:$B$14*Assumptions!$B$11*0.05)+SUMPRODUCT((Projects!$G$17:$G$46="Yes")*(59&gt;=Projects!$C$17:$C$46)*(59&lt;Projects!$C$17:$C$46+Projects!$D$17:$D$46)*Projects!$B$17:$B$46*Assumptions!$B$11/Projects!$D$17:$D$46*0.95)+SUMPRODUCT((Projects!$G$17:$G$46="Yes")*(59=Projects!$C$17:$C$46+Projects!$D$17:$D$46-1)*Projects!$B$17:$B$46*Assumptions!$B$11*0.05)+0,Actuals!BL10)</f>
        <v>456624.6</v>
      </c>
      <c r="BL11" s="13" t="n">
        <f aca="false">IF(ISBLANK(Actuals!BM10),0+SUMPRODUCT((Projects!$G$8:$G$14="Yes")*(60&gt;=Projects!$C$8:$C$14)*(60&lt;Projects!$C$8:$C$14+Projects!$D$8:$D$14)*Projects!$B$8:$B$14*Assumptions!$B$11/Projects!$D$8:$D$14*0.95)+SUMPRODUCT((Projects!$G$8:$G$14="Yes")*(60=Projects!$C$8:$C$14+Projects!$D$8:$D$14-1)*Projects!$B$8:$B$14*Assumptions!$B$11*0.05)+SUMPRODUCT((Projects!$G$17:$G$46="Yes")*(60&gt;=Projects!$C$17:$C$46)*(60&lt;Projects!$C$17:$C$46+Projects!$D$17:$D$46)*Projects!$B$17:$B$46*Assumptions!$B$11/Projects!$D$17:$D$46*0.95)+SUMPRODUCT((Projects!$G$17:$G$46="Yes")*(60=Projects!$C$17:$C$46+Projects!$D$17:$D$46-1)*Projects!$B$17:$B$46*Assumptions!$B$11*0.05)+0,Actuals!BM10)</f>
        <v>456624.6</v>
      </c>
      <c r="BM11" s="13" t="n">
        <f aca="false">IF(ISBLANK(Actuals!BN10),0+SUMPRODUCT((Projects!$G$8:$G$14="Yes")*(61&gt;=Projects!$C$8:$C$14)*(61&lt;Projects!$C$8:$C$14+Projects!$D$8:$D$14)*Projects!$B$8:$B$14*Assumptions!$B$11/Projects!$D$8:$D$14*0.95)+SUMPRODUCT((Projects!$G$8:$G$14="Yes")*(61=Projects!$C$8:$C$14+Projects!$D$8:$D$14-1)*Projects!$B$8:$B$14*Assumptions!$B$11*0.05)+SUMPRODUCT((Projects!$G$17:$G$46="Yes")*(61&gt;=Projects!$C$17:$C$46)*(61&lt;Projects!$C$17:$C$46+Projects!$D$17:$D$46)*Projects!$B$17:$B$46*Assumptions!$B$11/Projects!$D$17:$D$46*0.95)+SUMPRODUCT((Projects!$G$17:$G$46="Yes")*(61=Projects!$C$17:$C$46+Projects!$D$17:$D$46-1)*Projects!$B$17:$B$46*Assumptions!$B$11*0.05)+0,Actuals!BN10)</f>
        <v>503061</v>
      </c>
      <c r="BN11" s="13" t="n">
        <f aca="false">IF(ISBLANK(Actuals!BO10),0+SUMPRODUCT((Projects!$G$8:$G$14="Yes")*(62&gt;=Projects!$C$8:$C$14)*(62&lt;Projects!$C$8:$C$14+Projects!$D$8:$D$14)*Projects!$B$8:$B$14*Assumptions!$B$11/Projects!$D$8:$D$14*0.95)+SUMPRODUCT((Projects!$G$8:$G$14="Yes")*(62=Projects!$C$8:$C$14+Projects!$D$8:$D$14-1)*Projects!$B$8:$B$14*Assumptions!$B$11*0.05)+SUMPRODUCT((Projects!$G$17:$G$46="Yes")*(62&gt;=Projects!$C$17:$C$46)*(62&lt;Projects!$C$17:$C$46+Projects!$D$17:$D$46)*Projects!$B$17:$B$46*Assumptions!$B$11/Projects!$D$17:$D$46*0.95)+SUMPRODUCT((Projects!$G$17:$G$46="Yes")*(62=Projects!$C$17:$C$46+Projects!$D$17:$D$46-1)*Projects!$B$17:$B$46*Assumptions!$B$11*0.05)+0,Actuals!BO10)</f>
        <v>448885.2</v>
      </c>
      <c r="BO11" s="13" t="n">
        <f aca="false">IF(ISBLANK(Actuals!BP10),0+SUMPRODUCT((Projects!$G$8:$G$14="Yes")*(63&gt;=Projects!$C$8:$C$14)*(63&lt;Projects!$C$8:$C$14+Projects!$D$8:$D$14)*Projects!$B$8:$B$14*Assumptions!$B$11/Projects!$D$8:$D$14*0.95)+SUMPRODUCT((Projects!$G$8:$G$14="Yes")*(63=Projects!$C$8:$C$14+Projects!$D$8:$D$14-1)*Projects!$B$8:$B$14*Assumptions!$B$11*0.05)+SUMPRODUCT((Projects!$G$17:$G$46="Yes")*(63&gt;=Projects!$C$17:$C$46)*(63&lt;Projects!$C$17:$C$46+Projects!$D$17:$D$46)*Projects!$B$17:$B$46*Assumptions!$B$11/Projects!$D$17:$D$46*0.95)+SUMPRODUCT((Projects!$G$17:$G$46="Yes")*(63=Projects!$C$17:$C$46+Projects!$D$17:$D$46-1)*Projects!$B$17:$B$46*Assumptions!$B$11*0.05)+0,Actuals!BP10)</f>
        <v>371491.2</v>
      </c>
      <c r="BP11" s="13" t="n">
        <f aca="false">IF(ISBLANK(Actuals!BQ10),0+SUMPRODUCT((Projects!$G$8:$G$14="Yes")*(64&gt;=Projects!$C$8:$C$14)*(64&lt;Projects!$C$8:$C$14+Projects!$D$8:$D$14)*Projects!$B$8:$B$14*Assumptions!$B$11/Projects!$D$8:$D$14*0.95)+SUMPRODUCT((Projects!$G$8:$G$14="Yes")*(64=Projects!$C$8:$C$14+Projects!$D$8:$D$14-1)*Projects!$B$8:$B$14*Assumptions!$B$11*0.05)+SUMPRODUCT((Projects!$G$17:$G$46="Yes")*(64&gt;=Projects!$C$17:$C$46)*(64&lt;Projects!$C$17:$C$46+Projects!$D$17:$D$46)*Projects!$B$17:$B$46*Assumptions!$B$11/Projects!$D$17:$D$46*0.95)+SUMPRODUCT((Projects!$G$17:$G$46="Yes")*(64=Projects!$C$17:$C$46+Projects!$D$17:$D$46-1)*Projects!$B$17:$B$46*Assumptions!$B$11*0.05)+0,Actuals!BQ10)</f>
        <v>371491.2</v>
      </c>
      <c r="BQ11" s="13" t="n">
        <f aca="false">IF(ISBLANK(Actuals!BR10),0+SUMPRODUCT((Projects!$G$8:$G$14="Yes")*(65&gt;=Projects!$C$8:$C$14)*(65&lt;Projects!$C$8:$C$14+Projects!$D$8:$D$14)*Projects!$B$8:$B$14*Assumptions!$B$11/Projects!$D$8:$D$14*0.95)+SUMPRODUCT((Projects!$G$8:$G$14="Yes")*(65=Projects!$C$8:$C$14+Projects!$D$8:$D$14-1)*Projects!$B$8:$B$14*Assumptions!$B$11*0.05)+SUMPRODUCT((Projects!$G$17:$G$46="Yes")*(65&gt;=Projects!$C$17:$C$46)*(65&lt;Projects!$C$17:$C$46+Projects!$D$17:$D$46)*Projects!$B$17:$B$46*Assumptions!$B$11/Projects!$D$17:$D$46*0.95)+SUMPRODUCT((Projects!$G$17:$G$46="Yes")*(65=Projects!$C$17:$C$46+Projects!$D$17:$D$46-1)*Projects!$B$17:$B$46*Assumptions!$B$11*0.05)+0,Actuals!BR10)</f>
        <v>371491.2</v>
      </c>
      <c r="BR11" s="13" t="n">
        <f aca="false">IF(ISBLANK(Actuals!BS10),0+SUMPRODUCT((Projects!$G$8:$G$14="Yes")*(66&gt;=Projects!$C$8:$C$14)*(66&lt;Projects!$C$8:$C$14+Projects!$D$8:$D$14)*Projects!$B$8:$B$14*Assumptions!$B$11/Projects!$D$8:$D$14*0.95)+SUMPRODUCT((Projects!$G$8:$G$14="Yes")*(66=Projects!$C$8:$C$14+Projects!$D$8:$D$14-1)*Projects!$B$8:$B$14*Assumptions!$B$11*0.05)+SUMPRODUCT((Projects!$G$17:$G$46="Yes")*(66&gt;=Projects!$C$17:$C$46)*(66&lt;Projects!$C$17:$C$46+Projects!$D$17:$D$46)*Projects!$B$17:$B$46*Assumptions!$B$11/Projects!$D$17:$D$46*0.95)+SUMPRODUCT((Projects!$G$17:$G$46="Yes")*(66=Projects!$C$17:$C$46+Projects!$D$17:$D$46-1)*Projects!$B$17:$B$46*Assumptions!$B$11*0.05)+0,Actuals!BS10)</f>
        <v>410188.2</v>
      </c>
      <c r="BS11" s="13" t="n">
        <f aca="false">IF(ISBLANK(Actuals!BT10),0+SUMPRODUCT((Projects!$G$8:$G$14="Yes")*(67&gt;=Projects!$C$8:$C$14)*(67&lt;Projects!$C$8:$C$14+Projects!$D$8:$D$14)*Projects!$B$8:$B$14*Assumptions!$B$11/Projects!$D$8:$D$14*0.95)+SUMPRODUCT((Projects!$G$8:$G$14="Yes")*(67=Projects!$C$8:$C$14+Projects!$D$8:$D$14-1)*Projects!$B$8:$B$14*Assumptions!$B$11*0.05)+SUMPRODUCT((Projects!$G$17:$G$46="Yes")*(67&gt;=Projects!$C$17:$C$46)*(67&lt;Projects!$C$17:$C$46+Projects!$D$17:$D$46)*Projects!$B$17:$B$46*Assumptions!$B$11/Projects!$D$17:$D$46*0.95)+SUMPRODUCT((Projects!$G$17:$G$46="Yes")*(67=Projects!$C$17:$C$46+Projects!$D$17:$D$46-1)*Projects!$B$17:$B$46*Assumptions!$B$11*0.05)+0,Actuals!BT10)</f>
        <v>379230.6</v>
      </c>
      <c r="BT11" s="13" t="n">
        <f aca="false">IF(ISBLANK(Actuals!BU10),0+SUMPRODUCT((Projects!$G$8:$G$14="Yes")*(68&gt;=Projects!$C$8:$C$14)*(68&lt;Projects!$C$8:$C$14+Projects!$D$8:$D$14)*Projects!$B$8:$B$14*Assumptions!$B$11/Projects!$D$8:$D$14*0.95)+SUMPRODUCT((Projects!$G$8:$G$14="Yes")*(68=Projects!$C$8:$C$14+Projects!$D$8:$D$14-1)*Projects!$B$8:$B$14*Assumptions!$B$11*0.05)+SUMPRODUCT((Projects!$G$17:$G$46="Yes")*(68&gt;=Projects!$C$17:$C$46)*(68&lt;Projects!$C$17:$C$46+Projects!$D$17:$D$46)*Projects!$B$17:$B$46*Assumptions!$B$11/Projects!$D$17:$D$46*0.95)+SUMPRODUCT((Projects!$G$17:$G$46="Yes")*(68=Projects!$C$17:$C$46+Projects!$D$17:$D$46-1)*Projects!$B$17:$B$46*Assumptions!$B$11*0.05)+0,Actuals!BU10)</f>
        <v>325054.8</v>
      </c>
      <c r="BU11" s="13" t="n">
        <f aca="false">IF(ISBLANK(Actuals!BV10),0+SUMPRODUCT((Projects!$G$8:$G$14="Yes")*(69&gt;=Projects!$C$8:$C$14)*(69&lt;Projects!$C$8:$C$14+Projects!$D$8:$D$14)*Projects!$B$8:$B$14*Assumptions!$B$11/Projects!$D$8:$D$14*0.95)+SUMPRODUCT((Projects!$G$8:$G$14="Yes")*(69=Projects!$C$8:$C$14+Projects!$D$8:$D$14-1)*Projects!$B$8:$B$14*Assumptions!$B$11*0.05)+SUMPRODUCT((Projects!$G$17:$G$46="Yes")*(69&gt;=Projects!$C$17:$C$46)*(69&lt;Projects!$C$17:$C$46+Projects!$D$17:$D$46)*Projects!$B$17:$B$46*Assumptions!$B$11/Projects!$D$17:$D$46*0.95)+SUMPRODUCT((Projects!$G$17:$G$46="Yes")*(69=Projects!$C$17:$C$46+Projects!$D$17:$D$46-1)*Projects!$B$17:$B$46*Assumptions!$B$11*0.05)+0,Actuals!BV10)</f>
        <v>286357.8</v>
      </c>
      <c r="BV11" s="13" t="n">
        <f aca="false">IF(ISBLANK(Actuals!BW10),0+SUMPRODUCT((Projects!$G$8:$G$14="Yes")*(70&gt;=Projects!$C$8:$C$14)*(70&lt;Projects!$C$8:$C$14+Projects!$D$8:$D$14)*Projects!$B$8:$B$14*Assumptions!$B$11/Projects!$D$8:$D$14*0.95)+SUMPRODUCT((Projects!$G$8:$G$14="Yes")*(70=Projects!$C$8:$C$14+Projects!$D$8:$D$14-1)*Projects!$B$8:$B$14*Assumptions!$B$11*0.05)+SUMPRODUCT((Projects!$G$17:$G$46="Yes")*(70&gt;=Projects!$C$17:$C$46)*(70&lt;Projects!$C$17:$C$46+Projects!$D$17:$D$46)*Projects!$B$17:$B$46*Assumptions!$B$11/Projects!$D$17:$D$46*0.95)+SUMPRODUCT((Projects!$G$17:$G$46="Yes")*(70=Projects!$C$17:$C$46+Projects!$D$17:$D$46-1)*Projects!$B$17:$B$46*Assumptions!$B$11*0.05)+0,Actuals!BW10)</f>
        <v>255400.2</v>
      </c>
      <c r="BW11" s="13" t="n">
        <f aca="false">IF(ISBLANK(Actuals!BX10),0+SUMPRODUCT((Projects!$G$8:$G$14="Yes")*(71&gt;=Projects!$C$8:$C$14)*(71&lt;Projects!$C$8:$C$14+Projects!$D$8:$D$14)*Projects!$B$8:$B$14*Assumptions!$B$11/Projects!$D$8:$D$14*0.95)+SUMPRODUCT((Projects!$G$8:$G$14="Yes")*(71=Projects!$C$8:$C$14+Projects!$D$8:$D$14-1)*Projects!$B$8:$B$14*Assumptions!$B$11*0.05)+SUMPRODUCT((Projects!$G$17:$G$46="Yes")*(71&gt;=Projects!$C$17:$C$46)*(71&lt;Projects!$C$17:$C$46+Projects!$D$17:$D$46)*Projects!$B$17:$B$46*Assumptions!$B$11/Projects!$D$17:$D$46*0.95)+SUMPRODUCT((Projects!$G$17:$G$46="Yes")*(71=Projects!$C$17:$C$46+Projects!$D$17:$D$46-1)*Projects!$B$17:$B$46*Assumptions!$B$11*0.05)+0,Actuals!BX10)</f>
        <v>201224.4</v>
      </c>
      <c r="BX11" s="13" t="n">
        <f aca="false">IF(ISBLANK(Actuals!BY10),0+SUMPRODUCT((Projects!$G$8:$G$14="Yes")*(72&gt;=Projects!$C$8:$C$14)*(72&lt;Projects!$C$8:$C$14+Projects!$D$8:$D$14)*Projects!$B$8:$B$14*Assumptions!$B$11/Projects!$D$8:$D$14*0.95)+SUMPRODUCT((Projects!$G$8:$G$14="Yes")*(72=Projects!$C$8:$C$14+Projects!$D$8:$D$14-1)*Projects!$B$8:$B$14*Assumptions!$B$11*0.05)+SUMPRODUCT((Projects!$G$17:$G$46="Yes")*(72&gt;=Projects!$C$17:$C$46)*(72&lt;Projects!$C$17:$C$46+Projects!$D$17:$D$46)*Projects!$B$17:$B$46*Assumptions!$B$11/Projects!$D$17:$D$46*0.95)+SUMPRODUCT((Projects!$G$17:$G$46="Yes")*(72=Projects!$C$17:$C$46+Projects!$D$17:$D$46-1)*Projects!$B$17:$B$46*Assumptions!$B$11*0.05)+0,Actuals!BY10)</f>
        <v>162527.4</v>
      </c>
      <c r="BY11" s="13" t="n">
        <f aca="false">IF(ISBLANK(Actuals!BZ10),0+SUMPRODUCT((Projects!$G$8:$G$14="Yes")*(73&gt;=Projects!$C$8:$C$14)*(73&lt;Projects!$C$8:$C$14+Projects!$D$8:$D$14)*Projects!$B$8:$B$14*Assumptions!$B$11/Projects!$D$8:$D$14*0.95)+SUMPRODUCT((Projects!$G$8:$G$14="Yes")*(73=Projects!$C$8:$C$14+Projects!$D$8:$D$14-1)*Projects!$B$8:$B$14*Assumptions!$B$11*0.05)+SUMPRODUCT((Projects!$G$17:$G$46="Yes")*(73&gt;=Projects!$C$17:$C$46)*(73&lt;Projects!$C$17:$C$46+Projects!$D$17:$D$46)*Projects!$B$17:$B$46*Assumptions!$B$11/Projects!$D$17:$D$46*0.95)+SUMPRODUCT((Projects!$G$17:$G$46="Yes")*(73=Projects!$C$17:$C$46+Projects!$D$17:$D$46-1)*Projects!$B$17:$B$46*Assumptions!$B$11*0.05)+0,Actuals!BZ10)</f>
        <v>131569.8</v>
      </c>
      <c r="BZ11" s="13" t="n">
        <f aca="false">IF(ISBLANK(Actuals!CA10),0+SUMPRODUCT((Projects!$G$8:$G$14="Yes")*(74&gt;=Projects!$C$8:$C$14)*(74&lt;Projects!$C$8:$C$14+Projects!$D$8:$D$14)*Projects!$B$8:$B$14*Assumptions!$B$11/Projects!$D$8:$D$14*0.95)+SUMPRODUCT((Projects!$G$8:$G$14="Yes")*(74=Projects!$C$8:$C$14+Projects!$D$8:$D$14-1)*Projects!$B$8:$B$14*Assumptions!$B$11*0.05)+SUMPRODUCT((Projects!$G$17:$G$46="Yes")*(74&gt;=Projects!$C$17:$C$46)*(74&lt;Projects!$C$17:$C$46+Projects!$D$17:$D$46)*Projects!$B$17:$B$46*Assumptions!$B$11/Projects!$D$17:$D$46*0.95)+SUMPRODUCT((Projects!$G$17:$G$46="Yes")*(74=Projects!$C$17:$C$46+Projects!$D$17:$D$46-1)*Projects!$B$17:$B$46*Assumptions!$B$11*0.05)+0,Actuals!CA10)</f>
        <v>77394</v>
      </c>
      <c r="CA11" s="13" t="n">
        <f aca="false">IF(ISBLANK(Actuals!CB10),0+SUMPRODUCT((Projects!$G$8:$G$14="Yes")*(75&gt;=Projects!$C$8:$C$14)*(75&lt;Projects!$C$8:$C$14+Projects!$D$8:$D$14)*Projects!$B$8:$B$14*Assumptions!$B$11/Projects!$D$8:$D$14*0.95)+SUMPRODUCT((Projects!$G$8:$G$14="Yes")*(75=Projects!$C$8:$C$14+Projects!$D$8:$D$14-1)*Projects!$B$8:$B$14*Assumptions!$B$11*0.05)+SUMPRODUCT((Projects!$G$17:$G$46="Yes")*(75&gt;=Projects!$C$17:$C$46)*(75&lt;Projects!$C$17:$C$46+Projects!$D$17:$D$46)*Projects!$B$17:$B$46*Assumptions!$B$11/Projects!$D$17:$D$46*0.95)+SUMPRODUCT((Projects!$G$17:$G$46="Yes")*(75=Projects!$C$17:$C$46+Projects!$D$17:$D$46-1)*Projects!$B$17:$B$46*Assumptions!$B$11*0.05)+0,Actuals!CB10)</f>
        <v>0</v>
      </c>
      <c r="CB11" s="13" t="n">
        <f aca="false">IF(ISBLANK(Actuals!CC10),0+SUMPRODUCT((Projects!$G$8:$G$14="Yes")*(76&gt;=Projects!$C$8:$C$14)*(76&lt;Projects!$C$8:$C$14+Projects!$D$8:$D$14)*Projects!$B$8:$B$14*Assumptions!$B$11/Projects!$D$8:$D$14*0.95)+SUMPRODUCT((Projects!$G$8:$G$14="Yes")*(76=Projects!$C$8:$C$14+Projects!$D$8:$D$14-1)*Projects!$B$8:$B$14*Assumptions!$B$11*0.05)+SUMPRODUCT((Projects!$G$17:$G$46="Yes")*(76&gt;=Projects!$C$17:$C$46)*(76&lt;Projects!$C$17:$C$46+Projects!$D$17:$D$46)*Projects!$B$17:$B$46*Assumptions!$B$11/Projects!$D$17:$D$46*0.95)+SUMPRODUCT((Projects!$G$17:$G$46="Yes")*(76=Projects!$C$17:$C$46+Projects!$D$17:$D$46-1)*Projects!$B$17:$B$46*Assumptions!$B$11*0.05)+0,Actuals!CC10)</f>
        <v>0</v>
      </c>
      <c r="CC11" s="13" t="n">
        <f aca="false">IF(ISBLANK(Actuals!CD10),0+SUMPRODUCT((Projects!$G$8:$G$14="Yes")*(77&gt;=Projects!$C$8:$C$14)*(77&lt;Projects!$C$8:$C$14+Projects!$D$8:$D$14)*Projects!$B$8:$B$14*Assumptions!$B$11/Projects!$D$8:$D$14*0.95)+SUMPRODUCT((Projects!$G$8:$G$14="Yes")*(77=Projects!$C$8:$C$14+Projects!$D$8:$D$14-1)*Projects!$B$8:$B$14*Assumptions!$B$11*0.05)+SUMPRODUCT((Projects!$G$17:$G$46="Yes")*(77&gt;=Projects!$C$17:$C$46)*(77&lt;Projects!$C$17:$C$46+Projects!$D$17:$D$46)*Projects!$B$17:$B$46*Assumptions!$B$11/Projects!$D$17:$D$46*0.95)+SUMPRODUCT((Projects!$G$17:$G$46="Yes")*(77=Projects!$C$17:$C$46+Projects!$D$17:$D$46-1)*Projects!$B$17:$B$46*Assumptions!$B$11*0.05)+0,Actuals!CD10)</f>
        <v>0</v>
      </c>
      <c r="CD11" s="13" t="n">
        <f aca="false">IF(ISBLANK(Actuals!CE10),0+SUMPRODUCT((Projects!$G$8:$G$14="Yes")*(78&gt;=Projects!$C$8:$C$14)*(78&lt;Projects!$C$8:$C$14+Projects!$D$8:$D$14)*Projects!$B$8:$B$14*Assumptions!$B$11/Projects!$D$8:$D$14*0.95)+SUMPRODUCT((Projects!$G$8:$G$14="Yes")*(78=Projects!$C$8:$C$14+Projects!$D$8:$D$14-1)*Projects!$B$8:$B$14*Assumptions!$B$11*0.05)+SUMPRODUCT((Projects!$G$17:$G$46="Yes")*(78&gt;=Projects!$C$17:$C$46)*(78&lt;Projects!$C$17:$C$46+Projects!$D$17:$D$46)*Projects!$B$17:$B$46*Assumptions!$B$11/Projects!$D$17:$D$46*0.95)+SUMPRODUCT((Projects!$G$17:$G$46="Yes")*(78=Projects!$C$17:$C$46+Projects!$D$17:$D$46-1)*Projects!$B$17:$B$46*Assumptions!$B$11*0.05)+0,Actuals!CE10)</f>
        <v>0</v>
      </c>
      <c r="CE11" s="13" t="n">
        <f aca="false">IF(ISBLANK(Actuals!CF10),0+SUMPRODUCT((Projects!$G$8:$G$14="Yes")*(79&gt;=Projects!$C$8:$C$14)*(79&lt;Projects!$C$8:$C$14+Projects!$D$8:$D$14)*Projects!$B$8:$B$14*Assumptions!$B$11/Projects!$D$8:$D$14*0.95)+SUMPRODUCT((Projects!$G$8:$G$14="Yes")*(79=Projects!$C$8:$C$14+Projects!$D$8:$D$14-1)*Projects!$B$8:$B$14*Assumptions!$B$11*0.05)+SUMPRODUCT((Projects!$G$17:$G$46="Yes")*(79&gt;=Projects!$C$17:$C$46)*(79&lt;Projects!$C$17:$C$46+Projects!$D$17:$D$46)*Projects!$B$17:$B$46*Assumptions!$B$11/Projects!$D$17:$D$46*0.95)+SUMPRODUCT((Projects!$G$17:$G$46="Yes")*(79=Projects!$C$17:$C$46+Projects!$D$17:$D$46-1)*Projects!$B$17:$B$46*Assumptions!$B$11*0.05)+0,Actuals!CF10)</f>
        <v>0</v>
      </c>
      <c r="CF11" s="13" t="n">
        <f aca="false">IF(ISBLANK(Actuals!CG10),0+SUMPRODUCT((Projects!$G$8:$G$14="Yes")*(80&gt;=Projects!$C$8:$C$14)*(80&lt;Projects!$C$8:$C$14+Projects!$D$8:$D$14)*Projects!$B$8:$B$14*Assumptions!$B$11/Projects!$D$8:$D$14*0.95)+SUMPRODUCT((Projects!$G$8:$G$14="Yes")*(80=Projects!$C$8:$C$14+Projects!$D$8:$D$14-1)*Projects!$B$8:$B$14*Assumptions!$B$11*0.05)+SUMPRODUCT((Projects!$G$17:$G$46="Yes")*(80&gt;=Projects!$C$17:$C$46)*(80&lt;Projects!$C$17:$C$46+Projects!$D$17:$D$46)*Projects!$B$17:$B$46*Assumptions!$B$11/Projects!$D$17:$D$46*0.95)+SUMPRODUCT((Projects!$G$17:$G$46="Yes")*(80=Projects!$C$17:$C$46+Projects!$D$17:$D$46-1)*Projects!$B$17:$B$46*Assumptions!$B$11*0.05)+0,Actuals!CG10)</f>
        <v>0</v>
      </c>
      <c r="CG11" s="13" t="n">
        <f aca="false">IF(ISBLANK(Actuals!CH10),0+SUMPRODUCT((Projects!$G$8:$G$14="Yes")*(81&gt;=Projects!$C$8:$C$14)*(81&lt;Projects!$C$8:$C$14+Projects!$D$8:$D$14)*Projects!$B$8:$B$14*Assumptions!$B$11/Projects!$D$8:$D$14*0.95)+SUMPRODUCT((Projects!$G$8:$G$14="Yes")*(81=Projects!$C$8:$C$14+Projects!$D$8:$D$14-1)*Projects!$B$8:$B$14*Assumptions!$B$11*0.05)+SUMPRODUCT((Projects!$G$17:$G$46="Yes")*(81&gt;=Projects!$C$17:$C$46)*(81&lt;Projects!$C$17:$C$46+Projects!$D$17:$D$46)*Projects!$B$17:$B$46*Assumptions!$B$11/Projects!$D$17:$D$46*0.95)+SUMPRODUCT((Projects!$G$17:$G$46="Yes")*(81=Projects!$C$17:$C$46+Projects!$D$17:$D$46-1)*Projects!$B$17:$B$46*Assumptions!$B$11*0.05)+0,Actuals!CH10)</f>
        <v>0</v>
      </c>
      <c r="CH11" s="13" t="n">
        <f aca="false">IF(ISBLANK(Actuals!CI10),0+SUMPRODUCT((Projects!$G$8:$G$14="Yes")*(82&gt;=Projects!$C$8:$C$14)*(82&lt;Projects!$C$8:$C$14+Projects!$D$8:$D$14)*Projects!$B$8:$B$14*Assumptions!$B$11/Projects!$D$8:$D$14*0.95)+SUMPRODUCT((Projects!$G$8:$G$14="Yes")*(82=Projects!$C$8:$C$14+Projects!$D$8:$D$14-1)*Projects!$B$8:$B$14*Assumptions!$B$11*0.05)+SUMPRODUCT((Projects!$G$17:$G$46="Yes")*(82&gt;=Projects!$C$17:$C$46)*(82&lt;Projects!$C$17:$C$46+Projects!$D$17:$D$46)*Projects!$B$17:$B$46*Assumptions!$B$11/Projects!$D$17:$D$46*0.95)+SUMPRODUCT((Projects!$G$17:$G$46="Yes")*(82=Projects!$C$17:$C$46+Projects!$D$17:$D$46-1)*Projects!$B$17:$B$46*Assumptions!$B$11*0.05)+0,Actuals!CI10)</f>
        <v>0</v>
      </c>
      <c r="CI11" s="13" t="n">
        <f aca="false">IF(ISBLANK(Actuals!CJ10),0+SUMPRODUCT((Projects!$G$8:$G$14="Yes")*(83&gt;=Projects!$C$8:$C$14)*(83&lt;Projects!$C$8:$C$14+Projects!$D$8:$D$14)*Projects!$B$8:$B$14*Assumptions!$B$11/Projects!$D$8:$D$14*0.95)+SUMPRODUCT((Projects!$G$8:$G$14="Yes")*(83=Projects!$C$8:$C$14+Projects!$D$8:$D$14-1)*Projects!$B$8:$B$14*Assumptions!$B$11*0.05)+SUMPRODUCT((Projects!$G$17:$G$46="Yes")*(83&gt;=Projects!$C$17:$C$46)*(83&lt;Projects!$C$17:$C$46+Projects!$D$17:$D$46)*Projects!$B$17:$B$46*Assumptions!$B$11/Projects!$D$17:$D$46*0.95)+SUMPRODUCT((Projects!$G$17:$G$46="Yes")*(83=Projects!$C$17:$C$46+Projects!$D$17:$D$46-1)*Projects!$B$17:$B$46*Assumptions!$B$11*0.05)+0,Actuals!CJ10)</f>
        <v>0</v>
      </c>
      <c r="CJ11" s="13" t="n">
        <f aca="false">IF(ISBLANK(Actuals!CK10),0+SUMPRODUCT((Projects!$G$8:$G$14="Yes")*(84&gt;=Projects!$C$8:$C$14)*(84&lt;Projects!$C$8:$C$14+Projects!$D$8:$D$14)*Projects!$B$8:$B$14*Assumptions!$B$11/Projects!$D$8:$D$14*0.95)+SUMPRODUCT((Projects!$G$8:$G$14="Yes")*(84=Projects!$C$8:$C$14+Projects!$D$8:$D$14-1)*Projects!$B$8:$B$14*Assumptions!$B$11*0.05)+SUMPRODUCT((Projects!$G$17:$G$46="Yes")*(84&gt;=Projects!$C$17:$C$46)*(84&lt;Projects!$C$17:$C$46+Projects!$D$17:$D$46)*Projects!$B$17:$B$46*Assumptions!$B$11/Projects!$D$17:$D$46*0.95)+SUMPRODUCT((Projects!$G$17:$G$46="Yes")*(84=Projects!$C$17:$C$46+Projects!$D$17:$D$46-1)*Projects!$B$17:$B$46*Assumptions!$B$11*0.05)+0,Actuals!CK10)</f>
        <v>0</v>
      </c>
      <c r="CK11" s="13" t="n">
        <f aca="false">IF(ISBLANK(Actuals!CL10),0+SUMPRODUCT((Projects!$G$8:$G$14="Yes")*(85&gt;=Projects!$C$8:$C$14)*(85&lt;Projects!$C$8:$C$14+Projects!$D$8:$D$14)*Projects!$B$8:$B$14*Assumptions!$B$11/Projects!$D$8:$D$14*0.95)+SUMPRODUCT((Projects!$G$8:$G$14="Yes")*(85=Projects!$C$8:$C$14+Projects!$D$8:$D$14-1)*Projects!$B$8:$B$14*Assumptions!$B$11*0.05)+SUMPRODUCT((Projects!$G$17:$G$46="Yes")*(85&gt;=Projects!$C$17:$C$46)*(85&lt;Projects!$C$17:$C$46+Projects!$D$17:$D$46)*Projects!$B$17:$B$46*Assumptions!$B$11/Projects!$D$17:$D$46*0.95)+SUMPRODUCT((Projects!$G$17:$G$46="Yes")*(85=Projects!$C$17:$C$46+Projects!$D$17:$D$46-1)*Projects!$B$17:$B$46*Assumptions!$B$11*0.05)+0,Actuals!CL10)</f>
        <v>0</v>
      </c>
      <c r="CL11" s="13" t="n">
        <f aca="false">IF(ISBLANK(Actuals!CM10),0+SUMPRODUCT((Projects!$G$8:$G$14="Yes")*(86&gt;=Projects!$C$8:$C$14)*(86&lt;Projects!$C$8:$C$14+Projects!$D$8:$D$14)*Projects!$B$8:$B$14*Assumptions!$B$11/Projects!$D$8:$D$14*0.95)+SUMPRODUCT((Projects!$G$8:$G$14="Yes")*(86=Projects!$C$8:$C$14+Projects!$D$8:$D$14-1)*Projects!$B$8:$B$14*Assumptions!$B$11*0.05)+SUMPRODUCT((Projects!$G$17:$G$46="Yes")*(86&gt;=Projects!$C$17:$C$46)*(86&lt;Projects!$C$17:$C$46+Projects!$D$17:$D$46)*Projects!$B$17:$B$46*Assumptions!$B$11/Projects!$D$17:$D$46*0.95)+SUMPRODUCT((Projects!$G$17:$G$46="Yes")*(86=Projects!$C$17:$C$46+Projects!$D$17:$D$46-1)*Projects!$B$17:$B$46*Assumptions!$B$11*0.05)+0,Actuals!CM10)</f>
        <v>0</v>
      </c>
      <c r="CM11" s="13" t="n">
        <f aca="false">IF(ISBLANK(Actuals!CN10),0+SUMPRODUCT((Projects!$G$8:$G$14="Yes")*(87&gt;=Projects!$C$8:$C$14)*(87&lt;Projects!$C$8:$C$14+Projects!$D$8:$D$14)*Projects!$B$8:$B$14*Assumptions!$B$11/Projects!$D$8:$D$14*0.95)+SUMPRODUCT((Projects!$G$8:$G$14="Yes")*(87=Projects!$C$8:$C$14+Projects!$D$8:$D$14-1)*Projects!$B$8:$B$14*Assumptions!$B$11*0.05)+SUMPRODUCT((Projects!$G$17:$G$46="Yes")*(87&gt;=Projects!$C$17:$C$46)*(87&lt;Projects!$C$17:$C$46+Projects!$D$17:$D$46)*Projects!$B$17:$B$46*Assumptions!$B$11/Projects!$D$17:$D$46*0.95)+SUMPRODUCT((Projects!$G$17:$G$46="Yes")*(87=Projects!$C$17:$C$46+Projects!$D$17:$D$46-1)*Projects!$B$17:$B$46*Assumptions!$B$11*0.05)+0,Actuals!CN10)</f>
        <v>0</v>
      </c>
      <c r="CN11" s="13" t="n">
        <f aca="false">IF(ISBLANK(Actuals!CO10),0+SUMPRODUCT((Projects!$G$8:$G$14="Yes")*(88&gt;=Projects!$C$8:$C$14)*(88&lt;Projects!$C$8:$C$14+Projects!$D$8:$D$14)*Projects!$B$8:$B$14*Assumptions!$B$11/Projects!$D$8:$D$14*0.95)+SUMPRODUCT((Projects!$G$8:$G$14="Yes")*(88=Projects!$C$8:$C$14+Projects!$D$8:$D$14-1)*Projects!$B$8:$B$14*Assumptions!$B$11*0.05)+SUMPRODUCT((Projects!$G$17:$G$46="Yes")*(88&gt;=Projects!$C$17:$C$46)*(88&lt;Projects!$C$17:$C$46+Projects!$D$17:$D$46)*Projects!$B$17:$B$46*Assumptions!$B$11/Projects!$D$17:$D$46*0.95)+SUMPRODUCT((Projects!$G$17:$G$46="Yes")*(88=Projects!$C$17:$C$46+Projects!$D$17:$D$46-1)*Projects!$B$17:$B$46*Assumptions!$B$11*0.05)+0,Actuals!CO10)</f>
        <v>0</v>
      </c>
      <c r="CO11" s="13" t="n">
        <f aca="false">IF(ISBLANK(Actuals!CP10),0+SUMPRODUCT((Projects!$G$8:$G$14="Yes")*(89&gt;=Projects!$C$8:$C$14)*(89&lt;Projects!$C$8:$C$14+Projects!$D$8:$D$14)*Projects!$B$8:$B$14*Assumptions!$B$11/Projects!$D$8:$D$14*0.95)+SUMPRODUCT((Projects!$G$8:$G$14="Yes")*(89=Projects!$C$8:$C$14+Projects!$D$8:$D$14-1)*Projects!$B$8:$B$14*Assumptions!$B$11*0.05)+SUMPRODUCT((Projects!$G$17:$G$46="Yes")*(89&gt;=Projects!$C$17:$C$46)*(89&lt;Projects!$C$17:$C$46+Projects!$D$17:$D$46)*Projects!$B$17:$B$46*Assumptions!$B$11/Projects!$D$17:$D$46*0.95)+SUMPRODUCT((Projects!$G$17:$G$46="Yes")*(89=Projects!$C$17:$C$46+Projects!$D$17:$D$46-1)*Projects!$B$17:$B$46*Assumptions!$B$11*0.05)+0,Actuals!CP10)</f>
        <v>0</v>
      </c>
      <c r="CP11" s="13" t="n">
        <f aca="false">IF(ISBLANK(Actuals!CQ10),0+SUMPRODUCT((Projects!$G$8:$G$14="Yes")*(90&gt;=Projects!$C$8:$C$14)*(90&lt;Projects!$C$8:$C$14+Projects!$D$8:$D$14)*Projects!$B$8:$B$14*Assumptions!$B$11/Projects!$D$8:$D$14*0.95)+SUMPRODUCT((Projects!$G$8:$G$14="Yes")*(90=Projects!$C$8:$C$14+Projects!$D$8:$D$14-1)*Projects!$B$8:$B$14*Assumptions!$B$11*0.05)+SUMPRODUCT((Projects!$G$17:$G$46="Yes")*(90&gt;=Projects!$C$17:$C$46)*(90&lt;Projects!$C$17:$C$46+Projects!$D$17:$D$46)*Projects!$B$17:$B$46*Assumptions!$B$11/Projects!$D$17:$D$46*0.95)+SUMPRODUCT((Projects!$G$17:$G$46="Yes")*(90=Projects!$C$17:$C$46+Projects!$D$17:$D$46-1)*Projects!$B$17:$B$46*Assumptions!$B$11*0.05)+0,Actuals!CQ10)</f>
        <v>0</v>
      </c>
      <c r="CQ11" s="13" t="n">
        <f aca="false">IF(ISBLANK(Actuals!CR10),0+SUMPRODUCT((Projects!$G$8:$G$14="Yes")*(91&gt;=Projects!$C$8:$C$14)*(91&lt;Projects!$C$8:$C$14+Projects!$D$8:$D$14)*Projects!$B$8:$B$14*Assumptions!$B$11/Projects!$D$8:$D$14*0.95)+SUMPRODUCT((Projects!$G$8:$G$14="Yes")*(91=Projects!$C$8:$C$14+Projects!$D$8:$D$14-1)*Projects!$B$8:$B$14*Assumptions!$B$11*0.05)+SUMPRODUCT((Projects!$G$17:$G$46="Yes")*(91&gt;=Projects!$C$17:$C$46)*(91&lt;Projects!$C$17:$C$46+Projects!$D$17:$D$46)*Projects!$B$17:$B$46*Assumptions!$B$11/Projects!$D$17:$D$46*0.95)+SUMPRODUCT((Projects!$G$17:$G$46="Yes")*(91=Projects!$C$17:$C$46+Projects!$D$17:$D$46-1)*Projects!$B$17:$B$46*Assumptions!$B$11*0.05)+0,Actuals!CR10)</f>
        <v>0</v>
      </c>
      <c r="CR11" s="13" t="n">
        <f aca="false">IF(ISBLANK(Actuals!CS10),0+SUMPRODUCT((Projects!$G$8:$G$14="Yes")*(92&gt;=Projects!$C$8:$C$14)*(92&lt;Projects!$C$8:$C$14+Projects!$D$8:$D$14)*Projects!$B$8:$B$14*Assumptions!$B$11/Projects!$D$8:$D$14*0.95)+SUMPRODUCT((Projects!$G$8:$G$14="Yes")*(92=Projects!$C$8:$C$14+Projects!$D$8:$D$14-1)*Projects!$B$8:$B$14*Assumptions!$B$11*0.05)+SUMPRODUCT((Projects!$G$17:$G$46="Yes")*(92&gt;=Projects!$C$17:$C$46)*(92&lt;Projects!$C$17:$C$46+Projects!$D$17:$D$46)*Projects!$B$17:$B$46*Assumptions!$B$11/Projects!$D$17:$D$46*0.95)+SUMPRODUCT((Projects!$G$17:$G$46="Yes")*(92=Projects!$C$17:$C$46+Projects!$D$17:$D$46-1)*Projects!$B$17:$B$46*Assumptions!$B$11*0.05)+0,Actuals!CS10)</f>
        <v>0</v>
      </c>
      <c r="CS11" s="13" t="n">
        <f aca="false">IF(ISBLANK(Actuals!CT10),0+SUMPRODUCT((Projects!$G$8:$G$14="Yes")*(93&gt;=Projects!$C$8:$C$14)*(93&lt;Projects!$C$8:$C$14+Projects!$D$8:$D$14)*Projects!$B$8:$B$14*Assumptions!$B$11/Projects!$D$8:$D$14*0.95)+SUMPRODUCT((Projects!$G$8:$G$14="Yes")*(93=Projects!$C$8:$C$14+Projects!$D$8:$D$14-1)*Projects!$B$8:$B$14*Assumptions!$B$11*0.05)+SUMPRODUCT((Projects!$G$17:$G$46="Yes")*(93&gt;=Projects!$C$17:$C$46)*(93&lt;Projects!$C$17:$C$46+Projects!$D$17:$D$46)*Projects!$B$17:$B$46*Assumptions!$B$11/Projects!$D$17:$D$46*0.95)+SUMPRODUCT((Projects!$G$17:$G$46="Yes")*(93=Projects!$C$17:$C$46+Projects!$D$17:$D$46-1)*Projects!$B$17:$B$46*Assumptions!$B$11*0.05)+0,Actuals!CT10)</f>
        <v>0</v>
      </c>
      <c r="CT11" s="13" t="n">
        <f aca="false">IF(ISBLANK(Actuals!CU10),0+SUMPRODUCT((Projects!$G$8:$G$14="Yes")*(94&gt;=Projects!$C$8:$C$14)*(94&lt;Projects!$C$8:$C$14+Projects!$D$8:$D$14)*Projects!$B$8:$B$14*Assumptions!$B$11/Projects!$D$8:$D$14*0.95)+SUMPRODUCT((Projects!$G$8:$G$14="Yes")*(94=Projects!$C$8:$C$14+Projects!$D$8:$D$14-1)*Projects!$B$8:$B$14*Assumptions!$B$11*0.05)+SUMPRODUCT((Projects!$G$17:$G$46="Yes")*(94&gt;=Projects!$C$17:$C$46)*(94&lt;Projects!$C$17:$C$46+Projects!$D$17:$D$46)*Projects!$B$17:$B$46*Assumptions!$B$11/Projects!$D$17:$D$46*0.95)+SUMPRODUCT((Projects!$G$17:$G$46="Yes")*(94=Projects!$C$17:$C$46+Projects!$D$17:$D$46-1)*Projects!$B$17:$B$46*Assumptions!$B$11*0.05)+0,Actuals!CU10)</f>
        <v>0</v>
      </c>
      <c r="CU11" s="13" t="n">
        <f aca="false">IF(ISBLANK(Actuals!CV10),0+SUMPRODUCT((Projects!$G$8:$G$14="Yes")*(95&gt;=Projects!$C$8:$C$14)*(95&lt;Projects!$C$8:$C$14+Projects!$D$8:$D$14)*Projects!$B$8:$B$14*Assumptions!$B$11/Projects!$D$8:$D$14*0.95)+SUMPRODUCT((Projects!$G$8:$G$14="Yes")*(95=Projects!$C$8:$C$14+Projects!$D$8:$D$14-1)*Projects!$B$8:$B$14*Assumptions!$B$11*0.05)+SUMPRODUCT((Projects!$G$17:$G$46="Yes")*(95&gt;=Projects!$C$17:$C$46)*(95&lt;Projects!$C$17:$C$46+Projects!$D$17:$D$46)*Projects!$B$17:$B$46*Assumptions!$B$11/Projects!$D$17:$D$46*0.95)+SUMPRODUCT((Projects!$G$17:$G$46="Yes")*(95=Projects!$C$17:$C$46+Projects!$D$17:$D$46-1)*Projects!$B$17:$B$46*Assumptions!$B$11*0.05)+0,Actuals!CV10)</f>
        <v>0</v>
      </c>
      <c r="CV11" s="13" t="n">
        <f aca="false">IF(ISBLANK(Actuals!CW10),0+SUMPRODUCT((Projects!$G$8:$G$14="Yes")*(96&gt;=Projects!$C$8:$C$14)*(96&lt;Projects!$C$8:$C$14+Projects!$D$8:$D$14)*Projects!$B$8:$B$14*Assumptions!$B$11/Projects!$D$8:$D$14*0.95)+SUMPRODUCT((Projects!$G$8:$G$14="Yes")*(96=Projects!$C$8:$C$14+Projects!$D$8:$D$14-1)*Projects!$B$8:$B$14*Assumptions!$B$11*0.05)+SUMPRODUCT((Projects!$G$17:$G$46="Yes")*(96&gt;=Projects!$C$17:$C$46)*(96&lt;Projects!$C$17:$C$46+Projects!$D$17:$D$46)*Projects!$B$17:$B$46*Assumptions!$B$11/Projects!$D$17:$D$46*0.95)+SUMPRODUCT((Projects!$G$17:$G$46="Yes")*(96=Projects!$C$17:$C$46+Projects!$D$17:$D$46-1)*Projects!$B$17:$B$46*Assumptions!$B$11*0.05)+0,Actuals!CW10)</f>
        <v>0</v>
      </c>
      <c r="CW11" s="13" t="n">
        <f aca="false">IF(ISBLANK(Actuals!CX10),0+SUMPRODUCT((Projects!$G$8:$G$14="Yes")*(97&gt;=Projects!$C$8:$C$14)*(97&lt;Projects!$C$8:$C$14+Projects!$D$8:$D$14)*Projects!$B$8:$B$14*Assumptions!$B$11/Projects!$D$8:$D$14*0.95)+SUMPRODUCT((Projects!$G$8:$G$14="Yes")*(97=Projects!$C$8:$C$14+Projects!$D$8:$D$14-1)*Projects!$B$8:$B$14*Assumptions!$B$11*0.05)+SUMPRODUCT((Projects!$G$17:$G$46="Yes")*(97&gt;=Projects!$C$17:$C$46)*(97&lt;Projects!$C$17:$C$46+Projects!$D$17:$D$46)*Projects!$B$17:$B$46*Assumptions!$B$11/Projects!$D$17:$D$46*0.95)+SUMPRODUCT((Projects!$G$17:$G$46="Yes")*(97=Projects!$C$17:$C$46+Projects!$D$17:$D$46-1)*Projects!$B$17:$B$46*Assumptions!$B$11*0.05)+0,Actuals!CX10)</f>
        <v>0</v>
      </c>
      <c r="CX11" s="13" t="n">
        <f aca="false">IF(ISBLANK(Actuals!CY10),0+SUMPRODUCT((Projects!$G$8:$G$14="Yes")*(98&gt;=Projects!$C$8:$C$14)*(98&lt;Projects!$C$8:$C$14+Projects!$D$8:$D$14)*Projects!$B$8:$B$14*Assumptions!$B$11/Projects!$D$8:$D$14*0.95)+SUMPRODUCT((Projects!$G$8:$G$14="Yes")*(98=Projects!$C$8:$C$14+Projects!$D$8:$D$14-1)*Projects!$B$8:$B$14*Assumptions!$B$11*0.05)+SUMPRODUCT((Projects!$G$17:$G$46="Yes")*(98&gt;=Projects!$C$17:$C$46)*(98&lt;Projects!$C$17:$C$46+Projects!$D$17:$D$46)*Projects!$B$17:$B$46*Assumptions!$B$11/Projects!$D$17:$D$46*0.95)+SUMPRODUCT((Projects!$G$17:$G$46="Yes")*(98=Projects!$C$17:$C$46+Projects!$D$17:$D$46-1)*Projects!$B$17:$B$46*Assumptions!$B$11*0.05)+0,Actuals!CY10)</f>
        <v>0</v>
      </c>
      <c r="CY11" s="13" t="n">
        <f aca="false">IF(ISBLANK(Actuals!CZ10),0+SUMPRODUCT((Projects!$G$8:$G$14="Yes")*(99&gt;=Projects!$C$8:$C$14)*(99&lt;Projects!$C$8:$C$14+Projects!$D$8:$D$14)*Projects!$B$8:$B$14*Assumptions!$B$11/Projects!$D$8:$D$14*0.95)+SUMPRODUCT((Projects!$G$8:$G$14="Yes")*(99=Projects!$C$8:$C$14+Projects!$D$8:$D$14-1)*Projects!$B$8:$B$14*Assumptions!$B$11*0.05)+SUMPRODUCT((Projects!$G$17:$G$46="Yes")*(99&gt;=Projects!$C$17:$C$46)*(99&lt;Projects!$C$17:$C$46+Projects!$D$17:$D$46)*Projects!$B$17:$B$46*Assumptions!$B$11/Projects!$D$17:$D$46*0.95)+SUMPRODUCT((Projects!$G$17:$G$46="Yes")*(99=Projects!$C$17:$C$46+Projects!$D$17:$D$46-1)*Projects!$B$17:$B$46*Assumptions!$B$11*0.05)+0,Actuals!CZ10)</f>
        <v>0</v>
      </c>
      <c r="CZ11" s="13" t="n">
        <f aca="false">IF(ISBLANK(Actuals!DA10),0+SUMPRODUCT((Projects!$G$8:$G$14="Yes")*(100&gt;=Projects!$C$8:$C$14)*(100&lt;Projects!$C$8:$C$14+Projects!$D$8:$D$14)*Projects!$B$8:$B$14*Assumptions!$B$11/Projects!$D$8:$D$14*0.95)+SUMPRODUCT((Projects!$G$8:$G$14="Yes")*(100=Projects!$C$8:$C$14+Projects!$D$8:$D$14-1)*Projects!$B$8:$B$14*Assumptions!$B$11*0.05)+SUMPRODUCT((Projects!$G$17:$G$46="Yes")*(100&gt;=Projects!$C$17:$C$46)*(100&lt;Projects!$C$17:$C$46+Projects!$D$17:$D$46)*Projects!$B$17:$B$46*Assumptions!$B$11/Projects!$D$17:$D$46*0.95)+SUMPRODUCT((Projects!$G$17:$G$46="Yes")*(100=Projects!$C$17:$C$46+Projects!$D$17:$D$46-1)*Projects!$B$17:$B$46*Assumptions!$B$11*0.05)+0,Actuals!DA10)</f>
        <v>0</v>
      </c>
      <c r="DA11" s="13" t="n">
        <f aca="false">IF(ISBLANK(Actuals!DB10),0+SUMPRODUCT((Projects!$G$8:$G$14="Yes")*(101&gt;=Projects!$C$8:$C$14)*(101&lt;Projects!$C$8:$C$14+Projects!$D$8:$D$14)*Projects!$B$8:$B$14*Assumptions!$B$11/Projects!$D$8:$D$14*0.95)+SUMPRODUCT((Projects!$G$8:$G$14="Yes")*(101=Projects!$C$8:$C$14+Projects!$D$8:$D$14-1)*Projects!$B$8:$B$14*Assumptions!$B$11*0.05)+SUMPRODUCT((Projects!$G$17:$G$46="Yes")*(101&gt;=Projects!$C$17:$C$46)*(101&lt;Projects!$C$17:$C$46+Projects!$D$17:$D$46)*Projects!$B$17:$B$46*Assumptions!$B$11/Projects!$D$17:$D$46*0.95)+SUMPRODUCT((Projects!$G$17:$G$46="Yes")*(101=Projects!$C$17:$C$46+Projects!$D$17:$D$46-1)*Projects!$B$17:$B$46*Assumptions!$B$11*0.05)+0,Actuals!DB10)</f>
        <v>0</v>
      </c>
      <c r="DB11" s="13" t="n">
        <f aca="false">IF(ISBLANK(Actuals!DC10),0+SUMPRODUCT((Projects!$G$8:$G$14="Yes")*(102&gt;=Projects!$C$8:$C$14)*(102&lt;Projects!$C$8:$C$14+Projects!$D$8:$D$14)*Projects!$B$8:$B$14*Assumptions!$B$11/Projects!$D$8:$D$14*0.95)+SUMPRODUCT((Projects!$G$8:$G$14="Yes")*(102=Projects!$C$8:$C$14+Projects!$D$8:$D$14-1)*Projects!$B$8:$B$14*Assumptions!$B$11*0.05)+SUMPRODUCT((Projects!$G$17:$G$46="Yes")*(102&gt;=Projects!$C$17:$C$46)*(102&lt;Projects!$C$17:$C$46+Projects!$D$17:$D$46)*Projects!$B$17:$B$46*Assumptions!$B$11/Projects!$D$17:$D$46*0.95)+SUMPRODUCT((Projects!$G$17:$G$46="Yes")*(102=Projects!$C$17:$C$46+Projects!$D$17:$D$46-1)*Projects!$B$17:$B$46*Assumptions!$B$11*0.05)+0,Actuals!DC10)</f>
        <v>0</v>
      </c>
      <c r="DC11" s="13" t="n">
        <f aca="false">IF(ISBLANK(Actuals!DD10),0+SUMPRODUCT((Projects!$G$8:$G$14="Yes")*(103&gt;=Projects!$C$8:$C$14)*(103&lt;Projects!$C$8:$C$14+Projects!$D$8:$D$14)*Projects!$B$8:$B$14*Assumptions!$B$11/Projects!$D$8:$D$14*0.95)+SUMPRODUCT((Projects!$G$8:$G$14="Yes")*(103=Projects!$C$8:$C$14+Projects!$D$8:$D$14-1)*Projects!$B$8:$B$14*Assumptions!$B$11*0.05)+SUMPRODUCT((Projects!$G$17:$G$46="Yes")*(103&gt;=Projects!$C$17:$C$46)*(103&lt;Projects!$C$17:$C$46+Projects!$D$17:$D$46)*Projects!$B$17:$B$46*Assumptions!$B$11/Projects!$D$17:$D$46*0.95)+SUMPRODUCT((Projects!$G$17:$G$46="Yes")*(103=Projects!$C$17:$C$46+Projects!$D$17:$D$46-1)*Projects!$B$17:$B$46*Assumptions!$B$11*0.05)+0,Actuals!DD10)</f>
        <v>0</v>
      </c>
      <c r="DD11" s="13" t="n">
        <f aca="false">IF(ISBLANK(Actuals!DE10),0+SUMPRODUCT((Projects!$G$8:$G$14="Yes")*(104&gt;=Projects!$C$8:$C$14)*(104&lt;Projects!$C$8:$C$14+Projects!$D$8:$D$14)*Projects!$B$8:$B$14*Assumptions!$B$11/Projects!$D$8:$D$14*0.95)+SUMPRODUCT((Projects!$G$8:$G$14="Yes")*(104=Projects!$C$8:$C$14+Projects!$D$8:$D$14-1)*Projects!$B$8:$B$14*Assumptions!$B$11*0.05)+SUMPRODUCT((Projects!$G$17:$G$46="Yes")*(104&gt;=Projects!$C$17:$C$46)*(104&lt;Projects!$C$17:$C$46+Projects!$D$17:$D$46)*Projects!$B$17:$B$46*Assumptions!$B$11/Projects!$D$17:$D$46*0.95)+SUMPRODUCT((Projects!$G$17:$G$46="Yes")*(104=Projects!$C$17:$C$46+Projects!$D$17:$D$46-1)*Projects!$B$17:$B$46*Assumptions!$B$11*0.05)+0,Actuals!DE10)</f>
        <v>0</v>
      </c>
      <c r="DE11" s="13" t="n">
        <f aca="false">IF(ISBLANK(Actuals!DF10),0+SUMPRODUCT((Projects!$G$8:$G$14="Yes")*(105&gt;=Projects!$C$8:$C$14)*(105&lt;Projects!$C$8:$C$14+Projects!$D$8:$D$14)*Projects!$B$8:$B$14*Assumptions!$B$11/Projects!$D$8:$D$14*0.95)+SUMPRODUCT((Projects!$G$8:$G$14="Yes")*(105=Projects!$C$8:$C$14+Projects!$D$8:$D$14-1)*Projects!$B$8:$B$14*Assumptions!$B$11*0.05)+SUMPRODUCT((Projects!$G$17:$G$46="Yes")*(105&gt;=Projects!$C$17:$C$46)*(105&lt;Projects!$C$17:$C$46+Projects!$D$17:$D$46)*Projects!$B$17:$B$46*Assumptions!$B$11/Projects!$D$17:$D$46*0.95)+SUMPRODUCT((Projects!$G$17:$G$46="Yes")*(105=Projects!$C$17:$C$46+Projects!$D$17:$D$46-1)*Projects!$B$17:$B$46*Assumptions!$B$11*0.05)+0,Actuals!DF10)</f>
        <v>0</v>
      </c>
    </row>
    <row r="12" customFormat="false" ht="15" hidden="false" customHeight="true" outlineLevel="0" collapsed="false">
      <c r="A12" s="27" t="s">
        <v>6</v>
      </c>
      <c r="B12" s="19"/>
      <c r="C12" s="19"/>
      <c r="D12" s="19"/>
      <c r="E12" s="19"/>
      <c r="F12" s="19"/>
      <c r="G12" s="19"/>
      <c r="H12" s="19"/>
      <c r="I12" s="19"/>
      <c r="J12" s="19"/>
      <c r="K12" s="19"/>
      <c r="L12" s="19"/>
      <c r="M12" s="19"/>
      <c r="N12" s="19"/>
      <c r="O12" s="19"/>
      <c r="P12" s="19"/>
      <c r="Q12" s="19"/>
      <c r="R12" s="19"/>
      <c r="S12" s="19"/>
      <c r="T12" s="19"/>
      <c r="U12" s="19"/>
      <c r="V12" s="19"/>
      <c r="W12" s="19"/>
      <c r="X12" s="19"/>
      <c r="Y12" s="19"/>
      <c r="Z12" s="19"/>
      <c r="AA12" s="19"/>
      <c r="AB12" s="19"/>
      <c r="AC12" s="19"/>
      <c r="AD12" s="19"/>
      <c r="AE12" s="19"/>
      <c r="AF12" s="19"/>
      <c r="AG12" s="19"/>
      <c r="AH12" s="19"/>
      <c r="AI12" s="19"/>
      <c r="AJ12" s="19"/>
      <c r="AK12" s="19"/>
      <c r="AL12" s="19"/>
      <c r="AM12" s="19"/>
      <c r="AN12" s="19"/>
      <c r="AO12" s="19"/>
      <c r="AP12" s="19"/>
      <c r="AQ12" s="19"/>
      <c r="AR12" s="19"/>
      <c r="AS12" s="19"/>
      <c r="AT12" s="19"/>
      <c r="AU12" s="19"/>
      <c r="AV12" s="19"/>
      <c r="AW12" s="19"/>
      <c r="AX12" s="19"/>
      <c r="AY12" s="19"/>
      <c r="AZ12" s="19"/>
      <c r="BA12" s="19"/>
      <c r="BB12" s="19"/>
      <c r="BC12" s="19"/>
      <c r="BD12" s="19"/>
      <c r="BE12" s="19"/>
      <c r="BF12" s="19"/>
      <c r="BG12" s="19"/>
      <c r="BH12" s="19"/>
      <c r="BI12" s="19"/>
      <c r="BJ12" s="19"/>
      <c r="BK12" s="19"/>
      <c r="BL12" s="19"/>
      <c r="BM12" s="19"/>
      <c r="BN12" s="19"/>
      <c r="BO12" s="19"/>
      <c r="BP12" s="19"/>
      <c r="BQ12" s="19"/>
      <c r="BR12" s="19"/>
      <c r="BS12" s="19"/>
      <c r="BT12" s="19"/>
      <c r="BU12" s="19"/>
      <c r="BV12" s="19"/>
      <c r="BW12" s="19"/>
      <c r="BX12" s="19"/>
      <c r="BY12" s="19"/>
      <c r="BZ12" s="19"/>
      <c r="CA12" s="19"/>
      <c r="CB12" s="19"/>
      <c r="CC12" s="19"/>
      <c r="CD12" s="19"/>
      <c r="CE12" s="19"/>
      <c r="CF12" s="19"/>
      <c r="CG12" s="19"/>
      <c r="CH12" s="19"/>
      <c r="CI12" s="19"/>
      <c r="CJ12" s="19"/>
      <c r="CK12" s="19"/>
      <c r="CL12" s="19"/>
      <c r="CM12" s="19"/>
      <c r="CN12" s="19"/>
      <c r="CO12" s="19"/>
      <c r="CP12" s="19"/>
      <c r="CQ12" s="19"/>
      <c r="CR12" s="19"/>
      <c r="CS12" s="19"/>
      <c r="CT12" s="19"/>
      <c r="CU12" s="19"/>
      <c r="CV12" s="19"/>
      <c r="CW12" s="19"/>
      <c r="CX12" s="19"/>
      <c r="CY12" s="19"/>
      <c r="CZ12" s="19"/>
      <c r="DA12" s="19"/>
      <c r="DB12" s="19"/>
      <c r="DC12" s="19"/>
      <c r="DD12" s="19"/>
      <c r="DE12" s="19"/>
    </row>
    <row r="13" customFormat="false" ht="15" hidden="true" customHeight="true" outlineLevel="1" collapsed="false">
      <c r="A13" s="28" t="s">
        <v>7</v>
      </c>
      <c r="B13" s="19" t="n">
        <v>392800.48</v>
      </c>
      <c r="C13" s="19" t="n">
        <v>636911.23</v>
      </c>
      <c r="D13" s="19" t="n">
        <v>648749.35</v>
      </c>
      <c r="E13" s="19" t="n">
        <v>704050.62</v>
      </c>
      <c r="F13" s="19" t="n">
        <v>711605.75</v>
      </c>
      <c r="G13" s="19" t="n">
        <v>887472.42</v>
      </c>
      <c r="H13" s="19" t="n">
        <v>1089049.37</v>
      </c>
      <c r="I13" s="19" t="n">
        <v>687821.32</v>
      </c>
      <c r="J13" s="19" t="n">
        <f aca="false">4190687.77*Curves!G$6/SUM(Curves!$E$6:$I$6)</f>
        <v>833012.67377813</v>
      </c>
      <c r="K13" s="19" t="n">
        <f aca="false">4190687.77*Curves!H$6/SUM(Curves!$E$6:$I$6)</f>
        <v>712680.486168552</v>
      </c>
      <c r="L13" s="19" t="n">
        <f aca="false">4190687.77*Curves!I$6/SUM(Curves!$E$6:$I$6)</f>
        <v>600255.256615582</v>
      </c>
      <c r="M13" s="19" t="n">
        <f aca="false">IF(AND(Projects!$G$2="Yes",M$3&gt;=Projects!$C$2,M$3&lt;Projects!$C$2+Projects!$D$2),Projects!$B$2*INDEX(Curves!$B$6:$AR$6,1,M$3-Projects!$C$2+1),0)-IF(AND(Projects!$G$2="Yes",M$3&gt;=Projects!$C$2,M$3&lt;Projects!$C$2+Projects!$D$2),Projects!$B$2*(Assumptions!$B$10+Assumptions!$B$11+Assumptions!$B$12)/Projects!$D$2*0.95,0)-IF(AND(Projects!$G$2="Yes",M$3=Projects!$C$2+Projects!$D$2-1),Projects!$B$2*(Assumptions!$B$10+Assumptions!$B$11+Assumptions!$B$12)*0.05,0)</f>
        <v>0</v>
      </c>
      <c r="N13" s="19" t="n">
        <f aca="false">IF(AND(Projects!$G$2="Yes",N$3&gt;=Projects!$C$2,N$3&lt;Projects!$C$2+Projects!$D$2),Projects!$B$2*INDEX(Curves!$B$6:$AR$6,1,N$3-Projects!$C$2+1),0)-IF(AND(Projects!$G$2="Yes",N$3&gt;=Projects!$C$2,N$3&lt;Projects!$C$2+Projects!$D$2),Projects!$B$2*(Assumptions!$B$10+Assumptions!$B$11+Assumptions!$B$12)/Projects!$D$2*0.95,0)-IF(AND(Projects!$G$2="Yes",N$3=Projects!$C$2+Projects!$D$2-1),Projects!$B$2*(Assumptions!$B$10+Assumptions!$B$11+Assumptions!$B$12)*0.05,0)</f>
        <v>0</v>
      </c>
      <c r="O13" s="19" t="n">
        <f aca="false">IF(AND(Projects!$G$2="Yes",O$3&gt;=Projects!$C$2,O$3&lt;Projects!$C$2+Projects!$D$2),Projects!$B$2*INDEX(Curves!$B$6:$AR$6,1,O$3-Projects!$C$2+1),0)-IF(AND(Projects!$G$2="Yes",O$3&gt;=Projects!$C$2,O$3&lt;Projects!$C$2+Projects!$D$2),Projects!$B$2*(Assumptions!$B$10+Assumptions!$B$11+Assumptions!$B$12)/Projects!$D$2*0.95,0)-IF(AND(Projects!$G$2="Yes",O$3=Projects!$C$2+Projects!$D$2-1),Projects!$B$2*(Assumptions!$B$10+Assumptions!$B$11+Assumptions!$B$12)*0.05,0)</f>
        <v>0</v>
      </c>
      <c r="P13" s="19" t="n">
        <f aca="false">IF(AND(Projects!$G$2="Yes",P$3&gt;=Projects!$C$2,P$3&lt;Projects!$C$2+Projects!$D$2),Projects!$B$2*INDEX(Curves!$B$6:$AR$6,1,P$3-Projects!$C$2+1),0)-IF(AND(Projects!$G$2="Yes",P$3&gt;=Projects!$C$2,P$3&lt;Projects!$C$2+Projects!$D$2),Projects!$B$2*(Assumptions!$B$10+Assumptions!$B$11+Assumptions!$B$12)/Projects!$D$2*0.95,0)-IF(AND(Projects!$G$2="Yes",P$3=Projects!$C$2+Projects!$D$2-1),Projects!$B$2*(Assumptions!$B$10+Assumptions!$B$11+Assumptions!$B$12)*0.05,0)</f>
        <v>0</v>
      </c>
      <c r="Q13" s="19" t="n">
        <f aca="false">IF(AND(Projects!$G$2="Yes",Q$3&gt;=Projects!$C$2,Q$3&lt;Projects!$C$2+Projects!$D$2),Projects!$B$2*INDEX(Curves!$B$6:$AR$6,1,Q$3-Projects!$C$2+1),0)-IF(AND(Projects!$G$2="Yes",Q$3&gt;=Projects!$C$2,Q$3&lt;Projects!$C$2+Projects!$D$2),Projects!$B$2*(Assumptions!$B$10+Assumptions!$B$11+Assumptions!$B$12)/Projects!$D$2*0.95,0)-IF(AND(Projects!$G$2="Yes",Q$3=Projects!$C$2+Projects!$D$2-1),Projects!$B$2*(Assumptions!$B$10+Assumptions!$B$11+Assumptions!$B$12)*0.05,0)</f>
        <v>0</v>
      </c>
      <c r="R13" s="19" t="n">
        <f aca="false">IF(AND(Projects!$G$2="Yes",R$3&gt;=Projects!$C$2,R$3&lt;Projects!$C$2+Projects!$D$2),Projects!$B$2*INDEX(Curves!$B$6:$AR$6,1,R$3-Projects!$C$2+1),0)-IF(AND(Projects!$G$2="Yes",R$3&gt;=Projects!$C$2,R$3&lt;Projects!$C$2+Projects!$D$2),Projects!$B$2*(Assumptions!$B$10+Assumptions!$B$11+Assumptions!$B$12)/Projects!$D$2*0.95,0)-IF(AND(Projects!$G$2="Yes",R$3=Projects!$C$2+Projects!$D$2-1),Projects!$B$2*(Assumptions!$B$10+Assumptions!$B$11+Assumptions!$B$12)*0.05,0)</f>
        <v>0</v>
      </c>
      <c r="S13" s="19" t="n">
        <f aca="false">IF(AND(Projects!$G$2="Yes",S$3&gt;=Projects!$C$2,S$3&lt;Projects!$C$2+Projects!$D$2),Projects!$B$2*INDEX(Curves!$B$6:$AR$6,1,S$3-Projects!$C$2+1),0)-IF(AND(Projects!$G$2="Yes",S$3&gt;=Projects!$C$2,S$3&lt;Projects!$C$2+Projects!$D$2),Projects!$B$2*(Assumptions!$B$10+Assumptions!$B$11+Assumptions!$B$12)/Projects!$D$2*0.95,0)-IF(AND(Projects!$G$2="Yes",S$3=Projects!$C$2+Projects!$D$2-1),Projects!$B$2*(Assumptions!$B$10+Assumptions!$B$11+Assumptions!$B$12)*0.05,0)</f>
        <v>0</v>
      </c>
      <c r="T13" s="19" t="n">
        <f aca="false">IF(AND(Projects!$G$2="Yes",T$3&gt;=Projects!$C$2,T$3&lt;Projects!$C$2+Projects!$D$2),Projects!$B$2*INDEX(Curves!$B$6:$AR$6,1,T$3-Projects!$C$2+1),0)-IF(AND(Projects!$G$2="Yes",T$3&gt;=Projects!$C$2,T$3&lt;Projects!$C$2+Projects!$D$2),Projects!$B$2*(Assumptions!$B$10+Assumptions!$B$11+Assumptions!$B$12)/Projects!$D$2*0.95,0)-IF(AND(Projects!$G$2="Yes",T$3=Projects!$C$2+Projects!$D$2-1),Projects!$B$2*(Assumptions!$B$10+Assumptions!$B$11+Assumptions!$B$12)*0.05,0)</f>
        <v>0</v>
      </c>
      <c r="U13" s="19" t="n">
        <f aca="false">IF(AND(Projects!$G$2="Yes",U$3&gt;=Projects!$C$2,U$3&lt;Projects!$C$2+Projects!$D$2),Projects!$B$2*INDEX(Curves!$B$6:$AR$6,1,U$3-Projects!$C$2+1),0)-IF(AND(Projects!$G$2="Yes",U$3&gt;=Projects!$C$2,U$3&lt;Projects!$C$2+Projects!$D$2),Projects!$B$2*(Assumptions!$B$10+Assumptions!$B$11+Assumptions!$B$12)/Projects!$D$2*0.95,0)-IF(AND(Projects!$G$2="Yes",U$3=Projects!$C$2+Projects!$D$2-1),Projects!$B$2*(Assumptions!$B$10+Assumptions!$B$11+Assumptions!$B$12)*0.05,0)</f>
        <v>0</v>
      </c>
      <c r="V13" s="19" t="n">
        <f aca="false">IF(AND(Projects!$G$2="Yes",V$3&gt;=Projects!$C$2,V$3&lt;Projects!$C$2+Projects!$D$2),Projects!$B$2*INDEX(Curves!$B$6:$AR$6,1,V$3-Projects!$C$2+1),0)-IF(AND(Projects!$G$2="Yes",V$3&gt;=Projects!$C$2,V$3&lt;Projects!$C$2+Projects!$D$2),Projects!$B$2*(Assumptions!$B$10+Assumptions!$B$11+Assumptions!$B$12)/Projects!$D$2*0.95,0)-IF(AND(Projects!$G$2="Yes",V$3=Projects!$C$2+Projects!$D$2-1),Projects!$B$2*(Assumptions!$B$10+Assumptions!$B$11+Assumptions!$B$12)*0.05,0)</f>
        <v>0</v>
      </c>
      <c r="W13" s="19" t="n">
        <f aca="false">IF(AND(Projects!$G$2="Yes",W$3&gt;=Projects!$C$2,W$3&lt;Projects!$C$2+Projects!$D$2),Projects!$B$2*INDEX(Curves!$B$6:$AR$6,1,W$3-Projects!$C$2+1),0)-IF(AND(Projects!$G$2="Yes",W$3&gt;=Projects!$C$2,W$3&lt;Projects!$C$2+Projects!$D$2),Projects!$B$2*(Assumptions!$B$10+Assumptions!$B$11+Assumptions!$B$12)/Projects!$D$2*0.95,0)-IF(AND(Projects!$G$2="Yes",W$3=Projects!$C$2+Projects!$D$2-1),Projects!$B$2*(Assumptions!$B$10+Assumptions!$B$11+Assumptions!$B$12)*0.05,0)</f>
        <v>0</v>
      </c>
      <c r="X13" s="19" t="n">
        <f aca="false">IF(AND(Projects!$G$2="Yes",X$3&gt;=Projects!$C$2,X$3&lt;Projects!$C$2+Projects!$D$2),Projects!$B$2*INDEX(Curves!$B$6:$AR$6,1,X$3-Projects!$C$2+1),0)-IF(AND(Projects!$G$2="Yes",X$3&gt;=Projects!$C$2,X$3&lt;Projects!$C$2+Projects!$D$2),Projects!$B$2*(Assumptions!$B$10+Assumptions!$B$11+Assumptions!$B$12)/Projects!$D$2*0.95,0)-IF(AND(Projects!$G$2="Yes",X$3=Projects!$C$2+Projects!$D$2-1),Projects!$B$2*(Assumptions!$B$10+Assumptions!$B$11+Assumptions!$B$12)*0.05,0)</f>
        <v>0</v>
      </c>
      <c r="Y13" s="19" t="n">
        <f aca="false">IF(AND(Projects!$G$2="Yes",Y$3&gt;=Projects!$C$2,Y$3&lt;Projects!$C$2+Projects!$D$2),Projects!$B$2*INDEX(Curves!$B$6:$AR$6,1,Y$3-Projects!$C$2+1),0)-IF(AND(Projects!$G$2="Yes",Y$3&gt;=Projects!$C$2,Y$3&lt;Projects!$C$2+Projects!$D$2),Projects!$B$2*(Assumptions!$B$10+Assumptions!$B$11+Assumptions!$B$12)/Projects!$D$2*0.95,0)-IF(AND(Projects!$G$2="Yes",Y$3=Projects!$C$2+Projects!$D$2-1),Projects!$B$2*(Assumptions!$B$10+Assumptions!$B$11+Assumptions!$B$12)*0.05,0)</f>
        <v>0</v>
      </c>
      <c r="Z13" s="19" t="n">
        <f aca="false">IF(AND(Projects!$G$2="Yes",Z$3&gt;=Projects!$C$2,Z$3&lt;Projects!$C$2+Projects!$D$2),Projects!$B$2*INDEX(Curves!$B$6:$AR$6,1,Z$3-Projects!$C$2+1),0)-IF(AND(Projects!$G$2="Yes",Z$3&gt;=Projects!$C$2,Z$3&lt;Projects!$C$2+Projects!$D$2),Projects!$B$2*(Assumptions!$B$10+Assumptions!$B$11+Assumptions!$B$12)/Projects!$D$2*0.95,0)-IF(AND(Projects!$G$2="Yes",Z$3=Projects!$C$2+Projects!$D$2-1),Projects!$B$2*(Assumptions!$B$10+Assumptions!$B$11+Assumptions!$B$12)*0.05,0)</f>
        <v>0</v>
      </c>
      <c r="AA13" s="19" t="n">
        <f aca="false">IF(AND(Projects!$G$2="Yes",AA$3&gt;=Projects!$C$2,AA$3&lt;Projects!$C$2+Projects!$D$2),Projects!$B$2*INDEX(Curves!$B$6:$AR$6,1,AA$3-Projects!$C$2+1),0)-IF(AND(Projects!$G$2="Yes",AA$3&gt;=Projects!$C$2,AA$3&lt;Projects!$C$2+Projects!$D$2),Projects!$B$2*(Assumptions!$B$10+Assumptions!$B$11+Assumptions!$B$12)/Projects!$D$2*0.95,0)-IF(AND(Projects!$G$2="Yes",AA$3=Projects!$C$2+Projects!$D$2-1),Projects!$B$2*(Assumptions!$B$10+Assumptions!$B$11+Assumptions!$B$12)*0.05,0)</f>
        <v>0</v>
      </c>
      <c r="AB13" s="19" t="n">
        <f aca="false">IF(AND(Projects!$G$2="Yes",AB$3&gt;=Projects!$C$2,AB$3&lt;Projects!$C$2+Projects!$D$2),Projects!$B$2*INDEX(Curves!$B$6:$AR$6,1,AB$3-Projects!$C$2+1),0)-IF(AND(Projects!$G$2="Yes",AB$3&gt;=Projects!$C$2,AB$3&lt;Projects!$C$2+Projects!$D$2),Projects!$B$2*(Assumptions!$B$10+Assumptions!$B$11+Assumptions!$B$12)/Projects!$D$2*0.95,0)-IF(AND(Projects!$G$2="Yes",AB$3=Projects!$C$2+Projects!$D$2-1),Projects!$B$2*(Assumptions!$B$10+Assumptions!$B$11+Assumptions!$B$12)*0.05,0)</f>
        <v>0</v>
      </c>
      <c r="AC13" s="19" t="n">
        <f aca="false">IF(AND(Projects!$G$2="Yes",AC$3&gt;=Projects!$C$2,AC$3&lt;Projects!$C$2+Projects!$D$2),Projects!$B$2*INDEX(Curves!$B$6:$AR$6,1,AC$3-Projects!$C$2+1),0)-IF(AND(Projects!$G$2="Yes",AC$3&gt;=Projects!$C$2,AC$3&lt;Projects!$C$2+Projects!$D$2),Projects!$B$2*(Assumptions!$B$10+Assumptions!$B$11+Assumptions!$B$12)/Projects!$D$2*0.95,0)-IF(AND(Projects!$G$2="Yes",AC$3=Projects!$C$2+Projects!$D$2-1),Projects!$B$2*(Assumptions!$B$10+Assumptions!$B$11+Assumptions!$B$12)*0.05,0)</f>
        <v>0</v>
      </c>
      <c r="AD13" s="19" t="n">
        <f aca="false">IF(AND(Projects!$G$2="Yes",AD$3&gt;=Projects!$C$2,AD$3&lt;Projects!$C$2+Projects!$D$2),Projects!$B$2*INDEX(Curves!$B$6:$AR$6,1,AD$3-Projects!$C$2+1),0)-IF(AND(Projects!$G$2="Yes",AD$3&gt;=Projects!$C$2,AD$3&lt;Projects!$C$2+Projects!$D$2),Projects!$B$2*(Assumptions!$B$10+Assumptions!$B$11+Assumptions!$B$12)/Projects!$D$2*0.95,0)-IF(AND(Projects!$G$2="Yes",AD$3=Projects!$C$2+Projects!$D$2-1),Projects!$B$2*(Assumptions!$B$10+Assumptions!$B$11+Assumptions!$B$12)*0.05,0)</f>
        <v>0</v>
      </c>
      <c r="AE13" s="19" t="n">
        <f aca="false">IF(AND(Projects!$G$2="Yes",AE$3&gt;=Projects!$C$2,AE$3&lt;Projects!$C$2+Projects!$D$2),Projects!$B$2*INDEX(Curves!$B$6:$AR$6,1,AE$3-Projects!$C$2+1),0)-IF(AND(Projects!$G$2="Yes",AE$3&gt;=Projects!$C$2,AE$3&lt;Projects!$C$2+Projects!$D$2),Projects!$B$2*(Assumptions!$B$10+Assumptions!$B$11+Assumptions!$B$12)/Projects!$D$2*0.95,0)-IF(AND(Projects!$G$2="Yes",AE$3=Projects!$C$2+Projects!$D$2-1),Projects!$B$2*(Assumptions!$B$10+Assumptions!$B$11+Assumptions!$B$12)*0.05,0)</f>
        <v>0</v>
      </c>
      <c r="AF13" s="19" t="n">
        <f aca="false">IF(AND(Projects!$G$2="Yes",AF$3&gt;=Projects!$C$2,AF$3&lt;Projects!$C$2+Projects!$D$2),Projects!$B$2*INDEX(Curves!$B$6:$AR$6,1,AF$3-Projects!$C$2+1),0)-IF(AND(Projects!$G$2="Yes",AF$3&gt;=Projects!$C$2,AF$3&lt;Projects!$C$2+Projects!$D$2),Projects!$B$2*(Assumptions!$B$10+Assumptions!$B$11+Assumptions!$B$12)/Projects!$D$2*0.95,0)-IF(AND(Projects!$G$2="Yes",AF$3=Projects!$C$2+Projects!$D$2-1),Projects!$B$2*(Assumptions!$B$10+Assumptions!$B$11+Assumptions!$B$12)*0.05,0)</f>
        <v>0</v>
      </c>
      <c r="AG13" s="19" t="n">
        <f aca="false">IF(AND(Projects!$G$2="Yes",AG$3&gt;=Projects!$C$2,AG$3&lt;Projects!$C$2+Projects!$D$2),Projects!$B$2*INDEX(Curves!$B$6:$AR$6,1,AG$3-Projects!$C$2+1),0)-IF(AND(Projects!$G$2="Yes",AG$3&gt;=Projects!$C$2,AG$3&lt;Projects!$C$2+Projects!$D$2),Projects!$B$2*(Assumptions!$B$10+Assumptions!$B$11+Assumptions!$B$12)/Projects!$D$2*0.95,0)-IF(AND(Projects!$G$2="Yes",AG$3=Projects!$C$2+Projects!$D$2-1),Projects!$B$2*(Assumptions!$B$10+Assumptions!$B$11+Assumptions!$B$12)*0.05,0)</f>
        <v>0</v>
      </c>
      <c r="AH13" s="19" t="n">
        <f aca="false">IF(AND(Projects!$G$2="Yes",AH$3&gt;=Projects!$C$2,AH$3&lt;Projects!$C$2+Projects!$D$2),Projects!$B$2*INDEX(Curves!$B$6:$AR$6,1,AH$3-Projects!$C$2+1),0)-IF(AND(Projects!$G$2="Yes",AH$3&gt;=Projects!$C$2,AH$3&lt;Projects!$C$2+Projects!$D$2),Projects!$B$2*(Assumptions!$B$10+Assumptions!$B$11+Assumptions!$B$12)/Projects!$D$2*0.95,0)-IF(AND(Projects!$G$2="Yes",AH$3=Projects!$C$2+Projects!$D$2-1),Projects!$B$2*(Assumptions!$B$10+Assumptions!$B$11+Assumptions!$B$12)*0.05,0)</f>
        <v>0</v>
      </c>
      <c r="AI13" s="19" t="n">
        <f aca="false">IF(AND(Projects!$G$2="Yes",AI$3&gt;=Projects!$C$2,AI$3&lt;Projects!$C$2+Projects!$D$2),Projects!$B$2*INDEX(Curves!$B$6:$AR$6,1,AI$3-Projects!$C$2+1),0)-IF(AND(Projects!$G$2="Yes",AI$3&gt;=Projects!$C$2,AI$3&lt;Projects!$C$2+Projects!$D$2),Projects!$B$2*(Assumptions!$B$10+Assumptions!$B$11+Assumptions!$B$12)/Projects!$D$2*0.95,0)-IF(AND(Projects!$G$2="Yes",AI$3=Projects!$C$2+Projects!$D$2-1),Projects!$B$2*(Assumptions!$B$10+Assumptions!$B$11+Assumptions!$B$12)*0.05,0)</f>
        <v>0</v>
      </c>
      <c r="AJ13" s="19" t="n">
        <f aca="false">IF(AND(Projects!$G$2="Yes",AJ$3&gt;=Projects!$C$2,AJ$3&lt;Projects!$C$2+Projects!$D$2),Projects!$B$2*INDEX(Curves!$B$6:$AR$6,1,AJ$3-Projects!$C$2+1),0)-IF(AND(Projects!$G$2="Yes",AJ$3&gt;=Projects!$C$2,AJ$3&lt;Projects!$C$2+Projects!$D$2),Projects!$B$2*(Assumptions!$B$10+Assumptions!$B$11+Assumptions!$B$12)/Projects!$D$2*0.95,0)-IF(AND(Projects!$G$2="Yes",AJ$3=Projects!$C$2+Projects!$D$2-1),Projects!$B$2*(Assumptions!$B$10+Assumptions!$B$11+Assumptions!$B$12)*0.05,0)</f>
        <v>0</v>
      </c>
      <c r="AK13" s="19" t="n">
        <f aca="false">IF(AND(Projects!$G$2="Yes",AK$3&gt;=Projects!$C$2,AK$3&lt;Projects!$C$2+Projects!$D$2),Projects!$B$2*INDEX(Curves!$B$6:$AR$6,1,AK$3-Projects!$C$2+1),0)-IF(AND(Projects!$G$2="Yes",AK$3&gt;=Projects!$C$2,AK$3&lt;Projects!$C$2+Projects!$D$2),Projects!$B$2*(Assumptions!$B$10+Assumptions!$B$11+Assumptions!$B$12)/Projects!$D$2*0.95,0)-IF(AND(Projects!$G$2="Yes",AK$3=Projects!$C$2+Projects!$D$2-1),Projects!$B$2*(Assumptions!$B$10+Assumptions!$B$11+Assumptions!$B$12)*0.05,0)</f>
        <v>0</v>
      </c>
      <c r="AL13" s="19" t="n">
        <f aca="false">IF(AND(Projects!$G$2="Yes",AL$3&gt;=Projects!$C$2,AL$3&lt;Projects!$C$2+Projects!$D$2),Projects!$B$2*INDEX(Curves!$B$6:$AR$6,1,AL$3-Projects!$C$2+1),0)-IF(AND(Projects!$G$2="Yes",AL$3&gt;=Projects!$C$2,AL$3&lt;Projects!$C$2+Projects!$D$2),Projects!$B$2*(Assumptions!$B$10+Assumptions!$B$11+Assumptions!$B$12)/Projects!$D$2*0.95,0)-IF(AND(Projects!$G$2="Yes",AL$3=Projects!$C$2+Projects!$D$2-1),Projects!$B$2*(Assumptions!$B$10+Assumptions!$B$11+Assumptions!$B$12)*0.05,0)</f>
        <v>0</v>
      </c>
      <c r="AM13" s="19" t="n">
        <f aca="false">IF(AND(Projects!$G$2="Yes",AM$3&gt;=Projects!$C$2,AM$3&lt;Projects!$C$2+Projects!$D$2),Projects!$B$2*INDEX(Curves!$B$6:$AR$6,1,AM$3-Projects!$C$2+1),0)-IF(AND(Projects!$G$2="Yes",AM$3&gt;=Projects!$C$2,AM$3&lt;Projects!$C$2+Projects!$D$2),Projects!$B$2*(Assumptions!$B$10+Assumptions!$B$11+Assumptions!$B$12)/Projects!$D$2*0.95,0)-IF(AND(Projects!$G$2="Yes",AM$3=Projects!$C$2+Projects!$D$2-1),Projects!$B$2*(Assumptions!$B$10+Assumptions!$B$11+Assumptions!$B$12)*0.05,0)</f>
        <v>0</v>
      </c>
      <c r="AN13" s="19" t="n">
        <f aca="false">IF(AND(Projects!$G$2="Yes",AN$3&gt;=Projects!$C$2,AN$3&lt;Projects!$C$2+Projects!$D$2),Projects!$B$2*INDEX(Curves!$B$6:$AR$6,1,AN$3-Projects!$C$2+1),0)-IF(AND(Projects!$G$2="Yes",AN$3&gt;=Projects!$C$2,AN$3&lt;Projects!$C$2+Projects!$D$2),Projects!$B$2*(Assumptions!$B$10+Assumptions!$B$11+Assumptions!$B$12)/Projects!$D$2*0.95,0)-IF(AND(Projects!$G$2="Yes",AN$3=Projects!$C$2+Projects!$D$2-1),Projects!$B$2*(Assumptions!$B$10+Assumptions!$B$11+Assumptions!$B$12)*0.05,0)</f>
        <v>0</v>
      </c>
      <c r="AO13" s="19" t="n">
        <f aca="false">IF(AND(Projects!$G$2="Yes",AO$3&gt;=Projects!$C$2,AO$3&lt;Projects!$C$2+Projects!$D$2),Projects!$B$2*INDEX(Curves!$B$6:$AR$6,1,AO$3-Projects!$C$2+1),0)-IF(AND(Projects!$G$2="Yes",AO$3&gt;=Projects!$C$2,AO$3&lt;Projects!$C$2+Projects!$D$2),Projects!$B$2*(Assumptions!$B$10+Assumptions!$B$11+Assumptions!$B$12)/Projects!$D$2*0.95,0)-IF(AND(Projects!$G$2="Yes",AO$3=Projects!$C$2+Projects!$D$2-1),Projects!$B$2*(Assumptions!$B$10+Assumptions!$B$11+Assumptions!$B$12)*0.05,0)</f>
        <v>0</v>
      </c>
      <c r="AP13" s="19" t="n">
        <f aca="false">IF(AND(Projects!$G$2="Yes",AP$3&gt;=Projects!$C$2,AP$3&lt;Projects!$C$2+Projects!$D$2),Projects!$B$2*INDEX(Curves!$B$6:$AR$6,1,AP$3-Projects!$C$2+1),0)-IF(AND(Projects!$G$2="Yes",AP$3&gt;=Projects!$C$2,AP$3&lt;Projects!$C$2+Projects!$D$2),Projects!$B$2*(Assumptions!$B$10+Assumptions!$B$11+Assumptions!$B$12)/Projects!$D$2*0.95,0)-IF(AND(Projects!$G$2="Yes",AP$3=Projects!$C$2+Projects!$D$2-1),Projects!$B$2*(Assumptions!$B$10+Assumptions!$B$11+Assumptions!$B$12)*0.05,0)</f>
        <v>0</v>
      </c>
      <c r="AQ13" s="19" t="n">
        <f aca="false">IF(AND(Projects!$G$2="Yes",AQ$3&gt;=Projects!$C$2,AQ$3&lt;Projects!$C$2+Projects!$D$2),Projects!$B$2*INDEX(Curves!$B$6:$AR$6,1,AQ$3-Projects!$C$2+1),0)-IF(AND(Projects!$G$2="Yes",AQ$3&gt;=Projects!$C$2,AQ$3&lt;Projects!$C$2+Projects!$D$2),Projects!$B$2*(Assumptions!$B$10+Assumptions!$B$11+Assumptions!$B$12)/Projects!$D$2*0.95,0)-IF(AND(Projects!$G$2="Yes",AQ$3=Projects!$C$2+Projects!$D$2-1),Projects!$B$2*(Assumptions!$B$10+Assumptions!$B$11+Assumptions!$B$12)*0.05,0)</f>
        <v>0</v>
      </c>
      <c r="AR13" s="19" t="n">
        <f aca="false">IF(AND(Projects!$G$2="Yes",AR$3&gt;=Projects!$C$2,AR$3&lt;Projects!$C$2+Projects!$D$2),Projects!$B$2*INDEX(Curves!$B$6:$AR$6,1,AR$3-Projects!$C$2+1),0)-IF(AND(Projects!$G$2="Yes",AR$3&gt;=Projects!$C$2,AR$3&lt;Projects!$C$2+Projects!$D$2),Projects!$B$2*(Assumptions!$B$10+Assumptions!$B$11+Assumptions!$B$12)/Projects!$D$2*0.95,0)-IF(AND(Projects!$G$2="Yes",AR$3=Projects!$C$2+Projects!$D$2-1),Projects!$B$2*(Assumptions!$B$10+Assumptions!$B$11+Assumptions!$B$12)*0.05,0)</f>
        <v>0</v>
      </c>
      <c r="AS13" s="19" t="n">
        <f aca="false">IF(AND(Projects!$G$2="Yes",AS$3&gt;=Projects!$C$2,AS$3&lt;Projects!$C$2+Projects!$D$2),Projects!$B$2*INDEX(Curves!$B$6:$AR$6,1,AS$3-Projects!$C$2+1),0)-IF(AND(Projects!$G$2="Yes",AS$3&gt;=Projects!$C$2,AS$3&lt;Projects!$C$2+Projects!$D$2),Projects!$B$2*(Assumptions!$B$10+Assumptions!$B$11+Assumptions!$B$12)/Projects!$D$2*0.95,0)-IF(AND(Projects!$G$2="Yes",AS$3=Projects!$C$2+Projects!$D$2-1),Projects!$B$2*(Assumptions!$B$10+Assumptions!$B$11+Assumptions!$B$12)*0.05,0)</f>
        <v>0</v>
      </c>
      <c r="AT13" s="19" t="n">
        <f aca="false">IF(AND(Projects!$G$2="Yes",AT$3&gt;=Projects!$C$2,AT$3&lt;Projects!$C$2+Projects!$D$2),Projects!$B$2*INDEX(Curves!$B$6:$AR$6,1,AT$3-Projects!$C$2+1),0)-IF(AND(Projects!$G$2="Yes",AT$3&gt;=Projects!$C$2,AT$3&lt;Projects!$C$2+Projects!$D$2),Projects!$B$2*(Assumptions!$B$10+Assumptions!$B$11+Assumptions!$B$12)/Projects!$D$2*0.95,0)-IF(AND(Projects!$G$2="Yes",AT$3=Projects!$C$2+Projects!$D$2-1),Projects!$B$2*(Assumptions!$B$10+Assumptions!$B$11+Assumptions!$B$12)*0.05,0)</f>
        <v>0</v>
      </c>
      <c r="AU13" s="19" t="n">
        <f aca="false">IF(AND(Projects!$G$2="Yes",AU$3&gt;=Projects!$C$2,AU$3&lt;Projects!$C$2+Projects!$D$2),Projects!$B$2*INDEX(Curves!$B$6:$AR$6,1,AU$3-Projects!$C$2+1),0)-IF(AND(Projects!$G$2="Yes",AU$3&gt;=Projects!$C$2,AU$3&lt;Projects!$C$2+Projects!$D$2),Projects!$B$2*(Assumptions!$B$10+Assumptions!$B$11+Assumptions!$B$12)/Projects!$D$2*0.95,0)-IF(AND(Projects!$G$2="Yes",AU$3=Projects!$C$2+Projects!$D$2-1),Projects!$B$2*(Assumptions!$B$10+Assumptions!$B$11+Assumptions!$B$12)*0.05,0)</f>
        <v>0</v>
      </c>
      <c r="AV13" s="19" t="n">
        <f aca="false">IF(AND(Projects!$G$2="Yes",AV$3&gt;=Projects!$C$2,AV$3&lt;Projects!$C$2+Projects!$D$2),Projects!$B$2*INDEX(Curves!$B$6:$AR$6,1,AV$3-Projects!$C$2+1),0)-IF(AND(Projects!$G$2="Yes",AV$3&gt;=Projects!$C$2,AV$3&lt;Projects!$C$2+Projects!$D$2),Projects!$B$2*(Assumptions!$B$10+Assumptions!$B$11+Assumptions!$B$12)/Projects!$D$2*0.95,0)-IF(AND(Projects!$G$2="Yes",AV$3=Projects!$C$2+Projects!$D$2-1),Projects!$B$2*(Assumptions!$B$10+Assumptions!$B$11+Assumptions!$B$12)*0.05,0)</f>
        <v>0</v>
      </c>
      <c r="AW13" s="19" t="n">
        <f aca="false">IF(AND(Projects!$G$2="Yes",AW$3&gt;=Projects!$C$2,AW$3&lt;Projects!$C$2+Projects!$D$2),Projects!$B$2*INDEX(Curves!$B$6:$AR$6,1,AW$3-Projects!$C$2+1),0)-IF(AND(Projects!$G$2="Yes",AW$3&gt;=Projects!$C$2,AW$3&lt;Projects!$C$2+Projects!$D$2),Projects!$B$2*(Assumptions!$B$10+Assumptions!$B$11+Assumptions!$B$12)/Projects!$D$2*0.95,0)-IF(AND(Projects!$G$2="Yes",AW$3=Projects!$C$2+Projects!$D$2-1),Projects!$B$2*(Assumptions!$B$10+Assumptions!$B$11+Assumptions!$B$12)*0.05,0)</f>
        <v>0</v>
      </c>
      <c r="AX13" s="19" t="n">
        <f aca="false">IF(AND(Projects!$G$2="Yes",AX$3&gt;=Projects!$C$2,AX$3&lt;Projects!$C$2+Projects!$D$2),Projects!$B$2*INDEX(Curves!$B$6:$AR$6,1,AX$3-Projects!$C$2+1),0)-IF(AND(Projects!$G$2="Yes",AX$3&gt;=Projects!$C$2,AX$3&lt;Projects!$C$2+Projects!$D$2),Projects!$B$2*(Assumptions!$B$10+Assumptions!$B$11+Assumptions!$B$12)/Projects!$D$2*0.95,0)-IF(AND(Projects!$G$2="Yes",AX$3=Projects!$C$2+Projects!$D$2-1),Projects!$B$2*(Assumptions!$B$10+Assumptions!$B$11+Assumptions!$B$12)*0.05,0)</f>
        <v>0</v>
      </c>
      <c r="AY13" s="19" t="n">
        <f aca="false">IF(AND(Projects!$G$2="Yes",AY$3&gt;=Projects!$C$2,AY$3&lt;Projects!$C$2+Projects!$D$2),Projects!$B$2*INDEX(Curves!$B$6:$AR$6,1,AY$3-Projects!$C$2+1),0)-IF(AND(Projects!$G$2="Yes",AY$3&gt;=Projects!$C$2,AY$3&lt;Projects!$C$2+Projects!$D$2),Projects!$B$2*(Assumptions!$B$10+Assumptions!$B$11+Assumptions!$B$12)/Projects!$D$2*0.95,0)-IF(AND(Projects!$G$2="Yes",AY$3=Projects!$C$2+Projects!$D$2-1),Projects!$B$2*(Assumptions!$B$10+Assumptions!$B$11+Assumptions!$B$12)*0.05,0)</f>
        <v>0</v>
      </c>
      <c r="AZ13" s="19" t="n">
        <f aca="false">IF(AND(Projects!$G$2="Yes",AZ$3&gt;=Projects!$C$2,AZ$3&lt;Projects!$C$2+Projects!$D$2),Projects!$B$2*INDEX(Curves!$B$6:$AR$6,1,AZ$3-Projects!$C$2+1),0)-IF(AND(Projects!$G$2="Yes",AZ$3&gt;=Projects!$C$2,AZ$3&lt;Projects!$C$2+Projects!$D$2),Projects!$B$2*(Assumptions!$B$10+Assumptions!$B$11+Assumptions!$B$12)/Projects!$D$2*0.95,0)-IF(AND(Projects!$G$2="Yes",AZ$3=Projects!$C$2+Projects!$D$2-1),Projects!$B$2*(Assumptions!$B$10+Assumptions!$B$11+Assumptions!$B$12)*0.05,0)</f>
        <v>0</v>
      </c>
      <c r="BA13" s="19" t="n">
        <f aca="false">IF(AND(Projects!$G$2="Yes",BA$3&gt;=Projects!$C$2,BA$3&lt;Projects!$C$2+Projects!$D$2),Projects!$B$2*INDEX(Curves!$B$6:$AR$6,1,BA$3-Projects!$C$2+1),0)-IF(AND(Projects!$G$2="Yes",BA$3&gt;=Projects!$C$2,BA$3&lt;Projects!$C$2+Projects!$D$2),Projects!$B$2*(Assumptions!$B$10+Assumptions!$B$11+Assumptions!$B$12)/Projects!$D$2*0.95,0)-IF(AND(Projects!$G$2="Yes",BA$3=Projects!$C$2+Projects!$D$2-1),Projects!$B$2*(Assumptions!$B$10+Assumptions!$B$11+Assumptions!$B$12)*0.05,0)</f>
        <v>0</v>
      </c>
      <c r="BB13" s="19" t="n">
        <f aca="false">IF(AND(Projects!$G$2="Yes",BB$3&gt;=Projects!$C$2,BB$3&lt;Projects!$C$2+Projects!$D$2),Projects!$B$2*INDEX(Curves!$B$6:$AR$6,1,BB$3-Projects!$C$2+1),0)-IF(AND(Projects!$G$2="Yes",BB$3&gt;=Projects!$C$2,BB$3&lt;Projects!$C$2+Projects!$D$2),Projects!$B$2*(Assumptions!$B$10+Assumptions!$B$11+Assumptions!$B$12)/Projects!$D$2*0.95,0)-IF(AND(Projects!$G$2="Yes",BB$3=Projects!$C$2+Projects!$D$2-1),Projects!$B$2*(Assumptions!$B$10+Assumptions!$B$11+Assumptions!$B$12)*0.05,0)</f>
        <v>0</v>
      </c>
      <c r="BC13" s="19" t="n">
        <f aca="false">IF(AND(Projects!$G$2="Yes",BC$3&gt;=Projects!$C$2,BC$3&lt;Projects!$C$2+Projects!$D$2),Projects!$B$2*INDEX(Curves!$B$6:$AR$6,1,BC$3-Projects!$C$2+1),0)-IF(AND(Projects!$G$2="Yes",BC$3&gt;=Projects!$C$2,BC$3&lt;Projects!$C$2+Projects!$D$2),Projects!$B$2*(Assumptions!$B$10+Assumptions!$B$11+Assumptions!$B$12)/Projects!$D$2*0.95,0)-IF(AND(Projects!$G$2="Yes",BC$3=Projects!$C$2+Projects!$D$2-1),Projects!$B$2*(Assumptions!$B$10+Assumptions!$B$11+Assumptions!$B$12)*0.05,0)</f>
        <v>0</v>
      </c>
      <c r="BD13" s="19" t="n">
        <f aca="false">IF(AND(Projects!$G$2="Yes",BD$3&gt;=Projects!$C$2,BD$3&lt;Projects!$C$2+Projects!$D$2),Projects!$B$2*INDEX(Curves!$B$6:$AR$6,1,BD$3-Projects!$C$2+1),0)-IF(AND(Projects!$G$2="Yes",BD$3&gt;=Projects!$C$2,BD$3&lt;Projects!$C$2+Projects!$D$2),Projects!$B$2*(Assumptions!$B$10+Assumptions!$B$11+Assumptions!$B$12)/Projects!$D$2*0.95,0)-IF(AND(Projects!$G$2="Yes",BD$3=Projects!$C$2+Projects!$D$2-1),Projects!$B$2*(Assumptions!$B$10+Assumptions!$B$11+Assumptions!$B$12)*0.05,0)</f>
        <v>0</v>
      </c>
      <c r="BE13" s="19" t="n">
        <f aca="false">IF(AND(Projects!$G$2="Yes",BE$3&gt;=Projects!$C$2,BE$3&lt;Projects!$C$2+Projects!$D$2),Projects!$B$2*INDEX(Curves!$B$6:$AR$6,1,BE$3-Projects!$C$2+1),0)-IF(AND(Projects!$G$2="Yes",BE$3&gt;=Projects!$C$2,BE$3&lt;Projects!$C$2+Projects!$D$2),Projects!$B$2*(Assumptions!$B$10+Assumptions!$B$11+Assumptions!$B$12)/Projects!$D$2*0.95,0)-IF(AND(Projects!$G$2="Yes",BE$3=Projects!$C$2+Projects!$D$2-1),Projects!$B$2*(Assumptions!$B$10+Assumptions!$B$11+Assumptions!$B$12)*0.05,0)</f>
        <v>0</v>
      </c>
      <c r="BF13" s="19" t="n">
        <f aca="false">IF(AND(Projects!$G$2="Yes",BF$3&gt;=Projects!$C$2,BF$3&lt;Projects!$C$2+Projects!$D$2),Projects!$B$2*INDEX(Curves!$B$6:$AR$6,1,BF$3-Projects!$C$2+1),0)-IF(AND(Projects!$G$2="Yes",BF$3&gt;=Projects!$C$2,BF$3&lt;Projects!$C$2+Projects!$D$2),Projects!$B$2*(Assumptions!$B$10+Assumptions!$B$11+Assumptions!$B$12)/Projects!$D$2*0.95,0)-IF(AND(Projects!$G$2="Yes",BF$3=Projects!$C$2+Projects!$D$2-1),Projects!$B$2*(Assumptions!$B$10+Assumptions!$B$11+Assumptions!$B$12)*0.05,0)</f>
        <v>0</v>
      </c>
      <c r="BG13" s="19" t="n">
        <f aca="false">IF(AND(Projects!$G$2="Yes",BG$3&gt;=Projects!$C$2,BG$3&lt;Projects!$C$2+Projects!$D$2),Projects!$B$2*INDEX(Curves!$B$6:$AR$6,1,BG$3-Projects!$C$2+1),0)-IF(AND(Projects!$G$2="Yes",BG$3&gt;=Projects!$C$2,BG$3&lt;Projects!$C$2+Projects!$D$2),Projects!$B$2*(Assumptions!$B$10+Assumptions!$B$11+Assumptions!$B$12)/Projects!$D$2*0.95,0)-IF(AND(Projects!$G$2="Yes",BG$3=Projects!$C$2+Projects!$D$2-1),Projects!$B$2*(Assumptions!$B$10+Assumptions!$B$11+Assumptions!$B$12)*0.05,0)</f>
        <v>0</v>
      </c>
      <c r="BH13" s="19" t="n">
        <f aca="false">IF(AND(Projects!$G$2="Yes",BH$3&gt;=Projects!$C$2,BH$3&lt;Projects!$C$2+Projects!$D$2),Projects!$B$2*INDEX(Curves!$B$6:$AR$6,1,BH$3-Projects!$C$2+1),0)-IF(AND(Projects!$G$2="Yes",BH$3&gt;=Projects!$C$2,BH$3&lt;Projects!$C$2+Projects!$D$2),Projects!$B$2*(Assumptions!$B$10+Assumptions!$B$11+Assumptions!$B$12)/Projects!$D$2*0.95,0)-IF(AND(Projects!$G$2="Yes",BH$3=Projects!$C$2+Projects!$D$2-1),Projects!$B$2*(Assumptions!$B$10+Assumptions!$B$11+Assumptions!$B$12)*0.05,0)</f>
        <v>0</v>
      </c>
      <c r="BI13" s="19" t="n">
        <f aca="false">IF(AND(Projects!$G$2="Yes",BI$3&gt;=Projects!$C$2,BI$3&lt;Projects!$C$2+Projects!$D$2),Projects!$B$2*INDEX(Curves!$B$6:$AR$6,1,BI$3-Projects!$C$2+1),0)-IF(AND(Projects!$G$2="Yes",BI$3&gt;=Projects!$C$2,BI$3&lt;Projects!$C$2+Projects!$D$2),Projects!$B$2*(Assumptions!$B$10+Assumptions!$B$11+Assumptions!$B$12)/Projects!$D$2*0.95,0)-IF(AND(Projects!$G$2="Yes",BI$3=Projects!$C$2+Projects!$D$2-1),Projects!$B$2*(Assumptions!$B$10+Assumptions!$B$11+Assumptions!$B$12)*0.05,0)</f>
        <v>0</v>
      </c>
      <c r="BJ13" s="19" t="n">
        <f aca="false">IF(AND(Projects!$G$2="Yes",BJ$3&gt;=Projects!$C$2,BJ$3&lt;Projects!$C$2+Projects!$D$2),Projects!$B$2*INDEX(Curves!$B$6:$AR$6,1,BJ$3-Projects!$C$2+1),0)-IF(AND(Projects!$G$2="Yes",BJ$3&gt;=Projects!$C$2,BJ$3&lt;Projects!$C$2+Projects!$D$2),Projects!$B$2*(Assumptions!$B$10+Assumptions!$B$11+Assumptions!$B$12)/Projects!$D$2*0.95,0)-IF(AND(Projects!$G$2="Yes",BJ$3=Projects!$C$2+Projects!$D$2-1),Projects!$B$2*(Assumptions!$B$10+Assumptions!$B$11+Assumptions!$B$12)*0.05,0)</f>
        <v>0</v>
      </c>
      <c r="BK13" s="19" t="n">
        <f aca="false">IF(AND(Projects!$G$2="Yes",BK$3&gt;=Projects!$C$2,BK$3&lt;Projects!$C$2+Projects!$D$2),Projects!$B$2*INDEX(Curves!$B$6:$AR$6,1,BK$3-Projects!$C$2+1),0)-IF(AND(Projects!$G$2="Yes",BK$3&gt;=Projects!$C$2,BK$3&lt;Projects!$C$2+Projects!$D$2),Projects!$B$2*(Assumptions!$B$10+Assumptions!$B$11+Assumptions!$B$12)/Projects!$D$2*0.95,0)-IF(AND(Projects!$G$2="Yes",BK$3=Projects!$C$2+Projects!$D$2-1),Projects!$B$2*(Assumptions!$B$10+Assumptions!$B$11+Assumptions!$B$12)*0.05,0)</f>
        <v>0</v>
      </c>
      <c r="BL13" s="19" t="n">
        <f aca="false">IF(AND(Projects!$G$2="Yes",BL$3&gt;=Projects!$C$2,BL$3&lt;Projects!$C$2+Projects!$D$2),Projects!$B$2*INDEX(Curves!$B$6:$AR$6,1,BL$3-Projects!$C$2+1),0)-IF(AND(Projects!$G$2="Yes",BL$3&gt;=Projects!$C$2,BL$3&lt;Projects!$C$2+Projects!$D$2),Projects!$B$2*(Assumptions!$B$10+Assumptions!$B$11+Assumptions!$B$12)/Projects!$D$2*0.95,0)-IF(AND(Projects!$G$2="Yes",BL$3=Projects!$C$2+Projects!$D$2-1),Projects!$B$2*(Assumptions!$B$10+Assumptions!$B$11+Assumptions!$B$12)*0.05,0)</f>
        <v>0</v>
      </c>
      <c r="BM13" s="19" t="n">
        <f aca="false">IF(AND(Projects!$G$2="Yes",BM$3&gt;=Projects!$C$2,BM$3&lt;Projects!$C$2+Projects!$D$2),Projects!$B$2*INDEX(Curves!$B$6:$AR$6,1,BM$3-Projects!$C$2+1),0)-IF(AND(Projects!$G$2="Yes",BM$3&gt;=Projects!$C$2,BM$3&lt;Projects!$C$2+Projects!$D$2),Projects!$B$2*(Assumptions!$B$10+Assumptions!$B$11+Assumptions!$B$12)/Projects!$D$2*0.95,0)-IF(AND(Projects!$G$2="Yes",BM$3=Projects!$C$2+Projects!$D$2-1),Projects!$B$2*(Assumptions!$B$10+Assumptions!$B$11+Assumptions!$B$12)*0.05,0)</f>
        <v>0</v>
      </c>
      <c r="BN13" s="19" t="n">
        <f aca="false">IF(AND(Projects!$G$2="Yes",BN$3&gt;=Projects!$C$2,BN$3&lt;Projects!$C$2+Projects!$D$2),Projects!$B$2*INDEX(Curves!$B$6:$AR$6,1,BN$3-Projects!$C$2+1),0)-IF(AND(Projects!$G$2="Yes",BN$3&gt;=Projects!$C$2,BN$3&lt;Projects!$C$2+Projects!$D$2),Projects!$B$2*(Assumptions!$B$10+Assumptions!$B$11+Assumptions!$B$12)/Projects!$D$2*0.95,0)-IF(AND(Projects!$G$2="Yes",BN$3=Projects!$C$2+Projects!$D$2-1),Projects!$B$2*(Assumptions!$B$10+Assumptions!$B$11+Assumptions!$B$12)*0.05,0)</f>
        <v>0</v>
      </c>
      <c r="BO13" s="19" t="n">
        <f aca="false">IF(AND(Projects!$G$2="Yes",BO$3&gt;=Projects!$C$2,BO$3&lt;Projects!$C$2+Projects!$D$2),Projects!$B$2*INDEX(Curves!$B$6:$AR$6,1,BO$3-Projects!$C$2+1),0)-IF(AND(Projects!$G$2="Yes",BO$3&gt;=Projects!$C$2,BO$3&lt;Projects!$C$2+Projects!$D$2),Projects!$B$2*(Assumptions!$B$10+Assumptions!$B$11+Assumptions!$B$12)/Projects!$D$2*0.95,0)-IF(AND(Projects!$G$2="Yes",BO$3=Projects!$C$2+Projects!$D$2-1),Projects!$B$2*(Assumptions!$B$10+Assumptions!$B$11+Assumptions!$B$12)*0.05,0)</f>
        <v>0</v>
      </c>
      <c r="BP13" s="19" t="n">
        <f aca="false">IF(AND(Projects!$G$2="Yes",BP$3&gt;=Projects!$C$2,BP$3&lt;Projects!$C$2+Projects!$D$2),Projects!$B$2*INDEX(Curves!$B$6:$AR$6,1,BP$3-Projects!$C$2+1),0)-IF(AND(Projects!$G$2="Yes",BP$3&gt;=Projects!$C$2,BP$3&lt;Projects!$C$2+Projects!$D$2),Projects!$B$2*(Assumptions!$B$10+Assumptions!$B$11+Assumptions!$B$12)/Projects!$D$2*0.95,0)-IF(AND(Projects!$G$2="Yes",BP$3=Projects!$C$2+Projects!$D$2-1),Projects!$B$2*(Assumptions!$B$10+Assumptions!$B$11+Assumptions!$B$12)*0.05,0)</f>
        <v>0</v>
      </c>
      <c r="BQ13" s="19" t="n">
        <f aca="false">IF(AND(Projects!$G$2="Yes",BQ$3&gt;=Projects!$C$2,BQ$3&lt;Projects!$C$2+Projects!$D$2),Projects!$B$2*INDEX(Curves!$B$6:$AR$6,1,BQ$3-Projects!$C$2+1),0)-IF(AND(Projects!$G$2="Yes",BQ$3&gt;=Projects!$C$2,BQ$3&lt;Projects!$C$2+Projects!$D$2),Projects!$B$2*(Assumptions!$B$10+Assumptions!$B$11+Assumptions!$B$12)/Projects!$D$2*0.95,0)-IF(AND(Projects!$G$2="Yes",BQ$3=Projects!$C$2+Projects!$D$2-1),Projects!$B$2*(Assumptions!$B$10+Assumptions!$B$11+Assumptions!$B$12)*0.05,0)</f>
        <v>0</v>
      </c>
      <c r="BR13" s="19" t="n">
        <f aca="false">IF(AND(Projects!$G$2="Yes",BR$3&gt;=Projects!$C$2,BR$3&lt;Projects!$C$2+Projects!$D$2),Projects!$B$2*INDEX(Curves!$B$6:$AR$6,1,BR$3-Projects!$C$2+1),0)-IF(AND(Projects!$G$2="Yes",BR$3&gt;=Projects!$C$2,BR$3&lt;Projects!$C$2+Projects!$D$2),Projects!$B$2*(Assumptions!$B$10+Assumptions!$B$11+Assumptions!$B$12)/Projects!$D$2*0.95,0)-IF(AND(Projects!$G$2="Yes",BR$3=Projects!$C$2+Projects!$D$2-1),Projects!$B$2*(Assumptions!$B$10+Assumptions!$B$11+Assumptions!$B$12)*0.05,0)</f>
        <v>0</v>
      </c>
      <c r="BS13" s="19" t="n">
        <f aca="false">IF(AND(Projects!$G$2="Yes",BS$3&gt;=Projects!$C$2,BS$3&lt;Projects!$C$2+Projects!$D$2),Projects!$B$2*INDEX(Curves!$B$6:$AR$6,1,BS$3-Projects!$C$2+1),0)-IF(AND(Projects!$G$2="Yes",BS$3&gt;=Projects!$C$2,BS$3&lt;Projects!$C$2+Projects!$D$2),Projects!$B$2*(Assumptions!$B$10+Assumptions!$B$11+Assumptions!$B$12)/Projects!$D$2*0.95,0)-IF(AND(Projects!$G$2="Yes",BS$3=Projects!$C$2+Projects!$D$2-1),Projects!$B$2*(Assumptions!$B$10+Assumptions!$B$11+Assumptions!$B$12)*0.05,0)</f>
        <v>0</v>
      </c>
      <c r="BT13" s="19" t="n">
        <f aca="false">IF(AND(Projects!$G$2="Yes",BT$3&gt;=Projects!$C$2,BT$3&lt;Projects!$C$2+Projects!$D$2),Projects!$B$2*INDEX(Curves!$B$6:$AR$6,1,BT$3-Projects!$C$2+1),0)-IF(AND(Projects!$G$2="Yes",BT$3&gt;=Projects!$C$2,BT$3&lt;Projects!$C$2+Projects!$D$2),Projects!$B$2*(Assumptions!$B$10+Assumptions!$B$11+Assumptions!$B$12)/Projects!$D$2*0.95,0)-IF(AND(Projects!$G$2="Yes",BT$3=Projects!$C$2+Projects!$D$2-1),Projects!$B$2*(Assumptions!$B$10+Assumptions!$B$11+Assumptions!$B$12)*0.05,0)</f>
        <v>0</v>
      </c>
      <c r="BU13" s="19" t="n">
        <f aca="false">IF(AND(Projects!$G$2="Yes",BU$3&gt;=Projects!$C$2,BU$3&lt;Projects!$C$2+Projects!$D$2),Projects!$B$2*INDEX(Curves!$B$6:$AR$6,1,BU$3-Projects!$C$2+1),0)-IF(AND(Projects!$G$2="Yes",BU$3&gt;=Projects!$C$2,BU$3&lt;Projects!$C$2+Projects!$D$2),Projects!$B$2*(Assumptions!$B$10+Assumptions!$B$11+Assumptions!$B$12)/Projects!$D$2*0.95,0)-IF(AND(Projects!$G$2="Yes",BU$3=Projects!$C$2+Projects!$D$2-1),Projects!$B$2*(Assumptions!$B$10+Assumptions!$B$11+Assumptions!$B$12)*0.05,0)</f>
        <v>0</v>
      </c>
      <c r="BV13" s="19" t="n">
        <f aca="false">IF(AND(Projects!$G$2="Yes",BV$3&gt;=Projects!$C$2,BV$3&lt;Projects!$C$2+Projects!$D$2),Projects!$B$2*INDEX(Curves!$B$6:$AR$6,1,BV$3-Projects!$C$2+1),0)-IF(AND(Projects!$G$2="Yes",BV$3&gt;=Projects!$C$2,BV$3&lt;Projects!$C$2+Projects!$D$2),Projects!$B$2*(Assumptions!$B$10+Assumptions!$B$11+Assumptions!$B$12)/Projects!$D$2*0.95,0)-IF(AND(Projects!$G$2="Yes",BV$3=Projects!$C$2+Projects!$D$2-1),Projects!$B$2*(Assumptions!$B$10+Assumptions!$B$11+Assumptions!$B$12)*0.05,0)</f>
        <v>0</v>
      </c>
      <c r="BW13" s="19" t="n">
        <f aca="false">IF(AND(Projects!$G$2="Yes",BW$3&gt;=Projects!$C$2,BW$3&lt;Projects!$C$2+Projects!$D$2),Projects!$B$2*INDEX(Curves!$B$6:$AR$6,1,BW$3-Projects!$C$2+1),0)-IF(AND(Projects!$G$2="Yes",BW$3&gt;=Projects!$C$2,BW$3&lt;Projects!$C$2+Projects!$D$2),Projects!$B$2*(Assumptions!$B$10+Assumptions!$B$11+Assumptions!$B$12)/Projects!$D$2*0.95,0)-IF(AND(Projects!$G$2="Yes",BW$3=Projects!$C$2+Projects!$D$2-1),Projects!$B$2*(Assumptions!$B$10+Assumptions!$B$11+Assumptions!$B$12)*0.05,0)</f>
        <v>0</v>
      </c>
      <c r="BX13" s="19" t="n">
        <f aca="false">IF(AND(Projects!$G$2="Yes",BX$3&gt;=Projects!$C$2,BX$3&lt;Projects!$C$2+Projects!$D$2),Projects!$B$2*INDEX(Curves!$B$6:$AR$6,1,BX$3-Projects!$C$2+1),0)-IF(AND(Projects!$G$2="Yes",BX$3&gt;=Projects!$C$2,BX$3&lt;Projects!$C$2+Projects!$D$2),Projects!$B$2*(Assumptions!$B$10+Assumptions!$B$11+Assumptions!$B$12)/Projects!$D$2*0.95,0)-IF(AND(Projects!$G$2="Yes",BX$3=Projects!$C$2+Projects!$D$2-1),Projects!$B$2*(Assumptions!$B$10+Assumptions!$B$11+Assumptions!$B$12)*0.05,0)</f>
        <v>0</v>
      </c>
      <c r="BY13" s="19" t="n">
        <f aca="false">IF(AND(Projects!$G$2="Yes",BY$3&gt;=Projects!$C$2,BY$3&lt;Projects!$C$2+Projects!$D$2),Projects!$B$2*INDEX(Curves!$B$6:$AR$6,1,BY$3-Projects!$C$2+1),0)-IF(AND(Projects!$G$2="Yes",BY$3&gt;=Projects!$C$2,BY$3&lt;Projects!$C$2+Projects!$D$2),Projects!$B$2*(Assumptions!$B$10+Assumptions!$B$11+Assumptions!$B$12)/Projects!$D$2*0.95,0)-IF(AND(Projects!$G$2="Yes",BY$3=Projects!$C$2+Projects!$D$2-1),Projects!$B$2*(Assumptions!$B$10+Assumptions!$B$11+Assumptions!$B$12)*0.05,0)</f>
        <v>0</v>
      </c>
      <c r="BZ13" s="19" t="n">
        <f aca="false">IF(AND(Projects!$G$2="Yes",BZ$3&gt;=Projects!$C$2,BZ$3&lt;Projects!$C$2+Projects!$D$2),Projects!$B$2*INDEX(Curves!$B$6:$AR$6,1,BZ$3-Projects!$C$2+1),0)-IF(AND(Projects!$G$2="Yes",BZ$3&gt;=Projects!$C$2,BZ$3&lt;Projects!$C$2+Projects!$D$2),Projects!$B$2*(Assumptions!$B$10+Assumptions!$B$11+Assumptions!$B$12)/Projects!$D$2*0.95,0)-IF(AND(Projects!$G$2="Yes",BZ$3=Projects!$C$2+Projects!$D$2-1),Projects!$B$2*(Assumptions!$B$10+Assumptions!$B$11+Assumptions!$B$12)*0.05,0)</f>
        <v>0</v>
      </c>
      <c r="CA13" s="19" t="n">
        <f aca="false">IF(AND(Projects!$G$2="Yes",CA$3&gt;=Projects!$C$2,CA$3&lt;Projects!$C$2+Projects!$D$2),Projects!$B$2*INDEX(Curves!$B$6:$AR$6,1,CA$3-Projects!$C$2+1),0)-IF(AND(Projects!$G$2="Yes",CA$3&gt;=Projects!$C$2,CA$3&lt;Projects!$C$2+Projects!$D$2),Projects!$B$2*(Assumptions!$B$10+Assumptions!$B$11+Assumptions!$B$12)/Projects!$D$2*0.95,0)-IF(AND(Projects!$G$2="Yes",CA$3=Projects!$C$2+Projects!$D$2-1),Projects!$B$2*(Assumptions!$B$10+Assumptions!$B$11+Assumptions!$B$12)*0.05,0)</f>
        <v>0</v>
      </c>
      <c r="CB13" s="19" t="n">
        <f aca="false">IF(AND(Projects!$G$2="Yes",CB$3&gt;=Projects!$C$2,CB$3&lt;Projects!$C$2+Projects!$D$2),Projects!$B$2*INDEX(Curves!$B$6:$AR$6,1,CB$3-Projects!$C$2+1),0)-IF(AND(Projects!$G$2="Yes",CB$3&gt;=Projects!$C$2,CB$3&lt;Projects!$C$2+Projects!$D$2),Projects!$B$2*(Assumptions!$B$10+Assumptions!$B$11+Assumptions!$B$12)/Projects!$D$2*0.95,0)-IF(AND(Projects!$G$2="Yes",CB$3=Projects!$C$2+Projects!$D$2-1),Projects!$B$2*(Assumptions!$B$10+Assumptions!$B$11+Assumptions!$B$12)*0.05,0)</f>
        <v>0</v>
      </c>
      <c r="CC13" s="19" t="n">
        <f aca="false">IF(AND(Projects!$G$2="Yes",CC$3&gt;=Projects!$C$2,CC$3&lt;Projects!$C$2+Projects!$D$2),Projects!$B$2*INDEX(Curves!$B$6:$AR$6,1,CC$3-Projects!$C$2+1),0)-IF(AND(Projects!$G$2="Yes",CC$3&gt;=Projects!$C$2,CC$3&lt;Projects!$C$2+Projects!$D$2),Projects!$B$2*(Assumptions!$B$10+Assumptions!$B$11+Assumptions!$B$12)/Projects!$D$2*0.95,0)-IF(AND(Projects!$G$2="Yes",CC$3=Projects!$C$2+Projects!$D$2-1),Projects!$B$2*(Assumptions!$B$10+Assumptions!$B$11+Assumptions!$B$12)*0.05,0)</f>
        <v>0</v>
      </c>
      <c r="CD13" s="19" t="n">
        <f aca="false">IF(AND(Projects!$G$2="Yes",CD$3&gt;=Projects!$C$2,CD$3&lt;Projects!$C$2+Projects!$D$2),Projects!$B$2*INDEX(Curves!$B$6:$AR$6,1,CD$3-Projects!$C$2+1),0)-IF(AND(Projects!$G$2="Yes",CD$3&gt;=Projects!$C$2,CD$3&lt;Projects!$C$2+Projects!$D$2),Projects!$B$2*(Assumptions!$B$10+Assumptions!$B$11+Assumptions!$B$12)/Projects!$D$2*0.95,0)-IF(AND(Projects!$G$2="Yes",CD$3=Projects!$C$2+Projects!$D$2-1),Projects!$B$2*(Assumptions!$B$10+Assumptions!$B$11+Assumptions!$B$12)*0.05,0)</f>
        <v>0</v>
      </c>
      <c r="CE13" s="19" t="n">
        <f aca="false">IF(AND(Projects!$G$2="Yes",CE$3&gt;=Projects!$C$2,CE$3&lt;Projects!$C$2+Projects!$D$2),Projects!$B$2*INDEX(Curves!$B$6:$AR$6,1,CE$3-Projects!$C$2+1),0)-IF(AND(Projects!$G$2="Yes",CE$3&gt;=Projects!$C$2,CE$3&lt;Projects!$C$2+Projects!$D$2),Projects!$B$2*(Assumptions!$B$10+Assumptions!$B$11+Assumptions!$B$12)/Projects!$D$2*0.95,0)-IF(AND(Projects!$G$2="Yes",CE$3=Projects!$C$2+Projects!$D$2-1),Projects!$B$2*(Assumptions!$B$10+Assumptions!$B$11+Assumptions!$B$12)*0.05,0)</f>
        <v>0</v>
      </c>
      <c r="CF13" s="19" t="n">
        <f aca="false">IF(AND(Projects!$G$2="Yes",CF$3&gt;=Projects!$C$2,CF$3&lt;Projects!$C$2+Projects!$D$2),Projects!$B$2*INDEX(Curves!$B$6:$AR$6,1,CF$3-Projects!$C$2+1),0)-IF(AND(Projects!$G$2="Yes",CF$3&gt;=Projects!$C$2,CF$3&lt;Projects!$C$2+Projects!$D$2),Projects!$B$2*(Assumptions!$B$10+Assumptions!$B$11+Assumptions!$B$12)/Projects!$D$2*0.95,0)-IF(AND(Projects!$G$2="Yes",CF$3=Projects!$C$2+Projects!$D$2-1),Projects!$B$2*(Assumptions!$B$10+Assumptions!$B$11+Assumptions!$B$12)*0.05,0)</f>
        <v>0</v>
      </c>
      <c r="CG13" s="19" t="n">
        <f aca="false">IF(AND(Projects!$G$2="Yes",CG$3&gt;=Projects!$C$2,CG$3&lt;Projects!$C$2+Projects!$D$2),Projects!$B$2*INDEX(Curves!$B$6:$AR$6,1,CG$3-Projects!$C$2+1),0)-IF(AND(Projects!$G$2="Yes",CG$3&gt;=Projects!$C$2,CG$3&lt;Projects!$C$2+Projects!$D$2),Projects!$B$2*(Assumptions!$B$10+Assumptions!$B$11+Assumptions!$B$12)/Projects!$D$2*0.95,0)-IF(AND(Projects!$G$2="Yes",CG$3=Projects!$C$2+Projects!$D$2-1),Projects!$B$2*(Assumptions!$B$10+Assumptions!$B$11+Assumptions!$B$12)*0.05,0)</f>
        <v>0</v>
      </c>
      <c r="CH13" s="19" t="n">
        <f aca="false">IF(AND(Projects!$G$2="Yes",CH$3&gt;=Projects!$C$2,CH$3&lt;Projects!$C$2+Projects!$D$2),Projects!$B$2*INDEX(Curves!$B$6:$AR$6,1,CH$3-Projects!$C$2+1),0)-IF(AND(Projects!$G$2="Yes",CH$3&gt;=Projects!$C$2,CH$3&lt;Projects!$C$2+Projects!$D$2),Projects!$B$2*(Assumptions!$B$10+Assumptions!$B$11+Assumptions!$B$12)/Projects!$D$2*0.95,0)-IF(AND(Projects!$G$2="Yes",CH$3=Projects!$C$2+Projects!$D$2-1),Projects!$B$2*(Assumptions!$B$10+Assumptions!$B$11+Assumptions!$B$12)*0.05,0)</f>
        <v>0</v>
      </c>
      <c r="CI13" s="19" t="n">
        <f aca="false">IF(AND(Projects!$G$2="Yes",CI$3&gt;=Projects!$C$2,CI$3&lt;Projects!$C$2+Projects!$D$2),Projects!$B$2*INDEX(Curves!$B$6:$AR$6,1,CI$3-Projects!$C$2+1),0)-IF(AND(Projects!$G$2="Yes",CI$3&gt;=Projects!$C$2,CI$3&lt;Projects!$C$2+Projects!$D$2),Projects!$B$2*(Assumptions!$B$10+Assumptions!$B$11+Assumptions!$B$12)/Projects!$D$2*0.95,0)-IF(AND(Projects!$G$2="Yes",CI$3=Projects!$C$2+Projects!$D$2-1),Projects!$B$2*(Assumptions!$B$10+Assumptions!$B$11+Assumptions!$B$12)*0.05,0)</f>
        <v>0</v>
      </c>
      <c r="CJ13" s="19" t="n">
        <f aca="false">IF(AND(Projects!$G$2="Yes",CJ$3&gt;=Projects!$C$2,CJ$3&lt;Projects!$C$2+Projects!$D$2),Projects!$B$2*INDEX(Curves!$B$6:$AR$6,1,CJ$3-Projects!$C$2+1),0)-IF(AND(Projects!$G$2="Yes",CJ$3&gt;=Projects!$C$2,CJ$3&lt;Projects!$C$2+Projects!$D$2),Projects!$B$2*(Assumptions!$B$10+Assumptions!$B$11+Assumptions!$B$12)/Projects!$D$2*0.95,0)-IF(AND(Projects!$G$2="Yes",CJ$3=Projects!$C$2+Projects!$D$2-1),Projects!$B$2*(Assumptions!$B$10+Assumptions!$B$11+Assumptions!$B$12)*0.05,0)</f>
        <v>0</v>
      </c>
      <c r="CK13" s="19" t="n">
        <f aca="false">IF(AND(Projects!$G$2="Yes",CK$3&gt;=Projects!$C$2,CK$3&lt;Projects!$C$2+Projects!$D$2),Projects!$B$2*INDEX(Curves!$B$6:$AR$6,1,CK$3-Projects!$C$2+1),0)-IF(AND(Projects!$G$2="Yes",CK$3&gt;=Projects!$C$2,CK$3&lt;Projects!$C$2+Projects!$D$2),Projects!$B$2*(Assumptions!$B$10+Assumptions!$B$11+Assumptions!$B$12)/Projects!$D$2*0.95,0)-IF(AND(Projects!$G$2="Yes",CK$3=Projects!$C$2+Projects!$D$2-1),Projects!$B$2*(Assumptions!$B$10+Assumptions!$B$11+Assumptions!$B$12)*0.05,0)</f>
        <v>0</v>
      </c>
      <c r="CL13" s="19" t="n">
        <f aca="false">IF(AND(Projects!$G$2="Yes",CL$3&gt;=Projects!$C$2,CL$3&lt;Projects!$C$2+Projects!$D$2),Projects!$B$2*INDEX(Curves!$B$6:$AR$6,1,CL$3-Projects!$C$2+1),0)-IF(AND(Projects!$G$2="Yes",CL$3&gt;=Projects!$C$2,CL$3&lt;Projects!$C$2+Projects!$D$2),Projects!$B$2*(Assumptions!$B$10+Assumptions!$B$11+Assumptions!$B$12)/Projects!$D$2*0.95,0)-IF(AND(Projects!$G$2="Yes",CL$3=Projects!$C$2+Projects!$D$2-1),Projects!$B$2*(Assumptions!$B$10+Assumptions!$B$11+Assumptions!$B$12)*0.05,0)</f>
        <v>0</v>
      </c>
      <c r="CM13" s="19" t="n">
        <f aca="false">IF(AND(Projects!$G$2="Yes",CM$3&gt;=Projects!$C$2,CM$3&lt;Projects!$C$2+Projects!$D$2),Projects!$B$2*INDEX(Curves!$B$6:$AR$6,1,CM$3-Projects!$C$2+1),0)-IF(AND(Projects!$G$2="Yes",CM$3&gt;=Projects!$C$2,CM$3&lt;Projects!$C$2+Projects!$D$2),Projects!$B$2*(Assumptions!$B$10+Assumptions!$B$11+Assumptions!$B$12)/Projects!$D$2*0.95,0)-IF(AND(Projects!$G$2="Yes",CM$3=Projects!$C$2+Projects!$D$2-1),Projects!$B$2*(Assumptions!$B$10+Assumptions!$B$11+Assumptions!$B$12)*0.05,0)</f>
        <v>0</v>
      </c>
      <c r="CN13" s="19" t="n">
        <f aca="false">IF(AND(Projects!$G$2="Yes",CN$3&gt;=Projects!$C$2,CN$3&lt;Projects!$C$2+Projects!$D$2),Projects!$B$2*INDEX(Curves!$B$6:$AR$6,1,CN$3-Projects!$C$2+1),0)-IF(AND(Projects!$G$2="Yes",CN$3&gt;=Projects!$C$2,CN$3&lt;Projects!$C$2+Projects!$D$2),Projects!$B$2*(Assumptions!$B$10+Assumptions!$B$11+Assumptions!$B$12)/Projects!$D$2*0.95,0)-IF(AND(Projects!$G$2="Yes",CN$3=Projects!$C$2+Projects!$D$2-1),Projects!$B$2*(Assumptions!$B$10+Assumptions!$B$11+Assumptions!$B$12)*0.05,0)</f>
        <v>0</v>
      </c>
      <c r="CO13" s="19" t="n">
        <f aca="false">IF(AND(Projects!$G$2="Yes",CO$3&gt;=Projects!$C$2,CO$3&lt;Projects!$C$2+Projects!$D$2),Projects!$B$2*INDEX(Curves!$B$6:$AR$6,1,CO$3-Projects!$C$2+1),0)-IF(AND(Projects!$G$2="Yes",CO$3&gt;=Projects!$C$2,CO$3&lt;Projects!$C$2+Projects!$D$2),Projects!$B$2*(Assumptions!$B$10+Assumptions!$B$11+Assumptions!$B$12)/Projects!$D$2*0.95,0)-IF(AND(Projects!$G$2="Yes",CO$3=Projects!$C$2+Projects!$D$2-1),Projects!$B$2*(Assumptions!$B$10+Assumptions!$B$11+Assumptions!$B$12)*0.05,0)</f>
        <v>0</v>
      </c>
      <c r="CP13" s="19" t="n">
        <f aca="false">IF(AND(Projects!$G$2="Yes",CP$3&gt;=Projects!$C$2,CP$3&lt;Projects!$C$2+Projects!$D$2),Projects!$B$2*INDEX(Curves!$B$6:$AR$6,1,CP$3-Projects!$C$2+1),0)-IF(AND(Projects!$G$2="Yes",CP$3&gt;=Projects!$C$2,CP$3&lt;Projects!$C$2+Projects!$D$2),Projects!$B$2*(Assumptions!$B$10+Assumptions!$B$11+Assumptions!$B$12)/Projects!$D$2*0.95,0)-IF(AND(Projects!$G$2="Yes",CP$3=Projects!$C$2+Projects!$D$2-1),Projects!$B$2*(Assumptions!$B$10+Assumptions!$B$11+Assumptions!$B$12)*0.05,0)</f>
        <v>0</v>
      </c>
      <c r="CQ13" s="19" t="n">
        <f aca="false">IF(AND(Projects!$G$2="Yes",CQ$3&gt;=Projects!$C$2,CQ$3&lt;Projects!$C$2+Projects!$D$2),Projects!$B$2*INDEX(Curves!$B$6:$AR$6,1,CQ$3-Projects!$C$2+1),0)-IF(AND(Projects!$G$2="Yes",CQ$3&gt;=Projects!$C$2,CQ$3&lt;Projects!$C$2+Projects!$D$2),Projects!$B$2*(Assumptions!$B$10+Assumptions!$B$11+Assumptions!$B$12)/Projects!$D$2*0.95,0)-IF(AND(Projects!$G$2="Yes",CQ$3=Projects!$C$2+Projects!$D$2-1),Projects!$B$2*(Assumptions!$B$10+Assumptions!$B$11+Assumptions!$B$12)*0.05,0)</f>
        <v>0</v>
      </c>
      <c r="CR13" s="19" t="n">
        <f aca="false">IF(AND(Projects!$G$2="Yes",CR$3&gt;=Projects!$C$2,CR$3&lt;Projects!$C$2+Projects!$D$2),Projects!$B$2*INDEX(Curves!$B$6:$AR$6,1,CR$3-Projects!$C$2+1),0)-IF(AND(Projects!$G$2="Yes",CR$3&gt;=Projects!$C$2,CR$3&lt;Projects!$C$2+Projects!$D$2),Projects!$B$2*(Assumptions!$B$10+Assumptions!$B$11+Assumptions!$B$12)/Projects!$D$2*0.95,0)-IF(AND(Projects!$G$2="Yes",CR$3=Projects!$C$2+Projects!$D$2-1),Projects!$B$2*(Assumptions!$B$10+Assumptions!$B$11+Assumptions!$B$12)*0.05,0)</f>
        <v>0</v>
      </c>
      <c r="CS13" s="19" t="n">
        <f aca="false">IF(AND(Projects!$G$2="Yes",CS$3&gt;=Projects!$C$2,CS$3&lt;Projects!$C$2+Projects!$D$2),Projects!$B$2*INDEX(Curves!$B$6:$AR$6,1,CS$3-Projects!$C$2+1),0)-IF(AND(Projects!$G$2="Yes",CS$3&gt;=Projects!$C$2,CS$3&lt;Projects!$C$2+Projects!$D$2),Projects!$B$2*(Assumptions!$B$10+Assumptions!$B$11+Assumptions!$B$12)/Projects!$D$2*0.95,0)-IF(AND(Projects!$G$2="Yes",CS$3=Projects!$C$2+Projects!$D$2-1),Projects!$B$2*(Assumptions!$B$10+Assumptions!$B$11+Assumptions!$B$12)*0.05,0)</f>
        <v>0</v>
      </c>
      <c r="CT13" s="19" t="n">
        <f aca="false">IF(AND(Projects!$G$2="Yes",CT$3&gt;=Projects!$C$2,CT$3&lt;Projects!$C$2+Projects!$D$2),Projects!$B$2*INDEX(Curves!$B$6:$AR$6,1,CT$3-Projects!$C$2+1),0)-IF(AND(Projects!$G$2="Yes",CT$3&gt;=Projects!$C$2,CT$3&lt;Projects!$C$2+Projects!$D$2),Projects!$B$2*(Assumptions!$B$10+Assumptions!$B$11+Assumptions!$B$12)/Projects!$D$2*0.95,0)-IF(AND(Projects!$G$2="Yes",CT$3=Projects!$C$2+Projects!$D$2-1),Projects!$B$2*(Assumptions!$B$10+Assumptions!$B$11+Assumptions!$B$12)*0.05,0)</f>
        <v>0</v>
      </c>
      <c r="CU13" s="19" t="n">
        <f aca="false">IF(AND(Projects!$G$2="Yes",CU$3&gt;=Projects!$C$2,CU$3&lt;Projects!$C$2+Projects!$D$2),Projects!$B$2*INDEX(Curves!$B$6:$AR$6,1,CU$3-Projects!$C$2+1),0)-IF(AND(Projects!$G$2="Yes",CU$3&gt;=Projects!$C$2,CU$3&lt;Projects!$C$2+Projects!$D$2),Projects!$B$2*(Assumptions!$B$10+Assumptions!$B$11+Assumptions!$B$12)/Projects!$D$2*0.95,0)-IF(AND(Projects!$G$2="Yes",CU$3=Projects!$C$2+Projects!$D$2-1),Projects!$B$2*(Assumptions!$B$10+Assumptions!$B$11+Assumptions!$B$12)*0.05,0)</f>
        <v>0</v>
      </c>
      <c r="CV13" s="19" t="n">
        <f aca="false">IF(AND(Projects!$G$2="Yes",CV$3&gt;=Projects!$C$2,CV$3&lt;Projects!$C$2+Projects!$D$2),Projects!$B$2*INDEX(Curves!$B$6:$AR$6,1,CV$3-Projects!$C$2+1),0)-IF(AND(Projects!$G$2="Yes",CV$3&gt;=Projects!$C$2,CV$3&lt;Projects!$C$2+Projects!$D$2),Projects!$B$2*(Assumptions!$B$10+Assumptions!$B$11+Assumptions!$B$12)/Projects!$D$2*0.95,0)-IF(AND(Projects!$G$2="Yes",CV$3=Projects!$C$2+Projects!$D$2-1),Projects!$B$2*(Assumptions!$B$10+Assumptions!$B$11+Assumptions!$B$12)*0.05,0)</f>
        <v>0</v>
      </c>
      <c r="CW13" s="19" t="n">
        <f aca="false">IF(AND(Projects!$G$2="Yes",CW$3&gt;=Projects!$C$2,CW$3&lt;Projects!$C$2+Projects!$D$2),Projects!$B$2*INDEX(Curves!$B$6:$AR$6,1,CW$3-Projects!$C$2+1),0)-IF(AND(Projects!$G$2="Yes",CW$3&gt;=Projects!$C$2,CW$3&lt;Projects!$C$2+Projects!$D$2),Projects!$B$2*(Assumptions!$B$10+Assumptions!$B$11+Assumptions!$B$12)/Projects!$D$2*0.95,0)-IF(AND(Projects!$G$2="Yes",CW$3=Projects!$C$2+Projects!$D$2-1),Projects!$B$2*(Assumptions!$B$10+Assumptions!$B$11+Assumptions!$B$12)*0.05,0)</f>
        <v>0</v>
      </c>
      <c r="CX13" s="19" t="n">
        <f aca="false">IF(AND(Projects!$G$2="Yes",CX$3&gt;=Projects!$C$2,CX$3&lt;Projects!$C$2+Projects!$D$2),Projects!$B$2*INDEX(Curves!$B$6:$AR$6,1,CX$3-Projects!$C$2+1),0)-IF(AND(Projects!$G$2="Yes",CX$3&gt;=Projects!$C$2,CX$3&lt;Projects!$C$2+Projects!$D$2),Projects!$B$2*(Assumptions!$B$10+Assumptions!$B$11+Assumptions!$B$12)/Projects!$D$2*0.95,0)-IF(AND(Projects!$G$2="Yes",CX$3=Projects!$C$2+Projects!$D$2-1),Projects!$B$2*(Assumptions!$B$10+Assumptions!$B$11+Assumptions!$B$12)*0.05,0)</f>
        <v>0</v>
      </c>
      <c r="CY13" s="19" t="n">
        <f aca="false">IF(AND(Projects!$G$2="Yes",CY$3&gt;=Projects!$C$2,CY$3&lt;Projects!$C$2+Projects!$D$2),Projects!$B$2*INDEX(Curves!$B$6:$AR$6,1,CY$3-Projects!$C$2+1),0)-IF(AND(Projects!$G$2="Yes",CY$3&gt;=Projects!$C$2,CY$3&lt;Projects!$C$2+Projects!$D$2),Projects!$B$2*(Assumptions!$B$10+Assumptions!$B$11+Assumptions!$B$12)/Projects!$D$2*0.95,0)-IF(AND(Projects!$G$2="Yes",CY$3=Projects!$C$2+Projects!$D$2-1),Projects!$B$2*(Assumptions!$B$10+Assumptions!$B$11+Assumptions!$B$12)*0.05,0)</f>
        <v>0</v>
      </c>
      <c r="CZ13" s="19" t="n">
        <f aca="false">IF(AND(Projects!$G$2="Yes",CZ$3&gt;=Projects!$C$2,CZ$3&lt;Projects!$C$2+Projects!$D$2),Projects!$B$2*INDEX(Curves!$B$6:$AR$6,1,CZ$3-Projects!$C$2+1),0)-IF(AND(Projects!$G$2="Yes",CZ$3&gt;=Projects!$C$2,CZ$3&lt;Projects!$C$2+Projects!$D$2),Projects!$B$2*(Assumptions!$B$10+Assumptions!$B$11+Assumptions!$B$12)/Projects!$D$2*0.95,0)-IF(AND(Projects!$G$2="Yes",CZ$3=Projects!$C$2+Projects!$D$2-1),Projects!$B$2*(Assumptions!$B$10+Assumptions!$B$11+Assumptions!$B$12)*0.05,0)</f>
        <v>0</v>
      </c>
      <c r="DA13" s="19" t="n">
        <f aca="false">IF(AND(Projects!$G$2="Yes",DA$3&gt;=Projects!$C$2,DA$3&lt;Projects!$C$2+Projects!$D$2),Projects!$B$2*INDEX(Curves!$B$6:$AR$6,1,DA$3-Projects!$C$2+1),0)-IF(AND(Projects!$G$2="Yes",DA$3&gt;=Projects!$C$2,DA$3&lt;Projects!$C$2+Projects!$D$2),Projects!$B$2*(Assumptions!$B$10+Assumptions!$B$11+Assumptions!$B$12)/Projects!$D$2*0.95,0)-IF(AND(Projects!$G$2="Yes",DA$3=Projects!$C$2+Projects!$D$2-1),Projects!$B$2*(Assumptions!$B$10+Assumptions!$B$11+Assumptions!$B$12)*0.05,0)</f>
        <v>0</v>
      </c>
      <c r="DB13" s="19" t="n">
        <f aca="false">IF(AND(Projects!$G$2="Yes",DB$3&gt;=Projects!$C$2,DB$3&lt;Projects!$C$2+Projects!$D$2),Projects!$B$2*INDEX(Curves!$B$6:$AR$6,1,DB$3-Projects!$C$2+1),0)-IF(AND(Projects!$G$2="Yes",DB$3&gt;=Projects!$C$2,DB$3&lt;Projects!$C$2+Projects!$D$2),Projects!$B$2*(Assumptions!$B$10+Assumptions!$B$11+Assumptions!$B$12)/Projects!$D$2*0.95,0)-IF(AND(Projects!$G$2="Yes",DB$3=Projects!$C$2+Projects!$D$2-1),Projects!$B$2*(Assumptions!$B$10+Assumptions!$B$11+Assumptions!$B$12)*0.05,0)</f>
        <v>0</v>
      </c>
      <c r="DC13" s="19" t="n">
        <f aca="false">IF(AND(Projects!$G$2="Yes",DC$3&gt;=Projects!$C$2,DC$3&lt;Projects!$C$2+Projects!$D$2),Projects!$B$2*INDEX(Curves!$B$6:$AR$6,1,DC$3-Projects!$C$2+1),0)-IF(AND(Projects!$G$2="Yes",DC$3&gt;=Projects!$C$2,DC$3&lt;Projects!$C$2+Projects!$D$2),Projects!$B$2*(Assumptions!$B$10+Assumptions!$B$11+Assumptions!$B$12)/Projects!$D$2*0.95,0)-IF(AND(Projects!$G$2="Yes",DC$3=Projects!$C$2+Projects!$D$2-1),Projects!$B$2*(Assumptions!$B$10+Assumptions!$B$11+Assumptions!$B$12)*0.05,0)</f>
        <v>0</v>
      </c>
      <c r="DD13" s="19" t="n">
        <f aca="false">IF(AND(Projects!$G$2="Yes",DD$3&gt;=Projects!$C$2,DD$3&lt;Projects!$C$2+Projects!$D$2),Projects!$B$2*INDEX(Curves!$B$6:$AR$6,1,DD$3-Projects!$C$2+1),0)-IF(AND(Projects!$G$2="Yes",DD$3&gt;=Projects!$C$2,DD$3&lt;Projects!$C$2+Projects!$D$2),Projects!$B$2*(Assumptions!$B$10+Assumptions!$B$11+Assumptions!$B$12)/Projects!$D$2*0.95,0)-IF(AND(Projects!$G$2="Yes",DD$3=Projects!$C$2+Projects!$D$2-1),Projects!$B$2*(Assumptions!$B$10+Assumptions!$B$11+Assumptions!$B$12)*0.05,0)</f>
        <v>0</v>
      </c>
      <c r="DE13" s="19" t="n">
        <f aca="false">IF(AND(Projects!$G$2="Yes",DE$3&gt;=Projects!$C$2,DE$3&lt;Projects!$C$2+Projects!$D$2),Projects!$B$2*INDEX(Curves!$B$6:$AR$6,1,DE$3-Projects!$C$2+1),0)-IF(AND(Projects!$G$2="Yes",DE$3&gt;=Projects!$C$2,DE$3&lt;Projects!$C$2+Projects!$D$2),Projects!$B$2*(Assumptions!$B$10+Assumptions!$B$11+Assumptions!$B$12)/Projects!$D$2*0.95,0)-IF(AND(Projects!$G$2="Yes",DE$3=Projects!$C$2+Projects!$D$2-1),Projects!$B$2*(Assumptions!$B$10+Assumptions!$B$11+Assumptions!$B$12)*0.05,0)</f>
        <v>0</v>
      </c>
    </row>
    <row r="14" customFormat="false" ht="15" hidden="true" customHeight="true" outlineLevel="1" collapsed="false">
      <c r="A14" s="28" t="s">
        <v>8</v>
      </c>
      <c r="B14" s="19" t="n">
        <v>607376.6</v>
      </c>
      <c r="C14" s="19" t="n">
        <v>1291217.23</v>
      </c>
      <c r="D14" s="19" t="n">
        <v>951766.47</v>
      </c>
      <c r="E14" s="19" t="n">
        <v>1237428.59</v>
      </c>
      <c r="F14" s="19" t="n">
        <v>1120082.41</v>
      </c>
      <c r="G14" s="19" t="n">
        <v>1858219.93</v>
      </c>
      <c r="H14" s="19" t="n">
        <v>1987246.69</v>
      </c>
      <c r="I14" s="19" t="n">
        <v>1397700.58</v>
      </c>
      <c r="J14" s="19" t="n">
        <v>1080865.59</v>
      </c>
      <c r="K14" s="19" t="n">
        <v>907471.96</v>
      </c>
      <c r="L14" s="19" t="n">
        <v>804175.89</v>
      </c>
      <c r="M14" s="19" t="n">
        <v>836424.94</v>
      </c>
      <c r="N14" s="19" t="n">
        <v>1141488.12</v>
      </c>
      <c r="O14" s="19" t="n">
        <v>831668.03</v>
      </c>
      <c r="P14" s="19" t="n">
        <v>1111923.3</v>
      </c>
      <c r="Q14" s="19" t="n">
        <v>880988.48</v>
      </c>
      <c r="R14" s="19" t="n">
        <v>653443.66</v>
      </c>
      <c r="S14" s="19" t="n">
        <v>567093.62</v>
      </c>
      <c r="T14" s="19" t="n">
        <v>767040.45</v>
      </c>
      <c r="U14" s="19" t="n">
        <v>778438.76</v>
      </c>
      <c r="V14" s="19" t="n">
        <v>207929.38</v>
      </c>
      <c r="W14" s="19" t="n">
        <v>0</v>
      </c>
      <c r="X14" s="19" t="n">
        <v>0</v>
      </c>
      <c r="Y14" s="19" t="n">
        <v>0</v>
      </c>
      <c r="Z14" s="19" t="n">
        <v>0</v>
      </c>
      <c r="AA14" s="19" t="n">
        <v>0</v>
      </c>
      <c r="AB14" s="19" t="n">
        <v>0</v>
      </c>
      <c r="AC14" s="19" t="n">
        <v>0</v>
      </c>
      <c r="AD14" s="19" t="n">
        <v>0</v>
      </c>
      <c r="AE14" s="19" t="n">
        <v>0</v>
      </c>
      <c r="AF14" s="19" t="n">
        <v>0</v>
      </c>
      <c r="AG14" s="19" t="n">
        <v>0</v>
      </c>
      <c r="AH14" s="19" t="n">
        <v>0</v>
      </c>
      <c r="AI14" s="19" t="n">
        <v>0</v>
      </c>
      <c r="AJ14" s="19" t="n">
        <v>0</v>
      </c>
      <c r="AK14" s="19" t="n">
        <v>0</v>
      </c>
      <c r="AL14" s="19" t="n">
        <v>0</v>
      </c>
      <c r="AM14" s="19" t="n">
        <v>0</v>
      </c>
      <c r="AN14" s="19" t="n">
        <v>0</v>
      </c>
      <c r="AO14" s="19" t="n">
        <v>0</v>
      </c>
      <c r="AP14" s="19" t="n">
        <v>0</v>
      </c>
      <c r="AQ14" s="19" t="n">
        <v>0</v>
      </c>
      <c r="AR14" s="19" t="n">
        <v>0</v>
      </c>
      <c r="AS14" s="19" t="n">
        <v>0</v>
      </c>
      <c r="AT14" s="19" t="n">
        <v>0</v>
      </c>
      <c r="AU14" s="19" t="n">
        <v>0</v>
      </c>
      <c r="AV14" s="19" t="n">
        <v>0</v>
      </c>
      <c r="AW14" s="19" t="n">
        <v>0</v>
      </c>
      <c r="AX14" s="19" t="n">
        <v>0</v>
      </c>
      <c r="AY14" s="19" t="n">
        <v>0</v>
      </c>
      <c r="AZ14" s="19" t="n">
        <v>0</v>
      </c>
      <c r="BA14" s="19" t="n">
        <v>0</v>
      </c>
      <c r="BB14" s="19" t="n">
        <v>0</v>
      </c>
      <c r="BC14" s="19" t="n">
        <v>0</v>
      </c>
      <c r="BD14" s="19" t="n">
        <v>0</v>
      </c>
      <c r="BE14" s="19" t="n">
        <v>0</v>
      </c>
      <c r="BF14" s="19" t="n">
        <v>0</v>
      </c>
      <c r="BG14" s="19" t="n">
        <v>0</v>
      </c>
      <c r="BH14" s="19" t="n">
        <v>0</v>
      </c>
      <c r="BI14" s="19" t="n">
        <v>0</v>
      </c>
      <c r="BJ14" s="19" t="n">
        <v>0</v>
      </c>
      <c r="BK14" s="19" t="n">
        <v>0</v>
      </c>
      <c r="BL14" s="19" t="n">
        <v>0</v>
      </c>
      <c r="BM14" s="19" t="n">
        <v>0</v>
      </c>
      <c r="BN14" s="19" t="n">
        <v>0</v>
      </c>
      <c r="BO14" s="19" t="n">
        <v>0</v>
      </c>
      <c r="BP14" s="19" t="n">
        <v>0</v>
      </c>
      <c r="BQ14" s="19" t="n">
        <v>0</v>
      </c>
      <c r="BR14" s="19" t="n">
        <v>0</v>
      </c>
      <c r="BS14" s="19" t="n">
        <v>0</v>
      </c>
      <c r="BT14" s="19" t="n">
        <v>0</v>
      </c>
      <c r="BU14" s="19" t="n">
        <v>0</v>
      </c>
      <c r="BV14" s="19" t="n">
        <v>0</v>
      </c>
      <c r="BW14" s="19" t="n">
        <v>0</v>
      </c>
      <c r="BX14" s="19" t="n">
        <v>0</v>
      </c>
      <c r="BY14" s="19" t="n">
        <v>0</v>
      </c>
      <c r="BZ14" s="19" t="n">
        <v>0</v>
      </c>
      <c r="CA14" s="19" t="n">
        <v>0</v>
      </c>
      <c r="CB14" s="19" t="n">
        <v>0</v>
      </c>
      <c r="CC14" s="19" t="n">
        <v>0</v>
      </c>
      <c r="CD14" s="19" t="n">
        <v>0</v>
      </c>
      <c r="CE14" s="19" t="n">
        <v>0</v>
      </c>
      <c r="CF14" s="19" t="n">
        <v>0</v>
      </c>
      <c r="CG14" s="19" t="n">
        <v>0</v>
      </c>
      <c r="CH14" s="19" t="n">
        <v>0</v>
      </c>
      <c r="CI14" s="19" t="n">
        <v>0</v>
      </c>
      <c r="CJ14" s="19" t="n">
        <v>0</v>
      </c>
      <c r="CK14" s="19" t="n">
        <v>0</v>
      </c>
      <c r="CL14" s="19" t="n">
        <v>0</v>
      </c>
      <c r="CM14" s="19" t="n">
        <v>0</v>
      </c>
      <c r="CN14" s="19" t="n">
        <v>0</v>
      </c>
      <c r="CO14" s="19" t="n">
        <v>0</v>
      </c>
      <c r="CP14" s="19" t="n">
        <v>0</v>
      </c>
      <c r="CQ14" s="19" t="n">
        <v>0</v>
      </c>
      <c r="CR14" s="19" t="n">
        <v>0</v>
      </c>
      <c r="CS14" s="19" t="n">
        <v>0</v>
      </c>
      <c r="CT14" s="19" t="n">
        <v>0</v>
      </c>
      <c r="CU14" s="19" t="n">
        <v>0</v>
      </c>
      <c r="CV14" s="19" t="n">
        <v>0</v>
      </c>
      <c r="CW14" s="19" t="n">
        <v>0</v>
      </c>
      <c r="CX14" s="19" t="n">
        <v>0</v>
      </c>
      <c r="CY14" s="19" t="n">
        <v>0</v>
      </c>
      <c r="CZ14" s="19" t="n">
        <v>0</v>
      </c>
      <c r="DA14" s="19" t="n">
        <v>0</v>
      </c>
      <c r="DB14" s="19" t="n">
        <v>0</v>
      </c>
      <c r="DC14" s="19" t="n">
        <v>0</v>
      </c>
      <c r="DD14" s="19" t="n">
        <v>0</v>
      </c>
      <c r="DE14" s="19" t="n">
        <v>0</v>
      </c>
    </row>
    <row r="15" customFormat="false" ht="15" hidden="true" customHeight="true" outlineLevel="1" collapsed="false">
      <c r="A15" s="28" t="s">
        <v>9</v>
      </c>
      <c r="B15" s="19" t="n">
        <v>144989.08</v>
      </c>
      <c r="C15" s="19" t="n">
        <v>518671.92</v>
      </c>
      <c r="D15" s="19" t="n">
        <v>287093.58</v>
      </c>
      <c r="E15" s="19" t="n">
        <v>571051.61</v>
      </c>
      <c r="F15" s="19" t="n">
        <v>1099379.66</v>
      </c>
      <c r="G15" s="19" t="n">
        <v>1315355.15</v>
      </c>
      <c r="H15" s="19" t="n">
        <v>603209.04</v>
      </c>
      <c r="I15" s="19" t="n">
        <v>736924.86</v>
      </c>
      <c r="J15" s="19" t="n">
        <v>603963.38</v>
      </c>
      <c r="K15" s="19" t="n">
        <v>563091.62</v>
      </c>
      <c r="L15" s="19" t="n">
        <v>629318.73</v>
      </c>
      <c r="M15" s="19" t="n">
        <v>751734.58</v>
      </c>
      <c r="N15" s="19" t="n">
        <v>674668.79</v>
      </c>
      <c r="O15" s="19" t="n">
        <v>615694.04</v>
      </c>
      <c r="P15" s="19" t="n">
        <v>694084.67</v>
      </c>
      <c r="Q15" s="19" t="n">
        <v>723252.22</v>
      </c>
      <c r="R15" s="19" t="n">
        <v>594153.61</v>
      </c>
      <c r="S15" s="19" t="n">
        <v>377468.25</v>
      </c>
      <c r="T15" s="19" t="n">
        <v>189218.1</v>
      </c>
      <c r="U15" s="19" t="n">
        <v>144619.25</v>
      </c>
      <c r="V15" s="19" t="n">
        <v>0</v>
      </c>
      <c r="W15" s="19" t="n">
        <v>0</v>
      </c>
      <c r="X15" s="19" t="n">
        <v>0</v>
      </c>
      <c r="Y15" s="19" t="n">
        <v>0</v>
      </c>
      <c r="Z15" s="19" t="n">
        <v>0</v>
      </c>
      <c r="AA15" s="19" t="n">
        <v>0</v>
      </c>
      <c r="AB15" s="19" t="n">
        <v>0</v>
      </c>
      <c r="AC15" s="19" t="n">
        <v>0</v>
      </c>
      <c r="AD15" s="19" t="n">
        <v>0</v>
      </c>
      <c r="AE15" s="19" t="n">
        <v>0</v>
      </c>
      <c r="AF15" s="19" t="n">
        <v>0</v>
      </c>
      <c r="AG15" s="19" t="n">
        <v>0</v>
      </c>
      <c r="AH15" s="19" t="n">
        <v>0</v>
      </c>
      <c r="AI15" s="19" t="n">
        <v>0</v>
      </c>
      <c r="AJ15" s="19" t="n">
        <v>0</v>
      </c>
      <c r="AK15" s="19" t="n">
        <v>0</v>
      </c>
      <c r="AL15" s="19" t="n">
        <v>0</v>
      </c>
      <c r="AM15" s="19" t="n">
        <v>0</v>
      </c>
      <c r="AN15" s="19" t="n">
        <v>0</v>
      </c>
      <c r="AO15" s="19" t="n">
        <v>0</v>
      </c>
      <c r="AP15" s="19" t="n">
        <v>0</v>
      </c>
      <c r="AQ15" s="19" t="n">
        <v>0</v>
      </c>
      <c r="AR15" s="19" t="n">
        <v>0</v>
      </c>
      <c r="AS15" s="19" t="n">
        <v>0</v>
      </c>
      <c r="AT15" s="19" t="n">
        <v>0</v>
      </c>
      <c r="AU15" s="19" t="n">
        <v>0</v>
      </c>
      <c r="AV15" s="19" t="n">
        <v>0</v>
      </c>
      <c r="AW15" s="19" t="n">
        <v>0</v>
      </c>
      <c r="AX15" s="19" t="n">
        <v>0</v>
      </c>
      <c r="AY15" s="19" t="n">
        <v>0</v>
      </c>
      <c r="AZ15" s="19" t="n">
        <v>0</v>
      </c>
      <c r="BA15" s="19" t="n">
        <v>0</v>
      </c>
      <c r="BB15" s="19" t="n">
        <v>0</v>
      </c>
      <c r="BC15" s="19" t="n">
        <v>0</v>
      </c>
      <c r="BD15" s="19" t="n">
        <v>0</v>
      </c>
      <c r="BE15" s="19" t="n">
        <v>0</v>
      </c>
      <c r="BF15" s="19" t="n">
        <v>0</v>
      </c>
      <c r="BG15" s="19" t="n">
        <v>0</v>
      </c>
      <c r="BH15" s="19" t="n">
        <v>0</v>
      </c>
      <c r="BI15" s="19" t="n">
        <v>0</v>
      </c>
      <c r="BJ15" s="19" t="n">
        <v>0</v>
      </c>
      <c r="BK15" s="19" t="n">
        <v>0</v>
      </c>
      <c r="BL15" s="19" t="n">
        <v>0</v>
      </c>
      <c r="BM15" s="19" t="n">
        <v>0</v>
      </c>
      <c r="BN15" s="19" t="n">
        <v>0</v>
      </c>
      <c r="BO15" s="19" t="n">
        <v>0</v>
      </c>
      <c r="BP15" s="19" t="n">
        <v>0</v>
      </c>
      <c r="BQ15" s="19" t="n">
        <v>0</v>
      </c>
      <c r="BR15" s="19" t="n">
        <v>0</v>
      </c>
      <c r="BS15" s="19" t="n">
        <v>0</v>
      </c>
      <c r="BT15" s="19" t="n">
        <v>0</v>
      </c>
      <c r="BU15" s="19" t="n">
        <v>0</v>
      </c>
      <c r="BV15" s="19" t="n">
        <v>0</v>
      </c>
      <c r="BW15" s="19" t="n">
        <v>0</v>
      </c>
      <c r="BX15" s="19" t="n">
        <v>0</v>
      </c>
      <c r="BY15" s="19" t="n">
        <v>0</v>
      </c>
      <c r="BZ15" s="19" t="n">
        <v>0</v>
      </c>
      <c r="CA15" s="19" t="n">
        <v>0</v>
      </c>
      <c r="CB15" s="19" t="n">
        <v>0</v>
      </c>
      <c r="CC15" s="19" t="n">
        <v>0</v>
      </c>
      <c r="CD15" s="19" t="n">
        <v>0</v>
      </c>
      <c r="CE15" s="19" t="n">
        <v>0</v>
      </c>
      <c r="CF15" s="19" t="n">
        <v>0</v>
      </c>
      <c r="CG15" s="19" t="n">
        <v>0</v>
      </c>
      <c r="CH15" s="19" t="n">
        <v>0</v>
      </c>
      <c r="CI15" s="19" t="n">
        <v>0</v>
      </c>
      <c r="CJ15" s="19" t="n">
        <v>0</v>
      </c>
      <c r="CK15" s="19" t="n">
        <v>0</v>
      </c>
      <c r="CL15" s="19" t="n">
        <v>0</v>
      </c>
      <c r="CM15" s="19" t="n">
        <v>0</v>
      </c>
      <c r="CN15" s="19" t="n">
        <v>0</v>
      </c>
      <c r="CO15" s="19" t="n">
        <v>0</v>
      </c>
      <c r="CP15" s="19" t="n">
        <v>0</v>
      </c>
      <c r="CQ15" s="19" t="n">
        <v>0</v>
      </c>
      <c r="CR15" s="19" t="n">
        <v>0</v>
      </c>
      <c r="CS15" s="19" t="n">
        <v>0</v>
      </c>
      <c r="CT15" s="19" t="n">
        <v>0</v>
      </c>
      <c r="CU15" s="19" t="n">
        <v>0</v>
      </c>
      <c r="CV15" s="19" t="n">
        <v>0</v>
      </c>
      <c r="CW15" s="19" t="n">
        <v>0</v>
      </c>
      <c r="CX15" s="19" t="n">
        <v>0</v>
      </c>
      <c r="CY15" s="19" t="n">
        <v>0</v>
      </c>
      <c r="CZ15" s="19" t="n">
        <v>0</v>
      </c>
      <c r="DA15" s="19" t="n">
        <v>0</v>
      </c>
      <c r="DB15" s="19" t="n">
        <v>0</v>
      </c>
      <c r="DC15" s="19" t="n">
        <v>0</v>
      </c>
      <c r="DD15" s="19" t="n">
        <v>0</v>
      </c>
      <c r="DE15" s="19" t="n">
        <v>0</v>
      </c>
    </row>
    <row r="16" customFormat="false" ht="15" hidden="true" customHeight="true" outlineLevel="1" collapsed="false">
      <c r="A16" s="28" t="s">
        <v>10</v>
      </c>
      <c r="B16" s="19" t="n">
        <v>96887.03</v>
      </c>
      <c r="C16" s="19" t="n">
        <v>107170.8</v>
      </c>
      <c r="D16" s="19" t="n">
        <v>229126.73</v>
      </c>
      <c r="E16" s="19" t="n">
        <v>577813.6</v>
      </c>
      <c r="F16" s="19" t="n">
        <v>785971.45</v>
      </c>
      <c r="G16" s="19" t="n">
        <v>1198349.29</v>
      </c>
      <c r="H16" s="19" t="n">
        <v>1191447.65</v>
      </c>
      <c r="I16" s="19" t="n">
        <v>1568049.76</v>
      </c>
      <c r="J16" s="19" t="n">
        <v>925546.41</v>
      </c>
      <c r="K16" s="19" t="n">
        <v>821980.06</v>
      </c>
      <c r="L16" s="19" t="n">
        <v>619146.84</v>
      </c>
      <c r="M16" s="19" t="n">
        <v>715421.53</v>
      </c>
      <c r="N16" s="19" t="n">
        <v>653231.72</v>
      </c>
      <c r="O16" s="19" t="n">
        <v>619153.15</v>
      </c>
      <c r="P16" s="19" t="n">
        <v>560550.81</v>
      </c>
      <c r="Q16" s="19" t="n">
        <v>440306.1</v>
      </c>
      <c r="R16" s="19" t="n">
        <v>351742.71</v>
      </c>
      <c r="S16" s="19" t="n">
        <v>752314.78</v>
      </c>
      <c r="T16" s="19" t="n">
        <v>1002553.11</v>
      </c>
      <c r="U16" s="19" t="n">
        <v>674532.85</v>
      </c>
      <c r="V16" s="19" t="n">
        <v>436351.83</v>
      </c>
      <c r="W16" s="19" t="n">
        <v>158637.93</v>
      </c>
      <c r="X16" s="19" t="n">
        <v>0</v>
      </c>
      <c r="Y16" s="19" t="n">
        <v>0</v>
      </c>
      <c r="Z16" s="19" t="n">
        <v>0</v>
      </c>
      <c r="AA16" s="19" t="n">
        <v>0</v>
      </c>
      <c r="AB16" s="19" t="n">
        <v>0</v>
      </c>
      <c r="AC16" s="19" t="n">
        <v>0</v>
      </c>
      <c r="AD16" s="19" t="n">
        <v>0</v>
      </c>
      <c r="AE16" s="19" t="n">
        <v>0</v>
      </c>
      <c r="AF16" s="19" t="n">
        <v>0</v>
      </c>
      <c r="AG16" s="19" t="n">
        <v>0</v>
      </c>
      <c r="AH16" s="19" t="n">
        <v>0</v>
      </c>
      <c r="AI16" s="19" t="n">
        <v>0</v>
      </c>
      <c r="AJ16" s="19" t="n">
        <v>0</v>
      </c>
      <c r="AK16" s="19" t="n">
        <v>0</v>
      </c>
      <c r="AL16" s="19" t="n">
        <v>0</v>
      </c>
      <c r="AM16" s="19" t="n">
        <v>0</v>
      </c>
      <c r="AN16" s="19" t="n">
        <v>0</v>
      </c>
      <c r="AO16" s="19" t="n">
        <v>0</v>
      </c>
      <c r="AP16" s="19" t="n">
        <v>0</v>
      </c>
      <c r="AQ16" s="19" t="n">
        <v>0</v>
      </c>
      <c r="AR16" s="19" t="n">
        <v>0</v>
      </c>
      <c r="AS16" s="19" t="n">
        <v>0</v>
      </c>
      <c r="AT16" s="19" t="n">
        <v>0</v>
      </c>
      <c r="AU16" s="19" t="n">
        <v>0</v>
      </c>
      <c r="AV16" s="19" t="n">
        <v>0</v>
      </c>
      <c r="AW16" s="19" t="n">
        <v>0</v>
      </c>
      <c r="AX16" s="19" t="n">
        <v>0</v>
      </c>
      <c r="AY16" s="19" t="n">
        <v>0</v>
      </c>
      <c r="AZ16" s="19" t="n">
        <v>0</v>
      </c>
      <c r="BA16" s="19" t="n">
        <v>0</v>
      </c>
      <c r="BB16" s="19" t="n">
        <v>0</v>
      </c>
      <c r="BC16" s="19" t="n">
        <v>0</v>
      </c>
      <c r="BD16" s="19" t="n">
        <v>0</v>
      </c>
      <c r="BE16" s="19" t="n">
        <v>0</v>
      </c>
      <c r="BF16" s="19" t="n">
        <v>0</v>
      </c>
      <c r="BG16" s="19" t="n">
        <v>0</v>
      </c>
      <c r="BH16" s="19" t="n">
        <v>0</v>
      </c>
      <c r="BI16" s="19" t="n">
        <v>0</v>
      </c>
      <c r="BJ16" s="19" t="n">
        <v>0</v>
      </c>
      <c r="BK16" s="19" t="n">
        <v>0</v>
      </c>
      <c r="BL16" s="19" t="n">
        <v>0</v>
      </c>
      <c r="BM16" s="19" t="n">
        <v>0</v>
      </c>
      <c r="BN16" s="19" t="n">
        <v>0</v>
      </c>
      <c r="BO16" s="19" t="n">
        <v>0</v>
      </c>
      <c r="BP16" s="19" t="n">
        <v>0</v>
      </c>
      <c r="BQ16" s="19" t="n">
        <v>0</v>
      </c>
      <c r="BR16" s="19" t="n">
        <v>0</v>
      </c>
      <c r="BS16" s="19" t="n">
        <v>0</v>
      </c>
      <c r="BT16" s="19" t="n">
        <v>0</v>
      </c>
      <c r="BU16" s="19" t="n">
        <v>0</v>
      </c>
      <c r="BV16" s="19" t="n">
        <v>0</v>
      </c>
      <c r="BW16" s="19" t="n">
        <v>0</v>
      </c>
      <c r="BX16" s="19" t="n">
        <v>0</v>
      </c>
      <c r="BY16" s="19" t="n">
        <v>0</v>
      </c>
      <c r="BZ16" s="19" t="n">
        <v>0</v>
      </c>
      <c r="CA16" s="19" t="n">
        <v>0</v>
      </c>
      <c r="CB16" s="19" t="n">
        <v>0</v>
      </c>
      <c r="CC16" s="19" t="n">
        <v>0</v>
      </c>
      <c r="CD16" s="19" t="n">
        <v>0</v>
      </c>
      <c r="CE16" s="19" t="n">
        <v>0</v>
      </c>
      <c r="CF16" s="19" t="n">
        <v>0</v>
      </c>
      <c r="CG16" s="19" t="n">
        <v>0</v>
      </c>
      <c r="CH16" s="19" t="n">
        <v>0</v>
      </c>
      <c r="CI16" s="19" t="n">
        <v>0</v>
      </c>
      <c r="CJ16" s="19" t="n">
        <v>0</v>
      </c>
      <c r="CK16" s="19" t="n">
        <v>0</v>
      </c>
      <c r="CL16" s="19" t="n">
        <v>0</v>
      </c>
      <c r="CM16" s="19" t="n">
        <v>0</v>
      </c>
      <c r="CN16" s="19" t="n">
        <v>0</v>
      </c>
      <c r="CO16" s="19" t="n">
        <v>0</v>
      </c>
      <c r="CP16" s="19" t="n">
        <v>0</v>
      </c>
      <c r="CQ16" s="19" t="n">
        <v>0</v>
      </c>
      <c r="CR16" s="19" t="n">
        <v>0</v>
      </c>
      <c r="CS16" s="19" t="n">
        <v>0</v>
      </c>
      <c r="CT16" s="19" t="n">
        <v>0</v>
      </c>
      <c r="CU16" s="19" t="n">
        <v>0</v>
      </c>
      <c r="CV16" s="19" t="n">
        <v>0</v>
      </c>
      <c r="CW16" s="19" t="n">
        <v>0</v>
      </c>
      <c r="CX16" s="19" t="n">
        <v>0</v>
      </c>
      <c r="CY16" s="19" t="n">
        <v>0</v>
      </c>
      <c r="CZ16" s="19" t="n">
        <v>0</v>
      </c>
      <c r="DA16" s="19" t="n">
        <v>0</v>
      </c>
      <c r="DB16" s="19" t="n">
        <v>0</v>
      </c>
      <c r="DC16" s="19" t="n">
        <v>0</v>
      </c>
      <c r="DD16" s="19" t="n">
        <v>0</v>
      </c>
      <c r="DE16" s="19" t="n">
        <v>0</v>
      </c>
    </row>
    <row r="17" customFormat="false" ht="15" hidden="true" customHeight="true" outlineLevel="1" collapsed="false">
      <c r="A17" s="28" t="s">
        <v>11</v>
      </c>
      <c r="B17" s="19" t="n">
        <v>0</v>
      </c>
      <c r="C17" s="19" t="n">
        <v>156463.3</v>
      </c>
      <c r="D17" s="19" t="n">
        <v>285674.3</v>
      </c>
      <c r="E17" s="19" t="n">
        <v>222415.49</v>
      </c>
      <c r="F17" s="19" t="n">
        <v>222238.96</v>
      </c>
      <c r="G17" s="19" t="n">
        <v>325125.94</v>
      </c>
      <c r="H17" s="19" t="n">
        <v>251137.32</v>
      </c>
      <c r="I17" s="19" t="n">
        <v>453013.02</v>
      </c>
      <c r="J17" s="19" t="n">
        <v>292519.05</v>
      </c>
      <c r="K17" s="19" t="n">
        <v>450328.06</v>
      </c>
      <c r="L17" s="19" t="n">
        <v>246565.55</v>
      </c>
      <c r="M17" s="19" t="n">
        <v>208840.6</v>
      </c>
      <c r="N17" s="19" t="n">
        <v>279911.11</v>
      </c>
      <c r="O17" s="19" t="n">
        <v>246649.63</v>
      </c>
      <c r="P17" s="19" t="n">
        <v>95976.7</v>
      </c>
      <c r="Q17" s="19" t="n">
        <v>110015.5</v>
      </c>
      <c r="R17" s="19" t="n">
        <v>53831.42</v>
      </c>
      <c r="S17" s="19" t="n">
        <v>15804.6</v>
      </c>
      <c r="T17" s="19" t="n">
        <v>0</v>
      </c>
      <c r="U17" s="19" t="n">
        <v>0</v>
      </c>
      <c r="V17" s="19" t="n">
        <v>0</v>
      </c>
      <c r="W17" s="19" t="n">
        <v>0</v>
      </c>
      <c r="X17" s="19" t="n">
        <v>0</v>
      </c>
      <c r="Y17" s="19" t="n">
        <v>0</v>
      </c>
      <c r="Z17" s="19" t="n">
        <v>0</v>
      </c>
      <c r="AA17" s="19" t="n">
        <v>0</v>
      </c>
      <c r="AB17" s="19" t="n">
        <v>0</v>
      </c>
      <c r="AC17" s="19" t="n">
        <v>0</v>
      </c>
      <c r="AD17" s="19" t="n">
        <v>0</v>
      </c>
      <c r="AE17" s="19" t="n">
        <v>0</v>
      </c>
      <c r="AF17" s="19" t="n">
        <v>0</v>
      </c>
      <c r="AG17" s="19" t="n">
        <v>0</v>
      </c>
      <c r="AH17" s="19" t="n">
        <v>0</v>
      </c>
      <c r="AI17" s="19" t="n">
        <v>0</v>
      </c>
      <c r="AJ17" s="19" t="n">
        <v>0</v>
      </c>
      <c r="AK17" s="19" t="n">
        <v>0</v>
      </c>
      <c r="AL17" s="19" t="n">
        <v>0</v>
      </c>
      <c r="AM17" s="19" t="n">
        <v>0</v>
      </c>
      <c r="AN17" s="19" t="n">
        <v>0</v>
      </c>
      <c r="AO17" s="19" t="n">
        <v>0</v>
      </c>
      <c r="AP17" s="19" t="n">
        <v>0</v>
      </c>
      <c r="AQ17" s="19" t="n">
        <v>0</v>
      </c>
      <c r="AR17" s="19" t="n">
        <v>0</v>
      </c>
      <c r="AS17" s="19" t="n">
        <v>0</v>
      </c>
      <c r="AT17" s="19" t="n">
        <v>0</v>
      </c>
      <c r="AU17" s="19" t="n">
        <v>0</v>
      </c>
      <c r="AV17" s="19" t="n">
        <v>0</v>
      </c>
      <c r="AW17" s="19" t="n">
        <v>0</v>
      </c>
      <c r="AX17" s="19" t="n">
        <v>0</v>
      </c>
      <c r="AY17" s="19" t="n">
        <v>0</v>
      </c>
      <c r="AZ17" s="19" t="n">
        <v>0</v>
      </c>
      <c r="BA17" s="19" t="n">
        <v>0</v>
      </c>
      <c r="BB17" s="19" t="n">
        <v>0</v>
      </c>
      <c r="BC17" s="19" t="n">
        <v>0</v>
      </c>
      <c r="BD17" s="19" t="n">
        <v>0</v>
      </c>
      <c r="BE17" s="19" t="n">
        <v>0</v>
      </c>
      <c r="BF17" s="19" t="n">
        <v>0</v>
      </c>
      <c r="BG17" s="19" t="n">
        <v>0</v>
      </c>
      <c r="BH17" s="19" t="n">
        <v>0</v>
      </c>
      <c r="BI17" s="19" t="n">
        <v>0</v>
      </c>
      <c r="BJ17" s="19" t="n">
        <v>0</v>
      </c>
      <c r="BK17" s="19" t="n">
        <v>0</v>
      </c>
      <c r="BL17" s="19" t="n">
        <v>0</v>
      </c>
      <c r="BM17" s="19" t="n">
        <v>0</v>
      </c>
      <c r="BN17" s="19" t="n">
        <v>0</v>
      </c>
      <c r="BO17" s="19" t="n">
        <v>0</v>
      </c>
      <c r="BP17" s="19" t="n">
        <v>0</v>
      </c>
      <c r="BQ17" s="19" t="n">
        <v>0</v>
      </c>
      <c r="BR17" s="19" t="n">
        <v>0</v>
      </c>
      <c r="BS17" s="19" t="n">
        <v>0</v>
      </c>
      <c r="BT17" s="19" t="n">
        <v>0</v>
      </c>
      <c r="BU17" s="19" t="n">
        <v>0</v>
      </c>
      <c r="BV17" s="19" t="n">
        <v>0</v>
      </c>
      <c r="BW17" s="19" t="n">
        <v>0</v>
      </c>
      <c r="BX17" s="19" t="n">
        <v>0</v>
      </c>
      <c r="BY17" s="19" t="n">
        <v>0</v>
      </c>
      <c r="BZ17" s="19" t="n">
        <v>0</v>
      </c>
      <c r="CA17" s="19" t="n">
        <v>0</v>
      </c>
      <c r="CB17" s="19" t="n">
        <v>0</v>
      </c>
      <c r="CC17" s="19" t="n">
        <v>0</v>
      </c>
      <c r="CD17" s="19" t="n">
        <v>0</v>
      </c>
      <c r="CE17" s="19" t="n">
        <v>0</v>
      </c>
      <c r="CF17" s="19" t="n">
        <v>0</v>
      </c>
      <c r="CG17" s="19" t="n">
        <v>0</v>
      </c>
      <c r="CH17" s="19" t="n">
        <v>0</v>
      </c>
      <c r="CI17" s="19" t="n">
        <v>0</v>
      </c>
      <c r="CJ17" s="19" t="n">
        <v>0</v>
      </c>
      <c r="CK17" s="19" t="n">
        <v>0</v>
      </c>
      <c r="CL17" s="19" t="n">
        <v>0</v>
      </c>
      <c r="CM17" s="19" t="n">
        <v>0</v>
      </c>
      <c r="CN17" s="19" t="n">
        <v>0</v>
      </c>
      <c r="CO17" s="19" t="n">
        <v>0</v>
      </c>
      <c r="CP17" s="19" t="n">
        <v>0</v>
      </c>
      <c r="CQ17" s="19" t="n">
        <v>0</v>
      </c>
      <c r="CR17" s="19" t="n">
        <v>0</v>
      </c>
      <c r="CS17" s="19" t="n">
        <v>0</v>
      </c>
      <c r="CT17" s="19" t="n">
        <v>0</v>
      </c>
      <c r="CU17" s="19" t="n">
        <v>0</v>
      </c>
      <c r="CV17" s="19" t="n">
        <v>0</v>
      </c>
      <c r="CW17" s="19" t="n">
        <v>0</v>
      </c>
      <c r="CX17" s="19" t="n">
        <v>0</v>
      </c>
      <c r="CY17" s="19" t="n">
        <v>0</v>
      </c>
      <c r="CZ17" s="19" t="n">
        <v>0</v>
      </c>
      <c r="DA17" s="19" t="n">
        <v>0</v>
      </c>
      <c r="DB17" s="19" t="n">
        <v>0</v>
      </c>
      <c r="DC17" s="19" t="n">
        <v>0</v>
      </c>
      <c r="DD17" s="19" t="n">
        <v>0</v>
      </c>
      <c r="DE17" s="19" t="n">
        <v>0</v>
      </c>
    </row>
    <row r="18" customFormat="false" ht="15" hidden="true" customHeight="true" outlineLevel="1" collapsed="false">
      <c r="A18" s="28" t="s">
        <v>12</v>
      </c>
      <c r="B18" s="19" t="n">
        <v>0</v>
      </c>
      <c r="C18" s="19" t="n">
        <v>0</v>
      </c>
      <c r="D18" s="19" t="n">
        <v>0</v>
      </c>
      <c r="E18" s="19" t="n">
        <v>0</v>
      </c>
      <c r="F18" s="19" t="n">
        <v>0</v>
      </c>
      <c r="G18" s="19" t="n">
        <v>0</v>
      </c>
      <c r="H18" s="19" t="n">
        <v>932055</v>
      </c>
      <c r="I18" s="19" t="n">
        <v>173887.43</v>
      </c>
      <c r="J18" s="19" t="n">
        <v>734627.75</v>
      </c>
      <c r="K18" s="19" t="n">
        <v>1031862.26</v>
      </c>
      <c r="L18" s="19" t="n">
        <v>670762.14</v>
      </c>
      <c r="M18" s="19" t="n">
        <v>502701.41</v>
      </c>
      <c r="N18" s="19" t="n">
        <v>640423.23</v>
      </c>
      <c r="O18" s="19" t="n">
        <v>518087.99</v>
      </c>
      <c r="P18" s="19" t="n">
        <v>625083.61</v>
      </c>
      <c r="Q18" s="19" t="n">
        <v>527941.35</v>
      </c>
      <c r="R18" s="19" t="n">
        <v>648842.42</v>
      </c>
      <c r="S18" s="19" t="n">
        <v>609836.71</v>
      </c>
      <c r="T18" s="19" t="n">
        <v>1093856.58</v>
      </c>
      <c r="U18" s="19" t="n">
        <v>699027.38</v>
      </c>
      <c r="V18" s="19" t="n">
        <v>2084550.48</v>
      </c>
      <c r="W18" s="19" t="n">
        <v>1316830.2</v>
      </c>
      <c r="X18" s="19" t="n">
        <v>2704840.19</v>
      </c>
      <c r="Y18" s="19" t="n">
        <v>1557426.69</v>
      </c>
      <c r="Z18" s="19" t="n">
        <v>2453634.53</v>
      </c>
      <c r="AA18" s="19" t="n">
        <v>2048866.16</v>
      </c>
      <c r="AB18" s="19" t="n">
        <v>1396684.5</v>
      </c>
      <c r="AC18" s="19" t="n">
        <v>883896.92</v>
      </c>
      <c r="AD18" s="19" t="n">
        <v>1046686.92</v>
      </c>
      <c r="AE18" s="19" t="n">
        <v>982365.21</v>
      </c>
      <c r="AF18" s="19" t="n">
        <v>1214791.02</v>
      </c>
      <c r="AG18" s="19" t="n">
        <v>2109626.22</v>
      </c>
      <c r="AH18" s="19" t="n">
        <v>1957875.93</v>
      </c>
      <c r="AI18" s="19" t="n">
        <v>1914132.66</v>
      </c>
      <c r="AJ18" s="19" t="n">
        <v>1044319.92</v>
      </c>
      <c r="AK18" s="19" t="n">
        <v>866931.3</v>
      </c>
      <c r="AL18" s="19" t="n">
        <v>968436.51</v>
      </c>
      <c r="AM18" s="19" t="n">
        <v>1052717.22</v>
      </c>
      <c r="AN18" s="19" t="n">
        <v>283224.47</v>
      </c>
      <c r="AO18" s="19" t="n">
        <v>0</v>
      </c>
      <c r="AP18" s="19" t="n">
        <v>0</v>
      </c>
      <c r="AQ18" s="19" t="n">
        <v>0</v>
      </c>
      <c r="AR18" s="19" t="n">
        <v>0</v>
      </c>
      <c r="AS18" s="19" t="n">
        <v>0</v>
      </c>
      <c r="AT18" s="19" t="n">
        <v>0</v>
      </c>
      <c r="AU18" s="19" t="n">
        <v>0</v>
      </c>
      <c r="AV18" s="19" t="n">
        <v>0</v>
      </c>
      <c r="AW18" s="19" t="n">
        <v>0</v>
      </c>
      <c r="AX18" s="19" t="n">
        <v>0</v>
      </c>
      <c r="AY18" s="19" t="n">
        <v>0</v>
      </c>
      <c r="AZ18" s="19" t="n">
        <v>0</v>
      </c>
      <c r="BA18" s="19" t="n">
        <v>0</v>
      </c>
      <c r="BB18" s="19" t="n">
        <v>0</v>
      </c>
      <c r="BC18" s="19" t="n">
        <v>0</v>
      </c>
      <c r="BD18" s="19" t="n">
        <v>0</v>
      </c>
      <c r="BE18" s="19" t="n">
        <v>0</v>
      </c>
      <c r="BF18" s="19" t="n">
        <v>0</v>
      </c>
      <c r="BG18" s="19" t="n">
        <v>0</v>
      </c>
      <c r="BH18" s="19" t="n">
        <v>0</v>
      </c>
      <c r="BI18" s="19" t="n">
        <v>0</v>
      </c>
      <c r="BJ18" s="19" t="n">
        <v>0</v>
      </c>
      <c r="BK18" s="19" t="n">
        <v>0</v>
      </c>
      <c r="BL18" s="19" t="n">
        <v>0</v>
      </c>
      <c r="BM18" s="19" t="n">
        <v>0</v>
      </c>
      <c r="BN18" s="19" t="n">
        <v>0</v>
      </c>
      <c r="BO18" s="19" t="n">
        <v>0</v>
      </c>
      <c r="BP18" s="19" t="n">
        <v>0</v>
      </c>
      <c r="BQ18" s="19" t="n">
        <v>0</v>
      </c>
      <c r="BR18" s="19" t="n">
        <v>0</v>
      </c>
      <c r="BS18" s="19" t="n">
        <v>0</v>
      </c>
      <c r="BT18" s="19" t="n">
        <v>0</v>
      </c>
      <c r="BU18" s="19" t="n">
        <v>0</v>
      </c>
      <c r="BV18" s="19" t="n">
        <v>0</v>
      </c>
      <c r="BW18" s="19" t="n">
        <v>0</v>
      </c>
      <c r="BX18" s="19" t="n">
        <v>0</v>
      </c>
      <c r="BY18" s="19" t="n">
        <v>0</v>
      </c>
      <c r="BZ18" s="19" t="n">
        <v>0</v>
      </c>
      <c r="CA18" s="19" t="n">
        <v>0</v>
      </c>
      <c r="CB18" s="19" t="n">
        <v>0</v>
      </c>
      <c r="CC18" s="19" t="n">
        <v>0</v>
      </c>
      <c r="CD18" s="19" t="n">
        <v>0</v>
      </c>
      <c r="CE18" s="19" t="n">
        <v>0</v>
      </c>
      <c r="CF18" s="19" t="n">
        <v>0</v>
      </c>
      <c r="CG18" s="19" t="n">
        <v>0</v>
      </c>
      <c r="CH18" s="19" t="n">
        <v>0</v>
      </c>
      <c r="CI18" s="19" t="n">
        <v>0</v>
      </c>
      <c r="CJ18" s="19" t="n">
        <v>0</v>
      </c>
      <c r="CK18" s="19" t="n">
        <v>0</v>
      </c>
      <c r="CL18" s="19" t="n">
        <v>0</v>
      </c>
      <c r="CM18" s="19" t="n">
        <v>0</v>
      </c>
      <c r="CN18" s="19" t="n">
        <v>0</v>
      </c>
      <c r="CO18" s="19" t="n">
        <v>0</v>
      </c>
      <c r="CP18" s="19" t="n">
        <v>0</v>
      </c>
      <c r="CQ18" s="19" t="n">
        <v>0</v>
      </c>
      <c r="CR18" s="19" t="n">
        <v>0</v>
      </c>
      <c r="CS18" s="19" t="n">
        <v>0</v>
      </c>
      <c r="CT18" s="19" t="n">
        <v>0</v>
      </c>
      <c r="CU18" s="19" t="n">
        <v>0</v>
      </c>
      <c r="CV18" s="19" t="n">
        <v>0</v>
      </c>
      <c r="CW18" s="19" t="n">
        <v>0</v>
      </c>
      <c r="CX18" s="19" t="n">
        <v>0</v>
      </c>
      <c r="CY18" s="19" t="n">
        <v>0</v>
      </c>
      <c r="CZ18" s="19" t="n">
        <v>0</v>
      </c>
      <c r="DA18" s="19" t="n">
        <v>0</v>
      </c>
      <c r="DB18" s="19" t="n">
        <v>0</v>
      </c>
      <c r="DC18" s="19" t="n">
        <v>0</v>
      </c>
      <c r="DD18" s="19" t="n">
        <v>0</v>
      </c>
      <c r="DE18" s="19" t="n">
        <v>0</v>
      </c>
    </row>
    <row r="19" customFormat="false" ht="15" hidden="true" customHeight="true" outlineLevel="1" collapsed="false">
      <c r="A19" s="28" t="s">
        <v>13</v>
      </c>
      <c r="B19" s="19" t="n">
        <v>0</v>
      </c>
      <c r="C19" s="19" t="n">
        <v>0</v>
      </c>
      <c r="D19" s="19" t="n">
        <v>0</v>
      </c>
      <c r="E19" s="19" t="n">
        <v>0</v>
      </c>
      <c r="F19" s="19" t="n">
        <f aca="false">IF(AND(Projects!$G$8="Yes",F$3&gt;=Projects!$C$8,F$3&lt;Projects!$C$8+Projects!$D$8),Projects!$B$8*INDEX(Curves!$B$4:$AR$4,1,F$3-Projects!$C$8+1),0)-IF(AND(Projects!$G$8="Yes",F$3&gt;=Projects!$C$8,F$3&lt;Projects!$C$8+Projects!$D$8),Projects!$B$8*(Assumptions!$B$10+Assumptions!$B$11+Assumptions!$B$12)/Projects!$D$8*0.95,0)-IF(AND(Projects!$G$8="Yes",F$3=Projects!$C$8+Projects!$D$8-1),Projects!$B$8*(Assumptions!$B$10+Assumptions!$B$11+Assumptions!$B$12)*0.05,0)</f>
        <v>0</v>
      </c>
      <c r="G19" s="19" t="n">
        <f aca="false">IF(AND(Projects!$G$8="Yes",G$3&gt;=Projects!$C$8,G$3&lt;Projects!$C$8+Projects!$D$8),Projects!$B$8*INDEX(Curves!$B$4:$AR$4,1,G$3-Projects!$C$8+1),0)-IF(AND(Projects!$G$8="Yes",G$3&gt;=Projects!$C$8,G$3&lt;Projects!$C$8+Projects!$D$8),Projects!$B$8*(Assumptions!$B$10+Assumptions!$B$11+Assumptions!$B$12)/Projects!$D$8*0.95,0)-IF(AND(Projects!$G$8="Yes",G$3=Projects!$C$8+Projects!$D$8-1),Projects!$B$8*(Assumptions!$B$10+Assumptions!$B$11+Assumptions!$B$12)*0.05,0)</f>
        <v>0</v>
      </c>
      <c r="H19" s="19" t="n">
        <f aca="false">IF(AND(Projects!$G$8="Yes",H$3&gt;=Projects!$C$8,H$3&lt;Projects!$C$8+Projects!$D$8),Projects!$B$8*INDEX(Curves!$B$4:$AR$4,1,H$3-Projects!$C$8+1),0)-IF(AND(Projects!$G$8="Yes",H$3&gt;=Projects!$C$8,H$3&lt;Projects!$C$8+Projects!$D$8),Projects!$B$8*(Assumptions!$B$10+Assumptions!$B$11+Assumptions!$B$12)/Projects!$D$8*0.95,0)-IF(AND(Projects!$G$8="Yes",H$3=Projects!$C$8+Projects!$D$8-1),Projects!$B$8*(Assumptions!$B$10+Assumptions!$B$11+Assumptions!$B$12)*0.05,0)</f>
        <v>0</v>
      </c>
      <c r="I19" s="19" t="n">
        <v>192026.25</v>
      </c>
      <c r="J19" s="19" t="n">
        <f aca="false">IF(AND(Projects!$G$8="Yes",J$3&gt;=Projects!$C$8,J$3&lt;Projects!$C$8+Projects!$D$8),Projects!$B$8*INDEX(Curves!$B$4:$AR$4,1,J$3-Projects!$C$8+1),0)-IF(AND(Projects!$G$8="Yes",J$3&gt;=Projects!$C$8,J$3&lt;Projects!$C$8+Projects!$D$8),Projects!$B$8*(Assumptions!$B$10+Assumptions!$B$11+Assumptions!$B$12)/Projects!$D$8*0.95,0)-IF(AND(Projects!$G$8="Yes",J$3=Projects!$C$8+Projects!$D$8-1),Projects!$B$8*(Assumptions!$B$10+Assumptions!$B$11+Assumptions!$B$12)*0.05,0)</f>
        <v>266339.274896073</v>
      </c>
      <c r="K19" s="19" t="n">
        <f aca="false">IF(AND(Projects!$G$8="Yes",K$3&gt;=Projects!$C$8,K$3&lt;Projects!$C$8+Projects!$D$8),Projects!$B$8*INDEX(Curves!$B$4:$AR$4,1,K$3-Projects!$C$8+1),0)-IF(AND(Projects!$G$8="Yes",K$3&gt;=Projects!$C$8,K$3&lt;Projects!$C$8+Projects!$D$8),Projects!$B$8*(Assumptions!$B$10+Assumptions!$B$11+Assumptions!$B$12)/Projects!$D$8*0.95,0)-IF(AND(Projects!$G$8="Yes",K$3=Projects!$C$8+Projects!$D$8-1),Projects!$B$8*(Assumptions!$B$10+Assumptions!$B$11+Assumptions!$B$12)*0.05,0)</f>
        <v>347472.412552273</v>
      </c>
      <c r="L19" s="19" t="n">
        <f aca="false">IF(AND(Projects!$G$8="Yes",L$3&gt;=Projects!$C$8,L$3&lt;Projects!$C$8+Projects!$D$8),Projects!$B$8*INDEX(Curves!$B$4:$AR$4,1,L$3-Projects!$C$8+1),0)-IF(AND(Projects!$G$8="Yes",L$3&gt;=Projects!$C$8,L$3&lt;Projects!$C$8+Projects!$D$8),Projects!$B$8*(Assumptions!$B$10+Assumptions!$B$11+Assumptions!$B$12)/Projects!$D$8*0.95,0)-IF(AND(Projects!$G$8="Yes",L$3=Projects!$C$8+Projects!$D$8-1),Projects!$B$8*(Assumptions!$B$10+Assumptions!$B$11+Assumptions!$B$12)*0.05,0)</f>
        <v>434803.581384323</v>
      </c>
      <c r="M19" s="19" t="n">
        <f aca="false">IF(AND(Projects!$G$8="Yes",M$3&gt;=Projects!$C$8,M$3&lt;Projects!$C$8+Projects!$D$8),Projects!$B$8*INDEX(Curves!$B$4:$AR$4,1,M$3-Projects!$C$8+1),0)-IF(AND(Projects!$G$8="Yes",M$3&gt;=Projects!$C$8,M$3&lt;Projects!$C$8+Projects!$D$8),Projects!$B$8*(Assumptions!$B$10+Assumptions!$B$11+Assumptions!$B$12)/Projects!$D$8*0.95,0)-IF(AND(Projects!$G$8="Yes",M$3=Projects!$C$8+Projects!$D$8-1),Projects!$B$8*(Assumptions!$B$10+Assumptions!$B$11+Assumptions!$B$12)*0.05,0)</f>
        <v>524850.449410823</v>
      </c>
      <c r="N19" s="19" t="n">
        <f aca="false">IF(AND(Projects!$G$8="Yes",N$3&gt;=Projects!$C$8,N$3&lt;Projects!$C$8+Projects!$D$8),Projects!$B$8*INDEX(Curves!$B$4:$AR$4,1,N$3-Projects!$C$8+1),0)-IF(AND(Projects!$G$8="Yes",N$3&gt;=Projects!$C$8,N$3&lt;Projects!$C$8+Projects!$D$8),Projects!$B$8*(Assumptions!$B$10+Assumptions!$B$11+Assumptions!$B$12)/Projects!$D$8*0.95,0)-IF(AND(Projects!$G$8="Yes",N$3=Projects!$C$8+Projects!$D$8-1),Projects!$B$8*(Assumptions!$B$10+Assumptions!$B$11+Assumptions!$B$12)*0.05,0)</f>
        <v>613286.089207123</v>
      </c>
      <c r="O19" s="19" t="n">
        <f aca="false">IF(AND(Projects!$G$8="Yes",O$3&gt;=Projects!$C$8,O$3&lt;Projects!$C$8+Projects!$D$8),Projects!$B$8*INDEX(Curves!$B$4:$AR$4,1,O$3-Projects!$C$8+1),0)-IF(AND(Projects!$G$8="Yes",O$3&gt;=Projects!$C$8,O$3&lt;Projects!$C$8+Projects!$D$8),Projects!$B$8*(Assumptions!$B$10+Assumptions!$B$11+Assumptions!$B$12)/Projects!$D$8*0.95,0)-IF(AND(Projects!$G$8="Yes",O$3=Projects!$C$8+Projects!$D$8-1),Projects!$B$8*(Assumptions!$B$10+Assumptions!$B$11+Assumptions!$B$12)*0.05,0)</f>
        <v>695198.853426323</v>
      </c>
      <c r="P19" s="19" t="n">
        <f aca="false">IF(AND(Projects!$G$8="Yes",P$3&gt;=Projects!$C$8,P$3&lt;Projects!$C$8+Projects!$D$8),Projects!$B$8*INDEX(Curves!$B$4:$AR$4,1,P$3-Projects!$C$8+1),0)-IF(AND(Projects!$G$8="Yes",P$3&gt;=Projects!$C$8,P$3&lt;Projects!$C$8+Projects!$D$8),Projects!$B$8*(Assumptions!$B$10+Assumptions!$B$11+Assumptions!$B$12)/Projects!$D$8*0.95,0)-IF(AND(Projects!$G$8="Yes",P$3=Projects!$C$8+Projects!$D$8-1),Projects!$B$8*(Assumptions!$B$10+Assumptions!$B$11+Assumptions!$B$12)*0.05,0)</f>
        <v>765560.150737073</v>
      </c>
      <c r="Q19" s="19" t="n">
        <f aca="false">IF(AND(Projects!$G$8="Yes",Q$3&gt;=Projects!$C$8,Q$3&lt;Projects!$C$8+Projects!$D$8),Projects!$B$8*INDEX(Curves!$B$4:$AR$4,1,Q$3-Projects!$C$8+1),0)-IF(AND(Projects!$G$8="Yes",Q$3&gt;=Projects!$C$8,Q$3&lt;Projects!$C$8+Projects!$D$8),Projects!$B$8*(Assumptions!$B$10+Assumptions!$B$11+Assumptions!$B$12)/Projects!$D$8*0.95,0)-IF(AND(Projects!$G$8="Yes",Q$3=Projects!$C$8+Projects!$D$8-1),Projects!$B$8*(Assumptions!$B$10+Assumptions!$B$11+Assumptions!$B$12)*0.05,0)</f>
        <v>819705.215537423</v>
      </c>
      <c r="R19" s="19" t="n">
        <f aca="false">IF(AND(Projects!$G$8="Yes",R$3&gt;=Projects!$C$8,R$3&lt;Projects!$C$8+Projects!$D$8),Projects!$B$8*INDEX(Curves!$B$4:$AR$4,1,R$3-Projects!$C$8+1),0)-IF(AND(Projects!$G$8="Yes",R$3&gt;=Projects!$C$8,R$3&lt;Projects!$C$8+Projects!$D$8),Projects!$B$8*(Assumptions!$B$10+Assumptions!$B$11+Assumptions!$B$12)/Projects!$D$8*0.95,0)-IF(AND(Projects!$G$8="Yes",R$3=Projects!$C$8+Projects!$D$8-1),Projects!$B$8*(Assumptions!$B$10+Assumptions!$B$11+Assumptions!$B$12)*0.05,0)</f>
        <v>853852.858996823</v>
      </c>
      <c r="S19" s="19" t="n">
        <f aca="false">IF(AND(Projects!$G$8="Yes",S$3&gt;=Projects!$C$8,S$3&lt;Projects!$C$8+Projects!$D$8),Projects!$B$8*INDEX(Curves!$B$4:$AR$4,1,S$3-Projects!$C$8+1),0)-IF(AND(Projects!$G$8="Yes",S$3&gt;=Projects!$C$8,S$3&lt;Projects!$C$8+Projects!$D$8),Projects!$B$8*(Assumptions!$B$10+Assumptions!$B$11+Assumptions!$B$12)/Projects!$D$8*0.95,0)-IF(AND(Projects!$G$8="Yes",S$3=Projects!$C$8+Projects!$D$8-1),Projects!$B$8*(Assumptions!$B$10+Assumptions!$B$11+Assumptions!$B$12)*0.05,0)</f>
        <v>865521.269889723</v>
      </c>
      <c r="T19" s="19" t="n">
        <f aca="false">IF(AND(Projects!$G$8="Yes",T$3&gt;=Projects!$C$8,T$3&lt;Projects!$C$8+Projects!$D$8),Projects!$B$8*INDEX(Curves!$B$4:$AR$4,1,T$3-Projects!$C$8+1),0)-IF(AND(Projects!$G$8="Yes",T$3&gt;=Projects!$C$8,T$3&lt;Projects!$C$8+Projects!$D$8),Projects!$B$8*(Assumptions!$B$10+Assumptions!$B$11+Assumptions!$B$12)/Projects!$D$8*0.95,0)-IF(AND(Projects!$G$8="Yes",T$3=Projects!$C$8+Projects!$D$8-1),Projects!$B$8*(Assumptions!$B$10+Assumptions!$B$11+Assumptions!$B$12)*0.05,0)</f>
        <v>853852.858996823</v>
      </c>
      <c r="U19" s="19" t="n">
        <f aca="false">IF(AND(Projects!$G$8="Yes",U$3&gt;=Projects!$C$8,U$3&lt;Projects!$C$8+Projects!$D$8),Projects!$B$8*INDEX(Curves!$B$4:$AR$4,1,U$3-Projects!$C$8+1),0)-IF(AND(Projects!$G$8="Yes",U$3&gt;=Projects!$C$8,U$3&lt;Projects!$C$8+Projects!$D$8),Projects!$B$8*(Assumptions!$B$10+Assumptions!$B$11+Assumptions!$B$12)/Projects!$D$8*0.95,0)-IF(AND(Projects!$G$8="Yes",U$3=Projects!$C$8+Projects!$D$8-1),Projects!$B$8*(Assumptions!$B$10+Assumptions!$B$11+Assumptions!$B$12)*0.05,0)</f>
        <v>819705.215537423</v>
      </c>
      <c r="V19" s="19" t="n">
        <f aca="false">IF(AND(Projects!$G$8="Yes",V$3&gt;=Projects!$C$8,V$3&lt;Projects!$C$8+Projects!$D$8),Projects!$B$8*INDEX(Curves!$B$4:$AR$4,1,V$3-Projects!$C$8+1),0)-IF(AND(Projects!$G$8="Yes",V$3&gt;=Projects!$C$8,V$3&lt;Projects!$C$8+Projects!$D$8),Projects!$B$8*(Assumptions!$B$10+Assumptions!$B$11+Assumptions!$B$12)/Projects!$D$8*0.95,0)-IF(AND(Projects!$G$8="Yes",V$3=Projects!$C$8+Projects!$D$8-1),Projects!$B$8*(Assumptions!$B$10+Assumptions!$B$11+Assumptions!$B$12)*0.05,0)</f>
        <v>765560.150737073</v>
      </c>
      <c r="W19" s="19" t="n">
        <f aca="false">IF(AND(Projects!$G$8="Yes",W$3&gt;=Projects!$C$8,W$3&lt;Projects!$C$8+Projects!$D$8),Projects!$B$8*INDEX(Curves!$B$4:$AR$4,1,W$3-Projects!$C$8+1),0)-IF(AND(Projects!$G$8="Yes",W$3&gt;=Projects!$C$8,W$3&lt;Projects!$C$8+Projects!$D$8),Projects!$B$8*(Assumptions!$B$10+Assumptions!$B$11+Assumptions!$B$12)/Projects!$D$8*0.95,0)-IF(AND(Projects!$G$8="Yes",W$3=Projects!$C$8+Projects!$D$8-1),Projects!$B$8*(Assumptions!$B$10+Assumptions!$B$11+Assumptions!$B$12)*0.05,0)</f>
        <v>695198.853426323</v>
      </c>
      <c r="X19" s="19" t="n">
        <f aca="false">IF(AND(Projects!$G$8="Yes",X$3&gt;=Projects!$C$8,X$3&lt;Projects!$C$8+Projects!$D$8),Projects!$B$8*INDEX(Curves!$B$4:$AR$4,1,X$3-Projects!$C$8+1),0)-IF(AND(Projects!$G$8="Yes",X$3&gt;=Projects!$C$8,X$3&lt;Projects!$C$8+Projects!$D$8),Projects!$B$8*(Assumptions!$B$10+Assumptions!$B$11+Assumptions!$B$12)/Projects!$D$8*0.95,0)-IF(AND(Projects!$G$8="Yes",X$3=Projects!$C$8+Projects!$D$8-1),Projects!$B$8*(Assumptions!$B$10+Assumptions!$B$11+Assumptions!$B$12)*0.05,0)</f>
        <v>613286.089207123</v>
      </c>
      <c r="Y19" s="19" t="n">
        <f aca="false">IF(AND(Projects!$G$8="Yes",Y$3&gt;=Projects!$C$8,Y$3&lt;Projects!$C$8+Projects!$D$8),Projects!$B$8*INDEX(Curves!$B$4:$AR$4,1,Y$3-Projects!$C$8+1),0)-IF(AND(Projects!$G$8="Yes",Y$3&gt;=Projects!$C$8,Y$3&lt;Projects!$C$8+Projects!$D$8),Projects!$B$8*(Assumptions!$B$10+Assumptions!$B$11+Assumptions!$B$12)/Projects!$D$8*0.95,0)-IF(AND(Projects!$G$8="Yes",Y$3=Projects!$C$8+Projects!$D$8-1),Projects!$B$8*(Assumptions!$B$10+Assumptions!$B$11+Assumptions!$B$12)*0.05,0)</f>
        <v>524850.449410823</v>
      </c>
      <c r="Z19" s="19" t="n">
        <f aca="false">IF(AND(Projects!$G$8="Yes",Z$3&gt;=Projects!$C$8,Z$3&lt;Projects!$C$8+Projects!$D$8),Projects!$B$8*INDEX(Curves!$B$4:$AR$4,1,Z$3-Projects!$C$8+1),0)-IF(AND(Projects!$G$8="Yes",Z$3&gt;=Projects!$C$8,Z$3&lt;Projects!$C$8+Projects!$D$8),Projects!$B$8*(Assumptions!$B$10+Assumptions!$B$11+Assumptions!$B$12)/Projects!$D$8*0.95,0)-IF(AND(Projects!$G$8="Yes",Z$3=Projects!$C$8+Projects!$D$8-1),Projects!$B$8*(Assumptions!$B$10+Assumptions!$B$11+Assumptions!$B$12)*0.05,0)</f>
        <v>434803.581384323</v>
      </c>
      <c r="AA19" s="19" t="n">
        <f aca="false">IF(AND(Projects!$G$8="Yes",AA$3&gt;=Projects!$C$8,AA$3&lt;Projects!$C$8+Projects!$D$8),Projects!$B$8*INDEX(Curves!$B$4:$AR$4,1,AA$3-Projects!$C$8+1),0)-IF(AND(Projects!$G$8="Yes",AA$3&gt;=Projects!$C$8,AA$3&lt;Projects!$C$8+Projects!$D$8),Projects!$B$8*(Assumptions!$B$10+Assumptions!$B$11+Assumptions!$B$12)/Projects!$D$8*0.95,0)-IF(AND(Projects!$G$8="Yes",AA$3=Projects!$C$8+Projects!$D$8-1),Projects!$B$8*(Assumptions!$B$10+Assumptions!$B$11+Assumptions!$B$12)*0.05,0)</f>
        <v>347472.412552273</v>
      </c>
      <c r="AB19" s="19" t="n">
        <f aca="false">IF(AND(Projects!$G$8="Yes",AB$3&gt;=Projects!$C$8,AB$3&lt;Projects!$C$8+Projects!$D$8),Projects!$B$8*INDEX(Curves!$B$4:$AR$4,1,AB$3-Projects!$C$8+1),0)-IF(AND(Projects!$G$8="Yes",AB$3&gt;=Projects!$C$8,AB$3&lt;Projects!$C$8+Projects!$D$8),Projects!$B$8*(Assumptions!$B$10+Assumptions!$B$11+Assumptions!$B$12)/Projects!$D$8*0.95,0)-IF(AND(Projects!$G$8="Yes",AB$3=Projects!$C$8+Projects!$D$8-1),Projects!$B$8*(Assumptions!$B$10+Assumptions!$B$11+Assumptions!$B$12)*0.05,0)</f>
        <v>188122.590274295</v>
      </c>
      <c r="AC19" s="19" t="n">
        <f aca="false">IF(AND(Projects!$G$8="Yes",AC$3&gt;=Projects!$C$8,AC$3&lt;Projects!$C$8+Projects!$D$8),Projects!$B$8*INDEX(Curves!$B$4:$AR$4,1,AC$3-Projects!$C$8+1),0)-IF(AND(Projects!$G$8="Yes",AC$3&gt;=Projects!$C$8,AC$3&lt;Projects!$C$8+Projects!$D$8),Projects!$B$8*(Assumptions!$B$10+Assumptions!$B$11+Assumptions!$B$12)/Projects!$D$8*0.95,0)-IF(AND(Projects!$G$8="Yes",AC$3=Projects!$C$8+Projects!$D$8-1),Projects!$B$8*(Assumptions!$B$10+Assumptions!$B$11+Assumptions!$B$12)*0.05,0)</f>
        <v>0</v>
      </c>
      <c r="AD19" s="19" t="n">
        <f aca="false">IF(AND(Projects!$G$8="Yes",AD$3&gt;=Projects!$C$8,AD$3&lt;Projects!$C$8+Projects!$D$8),Projects!$B$8*INDEX(Curves!$B$4:$AR$4,1,AD$3-Projects!$C$8+1),0)-IF(AND(Projects!$G$8="Yes",AD$3&gt;=Projects!$C$8,AD$3&lt;Projects!$C$8+Projects!$D$8),Projects!$B$8*(Assumptions!$B$10+Assumptions!$B$11+Assumptions!$B$12)/Projects!$D$8*0.95,0)-IF(AND(Projects!$G$8="Yes",AD$3=Projects!$C$8+Projects!$D$8-1),Projects!$B$8*(Assumptions!$B$10+Assumptions!$B$11+Assumptions!$B$12)*0.05,0)</f>
        <v>0</v>
      </c>
      <c r="AE19" s="19" t="n">
        <f aca="false">IF(AND(Projects!$G$8="Yes",AE$3&gt;=Projects!$C$8,AE$3&lt;Projects!$C$8+Projects!$D$8),Projects!$B$8*INDEX(Curves!$B$4:$AR$4,1,AE$3-Projects!$C$8+1),0)-IF(AND(Projects!$G$8="Yes",AE$3&gt;=Projects!$C$8,AE$3&lt;Projects!$C$8+Projects!$D$8),Projects!$B$8*(Assumptions!$B$10+Assumptions!$B$11+Assumptions!$B$12)/Projects!$D$8*0.95,0)-IF(AND(Projects!$G$8="Yes",AE$3=Projects!$C$8+Projects!$D$8-1),Projects!$B$8*(Assumptions!$B$10+Assumptions!$B$11+Assumptions!$B$12)*0.05,0)</f>
        <v>0</v>
      </c>
      <c r="AF19" s="19" t="n">
        <f aca="false">IF(AND(Projects!$G$8="Yes",AF$3&gt;=Projects!$C$8,AF$3&lt;Projects!$C$8+Projects!$D$8),Projects!$B$8*INDEX(Curves!$B$4:$AR$4,1,AF$3-Projects!$C$8+1),0)-IF(AND(Projects!$G$8="Yes",AF$3&gt;=Projects!$C$8,AF$3&lt;Projects!$C$8+Projects!$D$8),Projects!$B$8*(Assumptions!$B$10+Assumptions!$B$11+Assumptions!$B$12)/Projects!$D$8*0.95,0)-IF(AND(Projects!$G$8="Yes",AF$3=Projects!$C$8+Projects!$D$8-1),Projects!$B$8*(Assumptions!$B$10+Assumptions!$B$11+Assumptions!$B$12)*0.05,0)</f>
        <v>0</v>
      </c>
      <c r="AG19" s="19" t="n">
        <f aca="false">IF(AND(Projects!$G$8="Yes",AG$3&gt;=Projects!$C$8,AG$3&lt;Projects!$C$8+Projects!$D$8),Projects!$B$8*INDEX(Curves!$B$4:$AR$4,1,AG$3-Projects!$C$8+1),0)-IF(AND(Projects!$G$8="Yes",AG$3&gt;=Projects!$C$8,AG$3&lt;Projects!$C$8+Projects!$D$8),Projects!$B$8*(Assumptions!$B$10+Assumptions!$B$11+Assumptions!$B$12)/Projects!$D$8*0.95,0)-IF(AND(Projects!$G$8="Yes",AG$3=Projects!$C$8+Projects!$D$8-1),Projects!$B$8*(Assumptions!$B$10+Assumptions!$B$11+Assumptions!$B$12)*0.05,0)</f>
        <v>0</v>
      </c>
      <c r="AH19" s="19" t="n">
        <f aca="false">IF(AND(Projects!$G$8="Yes",AH$3&gt;=Projects!$C$8,AH$3&lt;Projects!$C$8+Projects!$D$8),Projects!$B$8*INDEX(Curves!$B$4:$AR$4,1,AH$3-Projects!$C$8+1),0)-IF(AND(Projects!$G$8="Yes",AH$3&gt;=Projects!$C$8,AH$3&lt;Projects!$C$8+Projects!$D$8),Projects!$B$8*(Assumptions!$B$10+Assumptions!$B$11+Assumptions!$B$12)/Projects!$D$8*0.95,0)-IF(AND(Projects!$G$8="Yes",AH$3=Projects!$C$8+Projects!$D$8-1),Projects!$B$8*(Assumptions!$B$10+Assumptions!$B$11+Assumptions!$B$12)*0.05,0)</f>
        <v>0</v>
      </c>
      <c r="AI19" s="19" t="n">
        <f aca="false">IF(AND(Projects!$G$8="Yes",AI$3&gt;=Projects!$C$8,AI$3&lt;Projects!$C$8+Projects!$D$8),Projects!$B$8*INDEX(Curves!$B$4:$AR$4,1,AI$3-Projects!$C$8+1),0)-IF(AND(Projects!$G$8="Yes",AI$3&gt;=Projects!$C$8,AI$3&lt;Projects!$C$8+Projects!$D$8),Projects!$B$8*(Assumptions!$B$10+Assumptions!$B$11+Assumptions!$B$12)/Projects!$D$8*0.95,0)-IF(AND(Projects!$G$8="Yes",AI$3=Projects!$C$8+Projects!$D$8-1),Projects!$B$8*(Assumptions!$B$10+Assumptions!$B$11+Assumptions!$B$12)*0.05,0)</f>
        <v>0</v>
      </c>
      <c r="AJ19" s="19" t="n">
        <f aca="false">IF(AND(Projects!$G$8="Yes",AJ$3&gt;=Projects!$C$8,AJ$3&lt;Projects!$C$8+Projects!$D$8),Projects!$B$8*INDEX(Curves!$B$4:$AR$4,1,AJ$3-Projects!$C$8+1),0)-IF(AND(Projects!$G$8="Yes",AJ$3&gt;=Projects!$C$8,AJ$3&lt;Projects!$C$8+Projects!$D$8),Projects!$B$8*(Assumptions!$B$10+Assumptions!$B$11+Assumptions!$B$12)/Projects!$D$8*0.95,0)-IF(AND(Projects!$G$8="Yes",AJ$3=Projects!$C$8+Projects!$D$8-1),Projects!$B$8*(Assumptions!$B$10+Assumptions!$B$11+Assumptions!$B$12)*0.05,0)</f>
        <v>0</v>
      </c>
      <c r="AK19" s="19" t="n">
        <f aca="false">IF(AND(Projects!$G$8="Yes",AK$3&gt;=Projects!$C$8,AK$3&lt;Projects!$C$8+Projects!$D$8),Projects!$B$8*INDEX(Curves!$B$4:$AR$4,1,AK$3-Projects!$C$8+1),0)-IF(AND(Projects!$G$8="Yes",AK$3&gt;=Projects!$C$8,AK$3&lt;Projects!$C$8+Projects!$D$8),Projects!$B$8*(Assumptions!$B$10+Assumptions!$B$11+Assumptions!$B$12)/Projects!$D$8*0.95,0)-IF(AND(Projects!$G$8="Yes",AK$3=Projects!$C$8+Projects!$D$8-1),Projects!$B$8*(Assumptions!$B$10+Assumptions!$B$11+Assumptions!$B$12)*0.05,0)</f>
        <v>0</v>
      </c>
      <c r="AL19" s="19" t="n">
        <f aca="false">IF(AND(Projects!$G$8="Yes",AL$3&gt;=Projects!$C$8,AL$3&lt;Projects!$C$8+Projects!$D$8),Projects!$B$8*INDEX(Curves!$B$4:$AR$4,1,AL$3-Projects!$C$8+1),0)-IF(AND(Projects!$G$8="Yes",AL$3&gt;=Projects!$C$8,AL$3&lt;Projects!$C$8+Projects!$D$8),Projects!$B$8*(Assumptions!$B$10+Assumptions!$B$11+Assumptions!$B$12)/Projects!$D$8*0.95,0)-IF(AND(Projects!$G$8="Yes",AL$3=Projects!$C$8+Projects!$D$8-1),Projects!$B$8*(Assumptions!$B$10+Assumptions!$B$11+Assumptions!$B$12)*0.05,0)</f>
        <v>0</v>
      </c>
      <c r="AM19" s="19" t="n">
        <f aca="false">IF(AND(Projects!$G$8="Yes",AM$3&gt;=Projects!$C$8,AM$3&lt;Projects!$C$8+Projects!$D$8),Projects!$B$8*INDEX(Curves!$B$4:$AR$4,1,AM$3-Projects!$C$8+1),0)-IF(AND(Projects!$G$8="Yes",AM$3&gt;=Projects!$C$8,AM$3&lt;Projects!$C$8+Projects!$D$8),Projects!$B$8*(Assumptions!$B$10+Assumptions!$B$11+Assumptions!$B$12)/Projects!$D$8*0.95,0)-IF(AND(Projects!$G$8="Yes",AM$3=Projects!$C$8+Projects!$D$8-1),Projects!$B$8*(Assumptions!$B$10+Assumptions!$B$11+Assumptions!$B$12)*0.05,0)</f>
        <v>0</v>
      </c>
      <c r="AN19" s="19" t="n">
        <f aca="false">IF(AND(Projects!$G$8="Yes",AN$3&gt;=Projects!$C$8,AN$3&lt;Projects!$C$8+Projects!$D$8),Projects!$B$8*INDEX(Curves!$B$4:$AR$4,1,AN$3-Projects!$C$8+1),0)-IF(AND(Projects!$G$8="Yes",AN$3&gt;=Projects!$C$8,AN$3&lt;Projects!$C$8+Projects!$D$8),Projects!$B$8*(Assumptions!$B$10+Assumptions!$B$11+Assumptions!$B$12)/Projects!$D$8*0.95,0)-IF(AND(Projects!$G$8="Yes",AN$3=Projects!$C$8+Projects!$D$8-1),Projects!$B$8*(Assumptions!$B$10+Assumptions!$B$11+Assumptions!$B$12)*0.05,0)</f>
        <v>0</v>
      </c>
      <c r="AO19" s="19" t="n">
        <f aca="false">IF(AND(Projects!$G$8="Yes",AO$3&gt;=Projects!$C$8,AO$3&lt;Projects!$C$8+Projects!$D$8),Projects!$B$8*INDEX(Curves!$B$4:$AR$4,1,AO$3-Projects!$C$8+1),0)-IF(AND(Projects!$G$8="Yes",AO$3&gt;=Projects!$C$8,AO$3&lt;Projects!$C$8+Projects!$D$8),Projects!$B$8*(Assumptions!$B$10+Assumptions!$B$11+Assumptions!$B$12)/Projects!$D$8*0.95,0)-IF(AND(Projects!$G$8="Yes",AO$3=Projects!$C$8+Projects!$D$8-1),Projects!$B$8*(Assumptions!$B$10+Assumptions!$B$11+Assumptions!$B$12)*0.05,0)</f>
        <v>0</v>
      </c>
      <c r="AP19" s="19" t="n">
        <f aca="false">IF(AND(Projects!$G$8="Yes",AP$3&gt;=Projects!$C$8,AP$3&lt;Projects!$C$8+Projects!$D$8),Projects!$B$8*INDEX(Curves!$B$4:$AR$4,1,AP$3-Projects!$C$8+1),0)-IF(AND(Projects!$G$8="Yes",AP$3&gt;=Projects!$C$8,AP$3&lt;Projects!$C$8+Projects!$D$8),Projects!$B$8*(Assumptions!$B$10+Assumptions!$B$11+Assumptions!$B$12)/Projects!$D$8*0.95,0)-IF(AND(Projects!$G$8="Yes",AP$3=Projects!$C$8+Projects!$D$8-1),Projects!$B$8*(Assumptions!$B$10+Assumptions!$B$11+Assumptions!$B$12)*0.05,0)</f>
        <v>0</v>
      </c>
      <c r="AQ19" s="19" t="n">
        <f aca="false">IF(AND(Projects!$G$8="Yes",AQ$3&gt;=Projects!$C$8,AQ$3&lt;Projects!$C$8+Projects!$D$8),Projects!$B$8*INDEX(Curves!$B$4:$AR$4,1,AQ$3-Projects!$C$8+1),0)-IF(AND(Projects!$G$8="Yes",AQ$3&gt;=Projects!$C$8,AQ$3&lt;Projects!$C$8+Projects!$D$8),Projects!$B$8*(Assumptions!$B$10+Assumptions!$B$11+Assumptions!$B$12)/Projects!$D$8*0.95,0)-IF(AND(Projects!$G$8="Yes",AQ$3=Projects!$C$8+Projects!$D$8-1),Projects!$B$8*(Assumptions!$B$10+Assumptions!$B$11+Assumptions!$B$12)*0.05,0)</f>
        <v>0</v>
      </c>
      <c r="AR19" s="19" t="n">
        <f aca="false">IF(AND(Projects!$G$8="Yes",AR$3&gt;=Projects!$C$8,AR$3&lt;Projects!$C$8+Projects!$D$8),Projects!$B$8*INDEX(Curves!$B$4:$AR$4,1,AR$3-Projects!$C$8+1),0)-IF(AND(Projects!$G$8="Yes",AR$3&gt;=Projects!$C$8,AR$3&lt;Projects!$C$8+Projects!$D$8),Projects!$B$8*(Assumptions!$B$10+Assumptions!$B$11+Assumptions!$B$12)/Projects!$D$8*0.95,0)-IF(AND(Projects!$G$8="Yes",AR$3=Projects!$C$8+Projects!$D$8-1),Projects!$B$8*(Assumptions!$B$10+Assumptions!$B$11+Assumptions!$B$12)*0.05,0)</f>
        <v>0</v>
      </c>
      <c r="AS19" s="19" t="n">
        <f aca="false">IF(AND(Projects!$G$8="Yes",AS$3&gt;=Projects!$C$8,AS$3&lt;Projects!$C$8+Projects!$D$8),Projects!$B$8*INDEX(Curves!$B$4:$AR$4,1,AS$3-Projects!$C$8+1),0)-IF(AND(Projects!$G$8="Yes",AS$3&gt;=Projects!$C$8,AS$3&lt;Projects!$C$8+Projects!$D$8),Projects!$B$8*(Assumptions!$B$10+Assumptions!$B$11+Assumptions!$B$12)/Projects!$D$8*0.95,0)-IF(AND(Projects!$G$8="Yes",AS$3=Projects!$C$8+Projects!$D$8-1),Projects!$B$8*(Assumptions!$B$10+Assumptions!$B$11+Assumptions!$B$12)*0.05,0)</f>
        <v>0</v>
      </c>
      <c r="AT19" s="19" t="n">
        <f aca="false">IF(AND(Projects!$G$8="Yes",AT$3&gt;=Projects!$C$8,AT$3&lt;Projects!$C$8+Projects!$D$8),Projects!$B$8*INDEX(Curves!$B$4:$AR$4,1,AT$3-Projects!$C$8+1),0)-IF(AND(Projects!$G$8="Yes",AT$3&gt;=Projects!$C$8,AT$3&lt;Projects!$C$8+Projects!$D$8),Projects!$B$8*(Assumptions!$B$10+Assumptions!$B$11+Assumptions!$B$12)/Projects!$D$8*0.95,0)-IF(AND(Projects!$G$8="Yes",AT$3=Projects!$C$8+Projects!$D$8-1),Projects!$B$8*(Assumptions!$B$10+Assumptions!$B$11+Assumptions!$B$12)*0.05,0)</f>
        <v>0</v>
      </c>
      <c r="AU19" s="19" t="n">
        <f aca="false">IF(AND(Projects!$G$8="Yes",AU$3&gt;=Projects!$C$8,AU$3&lt;Projects!$C$8+Projects!$D$8),Projects!$B$8*INDEX(Curves!$B$4:$AR$4,1,AU$3-Projects!$C$8+1),0)-IF(AND(Projects!$G$8="Yes",AU$3&gt;=Projects!$C$8,AU$3&lt;Projects!$C$8+Projects!$D$8),Projects!$B$8*(Assumptions!$B$10+Assumptions!$B$11+Assumptions!$B$12)/Projects!$D$8*0.95,0)-IF(AND(Projects!$G$8="Yes",AU$3=Projects!$C$8+Projects!$D$8-1),Projects!$B$8*(Assumptions!$B$10+Assumptions!$B$11+Assumptions!$B$12)*0.05,0)</f>
        <v>0</v>
      </c>
      <c r="AV19" s="19" t="n">
        <f aca="false">IF(AND(Projects!$G$8="Yes",AV$3&gt;=Projects!$C$8,AV$3&lt;Projects!$C$8+Projects!$D$8),Projects!$B$8*INDEX(Curves!$B$4:$AR$4,1,AV$3-Projects!$C$8+1),0)-IF(AND(Projects!$G$8="Yes",AV$3&gt;=Projects!$C$8,AV$3&lt;Projects!$C$8+Projects!$D$8),Projects!$B$8*(Assumptions!$B$10+Assumptions!$B$11+Assumptions!$B$12)/Projects!$D$8*0.95,0)-IF(AND(Projects!$G$8="Yes",AV$3=Projects!$C$8+Projects!$D$8-1),Projects!$B$8*(Assumptions!$B$10+Assumptions!$B$11+Assumptions!$B$12)*0.05,0)</f>
        <v>0</v>
      </c>
      <c r="AW19" s="19" t="n">
        <f aca="false">IF(AND(Projects!$G$8="Yes",AW$3&gt;=Projects!$C$8,AW$3&lt;Projects!$C$8+Projects!$D$8),Projects!$B$8*INDEX(Curves!$B$4:$AR$4,1,AW$3-Projects!$C$8+1),0)-IF(AND(Projects!$G$8="Yes",AW$3&gt;=Projects!$C$8,AW$3&lt;Projects!$C$8+Projects!$D$8),Projects!$B$8*(Assumptions!$B$10+Assumptions!$B$11+Assumptions!$B$12)/Projects!$D$8*0.95,0)-IF(AND(Projects!$G$8="Yes",AW$3=Projects!$C$8+Projects!$D$8-1),Projects!$B$8*(Assumptions!$B$10+Assumptions!$B$11+Assumptions!$B$12)*0.05,0)</f>
        <v>0</v>
      </c>
      <c r="AX19" s="19" t="n">
        <f aca="false">IF(AND(Projects!$G$8="Yes",AX$3&gt;=Projects!$C$8,AX$3&lt;Projects!$C$8+Projects!$D$8),Projects!$B$8*INDEX(Curves!$B$4:$AR$4,1,AX$3-Projects!$C$8+1),0)-IF(AND(Projects!$G$8="Yes",AX$3&gt;=Projects!$C$8,AX$3&lt;Projects!$C$8+Projects!$D$8),Projects!$B$8*(Assumptions!$B$10+Assumptions!$B$11+Assumptions!$B$12)/Projects!$D$8*0.95,0)-IF(AND(Projects!$G$8="Yes",AX$3=Projects!$C$8+Projects!$D$8-1),Projects!$B$8*(Assumptions!$B$10+Assumptions!$B$11+Assumptions!$B$12)*0.05,0)</f>
        <v>0</v>
      </c>
      <c r="AY19" s="19" t="n">
        <f aca="false">IF(AND(Projects!$G$8="Yes",AY$3&gt;=Projects!$C$8,AY$3&lt;Projects!$C$8+Projects!$D$8),Projects!$B$8*INDEX(Curves!$B$4:$AR$4,1,AY$3-Projects!$C$8+1),0)-IF(AND(Projects!$G$8="Yes",AY$3&gt;=Projects!$C$8,AY$3&lt;Projects!$C$8+Projects!$D$8),Projects!$B$8*(Assumptions!$B$10+Assumptions!$B$11+Assumptions!$B$12)/Projects!$D$8*0.95,0)-IF(AND(Projects!$G$8="Yes",AY$3=Projects!$C$8+Projects!$D$8-1),Projects!$B$8*(Assumptions!$B$10+Assumptions!$B$11+Assumptions!$B$12)*0.05,0)</f>
        <v>0</v>
      </c>
      <c r="AZ19" s="19" t="n">
        <f aca="false">IF(AND(Projects!$G$8="Yes",AZ$3&gt;=Projects!$C$8,AZ$3&lt;Projects!$C$8+Projects!$D$8),Projects!$B$8*INDEX(Curves!$B$4:$AR$4,1,AZ$3-Projects!$C$8+1),0)-IF(AND(Projects!$G$8="Yes",AZ$3&gt;=Projects!$C$8,AZ$3&lt;Projects!$C$8+Projects!$D$8),Projects!$B$8*(Assumptions!$B$10+Assumptions!$B$11+Assumptions!$B$12)/Projects!$D$8*0.95,0)-IF(AND(Projects!$G$8="Yes",AZ$3=Projects!$C$8+Projects!$D$8-1),Projects!$B$8*(Assumptions!$B$10+Assumptions!$B$11+Assumptions!$B$12)*0.05,0)</f>
        <v>0</v>
      </c>
      <c r="BA19" s="19" t="n">
        <f aca="false">IF(AND(Projects!$G$8="Yes",BA$3&gt;=Projects!$C$8,BA$3&lt;Projects!$C$8+Projects!$D$8),Projects!$B$8*INDEX(Curves!$B$4:$AR$4,1,BA$3-Projects!$C$8+1),0)-IF(AND(Projects!$G$8="Yes",BA$3&gt;=Projects!$C$8,BA$3&lt;Projects!$C$8+Projects!$D$8),Projects!$B$8*(Assumptions!$B$10+Assumptions!$B$11+Assumptions!$B$12)/Projects!$D$8*0.95,0)-IF(AND(Projects!$G$8="Yes",BA$3=Projects!$C$8+Projects!$D$8-1),Projects!$B$8*(Assumptions!$B$10+Assumptions!$B$11+Assumptions!$B$12)*0.05,0)</f>
        <v>0</v>
      </c>
      <c r="BB19" s="19" t="n">
        <f aca="false">IF(AND(Projects!$G$8="Yes",BB$3&gt;=Projects!$C$8,BB$3&lt;Projects!$C$8+Projects!$D$8),Projects!$B$8*INDEX(Curves!$B$4:$AR$4,1,BB$3-Projects!$C$8+1),0)-IF(AND(Projects!$G$8="Yes",BB$3&gt;=Projects!$C$8,BB$3&lt;Projects!$C$8+Projects!$D$8),Projects!$B$8*(Assumptions!$B$10+Assumptions!$B$11+Assumptions!$B$12)/Projects!$D$8*0.95,0)-IF(AND(Projects!$G$8="Yes",BB$3=Projects!$C$8+Projects!$D$8-1),Projects!$B$8*(Assumptions!$B$10+Assumptions!$B$11+Assumptions!$B$12)*0.05,0)</f>
        <v>0</v>
      </c>
      <c r="BC19" s="19" t="n">
        <f aca="false">IF(AND(Projects!$G$8="Yes",BC$3&gt;=Projects!$C$8,BC$3&lt;Projects!$C$8+Projects!$D$8),Projects!$B$8*INDEX(Curves!$B$4:$AR$4,1,BC$3-Projects!$C$8+1),0)-IF(AND(Projects!$G$8="Yes",BC$3&gt;=Projects!$C$8,BC$3&lt;Projects!$C$8+Projects!$D$8),Projects!$B$8*(Assumptions!$B$10+Assumptions!$B$11+Assumptions!$B$12)/Projects!$D$8*0.95,0)-IF(AND(Projects!$G$8="Yes",BC$3=Projects!$C$8+Projects!$D$8-1),Projects!$B$8*(Assumptions!$B$10+Assumptions!$B$11+Assumptions!$B$12)*0.05,0)</f>
        <v>0</v>
      </c>
      <c r="BD19" s="19" t="n">
        <f aca="false">IF(AND(Projects!$G$8="Yes",BD$3&gt;=Projects!$C$8,BD$3&lt;Projects!$C$8+Projects!$D$8),Projects!$B$8*INDEX(Curves!$B$4:$AR$4,1,BD$3-Projects!$C$8+1),0)-IF(AND(Projects!$G$8="Yes",BD$3&gt;=Projects!$C$8,BD$3&lt;Projects!$C$8+Projects!$D$8),Projects!$B$8*(Assumptions!$B$10+Assumptions!$B$11+Assumptions!$B$12)/Projects!$D$8*0.95,0)-IF(AND(Projects!$G$8="Yes",BD$3=Projects!$C$8+Projects!$D$8-1),Projects!$B$8*(Assumptions!$B$10+Assumptions!$B$11+Assumptions!$B$12)*0.05,0)</f>
        <v>0</v>
      </c>
      <c r="BE19" s="19" t="n">
        <f aca="false">IF(AND(Projects!$G$8="Yes",BE$3&gt;=Projects!$C$8,BE$3&lt;Projects!$C$8+Projects!$D$8),Projects!$B$8*INDEX(Curves!$B$4:$AR$4,1,BE$3-Projects!$C$8+1),0)-IF(AND(Projects!$G$8="Yes",BE$3&gt;=Projects!$C$8,BE$3&lt;Projects!$C$8+Projects!$D$8),Projects!$B$8*(Assumptions!$B$10+Assumptions!$B$11+Assumptions!$B$12)/Projects!$D$8*0.95,0)-IF(AND(Projects!$G$8="Yes",BE$3=Projects!$C$8+Projects!$D$8-1),Projects!$B$8*(Assumptions!$B$10+Assumptions!$B$11+Assumptions!$B$12)*0.05,0)</f>
        <v>0</v>
      </c>
      <c r="BF19" s="19" t="n">
        <f aca="false">IF(AND(Projects!$G$8="Yes",BF$3&gt;=Projects!$C$8,BF$3&lt;Projects!$C$8+Projects!$D$8),Projects!$B$8*INDEX(Curves!$B$4:$AR$4,1,BF$3-Projects!$C$8+1),0)-IF(AND(Projects!$G$8="Yes",BF$3&gt;=Projects!$C$8,BF$3&lt;Projects!$C$8+Projects!$D$8),Projects!$B$8*(Assumptions!$B$10+Assumptions!$B$11+Assumptions!$B$12)/Projects!$D$8*0.95,0)-IF(AND(Projects!$G$8="Yes",BF$3=Projects!$C$8+Projects!$D$8-1),Projects!$B$8*(Assumptions!$B$10+Assumptions!$B$11+Assumptions!$B$12)*0.05,0)</f>
        <v>0</v>
      </c>
      <c r="BG19" s="19" t="n">
        <f aca="false">IF(AND(Projects!$G$8="Yes",BG$3&gt;=Projects!$C$8,BG$3&lt;Projects!$C$8+Projects!$D$8),Projects!$B$8*INDEX(Curves!$B$4:$AR$4,1,BG$3-Projects!$C$8+1),0)-IF(AND(Projects!$G$8="Yes",BG$3&gt;=Projects!$C$8,BG$3&lt;Projects!$C$8+Projects!$D$8),Projects!$B$8*(Assumptions!$B$10+Assumptions!$B$11+Assumptions!$B$12)/Projects!$D$8*0.95,0)-IF(AND(Projects!$G$8="Yes",BG$3=Projects!$C$8+Projects!$D$8-1),Projects!$B$8*(Assumptions!$B$10+Assumptions!$B$11+Assumptions!$B$12)*0.05,0)</f>
        <v>0</v>
      </c>
      <c r="BH19" s="19" t="n">
        <f aca="false">IF(AND(Projects!$G$8="Yes",BH$3&gt;=Projects!$C$8,BH$3&lt;Projects!$C$8+Projects!$D$8),Projects!$B$8*INDEX(Curves!$B$4:$AR$4,1,BH$3-Projects!$C$8+1),0)-IF(AND(Projects!$G$8="Yes",BH$3&gt;=Projects!$C$8,BH$3&lt;Projects!$C$8+Projects!$D$8),Projects!$B$8*(Assumptions!$B$10+Assumptions!$B$11+Assumptions!$B$12)/Projects!$D$8*0.95,0)-IF(AND(Projects!$G$8="Yes",BH$3=Projects!$C$8+Projects!$D$8-1),Projects!$B$8*(Assumptions!$B$10+Assumptions!$B$11+Assumptions!$B$12)*0.05,0)</f>
        <v>0</v>
      </c>
      <c r="BI19" s="19" t="n">
        <f aca="false">IF(AND(Projects!$G$8="Yes",BI$3&gt;=Projects!$C$8,BI$3&lt;Projects!$C$8+Projects!$D$8),Projects!$B$8*INDEX(Curves!$B$4:$AR$4,1,BI$3-Projects!$C$8+1),0)-IF(AND(Projects!$G$8="Yes",BI$3&gt;=Projects!$C$8,BI$3&lt;Projects!$C$8+Projects!$D$8),Projects!$B$8*(Assumptions!$B$10+Assumptions!$B$11+Assumptions!$B$12)/Projects!$D$8*0.95,0)-IF(AND(Projects!$G$8="Yes",BI$3=Projects!$C$8+Projects!$D$8-1),Projects!$B$8*(Assumptions!$B$10+Assumptions!$B$11+Assumptions!$B$12)*0.05,0)</f>
        <v>0</v>
      </c>
      <c r="BJ19" s="19" t="n">
        <f aca="false">IF(AND(Projects!$G$8="Yes",BJ$3&gt;=Projects!$C$8,BJ$3&lt;Projects!$C$8+Projects!$D$8),Projects!$B$8*INDEX(Curves!$B$4:$AR$4,1,BJ$3-Projects!$C$8+1),0)-IF(AND(Projects!$G$8="Yes",BJ$3&gt;=Projects!$C$8,BJ$3&lt;Projects!$C$8+Projects!$D$8),Projects!$B$8*(Assumptions!$B$10+Assumptions!$B$11+Assumptions!$B$12)/Projects!$D$8*0.95,0)-IF(AND(Projects!$G$8="Yes",BJ$3=Projects!$C$8+Projects!$D$8-1),Projects!$B$8*(Assumptions!$B$10+Assumptions!$B$11+Assumptions!$B$12)*0.05,0)</f>
        <v>0</v>
      </c>
      <c r="BK19" s="19" t="n">
        <f aca="false">IF(AND(Projects!$G$8="Yes",BK$3&gt;=Projects!$C$8,BK$3&lt;Projects!$C$8+Projects!$D$8),Projects!$B$8*INDEX(Curves!$B$4:$AR$4,1,BK$3-Projects!$C$8+1),0)-IF(AND(Projects!$G$8="Yes",BK$3&gt;=Projects!$C$8,BK$3&lt;Projects!$C$8+Projects!$D$8),Projects!$B$8*(Assumptions!$B$10+Assumptions!$B$11+Assumptions!$B$12)/Projects!$D$8*0.95,0)-IF(AND(Projects!$G$8="Yes",BK$3=Projects!$C$8+Projects!$D$8-1),Projects!$B$8*(Assumptions!$B$10+Assumptions!$B$11+Assumptions!$B$12)*0.05,0)</f>
        <v>0</v>
      </c>
      <c r="BL19" s="19" t="n">
        <f aca="false">IF(AND(Projects!$G$8="Yes",BL$3&gt;=Projects!$C$8,BL$3&lt;Projects!$C$8+Projects!$D$8),Projects!$B$8*INDEX(Curves!$B$4:$AR$4,1,BL$3-Projects!$C$8+1),0)-IF(AND(Projects!$G$8="Yes",BL$3&gt;=Projects!$C$8,BL$3&lt;Projects!$C$8+Projects!$D$8),Projects!$B$8*(Assumptions!$B$10+Assumptions!$B$11+Assumptions!$B$12)/Projects!$D$8*0.95,0)-IF(AND(Projects!$G$8="Yes",BL$3=Projects!$C$8+Projects!$D$8-1),Projects!$B$8*(Assumptions!$B$10+Assumptions!$B$11+Assumptions!$B$12)*0.05,0)</f>
        <v>0</v>
      </c>
      <c r="BM19" s="19" t="n">
        <f aca="false">IF(AND(Projects!$G$8="Yes",BM$3&gt;=Projects!$C$8,BM$3&lt;Projects!$C$8+Projects!$D$8),Projects!$B$8*INDEX(Curves!$B$4:$AR$4,1,BM$3-Projects!$C$8+1),0)-IF(AND(Projects!$G$8="Yes",BM$3&gt;=Projects!$C$8,BM$3&lt;Projects!$C$8+Projects!$D$8),Projects!$B$8*(Assumptions!$B$10+Assumptions!$B$11+Assumptions!$B$12)/Projects!$D$8*0.95,0)-IF(AND(Projects!$G$8="Yes",BM$3=Projects!$C$8+Projects!$D$8-1),Projects!$B$8*(Assumptions!$B$10+Assumptions!$B$11+Assumptions!$B$12)*0.05,0)</f>
        <v>0</v>
      </c>
      <c r="BN19" s="19" t="n">
        <f aca="false">IF(AND(Projects!$G$8="Yes",BN$3&gt;=Projects!$C$8,BN$3&lt;Projects!$C$8+Projects!$D$8),Projects!$B$8*INDEX(Curves!$B$4:$AR$4,1,BN$3-Projects!$C$8+1),0)-IF(AND(Projects!$G$8="Yes",BN$3&gt;=Projects!$C$8,BN$3&lt;Projects!$C$8+Projects!$D$8),Projects!$B$8*(Assumptions!$B$10+Assumptions!$B$11+Assumptions!$B$12)/Projects!$D$8*0.95,0)-IF(AND(Projects!$G$8="Yes",BN$3=Projects!$C$8+Projects!$D$8-1),Projects!$B$8*(Assumptions!$B$10+Assumptions!$B$11+Assumptions!$B$12)*0.05,0)</f>
        <v>0</v>
      </c>
      <c r="BO19" s="19" t="n">
        <f aca="false">IF(AND(Projects!$G$8="Yes",BO$3&gt;=Projects!$C$8,BO$3&lt;Projects!$C$8+Projects!$D$8),Projects!$B$8*INDEX(Curves!$B$4:$AR$4,1,BO$3-Projects!$C$8+1),0)-IF(AND(Projects!$G$8="Yes",BO$3&gt;=Projects!$C$8,BO$3&lt;Projects!$C$8+Projects!$D$8),Projects!$B$8*(Assumptions!$B$10+Assumptions!$B$11+Assumptions!$B$12)/Projects!$D$8*0.95,0)-IF(AND(Projects!$G$8="Yes",BO$3=Projects!$C$8+Projects!$D$8-1),Projects!$B$8*(Assumptions!$B$10+Assumptions!$B$11+Assumptions!$B$12)*0.05,0)</f>
        <v>0</v>
      </c>
      <c r="BP19" s="19" t="n">
        <f aca="false">IF(AND(Projects!$G$8="Yes",BP$3&gt;=Projects!$C$8,BP$3&lt;Projects!$C$8+Projects!$D$8),Projects!$B$8*INDEX(Curves!$B$4:$AR$4,1,BP$3-Projects!$C$8+1),0)-IF(AND(Projects!$G$8="Yes",BP$3&gt;=Projects!$C$8,BP$3&lt;Projects!$C$8+Projects!$D$8),Projects!$B$8*(Assumptions!$B$10+Assumptions!$B$11+Assumptions!$B$12)/Projects!$D$8*0.95,0)-IF(AND(Projects!$G$8="Yes",BP$3=Projects!$C$8+Projects!$D$8-1),Projects!$B$8*(Assumptions!$B$10+Assumptions!$B$11+Assumptions!$B$12)*0.05,0)</f>
        <v>0</v>
      </c>
      <c r="BQ19" s="19" t="n">
        <f aca="false">IF(AND(Projects!$G$8="Yes",BQ$3&gt;=Projects!$C$8,BQ$3&lt;Projects!$C$8+Projects!$D$8),Projects!$B$8*INDEX(Curves!$B$4:$AR$4,1,BQ$3-Projects!$C$8+1),0)-IF(AND(Projects!$G$8="Yes",BQ$3&gt;=Projects!$C$8,BQ$3&lt;Projects!$C$8+Projects!$D$8),Projects!$B$8*(Assumptions!$B$10+Assumptions!$B$11+Assumptions!$B$12)/Projects!$D$8*0.95,0)-IF(AND(Projects!$G$8="Yes",BQ$3=Projects!$C$8+Projects!$D$8-1),Projects!$B$8*(Assumptions!$B$10+Assumptions!$B$11+Assumptions!$B$12)*0.05,0)</f>
        <v>0</v>
      </c>
      <c r="BR19" s="19" t="n">
        <f aca="false">IF(AND(Projects!$G$8="Yes",BR$3&gt;=Projects!$C$8,BR$3&lt;Projects!$C$8+Projects!$D$8),Projects!$B$8*INDEX(Curves!$B$4:$AR$4,1,BR$3-Projects!$C$8+1),0)-IF(AND(Projects!$G$8="Yes",BR$3&gt;=Projects!$C$8,BR$3&lt;Projects!$C$8+Projects!$D$8),Projects!$B$8*(Assumptions!$B$10+Assumptions!$B$11+Assumptions!$B$12)/Projects!$D$8*0.95,0)-IF(AND(Projects!$G$8="Yes",BR$3=Projects!$C$8+Projects!$D$8-1),Projects!$B$8*(Assumptions!$B$10+Assumptions!$B$11+Assumptions!$B$12)*0.05,0)</f>
        <v>0</v>
      </c>
      <c r="BS19" s="19" t="n">
        <f aca="false">IF(AND(Projects!$G$8="Yes",BS$3&gt;=Projects!$C$8,BS$3&lt;Projects!$C$8+Projects!$D$8),Projects!$B$8*INDEX(Curves!$B$4:$AR$4,1,BS$3-Projects!$C$8+1),0)-IF(AND(Projects!$G$8="Yes",BS$3&gt;=Projects!$C$8,BS$3&lt;Projects!$C$8+Projects!$D$8),Projects!$B$8*(Assumptions!$B$10+Assumptions!$B$11+Assumptions!$B$12)/Projects!$D$8*0.95,0)-IF(AND(Projects!$G$8="Yes",BS$3=Projects!$C$8+Projects!$D$8-1),Projects!$B$8*(Assumptions!$B$10+Assumptions!$B$11+Assumptions!$B$12)*0.05,0)</f>
        <v>0</v>
      </c>
      <c r="BT19" s="19" t="n">
        <f aca="false">IF(AND(Projects!$G$8="Yes",BT$3&gt;=Projects!$C$8,BT$3&lt;Projects!$C$8+Projects!$D$8),Projects!$B$8*INDEX(Curves!$B$4:$AR$4,1,BT$3-Projects!$C$8+1),0)-IF(AND(Projects!$G$8="Yes",BT$3&gt;=Projects!$C$8,BT$3&lt;Projects!$C$8+Projects!$D$8),Projects!$B$8*(Assumptions!$B$10+Assumptions!$B$11+Assumptions!$B$12)/Projects!$D$8*0.95,0)-IF(AND(Projects!$G$8="Yes",BT$3=Projects!$C$8+Projects!$D$8-1),Projects!$B$8*(Assumptions!$B$10+Assumptions!$B$11+Assumptions!$B$12)*0.05,0)</f>
        <v>0</v>
      </c>
      <c r="BU19" s="19" t="n">
        <f aca="false">IF(AND(Projects!$G$8="Yes",BU$3&gt;=Projects!$C$8,BU$3&lt;Projects!$C$8+Projects!$D$8),Projects!$B$8*INDEX(Curves!$B$4:$AR$4,1,BU$3-Projects!$C$8+1),0)-IF(AND(Projects!$G$8="Yes",BU$3&gt;=Projects!$C$8,BU$3&lt;Projects!$C$8+Projects!$D$8),Projects!$B$8*(Assumptions!$B$10+Assumptions!$B$11+Assumptions!$B$12)/Projects!$D$8*0.95,0)-IF(AND(Projects!$G$8="Yes",BU$3=Projects!$C$8+Projects!$D$8-1),Projects!$B$8*(Assumptions!$B$10+Assumptions!$B$11+Assumptions!$B$12)*0.05,0)</f>
        <v>0</v>
      </c>
      <c r="BV19" s="19" t="n">
        <f aca="false">IF(AND(Projects!$G$8="Yes",BV$3&gt;=Projects!$C$8,BV$3&lt;Projects!$C$8+Projects!$D$8),Projects!$B$8*INDEX(Curves!$B$4:$AR$4,1,BV$3-Projects!$C$8+1),0)-IF(AND(Projects!$G$8="Yes",BV$3&gt;=Projects!$C$8,BV$3&lt;Projects!$C$8+Projects!$D$8),Projects!$B$8*(Assumptions!$B$10+Assumptions!$B$11+Assumptions!$B$12)/Projects!$D$8*0.95,0)-IF(AND(Projects!$G$8="Yes",BV$3=Projects!$C$8+Projects!$D$8-1),Projects!$B$8*(Assumptions!$B$10+Assumptions!$B$11+Assumptions!$B$12)*0.05,0)</f>
        <v>0</v>
      </c>
      <c r="BW19" s="19" t="n">
        <f aca="false">IF(AND(Projects!$G$8="Yes",BW$3&gt;=Projects!$C$8,BW$3&lt;Projects!$C$8+Projects!$D$8),Projects!$B$8*INDEX(Curves!$B$4:$AR$4,1,BW$3-Projects!$C$8+1),0)-IF(AND(Projects!$G$8="Yes",BW$3&gt;=Projects!$C$8,BW$3&lt;Projects!$C$8+Projects!$D$8),Projects!$B$8*(Assumptions!$B$10+Assumptions!$B$11+Assumptions!$B$12)/Projects!$D$8*0.95,0)-IF(AND(Projects!$G$8="Yes",BW$3=Projects!$C$8+Projects!$D$8-1),Projects!$B$8*(Assumptions!$B$10+Assumptions!$B$11+Assumptions!$B$12)*0.05,0)</f>
        <v>0</v>
      </c>
      <c r="BX19" s="19" t="n">
        <f aca="false">IF(AND(Projects!$G$8="Yes",BX$3&gt;=Projects!$C$8,BX$3&lt;Projects!$C$8+Projects!$D$8),Projects!$B$8*INDEX(Curves!$B$4:$AR$4,1,BX$3-Projects!$C$8+1),0)-IF(AND(Projects!$G$8="Yes",BX$3&gt;=Projects!$C$8,BX$3&lt;Projects!$C$8+Projects!$D$8),Projects!$B$8*(Assumptions!$B$10+Assumptions!$B$11+Assumptions!$B$12)/Projects!$D$8*0.95,0)-IF(AND(Projects!$G$8="Yes",BX$3=Projects!$C$8+Projects!$D$8-1),Projects!$B$8*(Assumptions!$B$10+Assumptions!$B$11+Assumptions!$B$12)*0.05,0)</f>
        <v>0</v>
      </c>
      <c r="BY19" s="19" t="n">
        <f aca="false">IF(AND(Projects!$G$8="Yes",BY$3&gt;=Projects!$C$8,BY$3&lt;Projects!$C$8+Projects!$D$8),Projects!$B$8*INDEX(Curves!$B$4:$AR$4,1,BY$3-Projects!$C$8+1),0)-IF(AND(Projects!$G$8="Yes",BY$3&gt;=Projects!$C$8,BY$3&lt;Projects!$C$8+Projects!$D$8),Projects!$B$8*(Assumptions!$B$10+Assumptions!$B$11+Assumptions!$B$12)/Projects!$D$8*0.95,0)-IF(AND(Projects!$G$8="Yes",BY$3=Projects!$C$8+Projects!$D$8-1),Projects!$B$8*(Assumptions!$B$10+Assumptions!$B$11+Assumptions!$B$12)*0.05,0)</f>
        <v>0</v>
      </c>
      <c r="BZ19" s="19" t="n">
        <f aca="false">IF(AND(Projects!$G$8="Yes",BZ$3&gt;=Projects!$C$8,BZ$3&lt;Projects!$C$8+Projects!$D$8),Projects!$B$8*INDEX(Curves!$B$4:$AR$4,1,BZ$3-Projects!$C$8+1),0)-IF(AND(Projects!$G$8="Yes",BZ$3&gt;=Projects!$C$8,BZ$3&lt;Projects!$C$8+Projects!$D$8),Projects!$B$8*(Assumptions!$B$10+Assumptions!$B$11+Assumptions!$B$12)/Projects!$D$8*0.95,0)-IF(AND(Projects!$G$8="Yes",BZ$3=Projects!$C$8+Projects!$D$8-1),Projects!$B$8*(Assumptions!$B$10+Assumptions!$B$11+Assumptions!$B$12)*0.05,0)</f>
        <v>0</v>
      </c>
      <c r="CA19" s="19" t="n">
        <f aca="false">IF(AND(Projects!$G$8="Yes",CA$3&gt;=Projects!$C$8,CA$3&lt;Projects!$C$8+Projects!$D$8),Projects!$B$8*INDEX(Curves!$B$4:$AR$4,1,CA$3-Projects!$C$8+1),0)-IF(AND(Projects!$G$8="Yes",CA$3&gt;=Projects!$C$8,CA$3&lt;Projects!$C$8+Projects!$D$8),Projects!$B$8*(Assumptions!$B$10+Assumptions!$B$11+Assumptions!$B$12)/Projects!$D$8*0.95,0)-IF(AND(Projects!$G$8="Yes",CA$3=Projects!$C$8+Projects!$D$8-1),Projects!$B$8*(Assumptions!$B$10+Assumptions!$B$11+Assumptions!$B$12)*0.05,0)</f>
        <v>0</v>
      </c>
      <c r="CB19" s="19" t="n">
        <f aca="false">IF(AND(Projects!$G$8="Yes",CB$3&gt;=Projects!$C$8,CB$3&lt;Projects!$C$8+Projects!$D$8),Projects!$B$8*INDEX(Curves!$B$4:$AR$4,1,CB$3-Projects!$C$8+1),0)-IF(AND(Projects!$G$8="Yes",CB$3&gt;=Projects!$C$8,CB$3&lt;Projects!$C$8+Projects!$D$8),Projects!$B$8*(Assumptions!$B$10+Assumptions!$B$11+Assumptions!$B$12)/Projects!$D$8*0.95,0)-IF(AND(Projects!$G$8="Yes",CB$3=Projects!$C$8+Projects!$D$8-1),Projects!$B$8*(Assumptions!$B$10+Assumptions!$B$11+Assumptions!$B$12)*0.05,0)</f>
        <v>0</v>
      </c>
      <c r="CC19" s="19" t="n">
        <f aca="false">IF(AND(Projects!$G$8="Yes",CC$3&gt;=Projects!$C$8,CC$3&lt;Projects!$C$8+Projects!$D$8),Projects!$B$8*INDEX(Curves!$B$4:$AR$4,1,CC$3-Projects!$C$8+1),0)-IF(AND(Projects!$G$8="Yes",CC$3&gt;=Projects!$C$8,CC$3&lt;Projects!$C$8+Projects!$D$8),Projects!$B$8*(Assumptions!$B$10+Assumptions!$B$11+Assumptions!$B$12)/Projects!$D$8*0.95,0)-IF(AND(Projects!$G$8="Yes",CC$3=Projects!$C$8+Projects!$D$8-1),Projects!$B$8*(Assumptions!$B$10+Assumptions!$B$11+Assumptions!$B$12)*0.05,0)</f>
        <v>0</v>
      </c>
      <c r="CD19" s="19" t="n">
        <f aca="false">IF(AND(Projects!$G$8="Yes",CD$3&gt;=Projects!$C$8,CD$3&lt;Projects!$C$8+Projects!$D$8),Projects!$B$8*INDEX(Curves!$B$4:$AR$4,1,CD$3-Projects!$C$8+1),0)-IF(AND(Projects!$G$8="Yes",CD$3&gt;=Projects!$C$8,CD$3&lt;Projects!$C$8+Projects!$D$8),Projects!$B$8*(Assumptions!$B$10+Assumptions!$B$11+Assumptions!$B$12)/Projects!$D$8*0.95,0)-IF(AND(Projects!$G$8="Yes",CD$3=Projects!$C$8+Projects!$D$8-1),Projects!$B$8*(Assumptions!$B$10+Assumptions!$B$11+Assumptions!$B$12)*0.05,0)</f>
        <v>0</v>
      </c>
      <c r="CE19" s="19" t="n">
        <f aca="false">IF(AND(Projects!$G$8="Yes",CE$3&gt;=Projects!$C$8,CE$3&lt;Projects!$C$8+Projects!$D$8),Projects!$B$8*INDEX(Curves!$B$4:$AR$4,1,CE$3-Projects!$C$8+1),0)-IF(AND(Projects!$G$8="Yes",CE$3&gt;=Projects!$C$8,CE$3&lt;Projects!$C$8+Projects!$D$8),Projects!$B$8*(Assumptions!$B$10+Assumptions!$B$11+Assumptions!$B$12)/Projects!$D$8*0.95,0)-IF(AND(Projects!$G$8="Yes",CE$3=Projects!$C$8+Projects!$D$8-1),Projects!$B$8*(Assumptions!$B$10+Assumptions!$B$11+Assumptions!$B$12)*0.05,0)</f>
        <v>0</v>
      </c>
      <c r="CF19" s="19" t="n">
        <f aca="false">IF(AND(Projects!$G$8="Yes",CF$3&gt;=Projects!$C$8,CF$3&lt;Projects!$C$8+Projects!$D$8),Projects!$B$8*INDEX(Curves!$B$4:$AR$4,1,CF$3-Projects!$C$8+1),0)-IF(AND(Projects!$G$8="Yes",CF$3&gt;=Projects!$C$8,CF$3&lt;Projects!$C$8+Projects!$D$8),Projects!$B$8*(Assumptions!$B$10+Assumptions!$B$11+Assumptions!$B$12)/Projects!$D$8*0.95,0)-IF(AND(Projects!$G$8="Yes",CF$3=Projects!$C$8+Projects!$D$8-1),Projects!$B$8*(Assumptions!$B$10+Assumptions!$B$11+Assumptions!$B$12)*0.05,0)</f>
        <v>0</v>
      </c>
      <c r="CG19" s="19" t="n">
        <f aca="false">IF(AND(Projects!$G$8="Yes",CG$3&gt;=Projects!$C$8,CG$3&lt;Projects!$C$8+Projects!$D$8),Projects!$B$8*INDEX(Curves!$B$4:$AR$4,1,CG$3-Projects!$C$8+1),0)-IF(AND(Projects!$G$8="Yes",CG$3&gt;=Projects!$C$8,CG$3&lt;Projects!$C$8+Projects!$D$8),Projects!$B$8*(Assumptions!$B$10+Assumptions!$B$11+Assumptions!$B$12)/Projects!$D$8*0.95,0)-IF(AND(Projects!$G$8="Yes",CG$3=Projects!$C$8+Projects!$D$8-1),Projects!$B$8*(Assumptions!$B$10+Assumptions!$B$11+Assumptions!$B$12)*0.05,0)</f>
        <v>0</v>
      </c>
      <c r="CH19" s="19" t="n">
        <f aca="false">IF(AND(Projects!$G$8="Yes",CH$3&gt;=Projects!$C$8,CH$3&lt;Projects!$C$8+Projects!$D$8),Projects!$B$8*INDEX(Curves!$B$4:$AR$4,1,CH$3-Projects!$C$8+1),0)-IF(AND(Projects!$G$8="Yes",CH$3&gt;=Projects!$C$8,CH$3&lt;Projects!$C$8+Projects!$D$8),Projects!$B$8*(Assumptions!$B$10+Assumptions!$B$11+Assumptions!$B$12)/Projects!$D$8*0.95,0)-IF(AND(Projects!$G$8="Yes",CH$3=Projects!$C$8+Projects!$D$8-1),Projects!$B$8*(Assumptions!$B$10+Assumptions!$B$11+Assumptions!$B$12)*0.05,0)</f>
        <v>0</v>
      </c>
      <c r="CI19" s="19" t="n">
        <f aca="false">IF(AND(Projects!$G$8="Yes",CI$3&gt;=Projects!$C$8,CI$3&lt;Projects!$C$8+Projects!$D$8),Projects!$B$8*INDEX(Curves!$B$4:$AR$4,1,CI$3-Projects!$C$8+1),0)-IF(AND(Projects!$G$8="Yes",CI$3&gt;=Projects!$C$8,CI$3&lt;Projects!$C$8+Projects!$D$8),Projects!$B$8*(Assumptions!$B$10+Assumptions!$B$11+Assumptions!$B$12)/Projects!$D$8*0.95,0)-IF(AND(Projects!$G$8="Yes",CI$3=Projects!$C$8+Projects!$D$8-1),Projects!$B$8*(Assumptions!$B$10+Assumptions!$B$11+Assumptions!$B$12)*0.05,0)</f>
        <v>0</v>
      </c>
      <c r="CJ19" s="19" t="n">
        <f aca="false">IF(AND(Projects!$G$8="Yes",CJ$3&gt;=Projects!$C$8,CJ$3&lt;Projects!$C$8+Projects!$D$8),Projects!$B$8*INDEX(Curves!$B$4:$AR$4,1,CJ$3-Projects!$C$8+1),0)-IF(AND(Projects!$G$8="Yes",CJ$3&gt;=Projects!$C$8,CJ$3&lt;Projects!$C$8+Projects!$D$8),Projects!$B$8*(Assumptions!$B$10+Assumptions!$B$11+Assumptions!$B$12)/Projects!$D$8*0.95,0)-IF(AND(Projects!$G$8="Yes",CJ$3=Projects!$C$8+Projects!$D$8-1),Projects!$B$8*(Assumptions!$B$10+Assumptions!$B$11+Assumptions!$B$12)*0.05,0)</f>
        <v>0</v>
      </c>
      <c r="CK19" s="19" t="n">
        <f aca="false">IF(AND(Projects!$G$8="Yes",CK$3&gt;=Projects!$C$8,CK$3&lt;Projects!$C$8+Projects!$D$8),Projects!$B$8*INDEX(Curves!$B$4:$AR$4,1,CK$3-Projects!$C$8+1),0)-IF(AND(Projects!$G$8="Yes",CK$3&gt;=Projects!$C$8,CK$3&lt;Projects!$C$8+Projects!$D$8),Projects!$B$8*(Assumptions!$B$10+Assumptions!$B$11+Assumptions!$B$12)/Projects!$D$8*0.95,0)-IF(AND(Projects!$G$8="Yes",CK$3=Projects!$C$8+Projects!$D$8-1),Projects!$B$8*(Assumptions!$B$10+Assumptions!$B$11+Assumptions!$B$12)*0.05,0)</f>
        <v>0</v>
      </c>
      <c r="CL19" s="19" t="n">
        <f aca="false">IF(AND(Projects!$G$8="Yes",CL$3&gt;=Projects!$C$8,CL$3&lt;Projects!$C$8+Projects!$D$8),Projects!$B$8*INDEX(Curves!$B$4:$AR$4,1,CL$3-Projects!$C$8+1),0)-IF(AND(Projects!$G$8="Yes",CL$3&gt;=Projects!$C$8,CL$3&lt;Projects!$C$8+Projects!$D$8),Projects!$B$8*(Assumptions!$B$10+Assumptions!$B$11+Assumptions!$B$12)/Projects!$D$8*0.95,0)-IF(AND(Projects!$G$8="Yes",CL$3=Projects!$C$8+Projects!$D$8-1),Projects!$B$8*(Assumptions!$B$10+Assumptions!$B$11+Assumptions!$B$12)*0.05,0)</f>
        <v>0</v>
      </c>
      <c r="CM19" s="19" t="n">
        <f aca="false">IF(AND(Projects!$G$8="Yes",CM$3&gt;=Projects!$C$8,CM$3&lt;Projects!$C$8+Projects!$D$8),Projects!$B$8*INDEX(Curves!$B$4:$AR$4,1,CM$3-Projects!$C$8+1),0)-IF(AND(Projects!$G$8="Yes",CM$3&gt;=Projects!$C$8,CM$3&lt;Projects!$C$8+Projects!$D$8),Projects!$B$8*(Assumptions!$B$10+Assumptions!$B$11+Assumptions!$B$12)/Projects!$D$8*0.95,0)-IF(AND(Projects!$G$8="Yes",CM$3=Projects!$C$8+Projects!$D$8-1),Projects!$B$8*(Assumptions!$B$10+Assumptions!$B$11+Assumptions!$B$12)*0.05,0)</f>
        <v>0</v>
      </c>
      <c r="CN19" s="19" t="n">
        <f aca="false">IF(AND(Projects!$G$8="Yes",CN$3&gt;=Projects!$C$8,CN$3&lt;Projects!$C$8+Projects!$D$8),Projects!$B$8*INDEX(Curves!$B$4:$AR$4,1,CN$3-Projects!$C$8+1),0)-IF(AND(Projects!$G$8="Yes",CN$3&gt;=Projects!$C$8,CN$3&lt;Projects!$C$8+Projects!$D$8),Projects!$B$8*(Assumptions!$B$10+Assumptions!$B$11+Assumptions!$B$12)/Projects!$D$8*0.95,0)-IF(AND(Projects!$G$8="Yes",CN$3=Projects!$C$8+Projects!$D$8-1),Projects!$B$8*(Assumptions!$B$10+Assumptions!$B$11+Assumptions!$B$12)*0.05,0)</f>
        <v>0</v>
      </c>
      <c r="CO19" s="19" t="n">
        <f aca="false">IF(AND(Projects!$G$8="Yes",CO$3&gt;=Projects!$C$8,CO$3&lt;Projects!$C$8+Projects!$D$8),Projects!$B$8*INDEX(Curves!$B$4:$AR$4,1,CO$3-Projects!$C$8+1),0)-IF(AND(Projects!$G$8="Yes",CO$3&gt;=Projects!$C$8,CO$3&lt;Projects!$C$8+Projects!$D$8),Projects!$B$8*(Assumptions!$B$10+Assumptions!$B$11+Assumptions!$B$12)/Projects!$D$8*0.95,0)-IF(AND(Projects!$G$8="Yes",CO$3=Projects!$C$8+Projects!$D$8-1),Projects!$B$8*(Assumptions!$B$10+Assumptions!$B$11+Assumptions!$B$12)*0.05,0)</f>
        <v>0</v>
      </c>
      <c r="CP19" s="19" t="n">
        <f aca="false">IF(AND(Projects!$G$8="Yes",CP$3&gt;=Projects!$C$8,CP$3&lt;Projects!$C$8+Projects!$D$8),Projects!$B$8*INDEX(Curves!$B$4:$AR$4,1,CP$3-Projects!$C$8+1),0)-IF(AND(Projects!$G$8="Yes",CP$3&gt;=Projects!$C$8,CP$3&lt;Projects!$C$8+Projects!$D$8),Projects!$B$8*(Assumptions!$B$10+Assumptions!$B$11+Assumptions!$B$12)/Projects!$D$8*0.95,0)-IF(AND(Projects!$G$8="Yes",CP$3=Projects!$C$8+Projects!$D$8-1),Projects!$B$8*(Assumptions!$B$10+Assumptions!$B$11+Assumptions!$B$12)*0.05,0)</f>
        <v>0</v>
      </c>
      <c r="CQ19" s="19" t="n">
        <f aca="false">IF(AND(Projects!$G$8="Yes",CQ$3&gt;=Projects!$C$8,CQ$3&lt;Projects!$C$8+Projects!$D$8),Projects!$B$8*INDEX(Curves!$B$4:$AR$4,1,CQ$3-Projects!$C$8+1),0)-IF(AND(Projects!$G$8="Yes",CQ$3&gt;=Projects!$C$8,CQ$3&lt;Projects!$C$8+Projects!$D$8),Projects!$B$8*(Assumptions!$B$10+Assumptions!$B$11+Assumptions!$B$12)/Projects!$D$8*0.95,0)-IF(AND(Projects!$G$8="Yes",CQ$3=Projects!$C$8+Projects!$D$8-1),Projects!$B$8*(Assumptions!$B$10+Assumptions!$B$11+Assumptions!$B$12)*0.05,0)</f>
        <v>0</v>
      </c>
      <c r="CR19" s="19" t="n">
        <f aca="false">IF(AND(Projects!$G$8="Yes",CR$3&gt;=Projects!$C$8,CR$3&lt;Projects!$C$8+Projects!$D$8),Projects!$B$8*INDEX(Curves!$B$4:$AR$4,1,CR$3-Projects!$C$8+1),0)-IF(AND(Projects!$G$8="Yes",CR$3&gt;=Projects!$C$8,CR$3&lt;Projects!$C$8+Projects!$D$8),Projects!$B$8*(Assumptions!$B$10+Assumptions!$B$11+Assumptions!$B$12)/Projects!$D$8*0.95,0)-IF(AND(Projects!$G$8="Yes",CR$3=Projects!$C$8+Projects!$D$8-1),Projects!$B$8*(Assumptions!$B$10+Assumptions!$B$11+Assumptions!$B$12)*0.05,0)</f>
        <v>0</v>
      </c>
      <c r="CS19" s="19" t="n">
        <f aca="false">IF(AND(Projects!$G$8="Yes",CS$3&gt;=Projects!$C$8,CS$3&lt;Projects!$C$8+Projects!$D$8),Projects!$B$8*INDEX(Curves!$B$4:$AR$4,1,CS$3-Projects!$C$8+1),0)-IF(AND(Projects!$G$8="Yes",CS$3&gt;=Projects!$C$8,CS$3&lt;Projects!$C$8+Projects!$D$8),Projects!$B$8*(Assumptions!$B$10+Assumptions!$B$11+Assumptions!$B$12)/Projects!$D$8*0.95,0)-IF(AND(Projects!$G$8="Yes",CS$3=Projects!$C$8+Projects!$D$8-1),Projects!$B$8*(Assumptions!$B$10+Assumptions!$B$11+Assumptions!$B$12)*0.05,0)</f>
        <v>0</v>
      </c>
      <c r="CT19" s="19" t="n">
        <f aca="false">IF(AND(Projects!$G$8="Yes",CT$3&gt;=Projects!$C$8,CT$3&lt;Projects!$C$8+Projects!$D$8),Projects!$B$8*INDEX(Curves!$B$4:$AR$4,1,CT$3-Projects!$C$8+1),0)-IF(AND(Projects!$G$8="Yes",CT$3&gt;=Projects!$C$8,CT$3&lt;Projects!$C$8+Projects!$D$8),Projects!$B$8*(Assumptions!$B$10+Assumptions!$B$11+Assumptions!$B$12)/Projects!$D$8*0.95,0)-IF(AND(Projects!$G$8="Yes",CT$3=Projects!$C$8+Projects!$D$8-1),Projects!$B$8*(Assumptions!$B$10+Assumptions!$B$11+Assumptions!$B$12)*0.05,0)</f>
        <v>0</v>
      </c>
      <c r="CU19" s="19" t="n">
        <f aca="false">IF(AND(Projects!$G$8="Yes",CU$3&gt;=Projects!$C$8,CU$3&lt;Projects!$C$8+Projects!$D$8),Projects!$B$8*INDEX(Curves!$B$4:$AR$4,1,CU$3-Projects!$C$8+1),0)-IF(AND(Projects!$G$8="Yes",CU$3&gt;=Projects!$C$8,CU$3&lt;Projects!$C$8+Projects!$D$8),Projects!$B$8*(Assumptions!$B$10+Assumptions!$B$11+Assumptions!$B$12)/Projects!$D$8*0.95,0)-IF(AND(Projects!$G$8="Yes",CU$3=Projects!$C$8+Projects!$D$8-1),Projects!$B$8*(Assumptions!$B$10+Assumptions!$B$11+Assumptions!$B$12)*0.05,0)</f>
        <v>0</v>
      </c>
      <c r="CV19" s="19" t="n">
        <f aca="false">IF(AND(Projects!$G$8="Yes",CV$3&gt;=Projects!$C$8,CV$3&lt;Projects!$C$8+Projects!$D$8),Projects!$B$8*INDEX(Curves!$B$4:$AR$4,1,CV$3-Projects!$C$8+1),0)-IF(AND(Projects!$G$8="Yes",CV$3&gt;=Projects!$C$8,CV$3&lt;Projects!$C$8+Projects!$D$8),Projects!$B$8*(Assumptions!$B$10+Assumptions!$B$11+Assumptions!$B$12)/Projects!$D$8*0.95,0)-IF(AND(Projects!$G$8="Yes",CV$3=Projects!$C$8+Projects!$D$8-1),Projects!$B$8*(Assumptions!$B$10+Assumptions!$B$11+Assumptions!$B$12)*0.05,0)</f>
        <v>0</v>
      </c>
      <c r="CW19" s="19" t="n">
        <f aca="false">IF(AND(Projects!$G$8="Yes",CW$3&gt;=Projects!$C$8,CW$3&lt;Projects!$C$8+Projects!$D$8),Projects!$B$8*INDEX(Curves!$B$4:$AR$4,1,CW$3-Projects!$C$8+1),0)-IF(AND(Projects!$G$8="Yes",CW$3&gt;=Projects!$C$8,CW$3&lt;Projects!$C$8+Projects!$D$8),Projects!$B$8*(Assumptions!$B$10+Assumptions!$B$11+Assumptions!$B$12)/Projects!$D$8*0.95,0)-IF(AND(Projects!$G$8="Yes",CW$3=Projects!$C$8+Projects!$D$8-1),Projects!$B$8*(Assumptions!$B$10+Assumptions!$B$11+Assumptions!$B$12)*0.05,0)</f>
        <v>0</v>
      </c>
      <c r="CX19" s="19" t="n">
        <f aca="false">IF(AND(Projects!$G$8="Yes",CX$3&gt;=Projects!$C$8,CX$3&lt;Projects!$C$8+Projects!$D$8),Projects!$B$8*INDEX(Curves!$B$4:$AR$4,1,CX$3-Projects!$C$8+1),0)-IF(AND(Projects!$G$8="Yes",CX$3&gt;=Projects!$C$8,CX$3&lt;Projects!$C$8+Projects!$D$8),Projects!$B$8*(Assumptions!$B$10+Assumptions!$B$11+Assumptions!$B$12)/Projects!$D$8*0.95,0)-IF(AND(Projects!$G$8="Yes",CX$3=Projects!$C$8+Projects!$D$8-1),Projects!$B$8*(Assumptions!$B$10+Assumptions!$B$11+Assumptions!$B$12)*0.05,0)</f>
        <v>0</v>
      </c>
      <c r="CY19" s="19" t="n">
        <f aca="false">IF(AND(Projects!$G$8="Yes",CY$3&gt;=Projects!$C$8,CY$3&lt;Projects!$C$8+Projects!$D$8),Projects!$B$8*INDEX(Curves!$B$4:$AR$4,1,CY$3-Projects!$C$8+1),0)-IF(AND(Projects!$G$8="Yes",CY$3&gt;=Projects!$C$8,CY$3&lt;Projects!$C$8+Projects!$D$8),Projects!$B$8*(Assumptions!$B$10+Assumptions!$B$11+Assumptions!$B$12)/Projects!$D$8*0.95,0)-IF(AND(Projects!$G$8="Yes",CY$3=Projects!$C$8+Projects!$D$8-1),Projects!$B$8*(Assumptions!$B$10+Assumptions!$B$11+Assumptions!$B$12)*0.05,0)</f>
        <v>0</v>
      </c>
      <c r="CZ19" s="19" t="n">
        <f aca="false">IF(AND(Projects!$G$8="Yes",CZ$3&gt;=Projects!$C$8,CZ$3&lt;Projects!$C$8+Projects!$D$8),Projects!$B$8*INDEX(Curves!$B$4:$AR$4,1,CZ$3-Projects!$C$8+1),0)-IF(AND(Projects!$G$8="Yes",CZ$3&gt;=Projects!$C$8,CZ$3&lt;Projects!$C$8+Projects!$D$8),Projects!$B$8*(Assumptions!$B$10+Assumptions!$B$11+Assumptions!$B$12)/Projects!$D$8*0.95,0)-IF(AND(Projects!$G$8="Yes",CZ$3=Projects!$C$8+Projects!$D$8-1),Projects!$B$8*(Assumptions!$B$10+Assumptions!$B$11+Assumptions!$B$12)*0.05,0)</f>
        <v>0</v>
      </c>
      <c r="DA19" s="19" t="n">
        <f aca="false">IF(AND(Projects!$G$8="Yes",DA$3&gt;=Projects!$C$8,DA$3&lt;Projects!$C$8+Projects!$D$8),Projects!$B$8*INDEX(Curves!$B$4:$AR$4,1,DA$3-Projects!$C$8+1),0)-IF(AND(Projects!$G$8="Yes",DA$3&gt;=Projects!$C$8,DA$3&lt;Projects!$C$8+Projects!$D$8),Projects!$B$8*(Assumptions!$B$10+Assumptions!$B$11+Assumptions!$B$12)/Projects!$D$8*0.95,0)-IF(AND(Projects!$G$8="Yes",DA$3=Projects!$C$8+Projects!$D$8-1),Projects!$B$8*(Assumptions!$B$10+Assumptions!$B$11+Assumptions!$B$12)*0.05,0)</f>
        <v>0</v>
      </c>
      <c r="DB19" s="19" t="n">
        <f aca="false">IF(AND(Projects!$G$8="Yes",DB$3&gt;=Projects!$C$8,DB$3&lt;Projects!$C$8+Projects!$D$8),Projects!$B$8*INDEX(Curves!$B$4:$AR$4,1,DB$3-Projects!$C$8+1),0)-IF(AND(Projects!$G$8="Yes",DB$3&gt;=Projects!$C$8,DB$3&lt;Projects!$C$8+Projects!$D$8),Projects!$B$8*(Assumptions!$B$10+Assumptions!$B$11+Assumptions!$B$12)/Projects!$D$8*0.95,0)-IF(AND(Projects!$G$8="Yes",DB$3=Projects!$C$8+Projects!$D$8-1),Projects!$B$8*(Assumptions!$B$10+Assumptions!$B$11+Assumptions!$B$12)*0.05,0)</f>
        <v>0</v>
      </c>
      <c r="DC19" s="19" t="n">
        <f aca="false">IF(AND(Projects!$G$8="Yes",DC$3&gt;=Projects!$C$8,DC$3&lt;Projects!$C$8+Projects!$D$8),Projects!$B$8*INDEX(Curves!$B$4:$AR$4,1,DC$3-Projects!$C$8+1),0)-IF(AND(Projects!$G$8="Yes",DC$3&gt;=Projects!$C$8,DC$3&lt;Projects!$C$8+Projects!$D$8),Projects!$B$8*(Assumptions!$B$10+Assumptions!$B$11+Assumptions!$B$12)/Projects!$D$8*0.95,0)-IF(AND(Projects!$G$8="Yes",DC$3=Projects!$C$8+Projects!$D$8-1),Projects!$B$8*(Assumptions!$B$10+Assumptions!$B$11+Assumptions!$B$12)*0.05,0)</f>
        <v>0</v>
      </c>
      <c r="DD19" s="19" t="n">
        <f aca="false">IF(AND(Projects!$G$8="Yes",DD$3&gt;=Projects!$C$8,DD$3&lt;Projects!$C$8+Projects!$D$8),Projects!$B$8*INDEX(Curves!$B$4:$AR$4,1,DD$3-Projects!$C$8+1),0)-IF(AND(Projects!$G$8="Yes",DD$3&gt;=Projects!$C$8,DD$3&lt;Projects!$C$8+Projects!$D$8),Projects!$B$8*(Assumptions!$B$10+Assumptions!$B$11+Assumptions!$B$12)/Projects!$D$8*0.95,0)-IF(AND(Projects!$G$8="Yes",DD$3=Projects!$C$8+Projects!$D$8-1),Projects!$B$8*(Assumptions!$B$10+Assumptions!$B$11+Assumptions!$B$12)*0.05,0)</f>
        <v>0</v>
      </c>
      <c r="DE19" s="19" t="n">
        <f aca="false">IF(AND(Projects!$G$8="Yes",DE$3&gt;=Projects!$C$8,DE$3&lt;Projects!$C$8+Projects!$D$8),Projects!$B$8*INDEX(Curves!$B$4:$AR$4,1,DE$3-Projects!$C$8+1),0)-IF(AND(Projects!$G$8="Yes",DE$3&gt;=Projects!$C$8,DE$3&lt;Projects!$C$8+Projects!$D$8),Projects!$B$8*(Assumptions!$B$10+Assumptions!$B$11+Assumptions!$B$12)/Projects!$D$8*0.95,0)-IF(AND(Projects!$G$8="Yes",DE$3=Projects!$C$8+Projects!$D$8-1),Projects!$B$8*(Assumptions!$B$10+Assumptions!$B$11+Assumptions!$B$12)*0.05,0)</f>
        <v>0</v>
      </c>
    </row>
    <row r="20" customFormat="false" ht="15" hidden="true" customHeight="true" outlineLevel="1" collapsed="false">
      <c r="A20" s="28" t="s">
        <v>14</v>
      </c>
      <c r="B20" s="19" t="n">
        <v>0</v>
      </c>
      <c r="C20" s="19" t="n">
        <v>0</v>
      </c>
      <c r="D20" s="19" t="n">
        <v>0</v>
      </c>
      <c r="E20" s="19" t="n">
        <v>0</v>
      </c>
      <c r="F20" s="19" t="n">
        <f aca="false">IF(AND(Projects!$G$9="Yes",F$3&gt;=Projects!$C$9,F$3&lt;Projects!$C$9+Projects!$D$9),Projects!$B$9*INDEX(Curves!$B$4:$AR$4,1,F$3-Projects!$C$9+1),0)-IF(AND(Projects!$G$9="Yes",F$3&gt;=Projects!$C$9,F$3&lt;Projects!$C$9+Projects!$D$9),Projects!$B$9*(Assumptions!$B$10+Assumptions!$B$11+Assumptions!$B$12)/Projects!$D$9*0.95,0)-IF(AND(Projects!$G$9="Yes",F$3=Projects!$C$9+Projects!$D$9-1),Projects!$B$9*(Assumptions!$B$10+Assumptions!$B$11+Assumptions!$B$12)*0.05,0)</f>
        <v>0</v>
      </c>
      <c r="G20" s="19" t="n">
        <f aca="false">IF(AND(Projects!$G$9="Yes",G$3&gt;=Projects!$C$9,G$3&lt;Projects!$C$9+Projects!$D$9),Projects!$B$9*INDEX(Curves!$B$4:$AR$4,1,G$3-Projects!$C$9+1),0)-IF(AND(Projects!$G$9="Yes",G$3&gt;=Projects!$C$9,G$3&lt;Projects!$C$9+Projects!$D$9),Projects!$B$9*(Assumptions!$B$10+Assumptions!$B$11+Assumptions!$B$12)/Projects!$D$9*0.95,0)-IF(AND(Projects!$G$9="Yes",G$3=Projects!$C$9+Projects!$D$9-1),Projects!$B$9*(Assumptions!$B$10+Assumptions!$B$11+Assumptions!$B$12)*0.05,0)</f>
        <v>0</v>
      </c>
      <c r="H20" s="19" t="n">
        <v>354912</v>
      </c>
      <c r="I20" s="19" t="n">
        <v>94705.37</v>
      </c>
      <c r="J20" s="19" t="n">
        <f aca="false">IF(AND(Projects!$G$9="Yes",J$3&gt;=Projects!$C$9,J$3&lt;Projects!$C$9+Projects!$D$9),Projects!$B$9*INDEX(Curves!$B$4:$AR$4,1,J$3-Projects!$C$9+1),0)-IF(AND(Projects!$G$9="Yes",J$3&gt;=Projects!$C$9,J$3&lt;Projects!$C$9+Projects!$D$9),Projects!$B$9*(Assumptions!$B$10+Assumptions!$B$11+Assumptions!$B$12)/Projects!$D$9*0.95,0)-IF(AND(Projects!$G$9="Yes",J$3=Projects!$C$9+Projects!$D$9-1),Projects!$B$9*(Assumptions!$B$10+Assumptions!$B$11+Assumptions!$B$12)*0.05,0)</f>
        <v>383392.45745766</v>
      </c>
      <c r="K20" s="19" t="n">
        <f aca="false">IF(AND(Projects!$G$9="Yes",K$3&gt;=Projects!$C$9,K$3&lt;Projects!$C$9+Projects!$D$9),Projects!$B$9*INDEX(Curves!$B$4:$AR$4,1,K$3-Projects!$C$9+1),0)-IF(AND(Projects!$G$9="Yes",K$3&gt;=Projects!$C$9,K$3&lt;Projects!$C$9+Projects!$D$9),Projects!$B$9*(Assumptions!$B$10+Assumptions!$B$11+Assumptions!$B$12)/Projects!$D$9*0.95,0)-IF(AND(Projects!$G$9="Yes",K$3=Projects!$C$9+Projects!$D$9-1),Projects!$B$9*(Assumptions!$B$10+Assumptions!$B$11+Assumptions!$B$12)*0.05,0)</f>
        <v>479751.50704446</v>
      </c>
      <c r="L20" s="19" t="n">
        <f aca="false">IF(AND(Projects!$G$9="Yes",L$3&gt;=Projects!$C$9,L$3&lt;Projects!$C$9+Projects!$D$9),Projects!$B$9*INDEX(Curves!$B$4:$AR$4,1,L$3-Projects!$C$9+1),0)-IF(AND(Projects!$G$9="Yes",L$3&gt;=Projects!$C$9,L$3&lt;Projects!$C$9+Projects!$D$9),Projects!$B$9*(Assumptions!$B$10+Assumptions!$B$11+Assumptions!$B$12)/Projects!$D$9*0.95,0)-IF(AND(Projects!$G$9="Yes",L$3=Projects!$C$9+Projects!$D$9-1),Projects!$B$9*(Assumptions!$B$10+Assumptions!$B$11+Assumptions!$B$12)*0.05,0)</f>
        <v>579106.99188846</v>
      </c>
      <c r="M20" s="19" t="n">
        <f aca="false">IF(AND(Projects!$G$9="Yes",M$3&gt;=Projects!$C$9,M$3&lt;Projects!$C$9+Projects!$D$9),Projects!$B$9*INDEX(Curves!$B$4:$AR$4,1,M$3-Projects!$C$9+1),0)-IF(AND(Projects!$G$9="Yes",M$3&gt;=Projects!$C$9,M$3&lt;Projects!$C$9+Projects!$D$9),Projects!$B$9*(Assumptions!$B$10+Assumptions!$B$11+Assumptions!$B$12)/Projects!$D$9*0.95,0)-IF(AND(Projects!$G$9="Yes",M$3=Projects!$C$9+Projects!$D$9-1),Projects!$B$9*(Assumptions!$B$10+Assumptions!$B$11+Assumptions!$B$12)*0.05,0)</f>
        <v>676684.68739326</v>
      </c>
      <c r="N20" s="19" t="n">
        <f aca="false">IF(AND(Projects!$G$9="Yes",N$3&gt;=Projects!$C$9,N$3&lt;Projects!$C$9+Projects!$D$9),Projects!$B$9*INDEX(Curves!$B$4:$AR$4,1,N$3-Projects!$C$9+1),0)-IF(AND(Projects!$G$9="Yes",N$3&gt;=Projects!$C$9,N$3&lt;Projects!$C$9+Projects!$D$9),Projects!$B$9*(Assumptions!$B$10+Assumptions!$B$11+Assumptions!$B$12)/Projects!$D$9*0.95,0)-IF(AND(Projects!$G$9="Yes",N$3=Projects!$C$9+Projects!$D$9-1),Projects!$B$9*(Assumptions!$B$10+Assumptions!$B$11+Assumptions!$B$12)*0.05,0)</f>
        <v>767065.20347646</v>
      </c>
      <c r="O20" s="19" t="n">
        <f aca="false">IF(AND(Projects!$G$9="Yes",O$3&gt;=Projects!$C$9,O$3&lt;Projects!$C$9+Projects!$D$9),Projects!$B$9*INDEX(Curves!$B$4:$AR$4,1,O$3-Projects!$C$9+1),0)-IF(AND(Projects!$G$9="Yes",O$3&gt;=Projects!$C$9,O$3&lt;Projects!$C$9+Projects!$D$9),Projects!$B$9*(Assumptions!$B$10+Assumptions!$B$11+Assumptions!$B$12)/Projects!$D$9*0.95,0)-IF(AND(Projects!$G$9="Yes",O$3=Projects!$C$9+Projects!$D$9-1),Projects!$B$9*(Assumptions!$B$10+Assumptions!$B$11+Assumptions!$B$12)*0.05,0)</f>
        <v>844700.11695846</v>
      </c>
      <c r="P20" s="19" t="n">
        <f aca="false">IF(AND(Projects!$G$9="Yes",P$3&gt;=Projects!$C$9,P$3&lt;Projects!$C$9+Projects!$D$9),Projects!$B$9*INDEX(Curves!$B$4:$AR$4,1,P$3-Projects!$C$9+1),0)-IF(AND(Projects!$G$9="Yes",P$3&gt;=Projects!$C$9,P$3&lt;Projects!$C$9+Projects!$D$9),Projects!$B$9*(Assumptions!$B$10+Assumptions!$B$11+Assumptions!$B$12)/Projects!$D$9*0.95,0)-IF(AND(Projects!$G$9="Yes",P$3=Projects!$C$9+Projects!$D$9-1),Projects!$B$9*(Assumptions!$B$10+Assumptions!$B$11+Assumptions!$B$12)*0.05,0)</f>
        <v>904442.44096206</v>
      </c>
      <c r="Q20" s="19" t="n">
        <f aca="false">IF(AND(Projects!$G$9="Yes",Q$3&gt;=Projects!$C$9,Q$3&lt;Projects!$C$9+Projects!$D$9),Projects!$B$9*INDEX(Curves!$B$4:$AR$4,1,Q$3-Projects!$C$9+1),0)-IF(AND(Projects!$G$9="Yes",Q$3&gt;=Projects!$C$9,Q$3&lt;Projects!$C$9+Projects!$D$9),Projects!$B$9*(Assumptions!$B$10+Assumptions!$B$11+Assumptions!$B$12)/Projects!$D$9*0.95,0)-IF(AND(Projects!$G$9="Yes",Q$3=Projects!$C$9+Projects!$D$9-1),Projects!$B$9*(Assumptions!$B$10+Assumptions!$B$11+Assumptions!$B$12)*0.05,0)</f>
        <v>942120.10534446</v>
      </c>
      <c r="R20" s="19" t="n">
        <f aca="false">IF(AND(Projects!$G$9="Yes",R$3&gt;=Projects!$C$9,R$3&lt;Projects!$C$9+Projects!$D$9),Projects!$B$9*INDEX(Curves!$B$4:$AR$4,1,R$3-Projects!$C$9+1),0)-IF(AND(Projects!$G$9="Yes",R$3&gt;=Projects!$C$9,R$3&lt;Projects!$C$9+Projects!$D$9),Projects!$B$9*(Assumptions!$B$10+Assumptions!$B$11+Assumptions!$B$12)/Projects!$D$9*0.95,0)-IF(AND(Projects!$G$9="Yes",R$3=Projects!$C$9+Projects!$D$9-1),Projects!$B$9*(Assumptions!$B$10+Assumptions!$B$11+Assumptions!$B$12)*0.05,0)</f>
        <v>954994.74104286</v>
      </c>
      <c r="S20" s="19" t="n">
        <f aca="false">IF(AND(Projects!$G$9="Yes",S$3&gt;=Projects!$C$9,S$3&lt;Projects!$C$9+Projects!$D$9),Projects!$B$9*INDEX(Curves!$B$4:$AR$4,1,S$3-Projects!$C$9+1),0)-IF(AND(Projects!$G$9="Yes",S$3&gt;=Projects!$C$9,S$3&lt;Projects!$C$9+Projects!$D$9),Projects!$B$9*(Assumptions!$B$10+Assumptions!$B$11+Assumptions!$B$12)/Projects!$D$9*0.95,0)-IF(AND(Projects!$G$9="Yes",S$3=Projects!$C$9+Projects!$D$9-1),Projects!$B$9*(Assumptions!$B$10+Assumptions!$B$11+Assumptions!$B$12)*0.05,0)</f>
        <v>942120.10534446</v>
      </c>
      <c r="T20" s="19" t="n">
        <f aca="false">IF(AND(Projects!$G$9="Yes",T$3&gt;=Projects!$C$9,T$3&lt;Projects!$C$9+Projects!$D$9),Projects!$B$9*INDEX(Curves!$B$4:$AR$4,1,T$3-Projects!$C$9+1),0)-IF(AND(Projects!$G$9="Yes",T$3&gt;=Projects!$C$9,T$3&lt;Projects!$C$9+Projects!$D$9),Projects!$B$9*(Assumptions!$B$10+Assumptions!$B$11+Assumptions!$B$12)/Projects!$D$9*0.95,0)-IF(AND(Projects!$G$9="Yes",T$3=Projects!$C$9+Projects!$D$9-1),Projects!$B$9*(Assumptions!$B$10+Assumptions!$B$11+Assumptions!$B$12)*0.05,0)</f>
        <v>904442.44096206</v>
      </c>
      <c r="U20" s="19" t="n">
        <f aca="false">IF(AND(Projects!$G$9="Yes",U$3&gt;=Projects!$C$9,U$3&lt;Projects!$C$9+Projects!$D$9),Projects!$B$9*INDEX(Curves!$B$4:$AR$4,1,U$3-Projects!$C$9+1),0)-IF(AND(Projects!$G$9="Yes",U$3&gt;=Projects!$C$9,U$3&lt;Projects!$C$9+Projects!$D$9),Projects!$B$9*(Assumptions!$B$10+Assumptions!$B$11+Assumptions!$B$12)/Projects!$D$9*0.95,0)-IF(AND(Projects!$G$9="Yes",U$3=Projects!$C$9+Projects!$D$9-1),Projects!$B$9*(Assumptions!$B$10+Assumptions!$B$11+Assumptions!$B$12)*0.05,0)</f>
        <v>844700.11695846</v>
      </c>
      <c r="V20" s="19" t="n">
        <f aca="false">IF(AND(Projects!$G$9="Yes",V$3&gt;=Projects!$C$9,V$3&lt;Projects!$C$9+Projects!$D$9),Projects!$B$9*INDEX(Curves!$B$4:$AR$4,1,V$3-Projects!$C$9+1),0)-IF(AND(Projects!$G$9="Yes",V$3&gt;=Projects!$C$9,V$3&lt;Projects!$C$9+Projects!$D$9),Projects!$B$9*(Assumptions!$B$10+Assumptions!$B$11+Assumptions!$B$12)/Projects!$D$9*0.95,0)-IF(AND(Projects!$G$9="Yes",V$3=Projects!$C$9+Projects!$D$9-1),Projects!$B$9*(Assumptions!$B$10+Assumptions!$B$11+Assumptions!$B$12)*0.05,0)</f>
        <v>767065.20347646</v>
      </c>
      <c r="W20" s="19" t="n">
        <f aca="false">IF(AND(Projects!$G$9="Yes",W$3&gt;=Projects!$C$9,W$3&lt;Projects!$C$9+Projects!$D$9),Projects!$B$9*INDEX(Curves!$B$4:$AR$4,1,W$3-Projects!$C$9+1),0)-IF(AND(Projects!$G$9="Yes",W$3&gt;=Projects!$C$9,W$3&lt;Projects!$C$9+Projects!$D$9),Projects!$B$9*(Assumptions!$B$10+Assumptions!$B$11+Assumptions!$B$12)/Projects!$D$9*0.95,0)-IF(AND(Projects!$G$9="Yes",W$3=Projects!$C$9+Projects!$D$9-1),Projects!$B$9*(Assumptions!$B$10+Assumptions!$B$11+Assumptions!$B$12)*0.05,0)</f>
        <v>676684.68739326</v>
      </c>
      <c r="X20" s="19" t="n">
        <f aca="false">IF(AND(Projects!$G$9="Yes",X$3&gt;=Projects!$C$9,X$3&lt;Projects!$C$9+Projects!$D$9),Projects!$B$9*INDEX(Curves!$B$4:$AR$4,1,X$3-Projects!$C$9+1),0)-IF(AND(Projects!$G$9="Yes",X$3&gt;=Projects!$C$9,X$3&lt;Projects!$C$9+Projects!$D$9),Projects!$B$9*(Assumptions!$B$10+Assumptions!$B$11+Assumptions!$B$12)/Projects!$D$9*0.95,0)-IF(AND(Projects!$G$9="Yes",X$3=Projects!$C$9+Projects!$D$9-1),Projects!$B$9*(Assumptions!$B$10+Assumptions!$B$11+Assumptions!$B$12)*0.05,0)</f>
        <v>579106.99188846</v>
      </c>
      <c r="Y20" s="19" t="n">
        <f aca="false">IF(AND(Projects!$G$9="Yes",Y$3&gt;=Projects!$C$9,Y$3&lt;Projects!$C$9+Projects!$D$9),Projects!$B$9*INDEX(Curves!$B$4:$AR$4,1,Y$3-Projects!$C$9+1),0)-IF(AND(Projects!$G$9="Yes",Y$3&gt;=Projects!$C$9,Y$3&lt;Projects!$C$9+Projects!$D$9),Projects!$B$9*(Assumptions!$B$10+Assumptions!$B$11+Assumptions!$B$12)/Projects!$D$9*0.95,0)-IF(AND(Projects!$G$9="Yes",Y$3=Projects!$C$9+Projects!$D$9-1),Projects!$B$9*(Assumptions!$B$10+Assumptions!$B$11+Assumptions!$B$12)*0.05,0)</f>
        <v>479751.50704446</v>
      </c>
      <c r="Z20" s="19" t="n">
        <f aca="false">IF(AND(Projects!$G$9="Yes",Z$3&gt;=Projects!$C$9,Z$3&lt;Projects!$C$9+Projects!$D$9),Projects!$B$9*INDEX(Curves!$B$4:$AR$4,1,Z$3-Projects!$C$9+1),0)-IF(AND(Projects!$G$9="Yes",Z$3&gt;=Projects!$C$9,Z$3&lt;Projects!$C$9+Projects!$D$9),Projects!$B$9*(Assumptions!$B$10+Assumptions!$B$11+Assumptions!$B$12)/Projects!$D$9*0.95,0)-IF(AND(Projects!$G$9="Yes",Z$3=Projects!$C$9+Projects!$D$9-1),Projects!$B$9*(Assumptions!$B$10+Assumptions!$B$11+Assumptions!$B$12)*0.05,0)</f>
        <v>383392.45745766</v>
      </c>
      <c r="AA20" s="19" t="n">
        <f aca="false">IF(AND(Projects!$G$9="Yes",AA$3&gt;=Projects!$C$9,AA$3&lt;Projects!$C$9+Projects!$D$9),Projects!$B$9*INDEX(Curves!$B$4:$AR$4,1,AA$3-Projects!$C$9+1),0)-IF(AND(Projects!$G$9="Yes",AA$3&gt;=Projects!$C$9,AA$3&lt;Projects!$C$9+Projects!$D$9),Projects!$B$9*(Assumptions!$B$10+Assumptions!$B$11+Assumptions!$B$12)/Projects!$D$9*0.95,0)-IF(AND(Projects!$G$9="Yes",AA$3=Projects!$C$9+Projects!$D$9-1),Projects!$B$9*(Assumptions!$B$10+Assumptions!$B$11+Assumptions!$B$12)*0.05,0)</f>
        <v>207569.80866132</v>
      </c>
      <c r="AB20" s="19" t="n">
        <f aca="false">IF(AND(Projects!$G$9="Yes",AB$3&gt;=Projects!$C$9,AB$3&lt;Projects!$C$9+Projects!$D$9),Projects!$B$9*INDEX(Curves!$B$4:$AR$4,1,AB$3-Projects!$C$9+1),0)-IF(AND(Projects!$G$9="Yes",AB$3&gt;=Projects!$C$9,AB$3&lt;Projects!$C$9+Projects!$D$9),Projects!$B$9*(Assumptions!$B$10+Assumptions!$B$11+Assumptions!$B$12)/Projects!$D$9*0.95,0)-IF(AND(Projects!$G$9="Yes",AB$3=Projects!$C$9+Projects!$D$9-1),Projects!$B$9*(Assumptions!$B$10+Assumptions!$B$11+Assumptions!$B$12)*0.05,0)</f>
        <v>0</v>
      </c>
      <c r="AC20" s="19" t="n">
        <f aca="false">IF(AND(Projects!$G$9="Yes",AC$3&gt;=Projects!$C$9,AC$3&lt;Projects!$C$9+Projects!$D$9),Projects!$B$9*INDEX(Curves!$B$4:$AR$4,1,AC$3-Projects!$C$9+1),0)-IF(AND(Projects!$G$9="Yes",AC$3&gt;=Projects!$C$9,AC$3&lt;Projects!$C$9+Projects!$D$9),Projects!$B$9*(Assumptions!$B$10+Assumptions!$B$11+Assumptions!$B$12)/Projects!$D$9*0.95,0)-IF(AND(Projects!$G$9="Yes",AC$3=Projects!$C$9+Projects!$D$9-1),Projects!$B$9*(Assumptions!$B$10+Assumptions!$B$11+Assumptions!$B$12)*0.05,0)</f>
        <v>0</v>
      </c>
      <c r="AD20" s="19" t="n">
        <f aca="false">IF(AND(Projects!$G$9="Yes",AD$3&gt;=Projects!$C$9,AD$3&lt;Projects!$C$9+Projects!$D$9),Projects!$B$9*INDEX(Curves!$B$4:$AR$4,1,AD$3-Projects!$C$9+1),0)-IF(AND(Projects!$G$9="Yes",AD$3&gt;=Projects!$C$9,AD$3&lt;Projects!$C$9+Projects!$D$9),Projects!$B$9*(Assumptions!$B$10+Assumptions!$B$11+Assumptions!$B$12)/Projects!$D$9*0.95,0)-IF(AND(Projects!$G$9="Yes",AD$3=Projects!$C$9+Projects!$D$9-1),Projects!$B$9*(Assumptions!$B$10+Assumptions!$B$11+Assumptions!$B$12)*0.05,0)</f>
        <v>0</v>
      </c>
      <c r="AE20" s="19" t="n">
        <f aca="false">IF(AND(Projects!$G$9="Yes",AE$3&gt;=Projects!$C$9,AE$3&lt;Projects!$C$9+Projects!$D$9),Projects!$B$9*INDEX(Curves!$B$4:$AR$4,1,AE$3-Projects!$C$9+1),0)-IF(AND(Projects!$G$9="Yes",AE$3&gt;=Projects!$C$9,AE$3&lt;Projects!$C$9+Projects!$D$9),Projects!$B$9*(Assumptions!$B$10+Assumptions!$B$11+Assumptions!$B$12)/Projects!$D$9*0.95,0)-IF(AND(Projects!$G$9="Yes",AE$3=Projects!$C$9+Projects!$D$9-1),Projects!$B$9*(Assumptions!$B$10+Assumptions!$B$11+Assumptions!$B$12)*0.05,0)</f>
        <v>0</v>
      </c>
      <c r="AF20" s="19" t="n">
        <f aca="false">IF(AND(Projects!$G$9="Yes",AF$3&gt;=Projects!$C$9,AF$3&lt;Projects!$C$9+Projects!$D$9),Projects!$B$9*INDEX(Curves!$B$4:$AR$4,1,AF$3-Projects!$C$9+1),0)-IF(AND(Projects!$G$9="Yes",AF$3&gt;=Projects!$C$9,AF$3&lt;Projects!$C$9+Projects!$D$9),Projects!$B$9*(Assumptions!$B$10+Assumptions!$B$11+Assumptions!$B$12)/Projects!$D$9*0.95,0)-IF(AND(Projects!$G$9="Yes",AF$3=Projects!$C$9+Projects!$D$9-1),Projects!$B$9*(Assumptions!$B$10+Assumptions!$B$11+Assumptions!$B$12)*0.05,0)</f>
        <v>0</v>
      </c>
      <c r="AG20" s="19" t="n">
        <f aca="false">IF(AND(Projects!$G$9="Yes",AG$3&gt;=Projects!$C$9,AG$3&lt;Projects!$C$9+Projects!$D$9),Projects!$B$9*INDEX(Curves!$B$4:$AR$4,1,AG$3-Projects!$C$9+1),0)-IF(AND(Projects!$G$9="Yes",AG$3&gt;=Projects!$C$9,AG$3&lt;Projects!$C$9+Projects!$D$9),Projects!$B$9*(Assumptions!$B$10+Assumptions!$B$11+Assumptions!$B$12)/Projects!$D$9*0.95,0)-IF(AND(Projects!$G$9="Yes",AG$3=Projects!$C$9+Projects!$D$9-1),Projects!$B$9*(Assumptions!$B$10+Assumptions!$B$11+Assumptions!$B$12)*0.05,0)</f>
        <v>0</v>
      </c>
      <c r="AH20" s="19" t="n">
        <f aca="false">IF(AND(Projects!$G$9="Yes",AH$3&gt;=Projects!$C$9,AH$3&lt;Projects!$C$9+Projects!$D$9),Projects!$B$9*INDEX(Curves!$B$4:$AR$4,1,AH$3-Projects!$C$9+1),0)-IF(AND(Projects!$G$9="Yes",AH$3&gt;=Projects!$C$9,AH$3&lt;Projects!$C$9+Projects!$D$9),Projects!$B$9*(Assumptions!$B$10+Assumptions!$B$11+Assumptions!$B$12)/Projects!$D$9*0.95,0)-IF(AND(Projects!$G$9="Yes",AH$3=Projects!$C$9+Projects!$D$9-1),Projects!$B$9*(Assumptions!$B$10+Assumptions!$B$11+Assumptions!$B$12)*0.05,0)</f>
        <v>0</v>
      </c>
      <c r="AI20" s="19" t="n">
        <f aca="false">IF(AND(Projects!$G$9="Yes",AI$3&gt;=Projects!$C$9,AI$3&lt;Projects!$C$9+Projects!$D$9),Projects!$B$9*INDEX(Curves!$B$4:$AR$4,1,AI$3-Projects!$C$9+1),0)-IF(AND(Projects!$G$9="Yes",AI$3&gt;=Projects!$C$9,AI$3&lt;Projects!$C$9+Projects!$D$9),Projects!$B$9*(Assumptions!$B$10+Assumptions!$B$11+Assumptions!$B$12)/Projects!$D$9*0.95,0)-IF(AND(Projects!$G$9="Yes",AI$3=Projects!$C$9+Projects!$D$9-1),Projects!$B$9*(Assumptions!$B$10+Assumptions!$B$11+Assumptions!$B$12)*0.05,0)</f>
        <v>0</v>
      </c>
      <c r="AJ20" s="19" t="n">
        <f aca="false">IF(AND(Projects!$G$9="Yes",AJ$3&gt;=Projects!$C$9,AJ$3&lt;Projects!$C$9+Projects!$D$9),Projects!$B$9*INDEX(Curves!$B$4:$AR$4,1,AJ$3-Projects!$C$9+1),0)-IF(AND(Projects!$G$9="Yes",AJ$3&gt;=Projects!$C$9,AJ$3&lt;Projects!$C$9+Projects!$D$9),Projects!$B$9*(Assumptions!$B$10+Assumptions!$B$11+Assumptions!$B$12)/Projects!$D$9*0.95,0)-IF(AND(Projects!$G$9="Yes",AJ$3=Projects!$C$9+Projects!$D$9-1),Projects!$B$9*(Assumptions!$B$10+Assumptions!$B$11+Assumptions!$B$12)*0.05,0)</f>
        <v>0</v>
      </c>
      <c r="AK20" s="19" t="n">
        <f aca="false">IF(AND(Projects!$G$9="Yes",AK$3&gt;=Projects!$C$9,AK$3&lt;Projects!$C$9+Projects!$D$9),Projects!$B$9*INDEX(Curves!$B$4:$AR$4,1,AK$3-Projects!$C$9+1),0)-IF(AND(Projects!$G$9="Yes",AK$3&gt;=Projects!$C$9,AK$3&lt;Projects!$C$9+Projects!$D$9),Projects!$B$9*(Assumptions!$B$10+Assumptions!$B$11+Assumptions!$B$12)/Projects!$D$9*0.95,0)-IF(AND(Projects!$G$9="Yes",AK$3=Projects!$C$9+Projects!$D$9-1),Projects!$B$9*(Assumptions!$B$10+Assumptions!$B$11+Assumptions!$B$12)*0.05,0)</f>
        <v>0</v>
      </c>
      <c r="AL20" s="19" t="n">
        <f aca="false">IF(AND(Projects!$G$9="Yes",AL$3&gt;=Projects!$C$9,AL$3&lt;Projects!$C$9+Projects!$D$9),Projects!$B$9*INDEX(Curves!$B$4:$AR$4,1,AL$3-Projects!$C$9+1),0)-IF(AND(Projects!$G$9="Yes",AL$3&gt;=Projects!$C$9,AL$3&lt;Projects!$C$9+Projects!$D$9),Projects!$B$9*(Assumptions!$B$10+Assumptions!$B$11+Assumptions!$B$12)/Projects!$D$9*0.95,0)-IF(AND(Projects!$G$9="Yes",AL$3=Projects!$C$9+Projects!$D$9-1),Projects!$B$9*(Assumptions!$B$10+Assumptions!$B$11+Assumptions!$B$12)*0.05,0)</f>
        <v>0</v>
      </c>
      <c r="AM20" s="19" t="n">
        <f aca="false">IF(AND(Projects!$G$9="Yes",AM$3&gt;=Projects!$C$9,AM$3&lt;Projects!$C$9+Projects!$D$9),Projects!$B$9*INDEX(Curves!$B$4:$AR$4,1,AM$3-Projects!$C$9+1),0)-IF(AND(Projects!$G$9="Yes",AM$3&gt;=Projects!$C$9,AM$3&lt;Projects!$C$9+Projects!$D$9),Projects!$B$9*(Assumptions!$B$10+Assumptions!$B$11+Assumptions!$B$12)/Projects!$D$9*0.95,0)-IF(AND(Projects!$G$9="Yes",AM$3=Projects!$C$9+Projects!$D$9-1),Projects!$B$9*(Assumptions!$B$10+Assumptions!$B$11+Assumptions!$B$12)*0.05,0)</f>
        <v>0</v>
      </c>
      <c r="AN20" s="19" t="n">
        <f aca="false">IF(AND(Projects!$G$9="Yes",AN$3&gt;=Projects!$C$9,AN$3&lt;Projects!$C$9+Projects!$D$9),Projects!$B$9*INDEX(Curves!$B$4:$AR$4,1,AN$3-Projects!$C$9+1),0)-IF(AND(Projects!$G$9="Yes",AN$3&gt;=Projects!$C$9,AN$3&lt;Projects!$C$9+Projects!$D$9),Projects!$B$9*(Assumptions!$B$10+Assumptions!$B$11+Assumptions!$B$12)/Projects!$D$9*0.95,0)-IF(AND(Projects!$G$9="Yes",AN$3=Projects!$C$9+Projects!$D$9-1),Projects!$B$9*(Assumptions!$B$10+Assumptions!$B$11+Assumptions!$B$12)*0.05,0)</f>
        <v>0</v>
      </c>
      <c r="AO20" s="19" t="n">
        <f aca="false">IF(AND(Projects!$G$9="Yes",AO$3&gt;=Projects!$C$9,AO$3&lt;Projects!$C$9+Projects!$D$9),Projects!$B$9*INDEX(Curves!$B$4:$AR$4,1,AO$3-Projects!$C$9+1),0)-IF(AND(Projects!$G$9="Yes",AO$3&gt;=Projects!$C$9,AO$3&lt;Projects!$C$9+Projects!$D$9),Projects!$B$9*(Assumptions!$B$10+Assumptions!$B$11+Assumptions!$B$12)/Projects!$D$9*0.95,0)-IF(AND(Projects!$G$9="Yes",AO$3=Projects!$C$9+Projects!$D$9-1),Projects!$B$9*(Assumptions!$B$10+Assumptions!$B$11+Assumptions!$B$12)*0.05,0)</f>
        <v>0</v>
      </c>
      <c r="AP20" s="19" t="n">
        <f aca="false">IF(AND(Projects!$G$9="Yes",AP$3&gt;=Projects!$C$9,AP$3&lt;Projects!$C$9+Projects!$D$9),Projects!$B$9*INDEX(Curves!$B$4:$AR$4,1,AP$3-Projects!$C$9+1),0)-IF(AND(Projects!$G$9="Yes",AP$3&gt;=Projects!$C$9,AP$3&lt;Projects!$C$9+Projects!$D$9),Projects!$B$9*(Assumptions!$B$10+Assumptions!$B$11+Assumptions!$B$12)/Projects!$D$9*0.95,0)-IF(AND(Projects!$G$9="Yes",AP$3=Projects!$C$9+Projects!$D$9-1),Projects!$B$9*(Assumptions!$B$10+Assumptions!$B$11+Assumptions!$B$12)*0.05,0)</f>
        <v>0</v>
      </c>
      <c r="AQ20" s="19" t="n">
        <f aca="false">IF(AND(Projects!$G$9="Yes",AQ$3&gt;=Projects!$C$9,AQ$3&lt;Projects!$C$9+Projects!$D$9),Projects!$B$9*INDEX(Curves!$B$4:$AR$4,1,AQ$3-Projects!$C$9+1),0)-IF(AND(Projects!$G$9="Yes",AQ$3&gt;=Projects!$C$9,AQ$3&lt;Projects!$C$9+Projects!$D$9),Projects!$B$9*(Assumptions!$B$10+Assumptions!$B$11+Assumptions!$B$12)/Projects!$D$9*0.95,0)-IF(AND(Projects!$G$9="Yes",AQ$3=Projects!$C$9+Projects!$D$9-1),Projects!$B$9*(Assumptions!$B$10+Assumptions!$B$11+Assumptions!$B$12)*0.05,0)</f>
        <v>0</v>
      </c>
      <c r="AR20" s="19" t="n">
        <f aca="false">IF(AND(Projects!$G$9="Yes",AR$3&gt;=Projects!$C$9,AR$3&lt;Projects!$C$9+Projects!$D$9),Projects!$B$9*INDEX(Curves!$B$4:$AR$4,1,AR$3-Projects!$C$9+1),0)-IF(AND(Projects!$G$9="Yes",AR$3&gt;=Projects!$C$9,AR$3&lt;Projects!$C$9+Projects!$D$9),Projects!$B$9*(Assumptions!$B$10+Assumptions!$B$11+Assumptions!$B$12)/Projects!$D$9*0.95,0)-IF(AND(Projects!$G$9="Yes",AR$3=Projects!$C$9+Projects!$D$9-1),Projects!$B$9*(Assumptions!$B$10+Assumptions!$B$11+Assumptions!$B$12)*0.05,0)</f>
        <v>0</v>
      </c>
      <c r="AS20" s="19" t="n">
        <f aca="false">IF(AND(Projects!$G$9="Yes",AS$3&gt;=Projects!$C$9,AS$3&lt;Projects!$C$9+Projects!$D$9),Projects!$B$9*INDEX(Curves!$B$4:$AR$4,1,AS$3-Projects!$C$9+1),0)-IF(AND(Projects!$G$9="Yes",AS$3&gt;=Projects!$C$9,AS$3&lt;Projects!$C$9+Projects!$D$9),Projects!$B$9*(Assumptions!$B$10+Assumptions!$B$11+Assumptions!$B$12)/Projects!$D$9*0.95,0)-IF(AND(Projects!$G$9="Yes",AS$3=Projects!$C$9+Projects!$D$9-1),Projects!$B$9*(Assumptions!$B$10+Assumptions!$B$11+Assumptions!$B$12)*0.05,0)</f>
        <v>0</v>
      </c>
      <c r="AT20" s="19" t="n">
        <f aca="false">IF(AND(Projects!$G$9="Yes",AT$3&gt;=Projects!$C$9,AT$3&lt;Projects!$C$9+Projects!$D$9),Projects!$B$9*INDEX(Curves!$B$4:$AR$4,1,AT$3-Projects!$C$9+1),0)-IF(AND(Projects!$G$9="Yes",AT$3&gt;=Projects!$C$9,AT$3&lt;Projects!$C$9+Projects!$D$9),Projects!$B$9*(Assumptions!$B$10+Assumptions!$B$11+Assumptions!$B$12)/Projects!$D$9*0.95,0)-IF(AND(Projects!$G$9="Yes",AT$3=Projects!$C$9+Projects!$D$9-1),Projects!$B$9*(Assumptions!$B$10+Assumptions!$B$11+Assumptions!$B$12)*0.05,0)</f>
        <v>0</v>
      </c>
      <c r="AU20" s="19" t="n">
        <f aca="false">IF(AND(Projects!$G$9="Yes",AU$3&gt;=Projects!$C$9,AU$3&lt;Projects!$C$9+Projects!$D$9),Projects!$B$9*INDEX(Curves!$B$4:$AR$4,1,AU$3-Projects!$C$9+1),0)-IF(AND(Projects!$G$9="Yes",AU$3&gt;=Projects!$C$9,AU$3&lt;Projects!$C$9+Projects!$D$9),Projects!$B$9*(Assumptions!$B$10+Assumptions!$B$11+Assumptions!$B$12)/Projects!$D$9*0.95,0)-IF(AND(Projects!$G$9="Yes",AU$3=Projects!$C$9+Projects!$D$9-1),Projects!$B$9*(Assumptions!$B$10+Assumptions!$B$11+Assumptions!$B$12)*0.05,0)</f>
        <v>0</v>
      </c>
      <c r="AV20" s="19" t="n">
        <f aca="false">IF(AND(Projects!$G$9="Yes",AV$3&gt;=Projects!$C$9,AV$3&lt;Projects!$C$9+Projects!$D$9),Projects!$B$9*INDEX(Curves!$B$4:$AR$4,1,AV$3-Projects!$C$9+1),0)-IF(AND(Projects!$G$9="Yes",AV$3&gt;=Projects!$C$9,AV$3&lt;Projects!$C$9+Projects!$D$9),Projects!$B$9*(Assumptions!$B$10+Assumptions!$B$11+Assumptions!$B$12)/Projects!$D$9*0.95,0)-IF(AND(Projects!$G$9="Yes",AV$3=Projects!$C$9+Projects!$D$9-1),Projects!$B$9*(Assumptions!$B$10+Assumptions!$B$11+Assumptions!$B$12)*0.05,0)</f>
        <v>0</v>
      </c>
      <c r="AW20" s="19" t="n">
        <f aca="false">IF(AND(Projects!$G$9="Yes",AW$3&gt;=Projects!$C$9,AW$3&lt;Projects!$C$9+Projects!$D$9),Projects!$B$9*INDEX(Curves!$B$4:$AR$4,1,AW$3-Projects!$C$9+1),0)-IF(AND(Projects!$G$9="Yes",AW$3&gt;=Projects!$C$9,AW$3&lt;Projects!$C$9+Projects!$D$9),Projects!$B$9*(Assumptions!$B$10+Assumptions!$B$11+Assumptions!$B$12)/Projects!$D$9*0.95,0)-IF(AND(Projects!$G$9="Yes",AW$3=Projects!$C$9+Projects!$D$9-1),Projects!$B$9*(Assumptions!$B$10+Assumptions!$B$11+Assumptions!$B$12)*0.05,0)</f>
        <v>0</v>
      </c>
      <c r="AX20" s="19" t="n">
        <f aca="false">IF(AND(Projects!$G$9="Yes",AX$3&gt;=Projects!$C$9,AX$3&lt;Projects!$C$9+Projects!$D$9),Projects!$B$9*INDEX(Curves!$B$4:$AR$4,1,AX$3-Projects!$C$9+1),0)-IF(AND(Projects!$G$9="Yes",AX$3&gt;=Projects!$C$9,AX$3&lt;Projects!$C$9+Projects!$D$9),Projects!$B$9*(Assumptions!$B$10+Assumptions!$B$11+Assumptions!$B$12)/Projects!$D$9*0.95,0)-IF(AND(Projects!$G$9="Yes",AX$3=Projects!$C$9+Projects!$D$9-1),Projects!$B$9*(Assumptions!$B$10+Assumptions!$B$11+Assumptions!$B$12)*0.05,0)</f>
        <v>0</v>
      </c>
      <c r="AY20" s="19" t="n">
        <f aca="false">IF(AND(Projects!$G$9="Yes",AY$3&gt;=Projects!$C$9,AY$3&lt;Projects!$C$9+Projects!$D$9),Projects!$B$9*INDEX(Curves!$B$4:$AR$4,1,AY$3-Projects!$C$9+1),0)-IF(AND(Projects!$G$9="Yes",AY$3&gt;=Projects!$C$9,AY$3&lt;Projects!$C$9+Projects!$D$9),Projects!$B$9*(Assumptions!$B$10+Assumptions!$B$11+Assumptions!$B$12)/Projects!$D$9*0.95,0)-IF(AND(Projects!$G$9="Yes",AY$3=Projects!$C$9+Projects!$D$9-1),Projects!$B$9*(Assumptions!$B$10+Assumptions!$B$11+Assumptions!$B$12)*0.05,0)</f>
        <v>0</v>
      </c>
      <c r="AZ20" s="19" t="n">
        <f aca="false">IF(AND(Projects!$G$9="Yes",AZ$3&gt;=Projects!$C$9,AZ$3&lt;Projects!$C$9+Projects!$D$9),Projects!$B$9*INDEX(Curves!$B$4:$AR$4,1,AZ$3-Projects!$C$9+1),0)-IF(AND(Projects!$G$9="Yes",AZ$3&gt;=Projects!$C$9,AZ$3&lt;Projects!$C$9+Projects!$D$9),Projects!$B$9*(Assumptions!$B$10+Assumptions!$B$11+Assumptions!$B$12)/Projects!$D$9*0.95,0)-IF(AND(Projects!$G$9="Yes",AZ$3=Projects!$C$9+Projects!$D$9-1),Projects!$B$9*(Assumptions!$B$10+Assumptions!$B$11+Assumptions!$B$12)*0.05,0)</f>
        <v>0</v>
      </c>
      <c r="BA20" s="19" t="n">
        <f aca="false">IF(AND(Projects!$G$9="Yes",BA$3&gt;=Projects!$C$9,BA$3&lt;Projects!$C$9+Projects!$D$9),Projects!$B$9*INDEX(Curves!$B$4:$AR$4,1,BA$3-Projects!$C$9+1),0)-IF(AND(Projects!$G$9="Yes",BA$3&gt;=Projects!$C$9,BA$3&lt;Projects!$C$9+Projects!$D$9),Projects!$B$9*(Assumptions!$B$10+Assumptions!$B$11+Assumptions!$B$12)/Projects!$D$9*0.95,0)-IF(AND(Projects!$G$9="Yes",BA$3=Projects!$C$9+Projects!$D$9-1),Projects!$B$9*(Assumptions!$B$10+Assumptions!$B$11+Assumptions!$B$12)*0.05,0)</f>
        <v>0</v>
      </c>
      <c r="BB20" s="19" t="n">
        <f aca="false">IF(AND(Projects!$G$9="Yes",BB$3&gt;=Projects!$C$9,BB$3&lt;Projects!$C$9+Projects!$D$9),Projects!$B$9*INDEX(Curves!$B$4:$AR$4,1,BB$3-Projects!$C$9+1),0)-IF(AND(Projects!$G$9="Yes",BB$3&gt;=Projects!$C$9,BB$3&lt;Projects!$C$9+Projects!$D$9),Projects!$B$9*(Assumptions!$B$10+Assumptions!$B$11+Assumptions!$B$12)/Projects!$D$9*0.95,0)-IF(AND(Projects!$G$9="Yes",BB$3=Projects!$C$9+Projects!$D$9-1),Projects!$B$9*(Assumptions!$B$10+Assumptions!$B$11+Assumptions!$B$12)*0.05,0)</f>
        <v>0</v>
      </c>
      <c r="BC20" s="19" t="n">
        <f aca="false">IF(AND(Projects!$G$9="Yes",BC$3&gt;=Projects!$C$9,BC$3&lt;Projects!$C$9+Projects!$D$9),Projects!$B$9*INDEX(Curves!$B$4:$AR$4,1,BC$3-Projects!$C$9+1),0)-IF(AND(Projects!$G$9="Yes",BC$3&gt;=Projects!$C$9,BC$3&lt;Projects!$C$9+Projects!$D$9),Projects!$B$9*(Assumptions!$B$10+Assumptions!$B$11+Assumptions!$B$12)/Projects!$D$9*0.95,0)-IF(AND(Projects!$G$9="Yes",BC$3=Projects!$C$9+Projects!$D$9-1),Projects!$B$9*(Assumptions!$B$10+Assumptions!$B$11+Assumptions!$B$12)*0.05,0)</f>
        <v>0</v>
      </c>
      <c r="BD20" s="19" t="n">
        <f aca="false">IF(AND(Projects!$G$9="Yes",BD$3&gt;=Projects!$C$9,BD$3&lt;Projects!$C$9+Projects!$D$9),Projects!$B$9*INDEX(Curves!$B$4:$AR$4,1,BD$3-Projects!$C$9+1),0)-IF(AND(Projects!$G$9="Yes",BD$3&gt;=Projects!$C$9,BD$3&lt;Projects!$C$9+Projects!$D$9),Projects!$B$9*(Assumptions!$B$10+Assumptions!$B$11+Assumptions!$B$12)/Projects!$D$9*0.95,0)-IF(AND(Projects!$G$9="Yes",BD$3=Projects!$C$9+Projects!$D$9-1),Projects!$B$9*(Assumptions!$B$10+Assumptions!$B$11+Assumptions!$B$12)*0.05,0)</f>
        <v>0</v>
      </c>
      <c r="BE20" s="19" t="n">
        <f aca="false">IF(AND(Projects!$G$9="Yes",BE$3&gt;=Projects!$C$9,BE$3&lt;Projects!$C$9+Projects!$D$9),Projects!$B$9*INDEX(Curves!$B$4:$AR$4,1,BE$3-Projects!$C$9+1),0)-IF(AND(Projects!$G$9="Yes",BE$3&gt;=Projects!$C$9,BE$3&lt;Projects!$C$9+Projects!$D$9),Projects!$B$9*(Assumptions!$B$10+Assumptions!$B$11+Assumptions!$B$12)/Projects!$D$9*0.95,0)-IF(AND(Projects!$G$9="Yes",BE$3=Projects!$C$9+Projects!$D$9-1),Projects!$B$9*(Assumptions!$B$10+Assumptions!$B$11+Assumptions!$B$12)*0.05,0)</f>
        <v>0</v>
      </c>
      <c r="BF20" s="19" t="n">
        <f aca="false">IF(AND(Projects!$G$9="Yes",BF$3&gt;=Projects!$C$9,BF$3&lt;Projects!$C$9+Projects!$D$9),Projects!$B$9*INDEX(Curves!$B$4:$AR$4,1,BF$3-Projects!$C$9+1),0)-IF(AND(Projects!$G$9="Yes",BF$3&gt;=Projects!$C$9,BF$3&lt;Projects!$C$9+Projects!$D$9),Projects!$B$9*(Assumptions!$B$10+Assumptions!$B$11+Assumptions!$B$12)/Projects!$D$9*0.95,0)-IF(AND(Projects!$G$9="Yes",BF$3=Projects!$C$9+Projects!$D$9-1),Projects!$B$9*(Assumptions!$B$10+Assumptions!$B$11+Assumptions!$B$12)*0.05,0)</f>
        <v>0</v>
      </c>
      <c r="BG20" s="19" t="n">
        <f aca="false">IF(AND(Projects!$G$9="Yes",BG$3&gt;=Projects!$C$9,BG$3&lt;Projects!$C$9+Projects!$D$9),Projects!$B$9*INDEX(Curves!$B$4:$AR$4,1,BG$3-Projects!$C$9+1),0)-IF(AND(Projects!$G$9="Yes",BG$3&gt;=Projects!$C$9,BG$3&lt;Projects!$C$9+Projects!$D$9),Projects!$B$9*(Assumptions!$B$10+Assumptions!$B$11+Assumptions!$B$12)/Projects!$D$9*0.95,0)-IF(AND(Projects!$G$9="Yes",BG$3=Projects!$C$9+Projects!$D$9-1),Projects!$B$9*(Assumptions!$B$10+Assumptions!$B$11+Assumptions!$B$12)*0.05,0)</f>
        <v>0</v>
      </c>
      <c r="BH20" s="19" t="n">
        <f aca="false">IF(AND(Projects!$G$9="Yes",BH$3&gt;=Projects!$C$9,BH$3&lt;Projects!$C$9+Projects!$D$9),Projects!$B$9*INDEX(Curves!$B$4:$AR$4,1,BH$3-Projects!$C$9+1),0)-IF(AND(Projects!$G$9="Yes",BH$3&gt;=Projects!$C$9,BH$3&lt;Projects!$C$9+Projects!$D$9),Projects!$B$9*(Assumptions!$B$10+Assumptions!$B$11+Assumptions!$B$12)/Projects!$D$9*0.95,0)-IF(AND(Projects!$G$9="Yes",BH$3=Projects!$C$9+Projects!$D$9-1),Projects!$B$9*(Assumptions!$B$10+Assumptions!$B$11+Assumptions!$B$12)*0.05,0)</f>
        <v>0</v>
      </c>
      <c r="BI20" s="19" t="n">
        <f aca="false">IF(AND(Projects!$G$9="Yes",BI$3&gt;=Projects!$C$9,BI$3&lt;Projects!$C$9+Projects!$D$9),Projects!$B$9*INDEX(Curves!$B$4:$AR$4,1,BI$3-Projects!$C$9+1),0)-IF(AND(Projects!$G$9="Yes",BI$3&gt;=Projects!$C$9,BI$3&lt;Projects!$C$9+Projects!$D$9),Projects!$B$9*(Assumptions!$B$10+Assumptions!$B$11+Assumptions!$B$12)/Projects!$D$9*0.95,0)-IF(AND(Projects!$G$9="Yes",BI$3=Projects!$C$9+Projects!$D$9-1),Projects!$B$9*(Assumptions!$B$10+Assumptions!$B$11+Assumptions!$B$12)*0.05,0)</f>
        <v>0</v>
      </c>
      <c r="BJ20" s="19" t="n">
        <f aca="false">IF(AND(Projects!$G$9="Yes",BJ$3&gt;=Projects!$C$9,BJ$3&lt;Projects!$C$9+Projects!$D$9),Projects!$B$9*INDEX(Curves!$B$4:$AR$4,1,BJ$3-Projects!$C$9+1),0)-IF(AND(Projects!$G$9="Yes",BJ$3&gt;=Projects!$C$9,BJ$3&lt;Projects!$C$9+Projects!$D$9),Projects!$B$9*(Assumptions!$B$10+Assumptions!$B$11+Assumptions!$B$12)/Projects!$D$9*0.95,0)-IF(AND(Projects!$G$9="Yes",BJ$3=Projects!$C$9+Projects!$D$9-1),Projects!$B$9*(Assumptions!$B$10+Assumptions!$B$11+Assumptions!$B$12)*0.05,0)</f>
        <v>0</v>
      </c>
      <c r="BK20" s="19" t="n">
        <f aca="false">IF(AND(Projects!$G$9="Yes",BK$3&gt;=Projects!$C$9,BK$3&lt;Projects!$C$9+Projects!$D$9),Projects!$B$9*INDEX(Curves!$B$4:$AR$4,1,BK$3-Projects!$C$9+1),0)-IF(AND(Projects!$G$9="Yes",BK$3&gt;=Projects!$C$9,BK$3&lt;Projects!$C$9+Projects!$D$9),Projects!$B$9*(Assumptions!$B$10+Assumptions!$B$11+Assumptions!$B$12)/Projects!$D$9*0.95,0)-IF(AND(Projects!$G$9="Yes",BK$3=Projects!$C$9+Projects!$D$9-1),Projects!$B$9*(Assumptions!$B$10+Assumptions!$B$11+Assumptions!$B$12)*0.05,0)</f>
        <v>0</v>
      </c>
      <c r="BL20" s="19" t="n">
        <f aca="false">IF(AND(Projects!$G$9="Yes",BL$3&gt;=Projects!$C$9,BL$3&lt;Projects!$C$9+Projects!$D$9),Projects!$B$9*INDEX(Curves!$B$4:$AR$4,1,BL$3-Projects!$C$9+1),0)-IF(AND(Projects!$G$9="Yes",BL$3&gt;=Projects!$C$9,BL$3&lt;Projects!$C$9+Projects!$D$9),Projects!$B$9*(Assumptions!$B$10+Assumptions!$B$11+Assumptions!$B$12)/Projects!$D$9*0.95,0)-IF(AND(Projects!$G$9="Yes",BL$3=Projects!$C$9+Projects!$D$9-1),Projects!$B$9*(Assumptions!$B$10+Assumptions!$B$11+Assumptions!$B$12)*0.05,0)</f>
        <v>0</v>
      </c>
      <c r="BM20" s="19" t="n">
        <f aca="false">IF(AND(Projects!$G$9="Yes",BM$3&gt;=Projects!$C$9,BM$3&lt;Projects!$C$9+Projects!$D$9),Projects!$B$9*INDEX(Curves!$B$4:$AR$4,1,BM$3-Projects!$C$9+1),0)-IF(AND(Projects!$G$9="Yes",BM$3&gt;=Projects!$C$9,BM$3&lt;Projects!$C$9+Projects!$D$9),Projects!$B$9*(Assumptions!$B$10+Assumptions!$B$11+Assumptions!$B$12)/Projects!$D$9*0.95,0)-IF(AND(Projects!$G$9="Yes",BM$3=Projects!$C$9+Projects!$D$9-1),Projects!$B$9*(Assumptions!$B$10+Assumptions!$B$11+Assumptions!$B$12)*0.05,0)</f>
        <v>0</v>
      </c>
      <c r="BN20" s="19" t="n">
        <f aca="false">IF(AND(Projects!$G$9="Yes",BN$3&gt;=Projects!$C$9,BN$3&lt;Projects!$C$9+Projects!$D$9),Projects!$B$9*INDEX(Curves!$B$4:$AR$4,1,BN$3-Projects!$C$9+1),0)-IF(AND(Projects!$G$9="Yes",BN$3&gt;=Projects!$C$9,BN$3&lt;Projects!$C$9+Projects!$D$9),Projects!$B$9*(Assumptions!$B$10+Assumptions!$B$11+Assumptions!$B$12)/Projects!$D$9*0.95,0)-IF(AND(Projects!$G$9="Yes",BN$3=Projects!$C$9+Projects!$D$9-1),Projects!$B$9*(Assumptions!$B$10+Assumptions!$B$11+Assumptions!$B$12)*0.05,0)</f>
        <v>0</v>
      </c>
      <c r="BO20" s="19" t="n">
        <f aca="false">IF(AND(Projects!$G$9="Yes",BO$3&gt;=Projects!$C$9,BO$3&lt;Projects!$C$9+Projects!$D$9),Projects!$B$9*INDEX(Curves!$B$4:$AR$4,1,BO$3-Projects!$C$9+1),0)-IF(AND(Projects!$G$9="Yes",BO$3&gt;=Projects!$C$9,BO$3&lt;Projects!$C$9+Projects!$D$9),Projects!$B$9*(Assumptions!$B$10+Assumptions!$B$11+Assumptions!$B$12)/Projects!$D$9*0.95,0)-IF(AND(Projects!$G$9="Yes",BO$3=Projects!$C$9+Projects!$D$9-1),Projects!$B$9*(Assumptions!$B$10+Assumptions!$B$11+Assumptions!$B$12)*0.05,0)</f>
        <v>0</v>
      </c>
      <c r="BP20" s="19" t="n">
        <f aca="false">IF(AND(Projects!$G$9="Yes",BP$3&gt;=Projects!$C$9,BP$3&lt;Projects!$C$9+Projects!$D$9),Projects!$B$9*INDEX(Curves!$B$4:$AR$4,1,BP$3-Projects!$C$9+1),0)-IF(AND(Projects!$G$9="Yes",BP$3&gt;=Projects!$C$9,BP$3&lt;Projects!$C$9+Projects!$D$9),Projects!$B$9*(Assumptions!$B$10+Assumptions!$B$11+Assumptions!$B$12)/Projects!$D$9*0.95,0)-IF(AND(Projects!$G$9="Yes",BP$3=Projects!$C$9+Projects!$D$9-1),Projects!$B$9*(Assumptions!$B$10+Assumptions!$B$11+Assumptions!$B$12)*0.05,0)</f>
        <v>0</v>
      </c>
      <c r="BQ20" s="19" t="n">
        <f aca="false">IF(AND(Projects!$G$9="Yes",BQ$3&gt;=Projects!$C$9,BQ$3&lt;Projects!$C$9+Projects!$D$9),Projects!$B$9*INDEX(Curves!$B$4:$AR$4,1,BQ$3-Projects!$C$9+1),0)-IF(AND(Projects!$G$9="Yes",BQ$3&gt;=Projects!$C$9,BQ$3&lt;Projects!$C$9+Projects!$D$9),Projects!$B$9*(Assumptions!$B$10+Assumptions!$B$11+Assumptions!$B$12)/Projects!$D$9*0.95,0)-IF(AND(Projects!$G$9="Yes",BQ$3=Projects!$C$9+Projects!$D$9-1),Projects!$B$9*(Assumptions!$B$10+Assumptions!$B$11+Assumptions!$B$12)*0.05,0)</f>
        <v>0</v>
      </c>
      <c r="BR20" s="19" t="n">
        <f aca="false">IF(AND(Projects!$G$9="Yes",BR$3&gt;=Projects!$C$9,BR$3&lt;Projects!$C$9+Projects!$D$9),Projects!$B$9*INDEX(Curves!$B$4:$AR$4,1,BR$3-Projects!$C$9+1),0)-IF(AND(Projects!$G$9="Yes",BR$3&gt;=Projects!$C$9,BR$3&lt;Projects!$C$9+Projects!$D$9),Projects!$B$9*(Assumptions!$B$10+Assumptions!$B$11+Assumptions!$B$12)/Projects!$D$9*0.95,0)-IF(AND(Projects!$G$9="Yes",BR$3=Projects!$C$9+Projects!$D$9-1),Projects!$B$9*(Assumptions!$B$10+Assumptions!$B$11+Assumptions!$B$12)*0.05,0)</f>
        <v>0</v>
      </c>
      <c r="BS20" s="19" t="n">
        <f aca="false">IF(AND(Projects!$G$9="Yes",BS$3&gt;=Projects!$C$9,BS$3&lt;Projects!$C$9+Projects!$D$9),Projects!$B$9*INDEX(Curves!$B$4:$AR$4,1,BS$3-Projects!$C$9+1),0)-IF(AND(Projects!$G$9="Yes",BS$3&gt;=Projects!$C$9,BS$3&lt;Projects!$C$9+Projects!$D$9),Projects!$B$9*(Assumptions!$B$10+Assumptions!$B$11+Assumptions!$B$12)/Projects!$D$9*0.95,0)-IF(AND(Projects!$G$9="Yes",BS$3=Projects!$C$9+Projects!$D$9-1),Projects!$B$9*(Assumptions!$B$10+Assumptions!$B$11+Assumptions!$B$12)*0.05,0)</f>
        <v>0</v>
      </c>
      <c r="BT20" s="19" t="n">
        <f aca="false">IF(AND(Projects!$G$9="Yes",BT$3&gt;=Projects!$C$9,BT$3&lt;Projects!$C$9+Projects!$D$9),Projects!$B$9*INDEX(Curves!$B$4:$AR$4,1,BT$3-Projects!$C$9+1),0)-IF(AND(Projects!$G$9="Yes",BT$3&gt;=Projects!$C$9,BT$3&lt;Projects!$C$9+Projects!$D$9),Projects!$B$9*(Assumptions!$B$10+Assumptions!$B$11+Assumptions!$B$12)/Projects!$D$9*0.95,0)-IF(AND(Projects!$G$9="Yes",BT$3=Projects!$C$9+Projects!$D$9-1),Projects!$B$9*(Assumptions!$B$10+Assumptions!$B$11+Assumptions!$B$12)*0.05,0)</f>
        <v>0</v>
      </c>
      <c r="BU20" s="19" t="n">
        <f aca="false">IF(AND(Projects!$G$9="Yes",BU$3&gt;=Projects!$C$9,BU$3&lt;Projects!$C$9+Projects!$D$9),Projects!$B$9*INDEX(Curves!$B$4:$AR$4,1,BU$3-Projects!$C$9+1),0)-IF(AND(Projects!$G$9="Yes",BU$3&gt;=Projects!$C$9,BU$3&lt;Projects!$C$9+Projects!$D$9),Projects!$B$9*(Assumptions!$B$10+Assumptions!$B$11+Assumptions!$B$12)/Projects!$D$9*0.95,0)-IF(AND(Projects!$G$9="Yes",BU$3=Projects!$C$9+Projects!$D$9-1),Projects!$B$9*(Assumptions!$B$10+Assumptions!$B$11+Assumptions!$B$12)*0.05,0)</f>
        <v>0</v>
      </c>
      <c r="BV20" s="19" t="n">
        <f aca="false">IF(AND(Projects!$G$9="Yes",BV$3&gt;=Projects!$C$9,BV$3&lt;Projects!$C$9+Projects!$D$9),Projects!$B$9*INDEX(Curves!$B$4:$AR$4,1,BV$3-Projects!$C$9+1),0)-IF(AND(Projects!$G$9="Yes",BV$3&gt;=Projects!$C$9,BV$3&lt;Projects!$C$9+Projects!$D$9),Projects!$B$9*(Assumptions!$B$10+Assumptions!$B$11+Assumptions!$B$12)/Projects!$D$9*0.95,0)-IF(AND(Projects!$G$9="Yes",BV$3=Projects!$C$9+Projects!$D$9-1),Projects!$B$9*(Assumptions!$B$10+Assumptions!$B$11+Assumptions!$B$12)*0.05,0)</f>
        <v>0</v>
      </c>
      <c r="BW20" s="19" t="n">
        <f aca="false">IF(AND(Projects!$G$9="Yes",BW$3&gt;=Projects!$C$9,BW$3&lt;Projects!$C$9+Projects!$D$9),Projects!$B$9*INDEX(Curves!$B$4:$AR$4,1,BW$3-Projects!$C$9+1),0)-IF(AND(Projects!$G$9="Yes",BW$3&gt;=Projects!$C$9,BW$3&lt;Projects!$C$9+Projects!$D$9),Projects!$B$9*(Assumptions!$B$10+Assumptions!$B$11+Assumptions!$B$12)/Projects!$D$9*0.95,0)-IF(AND(Projects!$G$9="Yes",BW$3=Projects!$C$9+Projects!$D$9-1),Projects!$B$9*(Assumptions!$B$10+Assumptions!$B$11+Assumptions!$B$12)*0.05,0)</f>
        <v>0</v>
      </c>
      <c r="BX20" s="19" t="n">
        <f aca="false">IF(AND(Projects!$G$9="Yes",BX$3&gt;=Projects!$C$9,BX$3&lt;Projects!$C$9+Projects!$D$9),Projects!$B$9*INDEX(Curves!$B$4:$AR$4,1,BX$3-Projects!$C$9+1),0)-IF(AND(Projects!$G$9="Yes",BX$3&gt;=Projects!$C$9,BX$3&lt;Projects!$C$9+Projects!$D$9),Projects!$B$9*(Assumptions!$B$10+Assumptions!$B$11+Assumptions!$B$12)/Projects!$D$9*0.95,0)-IF(AND(Projects!$G$9="Yes",BX$3=Projects!$C$9+Projects!$D$9-1),Projects!$B$9*(Assumptions!$B$10+Assumptions!$B$11+Assumptions!$B$12)*0.05,0)</f>
        <v>0</v>
      </c>
      <c r="BY20" s="19" t="n">
        <f aca="false">IF(AND(Projects!$G$9="Yes",BY$3&gt;=Projects!$C$9,BY$3&lt;Projects!$C$9+Projects!$D$9),Projects!$B$9*INDEX(Curves!$B$4:$AR$4,1,BY$3-Projects!$C$9+1),0)-IF(AND(Projects!$G$9="Yes",BY$3&gt;=Projects!$C$9,BY$3&lt;Projects!$C$9+Projects!$D$9),Projects!$B$9*(Assumptions!$B$10+Assumptions!$B$11+Assumptions!$B$12)/Projects!$D$9*0.95,0)-IF(AND(Projects!$G$9="Yes",BY$3=Projects!$C$9+Projects!$D$9-1),Projects!$B$9*(Assumptions!$B$10+Assumptions!$B$11+Assumptions!$B$12)*0.05,0)</f>
        <v>0</v>
      </c>
      <c r="BZ20" s="19" t="n">
        <f aca="false">IF(AND(Projects!$G$9="Yes",BZ$3&gt;=Projects!$C$9,BZ$3&lt;Projects!$C$9+Projects!$D$9),Projects!$B$9*INDEX(Curves!$B$4:$AR$4,1,BZ$3-Projects!$C$9+1),0)-IF(AND(Projects!$G$9="Yes",BZ$3&gt;=Projects!$C$9,BZ$3&lt;Projects!$C$9+Projects!$D$9),Projects!$B$9*(Assumptions!$B$10+Assumptions!$B$11+Assumptions!$B$12)/Projects!$D$9*0.95,0)-IF(AND(Projects!$G$9="Yes",BZ$3=Projects!$C$9+Projects!$D$9-1),Projects!$B$9*(Assumptions!$B$10+Assumptions!$B$11+Assumptions!$B$12)*0.05,0)</f>
        <v>0</v>
      </c>
      <c r="CA20" s="19" t="n">
        <f aca="false">IF(AND(Projects!$G$9="Yes",CA$3&gt;=Projects!$C$9,CA$3&lt;Projects!$C$9+Projects!$D$9),Projects!$B$9*INDEX(Curves!$B$4:$AR$4,1,CA$3-Projects!$C$9+1),0)-IF(AND(Projects!$G$9="Yes",CA$3&gt;=Projects!$C$9,CA$3&lt;Projects!$C$9+Projects!$D$9),Projects!$B$9*(Assumptions!$B$10+Assumptions!$B$11+Assumptions!$B$12)/Projects!$D$9*0.95,0)-IF(AND(Projects!$G$9="Yes",CA$3=Projects!$C$9+Projects!$D$9-1),Projects!$B$9*(Assumptions!$B$10+Assumptions!$B$11+Assumptions!$B$12)*0.05,0)</f>
        <v>0</v>
      </c>
      <c r="CB20" s="19" t="n">
        <f aca="false">IF(AND(Projects!$G$9="Yes",CB$3&gt;=Projects!$C$9,CB$3&lt;Projects!$C$9+Projects!$D$9),Projects!$B$9*INDEX(Curves!$B$4:$AR$4,1,CB$3-Projects!$C$9+1),0)-IF(AND(Projects!$G$9="Yes",CB$3&gt;=Projects!$C$9,CB$3&lt;Projects!$C$9+Projects!$D$9),Projects!$B$9*(Assumptions!$B$10+Assumptions!$B$11+Assumptions!$B$12)/Projects!$D$9*0.95,0)-IF(AND(Projects!$G$9="Yes",CB$3=Projects!$C$9+Projects!$D$9-1),Projects!$B$9*(Assumptions!$B$10+Assumptions!$B$11+Assumptions!$B$12)*0.05,0)</f>
        <v>0</v>
      </c>
      <c r="CC20" s="19" t="n">
        <f aca="false">IF(AND(Projects!$G$9="Yes",CC$3&gt;=Projects!$C$9,CC$3&lt;Projects!$C$9+Projects!$D$9),Projects!$B$9*INDEX(Curves!$B$4:$AR$4,1,CC$3-Projects!$C$9+1),0)-IF(AND(Projects!$G$9="Yes",CC$3&gt;=Projects!$C$9,CC$3&lt;Projects!$C$9+Projects!$D$9),Projects!$B$9*(Assumptions!$B$10+Assumptions!$B$11+Assumptions!$B$12)/Projects!$D$9*0.95,0)-IF(AND(Projects!$G$9="Yes",CC$3=Projects!$C$9+Projects!$D$9-1),Projects!$B$9*(Assumptions!$B$10+Assumptions!$B$11+Assumptions!$B$12)*0.05,0)</f>
        <v>0</v>
      </c>
      <c r="CD20" s="19" t="n">
        <f aca="false">IF(AND(Projects!$G$9="Yes",CD$3&gt;=Projects!$C$9,CD$3&lt;Projects!$C$9+Projects!$D$9),Projects!$B$9*INDEX(Curves!$B$4:$AR$4,1,CD$3-Projects!$C$9+1),0)-IF(AND(Projects!$G$9="Yes",CD$3&gt;=Projects!$C$9,CD$3&lt;Projects!$C$9+Projects!$D$9),Projects!$B$9*(Assumptions!$B$10+Assumptions!$B$11+Assumptions!$B$12)/Projects!$D$9*0.95,0)-IF(AND(Projects!$G$9="Yes",CD$3=Projects!$C$9+Projects!$D$9-1),Projects!$B$9*(Assumptions!$B$10+Assumptions!$B$11+Assumptions!$B$12)*0.05,0)</f>
        <v>0</v>
      </c>
      <c r="CE20" s="19" t="n">
        <f aca="false">IF(AND(Projects!$G$9="Yes",CE$3&gt;=Projects!$C$9,CE$3&lt;Projects!$C$9+Projects!$D$9),Projects!$B$9*INDEX(Curves!$B$4:$AR$4,1,CE$3-Projects!$C$9+1),0)-IF(AND(Projects!$G$9="Yes",CE$3&gt;=Projects!$C$9,CE$3&lt;Projects!$C$9+Projects!$D$9),Projects!$B$9*(Assumptions!$B$10+Assumptions!$B$11+Assumptions!$B$12)/Projects!$D$9*0.95,0)-IF(AND(Projects!$G$9="Yes",CE$3=Projects!$C$9+Projects!$D$9-1),Projects!$B$9*(Assumptions!$B$10+Assumptions!$B$11+Assumptions!$B$12)*0.05,0)</f>
        <v>0</v>
      </c>
      <c r="CF20" s="19" t="n">
        <f aca="false">IF(AND(Projects!$G$9="Yes",CF$3&gt;=Projects!$C$9,CF$3&lt;Projects!$C$9+Projects!$D$9),Projects!$B$9*INDEX(Curves!$B$4:$AR$4,1,CF$3-Projects!$C$9+1),0)-IF(AND(Projects!$G$9="Yes",CF$3&gt;=Projects!$C$9,CF$3&lt;Projects!$C$9+Projects!$D$9),Projects!$B$9*(Assumptions!$B$10+Assumptions!$B$11+Assumptions!$B$12)/Projects!$D$9*0.95,0)-IF(AND(Projects!$G$9="Yes",CF$3=Projects!$C$9+Projects!$D$9-1),Projects!$B$9*(Assumptions!$B$10+Assumptions!$B$11+Assumptions!$B$12)*0.05,0)</f>
        <v>0</v>
      </c>
      <c r="CG20" s="19" t="n">
        <f aca="false">IF(AND(Projects!$G$9="Yes",CG$3&gt;=Projects!$C$9,CG$3&lt;Projects!$C$9+Projects!$D$9),Projects!$B$9*INDEX(Curves!$B$4:$AR$4,1,CG$3-Projects!$C$9+1),0)-IF(AND(Projects!$G$9="Yes",CG$3&gt;=Projects!$C$9,CG$3&lt;Projects!$C$9+Projects!$D$9),Projects!$B$9*(Assumptions!$B$10+Assumptions!$B$11+Assumptions!$B$12)/Projects!$D$9*0.95,0)-IF(AND(Projects!$G$9="Yes",CG$3=Projects!$C$9+Projects!$D$9-1),Projects!$B$9*(Assumptions!$B$10+Assumptions!$B$11+Assumptions!$B$12)*0.05,0)</f>
        <v>0</v>
      </c>
      <c r="CH20" s="19" t="n">
        <f aca="false">IF(AND(Projects!$G$9="Yes",CH$3&gt;=Projects!$C$9,CH$3&lt;Projects!$C$9+Projects!$D$9),Projects!$B$9*INDEX(Curves!$B$4:$AR$4,1,CH$3-Projects!$C$9+1),0)-IF(AND(Projects!$G$9="Yes",CH$3&gt;=Projects!$C$9,CH$3&lt;Projects!$C$9+Projects!$D$9),Projects!$B$9*(Assumptions!$B$10+Assumptions!$B$11+Assumptions!$B$12)/Projects!$D$9*0.95,0)-IF(AND(Projects!$G$9="Yes",CH$3=Projects!$C$9+Projects!$D$9-1),Projects!$B$9*(Assumptions!$B$10+Assumptions!$B$11+Assumptions!$B$12)*0.05,0)</f>
        <v>0</v>
      </c>
      <c r="CI20" s="19" t="n">
        <f aca="false">IF(AND(Projects!$G$9="Yes",CI$3&gt;=Projects!$C$9,CI$3&lt;Projects!$C$9+Projects!$D$9),Projects!$B$9*INDEX(Curves!$B$4:$AR$4,1,CI$3-Projects!$C$9+1),0)-IF(AND(Projects!$G$9="Yes",CI$3&gt;=Projects!$C$9,CI$3&lt;Projects!$C$9+Projects!$D$9),Projects!$B$9*(Assumptions!$B$10+Assumptions!$B$11+Assumptions!$B$12)/Projects!$D$9*0.95,0)-IF(AND(Projects!$G$9="Yes",CI$3=Projects!$C$9+Projects!$D$9-1),Projects!$B$9*(Assumptions!$B$10+Assumptions!$B$11+Assumptions!$B$12)*0.05,0)</f>
        <v>0</v>
      </c>
      <c r="CJ20" s="19" t="n">
        <f aca="false">IF(AND(Projects!$G$9="Yes",CJ$3&gt;=Projects!$C$9,CJ$3&lt;Projects!$C$9+Projects!$D$9),Projects!$B$9*INDEX(Curves!$B$4:$AR$4,1,CJ$3-Projects!$C$9+1),0)-IF(AND(Projects!$G$9="Yes",CJ$3&gt;=Projects!$C$9,CJ$3&lt;Projects!$C$9+Projects!$D$9),Projects!$B$9*(Assumptions!$B$10+Assumptions!$B$11+Assumptions!$B$12)/Projects!$D$9*0.95,0)-IF(AND(Projects!$G$9="Yes",CJ$3=Projects!$C$9+Projects!$D$9-1),Projects!$B$9*(Assumptions!$B$10+Assumptions!$B$11+Assumptions!$B$12)*0.05,0)</f>
        <v>0</v>
      </c>
      <c r="CK20" s="19" t="n">
        <f aca="false">IF(AND(Projects!$G$9="Yes",CK$3&gt;=Projects!$C$9,CK$3&lt;Projects!$C$9+Projects!$D$9),Projects!$B$9*INDEX(Curves!$B$4:$AR$4,1,CK$3-Projects!$C$9+1),0)-IF(AND(Projects!$G$9="Yes",CK$3&gt;=Projects!$C$9,CK$3&lt;Projects!$C$9+Projects!$D$9),Projects!$B$9*(Assumptions!$B$10+Assumptions!$B$11+Assumptions!$B$12)/Projects!$D$9*0.95,0)-IF(AND(Projects!$G$9="Yes",CK$3=Projects!$C$9+Projects!$D$9-1),Projects!$B$9*(Assumptions!$B$10+Assumptions!$B$11+Assumptions!$B$12)*0.05,0)</f>
        <v>0</v>
      </c>
      <c r="CL20" s="19" t="n">
        <f aca="false">IF(AND(Projects!$G$9="Yes",CL$3&gt;=Projects!$C$9,CL$3&lt;Projects!$C$9+Projects!$D$9),Projects!$B$9*INDEX(Curves!$B$4:$AR$4,1,CL$3-Projects!$C$9+1),0)-IF(AND(Projects!$G$9="Yes",CL$3&gt;=Projects!$C$9,CL$3&lt;Projects!$C$9+Projects!$D$9),Projects!$B$9*(Assumptions!$B$10+Assumptions!$B$11+Assumptions!$B$12)/Projects!$D$9*0.95,0)-IF(AND(Projects!$G$9="Yes",CL$3=Projects!$C$9+Projects!$D$9-1),Projects!$B$9*(Assumptions!$B$10+Assumptions!$B$11+Assumptions!$B$12)*0.05,0)</f>
        <v>0</v>
      </c>
      <c r="CM20" s="19" t="n">
        <f aca="false">IF(AND(Projects!$G$9="Yes",CM$3&gt;=Projects!$C$9,CM$3&lt;Projects!$C$9+Projects!$D$9),Projects!$B$9*INDEX(Curves!$B$4:$AR$4,1,CM$3-Projects!$C$9+1),0)-IF(AND(Projects!$G$9="Yes",CM$3&gt;=Projects!$C$9,CM$3&lt;Projects!$C$9+Projects!$D$9),Projects!$B$9*(Assumptions!$B$10+Assumptions!$B$11+Assumptions!$B$12)/Projects!$D$9*0.95,0)-IF(AND(Projects!$G$9="Yes",CM$3=Projects!$C$9+Projects!$D$9-1),Projects!$B$9*(Assumptions!$B$10+Assumptions!$B$11+Assumptions!$B$12)*0.05,0)</f>
        <v>0</v>
      </c>
      <c r="CN20" s="19" t="n">
        <f aca="false">IF(AND(Projects!$G$9="Yes",CN$3&gt;=Projects!$C$9,CN$3&lt;Projects!$C$9+Projects!$D$9),Projects!$B$9*INDEX(Curves!$B$4:$AR$4,1,CN$3-Projects!$C$9+1),0)-IF(AND(Projects!$G$9="Yes",CN$3&gt;=Projects!$C$9,CN$3&lt;Projects!$C$9+Projects!$D$9),Projects!$B$9*(Assumptions!$B$10+Assumptions!$B$11+Assumptions!$B$12)/Projects!$D$9*0.95,0)-IF(AND(Projects!$G$9="Yes",CN$3=Projects!$C$9+Projects!$D$9-1),Projects!$B$9*(Assumptions!$B$10+Assumptions!$B$11+Assumptions!$B$12)*0.05,0)</f>
        <v>0</v>
      </c>
      <c r="CO20" s="19" t="n">
        <f aca="false">IF(AND(Projects!$G$9="Yes",CO$3&gt;=Projects!$C$9,CO$3&lt;Projects!$C$9+Projects!$D$9),Projects!$B$9*INDEX(Curves!$B$4:$AR$4,1,CO$3-Projects!$C$9+1),0)-IF(AND(Projects!$G$9="Yes",CO$3&gt;=Projects!$C$9,CO$3&lt;Projects!$C$9+Projects!$D$9),Projects!$B$9*(Assumptions!$B$10+Assumptions!$B$11+Assumptions!$B$12)/Projects!$D$9*0.95,0)-IF(AND(Projects!$G$9="Yes",CO$3=Projects!$C$9+Projects!$D$9-1),Projects!$B$9*(Assumptions!$B$10+Assumptions!$B$11+Assumptions!$B$12)*0.05,0)</f>
        <v>0</v>
      </c>
      <c r="CP20" s="19" t="n">
        <f aca="false">IF(AND(Projects!$G$9="Yes",CP$3&gt;=Projects!$C$9,CP$3&lt;Projects!$C$9+Projects!$D$9),Projects!$B$9*INDEX(Curves!$B$4:$AR$4,1,CP$3-Projects!$C$9+1),0)-IF(AND(Projects!$G$9="Yes",CP$3&gt;=Projects!$C$9,CP$3&lt;Projects!$C$9+Projects!$D$9),Projects!$B$9*(Assumptions!$B$10+Assumptions!$B$11+Assumptions!$B$12)/Projects!$D$9*0.95,0)-IF(AND(Projects!$G$9="Yes",CP$3=Projects!$C$9+Projects!$D$9-1),Projects!$B$9*(Assumptions!$B$10+Assumptions!$B$11+Assumptions!$B$12)*0.05,0)</f>
        <v>0</v>
      </c>
      <c r="CQ20" s="19" t="n">
        <f aca="false">IF(AND(Projects!$G$9="Yes",CQ$3&gt;=Projects!$C$9,CQ$3&lt;Projects!$C$9+Projects!$D$9),Projects!$B$9*INDEX(Curves!$B$4:$AR$4,1,CQ$3-Projects!$C$9+1),0)-IF(AND(Projects!$G$9="Yes",CQ$3&gt;=Projects!$C$9,CQ$3&lt;Projects!$C$9+Projects!$D$9),Projects!$B$9*(Assumptions!$B$10+Assumptions!$B$11+Assumptions!$B$12)/Projects!$D$9*0.95,0)-IF(AND(Projects!$G$9="Yes",CQ$3=Projects!$C$9+Projects!$D$9-1),Projects!$B$9*(Assumptions!$B$10+Assumptions!$B$11+Assumptions!$B$12)*0.05,0)</f>
        <v>0</v>
      </c>
      <c r="CR20" s="19" t="n">
        <f aca="false">IF(AND(Projects!$G$9="Yes",CR$3&gt;=Projects!$C$9,CR$3&lt;Projects!$C$9+Projects!$D$9),Projects!$B$9*INDEX(Curves!$B$4:$AR$4,1,CR$3-Projects!$C$9+1),0)-IF(AND(Projects!$G$9="Yes",CR$3&gt;=Projects!$C$9,CR$3&lt;Projects!$C$9+Projects!$D$9),Projects!$B$9*(Assumptions!$B$10+Assumptions!$B$11+Assumptions!$B$12)/Projects!$D$9*0.95,0)-IF(AND(Projects!$G$9="Yes",CR$3=Projects!$C$9+Projects!$D$9-1),Projects!$B$9*(Assumptions!$B$10+Assumptions!$B$11+Assumptions!$B$12)*0.05,0)</f>
        <v>0</v>
      </c>
      <c r="CS20" s="19" t="n">
        <f aca="false">IF(AND(Projects!$G$9="Yes",CS$3&gt;=Projects!$C$9,CS$3&lt;Projects!$C$9+Projects!$D$9),Projects!$B$9*INDEX(Curves!$B$4:$AR$4,1,CS$3-Projects!$C$9+1),0)-IF(AND(Projects!$G$9="Yes",CS$3&gt;=Projects!$C$9,CS$3&lt;Projects!$C$9+Projects!$D$9),Projects!$B$9*(Assumptions!$B$10+Assumptions!$B$11+Assumptions!$B$12)/Projects!$D$9*0.95,0)-IF(AND(Projects!$G$9="Yes",CS$3=Projects!$C$9+Projects!$D$9-1),Projects!$B$9*(Assumptions!$B$10+Assumptions!$B$11+Assumptions!$B$12)*0.05,0)</f>
        <v>0</v>
      </c>
      <c r="CT20" s="19" t="n">
        <f aca="false">IF(AND(Projects!$G$9="Yes",CT$3&gt;=Projects!$C$9,CT$3&lt;Projects!$C$9+Projects!$D$9),Projects!$B$9*INDEX(Curves!$B$4:$AR$4,1,CT$3-Projects!$C$9+1),0)-IF(AND(Projects!$G$9="Yes",CT$3&gt;=Projects!$C$9,CT$3&lt;Projects!$C$9+Projects!$D$9),Projects!$B$9*(Assumptions!$B$10+Assumptions!$B$11+Assumptions!$B$12)/Projects!$D$9*0.95,0)-IF(AND(Projects!$G$9="Yes",CT$3=Projects!$C$9+Projects!$D$9-1),Projects!$B$9*(Assumptions!$B$10+Assumptions!$B$11+Assumptions!$B$12)*0.05,0)</f>
        <v>0</v>
      </c>
      <c r="CU20" s="19" t="n">
        <f aca="false">IF(AND(Projects!$G$9="Yes",CU$3&gt;=Projects!$C$9,CU$3&lt;Projects!$C$9+Projects!$D$9),Projects!$B$9*INDEX(Curves!$B$4:$AR$4,1,CU$3-Projects!$C$9+1),0)-IF(AND(Projects!$G$9="Yes",CU$3&gt;=Projects!$C$9,CU$3&lt;Projects!$C$9+Projects!$D$9),Projects!$B$9*(Assumptions!$B$10+Assumptions!$B$11+Assumptions!$B$12)/Projects!$D$9*0.95,0)-IF(AND(Projects!$G$9="Yes",CU$3=Projects!$C$9+Projects!$D$9-1),Projects!$B$9*(Assumptions!$B$10+Assumptions!$B$11+Assumptions!$B$12)*0.05,0)</f>
        <v>0</v>
      </c>
      <c r="CV20" s="19" t="n">
        <f aca="false">IF(AND(Projects!$G$9="Yes",CV$3&gt;=Projects!$C$9,CV$3&lt;Projects!$C$9+Projects!$D$9),Projects!$B$9*INDEX(Curves!$B$4:$AR$4,1,CV$3-Projects!$C$9+1),0)-IF(AND(Projects!$G$9="Yes",CV$3&gt;=Projects!$C$9,CV$3&lt;Projects!$C$9+Projects!$D$9),Projects!$B$9*(Assumptions!$B$10+Assumptions!$B$11+Assumptions!$B$12)/Projects!$D$9*0.95,0)-IF(AND(Projects!$G$9="Yes",CV$3=Projects!$C$9+Projects!$D$9-1),Projects!$B$9*(Assumptions!$B$10+Assumptions!$B$11+Assumptions!$B$12)*0.05,0)</f>
        <v>0</v>
      </c>
      <c r="CW20" s="19" t="n">
        <f aca="false">IF(AND(Projects!$G$9="Yes",CW$3&gt;=Projects!$C$9,CW$3&lt;Projects!$C$9+Projects!$D$9),Projects!$B$9*INDEX(Curves!$B$4:$AR$4,1,CW$3-Projects!$C$9+1),0)-IF(AND(Projects!$G$9="Yes",CW$3&gt;=Projects!$C$9,CW$3&lt;Projects!$C$9+Projects!$D$9),Projects!$B$9*(Assumptions!$B$10+Assumptions!$B$11+Assumptions!$B$12)/Projects!$D$9*0.95,0)-IF(AND(Projects!$G$9="Yes",CW$3=Projects!$C$9+Projects!$D$9-1),Projects!$B$9*(Assumptions!$B$10+Assumptions!$B$11+Assumptions!$B$12)*0.05,0)</f>
        <v>0</v>
      </c>
      <c r="CX20" s="19" t="n">
        <f aca="false">IF(AND(Projects!$G$9="Yes",CX$3&gt;=Projects!$C$9,CX$3&lt;Projects!$C$9+Projects!$D$9),Projects!$B$9*INDEX(Curves!$B$4:$AR$4,1,CX$3-Projects!$C$9+1),0)-IF(AND(Projects!$G$9="Yes",CX$3&gt;=Projects!$C$9,CX$3&lt;Projects!$C$9+Projects!$D$9),Projects!$B$9*(Assumptions!$B$10+Assumptions!$B$11+Assumptions!$B$12)/Projects!$D$9*0.95,0)-IF(AND(Projects!$G$9="Yes",CX$3=Projects!$C$9+Projects!$D$9-1),Projects!$B$9*(Assumptions!$B$10+Assumptions!$B$11+Assumptions!$B$12)*0.05,0)</f>
        <v>0</v>
      </c>
      <c r="CY20" s="19" t="n">
        <f aca="false">IF(AND(Projects!$G$9="Yes",CY$3&gt;=Projects!$C$9,CY$3&lt;Projects!$C$9+Projects!$D$9),Projects!$B$9*INDEX(Curves!$B$4:$AR$4,1,CY$3-Projects!$C$9+1),0)-IF(AND(Projects!$G$9="Yes",CY$3&gt;=Projects!$C$9,CY$3&lt;Projects!$C$9+Projects!$D$9),Projects!$B$9*(Assumptions!$B$10+Assumptions!$B$11+Assumptions!$B$12)/Projects!$D$9*0.95,0)-IF(AND(Projects!$G$9="Yes",CY$3=Projects!$C$9+Projects!$D$9-1),Projects!$B$9*(Assumptions!$B$10+Assumptions!$B$11+Assumptions!$B$12)*0.05,0)</f>
        <v>0</v>
      </c>
      <c r="CZ20" s="19" t="n">
        <f aca="false">IF(AND(Projects!$G$9="Yes",CZ$3&gt;=Projects!$C$9,CZ$3&lt;Projects!$C$9+Projects!$D$9),Projects!$B$9*INDEX(Curves!$B$4:$AR$4,1,CZ$3-Projects!$C$9+1),0)-IF(AND(Projects!$G$9="Yes",CZ$3&gt;=Projects!$C$9,CZ$3&lt;Projects!$C$9+Projects!$D$9),Projects!$B$9*(Assumptions!$B$10+Assumptions!$B$11+Assumptions!$B$12)/Projects!$D$9*0.95,0)-IF(AND(Projects!$G$9="Yes",CZ$3=Projects!$C$9+Projects!$D$9-1),Projects!$B$9*(Assumptions!$B$10+Assumptions!$B$11+Assumptions!$B$12)*0.05,0)</f>
        <v>0</v>
      </c>
      <c r="DA20" s="19" t="n">
        <f aca="false">IF(AND(Projects!$G$9="Yes",DA$3&gt;=Projects!$C$9,DA$3&lt;Projects!$C$9+Projects!$D$9),Projects!$B$9*INDEX(Curves!$B$4:$AR$4,1,DA$3-Projects!$C$9+1),0)-IF(AND(Projects!$G$9="Yes",DA$3&gt;=Projects!$C$9,DA$3&lt;Projects!$C$9+Projects!$D$9),Projects!$B$9*(Assumptions!$B$10+Assumptions!$B$11+Assumptions!$B$12)/Projects!$D$9*0.95,0)-IF(AND(Projects!$G$9="Yes",DA$3=Projects!$C$9+Projects!$D$9-1),Projects!$B$9*(Assumptions!$B$10+Assumptions!$B$11+Assumptions!$B$12)*0.05,0)</f>
        <v>0</v>
      </c>
      <c r="DB20" s="19" t="n">
        <f aca="false">IF(AND(Projects!$G$9="Yes",DB$3&gt;=Projects!$C$9,DB$3&lt;Projects!$C$9+Projects!$D$9),Projects!$B$9*INDEX(Curves!$B$4:$AR$4,1,DB$3-Projects!$C$9+1),0)-IF(AND(Projects!$G$9="Yes",DB$3&gt;=Projects!$C$9,DB$3&lt;Projects!$C$9+Projects!$D$9),Projects!$B$9*(Assumptions!$B$10+Assumptions!$B$11+Assumptions!$B$12)/Projects!$D$9*0.95,0)-IF(AND(Projects!$G$9="Yes",DB$3=Projects!$C$9+Projects!$D$9-1),Projects!$B$9*(Assumptions!$B$10+Assumptions!$B$11+Assumptions!$B$12)*0.05,0)</f>
        <v>0</v>
      </c>
      <c r="DC20" s="19" t="n">
        <f aca="false">IF(AND(Projects!$G$9="Yes",DC$3&gt;=Projects!$C$9,DC$3&lt;Projects!$C$9+Projects!$D$9),Projects!$B$9*INDEX(Curves!$B$4:$AR$4,1,DC$3-Projects!$C$9+1),0)-IF(AND(Projects!$G$9="Yes",DC$3&gt;=Projects!$C$9,DC$3&lt;Projects!$C$9+Projects!$D$9),Projects!$B$9*(Assumptions!$B$10+Assumptions!$B$11+Assumptions!$B$12)/Projects!$D$9*0.95,0)-IF(AND(Projects!$G$9="Yes",DC$3=Projects!$C$9+Projects!$D$9-1),Projects!$B$9*(Assumptions!$B$10+Assumptions!$B$11+Assumptions!$B$12)*0.05,0)</f>
        <v>0</v>
      </c>
      <c r="DD20" s="19" t="n">
        <f aca="false">IF(AND(Projects!$G$9="Yes",DD$3&gt;=Projects!$C$9,DD$3&lt;Projects!$C$9+Projects!$D$9),Projects!$B$9*INDEX(Curves!$B$4:$AR$4,1,DD$3-Projects!$C$9+1),0)-IF(AND(Projects!$G$9="Yes",DD$3&gt;=Projects!$C$9,DD$3&lt;Projects!$C$9+Projects!$D$9),Projects!$B$9*(Assumptions!$B$10+Assumptions!$B$11+Assumptions!$B$12)/Projects!$D$9*0.95,0)-IF(AND(Projects!$G$9="Yes",DD$3=Projects!$C$9+Projects!$D$9-1),Projects!$B$9*(Assumptions!$B$10+Assumptions!$B$11+Assumptions!$B$12)*0.05,0)</f>
        <v>0</v>
      </c>
      <c r="DE20" s="19" t="n">
        <f aca="false">IF(AND(Projects!$G$9="Yes",DE$3&gt;=Projects!$C$9,DE$3&lt;Projects!$C$9+Projects!$D$9),Projects!$B$9*INDEX(Curves!$B$4:$AR$4,1,DE$3-Projects!$C$9+1),0)-IF(AND(Projects!$G$9="Yes",DE$3&gt;=Projects!$C$9,DE$3&lt;Projects!$C$9+Projects!$D$9),Projects!$B$9*(Assumptions!$B$10+Assumptions!$B$11+Assumptions!$B$12)/Projects!$D$9*0.95,0)-IF(AND(Projects!$G$9="Yes",DE$3=Projects!$C$9+Projects!$D$9-1),Projects!$B$9*(Assumptions!$B$10+Assumptions!$B$11+Assumptions!$B$12)*0.05,0)</f>
        <v>0</v>
      </c>
    </row>
    <row r="21" customFormat="false" ht="15" hidden="true" customHeight="true" outlineLevel="1" collapsed="false">
      <c r="A21" s="28" t="s">
        <v>15</v>
      </c>
      <c r="B21" s="19" t="n">
        <v>0</v>
      </c>
      <c r="C21" s="19" t="n">
        <v>0</v>
      </c>
      <c r="D21" s="19" t="n">
        <v>0</v>
      </c>
      <c r="E21" s="19" t="n">
        <v>0</v>
      </c>
      <c r="F21" s="19" t="n">
        <f aca="false">IF(AND(Projects!$G$10="Yes",F$3&gt;=Projects!$C$10,F$3&lt;Projects!$C$10+Projects!$D$10),Projects!$B$10*INDEX(Curves!$B$3:$AR$3,1,F$3-Projects!$C$10+1),0)-IF(AND(Projects!$G$10="Yes",F$3&gt;=Projects!$C$10,F$3&lt;Projects!$C$10+Projects!$D$10),Projects!$B$10*(Assumptions!$B$10+Assumptions!$B$11+Assumptions!$B$12)/Projects!$D$10*0.95,0)-IF(AND(Projects!$G$10="Yes",F$3=Projects!$C$10+Projects!$D$10-1),Projects!$B$10*(Assumptions!$B$10+Assumptions!$B$11+Assumptions!$B$12)*0.05,0)</f>
        <v>0</v>
      </c>
      <c r="G21" s="19" t="n">
        <f aca="false">IF(AND(Projects!$G$10="Yes",G$3&gt;=Projects!$C$10,G$3&lt;Projects!$C$10+Projects!$D$10),Projects!$B$10*INDEX(Curves!$B$3:$AR$3,1,G$3-Projects!$C$10+1),0)-IF(AND(Projects!$G$10="Yes",G$3&gt;=Projects!$C$10,G$3&lt;Projects!$C$10+Projects!$D$10),Projects!$B$10*(Assumptions!$B$10+Assumptions!$B$11+Assumptions!$B$12)/Projects!$D$10*0.95,0)-IF(AND(Projects!$G$10="Yes",G$3=Projects!$C$10+Projects!$D$10-1),Projects!$B$10*(Assumptions!$B$10+Assumptions!$B$11+Assumptions!$B$12)*0.05,0)</f>
        <v>0</v>
      </c>
      <c r="H21" s="19" t="n">
        <f aca="false">IF(AND(Projects!$G$10="Yes",H$3&gt;=Projects!$C$10,H$3&lt;Projects!$C$10+Projects!$D$10),Projects!$B$10*INDEX(Curves!$B$3:$AR$3,1,H$3-Projects!$C$10+1),0)-IF(AND(Projects!$G$10="Yes",H$3&gt;=Projects!$C$10,H$3&lt;Projects!$C$10+Projects!$D$10),Projects!$B$10*(Assumptions!$B$10+Assumptions!$B$11+Assumptions!$B$12)/Projects!$D$10*0.95,0)-IF(AND(Projects!$G$10="Yes",H$3=Projects!$C$10+Projects!$D$10-1),Projects!$B$10*(Assumptions!$B$10+Assumptions!$B$11+Assumptions!$B$12)*0.05,0)</f>
        <v>0</v>
      </c>
      <c r="I21" s="19" t="n">
        <v>0</v>
      </c>
      <c r="J21" s="19" t="n">
        <f aca="false">IF(AND(Projects!$G$10="Yes",J$3&gt;=Projects!$C$10,J$3&lt;Projects!$C$10+Projects!$D$10),Projects!$B$10*INDEX(Curves!$B$3:$AR$3,1,J$3-Projects!$C$10+1),0)-IF(AND(Projects!$G$10="Yes",J$3&gt;=Projects!$C$10,J$3&lt;Projects!$C$10+Projects!$D$10),Projects!$B$10*(Assumptions!$B$10+Assumptions!$B$11+Assumptions!$B$12)/Projects!$D$10*0.95,0)-IF(AND(Projects!$G$10="Yes",J$3=Projects!$C$10+Projects!$D$10-1),Projects!$B$10*(Assumptions!$B$10+Assumptions!$B$11+Assumptions!$B$12)*0.05,0)</f>
        <v>0</v>
      </c>
      <c r="K21" s="19" t="n">
        <f aca="false">IF(AND(Projects!$G$10="Yes",K$3&gt;=Projects!$C$10,K$3&lt;Projects!$C$10+Projects!$D$10),Projects!$B$10*INDEX(Curves!$B$3:$AR$3,1,K$3-Projects!$C$10+1),0)-IF(AND(Projects!$G$10="Yes",K$3&gt;=Projects!$C$10,K$3&lt;Projects!$C$10+Projects!$D$10),Projects!$B$10*(Assumptions!$B$10+Assumptions!$B$11+Assumptions!$B$12)/Projects!$D$10*0.95,0)-IF(AND(Projects!$G$10="Yes",K$3=Projects!$C$10+Projects!$D$10-1),Projects!$B$10*(Assumptions!$B$10+Assumptions!$B$11+Assumptions!$B$12)*0.05,0)</f>
        <v>0</v>
      </c>
      <c r="L21" s="19" t="n">
        <f aca="false">IF(AND(Projects!$G$10="Yes",L$3&gt;=Projects!$C$10,L$3&lt;Projects!$C$10+Projects!$D$10),Projects!$B$10*INDEX(Curves!$B$3:$AR$3,1,L$3-Projects!$C$10+1),0)-IF(AND(Projects!$G$10="Yes",L$3&gt;=Projects!$C$10,L$3&lt;Projects!$C$10+Projects!$D$10),Projects!$B$10*(Assumptions!$B$10+Assumptions!$B$11+Assumptions!$B$12)/Projects!$D$10*0.95,0)-IF(AND(Projects!$G$10="Yes",L$3=Projects!$C$10+Projects!$D$10-1),Projects!$B$10*(Assumptions!$B$10+Assumptions!$B$11+Assumptions!$B$12)*0.05,0)</f>
        <v>0</v>
      </c>
      <c r="M21" s="19" t="n">
        <f aca="false">IF(AND(Projects!$G$10="Yes",M$3&gt;=Projects!$C$10,M$3&lt;Projects!$C$10+Projects!$D$10),Projects!$B$10*INDEX(Curves!$B$3:$AR$3,1,M$3-Projects!$C$10+1),0)-IF(AND(Projects!$G$10="Yes",M$3&gt;=Projects!$C$10,M$3&lt;Projects!$C$10+Projects!$D$10),Projects!$B$10*(Assumptions!$B$10+Assumptions!$B$11+Assumptions!$B$12)/Projects!$D$10*0.95,0)-IF(AND(Projects!$G$10="Yes",M$3=Projects!$C$10+Projects!$D$10-1),Projects!$B$10*(Assumptions!$B$10+Assumptions!$B$11+Assumptions!$B$12)*0.05,0)</f>
        <v>334505.743043865</v>
      </c>
      <c r="N21" s="19" t="n">
        <f aca="false">IF(AND(Projects!$G$10="Yes",N$3&gt;=Projects!$C$10,N$3&lt;Projects!$C$10+Projects!$D$10),Projects!$B$10*INDEX(Curves!$B$3:$AR$3,1,N$3-Projects!$C$10+1),0)-IF(AND(Projects!$G$10="Yes",N$3&gt;=Projects!$C$10,N$3&lt;Projects!$C$10+Projects!$D$10),Projects!$B$10*(Assumptions!$B$10+Assumptions!$B$11+Assumptions!$B$12)/Projects!$D$10*0.95,0)-IF(AND(Projects!$G$10="Yes",N$3=Projects!$C$10+Projects!$D$10-1),Projects!$B$10*(Assumptions!$B$10+Assumptions!$B$11+Assumptions!$B$12)*0.05,0)</f>
        <v>416135.954838865</v>
      </c>
      <c r="O21" s="19" t="n">
        <f aca="false">IF(AND(Projects!$G$10="Yes",O$3&gt;=Projects!$C$10,O$3&lt;Projects!$C$10+Projects!$D$10),Projects!$B$10*INDEX(Curves!$B$3:$AR$3,1,O$3-Projects!$C$10+1),0)-IF(AND(Projects!$G$10="Yes",O$3&gt;=Projects!$C$10,O$3&lt;Projects!$C$10+Projects!$D$10),Projects!$B$10*(Assumptions!$B$10+Assumptions!$B$11+Assumptions!$B$12)/Projects!$D$10*0.95,0)-IF(AND(Projects!$G$10="Yes",O$3=Projects!$C$10+Projects!$D$10-1),Projects!$B$10*(Assumptions!$B$10+Assumptions!$B$11+Assumptions!$B$12)*0.05,0)</f>
        <v>503507.285983865</v>
      </c>
      <c r="P21" s="19" t="n">
        <f aca="false">IF(AND(Projects!$G$10="Yes",P$3&gt;=Projects!$C$10,P$3&lt;Projects!$C$10+Projects!$D$10),Projects!$B$10*INDEX(Curves!$B$3:$AR$3,1,P$3-Projects!$C$10+1),0)-IF(AND(Projects!$G$10="Yes",P$3&gt;=Projects!$C$10,P$3&lt;Projects!$C$10+Projects!$D$10),Projects!$B$10*(Assumptions!$B$10+Assumptions!$B$11+Assumptions!$B$12)/Projects!$D$10*0.95,0)-IF(AND(Projects!$G$10="Yes",P$3=Projects!$C$10+Projects!$D$10-1),Projects!$B$10*(Assumptions!$B$10+Assumptions!$B$11+Assumptions!$B$12)*0.05,0)</f>
        <v>594727.293433865</v>
      </c>
      <c r="Q21" s="19" t="n">
        <f aca="false">IF(AND(Projects!$G$10="Yes",Q$3&gt;=Projects!$C$10,Q$3&lt;Projects!$C$10+Projects!$D$10),Projects!$B$10*INDEX(Curves!$B$3:$AR$3,1,Q$3-Projects!$C$10+1),0)-IF(AND(Projects!$G$10="Yes",Q$3&gt;=Projects!$C$10,Q$3&lt;Projects!$C$10+Projects!$D$10),Projects!$B$10*(Assumptions!$B$10+Assumptions!$B$11+Assumptions!$B$12)/Projects!$D$10*0.95,0)-IF(AND(Projects!$G$10="Yes",Q$3=Projects!$C$10+Projects!$D$10-1),Projects!$B$10*(Assumptions!$B$10+Assumptions!$B$11+Assumptions!$B$12)*0.05,0)</f>
        <v>687265.631993865</v>
      </c>
      <c r="R21" s="19" t="n">
        <f aca="false">IF(AND(Projects!$G$10="Yes",R$3&gt;=Projects!$C$10,R$3&lt;Projects!$C$10+Projects!$D$10),Projects!$B$10*INDEX(Curves!$B$3:$AR$3,1,R$3-Projects!$C$10+1),0)-IF(AND(Projects!$G$10="Yes",R$3&gt;=Projects!$C$10,R$3&lt;Projects!$C$10+Projects!$D$10),Projects!$B$10*(Assumptions!$B$10+Assumptions!$B$11+Assumptions!$B$12)/Projects!$D$10*0.95,0)-IF(AND(Projects!$G$10="Yes",R$3=Projects!$C$10+Projects!$D$10-1),Projects!$B$10*(Assumptions!$B$10+Assumptions!$B$11+Assumptions!$B$12)*0.05,0)</f>
        <v>778294.268798865</v>
      </c>
      <c r="S21" s="19" t="n">
        <f aca="false">IF(AND(Projects!$G$10="Yes",S$3&gt;=Projects!$C$10,S$3&lt;Projects!$C$10+Projects!$D$10),Projects!$B$10*INDEX(Curves!$B$3:$AR$3,1,S$3-Projects!$C$10+1),0)-IF(AND(Projects!$G$10="Yes",S$3&gt;=Projects!$C$10,S$3&lt;Projects!$C$10+Projects!$D$10),Projects!$B$10*(Assumptions!$B$10+Assumptions!$B$11+Assumptions!$B$12)/Projects!$D$10*0.95,0)-IF(AND(Projects!$G$10="Yes",S$3=Projects!$C$10+Projects!$D$10-1),Projects!$B$10*(Assumptions!$B$10+Assumptions!$B$11+Assumptions!$B$12)*0.05,0)</f>
        <v>864623.693098865</v>
      </c>
      <c r="T21" s="19" t="n">
        <f aca="false">IF(AND(Projects!$G$10="Yes",T$3&gt;=Projects!$C$10,T$3&lt;Projects!$C$10+Projects!$D$10),Projects!$B$10*INDEX(Curves!$B$3:$AR$3,1,T$3-Projects!$C$10+1),0)-IF(AND(Projects!$G$10="Yes",T$3&gt;=Projects!$C$10,T$3&lt;Projects!$C$10+Projects!$D$10),Projects!$B$10*(Assumptions!$B$10+Assumptions!$B$11+Assumptions!$B$12)/Projects!$D$10*0.95,0)-IF(AND(Projects!$G$10="Yes",T$3=Projects!$C$10+Projects!$D$10-1),Projects!$B$10*(Assumptions!$B$10+Assumptions!$B$11+Assumptions!$B$12)*0.05,0)</f>
        <v>943000.603928865</v>
      </c>
      <c r="U21" s="19" t="n">
        <f aca="false">IF(AND(Projects!$G$10="Yes",U$3&gt;=Projects!$C$10,U$3&lt;Projects!$C$10+Projects!$D$10),Projects!$B$10*INDEX(Curves!$B$3:$AR$3,1,U$3-Projects!$C$10+1),0)-IF(AND(Projects!$G$10="Yes",U$3&gt;=Projects!$C$10,U$3&lt;Projects!$C$10+Projects!$D$10),Projects!$B$10*(Assumptions!$B$10+Assumptions!$B$11+Assumptions!$B$12)/Projects!$D$10*0.95,0)-IF(AND(Projects!$G$10="Yes",U$3=Projects!$C$10+Projects!$D$10-1),Projects!$B$10*(Assumptions!$B$10+Assumptions!$B$11+Assumptions!$B$12)*0.05,0)</f>
        <v>1010278.01734886</v>
      </c>
      <c r="V21" s="19" t="n">
        <f aca="false">IF(AND(Projects!$G$10="Yes",V$3&gt;=Projects!$C$10,V$3&lt;Projects!$C$10+Projects!$D$10),Projects!$B$10*INDEX(Curves!$B$3:$AR$3,1,V$3-Projects!$C$10+1),0)-IF(AND(Projects!$G$10="Yes",V$3&gt;=Projects!$C$10,V$3&lt;Projects!$C$10+Projects!$D$10),Projects!$B$10*(Assumptions!$B$10+Assumptions!$B$11+Assumptions!$B$12)/Projects!$D$10*0.95,0)-IF(AND(Projects!$G$10="Yes",V$3=Projects!$C$10+Projects!$D$10-1),Projects!$B$10*(Assumptions!$B$10+Assumptions!$B$11+Assumptions!$B$12)*0.05,0)</f>
        <v>1063542.84687386</v>
      </c>
      <c r="W21" s="19" t="n">
        <f aca="false">IF(AND(Projects!$G$10="Yes",W$3&gt;=Projects!$C$10,W$3&lt;Projects!$C$10+Projects!$D$10),Projects!$B$10*INDEX(Curves!$B$3:$AR$3,1,W$3-Projects!$C$10+1),0)-IF(AND(Projects!$G$10="Yes",W$3&gt;=Projects!$C$10,W$3&lt;Projects!$C$10+Projects!$D$10),Projects!$B$10*(Assumptions!$B$10+Assumptions!$B$11+Assumptions!$B$12)/Projects!$D$10*0.95,0)-IF(AND(Projects!$G$10="Yes",W$3=Projects!$C$10+Projects!$D$10-1),Projects!$B$10*(Assumptions!$B$10+Assumptions!$B$11+Assumptions!$B$12)*0.05,0)</f>
        <v>1100477.38135886</v>
      </c>
      <c r="X21" s="19" t="n">
        <f aca="false">IF(AND(Projects!$G$10="Yes",X$3&gt;=Projects!$C$10,X$3&lt;Projects!$C$10+Projects!$D$10),Projects!$B$10*INDEX(Curves!$B$3:$AR$3,1,X$3-Projects!$C$10+1),0)-IF(AND(Projects!$G$10="Yes",X$3&gt;=Projects!$C$10,X$3&lt;Projects!$C$10+Projects!$D$10),Projects!$B$10*(Assumptions!$B$10+Assumptions!$B$11+Assumptions!$B$12)/Projects!$D$10*0.95,0)-IF(AND(Projects!$G$10="Yes",X$3=Projects!$C$10+Projects!$D$10-1),Projects!$B$10*(Assumptions!$B$10+Assumptions!$B$11+Assumptions!$B$12)*0.05,0)</f>
        <v>1119380.54840386</v>
      </c>
      <c r="Y21" s="19" t="n">
        <f aca="false">IF(AND(Projects!$G$10="Yes",Y$3&gt;=Projects!$C$10,Y$3&lt;Projects!$C$10+Projects!$D$10),Projects!$B$10*INDEX(Curves!$B$3:$AR$3,1,Y$3-Projects!$C$10+1),0)-IF(AND(Projects!$G$10="Yes",Y$3&gt;=Projects!$C$10,Y$3&lt;Projects!$C$10+Projects!$D$10),Projects!$B$10*(Assumptions!$B$10+Assumptions!$B$11+Assumptions!$B$12)/Projects!$D$10*0.95,0)-IF(AND(Projects!$G$10="Yes",Y$3=Projects!$C$10+Projects!$D$10-1),Projects!$B$10*(Assumptions!$B$10+Assumptions!$B$11+Assumptions!$B$12)*0.05,0)</f>
        <v>1119380.54840386</v>
      </c>
      <c r="Z21" s="19" t="n">
        <f aca="false">IF(AND(Projects!$G$10="Yes",Z$3&gt;=Projects!$C$10,Z$3&lt;Projects!$C$10+Projects!$D$10),Projects!$B$10*INDEX(Curves!$B$3:$AR$3,1,Z$3-Projects!$C$10+1),0)-IF(AND(Projects!$G$10="Yes",Z$3&gt;=Projects!$C$10,Z$3&lt;Projects!$C$10+Projects!$D$10),Projects!$B$10*(Assumptions!$B$10+Assumptions!$B$11+Assumptions!$B$12)/Projects!$D$10*0.95,0)-IF(AND(Projects!$G$10="Yes",Z$3=Projects!$C$10+Projects!$D$10-1),Projects!$B$10*(Assumptions!$B$10+Assumptions!$B$11+Assumptions!$B$12)*0.05,0)</f>
        <v>1100477.38135886</v>
      </c>
      <c r="AA21" s="19" t="n">
        <f aca="false">IF(AND(Projects!$G$10="Yes",AA$3&gt;=Projects!$C$10,AA$3&lt;Projects!$C$10+Projects!$D$10),Projects!$B$10*INDEX(Curves!$B$3:$AR$3,1,AA$3-Projects!$C$10+1),0)-IF(AND(Projects!$G$10="Yes",AA$3&gt;=Projects!$C$10,AA$3&lt;Projects!$C$10+Projects!$D$10),Projects!$B$10*(Assumptions!$B$10+Assumptions!$B$11+Assumptions!$B$12)/Projects!$D$10*0.95,0)-IF(AND(Projects!$G$10="Yes",AA$3=Projects!$C$10+Projects!$D$10-1),Projects!$B$10*(Assumptions!$B$10+Assumptions!$B$11+Assumptions!$B$12)*0.05,0)</f>
        <v>1063542.84687386</v>
      </c>
      <c r="AB21" s="19" t="n">
        <f aca="false">IF(AND(Projects!$G$10="Yes",AB$3&gt;=Projects!$C$10,AB$3&lt;Projects!$C$10+Projects!$D$10),Projects!$B$10*INDEX(Curves!$B$3:$AR$3,1,AB$3-Projects!$C$10+1),0)-IF(AND(Projects!$G$10="Yes",AB$3&gt;=Projects!$C$10,AB$3&lt;Projects!$C$10+Projects!$D$10),Projects!$B$10*(Assumptions!$B$10+Assumptions!$B$11+Assumptions!$B$12)/Projects!$D$10*0.95,0)-IF(AND(Projects!$G$10="Yes",AB$3=Projects!$C$10+Projects!$D$10-1),Projects!$B$10*(Assumptions!$B$10+Assumptions!$B$11+Assumptions!$B$12)*0.05,0)</f>
        <v>1010278.01734886</v>
      </c>
      <c r="AC21" s="19" t="n">
        <f aca="false">IF(AND(Projects!$G$10="Yes",AC$3&gt;=Projects!$C$10,AC$3&lt;Projects!$C$10+Projects!$D$10),Projects!$B$10*INDEX(Curves!$B$3:$AR$3,1,AC$3-Projects!$C$10+1),0)-IF(AND(Projects!$G$10="Yes",AC$3&gt;=Projects!$C$10,AC$3&lt;Projects!$C$10+Projects!$D$10),Projects!$B$10*(Assumptions!$B$10+Assumptions!$B$11+Assumptions!$B$12)/Projects!$D$10*0.95,0)-IF(AND(Projects!$G$10="Yes",AC$3=Projects!$C$10+Projects!$D$10-1),Projects!$B$10*(Assumptions!$B$10+Assumptions!$B$11+Assumptions!$B$12)*0.05,0)</f>
        <v>943000.603928865</v>
      </c>
      <c r="AD21" s="19" t="n">
        <f aca="false">IF(AND(Projects!$G$10="Yes",AD$3&gt;=Projects!$C$10,AD$3&lt;Projects!$C$10+Projects!$D$10),Projects!$B$10*INDEX(Curves!$B$3:$AR$3,1,AD$3-Projects!$C$10+1),0)-IF(AND(Projects!$G$10="Yes",AD$3&gt;=Projects!$C$10,AD$3&lt;Projects!$C$10+Projects!$D$10),Projects!$B$10*(Assumptions!$B$10+Assumptions!$B$11+Assumptions!$B$12)/Projects!$D$10*0.95,0)-IF(AND(Projects!$G$10="Yes",AD$3=Projects!$C$10+Projects!$D$10-1),Projects!$B$10*(Assumptions!$B$10+Assumptions!$B$11+Assumptions!$B$12)*0.05,0)</f>
        <v>864623.693098865</v>
      </c>
      <c r="AE21" s="19" t="n">
        <f aca="false">IF(AND(Projects!$G$10="Yes",AE$3&gt;=Projects!$C$10,AE$3&lt;Projects!$C$10+Projects!$D$10),Projects!$B$10*INDEX(Curves!$B$3:$AR$3,1,AE$3-Projects!$C$10+1),0)-IF(AND(Projects!$G$10="Yes",AE$3&gt;=Projects!$C$10,AE$3&lt;Projects!$C$10+Projects!$D$10),Projects!$B$10*(Assumptions!$B$10+Assumptions!$B$11+Assumptions!$B$12)/Projects!$D$10*0.95,0)-IF(AND(Projects!$G$10="Yes",AE$3=Projects!$C$10+Projects!$D$10-1),Projects!$B$10*(Assumptions!$B$10+Assumptions!$B$11+Assumptions!$B$12)*0.05,0)</f>
        <v>778294.268798865</v>
      </c>
      <c r="AF21" s="19" t="n">
        <f aca="false">IF(AND(Projects!$G$10="Yes",AF$3&gt;=Projects!$C$10,AF$3&lt;Projects!$C$10+Projects!$D$10),Projects!$B$10*INDEX(Curves!$B$3:$AR$3,1,AF$3-Projects!$C$10+1),0)-IF(AND(Projects!$G$10="Yes",AF$3&gt;=Projects!$C$10,AF$3&lt;Projects!$C$10+Projects!$D$10),Projects!$B$10*(Assumptions!$B$10+Assumptions!$B$11+Assumptions!$B$12)/Projects!$D$10*0.95,0)-IF(AND(Projects!$G$10="Yes",AF$3=Projects!$C$10+Projects!$D$10-1),Projects!$B$10*(Assumptions!$B$10+Assumptions!$B$11+Assumptions!$B$12)*0.05,0)</f>
        <v>687265.631993865</v>
      </c>
      <c r="AG21" s="19" t="n">
        <f aca="false">IF(AND(Projects!$G$10="Yes",AG$3&gt;=Projects!$C$10,AG$3&lt;Projects!$C$10+Projects!$D$10),Projects!$B$10*INDEX(Curves!$B$3:$AR$3,1,AG$3-Projects!$C$10+1),0)-IF(AND(Projects!$G$10="Yes",AG$3&gt;=Projects!$C$10,AG$3&lt;Projects!$C$10+Projects!$D$10),Projects!$B$10*(Assumptions!$B$10+Assumptions!$B$11+Assumptions!$B$12)/Projects!$D$10*0.95,0)-IF(AND(Projects!$G$10="Yes",AG$3=Projects!$C$10+Projects!$D$10-1),Projects!$B$10*(Assumptions!$B$10+Assumptions!$B$11+Assumptions!$B$12)*0.05,0)</f>
        <v>594727.293433865</v>
      </c>
      <c r="AH21" s="19" t="n">
        <f aca="false">IF(AND(Projects!$G$10="Yes",AH$3&gt;=Projects!$C$10,AH$3&lt;Projects!$C$10+Projects!$D$10),Projects!$B$10*INDEX(Curves!$B$3:$AR$3,1,AH$3-Projects!$C$10+1),0)-IF(AND(Projects!$G$10="Yes",AH$3&gt;=Projects!$C$10,AH$3&lt;Projects!$C$10+Projects!$D$10),Projects!$B$10*(Assumptions!$B$10+Assumptions!$B$11+Assumptions!$B$12)/Projects!$D$10*0.95,0)-IF(AND(Projects!$G$10="Yes",AH$3=Projects!$C$10+Projects!$D$10-1),Projects!$B$10*(Assumptions!$B$10+Assumptions!$B$11+Assumptions!$B$12)*0.05,0)</f>
        <v>503507.285983865</v>
      </c>
      <c r="AI21" s="19" t="n">
        <f aca="false">IF(AND(Projects!$G$10="Yes",AI$3&gt;=Projects!$C$10,AI$3&lt;Projects!$C$10+Projects!$D$10),Projects!$B$10*INDEX(Curves!$B$3:$AR$3,1,AI$3-Projects!$C$10+1),0)-IF(AND(Projects!$G$10="Yes",AI$3&gt;=Projects!$C$10,AI$3&lt;Projects!$C$10+Projects!$D$10),Projects!$B$10*(Assumptions!$B$10+Assumptions!$B$11+Assumptions!$B$12)/Projects!$D$10*0.95,0)-IF(AND(Projects!$G$10="Yes",AI$3=Projects!$C$10+Projects!$D$10-1),Projects!$B$10*(Assumptions!$B$10+Assumptions!$B$11+Assumptions!$B$12)*0.05,0)</f>
        <v>416135.954838865</v>
      </c>
      <c r="AJ21" s="19" t="n">
        <f aca="false">IF(AND(Projects!$G$10="Yes",AJ$3&gt;=Projects!$C$10,AJ$3&lt;Projects!$C$10+Projects!$D$10),Projects!$B$10*INDEX(Curves!$B$3:$AR$3,1,AJ$3-Projects!$C$10+1),0)-IF(AND(Projects!$G$10="Yes",AJ$3&gt;=Projects!$C$10,AJ$3&lt;Projects!$C$10+Projects!$D$10),Projects!$B$10*(Assumptions!$B$10+Assumptions!$B$11+Assumptions!$B$12)/Projects!$D$10*0.95,0)-IF(AND(Projects!$G$10="Yes",AJ$3=Projects!$C$10+Projects!$D$10-1),Projects!$B$10*(Assumptions!$B$10+Assumptions!$B$11+Assumptions!$B$12)*0.05,0)</f>
        <v>206509.613476115</v>
      </c>
      <c r="AK21" s="19" t="n">
        <f aca="false">IF(AND(Projects!$G$10="Yes",AK$3&gt;=Projects!$C$10,AK$3&lt;Projects!$C$10+Projects!$D$10),Projects!$B$10*INDEX(Curves!$B$3:$AR$3,1,AK$3-Projects!$C$10+1),0)-IF(AND(Projects!$G$10="Yes",AK$3&gt;=Projects!$C$10,AK$3&lt;Projects!$C$10+Projects!$D$10),Projects!$B$10*(Assumptions!$B$10+Assumptions!$B$11+Assumptions!$B$12)/Projects!$D$10*0.95,0)-IF(AND(Projects!$G$10="Yes",AK$3=Projects!$C$10+Projects!$D$10-1),Projects!$B$10*(Assumptions!$B$10+Assumptions!$B$11+Assumptions!$B$12)*0.05,0)</f>
        <v>0</v>
      </c>
      <c r="AL21" s="19" t="n">
        <f aca="false">IF(AND(Projects!$G$10="Yes",AL$3&gt;=Projects!$C$10,AL$3&lt;Projects!$C$10+Projects!$D$10),Projects!$B$10*INDEX(Curves!$B$3:$AR$3,1,AL$3-Projects!$C$10+1),0)-IF(AND(Projects!$G$10="Yes",AL$3&gt;=Projects!$C$10,AL$3&lt;Projects!$C$10+Projects!$D$10),Projects!$B$10*(Assumptions!$B$10+Assumptions!$B$11+Assumptions!$B$12)/Projects!$D$10*0.95,0)-IF(AND(Projects!$G$10="Yes",AL$3=Projects!$C$10+Projects!$D$10-1),Projects!$B$10*(Assumptions!$B$10+Assumptions!$B$11+Assumptions!$B$12)*0.05,0)</f>
        <v>0</v>
      </c>
      <c r="AM21" s="19" t="n">
        <f aca="false">IF(AND(Projects!$G$10="Yes",AM$3&gt;=Projects!$C$10,AM$3&lt;Projects!$C$10+Projects!$D$10),Projects!$B$10*INDEX(Curves!$B$3:$AR$3,1,AM$3-Projects!$C$10+1),0)-IF(AND(Projects!$G$10="Yes",AM$3&gt;=Projects!$C$10,AM$3&lt;Projects!$C$10+Projects!$D$10),Projects!$B$10*(Assumptions!$B$10+Assumptions!$B$11+Assumptions!$B$12)/Projects!$D$10*0.95,0)-IF(AND(Projects!$G$10="Yes",AM$3=Projects!$C$10+Projects!$D$10-1),Projects!$B$10*(Assumptions!$B$10+Assumptions!$B$11+Assumptions!$B$12)*0.05,0)</f>
        <v>0</v>
      </c>
      <c r="AN21" s="19" t="n">
        <f aca="false">IF(AND(Projects!$G$10="Yes",AN$3&gt;=Projects!$C$10,AN$3&lt;Projects!$C$10+Projects!$D$10),Projects!$B$10*INDEX(Curves!$B$3:$AR$3,1,AN$3-Projects!$C$10+1),0)-IF(AND(Projects!$G$10="Yes",AN$3&gt;=Projects!$C$10,AN$3&lt;Projects!$C$10+Projects!$D$10),Projects!$B$10*(Assumptions!$B$10+Assumptions!$B$11+Assumptions!$B$12)/Projects!$D$10*0.95,0)-IF(AND(Projects!$G$10="Yes",AN$3=Projects!$C$10+Projects!$D$10-1),Projects!$B$10*(Assumptions!$B$10+Assumptions!$B$11+Assumptions!$B$12)*0.05,0)</f>
        <v>0</v>
      </c>
      <c r="AO21" s="19" t="n">
        <f aca="false">IF(AND(Projects!$G$10="Yes",AO$3&gt;=Projects!$C$10,AO$3&lt;Projects!$C$10+Projects!$D$10),Projects!$B$10*INDEX(Curves!$B$3:$AR$3,1,AO$3-Projects!$C$10+1),0)-IF(AND(Projects!$G$10="Yes",AO$3&gt;=Projects!$C$10,AO$3&lt;Projects!$C$10+Projects!$D$10),Projects!$B$10*(Assumptions!$B$10+Assumptions!$B$11+Assumptions!$B$12)/Projects!$D$10*0.95,0)-IF(AND(Projects!$G$10="Yes",AO$3=Projects!$C$10+Projects!$D$10-1),Projects!$B$10*(Assumptions!$B$10+Assumptions!$B$11+Assumptions!$B$12)*0.05,0)</f>
        <v>0</v>
      </c>
      <c r="AP21" s="19" t="n">
        <f aca="false">IF(AND(Projects!$G$10="Yes",AP$3&gt;=Projects!$C$10,AP$3&lt;Projects!$C$10+Projects!$D$10),Projects!$B$10*INDEX(Curves!$B$3:$AR$3,1,AP$3-Projects!$C$10+1),0)-IF(AND(Projects!$G$10="Yes",AP$3&gt;=Projects!$C$10,AP$3&lt;Projects!$C$10+Projects!$D$10),Projects!$B$10*(Assumptions!$B$10+Assumptions!$B$11+Assumptions!$B$12)/Projects!$D$10*0.95,0)-IF(AND(Projects!$G$10="Yes",AP$3=Projects!$C$10+Projects!$D$10-1),Projects!$B$10*(Assumptions!$B$10+Assumptions!$B$11+Assumptions!$B$12)*0.05,0)</f>
        <v>0</v>
      </c>
      <c r="AQ21" s="19" t="n">
        <f aca="false">IF(AND(Projects!$G$10="Yes",AQ$3&gt;=Projects!$C$10,AQ$3&lt;Projects!$C$10+Projects!$D$10),Projects!$B$10*INDEX(Curves!$B$3:$AR$3,1,AQ$3-Projects!$C$10+1),0)-IF(AND(Projects!$G$10="Yes",AQ$3&gt;=Projects!$C$10,AQ$3&lt;Projects!$C$10+Projects!$D$10),Projects!$B$10*(Assumptions!$B$10+Assumptions!$B$11+Assumptions!$B$12)/Projects!$D$10*0.95,0)-IF(AND(Projects!$G$10="Yes",AQ$3=Projects!$C$10+Projects!$D$10-1),Projects!$B$10*(Assumptions!$B$10+Assumptions!$B$11+Assumptions!$B$12)*0.05,0)</f>
        <v>0</v>
      </c>
      <c r="AR21" s="19" t="n">
        <f aca="false">IF(AND(Projects!$G$10="Yes",AR$3&gt;=Projects!$C$10,AR$3&lt;Projects!$C$10+Projects!$D$10),Projects!$B$10*INDEX(Curves!$B$3:$AR$3,1,AR$3-Projects!$C$10+1),0)-IF(AND(Projects!$G$10="Yes",AR$3&gt;=Projects!$C$10,AR$3&lt;Projects!$C$10+Projects!$D$10),Projects!$B$10*(Assumptions!$B$10+Assumptions!$B$11+Assumptions!$B$12)/Projects!$D$10*0.95,0)-IF(AND(Projects!$G$10="Yes",AR$3=Projects!$C$10+Projects!$D$10-1),Projects!$B$10*(Assumptions!$B$10+Assumptions!$B$11+Assumptions!$B$12)*0.05,0)</f>
        <v>0</v>
      </c>
      <c r="AS21" s="19" t="n">
        <f aca="false">IF(AND(Projects!$G$10="Yes",AS$3&gt;=Projects!$C$10,AS$3&lt;Projects!$C$10+Projects!$D$10),Projects!$B$10*INDEX(Curves!$B$3:$AR$3,1,AS$3-Projects!$C$10+1),0)-IF(AND(Projects!$G$10="Yes",AS$3&gt;=Projects!$C$10,AS$3&lt;Projects!$C$10+Projects!$D$10),Projects!$B$10*(Assumptions!$B$10+Assumptions!$B$11+Assumptions!$B$12)/Projects!$D$10*0.95,0)-IF(AND(Projects!$G$10="Yes",AS$3=Projects!$C$10+Projects!$D$10-1),Projects!$B$10*(Assumptions!$B$10+Assumptions!$B$11+Assumptions!$B$12)*0.05,0)</f>
        <v>0</v>
      </c>
      <c r="AT21" s="19" t="n">
        <f aca="false">IF(AND(Projects!$G$10="Yes",AT$3&gt;=Projects!$C$10,AT$3&lt;Projects!$C$10+Projects!$D$10),Projects!$B$10*INDEX(Curves!$B$3:$AR$3,1,AT$3-Projects!$C$10+1),0)-IF(AND(Projects!$G$10="Yes",AT$3&gt;=Projects!$C$10,AT$3&lt;Projects!$C$10+Projects!$D$10),Projects!$B$10*(Assumptions!$B$10+Assumptions!$B$11+Assumptions!$B$12)/Projects!$D$10*0.95,0)-IF(AND(Projects!$G$10="Yes",AT$3=Projects!$C$10+Projects!$D$10-1),Projects!$B$10*(Assumptions!$B$10+Assumptions!$B$11+Assumptions!$B$12)*0.05,0)</f>
        <v>0</v>
      </c>
      <c r="AU21" s="19" t="n">
        <f aca="false">IF(AND(Projects!$G$10="Yes",AU$3&gt;=Projects!$C$10,AU$3&lt;Projects!$C$10+Projects!$D$10),Projects!$B$10*INDEX(Curves!$B$3:$AR$3,1,AU$3-Projects!$C$10+1),0)-IF(AND(Projects!$G$10="Yes",AU$3&gt;=Projects!$C$10,AU$3&lt;Projects!$C$10+Projects!$D$10),Projects!$B$10*(Assumptions!$B$10+Assumptions!$B$11+Assumptions!$B$12)/Projects!$D$10*0.95,0)-IF(AND(Projects!$G$10="Yes",AU$3=Projects!$C$10+Projects!$D$10-1),Projects!$B$10*(Assumptions!$B$10+Assumptions!$B$11+Assumptions!$B$12)*0.05,0)</f>
        <v>0</v>
      </c>
      <c r="AV21" s="19" t="n">
        <f aca="false">IF(AND(Projects!$G$10="Yes",AV$3&gt;=Projects!$C$10,AV$3&lt;Projects!$C$10+Projects!$D$10),Projects!$B$10*INDEX(Curves!$B$3:$AR$3,1,AV$3-Projects!$C$10+1),0)-IF(AND(Projects!$G$10="Yes",AV$3&gt;=Projects!$C$10,AV$3&lt;Projects!$C$10+Projects!$D$10),Projects!$B$10*(Assumptions!$B$10+Assumptions!$B$11+Assumptions!$B$12)/Projects!$D$10*0.95,0)-IF(AND(Projects!$G$10="Yes",AV$3=Projects!$C$10+Projects!$D$10-1),Projects!$B$10*(Assumptions!$B$10+Assumptions!$B$11+Assumptions!$B$12)*0.05,0)</f>
        <v>0</v>
      </c>
      <c r="AW21" s="19" t="n">
        <f aca="false">IF(AND(Projects!$G$10="Yes",AW$3&gt;=Projects!$C$10,AW$3&lt;Projects!$C$10+Projects!$D$10),Projects!$B$10*INDEX(Curves!$B$3:$AR$3,1,AW$3-Projects!$C$10+1),0)-IF(AND(Projects!$G$10="Yes",AW$3&gt;=Projects!$C$10,AW$3&lt;Projects!$C$10+Projects!$D$10),Projects!$B$10*(Assumptions!$B$10+Assumptions!$B$11+Assumptions!$B$12)/Projects!$D$10*0.95,0)-IF(AND(Projects!$G$10="Yes",AW$3=Projects!$C$10+Projects!$D$10-1),Projects!$B$10*(Assumptions!$B$10+Assumptions!$B$11+Assumptions!$B$12)*0.05,0)</f>
        <v>0</v>
      </c>
      <c r="AX21" s="19" t="n">
        <f aca="false">IF(AND(Projects!$G$10="Yes",AX$3&gt;=Projects!$C$10,AX$3&lt;Projects!$C$10+Projects!$D$10),Projects!$B$10*INDEX(Curves!$B$3:$AR$3,1,AX$3-Projects!$C$10+1),0)-IF(AND(Projects!$G$10="Yes",AX$3&gt;=Projects!$C$10,AX$3&lt;Projects!$C$10+Projects!$D$10),Projects!$B$10*(Assumptions!$B$10+Assumptions!$B$11+Assumptions!$B$12)/Projects!$D$10*0.95,0)-IF(AND(Projects!$G$10="Yes",AX$3=Projects!$C$10+Projects!$D$10-1),Projects!$B$10*(Assumptions!$B$10+Assumptions!$B$11+Assumptions!$B$12)*0.05,0)</f>
        <v>0</v>
      </c>
      <c r="AY21" s="19" t="n">
        <f aca="false">IF(AND(Projects!$G$10="Yes",AY$3&gt;=Projects!$C$10,AY$3&lt;Projects!$C$10+Projects!$D$10),Projects!$B$10*INDEX(Curves!$B$3:$AR$3,1,AY$3-Projects!$C$10+1),0)-IF(AND(Projects!$G$10="Yes",AY$3&gt;=Projects!$C$10,AY$3&lt;Projects!$C$10+Projects!$D$10),Projects!$B$10*(Assumptions!$B$10+Assumptions!$B$11+Assumptions!$B$12)/Projects!$D$10*0.95,0)-IF(AND(Projects!$G$10="Yes",AY$3=Projects!$C$10+Projects!$D$10-1),Projects!$B$10*(Assumptions!$B$10+Assumptions!$B$11+Assumptions!$B$12)*0.05,0)</f>
        <v>0</v>
      </c>
      <c r="AZ21" s="19" t="n">
        <f aca="false">IF(AND(Projects!$G$10="Yes",AZ$3&gt;=Projects!$C$10,AZ$3&lt;Projects!$C$10+Projects!$D$10),Projects!$B$10*INDEX(Curves!$B$3:$AR$3,1,AZ$3-Projects!$C$10+1),0)-IF(AND(Projects!$G$10="Yes",AZ$3&gt;=Projects!$C$10,AZ$3&lt;Projects!$C$10+Projects!$D$10),Projects!$B$10*(Assumptions!$B$10+Assumptions!$B$11+Assumptions!$B$12)/Projects!$D$10*0.95,0)-IF(AND(Projects!$G$10="Yes",AZ$3=Projects!$C$10+Projects!$D$10-1),Projects!$B$10*(Assumptions!$B$10+Assumptions!$B$11+Assumptions!$B$12)*0.05,0)</f>
        <v>0</v>
      </c>
      <c r="BA21" s="19" t="n">
        <f aca="false">IF(AND(Projects!$G$10="Yes",BA$3&gt;=Projects!$C$10,BA$3&lt;Projects!$C$10+Projects!$D$10),Projects!$B$10*INDEX(Curves!$B$3:$AR$3,1,BA$3-Projects!$C$10+1),0)-IF(AND(Projects!$G$10="Yes",BA$3&gt;=Projects!$C$10,BA$3&lt;Projects!$C$10+Projects!$D$10),Projects!$B$10*(Assumptions!$B$10+Assumptions!$B$11+Assumptions!$B$12)/Projects!$D$10*0.95,0)-IF(AND(Projects!$G$10="Yes",BA$3=Projects!$C$10+Projects!$D$10-1),Projects!$B$10*(Assumptions!$B$10+Assumptions!$B$11+Assumptions!$B$12)*0.05,0)</f>
        <v>0</v>
      </c>
      <c r="BB21" s="19" t="n">
        <f aca="false">IF(AND(Projects!$G$10="Yes",BB$3&gt;=Projects!$C$10,BB$3&lt;Projects!$C$10+Projects!$D$10),Projects!$B$10*INDEX(Curves!$B$3:$AR$3,1,BB$3-Projects!$C$10+1),0)-IF(AND(Projects!$G$10="Yes",BB$3&gt;=Projects!$C$10,BB$3&lt;Projects!$C$10+Projects!$D$10),Projects!$B$10*(Assumptions!$B$10+Assumptions!$B$11+Assumptions!$B$12)/Projects!$D$10*0.95,0)-IF(AND(Projects!$G$10="Yes",BB$3=Projects!$C$10+Projects!$D$10-1),Projects!$B$10*(Assumptions!$B$10+Assumptions!$B$11+Assumptions!$B$12)*0.05,0)</f>
        <v>0</v>
      </c>
      <c r="BC21" s="19" t="n">
        <f aca="false">IF(AND(Projects!$G$10="Yes",BC$3&gt;=Projects!$C$10,BC$3&lt;Projects!$C$10+Projects!$D$10),Projects!$B$10*INDEX(Curves!$B$3:$AR$3,1,BC$3-Projects!$C$10+1),0)-IF(AND(Projects!$G$10="Yes",BC$3&gt;=Projects!$C$10,BC$3&lt;Projects!$C$10+Projects!$D$10),Projects!$B$10*(Assumptions!$B$10+Assumptions!$B$11+Assumptions!$B$12)/Projects!$D$10*0.95,0)-IF(AND(Projects!$G$10="Yes",BC$3=Projects!$C$10+Projects!$D$10-1),Projects!$B$10*(Assumptions!$B$10+Assumptions!$B$11+Assumptions!$B$12)*0.05,0)</f>
        <v>0</v>
      </c>
      <c r="BD21" s="19" t="n">
        <f aca="false">IF(AND(Projects!$G$10="Yes",BD$3&gt;=Projects!$C$10,BD$3&lt;Projects!$C$10+Projects!$D$10),Projects!$B$10*INDEX(Curves!$B$3:$AR$3,1,BD$3-Projects!$C$10+1),0)-IF(AND(Projects!$G$10="Yes",BD$3&gt;=Projects!$C$10,BD$3&lt;Projects!$C$10+Projects!$D$10),Projects!$B$10*(Assumptions!$B$10+Assumptions!$B$11+Assumptions!$B$12)/Projects!$D$10*0.95,0)-IF(AND(Projects!$G$10="Yes",BD$3=Projects!$C$10+Projects!$D$10-1),Projects!$B$10*(Assumptions!$B$10+Assumptions!$B$11+Assumptions!$B$12)*0.05,0)</f>
        <v>0</v>
      </c>
      <c r="BE21" s="19" t="n">
        <f aca="false">IF(AND(Projects!$G$10="Yes",BE$3&gt;=Projects!$C$10,BE$3&lt;Projects!$C$10+Projects!$D$10),Projects!$B$10*INDEX(Curves!$B$3:$AR$3,1,BE$3-Projects!$C$10+1),0)-IF(AND(Projects!$G$10="Yes",BE$3&gt;=Projects!$C$10,BE$3&lt;Projects!$C$10+Projects!$D$10),Projects!$B$10*(Assumptions!$B$10+Assumptions!$B$11+Assumptions!$B$12)/Projects!$D$10*0.95,0)-IF(AND(Projects!$G$10="Yes",BE$3=Projects!$C$10+Projects!$D$10-1),Projects!$B$10*(Assumptions!$B$10+Assumptions!$B$11+Assumptions!$B$12)*0.05,0)</f>
        <v>0</v>
      </c>
      <c r="BF21" s="19" t="n">
        <f aca="false">IF(AND(Projects!$G$10="Yes",BF$3&gt;=Projects!$C$10,BF$3&lt;Projects!$C$10+Projects!$D$10),Projects!$B$10*INDEX(Curves!$B$3:$AR$3,1,BF$3-Projects!$C$10+1),0)-IF(AND(Projects!$G$10="Yes",BF$3&gt;=Projects!$C$10,BF$3&lt;Projects!$C$10+Projects!$D$10),Projects!$B$10*(Assumptions!$B$10+Assumptions!$B$11+Assumptions!$B$12)/Projects!$D$10*0.95,0)-IF(AND(Projects!$G$10="Yes",BF$3=Projects!$C$10+Projects!$D$10-1),Projects!$B$10*(Assumptions!$B$10+Assumptions!$B$11+Assumptions!$B$12)*0.05,0)</f>
        <v>0</v>
      </c>
      <c r="BG21" s="19" t="n">
        <f aca="false">IF(AND(Projects!$G$10="Yes",BG$3&gt;=Projects!$C$10,BG$3&lt;Projects!$C$10+Projects!$D$10),Projects!$B$10*INDEX(Curves!$B$3:$AR$3,1,BG$3-Projects!$C$10+1),0)-IF(AND(Projects!$G$10="Yes",BG$3&gt;=Projects!$C$10,BG$3&lt;Projects!$C$10+Projects!$D$10),Projects!$B$10*(Assumptions!$B$10+Assumptions!$B$11+Assumptions!$B$12)/Projects!$D$10*0.95,0)-IF(AND(Projects!$G$10="Yes",BG$3=Projects!$C$10+Projects!$D$10-1),Projects!$B$10*(Assumptions!$B$10+Assumptions!$B$11+Assumptions!$B$12)*0.05,0)</f>
        <v>0</v>
      </c>
      <c r="BH21" s="19" t="n">
        <f aca="false">IF(AND(Projects!$G$10="Yes",BH$3&gt;=Projects!$C$10,BH$3&lt;Projects!$C$10+Projects!$D$10),Projects!$B$10*INDEX(Curves!$B$3:$AR$3,1,BH$3-Projects!$C$10+1),0)-IF(AND(Projects!$G$10="Yes",BH$3&gt;=Projects!$C$10,BH$3&lt;Projects!$C$10+Projects!$D$10),Projects!$B$10*(Assumptions!$B$10+Assumptions!$B$11+Assumptions!$B$12)/Projects!$D$10*0.95,0)-IF(AND(Projects!$G$10="Yes",BH$3=Projects!$C$10+Projects!$D$10-1),Projects!$B$10*(Assumptions!$B$10+Assumptions!$B$11+Assumptions!$B$12)*0.05,0)</f>
        <v>0</v>
      </c>
      <c r="BI21" s="19" t="n">
        <f aca="false">IF(AND(Projects!$G$10="Yes",BI$3&gt;=Projects!$C$10,BI$3&lt;Projects!$C$10+Projects!$D$10),Projects!$B$10*INDEX(Curves!$B$3:$AR$3,1,BI$3-Projects!$C$10+1),0)-IF(AND(Projects!$G$10="Yes",BI$3&gt;=Projects!$C$10,BI$3&lt;Projects!$C$10+Projects!$D$10),Projects!$B$10*(Assumptions!$B$10+Assumptions!$B$11+Assumptions!$B$12)/Projects!$D$10*0.95,0)-IF(AND(Projects!$G$10="Yes",BI$3=Projects!$C$10+Projects!$D$10-1),Projects!$B$10*(Assumptions!$B$10+Assumptions!$B$11+Assumptions!$B$12)*0.05,0)</f>
        <v>0</v>
      </c>
      <c r="BJ21" s="19" t="n">
        <f aca="false">IF(AND(Projects!$G$10="Yes",BJ$3&gt;=Projects!$C$10,BJ$3&lt;Projects!$C$10+Projects!$D$10),Projects!$B$10*INDEX(Curves!$B$3:$AR$3,1,BJ$3-Projects!$C$10+1),0)-IF(AND(Projects!$G$10="Yes",BJ$3&gt;=Projects!$C$10,BJ$3&lt;Projects!$C$10+Projects!$D$10),Projects!$B$10*(Assumptions!$B$10+Assumptions!$B$11+Assumptions!$B$12)/Projects!$D$10*0.95,0)-IF(AND(Projects!$G$10="Yes",BJ$3=Projects!$C$10+Projects!$D$10-1),Projects!$B$10*(Assumptions!$B$10+Assumptions!$B$11+Assumptions!$B$12)*0.05,0)</f>
        <v>0</v>
      </c>
      <c r="BK21" s="19" t="n">
        <f aca="false">IF(AND(Projects!$G$10="Yes",BK$3&gt;=Projects!$C$10,BK$3&lt;Projects!$C$10+Projects!$D$10),Projects!$B$10*INDEX(Curves!$B$3:$AR$3,1,BK$3-Projects!$C$10+1),0)-IF(AND(Projects!$G$10="Yes",BK$3&gt;=Projects!$C$10,BK$3&lt;Projects!$C$10+Projects!$D$10),Projects!$B$10*(Assumptions!$B$10+Assumptions!$B$11+Assumptions!$B$12)/Projects!$D$10*0.95,0)-IF(AND(Projects!$G$10="Yes",BK$3=Projects!$C$10+Projects!$D$10-1),Projects!$B$10*(Assumptions!$B$10+Assumptions!$B$11+Assumptions!$B$12)*0.05,0)</f>
        <v>0</v>
      </c>
      <c r="BL21" s="19" t="n">
        <f aca="false">IF(AND(Projects!$G$10="Yes",BL$3&gt;=Projects!$C$10,BL$3&lt;Projects!$C$10+Projects!$D$10),Projects!$B$10*INDEX(Curves!$B$3:$AR$3,1,BL$3-Projects!$C$10+1),0)-IF(AND(Projects!$G$10="Yes",BL$3&gt;=Projects!$C$10,BL$3&lt;Projects!$C$10+Projects!$D$10),Projects!$B$10*(Assumptions!$B$10+Assumptions!$B$11+Assumptions!$B$12)/Projects!$D$10*0.95,0)-IF(AND(Projects!$G$10="Yes",BL$3=Projects!$C$10+Projects!$D$10-1),Projects!$B$10*(Assumptions!$B$10+Assumptions!$B$11+Assumptions!$B$12)*0.05,0)</f>
        <v>0</v>
      </c>
      <c r="BM21" s="19" t="n">
        <f aca="false">IF(AND(Projects!$G$10="Yes",BM$3&gt;=Projects!$C$10,BM$3&lt;Projects!$C$10+Projects!$D$10),Projects!$B$10*INDEX(Curves!$B$3:$AR$3,1,BM$3-Projects!$C$10+1),0)-IF(AND(Projects!$G$10="Yes",BM$3&gt;=Projects!$C$10,BM$3&lt;Projects!$C$10+Projects!$D$10),Projects!$B$10*(Assumptions!$B$10+Assumptions!$B$11+Assumptions!$B$12)/Projects!$D$10*0.95,0)-IF(AND(Projects!$G$10="Yes",BM$3=Projects!$C$10+Projects!$D$10-1),Projects!$B$10*(Assumptions!$B$10+Assumptions!$B$11+Assumptions!$B$12)*0.05,0)</f>
        <v>0</v>
      </c>
      <c r="BN21" s="19" t="n">
        <f aca="false">IF(AND(Projects!$G$10="Yes",BN$3&gt;=Projects!$C$10,BN$3&lt;Projects!$C$10+Projects!$D$10),Projects!$B$10*INDEX(Curves!$B$3:$AR$3,1,BN$3-Projects!$C$10+1),0)-IF(AND(Projects!$G$10="Yes",BN$3&gt;=Projects!$C$10,BN$3&lt;Projects!$C$10+Projects!$D$10),Projects!$B$10*(Assumptions!$B$10+Assumptions!$B$11+Assumptions!$B$12)/Projects!$D$10*0.95,0)-IF(AND(Projects!$G$10="Yes",BN$3=Projects!$C$10+Projects!$D$10-1),Projects!$B$10*(Assumptions!$B$10+Assumptions!$B$11+Assumptions!$B$12)*0.05,0)</f>
        <v>0</v>
      </c>
      <c r="BO21" s="19" t="n">
        <f aca="false">IF(AND(Projects!$G$10="Yes",BO$3&gt;=Projects!$C$10,BO$3&lt;Projects!$C$10+Projects!$D$10),Projects!$B$10*INDEX(Curves!$B$3:$AR$3,1,BO$3-Projects!$C$10+1),0)-IF(AND(Projects!$G$10="Yes",BO$3&gt;=Projects!$C$10,BO$3&lt;Projects!$C$10+Projects!$D$10),Projects!$B$10*(Assumptions!$B$10+Assumptions!$B$11+Assumptions!$B$12)/Projects!$D$10*0.95,0)-IF(AND(Projects!$G$10="Yes",BO$3=Projects!$C$10+Projects!$D$10-1),Projects!$B$10*(Assumptions!$B$10+Assumptions!$B$11+Assumptions!$B$12)*0.05,0)</f>
        <v>0</v>
      </c>
      <c r="BP21" s="19" t="n">
        <f aca="false">IF(AND(Projects!$G$10="Yes",BP$3&gt;=Projects!$C$10,BP$3&lt;Projects!$C$10+Projects!$D$10),Projects!$B$10*INDEX(Curves!$B$3:$AR$3,1,BP$3-Projects!$C$10+1),0)-IF(AND(Projects!$G$10="Yes",BP$3&gt;=Projects!$C$10,BP$3&lt;Projects!$C$10+Projects!$D$10),Projects!$B$10*(Assumptions!$B$10+Assumptions!$B$11+Assumptions!$B$12)/Projects!$D$10*0.95,0)-IF(AND(Projects!$G$10="Yes",BP$3=Projects!$C$10+Projects!$D$10-1),Projects!$B$10*(Assumptions!$B$10+Assumptions!$B$11+Assumptions!$B$12)*0.05,0)</f>
        <v>0</v>
      </c>
      <c r="BQ21" s="19" t="n">
        <f aca="false">IF(AND(Projects!$G$10="Yes",BQ$3&gt;=Projects!$C$10,BQ$3&lt;Projects!$C$10+Projects!$D$10),Projects!$B$10*INDEX(Curves!$B$3:$AR$3,1,BQ$3-Projects!$C$10+1),0)-IF(AND(Projects!$G$10="Yes",BQ$3&gt;=Projects!$C$10,BQ$3&lt;Projects!$C$10+Projects!$D$10),Projects!$B$10*(Assumptions!$B$10+Assumptions!$B$11+Assumptions!$B$12)/Projects!$D$10*0.95,0)-IF(AND(Projects!$G$10="Yes",BQ$3=Projects!$C$10+Projects!$D$10-1),Projects!$B$10*(Assumptions!$B$10+Assumptions!$B$11+Assumptions!$B$12)*0.05,0)</f>
        <v>0</v>
      </c>
      <c r="BR21" s="19" t="n">
        <f aca="false">IF(AND(Projects!$G$10="Yes",BR$3&gt;=Projects!$C$10,BR$3&lt;Projects!$C$10+Projects!$D$10),Projects!$B$10*INDEX(Curves!$B$3:$AR$3,1,BR$3-Projects!$C$10+1),0)-IF(AND(Projects!$G$10="Yes",BR$3&gt;=Projects!$C$10,BR$3&lt;Projects!$C$10+Projects!$D$10),Projects!$B$10*(Assumptions!$B$10+Assumptions!$B$11+Assumptions!$B$12)/Projects!$D$10*0.95,0)-IF(AND(Projects!$G$10="Yes",BR$3=Projects!$C$10+Projects!$D$10-1),Projects!$B$10*(Assumptions!$B$10+Assumptions!$B$11+Assumptions!$B$12)*0.05,0)</f>
        <v>0</v>
      </c>
      <c r="BS21" s="19" t="n">
        <f aca="false">IF(AND(Projects!$G$10="Yes",BS$3&gt;=Projects!$C$10,BS$3&lt;Projects!$C$10+Projects!$D$10),Projects!$B$10*INDEX(Curves!$B$3:$AR$3,1,BS$3-Projects!$C$10+1),0)-IF(AND(Projects!$G$10="Yes",BS$3&gt;=Projects!$C$10,BS$3&lt;Projects!$C$10+Projects!$D$10),Projects!$B$10*(Assumptions!$B$10+Assumptions!$B$11+Assumptions!$B$12)/Projects!$D$10*0.95,0)-IF(AND(Projects!$G$10="Yes",BS$3=Projects!$C$10+Projects!$D$10-1),Projects!$B$10*(Assumptions!$B$10+Assumptions!$B$11+Assumptions!$B$12)*0.05,0)</f>
        <v>0</v>
      </c>
      <c r="BT21" s="19" t="n">
        <f aca="false">IF(AND(Projects!$G$10="Yes",BT$3&gt;=Projects!$C$10,BT$3&lt;Projects!$C$10+Projects!$D$10),Projects!$B$10*INDEX(Curves!$B$3:$AR$3,1,BT$3-Projects!$C$10+1),0)-IF(AND(Projects!$G$10="Yes",BT$3&gt;=Projects!$C$10,BT$3&lt;Projects!$C$10+Projects!$D$10),Projects!$B$10*(Assumptions!$B$10+Assumptions!$B$11+Assumptions!$B$12)/Projects!$D$10*0.95,0)-IF(AND(Projects!$G$10="Yes",BT$3=Projects!$C$10+Projects!$D$10-1),Projects!$B$10*(Assumptions!$B$10+Assumptions!$B$11+Assumptions!$B$12)*0.05,0)</f>
        <v>0</v>
      </c>
      <c r="BU21" s="19" t="n">
        <f aca="false">IF(AND(Projects!$G$10="Yes",BU$3&gt;=Projects!$C$10,BU$3&lt;Projects!$C$10+Projects!$D$10),Projects!$B$10*INDEX(Curves!$B$3:$AR$3,1,BU$3-Projects!$C$10+1),0)-IF(AND(Projects!$G$10="Yes",BU$3&gt;=Projects!$C$10,BU$3&lt;Projects!$C$10+Projects!$D$10),Projects!$B$10*(Assumptions!$B$10+Assumptions!$B$11+Assumptions!$B$12)/Projects!$D$10*0.95,0)-IF(AND(Projects!$G$10="Yes",BU$3=Projects!$C$10+Projects!$D$10-1),Projects!$B$10*(Assumptions!$B$10+Assumptions!$B$11+Assumptions!$B$12)*0.05,0)</f>
        <v>0</v>
      </c>
      <c r="BV21" s="19" t="n">
        <f aca="false">IF(AND(Projects!$G$10="Yes",BV$3&gt;=Projects!$C$10,BV$3&lt;Projects!$C$10+Projects!$D$10),Projects!$B$10*INDEX(Curves!$B$3:$AR$3,1,BV$3-Projects!$C$10+1),0)-IF(AND(Projects!$G$10="Yes",BV$3&gt;=Projects!$C$10,BV$3&lt;Projects!$C$10+Projects!$D$10),Projects!$B$10*(Assumptions!$B$10+Assumptions!$B$11+Assumptions!$B$12)/Projects!$D$10*0.95,0)-IF(AND(Projects!$G$10="Yes",BV$3=Projects!$C$10+Projects!$D$10-1),Projects!$B$10*(Assumptions!$B$10+Assumptions!$B$11+Assumptions!$B$12)*0.05,0)</f>
        <v>0</v>
      </c>
      <c r="BW21" s="19" t="n">
        <f aca="false">IF(AND(Projects!$G$10="Yes",BW$3&gt;=Projects!$C$10,BW$3&lt;Projects!$C$10+Projects!$D$10),Projects!$B$10*INDEX(Curves!$B$3:$AR$3,1,BW$3-Projects!$C$10+1),0)-IF(AND(Projects!$G$10="Yes",BW$3&gt;=Projects!$C$10,BW$3&lt;Projects!$C$10+Projects!$D$10),Projects!$B$10*(Assumptions!$B$10+Assumptions!$B$11+Assumptions!$B$12)/Projects!$D$10*0.95,0)-IF(AND(Projects!$G$10="Yes",BW$3=Projects!$C$10+Projects!$D$10-1),Projects!$B$10*(Assumptions!$B$10+Assumptions!$B$11+Assumptions!$B$12)*0.05,0)</f>
        <v>0</v>
      </c>
      <c r="BX21" s="19" t="n">
        <f aca="false">IF(AND(Projects!$G$10="Yes",BX$3&gt;=Projects!$C$10,BX$3&lt;Projects!$C$10+Projects!$D$10),Projects!$B$10*INDEX(Curves!$B$3:$AR$3,1,BX$3-Projects!$C$10+1),0)-IF(AND(Projects!$G$10="Yes",BX$3&gt;=Projects!$C$10,BX$3&lt;Projects!$C$10+Projects!$D$10),Projects!$B$10*(Assumptions!$B$10+Assumptions!$B$11+Assumptions!$B$12)/Projects!$D$10*0.95,0)-IF(AND(Projects!$G$10="Yes",BX$3=Projects!$C$10+Projects!$D$10-1),Projects!$B$10*(Assumptions!$B$10+Assumptions!$B$11+Assumptions!$B$12)*0.05,0)</f>
        <v>0</v>
      </c>
      <c r="BY21" s="19" t="n">
        <f aca="false">IF(AND(Projects!$G$10="Yes",BY$3&gt;=Projects!$C$10,BY$3&lt;Projects!$C$10+Projects!$D$10),Projects!$B$10*INDEX(Curves!$B$3:$AR$3,1,BY$3-Projects!$C$10+1),0)-IF(AND(Projects!$G$10="Yes",BY$3&gt;=Projects!$C$10,BY$3&lt;Projects!$C$10+Projects!$D$10),Projects!$B$10*(Assumptions!$B$10+Assumptions!$B$11+Assumptions!$B$12)/Projects!$D$10*0.95,0)-IF(AND(Projects!$G$10="Yes",BY$3=Projects!$C$10+Projects!$D$10-1),Projects!$B$10*(Assumptions!$B$10+Assumptions!$B$11+Assumptions!$B$12)*0.05,0)</f>
        <v>0</v>
      </c>
      <c r="BZ21" s="19" t="n">
        <f aca="false">IF(AND(Projects!$G$10="Yes",BZ$3&gt;=Projects!$C$10,BZ$3&lt;Projects!$C$10+Projects!$D$10),Projects!$B$10*INDEX(Curves!$B$3:$AR$3,1,BZ$3-Projects!$C$10+1),0)-IF(AND(Projects!$G$10="Yes",BZ$3&gt;=Projects!$C$10,BZ$3&lt;Projects!$C$10+Projects!$D$10),Projects!$B$10*(Assumptions!$B$10+Assumptions!$B$11+Assumptions!$B$12)/Projects!$D$10*0.95,0)-IF(AND(Projects!$G$10="Yes",BZ$3=Projects!$C$10+Projects!$D$10-1),Projects!$B$10*(Assumptions!$B$10+Assumptions!$B$11+Assumptions!$B$12)*0.05,0)</f>
        <v>0</v>
      </c>
      <c r="CA21" s="19" t="n">
        <f aca="false">IF(AND(Projects!$G$10="Yes",CA$3&gt;=Projects!$C$10,CA$3&lt;Projects!$C$10+Projects!$D$10),Projects!$B$10*INDEX(Curves!$B$3:$AR$3,1,CA$3-Projects!$C$10+1),0)-IF(AND(Projects!$G$10="Yes",CA$3&gt;=Projects!$C$10,CA$3&lt;Projects!$C$10+Projects!$D$10),Projects!$B$10*(Assumptions!$B$10+Assumptions!$B$11+Assumptions!$B$12)/Projects!$D$10*0.95,0)-IF(AND(Projects!$G$10="Yes",CA$3=Projects!$C$10+Projects!$D$10-1),Projects!$B$10*(Assumptions!$B$10+Assumptions!$B$11+Assumptions!$B$12)*0.05,0)</f>
        <v>0</v>
      </c>
      <c r="CB21" s="19" t="n">
        <f aca="false">IF(AND(Projects!$G$10="Yes",CB$3&gt;=Projects!$C$10,CB$3&lt;Projects!$C$10+Projects!$D$10),Projects!$B$10*INDEX(Curves!$B$3:$AR$3,1,CB$3-Projects!$C$10+1),0)-IF(AND(Projects!$G$10="Yes",CB$3&gt;=Projects!$C$10,CB$3&lt;Projects!$C$10+Projects!$D$10),Projects!$B$10*(Assumptions!$B$10+Assumptions!$B$11+Assumptions!$B$12)/Projects!$D$10*0.95,0)-IF(AND(Projects!$G$10="Yes",CB$3=Projects!$C$10+Projects!$D$10-1),Projects!$B$10*(Assumptions!$B$10+Assumptions!$B$11+Assumptions!$B$12)*0.05,0)</f>
        <v>0</v>
      </c>
      <c r="CC21" s="19" t="n">
        <f aca="false">IF(AND(Projects!$G$10="Yes",CC$3&gt;=Projects!$C$10,CC$3&lt;Projects!$C$10+Projects!$D$10),Projects!$B$10*INDEX(Curves!$B$3:$AR$3,1,CC$3-Projects!$C$10+1),0)-IF(AND(Projects!$G$10="Yes",CC$3&gt;=Projects!$C$10,CC$3&lt;Projects!$C$10+Projects!$D$10),Projects!$B$10*(Assumptions!$B$10+Assumptions!$B$11+Assumptions!$B$12)/Projects!$D$10*0.95,0)-IF(AND(Projects!$G$10="Yes",CC$3=Projects!$C$10+Projects!$D$10-1),Projects!$B$10*(Assumptions!$B$10+Assumptions!$B$11+Assumptions!$B$12)*0.05,0)</f>
        <v>0</v>
      </c>
      <c r="CD21" s="19" t="n">
        <f aca="false">IF(AND(Projects!$G$10="Yes",CD$3&gt;=Projects!$C$10,CD$3&lt;Projects!$C$10+Projects!$D$10),Projects!$B$10*INDEX(Curves!$B$3:$AR$3,1,CD$3-Projects!$C$10+1),0)-IF(AND(Projects!$G$10="Yes",CD$3&gt;=Projects!$C$10,CD$3&lt;Projects!$C$10+Projects!$D$10),Projects!$B$10*(Assumptions!$B$10+Assumptions!$B$11+Assumptions!$B$12)/Projects!$D$10*0.95,0)-IF(AND(Projects!$G$10="Yes",CD$3=Projects!$C$10+Projects!$D$10-1),Projects!$B$10*(Assumptions!$B$10+Assumptions!$B$11+Assumptions!$B$12)*0.05,0)</f>
        <v>0</v>
      </c>
      <c r="CE21" s="19" t="n">
        <f aca="false">IF(AND(Projects!$G$10="Yes",CE$3&gt;=Projects!$C$10,CE$3&lt;Projects!$C$10+Projects!$D$10),Projects!$B$10*INDEX(Curves!$B$3:$AR$3,1,CE$3-Projects!$C$10+1),0)-IF(AND(Projects!$G$10="Yes",CE$3&gt;=Projects!$C$10,CE$3&lt;Projects!$C$10+Projects!$D$10),Projects!$B$10*(Assumptions!$B$10+Assumptions!$B$11+Assumptions!$B$12)/Projects!$D$10*0.95,0)-IF(AND(Projects!$G$10="Yes",CE$3=Projects!$C$10+Projects!$D$10-1),Projects!$B$10*(Assumptions!$B$10+Assumptions!$B$11+Assumptions!$B$12)*0.05,0)</f>
        <v>0</v>
      </c>
      <c r="CF21" s="19" t="n">
        <f aca="false">IF(AND(Projects!$G$10="Yes",CF$3&gt;=Projects!$C$10,CF$3&lt;Projects!$C$10+Projects!$D$10),Projects!$B$10*INDEX(Curves!$B$3:$AR$3,1,CF$3-Projects!$C$10+1),0)-IF(AND(Projects!$G$10="Yes",CF$3&gt;=Projects!$C$10,CF$3&lt;Projects!$C$10+Projects!$D$10),Projects!$B$10*(Assumptions!$B$10+Assumptions!$B$11+Assumptions!$B$12)/Projects!$D$10*0.95,0)-IF(AND(Projects!$G$10="Yes",CF$3=Projects!$C$10+Projects!$D$10-1),Projects!$B$10*(Assumptions!$B$10+Assumptions!$B$11+Assumptions!$B$12)*0.05,0)</f>
        <v>0</v>
      </c>
      <c r="CG21" s="19" t="n">
        <f aca="false">IF(AND(Projects!$G$10="Yes",CG$3&gt;=Projects!$C$10,CG$3&lt;Projects!$C$10+Projects!$D$10),Projects!$B$10*INDEX(Curves!$B$3:$AR$3,1,CG$3-Projects!$C$10+1),0)-IF(AND(Projects!$G$10="Yes",CG$3&gt;=Projects!$C$10,CG$3&lt;Projects!$C$10+Projects!$D$10),Projects!$B$10*(Assumptions!$B$10+Assumptions!$B$11+Assumptions!$B$12)/Projects!$D$10*0.95,0)-IF(AND(Projects!$G$10="Yes",CG$3=Projects!$C$10+Projects!$D$10-1),Projects!$B$10*(Assumptions!$B$10+Assumptions!$B$11+Assumptions!$B$12)*0.05,0)</f>
        <v>0</v>
      </c>
      <c r="CH21" s="19" t="n">
        <f aca="false">IF(AND(Projects!$G$10="Yes",CH$3&gt;=Projects!$C$10,CH$3&lt;Projects!$C$10+Projects!$D$10),Projects!$B$10*INDEX(Curves!$B$3:$AR$3,1,CH$3-Projects!$C$10+1),0)-IF(AND(Projects!$G$10="Yes",CH$3&gt;=Projects!$C$10,CH$3&lt;Projects!$C$10+Projects!$D$10),Projects!$B$10*(Assumptions!$B$10+Assumptions!$B$11+Assumptions!$B$12)/Projects!$D$10*0.95,0)-IF(AND(Projects!$G$10="Yes",CH$3=Projects!$C$10+Projects!$D$10-1),Projects!$B$10*(Assumptions!$B$10+Assumptions!$B$11+Assumptions!$B$12)*0.05,0)</f>
        <v>0</v>
      </c>
      <c r="CI21" s="19" t="n">
        <f aca="false">IF(AND(Projects!$G$10="Yes",CI$3&gt;=Projects!$C$10,CI$3&lt;Projects!$C$10+Projects!$D$10),Projects!$B$10*INDEX(Curves!$B$3:$AR$3,1,CI$3-Projects!$C$10+1),0)-IF(AND(Projects!$G$10="Yes",CI$3&gt;=Projects!$C$10,CI$3&lt;Projects!$C$10+Projects!$D$10),Projects!$B$10*(Assumptions!$B$10+Assumptions!$B$11+Assumptions!$B$12)/Projects!$D$10*0.95,0)-IF(AND(Projects!$G$10="Yes",CI$3=Projects!$C$10+Projects!$D$10-1),Projects!$B$10*(Assumptions!$B$10+Assumptions!$B$11+Assumptions!$B$12)*0.05,0)</f>
        <v>0</v>
      </c>
      <c r="CJ21" s="19" t="n">
        <f aca="false">IF(AND(Projects!$G$10="Yes",CJ$3&gt;=Projects!$C$10,CJ$3&lt;Projects!$C$10+Projects!$D$10),Projects!$B$10*INDEX(Curves!$B$3:$AR$3,1,CJ$3-Projects!$C$10+1),0)-IF(AND(Projects!$G$10="Yes",CJ$3&gt;=Projects!$C$10,CJ$3&lt;Projects!$C$10+Projects!$D$10),Projects!$B$10*(Assumptions!$B$10+Assumptions!$B$11+Assumptions!$B$12)/Projects!$D$10*0.95,0)-IF(AND(Projects!$G$10="Yes",CJ$3=Projects!$C$10+Projects!$D$10-1),Projects!$B$10*(Assumptions!$B$10+Assumptions!$B$11+Assumptions!$B$12)*0.05,0)</f>
        <v>0</v>
      </c>
      <c r="CK21" s="19" t="n">
        <f aca="false">IF(AND(Projects!$G$10="Yes",CK$3&gt;=Projects!$C$10,CK$3&lt;Projects!$C$10+Projects!$D$10),Projects!$B$10*INDEX(Curves!$B$3:$AR$3,1,CK$3-Projects!$C$10+1),0)-IF(AND(Projects!$G$10="Yes",CK$3&gt;=Projects!$C$10,CK$3&lt;Projects!$C$10+Projects!$D$10),Projects!$B$10*(Assumptions!$B$10+Assumptions!$B$11+Assumptions!$B$12)/Projects!$D$10*0.95,0)-IF(AND(Projects!$G$10="Yes",CK$3=Projects!$C$10+Projects!$D$10-1),Projects!$B$10*(Assumptions!$B$10+Assumptions!$B$11+Assumptions!$B$12)*0.05,0)</f>
        <v>0</v>
      </c>
      <c r="CL21" s="19" t="n">
        <f aca="false">IF(AND(Projects!$G$10="Yes",CL$3&gt;=Projects!$C$10,CL$3&lt;Projects!$C$10+Projects!$D$10),Projects!$B$10*INDEX(Curves!$B$3:$AR$3,1,CL$3-Projects!$C$10+1),0)-IF(AND(Projects!$G$10="Yes",CL$3&gt;=Projects!$C$10,CL$3&lt;Projects!$C$10+Projects!$D$10),Projects!$B$10*(Assumptions!$B$10+Assumptions!$B$11+Assumptions!$B$12)/Projects!$D$10*0.95,0)-IF(AND(Projects!$G$10="Yes",CL$3=Projects!$C$10+Projects!$D$10-1),Projects!$B$10*(Assumptions!$B$10+Assumptions!$B$11+Assumptions!$B$12)*0.05,0)</f>
        <v>0</v>
      </c>
      <c r="CM21" s="19" t="n">
        <f aca="false">IF(AND(Projects!$G$10="Yes",CM$3&gt;=Projects!$C$10,CM$3&lt;Projects!$C$10+Projects!$D$10),Projects!$B$10*INDEX(Curves!$B$3:$AR$3,1,CM$3-Projects!$C$10+1),0)-IF(AND(Projects!$G$10="Yes",CM$3&gt;=Projects!$C$10,CM$3&lt;Projects!$C$10+Projects!$D$10),Projects!$B$10*(Assumptions!$B$10+Assumptions!$B$11+Assumptions!$B$12)/Projects!$D$10*0.95,0)-IF(AND(Projects!$G$10="Yes",CM$3=Projects!$C$10+Projects!$D$10-1),Projects!$B$10*(Assumptions!$B$10+Assumptions!$B$11+Assumptions!$B$12)*0.05,0)</f>
        <v>0</v>
      </c>
      <c r="CN21" s="19" t="n">
        <f aca="false">IF(AND(Projects!$G$10="Yes",CN$3&gt;=Projects!$C$10,CN$3&lt;Projects!$C$10+Projects!$D$10),Projects!$B$10*INDEX(Curves!$B$3:$AR$3,1,CN$3-Projects!$C$10+1),0)-IF(AND(Projects!$G$10="Yes",CN$3&gt;=Projects!$C$10,CN$3&lt;Projects!$C$10+Projects!$D$10),Projects!$B$10*(Assumptions!$B$10+Assumptions!$B$11+Assumptions!$B$12)/Projects!$D$10*0.95,0)-IF(AND(Projects!$G$10="Yes",CN$3=Projects!$C$10+Projects!$D$10-1),Projects!$B$10*(Assumptions!$B$10+Assumptions!$B$11+Assumptions!$B$12)*0.05,0)</f>
        <v>0</v>
      </c>
      <c r="CO21" s="19" t="n">
        <f aca="false">IF(AND(Projects!$G$10="Yes",CO$3&gt;=Projects!$C$10,CO$3&lt;Projects!$C$10+Projects!$D$10),Projects!$B$10*INDEX(Curves!$B$3:$AR$3,1,CO$3-Projects!$C$10+1),0)-IF(AND(Projects!$G$10="Yes",CO$3&gt;=Projects!$C$10,CO$3&lt;Projects!$C$10+Projects!$D$10),Projects!$B$10*(Assumptions!$B$10+Assumptions!$B$11+Assumptions!$B$12)/Projects!$D$10*0.95,0)-IF(AND(Projects!$G$10="Yes",CO$3=Projects!$C$10+Projects!$D$10-1),Projects!$B$10*(Assumptions!$B$10+Assumptions!$B$11+Assumptions!$B$12)*0.05,0)</f>
        <v>0</v>
      </c>
      <c r="CP21" s="19" t="n">
        <f aca="false">IF(AND(Projects!$G$10="Yes",CP$3&gt;=Projects!$C$10,CP$3&lt;Projects!$C$10+Projects!$D$10),Projects!$B$10*INDEX(Curves!$B$3:$AR$3,1,CP$3-Projects!$C$10+1),0)-IF(AND(Projects!$G$10="Yes",CP$3&gt;=Projects!$C$10,CP$3&lt;Projects!$C$10+Projects!$D$10),Projects!$B$10*(Assumptions!$B$10+Assumptions!$B$11+Assumptions!$B$12)/Projects!$D$10*0.95,0)-IF(AND(Projects!$G$10="Yes",CP$3=Projects!$C$10+Projects!$D$10-1),Projects!$B$10*(Assumptions!$B$10+Assumptions!$B$11+Assumptions!$B$12)*0.05,0)</f>
        <v>0</v>
      </c>
      <c r="CQ21" s="19" t="n">
        <f aca="false">IF(AND(Projects!$G$10="Yes",CQ$3&gt;=Projects!$C$10,CQ$3&lt;Projects!$C$10+Projects!$D$10),Projects!$B$10*INDEX(Curves!$B$3:$AR$3,1,CQ$3-Projects!$C$10+1),0)-IF(AND(Projects!$G$10="Yes",CQ$3&gt;=Projects!$C$10,CQ$3&lt;Projects!$C$10+Projects!$D$10),Projects!$B$10*(Assumptions!$B$10+Assumptions!$B$11+Assumptions!$B$12)/Projects!$D$10*0.95,0)-IF(AND(Projects!$G$10="Yes",CQ$3=Projects!$C$10+Projects!$D$10-1),Projects!$B$10*(Assumptions!$B$10+Assumptions!$B$11+Assumptions!$B$12)*0.05,0)</f>
        <v>0</v>
      </c>
      <c r="CR21" s="19" t="n">
        <f aca="false">IF(AND(Projects!$G$10="Yes",CR$3&gt;=Projects!$C$10,CR$3&lt;Projects!$C$10+Projects!$D$10),Projects!$B$10*INDEX(Curves!$B$3:$AR$3,1,CR$3-Projects!$C$10+1),0)-IF(AND(Projects!$G$10="Yes",CR$3&gt;=Projects!$C$10,CR$3&lt;Projects!$C$10+Projects!$D$10),Projects!$B$10*(Assumptions!$B$10+Assumptions!$B$11+Assumptions!$B$12)/Projects!$D$10*0.95,0)-IF(AND(Projects!$G$10="Yes",CR$3=Projects!$C$10+Projects!$D$10-1),Projects!$B$10*(Assumptions!$B$10+Assumptions!$B$11+Assumptions!$B$12)*0.05,0)</f>
        <v>0</v>
      </c>
      <c r="CS21" s="19" t="n">
        <f aca="false">IF(AND(Projects!$G$10="Yes",CS$3&gt;=Projects!$C$10,CS$3&lt;Projects!$C$10+Projects!$D$10),Projects!$B$10*INDEX(Curves!$B$3:$AR$3,1,CS$3-Projects!$C$10+1),0)-IF(AND(Projects!$G$10="Yes",CS$3&gt;=Projects!$C$10,CS$3&lt;Projects!$C$10+Projects!$D$10),Projects!$B$10*(Assumptions!$B$10+Assumptions!$B$11+Assumptions!$B$12)/Projects!$D$10*0.95,0)-IF(AND(Projects!$G$10="Yes",CS$3=Projects!$C$10+Projects!$D$10-1),Projects!$B$10*(Assumptions!$B$10+Assumptions!$B$11+Assumptions!$B$12)*0.05,0)</f>
        <v>0</v>
      </c>
      <c r="CT21" s="19" t="n">
        <f aca="false">IF(AND(Projects!$G$10="Yes",CT$3&gt;=Projects!$C$10,CT$3&lt;Projects!$C$10+Projects!$D$10),Projects!$B$10*INDEX(Curves!$B$3:$AR$3,1,CT$3-Projects!$C$10+1),0)-IF(AND(Projects!$G$10="Yes",CT$3&gt;=Projects!$C$10,CT$3&lt;Projects!$C$10+Projects!$D$10),Projects!$B$10*(Assumptions!$B$10+Assumptions!$B$11+Assumptions!$B$12)/Projects!$D$10*0.95,0)-IF(AND(Projects!$G$10="Yes",CT$3=Projects!$C$10+Projects!$D$10-1),Projects!$B$10*(Assumptions!$B$10+Assumptions!$B$11+Assumptions!$B$12)*0.05,0)</f>
        <v>0</v>
      </c>
      <c r="CU21" s="19" t="n">
        <f aca="false">IF(AND(Projects!$G$10="Yes",CU$3&gt;=Projects!$C$10,CU$3&lt;Projects!$C$10+Projects!$D$10),Projects!$B$10*INDEX(Curves!$B$3:$AR$3,1,CU$3-Projects!$C$10+1),0)-IF(AND(Projects!$G$10="Yes",CU$3&gt;=Projects!$C$10,CU$3&lt;Projects!$C$10+Projects!$D$10),Projects!$B$10*(Assumptions!$B$10+Assumptions!$B$11+Assumptions!$B$12)/Projects!$D$10*0.95,0)-IF(AND(Projects!$G$10="Yes",CU$3=Projects!$C$10+Projects!$D$10-1),Projects!$B$10*(Assumptions!$B$10+Assumptions!$B$11+Assumptions!$B$12)*0.05,0)</f>
        <v>0</v>
      </c>
      <c r="CV21" s="19" t="n">
        <f aca="false">IF(AND(Projects!$G$10="Yes",CV$3&gt;=Projects!$C$10,CV$3&lt;Projects!$C$10+Projects!$D$10),Projects!$B$10*INDEX(Curves!$B$3:$AR$3,1,CV$3-Projects!$C$10+1),0)-IF(AND(Projects!$G$10="Yes",CV$3&gt;=Projects!$C$10,CV$3&lt;Projects!$C$10+Projects!$D$10),Projects!$B$10*(Assumptions!$B$10+Assumptions!$B$11+Assumptions!$B$12)/Projects!$D$10*0.95,0)-IF(AND(Projects!$G$10="Yes",CV$3=Projects!$C$10+Projects!$D$10-1),Projects!$B$10*(Assumptions!$B$10+Assumptions!$B$11+Assumptions!$B$12)*0.05,0)</f>
        <v>0</v>
      </c>
      <c r="CW21" s="19" t="n">
        <f aca="false">IF(AND(Projects!$G$10="Yes",CW$3&gt;=Projects!$C$10,CW$3&lt;Projects!$C$10+Projects!$D$10),Projects!$B$10*INDEX(Curves!$B$3:$AR$3,1,CW$3-Projects!$C$10+1),0)-IF(AND(Projects!$G$10="Yes",CW$3&gt;=Projects!$C$10,CW$3&lt;Projects!$C$10+Projects!$D$10),Projects!$B$10*(Assumptions!$B$10+Assumptions!$B$11+Assumptions!$B$12)/Projects!$D$10*0.95,0)-IF(AND(Projects!$G$10="Yes",CW$3=Projects!$C$10+Projects!$D$10-1),Projects!$B$10*(Assumptions!$B$10+Assumptions!$B$11+Assumptions!$B$12)*0.05,0)</f>
        <v>0</v>
      </c>
      <c r="CX21" s="19" t="n">
        <f aca="false">IF(AND(Projects!$G$10="Yes",CX$3&gt;=Projects!$C$10,CX$3&lt;Projects!$C$10+Projects!$D$10),Projects!$B$10*INDEX(Curves!$B$3:$AR$3,1,CX$3-Projects!$C$10+1),0)-IF(AND(Projects!$G$10="Yes",CX$3&gt;=Projects!$C$10,CX$3&lt;Projects!$C$10+Projects!$D$10),Projects!$B$10*(Assumptions!$B$10+Assumptions!$B$11+Assumptions!$B$12)/Projects!$D$10*0.95,0)-IF(AND(Projects!$G$10="Yes",CX$3=Projects!$C$10+Projects!$D$10-1),Projects!$B$10*(Assumptions!$B$10+Assumptions!$B$11+Assumptions!$B$12)*0.05,0)</f>
        <v>0</v>
      </c>
      <c r="CY21" s="19" t="n">
        <f aca="false">IF(AND(Projects!$G$10="Yes",CY$3&gt;=Projects!$C$10,CY$3&lt;Projects!$C$10+Projects!$D$10),Projects!$B$10*INDEX(Curves!$B$3:$AR$3,1,CY$3-Projects!$C$10+1),0)-IF(AND(Projects!$G$10="Yes",CY$3&gt;=Projects!$C$10,CY$3&lt;Projects!$C$10+Projects!$D$10),Projects!$B$10*(Assumptions!$B$10+Assumptions!$B$11+Assumptions!$B$12)/Projects!$D$10*0.95,0)-IF(AND(Projects!$G$10="Yes",CY$3=Projects!$C$10+Projects!$D$10-1),Projects!$B$10*(Assumptions!$B$10+Assumptions!$B$11+Assumptions!$B$12)*0.05,0)</f>
        <v>0</v>
      </c>
      <c r="CZ21" s="19" t="n">
        <f aca="false">IF(AND(Projects!$G$10="Yes",CZ$3&gt;=Projects!$C$10,CZ$3&lt;Projects!$C$10+Projects!$D$10),Projects!$B$10*INDEX(Curves!$B$3:$AR$3,1,CZ$3-Projects!$C$10+1),0)-IF(AND(Projects!$G$10="Yes",CZ$3&gt;=Projects!$C$10,CZ$3&lt;Projects!$C$10+Projects!$D$10),Projects!$B$10*(Assumptions!$B$10+Assumptions!$B$11+Assumptions!$B$12)/Projects!$D$10*0.95,0)-IF(AND(Projects!$G$10="Yes",CZ$3=Projects!$C$10+Projects!$D$10-1),Projects!$B$10*(Assumptions!$B$10+Assumptions!$B$11+Assumptions!$B$12)*0.05,0)</f>
        <v>0</v>
      </c>
      <c r="DA21" s="19" t="n">
        <f aca="false">IF(AND(Projects!$G$10="Yes",DA$3&gt;=Projects!$C$10,DA$3&lt;Projects!$C$10+Projects!$D$10),Projects!$B$10*INDEX(Curves!$B$3:$AR$3,1,DA$3-Projects!$C$10+1),0)-IF(AND(Projects!$G$10="Yes",DA$3&gt;=Projects!$C$10,DA$3&lt;Projects!$C$10+Projects!$D$10),Projects!$B$10*(Assumptions!$B$10+Assumptions!$B$11+Assumptions!$B$12)/Projects!$D$10*0.95,0)-IF(AND(Projects!$G$10="Yes",DA$3=Projects!$C$10+Projects!$D$10-1),Projects!$B$10*(Assumptions!$B$10+Assumptions!$B$11+Assumptions!$B$12)*0.05,0)</f>
        <v>0</v>
      </c>
      <c r="DB21" s="19" t="n">
        <f aca="false">IF(AND(Projects!$G$10="Yes",DB$3&gt;=Projects!$C$10,DB$3&lt;Projects!$C$10+Projects!$D$10),Projects!$B$10*INDEX(Curves!$B$3:$AR$3,1,DB$3-Projects!$C$10+1),0)-IF(AND(Projects!$G$10="Yes",DB$3&gt;=Projects!$C$10,DB$3&lt;Projects!$C$10+Projects!$D$10),Projects!$B$10*(Assumptions!$B$10+Assumptions!$B$11+Assumptions!$B$12)/Projects!$D$10*0.95,0)-IF(AND(Projects!$G$10="Yes",DB$3=Projects!$C$10+Projects!$D$10-1),Projects!$B$10*(Assumptions!$B$10+Assumptions!$B$11+Assumptions!$B$12)*0.05,0)</f>
        <v>0</v>
      </c>
      <c r="DC21" s="19" t="n">
        <f aca="false">IF(AND(Projects!$G$10="Yes",DC$3&gt;=Projects!$C$10,DC$3&lt;Projects!$C$10+Projects!$D$10),Projects!$B$10*INDEX(Curves!$B$3:$AR$3,1,DC$3-Projects!$C$10+1),0)-IF(AND(Projects!$G$10="Yes",DC$3&gt;=Projects!$C$10,DC$3&lt;Projects!$C$10+Projects!$D$10),Projects!$B$10*(Assumptions!$B$10+Assumptions!$B$11+Assumptions!$B$12)/Projects!$D$10*0.95,0)-IF(AND(Projects!$G$10="Yes",DC$3=Projects!$C$10+Projects!$D$10-1),Projects!$B$10*(Assumptions!$B$10+Assumptions!$B$11+Assumptions!$B$12)*0.05,0)</f>
        <v>0</v>
      </c>
      <c r="DD21" s="19" t="n">
        <f aca="false">IF(AND(Projects!$G$10="Yes",DD$3&gt;=Projects!$C$10,DD$3&lt;Projects!$C$10+Projects!$D$10),Projects!$B$10*INDEX(Curves!$B$3:$AR$3,1,DD$3-Projects!$C$10+1),0)-IF(AND(Projects!$G$10="Yes",DD$3&gt;=Projects!$C$10,DD$3&lt;Projects!$C$10+Projects!$D$10),Projects!$B$10*(Assumptions!$B$10+Assumptions!$B$11+Assumptions!$B$12)/Projects!$D$10*0.95,0)-IF(AND(Projects!$G$10="Yes",DD$3=Projects!$C$10+Projects!$D$10-1),Projects!$B$10*(Assumptions!$B$10+Assumptions!$B$11+Assumptions!$B$12)*0.05,0)</f>
        <v>0</v>
      </c>
      <c r="DE21" s="19" t="n">
        <f aca="false">IF(AND(Projects!$G$10="Yes",DE$3&gt;=Projects!$C$10,DE$3&lt;Projects!$C$10+Projects!$D$10),Projects!$B$10*INDEX(Curves!$B$3:$AR$3,1,DE$3-Projects!$C$10+1),0)-IF(AND(Projects!$G$10="Yes",DE$3&gt;=Projects!$C$10,DE$3&lt;Projects!$C$10+Projects!$D$10),Projects!$B$10*(Assumptions!$B$10+Assumptions!$B$11+Assumptions!$B$12)/Projects!$D$10*0.95,0)-IF(AND(Projects!$G$10="Yes",DE$3=Projects!$C$10+Projects!$D$10-1),Projects!$B$10*(Assumptions!$B$10+Assumptions!$B$11+Assumptions!$B$12)*0.05,0)</f>
        <v>0</v>
      </c>
    </row>
    <row r="22" customFormat="false" ht="15" hidden="true" customHeight="true" outlineLevel="1" collapsed="false">
      <c r="A22" s="28" t="s">
        <v>16</v>
      </c>
      <c r="B22" s="19" t="n">
        <v>0</v>
      </c>
      <c r="C22" s="19" t="n">
        <v>0</v>
      </c>
      <c r="D22" s="19" t="n">
        <v>0</v>
      </c>
      <c r="E22" s="19" t="n">
        <v>0</v>
      </c>
      <c r="F22" s="19" t="n">
        <f aca="false">IF(AND(Projects!$G$11="Yes",F$3&gt;=Projects!$C$11,F$3&lt;Projects!$C$11+Projects!$D$11),Projects!$B$11*INDEX(Curves!$B$4:$AR$4,1,F$3-Projects!$C$11+1),0)-IF(AND(Projects!$G$11="Yes",F$3&gt;=Projects!$C$11,F$3&lt;Projects!$C$11+Projects!$D$11),Projects!$B$11*(Assumptions!$B$10+Assumptions!$B$11+Assumptions!$B$12)/Projects!$D$11*0.95,0)-IF(AND(Projects!$G$11="Yes",F$3=Projects!$C$11+Projects!$D$11-1),Projects!$B$11*(Assumptions!$B$10+Assumptions!$B$11+Assumptions!$B$12)*0.05,0)</f>
        <v>0</v>
      </c>
      <c r="G22" s="19" t="n">
        <f aca="false">IF(AND(Projects!$G$11="Yes",G$3&gt;=Projects!$C$11,G$3&lt;Projects!$C$11+Projects!$D$11),Projects!$B$11*INDEX(Curves!$B$4:$AR$4,1,G$3-Projects!$C$11+1),0)-IF(AND(Projects!$G$11="Yes",G$3&gt;=Projects!$C$11,G$3&lt;Projects!$C$11+Projects!$D$11),Projects!$B$11*(Assumptions!$B$10+Assumptions!$B$11+Assumptions!$B$12)/Projects!$D$11*0.95,0)-IF(AND(Projects!$G$11="Yes",G$3=Projects!$C$11+Projects!$D$11-1),Projects!$B$11*(Assumptions!$B$10+Assumptions!$B$11+Assumptions!$B$12)*0.05,0)</f>
        <v>0</v>
      </c>
      <c r="H22" s="19" t="n">
        <f aca="false">IF(AND(Projects!$G$11="Yes",H$3&gt;=Projects!$C$11,H$3&lt;Projects!$C$11+Projects!$D$11),Projects!$B$11*INDEX(Curves!$B$4:$AR$4,1,H$3-Projects!$C$11+1),0)-IF(AND(Projects!$G$11="Yes",H$3&gt;=Projects!$C$11,H$3&lt;Projects!$C$11+Projects!$D$11),Projects!$B$11*(Assumptions!$B$10+Assumptions!$B$11+Assumptions!$B$12)/Projects!$D$11*0.95,0)-IF(AND(Projects!$G$11="Yes",H$3=Projects!$C$11+Projects!$D$11-1),Projects!$B$11*(Assumptions!$B$10+Assumptions!$B$11+Assumptions!$B$12)*0.05,0)</f>
        <v>0</v>
      </c>
      <c r="I22" s="19" t="n">
        <v>0</v>
      </c>
      <c r="J22" s="19" t="n">
        <f aca="false">IF(AND(Projects!$G$11="Yes",J$3&gt;=Projects!$C$11,J$3&lt;Projects!$C$11+Projects!$D$11),Projects!$B$11*INDEX(Curves!$B$4:$AR$4,1,J$3-Projects!$C$11+1),0)-IF(AND(Projects!$G$11="Yes",J$3&gt;=Projects!$C$11,J$3&lt;Projects!$C$11+Projects!$D$11),Projects!$B$11*(Assumptions!$B$10+Assumptions!$B$11+Assumptions!$B$12)/Projects!$D$11*0.95,0)-IF(AND(Projects!$G$11="Yes",J$3=Projects!$C$11+Projects!$D$11-1),Projects!$B$11*(Assumptions!$B$10+Assumptions!$B$11+Assumptions!$B$12)*0.05,0)</f>
        <v>0</v>
      </c>
      <c r="K22" s="19" t="n">
        <f aca="false">IF(AND(Projects!$G$11="Yes",K$3&gt;=Projects!$C$11,K$3&lt;Projects!$C$11+Projects!$D$11),Projects!$B$11*INDEX(Curves!$B$4:$AR$4,1,K$3-Projects!$C$11+1),0)-IF(AND(Projects!$G$11="Yes",K$3&gt;=Projects!$C$11,K$3&lt;Projects!$C$11+Projects!$D$11),Projects!$B$11*(Assumptions!$B$10+Assumptions!$B$11+Assumptions!$B$12)/Projects!$D$11*0.95,0)-IF(AND(Projects!$G$11="Yes",K$3=Projects!$C$11+Projects!$D$11-1),Projects!$B$11*(Assumptions!$B$10+Assumptions!$B$11+Assumptions!$B$12)*0.05,0)</f>
        <v>0</v>
      </c>
      <c r="L22" s="19" t="n">
        <f aca="false">IF(AND(Projects!$G$11="Yes",L$3&gt;=Projects!$C$11,L$3&lt;Projects!$C$11+Projects!$D$11),Projects!$B$11*INDEX(Curves!$B$4:$AR$4,1,L$3-Projects!$C$11+1),0)-IF(AND(Projects!$G$11="Yes",L$3&gt;=Projects!$C$11,L$3&lt;Projects!$C$11+Projects!$D$11),Projects!$B$11*(Assumptions!$B$10+Assumptions!$B$11+Assumptions!$B$12)/Projects!$D$11*0.95,0)-IF(AND(Projects!$G$11="Yes",L$3=Projects!$C$11+Projects!$D$11-1),Projects!$B$11*(Assumptions!$B$10+Assumptions!$B$11+Assumptions!$B$12)*0.05,0)</f>
        <v>0</v>
      </c>
      <c r="M22" s="19" t="n">
        <f aca="false">IF(AND(Projects!$G$11="Yes",M$3&gt;=Projects!$C$11,M$3&lt;Projects!$C$11+Projects!$D$11),Projects!$B$11*INDEX(Curves!$B$4:$AR$4,1,M$3-Projects!$C$11+1),0)-IF(AND(Projects!$G$11="Yes",M$3&gt;=Projects!$C$11,M$3&lt;Projects!$C$11+Projects!$D$11),Projects!$B$11*(Assumptions!$B$10+Assumptions!$B$11+Assumptions!$B$12)/Projects!$D$11*0.95,0)-IF(AND(Projects!$G$11="Yes",M$3=Projects!$C$11+Projects!$D$11-1),Projects!$B$11*(Assumptions!$B$10+Assumptions!$B$11+Assumptions!$B$12)*0.05,0)</f>
        <v>0</v>
      </c>
      <c r="N22" s="19" t="n">
        <f aca="false">IF(AND(Projects!$G$11="Yes",N$3&gt;=Projects!$C$11,N$3&lt;Projects!$C$11+Projects!$D$11),Projects!$B$11*INDEX(Curves!$B$4:$AR$4,1,N$3-Projects!$C$11+1),0)-IF(AND(Projects!$G$11="Yes",N$3&gt;=Projects!$C$11,N$3&lt;Projects!$C$11+Projects!$D$11),Projects!$B$11*(Assumptions!$B$10+Assumptions!$B$11+Assumptions!$B$12)/Projects!$D$11*0.95,0)-IF(AND(Projects!$G$11="Yes",N$3=Projects!$C$11+Projects!$D$11-1),Projects!$B$11*(Assumptions!$B$10+Assumptions!$B$11+Assumptions!$B$12)*0.05,0)</f>
        <v>0</v>
      </c>
      <c r="O22" s="19" t="n">
        <f aca="false">IF(AND(Projects!$G$11="Yes",O$3&gt;=Projects!$C$11,O$3&lt;Projects!$C$11+Projects!$D$11),Projects!$B$11*INDEX(Curves!$B$4:$AR$4,1,O$3-Projects!$C$11+1),0)-IF(AND(Projects!$G$11="Yes",O$3&gt;=Projects!$C$11,O$3&lt;Projects!$C$11+Projects!$D$11),Projects!$B$11*(Assumptions!$B$10+Assumptions!$B$11+Assumptions!$B$12)/Projects!$D$11*0.95,0)-IF(AND(Projects!$G$11="Yes",O$3=Projects!$C$11+Projects!$D$11-1),Projects!$B$11*(Assumptions!$B$10+Assumptions!$B$11+Assumptions!$B$12)*0.05,0)</f>
        <v>196306.31287205</v>
      </c>
      <c r="P22" s="19" t="n">
        <f aca="false">IF(AND(Projects!$G$11="Yes",P$3&gt;=Projects!$C$11,P$3&lt;Projects!$C$11+Projects!$D$11),Projects!$B$11*INDEX(Curves!$B$4:$AR$4,1,P$3-Projects!$C$11+1),0)-IF(AND(Projects!$G$11="Yes",P$3&gt;=Projects!$C$11,P$3&lt;Projects!$C$11+Projects!$D$11),Projects!$B$11*(Assumptions!$B$10+Assumptions!$B$11+Assumptions!$B$12)/Projects!$D$11*0.95,0)-IF(AND(Projects!$G$11="Yes",P$3=Projects!$C$11+Projects!$D$11-1),Projects!$B$11*(Assumptions!$B$10+Assumptions!$B$11+Assumptions!$B$12)*0.05,0)</f>
        <v>256105.78146805</v>
      </c>
      <c r="Q22" s="19" t="n">
        <f aca="false">IF(AND(Projects!$G$11="Yes",Q$3&gt;=Projects!$C$11,Q$3&lt;Projects!$C$11+Projects!$D$11),Projects!$B$11*INDEX(Curves!$B$4:$AR$4,1,Q$3-Projects!$C$11+1),0)-IF(AND(Projects!$G$11="Yes",Q$3&gt;=Projects!$C$11,Q$3&lt;Projects!$C$11+Projects!$D$11),Projects!$B$11*(Assumptions!$B$10+Assumptions!$B$11+Assumptions!$B$12)/Projects!$D$11*0.95,0)-IF(AND(Projects!$G$11="Yes",Q$3=Projects!$C$11+Projects!$D$11-1),Projects!$B$11*(Assumptions!$B$10+Assumptions!$B$11+Assumptions!$B$12)*0.05,0)</f>
        <v>320473.53105705</v>
      </c>
      <c r="R22" s="19" t="n">
        <f aca="false">IF(AND(Projects!$G$11="Yes",R$3&gt;=Projects!$C$11,R$3&lt;Projects!$C$11+Projects!$D$11),Projects!$B$11*INDEX(Curves!$B$4:$AR$4,1,R$3-Projects!$C$11+1),0)-IF(AND(Projects!$G$11="Yes",R$3&gt;=Projects!$C$11,R$3&lt;Projects!$C$11+Projects!$D$11),Projects!$B$11*(Assumptions!$B$10+Assumptions!$B$11+Assumptions!$B$12)/Projects!$D$11*0.95,0)-IF(AND(Projects!$G$11="Yes",R$3=Projects!$C$11+Projects!$D$11-1),Projects!$B$11*(Assumptions!$B$10+Assumptions!$B$11+Assumptions!$B$12)*0.05,0)</f>
        <v>386842.89642705</v>
      </c>
      <c r="S22" s="19" t="n">
        <f aca="false">IF(AND(Projects!$G$11="Yes",S$3&gt;=Projects!$C$11,S$3&lt;Projects!$C$11+Projects!$D$11),Projects!$B$11*INDEX(Curves!$B$4:$AR$4,1,S$3-Projects!$C$11+1),0)-IF(AND(Projects!$G$11="Yes",S$3&gt;=Projects!$C$11,S$3&lt;Projects!$C$11+Projects!$D$11),Projects!$B$11*(Assumptions!$B$10+Assumptions!$B$11+Assumptions!$B$12)/Projects!$D$11*0.95,0)-IF(AND(Projects!$G$11="Yes",S$3=Projects!$C$11+Projects!$D$11-1),Projects!$B$11*(Assumptions!$B$10+Assumptions!$B$11+Assumptions!$B$12)*0.05,0)</f>
        <v>452024.70028105</v>
      </c>
      <c r="T22" s="19" t="n">
        <f aca="false">IF(AND(Projects!$G$11="Yes",T$3&gt;=Projects!$C$11,T$3&lt;Projects!$C$11+Projects!$D$11),Projects!$B$11*INDEX(Curves!$B$4:$AR$4,1,T$3-Projects!$C$11+1),0)-IF(AND(Projects!$G$11="Yes",T$3&gt;=Projects!$C$11,T$3&lt;Projects!$C$11+Projects!$D$11),Projects!$B$11*(Assumptions!$B$10+Assumptions!$B$11+Assumptions!$B$12)/Projects!$D$11*0.95,0)-IF(AND(Projects!$G$11="Yes",T$3=Projects!$C$11+Projects!$D$11-1),Projects!$B$11*(Assumptions!$B$10+Assumptions!$B$11+Assumptions!$B$12)*0.05,0)</f>
        <v>512398.79541705</v>
      </c>
      <c r="U22" s="19" t="n">
        <f aca="false">IF(AND(Projects!$G$11="Yes",U$3&gt;=Projects!$C$11,U$3&lt;Projects!$C$11+Projects!$D$11),Projects!$B$11*INDEX(Curves!$B$4:$AR$4,1,U$3-Projects!$C$11+1),0)-IF(AND(Projects!$G$11="Yes",U$3&gt;=Projects!$C$11,U$3&lt;Projects!$C$11+Projects!$D$11),Projects!$B$11*(Assumptions!$B$10+Assumptions!$B$11+Assumptions!$B$12)/Projects!$D$11*0.95,0)-IF(AND(Projects!$G$11="Yes",U$3=Projects!$C$11+Projects!$D$11-1),Projects!$B$11*(Assumptions!$B$10+Assumptions!$B$11+Assumptions!$B$12)*0.05,0)</f>
        <v>564258.84065205</v>
      </c>
      <c r="V22" s="19" t="n">
        <f aca="false">IF(AND(Projects!$G$11="Yes",V$3&gt;=Projects!$C$11,V$3&lt;Projects!$C$11+Projects!$D$11),Projects!$B$11*INDEX(Curves!$B$4:$AR$4,1,V$3-Projects!$C$11+1),0)-IF(AND(Projects!$G$11="Yes",V$3&gt;=Projects!$C$11,V$3&lt;Projects!$C$11+Projects!$D$11),Projects!$B$11*(Assumptions!$B$10+Assumptions!$B$11+Assumptions!$B$12)/Projects!$D$11*0.95,0)-IF(AND(Projects!$G$11="Yes",V$3=Projects!$C$11+Projects!$D$11-1),Projects!$B$11*(Assumptions!$B$10+Assumptions!$B$11+Assumptions!$B$12)*0.05,0)</f>
        <v>604166.65385505</v>
      </c>
      <c r="W22" s="19" t="n">
        <f aca="false">IF(AND(Projects!$G$11="Yes",W$3&gt;=Projects!$C$11,W$3&lt;Projects!$C$11+Projects!$D$11),Projects!$B$11*INDEX(Curves!$B$4:$AR$4,1,W$3-Projects!$C$11+1),0)-IF(AND(Projects!$G$11="Yes",W$3&gt;=Projects!$C$11,W$3&lt;Projects!$C$11+Projects!$D$11),Projects!$B$11*(Assumptions!$B$10+Assumptions!$B$11+Assumptions!$B$12)/Projects!$D$11*0.95,0)-IF(AND(Projects!$G$11="Yes",W$3=Projects!$C$11+Projects!$D$11-1),Projects!$B$11*(Assumptions!$B$10+Assumptions!$B$11+Assumptions!$B$12)*0.05,0)</f>
        <v>629335.29630705</v>
      </c>
      <c r="X22" s="19" t="n">
        <f aca="false">IF(AND(Projects!$G$11="Yes",X$3&gt;=Projects!$C$11,X$3&lt;Projects!$C$11+Projects!$D$11),Projects!$B$11*INDEX(Curves!$B$4:$AR$4,1,X$3-Projects!$C$11+1),0)-IF(AND(Projects!$G$11="Yes",X$3&gt;=Projects!$C$11,X$3&lt;Projects!$C$11+Projects!$D$11),Projects!$B$11*(Assumptions!$B$10+Assumptions!$B$11+Assumptions!$B$12)/Projects!$D$11*0.95,0)-IF(AND(Projects!$G$11="Yes",X$3=Projects!$C$11+Projects!$D$11-1),Projects!$B$11*(Assumptions!$B$10+Assumptions!$B$11+Assumptions!$B$12)*0.05,0)</f>
        <v>637935.54018905</v>
      </c>
      <c r="Y22" s="19" t="n">
        <f aca="false">IF(AND(Projects!$G$11="Yes",Y$3&gt;=Projects!$C$11,Y$3&lt;Projects!$C$11+Projects!$D$11),Projects!$B$11*INDEX(Curves!$B$4:$AR$4,1,Y$3-Projects!$C$11+1),0)-IF(AND(Projects!$G$11="Yes",Y$3&gt;=Projects!$C$11,Y$3&lt;Projects!$C$11+Projects!$D$11),Projects!$B$11*(Assumptions!$B$10+Assumptions!$B$11+Assumptions!$B$12)/Projects!$D$11*0.95,0)-IF(AND(Projects!$G$11="Yes",Y$3=Projects!$C$11+Projects!$D$11-1),Projects!$B$11*(Assumptions!$B$10+Assumptions!$B$11+Assumptions!$B$12)*0.05,0)</f>
        <v>629335.29630705</v>
      </c>
      <c r="Z22" s="19" t="n">
        <f aca="false">IF(AND(Projects!$G$11="Yes",Z$3&gt;=Projects!$C$11,Z$3&lt;Projects!$C$11+Projects!$D$11),Projects!$B$11*INDEX(Curves!$B$4:$AR$4,1,Z$3-Projects!$C$11+1),0)-IF(AND(Projects!$G$11="Yes",Z$3&gt;=Projects!$C$11,Z$3&lt;Projects!$C$11+Projects!$D$11),Projects!$B$11*(Assumptions!$B$10+Assumptions!$B$11+Assumptions!$B$12)/Projects!$D$11*0.95,0)-IF(AND(Projects!$G$11="Yes",Z$3=Projects!$C$11+Projects!$D$11-1),Projects!$B$11*(Assumptions!$B$10+Assumptions!$B$11+Assumptions!$B$12)*0.05,0)</f>
        <v>604166.65385505</v>
      </c>
      <c r="AA22" s="19" t="n">
        <f aca="false">IF(AND(Projects!$G$11="Yes",AA$3&gt;=Projects!$C$11,AA$3&lt;Projects!$C$11+Projects!$D$11),Projects!$B$11*INDEX(Curves!$B$4:$AR$4,1,AA$3-Projects!$C$11+1),0)-IF(AND(Projects!$G$11="Yes",AA$3&gt;=Projects!$C$11,AA$3&lt;Projects!$C$11+Projects!$D$11),Projects!$B$11*(Assumptions!$B$10+Assumptions!$B$11+Assumptions!$B$12)/Projects!$D$11*0.95,0)-IF(AND(Projects!$G$11="Yes",AA$3=Projects!$C$11+Projects!$D$11-1),Projects!$B$11*(Assumptions!$B$10+Assumptions!$B$11+Assumptions!$B$12)*0.05,0)</f>
        <v>564258.84065205</v>
      </c>
      <c r="AB22" s="19" t="n">
        <f aca="false">IF(AND(Projects!$G$11="Yes",AB$3&gt;=Projects!$C$11,AB$3&lt;Projects!$C$11+Projects!$D$11),Projects!$B$11*INDEX(Curves!$B$4:$AR$4,1,AB$3-Projects!$C$11+1),0)-IF(AND(Projects!$G$11="Yes",AB$3&gt;=Projects!$C$11,AB$3&lt;Projects!$C$11+Projects!$D$11),Projects!$B$11*(Assumptions!$B$10+Assumptions!$B$11+Assumptions!$B$12)/Projects!$D$11*0.95,0)-IF(AND(Projects!$G$11="Yes",AB$3=Projects!$C$11+Projects!$D$11-1),Projects!$B$11*(Assumptions!$B$10+Assumptions!$B$11+Assumptions!$B$12)*0.05,0)</f>
        <v>512398.79541705</v>
      </c>
      <c r="AC22" s="19" t="n">
        <f aca="false">IF(AND(Projects!$G$11="Yes",AC$3&gt;=Projects!$C$11,AC$3&lt;Projects!$C$11+Projects!$D$11),Projects!$B$11*INDEX(Curves!$B$4:$AR$4,1,AC$3-Projects!$C$11+1),0)-IF(AND(Projects!$G$11="Yes",AC$3&gt;=Projects!$C$11,AC$3&lt;Projects!$C$11+Projects!$D$11),Projects!$B$11*(Assumptions!$B$10+Assumptions!$B$11+Assumptions!$B$12)/Projects!$D$11*0.95,0)-IF(AND(Projects!$G$11="Yes",AC$3=Projects!$C$11+Projects!$D$11-1),Projects!$B$11*(Assumptions!$B$10+Assumptions!$B$11+Assumptions!$B$12)*0.05,0)</f>
        <v>452024.70028105</v>
      </c>
      <c r="AD22" s="19" t="n">
        <f aca="false">IF(AND(Projects!$G$11="Yes",AD$3&gt;=Projects!$C$11,AD$3&lt;Projects!$C$11+Projects!$D$11),Projects!$B$11*INDEX(Curves!$B$4:$AR$4,1,AD$3-Projects!$C$11+1),0)-IF(AND(Projects!$G$11="Yes",AD$3&gt;=Projects!$C$11,AD$3&lt;Projects!$C$11+Projects!$D$11),Projects!$B$11*(Assumptions!$B$10+Assumptions!$B$11+Assumptions!$B$12)/Projects!$D$11*0.95,0)-IF(AND(Projects!$G$11="Yes",AD$3=Projects!$C$11+Projects!$D$11-1),Projects!$B$11*(Assumptions!$B$10+Assumptions!$B$11+Assumptions!$B$12)*0.05,0)</f>
        <v>386842.89642705</v>
      </c>
      <c r="AE22" s="19" t="n">
        <f aca="false">IF(AND(Projects!$G$11="Yes",AE$3&gt;=Projects!$C$11,AE$3&lt;Projects!$C$11+Projects!$D$11),Projects!$B$11*INDEX(Curves!$B$4:$AR$4,1,AE$3-Projects!$C$11+1),0)-IF(AND(Projects!$G$11="Yes",AE$3&gt;=Projects!$C$11,AE$3&lt;Projects!$C$11+Projects!$D$11),Projects!$B$11*(Assumptions!$B$10+Assumptions!$B$11+Assumptions!$B$12)/Projects!$D$11*0.95,0)-IF(AND(Projects!$G$11="Yes",AE$3=Projects!$C$11+Projects!$D$11-1),Projects!$B$11*(Assumptions!$B$10+Assumptions!$B$11+Assumptions!$B$12)*0.05,0)</f>
        <v>320473.53105705</v>
      </c>
      <c r="AF22" s="19" t="n">
        <f aca="false">IF(AND(Projects!$G$11="Yes",AF$3&gt;=Projects!$C$11,AF$3&lt;Projects!$C$11+Projects!$D$11),Projects!$B$11*INDEX(Curves!$B$4:$AR$4,1,AF$3-Projects!$C$11+1),0)-IF(AND(Projects!$G$11="Yes",AF$3&gt;=Projects!$C$11,AF$3&lt;Projects!$C$11+Projects!$D$11),Projects!$B$11*(Assumptions!$B$10+Assumptions!$B$11+Assumptions!$B$12)/Projects!$D$11*0.95,0)-IF(AND(Projects!$G$11="Yes",AF$3=Projects!$C$11+Projects!$D$11-1),Projects!$B$11*(Assumptions!$B$10+Assumptions!$B$11+Assumptions!$B$12)*0.05,0)</f>
        <v>256105.78146805</v>
      </c>
      <c r="AG22" s="19" t="n">
        <f aca="false">IF(AND(Projects!$G$11="Yes",AG$3&gt;=Projects!$C$11,AG$3&lt;Projects!$C$11+Projects!$D$11),Projects!$B$11*INDEX(Curves!$B$4:$AR$4,1,AG$3-Projects!$C$11+1),0)-IF(AND(Projects!$G$11="Yes",AG$3&gt;=Projects!$C$11,AG$3&lt;Projects!$C$11+Projects!$D$11),Projects!$B$11*(Assumptions!$B$10+Assumptions!$B$11+Assumptions!$B$12)/Projects!$D$11*0.95,0)-IF(AND(Projects!$G$11="Yes",AG$3=Projects!$C$11+Projects!$D$11-1),Projects!$B$11*(Assumptions!$B$10+Assumptions!$B$11+Assumptions!$B$12)*0.05,0)</f>
        <v>138656.4263911</v>
      </c>
      <c r="AH22" s="19" t="n">
        <f aca="false">IF(AND(Projects!$G$11="Yes",AH$3&gt;=Projects!$C$11,AH$3&lt;Projects!$C$11+Projects!$D$11),Projects!$B$11*INDEX(Curves!$B$4:$AR$4,1,AH$3-Projects!$C$11+1),0)-IF(AND(Projects!$G$11="Yes",AH$3&gt;=Projects!$C$11,AH$3&lt;Projects!$C$11+Projects!$D$11),Projects!$B$11*(Assumptions!$B$10+Assumptions!$B$11+Assumptions!$B$12)/Projects!$D$11*0.95,0)-IF(AND(Projects!$G$11="Yes",AH$3=Projects!$C$11+Projects!$D$11-1),Projects!$B$11*(Assumptions!$B$10+Assumptions!$B$11+Assumptions!$B$12)*0.05,0)</f>
        <v>0</v>
      </c>
      <c r="AI22" s="19" t="n">
        <f aca="false">IF(AND(Projects!$G$11="Yes",AI$3&gt;=Projects!$C$11,AI$3&lt;Projects!$C$11+Projects!$D$11),Projects!$B$11*INDEX(Curves!$B$4:$AR$4,1,AI$3-Projects!$C$11+1),0)-IF(AND(Projects!$G$11="Yes",AI$3&gt;=Projects!$C$11,AI$3&lt;Projects!$C$11+Projects!$D$11),Projects!$B$11*(Assumptions!$B$10+Assumptions!$B$11+Assumptions!$B$12)/Projects!$D$11*0.95,0)-IF(AND(Projects!$G$11="Yes",AI$3=Projects!$C$11+Projects!$D$11-1),Projects!$B$11*(Assumptions!$B$10+Assumptions!$B$11+Assumptions!$B$12)*0.05,0)</f>
        <v>0</v>
      </c>
      <c r="AJ22" s="19" t="n">
        <f aca="false">IF(AND(Projects!$G$11="Yes",AJ$3&gt;=Projects!$C$11,AJ$3&lt;Projects!$C$11+Projects!$D$11),Projects!$B$11*INDEX(Curves!$B$4:$AR$4,1,AJ$3-Projects!$C$11+1),0)-IF(AND(Projects!$G$11="Yes",AJ$3&gt;=Projects!$C$11,AJ$3&lt;Projects!$C$11+Projects!$D$11),Projects!$B$11*(Assumptions!$B$10+Assumptions!$B$11+Assumptions!$B$12)/Projects!$D$11*0.95,0)-IF(AND(Projects!$G$11="Yes",AJ$3=Projects!$C$11+Projects!$D$11-1),Projects!$B$11*(Assumptions!$B$10+Assumptions!$B$11+Assumptions!$B$12)*0.05,0)</f>
        <v>0</v>
      </c>
      <c r="AK22" s="19" t="n">
        <f aca="false">IF(AND(Projects!$G$11="Yes",AK$3&gt;=Projects!$C$11,AK$3&lt;Projects!$C$11+Projects!$D$11),Projects!$B$11*INDEX(Curves!$B$4:$AR$4,1,AK$3-Projects!$C$11+1),0)-IF(AND(Projects!$G$11="Yes",AK$3&gt;=Projects!$C$11,AK$3&lt;Projects!$C$11+Projects!$D$11),Projects!$B$11*(Assumptions!$B$10+Assumptions!$B$11+Assumptions!$B$12)/Projects!$D$11*0.95,0)-IF(AND(Projects!$G$11="Yes",AK$3=Projects!$C$11+Projects!$D$11-1),Projects!$B$11*(Assumptions!$B$10+Assumptions!$B$11+Assumptions!$B$12)*0.05,0)</f>
        <v>0</v>
      </c>
      <c r="AL22" s="19" t="n">
        <f aca="false">IF(AND(Projects!$G$11="Yes",AL$3&gt;=Projects!$C$11,AL$3&lt;Projects!$C$11+Projects!$D$11),Projects!$B$11*INDEX(Curves!$B$4:$AR$4,1,AL$3-Projects!$C$11+1),0)-IF(AND(Projects!$G$11="Yes",AL$3&gt;=Projects!$C$11,AL$3&lt;Projects!$C$11+Projects!$D$11),Projects!$B$11*(Assumptions!$B$10+Assumptions!$B$11+Assumptions!$B$12)/Projects!$D$11*0.95,0)-IF(AND(Projects!$G$11="Yes",AL$3=Projects!$C$11+Projects!$D$11-1),Projects!$B$11*(Assumptions!$B$10+Assumptions!$B$11+Assumptions!$B$12)*0.05,0)</f>
        <v>0</v>
      </c>
      <c r="AM22" s="19" t="n">
        <f aca="false">IF(AND(Projects!$G$11="Yes",AM$3&gt;=Projects!$C$11,AM$3&lt;Projects!$C$11+Projects!$D$11),Projects!$B$11*INDEX(Curves!$B$4:$AR$4,1,AM$3-Projects!$C$11+1),0)-IF(AND(Projects!$G$11="Yes",AM$3&gt;=Projects!$C$11,AM$3&lt;Projects!$C$11+Projects!$D$11),Projects!$B$11*(Assumptions!$B$10+Assumptions!$B$11+Assumptions!$B$12)/Projects!$D$11*0.95,0)-IF(AND(Projects!$G$11="Yes",AM$3=Projects!$C$11+Projects!$D$11-1),Projects!$B$11*(Assumptions!$B$10+Assumptions!$B$11+Assumptions!$B$12)*0.05,0)</f>
        <v>0</v>
      </c>
      <c r="AN22" s="19" t="n">
        <f aca="false">IF(AND(Projects!$G$11="Yes",AN$3&gt;=Projects!$C$11,AN$3&lt;Projects!$C$11+Projects!$D$11),Projects!$B$11*INDEX(Curves!$B$4:$AR$4,1,AN$3-Projects!$C$11+1),0)-IF(AND(Projects!$G$11="Yes",AN$3&gt;=Projects!$C$11,AN$3&lt;Projects!$C$11+Projects!$D$11),Projects!$B$11*(Assumptions!$B$10+Assumptions!$B$11+Assumptions!$B$12)/Projects!$D$11*0.95,0)-IF(AND(Projects!$G$11="Yes",AN$3=Projects!$C$11+Projects!$D$11-1),Projects!$B$11*(Assumptions!$B$10+Assumptions!$B$11+Assumptions!$B$12)*0.05,0)</f>
        <v>0</v>
      </c>
      <c r="AO22" s="19" t="n">
        <f aca="false">IF(AND(Projects!$G$11="Yes",AO$3&gt;=Projects!$C$11,AO$3&lt;Projects!$C$11+Projects!$D$11),Projects!$B$11*INDEX(Curves!$B$4:$AR$4,1,AO$3-Projects!$C$11+1),0)-IF(AND(Projects!$G$11="Yes",AO$3&gt;=Projects!$C$11,AO$3&lt;Projects!$C$11+Projects!$D$11),Projects!$B$11*(Assumptions!$B$10+Assumptions!$B$11+Assumptions!$B$12)/Projects!$D$11*0.95,0)-IF(AND(Projects!$G$11="Yes",AO$3=Projects!$C$11+Projects!$D$11-1),Projects!$B$11*(Assumptions!$B$10+Assumptions!$B$11+Assumptions!$B$12)*0.05,0)</f>
        <v>0</v>
      </c>
      <c r="AP22" s="19" t="n">
        <f aca="false">IF(AND(Projects!$G$11="Yes",AP$3&gt;=Projects!$C$11,AP$3&lt;Projects!$C$11+Projects!$D$11),Projects!$B$11*INDEX(Curves!$B$4:$AR$4,1,AP$3-Projects!$C$11+1),0)-IF(AND(Projects!$G$11="Yes",AP$3&gt;=Projects!$C$11,AP$3&lt;Projects!$C$11+Projects!$D$11),Projects!$B$11*(Assumptions!$B$10+Assumptions!$B$11+Assumptions!$B$12)/Projects!$D$11*0.95,0)-IF(AND(Projects!$G$11="Yes",AP$3=Projects!$C$11+Projects!$D$11-1),Projects!$B$11*(Assumptions!$B$10+Assumptions!$B$11+Assumptions!$B$12)*0.05,0)</f>
        <v>0</v>
      </c>
      <c r="AQ22" s="19" t="n">
        <f aca="false">IF(AND(Projects!$G$11="Yes",AQ$3&gt;=Projects!$C$11,AQ$3&lt;Projects!$C$11+Projects!$D$11),Projects!$B$11*INDEX(Curves!$B$4:$AR$4,1,AQ$3-Projects!$C$11+1),0)-IF(AND(Projects!$G$11="Yes",AQ$3&gt;=Projects!$C$11,AQ$3&lt;Projects!$C$11+Projects!$D$11),Projects!$B$11*(Assumptions!$B$10+Assumptions!$B$11+Assumptions!$B$12)/Projects!$D$11*0.95,0)-IF(AND(Projects!$G$11="Yes",AQ$3=Projects!$C$11+Projects!$D$11-1),Projects!$B$11*(Assumptions!$B$10+Assumptions!$B$11+Assumptions!$B$12)*0.05,0)</f>
        <v>0</v>
      </c>
      <c r="AR22" s="19" t="n">
        <f aca="false">IF(AND(Projects!$G$11="Yes",AR$3&gt;=Projects!$C$11,AR$3&lt;Projects!$C$11+Projects!$D$11),Projects!$B$11*INDEX(Curves!$B$4:$AR$4,1,AR$3-Projects!$C$11+1),0)-IF(AND(Projects!$G$11="Yes",AR$3&gt;=Projects!$C$11,AR$3&lt;Projects!$C$11+Projects!$D$11),Projects!$B$11*(Assumptions!$B$10+Assumptions!$B$11+Assumptions!$B$12)/Projects!$D$11*0.95,0)-IF(AND(Projects!$G$11="Yes",AR$3=Projects!$C$11+Projects!$D$11-1),Projects!$B$11*(Assumptions!$B$10+Assumptions!$B$11+Assumptions!$B$12)*0.05,0)</f>
        <v>0</v>
      </c>
      <c r="AS22" s="19" t="n">
        <f aca="false">IF(AND(Projects!$G$11="Yes",AS$3&gt;=Projects!$C$11,AS$3&lt;Projects!$C$11+Projects!$D$11),Projects!$B$11*INDEX(Curves!$B$4:$AR$4,1,AS$3-Projects!$C$11+1),0)-IF(AND(Projects!$G$11="Yes",AS$3&gt;=Projects!$C$11,AS$3&lt;Projects!$C$11+Projects!$D$11),Projects!$B$11*(Assumptions!$B$10+Assumptions!$B$11+Assumptions!$B$12)/Projects!$D$11*0.95,0)-IF(AND(Projects!$G$11="Yes",AS$3=Projects!$C$11+Projects!$D$11-1),Projects!$B$11*(Assumptions!$B$10+Assumptions!$B$11+Assumptions!$B$12)*0.05,0)</f>
        <v>0</v>
      </c>
      <c r="AT22" s="19" t="n">
        <f aca="false">IF(AND(Projects!$G$11="Yes",AT$3&gt;=Projects!$C$11,AT$3&lt;Projects!$C$11+Projects!$D$11),Projects!$B$11*INDEX(Curves!$B$4:$AR$4,1,AT$3-Projects!$C$11+1),0)-IF(AND(Projects!$G$11="Yes",AT$3&gt;=Projects!$C$11,AT$3&lt;Projects!$C$11+Projects!$D$11),Projects!$B$11*(Assumptions!$B$10+Assumptions!$B$11+Assumptions!$B$12)/Projects!$D$11*0.95,0)-IF(AND(Projects!$G$11="Yes",AT$3=Projects!$C$11+Projects!$D$11-1),Projects!$B$11*(Assumptions!$B$10+Assumptions!$B$11+Assumptions!$B$12)*0.05,0)</f>
        <v>0</v>
      </c>
      <c r="AU22" s="19" t="n">
        <f aca="false">IF(AND(Projects!$G$11="Yes",AU$3&gt;=Projects!$C$11,AU$3&lt;Projects!$C$11+Projects!$D$11),Projects!$B$11*INDEX(Curves!$B$4:$AR$4,1,AU$3-Projects!$C$11+1),0)-IF(AND(Projects!$G$11="Yes",AU$3&gt;=Projects!$C$11,AU$3&lt;Projects!$C$11+Projects!$D$11),Projects!$B$11*(Assumptions!$B$10+Assumptions!$B$11+Assumptions!$B$12)/Projects!$D$11*0.95,0)-IF(AND(Projects!$G$11="Yes",AU$3=Projects!$C$11+Projects!$D$11-1),Projects!$B$11*(Assumptions!$B$10+Assumptions!$B$11+Assumptions!$B$12)*0.05,0)</f>
        <v>0</v>
      </c>
      <c r="AV22" s="19" t="n">
        <f aca="false">IF(AND(Projects!$G$11="Yes",AV$3&gt;=Projects!$C$11,AV$3&lt;Projects!$C$11+Projects!$D$11),Projects!$B$11*INDEX(Curves!$B$4:$AR$4,1,AV$3-Projects!$C$11+1),0)-IF(AND(Projects!$G$11="Yes",AV$3&gt;=Projects!$C$11,AV$3&lt;Projects!$C$11+Projects!$D$11),Projects!$B$11*(Assumptions!$B$10+Assumptions!$B$11+Assumptions!$B$12)/Projects!$D$11*0.95,0)-IF(AND(Projects!$G$11="Yes",AV$3=Projects!$C$11+Projects!$D$11-1),Projects!$B$11*(Assumptions!$B$10+Assumptions!$B$11+Assumptions!$B$12)*0.05,0)</f>
        <v>0</v>
      </c>
      <c r="AW22" s="19" t="n">
        <f aca="false">IF(AND(Projects!$G$11="Yes",AW$3&gt;=Projects!$C$11,AW$3&lt;Projects!$C$11+Projects!$D$11),Projects!$B$11*INDEX(Curves!$B$4:$AR$4,1,AW$3-Projects!$C$11+1),0)-IF(AND(Projects!$G$11="Yes",AW$3&gt;=Projects!$C$11,AW$3&lt;Projects!$C$11+Projects!$D$11),Projects!$B$11*(Assumptions!$B$10+Assumptions!$B$11+Assumptions!$B$12)/Projects!$D$11*0.95,0)-IF(AND(Projects!$G$11="Yes",AW$3=Projects!$C$11+Projects!$D$11-1),Projects!$B$11*(Assumptions!$B$10+Assumptions!$B$11+Assumptions!$B$12)*0.05,0)</f>
        <v>0</v>
      </c>
      <c r="AX22" s="19" t="n">
        <f aca="false">IF(AND(Projects!$G$11="Yes",AX$3&gt;=Projects!$C$11,AX$3&lt;Projects!$C$11+Projects!$D$11),Projects!$B$11*INDEX(Curves!$B$4:$AR$4,1,AX$3-Projects!$C$11+1),0)-IF(AND(Projects!$G$11="Yes",AX$3&gt;=Projects!$C$11,AX$3&lt;Projects!$C$11+Projects!$D$11),Projects!$B$11*(Assumptions!$B$10+Assumptions!$B$11+Assumptions!$B$12)/Projects!$D$11*0.95,0)-IF(AND(Projects!$G$11="Yes",AX$3=Projects!$C$11+Projects!$D$11-1),Projects!$B$11*(Assumptions!$B$10+Assumptions!$B$11+Assumptions!$B$12)*0.05,0)</f>
        <v>0</v>
      </c>
      <c r="AY22" s="19" t="n">
        <f aca="false">IF(AND(Projects!$G$11="Yes",AY$3&gt;=Projects!$C$11,AY$3&lt;Projects!$C$11+Projects!$D$11),Projects!$B$11*INDEX(Curves!$B$4:$AR$4,1,AY$3-Projects!$C$11+1),0)-IF(AND(Projects!$G$11="Yes",AY$3&gt;=Projects!$C$11,AY$3&lt;Projects!$C$11+Projects!$D$11),Projects!$B$11*(Assumptions!$B$10+Assumptions!$B$11+Assumptions!$B$12)/Projects!$D$11*0.95,0)-IF(AND(Projects!$G$11="Yes",AY$3=Projects!$C$11+Projects!$D$11-1),Projects!$B$11*(Assumptions!$B$10+Assumptions!$B$11+Assumptions!$B$12)*0.05,0)</f>
        <v>0</v>
      </c>
      <c r="AZ22" s="19" t="n">
        <f aca="false">IF(AND(Projects!$G$11="Yes",AZ$3&gt;=Projects!$C$11,AZ$3&lt;Projects!$C$11+Projects!$D$11),Projects!$B$11*INDEX(Curves!$B$4:$AR$4,1,AZ$3-Projects!$C$11+1),0)-IF(AND(Projects!$G$11="Yes",AZ$3&gt;=Projects!$C$11,AZ$3&lt;Projects!$C$11+Projects!$D$11),Projects!$B$11*(Assumptions!$B$10+Assumptions!$B$11+Assumptions!$B$12)/Projects!$D$11*0.95,0)-IF(AND(Projects!$G$11="Yes",AZ$3=Projects!$C$11+Projects!$D$11-1),Projects!$B$11*(Assumptions!$B$10+Assumptions!$B$11+Assumptions!$B$12)*0.05,0)</f>
        <v>0</v>
      </c>
      <c r="BA22" s="19" t="n">
        <f aca="false">IF(AND(Projects!$G$11="Yes",BA$3&gt;=Projects!$C$11,BA$3&lt;Projects!$C$11+Projects!$D$11),Projects!$B$11*INDEX(Curves!$B$4:$AR$4,1,BA$3-Projects!$C$11+1),0)-IF(AND(Projects!$G$11="Yes",BA$3&gt;=Projects!$C$11,BA$3&lt;Projects!$C$11+Projects!$D$11),Projects!$B$11*(Assumptions!$B$10+Assumptions!$B$11+Assumptions!$B$12)/Projects!$D$11*0.95,0)-IF(AND(Projects!$G$11="Yes",BA$3=Projects!$C$11+Projects!$D$11-1),Projects!$B$11*(Assumptions!$B$10+Assumptions!$B$11+Assumptions!$B$12)*0.05,0)</f>
        <v>0</v>
      </c>
      <c r="BB22" s="19" t="n">
        <f aca="false">IF(AND(Projects!$G$11="Yes",BB$3&gt;=Projects!$C$11,BB$3&lt;Projects!$C$11+Projects!$D$11),Projects!$B$11*INDEX(Curves!$B$4:$AR$4,1,BB$3-Projects!$C$11+1),0)-IF(AND(Projects!$G$11="Yes",BB$3&gt;=Projects!$C$11,BB$3&lt;Projects!$C$11+Projects!$D$11),Projects!$B$11*(Assumptions!$B$10+Assumptions!$B$11+Assumptions!$B$12)/Projects!$D$11*0.95,0)-IF(AND(Projects!$G$11="Yes",BB$3=Projects!$C$11+Projects!$D$11-1),Projects!$B$11*(Assumptions!$B$10+Assumptions!$B$11+Assumptions!$B$12)*0.05,0)</f>
        <v>0</v>
      </c>
      <c r="BC22" s="19" t="n">
        <f aca="false">IF(AND(Projects!$G$11="Yes",BC$3&gt;=Projects!$C$11,BC$3&lt;Projects!$C$11+Projects!$D$11),Projects!$B$11*INDEX(Curves!$B$4:$AR$4,1,BC$3-Projects!$C$11+1),0)-IF(AND(Projects!$G$11="Yes",BC$3&gt;=Projects!$C$11,BC$3&lt;Projects!$C$11+Projects!$D$11),Projects!$B$11*(Assumptions!$B$10+Assumptions!$B$11+Assumptions!$B$12)/Projects!$D$11*0.95,0)-IF(AND(Projects!$G$11="Yes",BC$3=Projects!$C$11+Projects!$D$11-1),Projects!$B$11*(Assumptions!$B$10+Assumptions!$B$11+Assumptions!$B$12)*0.05,0)</f>
        <v>0</v>
      </c>
      <c r="BD22" s="19" t="n">
        <f aca="false">IF(AND(Projects!$G$11="Yes",BD$3&gt;=Projects!$C$11,BD$3&lt;Projects!$C$11+Projects!$D$11),Projects!$B$11*INDEX(Curves!$B$4:$AR$4,1,BD$3-Projects!$C$11+1),0)-IF(AND(Projects!$G$11="Yes",BD$3&gt;=Projects!$C$11,BD$3&lt;Projects!$C$11+Projects!$D$11),Projects!$B$11*(Assumptions!$B$10+Assumptions!$B$11+Assumptions!$B$12)/Projects!$D$11*0.95,0)-IF(AND(Projects!$G$11="Yes",BD$3=Projects!$C$11+Projects!$D$11-1),Projects!$B$11*(Assumptions!$B$10+Assumptions!$B$11+Assumptions!$B$12)*0.05,0)</f>
        <v>0</v>
      </c>
      <c r="BE22" s="19" t="n">
        <f aca="false">IF(AND(Projects!$G$11="Yes",BE$3&gt;=Projects!$C$11,BE$3&lt;Projects!$C$11+Projects!$D$11),Projects!$B$11*INDEX(Curves!$B$4:$AR$4,1,BE$3-Projects!$C$11+1),0)-IF(AND(Projects!$G$11="Yes",BE$3&gt;=Projects!$C$11,BE$3&lt;Projects!$C$11+Projects!$D$11),Projects!$B$11*(Assumptions!$B$10+Assumptions!$B$11+Assumptions!$B$12)/Projects!$D$11*0.95,0)-IF(AND(Projects!$G$11="Yes",BE$3=Projects!$C$11+Projects!$D$11-1),Projects!$B$11*(Assumptions!$B$10+Assumptions!$B$11+Assumptions!$B$12)*0.05,0)</f>
        <v>0</v>
      </c>
      <c r="BF22" s="19" t="n">
        <f aca="false">IF(AND(Projects!$G$11="Yes",BF$3&gt;=Projects!$C$11,BF$3&lt;Projects!$C$11+Projects!$D$11),Projects!$B$11*INDEX(Curves!$B$4:$AR$4,1,BF$3-Projects!$C$11+1),0)-IF(AND(Projects!$G$11="Yes",BF$3&gt;=Projects!$C$11,BF$3&lt;Projects!$C$11+Projects!$D$11),Projects!$B$11*(Assumptions!$B$10+Assumptions!$B$11+Assumptions!$B$12)/Projects!$D$11*0.95,0)-IF(AND(Projects!$G$11="Yes",BF$3=Projects!$C$11+Projects!$D$11-1),Projects!$B$11*(Assumptions!$B$10+Assumptions!$B$11+Assumptions!$B$12)*0.05,0)</f>
        <v>0</v>
      </c>
      <c r="BG22" s="19" t="n">
        <f aca="false">IF(AND(Projects!$G$11="Yes",BG$3&gt;=Projects!$C$11,BG$3&lt;Projects!$C$11+Projects!$D$11),Projects!$B$11*INDEX(Curves!$B$4:$AR$4,1,BG$3-Projects!$C$11+1),0)-IF(AND(Projects!$G$11="Yes",BG$3&gt;=Projects!$C$11,BG$3&lt;Projects!$C$11+Projects!$D$11),Projects!$B$11*(Assumptions!$B$10+Assumptions!$B$11+Assumptions!$B$12)/Projects!$D$11*0.95,0)-IF(AND(Projects!$G$11="Yes",BG$3=Projects!$C$11+Projects!$D$11-1),Projects!$B$11*(Assumptions!$B$10+Assumptions!$B$11+Assumptions!$B$12)*0.05,0)</f>
        <v>0</v>
      </c>
      <c r="BH22" s="19" t="n">
        <f aca="false">IF(AND(Projects!$G$11="Yes",BH$3&gt;=Projects!$C$11,BH$3&lt;Projects!$C$11+Projects!$D$11),Projects!$B$11*INDEX(Curves!$B$4:$AR$4,1,BH$3-Projects!$C$11+1),0)-IF(AND(Projects!$G$11="Yes",BH$3&gt;=Projects!$C$11,BH$3&lt;Projects!$C$11+Projects!$D$11),Projects!$B$11*(Assumptions!$B$10+Assumptions!$B$11+Assumptions!$B$12)/Projects!$D$11*0.95,0)-IF(AND(Projects!$G$11="Yes",BH$3=Projects!$C$11+Projects!$D$11-1),Projects!$B$11*(Assumptions!$B$10+Assumptions!$B$11+Assumptions!$B$12)*0.05,0)</f>
        <v>0</v>
      </c>
      <c r="BI22" s="19" t="n">
        <f aca="false">IF(AND(Projects!$G$11="Yes",BI$3&gt;=Projects!$C$11,BI$3&lt;Projects!$C$11+Projects!$D$11),Projects!$B$11*INDEX(Curves!$B$4:$AR$4,1,BI$3-Projects!$C$11+1),0)-IF(AND(Projects!$G$11="Yes",BI$3&gt;=Projects!$C$11,BI$3&lt;Projects!$C$11+Projects!$D$11),Projects!$B$11*(Assumptions!$B$10+Assumptions!$B$11+Assumptions!$B$12)/Projects!$D$11*0.95,0)-IF(AND(Projects!$G$11="Yes",BI$3=Projects!$C$11+Projects!$D$11-1),Projects!$B$11*(Assumptions!$B$10+Assumptions!$B$11+Assumptions!$B$12)*0.05,0)</f>
        <v>0</v>
      </c>
      <c r="BJ22" s="19" t="n">
        <f aca="false">IF(AND(Projects!$G$11="Yes",BJ$3&gt;=Projects!$C$11,BJ$3&lt;Projects!$C$11+Projects!$D$11),Projects!$B$11*INDEX(Curves!$B$4:$AR$4,1,BJ$3-Projects!$C$11+1),0)-IF(AND(Projects!$G$11="Yes",BJ$3&gt;=Projects!$C$11,BJ$3&lt;Projects!$C$11+Projects!$D$11),Projects!$B$11*(Assumptions!$B$10+Assumptions!$B$11+Assumptions!$B$12)/Projects!$D$11*0.95,0)-IF(AND(Projects!$G$11="Yes",BJ$3=Projects!$C$11+Projects!$D$11-1),Projects!$B$11*(Assumptions!$B$10+Assumptions!$B$11+Assumptions!$B$12)*0.05,0)</f>
        <v>0</v>
      </c>
      <c r="BK22" s="19" t="n">
        <f aca="false">IF(AND(Projects!$G$11="Yes",BK$3&gt;=Projects!$C$11,BK$3&lt;Projects!$C$11+Projects!$D$11),Projects!$B$11*INDEX(Curves!$B$4:$AR$4,1,BK$3-Projects!$C$11+1),0)-IF(AND(Projects!$G$11="Yes",BK$3&gt;=Projects!$C$11,BK$3&lt;Projects!$C$11+Projects!$D$11),Projects!$B$11*(Assumptions!$B$10+Assumptions!$B$11+Assumptions!$B$12)/Projects!$D$11*0.95,0)-IF(AND(Projects!$G$11="Yes",BK$3=Projects!$C$11+Projects!$D$11-1),Projects!$B$11*(Assumptions!$B$10+Assumptions!$B$11+Assumptions!$B$12)*0.05,0)</f>
        <v>0</v>
      </c>
      <c r="BL22" s="19" t="n">
        <f aca="false">IF(AND(Projects!$G$11="Yes",BL$3&gt;=Projects!$C$11,BL$3&lt;Projects!$C$11+Projects!$D$11),Projects!$B$11*INDEX(Curves!$B$4:$AR$4,1,BL$3-Projects!$C$11+1),0)-IF(AND(Projects!$G$11="Yes",BL$3&gt;=Projects!$C$11,BL$3&lt;Projects!$C$11+Projects!$D$11),Projects!$B$11*(Assumptions!$B$10+Assumptions!$B$11+Assumptions!$B$12)/Projects!$D$11*0.95,0)-IF(AND(Projects!$G$11="Yes",BL$3=Projects!$C$11+Projects!$D$11-1),Projects!$B$11*(Assumptions!$B$10+Assumptions!$B$11+Assumptions!$B$12)*0.05,0)</f>
        <v>0</v>
      </c>
      <c r="BM22" s="19" t="n">
        <f aca="false">IF(AND(Projects!$G$11="Yes",BM$3&gt;=Projects!$C$11,BM$3&lt;Projects!$C$11+Projects!$D$11),Projects!$B$11*INDEX(Curves!$B$4:$AR$4,1,BM$3-Projects!$C$11+1),0)-IF(AND(Projects!$G$11="Yes",BM$3&gt;=Projects!$C$11,BM$3&lt;Projects!$C$11+Projects!$D$11),Projects!$B$11*(Assumptions!$B$10+Assumptions!$B$11+Assumptions!$B$12)/Projects!$D$11*0.95,0)-IF(AND(Projects!$G$11="Yes",BM$3=Projects!$C$11+Projects!$D$11-1),Projects!$B$11*(Assumptions!$B$10+Assumptions!$B$11+Assumptions!$B$12)*0.05,0)</f>
        <v>0</v>
      </c>
      <c r="BN22" s="19" t="n">
        <f aca="false">IF(AND(Projects!$G$11="Yes",BN$3&gt;=Projects!$C$11,BN$3&lt;Projects!$C$11+Projects!$D$11),Projects!$B$11*INDEX(Curves!$B$4:$AR$4,1,BN$3-Projects!$C$11+1),0)-IF(AND(Projects!$G$11="Yes",BN$3&gt;=Projects!$C$11,BN$3&lt;Projects!$C$11+Projects!$D$11),Projects!$B$11*(Assumptions!$B$10+Assumptions!$B$11+Assumptions!$B$12)/Projects!$D$11*0.95,0)-IF(AND(Projects!$G$11="Yes",BN$3=Projects!$C$11+Projects!$D$11-1),Projects!$B$11*(Assumptions!$B$10+Assumptions!$B$11+Assumptions!$B$12)*0.05,0)</f>
        <v>0</v>
      </c>
      <c r="BO22" s="19" t="n">
        <f aca="false">IF(AND(Projects!$G$11="Yes",BO$3&gt;=Projects!$C$11,BO$3&lt;Projects!$C$11+Projects!$D$11),Projects!$B$11*INDEX(Curves!$B$4:$AR$4,1,BO$3-Projects!$C$11+1),0)-IF(AND(Projects!$G$11="Yes",BO$3&gt;=Projects!$C$11,BO$3&lt;Projects!$C$11+Projects!$D$11),Projects!$B$11*(Assumptions!$B$10+Assumptions!$B$11+Assumptions!$B$12)/Projects!$D$11*0.95,0)-IF(AND(Projects!$G$11="Yes",BO$3=Projects!$C$11+Projects!$D$11-1),Projects!$B$11*(Assumptions!$B$10+Assumptions!$B$11+Assumptions!$B$12)*0.05,0)</f>
        <v>0</v>
      </c>
      <c r="BP22" s="19" t="n">
        <f aca="false">IF(AND(Projects!$G$11="Yes",BP$3&gt;=Projects!$C$11,BP$3&lt;Projects!$C$11+Projects!$D$11),Projects!$B$11*INDEX(Curves!$B$4:$AR$4,1,BP$3-Projects!$C$11+1),0)-IF(AND(Projects!$G$11="Yes",BP$3&gt;=Projects!$C$11,BP$3&lt;Projects!$C$11+Projects!$D$11),Projects!$B$11*(Assumptions!$B$10+Assumptions!$B$11+Assumptions!$B$12)/Projects!$D$11*0.95,0)-IF(AND(Projects!$G$11="Yes",BP$3=Projects!$C$11+Projects!$D$11-1),Projects!$B$11*(Assumptions!$B$10+Assumptions!$B$11+Assumptions!$B$12)*0.05,0)</f>
        <v>0</v>
      </c>
      <c r="BQ22" s="19" t="n">
        <f aca="false">IF(AND(Projects!$G$11="Yes",BQ$3&gt;=Projects!$C$11,BQ$3&lt;Projects!$C$11+Projects!$D$11),Projects!$B$11*INDEX(Curves!$B$4:$AR$4,1,BQ$3-Projects!$C$11+1),0)-IF(AND(Projects!$G$11="Yes",BQ$3&gt;=Projects!$C$11,BQ$3&lt;Projects!$C$11+Projects!$D$11),Projects!$B$11*(Assumptions!$B$10+Assumptions!$B$11+Assumptions!$B$12)/Projects!$D$11*0.95,0)-IF(AND(Projects!$G$11="Yes",BQ$3=Projects!$C$11+Projects!$D$11-1),Projects!$B$11*(Assumptions!$B$10+Assumptions!$B$11+Assumptions!$B$12)*0.05,0)</f>
        <v>0</v>
      </c>
      <c r="BR22" s="19" t="n">
        <f aca="false">IF(AND(Projects!$G$11="Yes",BR$3&gt;=Projects!$C$11,BR$3&lt;Projects!$C$11+Projects!$D$11),Projects!$B$11*INDEX(Curves!$B$4:$AR$4,1,BR$3-Projects!$C$11+1),0)-IF(AND(Projects!$G$11="Yes",BR$3&gt;=Projects!$C$11,BR$3&lt;Projects!$C$11+Projects!$D$11),Projects!$B$11*(Assumptions!$B$10+Assumptions!$B$11+Assumptions!$B$12)/Projects!$D$11*0.95,0)-IF(AND(Projects!$G$11="Yes",BR$3=Projects!$C$11+Projects!$D$11-1),Projects!$B$11*(Assumptions!$B$10+Assumptions!$B$11+Assumptions!$B$12)*0.05,0)</f>
        <v>0</v>
      </c>
      <c r="BS22" s="19" t="n">
        <f aca="false">IF(AND(Projects!$G$11="Yes",BS$3&gt;=Projects!$C$11,BS$3&lt;Projects!$C$11+Projects!$D$11),Projects!$B$11*INDEX(Curves!$B$4:$AR$4,1,BS$3-Projects!$C$11+1),0)-IF(AND(Projects!$G$11="Yes",BS$3&gt;=Projects!$C$11,BS$3&lt;Projects!$C$11+Projects!$D$11),Projects!$B$11*(Assumptions!$B$10+Assumptions!$B$11+Assumptions!$B$12)/Projects!$D$11*0.95,0)-IF(AND(Projects!$G$11="Yes",BS$3=Projects!$C$11+Projects!$D$11-1),Projects!$B$11*(Assumptions!$B$10+Assumptions!$B$11+Assumptions!$B$12)*0.05,0)</f>
        <v>0</v>
      </c>
      <c r="BT22" s="19" t="n">
        <f aca="false">IF(AND(Projects!$G$11="Yes",BT$3&gt;=Projects!$C$11,BT$3&lt;Projects!$C$11+Projects!$D$11),Projects!$B$11*INDEX(Curves!$B$4:$AR$4,1,BT$3-Projects!$C$11+1),0)-IF(AND(Projects!$G$11="Yes",BT$3&gt;=Projects!$C$11,BT$3&lt;Projects!$C$11+Projects!$D$11),Projects!$B$11*(Assumptions!$B$10+Assumptions!$B$11+Assumptions!$B$12)/Projects!$D$11*0.95,0)-IF(AND(Projects!$G$11="Yes",BT$3=Projects!$C$11+Projects!$D$11-1),Projects!$B$11*(Assumptions!$B$10+Assumptions!$B$11+Assumptions!$B$12)*0.05,0)</f>
        <v>0</v>
      </c>
      <c r="BU22" s="19" t="n">
        <f aca="false">IF(AND(Projects!$G$11="Yes",BU$3&gt;=Projects!$C$11,BU$3&lt;Projects!$C$11+Projects!$D$11),Projects!$B$11*INDEX(Curves!$B$4:$AR$4,1,BU$3-Projects!$C$11+1),0)-IF(AND(Projects!$G$11="Yes",BU$3&gt;=Projects!$C$11,BU$3&lt;Projects!$C$11+Projects!$D$11),Projects!$B$11*(Assumptions!$B$10+Assumptions!$B$11+Assumptions!$B$12)/Projects!$D$11*0.95,0)-IF(AND(Projects!$G$11="Yes",BU$3=Projects!$C$11+Projects!$D$11-1),Projects!$B$11*(Assumptions!$B$10+Assumptions!$B$11+Assumptions!$B$12)*0.05,0)</f>
        <v>0</v>
      </c>
      <c r="BV22" s="19" t="n">
        <f aca="false">IF(AND(Projects!$G$11="Yes",BV$3&gt;=Projects!$C$11,BV$3&lt;Projects!$C$11+Projects!$D$11),Projects!$B$11*INDEX(Curves!$B$4:$AR$4,1,BV$3-Projects!$C$11+1),0)-IF(AND(Projects!$G$11="Yes",BV$3&gt;=Projects!$C$11,BV$3&lt;Projects!$C$11+Projects!$D$11),Projects!$B$11*(Assumptions!$B$10+Assumptions!$B$11+Assumptions!$B$12)/Projects!$D$11*0.95,0)-IF(AND(Projects!$G$11="Yes",BV$3=Projects!$C$11+Projects!$D$11-1),Projects!$B$11*(Assumptions!$B$10+Assumptions!$B$11+Assumptions!$B$12)*0.05,0)</f>
        <v>0</v>
      </c>
      <c r="BW22" s="19" t="n">
        <f aca="false">IF(AND(Projects!$G$11="Yes",BW$3&gt;=Projects!$C$11,BW$3&lt;Projects!$C$11+Projects!$D$11),Projects!$B$11*INDEX(Curves!$B$4:$AR$4,1,BW$3-Projects!$C$11+1),0)-IF(AND(Projects!$G$11="Yes",BW$3&gt;=Projects!$C$11,BW$3&lt;Projects!$C$11+Projects!$D$11),Projects!$B$11*(Assumptions!$B$10+Assumptions!$B$11+Assumptions!$B$12)/Projects!$D$11*0.95,0)-IF(AND(Projects!$G$11="Yes",BW$3=Projects!$C$11+Projects!$D$11-1),Projects!$B$11*(Assumptions!$B$10+Assumptions!$B$11+Assumptions!$B$12)*0.05,0)</f>
        <v>0</v>
      </c>
      <c r="BX22" s="19" t="n">
        <f aca="false">IF(AND(Projects!$G$11="Yes",BX$3&gt;=Projects!$C$11,BX$3&lt;Projects!$C$11+Projects!$D$11),Projects!$B$11*INDEX(Curves!$B$4:$AR$4,1,BX$3-Projects!$C$11+1),0)-IF(AND(Projects!$G$11="Yes",BX$3&gt;=Projects!$C$11,BX$3&lt;Projects!$C$11+Projects!$D$11),Projects!$B$11*(Assumptions!$B$10+Assumptions!$B$11+Assumptions!$B$12)/Projects!$D$11*0.95,0)-IF(AND(Projects!$G$11="Yes",BX$3=Projects!$C$11+Projects!$D$11-1),Projects!$B$11*(Assumptions!$B$10+Assumptions!$B$11+Assumptions!$B$12)*0.05,0)</f>
        <v>0</v>
      </c>
      <c r="BY22" s="19" t="n">
        <f aca="false">IF(AND(Projects!$G$11="Yes",BY$3&gt;=Projects!$C$11,BY$3&lt;Projects!$C$11+Projects!$D$11),Projects!$B$11*INDEX(Curves!$B$4:$AR$4,1,BY$3-Projects!$C$11+1),0)-IF(AND(Projects!$G$11="Yes",BY$3&gt;=Projects!$C$11,BY$3&lt;Projects!$C$11+Projects!$D$11),Projects!$B$11*(Assumptions!$B$10+Assumptions!$B$11+Assumptions!$B$12)/Projects!$D$11*0.95,0)-IF(AND(Projects!$G$11="Yes",BY$3=Projects!$C$11+Projects!$D$11-1),Projects!$B$11*(Assumptions!$B$10+Assumptions!$B$11+Assumptions!$B$12)*0.05,0)</f>
        <v>0</v>
      </c>
      <c r="BZ22" s="19" t="n">
        <f aca="false">IF(AND(Projects!$G$11="Yes",BZ$3&gt;=Projects!$C$11,BZ$3&lt;Projects!$C$11+Projects!$D$11),Projects!$B$11*INDEX(Curves!$B$4:$AR$4,1,BZ$3-Projects!$C$11+1),0)-IF(AND(Projects!$G$11="Yes",BZ$3&gt;=Projects!$C$11,BZ$3&lt;Projects!$C$11+Projects!$D$11),Projects!$B$11*(Assumptions!$B$10+Assumptions!$B$11+Assumptions!$B$12)/Projects!$D$11*0.95,0)-IF(AND(Projects!$G$11="Yes",BZ$3=Projects!$C$11+Projects!$D$11-1),Projects!$B$11*(Assumptions!$B$10+Assumptions!$B$11+Assumptions!$B$12)*0.05,0)</f>
        <v>0</v>
      </c>
      <c r="CA22" s="19" t="n">
        <f aca="false">IF(AND(Projects!$G$11="Yes",CA$3&gt;=Projects!$C$11,CA$3&lt;Projects!$C$11+Projects!$D$11),Projects!$B$11*INDEX(Curves!$B$4:$AR$4,1,CA$3-Projects!$C$11+1),0)-IF(AND(Projects!$G$11="Yes",CA$3&gt;=Projects!$C$11,CA$3&lt;Projects!$C$11+Projects!$D$11),Projects!$B$11*(Assumptions!$B$10+Assumptions!$B$11+Assumptions!$B$12)/Projects!$D$11*0.95,0)-IF(AND(Projects!$G$11="Yes",CA$3=Projects!$C$11+Projects!$D$11-1),Projects!$B$11*(Assumptions!$B$10+Assumptions!$B$11+Assumptions!$B$12)*0.05,0)</f>
        <v>0</v>
      </c>
      <c r="CB22" s="19" t="n">
        <f aca="false">IF(AND(Projects!$G$11="Yes",CB$3&gt;=Projects!$C$11,CB$3&lt;Projects!$C$11+Projects!$D$11),Projects!$B$11*INDEX(Curves!$B$4:$AR$4,1,CB$3-Projects!$C$11+1),0)-IF(AND(Projects!$G$11="Yes",CB$3&gt;=Projects!$C$11,CB$3&lt;Projects!$C$11+Projects!$D$11),Projects!$B$11*(Assumptions!$B$10+Assumptions!$B$11+Assumptions!$B$12)/Projects!$D$11*0.95,0)-IF(AND(Projects!$G$11="Yes",CB$3=Projects!$C$11+Projects!$D$11-1),Projects!$B$11*(Assumptions!$B$10+Assumptions!$B$11+Assumptions!$B$12)*0.05,0)</f>
        <v>0</v>
      </c>
      <c r="CC22" s="19" t="n">
        <f aca="false">IF(AND(Projects!$G$11="Yes",CC$3&gt;=Projects!$C$11,CC$3&lt;Projects!$C$11+Projects!$D$11),Projects!$B$11*INDEX(Curves!$B$4:$AR$4,1,CC$3-Projects!$C$11+1),0)-IF(AND(Projects!$G$11="Yes",CC$3&gt;=Projects!$C$11,CC$3&lt;Projects!$C$11+Projects!$D$11),Projects!$B$11*(Assumptions!$B$10+Assumptions!$B$11+Assumptions!$B$12)/Projects!$D$11*0.95,0)-IF(AND(Projects!$G$11="Yes",CC$3=Projects!$C$11+Projects!$D$11-1),Projects!$B$11*(Assumptions!$B$10+Assumptions!$B$11+Assumptions!$B$12)*0.05,0)</f>
        <v>0</v>
      </c>
      <c r="CD22" s="19" t="n">
        <f aca="false">IF(AND(Projects!$G$11="Yes",CD$3&gt;=Projects!$C$11,CD$3&lt;Projects!$C$11+Projects!$D$11),Projects!$B$11*INDEX(Curves!$B$4:$AR$4,1,CD$3-Projects!$C$11+1),0)-IF(AND(Projects!$G$11="Yes",CD$3&gt;=Projects!$C$11,CD$3&lt;Projects!$C$11+Projects!$D$11),Projects!$B$11*(Assumptions!$B$10+Assumptions!$B$11+Assumptions!$B$12)/Projects!$D$11*0.95,0)-IF(AND(Projects!$G$11="Yes",CD$3=Projects!$C$11+Projects!$D$11-1),Projects!$B$11*(Assumptions!$B$10+Assumptions!$B$11+Assumptions!$B$12)*0.05,0)</f>
        <v>0</v>
      </c>
      <c r="CE22" s="19" t="n">
        <f aca="false">IF(AND(Projects!$G$11="Yes",CE$3&gt;=Projects!$C$11,CE$3&lt;Projects!$C$11+Projects!$D$11),Projects!$B$11*INDEX(Curves!$B$4:$AR$4,1,CE$3-Projects!$C$11+1),0)-IF(AND(Projects!$G$11="Yes",CE$3&gt;=Projects!$C$11,CE$3&lt;Projects!$C$11+Projects!$D$11),Projects!$B$11*(Assumptions!$B$10+Assumptions!$B$11+Assumptions!$B$12)/Projects!$D$11*0.95,0)-IF(AND(Projects!$G$11="Yes",CE$3=Projects!$C$11+Projects!$D$11-1),Projects!$B$11*(Assumptions!$B$10+Assumptions!$B$11+Assumptions!$B$12)*0.05,0)</f>
        <v>0</v>
      </c>
      <c r="CF22" s="19" t="n">
        <f aca="false">IF(AND(Projects!$G$11="Yes",CF$3&gt;=Projects!$C$11,CF$3&lt;Projects!$C$11+Projects!$D$11),Projects!$B$11*INDEX(Curves!$B$4:$AR$4,1,CF$3-Projects!$C$11+1),0)-IF(AND(Projects!$G$11="Yes",CF$3&gt;=Projects!$C$11,CF$3&lt;Projects!$C$11+Projects!$D$11),Projects!$B$11*(Assumptions!$B$10+Assumptions!$B$11+Assumptions!$B$12)/Projects!$D$11*0.95,0)-IF(AND(Projects!$G$11="Yes",CF$3=Projects!$C$11+Projects!$D$11-1),Projects!$B$11*(Assumptions!$B$10+Assumptions!$B$11+Assumptions!$B$12)*0.05,0)</f>
        <v>0</v>
      </c>
      <c r="CG22" s="19" t="n">
        <f aca="false">IF(AND(Projects!$G$11="Yes",CG$3&gt;=Projects!$C$11,CG$3&lt;Projects!$C$11+Projects!$D$11),Projects!$B$11*INDEX(Curves!$B$4:$AR$4,1,CG$3-Projects!$C$11+1),0)-IF(AND(Projects!$G$11="Yes",CG$3&gt;=Projects!$C$11,CG$3&lt;Projects!$C$11+Projects!$D$11),Projects!$B$11*(Assumptions!$B$10+Assumptions!$B$11+Assumptions!$B$12)/Projects!$D$11*0.95,0)-IF(AND(Projects!$G$11="Yes",CG$3=Projects!$C$11+Projects!$D$11-1),Projects!$B$11*(Assumptions!$B$10+Assumptions!$B$11+Assumptions!$B$12)*0.05,0)</f>
        <v>0</v>
      </c>
      <c r="CH22" s="19" t="n">
        <f aca="false">IF(AND(Projects!$G$11="Yes",CH$3&gt;=Projects!$C$11,CH$3&lt;Projects!$C$11+Projects!$D$11),Projects!$B$11*INDEX(Curves!$B$4:$AR$4,1,CH$3-Projects!$C$11+1),0)-IF(AND(Projects!$G$11="Yes",CH$3&gt;=Projects!$C$11,CH$3&lt;Projects!$C$11+Projects!$D$11),Projects!$B$11*(Assumptions!$B$10+Assumptions!$B$11+Assumptions!$B$12)/Projects!$D$11*0.95,0)-IF(AND(Projects!$G$11="Yes",CH$3=Projects!$C$11+Projects!$D$11-1),Projects!$B$11*(Assumptions!$B$10+Assumptions!$B$11+Assumptions!$B$12)*0.05,0)</f>
        <v>0</v>
      </c>
      <c r="CI22" s="19" t="n">
        <f aca="false">IF(AND(Projects!$G$11="Yes",CI$3&gt;=Projects!$C$11,CI$3&lt;Projects!$C$11+Projects!$D$11),Projects!$B$11*INDEX(Curves!$B$4:$AR$4,1,CI$3-Projects!$C$11+1),0)-IF(AND(Projects!$G$11="Yes",CI$3&gt;=Projects!$C$11,CI$3&lt;Projects!$C$11+Projects!$D$11),Projects!$B$11*(Assumptions!$B$10+Assumptions!$B$11+Assumptions!$B$12)/Projects!$D$11*0.95,0)-IF(AND(Projects!$G$11="Yes",CI$3=Projects!$C$11+Projects!$D$11-1),Projects!$B$11*(Assumptions!$B$10+Assumptions!$B$11+Assumptions!$B$12)*0.05,0)</f>
        <v>0</v>
      </c>
      <c r="CJ22" s="19" t="n">
        <f aca="false">IF(AND(Projects!$G$11="Yes",CJ$3&gt;=Projects!$C$11,CJ$3&lt;Projects!$C$11+Projects!$D$11),Projects!$B$11*INDEX(Curves!$B$4:$AR$4,1,CJ$3-Projects!$C$11+1),0)-IF(AND(Projects!$G$11="Yes",CJ$3&gt;=Projects!$C$11,CJ$3&lt;Projects!$C$11+Projects!$D$11),Projects!$B$11*(Assumptions!$B$10+Assumptions!$B$11+Assumptions!$B$12)/Projects!$D$11*0.95,0)-IF(AND(Projects!$G$11="Yes",CJ$3=Projects!$C$11+Projects!$D$11-1),Projects!$B$11*(Assumptions!$B$10+Assumptions!$B$11+Assumptions!$B$12)*0.05,0)</f>
        <v>0</v>
      </c>
      <c r="CK22" s="19" t="n">
        <f aca="false">IF(AND(Projects!$G$11="Yes",CK$3&gt;=Projects!$C$11,CK$3&lt;Projects!$C$11+Projects!$D$11),Projects!$B$11*INDEX(Curves!$B$4:$AR$4,1,CK$3-Projects!$C$11+1),0)-IF(AND(Projects!$G$11="Yes",CK$3&gt;=Projects!$C$11,CK$3&lt;Projects!$C$11+Projects!$D$11),Projects!$B$11*(Assumptions!$B$10+Assumptions!$B$11+Assumptions!$B$12)/Projects!$D$11*0.95,0)-IF(AND(Projects!$G$11="Yes",CK$3=Projects!$C$11+Projects!$D$11-1),Projects!$B$11*(Assumptions!$B$10+Assumptions!$B$11+Assumptions!$B$12)*0.05,0)</f>
        <v>0</v>
      </c>
      <c r="CL22" s="19" t="n">
        <f aca="false">IF(AND(Projects!$G$11="Yes",CL$3&gt;=Projects!$C$11,CL$3&lt;Projects!$C$11+Projects!$D$11),Projects!$B$11*INDEX(Curves!$B$4:$AR$4,1,CL$3-Projects!$C$11+1),0)-IF(AND(Projects!$G$11="Yes",CL$3&gt;=Projects!$C$11,CL$3&lt;Projects!$C$11+Projects!$D$11),Projects!$B$11*(Assumptions!$B$10+Assumptions!$B$11+Assumptions!$B$12)/Projects!$D$11*0.95,0)-IF(AND(Projects!$G$11="Yes",CL$3=Projects!$C$11+Projects!$D$11-1),Projects!$B$11*(Assumptions!$B$10+Assumptions!$B$11+Assumptions!$B$12)*0.05,0)</f>
        <v>0</v>
      </c>
      <c r="CM22" s="19" t="n">
        <f aca="false">IF(AND(Projects!$G$11="Yes",CM$3&gt;=Projects!$C$11,CM$3&lt;Projects!$C$11+Projects!$D$11),Projects!$B$11*INDEX(Curves!$B$4:$AR$4,1,CM$3-Projects!$C$11+1),0)-IF(AND(Projects!$G$11="Yes",CM$3&gt;=Projects!$C$11,CM$3&lt;Projects!$C$11+Projects!$D$11),Projects!$B$11*(Assumptions!$B$10+Assumptions!$B$11+Assumptions!$B$12)/Projects!$D$11*0.95,0)-IF(AND(Projects!$G$11="Yes",CM$3=Projects!$C$11+Projects!$D$11-1),Projects!$B$11*(Assumptions!$B$10+Assumptions!$B$11+Assumptions!$B$12)*0.05,0)</f>
        <v>0</v>
      </c>
      <c r="CN22" s="19" t="n">
        <f aca="false">IF(AND(Projects!$G$11="Yes",CN$3&gt;=Projects!$C$11,CN$3&lt;Projects!$C$11+Projects!$D$11),Projects!$B$11*INDEX(Curves!$B$4:$AR$4,1,CN$3-Projects!$C$11+1),0)-IF(AND(Projects!$G$11="Yes",CN$3&gt;=Projects!$C$11,CN$3&lt;Projects!$C$11+Projects!$D$11),Projects!$B$11*(Assumptions!$B$10+Assumptions!$B$11+Assumptions!$B$12)/Projects!$D$11*0.95,0)-IF(AND(Projects!$G$11="Yes",CN$3=Projects!$C$11+Projects!$D$11-1),Projects!$B$11*(Assumptions!$B$10+Assumptions!$B$11+Assumptions!$B$12)*0.05,0)</f>
        <v>0</v>
      </c>
      <c r="CO22" s="19" t="n">
        <f aca="false">IF(AND(Projects!$G$11="Yes",CO$3&gt;=Projects!$C$11,CO$3&lt;Projects!$C$11+Projects!$D$11),Projects!$B$11*INDEX(Curves!$B$4:$AR$4,1,CO$3-Projects!$C$11+1),0)-IF(AND(Projects!$G$11="Yes",CO$3&gt;=Projects!$C$11,CO$3&lt;Projects!$C$11+Projects!$D$11),Projects!$B$11*(Assumptions!$B$10+Assumptions!$B$11+Assumptions!$B$12)/Projects!$D$11*0.95,0)-IF(AND(Projects!$G$11="Yes",CO$3=Projects!$C$11+Projects!$D$11-1),Projects!$B$11*(Assumptions!$B$10+Assumptions!$B$11+Assumptions!$B$12)*0.05,0)</f>
        <v>0</v>
      </c>
      <c r="CP22" s="19" t="n">
        <f aca="false">IF(AND(Projects!$G$11="Yes",CP$3&gt;=Projects!$C$11,CP$3&lt;Projects!$C$11+Projects!$D$11),Projects!$B$11*INDEX(Curves!$B$4:$AR$4,1,CP$3-Projects!$C$11+1),0)-IF(AND(Projects!$G$11="Yes",CP$3&gt;=Projects!$C$11,CP$3&lt;Projects!$C$11+Projects!$D$11),Projects!$B$11*(Assumptions!$B$10+Assumptions!$B$11+Assumptions!$B$12)/Projects!$D$11*0.95,0)-IF(AND(Projects!$G$11="Yes",CP$3=Projects!$C$11+Projects!$D$11-1),Projects!$B$11*(Assumptions!$B$10+Assumptions!$B$11+Assumptions!$B$12)*0.05,0)</f>
        <v>0</v>
      </c>
      <c r="CQ22" s="19" t="n">
        <f aca="false">IF(AND(Projects!$G$11="Yes",CQ$3&gt;=Projects!$C$11,CQ$3&lt;Projects!$C$11+Projects!$D$11),Projects!$B$11*INDEX(Curves!$B$4:$AR$4,1,CQ$3-Projects!$C$11+1),0)-IF(AND(Projects!$G$11="Yes",CQ$3&gt;=Projects!$C$11,CQ$3&lt;Projects!$C$11+Projects!$D$11),Projects!$B$11*(Assumptions!$B$10+Assumptions!$B$11+Assumptions!$B$12)/Projects!$D$11*0.95,0)-IF(AND(Projects!$G$11="Yes",CQ$3=Projects!$C$11+Projects!$D$11-1),Projects!$B$11*(Assumptions!$B$10+Assumptions!$B$11+Assumptions!$B$12)*0.05,0)</f>
        <v>0</v>
      </c>
      <c r="CR22" s="19" t="n">
        <f aca="false">IF(AND(Projects!$G$11="Yes",CR$3&gt;=Projects!$C$11,CR$3&lt;Projects!$C$11+Projects!$D$11),Projects!$B$11*INDEX(Curves!$B$4:$AR$4,1,CR$3-Projects!$C$11+1),0)-IF(AND(Projects!$G$11="Yes",CR$3&gt;=Projects!$C$11,CR$3&lt;Projects!$C$11+Projects!$D$11),Projects!$B$11*(Assumptions!$B$10+Assumptions!$B$11+Assumptions!$B$12)/Projects!$D$11*0.95,0)-IF(AND(Projects!$G$11="Yes",CR$3=Projects!$C$11+Projects!$D$11-1),Projects!$B$11*(Assumptions!$B$10+Assumptions!$B$11+Assumptions!$B$12)*0.05,0)</f>
        <v>0</v>
      </c>
      <c r="CS22" s="19" t="n">
        <f aca="false">IF(AND(Projects!$G$11="Yes",CS$3&gt;=Projects!$C$11,CS$3&lt;Projects!$C$11+Projects!$D$11),Projects!$B$11*INDEX(Curves!$B$4:$AR$4,1,CS$3-Projects!$C$11+1),0)-IF(AND(Projects!$G$11="Yes",CS$3&gt;=Projects!$C$11,CS$3&lt;Projects!$C$11+Projects!$D$11),Projects!$B$11*(Assumptions!$B$10+Assumptions!$B$11+Assumptions!$B$12)/Projects!$D$11*0.95,0)-IF(AND(Projects!$G$11="Yes",CS$3=Projects!$C$11+Projects!$D$11-1),Projects!$B$11*(Assumptions!$B$10+Assumptions!$B$11+Assumptions!$B$12)*0.05,0)</f>
        <v>0</v>
      </c>
      <c r="CT22" s="19" t="n">
        <f aca="false">IF(AND(Projects!$G$11="Yes",CT$3&gt;=Projects!$C$11,CT$3&lt;Projects!$C$11+Projects!$D$11),Projects!$B$11*INDEX(Curves!$B$4:$AR$4,1,CT$3-Projects!$C$11+1),0)-IF(AND(Projects!$G$11="Yes",CT$3&gt;=Projects!$C$11,CT$3&lt;Projects!$C$11+Projects!$D$11),Projects!$B$11*(Assumptions!$B$10+Assumptions!$B$11+Assumptions!$B$12)/Projects!$D$11*0.95,0)-IF(AND(Projects!$G$11="Yes",CT$3=Projects!$C$11+Projects!$D$11-1),Projects!$B$11*(Assumptions!$B$10+Assumptions!$B$11+Assumptions!$B$12)*0.05,0)</f>
        <v>0</v>
      </c>
      <c r="CU22" s="19" t="n">
        <f aca="false">IF(AND(Projects!$G$11="Yes",CU$3&gt;=Projects!$C$11,CU$3&lt;Projects!$C$11+Projects!$D$11),Projects!$B$11*INDEX(Curves!$B$4:$AR$4,1,CU$3-Projects!$C$11+1),0)-IF(AND(Projects!$G$11="Yes",CU$3&gt;=Projects!$C$11,CU$3&lt;Projects!$C$11+Projects!$D$11),Projects!$B$11*(Assumptions!$B$10+Assumptions!$B$11+Assumptions!$B$12)/Projects!$D$11*0.95,0)-IF(AND(Projects!$G$11="Yes",CU$3=Projects!$C$11+Projects!$D$11-1),Projects!$B$11*(Assumptions!$B$10+Assumptions!$B$11+Assumptions!$B$12)*0.05,0)</f>
        <v>0</v>
      </c>
      <c r="CV22" s="19" t="n">
        <f aca="false">IF(AND(Projects!$G$11="Yes",CV$3&gt;=Projects!$C$11,CV$3&lt;Projects!$C$11+Projects!$D$11),Projects!$B$11*INDEX(Curves!$B$4:$AR$4,1,CV$3-Projects!$C$11+1),0)-IF(AND(Projects!$G$11="Yes",CV$3&gt;=Projects!$C$11,CV$3&lt;Projects!$C$11+Projects!$D$11),Projects!$B$11*(Assumptions!$B$10+Assumptions!$B$11+Assumptions!$B$12)/Projects!$D$11*0.95,0)-IF(AND(Projects!$G$11="Yes",CV$3=Projects!$C$11+Projects!$D$11-1),Projects!$B$11*(Assumptions!$B$10+Assumptions!$B$11+Assumptions!$B$12)*0.05,0)</f>
        <v>0</v>
      </c>
      <c r="CW22" s="19" t="n">
        <f aca="false">IF(AND(Projects!$G$11="Yes",CW$3&gt;=Projects!$C$11,CW$3&lt;Projects!$C$11+Projects!$D$11),Projects!$B$11*INDEX(Curves!$B$4:$AR$4,1,CW$3-Projects!$C$11+1),0)-IF(AND(Projects!$G$11="Yes",CW$3&gt;=Projects!$C$11,CW$3&lt;Projects!$C$11+Projects!$D$11),Projects!$B$11*(Assumptions!$B$10+Assumptions!$B$11+Assumptions!$B$12)/Projects!$D$11*0.95,0)-IF(AND(Projects!$G$11="Yes",CW$3=Projects!$C$11+Projects!$D$11-1),Projects!$B$11*(Assumptions!$B$10+Assumptions!$B$11+Assumptions!$B$12)*0.05,0)</f>
        <v>0</v>
      </c>
      <c r="CX22" s="19" t="n">
        <f aca="false">IF(AND(Projects!$G$11="Yes",CX$3&gt;=Projects!$C$11,CX$3&lt;Projects!$C$11+Projects!$D$11),Projects!$B$11*INDEX(Curves!$B$4:$AR$4,1,CX$3-Projects!$C$11+1),0)-IF(AND(Projects!$G$11="Yes",CX$3&gt;=Projects!$C$11,CX$3&lt;Projects!$C$11+Projects!$D$11),Projects!$B$11*(Assumptions!$B$10+Assumptions!$B$11+Assumptions!$B$12)/Projects!$D$11*0.95,0)-IF(AND(Projects!$G$11="Yes",CX$3=Projects!$C$11+Projects!$D$11-1),Projects!$B$11*(Assumptions!$B$10+Assumptions!$B$11+Assumptions!$B$12)*0.05,0)</f>
        <v>0</v>
      </c>
      <c r="CY22" s="19" t="n">
        <f aca="false">IF(AND(Projects!$G$11="Yes",CY$3&gt;=Projects!$C$11,CY$3&lt;Projects!$C$11+Projects!$D$11),Projects!$B$11*INDEX(Curves!$B$4:$AR$4,1,CY$3-Projects!$C$11+1),0)-IF(AND(Projects!$G$11="Yes",CY$3&gt;=Projects!$C$11,CY$3&lt;Projects!$C$11+Projects!$D$11),Projects!$B$11*(Assumptions!$B$10+Assumptions!$B$11+Assumptions!$B$12)/Projects!$D$11*0.95,0)-IF(AND(Projects!$G$11="Yes",CY$3=Projects!$C$11+Projects!$D$11-1),Projects!$B$11*(Assumptions!$B$10+Assumptions!$B$11+Assumptions!$B$12)*0.05,0)</f>
        <v>0</v>
      </c>
      <c r="CZ22" s="19" t="n">
        <f aca="false">IF(AND(Projects!$G$11="Yes",CZ$3&gt;=Projects!$C$11,CZ$3&lt;Projects!$C$11+Projects!$D$11),Projects!$B$11*INDEX(Curves!$B$4:$AR$4,1,CZ$3-Projects!$C$11+1),0)-IF(AND(Projects!$G$11="Yes",CZ$3&gt;=Projects!$C$11,CZ$3&lt;Projects!$C$11+Projects!$D$11),Projects!$B$11*(Assumptions!$B$10+Assumptions!$B$11+Assumptions!$B$12)/Projects!$D$11*0.95,0)-IF(AND(Projects!$G$11="Yes",CZ$3=Projects!$C$11+Projects!$D$11-1),Projects!$B$11*(Assumptions!$B$10+Assumptions!$B$11+Assumptions!$B$12)*0.05,0)</f>
        <v>0</v>
      </c>
      <c r="DA22" s="19" t="n">
        <f aca="false">IF(AND(Projects!$G$11="Yes",DA$3&gt;=Projects!$C$11,DA$3&lt;Projects!$C$11+Projects!$D$11),Projects!$B$11*INDEX(Curves!$B$4:$AR$4,1,DA$3-Projects!$C$11+1),0)-IF(AND(Projects!$G$11="Yes",DA$3&gt;=Projects!$C$11,DA$3&lt;Projects!$C$11+Projects!$D$11),Projects!$B$11*(Assumptions!$B$10+Assumptions!$B$11+Assumptions!$B$12)/Projects!$D$11*0.95,0)-IF(AND(Projects!$G$11="Yes",DA$3=Projects!$C$11+Projects!$D$11-1),Projects!$B$11*(Assumptions!$B$10+Assumptions!$B$11+Assumptions!$B$12)*0.05,0)</f>
        <v>0</v>
      </c>
      <c r="DB22" s="19" t="n">
        <f aca="false">IF(AND(Projects!$G$11="Yes",DB$3&gt;=Projects!$C$11,DB$3&lt;Projects!$C$11+Projects!$D$11),Projects!$B$11*INDEX(Curves!$B$4:$AR$4,1,DB$3-Projects!$C$11+1),0)-IF(AND(Projects!$G$11="Yes",DB$3&gt;=Projects!$C$11,DB$3&lt;Projects!$C$11+Projects!$D$11),Projects!$B$11*(Assumptions!$B$10+Assumptions!$B$11+Assumptions!$B$12)/Projects!$D$11*0.95,0)-IF(AND(Projects!$G$11="Yes",DB$3=Projects!$C$11+Projects!$D$11-1),Projects!$B$11*(Assumptions!$B$10+Assumptions!$B$11+Assumptions!$B$12)*0.05,0)</f>
        <v>0</v>
      </c>
      <c r="DC22" s="19" t="n">
        <f aca="false">IF(AND(Projects!$G$11="Yes",DC$3&gt;=Projects!$C$11,DC$3&lt;Projects!$C$11+Projects!$D$11),Projects!$B$11*INDEX(Curves!$B$4:$AR$4,1,DC$3-Projects!$C$11+1),0)-IF(AND(Projects!$G$11="Yes",DC$3&gt;=Projects!$C$11,DC$3&lt;Projects!$C$11+Projects!$D$11),Projects!$B$11*(Assumptions!$B$10+Assumptions!$B$11+Assumptions!$B$12)/Projects!$D$11*0.95,0)-IF(AND(Projects!$G$11="Yes",DC$3=Projects!$C$11+Projects!$D$11-1),Projects!$B$11*(Assumptions!$B$10+Assumptions!$B$11+Assumptions!$B$12)*0.05,0)</f>
        <v>0</v>
      </c>
      <c r="DD22" s="19" t="n">
        <f aca="false">IF(AND(Projects!$G$11="Yes",DD$3&gt;=Projects!$C$11,DD$3&lt;Projects!$C$11+Projects!$D$11),Projects!$B$11*INDEX(Curves!$B$4:$AR$4,1,DD$3-Projects!$C$11+1),0)-IF(AND(Projects!$G$11="Yes",DD$3&gt;=Projects!$C$11,DD$3&lt;Projects!$C$11+Projects!$D$11),Projects!$B$11*(Assumptions!$B$10+Assumptions!$B$11+Assumptions!$B$12)/Projects!$D$11*0.95,0)-IF(AND(Projects!$G$11="Yes",DD$3=Projects!$C$11+Projects!$D$11-1),Projects!$B$11*(Assumptions!$B$10+Assumptions!$B$11+Assumptions!$B$12)*0.05,0)</f>
        <v>0</v>
      </c>
      <c r="DE22" s="19" t="n">
        <f aca="false">IF(AND(Projects!$G$11="Yes",DE$3&gt;=Projects!$C$11,DE$3&lt;Projects!$C$11+Projects!$D$11),Projects!$B$11*INDEX(Curves!$B$4:$AR$4,1,DE$3-Projects!$C$11+1),0)-IF(AND(Projects!$G$11="Yes",DE$3&gt;=Projects!$C$11,DE$3&lt;Projects!$C$11+Projects!$D$11),Projects!$B$11*(Assumptions!$B$10+Assumptions!$B$11+Assumptions!$B$12)/Projects!$D$11*0.95,0)-IF(AND(Projects!$G$11="Yes",DE$3=Projects!$C$11+Projects!$D$11-1),Projects!$B$11*(Assumptions!$B$10+Assumptions!$B$11+Assumptions!$B$12)*0.05,0)</f>
        <v>0</v>
      </c>
    </row>
    <row r="23" customFormat="false" ht="15" hidden="true" customHeight="true" outlineLevel="1" collapsed="false">
      <c r="A23" s="28" t="s">
        <v>17</v>
      </c>
      <c r="B23" s="19" t="n">
        <v>0</v>
      </c>
      <c r="C23" s="19" t="n">
        <v>0</v>
      </c>
      <c r="D23" s="19" t="n">
        <v>0</v>
      </c>
      <c r="E23" s="19" t="n">
        <v>0</v>
      </c>
      <c r="F23" s="19" t="n">
        <f aca="false">IF(AND(Projects!$G$12="Yes",F$3&gt;=Projects!$C$12,F$3&lt;Projects!$C$12+Projects!$D$12),Projects!$B$12*INDEX(Curves!$B$4:$AR$4,1,F$3-Projects!$C$12+1),0)-IF(AND(Projects!$G$12="Yes",F$3&gt;=Projects!$C$12,F$3&lt;Projects!$C$12+Projects!$D$12),Projects!$B$12*(Assumptions!$B$10+Assumptions!$B$11+Assumptions!$B$12)/Projects!$D$12*0.95,0)-IF(AND(Projects!$G$12="Yes",F$3=Projects!$C$12+Projects!$D$12-1),Projects!$B$12*(Assumptions!$B$10+Assumptions!$B$11+Assumptions!$B$12)*0.05,0)</f>
        <v>0</v>
      </c>
      <c r="G23" s="19" t="n">
        <f aca="false">IF(AND(Projects!$G$12="Yes",G$3&gt;=Projects!$C$12,G$3&lt;Projects!$C$12+Projects!$D$12),Projects!$B$12*INDEX(Curves!$B$4:$AR$4,1,G$3-Projects!$C$12+1),0)-IF(AND(Projects!$G$12="Yes",G$3&gt;=Projects!$C$12,G$3&lt;Projects!$C$12+Projects!$D$12),Projects!$B$12*(Assumptions!$B$10+Assumptions!$B$11+Assumptions!$B$12)/Projects!$D$12*0.95,0)-IF(AND(Projects!$G$12="Yes",G$3=Projects!$C$12+Projects!$D$12-1),Projects!$B$12*(Assumptions!$B$10+Assumptions!$B$11+Assumptions!$B$12)*0.05,0)</f>
        <v>0</v>
      </c>
      <c r="H23" s="19" t="n">
        <f aca="false">IF(AND(Projects!$G$12="Yes",H$3&gt;=Projects!$C$12,H$3&lt;Projects!$C$12+Projects!$D$12),Projects!$B$12*INDEX(Curves!$B$4:$AR$4,1,H$3-Projects!$C$12+1),0)-IF(AND(Projects!$G$12="Yes",H$3&gt;=Projects!$C$12,H$3&lt;Projects!$C$12+Projects!$D$12),Projects!$B$12*(Assumptions!$B$10+Assumptions!$B$11+Assumptions!$B$12)/Projects!$D$12*0.95,0)-IF(AND(Projects!$G$12="Yes",H$3=Projects!$C$12+Projects!$D$12-1),Projects!$B$12*(Assumptions!$B$10+Assumptions!$B$11+Assumptions!$B$12)*0.05,0)</f>
        <v>0</v>
      </c>
      <c r="I23" s="19" t="n">
        <v>0</v>
      </c>
      <c r="J23" s="19" t="n">
        <f aca="false">IF(AND(Projects!$G$12="Yes",J$3&gt;=Projects!$C$12,J$3&lt;Projects!$C$12+Projects!$D$12),Projects!$B$12*INDEX(Curves!$B$4:$AR$4,1,J$3-Projects!$C$12+1),0)-IF(AND(Projects!$G$12="Yes",J$3&gt;=Projects!$C$12,J$3&lt;Projects!$C$12+Projects!$D$12),Projects!$B$12*(Assumptions!$B$10+Assumptions!$B$11+Assumptions!$B$12)/Projects!$D$12*0.95,0)-IF(AND(Projects!$G$12="Yes",J$3=Projects!$C$12+Projects!$D$12-1),Projects!$B$12*(Assumptions!$B$10+Assumptions!$B$11+Assumptions!$B$12)*0.05,0)</f>
        <v>0</v>
      </c>
      <c r="K23" s="19" t="n">
        <f aca="false">IF(AND(Projects!$G$12="Yes",K$3&gt;=Projects!$C$12,K$3&lt;Projects!$C$12+Projects!$D$12),Projects!$B$12*INDEX(Curves!$B$4:$AR$4,1,K$3-Projects!$C$12+1),0)-IF(AND(Projects!$G$12="Yes",K$3&gt;=Projects!$C$12,K$3&lt;Projects!$C$12+Projects!$D$12),Projects!$B$12*(Assumptions!$B$10+Assumptions!$B$11+Assumptions!$B$12)/Projects!$D$12*0.95,0)-IF(AND(Projects!$G$12="Yes",K$3=Projects!$C$12+Projects!$D$12-1),Projects!$B$12*(Assumptions!$B$10+Assumptions!$B$11+Assumptions!$B$12)*0.05,0)</f>
        <v>0</v>
      </c>
      <c r="L23" s="19" t="n">
        <f aca="false">IF(AND(Projects!$G$12="Yes",L$3&gt;=Projects!$C$12,L$3&lt;Projects!$C$12+Projects!$D$12),Projects!$B$12*INDEX(Curves!$B$4:$AR$4,1,L$3-Projects!$C$12+1),0)-IF(AND(Projects!$G$12="Yes",L$3&gt;=Projects!$C$12,L$3&lt;Projects!$C$12+Projects!$D$12),Projects!$B$12*(Assumptions!$B$10+Assumptions!$B$11+Assumptions!$B$12)/Projects!$D$12*0.95,0)-IF(AND(Projects!$G$12="Yes",L$3=Projects!$C$12+Projects!$D$12-1),Projects!$B$12*(Assumptions!$B$10+Assumptions!$B$11+Assumptions!$B$12)*0.05,0)</f>
        <v>0</v>
      </c>
      <c r="M23" s="19" t="n">
        <f aca="false">IF(AND(Projects!$G$12="Yes",M$3&gt;=Projects!$C$12,M$3&lt;Projects!$C$12+Projects!$D$12),Projects!$B$12*INDEX(Curves!$B$4:$AR$4,1,M$3-Projects!$C$12+1),0)-IF(AND(Projects!$G$12="Yes",M$3&gt;=Projects!$C$12,M$3&lt;Projects!$C$12+Projects!$D$12),Projects!$B$12*(Assumptions!$B$10+Assumptions!$B$11+Assumptions!$B$12)/Projects!$D$12*0.95,0)-IF(AND(Projects!$G$12="Yes",M$3=Projects!$C$12+Projects!$D$12-1),Projects!$B$12*(Assumptions!$B$10+Assumptions!$B$11+Assumptions!$B$12)*0.05,0)</f>
        <v>0</v>
      </c>
      <c r="N23" s="19" t="n">
        <f aca="false">IF(AND(Projects!$G$12="Yes",N$3&gt;=Projects!$C$12,N$3&lt;Projects!$C$12+Projects!$D$12),Projects!$B$12*INDEX(Curves!$B$4:$AR$4,1,N$3-Projects!$C$12+1),0)-IF(AND(Projects!$G$12="Yes",N$3&gt;=Projects!$C$12,N$3&lt;Projects!$C$12+Projects!$D$12),Projects!$B$12*(Assumptions!$B$10+Assumptions!$B$11+Assumptions!$B$12)/Projects!$D$12*0.95,0)-IF(AND(Projects!$G$12="Yes",N$3=Projects!$C$12+Projects!$D$12-1),Projects!$B$12*(Assumptions!$B$10+Assumptions!$B$11+Assumptions!$B$12)*0.05,0)</f>
        <v>154657.42123235</v>
      </c>
      <c r="O23" s="19" t="n">
        <f aca="false">IF(AND(Projects!$G$12="Yes",O$3&gt;=Projects!$C$12,O$3&lt;Projects!$C$12+Projects!$D$12),Projects!$B$12*INDEX(Curves!$B$4:$AR$4,1,O$3-Projects!$C$12+1),0)-IF(AND(Projects!$G$12="Yes",O$3&gt;=Projects!$C$12,O$3&lt;Projects!$C$12+Projects!$D$12),Projects!$B$12*(Assumptions!$B$10+Assumptions!$B$11+Assumptions!$B$12)/Projects!$D$12*0.95,0)-IF(AND(Projects!$G$12="Yes",O$3=Projects!$C$12+Projects!$D$12-1),Projects!$B$12*(Assumptions!$B$10+Assumptions!$B$11+Assumptions!$B$12)*0.05,0)</f>
        <v>201769.66876435</v>
      </c>
      <c r="P23" s="19" t="n">
        <f aca="false">IF(AND(Projects!$G$12="Yes",P$3&gt;=Projects!$C$12,P$3&lt;Projects!$C$12+Projects!$D$12),Projects!$B$12*INDEX(Curves!$B$4:$AR$4,1,P$3-Projects!$C$12+1),0)-IF(AND(Projects!$G$12="Yes",P$3&gt;=Projects!$C$12,P$3&lt;Projects!$C$12+Projects!$D$12),Projects!$B$12*(Assumptions!$B$10+Assumptions!$B$11+Assumptions!$B$12)/Projects!$D$12*0.95,0)-IF(AND(Projects!$G$12="Yes",P$3=Projects!$C$12+Projects!$D$12-1),Projects!$B$12*(Assumptions!$B$10+Assumptions!$B$11+Assumptions!$B$12)*0.05,0)</f>
        <v>252480.97812735</v>
      </c>
      <c r="Q23" s="19" t="n">
        <f aca="false">IF(AND(Projects!$G$12="Yes",Q$3&gt;=Projects!$C$12,Q$3&lt;Projects!$C$12+Projects!$D$12),Projects!$B$12*INDEX(Curves!$B$4:$AR$4,1,Q$3-Projects!$C$12+1),0)-IF(AND(Projects!$G$12="Yes",Q$3&gt;=Projects!$C$12,Q$3&lt;Projects!$C$12+Projects!$D$12),Projects!$B$12*(Assumptions!$B$10+Assumptions!$B$11+Assumptions!$B$12)/Projects!$D$12*0.95,0)-IF(AND(Projects!$G$12="Yes",Q$3=Projects!$C$12+Projects!$D$12-1),Projects!$B$12*(Assumptions!$B$10+Assumptions!$B$11+Assumptions!$B$12)*0.05,0)</f>
        <v>304769.23491735</v>
      </c>
      <c r="R23" s="19" t="n">
        <f aca="false">IF(AND(Projects!$G$12="Yes",R$3&gt;=Projects!$C$12,R$3&lt;Projects!$C$12+Projects!$D$12),Projects!$B$12*INDEX(Curves!$B$4:$AR$4,1,R$3-Projects!$C$12+1),0)-IF(AND(Projects!$G$12="Yes",R$3&gt;=Projects!$C$12,R$3&lt;Projects!$C$12+Projects!$D$12),Projects!$B$12*(Assumptions!$B$10+Assumptions!$B$11+Assumptions!$B$12)/Projects!$D$12*0.95,0)-IF(AND(Projects!$G$12="Yes",R$3=Projects!$C$12+Projects!$D$12-1),Projects!$B$12*(Assumptions!$B$10+Assumptions!$B$11+Assumptions!$B$12)*0.05,0)</f>
        <v>356121.88653535</v>
      </c>
      <c r="S23" s="19" t="n">
        <f aca="false">IF(AND(Projects!$G$12="Yes",S$3&gt;=Projects!$C$12,S$3&lt;Projects!$C$12+Projects!$D$12),Projects!$B$12*INDEX(Curves!$B$4:$AR$4,1,S$3-Projects!$C$12+1),0)-IF(AND(Projects!$G$12="Yes",S$3&gt;=Projects!$C$12,S$3&lt;Projects!$C$12+Projects!$D$12),Projects!$B$12*(Assumptions!$B$10+Assumptions!$B$11+Assumptions!$B$12)/Projects!$D$12*0.95,0)-IF(AND(Projects!$G$12="Yes",S$3=Projects!$C$12+Projects!$D$12-1),Projects!$B$12*(Assumptions!$B$10+Assumptions!$B$11+Assumptions!$B$12)*0.05,0)</f>
        <v>403686.84624735</v>
      </c>
      <c r="T23" s="19" t="n">
        <f aca="false">IF(AND(Projects!$G$12="Yes",T$3&gt;=Projects!$C$12,T$3&lt;Projects!$C$12+Projects!$D$12),Projects!$B$12*INDEX(Curves!$B$4:$AR$4,1,T$3-Projects!$C$12+1),0)-IF(AND(Projects!$G$12="Yes",T$3&gt;=Projects!$C$12,T$3&lt;Projects!$C$12+Projects!$D$12),Projects!$B$12*(Assumptions!$B$10+Assumptions!$B$11+Assumptions!$B$12)/Projects!$D$12*0.95,0)-IF(AND(Projects!$G$12="Yes",T$3=Projects!$C$12+Projects!$D$12-1),Projects!$B$12*(Assumptions!$B$10+Assumptions!$B$11+Assumptions!$B$12)*0.05,0)</f>
        <v>444544.12049235</v>
      </c>
      <c r="U23" s="19" t="n">
        <f aca="false">IF(AND(Projects!$G$12="Yes",U$3&gt;=Projects!$C$12,U$3&lt;Projects!$C$12+Projects!$D$12),Projects!$B$12*INDEX(Curves!$B$4:$AR$4,1,U$3-Projects!$C$12+1),0)-IF(AND(Projects!$G$12="Yes",U$3&gt;=Projects!$C$12,U$3&lt;Projects!$C$12+Projects!$D$12),Projects!$B$12*(Assumptions!$B$10+Assumptions!$B$11+Assumptions!$B$12)/Projects!$D$12*0.95,0)-IF(AND(Projects!$G$12="Yes",U$3=Projects!$C$12+Projects!$D$12-1),Projects!$B$12*(Assumptions!$B$10+Assumptions!$B$11+Assumptions!$B$12)*0.05,0)</f>
        <v>475984.98139335</v>
      </c>
      <c r="V23" s="19" t="n">
        <f aca="false">IF(AND(Projects!$G$12="Yes",V$3&gt;=Projects!$C$12,V$3&lt;Projects!$C$12+Projects!$D$12),Projects!$B$12*INDEX(Curves!$B$4:$AR$4,1,V$3-Projects!$C$12+1),0)-IF(AND(Projects!$G$12="Yes",V$3&gt;=Projects!$C$12,V$3&lt;Projects!$C$12+Projects!$D$12),Projects!$B$12*(Assumptions!$B$10+Assumptions!$B$11+Assumptions!$B$12)/Projects!$D$12*0.95,0)-IF(AND(Projects!$G$12="Yes",V$3=Projects!$C$12+Projects!$D$12-1),Projects!$B$12*(Assumptions!$B$10+Assumptions!$B$11+Assumptions!$B$12)*0.05,0)</f>
        <v>495813.77487735</v>
      </c>
      <c r="W23" s="19" t="n">
        <f aca="false">IF(AND(Projects!$G$12="Yes",W$3&gt;=Projects!$C$12,W$3&lt;Projects!$C$12+Projects!$D$12),Projects!$B$12*INDEX(Curves!$B$4:$AR$4,1,W$3-Projects!$C$12+1),0)-IF(AND(Projects!$G$12="Yes",W$3&gt;=Projects!$C$12,W$3&lt;Projects!$C$12+Projects!$D$12),Projects!$B$12*(Assumptions!$B$10+Assumptions!$B$11+Assumptions!$B$12)/Projects!$D$12*0.95,0)-IF(AND(Projects!$G$12="Yes",W$3=Projects!$C$12+Projects!$D$12-1),Projects!$B$12*(Assumptions!$B$10+Assumptions!$B$11+Assumptions!$B$12)*0.05,0)</f>
        <v>502589.36717135</v>
      </c>
      <c r="X23" s="19" t="n">
        <f aca="false">IF(AND(Projects!$G$12="Yes",X$3&gt;=Projects!$C$12,X$3&lt;Projects!$C$12+Projects!$D$12),Projects!$B$12*INDEX(Curves!$B$4:$AR$4,1,X$3-Projects!$C$12+1),0)-IF(AND(Projects!$G$12="Yes",X$3&gt;=Projects!$C$12,X$3&lt;Projects!$C$12+Projects!$D$12),Projects!$B$12*(Assumptions!$B$10+Assumptions!$B$11+Assumptions!$B$12)/Projects!$D$12*0.95,0)-IF(AND(Projects!$G$12="Yes",X$3=Projects!$C$12+Projects!$D$12-1),Projects!$B$12*(Assumptions!$B$10+Assumptions!$B$11+Assumptions!$B$12)*0.05,0)</f>
        <v>495813.77487735</v>
      </c>
      <c r="Y23" s="19" t="n">
        <f aca="false">IF(AND(Projects!$G$12="Yes",Y$3&gt;=Projects!$C$12,Y$3&lt;Projects!$C$12+Projects!$D$12),Projects!$B$12*INDEX(Curves!$B$4:$AR$4,1,Y$3-Projects!$C$12+1),0)-IF(AND(Projects!$G$12="Yes",Y$3&gt;=Projects!$C$12,Y$3&lt;Projects!$C$12+Projects!$D$12),Projects!$B$12*(Assumptions!$B$10+Assumptions!$B$11+Assumptions!$B$12)/Projects!$D$12*0.95,0)-IF(AND(Projects!$G$12="Yes",Y$3=Projects!$C$12+Projects!$D$12-1),Projects!$B$12*(Assumptions!$B$10+Assumptions!$B$11+Assumptions!$B$12)*0.05,0)</f>
        <v>475984.98139335</v>
      </c>
      <c r="Z23" s="19" t="n">
        <f aca="false">IF(AND(Projects!$G$12="Yes",Z$3&gt;=Projects!$C$12,Z$3&lt;Projects!$C$12+Projects!$D$12),Projects!$B$12*INDEX(Curves!$B$4:$AR$4,1,Z$3-Projects!$C$12+1),0)-IF(AND(Projects!$G$12="Yes",Z$3&gt;=Projects!$C$12,Z$3&lt;Projects!$C$12+Projects!$D$12),Projects!$B$12*(Assumptions!$B$10+Assumptions!$B$11+Assumptions!$B$12)/Projects!$D$12*0.95,0)-IF(AND(Projects!$G$12="Yes",Z$3=Projects!$C$12+Projects!$D$12-1),Projects!$B$12*(Assumptions!$B$10+Assumptions!$B$11+Assumptions!$B$12)*0.05,0)</f>
        <v>444544.12049235</v>
      </c>
      <c r="AA23" s="19" t="n">
        <f aca="false">IF(AND(Projects!$G$12="Yes",AA$3&gt;=Projects!$C$12,AA$3&lt;Projects!$C$12+Projects!$D$12),Projects!$B$12*INDEX(Curves!$B$4:$AR$4,1,AA$3-Projects!$C$12+1),0)-IF(AND(Projects!$G$12="Yes",AA$3&gt;=Projects!$C$12,AA$3&lt;Projects!$C$12+Projects!$D$12),Projects!$B$12*(Assumptions!$B$10+Assumptions!$B$11+Assumptions!$B$12)/Projects!$D$12*0.95,0)-IF(AND(Projects!$G$12="Yes",AA$3=Projects!$C$12+Projects!$D$12-1),Projects!$B$12*(Assumptions!$B$10+Assumptions!$B$11+Assumptions!$B$12)*0.05,0)</f>
        <v>403686.84624735</v>
      </c>
      <c r="AB23" s="19" t="n">
        <f aca="false">IF(AND(Projects!$G$12="Yes",AB$3&gt;=Projects!$C$12,AB$3&lt;Projects!$C$12+Projects!$D$12),Projects!$B$12*INDEX(Curves!$B$4:$AR$4,1,AB$3-Projects!$C$12+1),0)-IF(AND(Projects!$G$12="Yes",AB$3&gt;=Projects!$C$12,AB$3&lt;Projects!$C$12+Projects!$D$12),Projects!$B$12*(Assumptions!$B$10+Assumptions!$B$11+Assumptions!$B$12)/Projects!$D$12*0.95,0)-IF(AND(Projects!$G$12="Yes",AB$3=Projects!$C$12+Projects!$D$12-1),Projects!$B$12*(Assumptions!$B$10+Assumptions!$B$11+Assumptions!$B$12)*0.05,0)</f>
        <v>356121.88653535</v>
      </c>
      <c r="AC23" s="19" t="n">
        <f aca="false">IF(AND(Projects!$G$12="Yes",AC$3&gt;=Projects!$C$12,AC$3&lt;Projects!$C$12+Projects!$D$12),Projects!$B$12*INDEX(Curves!$B$4:$AR$4,1,AC$3-Projects!$C$12+1),0)-IF(AND(Projects!$G$12="Yes",AC$3&gt;=Projects!$C$12,AC$3&lt;Projects!$C$12+Projects!$D$12),Projects!$B$12*(Assumptions!$B$10+Assumptions!$B$11+Assumptions!$B$12)/Projects!$D$12*0.95,0)-IF(AND(Projects!$G$12="Yes",AC$3=Projects!$C$12+Projects!$D$12-1),Projects!$B$12*(Assumptions!$B$10+Assumptions!$B$11+Assumptions!$B$12)*0.05,0)</f>
        <v>304769.23491735</v>
      </c>
      <c r="AD23" s="19" t="n">
        <f aca="false">IF(AND(Projects!$G$12="Yes",AD$3&gt;=Projects!$C$12,AD$3&lt;Projects!$C$12+Projects!$D$12),Projects!$B$12*INDEX(Curves!$B$4:$AR$4,1,AD$3-Projects!$C$12+1),0)-IF(AND(Projects!$G$12="Yes",AD$3&gt;=Projects!$C$12,AD$3&lt;Projects!$C$12+Projects!$D$12),Projects!$B$12*(Assumptions!$B$10+Assumptions!$B$11+Assumptions!$B$12)/Projects!$D$12*0.95,0)-IF(AND(Projects!$G$12="Yes",AD$3=Projects!$C$12+Projects!$D$12-1),Projects!$B$12*(Assumptions!$B$10+Assumptions!$B$11+Assumptions!$B$12)*0.05,0)</f>
        <v>252480.97812735</v>
      </c>
      <c r="AE23" s="19" t="n">
        <f aca="false">IF(AND(Projects!$G$12="Yes",AE$3&gt;=Projects!$C$12,AE$3&lt;Projects!$C$12+Projects!$D$12),Projects!$B$12*INDEX(Curves!$B$4:$AR$4,1,AE$3-Projects!$C$12+1),0)-IF(AND(Projects!$G$12="Yes",AE$3&gt;=Projects!$C$12,AE$3&lt;Projects!$C$12+Projects!$D$12),Projects!$B$12*(Assumptions!$B$10+Assumptions!$B$11+Assumptions!$B$12)/Projects!$D$12*0.95,0)-IF(AND(Projects!$G$12="Yes",AE$3=Projects!$C$12+Projects!$D$12-1),Projects!$B$12*(Assumptions!$B$10+Assumptions!$B$11+Assumptions!$B$12)*0.05,0)</f>
        <v>201769.66876435</v>
      </c>
      <c r="AF23" s="19" t="n">
        <f aca="false">IF(AND(Projects!$G$12="Yes",AF$3&gt;=Projects!$C$12,AF$3&lt;Projects!$C$12+Projects!$D$12),Projects!$B$12*INDEX(Curves!$B$4:$AR$4,1,AF$3-Projects!$C$12+1),0)-IF(AND(Projects!$G$12="Yes",AF$3&gt;=Projects!$C$12,AF$3&lt;Projects!$C$12+Projects!$D$12),Projects!$B$12*(Assumptions!$B$10+Assumptions!$B$11+Assumptions!$B$12)/Projects!$D$12*0.95,0)-IF(AND(Projects!$G$12="Yes",AF$3=Projects!$C$12+Projects!$D$12-1),Projects!$B$12*(Assumptions!$B$10+Assumptions!$B$11+Assumptions!$B$12)*0.05,0)</f>
        <v>109238.6945137</v>
      </c>
      <c r="AG23" s="19" t="n">
        <f aca="false">IF(AND(Projects!$G$12="Yes",AG$3&gt;=Projects!$C$12,AG$3&lt;Projects!$C$12+Projects!$D$12),Projects!$B$12*INDEX(Curves!$B$4:$AR$4,1,AG$3-Projects!$C$12+1),0)-IF(AND(Projects!$G$12="Yes",AG$3&gt;=Projects!$C$12,AG$3&lt;Projects!$C$12+Projects!$D$12),Projects!$B$12*(Assumptions!$B$10+Assumptions!$B$11+Assumptions!$B$12)/Projects!$D$12*0.95,0)-IF(AND(Projects!$G$12="Yes",AG$3=Projects!$C$12+Projects!$D$12-1),Projects!$B$12*(Assumptions!$B$10+Assumptions!$B$11+Assumptions!$B$12)*0.05,0)</f>
        <v>0</v>
      </c>
      <c r="AH23" s="19" t="n">
        <f aca="false">IF(AND(Projects!$G$12="Yes",AH$3&gt;=Projects!$C$12,AH$3&lt;Projects!$C$12+Projects!$D$12),Projects!$B$12*INDEX(Curves!$B$4:$AR$4,1,AH$3-Projects!$C$12+1),0)-IF(AND(Projects!$G$12="Yes",AH$3&gt;=Projects!$C$12,AH$3&lt;Projects!$C$12+Projects!$D$12),Projects!$B$12*(Assumptions!$B$10+Assumptions!$B$11+Assumptions!$B$12)/Projects!$D$12*0.95,0)-IF(AND(Projects!$G$12="Yes",AH$3=Projects!$C$12+Projects!$D$12-1),Projects!$B$12*(Assumptions!$B$10+Assumptions!$B$11+Assumptions!$B$12)*0.05,0)</f>
        <v>0</v>
      </c>
      <c r="AI23" s="19" t="n">
        <f aca="false">IF(AND(Projects!$G$12="Yes",AI$3&gt;=Projects!$C$12,AI$3&lt;Projects!$C$12+Projects!$D$12),Projects!$B$12*INDEX(Curves!$B$4:$AR$4,1,AI$3-Projects!$C$12+1),0)-IF(AND(Projects!$G$12="Yes",AI$3&gt;=Projects!$C$12,AI$3&lt;Projects!$C$12+Projects!$D$12),Projects!$B$12*(Assumptions!$B$10+Assumptions!$B$11+Assumptions!$B$12)/Projects!$D$12*0.95,0)-IF(AND(Projects!$G$12="Yes",AI$3=Projects!$C$12+Projects!$D$12-1),Projects!$B$12*(Assumptions!$B$10+Assumptions!$B$11+Assumptions!$B$12)*0.05,0)</f>
        <v>0</v>
      </c>
      <c r="AJ23" s="19" t="n">
        <f aca="false">IF(AND(Projects!$G$12="Yes",AJ$3&gt;=Projects!$C$12,AJ$3&lt;Projects!$C$12+Projects!$D$12),Projects!$B$12*INDEX(Curves!$B$4:$AR$4,1,AJ$3-Projects!$C$12+1),0)-IF(AND(Projects!$G$12="Yes",AJ$3&gt;=Projects!$C$12,AJ$3&lt;Projects!$C$12+Projects!$D$12),Projects!$B$12*(Assumptions!$B$10+Assumptions!$B$11+Assumptions!$B$12)/Projects!$D$12*0.95,0)-IF(AND(Projects!$G$12="Yes",AJ$3=Projects!$C$12+Projects!$D$12-1),Projects!$B$12*(Assumptions!$B$10+Assumptions!$B$11+Assumptions!$B$12)*0.05,0)</f>
        <v>0</v>
      </c>
      <c r="AK23" s="19" t="n">
        <f aca="false">IF(AND(Projects!$G$12="Yes",AK$3&gt;=Projects!$C$12,AK$3&lt;Projects!$C$12+Projects!$D$12),Projects!$B$12*INDEX(Curves!$B$4:$AR$4,1,AK$3-Projects!$C$12+1),0)-IF(AND(Projects!$G$12="Yes",AK$3&gt;=Projects!$C$12,AK$3&lt;Projects!$C$12+Projects!$D$12),Projects!$B$12*(Assumptions!$B$10+Assumptions!$B$11+Assumptions!$B$12)/Projects!$D$12*0.95,0)-IF(AND(Projects!$G$12="Yes",AK$3=Projects!$C$12+Projects!$D$12-1),Projects!$B$12*(Assumptions!$B$10+Assumptions!$B$11+Assumptions!$B$12)*0.05,0)</f>
        <v>0</v>
      </c>
      <c r="AL23" s="19" t="n">
        <f aca="false">IF(AND(Projects!$G$12="Yes",AL$3&gt;=Projects!$C$12,AL$3&lt;Projects!$C$12+Projects!$D$12),Projects!$B$12*INDEX(Curves!$B$4:$AR$4,1,AL$3-Projects!$C$12+1),0)-IF(AND(Projects!$G$12="Yes",AL$3&gt;=Projects!$C$12,AL$3&lt;Projects!$C$12+Projects!$D$12),Projects!$B$12*(Assumptions!$B$10+Assumptions!$B$11+Assumptions!$B$12)/Projects!$D$12*0.95,0)-IF(AND(Projects!$G$12="Yes",AL$3=Projects!$C$12+Projects!$D$12-1),Projects!$B$12*(Assumptions!$B$10+Assumptions!$B$11+Assumptions!$B$12)*0.05,0)</f>
        <v>0</v>
      </c>
      <c r="AM23" s="19" t="n">
        <f aca="false">IF(AND(Projects!$G$12="Yes",AM$3&gt;=Projects!$C$12,AM$3&lt;Projects!$C$12+Projects!$D$12),Projects!$B$12*INDEX(Curves!$B$4:$AR$4,1,AM$3-Projects!$C$12+1),0)-IF(AND(Projects!$G$12="Yes",AM$3&gt;=Projects!$C$12,AM$3&lt;Projects!$C$12+Projects!$D$12),Projects!$B$12*(Assumptions!$B$10+Assumptions!$B$11+Assumptions!$B$12)/Projects!$D$12*0.95,0)-IF(AND(Projects!$G$12="Yes",AM$3=Projects!$C$12+Projects!$D$12-1),Projects!$B$12*(Assumptions!$B$10+Assumptions!$B$11+Assumptions!$B$12)*0.05,0)</f>
        <v>0</v>
      </c>
      <c r="AN23" s="19" t="n">
        <f aca="false">IF(AND(Projects!$G$12="Yes",AN$3&gt;=Projects!$C$12,AN$3&lt;Projects!$C$12+Projects!$D$12),Projects!$B$12*INDEX(Curves!$B$4:$AR$4,1,AN$3-Projects!$C$12+1),0)-IF(AND(Projects!$G$12="Yes",AN$3&gt;=Projects!$C$12,AN$3&lt;Projects!$C$12+Projects!$D$12),Projects!$B$12*(Assumptions!$B$10+Assumptions!$B$11+Assumptions!$B$12)/Projects!$D$12*0.95,0)-IF(AND(Projects!$G$12="Yes",AN$3=Projects!$C$12+Projects!$D$12-1),Projects!$B$12*(Assumptions!$B$10+Assumptions!$B$11+Assumptions!$B$12)*0.05,0)</f>
        <v>0</v>
      </c>
      <c r="AO23" s="19" t="n">
        <f aca="false">IF(AND(Projects!$G$12="Yes",AO$3&gt;=Projects!$C$12,AO$3&lt;Projects!$C$12+Projects!$D$12),Projects!$B$12*INDEX(Curves!$B$4:$AR$4,1,AO$3-Projects!$C$12+1),0)-IF(AND(Projects!$G$12="Yes",AO$3&gt;=Projects!$C$12,AO$3&lt;Projects!$C$12+Projects!$D$12),Projects!$B$12*(Assumptions!$B$10+Assumptions!$B$11+Assumptions!$B$12)/Projects!$D$12*0.95,0)-IF(AND(Projects!$G$12="Yes",AO$3=Projects!$C$12+Projects!$D$12-1),Projects!$B$12*(Assumptions!$B$10+Assumptions!$B$11+Assumptions!$B$12)*0.05,0)</f>
        <v>0</v>
      </c>
      <c r="AP23" s="19" t="n">
        <f aca="false">IF(AND(Projects!$G$12="Yes",AP$3&gt;=Projects!$C$12,AP$3&lt;Projects!$C$12+Projects!$D$12),Projects!$B$12*INDEX(Curves!$B$4:$AR$4,1,AP$3-Projects!$C$12+1),0)-IF(AND(Projects!$G$12="Yes",AP$3&gt;=Projects!$C$12,AP$3&lt;Projects!$C$12+Projects!$D$12),Projects!$B$12*(Assumptions!$B$10+Assumptions!$B$11+Assumptions!$B$12)/Projects!$D$12*0.95,0)-IF(AND(Projects!$G$12="Yes",AP$3=Projects!$C$12+Projects!$D$12-1),Projects!$B$12*(Assumptions!$B$10+Assumptions!$B$11+Assumptions!$B$12)*0.05,0)</f>
        <v>0</v>
      </c>
      <c r="AQ23" s="19" t="n">
        <f aca="false">IF(AND(Projects!$G$12="Yes",AQ$3&gt;=Projects!$C$12,AQ$3&lt;Projects!$C$12+Projects!$D$12),Projects!$B$12*INDEX(Curves!$B$4:$AR$4,1,AQ$3-Projects!$C$12+1),0)-IF(AND(Projects!$G$12="Yes",AQ$3&gt;=Projects!$C$12,AQ$3&lt;Projects!$C$12+Projects!$D$12),Projects!$B$12*(Assumptions!$B$10+Assumptions!$B$11+Assumptions!$B$12)/Projects!$D$12*0.95,0)-IF(AND(Projects!$G$12="Yes",AQ$3=Projects!$C$12+Projects!$D$12-1),Projects!$B$12*(Assumptions!$B$10+Assumptions!$B$11+Assumptions!$B$12)*0.05,0)</f>
        <v>0</v>
      </c>
      <c r="AR23" s="19" t="n">
        <f aca="false">IF(AND(Projects!$G$12="Yes",AR$3&gt;=Projects!$C$12,AR$3&lt;Projects!$C$12+Projects!$D$12),Projects!$B$12*INDEX(Curves!$B$4:$AR$4,1,AR$3-Projects!$C$12+1),0)-IF(AND(Projects!$G$12="Yes",AR$3&gt;=Projects!$C$12,AR$3&lt;Projects!$C$12+Projects!$D$12),Projects!$B$12*(Assumptions!$B$10+Assumptions!$B$11+Assumptions!$B$12)/Projects!$D$12*0.95,0)-IF(AND(Projects!$G$12="Yes",AR$3=Projects!$C$12+Projects!$D$12-1),Projects!$B$12*(Assumptions!$B$10+Assumptions!$B$11+Assumptions!$B$12)*0.05,0)</f>
        <v>0</v>
      </c>
      <c r="AS23" s="19" t="n">
        <f aca="false">IF(AND(Projects!$G$12="Yes",AS$3&gt;=Projects!$C$12,AS$3&lt;Projects!$C$12+Projects!$D$12),Projects!$B$12*INDEX(Curves!$B$4:$AR$4,1,AS$3-Projects!$C$12+1),0)-IF(AND(Projects!$G$12="Yes",AS$3&gt;=Projects!$C$12,AS$3&lt;Projects!$C$12+Projects!$D$12),Projects!$B$12*(Assumptions!$B$10+Assumptions!$B$11+Assumptions!$B$12)/Projects!$D$12*0.95,0)-IF(AND(Projects!$G$12="Yes",AS$3=Projects!$C$12+Projects!$D$12-1),Projects!$B$12*(Assumptions!$B$10+Assumptions!$B$11+Assumptions!$B$12)*0.05,0)</f>
        <v>0</v>
      </c>
      <c r="AT23" s="19" t="n">
        <f aca="false">IF(AND(Projects!$G$12="Yes",AT$3&gt;=Projects!$C$12,AT$3&lt;Projects!$C$12+Projects!$D$12),Projects!$B$12*INDEX(Curves!$B$4:$AR$4,1,AT$3-Projects!$C$12+1),0)-IF(AND(Projects!$G$12="Yes",AT$3&gt;=Projects!$C$12,AT$3&lt;Projects!$C$12+Projects!$D$12),Projects!$B$12*(Assumptions!$B$10+Assumptions!$B$11+Assumptions!$B$12)/Projects!$D$12*0.95,0)-IF(AND(Projects!$G$12="Yes",AT$3=Projects!$C$12+Projects!$D$12-1),Projects!$B$12*(Assumptions!$B$10+Assumptions!$B$11+Assumptions!$B$12)*0.05,0)</f>
        <v>0</v>
      </c>
      <c r="AU23" s="19" t="n">
        <f aca="false">IF(AND(Projects!$G$12="Yes",AU$3&gt;=Projects!$C$12,AU$3&lt;Projects!$C$12+Projects!$D$12),Projects!$B$12*INDEX(Curves!$B$4:$AR$4,1,AU$3-Projects!$C$12+1),0)-IF(AND(Projects!$G$12="Yes",AU$3&gt;=Projects!$C$12,AU$3&lt;Projects!$C$12+Projects!$D$12),Projects!$B$12*(Assumptions!$B$10+Assumptions!$B$11+Assumptions!$B$12)/Projects!$D$12*0.95,0)-IF(AND(Projects!$G$12="Yes",AU$3=Projects!$C$12+Projects!$D$12-1),Projects!$B$12*(Assumptions!$B$10+Assumptions!$B$11+Assumptions!$B$12)*0.05,0)</f>
        <v>0</v>
      </c>
      <c r="AV23" s="19" t="n">
        <f aca="false">IF(AND(Projects!$G$12="Yes",AV$3&gt;=Projects!$C$12,AV$3&lt;Projects!$C$12+Projects!$D$12),Projects!$B$12*INDEX(Curves!$B$4:$AR$4,1,AV$3-Projects!$C$12+1),0)-IF(AND(Projects!$G$12="Yes",AV$3&gt;=Projects!$C$12,AV$3&lt;Projects!$C$12+Projects!$D$12),Projects!$B$12*(Assumptions!$B$10+Assumptions!$B$11+Assumptions!$B$12)/Projects!$D$12*0.95,0)-IF(AND(Projects!$G$12="Yes",AV$3=Projects!$C$12+Projects!$D$12-1),Projects!$B$12*(Assumptions!$B$10+Assumptions!$B$11+Assumptions!$B$12)*0.05,0)</f>
        <v>0</v>
      </c>
      <c r="AW23" s="19" t="n">
        <f aca="false">IF(AND(Projects!$G$12="Yes",AW$3&gt;=Projects!$C$12,AW$3&lt;Projects!$C$12+Projects!$D$12),Projects!$B$12*INDEX(Curves!$B$4:$AR$4,1,AW$3-Projects!$C$12+1),0)-IF(AND(Projects!$G$12="Yes",AW$3&gt;=Projects!$C$12,AW$3&lt;Projects!$C$12+Projects!$D$12),Projects!$B$12*(Assumptions!$B$10+Assumptions!$B$11+Assumptions!$B$12)/Projects!$D$12*0.95,0)-IF(AND(Projects!$G$12="Yes",AW$3=Projects!$C$12+Projects!$D$12-1),Projects!$B$12*(Assumptions!$B$10+Assumptions!$B$11+Assumptions!$B$12)*0.05,0)</f>
        <v>0</v>
      </c>
      <c r="AX23" s="19" t="n">
        <f aca="false">IF(AND(Projects!$G$12="Yes",AX$3&gt;=Projects!$C$12,AX$3&lt;Projects!$C$12+Projects!$D$12),Projects!$B$12*INDEX(Curves!$B$4:$AR$4,1,AX$3-Projects!$C$12+1),0)-IF(AND(Projects!$G$12="Yes",AX$3&gt;=Projects!$C$12,AX$3&lt;Projects!$C$12+Projects!$D$12),Projects!$B$12*(Assumptions!$B$10+Assumptions!$B$11+Assumptions!$B$12)/Projects!$D$12*0.95,0)-IF(AND(Projects!$G$12="Yes",AX$3=Projects!$C$12+Projects!$D$12-1),Projects!$B$12*(Assumptions!$B$10+Assumptions!$B$11+Assumptions!$B$12)*0.05,0)</f>
        <v>0</v>
      </c>
      <c r="AY23" s="19" t="n">
        <f aca="false">IF(AND(Projects!$G$12="Yes",AY$3&gt;=Projects!$C$12,AY$3&lt;Projects!$C$12+Projects!$D$12),Projects!$B$12*INDEX(Curves!$B$4:$AR$4,1,AY$3-Projects!$C$12+1),0)-IF(AND(Projects!$G$12="Yes",AY$3&gt;=Projects!$C$12,AY$3&lt;Projects!$C$12+Projects!$D$12),Projects!$B$12*(Assumptions!$B$10+Assumptions!$B$11+Assumptions!$B$12)/Projects!$D$12*0.95,0)-IF(AND(Projects!$G$12="Yes",AY$3=Projects!$C$12+Projects!$D$12-1),Projects!$B$12*(Assumptions!$B$10+Assumptions!$B$11+Assumptions!$B$12)*0.05,0)</f>
        <v>0</v>
      </c>
      <c r="AZ23" s="19" t="n">
        <f aca="false">IF(AND(Projects!$G$12="Yes",AZ$3&gt;=Projects!$C$12,AZ$3&lt;Projects!$C$12+Projects!$D$12),Projects!$B$12*INDEX(Curves!$B$4:$AR$4,1,AZ$3-Projects!$C$12+1),0)-IF(AND(Projects!$G$12="Yes",AZ$3&gt;=Projects!$C$12,AZ$3&lt;Projects!$C$12+Projects!$D$12),Projects!$B$12*(Assumptions!$B$10+Assumptions!$B$11+Assumptions!$B$12)/Projects!$D$12*0.95,0)-IF(AND(Projects!$G$12="Yes",AZ$3=Projects!$C$12+Projects!$D$12-1),Projects!$B$12*(Assumptions!$B$10+Assumptions!$B$11+Assumptions!$B$12)*0.05,0)</f>
        <v>0</v>
      </c>
      <c r="BA23" s="19" t="n">
        <f aca="false">IF(AND(Projects!$G$12="Yes",BA$3&gt;=Projects!$C$12,BA$3&lt;Projects!$C$12+Projects!$D$12),Projects!$B$12*INDEX(Curves!$B$4:$AR$4,1,BA$3-Projects!$C$12+1),0)-IF(AND(Projects!$G$12="Yes",BA$3&gt;=Projects!$C$12,BA$3&lt;Projects!$C$12+Projects!$D$12),Projects!$B$12*(Assumptions!$B$10+Assumptions!$B$11+Assumptions!$B$12)/Projects!$D$12*0.95,0)-IF(AND(Projects!$G$12="Yes",BA$3=Projects!$C$12+Projects!$D$12-1),Projects!$B$12*(Assumptions!$B$10+Assumptions!$B$11+Assumptions!$B$12)*0.05,0)</f>
        <v>0</v>
      </c>
      <c r="BB23" s="19" t="n">
        <f aca="false">IF(AND(Projects!$G$12="Yes",BB$3&gt;=Projects!$C$12,BB$3&lt;Projects!$C$12+Projects!$D$12),Projects!$B$12*INDEX(Curves!$B$4:$AR$4,1,BB$3-Projects!$C$12+1),0)-IF(AND(Projects!$G$12="Yes",BB$3&gt;=Projects!$C$12,BB$3&lt;Projects!$C$12+Projects!$D$12),Projects!$B$12*(Assumptions!$B$10+Assumptions!$B$11+Assumptions!$B$12)/Projects!$D$12*0.95,0)-IF(AND(Projects!$G$12="Yes",BB$3=Projects!$C$12+Projects!$D$12-1),Projects!$B$12*(Assumptions!$B$10+Assumptions!$B$11+Assumptions!$B$12)*0.05,0)</f>
        <v>0</v>
      </c>
      <c r="BC23" s="19" t="n">
        <f aca="false">IF(AND(Projects!$G$12="Yes",BC$3&gt;=Projects!$C$12,BC$3&lt;Projects!$C$12+Projects!$D$12),Projects!$B$12*INDEX(Curves!$B$4:$AR$4,1,BC$3-Projects!$C$12+1),0)-IF(AND(Projects!$G$12="Yes",BC$3&gt;=Projects!$C$12,BC$3&lt;Projects!$C$12+Projects!$D$12),Projects!$B$12*(Assumptions!$B$10+Assumptions!$B$11+Assumptions!$B$12)/Projects!$D$12*0.95,0)-IF(AND(Projects!$G$12="Yes",BC$3=Projects!$C$12+Projects!$D$12-1),Projects!$B$12*(Assumptions!$B$10+Assumptions!$B$11+Assumptions!$B$12)*0.05,0)</f>
        <v>0</v>
      </c>
      <c r="BD23" s="19" t="n">
        <f aca="false">IF(AND(Projects!$G$12="Yes",BD$3&gt;=Projects!$C$12,BD$3&lt;Projects!$C$12+Projects!$D$12),Projects!$B$12*INDEX(Curves!$B$4:$AR$4,1,BD$3-Projects!$C$12+1),0)-IF(AND(Projects!$G$12="Yes",BD$3&gt;=Projects!$C$12,BD$3&lt;Projects!$C$12+Projects!$D$12),Projects!$B$12*(Assumptions!$B$10+Assumptions!$B$11+Assumptions!$B$12)/Projects!$D$12*0.95,0)-IF(AND(Projects!$G$12="Yes",BD$3=Projects!$C$12+Projects!$D$12-1),Projects!$B$12*(Assumptions!$B$10+Assumptions!$B$11+Assumptions!$B$12)*0.05,0)</f>
        <v>0</v>
      </c>
      <c r="BE23" s="19" t="n">
        <f aca="false">IF(AND(Projects!$G$12="Yes",BE$3&gt;=Projects!$C$12,BE$3&lt;Projects!$C$12+Projects!$D$12),Projects!$B$12*INDEX(Curves!$B$4:$AR$4,1,BE$3-Projects!$C$12+1),0)-IF(AND(Projects!$G$12="Yes",BE$3&gt;=Projects!$C$12,BE$3&lt;Projects!$C$12+Projects!$D$12),Projects!$B$12*(Assumptions!$B$10+Assumptions!$B$11+Assumptions!$B$12)/Projects!$D$12*0.95,0)-IF(AND(Projects!$G$12="Yes",BE$3=Projects!$C$12+Projects!$D$12-1),Projects!$B$12*(Assumptions!$B$10+Assumptions!$B$11+Assumptions!$B$12)*0.05,0)</f>
        <v>0</v>
      </c>
      <c r="BF23" s="19" t="n">
        <f aca="false">IF(AND(Projects!$G$12="Yes",BF$3&gt;=Projects!$C$12,BF$3&lt;Projects!$C$12+Projects!$D$12),Projects!$B$12*INDEX(Curves!$B$4:$AR$4,1,BF$3-Projects!$C$12+1),0)-IF(AND(Projects!$G$12="Yes",BF$3&gt;=Projects!$C$12,BF$3&lt;Projects!$C$12+Projects!$D$12),Projects!$B$12*(Assumptions!$B$10+Assumptions!$B$11+Assumptions!$B$12)/Projects!$D$12*0.95,0)-IF(AND(Projects!$G$12="Yes",BF$3=Projects!$C$12+Projects!$D$12-1),Projects!$B$12*(Assumptions!$B$10+Assumptions!$B$11+Assumptions!$B$12)*0.05,0)</f>
        <v>0</v>
      </c>
      <c r="BG23" s="19" t="n">
        <f aca="false">IF(AND(Projects!$G$12="Yes",BG$3&gt;=Projects!$C$12,BG$3&lt;Projects!$C$12+Projects!$D$12),Projects!$B$12*INDEX(Curves!$B$4:$AR$4,1,BG$3-Projects!$C$12+1),0)-IF(AND(Projects!$G$12="Yes",BG$3&gt;=Projects!$C$12,BG$3&lt;Projects!$C$12+Projects!$D$12),Projects!$B$12*(Assumptions!$B$10+Assumptions!$B$11+Assumptions!$B$12)/Projects!$D$12*0.95,0)-IF(AND(Projects!$G$12="Yes",BG$3=Projects!$C$12+Projects!$D$12-1),Projects!$B$12*(Assumptions!$B$10+Assumptions!$B$11+Assumptions!$B$12)*0.05,0)</f>
        <v>0</v>
      </c>
      <c r="BH23" s="19" t="n">
        <f aca="false">IF(AND(Projects!$G$12="Yes",BH$3&gt;=Projects!$C$12,BH$3&lt;Projects!$C$12+Projects!$D$12),Projects!$B$12*INDEX(Curves!$B$4:$AR$4,1,BH$3-Projects!$C$12+1),0)-IF(AND(Projects!$G$12="Yes",BH$3&gt;=Projects!$C$12,BH$3&lt;Projects!$C$12+Projects!$D$12),Projects!$B$12*(Assumptions!$B$10+Assumptions!$B$11+Assumptions!$B$12)/Projects!$D$12*0.95,0)-IF(AND(Projects!$G$12="Yes",BH$3=Projects!$C$12+Projects!$D$12-1),Projects!$B$12*(Assumptions!$B$10+Assumptions!$B$11+Assumptions!$B$12)*0.05,0)</f>
        <v>0</v>
      </c>
      <c r="BI23" s="19" t="n">
        <f aca="false">IF(AND(Projects!$G$12="Yes",BI$3&gt;=Projects!$C$12,BI$3&lt;Projects!$C$12+Projects!$D$12),Projects!$B$12*INDEX(Curves!$B$4:$AR$4,1,BI$3-Projects!$C$12+1),0)-IF(AND(Projects!$G$12="Yes",BI$3&gt;=Projects!$C$12,BI$3&lt;Projects!$C$12+Projects!$D$12),Projects!$B$12*(Assumptions!$B$10+Assumptions!$B$11+Assumptions!$B$12)/Projects!$D$12*0.95,0)-IF(AND(Projects!$G$12="Yes",BI$3=Projects!$C$12+Projects!$D$12-1),Projects!$B$12*(Assumptions!$B$10+Assumptions!$B$11+Assumptions!$B$12)*0.05,0)</f>
        <v>0</v>
      </c>
      <c r="BJ23" s="19" t="n">
        <f aca="false">IF(AND(Projects!$G$12="Yes",BJ$3&gt;=Projects!$C$12,BJ$3&lt;Projects!$C$12+Projects!$D$12),Projects!$B$12*INDEX(Curves!$B$4:$AR$4,1,BJ$3-Projects!$C$12+1),0)-IF(AND(Projects!$G$12="Yes",BJ$3&gt;=Projects!$C$12,BJ$3&lt;Projects!$C$12+Projects!$D$12),Projects!$B$12*(Assumptions!$B$10+Assumptions!$B$11+Assumptions!$B$12)/Projects!$D$12*0.95,0)-IF(AND(Projects!$G$12="Yes",BJ$3=Projects!$C$12+Projects!$D$12-1),Projects!$B$12*(Assumptions!$B$10+Assumptions!$B$11+Assumptions!$B$12)*0.05,0)</f>
        <v>0</v>
      </c>
      <c r="BK23" s="19" t="n">
        <f aca="false">IF(AND(Projects!$G$12="Yes",BK$3&gt;=Projects!$C$12,BK$3&lt;Projects!$C$12+Projects!$D$12),Projects!$B$12*INDEX(Curves!$B$4:$AR$4,1,BK$3-Projects!$C$12+1),0)-IF(AND(Projects!$G$12="Yes",BK$3&gt;=Projects!$C$12,BK$3&lt;Projects!$C$12+Projects!$D$12),Projects!$B$12*(Assumptions!$B$10+Assumptions!$B$11+Assumptions!$B$12)/Projects!$D$12*0.95,0)-IF(AND(Projects!$G$12="Yes",BK$3=Projects!$C$12+Projects!$D$12-1),Projects!$B$12*(Assumptions!$B$10+Assumptions!$B$11+Assumptions!$B$12)*0.05,0)</f>
        <v>0</v>
      </c>
      <c r="BL23" s="19" t="n">
        <f aca="false">IF(AND(Projects!$G$12="Yes",BL$3&gt;=Projects!$C$12,BL$3&lt;Projects!$C$12+Projects!$D$12),Projects!$B$12*INDEX(Curves!$B$4:$AR$4,1,BL$3-Projects!$C$12+1),0)-IF(AND(Projects!$G$12="Yes",BL$3&gt;=Projects!$C$12,BL$3&lt;Projects!$C$12+Projects!$D$12),Projects!$B$12*(Assumptions!$B$10+Assumptions!$B$11+Assumptions!$B$12)/Projects!$D$12*0.95,0)-IF(AND(Projects!$G$12="Yes",BL$3=Projects!$C$12+Projects!$D$12-1),Projects!$B$12*(Assumptions!$B$10+Assumptions!$B$11+Assumptions!$B$12)*0.05,0)</f>
        <v>0</v>
      </c>
      <c r="BM23" s="19" t="n">
        <f aca="false">IF(AND(Projects!$G$12="Yes",BM$3&gt;=Projects!$C$12,BM$3&lt;Projects!$C$12+Projects!$D$12),Projects!$B$12*INDEX(Curves!$B$4:$AR$4,1,BM$3-Projects!$C$12+1),0)-IF(AND(Projects!$G$12="Yes",BM$3&gt;=Projects!$C$12,BM$3&lt;Projects!$C$12+Projects!$D$12),Projects!$B$12*(Assumptions!$B$10+Assumptions!$B$11+Assumptions!$B$12)/Projects!$D$12*0.95,0)-IF(AND(Projects!$G$12="Yes",BM$3=Projects!$C$12+Projects!$D$12-1),Projects!$B$12*(Assumptions!$B$10+Assumptions!$B$11+Assumptions!$B$12)*0.05,0)</f>
        <v>0</v>
      </c>
      <c r="BN23" s="19" t="n">
        <f aca="false">IF(AND(Projects!$G$12="Yes",BN$3&gt;=Projects!$C$12,BN$3&lt;Projects!$C$12+Projects!$D$12),Projects!$B$12*INDEX(Curves!$B$4:$AR$4,1,BN$3-Projects!$C$12+1),0)-IF(AND(Projects!$G$12="Yes",BN$3&gt;=Projects!$C$12,BN$3&lt;Projects!$C$12+Projects!$D$12),Projects!$B$12*(Assumptions!$B$10+Assumptions!$B$11+Assumptions!$B$12)/Projects!$D$12*0.95,0)-IF(AND(Projects!$G$12="Yes",BN$3=Projects!$C$12+Projects!$D$12-1),Projects!$B$12*(Assumptions!$B$10+Assumptions!$B$11+Assumptions!$B$12)*0.05,0)</f>
        <v>0</v>
      </c>
      <c r="BO23" s="19" t="n">
        <f aca="false">IF(AND(Projects!$G$12="Yes",BO$3&gt;=Projects!$C$12,BO$3&lt;Projects!$C$12+Projects!$D$12),Projects!$B$12*INDEX(Curves!$B$4:$AR$4,1,BO$3-Projects!$C$12+1),0)-IF(AND(Projects!$G$12="Yes",BO$3&gt;=Projects!$C$12,BO$3&lt;Projects!$C$12+Projects!$D$12),Projects!$B$12*(Assumptions!$B$10+Assumptions!$B$11+Assumptions!$B$12)/Projects!$D$12*0.95,0)-IF(AND(Projects!$G$12="Yes",BO$3=Projects!$C$12+Projects!$D$12-1),Projects!$B$12*(Assumptions!$B$10+Assumptions!$B$11+Assumptions!$B$12)*0.05,0)</f>
        <v>0</v>
      </c>
      <c r="BP23" s="19" t="n">
        <f aca="false">IF(AND(Projects!$G$12="Yes",BP$3&gt;=Projects!$C$12,BP$3&lt;Projects!$C$12+Projects!$D$12),Projects!$B$12*INDEX(Curves!$B$4:$AR$4,1,BP$3-Projects!$C$12+1),0)-IF(AND(Projects!$G$12="Yes",BP$3&gt;=Projects!$C$12,BP$3&lt;Projects!$C$12+Projects!$D$12),Projects!$B$12*(Assumptions!$B$10+Assumptions!$B$11+Assumptions!$B$12)/Projects!$D$12*0.95,0)-IF(AND(Projects!$G$12="Yes",BP$3=Projects!$C$12+Projects!$D$12-1),Projects!$B$12*(Assumptions!$B$10+Assumptions!$B$11+Assumptions!$B$12)*0.05,0)</f>
        <v>0</v>
      </c>
      <c r="BQ23" s="19" t="n">
        <f aca="false">IF(AND(Projects!$G$12="Yes",BQ$3&gt;=Projects!$C$12,BQ$3&lt;Projects!$C$12+Projects!$D$12),Projects!$B$12*INDEX(Curves!$B$4:$AR$4,1,BQ$3-Projects!$C$12+1),0)-IF(AND(Projects!$G$12="Yes",BQ$3&gt;=Projects!$C$12,BQ$3&lt;Projects!$C$12+Projects!$D$12),Projects!$B$12*(Assumptions!$B$10+Assumptions!$B$11+Assumptions!$B$12)/Projects!$D$12*0.95,0)-IF(AND(Projects!$G$12="Yes",BQ$3=Projects!$C$12+Projects!$D$12-1),Projects!$B$12*(Assumptions!$B$10+Assumptions!$B$11+Assumptions!$B$12)*0.05,0)</f>
        <v>0</v>
      </c>
      <c r="BR23" s="19" t="n">
        <f aca="false">IF(AND(Projects!$G$12="Yes",BR$3&gt;=Projects!$C$12,BR$3&lt;Projects!$C$12+Projects!$D$12),Projects!$B$12*INDEX(Curves!$B$4:$AR$4,1,BR$3-Projects!$C$12+1),0)-IF(AND(Projects!$G$12="Yes",BR$3&gt;=Projects!$C$12,BR$3&lt;Projects!$C$12+Projects!$D$12),Projects!$B$12*(Assumptions!$B$10+Assumptions!$B$11+Assumptions!$B$12)/Projects!$D$12*0.95,0)-IF(AND(Projects!$G$12="Yes",BR$3=Projects!$C$12+Projects!$D$12-1),Projects!$B$12*(Assumptions!$B$10+Assumptions!$B$11+Assumptions!$B$12)*0.05,0)</f>
        <v>0</v>
      </c>
      <c r="BS23" s="19" t="n">
        <f aca="false">IF(AND(Projects!$G$12="Yes",BS$3&gt;=Projects!$C$12,BS$3&lt;Projects!$C$12+Projects!$D$12),Projects!$B$12*INDEX(Curves!$B$4:$AR$4,1,BS$3-Projects!$C$12+1),0)-IF(AND(Projects!$G$12="Yes",BS$3&gt;=Projects!$C$12,BS$3&lt;Projects!$C$12+Projects!$D$12),Projects!$B$12*(Assumptions!$B$10+Assumptions!$B$11+Assumptions!$B$12)/Projects!$D$12*0.95,0)-IF(AND(Projects!$G$12="Yes",BS$3=Projects!$C$12+Projects!$D$12-1),Projects!$B$12*(Assumptions!$B$10+Assumptions!$B$11+Assumptions!$B$12)*0.05,0)</f>
        <v>0</v>
      </c>
      <c r="BT23" s="19" t="n">
        <f aca="false">IF(AND(Projects!$G$12="Yes",BT$3&gt;=Projects!$C$12,BT$3&lt;Projects!$C$12+Projects!$D$12),Projects!$B$12*INDEX(Curves!$B$4:$AR$4,1,BT$3-Projects!$C$12+1),0)-IF(AND(Projects!$G$12="Yes",BT$3&gt;=Projects!$C$12,BT$3&lt;Projects!$C$12+Projects!$D$12),Projects!$B$12*(Assumptions!$B$10+Assumptions!$B$11+Assumptions!$B$12)/Projects!$D$12*0.95,0)-IF(AND(Projects!$G$12="Yes",BT$3=Projects!$C$12+Projects!$D$12-1),Projects!$B$12*(Assumptions!$B$10+Assumptions!$B$11+Assumptions!$B$12)*0.05,0)</f>
        <v>0</v>
      </c>
      <c r="BU23" s="19" t="n">
        <f aca="false">IF(AND(Projects!$G$12="Yes",BU$3&gt;=Projects!$C$12,BU$3&lt;Projects!$C$12+Projects!$D$12),Projects!$B$12*INDEX(Curves!$B$4:$AR$4,1,BU$3-Projects!$C$12+1),0)-IF(AND(Projects!$G$12="Yes",BU$3&gt;=Projects!$C$12,BU$3&lt;Projects!$C$12+Projects!$D$12),Projects!$B$12*(Assumptions!$B$10+Assumptions!$B$11+Assumptions!$B$12)/Projects!$D$12*0.95,0)-IF(AND(Projects!$G$12="Yes",BU$3=Projects!$C$12+Projects!$D$12-1),Projects!$B$12*(Assumptions!$B$10+Assumptions!$B$11+Assumptions!$B$12)*0.05,0)</f>
        <v>0</v>
      </c>
      <c r="BV23" s="19" t="n">
        <f aca="false">IF(AND(Projects!$G$12="Yes",BV$3&gt;=Projects!$C$12,BV$3&lt;Projects!$C$12+Projects!$D$12),Projects!$B$12*INDEX(Curves!$B$4:$AR$4,1,BV$3-Projects!$C$12+1),0)-IF(AND(Projects!$G$12="Yes",BV$3&gt;=Projects!$C$12,BV$3&lt;Projects!$C$12+Projects!$D$12),Projects!$B$12*(Assumptions!$B$10+Assumptions!$B$11+Assumptions!$B$12)/Projects!$D$12*0.95,0)-IF(AND(Projects!$G$12="Yes",BV$3=Projects!$C$12+Projects!$D$12-1),Projects!$B$12*(Assumptions!$B$10+Assumptions!$B$11+Assumptions!$B$12)*0.05,0)</f>
        <v>0</v>
      </c>
      <c r="BW23" s="19" t="n">
        <f aca="false">IF(AND(Projects!$G$12="Yes",BW$3&gt;=Projects!$C$12,BW$3&lt;Projects!$C$12+Projects!$D$12),Projects!$B$12*INDEX(Curves!$B$4:$AR$4,1,BW$3-Projects!$C$12+1),0)-IF(AND(Projects!$G$12="Yes",BW$3&gt;=Projects!$C$12,BW$3&lt;Projects!$C$12+Projects!$D$12),Projects!$B$12*(Assumptions!$B$10+Assumptions!$B$11+Assumptions!$B$12)/Projects!$D$12*0.95,0)-IF(AND(Projects!$G$12="Yes",BW$3=Projects!$C$12+Projects!$D$12-1),Projects!$B$12*(Assumptions!$B$10+Assumptions!$B$11+Assumptions!$B$12)*0.05,0)</f>
        <v>0</v>
      </c>
      <c r="BX23" s="19" t="n">
        <f aca="false">IF(AND(Projects!$G$12="Yes",BX$3&gt;=Projects!$C$12,BX$3&lt;Projects!$C$12+Projects!$D$12),Projects!$B$12*INDEX(Curves!$B$4:$AR$4,1,BX$3-Projects!$C$12+1),0)-IF(AND(Projects!$G$12="Yes",BX$3&gt;=Projects!$C$12,BX$3&lt;Projects!$C$12+Projects!$D$12),Projects!$B$12*(Assumptions!$B$10+Assumptions!$B$11+Assumptions!$B$12)/Projects!$D$12*0.95,0)-IF(AND(Projects!$G$12="Yes",BX$3=Projects!$C$12+Projects!$D$12-1),Projects!$B$12*(Assumptions!$B$10+Assumptions!$B$11+Assumptions!$B$12)*0.05,0)</f>
        <v>0</v>
      </c>
      <c r="BY23" s="19" t="n">
        <f aca="false">IF(AND(Projects!$G$12="Yes",BY$3&gt;=Projects!$C$12,BY$3&lt;Projects!$C$12+Projects!$D$12),Projects!$B$12*INDEX(Curves!$B$4:$AR$4,1,BY$3-Projects!$C$12+1),0)-IF(AND(Projects!$G$12="Yes",BY$3&gt;=Projects!$C$12,BY$3&lt;Projects!$C$12+Projects!$D$12),Projects!$B$12*(Assumptions!$B$10+Assumptions!$B$11+Assumptions!$B$12)/Projects!$D$12*0.95,0)-IF(AND(Projects!$G$12="Yes",BY$3=Projects!$C$12+Projects!$D$12-1),Projects!$B$12*(Assumptions!$B$10+Assumptions!$B$11+Assumptions!$B$12)*0.05,0)</f>
        <v>0</v>
      </c>
      <c r="BZ23" s="19" t="n">
        <f aca="false">IF(AND(Projects!$G$12="Yes",BZ$3&gt;=Projects!$C$12,BZ$3&lt;Projects!$C$12+Projects!$D$12),Projects!$B$12*INDEX(Curves!$B$4:$AR$4,1,BZ$3-Projects!$C$12+1),0)-IF(AND(Projects!$G$12="Yes",BZ$3&gt;=Projects!$C$12,BZ$3&lt;Projects!$C$12+Projects!$D$12),Projects!$B$12*(Assumptions!$B$10+Assumptions!$B$11+Assumptions!$B$12)/Projects!$D$12*0.95,0)-IF(AND(Projects!$G$12="Yes",BZ$3=Projects!$C$12+Projects!$D$12-1),Projects!$B$12*(Assumptions!$B$10+Assumptions!$B$11+Assumptions!$B$12)*0.05,0)</f>
        <v>0</v>
      </c>
      <c r="CA23" s="19" t="n">
        <f aca="false">IF(AND(Projects!$G$12="Yes",CA$3&gt;=Projects!$C$12,CA$3&lt;Projects!$C$12+Projects!$D$12),Projects!$B$12*INDEX(Curves!$B$4:$AR$4,1,CA$3-Projects!$C$12+1),0)-IF(AND(Projects!$G$12="Yes",CA$3&gt;=Projects!$C$12,CA$3&lt;Projects!$C$12+Projects!$D$12),Projects!$B$12*(Assumptions!$B$10+Assumptions!$B$11+Assumptions!$B$12)/Projects!$D$12*0.95,0)-IF(AND(Projects!$G$12="Yes",CA$3=Projects!$C$12+Projects!$D$12-1),Projects!$B$12*(Assumptions!$B$10+Assumptions!$B$11+Assumptions!$B$12)*0.05,0)</f>
        <v>0</v>
      </c>
      <c r="CB23" s="19" t="n">
        <f aca="false">IF(AND(Projects!$G$12="Yes",CB$3&gt;=Projects!$C$12,CB$3&lt;Projects!$C$12+Projects!$D$12),Projects!$B$12*INDEX(Curves!$B$4:$AR$4,1,CB$3-Projects!$C$12+1),0)-IF(AND(Projects!$G$12="Yes",CB$3&gt;=Projects!$C$12,CB$3&lt;Projects!$C$12+Projects!$D$12),Projects!$B$12*(Assumptions!$B$10+Assumptions!$B$11+Assumptions!$B$12)/Projects!$D$12*0.95,0)-IF(AND(Projects!$G$12="Yes",CB$3=Projects!$C$12+Projects!$D$12-1),Projects!$B$12*(Assumptions!$B$10+Assumptions!$B$11+Assumptions!$B$12)*0.05,0)</f>
        <v>0</v>
      </c>
      <c r="CC23" s="19" t="n">
        <f aca="false">IF(AND(Projects!$G$12="Yes",CC$3&gt;=Projects!$C$12,CC$3&lt;Projects!$C$12+Projects!$D$12),Projects!$B$12*INDEX(Curves!$B$4:$AR$4,1,CC$3-Projects!$C$12+1),0)-IF(AND(Projects!$G$12="Yes",CC$3&gt;=Projects!$C$12,CC$3&lt;Projects!$C$12+Projects!$D$12),Projects!$B$12*(Assumptions!$B$10+Assumptions!$B$11+Assumptions!$B$12)/Projects!$D$12*0.95,0)-IF(AND(Projects!$G$12="Yes",CC$3=Projects!$C$12+Projects!$D$12-1),Projects!$B$12*(Assumptions!$B$10+Assumptions!$B$11+Assumptions!$B$12)*0.05,0)</f>
        <v>0</v>
      </c>
      <c r="CD23" s="19" t="n">
        <f aca="false">IF(AND(Projects!$G$12="Yes",CD$3&gt;=Projects!$C$12,CD$3&lt;Projects!$C$12+Projects!$D$12),Projects!$B$12*INDEX(Curves!$B$4:$AR$4,1,CD$3-Projects!$C$12+1),0)-IF(AND(Projects!$G$12="Yes",CD$3&gt;=Projects!$C$12,CD$3&lt;Projects!$C$12+Projects!$D$12),Projects!$B$12*(Assumptions!$B$10+Assumptions!$B$11+Assumptions!$B$12)/Projects!$D$12*0.95,0)-IF(AND(Projects!$G$12="Yes",CD$3=Projects!$C$12+Projects!$D$12-1),Projects!$B$12*(Assumptions!$B$10+Assumptions!$B$11+Assumptions!$B$12)*0.05,0)</f>
        <v>0</v>
      </c>
      <c r="CE23" s="19" t="n">
        <f aca="false">IF(AND(Projects!$G$12="Yes",CE$3&gt;=Projects!$C$12,CE$3&lt;Projects!$C$12+Projects!$D$12),Projects!$B$12*INDEX(Curves!$B$4:$AR$4,1,CE$3-Projects!$C$12+1),0)-IF(AND(Projects!$G$12="Yes",CE$3&gt;=Projects!$C$12,CE$3&lt;Projects!$C$12+Projects!$D$12),Projects!$B$12*(Assumptions!$B$10+Assumptions!$B$11+Assumptions!$B$12)/Projects!$D$12*0.95,0)-IF(AND(Projects!$G$12="Yes",CE$3=Projects!$C$12+Projects!$D$12-1),Projects!$B$12*(Assumptions!$B$10+Assumptions!$B$11+Assumptions!$B$12)*0.05,0)</f>
        <v>0</v>
      </c>
      <c r="CF23" s="19" t="n">
        <f aca="false">IF(AND(Projects!$G$12="Yes",CF$3&gt;=Projects!$C$12,CF$3&lt;Projects!$C$12+Projects!$D$12),Projects!$B$12*INDEX(Curves!$B$4:$AR$4,1,CF$3-Projects!$C$12+1),0)-IF(AND(Projects!$G$12="Yes",CF$3&gt;=Projects!$C$12,CF$3&lt;Projects!$C$12+Projects!$D$12),Projects!$B$12*(Assumptions!$B$10+Assumptions!$B$11+Assumptions!$B$12)/Projects!$D$12*0.95,0)-IF(AND(Projects!$G$12="Yes",CF$3=Projects!$C$12+Projects!$D$12-1),Projects!$B$12*(Assumptions!$B$10+Assumptions!$B$11+Assumptions!$B$12)*0.05,0)</f>
        <v>0</v>
      </c>
      <c r="CG23" s="19" t="n">
        <f aca="false">IF(AND(Projects!$G$12="Yes",CG$3&gt;=Projects!$C$12,CG$3&lt;Projects!$C$12+Projects!$D$12),Projects!$B$12*INDEX(Curves!$B$4:$AR$4,1,CG$3-Projects!$C$12+1),0)-IF(AND(Projects!$G$12="Yes",CG$3&gt;=Projects!$C$12,CG$3&lt;Projects!$C$12+Projects!$D$12),Projects!$B$12*(Assumptions!$B$10+Assumptions!$B$11+Assumptions!$B$12)/Projects!$D$12*0.95,0)-IF(AND(Projects!$G$12="Yes",CG$3=Projects!$C$12+Projects!$D$12-1),Projects!$B$12*(Assumptions!$B$10+Assumptions!$B$11+Assumptions!$B$12)*0.05,0)</f>
        <v>0</v>
      </c>
      <c r="CH23" s="19" t="n">
        <f aca="false">IF(AND(Projects!$G$12="Yes",CH$3&gt;=Projects!$C$12,CH$3&lt;Projects!$C$12+Projects!$D$12),Projects!$B$12*INDEX(Curves!$B$4:$AR$4,1,CH$3-Projects!$C$12+1),0)-IF(AND(Projects!$G$12="Yes",CH$3&gt;=Projects!$C$12,CH$3&lt;Projects!$C$12+Projects!$D$12),Projects!$B$12*(Assumptions!$B$10+Assumptions!$B$11+Assumptions!$B$12)/Projects!$D$12*0.95,0)-IF(AND(Projects!$G$12="Yes",CH$3=Projects!$C$12+Projects!$D$12-1),Projects!$B$12*(Assumptions!$B$10+Assumptions!$B$11+Assumptions!$B$12)*0.05,0)</f>
        <v>0</v>
      </c>
      <c r="CI23" s="19" t="n">
        <f aca="false">IF(AND(Projects!$G$12="Yes",CI$3&gt;=Projects!$C$12,CI$3&lt;Projects!$C$12+Projects!$D$12),Projects!$B$12*INDEX(Curves!$B$4:$AR$4,1,CI$3-Projects!$C$12+1),0)-IF(AND(Projects!$G$12="Yes",CI$3&gt;=Projects!$C$12,CI$3&lt;Projects!$C$12+Projects!$D$12),Projects!$B$12*(Assumptions!$B$10+Assumptions!$B$11+Assumptions!$B$12)/Projects!$D$12*0.95,0)-IF(AND(Projects!$G$12="Yes",CI$3=Projects!$C$12+Projects!$D$12-1),Projects!$B$12*(Assumptions!$B$10+Assumptions!$B$11+Assumptions!$B$12)*0.05,0)</f>
        <v>0</v>
      </c>
      <c r="CJ23" s="19" t="n">
        <f aca="false">IF(AND(Projects!$G$12="Yes",CJ$3&gt;=Projects!$C$12,CJ$3&lt;Projects!$C$12+Projects!$D$12),Projects!$B$12*INDEX(Curves!$B$4:$AR$4,1,CJ$3-Projects!$C$12+1),0)-IF(AND(Projects!$G$12="Yes",CJ$3&gt;=Projects!$C$12,CJ$3&lt;Projects!$C$12+Projects!$D$12),Projects!$B$12*(Assumptions!$B$10+Assumptions!$B$11+Assumptions!$B$12)/Projects!$D$12*0.95,0)-IF(AND(Projects!$G$12="Yes",CJ$3=Projects!$C$12+Projects!$D$12-1),Projects!$B$12*(Assumptions!$B$10+Assumptions!$B$11+Assumptions!$B$12)*0.05,0)</f>
        <v>0</v>
      </c>
      <c r="CK23" s="19" t="n">
        <f aca="false">IF(AND(Projects!$G$12="Yes",CK$3&gt;=Projects!$C$12,CK$3&lt;Projects!$C$12+Projects!$D$12),Projects!$B$12*INDEX(Curves!$B$4:$AR$4,1,CK$3-Projects!$C$12+1),0)-IF(AND(Projects!$G$12="Yes",CK$3&gt;=Projects!$C$12,CK$3&lt;Projects!$C$12+Projects!$D$12),Projects!$B$12*(Assumptions!$B$10+Assumptions!$B$11+Assumptions!$B$12)/Projects!$D$12*0.95,0)-IF(AND(Projects!$G$12="Yes",CK$3=Projects!$C$12+Projects!$D$12-1),Projects!$B$12*(Assumptions!$B$10+Assumptions!$B$11+Assumptions!$B$12)*0.05,0)</f>
        <v>0</v>
      </c>
      <c r="CL23" s="19" t="n">
        <f aca="false">IF(AND(Projects!$G$12="Yes",CL$3&gt;=Projects!$C$12,CL$3&lt;Projects!$C$12+Projects!$D$12),Projects!$B$12*INDEX(Curves!$B$4:$AR$4,1,CL$3-Projects!$C$12+1),0)-IF(AND(Projects!$G$12="Yes",CL$3&gt;=Projects!$C$12,CL$3&lt;Projects!$C$12+Projects!$D$12),Projects!$B$12*(Assumptions!$B$10+Assumptions!$B$11+Assumptions!$B$12)/Projects!$D$12*0.95,0)-IF(AND(Projects!$G$12="Yes",CL$3=Projects!$C$12+Projects!$D$12-1),Projects!$B$12*(Assumptions!$B$10+Assumptions!$B$11+Assumptions!$B$12)*0.05,0)</f>
        <v>0</v>
      </c>
      <c r="CM23" s="19" t="n">
        <f aca="false">IF(AND(Projects!$G$12="Yes",CM$3&gt;=Projects!$C$12,CM$3&lt;Projects!$C$12+Projects!$D$12),Projects!$B$12*INDEX(Curves!$B$4:$AR$4,1,CM$3-Projects!$C$12+1),0)-IF(AND(Projects!$G$12="Yes",CM$3&gt;=Projects!$C$12,CM$3&lt;Projects!$C$12+Projects!$D$12),Projects!$B$12*(Assumptions!$B$10+Assumptions!$B$11+Assumptions!$B$12)/Projects!$D$12*0.95,0)-IF(AND(Projects!$G$12="Yes",CM$3=Projects!$C$12+Projects!$D$12-1),Projects!$B$12*(Assumptions!$B$10+Assumptions!$B$11+Assumptions!$B$12)*0.05,0)</f>
        <v>0</v>
      </c>
      <c r="CN23" s="19" t="n">
        <f aca="false">IF(AND(Projects!$G$12="Yes",CN$3&gt;=Projects!$C$12,CN$3&lt;Projects!$C$12+Projects!$D$12),Projects!$B$12*INDEX(Curves!$B$4:$AR$4,1,CN$3-Projects!$C$12+1),0)-IF(AND(Projects!$G$12="Yes",CN$3&gt;=Projects!$C$12,CN$3&lt;Projects!$C$12+Projects!$D$12),Projects!$B$12*(Assumptions!$B$10+Assumptions!$B$11+Assumptions!$B$12)/Projects!$D$12*0.95,0)-IF(AND(Projects!$G$12="Yes",CN$3=Projects!$C$12+Projects!$D$12-1),Projects!$B$12*(Assumptions!$B$10+Assumptions!$B$11+Assumptions!$B$12)*0.05,0)</f>
        <v>0</v>
      </c>
      <c r="CO23" s="19" t="n">
        <f aca="false">IF(AND(Projects!$G$12="Yes",CO$3&gt;=Projects!$C$12,CO$3&lt;Projects!$C$12+Projects!$D$12),Projects!$B$12*INDEX(Curves!$B$4:$AR$4,1,CO$3-Projects!$C$12+1),0)-IF(AND(Projects!$G$12="Yes",CO$3&gt;=Projects!$C$12,CO$3&lt;Projects!$C$12+Projects!$D$12),Projects!$B$12*(Assumptions!$B$10+Assumptions!$B$11+Assumptions!$B$12)/Projects!$D$12*0.95,0)-IF(AND(Projects!$G$12="Yes",CO$3=Projects!$C$12+Projects!$D$12-1),Projects!$B$12*(Assumptions!$B$10+Assumptions!$B$11+Assumptions!$B$12)*0.05,0)</f>
        <v>0</v>
      </c>
      <c r="CP23" s="19" t="n">
        <f aca="false">IF(AND(Projects!$G$12="Yes",CP$3&gt;=Projects!$C$12,CP$3&lt;Projects!$C$12+Projects!$D$12),Projects!$B$12*INDEX(Curves!$B$4:$AR$4,1,CP$3-Projects!$C$12+1),0)-IF(AND(Projects!$G$12="Yes",CP$3&gt;=Projects!$C$12,CP$3&lt;Projects!$C$12+Projects!$D$12),Projects!$B$12*(Assumptions!$B$10+Assumptions!$B$11+Assumptions!$B$12)/Projects!$D$12*0.95,0)-IF(AND(Projects!$G$12="Yes",CP$3=Projects!$C$12+Projects!$D$12-1),Projects!$B$12*(Assumptions!$B$10+Assumptions!$B$11+Assumptions!$B$12)*0.05,0)</f>
        <v>0</v>
      </c>
      <c r="CQ23" s="19" t="n">
        <f aca="false">IF(AND(Projects!$G$12="Yes",CQ$3&gt;=Projects!$C$12,CQ$3&lt;Projects!$C$12+Projects!$D$12),Projects!$B$12*INDEX(Curves!$B$4:$AR$4,1,CQ$3-Projects!$C$12+1),0)-IF(AND(Projects!$G$12="Yes",CQ$3&gt;=Projects!$C$12,CQ$3&lt;Projects!$C$12+Projects!$D$12),Projects!$B$12*(Assumptions!$B$10+Assumptions!$B$11+Assumptions!$B$12)/Projects!$D$12*0.95,0)-IF(AND(Projects!$G$12="Yes",CQ$3=Projects!$C$12+Projects!$D$12-1),Projects!$B$12*(Assumptions!$B$10+Assumptions!$B$11+Assumptions!$B$12)*0.05,0)</f>
        <v>0</v>
      </c>
      <c r="CR23" s="19" t="n">
        <f aca="false">IF(AND(Projects!$G$12="Yes",CR$3&gt;=Projects!$C$12,CR$3&lt;Projects!$C$12+Projects!$D$12),Projects!$B$12*INDEX(Curves!$B$4:$AR$4,1,CR$3-Projects!$C$12+1),0)-IF(AND(Projects!$G$12="Yes",CR$3&gt;=Projects!$C$12,CR$3&lt;Projects!$C$12+Projects!$D$12),Projects!$B$12*(Assumptions!$B$10+Assumptions!$B$11+Assumptions!$B$12)/Projects!$D$12*0.95,0)-IF(AND(Projects!$G$12="Yes",CR$3=Projects!$C$12+Projects!$D$12-1),Projects!$B$12*(Assumptions!$B$10+Assumptions!$B$11+Assumptions!$B$12)*0.05,0)</f>
        <v>0</v>
      </c>
      <c r="CS23" s="19" t="n">
        <f aca="false">IF(AND(Projects!$G$12="Yes",CS$3&gt;=Projects!$C$12,CS$3&lt;Projects!$C$12+Projects!$D$12),Projects!$B$12*INDEX(Curves!$B$4:$AR$4,1,CS$3-Projects!$C$12+1),0)-IF(AND(Projects!$G$12="Yes",CS$3&gt;=Projects!$C$12,CS$3&lt;Projects!$C$12+Projects!$D$12),Projects!$B$12*(Assumptions!$B$10+Assumptions!$B$11+Assumptions!$B$12)/Projects!$D$12*0.95,0)-IF(AND(Projects!$G$12="Yes",CS$3=Projects!$C$12+Projects!$D$12-1),Projects!$B$12*(Assumptions!$B$10+Assumptions!$B$11+Assumptions!$B$12)*0.05,0)</f>
        <v>0</v>
      </c>
      <c r="CT23" s="19" t="n">
        <f aca="false">IF(AND(Projects!$G$12="Yes",CT$3&gt;=Projects!$C$12,CT$3&lt;Projects!$C$12+Projects!$D$12),Projects!$B$12*INDEX(Curves!$B$4:$AR$4,1,CT$3-Projects!$C$12+1),0)-IF(AND(Projects!$G$12="Yes",CT$3&gt;=Projects!$C$12,CT$3&lt;Projects!$C$12+Projects!$D$12),Projects!$B$12*(Assumptions!$B$10+Assumptions!$B$11+Assumptions!$B$12)/Projects!$D$12*0.95,0)-IF(AND(Projects!$G$12="Yes",CT$3=Projects!$C$12+Projects!$D$12-1),Projects!$B$12*(Assumptions!$B$10+Assumptions!$B$11+Assumptions!$B$12)*0.05,0)</f>
        <v>0</v>
      </c>
      <c r="CU23" s="19" t="n">
        <f aca="false">IF(AND(Projects!$G$12="Yes",CU$3&gt;=Projects!$C$12,CU$3&lt;Projects!$C$12+Projects!$D$12),Projects!$B$12*INDEX(Curves!$B$4:$AR$4,1,CU$3-Projects!$C$12+1),0)-IF(AND(Projects!$G$12="Yes",CU$3&gt;=Projects!$C$12,CU$3&lt;Projects!$C$12+Projects!$D$12),Projects!$B$12*(Assumptions!$B$10+Assumptions!$B$11+Assumptions!$B$12)/Projects!$D$12*0.95,0)-IF(AND(Projects!$G$12="Yes",CU$3=Projects!$C$12+Projects!$D$12-1),Projects!$B$12*(Assumptions!$B$10+Assumptions!$B$11+Assumptions!$B$12)*0.05,0)</f>
        <v>0</v>
      </c>
      <c r="CV23" s="19" t="n">
        <f aca="false">IF(AND(Projects!$G$12="Yes",CV$3&gt;=Projects!$C$12,CV$3&lt;Projects!$C$12+Projects!$D$12),Projects!$B$12*INDEX(Curves!$B$4:$AR$4,1,CV$3-Projects!$C$12+1),0)-IF(AND(Projects!$G$12="Yes",CV$3&gt;=Projects!$C$12,CV$3&lt;Projects!$C$12+Projects!$D$12),Projects!$B$12*(Assumptions!$B$10+Assumptions!$B$11+Assumptions!$B$12)/Projects!$D$12*0.95,0)-IF(AND(Projects!$G$12="Yes",CV$3=Projects!$C$12+Projects!$D$12-1),Projects!$B$12*(Assumptions!$B$10+Assumptions!$B$11+Assumptions!$B$12)*0.05,0)</f>
        <v>0</v>
      </c>
      <c r="CW23" s="19" t="n">
        <f aca="false">IF(AND(Projects!$G$12="Yes",CW$3&gt;=Projects!$C$12,CW$3&lt;Projects!$C$12+Projects!$D$12),Projects!$B$12*INDEX(Curves!$B$4:$AR$4,1,CW$3-Projects!$C$12+1),0)-IF(AND(Projects!$G$12="Yes",CW$3&gt;=Projects!$C$12,CW$3&lt;Projects!$C$12+Projects!$D$12),Projects!$B$12*(Assumptions!$B$10+Assumptions!$B$11+Assumptions!$B$12)/Projects!$D$12*0.95,0)-IF(AND(Projects!$G$12="Yes",CW$3=Projects!$C$12+Projects!$D$12-1),Projects!$B$12*(Assumptions!$B$10+Assumptions!$B$11+Assumptions!$B$12)*0.05,0)</f>
        <v>0</v>
      </c>
      <c r="CX23" s="19" t="n">
        <f aca="false">IF(AND(Projects!$G$12="Yes",CX$3&gt;=Projects!$C$12,CX$3&lt;Projects!$C$12+Projects!$D$12),Projects!$B$12*INDEX(Curves!$B$4:$AR$4,1,CX$3-Projects!$C$12+1),0)-IF(AND(Projects!$G$12="Yes",CX$3&gt;=Projects!$C$12,CX$3&lt;Projects!$C$12+Projects!$D$12),Projects!$B$12*(Assumptions!$B$10+Assumptions!$B$11+Assumptions!$B$12)/Projects!$D$12*0.95,0)-IF(AND(Projects!$G$12="Yes",CX$3=Projects!$C$12+Projects!$D$12-1),Projects!$B$12*(Assumptions!$B$10+Assumptions!$B$11+Assumptions!$B$12)*0.05,0)</f>
        <v>0</v>
      </c>
      <c r="CY23" s="19" t="n">
        <f aca="false">IF(AND(Projects!$G$12="Yes",CY$3&gt;=Projects!$C$12,CY$3&lt;Projects!$C$12+Projects!$D$12),Projects!$B$12*INDEX(Curves!$B$4:$AR$4,1,CY$3-Projects!$C$12+1),0)-IF(AND(Projects!$G$12="Yes",CY$3&gt;=Projects!$C$12,CY$3&lt;Projects!$C$12+Projects!$D$12),Projects!$B$12*(Assumptions!$B$10+Assumptions!$B$11+Assumptions!$B$12)/Projects!$D$12*0.95,0)-IF(AND(Projects!$G$12="Yes",CY$3=Projects!$C$12+Projects!$D$12-1),Projects!$B$12*(Assumptions!$B$10+Assumptions!$B$11+Assumptions!$B$12)*0.05,0)</f>
        <v>0</v>
      </c>
      <c r="CZ23" s="19" t="n">
        <f aca="false">IF(AND(Projects!$G$12="Yes",CZ$3&gt;=Projects!$C$12,CZ$3&lt;Projects!$C$12+Projects!$D$12),Projects!$B$12*INDEX(Curves!$B$4:$AR$4,1,CZ$3-Projects!$C$12+1),0)-IF(AND(Projects!$G$12="Yes",CZ$3&gt;=Projects!$C$12,CZ$3&lt;Projects!$C$12+Projects!$D$12),Projects!$B$12*(Assumptions!$B$10+Assumptions!$B$11+Assumptions!$B$12)/Projects!$D$12*0.95,0)-IF(AND(Projects!$G$12="Yes",CZ$3=Projects!$C$12+Projects!$D$12-1),Projects!$B$12*(Assumptions!$B$10+Assumptions!$B$11+Assumptions!$B$12)*0.05,0)</f>
        <v>0</v>
      </c>
      <c r="DA23" s="19" t="n">
        <f aca="false">IF(AND(Projects!$G$12="Yes",DA$3&gt;=Projects!$C$12,DA$3&lt;Projects!$C$12+Projects!$D$12),Projects!$B$12*INDEX(Curves!$B$4:$AR$4,1,DA$3-Projects!$C$12+1),0)-IF(AND(Projects!$G$12="Yes",DA$3&gt;=Projects!$C$12,DA$3&lt;Projects!$C$12+Projects!$D$12),Projects!$B$12*(Assumptions!$B$10+Assumptions!$B$11+Assumptions!$B$12)/Projects!$D$12*0.95,0)-IF(AND(Projects!$G$12="Yes",DA$3=Projects!$C$12+Projects!$D$12-1),Projects!$B$12*(Assumptions!$B$10+Assumptions!$B$11+Assumptions!$B$12)*0.05,0)</f>
        <v>0</v>
      </c>
      <c r="DB23" s="19" t="n">
        <f aca="false">IF(AND(Projects!$G$12="Yes",DB$3&gt;=Projects!$C$12,DB$3&lt;Projects!$C$12+Projects!$D$12),Projects!$B$12*INDEX(Curves!$B$4:$AR$4,1,DB$3-Projects!$C$12+1),0)-IF(AND(Projects!$G$12="Yes",DB$3&gt;=Projects!$C$12,DB$3&lt;Projects!$C$12+Projects!$D$12),Projects!$B$12*(Assumptions!$B$10+Assumptions!$B$11+Assumptions!$B$12)/Projects!$D$12*0.95,0)-IF(AND(Projects!$G$12="Yes",DB$3=Projects!$C$12+Projects!$D$12-1),Projects!$B$12*(Assumptions!$B$10+Assumptions!$B$11+Assumptions!$B$12)*0.05,0)</f>
        <v>0</v>
      </c>
      <c r="DC23" s="19" t="n">
        <f aca="false">IF(AND(Projects!$G$12="Yes",DC$3&gt;=Projects!$C$12,DC$3&lt;Projects!$C$12+Projects!$D$12),Projects!$B$12*INDEX(Curves!$B$4:$AR$4,1,DC$3-Projects!$C$12+1),0)-IF(AND(Projects!$G$12="Yes",DC$3&gt;=Projects!$C$12,DC$3&lt;Projects!$C$12+Projects!$D$12),Projects!$B$12*(Assumptions!$B$10+Assumptions!$B$11+Assumptions!$B$12)/Projects!$D$12*0.95,0)-IF(AND(Projects!$G$12="Yes",DC$3=Projects!$C$12+Projects!$D$12-1),Projects!$B$12*(Assumptions!$B$10+Assumptions!$B$11+Assumptions!$B$12)*0.05,0)</f>
        <v>0</v>
      </c>
      <c r="DD23" s="19" t="n">
        <f aca="false">IF(AND(Projects!$G$12="Yes",DD$3&gt;=Projects!$C$12,DD$3&lt;Projects!$C$12+Projects!$D$12),Projects!$B$12*INDEX(Curves!$B$4:$AR$4,1,DD$3-Projects!$C$12+1),0)-IF(AND(Projects!$G$12="Yes",DD$3&gt;=Projects!$C$12,DD$3&lt;Projects!$C$12+Projects!$D$12),Projects!$B$12*(Assumptions!$B$10+Assumptions!$B$11+Assumptions!$B$12)/Projects!$D$12*0.95,0)-IF(AND(Projects!$G$12="Yes",DD$3=Projects!$C$12+Projects!$D$12-1),Projects!$B$12*(Assumptions!$B$10+Assumptions!$B$11+Assumptions!$B$12)*0.05,0)</f>
        <v>0</v>
      </c>
      <c r="DE23" s="19" t="n">
        <f aca="false">IF(AND(Projects!$G$12="Yes",DE$3&gt;=Projects!$C$12,DE$3&lt;Projects!$C$12+Projects!$D$12),Projects!$B$12*INDEX(Curves!$B$4:$AR$4,1,DE$3-Projects!$C$12+1),0)-IF(AND(Projects!$G$12="Yes",DE$3&gt;=Projects!$C$12,DE$3&lt;Projects!$C$12+Projects!$D$12),Projects!$B$12*(Assumptions!$B$10+Assumptions!$B$11+Assumptions!$B$12)/Projects!$D$12*0.95,0)-IF(AND(Projects!$G$12="Yes",DE$3=Projects!$C$12+Projects!$D$12-1),Projects!$B$12*(Assumptions!$B$10+Assumptions!$B$11+Assumptions!$B$12)*0.05,0)</f>
        <v>0</v>
      </c>
    </row>
    <row r="24" customFormat="false" ht="15" hidden="true" customHeight="true" outlineLevel="1" collapsed="false">
      <c r="A24" s="28" t="s">
        <v>18</v>
      </c>
      <c r="B24" s="19" t="n">
        <v>0</v>
      </c>
      <c r="C24" s="19" t="n">
        <v>0</v>
      </c>
      <c r="D24" s="19" t="n">
        <v>0</v>
      </c>
      <c r="E24" s="19" t="n">
        <v>0</v>
      </c>
      <c r="F24" s="19" t="n">
        <f aca="false">IF(AND(Projects!$G$13="Yes",F$3&gt;=Projects!$C$13,F$3&lt;Projects!$C$13+Projects!$D$13),Projects!$B$13*INDEX(Curves!$B$2:$AR$2,1,F$3-Projects!$C$13+1),0)-IF(AND(Projects!$G$13="Yes",F$3&gt;=Projects!$C$13,F$3&lt;Projects!$C$13+Projects!$D$13),Projects!$B$13*(Assumptions!$B$10+Assumptions!$B$11+Assumptions!$B$12)/Projects!$D$13*0.95,0)-IF(AND(Projects!$G$13="Yes",F$3=Projects!$C$13+Projects!$D$13-1),Projects!$B$13*(Assumptions!$B$10+Assumptions!$B$11+Assumptions!$B$12)*0.05,0)</f>
        <v>0</v>
      </c>
      <c r="G24" s="19" t="n">
        <f aca="false">IF(AND(Projects!$G$13="Yes",G$3&gt;=Projects!$C$13,G$3&lt;Projects!$C$13+Projects!$D$13),Projects!$B$13*INDEX(Curves!$B$2:$AR$2,1,G$3-Projects!$C$13+1),0)-IF(AND(Projects!$G$13="Yes",G$3&gt;=Projects!$C$13,G$3&lt;Projects!$C$13+Projects!$D$13),Projects!$B$13*(Assumptions!$B$10+Assumptions!$B$11+Assumptions!$B$12)/Projects!$D$13*0.95,0)-IF(AND(Projects!$G$13="Yes",G$3=Projects!$C$13+Projects!$D$13-1),Projects!$B$13*(Assumptions!$B$10+Assumptions!$B$11+Assumptions!$B$12)*0.05,0)</f>
        <v>0</v>
      </c>
      <c r="H24" s="19" t="n">
        <f aca="false">IF(AND(Projects!$G$13="Yes",H$3&gt;=Projects!$C$13,H$3&lt;Projects!$C$13+Projects!$D$13),Projects!$B$13*INDEX(Curves!$B$2:$AR$2,1,H$3-Projects!$C$13+1),0)-IF(AND(Projects!$G$13="Yes",H$3&gt;=Projects!$C$13,H$3&lt;Projects!$C$13+Projects!$D$13),Projects!$B$13*(Assumptions!$B$10+Assumptions!$B$11+Assumptions!$B$12)/Projects!$D$13*0.95,0)-IF(AND(Projects!$G$13="Yes",H$3=Projects!$C$13+Projects!$D$13-1),Projects!$B$13*(Assumptions!$B$10+Assumptions!$B$11+Assumptions!$B$12)*0.05,0)</f>
        <v>0</v>
      </c>
      <c r="I24" s="19" t="n">
        <f aca="false">IF(AND(Projects!$G$13="Yes",I$3&gt;=Projects!$C$13,I$3&lt;Projects!$C$13+Projects!$D$13),Projects!$B$13*INDEX(Curves!$B$2:$AR$2,1,I$3-Projects!$C$13+1),0)-IF(AND(Projects!$G$13="Yes",I$3&gt;=Projects!$C$13,I$3&lt;Projects!$C$13+Projects!$D$13),Projects!$B$13*(Assumptions!$B$10+Assumptions!$B$11+Assumptions!$B$12)/Projects!$D$13*0.95,0)-IF(AND(Projects!$G$13="Yes",I$3=Projects!$C$13+Projects!$D$13-1),Projects!$B$13*(Assumptions!$B$10+Assumptions!$B$11+Assumptions!$B$12)*0.05,0)</f>
        <v>0</v>
      </c>
      <c r="J24" s="19" t="n">
        <f aca="false">IF(AND(Projects!$G$13="Yes",J$3&gt;=Projects!$C$13,J$3&lt;Projects!$C$13+Projects!$D$13),Projects!$B$13*INDEX(Curves!$B$2:$AR$2,1,J$3-Projects!$C$13+1),0)-IF(AND(Projects!$G$13="Yes",J$3&gt;=Projects!$C$13,J$3&lt;Projects!$C$13+Projects!$D$13),Projects!$B$13*(Assumptions!$B$10+Assumptions!$B$11+Assumptions!$B$12)/Projects!$D$13*0.95,0)-IF(AND(Projects!$G$13="Yes",J$3=Projects!$C$13+Projects!$D$13-1),Projects!$B$13*(Assumptions!$B$10+Assumptions!$B$11+Assumptions!$B$12)*0.05,0)</f>
        <v>0</v>
      </c>
      <c r="K24" s="19" t="n">
        <f aca="false">IF(AND(Projects!$G$13="Yes",K$3&gt;=Projects!$C$13,K$3&lt;Projects!$C$13+Projects!$D$13),Projects!$B$13*INDEX(Curves!$B$2:$AR$2,1,K$3-Projects!$C$13+1),0)-IF(AND(Projects!$G$13="Yes",K$3&gt;=Projects!$C$13,K$3&lt;Projects!$C$13+Projects!$D$13),Projects!$B$13*(Assumptions!$B$10+Assumptions!$B$11+Assumptions!$B$12)/Projects!$D$13*0.95,0)-IF(AND(Projects!$G$13="Yes",K$3=Projects!$C$13+Projects!$D$13-1),Projects!$B$13*(Assumptions!$B$10+Assumptions!$B$11+Assumptions!$B$12)*0.05,0)</f>
        <v>0</v>
      </c>
      <c r="L24" s="19" t="n">
        <f aca="false">IF(AND(Projects!$G$13="Yes",L$3&gt;=Projects!$C$13,L$3&lt;Projects!$C$13+Projects!$D$13),Projects!$B$13*INDEX(Curves!$B$2:$AR$2,1,L$3-Projects!$C$13+1),0)-IF(AND(Projects!$G$13="Yes",L$3&gt;=Projects!$C$13,L$3&lt;Projects!$C$13+Projects!$D$13),Projects!$B$13*(Assumptions!$B$10+Assumptions!$B$11+Assumptions!$B$12)/Projects!$D$13*0.95,0)-IF(AND(Projects!$G$13="Yes",L$3=Projects!$C$13+Projects!$D$13-1),Projects!$B$13*(Assumptions!$B$10+Assumptions!$B$11+Assumptions!$B$12)*0.05,0)</f>
        <v>0</v>
      </c>
      <c r="M24" s="19" t="n">
        <f aca="false">IF(AND(Projects!$G$13="Yes",M$3&gt;=Projects!$C$13,M$3&lt;Projects!$C$13+Projects!$D$13),Projects!$B$13*INDEX(Curves!$B$2:$AR$2,1,M$3-Projects!$C$13+1),0)-IF(AND(Projects!$G$13="Yes",M$3&gt;=Projects!$C$13,M$3&lt;Projects!$C$13+Projects!$D$13),Projects!$B$13*(Assumptions!$B$10+Assumptions!$B$11+Assumptions!$B$12)/Projects!$D$13*0.95,0)-IF(AND(Projects!$G$13="Yes",M$3=Projects!$C$13+Projects!$D$13-1),Projects!$B$13*(Assumptions!$B$10+Assumptions!$B$11+Assumptions!$B$12)*0.05,0)</f>
        <v>0</v>
      </c>
      <c r="N24" s="19" t="n">
        <f aca="false">IF(AND(Projects!$G$13="Yes",N$3&gt;=Projects!$C$13,N$3&lt;Projects!$C$13+Projects!$D$13),Projects!$B$13*INDEX(Curves!$B$2:$AR$2,1,N$3-Projects!$C$13+1),0)-IF(AND(Projects!$G$13="Yes",N$3&gt;=Projects!$C$13,N$3&lt;Projects!$C$13+Projects!$D$13),Projects!$B$13*(Assumptions!$B$10+Assumptions!$B$11+Assumptions!$B$12)/Projects!$D$13*0.95,0)-IF(AND(Projects!$G$13="Yes",N$3=Projects!$C$13+Projects!$D$13-1),Projects!$B$13*(Assumptions!$B$10+Assumptions!$B$11+Assumptions!$B$12)*0.05,0)</f>
        <v>0</v>
      </c>
      <c r="O24" s="19" t="n">
        <f aca="false">IF(AND(Projects!$G$13="Yes",O$3&gt;=Projects!$C$13,O$3&lt;Projects!$C$13+Projects!$D$13),Projects!$B$13*INDEX(Curves!$B$2:$AR$2,1,O$3-Projects!$C$13+1),0)-IF(AND(Projects!$G$13="Yes",O$3&gt;=Projects!$C$13,O$3&lt;Projects!$C$13+Projects!$D$13),Projects!$B$13*(Assumptions!$B$10+Assumptions!$B$11+Assumptions!$B$12)/Projects!$D$13*0.95,0)-IF(AND(Projects!$G$13="Yes",O$3=Projects!$C$13+Projects!$D$13-1),Projects!$B$13*(Assumptions!$B$10+Assumptions!$B$11+Assumptions!$B$12)*0.05,0)</f>
        <v>0</v>
      </c>
      <c r="P24" s="19" t="n">
        <f aca="false">IF(AND(Projects!$G$13="Yes",P$3&gt;=Projects!$C$13,P$3&lt;Projects!$C$13+Projects!$D$13),Projects!$B$13*INDEX(Curves!$B$2:$AR$2,1,P$3-Projects!$C$13+1),0)-IF(AND(Projects!$G$13="Yes",P$3&gt;=Projects!$C$13,P$3&lt;Projects!$C$13+Projects!$D$13),Projects!$B$13*(Assumptions!$B$10+Assumptions!$B$11+Assumptions!$B$12)/Projects!$D$13*0.95,0)-IF(AND(Projects!$G$13="Yes",P$3=Projects!$C$13+Projects!$D$13-1),Projects!$B$13*(Assumptions!$B$10+Assumptions!$B$11+Assumptions!$B$12)*0.05,0)</f>
        <v>0</v>
      </c>
      <c r="Q24" s="19" t="n">
        <f aca="false">IF(AND(Projects!$G$13="Yes",Q$3&gt;=Projects!$C$13,Q$3&lt;Projects!$C$13+Projects!$D$13),Projects!$B$13*INDEX(Curves!$B$2:$AR$2,1,Q$3-Projects!$C$13+1),0)-IF(AND(Projects!$G$13="Yes",Q$3&gt;=Projects!$C$13,Q$3&lt;Projects!$C$13+Projects!$D$13),Projects!$B$13*(Assumptions!$B$10+Assumptions!$B$11+Assumptions!$B$12)/Projects!$D$13*0.95,0)-IF(AND(Projects!$G$13="Yes",Q$3=Projects!$C$13+Projects!$D$13-1),Projects!$B$13*(Assumptions!$B$10+Assumptions!$B$11+Assumptions!$B$12)*0.05,0)</f>
        <v>556266.059712783</v>
      </c>
      <c r="R24" s="19" t="n">
        <f aca="false">IF(AND(Projects!$G$13="Yes",R$3&gt;=Projects!$C$13,R$3&lt;Projects!$C$13+Projects!$D$13),Projects!$B$13*INDEX(Curves!$B$2:$AR$2,1,R$3-Projects!$C$13+1),0)-IF(AND(Projects!$G$13="Yes",R$3&gt;=Projects!$C$13,R$3&lt;Projects!$C$13+Projects!$D$13),Projects!$B$13*(Assumptions!$B$10+Assumptions!$B$11+Assumptions!$B$12)/Projects!$D$13*0.95,0)-IF(AND(Projects!$G$13="Yes",R$3=Projects!$C$13+Projects!$D$13-1),Projects!$B$13*(Assumptions!$B$10+Assumptions!$B$11+Assumptions!$B$12)*0.05,0)</f>
        <v>665675.842802783</v>
      </c>
      <c r="S24" s="19" t="n">
        <f aca="false">IF(AND(Projects!$G$13="Yes",S$3&gt;=Projects!$C$13,S$3&lt;Projects!$C$13+Projects!$D$13),Projects!$B$13*INDEX(Curves!$B$2:$AR$2,1,S$3-Projects!$C$13+1),0)-IF(AND(Projects!$G$13="Yes",S$3&gt;=Projects!$C$13,S$3&lt;Projects!$C$13+Projects!$D$13),Projects!$B$13*(Assumptions!$B$10+Assumptions!$B$11+Assumptions!$B$12)/Projects!$D$13*0.95,0)-IF(AND(Projects!$G$13="Yes",S$3=Projects!$C$13+Projects!$D$13-1),Projects!$B$13*(Assumptions!$B$10+Assumptions!$B$11+Assumptions!$B$12)*0.05,0)</f>
        <v>781966.174932784</v>
      </c>
      <c r="T24" s="19" t="n">
        <f aca="false">IF(AND(Projects!$G$13="Yes",T$3&gt;=Projects!$C$13,T$3&lt;Projects!$C$13+Projects!$D$13),Projects!$B$13*INDEX(Curves!$B$2:$AR$2,1,T$3-Projects!$C$13+1),0)-IF(AND(Projects!$G$13="Yes",T$3&gt;=Projects!$C$13,T$3&lt;Projects!$C$13+Projects!$D$13),Projects!$B$13*(Assumptions!$B$10+Assumptions!$B$11+Assumptions!$B$12)/Projects!$D$13*0.95,0)-IF(AND(Projects!$G$13="Yes",T$3=Projects!$C$13+Projects!$D$13-1),Projects!$B$13*(Assumptions!$B$10+Assumptions!$B$11+Assumptions!$B$12)*0.05,0)</f>
        <v>903552.719152783</v>
      </c>
      <c r="U24" s="19" t="n">
        <f aca="false">IF(AND(Projects!$G$13="Yes",U$3&gt;=Projects!$C$13,U$3&lt;Projects!$C$13+Projects!$D$13),Projects!$B$13*INDEX(Curves!$B$2:$AR$2,1,U$3-Projects!$C$13+1),0)-IF(AND(Projects!$G$13="Yes",U$3&gt;=Projects!$C$13,U$3&lt;Projects!$C$13+Projects!$D$13),Projects!$B$13*(Assumptions!$B$10+Assumptions!$B$11+Assumptions!$B$12)/Projects!$D$13*0.95,0)-IF(AND(Projects!$G$13="Yes",U$3=Projects!$C$13+Projects!$D$13-1),Projects!$B$13*(Assumptions!$B$10+Assumptions!$B$11+Assumptions!$B$12)*0.05,0)</f>
        <v>1028579.53789278</v>
      </c>
      <c r="V24" s="19" t="n">
        <f aca="false">IF(AND(Projects!$G$13="Yes",V$3&gt;=Projects!$C$13,V$3&lt;Projects!$C$13+Projects!$D$13),Projects!$B$13*INDEX(Curves!$B$2:$AR$2,1,V$3-Projects!$C$13+1),0)-IF(AND(Projects!$G$13="Yes",V$3&gt;=Projects!$C$13,V$3&lt;Projects!$C$13+Projects!$D$13),Projects!$B$13*(Assumptions!$B$10+Assumptions!$B$11+Assumptions!$B$12)/Projects!$D$13*0.95,0)-IF(AND(Projects!$G$13="Yes",V$3=Projects!$C$13+Projects!$D$13-1),Projects!$B$13*(Assumptions!$B$10+Assumptions!$B$11+Assumptions!$B$12)*0.05,0)</f>
        <v>1154783.29265278</v>
      </c>
      <c r="W24" s="19" t="n">
        <f aca="false">IF(AND(Projects!$G$13="Yes",W$3&gt;=Projects!$C$13,W$3&lt;Projects!$C$13+Projects!$D$13),Projects!$B$13*INDEX(Curves!$B$2:$AR$2,1,W$3-Projects!$C$13+1),0)-IF(AND(Projects!$G$13="Yes",W$3&gt;=Projects!$C$13,W$3&lt;Projects!$C$13+Projects!$D$13),Projects!$B$13*(Assumptions!$B$10+Assumptions!$B$11+Assumptions!$B$12)/Projects!$D$13*0.95,0)-IF(AND(Projects!$G$13="Yes",W$3=Projects!$C$13+Projects!$D$13-1),Projects!$B$13*(Assumptions!$B$10+Assumptions!$B$11+Assumptions!$B$12)*0.05,0)</f>
        <v>1279674.31108278</v>
      </c>
      <c r="X24" s="19" t="n">
        <f aca="false">IF(AND(Projects!$G$13="Yes",X$3&gt;=Projects!$C$13,X$3&lt;Projects!$C$13+Projects!$D$13),Projects!$B$13*INDEX(Curves!$B$2:$AR$2,1,X$3-Projects!$C$13+1),0)-IF(AND(Projects!$G$13="Yes",X$3&gt;=Projects!$C$13,X$3&lt;Projects!$C$13+Projects!$D$13),Projects!$B$13*(Assumptions!$B$10+Assumptions!$B$11+Assumptions!$B$12)/Projects!$D$13*0.95,0)-IF(AND(Projects!$G$13="Yes",X$3=Projects!$C$13+Projects!$D$13-1),Projects!$B$13*(Assumptions!$B$10+Assumptions!$B$11+Assumptions!$B$12)*0.05,0)</f>
        <v>1400536.58698278</v>
      </c>
      <c r="Y24" s="19" t="n">
        <f aca="false">IF(AND(Projects!$G$13="Yes",Y$3&gt;=Projects!$C$13,Y$3&lt;Projects!$C$13+Projects!$D$13),Projects!$B$13*INDEX(Curves!$B$2:$AR$2,1,Y$3-Projects!$C$13+1),0)-IF(AND(Projects!$G$13="Yes",Y$3&gt;=Projects!$C$13,Y$3&lt;Projects!$C$13+Projects!$D$13),Projects!$B$13*(Assumptions!$B$10+Assumptions!$B$11+Assumptions!$B$12)/Projects!$D$13*0.95,0)-IF(AND(Projects!$G$13="Yes",Y$3=Projects!$C$13+Projects!$D$13-1),Projects!$B$13*(Assumptions!$B$10+Assumptions!$B$11+Assumptions!$B$12)*0.05,0)</f>
        <v>1514473.04707278</v>
      </c>
      <c r="Z24" s="19" t="n">
        <f aca="false">IF(AND(Projects!$G$13="Yes",Z$3&gt;=Projects!$C$13,Z$3&lt;Projects!$C$13+Projects!$D$13),Projects!$B$13*INDEX(Curves!$B$2:$AR$2,1,Z$3-Projects!$C$13+1),0)-IF(AND(Projects!$G$13="Yes",Z$3&gt;=Projects!$C$13,Z$3&lt;Projects!$C$13+Projects!$D$13),Projects!$B$13*(Assumptions!$B$10+Assumptions!$B$11+Assumptions!$B$12)/Projects!$D$13*0.95,0)-IF(AND(Projects!$G$13="Yes",Z$3=Projects!$C$13+Projects!$D$13-1),Projects!$B$13*(Assumptions!$B$10+Assumptions!$B$11+Assumptions!$B$12)*0.05,0)</f>
        <v>1618722.41838278</v>
      </c>
      <c r="AA24" s="19" t="n">
        <f aca="false">IF(AND(Projects!$G$13="Yes",AA$3&gt;=Projects!$C$13,AA$3&lt;Projects!$C$13+Projects!$D$13),Projects!$B$13*INDEX(Curves!$B$2:$AR$2,1,AA$3-Projects!$C$13+1),0)-IF(AND(Projects!$G$13="Yes",AA$3&gt;=Projects!$C$13,AA$3&lt;Projects!$C$13+Projects!$D$13),Projects!$B$13*(Assumptions!$B$10+Assumptions!$B$11+Assumptions!$B$12)/Projects!$D$13*0.95,0)-IF(AND(Projects!$G$13="Yes",AA$3=Projects!$C$13+Projects!$D$13-1),Projects!$B$13*(Assumptions!$B$10+Assumptions!$B$11+Assumptions!$B$12)*0.05,0)</f>
        <v>1710478.16117278</v>
      </c>
      <c r="AB24" s="19" t="n">
        <f aca="false">IF(AND(Projects!$G$13="Yes",AB$3&gt;=Projects!$C$13,AB$3&lt;Projects!$C$13+Projects!$D$13),Projects!$B$13*INDEX(Curves!$B$2:$AR$2,1,AB$3-Projects!$C$13+1),0)-IF(AND(Projects!$G$13="Yes",AB$3&gt;=Projects!$C$13,AB$3&lt;Projects!$C$13+Projects!$D$13),Projects!$B$13*(Assumptions!$B$10+Assumptions!$B$11+Assumptions!$B$12)/Projects!$D$13*0.95,0)-IF(AND(Projects!$G$13="Yes",AB$3=Projects!$C$13+Projects!$D$13-1),Projects!$B$13*(Assumptions!$B$10+Assumptions!$B$11+Assumptions!$B$12)*0.05,0)</f>
        <v>1787250.60309278</v>
      </c>
      <c r="AC24" s="19" t="n">
        <f aca="false">IF(AND(Projects!$G$13="Yes",AC$3&gt;=Projects!$C$13,AC$3&lt;Projects!$C$13+Projects!$D$13),Projects!$B$13*INDEX(Curves!$B$2:$AR$2,1,AC$3-Projects!$C$13+1),0)-IF(AND(Projects!$G$13="Yes",AC$3&gt;=Projects!$C$13,AC$3&lt;Projects!$C$13+Projects!$D$13),Projects!$B$13*(Assumptions!$B$10+Assumptions!$B$11+Assumptions!$B$12)/Projects!$D$13*0.95,0)-IF(AND(Projects!$G$13="Yes",AC$3=Projects!$C$13+Projects!$D$13-1),Projects!$B$13*(Assumptions!$B$10+Assumptions!$B$11+Assumptions!$B$12)*0.05,0)</f>
        <v>1846912.20595278</v>
      </c>
      <c r="AD24" s="19" t="n">
        <f aca="false">IF(AND(Projects!$G$13="Yes",AD$3&gt;=Projects!$C$13,AD$3&lt;Projects!$C$13+Projects!$D$13),Projects!$B$13*INDEX(Curves!$B$2:$AR$2,1,AD$3-Projects!$C$13+1),0)-IF(AND(Projects!$G$13="Yes",AD$3&gt;=Projects!$C$13,AD$3&lt;Projects!$C$13+Projects!$D$13),Projects!$B$13*(Assumptions!$B$10+Assumptions!$B$11+Assumptions!$B$12)/Projects!$D$13*0.95,0)-IF(AND(Projects!$G$13="Yes",AD$3=Projects!$C$13+Projects!$D$13-1),Projects!$B$13*(Assumptions!$B$10+Assumptions!$B$11+Assumptions!$B$12)*0.05,0)</f>
        <v>1887652.29895278</v>
      </c>
      <c r="AE24" s="19" t="n">
        <f aca="false">IF(AND(Projects!$G$13="Yes",AE$3&gt;=Projects!$C$13,AE$3&lt;Projects!$C$13+Projects!$D$13),Projects!$B$13*INDEX(Curves!$B$2:$AR$2,1,AE$3-Projects!$C$13+1),0)-IF(AND(Projects!$G$13="Yes",AE$3&gt;=Projects!$C$13,AE$3&lt;Projects!$C$13+Projects!$D$13),Projects!$B$13*(Assumptions!$B$10+Assumptions!$B$11+Assumptions!$B$12)/Projects!$D$13*0.95,0)-IF(AND(Projects!$G$13="Yes",AE$3=Projects!$C$13+Projects!$D$13-1),Projects!$B$13*(Assumptions!$B$10+Assumptions!$B$11+Assumptions!$B$12)*0.05,0)</f>
        <v>1908339.21284278</v>
      </c>
      <c r="AF24" s="19" t="n">
        <f aca="false">IF(AND(Projects!$G$13="Yes",AF$3&gt;=Projects!$C$13,AF$3&lt;Projects!$C$13+Projects!$D$13),Projects!$B$13*INDEX(Curves!$B$2:$AR$2,1,AF$3-Projects!$C$13+1),0)-IF(AND(Projects!$G$13="Yes",AF$3&gt;=Projects!$C$13,AF$3&lt;Projects!$C$13+Projects!$D$13),Projects!$B$13*(Assumptions!$B$10+Assumptions!$B$11+Assumptions!$B$12)/Projects!$D$13*0.95,0)-IF(AND(Projects!$G$13="Yes",AF$3=Projects!$C$13+Projects!$D$13-1),Projects!$B$13*(Assumptions!$B$10+Assumptions!$B$11+Assumptions!$B$12)*0.05,0)</f>
        <v>1908339.21284278</v>
      </c>
      <c r="AG24" s="19" t="n">
        <f aca="false">IF(AND(Projects!$G$13="Yes",AG$3&gt;=Projects!$C$13,AG$3&lt;Projects!$C$13+Projects!$D$13),Projects!$B$13*INDEX(Curves!$B$2:$AR$2,1,AG$3-Projects!$C$13+1),0)-IF(AND(Projects!$G$13="Yes",AG$3&gt;=Projects!$C$13,AG$3&lt;Projects!$C$13+Projects!$D$13),Projects!$B$13*(Assumptions!$B$10+Assumptions!$B$11+Assumptions!$B$12)/Projects!$D$13*0.95,0)-IF(AND(Projects!$G$13="Yes",AG$3=Projects!$C$13+Projects!$D$13-1),Projects!$B$13*(Assumptions!$B$10+Assumptions!$B$11+Assumptions!$B$12)*0.05,0)</f>
        <v>1887652.29895278</v>
      </c>
      <c r="AH24" s="19" t="n">
        <f aca="false">IF(AND(Projects!$G$13="Yes",AH$3&gt;=Projects!$C$13,AH$3&lt;Projects!$C$13+Projects!$D$13),Projects!$B$13*INDEX(Curves!$B$2:$AR$2,1,AH$3-Projects!$C$13+1),0)-IF(AND(Projects!$G$13="Yes",AH$3&gt;=Projects!$C$13,AH$3&lt;Projects!$C$13+Projects!$D$13),Projects!$B$13*(Assumptions!$B$10+Assumptions!$B$11+Assumptions!$B$12)/Projects!$D$13*0.95,0)-IF(AND(Projects!$G$13="Yes",AH$3=Projects!$C$13+Projects!$D$13-1),Projects!$B$13*(Assumptions!$B$10+Assumptions!$B$11+Assumptions!$B$12)*0.05,0)</f>
        <v>1846912.20595278</v>
      </c>
      <c r="AI24" s="19" t="n">
        <f aca="false">IF(AND(Projects!$G$13="Yes",AI$3&gt;=Projects!$C$13,AI$3&lt;Projects!$C$13+Projects!$D$13),Projects!$B$13*INDEX(Curves!$B$2:$AR$2,1,AI$3-Projects!$C$13+1),0)-IF(AND(Projects!$G$13="Yes",AI$3&gt;=Projects!$C$13,AI$3&lt;Projects!$C$13+Projects!$D$13),Projects!$B$13*(Assumptions!$B$10+Assumptions!$B$11+Assumptions!$B$12)/Projects!$D$13*0.95,0)-IF(AND(Projects!$G$13="Yes",AI$3=Projects!$C$13+Projects!$D$13-1),Projects!$B$13*(Assumptions!$B$10+Assumptions!$B$11+Assumptions!$B$12)*0.05,0)</f>
        <v>1787250.60309278</v>
      </c>
      <c r="AJ24" s="19" t="n">
        <f aca="false">IF(AND(Projects!$G$13="Yes",AJ$3&gt;=Projects!$C$13,AJ$3&lt;Projects!$C$13+Projects!$D$13),Projects!$B$13*INDEX(Curves!$B$2:$AR$2,1,AJ$3-Projects!$C$13+1),0)-IF(AND(Projects!$G$13="Yes",AJ$3&gt;=Projects!$C$13,AJ$3&lt;Projects!$C$13+Projects!$D$13),Projects!$B$13*(Assumptions!$B$10+Assumptions!$B$11+Assumptions!$B$12)/Projects!$D$13*0.95,0)-IF(AND(Projects!$G$13="Yes",AJ$3=Projects!$C$13+Projects!$D$13-1),Projects!$B$13*(Assumptions!$B$10+Assumptions!$B$11+Assumptions!$B$12)*0.05,0)</f>
        <v>1710478.16117278</v>
      </c>
      <c r="AK24" s="19" t="n">
        <f aca="false">IF(AND(Projects!$G$13="Yes",AK$3&gt;=Projects!$C$13,AK$3&lt;Projects!$C$13+Projects!$D$13),Projects!$B$13*INDEX(Curves!$B$2:$AR$2,1,AK$3-Projects!$C$13+1),0)-IF(AND(Projects!$G$13="Yes",AK$3&gt;=Projects!$C$13,AK$3&lt;Projects!$C$13+Projects!$D$13),Projects!$B$13*(Assumptions!$B$10+Assumptions!$B$11+Assumptions!$B$12)/Projects!$D$13*0.95,0)-IF(AND(Projects!$G$13="Yes",AK$3=Projects!$C$13+Projects!$D$13-1),Projects!$B$13*(Assumptions!$B$10+Assumptions!$B$11+Assumptions!$B$12)*0.05,0)</f>
        <v>1618722.41838278</v>
      </c>
      <c r="AL24" s="19" t="n">
        <f aca="false">IF(AND(Projects!$G$13="Yes",AL$3&gt;=Projects!$C$13,AL$3&lt;Projects!$C$13+Projects!$D$13),Projects!$B$13*INDEX(Curves!$B$2:$AR$2,1,AL$3-Projects!$C$13+1),0)-IF(AND(Projects!$G$13="Yes",AL$3&gt;=Projects!$C$13,AL$3&lt;Projects!$C$13+Projects!$D$13),Projects!$B$13*(Assumptions!$B$10+Assumptions!$B$11+Assumptions!$B$12)/Projects!$D$13*0.95,0)-IF(AND(Projects!$G$13="Yes",AL$3=Projects!$C$13+Projects!$D$13-1),Projects!$B$13*(Assumptions!$B$10+Assumptions!$B$11+Assumptions!$B$12)*0.05,0)</f>
        <v>1514473.04707278</v>
      </c>
      <c r="AM24" s="19" t="n">
        <f aca="false">IF(AND(Projects!$G$13="Yes",AM$3&gt;=Projects!$C$13,AM$3&lt;Projects!$C$13+Projects!$D$13),Projects!$B$13*INDEX(Curves!$B$2:$AR$2,1,AM$3-Projects!$C$13+1),0)-IF(AND(Projects!$G$13="Yes",AM$3&gt;=Projects!$C$13,AM$3&lt;Projects!$C$13+Projects!$D$13),Projects!$B$13*(Assumptions!$B$10+Assumptions!$B$11+Assumptions!$B$12)/Projects!$D$13*0.95,0)-IF(AND(Projects!$G$13="Yes",AM$3=Projects!$C$13+Projects!$D$13-1),Projects!$B$13*(Assumptions!$B$10+Assumptions!$B$11+Assumptions!$B$12)*0.05,0)</f>
        <v>1400536.58698278</v>
      </c>
      <c r="AN24" s="19" t="n">
        <f aca="false">IF(AND(Projects!$G$13="Yes",AN$3&gt;=Projects!$C$13,AN$3&lt;Projects!$C$13+Projects!$D$13),Projects!$B$13*INDEX(Curves!$B$2:$AR$2,1,AN$3-Projects!$C$13+1),0)-IF(AND(Projects!$G$13="Yes",AN$3&gt;=Projects!$C$13,AN$3&lt;Projects!$C$13+Projects!$D$13),Projects!$B$13*(Assumptions!$B$10+Assumptions!$B$11+Assumptions!$B$12)/Projects!$D$13*0.95,0)-IF(AND(Projects!$G$13="Yes",AN$3=Projects!$C$13+Projects!$D$13-1),Projects!$B$13*(Assumptions!$B$10+Assumptions!$B$11+Assumptions!$B$12)*0.05,0)</f>
        <v>1279674.31108278</v>
      </c>
      <c r="AO24" s="19" t="n">
        <f aca="false">IF(AND(Projects!$G$13="Yes",AO$3&gt;=Projects!$C$13,AO$3&lt;Projects!$C$13+Projects!$D$13),Projects!$B$13*INDEX(Curves!$B$2:$AR$2,1,AO$3-Projects!$C$13+1),0)-IF(AND(Projects!$G$13="Yes",AO$3&gt;=Projects!$C$13,AO$3&lt;Projects!$C$13+Projects!$D$13),Projects!$B$13*(Assumptions!$B$10+Assumptions!$B$11+Assumptions!$B$12)/Projects!$D$13*0.95,0)-IF(AND(Projects!$G$13="Yes",AO$3=Projects!$C$13+Projects!$D$13-1),Projects!$B$13*(Assumptions!$B$10+Assumptions!$B$11+Assumptions!$B$12)*0.05,0)</f>
        <v>1154783.29265278</v>
      </c>
      <c r="AP24" s="19" t="n">
        <f aca="false">IF(AND(Projects!$G$13="Yes",AP$3&gt;=Projects!$C$13,AP$3&lt;Projects!$C$13+Projects!$D$13),Projects!$B$13*INDEX(Curves!$B$2:$AR$2,1,AP$3-Projects!$C$13+1),0)-IF(AND(Projects!$G$13="Yes",AP$3&gt;=Projects!$C$13,AP$3&lt;Projects!$C$13+Projects!$D$13),Projects!$B$13*(Assumptions!$B$10+Assumptions!$B$11+Assumptions!$B$12)/Projects!$D$13*0.95,0)-IF(AND(Projects!$G$13="Yes",AP$3=Projects!$C$13+Projects!$D$13-1),Projects!$B$13*(Assumptions!$B$10+Assumptions!$B$11+Assumptions!$B$12)*0.05,0)</f>
        <v>1028579.53789278</v>
      </c>
      <c r="AQ24" s="19" t="n">
        <f aca="false">IF(AND(Projects!$G$13="Yes",AQ$3&gt;=Projects!$C$13,AQ$3&lt;Projects!$C$13+Projects!$D$13),Projects!$B$13*INDEX(Curves!$B$2:$AR$2,1,AQ$3-Projects!$C$13+1),0)-IF(AND(Projects!$G$13="Yes",AQ$3&gt;=Projects!$C$13,AQ$3&lt;Projects!$C$13+Projects!$D$13),Projects!$B$13*(Assumptions!$B$10+Assumptions!$B$11+Assumptions!$B$12)/Projects!$D$13*0.95,0)-IF(AND(Projects!$G$13="Yes",AQ$3=Projects!$C$13+Projects!$D$13-1),Projects!$B$13*(Assumptions!$B$10+Assumptions!$B$11+Assumptions!$B$12)*0.05,0)</f>
        <v>903552.719152783</v>
      </c>
      <c r="AR24" s="19" t="n">
        <f aca="false">IF(AND(Projects!$G$13="Yes",AR$3&gt;=Projects!$C$13,AR$3&lt;Projects!$C$13+Projects!$D$13),Projects!$B$13*INDEX(Curves!$B$2:$AR$2,1,AR$3-Projects!$C$13+1),0)-IF(AND(Projects!$G$13="Yes",AR$3&gt;=Projects!$C$13,AR$3&lt;Projects!$C$13+Projects!$D$13),Projects!$B$13*(Assumptions!$B$10+Assumptions!$B$11+Assumptions!$B$12)/Projects!$D$13*0.95,0)-IF(AND(Projects!$G$13="Yes",AR$3=Projects!$C$13+Projects!$D$13-1),Projects!$B$13*(Assumptions!$B$10+Assumptions!$B$11+Assumptions!$B$12)*0.05,0)</f>
        <v>781966.174932784</v>
      </c>
      <c r="AS24" s="19" t="n">
        <f aca="false">IF(AND(Projects!$G$13="Yes",AS$3&gt;=Projects!$C$13,AS$3&lt;Projects!$C$13+Projects!$D$13),Projects!$B$13*INDEX(Curves!$B$2:$AR$2,1,AS$3-Projects!$C$13+1),0)-IF(AND(Projects!$G$13="Yes",AS$3&gt;=Projects!$C$13,AS$3&lt;Projects!$C$13+Projects!$D$13),Projects!$B$13*(Assumptions!$B$10+Assumptions!$B$11+Assumptions!$B$12)/Projects!$D$13*0.95,0)-IF(AND(Projects!$G$13="Yes",AS$3=Projects!$C$13+Projects!$D$13-1),Projects!$B$13*(Assumptions!$B$10+Assumptions!$B$11+Assumptions!$B$12)*0.05,0)</f>
        <v>665675.842802783</v>
      </c>
      <c r="AT24" s="19" t="n">
        <f aca="false">IF(AND(Projects!$G$13="Yes",AT$3&gt;=Projects!$C$13,AT$3&lt;Projects!$C$13+Projects!$D$13),Projects!$B$13*INDEX(Curves!$B$2:$AR$2,1,AT$3-Projects!$C$13+1),0)-IF(AND(Projects!$G$13="Yes",AT$3&gt;=Projects!$C$13,AT$3&lt;Projects!$C$13+Projects!$D$13),Projects!$B$13*(Assumptions!$B$10+Assumptions!$B$11+Assumptions!$B$12)/Projects!$D$13*0.95,0)-IF(AND(Projects!$G$13="Yes",AT$3=Projects!$C$13+Projects!$D$13-1),Projects!$B$13*(Assumptions!$B$10+Assumptions!$B$11+Assumptions!$B$12)*0.05,0)</f>
        <v>283780.474359283</v>
      </c>
      <c r="AU24" s="19" t="n">
        <f aca="false">IF(AND(Projects!$G$13="Yes",AU$3&gt;=Projects!$C$13,AU$3&lt;Projects!$C$13+Projects!$D$13),Projects!$B$13*INDEX(Curves!$B$2:$AR$2,1,AU$3-Projects!$C$13+1),0)-IF(AND(Projects!$G$13="Yes",AU$3&gt;=Projects!$C$13,AU$3&lt;Projects!$C$13+Projects!$D$13),Projects!$B$13*(Assumptions!$B$10+Assumptions!$B$11+Assumptions!$B$12)/Projects!$D$13*0.95,0)-IF(AND(Projects!$G$13="Yes",AU$3=Projects!$C$13+Projects!$D$13-1),Projects!$B$13*(Assumptions!$B$10+Assumptions!$B$11+Assumptions!$B$12)*0.05,0)</f>
        <v>0</v>
      </c>
      <c r="AV24" s="19" t="n">
        <f aca="false">IF(AND(Projects!$G$13="Yes",AV$3&gt;=Projects!$C$13,AV$3&lt;Projects!$C$13+Projects!$D$13),Projects!$B$13*INDEX(Curves!$B$2:$AR$2,1,AV$3-Projects!$C$13+1),0)-IF(AND(Projects!$G$13="Yes",AV$3&gt;=Projects!$C$13,AV$3&lt;Projects!$C$13+Projects!$D$13),Projects!$B$13*(Assumptions!$B$10+Assumptions!$B$11+Assumptions!$B$12)/Projects!$D$13*0.95,0)-IF(AND(Projects!$G$13="Yes",AV$3=Projects!$C$13+Projects!$D$13-1),Projects!$B$13*(Assumptions!$B$10+Assumptions!$B$11+Assumptions!$B$12)*0.05,0)</f>
        <v>0</v>
      </c>
      <c r="AW24" s="19" t="n">
        <f aca="false">IF(AND(Projects!$G$13="Yes",AW$3&gt;=Projects!$C$13,AW$3&lt;Projects!$C$13+Projects!$D$13),Projects!$B$13*INDEX(Curves!$B$2:$AR$2,1,AW$3-Projects!$C$13+1),0)-IF(AND(Projects!$G$13="Yes",AW$3&gt;=Projects!$C$13,AW$3&lt;Projects!$C$13+Projects!$D$13),Projects!$B$13*(Assumptions!$B$10+Assumptions!$B$11+Assumptions!$B$12)/Projects!$D$13*0.95,0)-IF(AND(Projects!$G$13="Yes",AW$3=Projects!$C$13+Projects!$D$13-1),Projects!$B$13*(Assumptions!$B$10+Assumptions!$B$11+Assumptions!$B$12)*0.05,0)</f>
        <v>0</v>
      </c>
      <c r="AX24" s="19" t="n">
        <f aca="false">IF(AND(Projects!$G$13="Yes",AX$3&gt;=Projects!$C$13,AX$3&lt;Projects!$C$13+Projects!$D$13),Projects!$B$13*INDEX(Curves!$B$2:$AR$2,1,AX$3-Projects!$C$13+1),0)-IF(AND(Projects!$G$13="Yes",AX$3&gt;=Projects!$C$13,AX$3&lt;Projects!$C$13+Projects!$D$13),Projects!$B$13*(Assumptions!$B$10+Assumptions!$B$11+Assumptions!$B$12)/Projects!$D$13*0.95,0)-IF(AND(Projects!$G$13="Yes",AX$3=Projects!$C$13+Projects!$D$13-1),Projects!$B$13*(Assumptions!$B$10+Assumptions!$B$11+Assumptions!$B$12)*0.05,0)</f>
        <v>0</v>
      </c>
      <c r="AY24" s="19" t="n">
        <f aca="false">IF(AND(Projects!$G$13="Yes",AY$3&gt;=Projects!$C$13,AY$3&lt;Projects!$C$13+Projects!$D$13),Projects!$B$13*INDEX(Curves!$B$2:$AR$2,1,AY$3-Projects!$C$13+1),0)-IF(AND(Projects!$G$13="Yes",AY$3&gt;=Projects!$C$13,AY$3&lt;Projects!$C$13+Projects!$D$13),Projects!$B$13*(Assumptions!$B$10+Assumptions!$B$11+Assumptions!$B$12)/Projects!$D$13*0.95,0)-IF(AND(Projects!$G$13="Yes",AY$3=Projects!$C$13+Projects!$D$13-1),Projects!$B$13*(Assumptions!$B$10+Assumptions!$B$11+Assumptions!$B$12)*0.05,0)</f>
        <v>0</v>
      </c>
      <c r="AZ24" s="19" t="n">
        <f aca="false">IF(AND(Projects!$G$13="Yes",AZ$3&gt;=Projects!$C$13,AZ$3&lt;Projects!$C$13+Projects!$D$13),Projects!$B$13*INDEX(Curves!$B$2:$AR$2,1,AZ$3-Projects!$C$13+1),0)-IF(AND(Projects!$G$13="Yes",AZ$3&gt;=Projects!$C$13,AZ$3&lt;Projects!$C$13+Projects!$D$13),Projects!$B$13*(Assumptions!$B$10+Assumptions!$B$11+Assumptions!$B$12)/Projects!$D$13*0.95,0)-IF(AND(Projects!$G$13="Yes",AZ$3=Projects!$C$13+Projects!$D$13-1),Projects!$B$13*(Assumptions!$B$10+Assumptions!$B$11+Assumptions!$B$12)*0.05,0)</f>
        <v>0</v>
      </c>
      <c r="BA24" s="19" t="n">
        <f aca="false">IF(AND(Projects!$G$13="Yes",BA$3&gt;=Projects!$C$13,BA$3&lt;Projects!$C$13+Projects!$D$13),Projects!$B$13*INDEX(Curves!$B$2:$AR$2,1,BA$3-Projects!$C$13+1),0)-IF(AND(Projects!$G$13="Yes",BA$3&gt;=Projects!$C$13,BA$3&lt;Projects!$C$13+Projects!$D$13),Projects!$B$13*(Assumptions!$B$10+Assumptions!$B$11+Assumptions!$B$12)/Projects!$D$13*0.95,0)-IF(AND(Projects!$G$13="Yes",BA$3=Projects!$C$13+Projects!$D$13-1),Projects!$B$13*(Assumptions!$B$10+Assumptions!$B$11+Assumptions!$B$12)*0.05,0)</f>
        <v>0</v>
      </c>
      <c r="BB24" s="19" t="n">
        <f aca="false">IF(AND(Projects!$G$13="Yes",BB$3&gt;=Projects!$C$13,BB$3&lt;Projects!$C$13+Projects!$D$13),Projects!$B$13*INDEX(Curves!$B$2:$AR$2,1,BB$3-Projects!$C$13+1),0)-IF(AND(Projects!$G$13="Yes",BB$3&gt;=Projects!$C$13,BB$3&lt;Projects!$C$13+Projects!$D$13),Projects!$B$13*(Assumptions!$B$10+Assumptions!$B$11+Assumptions!$B$12)/Projects!$D$13*0.95,0)-IF(AND(Projects!$G$13="Yes",BB$3=Projects!$C$13+Projects!$D$13-1),Projects!$B$13*(Assumptions!$B$10+Assumptions!$B$11+Assumptions!$B$12)*0.05,0)</f>
        <v>0</v>
      </c>
      <c r="BC24" s="19" t="n">
        <f aca="false">IF(AND(Projects!$G$13="Yes",BC$3&gt;=Projects!$C$13,BC$3&lt;Projects!$C$13+Projects!$D$13),Projects!$B$13*INDEX(Curves!$B$2:$AR$2,1,BC$3-Projects!$C$13+1),0)-IF(AND(Projects!$G$13="Yes",BC$3&gt;=Projects!$C$13,BC$3&lt;Projects!$C$13+Projects!$D$13),Projects!$B$13*(Assumptions!$B$10+Assumptions!$B$11+Assumptions!$B$12)/Projects!$D$13*0.95,0)-IF(AND(Projects!$G$13="Yes",BC$3=Projects!$C$13+Projects!$D$13-1),Projects!$B$13*(Assumptions!$B$10+Assumptions!$B$11+Assumptions!$B$12)*0.05,0)</f>
        <v>0</v>
      </c>
      <c r="BD24" s="19" t="n">
        <f aca="false">IF(AND(Projects!$G$13="Yes",BD$3&gt;=Projects!$C$13,BD$3&lt;Projects!$C$13+Projects!$D$13),Projects!$B$13*INDEX(Curves!$B$2:$AR$2,1,BD$3-Projects!$C$13+1),0)-IF(AND(Projects!$G$13="Yes",BD$3&gt;=Projects!$C$13,BD$3&lt;Projects!$C$13+Projects!$D$13),Projects!$B$13*(Assumptions!$B$10+Assumptions!$B$11+Assumptions!$B$12)/Projects!$D$13*0.95,0)-IF(AND(Projects!$G$13="Yes",BD$3=Projects!$C$13+Projects!$D$13-1),Projects!$B$13*(Assumptions!$B$10+Assumptions!$B$11+Assumptions!$B$12)*0.05,0)</f>
        <v>0</v>
      </c>
      <c r="BE24" s="19" t="n">
        <f aca="false">IF(AND(Projects!$G$13="Yes",BE$3&gt;=Projects!$C$13,BE$3&lt;Projects!$C$13+Projects!$D$13),Projects!$B$13*INDEX(Curves!$B$2:$AR$2,1,BE$3-Projects!$C$13+1),0)-IF(AND(Projects!$G$13="Yes",BE$3&gt;=Projects!$C$13,BE$3&lt;Projects!$C$13+Projects!$D$13),Projects!$B$13*(Assumptions!$B$10+Assumptions!$B$11+Assumptions!$B$12)/Projects!$D$13*0.95,0)-IF(AND(Projects!$G$13="Yes",BE$3=Projects!$C$13+Projects!$D$13-1),Projects!$B$13*(Assumptions!$B$10+Assumptions!$B$11+Assumptions!$B$12)*0.05,0)</f>
        <v>0</v>
      </c>
      <c r="BF24" s="19" t="n">
        <f aca="false">IF(AND(Projects!$G$13="Yes",BF$3&gt;=Projects!$C$13,BF$3&lt;Projects!$C$13+Projects!$D$13),Projects!$B$13*INDEX(Curves!$B$2:$AR$2,1,BF$3-Projects!$C$13+1),0)-IF(AND(Projects!$G$13="Yes",BF$3&gt;=Projects!$C$13,BF$3&lt;Projects!$C$13+Projects!$D$13),Projects!$B$13*(Assumptions!$B$10+Assumptions!$B$11+Assumptions!$B$12)/Projects!$D$13*0.95,0)-IF(AND(Projects!$G$13="Yes",BF$3=Projects!$C$13+Projects!$D$13-1),Projects!$B$13*(Assumptions!$B$10+Assumptions!$B$11+Assumptions!$B$12)*0.05,0)</f>
        <v>0</v>
      </c>
      <c r="BG24" s="19" t="n">
        <f aca="false">IF(AND(Projects!$G$13="Yes",BG$3&gt;=Projects!$C$13,BG$3&lt;Projects!$C$13+Projects!$D$13),Projects!$B$13*INDEX(Curves!$B$2:$AR$2,1,BG$3-Projects!$C$13+1),0)-IF(AND(Projects!$G$13="Yes",BG$3&gt;=Projects!$C$13,BG$3&lt;Projects!$C$13+Projects!$D$13),Projects!$B$13*(Assumptions!$B$10+Assumptions!$B$11+Assumptions!$B$12)/Projects!$D$13*0.95,0)-IF(AND(Projects!$G$13="Yes",BG$3=Projects!$C$13+Projects!$D$13-1),Projects!$B$13*(Assumptions!$B$10+Assumptions!$B$11+Assumptions!$B$12)*0.05,0)</f>
        <v>0</v>
      </c>
      <c r="BH24" s="19" t="n">
        <f aca="false">IF(AND(Projects!$G$13="Yes",BH$3&gt;=Projects!$C$13,BH$3&lt;Projects!$C$13+Projects!$D$13),Projects!$B$13*INDEX(Curves!$B$2:$AR$2,1,BH$3-Projects!$C$13+1),0)-IF(AND(Projects!$G$13="Yes",BH$3&gt;=Projects!$C$13,BH$3&lt;Projects!$C$13+Projects!$D$13),Projects!$B$13*(Assumptions!$B$10+Assumptions!$B$11+Assumptions!$B$12)/Projects!$D$13*0.95,0)-IF(AND(Projects!$G$13="Yes",BH$3=Projects!$C$13+Projects!$D$13-1),Projects!$B$13*(Assumptions!$B$10+Assumptions!$B$11+Assumptions!$B$12)*0.05,0)</f>
        <v>0</v>
      </c>
      <c r="BI24" s="19" t="n">
        <f aca="false">IF(AND(Projects!$G$13="Yes",BI$3&gt;=Projects!$C$13,BI$3&lt;Projects!$C$13+Projects!$D$13),Projects!$B$13*INDEX(Curves!$B$2:$AR$2,1,BI$3-Projects!$C$13+1),0)-IF(AND(Projects!$G$13="Yes",BI$3&gt;=Projects!$C$13,BI$3&lt;Projects!$C$13+Projects!$D$13),Projects!$B$13*(Assumptions!$B$10+Assumptions!$B$11+Assumptions!$B$12)/Projects!$D$13*0.95,0)-IF(AND(Projects!$G$13="Yes",BI$3=Projects!$C$13+Projects!$D$13-1),Projects!$B$13*(Assumptions!$B$10+Assumptions!$B$11+Assumptions!$B$12)*0.05,0)</f>
        <v>0</v>
      </c>
      <c r="BJ24" s="19" t="n">
        <f aca="false">IF(AND(Projects!$G$13="Yes",BJ$3&gt;=Projects!$C$13,BJ$3&lt;Projects!$C$13+Projects!$D$13),Projects!$B$13*INDEX(Curves!$B$2:$AR$2,1,BJ$3-Projects!$C$13+1),0)-IF(AND(Projects!$G$13="Yes",BJ$3&gt;=Projects!$C$13,BJ$3&lt;Projects!$C$13+Projects!$D$13),Projects!$B$13*(Assumptions!$B$10+Assumptions!$B$11+Assumptions!$B$12)/Projects!$D$13*0.95,0)-IF(AND(Projects!$G$13="Yes",BJ$3=Projects!$C$13+Projects!$D$13-1),Projects!$B$13*(Assumptions!$B$10+Assumptions!$B$11+Assumptions!$B$12)*0.05,0)</f>
        <v>0</v>
      </c>
      <c r="BK24" s="19" t="n">
        <f aca="false">IF(AND(Projects!$G$13="Yes",BK$3&gt;=Projects!$C$13,BK$3&lt;Projects!$C$13+Projects!$D$13),Projects!$B$13*INDEX(Curves!$B$2:$AR$2,1,BK$3-Projects!$C$13+1),0)-IF(AND(Projects!$G$13="Yes",BK$3&gt;=Projects!$C$13,BK$3&lt;Projects!$C$13+Projects!$D$13),Projects!$B$13*(Assumptions!$B$10+Assumptions!$B$11+Assumptions!$B$12)/Projects!$D$13*0.95,0)-IF(AND(Projects!$G$13="Yes",BK$3=Projects!$C$13+Projects!$D$13-1),Projects!$B$13*(Assumptions!$B$10+Assumptions!$B$11+Assumptions!$B$12)*0.05,0)</f>
        <v>0</v>
      </c>
      <c r="BL24" s="19" t="n">
        <f aca="false">IF(AND(Projects!$G$13="Yes",BL$3&gt;=Projects!$C$13,BL$3&lt;Projects!$C$13+Projects!$D$13),Projects!$B$13*INDEX(Curves!$B$2:$AR$2,1,BL$3-Projects!$C$13+1),0)-IF(AND(Projects!$G$13="Yes",BL$3&gt;=Projects!$C$13,BL$3&lt;Projects!$C$13+Projects!$D$13),Projects!$B$13*(Assumptions!$B$10+Assumptions!$B$11+Assumptions!$B$12)/Projects!$D$13*0.95,0)-IF(AND(Projects!$G$13="Yes",BL$3=Projects!$C$13+Projects!$D$13-1),Projects!$B$13*(Assumptions!$B$10+Assumptions!$B$11+Assumptions!$B$12)*0.05,0)</f>
        <v>0</v>
      </c>
      <c r="BM24" s="19" t="n">
        <f aca="false">IF(AND(Projects!$G$13="Yes",BM$3&gt;=Projects!$C$13,BM$3&lt;Projects!$C$13+Projects!$D$13),Projects!$B$13*INDEX(Curves!$B$2:$AR$2,1,BM$3-Projects!$C$13+1),0)-IF(AND(Projects!$G$13="Yes",BM$3&gt;=Projects!$C$13,BM$3&lt;Projects!$C$13+Projects!$D$13),Projects!$B$13*(Assumptions!$B$10+Assumptions!$B$11+Assumptions!$B$12)/Projects!$D$13*0.95,0)-IF(AND(Projects!$G$13="Yes",BM$3=Projects!$C$13+Projects!$D$13-1),Projects!$B$13*(Assumptions!$B$10+Assumptions!$B$11+Assumptions!$B$12)*0.05,0)</f>
        <v>0</v>
      </c>
      <c r="BN24" s="19" t="n">
        <f aca="false">IF(AND(Projects!$G$13="Yes",BN$3&gt;=Projects!$C$13,BN$3&lt;Projects!$C$13+Projects!$D$13),Projects!$B$13*INDEX(Curves!$B$2:$AR$2,1,BN$3-Projects!$C$13+1),0)-IF(AND(Projects!$G$13="Yes",BN$3&gt;=Projects!$C$13,BN$3&lt;Projects!$C$13+Projects!$D$13),Projects!$B$13*(Assumptions!$B$10+Assumptions!$B$11+Assumptions!$B$12)/Projects!$D$13*0.95,0)-IF(AND(Projects!$G$13="Yes",BN$3=Projects!$C$13+Projects!$D$13-1),Projects!$B$13*(Assumptions!$B$10+Assumptions!$B$11+Assumptions!$B$12)*0.05,0)</f>
        <v>0</v>
      </c>
      <c r="BO24" s="19" t="n">
        <f aca="false">IF(AND(Projects!$G$13="Yes",BO$3&gt;=Projects!$C$13,BO$3&lt;Projects!$C$13+Projects!$D$13),Projects!$B$13*INDEX(Curves!$B$2:$AR$2,1,BO$3-Projects!$C$13+1),0)-IF(AND(Projects!$G$13="Yes",BO$3&gt;=Projects!$C$13,BO$3&lt;Projects!$C$13+Projects!$D$13),Projects!$B$13*(Assumptions!$B$10+Assumptions!$B$11+Assumptions!$B$12)/Projects!$D$13*0.95,0)-IF(AND(Projects!$G$13="Yes",BO$3=Projects!$C$13+Projects!$D$13-1),Projects!$B$13*(Assumptions!$B$10+Assumptions!$B$11+Assumptions!$B$12)*0.05,0)</f>
        <v>0</v>
      </c>
      <c r="BP24" s="19" t="n">
        <f aca="false">IF(AND(Projects!$G$13="Yes",BP$3&gt;=Projects!$C$13,BP$3&lt;Projects!$C$13+Projects!$D$13),Projects!$B$13*INDEX(Curves!$B$2:$AR$2,1,BP$3-Projects!$C$13+1),0)-IF(AND(Projects!$G$13="Yes",BP$3&gt;=Projects!$C$13,BP$3&lt;Projects!$C$13+Projects!$D$13),Projects!$B$13*(Assumptions!$B$10+Assumptions!$B$11+Assumptions!$B$12)/Projects!$D$13*0.95,0)-IF(AND(Projects!$G$13="Yes",BP$3=Projects!$C$13+Projects!$D$13-1),Projects!$B$13*(Assumptions!$B$10+Assumptions!$B$11+Assumptions!$B$12)*0.05,0)</f>
        <v>0</v>
      </c>
      <c r="BQ24" s="19" t="n">
        <f aca="false">IF(AND(Projects!$G$13="Yes",BQ$3&gt;=Projects!$C$13,BQ$3&lt;Projects!$C$13+Projects!$D$13),Projects!$B$13*INDEX(Curves!$B$2:$AR$2,1,BQ$3-Projects!$C$13+1),0)-IF(AND(Projects!$G$13="Yes",BQ$3&gt;=Projects!$C$13,BQ$3&lt;Projects!$C$13+Projects!$D$13),Projects!$B$13*(Assumptions!$B$10+Assumptions!$B$11+Assumptions!$B$12)/Projects!$D$13*0.95,0)-IF(AND(Projects!$G$13="Yes",BQ$3=Projects!$C$13+Projects!$D$13-1),Projects!$B$13*(Assumptions!$B$10+Assumptions!$B$11+Assumptions!$B$12)*0.05,0)</f>
        <v>0</v>
      </c>
      <c r="BR24" s="19" t="n">
        <f aca="false">IF(AND(Projects!$G$13="Yes",BR$3&gt;=Projects!$C$13,BR$3&lt;Projects!$C$13+Projects!$D$13),Projects!$B$13*INDEX(Curves!$B$2:$AR$2,1,BR$3-Projects!$C$13+1),0)-IF(AND(Projects!$G$13="Yes",BR$3&gt;=Projects!$C$13,BR$3&lt;Projects!$C$13+Projects!$D$13),Projects!$B$13*(Assumptions!$B$10+Assumptions!$B$11+Assumptions!$B$12)/Projects!$D$13*0.95,0)-IF(AND(Projects!$G$13="Yes",BR$3=Projects!$C$13+Projects!$D$13-1),Projects!$B$13*(Assumptions!$B$10+Assumptions!$B$11+Assumptions!$B$12)*0.05,0)</f>
        <v>0</v>
      </c>
      <c r="BS24" s="19" t="n">
        <f aca="false">IF(AND(Projects!$G$13="Yes",BS$3&gt;=Projects!$C$13,BS$3&lt;Projects!$C$13+Projects!$D$13),Projects!$B$13*INDEX(Curves!$B$2:$AR$2,1,BS$3-Projects!$C$13+1),0)-IF(AND(Projects!$G$13="Yes",BS$3&gt;=Projects!$C$13,BS$3&lt;Projects!$C$13+Projects!$D$13),Projects!$B$13*(Assumptions!$B$10+Assumptions!$B$11+Assumptions!$B$12)/Projects!$D$13*0.95,0)-IF(AND(Projects!$G$13="Yes",BS$3=Projects!$C$13+Projects!$D$13-1),Projects!$B$13*(Assumptions!$B$10+Assumptions!$B$11+Assumptions!$B$12)*0.05,0)</f>
        <v>0</v>
      </c>
      <c r="BT24" s="19" t="n">
        <f aca="false">IF(AND(Projects!$G$13="Yes",BT$3&gt;=Projects!$C$13,BT$3&lt;Projects!$C$13+Projects!$D$13),Projects!$B$13*INDEX(Curves!$B$2:$AR$2,1,BT$3-Projects!$C$13+1),0)-IF(AND(Projects!$G$13="Yes",BT$3&gt;=Projects!$C$13,BT$3&lt;Projects!$C$13+Projects!$D$13),Projects!$B$13*(Assumptions!$B$10+Assumptions!$B$11+Assumptions!$B$12)/Projects!$D$13*0.95,0)-IF(AND(Projects!$G$13="Yes",BT$3=Projects!$C$13+Projects!$D$13-1),Projects!$B$13*(Assumptions!$B$10+Assumptions!$B$11+Assumptions!$B$12)*0.05,0)</f>
        <v>0</v>
      </c>
      <c r="BU24" s="19" t="n">
        <f aca="false">IF(AND(Projects!$G$13="Yes",BU$3&gt;=Projects!$C$13,BU$3&lt;Projects!$C$13+Projects!$D$13),Projects!$B$13*INDEX(Curves!$B$2:$AR$2,1,BU$3-Projects!$C$13+1),0)-IF(AND(Projects!$G$13="Yes",BU$3&gt;=Projects!$C$13,BU$3&lt;Projects!$C$13+Projects!$D$13),Projects!$B$13*(Assumptions!$B$10+Assumptions!$B$11+Assumptions!$B$12)/Projects!$D$13*0.95,0)-IF(AND(Projects!$G$13="Yes",BU$3=Projects!$C$13+Projects!$D$13-1),Projects!$B$13*(Assumptions!$B$10+Assumptions!$B$11+Assumptions!$B$12)*0.05,0)</f>
        <v>0</v>
      </c>
      <c r="BV24" s="19" t="n">
        <f aca="false">IF(AND(Projects!$G$13="Yes",BV$3&gt;=Projects!$C$13,BV$3&lt;Projects!$C$13+Projects!$D$13),Projects!$B$13*INDEX(Curves!$B$2:$AR$2,1,BV$3-Projects!$C$13+1),0)-IF(AND(Projects!$G$13="Yes",BV$3&gt;=Projects!$C$13,BV$3&lt;Projects!$C$13+Projects!$D$13),Projects!$B$13*(Assumptions!$B$10+Assumptions!$B$11+Assumptions!$B$12)/Projects!$D$13*0.95,0)-IF(AND(Projects!$G$13="Yes",BV$3=Projects!$C$13+Projects!$D$13-1),Projects!$B$13*(Assumptions!$B$10+Assumptions!$B$11+Assumptions!$B$12)*0.05,0)</f>
        <v>0</v>
      </c>
      <c r="BW24" s="19" t="n">
        <f aca="false">IF(AND(Projects!$G$13="Yes",BW$3&gt;=Projects!$C$13,BW$3&lt;Projects!$C$13+Projects!$D$13),Projects!$B$13*INDEX(Curves!$B$2:$AR$2,1,BW$3-Projects!$C$13+1),0)-IF(AND(Projects!$G$13="Yes",BW$3&gt;=Projects!$C$13,BW$3&lt;Projects!$C$13+Projects!$D$13),Projects!$B$13*(Assumptions!$B$10+Assumptions!$B$11+Assumptions!$B$12)/Projects!$D$13*0.95,0)-IF(AND(Projects!$G$13="Yes",BW$3=Projects!$C$13+Projects!$D$13-1),Projects!$B$13*(Assumptions!$B$10+Assumptions!$B$11+Assumptions!$B$12)*0.05,0)</f>
        <v>0</v>
      </c>
      <c r="BX24" s="19" t="n">
        <f aca="false">IF(AND(Projects!$G$13="Yes",BX$3&gt;=Projects!$C$13,BX$3&lt;Projects!$C$13+Projects!$D$13),Projects!$B$13*INDEX(Curves!$B$2:$AR$2,1,BX$3-Projects!$C$13+1),0)-IF(AND(Projects!$G$13="Yes",BX$3&gt;=Projects!$C$13,BX$3&lt;Projects!$C$13+Projects!$D$13),Projects!$B$13*(Assumptions!$B$10+Assumptions!$B$11+Assumptions!$B$12)/Projects!$D$13*0.95,0)-IF(AND(Projects!$G$13="Yes",BX$3=Projects!$C$13+Projects!$D$13-1),Projects!$B$13*(Assumptions!$B$10+Assumptions!$B$11+Assumptions!$B$12)*0.05,0)</f>
        <v>0</v>
      </c>
      <c r="BY24" s="19" t="n">
        <f aca="false">IF(AND(Projects!$G$13="Yes",BY$3&gt;=Projects!$C$13,BY$3&lt;Projects!$C$13+Projects!$D$13),Projects!$B$13*INDEX(Curves!$B$2:$AR$2,1,BY$3-Projects!$C$13+1),0)-IF(AND(Projects!$G$13="Yes",BY$3&gt;=Projects!$C$13,BY$3&lt;Projects!$C$13+Projects!$D$13),Projects!$B$13*(Assumptions!$B$10+Assumptions!$B$11+Assumptions!$B$12)/Projects!$D$13*0.95,0)-IF(AND(Projects!$G$13="Yes",BY$3=Projects!$C$13+Projects!$D$13-1),Projects!$B$13*(Assumptions!$B$10+Assumptions!$B$11+Assumptions!$B$12)*0.05,0)</f>
        <v>0</v>
      </c>
      <c r="BZ24" s="19" t="n">
        <f aca="false">IF(AND(Projects!$G$13="Yes",BZ$3&gt;=Projects!$C$13,BZ$3&lt;Projects!$C$13+Projects!$D$13),Projects!$B$13*INDEX(Curves!$B$2:$AR$2,1,BZ$3-Projects!$C$13+1),0)-IF(AND(Projects!$G$13="Yes",BZ$3&gt;=Projects!$C$13,BZ$3&lt;Projects!$C$13+Projects!$D$13),Projects!$B$13*(Assumptions!$B$10+Assumptions!$B$11+Assumptions!$B$12)/Projects!$D$13*0.95,0)-IF(AND(Projects!$G$13="Yes",BZ$3=Projects!$C$13+Projects!$D$13-1),Projects!$B$13*(Assumptions!$B$10+Assumptions!$B$11+Assumptions!$B$12)*0.05,0)</f>
        <v>0</v>
      </c>
      <c r="CA24" s="19" t="n">
        <f aca="false">IF(AND(Projects!$G$13="Yes",CA$3&gt;=Projects!$C$13,CA$3&lt;Projects!$C$13+Projects!$D$13),Projects!$B$13*INDEX(Curves!$B$2:$AR$2,1,CA$3-Projects!$C$13+1),0)-IF(AND(Projects!$G$13="Yes",CA$3&gt;=Projects!$C$13,CA$3&lt;Projects!$C$13+Projects!$D$13),Projects!$B$13*(Assumptions!$B$10+Assumptions!$B$11+Assumptions!$B$12)/Projects!$D$13*0.95,0)-IF(AND(Projects!$G$13="Yes",CA$3=Projects!$C$13+Projects!$D$13-1),Projects!$B$13*(Assumptions!$B$10+Assumptions!$B$11+Assumptions!$B$12)*0.05,0)</f>
        <v>0</v>
      </c>
      <c r="CB24" s="19" t="n">
        <f aca="false">IF(AND(Projects!$G$13="Yes",CB$3&gt;=Projects!$C$13,CB$3&lt;Projects!$C$13+Projects!$D$13),Projects!$B$13*INDEX(Curves!$B$2:$AR$2,1,CB$3-Projects!$C$13+1),0)-IF(AND(Projects!$G$13="Yes",CB$3&gt;=Projects!$C$13,CB$3&lt;Projects!$C$13+Projects!$D$13),Projects!$B$13*(Assumptions!$B$10+Assumptions!$B$11+Assumptions!$B$12)/Projects!$D$13*0.95,0)-IF(AND(Projects!$G$13="Yes",CB$3=Projects!$C$13+Projects!$D$13-1),Projects!$B$13*(Assumptions!$B$10+Assumptions!$B$11+Assumptions!$B$12)*0.05,0)</f>
        <v>0</v>
      </c>
      <c r="CC24" s="19" t="n">
        <f aca="false">IF(AND(Projects!$G$13="Yes",CC$3&gt;=Projects!$C$13,CC$3&lt;Projects!$C$13+Projects!$D$13),Projects!$B$13*INDEX(Curves!$B$2:$AR$2,1,CC$3-Projects!$C$13+1),0)-IF(AND(Projects!$G$13="Yes",CC$3&gt;=Projects!$C$13,CC$3&lt;Projects!$C$13+Projects!$D$13),Projects!$B$13*(Assumptions!$B$10+Assumptions!$B$11+Assumptions!$B$12)/Projects!$D$13*0.95,0)-IF(AND(Projects!$G$13="Yes",CC$3=Projects!$C$13+Projects!$D$13-1),Projects!$B$13*(Assumptions!$B$10+Assumptions!$B$11+Assumptions!$B$12)*0.05,0)</f>
        <v>0</v>
      </c>
      <c r="CD24" s="19" t="n">
        <f aca="false">IF(AND(Projects!$G$13="Yes",CD$3&gt;=Projects!$C$13,CD$3&lt;Projects!$C$13+Projects!$D$13),Projects!$B$13*INDEX(Curves!$B$2:$AR$2,1,CD$3-Projects!$C$13+1),0)-IF(AND(Projects!$G$13="Yes",CD$3&gt;=Projects!$C$13,CD$3&lt;Projects!$C$13+Projects!$D$13),Projects!$B$13*(Assumptions!$B$10+Assumptions!$B$11+Assumptions!$B$12)/Projects!$D$13*0.95,0)-IF(AND(Projects!$G$13="Yes",CD$3=Projects!$C$13+Projects!$D$13-1),Projects!$B$13*(Assumptions!$B$10+Assumptions!$B$11+Assumptions!$B$12)*0.05,0)</f>
        <v>0</v>
      </c>
      <c r="CE24" s="19" t="n">
        <f aca="false">IF(AND(Projects!$G$13="Yes",CE$3&gt;=Projects!$C$13,CE$3&lt;Projects!$C$13+Projects!$D$13),Projects!$B$13*INDEX(Curves!$B$2:$AR$2,1,CE$3-Projects!$C$13+1),0)-IF(AND(Projects!$G$13="Yes",CE$3&gt;=Projects!$C$13,CE$3&lt;Projects!$C$13+Projects!$D$13),Projects!$B$13*(Assumptions!$B$10+Assumptions!$B$11+Assumptions!$B$12)/Projects!$D$13*0.95,0)-IF(AND(Projects!$G$13="Yes",CE$3=Projects!$C$13+Projects!$D$13-1),Projects!$B$13*(Assumptions!$B$10+Assumptions!$B$11+Assumptions!$B$12)*0.05,0)</f>
        <v>0</v>
      </c>
      <c r="CF24" s="19" t="n">
        <f aca="false">IF(AND(Projects!$G$13="Yes",CF$3&gt;=Projects!$C$13,CF$3&lt;Projects!$C$13+Projects!$D$13),Projects!$B$13*INDEX(Curves!$B$2:$AR$2,1,CF$3-Projects!$C$13+1),0)-IF(AND(Projects!$G$13="Yes",CF$3&gt;=Projects!$C$13,CF$3&lt;Projects!$C$13+Projects!$D$13),Projects!$B$13*(Assumptions!$B$10+Assumptions!$B$11+Assumptions!$B$12)/Projects!$D$13*0.95,0)-IF(AND(Projects!$G$13="Yes",CF$3=Projects!$C$13+Projects!$D$13-1),Projects!$B$13*(Assumptions!$B$10+Assumptions!$B$11+Assumptions!$B$12)*0.05,0)</f>
        <v>0</v>
      </c>
      <c r="CG24" s="19" t="n">
        <f aca="false">IF(AND(Projects!$G$13="Yes",CG$3&gt;=Projects!$C$13,CG$3&lt;Projects!$C$13+Projects!$D$13),Projects!$B$13*INDEX(Curves!$B$2:$AR$2,1,CG$3-Projects!$C$13+1),0)-IF(AND(Projects!$G$13="Yes",CG$3&gt;=Projects!$C$13,CG$3&lt;Projects!$C$13+Projects!$D$13),Projects!$B$13*(Assumptions!$B$10+Assumptions!$B$11+Assumptions!$B$12)/Projects!$D$13*0.95,0)-IF(AND(Projects!$G$13="Yes",CG$3=Projects!$C$13+Projects!$D$13-1),Projects!$B$13*(Assumptions!$B$10+Assumptions!$B$11+Assumptions!$B$12)*0.05,0)</f>
        <v>0</v>
      </c>
      <c r="CH24" s="19" t="n">
        <f aca="false">IF(AND(Projects!$G$13="Yes",CH$3&gt;=Projects!$C$13,CH$3&lt;Projects!$C$13+Projects!$D$13),Projects!$B$13*INDEX(Curves!$B$2:$AR$2,1,CH$3-Projects!$C$13+1),0)-IF(AND(Projects!$G$13="Yes",CH$3&gt;=Projects!$C$13,CH$3&lt;Projects!$C$13+Projects!$D$13),Projects!$B$13*(Assumptions!$B$10+Assumptions!$B$11+Assumptions!$B$12)/Projects!$D$13*0.95,0)-IF(AND(Projects!$G$13="Yes",CH$3=Projects!$C$13+Projects!$D$13-1),Projects!$B$13*(Assumptions!$B$10+Assumptions!$B$11+Assumptions!$B$12)*0.05,0)</f>
        <v>0</v>
      </c>
      <c r="CI24" s="19" t="n">
        <f aca="false">IF(AND(Projects!$G$13="Yes",CI$3&gt;=Projects!$C$13,CI$3&lt;Projects!$C$13+Projects!$D$13),Projects!$B$13*INDEX(Curves!$B$2:$AR$2,1,CI$3-Projects!$C$13+1),0)-IF(AND(Projects!$G$13="Yes",CI$3&gt;=Projects!$C$13,CI$3&lt;Projects!$C$13+Projects!$D$13),Projects!$B$13*(Assumptions!$B$10+Assumptions!$B$11+Assumptions!$B$12)/Projects!$D$13*0.95,0)-IF(AND(Projects!$G$13="Yes",CI$3=Projects!$C$13+Projects!$D$13-1),Projects!$B$13*(Assumptions!$B$10+Assumptions!$B$11+Assumptions!$B$12)*0.05,0)</f>
        <v>0</v>
      </c>
      <c r="CJ24" s="19" t="n">
        <f aca="false">IF(AND(Projects!$G$13="Yes",CJ$3&gt;=Projects!$C$13,CJ$3&lt;Projects!$C$13+Projects!$D$13),Projects!$B$13*INDEX(Curves!$B$2:$AR$2,1,CJ$3-Projects!$C$13+1),0)-IF(AND(Projects!$G$13="Yes",CJ$3&gt;=Projects!$C$13,CJ$3&lt;Projects!$C$13+Projects!$D$13),Projects!$B$13*(Assumptions!$B$10+Assumptions!$B$11+Assumptions!$B$12)/Projects!$D$13*0.95,0)-IF(AND(Projects!$G$13="Yes",CJ$3=Projects!$C$13+Projects!$D$13-1),Projects!$B$13*(Assumptions!$B$10+Assumptions!$B$11+Assumptions!$B$12)*0.05,0)</f>
        <v>0</v>
      </c>
      <c r="CK24" s="19" t="n">
        <f aca="false">IF(AND(Projects!$G$13="Yes",CK$3&gt;=Projects!$C$13,CK$3&lt;Projects!$C$13+Projects!$D$13),Projects!$B$13*INDEX(Curves!$B$2:$AR$2,1,CK$3-Projects!$C$13+1),0)-IF(AND(Projects!$G$13="Yes",CK$3&gt;=Projects!$C$13,CK$3&lt;Projects!$C$13+Projects!$D$13),Projects!$B$13*(Assumptions!$B$10+Assumptions!$B$11+Assumptions!$B$12)/Projects!$D$13*0.95,0)-IF(AND(Projects!$G$13="Yes",CK$3=Projects!$C$13+Projects!$D$13-1),Projects!$B$13*(Assumptions!$B$10+Assumptions!$B$11+Assumptions!$B$12)*0.05,0)</f>
        <v>0</v>
      </c>
      <c r="CL24" s="19" t="n">
        <f aca="false">IF(AND(Projects!$G$13="Yes",CL$3&gt;=Projects!$C$13,CL$3&lt;Projects!$C$13+Projects!$D$13),Projects!$B$13*INDEX(Curves!$B$2:$AR$2,1,CL$3-Projects!$C$13+1),0)-IF(AND(Projects!$G$13="Yes",CL$3&gt;=Projects!$C$13,CL$3&lt;Projects!$C$13+Projects!$D$13),Projects!$B$13*(Assumptions!$B$10+Assumptions!$B$11+Assumptions!$B$12)/Projects!$D$13*0.95,0)-IF(AND(Projects!$G$13="Yes",CL$3=Projects!$C$13+Projects!$D$13-1),Projects!$B$13*(Assumptions!$B$10+Assumptions!$B$11+Assumptions!$B$12)*0.05,0)</f>
        <v>0</v>
      </c>
      <c r="CM24" s="19" t="n">
        <f aca="false">IF(AND(Projects!$G$13="Yes",CM$3&gt;=Projects!$C$13,CM$3&lt;Projects!$C$13+Projects!$D$13),Projects!$B$13*INDEX(Curves!$B$2:$AR$2,1,CM$3-Projects!$C$13+1),0)-IF(AND(Projects!$G$13="Yes",CM$3&gt;=Projects!$C$13,CM$3&lt;Projects!$C$13+Projects!$D$13),Projects!$B$13*(Assumptions!$B$10+Assumptions!$B$11+Assumptions!$B$12)/Projects!$D$13*0.95,0)-IF(AND(Projects!$G$13="Yes",CM$3=Projects!$C$13+Projects!$D$13-1),Projects!$B$13*(Assumptions!$B$10+Assumptions!$B$11+Assumptions!$B$12)*0.05,0)</f>
        <v>0</v>
      </c>
      <c r="CN24" s="19" t="n">
        <f aca="false">IF(AND(Projects!$G$13="Yes",CN$3&gt;=Projects!$C$13,CN$3&lt;Projects!$C$13+Projects!$D$13),Projects!$B$13*INDEX(Curves!$B$2:$AR$2,1,CN$3-Projects!$C$13+1),0)-IF(AND(Projects!$G$13="Yes",CN$3&gt;=Projects!$C$13,CN$3&lt;Projects!$C$13+Projects!$D$13),Projects!$B$13*(Assumptions!$B$10+Assumptions!$B$11+Assumptions!$B$12)/Projects!$D$13*0.95,0)-IF(AND(Projects!$G$13="Yes",CN$3=Projects!$C$13+Projects!$D$13-1),Projects!$B$13*(Assumptions!$B$10+Assumptions!$B$11+Assumptions!$B$12)*0.05,0)</f>
        <v>0</v>
      </c>
      <c r="CO24" s="19" t="n">
        <f aca="false">IF(AND(Projects!$G$13="Yes",CO$3&gt;=Projects!$C$13,CO$3&lt;Projects!$C$13+Projects!$D$13),Projects!$B$13*INDEX(Curves!$B$2:$AR$2,1,CO$3-Projects!$C$13+1),0)-IF(AND(Projects!$G$13="Yes",CO$3&gt;=Projects!$C$13,CO$3&lt;Projects!$C$13+Projects!$D$13),Projects!$B$13*(Assumptions!$B$10+Assumptions!$B$11+Assumptions!$B$12)/Projects!$D$13*0.95,0)-IF(AND(Projects!$G$13="Yes",CO$3=Projects!$C$13+Projects!$D$13-1),Projects!$B$13*(Assumptions!$B$10+Assumptions!$B$11+Assumptions!$B$12)*0.05,0)</f>
        <v>0</v>
      </c>
      <c r="CP24" s="19" t="n">
        <f aca="false">IF(AND(Projects!$G$13="Yes",CP$3&gt;=Projects!$C$13,CP$3&lt;Projects!$C$13+Projects!$D$13),Projects!$B$13*INDEX(Curves!$B$2:$AR$2,1,CP$3-Projects!$C$13+1),0)-IF(AND(Projects!$G$13="Yes",CP$3&gt;=Projects!$C$13,CP$3&lt;Projects!$C$13+Projects!$D$13),Projects!$B$13*(Assumptions!$B$10+Assumptions!$B$11+Assumptions!$B$12)/Projects!$D$13*0.95,0)-IF(AND(Projects!$G$13="Yes",CP$3=Projects!$C$13+Projects!$D$13-1),Projects!$B$13*(Assumptions!$B$10+Assumptions!$B$11+Assumptions!$B$12)*0.05,0)</f>
        <v>0</v>
      </c>
      <c r="CQ24" s="19" t="n">
        <f aca="false">IF(AND(Projects!$G$13="Yes",CQ$3&gt;=Projects!$C$13,CQ$3&lt;Projects!$C$13+Projects!$D$13),Projects!$B$13*INDEX(Curves!$B$2:$AR$2,1,CQ$3-Projects!$C$13+1),0)-IF(AND(Projects!$G$13="Yes",CQ$3&gt;=Projects!$C$13,CQ$3&lt;Projects!$C$13+Projects!$D$13),Projects!$B$13*(Assumptions!$B$10+Assumptions!$B$11+Assumptions!$B$12)/Projects!$D$13*0.95,0)-IF(AND(Projects!$G$13="Yes",CQ$3=Projects!$C$13+Projects!$D$13-1),Projects!$B$13*(Assumptions!$B$10+Assumptions!$B$11+Assumptions!$B$12)*0.05,0)</f>
        <v>0</v>
      </c>
      <c r="CR24" s="19" t="n">
        <f aca="false">IF(AND(Projects!$G$13="Yes",CR$3&gt;=Projects!$C$13,CR$3&lt;Projects!$C$13+Projects!$D$13),Projects!$B$13*INDEX(Curves!$B$2:$AR$2,1,CR$3-Projects!$C$13+1),0)-IF(AND(Projects!$G$13="Yes",CR$3&gt;=Projects!$C$13,CR$3&lt;Projects!$C$13+Projects!$D$13),Projects!$B$13*(Assumptions!$B$10+Assumptions!$B$11+Assumptions!$B$12)/Projects!$D$13*0.95,0)-IF(AND(Projects!$G$13="Yes",CR$3=Projects!$C$13+Projects!$D$13-1),Projects!$B$13*(Assumptions!$B$10+Assumptions!$B$11+Assumptions!$B$12)*0.05,0)</f>
        <v>0</v>
      </c>
      <c r="CS24" s="19" t="n">
        <f aca="false">IF(AND(Projects!$G$13="Yes",CS$3&gt;=Projects!$C$13,CS$3&lt;Projects!$C$13+Projects!$D$13),Projects!$B$13*INDEX(Curves!$B$2:$AR$2,1,CS$3-Projects!$C$13+1),0)-IF(AND(Projects!$G$13="Yes",CS$3&gt;=Projects!$C$13,CS$3&lt;Projects!$C$13+Projects!$D$13),Projects!$B$13*(Assumptions!$B$10+Assumptions!$B$11+Assumptions!$B$12)/Projects!$D$13*0.95,0)-IF(AND(Projects!$G$13="Yes",CS$3=Projects!$C$13+Projects!$D$13-1),Projects!$B$13*(Assumptions!$B$10+Assumptions!$B$11+Assumptions!$B$12)*0.05,0)</f>
        <v>0</v>
      </c>
      <c r="CT24" s="19" t="n">
        <f aca="false">IF(AND(Projects!$G$13="Yes",CT$3&gt;=Projects!$C$13,CT$3&lt;Projects!$C$13+Projects!$D$13),Projects!$B$13*INDEX(Curves!$B$2:$AR$2,1,CT$3-Projects!$C$13+1),0)-IF(AND(Projects!$G$13="Yes",CT$3&gt;=Projects!$C$13,CT$3&lt;Projects!$C$13+Projects!$D$13),Projects!$B$13*(Assumptions!$B$10+Assumptions!$B$11+Assumptions!$B$12)/Projects!$D$13*0.95,0)-IF(AND(Projects!$G$13="Yes",CT$3=Projects!$C$13+Projects!$D$13-1),Projects!$B$13*(Assumptions!$B$10+Assumptions!$B$11+Assumptions!$B$12)*0.05,0)</f>
        <v>0</v>
      </c>
      <c r="CU24" s="19" t="n">
        <f aca="false">IF(AND(Projects!$G$13="Yes",CU$3&gt;=Projects!$C$13,CU$3&lt;Projects!$C$13+Projects!$D$13),Projects!$B$13*INDEX(Curves!$B$2:$AR$2,1,CU$3-Projects!$C$13+1),0)-IF(AND(Projects!$G$13="Yes",CU$3&gt;=Projects!$C$13,CU$3&lt;Projects!$C$13+Projects!$D$13),Projects!$B$13*(Assumptions!$B$10+Assumptions!$B$11+Assumptions!$B$12)/Projects!$D$13*0.95,0)-IF(AND(Projects!$G$13="Yes",CU$3=Projects!$C$13+Projects!$D$13-1),Projects!$B$13*(Assumptions!$B$10+Assumptions!$B$11+Assumptions!$B$12)*0.05,0)</f>
        <v>0</v>
      </c>
      <c r="CV24" s="19" t="n">
        <f aca="false">IF(AND(Projects!$G$13="Yes",CV$3&gt;=Projects!$C$13,CV$3&lt;Projects!$C$13+Projects!$D$13),Projects!$B$13*INDEX(Curves!$B$2:$AR$2,1,CV$3-Projects!$C$13+1),0)-IF(AND(Projects!$G$13="Yes",CV$3&gt;=Projects!$C$13,CV$3&lt;Projects!$C$13+Projects!$D$13),Projects!$B$13*(Assumptions!$B$10+Assumptions!$B$11+Assumptions!$B$12)/Projects!$D$13*0.95,0)-IF(AND(Projects!$G$13="Yes",CV$3=Projects!$C$13+Projects!$D$13-1),Projects!$B$13*(Assumptions!$B$10+Assumptions!$B$11+Assumptions!$B$12)*0.05,0)</f>
        <v>0</v>
      </c>
      <c r="CW24" s="19" t="n">
        <f aca="false">IF(AND(Projects!$G$13="Yes",CW$3&gt;=Projects!$C$13,CW$3&lt;Projects!$C$13+Projects!$D$13),Projects!$B$13*INDEX(Curves!$B$2:$AR$2,1,CW$3-Projects!$C$13+1),0)-IF(AND(Projects!$G$13="Yes",CW$3&gt;=Projects!$C$13,CW$3&lt;Projects!$C$13+Projects!$D$13),Projects!$B$13*(Assumptions!$B$10+Assumptions!$B$11+Assumptions!$B$12)/Projects!$D$13*0.95,0)-IF(AND(Projects!$G$13="Yes",CW$3=Projects!$C$13+Projects!$D$13-1),Projects!$B$13*(Assumptions!$B$10+Assumptions!$B$11+Assumptions!$B$12)*0.05,0)</f>
        <v>0</v>
      </c>
      <c r="CX24" s="19" t="n">
        <f aca="false">IF(AND(Projects!$G$13="Yes",CX$3&gt;=Projects!$C$13,CX$3&lt;Projects!$C$13+Projects!$D$13),Projects!$B$13*INDEX(Curves!$B$2:$AR$2,1,CX$3-Projects!$C$13+1),0)-IF(AND(Projects!$G$13="Yes",CX$3&gt;=Projects!$C$13,CX$3&lt;Projects!$C$13+Projects!$D$13),Projects!$B$13*(Assumptions!$B$10+Assumptions!$B$11+Assumptions!$B$12)/Projects!$D$13*0.95,0)-IF(AND(Projects!$G$13="Yes",CX$3=Projects!$C$13+Projects!$D$13-1),Projects!$B$13*(Assumptions!$B$10+Assumptions!$B$11+Assumptions!$B$12)*0.05,0)</f>
        <v>0</v>
      </c>
      <c r="CY24" s="19" t="n">
        <f aca="false">IF(AND(Projects!$G$13="Yes",CY$3&gt;=Projects!$C$13,CY$3&lt;Projects!$C$13+Projects!$D$13),Projects!$B$13*INDEX(Curves!$B$2:$AR$2,1,CY$3-Projects!$C$13+1),0)-IF(AND(Projects!$G$13="Yes",CY$3&gt;=Projects!$C$13,CY$3&lt;Projects!$C$13+Projects!$D$13),Projects!$B$13*(Assumptions!$B$10+Assumptions!$B$11+Assumptions!$B$12)/Projects!$D$13*0.95,0)-IF(AND(Projects!$G$13="Yes",CY$3=Projects!$C$13+Projects!$D$13-1),Projects!$B$13*(Assumptions!$B$10+Assumptions!$B$11+Assumptions!$B$12)*0.05,0)</f>
        <v>0</v>
      </c>
      <c r="CZ24" s="19" t="n">
        <f aca="false">IF(AND(Projects!$G$13="Yes",CZ$3&gt;=Projects!$C$13,CZ$3&lt;Projects!$C$13+Projects!$D$13),Projects!$B$13*INDEX(Curves!$B$2:$AR$2,1,CZ$3-Projects!$C$13+1),0)-IF(AND(Projects!$G$13="Yes",CZ$3&gt;=Projects!$C$13,CZ$3&lt;Projects!$C$13+Projects!$D$13),Projects!$B$13*(Assumptions!$B$10+Assumptions!$B$11+Assumptions!$B$12)/Projects!$D$13*0.95,0)-IF(AND(Projects!$G$13="Yes",CZ$3=Projects!$C$13+Projects!$D$13-1),Projects!$B$13*(Assumptions!$B$10+Assumptions!$B$11+Assumptions!$B$12)*0.05,0)</f>
        <v>0</v>
      </c>
      <c r="DA24" s="19" t="n">
        <f aca="false">IF(AND(Projects!$G$13="Yes",DA$3&gt;=Projects!$C$13,DA$3&lt;Projects!$C$13+Projects!$D$13),Projects!$B$13*INDEX(Curves!$B$2:$AR$2,1,DA$3-Projects!$C$13+1),0)-IF(AND(Projects!$G$13="Yes",DA$3&gt;=Projects!$C$13,DA$3&lt;Projects!$C$13+Projects!$D$13),Projects!$B$13*(Assumptions!$B$10+Assumptions!$B$11+Assumptions!$B$12)/Projects!$D$13*0.95,0)-IF(AND(Projects!$G$13="Yes",DA$3=Projects!$C$13+Projects!$D$13-1),Projects!$B$13*(Assumptions!$B$10+Assumptions!$B$11+Assumptions!$B$12)*0.05,0)</f>
        <v>0</v>
      </c>
      <c r="DB24" s="19" t="n">
        <f aca="false">IF(AND(Projects!$G$13="Yes",DB$3&gt;=Projects!$C$13,DB$3&lt;Projects!$C$13+Projects!$D$13),Projects!$B$13*INDEX(Curves!$B$2:$AR$2,1,DB$3-Projects!$C$13+1),0)-IF(AND(Projects!$G$13="Yes",DB$3&gt;=Projects!$C$13,DB$3&lt;Projects!$C$13+Projects!$D$13),Projects!$B$13*(Assumptions!$B$10+Assumptions!$B$11+Assumptions!$B$12)/Projects!$D$13*0.95,0)-IF(AND(Projects!$G$13="Yes",DB$3=Projects!$C$13+Projects!$D$13-1),Projects!$B$13*(Assumptions!$B$10+Assumptions!$B$11+Assumptions!$B$12)*0.05,0)</f>
        <v>0</v>
      </c>
      <c r="DC24" s="19" t="n">
        <f aca="false">IF(AND(Projects!$G$13="Yes",DC$3&gt;=Projects!$C$13,DC$3&lt;Projects!$C$13+Projects!$D$13),Projects!$B$13*INDEX(Curves!$B$2:$AR$2,1,DC$3-Projects!$C$13+1),0)-IF(AND(Projects!$G$13="Yes",DC$3&gt;=Projects!$C$13,DC$3&lt;Projects!$C$13+Projects!$D$13),Projects!$B$13*(Assumptions!$B$10+Assumptions!$B$11+Assumptions!$B$12)/Projects!$D$13*0.95,0)-IF(AND(Projects!$G$13="Yes",DC$3=Projects!$C$13+Projects!$D$13-1),Projects!$B$13*(Assumptions!$B$10+Assumptions!$B$11+Assumptions!$B$12)*0.05,0)</f>
        <v>0</v>
      </c>
      <c r="DD24" s="19" t="n">
        <f aca="false">IF(AND(Projects!$G$13="Yes",DD$3&gt;=Projects!$C$13,DD$3&lt;Projects!$C$13+Projects!$D$13),Projects!$B$13*INDEX(Curves!$B$2:$AR$2,1,DD$3-Projects!$C$13+1),0)-IF(AND(Projects!$G$13="Yes",DD$3&gt;=Projects!$C$13,DD$3&lt;Projects!$C$13+Projects!$D$13),Projects!$B$13*(Assumptions!$B$10+Assumptions!$B$11+Assumptions!$B$12)/Projects!$D$13*0.95,0)-IF(AND(Projects!$G$13="Yes",DD$3=Projects!$C$13+Projects!$D$13-1),Projects!$B$13*(Assumptions!$B$10+Assumptions!$B$11+Assumptions!$B$12)*0.05,0)</f>
        <v>0</v>
      </c>
      <c r="DE24" s="19" t="n">
        <f aca="false">IF(AND(Projects!$G$13="Yes",DE$3&gt;=Projects!$C$13,DE$3&lt;Projects!$C$13+Projects!$D$13),Projects!$B$13*INDEX(Curves!$B$2:$AR$2,1,DE$3-Projects!$C$13+1),0)-IF(AND(Projects!$G$13="Yes",DE$3&gt;=Projects!$C$13,DE$3&lt;Projects!$C$13+Projects!$D$13),Projects!$B$13*(Assumptions!$B$10+Assumptions!$B$11+Assumptions!$B$12)/Projects!$D$13*0.95,0)-IF(AND(Projects!$G$13="Yes",DE$3=Projects!$C$13+Projects!$D$13-1),Projects!$B$13*(Assumptions!$B$10+Assumptions!$B$11+Assumptions!$B$12)*0.05,0)</f>
        <v>0</v>
      </c>
    </row>
    <row r="25" customFormat="false" ht="15" hidden="true" customHeight="true" outlineLevel="1" collapsed="false">
      <c r="A25" s="28" t="s">
        <v>19</v>
      </c>
      <c r="B25" s="19" t="n">
        <v>0</v>
      </c>
      <c r="C25" s="19" t="n">
        <v>0</v>
      </c>
      <c r="D25" s="19" t="n">
        <v>0</v>
      </c>
      <c r="E25" s="19" t="n">
        <v>0</v>
      </c>
      <c r="F25" s="19" t="n">
        <f aca="false">IF(AND(Projects!$G$14="Yes",F$3&gt;=Projects!$C$14,F$3&lt;Projects!$C$14+Projects!$D$14),Projects!$B$14*INDEX(Curves!$B$2:$AR$2,1,F$3-Projects!$C$14+1),0)-IF(AND(Projects!$G$14="Yes",F$3&gt;=Projects!$C$14,F$3&lt;Projects!$C$14+Projects!$D$14),Projects!$B$14*(Assumptions!$B$10+Assumptions!$B$11+Assumptions!$B$12)/Projects!$D$14*0.95,0)-IF(AND(Projects!$G$14="Yes",F$3=Projects!$C$14+Projects!$D$14-1),Projects!$B$14*(Assumptions!$B$10+Assumptions!$B$11+Assumptions!$B$12)*0.05,0)</f>
        <v>0</v>
      </c>
      <c r="G25" s="19" t="n">
        <f aca="false">IF(AND(Projects!$G$14="Yes",G$3&gt;=Projects!$C$14,G$3&lt;Projects!$C$14+Projects!$D$14),Projects!$B$14*INDEX(Curves!$B$2:$AR$2,1,G$3-Projects!$C$14+1),0)-IF(AND(Projects!$G$14="Yes",G$3&gt;=Projects!$C$14,G$3&lt;Projects!$C$14+Projects!$D$14),Projects!$B$14*(Assumptions!$B$10+Assumptions!$B$11+Assumptions!$B$12)/Projects!$D$14*0.95,0)-IF(AND(Projects!$G$14="Yes",G$3=Projects!$C$14+Projects!$D$14-1),Projects!$B$14*(Assumptions!$B$10+Assumptions!$B$11+Assumptions!$B$12)*0.05,0)</f>
        <v>0</v>
      </c>
      <c r="H25" s="19" t="n">
        <f aca="false">IF(AND(Projects!$G$14="Yes",H$3&gt;=Projects!$C$14,H$3&lt;Projects!$C$14+Projects!$D$14),Projects!$B$14*INDEX(Curves!$B$2:$AR$2,1,H$3-Projects!$C$14+1),0)-IF(AND(Projects!$G$14="Yes",H$3&gt;=Projects!$C$14,H$3&lt;Projects!$C$14+Projects!$D$14),Projects!$B$14*(Assumptions!$B$10+Assumptions!$B$11+Assumptions!$B$12)/Projects!$D$14*0.95,0)-IF(AND(Projects!$G$14="Yes",H$3=Projects!$C$14+Projects!$D$14-1),Projects!$B$14*(Assumptions!$B$10+Assumptions!$B$11+Assumptions!$B$12)*0.05,0)</f>
        <v>0</v>
      </c>
      <c r="I25" s="19" t="n">
        <f aca="false">IF(AND(Projects!$G$14="Yes",I$3&gt;=Projects!$C$14,I$3&lt;Projects!$C$14+Projects!$D$14),Projects!$B$14*INDEX(Curves!$B$2:$AR$2,1,I$3-Projects!$C$14+1),0)-IF(AND(Projects!$G$14="Yes",I$3&gt;=Projects!$C$14,I$3&lt;Projects!$C$14+Projects!$D$14),Projects!$B$14*(Assumptions!$B$10+Assumptions!$B$11+Assumptions!$B$12)/Projects!$D$14*0.95,0)-IF(AND(Projects!$G$14="Yes",I$3=Projects!$C$14+Projects!$D$14-1),Projects!$B$14*(Assumptions!$B$10+Assumptions!$B$11+Assumptions!$B$12)*0.05,0)</f>
        <v>0</v>
      </c>
      <c r="J25" s="19" t="n">
        <f aca="false">IF(AND(Projects!$G$14="Yes",J$3&gt;=Projects!$C$14,J$3&lt;Projects!$C$14+Projects!$D$14),Projects!$B$14*INDEX(Curves!$B$2:$AR$2,1,J$3-Projects!$C$14+1),0)-IF(AND(Projects!$G$14="Yes",J$3&gt;=Projects!$C$14,J$3&lt;Projects!$C$14+Projects!$D$14),Projects!$B$14*(Assumptions!$B$10+Assumptions!$B$11+Assumptions!$B$12)/Projects!$D$14*0.95,0)-IF(AND(Projects!$G$14="Yes",J$3=Projects!$C$14+Projects!$D$14-1),Projects!$B$14*(Assumptions!$B$10+Assumptions!$B$11+Assumptions!$B$12)*0.05,0)</f>
        <v>0</v>
      </c>
      <c r="K25" s="19" t="n">
        <f aca="false">IF(AND(Projects!$G$14="Yes",K$3&gt;=Projects!$C$14,K$3&lt;Projects!$C$14+Projects!$D$14),Projects!$B$14*INDEX(Curves!$B$2:$AR$2,1,K$3-Projects!$C$14+1),0)-IF(AND(Projects!$G$14="Yes",K$3&gt;=Projects!$C$14,K$3&lt;Projects!$C$14+Projects!$D$14),Projects!$B$14*(Assumptions!$B$10+Assumptions!$B$11+Assumptions!$B$12)/Projects!$D$14*0.95,0)-IF(AND(Projects!$G$14="Yes",K$3=Projects!$C$14+Projects!$D$14-1),Projects!$B$14*(Assumptions!$B$10+Assumptions!$B$11+Assumptions!$B$12)*0.05,0)</f>
        <v>0</v>
      </c>
      <c r="L25" s="19" t="n">
        <f aca="false">IF(AND(Projects!$G$14="Yes",L$3&gt;=Projects!$C$14,L$3&lt;Projects!$C$14+Projects!$D$14),Projects!$B$14*INDEX(Curves!$B$2:$AR$2,1,L$3-Projects!$C$14+1),0)-IF(AND(Projects!$G$14="Yes",L$3&gt;=Projects!$C$14,L$3&lt;Projects!$C$14+Projects!$D$14),Projects!$B$14*(Assumptions!$B$10+Assumptions!$B$11+Assumptions!$B$12)/Projects!$D$14*0.95,0)-IF(AND(Projects!$G$14="Yes",L$3=Projects!$C$14+Projects!$D$14-1),Projects!$B$14*(Assumptions!$B$10+Assumptions!$B$11+Assumptions!$B$12)*0.05,0)</f>
        <v>0</v>
      </c>
      <c r="M25" s="19" t="n">
        <f aca="false">IF(AND(Projects!$G$14="Yes",M$3&gt;=Projects!$C$14,M$3&lt;Projects!$C$14+Projects!$D$14),Projects!$B$14*INDEX(Curves!$B$2:$AR$2,1,M$3-Projects!$C$14+1),0)-IF(AND(Projects!$G$14="Yes",M$3&gt;=Projects!$C$14,M$3&lt;Projects!$C$14+Projects!$D$14),Projects!$B$14*(Assumptions!$B$10+Assumptions!$B$11+Assumptions!$B$12)/Projects!$D$14*0.95,0)-IF(AND(Projects!$G$14="Yes",M$3=Projects!$C$14+Projects!$D$14-1),Projects!$B$14*(Assumptions!$B$10+Assumptions!$B$11+Assumptions!$B$12)*0.05,0)</f>
        <v>0</v>
      </c>
      <c r="N25" s="19" t="n">
        <f aca="false">IF(AND(Projects!$G$14="Yes",N$3&gt;=Projects!$C$14,N$3&lt;Projects!$C$14+Projects!$D$14),Projects!$B$14*INDEX(Curves!$B$2:$AR$2,1,N$3-Projects!$C$14+1),0)-IF(AND(Projects!$G$14="Yes",N$3&gt;=Projects!$C$14,N$3&lt;Projects!$C$14+Projects!$D$14),Projects!$B$14*(Assumptions!$B$10+Assumptions!$B$11+Assumptions!$B$12)/Projects!$D$14*0.95,0)-IF(AND(Projects!$G$14="Yes",N$3=Projects!$C$14+Projects!$D$14-1),Projects!$B$14*(Assumptions!$B$10+Assumptions!$B$11+Assumptions!$B$12)*0.05,0)</f>
        <v>0</v>
      </c>
      <c r="O25" s="19" t="n">
        <f aca="false">IF(AND(Projects!$G$14="Yes",O$3&gt;=Projects!$C$14,O$3&lt;Projects!$C$14+Projects!$D$14),Projects!$B$14*INDEX(Curves!$B$2:$AR$2,1,O$3-Projects!$C$14+1),0)-IF(AND(Projects!$G$14="Yes",O$3&gt;=Projects!$C$14,O$3&lt;Projects!$C$14+Projects!$D$14),Projects!$B$14*(Assumptions!$B$10+Assumptions!$B$11+Assumptions!$B$12)/Projects!$D$14*0.95,0)-IF(AND(Projects!$G$14="Yes",O$3=Projects!$C$14+Projects!$D$14-1),Projects!$B$14*(Assumptions!$B$10+Assumptions!$B$11+Assumptions!$B$12)*0.05,0)</f>
        <v>0</v>
      </c>
      <c r="P25" s="19" t="n">
        <f aca="false">IF(AND(Projects!$G$14="Yes",P$3&gt;=Projects!$C$14,P$3&lt;Projects!$C$14+Projects!$D$14),Projects!$B$14*INDEX(Curves!$B$2:$AR$2,1,P$3-Projects!$C$14+1),0)-IF(AND(Projects!$G$14="Yes",P$3&gt;=Projects!$C$14,P$3&lt;Projects!$C$14+Projects!$D$14),Projects!$B$14*(Assumptions!$B$10+Assumptions!$B$11+Assumptions!$B$12)/Projects!$D$14*0.95,0)-IF(AND(Projects!$G$14="Yes",P$3=Projects!$C$14+Projects!$D$14-1),Projects!$B$14*(Assumptions!$B$10+Assumptions!$B$11+Assumptions!$B$12)*0.05,0)</f>
        <v>0</v>
      </c>
      <c r="Q25" s="19" t="n">
        <f aca="false">IF(AND(Projects!$G$14="Yes",Q$3&gt;=Projects!$C$14,Q$3&lt;Projects!$C$14+Projects!$D$14),Projects!$B$14*INDEX(Curves!$B$2:$AR$2,1,Q$3-Projects!$C$14+1),0)-IF(AND(Projects!$G$14="Yes",Q$3&gt;=Projects!$C$14,Q$3&lt;Projects!$C$14+Projects!$D$14),Projects!$B$14*(Assumptions!$B$10+Assumptions!$B$11+Assumptions!$B$12)/Projects!$D$14*0.95,0)-IF(AND(Projects!$G$14="Yes",Q$3=Projects!$C$14+Projects!$D$14-1),Projects!$B$14*(Assumptions!$B$10+Assumptions!$B$11+Assumptions!$B$12)*0.05,0)</f>
        <v>0</v>
      </c>
      <c r="R25" s="19" t="n">
        <f aca="false">IF(AND(Projects!$G$14="Yes",R$3&gt;=Projects!$C$14,R$3&lt;Projects!$C$14+Projects!$D$14),Projects!$B$14*INDEX(Curves!$B$2:$AR$2,1,R$3-Projects!$C$14+1),0)-IF(AND(Projects!$G$14="Yes",R$3&gt;=Projects!$C$14,R$3&lt;Projects!$C$14+Projects!$D$14),Projects!$B$14*(Assumptions!$B$10+Assumptions!$B$11+Assumptions!$B$12)/Projects!$D$14*0.95,0)-IF(AND(Projects!$G$14="Yes",R$3=Projects!$C$14+Projects!$D$14-1),Projects!$B$14*(Assumptions!$B$10+Assumptions!$B$11+Assumptions!$B$12)*0.05,0)</f>
        <v>0</v>
      </c>
      <c r="S25" s="19" t="n">
        <f aca="false">IF(AND(Projects!$G$14="Yes",S$3&gt;=Projects!$C$14,S$3&lt;Projects!$C$14+Projects!$D$14),Projects!$B$14*INDEX(Curves!$B$2:$AR$2,1,S$3-Projects!$C$14+1),0)-IF(AND(Projects!$G$14="Yes",S$3&gt;=Projects!$C$14,S$3&lt;Projects!$C$14+Projects!$D$14),Projects!$B$14*(Assumptions!$B$10+Assumptions!$B$11+Assumptions!$B$12)/Projects!$D$14*0.95,0)-IF(AND(Projects!$G$14="Yes",S$3=Projects!$C$14+Projects!$D$14-1),Projects!$B$14*(Assumptions!$B$10+Assumptions!$B$11+Assumptions!$B$12)*0.05,0)</f>
        <v>0</v>
      </c>
      <c r="T25" s="19" t="n">
        <f aca="false">IF(AND(Projects!$G$14="Yes",T$3&gt;=Projects!$C$14,T$3&lt;Projects!$C$14+Projects!$D$14),Projects!$B$14*INDEX(Curves!$B$2:$AR$2,1,T$3-Projects!$C$14+1),0)-IF(AND(Projects!$G$14="Yes",T$3&gt;=Projects!$C$14,T$3&lt;Projects!$C$14+Projects!$D$14),Projects!$B$14*(Assumptions!$B$10+Assumptions!$B$11+Assumptions!$B$12)/Projects!$D$14*0.95,0)-IF(AND(Projects!$G$14="Yes",T$3=Projects!$C$14+Projects!$D$14-1),Projects!$B$14*(Assumptions!$B$10+Assumptions!$B$11+Assumptions!$B$12)*0.05,0)</f>
        <v>0</v>
      </c>
      <c r="U25" s="19" t="n">
        <f aca="false">IF(AND(Projects!$G$14="Yes",U$3&gt;=Projects!$C$14,U$3&lt;Projects!$C$14+Projects!$D$14),Projects!$B$14*INDEX(Curves!$B$2:$AR$2,1,U$3-Projects!$C$14+1),0)-IF(AND(Projects!$G$14="Yes",U$3&gt;=Projects!$C$14,U$3&lt;Projects!$C$14+Projects!$D$14),Projects!$B$14*(Assumptions!$B$10+Assumptions!$B$11+Assumptions!$B$12)/Projects!$D$14*0.95,0)-IF(AND(Projects!$G$14="Yes",U$3=Projects!$C$14+Projects!$D$14-1),Projects!$B$14*(Assumptions!$B$10+Assumptions!$B$11+Assumptions!$B$12)*0.05,0)</f>
        <v>0</v>
      </c>
      <c r="V25" s="19" t="n">
        <f aca="false">IF(AND(Projects!$G$14="Yes",V$3&gt;=Projects!$C$14,V$3&lt;Projects!$C$14+Projects!$D$14),Projects!$B$14*INDEX(Curves!$B$2:$AR$2,1,V$3-Projects!$C$14+1),0)-IF(AND(Projects!$G$14="Yes",V$3&gt;=Projects!$C$14,V$3&lt;Projects!$C$14+Projects!$D$14),Projects!$B$14*(Assumptions!$B$10+Assumptions!$B$11+Assumptions!$B$12)/Projects!$D$14*0.95,0)-IF(AND(Projects!$G$14="Yes",V$3=Projects!$C$14+Projects!$D$14-1),Projects!$B$14*(Assumptions!$B$10+Assumptions!$B$11+Assumptions!$B$12)*0.05,0)</f>
        <v>0</v>
      </c>
      <c r="W25" s="19" t="n">
        <f aca="false">IF(AND(Projects!$G$14="Yes",W$3&gt;=Projects!$C$14,W$3&lt;Projects!$C$14+Projects!$D$14),Projects!$B$14*INDEX(Curves!$B$2:$AR$2,1,W$3-Projects!$C$14+1),0)-IF(AND(Projects!$G$14="Yes",W$3&gt;=Projects!$C$14,W$3&lt;Projects!$C$14+Projects!$D$14),Projects!$B$14*(Assumptions!$B$10+Assumptions!$B$11+Assumptions!$B$12)/Projects!$D$14*0.95,0)-IF(AND(Projects!$G$14="Yes",W$3=Projects!$C$14+Projects!$D$14-1),Projects!$B$14*(Assumptions!$B$10+Assumptions!$B$11+Assumptions!$B$12)*0.05,0)</f>
        <v>0</v>
      </c>
      <c r="X25" s="19" t="n">
        <f aca="false">IF(AND(Projects!$G$14="Yes",X$3&gt;=Projects!$C$14,X$3&lt;Projects!$C$14+Projects!$D$14),Projects!$B$14*INDEX(Curves!$B$2:$AR$2,1,X$3-Projects!$C$14+1),0)-IF(AND(Projects!$G$14="Yes",X$3&gt;=Projects!$C$14,X$3&lt;Projects!$C$14+Projects!$D$14),Projects!$B$14*(Assumptions!$B$10+Assumptions!$B$11+Assumptions!$B$12)/Projects!$D$14*0.95,0)-IF(AND(Projects!$G$14="Yes",X$3=Projects!$C$14+Projects!$D$14-1),Projects!$B$14*(Assumptions!$B$10+Assumptions!$B$11+Assumptions!$B$12)*0.05,0)</f>
        <v>0</v>
      </c>
      <c r="Y25" s="19" t="n">
        <f aca="false">IF(AND(Projects!$G$14="Yes",Y$3&gt;=Projects!$C$14,Y$3&lt;Projects!$C$14+Projects!$D$14),Projects!$B$14*INDEX(Curves!$B$2:$AR$2,1,Y$3-Projects!$C$14+1),0)-IF(AND(Projects!$G$14="Yes",Y$3&gt;=Projects!$C$14,Y$3&lt;Projects!$C$14+Projects!$D$14),Projects!$B$14*(Assumptions!$B$10+Assumptions!$B$11+Assumptions!$B$12)/Projects!$D$14*0.95,0)-IF(AND(Projects!$G$14="Yes",Y$3=Projects!$C$14+Projects!$D$14-1),Projects!$B$14*(Assumptions!$B$10+Assumptions!$B$11+Assumptions!$B$12)*0.05,0)</f>
        <v>0</v>
      </c>
      <c r="Z25" s="19" t="n">
        <f aca="false">IF(AND(Projects!$G$14="Yes",Z$3&gt;=Projects!$C$14,Z$3&lt;Projects!$C$14+Projects!$D$14),Projects!$B$14*INDEX(Curves!$B$2:$AR$2,1,Z$3-Projects!$C$14+1),0)-IF(AND(Projects!$G$14="Yes",Z$3&gt;=Projects!$C$14,Z$3&lt;Projects!$C$14+Projects!$D$14),Projects!$B$14*(Assumptions!$B$10+Assumptions!$B$11+Assumptions!$B$12)/Projects!$D$14*0.95,0)-IF(AND(Projects!$G$14="Yes",Z$3=Projects!$C$14+Projects!$D$14-1),Projects!$B$14*(Assumptions!$B$10+Assumptions!$B$11+Assumptions!$B$12)*0.05,0)</f>
        <v>0</v>
      </c>
      <c r="AA25" s="19" t="n">
        <f aca="false">IF(AND(Projects!$G$14="Yes",AA$3&gt;=Projects!$C$14,AA$3&lt;Projects!$C$14+Projects!$D$14),Projects!$B$14*INDEX(Curves!$B$2:$AR$2,1,AA$3-Projects!$C$14+1),0)-IF(AND(Projects!$G$14="Yes",AA$3&gt;=Projects!$C$14,AA$3&lt;Projects!$C$14+Projects!$D$14),Projects!$B$14*(Assumptions!$B$10+Assumptions!$B$11+Assumptions!$B$12)/Projects!$D$14*0.95,0)-IF(AND(Projects!$G$14="Yes",AA$3=Projects!$C$14+Projects!$D$14-1),Projects!$B$14*(Assumptions!$B$10+Assumptions!$B$11+Assumptions!$B$12)*0.05,0)</f>
        <v>0</v>
      </c>
      <c r="AB25" s="19" t="n">
        <f aca="false">IF(AND(Projects!$G$14="Yes",AB$3&gt;=Projects!$C$14,AB$3&lt;Projects!$C$14+Projects!$D$14),Projects!$B$14*INDEX(Curves!$B$2:$AR$2,1,AB$3-Projects!$C$14+1),0)-IF(AND(Projects!$G$14="Yes",AB$3&gt;=Projects!$C$14,AB$3&lt;Projects!$C$14+Projects!$D$14),Projects!$B$14*(Assumptions!$B$10+Assumptions!$B$11+Assumptions!$B$12)/Projects!$D$14*0.95,0)-IF(AND(Projects!$G$14="Yes",AB$3=Projects!$C$14+Projects!$D$14-1),Projects!$B$14*(Assumptions!$B$10+Assumptions!$B$11+Assumptions!$B$12)*0.05,0)</f>
        <v>0</v>
      </c>
      <c r="AC25" s="19" t="n">
        <f aca="false">IF(AND(Projects!$G$14="Yes",AC$3&gt;=Projects!$C$14,AC$3&lt;Projects!$C$14+Projects!$D$14),Projects!$B$14*INDEX(Curves!$B$2:$AR$2,1,AC$3-Projects!$C$14+1),0)-IF(AND(Projects!$G$14="Yes",AC$3&gt;=Projects!$C$14,AC$3&lt;Projects!$C$14+Projects!$D$14),Projects!$B$14*(Assumptions!$B$10+Assumptions!$B$11+Assumptions!$B$12)/Projects!$D$14*0.95,0)-IF(AND(Projects!$G$14="Yes",AC$3=Projects!$C$14+Projects!$D$14-1),Projects!$B$14*(Assumptions!$B$10+Assumptions!$B$11+Assumptions!$B$12)*0.05,0)</f>
        <v>0</v>
      </c>
      <c r="AD25" s="19" t="n">
        <f aca="false">IF(AND(Projects!$G$14="Yes",AD$3&gt;=Projects!$C$14,AD$3&lt;Projects!$C$14+Projects!$D$14),Projects!$B$14*INDEX(Curves!$B$2:$AR$2,1,AD$3-Projects!$C$14+1),0)-IF(AND(Projects!$G$14="Yes",AD$3&gt;=Projects!$C$14,AD$3&lt;Projects!$C$14+Projects!$D$14),Projects!$B$14*(Assumptions!$B$10+Assumptions!$B$11+Assumptions!$B$12)/Projects!$D$14*0.95,0)-IF(AND(Projects!$G$14="Yes",AD$3=Projects!$C$14+Projects!$D$14-1),Projects!$B$14*(Assumptions!$B$10+Assumptions!$B$11+Assumptions!$B$12)*0.05,0)</f>
        <v>0</v>
      </c>
      <c r="AE25" s="19" t="n">
        <f aca="false">IF(AND(Projects!$G$14="Yes",AE$3&gt;=Projects!$C$14,AE$3&lt;Projects!$C$14+Projects!$D$14),Projects!$B$14*INDEX(Curves!$B$2:$AR$2,1,AE$3-Projects!$C$14+1),0)-IF(AND(Projects!$G$14="Yes",AE$3&gt;=Projects!$C$14,AE$3&lt;Projects!$C$14+Projects!$D$14),Projects!$B$14*(Assumptions!$B$10+Assumptions!$B$11+Assumptions!$B$12)/Projects!$D$14*0.95,0)-IF(AND(Projects!$G$14="Yes",AE$3=Projects!$C$14+Projects!$D$14-1),Projects!$B$14*(Assumptions!$B$10+Assumptions!$B$11+Assumptions!$B$12)*0.05,0)</f>
        <v>508191.288963453</v>
      </c>
      <c r="AF25" s="19" t="n">
        <f aca="false">IF(AND(Projects!$G$14="Yes",AF$3&gt;=Projects!$C$14,AF$3&lt;Projects!$C$14+Projects!$D$14),Projects!$B$14*INDEX(Curves!$B$2:$AR$2,1,AF$3-Projects!$C$14+1),0)-IF(AND(Projects!$G$14="Yes",AF$3&gt;=Projects!$C$14,AF$3&lt;Projects!$C$14+Projects!$D$14),Projects!$B$14*(Assumptions!$B$10+Assumptions!$B$11+Assumptions!$B$12)/Projects!$D$14*0.95,0)-IF(AND(Projects!$G$14="Yes",AF$3=Projects!$C$14+Projects!$D$14-1),Projects!$B$14*(Assumptions!$B$10+Assumptions!$B$11+Assumptions!$B$12)*0.05,0)</f>
        <v>608145.434507453</v>
      </c>
      <c r="AG25" s="19" t="n">
        <f aca="false">IF(AND(Projects!$G$14="Yes",AG$3&gt;=Projects!$C$14,AG$3&lt;Projects!$C$14+Projects!$D$14),Projects!$B$14*INDEX(Curves!$B$2:$AR$2,1,AG$3-Projects!$C$14+1),0)-IF(AND(Projects!$G$14="Yes",AG$3&gt;=Projects!$C$14,AG$3&lt;Projects!$C$14+Projects!$D$14),Projects!$B$14*(Assumptions!$B$10+Assumptions!$B$11+Assumptions!$B$12)/Projects!$D$14*0.95,0)-IF(AND(Projects!$G$14="Yes",AG$3=Projects!$C$14+Projects!$D$14-1),Projects!$B$14*(Assumptions!$B$10+Assumptions!$B$11+Assumptions!$B$12)*0.05,0)</f>
        <v>714385.484115453</v>
      </c>
      <c r="AH25" s="19" t="n">
        <f aca="false">IF(AND(Projects!$G$14="Yes",AH$3&gt;=Projects!$C$14,AH$3&lt;Projects!$C$14+Projects!$D$14),Projects!$B$14*INDEX(Curves!$B$2:$AR$2,1,AH$3-Projects!$C$14+1),0)-IF(AND(Projects!$G$14="Yes",AH$3&gt;=Projects!$C$14,AH$3&lt;Projects!$C$14+Projects!$D$14),Projects!$B$14*(Assumptions!$B$10+Assumptions!$B$11+Assumptions!$B$12)/Projects!$D$14*0.95,0)-IF(AND(Projects!$G$14="Yes",AH$3=Projects!$C$14+Projects!$D$14-1),Projects!$B$14*(Assumptions!$B$10+Assumptions!$B$11+Assumptions!$B$12)*0.05,0)</f>
        <v>825464.025667453</v>
      </c>
      <c r="AI25" s="19" t="n">
        <f aca="false">IF(AND(Projects!$G$14="Yes",AI$3&gt;=Projects!$C$14,AI$3&lt;Projects!$C$14+Projects!$D$14),Projects!$B$14*INDEX(Curves!$B$2:$AR$2,1,AI$3-Projects!$C$14+1),0)-IF(AND(Projects!$G$14="Yes",AI$3&gt;=Projects!$C$14,AI$3&lt;Projects!$C$14+Projects!$D$14),Projects!$B$14*(Assumptions!$B$10+Assumptions!$B$11+Assumptions!$B$12)/Projects!$D$14*0.95,0)-IF(AND(Projects!$G$14="Yes",AI$3=Projects!$C$14+Projects!$D$14-1),Projects!$B$14*(Assumptions!$B$10+Assumptions!$B$11+Assumptions!$B$12)*0.05,0)</f>
        <v>939685.519251453</v>
      </c>
      <c r="AJ25" s="19" t="n">
        <f aca="false">IF(AND(Projects!$G$14="Yes",AJ$3&gt;=Projects!$C$14,AJ$3&lt;Projects!$C$14+Projects!$D$14),Projects!$B$14*INDEX(Curves!$B$2:$AR$2,1,AJ$3-Projects!$C$14+1),0)-IF(AND(Projects!$G$14="Yes",AJ$3&gt;=Projects!$C$14,AJ$3&lt;Projects!$C$14+Projects!$D$14),Projects!$B$14*(Assumptions!$B$10+Assumptions!$B$11+Assumptions!$B$12)/Projects!$D$14*0.95,0)-IF(AND(Projects!$G$14="Yes",AJ$3=Projects!$C$14+Projects!$D$14-1),Projects!$B$14*(Assumptions!$B$10+Assumptions!$B$11+Assumptions!$B$12)*0.05,0)</f>
        <v>1054982.23326745</v>
      </c>
      <c r="AK25" s="19" t="n">
        <f aca="false">IF(AND(Projects!$G$14="Yes",AK$3&gt;=Projects!$C$14,AK$3&lt;Projects!$C$14+Projects!$D$14),Projects!$B$14*INDEX(Curves!$B$2:$AR$2,1,AK$3-Projects!$C$14+1),0)-IF(AND(Projects!$G$14="Yes",AK$3&gt;=Projects!$C$14,AK$3&lt;Projects!$C$14+Projects!$D$14),Projects!$B$14*(Assumptions!$B$10+Assumptions!$B$11+Assumptions!$B$12)/Projects!$D$14*0.95,0)-IF(AND(Projects!$G$14="Yes",AK$3=Projects!$C$14+Projects!$D$14-1),Projects!$B$14*(Assumptions!$B$10+Assumptions!$B$11+Assumptions!$B$12)*0.05,0)</f>
        <v>1169079.66295545</v>
      </c>
      <c r="AL25" s="19" t="n">
        <f aca="false">IF(AND(Projects!$G$14="Yes",AL$3&gt;=Projects!$C$14,AL$3&lt;Projects!$C$14+Projects!$D$14),Projects!$B$14*INDEX(Curves!$B$2:$AR$2,1,AL$3-Projects!$C$14+1),0)-IF(AND(Projects!$G$14="Yes",AL$3&gt;=Projects!$C$14,AL$3&lt;Projects!$C$14+Projects!$D$14),Projects!$B$14*(Assumptions!$B$10+Assumptions!$B$11+Assumptions!$B$12)/Projects!$D$14*0.95,0)-IF(AND(Projects!$G$14="Yes",AL$3=Projects!$C$14+Projects!$D$14-1),Projects!$B$14*(Assumptions!$B$10+Assumptions!$B$11+Assumptions!$B$12)*0.05,0)</f>
        <v>1279496.53039545</v>
      </c>
      <c r="AM25" s="19" t="n">
        <f aca="false">IF(AND(Projects!$G$14="Yes",AM$3&gt;=Projects!$C$14,AM$3&lt;Projects!$C$14+Projects!$D$14),Projects!$B$14*INDEX(Curves!$B$2:$AR$2,1,AM$3-Projects!$C$14+1),0)-IF(AND(Projects!$G$14="Yes",AM$3&gt;=Projects!$C$14,AM$3&lt;Projects!$C$14+Projects!$D$14),Projects!$B$14*(Assumptions!$B$10+Assumptions!$B$11+Assumptions!$B$12)/Projects!$D$14*0.95,0)-IF(AND(Projects!$G$14="Yes",AM$3=Projects!$C$14+Projects!$D$14-1),Projects!$B$14*(Assumptions!$B$10+Assumptions!$B$11+Assumptions!$B$12)*0.05,0)</f>
        <v>1383586.13913945</v>
      </c>
      <c r="AN25" s="19" t="n">
        <f aca="false">IF(AND(Projects!$G$14="Yes",AN$3&gt;=Projects!$C$14,AN$3&lt;Projects!$C$14+Projects!$D$14),Projects!$B$14*INDEX(Curves!$B$2:$AR$2,1,AN$3-Projects!$C$14+1),0)-IF(AND(Projects!$G$14="Yes",AN$3&gt;=Projects!$C$14,AN$3&lt;Projects!$C$14+Projects!$D$14),Projects!$B$14*(Assumptions!$B$10+Assumptions!$B$11+Assumptions!$B$12)/Projects!$D$14*0.95,0)-IF(AND(Projects!$G$14="Yes",AN$3=Projects!$C$14+Projects!$D$14-1),Projects!$B$14*(Assumptions!$B$10+Assumptions!$B$11+Assumptions!$B$12)*0.05,0)</f>
        <v>1478825.85663545</v>
      </c>
      <c r="AO25" s="19" t="n">
        <f aca="false">IF(AND(Projects!$G$14="Yes",AO$3&gt;=Projects!$C$14,AO$3&lt;Projects!$C$14+Projects!$D$14),Projects!$B$14*INDEX(Curves!$B$2:$AR$2,1,AO$3-Projects!$C$14+1),0)-IF(AND(Projects!$G$14="Yes",AO$3&gt;=Projects!$C$14,AO$3&lt;Projects!$C$14+Projects!$D$14),Projects!$B$14*(Assumptions!$B$10+Assumptions!$B$11+Assumptions!$B$12)/Projects!$D$14*0.95,0)-IF(AND(Projects!$G$14="Yes",AO$3=Projects!$C$14+Projects!$D$14-1),Projects!$B$14*(Assumptions!$B$10+Assumptions!$B$11+Assumptions!$B$12)*0.05,0)</f>
        <v>1562651.69569945</v>
      </c>
      <c r="AP25" s="19" t="n">
        <f aca="false">IF(AND(Projects!$G$14="Yes",AP$3&gt;=Projects!$C$14,AP$3&lt;Projects!$C$14+Projects!$D$14),Projects!$B$14*INDEX(Curves!$B$2:$AR$2,1,AP$3-Projects!$C$14+1),0)-IF(AND(Projects!$G$14="Yes",AP$3&gt;=Projects!$C$14,AP$3&lt;Projects!$C$14+Projects!$D$14),Projects!$B$14*(Assumptions!$B$10+Assumptions!$B$11+Assumptions!$B$12)/Projects!$D$14*0.95,0)-IF(AND(Projects!$G$14="Yes",AP$3=Projects!$C$14+Projects!$D$14-1),Projects!$B$14*(Assumptions!$B$10+Assumptions!$B$11+Assumptions!$B$12)*0.05,0)</f>
        <v>1632789.15157145</v>
      </c>
      <c r="AQ25" s="19" t="n">
        <f aca="false">IF(AND(Projects!$G$14="Yes",AQ$3&gt;=Projects!$C$14,AQ$3&lt;Projects!$C$14+Projects!$D$14),Projects!$B$14*INDEX(Curves!$B$2:$AR$2,1,AQ$3-Projects!$C$14+1),0)-IF(AND(Projects!$G$14="Yes",AQ$3&gt;=Projects!$C$14,AQ$3&lt;Projects!$C$14+Projects!$D$14),Projects!$B$14*(Assumptions!$B$10+Assumptions!$B$11+Assumptions!$B$12)/Projects!$D$14*0.95,0)-IF(AND(Projects!$G$14="Yes",AQ$3=Projects!$C$14+Projects!$D$14-1),Projects!$B$14*(Assumptions!$B$10+Assumptions!$B$11+Assumptions!$B$12)*0.05,0)</f>
        <v>1687294.55654745</v>
      </c>
      <c r="AR25" s="19" t="n">
        <f aca="false">IF(AND(Projects!$G$14="Yes",AR$3&gt;=Projects!$C$14,AR$3&lt;Projects!$C$14+Projects!$D$14),Projects!$B$14*INDEX(Curves!$B$2:$AR$2,1,AR$3-Projects!$C$14+1),0)-IF(AND(Projects!$G$14="Yes",AR$3&gt;=Projects!$C$14,AR$3&lt;Projects!$C$14+Projects!$D$14),Projects!$B$14*(Assumptions!$B$10+Assumptions!$B$11+Assumptions!$B$12)/Projects!$D$14*0.95,0)-IF(AND(Projects!$G$14="Yes",AR$3=Projects!$C$14+Projects!$D$14-1),Projects!$B$14*(Assumptions!$B$10+Assumptions!$B$11+Assumptions!$B$12)*0.05,0)</f>
        <v>1724513.72534745</v>
      </c>
      <c r="AS25" s="19" t="n">
        <f aca="false">IF(AND(Projects!$G$14="Yes",AS$3&gt;=Projects!$C$14,AS$3&lt;Projects!$C$14+Projects!$D$14),Projects!$B$14*INDEX(Curves!$B$2:$AR$2,1,AS$3-Projects!$C$14+1),0)-IF(AND(Projects!$G$14="Yes",AS$3&gt;=Projects!$C$14,AS$3&lt;Projects!$C$14+Projects!$D$14),Projects!$B$14*(Assumptions!$B$10+Assumptions!$B$11+Assumptions!$B$12)/Projects!$D$14*0.95,0)-IF(AND(Projects!$G$14="Yes",AS$3=Projects!$C$14+Projects!$D$14-1),Projects!$B$14*(Assumptions!$B$10+Assumptions!$B$11+Assumptions!$B$12)*0.05,0)</f>
        <v>1743412.79217145</v>
      </c>
      <c r="AT25" s="19" t="n">
        <f aca="false">IF(AND(Projects!$G$14="Yes",AT$3&gt;=Projects!$C$14,AT$3&lt;Projects!$C$14+Projects!$D$14),Projects!$B$14*INDEX(Curves!$B$2:$AR$2,1,AT$3-Projects!$C$14+1),0)-IF(AND(Projects!$G$14="Yes",AT$3&gt;=Projects!$C$14,AT$3&lt;Projects!$C$14+Projects!$D$14),Projects!$B$14*(Assumptions!$B$10+Assumptions!$B$11+Assumptions!$B$12)/Projects!$D$14*0.95,0)-IF(AND(Projects!$G$14="Yes",AT$3=Projects!$C$14+Projects!$D$14-1),Projects!$B$14*(Assumptions!$B$10+Assumptions!$B$11+Assumptions!$B$12)*0.05,0)</f>
        <v>1743412.79217145</v>
      </c>
      <c r="AU25" s="19" t="n">
        <f aca="false">IF(AND(Projects!$G$14="Yes",AU$3&gt;=Projects!$C$14,AU$3&lt;Projects!$C$14+Projects!$D$14),Projects!$B$14*INDEX(Curves!$B$2:$AR$2,1,AU$3-Projects!$C$14+1),0)-IF(AND(Projects!$G$14="Yes",AU$3&gt;=Projects!$C$14,AU$3&lt;Projects!$C$14+Projects!$D$14),Projects!$B$14*(Assumptions!$B$10+Assumptions!$B$11+Assumptions!$B$12)/Projects!$D$14*0.95,0)-IF(AND(Projects!$G$14="Yes",AU$3=Projects!$C$14+Projects!$D$14-1),Projects!$B$14*(Assumptions!$B$10+Assumptions!$B$11+Assumptions!$B$12)*0.05,0)</f>
        <v>1724513.72534745</v>
      </c>
      <c r="AV25" s="19" t="n">
        <f aca="false">IF(AND(Projects!$G$14="Yes",AV$3&gt;=Projects!$C$14,AV$3&lt;Projects!$C$14+Projects!$D$14),Projects!$B$14*INDEX(Curves!$B$2:$AR$2,1,AV$3-Projects!$C$14+1),0)-IF(AND(Projects!$G$14="Yes",AV$3&gt;=Projects!$C$14,AV$3&lt;Projects!$C$14+Projects!$D$14),Projects!$B$14*(Assumptions!$B$10+Assumptions!$B$11+Assumptions!$B$12)/Projects!$D$14*0.95,0)-IF(AND(Projects!$G$14="Yes",AV$3=Projects!$C$14+Projects!$D$14-1),Projects!$B$14*(Assumptions!$B$10+Assumptions!$B$11+Assumptions!$B$12)*0.05,0)</f>
        <v>1687294.55654745</v>
      </c>
      <c r="AW25" s="19" t="n">
        <f aca="false">IF(AND(Projects!$G$14="Yes",AW$3&gt;=Projects!$C$14,AW$3&lt;Projects!$C$14+Projects!$D$14),Projects!$B$14*INDEX(Curves!$B$2:$AR$2,1,AW$3-Projects!$C$14+1),0)-IF(AND(Projects!$G$14="Yes",AW$3&gt;=Projects!$C$14,AW$3&lt;Projects!$C$14+Projects!$D$14),Projects!$B$14*(Assumptions!$B$10+Assumptions!$B$11+Assumptions!$B$12)/Projects!$D$14*0.95,0)-IF(AND(Projects!$G$14="Yes",AW$3=Projects!$C$14+Projects!$D$14-1),Projects!$B$14*(Assumptions!$B$10+Assumptions!$B$11+Assumptions!$B$12)*0.05,0)</f>
        <v>1632789.15157145</v>
      </c>
      <c r="AX25" s="19" t="n">
        <f aca="false">IF(AND(Projects!$G$14="Yes",AX$3&gt;=Projects!$C$14,AX$3&lt;Projects!$C$14+Projects!$D$14),Projects!$B$14*INDEX(Curves!$B$2:$AR$2,1,AX$3-Projects!$C$14+1),0)-IF(AND(Projects!$G$14="Yes",AX$3&gt;=Projects!$C$14,AX$3&lt;Projects!$C$14+Projects!$D$14),Projects!$B$14*(Assumptions!$B$10+Assumptions!$B$11+Assumptions!$B$12)/Projects!$D$14*0.95,0)-IF(AND(Projects!$G$14="Yes",AX$3=Projects!$C$14+Projects!$D$14-1),Projects!$B$14*(Assumptions!$B$10+Assumptions!$B$11+Assumptions!$B$12)*0.05,0)</f>
        <v>1562651.69569945</v>
      </c>
      <c r="AY25" s="19" t="n">
        <f aca="false">IF(AND(Projects!$G$14="Yes",AY$3&gt;=Projects!$C$14,AY$3&lt;Projects!$C$14+Projects!$D$14),Projects!$B$14*INDEX(Curves!$B$2:$AR$2,1,AY$3-Projects!$C$14+1),0)-IF(AND(Projects!$G$14="Yes",AY$3&gt;=Projects!$C$14,AY$3&lt;Projects!$C$14+Projects!$D$14),Projects!$B$14*(Assumptions!$B$10+Assumptions!$B$11+Assumptions!$B$12)/Projects!$D$14*0.95,0)-IF(AND(Projects!$G$14="Yes",AY$3=Projects!$C$14+Projects!$D$14-1),Projects!$B$14*(Assumptions!$B$10+Assumptions!$B$11+Assumptions!$B$12)*0.05,0)</f>
        <v>1478825.85663545</v>
      </c>
      <c r="AZ25" s="19" t="n">
        <f aca="false">IF(AND(Projects!$G$14="Yes",AZ$3&gt;=Projects!$C$14,AZ$3&lt;Projects!$C$14+Projects!$D$14),Projects!$B$14*INDEX(Curves!$B$2:$AR$2,1,AZ$3-Projects!$C$14+1),0)-IF(AND(Projects!$G$14="Yes",AZ$3&gt;=Projects!$C$14,AZ$3&lt;Projects!$C$14+Projects!$D$14),Projects!$B$14*(Assumptions!$B$10+Assumptions!$B$11+Assumptions!$B$12)/Projects!$D$14*0.95,0)-IF(AND(Projects!$G$14="Yes",AZ$3=Projects!$C$14+Projects!$D$14-1),Projects!$B$14*(Assumptions!$B$10+Assumptions!$B$11+Assumptions!$B$12)*0.05,0)</f>
        <v>1383586.13913945</v>
      </c>
      <c r="BA25" s="19" t="n">
        <f aca="false">IF(AND(Projects!$G$14="Yes",BA$3&gt;=Projects!$C$14,BA$3&lt;Projects!$C$14+Projects!$D$14),Projects!$B$14*INDEX(Curves!$B$2:$AR$2,1,BA$3-Projects!$C$14+1),0)-IF(AND(Projects!$G$14="Yes",BA$3&gt;=Projects!$C$14,BA$3&lt;Projects!$C$14+Projects!$D$14),Projects!$B$14*(Assumptions!$B$10+Assumptions!$B$11+Assumptions!$B$12)/Projects!$D$14*0.95,0)-IF(AND(Projects!$G$14="Yes",BA$3=Projects!$C$14+Projects!$D$14-1),Projects!$B$14*(Assumptions!$B$10+Assumptions!$B$11+Assumptions!$B$12)*0.05,0)</f>
        <v>1279496.53039545</v>
      </c>
      <c r="BB25" s="19" t="n">
        <f aca="false">IF(AND(Projects!$G$14="Yes",BB$3&gt;=Projects!$C$14,BB$3&lt;Projects!$C$14+Projects!$D$14),Projects!$B$14*INDEX(Curves!$B$2:$AR$2,1,BB$3-Projects!$C$14+1),0)-IF(AND(Projects!$G$14="Yes",BB$3&gt;=Projects!$C$14,BB$3&lt;Projects!$C$14+Projects!$D$14),Projects!$B$14*(Assumptions!$B$10+Assumptions!$B$11+Assumptions!$B$12)/Projects!$D$14*0.95,0)-IF(AND(Projects!$G$14="Yes",BB$3=Projects!$C$14+Projects!$D$14-1),Projects!$B$14*(Assumptions!$B$10+Assumptions!$B$11+Assumptions!$B$12)*0.05,0)</f>
        <v>1169079.66295545</v>
      </c>
      <c r="BC25" s="19" t="n">
        <f aca="false">IF(AND(Projects!$G$14="Yes",BC$3&gt;=Projects!$C$14,BC$3&lt;Projects!$C$14+Projects!$D$14),Projects!$B$14*INDEX(Curves!$B$2:$AR$2,1,BC$3-Projects!$C$14+1),0)-IF(AND(Projects!$G$14="Yes",BC$3&gt;=Projects!$C$14,BC$3&lt;Projects!$C$14+Projects!$D$14),Projects!$B$14*(Assumptions!$B$10+Assumptions!$B$11+Assumptions!$B$12)/Projects!$D$14*0.95,0)-IF(AND(Projects!$G$14="Yes",BC$3=Projects!$C$14+Projects!$D$14-1),Projects!$B$14*(Assumptions!$B$10+Assumptions!$B$11+Assumptions!$B$12)*0.05,0)</f>
        <v>1054982.23326745</v>
      </c>
      <c r="BD25" s="19" t="n">
        <f aca="false">IF(AND(Projects!$G$14="Yes",BD$3&gt;=Projects!$C$14,BD$3&lt;Projects!$C$14+Projects!$D$14),Projects!$B$14*INDEX(Curves!$B$2:$AR$2,1,BD$3-Projects!$C$14+1),0)-IF(AND(Projects!$G$14="Yes",BD$3&gt;=Projects!$C$14,BD$3&lt;Projects!$C$14+Projects!$D$14),Projects!$B$14*(Assumptions!$B$10+Assumptions!$B$11+Assumptions!$B$12)/Projects!$D$14*0.95,0)-IF(AND(Projects!$G$14="Yes",BD$3=Projects!$C$14+Projects!$D$14-1),Projects!$B$14*(Assumptions!$B$10+Assumptions!$B$11+Assumptions!$B$12)*0.05,0)</f>
        <v>939685.519251453</v>
      </c>
      <c r="BE25" s="19" t="n">
        <f aca="false">IF(AND(Projects!$G$14="Yes",BE$3&gt;=Projects!$C$14,BE$3&lt;Projects!$C$14+Projects!$D$14),Projects!$B$14*INDEX(Curves!$B$2:$AR$2,1,BE$3-Projects!$C$14+1),0)-IF(AND(Projects!$G$14="Yes",BE$3&gt;=Projects!$C$14,BE$3&lt;Projects!$C$14+Projects!$D$14),Projects!$B$14*(Assumptions!$B$10+Assumptions!$B$11+Assumptions!$B$12)/Projects!$D$14*0.95,0)-IF(AND(Projects!$G$14="Yes",BE$3=Projects!$C$14+Projects!$D$14-1),Projects!$B$14*(Assumptions!$B$10+Assumptions!$B$11+Assumptions!$B$12)*0.05,0)</f>
        <v>825464.025667453</v>
      </c>
      <c r="BF25" s="19" t="n">
        <f aca="false">IF(AND(Projects!$G$14="Yes",BF$3&gt;=Projects!$C$14,BF$3&lt;Projects!$C$14+Projects!$D$14),Projects!$B$14*INDEX(Curves!$B$2:$AR$2,1,BF$3-Projects!$C$14+1),0)-IF(AND(Projects!$G$14="Yes",BF$3&gt;=Projects!$C$14,BF$3&lt;Projects!$C$14+Projects!$D$14),Projects!$B$14*(Assumptions!$B$10+Assumptions!$B$11+Assumptions!$B$12)/Projects!$D$14*0.95,0)-IF(AND(Projects!$G$14="Yes",BF$3=Projects!$C$14+Projects!$D$14-1),Projects!$B$14*(Assumptions!$B$10+Assumptions!$B$11+Assumptions!$B$12)*0.05,0)</f>
        <v>714385.484115453</v>
      </c>
      <c r="BG25" s="19" t="n">
        <f aca="false">IF(AND(Projects!$G$14="Yes",BG$3&gt;=Projects!$C$14,BG$3&lt;Projects!$C$14+Projects!$D$14),Projects!$B$14*INDEX(Curves!$B$2:$AR$2,1,BG$3-Projects!$C$14+1),0)-IF(AND(Projects!$G$14="Yes",BG$3&gt;=Projects!$C$14,BG$3&lt;Projects!$C$14+Projects!$D$14),Projects!$B$14*(Assumptions!$B$10+Assumptions!$B$11+Assumptions!$B$12)/Projects!$D$14*0.95,0)-IF(AND(Projects!$G$14="Yes",BG$3=Projects!$C$14+Projects!$D$14-1),Projects!$B$14*(Assumptions!$B$10+Assumptions!$B$11+Assumptions!$B$12)*0.05,0)</f>
        <v>608145.434507453</v>
      </c>
      <c r="BH25" s="19" t="n">
        <f aca="false">IF(AND(Projects!$G$14="Yes",BH$3&gt;=Projects!$C$14,BH$3&lt;Projects!$C$14+Projects!$D$14),Projects!$B$14*INDEX(Curves!$B$2:$AR$2,1,BH$3-Projects!$C$14+1),0)-IF(AND(Projects!$G$14="Yes",BH$3&gt;=Projects!$C$14,BH$3&lt;Projects!$C$14+Projects!$D$14),Projects!$B$14*(Assumptions!$B$10+Assumptions!$B$11+Assumptions!$B$12)/Projects!$D$14*0.95,0)-IF(AND(Projects!$G$14="Yes",BH$3=Projects!$C$14+Projects!$D$14-1),Projects!$B$14*(Assumptions!$B$10+Assumptions!$B$11+Assumptions!$B$12)*0.05,0)</f>
        <v>259255.013907853</v>
      </c>
      <c r="BI25" s="19" t="n">
        <f aca="false">IF(AND(Projects!$G$14="Yes",BI$3&gt;=Projects!$C$14,BI$3&lt;Projects!$C$14+Projects!$D$14),Projects!$B$14*INDEX(Curves!$B$2:$AR$2,1,BI$3-Projects!$C$14+1),0)-IF(AND(Projects!$G$14="Yes",BI$3&gt;=Projects!$C$14,BI$3&lt;Projects!$C$14+Projects!$D$14),Projects!$B$14*(Assumptions!$B$10+Assumptions!$B$11+Assumptions!$B$12)/Projects!$D$14*0.95,0)-IF(AND(Projects!$G$14="Yes",BI$3=Projects!$C$14+Projects!$D$14-1),Projects!$B$14*(Assumptions!$B$10+Assumptions!$B$11+Assumptions!$B$12)*0.05,0)</f>
        <v>0</v>
      </c>
      <c r="BJ25" s="19" t="n">
        <f aca="false">IF(AND(Projects!$G$14="Yes",BJ$3&gt;=Projects!$C$14,BJ$3&lt;Projects!$C$14+Projects!$D$14),Projects!$B$14*INDEX(Curves!$B$2:$AR$2,1,BJ$3-Projects!$C$14+1),0)-IF(AND(Projects!$G$14="Yes",BJ$3&gt;=Projects!$C$14,BJ$3&lt;Projects!$C$14+Projects!$D$14),Projects!$B$14*(Assumptions!$B$10+Assumptions!$B$11+Assumptions!$B$12)/Projects!$D$14*0.95,0)-IF(AND(Projects!$G$14="Yes",BJ$3=Projects!$C$14+Projects!$D$14-1),Projects!$B$14*(Assumptions!$B$10+Assumptions!$B$11+Assumptions!$B$12)*0.05,0)</f>
        <v>0</v>
      </c>
      <c r="BK25" s="19" t="n">
        <f aca="false">IF(AND(Projects!$G$14="Yes",BK$3&gt;=Projects!$C$14,BK$3&lt;Projects!$C$14+Projects!$D$14),Projects!$B$14*INDEX(Curves!$B$2:$AR$2,1,BK$3-Projects!$C$14+1),0)-IF(AND(Projects!$G$14="Yes",BK$3&gt;=Projects!$C$14,BK$3&lt;Projects!$C$14+Projects!$D$14),Projects!$B$14*(Assumptions!$B$10+Assumptions!$B$11+Assumptions!$B$12)/Projects!$D$14*0.95,0)-IF(AND(Projects!$G$14="Yes",BK$3=Projects!$C$14+Projects!$D$14-1),Projects!$B$14*(Assumptions!$B$10+Assumptions!$B$11+Assumptions!$B$12)*0.05,0)</f>
        <v>0</v>
      </c>
      <c r="BL25" s="19" t="n">
        <f aca="false">IF(AND(Projects!$G$14="Yes",BL$3&gt;=Projects!$C$14,BL$3&lt;Projects!$C$14+Projects!$D$14),Projects!$B$14*INDEX(Curves!$B$2:$AR$2,1,BL$3-Projects!$C$14+1),0)-IF(AND(Projects!$G$14="Yes",BL$3&gt;=Projects!$C$14,BL$3&lt;Projects!$C$14+Projects!$D$14),Projects!$B$14*(Assumptions!$B$10+Assumptions!$B$11+Assumptions!$B$12)/Projects!$D$14*0.95,0)-IF(AND(Projects!$G$14="Yes",BL$3=Projects!$C$14+Projects!$D$14-1),Projects!$B$14*(Assumptions!$B$10+Assumptions!$B$11+Assumptions!$B$12)*0.05,0)</f>
        <v>0</v>
      </c>
      <c r="BM25" s="19" t="n">
        <f aca="false">IF(AND(Projects!$G$14="Yes",BM$3&gt;=Projects!$C$14,BM$3&lt;Projects!$C$14+Projects!$D$14),Projects!$B$14*INDEX(Curves!$B$2:$AR$2,1,BM$3-Projects!$C$14+1),0)-IF(AND(Projects!$G$14="Yes",BM$3&gt;=Projects!$C$14,BM$3&lt;Projects!$C$14+Projects!$D$14),Projects!$B$14*(Assumptions!$B$10+Assumptions!$B$11+Assumptions!$B$12)/Projects!$D$14*0.95,0)-IF(AND(Projects!$G$14="Yes",BM$3=Projects!$C$14+Projects!$D$14-1),Projects!$B$14*(Assumptions!$B$10+Assumptions!$B$11+Assumptions!$B$12)*0.05,0)</f>
        <v>0</v>
      </c>
      <c r="BN25" s="19" t="n">
        <f aca="false">IF(AND(Projects!$G$14="Yes",BN$3&gt;=Projects!$C$14,BN$3&lt;Projects!$C$14+Projects!$D$14),Projects!$B$14*INDEX(Curves!$B$2:$AR$2,1,BN$3-Projects!$C$14+1),0)-IF(AND(Projects!$G$14="Yes",BN$3&gt;=Projects!$C$14,BN$3&lt;Projects!$C$14+Projects!$D$14),Projects!$B$14*(Assumptions!$B$10+Assumptions!$B$11+Assumptions!$B$12)/Projects!$D$14*0.95,0)-IF(AND(Projects!$G$14="Yes",BN$3=Projects!$C$14+Projects!$D$14-1),Projects!$B$14*(Assumptions!$B$10+Assumptions!$B$11+Assumptions!$B$12)*0.05,0)</f>
        <v>0</v>
      </c>
      <c r="BO25" s="19" t="n">
        <f aca="false">IF(AND(Projects!$G$14="Yes",BO$3&gt;=Projects!$C$14,BO$3&lt;Projects!$C$14+Projects!$D$14),Projects!$B$14*INDEX(Curves!$B$2:$AR$2,1,BO$3-Projects!$C$14+1),0)-IF(AND(Projects!$G$14="Yes",BO$3&gt;=Projects!$C$14,BO$3&lt;Projects!$C$14+Projects!$D$14),Projects!$B$14*(Assumptions!$B$10+Assumptions!$B$11+Assumptions!$B$12)/Projects!$D$14*0.95,0)-IF(AND(Projects!$G$14="Yes",BO$3=Projects!$C$14+Projects!$D$14-1),Projects!$B$14*(Assumptions!$B$10+Assumptions!$B$11+Assumptions!$B$12)*0.05,0)</f>
        <v>0</v>
      </c>
      <c r="BP25" s="19" t="n">
        <f aca="false">IF(AND(Projects!$G$14="Yes",BP$3&gt;=Projects!$C$14,BP$3&lt;Projects!$C$14+Projects!$D$14),Projects!$B$14*INDEX(Curves!$B$2:$AR$2,1,BP$3-Projects!$C$14+1),0)-IF(AND(Projects!$G$14="Yes",BP$3&gt;=Projects!$C$14,BP$3&lt;Projects!$C$14+Projects!$D$14),Projects!$B$14*(Assumptions!$B$10+Assumptions!$B$11+Assumptions!$B$12)/Projects!$D$14*0.95,0)-IF(AND(Projects!$G$14="Yes",BP$3=Projects!$C$14+Projects!$D$14-1),Projects!$B$14*(Assumptions!$B$10+Assumptions!$B$11+Assumptions!$B$12)*0.05,0)</f>
        <v>0</v>
      </c>
      <c r="BQ25" s="19" t="n">
        <f aca="false">IF(AND(Projects!$G$14="Yes",BQ$3&gt;=Projects!$C$14,BQ$3&lt;Projects!$C$14+Projects!$D$14),Projects!$B$14*INDEX(Curves!$B$2:$AR$2,1,BQ$3-Projects!$C$14+1),0)-IF(AND(Projects!$G$14="Yes",BQ$3&gt;=Projects!$C$14,BQ$3&lt;Projects!$C$14+Projects!$D$14),Projects!$B$14*(Assumptions!$B$10+Assumptions!$B$11+Assumptions!$B$12)/Projects!$D$14*0.95,0)-IF(AND(Projects!$G$14="Yes",BQ$3=Projects!$C$14+Projects!$D$14-1),Projects!$B$14*(Assumptions!$B$10+Assumptions!$B$11+Assumptions!$B$12)*0.05,0)</f>
        <v>0</v>
      </c>
      <c r="BR25" s="19" t="n">
        <f aca="false">IF(AND(Projects!$G$14="Yes",BR$3&gt;=Projects!$C$14,BR$3&lt;Projects!$C$14+Projects!$D$14),Projects!$B$14*INDEX(Curves!$B$2:$AR$2,1,BR$3-Projects!$C$14+1),0)-IF(AND(Projects!$G$14="Yes",BR$3&gt;=Projects!$C$14,BR$3&lt;Projects!$C$14+Projects!$D$14),Projects!$B$14*(Assumptions!$B$10+Assumptions!$B$11+Assumptions!$B$12)/Projects!$D$14*0.95,0)-IF(AND(Projects!$G$14="Yes",BR$3=Projects!$C$14+Projects!$D$14-1),Projects!$B$14*(Assumptions!$B$10+Assumptions!$B$11+Assumptions!$B$12)*0.05,0)</f>
        <v>0</v>
      </c>
      <c r="BS25" s="19" t="n">
        <f aca="false">IF(AND(Projects!$G$14="Yes",BS$3&gt;=Projects!$C$14,BS$3&lt;Projects!$C$14+Projects!$D$14),Projects!$B$14*INDEX(Curves!$B$2:$AR$2,1,BS$3-Projects!$C$14+1),0)-IF(AND(Projects!$G$14="Yes",BS$3&gt;=Projects!$C$14,BS$3&lt;Projects!$C$14+Projects!$D$14),Projects!$B$14*(Assumptions!$B$10+Assumptions!$B$11+Assumptions!$B$12)/Projects!$D$14*0.95,0)-IF(AND(Projects!$G$14="Yes",BS$3=Projects!$C$14+Projects!$D$14-1),Projects!$B$14*(Assumptions!$B$10+Assumptions!$B$11+Assumptions!$B$12)*0.05,0)</f>
        <v>0</v>
      </c>
      <c r="BT25" s="19" t="n">
        <f aca="false">IF(AND(Projects!$G$14="Yes",BT$3&gt;=Projects!$C$14,BT$3&lt;Projects!$C$14+Projects!$D$14),Projects!$B$14*INDEX(Curves!$B$2:$AR$2,1,BT$3-Projects!$C$14+1),0)-IF(AND(Projects!$G$14="Yes",BT$3&gt;=Projects!$C$14,BT$3&lt;Projects!$C$14+Projects!$D$14),Projects!$B$14*(Assumptions!$B$10+Assumptions!$B$11+Assumptions!$B$12)/Projects!$D$14*0.95,0)-IF(AND(Projects!$G$14="Yes",BT$3=Projects!$C$14+Projects!$D$14-1),Projects!$B$14*(Assumptions!$B$10+Assumptions!$B$11+Assumptions!$B$12)*0.05,0)</f>
        <v>0</v>
      </c>
      <c r="BU25" s="19" t="n">
        <f aca="false">IF(AND(Projects!$G$14="Yes",BU$3&gt;=Projects!$C$14,BU$3&lt;Projects!$C$14+Projects!$D$14),Projects!$B$14*INDEX(Curves!$B$2:$AR$2,1,BU$3-Projects!$C$14+1),0)-IF(AND(Projects!$G$14="Yes",BU$3&gt;=Projects!$C$14,BU$3&lt;Projects!$C$14+Projects!$D$14),Projects!$B$14*(Assumptions!$B$10+Assumptions!$B$11+Assumptions!$B$12)/Projects!$D$14*0.95,0)-IF(AND(Projects!$G$14="Yes",BU$3=Projects!$C$14+Projects!$D$14-1),Projects!$B$14*(Assumptions!$B$10+Assumptions!$B$11+Assumptions!$B$12)*0.05,0)</f>
        <v>0</v>
      </c>
      <c r="BV25" s="19" t="n">
        <f aca="false">IF(AND(Projects!$G$14="Yes",BV$3&gt;=Projects!$C$14,BV$3&lt;Projects!$C$14+Projects!$D$14),Projects!$B$14*INDEX(Curves!$B$2:$AR$2,1,BV$3-Projects!$C$14+1),0)-IF(AND(Projects!$G$14="Yes",BV$3&gt;=Projects!$C$14,BV$3&lt;Projects!$C$14+Projects!$D$14),Projects!$B$14*(Assumptions!$B$10+Assumptions!$B$11+Assumptions!$B$12)/Projects!$D$14*0.95,0)-IF(AND(Projects!$G$14="Yes",BV$3=Projects!$C$14+Projects!$D$14-1),Projects!$B$14*(Assumptions!$B$10+Assumptions!$B$11+Assumptions!$B$12)*0.05,0)</f>
        <v>0</v>
      </c>
      <c r="BW25" s="19" t="n">
        <f aca="false">IF(AND(Projects!$G$14="Yes",BW$3&gt;=Projects!$C$14,BW$3&lt;Projects!$C$14+Projects!$D$14),Projects!$B$14*INDEX(Curves!$B$2:$AR$2,1,BW$3-Projects!$C$14+1),0)-IF(AND(Projects!$G$14="Yes",BW$3&gt;=Projects!$C$14,BW$3&lt;Projects!$C$14+Projects!$D$14),Projects!$B$14*(Assumptions!$B$10+Assumptions!$B$11+Assumptions!$B$12)/Projects!$D$14*0.95,0)-IF(AND(Projects!$G$14="Yes",BW$3=Projects!$C$14+Projects!$D$14-1),Projects!$B$14*(Assumptions!$B$10+Assumptions!$B$11+Assumptions!$B$12)*0.05,0)</f>
        <v>0</v>
      </c>
      <c r="BX25" s="19" t="n">
        <f aca="false">IF(AND(Projects!$G$14="Yes",BX$3&gt;=Projects!$C$14,BX$3&lt;Projects!$C$14+Projects!$D$14),Projects!$B$14*INDEX(Curves!$B$2:$AR$2,1,BX$3-Projects!$C$14+1),0)-IF(AND(Projects!$G$14="Yes",BX$3&gt;=Projects!$C$14,BX$3&lt;Projects!$C$14+Projects!$D$14),Projects!$B$14*(Assumptions!$B$10+Assumptions!$B$11+Assumptions!$B$12)/Projects!$D$14*0.95,0)-IF(AND(Projects!$G$14="Yes",BX$3=Projects!$C$14+Projects!$D$14-1),Projects!$B$14*(Assumptions!$B$10+Assumptions!$B$11+Assumptions!$B$12)*0.05,0)</f>
        <v>0</v>
      </c>
      <c r="BY25" s="19" t="n">
        <f aca="false">IF(AND(Projects!$G$14="Yes",BY$3&gt;=Projects!$C$14,BY$3&lt;Projects!$C$14+Projects!$D$14),Projects!$B$14*INDEX(Curves!$B$2:$AR$2,1,BY$3-Projects!$C$14+1),0)-IF(AND(Projects!$G$14="Yes",BY$3&gt;=Projects!$C$14,BY$3&lt;Projects!$C$14+Projects!$D$14),Projects!$B$14*(Assumptions!$B$10+Assumptions!$B$11+Assumptions!$B$12)/Projects!$D$14*0.95,0)-IF(AND(Projects!$G$14="Yes",BY$3=Projects!$C$14+Projects!$D$14-1),Projects!$B$14*(Assumptions!$B$10+Assumptions!$B$11+Assumptions!$B$12)*0.05,0)</f>
        <v>0</v>
      </c>
      <c r="BZ25" s="19" t="n">
        <f aca="false">IF(AND(Projects!$G$14="Yes",BZ$3&gt;=Projects!$C$14,BZ$3&lt;Projects!$C$14+Projects!$D$14),Projects!$B$14*INDEX(Curves!$B$2:$AR$2,1,BZ$3-Projects!$C$14+1),0)-IF(AND(Projects!$G$14="Yes",BZ$3&gt;=Projects!$C$14,BZ$3&lt;Projects!$C$14+Projects!$D$14),Projects!$B$14*(Assumptions!$B$10+Assumptions!$B$11+Assumptions!$B$12)/Projects!$D$14*0.95,0)-IF(AND(Projects!$G$14="Yes",BZ$3=Projects!$C$14+Projects!$D$14-1),Projects!$B$14*(Assumptions!$B$10+Assumptions!$B$11+Assumptions!$B$12)*0.05,0)</f>
        <v>0</v>
      </c>
      <c r="CA25" s="19" t="n">
        <f aca="false">IF(AND(Projects!$G$14="Yes",CA$3&gt;=Projects!$C$14,CA$3&lt;Projects!$C$14+Projects!$D$14),Projects!$B$14*INDEX(Curves!$B$2:$AR$2,1,CA$3-Projects!$C$14+1),0)-IF(AND(Projects!$G$14="Yes",CA$3&gt;=Projects!$C$14,CA$3&lt;Projects!$C$14+Projects!$D$14),Projects!$B$14*(Assumptions!$B$10+Assumptions!$B$11+Assumptions!$B$12)/Projects!$D$14*0.95,0)-IF(AND(Projects!$G$14="Yes",CA$3=Projects!$C$14+Projects!$D$14-1),Projects!$B$14*(Assumptions!$B$10+Assumptions!$B$11+Assumptions!$B$12)*0.05,0)</f>
        <v>0</v>
      </c>
      <c r="CB25" s="19" t="n">
        <f aca="false">IF(AND(Projects!$G$14="Yes",CB$3&gt;=Projects!$C$14,CB$3&lt;Projects!$C$14+Projects!$D$14),Projects!$B$14*INDEX(Curves!$B$2:$AR$2,1,CB$3-Projects!$C$14+1),0)-IF(AND(Projects!$G$14="Yes",CB$3&gt;=Projects!$C$14,CB$3&lt;Projects!$C$14+Projects!$D$14),Projects!$B$14*(Assumptions!$B$10+Assumptions!$B$11+Assumptions!$B$12)/Projects!$D$14*0.95,0)-IF(AND(Projects!$G$14="Yes",CB$3=Projects!$C$14+Projects!$D$14-1),Projects!$B$14*(Assumptions!$B$10+Assumptions!$B$11+Assumptions!$B$12)*0.05,0)</f>
        <v>0</v>
      </c>
      <c r="CC25" s="19" t="n">
        <f aca="false">IF(AND(Projects!$G$14="Yes",CC$3&gt;=Projects!$C$14,CC$3&lt;Projects!$C$14+Projects!$D$14),Projects!$B$14*INDEX(Curves!$B$2:$AR$2,1,CC$3-Projects!$C$14+1),0)-IF(AND(Projects!$G$14="Yes",CC$3&gt;=Projects!$C$14,CC$3&lt;Projects!$C$14+Projects!$D$14),Projects!$B$14*(Assumptions!$B$10+Assumptions!$B$11+Assumptions!$B$12)/Projects!$D$14*0.95,0)-IF(AND(Projects!$G$14="Yes",CC$3=Projects!$C$14+Projects!$D$14-1),Projects!$B$14*(Assumptions!$B$10+Assumptions!$B$11+Assumptions!$B$12)*0.05,0)</f>
        <v>0</v>
      </c>
      <c r="CD25" s="19" t="n">
        <f aca="false">IF(AND(Projects!$G$14="Yes",CD$3&gt;=Projects!$C$14,CD$3&lt;Projects!$C$14+Projects!$D$14),Projects!$B$14*INDEX(Curves!$B$2:$AR$2,1,CD$3-Projects!$C$14+1),0)-IF(AND(Projects!$G$14="Yes",CD$3&gt;=Projects!$C$14,CD$3&lt;Projects!$C$14+Projects!$D$14),Projects!$B$14*(Assumptions!$B$10+Assumptions!$B$11+Assumptions!$B$12)/Projects!$D$14*0.95,0)-IF(AND(Projects!$G$14="Yes",CD$3=Projects!$C$14+Projects!$D$14-1),Projects!$B$14*(Assumptions!$B$10+Assumptions!$B$11+Assumptions!$B$12)*0.05,0)</f>
        <v>0</v>
      </c>
      <c r="CE25" s="19" t="n">
        <f aca="false">IF(AND(Projects!$G$14="Yes",CE$3&gt;=Projects!$C$14,CE$3&lt;Projects!$C$14+Projects!$D$14),Projects!$B$14*INDEX(Curves!$B$2:$AR$2,1,CE$3-Projects!$C$14+1),0)-IF(AND(Projects!$G$14="Yes",CE$3&gt;=Projects!$C$14,CE$3&lt;Projects!$C$14+Projects!$D$14),Projects!$B$14*(Assumptions!$B$10+Assumptions!$B$11+Assumptions!$B$12)/Projects!$D$14*0.95,0)-IF(AND(Projects!$G$14="Yes",CE$3=Projects!$C$14+Projects!$D$14-1),Projects!$B$14*(Assumptions!$B$10+Assumptions!$B$11+Assumptions!$B$12)*0.05,0)</f>
        <v>0</v>
      </c>
      <c r="CF25" s="19" t="n">
        <f aca="false">IF(AND(Projects!$G$14="Yes",CF$3&gt;=Projects!$C$14,CF$3&lt;Projects!$C$14+Projects!$D$14),Projects!$B$14*INDEX(Curves!$B$2:$AR$2,1,CF$3-Projects!$C$14+1),0)-IF(AND(Projects!$G$14="Yes",CF$3&gt;=Projects!$C$14,CF$3&lt;Projects!$C$14+Projects!$D$14),Projects!$B$14*(Assumptions!$B$10+Assumptions!$B$11+Assumptions!$B$12)/Projects!$D$14*0.95,0)-IF(AND(Projects!$G$14="Yes",CF$3=Projects!$C$14+Projects!$D$14-1),Projects!$B$14*(Assumptions!$B$10+Assumptions!$B$11+Assumptions!$B$12)*0.05,0)</f>
        <v>0</v>
      </c>
      <c r="CG25" s="19" t="n">
        <f aca="false">IF(AND(Projects!$G$14="Yes",CG$3&gt;=Projects!$C$14,CG$3&lt;Projects!$C$14+Projects!$D$14),Projects!$B$14*INDEX(Curves!$B$2:$AR$2,1,CG$3-Projects!$C$14+1),0)-IF(AND(Projects!$G$14="Yes",CG$3&gt;=Projects!$C$14,CG$3&lt;Projects!$C$14+Projects!$D$14),Projects!$B$14*(Assumptions!$B$10+Assumptions!$B$11+Assumptions!$B$12)/Projects!$D$14*0.95,0)-IF(AND(Projects!$G$14="Yes",CG$3=Projects!$C$14+Projects!$D$14-1),Projects!$B$14*(Assumptions!$B$10+Assumptions!$B$11+Assumptions!$B$12)*0.05,0)</f>
        <v>0</v>
      </c>
      <c r="CH25" s="19" t="n">
        <f aca="false">IF(AND(Projects!$G$14="Yes",CH$3&gt;=Projects!$C$14,CH$3&lt;Projects!$C$14+Projects!$D$14),Projects!$B$14*INDEX(Curves!$B$2:$AR$2,1,CH$3-Projects!$C$14+1),0)-IF(AND(Projects!$G$14="Yes",CH$3&gt;=Projects!$C$14,CH$3&lt;Projects!$C$14+Projects!$D$14),Projects!$B$14*(Assumptions!$B$10+Assumptions!$B$11+Assumptions!$B$12)/Projects!$D$14*0.95,0)-IF(AND(Projects!$G$14="Yes",CH$3=Projects!$C$14+Projects!$D$14-1),Projects!$B$14*(Assumptions!$B$10+Assumptions!$B$11+Assumptions!$B$12)*0.05,0)</f>
        <v>0</v>
      </c>
      <c r="CI25" s="19" t="n">
        <f aca="false">IF(AND(Projects!$G$14="Yes",CI$3&gt;=Projects!$C$14,CI$3&lt;Projects!$C$14+Projects!$D$14),Projects!$B$14*INDEX(Curves!$B$2:$AR$2,1,CI$3-Projects!$C$14+1),0)-IF(AND(Projects!$G$14="Yes",CI$3&gt;=Projects!$C$14,CI$3&lt;Projects!$C$14+Projects!$D$14),Projects!$B$14*(Assumptions!$B$10+Assumptions!$B$11+Assumptions!$B$12)/Projects!$D$14*0.95,0)-IF(AND(Projects!$G$14="Yes",CI$3=Projects!$C$14+Projects!$D$14-1),Projects!$B$14*(Assumptions!$B$10+Assumptions!$B$11+Assumptions!$B$12)*0.05,0)</f>
        <v>0</v>
      </c>
      <c r="CJ25" s="19" t="n">
        <f aca="false">IF(AND(Projects!$G$14="Yes",CJ$3&gt;=Projects!$C$14,CJ$3&lt;Projects!$C$14+Projects!$D$14),Projects!$B$14*INDEX(Curves!$B$2:$AR$2,1,CJ$3-Projects!$C$14+1),0)-IF(AND(Projects!$G$14="Yes",CJ$3&gt;=Projects!$C$14,CJ$3&lt;Projects!$C$14+Projects!$D$14),Projects!$B$14*(Assumptions!$B$10+Assumptions!$B$11+Assumptions!$B$12)/Projects!$D$14*0.95,0)-IF(AND(Projects!$G$14="Yes",CJ$3=Projects!$C$14+Projects!$D$14-1),Projects!$B$14*(Assumptions!$B$10+Assumptions!$B$11+Assumptions!$B$12)*0.05,0)</f>
        <v>0</v>
      </c>
      <c r="CK25" s="19" t="n">
        <f aca="false">IF(AND(Projects!$G$14="Yes",CK$3&gt;=Projects!$C$14,CK$3&lt;Projects!$C$14+Projects!$D$14),Projects!$B$14*INDEX(Curves!$B$2:$AR$2,1,CK$3-Projects!$C$14+1),0)-IF(AND(Projects!$G$14="Yes",CK$3&gt;=Projects!$C$14,CK$3&lt;Projects!$C$14+Projects!$D$14),Projects!$B$14*(Assumptions!$B$10+Assumptions!$B$11+Assumptions!$B$12)/Projects!$D$14*0.95,0)-IF(AND(Projects!$G$14="Yes",CK$3=Projects!$C$14+Projects!$D$14-1),Projects!$B$14*(Assumptions!$B$10+Assumptions!$B$11+Assumptions!$B$12)*0.05,0)</f>
        <v>0</v>
      </c>
      <c r="CL25" s="19" t="n">
        <f aca="false">IF(AND(Projects!$G$14="Yes",CL$3&gt;=Projects!$C$14,CL$3&lt;Projects!$C$14+Projects!$D$14),Projects!$B$14*INDEX(Curves!$B$2:$AR$2,1,CL$3-Projects!$C$14+1),0)-IF(AND(Projects!$G$14="Yes",CL$3&gt;=Projects!$C$14,CL$3&lt;Projects!$C$14+Projects!$D$14),Projects!$B$14*(Assumptions!$B$10+Assumptions!$B$11+Assumptions!$B$12)/Projects!$D$14*0.95,0)-IF(AND(Projects!$G$14="Yes",CL$3=Projects!$C$14+Projects!$D$14-1),Projects!$B$14*(Assumptions!$B$10+Assumptions!$B$11+Assumptions!$B$12)*0.05,0)</f>
        <v>0</v>
      </c>
      <c r="CM25" s="19" t="n">
        <f aca="false">IF(AND(Projects!$G$14="Yes",CM$3&gt;=Projects!$C$14,CM$3&lt;Projects!$C$14+Projects!$D$14),Projects!$B$14*INDEX(Curves!$B$2:$AR$2,1,CM$3-Projects!$C$14+1),0)-IF(AND(Projects!$G$14="Yes",CM$3&gt;=Projects!$C$14,CM$3&lt;Projects!$C$14+Projects!$D$14),Projects!$B$14*(Assumptions!$B$10+Assumptions!$B$11+Assumptions!$B$12)/Projects!$D$14*0.95,0)-IF(AND(Projects!$G$14="Yes",CM$3=Projects!$C$14+Projects!$D$14-1),Projects!$B$14*(Assumptions!$B$10+Assumptions!$B$11+Assumptions!$B$12)*0.05,0)</f>
        <v>0</v>
      </c>
      <c r="CN25" s="19" t="n">
        <f aca="false">IF(AND(Projects!$G$14="Yes",CN$3&gt;=Projects!$C$14,CN$3&lt;Projects!$C$14+Projects!$D$14),Projects!$B$14*INDEX(Curves!$B$2:$AR$2,1,CN$3-Projects!$C$14+1),0)-IF(AND(Projects!$G$14="Yes",CN$3&gt;=Projects!$C$14,CN$3&lt;Projects!$C$14+Projects!$D$14),Projects!$B$14*(Assumptions!$B$10+Assumptions!$B$11+Assumptions!$B$12)/Projects!$D$14*0.95,0)-IF(AND(Projects!$G$14="Yes",CN$3=Projects!$C$14+Projects!$D$14-1),Projects!$B$14*(Assumptions!$B$10+Assumptions!$B$11+Assumptions!$B$12)*0.05,0)</f>
        <v>0</v>
      </c>
      <c r="CO25" s="19" t="n">
        <f aca="false">IF(AND(Projects!$G$14="Yes",CO$3&gt;=Projects!$C$14,CO$3&lt;Projects!$C$14+Projects!$D$14),Projects!$B$14*INDEX(Curves!$B$2:$AR$2,1,CO$3-Projects!$C$14+1),0)-IF(AND(Projects!$G$14="Yes",CO$3&gt;=Projects!$C$14,CO$3&lt;Projects!$C$14+Projects!$D$14),Projects!$B$14*(Assumptions!$B$10+Assumptions!$B$11+Assumptions!$B$12)/Projects!$D$14*0.95,0)-IF(AND(Projects!$G$14="Yes",CO$3=Projects!$C$14+Projects!$D$14-1),Projects!$B$14*(Assumptions!$B$10+Assumptions!$B$11+Assumptions!$B$12)*0.05,0)</f>
        <v>0</v>
      </c>
      <c r="CP25" s="19" t="n">
        <f aca="false">IF(AND(Projects!$G$14="Yes",CP$3&gt;=Projects!$C$14,CP$3&lt;Projects!$C$14+Projects!$D$14),Projects!$B$14*INDEX(Curves!$B$2:$AR$2,1,CP$3-Projects!$C$14+1),0)-IF(AND(Projects!$G$14="Yes",CP$3&gt;=Projects!$C$14,CP$3&lt;Projects!$C$14+Projects!$D$14),Projects!$B$14*(Assumptions!$B$10+Assumptions!$B$11+Assumptions!$B$12)/Projects!$D$14*0.95,0)-IF(AND(Projects!$G$14="Yes",CP$3=Projects!$C$14+Projects!$D$14-1),Projects!$B$14*(Assumptions!$B$10+Assumptions!$B$11+Assumptions!$B$12)*0.05,0)</f>
        <v>0</v>
      </c>
      <c r="CQ25" s="19" t="n">
        <f aca="false">IF(AND(Projects!$G$14="Yes",CQ$3&gt;=Projects!$C$14,CQ$3&lt;Projects!$C$14+Projects!$D$14),Projects!$B$14*INDEX(Curves!$B$2:$AR$2,1,CQ$3-Projects!$C$14+1),0)-IF(AND(Projects!$G$14="Yes",CQ$3&gt;=Projects!$C$14,CQ$3&lt;Projects!$C$14+Projects!$D$14),Projects!$B$14*(Assumptions!$B$10+Assumptions!$B$11+Assumptions!$B$12)/Projects!$D$14*0.95,0)-IF(AND(Projects!$G$14="Yes",CQ$3=Projects!$C$14+Projects!$D$14-1),Projects!$B$14*(Assumptions!$B$10+Assumptions!$B$11+Assumptions!$B$12)*0.05,0)</f>
        <v>0</v>
      </c>
      <c r="CR25" s="19" t="n">
        <f aca="false">IF(AND(Projects!$G$14="Yes",CR$3&gt;=Projects!$C$14,CR$3&lt;Projects!$C$14+Projects!$D$14),Projects!$B$14*INDEX(Curves!$B$2:$AR$2,1,CR$3-Projects!$C$14+1),0)-IF(AND(Projects!$G$14="Yes",CR$3&gt;=Projects!$C$14,CR$3&lt;Projects!$C$14+Projects!$D$14),Projects!$B$14*(Assumptions!$B$10+Assumptions!$B$11+Assumptions!$B$12)/Projects!$D$14*0.95,0)-IF(AND(Projects!$G$14="Yes",CR$3=Projects!$C$14+Projects!$D$14-1),Projects!$B$14*(Assumptions!$B$10+Assumptions!$B$11+Assumptions!$B$12)*0.05,0)</f>
        <v>0</v>
      </c>
      <c r="CS25" s="19" t="n">
        <f aca="false">IF(AND(Projects!$G$14="Yes",CS$3&gt;=Projects!$C$14,CS$3&lt;Projects!$C$14+Projects!$D$14),Projects!$B$14*INDEX(Curves!$B$2:$AR$2,1,CS$3-Projects!$C$14+1),0)-IF(AND(Projects!$G$14="Yes",CS$3&gt;=Projects!$C$14,CS$3&lt;Projects!$C$14+Projects!$D$14),Projects!$B$14*(Assumptions!$B$10+Assumptions!$B$11+Assumptions!$B$12)/Projects!$D$14*0.95,0)-IF(AND(Projects!$G$14="Yes",CS$3=Projects!$C$14+Projects!$D$14-1),Projects!$B$14*(Assumptions!$B$10+Assumptions!$B$11+Assumptions!$B$12)*0.05,0)</f>
        <v>0</v>
      </c>
      <c r="CT25" s="19" t="n">
        <f aca="false">IF(AND(Projects!$G$14="Yes",CT$3&gt;=Projects!$C$14,CT$3&lt;Projects!$C$14+Projects!$D$14),Projects!$B$14*INDEX(Curves!$B$2:$AR$2,1,CT$3-Projects!$C$14+1),0)-IF(AND(Projects!$G$14="Yes",CT$3&gt;=Projects!$C$14,CT$3&lt;Projects!$C$14+Projects!$D$14),Projects!$B$14*(Assumptions!$B$10+Assumptions!$B$11+Assumptions!$B$12)/Projects!$D$14*0.95,0)-IF(AND(Projects!$G$14="Yes",CT$3=Projects!$C$14+Projects!$D$14-1),Projects!$B$14*(Assumptions!$B$10+Assumptions!$B$11+Assumptions!$B$12)*0.05,0)</f>
        <v>0</v>
      </c>
      <c r="CU25" s="19" t="n">
        <f aca="false">IF(AND(Projects!$G$14="Yes",CU$3&gt;=Projects!$C$14,CU$3&lt;Projects!$C$14+Projects!$D$14),Projects!$B$14*INDEX(Curves!$B$2:$AR$2,1,CU$3-Projects!$C$14+1),0)-IF(AND(Projects!$G$14="Yes",CU$3&gt;=Projects!$C$14,CU$3&lt;Projects!$C$14+Projects!$D$14),Projects!$B$14*(Assumptions!$B$10+Assumptions!$B$11+Assumptions!$B$12)/Projects!$D$14*0.95,0)-IF(AND(Projects!$G$14="Yes",CU$3=Projects!$C$14+Projects!$D$14-1),Projects!$B$14*(Assumptions!$B$10+Assumptions!$B$11+Assumptions!$B$12)*0.05,0)</f>
        <v>0</v>
      </c>
      <c r="CV25" s="19" t="n">
        <f aca="false">IF(AND(Projects!$G$14="Yes",CV$3&gt;=Projects!$C$14,CV$3&lt;Projects!$C$14+Projects!$D$14),Projects!$B$14*INDEX(Curves!$B$2:$AR$2,1,CV$3-Projects!$C$14+1),0)-IF(AND(Projects!$G$14="Yes",CV$3&gt;=Projects!$C$14,CV$3&lt;Projects!$C$14+Projects!$D$14),Projects!$B$14*(Assumptions!$B$10+Assumptions!$B$11+Assumptions!$B$12)/Projects!$D$14*0.95,0)-IF(AND(Projects!$G$14="Yes",CV$3=Projects!$C$14+Projects!$D$14-1),Projects!$B$14*(Assumptions!$B$10+Assumptions!$B$11+Assumptions!$B$12)*0.05,0)</f>
        <v>0</v>
      </c>
      <c r="CW25" s="19" t="n">
        <f aca="false">IF(AND(Projects!$G$14="Yes",CW$3&gt;=Projects!$C$14,CW$3&lt;Projects!$C$14+Projects!$D$14),Projects!$B$14*INDEX(Curves!$B$2:$AR$2,1,CW$3-Projects!$C$14+1),0)-IF(AND(Projects!$G$14="Yes",CW$3&gt;=Projects!$C$14,CW$3&lt;Projects!$C$14+Projects!$D$14),Projects!$B$14*(Assumptions!$B$10+Assumptions!$B$11+Assumptions!$B$12)/Projects!$D$14*0.95,0)-IF(AND(Projects!$G$14="Yes",CW$3=Projects!$C$14+Projects!$D$14-1),Projects!$B$14*(Assumptions!$B$10+Assumptions!$B$11+Assumptions!$B$12)*0.05,0)</f>
        <v>0</v>
      </c>
      <c r="CX25" s="19" t="n">
        <f aca="false">IF(AND(Projects!$G$14="Yes",CX$3&gt;=Projects!$C$14,CX$3&lt;Projects!$C$14+Projects!$D$14),Projects!$B$14*INDEX(Curves!$B$2:$AR$2,1,CX$3-Projects!$C$14+1),0)-IF(AND(Projects!$G$14="Yes",CX$3&gt;=Projects!$C$14,CX$3&lt;Projects!$C$14+Projects!$D$14),Projects!$B$14*(Assumptions!$B$10+Assumptions!$B$11+Assumptions!$B$12)/Projects!$D$14*0.95,0)-IF(AND(Projects!$G$14="Yes",CX$3=Projects!$C$14+Projects!$D$14-1),Projects!$B$14*(Assumptions!$B$10+Assumptions!$B$11+Assumptions!$B$12)*0.05,0)</f>
        <v>0</v>
      </c>
      <c r="CY25" s="19" t="n">
        <f aca="false">IF(AND(Projects!$G$14="Yes",CY$3&gt;=Projects!$C$14,CY$3&lt;Projects!$C$14+Projects!$D$14),Projects!$B$14*INDEX(Curves!$B$2:$AR$2,1,CY$3-Projects!$C$14+1),0)-IF(AND(Projects!$G$14="Yes",CY$3&gt;=Projects!$C$14,CY$3&lt;Projects!$C$14+Projects!$D$14),Projects!$B$14*(Assumptions!$B$10+Assumptions!$B$11+Assumptions!$B$12)/Projects!$D$14*0.95,0)-IF(AND(Projects!$G$14="Yes",CY$3=Projects!$C$14+Projects!$D$14-1),Projects!$B$14*(Assumptions!$B$10+Assumptions!$B$11+Assumptions!$B$12)*0.05,0)</f>
        <v>0</v>
      </c>
      <c r="CZ25" s="19" t="n">
        <f aca="false">IF(AND(Projects!$G$14="Yes",CZ$3&gt;=Projects!$C$14,CZ$3&lt;Projects!$C$14+Projects!$D$14),Projects!$B$14*INDEX(Curves!$B$2:$AR$2,1,CZ$3-Projects!$C$14+1),0)-IF(AND(Projects!$G$14="Yes",CZ$3&gt;=Projects!$C$14,CZ$3&lt;Projects!$C$14+Projects!$D$14),Projects!$B$14*(Assumptions!$B$10+Assumptions!$B$11+Assumptions!$B$12)/Projects!$D$14*0.95,0)-IF(AND(Projects!$G$14="Yes",CZ$3=Projects!$C$14+Projects!$D$14-1),Projects!$B$14*(Assumptions!$B$10+Assumptions!$B$11+Assumptions!$B$12)*0.05,0)</f>
        <v>0</v>
      </c>
      <c r="DA25" s="19" t="n">
        <f aca="false">IF(AND(Projects!$G$14="Yes",DA$3&gt;=Projects!$C$14,DA$3&lt;Projects!$C$14+Projects!$D$14),Projects!$B$14*INDEX(Curves!$B$2:$AR$2,1,DA$3-Projects!$C$14+1),0)-IF(AND(Projects!$G$14="Yes",DA$3&gt;=Projects!$C$14,DA$3&lt;Projects!$C$14+Projects!$D$14),Projects!$B$14*(Assumptions!$B$10+Assumptions!$B$11+Assumptions!$B$12)/Projects!$D$14*0.95,0)-IF(AND(Projects!$G$14="Yes",DA$3=Projects!$C$14+Projects!$D$14-1),Projects!$B$14*(Assumptions!$B$10+Assumptions!$B$11+Assumptions!$B$12)*0.05,0)</f>
        <v>0</v>
      </c>
      <c r="DB25" s="19" t="n">
        <f aca="false">IF(AND(Projects!$G$14="Yes",DB$3&gt;=Projects!$C$14,DB$3&lt;Projects!$C$14+Projects!$D$14),Projects!$B$14*INDEX(Curves!$B$2:$AR$2,1,DB$3-Projects!$C$14+1),0)-IF(AND(Projects!$G$14="Yes",DB$3&gt;=Projects!$C$14,DB$3&lt;Projects!$C$14+Projects!$D$14),Projects!$B$14*(Assumptions!$B$10+Assumptions!$B$11+Assumptions!$B$12)/Projects!$D$14*0.95,0)-IF(AND(Projects!$G$14="Yes",DB$3=Projects!$C$14+Projects!$D$14-1),Projects!$B$14*(Assumptions!$B$10+Assumptions!$B$11+Assumptions!$B$12)*0.05,0)</f>
        <v>0</v>
      </c>
      <c r="DC25" s="19" t="n">
        <f aca="false">IF(AND(Projects!$G$14="Yes",DC$3&gt;=Projects!$C$14,DC$3&lt;Projects!$C$14+Projects!$D$14),Projects!$B$14*INDEX(Curves!$B$2:$AR$2,1,DC$3-Projects!$C$14+1),0)-IF(AND(Projects!$G$14="Yes",DC$3&gt;=Projects!$C$14,DC$3&lt;Projects!$C$14+Projects!$D$14),Projects!$B$14*(Assumptions!$B$10+Assumptions!$B$11+Assumptions!$B$12)/Projects!$D$14*0.95,0)-IF(AND(Projects!$G$14="Yes",DC$3=Projects!$C$14+Projects!$D$14-1),Projects!$B$14*(Assumptions!$B$10+Assumptions!$B$11+Assumptions!$B$12)*0.05,0)</f>
        <v>0</v>
      </c>
      <c r="DD25" s="19" t="n">
        <f aca="false">IF(AND(Projects!$G$14="Yes",DD$3&gt;=Projects!$C$14,DD$3&lt;Projects!$C$14+Projects!$D$14),Projects!$B$14*INDEX(Curves!$B$2:$AR$2,1,DD$3-Projects!$C$14+1),0)-IF(AND(Projects!$G$14="Yes",DD$3&gt;=Projects!$C$14,DD$3&lt;Projects!$C$14+Projects!$D$14),Projects!$B$14*(Assumptions!$B$10+Assumptions!$B$11+Assumptions!$B$12)/Projects!$D$14*0.95,0)-IF(AND(Projects!$G$14="Yes",DD$3=Projects!$C$14+Projects!$D$14-1),Projects!$B$14*(Assumptions!$B$10+Assumptions!$B$11+Assumptions!$B$12)*0.05,0)</f>
        <v>0</v>
      </c>
      <c r="DE25" s="19" t="n">
        <f aca="false">IF(AND(Projects!$G$14="Yes",DE$3&gt;=Projects!$C$14,DE$3&lt;Projects!$C$14+Projects!$D$14),Projects!$B$14*INDEX(Curves!$B$2:$AR$2,1,DE$3-Projects!$C$14+1),0)-IF(AND(Projects!$G$14="Yes",DE$3&gt;=Projects!$C$14,DE$3&lt;Projects!$C$14+Projects!$D$14),Projects!$B$14*(Assumptions!$B$10+Assumptions!$B$11+Assumptions!$B$12)/Projects!$D$14*0.95,0)-IF(AND(Projects!$G$14="Yes",DE$3=Projects!$C$14+Projects!$D$14-1),Projects!$B$14*(Assumptions!$B$10+Assumptions!$B$11+Assumptions!$B$12)*0.05,0)</f>
        <v>0</v>
      </c>
    </row>
    <row r="26" customFormat="false" ht="15" hidden="true" customHeight="true" outlineLevel="1" collapsed="false">
      <c r="A26" s="28" t="s">
        <v>20</v>
      </c>
      <c r="B26" s="19" t="n">
        <v>0</v>
      </c>
      <c r="C26" s="19" t="n">
        <v>0</v>
      </c>
      <c r="D26" s="19" t="n">
        <v>0</v>
      </c>
      <c r="E26" s="19" t="n">
        <v>0</v>
      </c>
      <c r="F26" s="19" t="n">
        <f aca="false">IF(AND(Projects!$G$17="Yes",F$3&gt;=Projects!$C$17,F$3&lt;Projects!$C$17+Projects!$D$17),Projects!$B$17*INDEX(Curves!$B$4:$AR$4,1,F$3-Projects!$C$17+1),0)-IF(AND(Projects!$G$17="Yes",F$3&gt;=Projects!$C$17,F$3&lt;Projects!$C$17+Projects!$D$17),Projects!$B$17*(Assumptions!$B$10+Assumptions!$B$11+Assumptions!$B$12)/Projects!$D$17*0.95,0)-IF(AND(Projects!$G$17="Yes",F$3=Projects!$C$17+Projects!$D$17-1),Projects!$B$17*(Assumptions!$B$10+Assumptions!$B$11+Assumptions!$B$12)*0.05,0)</f>
        <v>0</v>
      </c>
      <c r="G26" s="19" t="n">
        <f aca="false">IF(AND(Projects!$G$17="Yes",G$3&gt;=Projects!$C$17,G$3&lt;Projects!$C$17+Projects!$D$17),Projects!$B$17*INDEX(Curves!$B$4:$AR$4,1,G$3-Projects!$C$17+1),0)-IF(AND(Projects!$G$17="Yes",G$3&gt;=Projects!$C$17,G$3&lt;Projects!$C$17+Projects!$D$17),Projects!$B$17*(Assumptions!$B$10+Assumptions!$B$11+Assumptions!$B$12)/Projects!$D$17*0.95,0)-IF(AND(Projects!$G$17="Yes",G$3=Projects!$C$17+Projects!$D$17-1),Projects!$B$17*(Assumptions!$B$10+Assumptions!$B$11+Assumptions!$B$12)*0.05,0)</f>
        <v>0</v>
      </c>
      <c r="H26" s="19" t="n">
        <f aca="false">IF(AND(Projects!$G$17="Yes",H$3&gt;=Projects!$C$17,H$3&lt;Projects!$C$17+Projects!$D$17),Projects!$B$17*INDEX(Curves!$B$4:$AR$4,1,H$3-Projects!$C$17+1),0)-IF(AND(Projects!$G$17="Yes",H$3&gt;=Projects!$C$17,H$3&lt;Projects!$C$17+Projects!$D$17),Projects!$B$17*(Assumptions!$B$10+Assumptions!$B$11+Assumptions!$B$12)/Projects!$D$17*0.95,0)-IF(AND(Projects!$G$17="Yes",H$3=Projects!$C$17+Projects!$D$17-1),Projects!$B$17*(Assumptions!$B$10+Assumptions!$B$11+Assumptions!$B$12)*0.05,0)</f>
        <v>0</v>
      </c>
      <c r="I26" s="19" t="n">
        <f aca="false">IF(AND(Projects!$G$17="Yes",I$3&gt;=Projects!$C$17,I$3&lt;Projects!$C$17+Projects!$D$17),Projects!$B$17*INDEX(Curves!$B$4:$AR$4,1,I$3-Projects!$C$17+1),0)-IF(AND(Projects!$G$17="Yes",I$3&gt;=Projects!$C$17,I$3&lt;Projects!$C$17+Projects!$D$17),Projects!$B$17*(Assumptions!$B$10+Assumptions!$B$11+Assumptions!$B$12)/Projects!$D$17*0.95,0)-IF(AND(Projects!$G$17="Yes",I$3=Projects!$C$17+Projects!$D$17-1),Projects!$B$17*(Assumptions!$B$10+Assumptions!$B$11+Assumptions!$B$12)*0.05,0)</f>
        <v>0</v>
      </c>
      <c r="J26" s="19" t="n">
        <f aca="false">IF(AND(Projects!$G$17="Yes",J$3&gt;=Projects!$C$17,J$3&lt;Projects!$C$17+Projects!$D$17),Projects!$B$17*INDEX(Curves!$B$4:$AR$4,1,J$3-Projects!$C$17+1),0)-IF(AND(Projects!$G$17="Yes",J$3&gt;=Projects!$C$17,J$3&lt;Projects!$C$17+Projects!$D$17),Projects!$B$17*(Assumptions!$B$10+Assumptions!$B$11+Assumptions!$B$12)/Projects!$D$17*0.95,0)-IF(AND(Projects!$G$17="Yes",J$3=Projects!$C$17+Projects!$D$17-1),Projects!$B$17*(Assumptions!$B$10+Assumptions!$B$11+Assumptions!$B$12)*0.05,0)</f>
        <v>0</v>
      </c>
      <c r="K26" s="19" t="n">
        <f aca="false">IF(AND(Projects!$G$17="Yes",K$3&gt;=Projects!$C$17,K$3&lt;Projects!$C$17+Projects!$D$17),Projects!$B$17*INDEX(Curves!$B$4:$AR$4,1,K$3-Projects!$C$17+1),0)-IF(AND(Projects!$G$17="Yes",K$3&gt;=Projects!$C$17,K$3&lt;Projects!$C$17+Projects!$D$17),Projects!$B$17*(Assumptions!$B$10+Assumptions!$B$11+Assumptions!$B$12)/Projects!$D$17*0.95,0)-IF(AND(Projects!$G$17="Yes",K$3=Projects!$C$17+Projects!$D$17-1),Projects!$B$17*(Assumptions!$B$10+Assumptions!$B$11+Assumptions!$B$12)*0.05,0)</f>
        <v>0</v>
      </c>
      <c r="L26" s="19" t="n">
        <f aca="false">IF(AND(Projects!$G$17="Yes",L$3&gt;=Projects!$C$17,L$3&lt;Projects!$C$17+Projects!$D$17),Projects!$B$17*INDEX(Curves!$B$4:$AR$4,1,L$3-Projects!$C$17+1),0)-IF(AND(Projects!$G$17="Yes",L$3&gt;=Projects!$C$17,L$3&lt;Projects!$C$17+Projects!$D$17),Projects!$B$17*(Assumptions!$B$10+Assumptions!$B$11+Assumptions!$B$12)/Projects!$D$17*0.95,0)-IF(AND(Projects!$G$17="Yes",L$3=Projects!$C$17+Projects!$D$17-1),Projects!$B$17*(Assumptions!$B$10+Assumptions!$B$11+Assumptions!$B$12)*0.05,0)</f>
        <v>0</v>
      </c>
      <c r="M26" s="19" t="n">
        <f aca="false">IF(AND(Projects!$G$17="Yes",M$3&gt;=Projects!$C$17,M$3&lt;Projects!$C$17+Projects!$D$17),Projects!$B$17*INDEX(Curves!$B$4:$AR$4,1,M$3-Projects!$C$17+1),0)-IF(AND(Projects!$G$17="Yes",M$3&gt;=Projects!$C$17,M$3&lt;Projects!$C$17+Projects!$D$17),Projects!$B$17*(Assumptions!$B$10+Assumptions!$B$11+Assumptions!$B$12)/Projects!$D$17*0.95,0)-IF(AND(Projects!$G$17="Yes",M$3=Projects!$C$17+Projects!$D$17-1),Projects!$B$17*(Assumptions!$B$10+Assumptions!$B$11+Assumptions!$B$12)*0.05,0)</f>
        <v>0</v>
      </c>
      <c r="N26" s="19" t="n">
        <f aca="false">IF(AND(Projects!$G$17="Yes",N$3&gt;=Projects!$C$17,N$3&lt;Projects!$C$17+Projects!$D$17),Projects!$B$17*INDEX(Curves!$B$4:$AR$4,1,N$3-Projects!$C$17+1),0)-IF(AND(Projects!$G$17="Yes",N$3&gt;=Projects!$C$17,N$3&lt;Projects!$C$17+Projects!$D$17),Projects!$B$17*(Assumptions!$B$10+Assumptions!$B$11+Assumptions!$B$12)/Projects!$D$17*0.95,0)-IF(AND(Projects!$G$17="Yes",N$3=Projects!$C$17+Projects!$D$17-1),Projects!$B$17*(Assumptions!$B$10+Assumptions!$B$11+Assumptions!$B$12)*0.05,0)</f>
        <v>0</v>
      </c>
      <c r="O26" s="19" t="n">
        <f aca="false">IF(AND(Projects!$G$17="Yes",O$3&gt;=Projects!$C$17,O$3&lt;Projects!$C$17+Projects!$D$17),Projects!$B$17*INDEX(Curves!$B$4:$AR$4,1,O$3-Projects!$C$17+1),0)-IF(AND(Projects!$G$17="Yes",O$3&gt;=Projects!$C$17,O$3&lt;Projects!$C$17+Projects!$D$17),Projects!$B$17*(Assumptions!$B$10+Assumptions!$B$11+Assumptions!$B$12)/Projects!$D$17*0.95,0)-IF(AND(Projects!$G$17="Yes",O$3=Projects!$C$17+Projects!$D$17-1),Projects!$B$17*(Assumptions!$B$10+Assumptions!$B$11+Assumptions!$B$12)*0.05,0)</f>
        <v>0</v>
      </c>
      <c r="P26" s="19" t="n">
        <f aca="false">IF(AND(Projects!$G$17="Yes",P$3&gt;=Projects!$C$17,P$3&lt;Projects!$C$17+Projects!$D$17),Projects!$B$17*INDEX(Curves!$B$4:$AR$4,1,P$3-Projects!$C$17+1),0)-IF(AND(Projects!$G$17="Yes",P$3&gt;=Projects!$C$17,P$3&lt;Projects!$C$17+Projects!$D$17),Projects!$B$17*(Assumptions!$B$10+Assumptions!$B$11+Assumptions!$B$12)/Projects!$D$17*0.95,0)-IF(AND(Projects!$G$17="Yes",P$3=Projects!$C$17+Projects!$D$17-1),Projects!$B$17*(Assumptions!$B$10+Assumptions!$B$11+Assumptions!$B$12)*0.05,0)</f>
        <v>0</v>
      </c>
      <c r="Q26" s="19" t="n">
        <f aca="false">IF(AND(Projects!$G$17="Yes",Q$3&gt;=Projects!$C$17,Q$3&lt;Projects!$C$17+Projects!$D$17),Projects!$B$17*INDEX(Curves!$B$4:$AR$4,1,Q$3-Projects!$C$17+1),0)-IF(AND(Projects!$G$17="Yes",Q$3&gt;=Projects!$C$17,Q$3&lt;Projects!$C$17+Projects!$D$17),Projects!$B$17*(Assumptions!$B$10+Assumptions!$B$11+Assumptions!$B$12)/Projects!$D$17*0.95,0)-IF(AND(Projects!$G$17="Yes",Q$3=Projects!$C$17+Projects!$D$17-1),Projects!$B$17*(Assumptions!$B$10+Assumptions!$B$11+Assumptions!$B$12)*0.05,0)</f>
        <v>0</v>
      </c>
      <c r="R26" s="19" t="n">
        <f aca="false">IF(AND(Projects!$G$17="Yes",R$3&gt;=Projects!$C$17,R$3&lt;Projects!$C$17+Projects!$D$17),Projects!$B$17*INDEX(Curves!$B$4:$AR$4,1,R$3-Projects!$C$17+1),0)-IF(AND(Projects!$G$17="Yes",R$3&gt;=Projects!$C$17,R$3&lt;Projects!$C$17+Projects!$D$17),Projects!$B$17*(Assumptions!$B$10+Assumptions!$B$11+Assumptions!$B$12)/Projects!$D$17*0.95,0)-IF(AND(Projects!$G$17="Yes",R$3=Projects!$C$17+Projects!$D$17-1),Projects!$B$17*(Assumptions!$B$10+Assumptions!$B$11+Assumptions!$B$12)*0.05,0)</f>
        <v>313939.25166175</v>
      </c>
      <c r="S26" s="19" t="n">
        <f aca="false">IF(AND(Projects!$G$17="Yes",S$3&gt;=Projects!$C$17,S$3&lt;Projects!$C$17+Projects!$D$17),Projects!$B$17*INDEX(Curves!$B$4:$AR$4,1,S$3-Projects!$C$17+1),0)-IF(AND(Projects!$G$17="Yes",S$3&gt;=Projects!$C$17,S$3&lt;Projects!$C$17+Projects!$D$17),Projects!$B$17*(Assumptions!$B$10+Assumptions!$B$11+Assumptions!$B$12)/Projects!$D$17*0.95,0)-IF(AND(Projects!$G$17="Yes",S$3=Projects!$C$17+Projects!$D$17-1),Projects!$B$17*(Assumptions!$B$10+Assumptions!$B$11+Assumptions!$B$12)*0.05,0)</f>
        <v>409572.44932175</v>
      </c>
      <c r="T26" s="19" t="n">
        <f aca="false">IF(AND(Projects!$G$17="Yes",T$3&gt;=Projects!$C$17,T$3&lt;Projects!$C$17+Projects!$D$17),Projects!$B$17*INDEX(Curves!$B$4:$AR$4,1,T$3-Projects!$C$17+1),0)-IF(AND(Projects!$G$17="Yes",T$3&gt;=Projects!$C$17,T$3&lt;Projects!$C$17+Projects!$D$17),Projects!$B$17*(Assumptions!$B$10+Assumptions!$B$11+Assumptions!$B$12)/Projects!$D$17*0.95,0)-IF(AND(Projects!$G$17="Yes",T$3=Projects!$C$17+Projects!$D$17-1),Projects!$B$17*(Assumptions!$B$10+Assumptions!$B$11+Assumptions!$B$12)*0.05,0)</f>
        <v>512511.38613675</v>
      </c>
      <c r="U26" s="19" t="n">
        <f aca="false">IF(AND(Projects!$G$17="Yes",U$3&gt;=Projects!$C$17,U$3&lt;Projects!$C$17+Projects!$D$17),Projects!$B$17*INDEX(Curves!$B$4:$AR$4,1,U$3-Projects!$C$17+1),0)-IF(AND(Projects!$G$17="Yes",U$3&gt;=Projects!$C$17,U$3&lt;Projects!$C$17+Projects!$D$17),Projects!$B$17*(Assumptions!$B$10+Assumptions!$B$11+Assumptions!$B$12)/Projects!$D$17*0.95,0)-IF(AND(Projects!$G$17="Yes",U$3=Projects!$C$17+Projects!$D$17-1),Projects!$B$17*(Assumptions!$B$10+Assumptions!$B$11+Assumptions!$B$12)*0.05,0)</f>
        <v>618651.37008675</v>
      </c>
      <c r="V26" s="19" t="n">
        <f aca="false">IF(AND(Projects!$G$17="Yes",V$3&gt;=Projects!$C$17,V$3&lt;Projects!$C$17+Projects!$D$17),Projects!$B$17*INDEX(Curves!$B$4:$AR$4,1,V$3-Projects!$C$17+1),0)-IF(AND(Projects!$G$17="Yes",V$3&gt;=Projects!$C$17,V$3&lt;Projects!$C$17+Projects!$D$17),Projects!$B$17*(Assumptions!$B$10+Assumptions!$B$11+Assumptions!$B$12)/Projects!$D$17*0.95,0)-IF(AND(Projects!$G$17="Yes",V$3=Projects!$C$17+Projects!$D$17-1),Projects!$B$17*(Assumptions!$B$10+Assumptions!$B$11+Assumptions!$B$12)*0.05,0)</f>
        <v>722892.16817675</v>
      </c>
      <c r="W26" s="19" t="n">
        <f aca="false">IF(AND(Projects!$G$17="Yes",W$3&gt;=Projects!$C$17,W$3&lt;Projects!$C$17+Projects!$D$17),Projects!$B$17*INDEX(Curves!$B$4:$AR$4,1,W$3-Projects!$C$17+1),0)-IF(AND(Projects!$G$17="Yes",W$3&gt;=Projects!$C$17,W$3&lt;Projects!$C$17+Projects!$D$17),Projects!$B$17*(Assumptions!$B$10+Assumptions!$B$11+Assumptions!$B$12)/Projects!$D$17*0.95,0)-IF(AND(Projects!$G$17="Yes",W$3=Projects!$C$17+Projects!$D$17-1),Projects!$B$17*(Assumptions!$B$10+Assumptions!$B$11+Assumptions!$B$12)*0.05,0)</f>
        <v>819444.32673675</v>
      </c>
      <c r="X26" s="19" t="n">
        <f aca="false">IF(AND(Projects!$G$17="Yes",X$3&gt;=Projects!$C$17,X$3&lt;Projects!$C$17+Projects!$D$17),Projects!$B$17*INDEX(Curves!$B$4:$AR$4,1,X$3-Projects!$C$17+1),0)-IF(AND(Projects!$G$17="Yes",X$3&gt;=Projects!$C$17,X$3&lt;Projects!$C$17+Projects!$D$17),Projects!$B$17*(Assumptions!$B$10+Assumptions!$B$11+Assumptions!$B$12)/Projects!$D$17*0.95,0)-IF(AND(Projects!$G$17="Yes",X$3=Projects!$C$17+Projects!$D$17-1),Projects!$B$17*(Assumptions!$B$10+Assumptions!$B$11+Assumptions!$B$12)*0.05,0)</f>
        <v>902380.54796175</v>
      </c>
      <c r="Y26" s="19" t="n">
        <f aca="false">IF(AND(Projects!$G$17="Yes",Y$3&gt;=Projects!$C$17,Y$3&lt;Projects!$C$17+Projects!$D$17),Projects!$B$17*INDEX(Curves!$B$4:$AR$4,1,Y$3-Projects!$C$17+1),0)-IF(AND(Projects!$G$17="Yes",Y$3&gt;=Projects!$C$17,Y$3&lt;Projects!$C$17+Projects!$D$17),Projects!$B$17*(Assumptions!$B$10+Assumptions!$B$11+Assumptions!$B$12)/Projects!$D$17*0.95,0)-IF(AND(Projects!$G$17="Yes",Y$3=Projects!$C$17+Projects!$D$17-1),Projects!$B$17*(Assumptions!$B$10+Assumptions!$B$11+Assumptions!$B$12)*0.05,0)</f>
        <v>966202.38246675</v>
      </c>
      <c r="Z26" s="19" t="n">
        <f aca="false">IF(AND(Projects!$G$17="Yes",Z$3&gt;=Projects!$C$17,Z$3&lt;Projects!$C$17+Projects!$D$17),Projects!$B$17*INDEX(Curves!$B$4:$AR$4,1,Z$3-Projects!$C$17+1),0)-IF(AND(Projects!$G$17="Yes",Z$3&gt;=Projects!$C$17,Z$3&lt;Projects!$C$17+Projects!$D$17),Projects!$B$17*(Assumptions!$B$10+Assumptions!$B$11+Assumptions!$B$12)/Projects!$D$17*0.95,0)-IF(AND(Projects!$G$17="Yes",Z$3=Projects!$C$17+Projects!$D$17-1),Projects!$B$17*(Assumptions!$B$10+Assumptions!$B$11+Assumptions!$B$12)*0.05,0)</f>
        <v>1006452.86988675</v>
      </c>
      <c r="AA26" s="19" t="n">
        <f aca="false">IF(AND(Projects!$G$17="Yes",AA$3&gt;=Projects!$C$17,AA$3&lt;Projects!$C$17+Projects!$D$17),Projects!$B$17*INDEX(Curves!$B$4:$AR$4,1,AA$3-Projects!$C$17+1),0)-IF(AND(Projects!$G$17="Yes",AA$3&gt;=Projects!$C$17,AA$3&lt;Projects!$C$17+Projects!$D$17),Projects!$B$17*(Assumptions!$B$10+Assumptions!$B$11+Assumptions!$B$12)/Projects!$D$17*0.95,0)-IF(AND(Projects!$G$17="Yes",AA$3=Projects!$C$17+Projects!$D$17-1),Projects!$B$17*(Assumptions!$B$10+Assumptions!$B$11+Assumptions!$B$12)*0.05,0)</f>
        <v>1020206.65135675</v>
      </c>
      <c r="AB26" s="19" t="n">
        <f aca="false">IF(AND(Projects!$G$17="Yes",AB$3&gt;=Projects!$C$17,AB$3&lt;Projects!$C$17+Projects!$D$17),Projects!$B$17*INDEX(Curves!$B$4:$AR$4,1,AB$3-Projects!$C$17+1),0)-IF(AND(Projects!$G$17="Yes",AB$3&gt;=Projects!$C$17,AB$3&lt;Projects!$C$17+Projects!$D$17),Projects!$B$17*(Assumptions!$B$10+Assumptions!$B$11+Assumptions!$B$12)/Projects!$D$17*0.95,0)-IF(AND(Projects!$G$17="Yes",AB$3=Projects!$C$17+Projects!$D$17-1),Projects!$B$17*(Assumptions!$B$10+Assumptions!$B$11+Assumptions!$B$12)*0.05,0)</f>
        <v>1006452.86988675</v>
      </c>
      <c r="AC26" s="19" t="n">
        <f aca="false">IF(AND(Projects!$G$17="Yes",AC$3&gt;=Projects!$C$17,AC$3&lt;Projects!$C$17+Projects!$D$17),Projects!$B$17*INDEX(Curves!$B$4:$AR$4,1,AC$3-Projects!$C$17+1),0)-IF(AND(Projects!$G$17="Yes",AC$3&gt;=Projects!$C$17,AC$3&lt;Projects!$C$17+Projects!$D$17),Projects!$B$17*(Assumptions!$B$10+Assumptions!$B$11+Assumptions!$B$12)/Projects!$D$17*0.95,0)-IF(AND(Projects!$G$17="Yes",AC$3=Projects!$C$17+Projects!$D$17-1),Projects!$B$17*(Assumptions!$B$10+Assumptions!$B$11+Assumptions!$B$12)*0.05,0)</f>
        <v>966202.38246675</v>
      </c>
      <c r="AD26" s="19" t="n">
        <f aca="false">IF(AND(Projects!$G$17="Yes",AD$3&gt;=Projects!$C$17,AD$3&lt;Projects!$C$17+Projects!$D$17),Projects!$B$17*INDEX(Curves!$B$4:$AR$4,1,AD$3-Projects!$C$17+1),0)-IF(AND(Projects!$G$17="Yes",AD$3&gt;=Projects!$C$17,AD$3&lt;Projects!$C$17+Projects!$D$17),Projects!$B$17*(Assumptions!$B$10+Assumptions!$B$11+Assumptions!$B$12)/Projects!$D$17*0.95,0)-IF(AND(Projects!$G$17="Yes",AD$3=Projects!$C$17+Projects!$D$17-1),Projects!$B$17*(Assumptions!$B$10+Assumptions!$B$11+Assumptions!$B$12)*0.05,0)</f>
        <v>902380.54796175</v>
      </c>
      <c r="AE26" s="19" t="n">
        <f aca="false">IF(AND(Projects!$G$17="Yes",AE$3&gt;=Projects!$C$17,AE$3&lt;Projects!$C$17+Projects!$D$17),Projects!$B$17*INDEX(Curves!$B$4:$AR$4,1,AE$3-Projects!$C$17+1),0)-IF(AND(Projects!$G$17="Yes",AE$3&gt;=Projects!$C$17,AE$3&lt;Projects!$C$17+Projects!$D$17),Projects!$B$17*(Assumptions!$B$10+Assumptions!$B$11+Assumptions!$B$12)/Projects!$D$17*0.95,0)-IF(AND(Projects!$G$17="Yes",AE$3=Projects!$C$17+Projects!$D$17-1),Projects!$B$17*(Assumptions!$B$10+Assumptions!$B$11+Assumptions!$B$12)*0.05,0)</f>
        <v>819444.32673675</v>
      </c>
      <c r="AF26" s="19" t="n">
        <f aca="false">IF(AND(Projects!$G$17="Yes",AF$3&gt;=Projects!$C$17,AF$3&lt;Projects!$C$17+Projects!$D$17),Projects!$B$17*INDEX(Curves!$B$4:$AR$4,1,AF$3-Projects!$C$17+1),0)-IF(AND(Projects!$G$17="Yes",AF$3&gt;=Projects!$C$17,AF$3&lt;Projects!$C$17+Projects!$D$17),Projects!$B$17*(Assumptions!$B$10+Assumptions!$B$11+Assumptions!$B$12)/Projects!$D$17*0.95,0)-IF(AND(Projects!$G$17="Yes",AF$3=Projects!$C$17+Projects!$D$17-1),Projects!$B$17*(Assumptions!$B$10+Assumptions!$B$11+Assumptions!$B$12)*0.05,0)</f>
        <v>722892.16817675</v>
      </c>
      <c r="AG26" s="19" t="n">
        <f aca="false">IF(AND(Projects!$G$17="Yes",AG$3&gt;=Projects!$C$17,AG$3&lt;Projects!$C$17+Projects!$D$17),Projects!$B$17*INDEX(Curves!$B$4:$AR$4,1,AG$3-Projects!$C$17+1),0)-IF(AND(Projects!$G$17="Yes",AG$3&gt;=Projects!$C$17,AG$3&lt;Projects!$C$17+Projects!$D$17),Projects!$B$17*(Assumptions!$B$10+Assumptions!$B$11+Assumptions!$B$12)/Projects!$D$17*0.95,0)-IF(AND(Projects!$G$17="Yes",AG$3=Projects!$C$17+Projects!$D$17-1),Projects!$B$17*(Assumptions!$B$10+Assumptions!$B$11+Assumptions!$B$12)*0.05,0)</f>
        <v>618651.37008675</v>
      </c>
      <c r="AH26" s="19" t="n">
        <f aca="false">IF(AND(Projects!$G$17="Yes",AH$3&gt;=Projects!$C$17,AH$3&lt;Projects!$C$17+Projects!$D$17),Projects!$B$17*INDEX(Curves!$B$4:$AR$4,1,AH$3-Projects!$C$17+1),0)-IF(AND(Projects!$G$17="Yes",AH$3&gt;=Projects!$C$17,AH$3&lt;Projects!$C$17+Projects!$D$17),Projects!$B$17*(Assumptions!$B$10+Assumptions!$B$11+Assumptions!$B$12)/Projects!$D$17*0.95,0)-IF(AND(Projects!$G$17="Yes",AH$3=Projects!$C$17+Projects!$D$17-1),Projects!$B$17*(Assumptions!$B$10+Assumptions!$B$11+Assumptions!$B$12)*0.05,0)</f>
        <v>512511.38613675</v>
      </c>
      <c r="AI26" s="19" t="n">
        <f aca="false">IF(AND(Projects!$G$17="Yes",AI$3&gt;=Projects!$C$17,AI$3&lt;Projects!$C$17+Projects!$D$17),Projects!$B$17*INDEX(Curves!$B$4:$AR$4,1,AI$3-Projects!$C$17+1),0)-IF(AND(Projects!$G$17="Yes",AI$3&gt;=Projects!$C$17,AI$3&lt;Projects!$C$17+Projects!$D$17),Projects!$B$17*(Assumptions!$B$10+Assumptions!$B$11+Assumptions!$B$12)/Projects!$D$17*0.95,0)-IF(AND(Projects!$G$17="Yes",AI$3=Projects!$C$17+Projects!$D$17-1),Projects!$B$17*(Assumptions!$B$10+Assumptions!$B$11+Assumptions!$B$12)*0.05,0)</f>
        <v>409572.44932175</v>
      </c>
      <c r="AJ26" s="19" t="n">
        <f aca="false">IF(AND(Projects!$G$17="Yes",AJ$3&gt;=Projects!$C$17,AJ$3&lt;Projects!$C$17+Projects!$D$17),Projects!$B$17*INDEX(Curves!$B$4:$AR$4,1,AJ$3-Projects!$C$17+1),0)-IF(AND(Projects!$G$17="Yes",AJ$3&gt;=Projects!$C$17,AJ$3&lt;Projects!$C$17+Projects!$D$17),Projects!$B$17*(Assumptions!$B$10+Assumptions!$B$11+Assumptions!$B$12)/Projects!$D$17*0.95,0)-IF(AND(Projects!$G$17="Yes",AJ$3=Projects!$C$17+Projects!$D$17-1),Projects!$B$17*(Assumptions!$B$10+Assumptions!$B$11+Assumptions!$B$12)*0.05,0)</f>
        <v>221743.7335685</v>
      </c>
      <c r="AK26" s="19" t="n">
        <f aca="false">IF(AND(Projects!$G$17="Yes",AK$3&gt;=Projects!$C$17,AK$3&lt;Projects!$C$17+Projects!$D$17),Projects!$B$17*INDEX(Curves!$B$4:$AR$4,1,AK$3-Projects!$C$17+1),0)-IF(AND(Projects!$G$17="Yes",AK$3&gt;=Projects!$C$17,AK$3&lt;Projects!$C$17+Projects!$D$17),Projects!$B$17*(Assumptions!$B$10+Assumptions!$B$11+Assumptions!$B$12)/Projects!$D$17*0.95,0)-IF(AND(Projects!$G$17="Yes",AK$3=Projects!$C$17+Projects!$D$17-1),Projects!$B$17*(Assumptions!$B$10+Assumptions!$B$11+Assumptions!$B$12)*0.05,0)</f>
        <v>0</v>
      </c>
      <c r="AL26" s="19" t="n">
        <f aca="false">IF(AND(Projects!$G$17="Yes",AL$3&gt;=Projects!$C$17,AL$3&lt;Projects!$C$17+Projects!$D$17),Projects!$B$17*INDEX(Curves!$B$4:$AR$4,1,AL$3-Projects!$C$17+1),0)-IF(AND(Projects!$G$17="Yes",AL$3&gt;=Projects!$C$17,AL$3&lt;Projects!$C$17+Projects!$D$17),Projects!$B$17*(Assumptions!$B$10+Assumptions!$B$11+Assumptions!$B$12)/Projects!$D$17*0.95,0)-IF(AND(Projects!$G$17="Yes",AL$3=Projects!$C$17+Projects!$D$17-1),Projects!$B$17*(Assumptions!$B$10+Assumptions!$B$11+Assumptions!$B$12)*0.05,0)</f>
        <v>0</v>
      </c>
      <c r="AM26" s="19" t="n">
        <f aca="false">IF(AND(Projects!$G$17="Yes",AM$3&gt;=Projects!$C$17,AM$3&lt;Projects!$C$17+Projects!$D$17),Projects!$B$17*INDEX(Curves!$B$4:$AR$4,1,AM$3-Projects!$C$17+1),0)-IF(AND(Projects!$G$17="Yes",AM$3&gt;=Projects!$C$17,AM$3&lt;Projects!$C$17+Projects!$D$17),Projects!$B$17*(Assumptions!$B$10+Assumptions!$B$11+Assumptions!$B$12)/Projects!$D$17*0.95,0)-IF(AND(Projects!$G$17="Yes",AM$3=Projects!$C$17+Projects!$D$17-1),Projects!$B$17*(Assumptions!$B$10+Assumptions!$B$11+Assumptions!$B$12)*0.05,0)</f>
        <v>0</v>
      </c>
      <c r="AN26" s="19" t="n">
        <f aca="false">IF(AND(Projects!$G$17="Yes",AN$3&gt;=Projects!$C$17,AN$3&lt;Projects!$C$17+Projects!$D$17),Projects!$B$17*INDEX(Curves!$B$4:$AR$4,1,AN$3-Projects!$C$17+1),0)-IF(AND(Projects!$G$17="Yes",AN$3&gt;=Projects!$C$17,AN$3&lt;Projects!$C$17+Projects!$D$17),Projects!$B$17*(Assumptions!$B$10+Assumptions!$B$11+Assumptions!$B$12)/Projects!$D$17*0.95,0)-IF(AND(Projects!$G$17="Yes",AN$3=Projects!$C$17+Projects!$D$17-1),Projects!$B$17*(Assumptions!$B$10+Assumptions!$B$11+Assumptions!$B$12)*0.05,0)</f>
        <v>0</v>
      </c>
      <c r="AO26" s="19" t="n">
        <f aca="false">IF(AND(Projects!$G$17="Yes",AO$3&gt;=Projects!$C$17,AO$3&lt;Projects!$C$17+Projects!$D$17),Projects!$B$17*INDEX(Curves!$B$4:$AR$4,1,AO$3-Projects!$C$17+1),0)-IF(AND(Projects!$G$17="Yes",AO$3&gt;=Projects!$C$17,AO$3&lt;Projects!$C$17+Projects!$D$17),Projects!$B$17*(Assumptions!$B$10+Assumptions!$B$11+Assumptions!$B$12)/Projects!$D$17*0.95,0)-IF(AND(Projects!$G$17="Yes",AO$3=Projects!$C$17+Projects!$D$17-1),Projects!$B$17*(Assumptions!$B$10+Assumptions!$B$11+Assumptions!$B$12)*0.05,0)</f>
        <v>0</v>
      </c>
      <c r="AP26" s="19" t="n">
        <f aca="false">IF(AND(Projects!$G$17="Yes",AP$3&gt;=Projects!$C$17,AP$3&lt;Projects!$C$17+Projects!$D$17),Projects!$B$17*INDEX(Curves!$B$4:$AR$4,1,AP$3-Projects!$C$17+1),0)-IF(AND(Projects!$G$17="Yes",AP$3&gt;=Projects!$C$17,AP$3&lt;Projects!$C$17+Projects!$D$17),Projects!$B$17*(Assumptions!$B$10+Assumptions!$B$11+Assumptions!$B$12)/Projects!$D$17*0.95,0)-IF(AND(Projects!$G$17="Yes",AP$3=Projects!$C$17+Projects!$D$17-1),Projects!$B$17*(Assumptions!$B$10+Assumptions!$B$11+Assumptions!$B$12)*0.05,0)</f>
        <v>0</v>
      </c>
      <c r="AQ26" s="19" t="n">
        <f aca="false">IF(AND(Projects!$G$17="Yes",AQ$3&gt;=Projects!$C$17,AQ$3&lt;Projects!$C$17+Projects!$D$17),Projects!$B$17*INDEX(Curves!$B$4:$AR$4,1,AQ$3-Projects!$C$17+1),0)-IF(AND(Projects!$G$17="Yes",AQ$3&gt;=Projects!$C$17,AQ$3&lt;Projects!$C$17+Projects!$D$17),Projects!$B$17*(Assumptions!$B$10+Assumptions!$B$11+Assumptions!$B$12)/Projects!$D$17*0.95,0)-IF(AND(Projects!$G$17="Yes",AQ$3=Projects!$C$17+Projects!$D$17-1),Projects!$B$17*(Assumptions!$B$10+Assumptions!$B$11+Assumptions!$B$12)*0.05,0)</f>
        <v>0</v>
      </c>
      <c r="AR26" s="19" t="n">
        <f aca="false">IF(AND(Projects!$G$17="Yes",AR$3&gt;=Projects!$C$17,AR$3&lt;Projects!$C$17+Projects!$D$17),Projects!$B$17*INDEX(Curves!$B$4:$AR$4,1,AR$3-Projects!$C$17+1),0)-IF(AND(Projects!$G$17="Yes",AR$3&gt;=Projects!$C$17,AR$3&lt;Projects!$C$17+Projects!$D$17),Projects!$B$17*(Assumptions!$B$10+Assumptions!$B$11+Assumptions!$B$12)/Projects!$D$17*0.95,0)-IF(AND(Projects!$G$17="Yes",AR$3=Projects!$C$17+Projects!$D$17-1),Projects!$B$17*(Assumptions!$B$10+Assumptions!$B$11+Assumptions!$B$12)*0.05,0)</f>
        <v>0</v>
      </c>
      <c r="AS26" s="19" t="n">
        <f aca="false">IF(AND(Projects!$G$17="Yes",AS$3&gt;=Projects!$C$17,AS$3&lt;Projects!$C$17+Projects!$D$17),Projects!$B$17*INDEX(Curves!$B$4:$AR$4,1,AS$3-Projects!$C$17+1),0)-IF(AND(Projects!$G$17="Yes",AS$3&gt;=Projects!$C$17,AS$3&lt;Projects!$C$17+Projects!$D$17),Projects!$B$17*(Assumptions!$B$10+Assumptions!$B$11+Assumptions!$B$12)/Projects!$D$17*0.95,0)-IF(AND(Projects!$G$17="Yes",AS$3=Projects!$C$17+Projects!$D$17-1),Projects!$B$17*(Assumptions!$B$10+Assumptions!$B$11+Assumptions!$B$12)*0.05,0)</f>
        <v>0</v>
      </c>
      <c r="AT26" s="19" t="n">
        <f aca="false">IF(AND(Projects!$G$17="Yes",AT$3&gt;=Projects!$C$17,AT$3&lt;Projects!$C$17+Projects!$D$17),Projects!$B$17*INDEX(Curves!$B$4:$AR$4,1,AT$3-Projects!$C$17+1),0)-IF(AND(Projects!$G$17="Yes",AT$3&gt;=Projects!$C$17,AT$3&lt;Projects!$C$17+Projects!$D$17),Projects!$B$17*(Assumptions!$B$10+Assumptions!$B$11+Assumptions!$B$12)/Projects!$D$17*0.95,0)-IF(AND(Projects!$G$17="Yes",AT$3=Projects!$C$17+Projects!$D$17-1),Projects!$B$17*(Assumptions!$B$10+Assumptions!$B$11+Assumptions!$B$12)*0.05,0)</f>
        <v>0</v>
      </c>
      <c r="AU26" s="19" t="n">
        <f aca="false">IF(AND(Projects!$G$17="Yes",AU$3&gt;=Projects!$C$17,AU$3&lt;Projects!$C$17+Projects!$D$17),Projects!$B$17*INDEX(Curves!$B$4:$AR$4,1,AU$3-Projects!$C$17+1),0)-IF(AND(Projects!$G$17="Yes",AU$3&gt;=Projects!$C$17,AU$3&lt;Projects!$C$17+Projects!$D$17),Projects!$B$17*(Assumptions!$B$10+Assumptions!$B$11+Assumptions!$B$12)/Projects!$D$17*0.95,0)-IF(AND(Projects!$G$17="Yes",AU$3=Projects!$C$17+Projects!$D$17-1),Projects!$B$17*(Assumptions!$B$10+Assumptions!$B$11+Assumptions!$B$12)*0.05,0)</f>
        <v>0</v>
      </c>
      <c r="AV26" s="19" t="n">
        <f aca="false">IF(AND(Projects!$G$17="Yes",AV$3&gt;=Projects!$C$17,AV$3&lt;Projects!$C$17+Projects!$D$17),Projects!$B$17*INDEX(Curves!$B$4:$AR$4,1,AV$3-Projects!$C$17+1),0)-IF(AND(Projects!$G$17="Yes",AV$3&gt;=Projects!$C$17,AV$3&lt;Projects!$C$17+Projects!$D$17),Projects!$B$17*(Assumptions!$B$10+Assumptions!$B$11+Assumptions!$B$12)/Projects!$D$17*0.95,0)-IF(AND(Projects!$G$17="Yes",AV$3=Projects!$C$17+Projects!$D$17-1),Projects!$B$17*(Assumptions!$B$10+Assumptions!$B$11+Assumptions!$B$12)*0.05,0)</f>
        <v>0</v>
      </c>
      <c r="AW26" s="19" t="n">
        <f aca="false">IF(AND(Projects!$G$17="Yes",AW$3&gt;=Projects!$C$17,AW$3&lt;Projects!$C$17+Projects!$D$17),Projects!$B$17*INDEX(Curves!$B$4:$AR$4,1,AW$3-Projects!$C$17+1),0)-IF(AND(Projects!$G$17="Yes",AW$3&gt;=Projects!$C$17,AW$3&lt;Projects!$C$17+Projects!$D$17),Projects!$B$17*(Assumptions!$B$10+Assumptions!$B$11+Assumptions!$B$12)/Projects!$D$17*0.95,0)-IF(AND(Projects!$G$17="Yes",AW$3=Projects!$C$17+Projects!$D$17-1),Projects!$B$17*(Assumptions!$B$10+Assumptions!$B$11+Assumptions!$B$12)*0.05,0)</f>
        <v>0</v>
      </c>
      <c r="AX26" s="19" t="n">
        <f aca="false">IF(AND(Projects!$G$17="Yes",AX$3&gt;=Projects!$C$17,AX$3&lt;Projects!$C$17+Projects!$D$17),Projects!$B$17*INDEX(Curves!$B$4:$AR$4,1,AX$3-Projects!$C$17+1),0)-IF(AND(Projects!$G$17="Yes",AX$3&gt;=Projects!$C$17,AX$3&lt;Projects!$C$17+Projects!$D$17),Projects!$B$17*(Assumptions!$B$10+Assumptions!$B$11+Assumptions!$B$12)/Projects!$D$17*0.95,0)-IF(AND(Projects!$G$17="Yes",AX$3=Projects!$C$17+Projects!$D$17-1),Projects!$B$17*(Assumptions!$B$10+Assumptions!$B$11+Assumptions!$B$12)*0.05,0)</f>
        <v>0</v>
      </c>
      <c r="AY26" s="19" t="n">
        <f aca="false">IF(AND(Projects!$G$17="Yes",AY$3&gt;=Projects!$C$17,AY$3&lt;Projects!$C$17+Projects!$D$17),Projects!$B$17*INDEX(Curves!$B$4:$AR$4,1,AY$3-Projects!$C$17+1),0)-IF(AND(Projects!$G$17="Yes",AY$3&gt;=Projects!$C$17,AY$3&lt;Projects!$C$17+Projects!$D$17),Projects!$B$17*(Assumptions!$B$10+Assumptions!$B$11+Assumptions!$B$12)/Projects!$D$17*0.95,0)-IF(AND(Projects!$G$17="Yes",AY$3=Projects!$C$17+Projects!$D$17-1),Projects!$B$17*(Assumptions!$B$10+Assumptions!$B$11+Assumptions!$B$12)*0.05,0)</f>
        <v>0</v>
      </c>
      <c r="AZ26" s="19" t="n">
        <f aca="false">IF(AND(Projects!$G$17="Yes",AZ$3&gt;=Projects!$C$17,AZ$3&lt;Projects!$C$17+Projects!$D$17),Projects!$B$17*INDEX(Curves!$B$4:$AR$4,1,AZ$3-Projects!$C$17+1),0)-IF(AND(Projects!$G$17="Yes",AZ$3&gt;=Projects!$C$17,AZ$3&lt;Projects!$C$17+Projects!$D$17),Projects!$B$17*(Assumptions!$B$10+Assumptions!$B$11+Assumptions!$B$12)/Projects!$D$17*0.95,0)-IF(AND(Projects!$G$17="Yes",AZ$3=Projects!$C$17+Projects!$D$17-1),Projects!$B$17*(Assumptions!$B$10+Assumptions!$B$11+Assumptions!$B$12)*0.05,0)</f>
        <v>0</v>
      </c>
      <c r="BA26" s="19" t="n">
        <f aca="false">IF(AND(Projects!$G$17="Yes",BA$3&gt;=Projects!$C$17,BA$3&lt;Projects!$C$17+Projects!$D$17),Projects!$B$17*INDEX(Curves!$B$4:$AR$4,1,BA$3-Projects!$C$17+1),0)-IF(AND(Projects!$G$17="Yes",BA$3&gt;=Projects!$C$17,BA$3&lt;Projects!$C$17+Projects!$D$17),Projects!$B$17*(Assumptions!$B$10+Assumptions!$B$11+Assumptions!$B$12)/Projects!$D$17*0.95,0)-IF(AND(Projects!$G$17="Yes",BA$3=Projects!$C$17+Projects!$D$17-1),Projects!$B$17*(Assumptions!$B$10+Assumptions!$B$11+Assumptions!$B$12)*0.05,0)</f>
        <v>0</v>
      </c>
      <c r="BB26" s="19" t="n">
        <f aca="false">IF(AND(Projects!$G$17="Yes",BB$3&gt;=Projects!$C$17,BB$3&lt;Projects!$C$17+Projects!$D$17),Projects!$B$17*INDEX(Curves!$B$4:$AR$4,1,BB$3-Projects!$C$17+1),0)-IF(AND(Projects!$G$17="Yes",BB$3&gt;=Projects!$C$17,BB$3&lt;Projects!$C$17+Projects!$D$17),Projects!$B$17*(Assumptions!$B$10+Assumptions!$B$11+Assumptions!$B$12)/Projects!$D$17*0.95,0)-IF(AND(Projects!$G$17="Yes",BB$3=Projects!$C$17+Projects!$D$17-1),Projects!$B$17*(Assumptions!$B$10+Assumptions!$B$11+Assumptions!$B$12)*0.05,0)</f>
        <v>0</v>
      </c>
      <c r="BC26" s="19" t="n">
        <f aca="false">IF(AND(Projects!$G$17="Yes",BC$3&gt;=Projects!$C$17,BC$3&lt;Projects!$C$17+Projects!$D$17),Projects!$B$17*INDEX(Curves!$B$4:$AR$4,1,BC$3-Projects!$C$17+1),0)-IF(AND(Projects!$G$17="Yes",BC$3&gt;=Projects!$C$17,BC$3&lt;Projects!$C$17+Projects!$D$17),Projects!$B$17*(Assumptions!$B$10+Assumptions!$B$11+Assumptions!$B$12)/Projects!$D$17*0.95,0)-IF(AND(Projects!$G$17="Yes",BC$3=Projects!$C$17+Projects!$D$17-1),Projects!$B$17*(Assumptions!$B$10+Assumptions!$B$11+Assumptions!$B$12)*0.05,0)</f>
        <v>0</v>
      </c>
      <c r="BD26" s="19" t="n">
        <f aca="false">IF(AND(Projects!$G$17="Yes",BD$3&gt;=Projects!$C$17,BD$3&lt;Projects!$C$17+Projects!$D$17),Projects!$B$17*INDEX(Curves!$B$4:$AR$4,1,BD$3-Projects!$C$17+1),0)-IF(AND(Projects!$G$17="Yes",BD$3&gt;=Projects!$C$17,BD$3&lt;Projects!$C$17+Projects!$D$17),Projects!$B$17*(Assumptions!$B$10+Assumptions!$B$11+Assumptions!$B$12)/Projects!$D$17*0.95,0)-IF(AND(Projects!$G$17="Yes",BD$3=Projects!$C$17+Projects!$D$17-1),Projects!$B$17*(Assumptions!$B$10+Assumptions!$B$11+Assumptions!$B$12)*0.05,0)</f>
        <v>0</v>
      </c>
      <c r="BE26" s="19" t="n">
        <f aca="false">IF(AND(Projects!$G$17="Yes",BE$3&gt;=Projects!$C$17,BE$3&lt;Projects!$C$17+Projects!$D$17),Projects!$B$17*INDEX(Curves!$B$4:$AR$4,1,BE$3-Projects!$C$17+1),0)-IF(AND(Projects!$G$17="Yes",BE$3&gt;=Projects!$C$17,BE$3&lt;Projects!$C$17+Projects!$D$17),Projects!$B$17*(Assumptions!$B$10+Assumptions!$B$11+Assumptions!$B$12)/Projects!$D$17*0.95,0)-IF(AND(Projects!$G$17="Yes",BE$3=Projects!$C$17+Projects!$D$17-1),Projects!$B$17*(Assumptions!$B$10+Assumptions!$B$11+Assumptions!$B$12)*0.05,0)</f>
        <v>0</v>
      </c>
      <c r="BF26" s="19" t="n">
        <f aca="false">IF(AND(Projects!$G$17="Yes",BF$3&gt;=Projects!$C$17,BF$3&lt;Projects!$C$17+Projects!$D$17),Projects!$B$17*INDEX(Curves!$B$4:$AR$4,1,BF$3-Projects!$C$17+1),0)-IF(AND(Projects!$G$17="Yes",BF$3&gt;=Projects!$C$17,BF$3&lt;Projects!$C$17+Projects!$D$17),Projects!$B$17*(Assumptions!$B$10+Assumptions!$B$11+Assumptions!$B$12)/Projects!$D$17*0.95,0)-IF(AND(Projects!$G$17="Yes",BF$3=Projects!$C$17+Projects!$D$17-1),Projects!$B$17*(Assumptions!$B$10+Assumptions!$B$11+Assumptions!$B$12)*0.05,0)</f>
        <v>0</v>
      </c>
      <c r="BG26" s="19" t="n">
        <f aca="false">IF(AND(Projects!$G$17="Yes",BG$3&gt;=Projects!$C$17,BG$3&lt;Projects!$C$17+Projects!$D$17),Projects!$B$17*INDEX(Curves!$B$4:$AR$4,1,BG$3-Projects!$C$17+1),0)-IF(AND(Projects!$G$17="Yes",BG$3&gt;=Projects!$C$17,BG$3&lt;Projects!$C$17+Projects!$D$17),Projects!$B$17*(Assumptions!$B$10+Assumptions!$B$11+Assumptions!$B$12)/Projects!$D$17*0.95,0)-IF(AND(Projects!$G$17="Yes",BG$3=Projects!$C$17+Projects!$D$17-1),Projects!$B$17*(Assumptions!$B$10+Assumptions!$B$11+Assumptions!$B$12)*0.05,0)</f>
        <v>0</v>
      </c>
      <c r="BH26" s="19" t="n">
        <f aca="false">IF(AND(Projects!$G$17="Yes",BH$3&gt;=Projects!$C$17,BH$3&lt;Projects!$C$17+Projects!$D$17),Projects!$B$17*INDEX(Curves!$B$4:$AR$4,1,BH$3-Projects!$C$17+1),0)-IF(AND(Projects!$G$17="Yes",BH$3&gt;=Projects!$C$17,BH$3&lt;Projects!$C$17+Projects!$D$17),Projects!$B$17*(Assumptions!$B$10+Assumptions!$B$11+Assumptions!$B$12)/Projects!$D$17*0.95,0)-IF(AND(Projects!$G$17="Yes",BH$3=Projects!$C$17+Projects!$D$17-1),Projects!$B$17*(Assumptions!$B$10+Assumptions!$B$11+Assumptions!$B$12)*0.05,0)</f>
        <v>0</v>
      </c>
      <c r="BI26" s="19" t="n">
        <f aca="false">IF(AND(Projects!$G$17="Yes",BI$3&gt;=Projects!$C$17,BI$3&lt;Projects!$C$17+Projects!$D$17),Projects!$B$17*INDEX(Curves!$B$4:$AR$4,1,BI$3-Projects!$C$17+1),0)-IF(AND(Projects!$G$17="Yes",BI$3&gt;=Projects!$C$17,BI$3&lt;Projects!$C$17+Projects!$D$17),Projects!$B$17*(Assumptions!$B$10+Assumptions!$B$11+Assumptions!$B$12)/Projects!$D$17*0.95,0)-IF(AND(Projects!$G$17="Yes",BI$3=Projects!$C$17+Projects!$D$17-1),Projects!$B$17*(Assumptions!$B$10+Assumptions!$B$11+Assumptions!$B$12)*0.05,0)</f>
        <v>0</v>
      </c>
      <c r="BJ26" s="19" t="n">
        <f aca="false">IF(AND(Projects!$G$17="Yes",BJ$3&gt;=Projects!$C$17,BJ$3&lt;Projects!$C$17+Projects!$D$17),Projects!$B$17*INDEX(Curves!$B$4:$AR$4,1,BJ$3-Projects!$C$17+1),0)-IF(AND(Projects!$G$17="Yes",BJ$3&gt;=Projects!$C$17,BJ$3&lt;Projects!$C$17+Projects!$D$17),Projects!$B$17*(Assumptions!$B$10+Assumptions!$B$11+Assumptions!$B$12)/Projects!$D$17*0.95,0)-IF(AND(Projects!$G$17="Yes",BJ$3=Projects!$C$17+Projects!$D$17-1),Projects!$B$17*(Assumptions!$B$10+Assumptions!$B$11+Assumptions!$B$12)*0.05,0)</f>
        <v>0</v>
      </c>
      <c r="BK26" s="19" t="n">
        <f aca="false">IF(AND(Projects!$G$17="Yes",BK$3&gt;=Projects!$C$17,BK$3&lt;Projects!$C$17+Projects!$D$17),Projects!$B$17*INDEX(Curves!$B$4:$AR$4,1,BK$3-Projects!$C$17+1),0)-IF(AND(Projects!$G$17="Yes",BK$3&gt;=Projects!$C$17,BK$3&lt;Projects!$C$17+Projects!$D$17),Projects!$B$17*(Assumptions!$B$10+Assumptions!$B$11+Assumptions!$B$12)/Projects!$D$17*0.95,0)-IF(AND(Projects!$G$17="Yes",BK$3=Projects!$C$17+Projects!$D$17-1),Projects!$B$17*(Assumptions!$B$10+Assumptions!$B$11+Assumptions!$B$12)*0.05,0)</f>
        <v>0</v>
      </c>
      <c r="BL26" s="19" t="n">
        <f aca="false">IF(AND(Projects!$G$17="Yes",BL$3&gt;=Projects!$C$17,BL$3&lt;Projects!$C$17+Projects!$D$17),Projects!$B$17*INDEX(Curves!$B$4:$AR$4,1,BL$3-Projects!$C$17+1),0)-IF(AND(Projects!$G$17="Yes",BL$3&gt;=Projects!$C$17,BL$3&lt;Projects!$C$17+Projects!$D$17),Projects!$B$17*(Assumptions!$B$10+Assumptions!$B$11+Assumptions!$B$12)/Projects!$D$17*0.95,0)-IF(AND(Projects!$G$17="Yes",BL$3=Projects!$C$17+Projects!$D$17-1),Projects!$B$17*(Assumptions!$B$10+Assumptions!$B$11+Assumptions!$B$12)*0.05,0)</f>
        <v>0</v>
      </c>
      <c r="BM26" s="19" t="n">
        <f aca="false">IF(AND(Projects!$G$17="Yes",BM$3&gt;=Projects!$C$17,BM$3&lt;Projects!$C$17+Projects!$D$17),Projects!$B$17*INDEX(Curves!$B$4:$AR$4,1,BM$3-Projects!$C$17+1),0)-IF(AND(Projects!$G$17="Yes",BM$3&gt;=Projects!$C$17,BM$3&lt;Projects!$C$17+Projects!$D$17),Projects!$B$17*(Assumptions!$B$10+Assumptions!$B$11+Assumptions!$B$12)/Projects!$D$17*0.95,0)-IF(AND(Projects!$G$17="Yes",BM$3=Projects!$C$17+Projects!$D$17-1),Projects!$B$17*(Assumptions!$B$10+Assumptions!$B$11+Assumptions!$B$12)*0.05,0)</f>
        <v>0</v>
      </c>
      <c r="BN26" s="19" t="n">
        <f aca="false">IF(AND(Projects!$G$17="Yes",BN$3&gt;=Projects!$C$17,BN$3&lt;Projects!$C$17+Projects!$D$17),Projects!$B$17*INDEX(Curves!$B$4:$AR$4,1,BN$3-Projects!$C$17+1),0)-IF(AND(Projects!$G$17="Yes",BN$3&gt;=Projects!$C$17,BN$3&lt;Projects!$C$17+Projects!$D$17),Projects!$B$17*(Assumptions!$B$10+Assumptions!$B$11+Assumptions!$B$12)/Projects!$D$17*0.95,0)-IF(AND(Projects!$G$17="Yes",BN$3=Projects!$C$17+Projects!$D$17-1),Projects!$B$17*(Assumptions!$B$10+Assumptions!$B$11+Assumptions!$B$12)*0.05,0)</f>
        <v>0</v>
      </c>
      <c r="BO26" s="19" t="n">
        <f aca="false">IF(AND(Projects!$G$17="Yes",BO$3&gt;=Projects!$C$17,BO$3&lt;Projects!$C$17+Projects!$D$17),Projects!$B$17*INDEX(Curves!$B$4:$AR$4,1,BO$3-Projects!$C$17+1),0)-IF(AND(Projects!$G$17="Yes",BO$3&gt;=Projects!$C$17,BO$3&lt;Projects!$C$17+Projects!$D$17),Projects!$B$17*(Assumptions!$B$10+Assumptions!$B$11+Assumptions!$B$12)/Projects!$D$17*0.95,0)-IF(AND(Projects!$G$17="Yes",BO$3=Projects!$C$17+Projects!$D$17-1),Projects!$B$17*(Assumptions!$B$10+Assumptions!$B$11+Assumptions!$B$12)*0.05,0)</f>
        <v>0</v>
      </c>
      <c r="BP26" s="19" t="n">
        <f aca="false">IF(AND(Projects!$G$17="Yes",BP$3&gt;=Projects!$C$17,BP$3&lt;Projects!$C$17+Projects!$D$17),Projects!$B$17*INDEX(Curves!$B$4:$AR$4,1,BP$3-Projects!$C$17+1),0)-IF(AND(Projects!$G$17="Yes",BP$3&gt;=Projects!$C$17,BP$3&lt;Projects!$C$17+Projects!$D$17),Projects!$B$17*(Assumptions!$B$10+Assumptions!$B$11+Assumptions!$B$12)/Projects!$D$17*0.95,0)-IF(AND(Projects!$G$17="Yes",BP$3=Projects!$C$17+Projects!$D$17-1),Projects!$B$17*(Assumptions!$B$10+Assumptions!$B$11+Assumptions!$B$12)*0.05,0)</f>
        <v>0</v>
      </c>
      <c r="BQ26" s="19" t="n">
        <f aca="false">IF(AND(Projects!$G$17="Yes",BQ$3&gt;=Projects!$C$17,BQ$3&lt;Projects!$C$17+Projects!$D$17),Projects!$B$17*INDEX(Curves!$B$4:$AR$4,1,BQ$3-Projects!$C$17+1),0)-IF(AND(Projects!$G$17="Yes",BQ$3&gt;=Projects!$C$17,BQ$3&lt;Projects!$C$17+Projects!$D$17),Projects!$B$17*(Assumptions!$B$10+Assumptions!$B$11+Assumptions!$B$12)/Projects!$D$17*0.95,0)-IF(AND(Projects!$G$17="Yes",BQ$3=Projects!$C$17+Projects!$D$17-1),Projects!$B$17*(Assumptions!$B$10+Assumptions!$B$11+Assumptions!$B$12)*0.05,0)</f>
        <v>0</v>
      </c>
      <c r="BR26" s="19" t="n">
        <f aca="false">IF(AND(Projects!$G$17="Yes",BR$3&gt;=Projects!$C$17,BR$3&lt;Projects!$C$17+Projects!$D$17),Projects!$B$17*INDEX(Curves!$B$4:$AR$4,1,BR$3-Projects!$C$17+1),0)-IF(AND(Projects!$G$17="Yes",BR$3&gt;=Projects!$C$17,BR$3&lt;Projects!$C$17+Projects!$D$17),Projects!$B$17*(Assumptions!$B$10+Assumptions!$B$11+Assumptions!$B$12)/Projects!$D$17*0.95,0)-IF(AND(Projects!$G$17="Yes",BR$3=Projects!$C$17+Projects!$D$17-1),Projects!$B$17*(Assumptions!$B$10+Assumptions!$B$11+Assumptions!$B$12)*0.05,0)</f>
        <v>0</v>
      </c>
      <c r="BS26" s="19" t="n">
        <f aca="false">IF(AND(Projects!$G$17="Yes",BS$3&gt;=Projects!$C$17,BS$3&lt;Projects!$C$17+Projects!$D$17),Projects!$B$17*INDEX(Curves!$B$4:$AR$4,1,BS$3-Projects!$C$17+1),0)-IF(AND(Projects!$G$17="Yes",BS$3&gt;=Projects!$C$17,BS$3&lt;Projects!$C$17+Projects!$D$17),Projects!$B$17*(Assumptions!$B$10+Assumptions!$B$11+Assumptions!$B$12)/Projects!$D$17*0.95,0)-IF(AND(Projects!$G$17="Yes",BS$3=Projects!$C$17+Projects!$D$17-1),Projects!$B$17*(Assumptions!$B$10+Assumptions!$B$11+Assumptions!$B$12)*0.05,0)</f>
        <v>0</v>
      </c>
      <c r="BT26" s="19" t="n">
        <f aca="false">IF(AND(Projects!$G$17="Yes",BT$3&gt;=Projects!$C$17,BT$3&lt;Projects!$C$17+Projects!$D$17),Projects!$B$17*INDEX(Curves!$B$4:$AR$4,1,BT$3-Projects!$C$17+1),0)-IF(AND(Projects!$G$17="Yes",BT$3&gt;=Projects!$C$17,BT$3&lt;Projects!$C$17+Projects!$D$17),Projects!$B$17*(Assumptions!$B$10+Assumptions!$B$11+Assumptions!$B$12)/Projects!$D$17*0.95,0)-IF(AND(Projects!$G$17="Yes",BT$3=Projects!$C$17+Projects!$D$17-1),Projects!$B$17*(Assumptions!$B$10+Assumptions!$B$11+Assumptions!$B$12)*0.05,0)</f>
        <v>0</v>
      </c>
      <c r="BU26" s="19" t="n">
        <f aca="false">IF(AND(Projects!$G$17="Yes",BU$3&gt;=Projects!$C$17,BU$3&lt;Projects!$C$17+Projects!$D$17),Projects!$B$17*INDEX(Curves!$B$4:$AR$4,1,BU$3-Projects!$C$17+1),0)-IF(AND(Projects!$G$17="Yes",BU$3&gt;=Projects!$C$17,BU$3&lt;Projects!$C$17+Projects!$D$17),Projects!$B$17*(Assumptions!$B$10+Assumptions!$B$11+Assumptions!$B$12)/Projects!$D$17*0.95,0)-IF(AND(Projects!$G$17="Yes",BU$3=Projects!$C$17+Projects!$D$17-1),Projects!$B$17*(Assumptions!$B$10+Assumptions!$B$11+Assumptions!$B$12)*0.05,0)</f>
        <v>0</v>
      </c>
      <c r="BV26" s="19" t="n">
        <f aca="false">IF(AND(Projects!$G$17="Yes",BV$3&gt;=Projects!$C$17,BV$3&lt;Projects!$C$17+Projects!$D$17),Projects!$B$17*INDEX(Curves!$B$4:$AR$4,1,BV$3-Projects!$C$17+1),0)-IF(AND(Projects!$G$17="Yes",BV$3&gt;=Projects!$C$17,BV$3&lt;Projects!$C$17+Projects!$D$17),Projects!$B$17*(Assumptions!$B$10+Assumptions!$B$11+Assumptions!$B$12)/Projects!$D$17*0.95,0)-IF(AND(Projects!$G$17="Yes",BV$3=Projects!$C$17+Projects!$D$17-1),Projects!$B$17*(Assumptions!$B$10+Assumptions!$B$11+Assumptions!$B$12)*0.05,0)</f>
        <v>0</v>
      </c>
      <c r="BW26" s="19" t="n">
        <f aca="false">IF(AND(Projects!$G$17="Yes",BW$3&gt;=Projects!$C$17,BW$3&lt;Projects!$C$17+Projects!$D$17),Projects!$B$17*INDEX(Curves!$B$4:$AR$4,1,BW$3-Projects!$C$17+1),0)-IF(AND(Projects!$G$17="Yes",BW$3&gt;=Projects!$C$17,BW$3&lt;Projects!$C$17+Projects!$D$17),Projects!$B$17*(Assumptions!$B$10+Assumptions!$B$11+Assumptions!$B$12)/Projects!$D$17*0.95,0)-IF(AND(Projects!$G$17="Yes",BW$3=Projects!$C$17+Projects!$D$17-1),Projects!$B$17*(Assumptions!$B$10+Assumptions!$B$11+Assumptions!$B$12)*0.05,0)</f>
        <v>0</v>
      </c>
      <c r="BX26" s="19" t="n">
        <f aca="false">IF(AND(Projects!$G$17="Yes",BX$3&gt;=Projects!$C$17,BX$3&lt;Projects!$C$17+Projects!$D$17),Projects!$B$17*INDEX(Curves!$B$4:$AR$4,1,BX$3-Projects!$C$17+1),0)-IF(AND(Projects!$G$17="Yes",BX$3&gt;=Projects!$C$17,BX$3&lt;Projects!$C$17+Projects!$D$17),Projects!$B$17*(Assumptions!$B$10+Assumptions!$B$11+Assumptions!$B$12)/Projects!$D$17*0.95,0)-IF(AND(Projects!$G$17="Yes",BX$3=Projects!$C$17+Projects!$D$17-1),Projects!$B$17*(Assumptions!$B$10+Assumptions!$B$11+Assumptions!$B$12)*0.05,0)</f>
        <v>0</v>
      </c>
      <c r="BY26" s="19" t="n">
        <f aca="false">IF(AND(Projects!$G$17="Yes",BY$3&gt;=Projects!$C$17,BY$3&lt;Projects!$C$17+Projects!$D$17),Projects!$B$17*INDEX(Curves!$B$4:$AR$4,1,BY$3-Projects!$C$17+1),0)-IF(AND(Projects!$G$17="Yes",BY$3&gt;=Projects!$C$17,BY$3&lt;Projects!$C$17+Projects!$D$17),Projects!$B$17*(Assumptions!$B$10+Assumptions!$B$11+Assumptions!$B$12)/Projects!$D$17*0.95,0)-IF(AND(Projects!$G$17="Yes",BY$3=Projects!$C$17+Projects!$D$17-1),Projects!$B$17*(Assumptions!$B$10+Assumptions!$B$11+Assumptions!$B$12)*0.05,0)</f>
        <v>0</v>
      </c>
      <c r="BZ26" s="19" t="n">
        <f aca="false">IF(AND(Projects!$G$17="Yes",BZ$3&gt;=Projects!$C$17,BZ$3&lt;Projects!$C$17+Projects!$D$17),Projects!$B$17*INDEX(Curves!$B$4:$AR$4,1,BZ$3-Projects!$C$17+1),0)-IF(AND(Projects!$G$17="Yes",BZ$3&gt;=Projects!$C$17,BZ$3&lt;Projects!$C$17+Projects!$D$17),Projects!$B$17*(Assumptions!$B$10+Assumptions!$B$11+Assumptions!$B$12)/Projects!$D$17*0.95,0)-IF(AND(Projects!$G$17="Yes",BZ$3=Projects!$C$17+Projects!$D$17-1),Projects!$B$17*(Assumptions!$B$10+Assumptions!$B$11+Assumptions!$B$12)*0.05,0)</f>
        <v>0</v>
      </c>
      <c r="CA26" s="19" t="n">
        <f aca="false">IF(AND(Projects!$G$17="Yes",CA$3&gt;=Projects!$C$17,CA$3&lt;Projects!$C$17+Projects!$D$17),Projects!$B$17*INDEX(Curves!$B$4:$AR$4,1,CA$3-Projects!$C$17+1),0)-IF(AND(Projects!$G$17="Yes",CA$3&gt;=Projects!$C$17,CA$3&lt;Projects!$C$17+Projects!$D$17),Projects!$B$17*(Assumptions!$B$10+Assumptions!$B$11+Assumptions!$B$12)/Projects!$D$17*0.95,0)-IF(AND(Projects!$G$17="Yes",CA$3=Projects!$C$17+Projects!$D$17-1),Projects!$B$17*(Assumptions!$B$10+Assumptions!$B$11+Assumptions!$B$12)*0.05,0)</f>
        <v>0</v>
      </c>
      <c r="CB26" s="19" t="n">
        <f aca="false">IF(AND(Projects!$G$17="Yes",CB$3&gt;=Projects!$C$17,CB$3&lt;Projects!$C$17+Projects!$D$17),Projects!$B$17*INDEX(Curves!$B$4:$AR$4,1,CB$3-Projects!$C$17+1),0)-IF(AND(Projects!$G$17="Yes",CB$3&gt;=Projects!$C$17,CB$3&lt;Projects!$C$17+Projects!$D$17),Projects!$B$17*(Assumptions!$B$10+Assumptions!$B$11+Assumptions!$B$12)/Projects!$D$17*0.95,0)-IF(AND(Projects!$G$17="Yes",CB$3=Projects!$C$17+Projects!$D$17-1),Projects!$B$17*(Assumptions!$B$10+Assumptions!$B$11+Assumptions!$B$12)*0.05,0)</f>
        <v>0</v>
      </c>
      <c r="CC26" s="19" t="n">
        <f aca="false">IF(AND(Projects!$G$17="Yes",CC$3&gt;=Projects!$C$17,CC$3&lt;Projects!$C$17+Projects!$D$17),Projects!$B$17*INDEX(Curves!$B$4:$AR$4,1,CC$3-Projects!$C$17+1),0)-IF(AND(Projects!$G$17="Yes",CC$3&gt;=Projects!$C$17,CC$3&lt;Projects!$C$17+Projects!$D$17),Projects!$B$17*(Assumptions!$B$10+Assumptions!$B$11+Assumptions!$B$12)/Projects!$D$17*0.95,0)-IF(AND(Projects!$G$17="Yes",CC$3=Projects!$C$17+Projects!$D$17-1),Projects!$B$17*(Assumptions!$B$10+Assumptions!$B$11+Assumptions!$B$12)*0.05,0)</f>
        <v>0</v>
      </c>
      <c r="CD26" s="19" t="n">
        <f aca="false">IF(AND(Projects!$G$17="Yes",CD$3&gt;=Projects!$C$17,CD$3&lt;Projects!$C$17+Projects!$D$17),Projects!$B$17*INDEX(Curves!$B$4:$AR$4,1,CD$3-Projects!$C$17+1),0)-IF(AND(Projects!$G$17="Yes",CD$3&gt;=Projects!$C$17,CD$3&lt;Projects!$C$17+Projects!$D$17),Projects!$B$17*(Assumptions!$B$10+Assumptions!$B$11+Assumptions!$B$12)/Projects!$D$17*0.95,0)-IF(AND(Projects!$G$17="Yes",CD$3=Projects!$C$17+Projects!$D$17-1),Projects!$B$17*(Assumptions!$B$10+Assumptions!$B$11+Assumptions!$B$12)*0.05,0)</f>
        <v>0</v>
      </c>
      <c r="CE26" s="19" t="n">
        <f aca="false">IF(AND(Projects!$G$17="Yes",CE$3&gt;=Projects!$C$17,CE$3&lt;Projects!$C$17+Projects!$D$17),Projects!$B$17*INDEX(Curves!$B$4:$AR$4,1,CE$3-Projects!$C$17+1),0)-IF(AND(Projects!$G$17="Yes",CE$3&gt;=Projects!$C$17,CE$3&lt;Projects!$C$17+Projects!$D$17),Projects!$B$17*(Assumptions!$B$10+Assumptions!$B$11+Assumptions!$B$12)/Projects!$D$17*0.95,0)-IF(AND(Projects!$G$17="Yes",CE$3=Projects!$C$17+Projects!$D$17-1),Projects!$B$17*(Assumptions!$B$10+Assumptions!$B$11+Assumptions!$B$12)*0.05,0)</f>
        <v>0</v>
      </c>
      <c r="CF26" s="19" t="n">
        <f aca="false">IF(AND(Projects!$G$17="Yes",CF$3&gt;=Projects!$C$17,CF$3&lt;Projects!$C$17+Projects!$D$17),Projects!$B$17*INDEX(Curves!$B$4:$AR$4,1,CF$3-Projects!$C$17+1),0)-IF(AND(Projects!$G$17="Yes",CF$3&gt;=Projects!$C$17,CF$3&lt;Projects!$C$17+Projects!$D$17),Projects!$B$17*(Assumptions!$B$10+Assumptions!$B$11+Assumptions!$B$12)/Projects!$D$17*0.95,0)-IF(AND(Projects!$G$17="Yes",CF$3=Projects!$C$17+Projects!$D$17-1),Projects!$B$17*(Assumptions!$B$10+Assumptions!$B$11+Assumptions!$B$12)*0.05,0)</f>
        <v>0</v>
      </c>
      <c r="CG26" s="19" t="n">
        <f aca="false">IF(AND(Projects!$G$17="Yes",CG$3&gt;=Projects!$C$17,CG$3&lt;Projects!$C$17+Projects!$D$17),Projects!$B$17*INDEX(Curves!$B$4:$AR$4,1,CG$3-Projects!$C$17+1),0)-IF(AND(Projects!$G$17="Yes",CG$3&gt;=Projects!$C$17,CG$3&lt;Projects!$C$17+Projects!$D$17),Projects!$B$17*(Assumptions!$B$10+Assumptions!$B$11+Assumptions!$B$12)/Projects!$D$17*0.95,0)-IF(AND(Projects!$G$17="Yes",CG$3=Projects!$C$17+Projects!$D$17-1),Projects!$B$17*(Assumptions!$B$10+Assumptions!$B$11+Assumptions!$B$12)*0.05,0)</f>
        <v>0</v>
      </c>
      <c r="CH26" s="19" t="n">
        <f aca="false">IF(AND(Projects!$G$17="Yes",CH$3&gt;=Projects!$C$17,CH$3&lt;Projects!$C$17+Projects!$D$17),Projects!$B$17*INDEX(Curves!$B$4:$AR$4,1,CH$3-Projects!$C$17+1),0)-IF(AND(Projects!$G$17="Yes",CH$3&gt;=Projects!$C$17,CH$3&lt;Projects!$C$17+Projects!$D$17),Projects!$B$17*(Assumptions!$B$10+Assumptions!$B$11+Assumptions!$B$12)/Projects!$D$17*0.95,0)-IF(AND(Projects!$G$17="Yes",CH$3=Projects!$C$17+Projects!$D$17-1),Projects!$B$17*(Assumptions!$B$10+Assumptions!$B$11+Assumptions!$B$12)*0.05,0)</f>
        <v>0</v>
      </c>
      <c r="CI26" s="19" t="n">
        <f aca="false">IF(AND(Projects!$G$17="Yes",CI$3&gt;=Projects!$C$17,CI$3&lt;Projects!$C$17+Projects!$D$17),Projects!$B$17*INDEX(Curves!$B$4:$AR$4,1,CI$3-Projects!$C$17+1),0)-IF(AND(Projects!$G$17="Yes",CI$3&gt;=Projects!$C$17,CI$3&lt;Projects!$C$17+Projects!$D$17),Projects!$B$17*(Assumptions!$B$10+Assumptions!$B$11+Assumptions!$B$12)/Projects!$D$17*0.95,0)-IF(AND(Projects!$G$17="Yes",CI$3=Projects!$C$17+Projects!$D$17-1),Projects!$B$17*(Assumptions!$B$10+Assumptions!$B$11+Assumptions!$B$12)*0.05,0)</f>
        <v>0</v>
      </c>
      <c r="CJ26" s="19" t="n">
        <f aca="false">IF(AND(Projects!$G$17="Yes",CJ$3&gt;=Projects!$C$17,CJ$3&lt;Projects!$C$17+Projects!$D$17),Projects!$B$17*INDEX(Curves!$B$4:$AR$4,1,CJ$3-Projects!$C$17+1),0)-IF(AND(Projects!$G$17="Yes",CJ$3&gt;=Projects!$C$17,CJ$3&lt;Projects!$C$17+Projects!$D$17),Projects!$B$17*(Assumptions!$B$10+Assumptions!$B$11+Assumptions!$B$12)/Projects!$D$17*0.95,0)-IF(AND(Projects!$G$17="Yes",CJ$3=Projects!$C$17+Projects!$D$17-1),Projects!$B$17*(Assumptions!$B$10+Assumptions!$B$11+Assumptions!$B$12)*0.05,0)</f>
        <v>0</v>
      </c>
      <c r="CK26" s="19" t="n">
        <f aca="false">IF(AND(Projects!$G$17="Yes",CK$3&gt;=Projects!$C$17,CK$3&lt;Projects!$C$17+Projects!$D$17),Projects!$B$17*INDEX(Curves!$B$4:$AR$4,1,CK$3-Projects!$C$17+1),0)-IF(AND(Projects!$G$17="Yes",CK$3&gt;=Projects!$C$17,CK$3&lt;Projects!$C$17+Projects!$D$17),Projects!$B$17*(Assumptions!$B$10+Assumptions!$B$11+Assumptions!$B$12)/Projects!$D$17*0.95,0)-IF(AND(Projects!$G$17="Yes",CK$3=Projects!$C$17+Projects!$D$17-1),Projects!$B$17*(Assumptions!$B$10+Assumptions!$B$11+Assumptions!$B$12)*0.05,0)</f>
        <v>0</v>
      </c>
      <c r="CL26" s="19" t="n">
        <f aca="false">IF(AND(Projects!$G$17="Yes",CL$3&gt;=Projects!$C$17,CL$3&lt;Projects!$C$17+Projects!$D$17),Projects!$B$17*INDEX(Curves!$B$4:$AR$4,1,CL$3-Projects!$C$17+1),0)-IF(AND(Projects!$G$17="Yes",CL$3&gt;=Projects!$C$17,CL$3&lt;Projects!$C$17+Projects!$D$17),Projects!$B$17*(Assumptions!$B$10+Assumptions!$B$11+Assumptions!$B$12)/Projects!$D$17*0.95,0)-IF(AND(Projects!$G$17="Yes",CL$3=Projects!$C$17+Projects!$D$17-1),Projects!$B$17*(Assumptions!$B$10+Assumptions!$B$11+Assumptions!$B$12)*0.05,0)</f>
        <v>0</v>
      </c>
      <c r="CM26" s="19" t="n">
        <f aca="false">IF(AND(Projects!$G$17="Yes",CM$3&gt;=Projects!$C$17,CM$3&lt;Projects!$C$17+Projects!$D$17),Projects!$B$17*INDEX(Curves!$B$4:$AR$4,1,CM$3-Projects!$C$17+1),0)-IF(AND(Projects!$G$17="Yes",CM$3&gt;=Projects!$C$17,CM$3&lt;Projects!$C$17+Projects!$D$17),Projects!$B$17*(Assumptions!$B$10+Assumptions!$B$11+Assumptions!$B$12)/Projects!$D$17*0.95,0)-IF(AND(Projects!$G$17="Yes",CM$3=Projects!$C$17+Projects!$D$17-1),Projects!$B$17*(Assumptions!$B$10+Assumptions!$B$11+Assumptions!$B$12)*0.05,0)</f>
        <v>0</v>
      </c>
      <c r="CN26" s="19" t="n">
        <f aca="false">IF(AND(Projects!$G$17="Yes",CN$3&gt;=Projects!$C$17,CN$3&lt;Projects!$C$17+Projects!$D$17),Projects!$B$17*INDEX(Curves!$B$4:$AR$4,1,CN$3-Projects!$C$17+1),0)-IF(AND(Projects!$G$17="Yes",CN$3&gt;=Projects!$C$17,CN$3&lt;Projects!$C$17+Projects!$D$17),Projects!$B$17*(Assumptions!$B$10+Assumptions!$B$11+Assumptions!$B$12)/Projects!$D$17*0.95,0)-IF(AND(Projects!$G$17="Yes",CN$3=Projects!$C$17+Projects!$D$17-1),Projects!$B$17*(Assumptions!$B$10+Assumptions!$B$11+Assumptions!$B$12)*0.05,0)</f>
        <v>0</v>
      </c>
      <c r="CO26" s="19" t="n">
        <f aca="false">IF(AND(Projects!$G$17="Yes",CO$3&gt;=Projects!$C$17,CO$3&lt;Projects!$C$17+Projects!$D$17),Projects!$B$17*INDEX(Curves!$B$4:$AR$4,1,CO$3-Projects!$C$17+1),0)-IF(AND(Projects!$G$17="Yes",CO$3&gt;=Projects!$C$17,CO$3&lt;Projects!$C$17+Projects!$D$17),Projects!$B$17*(Assumptions!$B$10+Assumptions!$B$11+Assumptions!$B$12)/Projects!$D$17*0.95,0)-IF(AND(Projects!$G$17="Yes",CO$3=Projects!$C$17+Projects!$D$17-1),Projects!$B$17*(Assumptions!$B$10+Assumptions!$B$11+Assumptions!$B$12)*0.05,0)</f>
        <v>0</v>
      </c>
      <c r="CP26" s="19" t="n">
        <f aca="false">IF(AND(Projects!$G$17="Yes",CP$3&gt;=Projects!$C$17,CP$3&lt;Projects!$C$17+Projects!$D$17),Projects!$B$17*INDEX(Curves!$B$4:$AR$4,1,CP$3-Projects!$C$17+1),0)-IF(AND(Projects!$G$17="Yes",CP$3&gt;=Projects!$C$17,CP$3&lt;Projects!$C$17+Projects!$D$17),Projects!$B$17*(Assumptions!$B$10+Assumptions!$B$11+Assumptions!$B$12)/Projects!$D$17*0.95,0)-IF(AND(Projects!$G$17="Yes",CP$3=Projects!$C$17+Projects!$D$17-1),Projects!$B$17*(Assumptions!$B$10+Assumptions!$B$11+Assumptions!$B$12)*0.05,0)</f>
        <v>0</v>
      </c>
      <c r="CQ26" s="19" t="n">
        <f aca="false">IF(AND(Projects!$G$17="Yes",CQ$3&gt;=Projects!$C$17,CQ$3&lt;Projects!$C$17+Projects!$D$17),Projects!$B$17*INDEX(Curves!$B$4:$AR$4,1,CQ$3-Projects!$C$17+1),0)-IF(AND(Projects!$G$17="Yes",CQ$3&gt;=Projects!$C$17,CQ$3&lt;Projects!$C$17+Projects!$D$17),Projects!$B$17*(Assumptions!$B$10+Assumptions!$B$11+Assumptions!$B$12)/Projects!$D$17*0.95,0)-IF(AND(Projects!$G$17="Yes",CQ$3=Projects!$C$17+Projects!$D$17-1),Projects!$B$17*(Assumptions!$B$10+Assumptions!$B$11+Assumptions!$B$12)*0.05,0)</f>
        <v>0</v>
      </c>
      <c r="CR26" s="19" t="n">
        <f aca="false">IF(AND(Projects!$G$17="Yes",CR$3&gt;=Projects!$C$17,CR$3&lt;Projects!$C$17+Projects!$D$17),Projects!$B$17*INDEX(Curves!$B$4:$AR$4,1,CR$3-Projects!$C$17+1),0)-IF(AND(Projects!$G$17="Yes",CR$3&gt;=Projects!$C$17,CR$3&lt;Projects!$C$17+Projects!$D$17),Projects!$B$17*(Assumptions!$B$10+Assumptions!$B$11+Assumptions!$B$12)/Projects!$D$17*0.95,0)-IF(AND(Projects!$G$17="Yes",CR$3=Projects!$C$17+Projects!$D$17-1),Projects!$B$17*(Assumptions!$B$10+Assumptions!$B$11+Assumptions!$B$12)*0.05,0)</f>
        <v>0</v>
      </c>
      <c r="CS26" s="19" t="n">
        <f aca="false">IF(AND(Projects!$G$17="Yes",CS$3&gt;=Projects!$C$17,CS$3&lt;Projects!$C$17+Projects!$D$17),Projects!$B$17*INDEX(Curves!$B$4:$AR$4,1,CS$3-Projects!$C$17+1),0)-IF(AND(Projects!$G$17="Yes",CS$3&gt;=Projects!$C$17,CS$3&lt;Projects!$C$17+Projects!$D$17),Projects!$B$17*(Assumptions!$B$10+Assumptions!$B$11+Assumptions!$B$12)/Projects!$D$17*0.95,0)-IF(AND(Projects!$G$17="Yes",CS$3=Projects!$C$17+Projects!$D$17-1),Projects!$B$17*(Assumptions!$B$10+Assumptions!$B$11+Assumptions!$B$12)*0.05,0)</f>
        <v>0</v>
      </c>
      <c r="CT26" s="19" t="n">
        <f aca="false">IF(AND(Projects!$G$17="Yes",CT$3&gt;=Projects!$C$17,CT$3&lt;Projects!$C$17+Projects!$D$17),Projects!$B$17*INDEX(Curves!$B$4:$AR$4,1,CT$3-Projects!$C$17+1),0)-IF(AND(Projects!$G$17="Yes",CT$3&gt;=Projects!$C$17,CT$3&lt;Projects!$C$17+Projects!$D$17),Projects!$B$17*(Assumptions!$B$10+Assumptions!$B$11+Assumptions!$B$12)/Projects!$D$17*0.95,0)-IF(AND(Projects!$G$17="Yes",CT$3=Projects!$C$17+Projects!$D$17-1),Projects!$B$17*(Assumptions!$B$10+Assumptions!$B$11+Assumptions!$B$12)*0.05,0)</f>
        <v>0</v>
      </c>
      <c r="CU26" s="19" t="n">
        <f aca="false">IF(AND(Projects!$G$17="Yes",CU$3&gt;=Projects!$C$17,CU$3&lt;Projects!$C$17+Projects!$D$17),Projects!$B$17*INDEX(Curves!$B$4:$AR$4,1,CU$3-Projects!$C$17+1),0)-IF(AND(Projects!$G$17="Yes",CU$3&gt;=Projects!$C$17,CU$3&lt;Projects!$C$17+Projects!$D$17),Projects!$B$17*(Assumptions!$B$10+Assumptions!$B$11+Assumptions!$B$12)/Projects!$D$17*0.95,0)-IF(AND(Projects!$G$17="Yes",CU$3=Projects!$C$17+Projects!$D$17-1),Projects!$B$17*(Assumptions!$B$10+Assumptions!$B$11+Assumptions!$B$12)*0.05,0)</f>
        <v>0</v>
      </c>
      <c r="CV26" s="19" t="n">
        <f aca="false">IF(AND(Projects!$G$17="Yes",CV$3&gt;=Projects!$C$17,CV$3&lt;Projects!$C$17+Projects!$D$17),Projects!$B$17*INDEX(Curves!$B$4:$AR$4,1,CV$3-Projects!$C$17+1),0)-IF(AND(Projects!$G$17="Yes",CV$3&gt;=Projects!$C$17,CV$3&lt;Projects!$C$17+Projects!$D$17),Projects!$B$17*(Assumptions!$B$10+Assumptions!$B$11+Assumptions!$B$12)/Projects!$D$17*0.95,0)-IF(AND(Projects!$G$17="Yes",CV$3=Projects!$C$17+Projects!$D$17-1),Projects!$B$17*(Assumptions!$B$10+Assumptions!$B$11+Assumptions!$B$12)*0.05,0)</f>
        <v>0</v>
      </c>
      <c r="CW26" s="19" t="n">
        <f aca="false">IF(AND(Projects!$G$17="Yes",CW$3&gt;=Projects!$C$17,CW$3&lt;Projects!$C$17+Projects!$D$17),Projects!$B$17*INDEX(Curves!$B$4:$AR$4,1,CW$3-Projects!$C$17+1),0)-IF(AND(Projects!$G$17="Yes",CW$3&gt;=Projects!$C$17,CW$3&lt;Projects!$C$17+Projects!$D$17),Projects!$B$17*(Assumptions!$B$10+Assumptions!$B$11+Assumptions!$B$12)/Projects!$D$17*0.95,0)-IF(AND(Projects!$G$17="Yes",CW$3=Projects!$C$17+Projects!$D$17-1),Projects!$B$17*(Assumptions!$B$10+Assumptions!$B$11+Assumptions!$B$12)*0.05,0)</f>
        <v>0</v>
      </c>
      <c r="CX26" s="19" t="n">
        <f aca="false">IF(AND(Projects!$G$17="Yes",CX$3&gt;=Projects!$C$17,CX$3&lt;Projects!$C$17+Projects!$D$17),Projects!$B$17*INDEX(Curves!$B$4:$AR$4,1,CX$3-Projects!$C$17+1),0)-IF(AND(Projects!$G$17="Yes",CX$3&gt;=Projects!$C$17,CX$3&lt;Projects!$C$17+Projects!$D$17),Projects!$B$17*(Assumptions!$B$10+Assumptions!$B$11+Assumptions!$B$12)/Projects!$D$17*0.95,0)-IF(AND(Projects!$G$17="Yes",CX$3=Projects!$C$17+Projects!$D$17-1),Projects!$B$17*(Assumptions!$B$10+Assumptions!$B$11+Assumptions!$B$12)*0.05,0)</f>
        <v>0</v>
      </c>
      <c r="CY26" s="19" t="n">
        <f aca="false">IF(AND(Projects!$G$17="Yes",CY$3&gt;=Projects!$C$17,CY$3&lt;Projects!$C$17+Projects!$D$17),Projects!$B$17*INDEX(Curves!$B$4:$AR$4,1,CY$3-Projects!$C$17+1),0)-IF(AND(Projects!$G$17="Yes",CY$3&gt;=Projects!$C$17,CY$3&lt;Projects!$C$17+Projects!$D$17),Projects!$B$17*(Assumptions!$B$10+Assumptions!$B$11+Assumptions!$B$12)/Projects!$D$17*0.95,0)-IF(AND(Projects!$G$17="Yes",CY$3=Projects!$C$17+Projects!$D$17-1),Projects!$B$17*(Assumptions!$B$10+Assumptions!$B$11+Assumptions!$B$12)*0.05,0)</f>
        <v>0</v>
      </c>
      <c r="CZ26" s="19" t="n">
        <f aca="false">IF(AND(Projects!$G$17="Yes",CZ$3&gt;=Projects!$C$17,CZ$3&lt;Projects!$C$17+Projects!$D$17),Projects!$B$17*INDEX(Curves!$B$4:$AR$4,1,CZ$3-Projects!$C$17+1),0)-IF(AND(Projects!$G$17="Yes",CZ$3&gt;=Projects!$C$17,CZ$3&lt;Projects!$C$17+Projects!$D$17),Projects!$B$17*(Assumptions!$B$10+Assumptions!$B$11+Assumptions!$B$12)/Projects!$D$17*0.95,0)-IF(AND(Projects!$G$17="Yes",CZ$3=Projects!$C$17+Projects!$D$17-1),Projects!$B$17*(Assumptions!$B$10+Assumptions!$B$11+Assumptions!$B$12)*0.05,0)</f>
        <v>0</v>
      </c>
      <c r="DA26" s="19" t="n">
        <f aca="false">IF(AND(Projects!$G$17="Yes",DA$3&gt;=Projects!$C$17,DA$3&lt;Projects!$C$17+Projects!$D$17),Projects!$B$17*INDEX(Curves!$B$4:$AR$4,1,DA$3-Projects!$C$17+1),0)-IF(AND(Projects!$G$17="Yes",DA$3&gt;=Projects!$C$17,DA$3&lt;Projects!$C$17+Projects!$D$17),Projects!$B$17*(Assumptions!$B$10+Assumptions!$B$11+Assumptions!$B$12)/Projects!$D$17*0.95,0)-IF(AND(Projects!$G$17="Yes",DA$3=Projects!$C$17+Projects!$D$17-1),Projects!$B$17*(Assumptions!$B$10+Assumptions!$B$11+Assumptions!$B$12)*0.05,0)</f>
        <v>0</v>
      </c>
      <c r="DB26" s="19" t="n">
        <f aca="false">IF(AND(Projects!$G$17="Yes",DB$3&gt;=Projects!$C$17,DB$3&lt;Projects!$C$17+Projects!$D$17),Projects!$B$17*INDEX(Curves!$B$4:$AR$4,1,DB$3-Projects!$C$17+1),0)-IF(AND(Projects!$G$17="Yes",DB$3&gt;=Projects!$C$17,DB$3&lt;Projects!$C$17+Projects!$D$17),Projects!$B$17*(Assumptions!$B$10+Assumptions!$B$11+Assumptions!$B$12)/Projects!$D$17*0.95,0)-IF(AND(Projects!$G$17="Yes",DB$3=Projects!$C$17+Projects!$D$17-1),Projects!$B$17*(Assumptions!$B$10+Assumptions!$B$11+Assumptions!$B$12)*0.05,0)</f>
        <v>0</v>
      </c>
      <c r="DC26" s="19" t="n">
        <f aca="false">IF(AND(Projects!$G$17="Yes",DC$3&gt;=Projects!$C$17,DC$3&lt;Projects!$C$17+Projects!$D$17),Projects!$B$17*INDEX(Curves!$B$4:$AR$4,1,DC$3-Projects!$C$17+1),0)-IF(AND(Projects!$G$17="Yes",DC$3&gt;=Projects!$C$17,DC$3&lt;Projects!$C$17+Projects!$D$17),Projects!$B$17*(Assumptions!$B$10+Assumptions!$B$11+Assumptions!$B$12)/Projects!$D$17*0.95,0)-IF(AND(Projects!$G$17="Yes",DC$3=Projects!$C$17+Projects!$D$17-1),Projects!$B$17*(Assumptions!$B$10+Assumptions!$B$11+Assumptions!$B$12)*0.05,0)</f>
        <v>0</v>
      </c>
      <c r="DD26" s="19" t="n">
        <f aca="false">IF(AND(Projects!$G$17="Yes",DD$3&gt;=Projects!$C$17,DD$3&lt;Projects!$C$17+Projects!$D$17),Projects!$B$17*INDEX(Curves!$B$4:$AR$4,1,DD$3-Projects!$C$17+1),0)-IF(AND(Projects!$G$17="Yes",DD$3&gt;=Projects!$C$17,DD$3&lt;Projects!$C$17+Projects!$D$17),Projects!$B$17*(Assumptions!$B$10+Assumptions!$B$11+Assumptions!$B$12)/Projects!$D$17*0.95,0)-IF(AND(Projects!$G$17="Yes",DD$3=Projects!$C$17+Projects!$D$17-1),Projects!$B$17*(Assumptions!$B$10+Assumptions!$B$11+Assumptions!$B$12)*0.05,0)</f>
        <v>0</v>
      </c>
      <c r="DE26" s="19" t="n">
        <f aca="false">IF(AND(Projects!$G$17="Yes",DE$3&gt;=Projects!$C$17,DE$3&lt;Projects!$C$17+Projects!$D$17),Projects!$B$17*INDEX(Curves!$B$4:$AR$4,1,DE$3-Projects!$C$17+1),0)-IF(AND(Projects!$G$17="Yes",DE$3&gt;=Projects!$C$17,DE$3&lt;Projects!$C$17+Projects!$D$17),Projects!$B$17*(Assumptions!$B$10+Assumptions!$B$11+Assumptions!$B$12)/Projects!$D$17*0.95,0)-IF(AND(Projects!$G$17="Yes",DE$3=Projects!$C$17+Projects!$D$17-1),Projects!$B$17*(Assumptions!$B$10+Assumptions!$B$11+Assumptions!$B$12)*0.05,0)</f>
        <v>0</v>
      </c>
    </row>
    <row r="27" customFormat="false" ht="15" hidden="true" customHeight="true" outlineLevel="1" collapsed="false">
      <c r="A27" s="28" t="s">
        <v>21</v>
      </c>
      <c r="B27" s="19" t="n">
        <v>0</v>
      </c>
      <c r="C27" s="19" t="n">
        <v>0</v>
      </c>
      <c r="D27" s="19" t="n">
        <v>0</v>
      </c>
      <c r="E27" s="19" t="n">
        <v>0</v>
      </c>
      <c r="F27" s="19" t="n">
        <f aca="false">IF(AND(Projects!$G$18="Yes",F$3&gt;=Projects!$C$18,F$3&lt;Projects!$C$18+Projects!$D$18),Projects!$B$18*INDEX(Curves!$B$4:$AR$4,1,F$3-Projects!$C$18+1),0)-IF(AND(Projects!$G$18="Yes",F$3&gt;=Projects!$C$18,F$3&lt;Projects!$C$18+Projects!$D$18),Projects!$B$18*(Assumptions!$B$10+Assumptions!$B$11+Assumptions!$B$12)/Projects!$D$18*0.95,0)-IF(AND(Projects!$G$18="Yes",F$3=Projects!$C$18+Projects!$D$18-1),Projects!$B$18*(Assumptions!$B$10+Assumptions!$B$11+Assumptions!$B$12)*0.05,0)</f>
        <v>0</v>
      </c>
      <c r="G27" s="19" t="n">
        <f aca="false">IF(AND(Projects!$G$18="Yes",G$3&gt;=Projects!$C$18,G$3&lt;Projects!$C$18+Projects!$D$18),Projects!$B$18*INDEX(Curves!$B$4:$AR$4,1,G$3-Projects!$C$18+1),0)-IF(AND(Projects!$G$18="Yes",G$3&gt;=Projects!$C$18,G$3&lt;Projects!$C$18+Projects!$D$18),Projects!$B$18*(Assumptions!$B$10+Assumptions!$B$11+Assumptions!$B$12)/Projects!$D$18*0.95,0)-IF(AND(Projects!$G$18="Yes",G$3=Projects!$C$18+Projects!$D$18-1),Projects!$B$18*(Assumptions!$B$10+Assumptions!$B$11+Assumptions!$B$12)*0.05,0)</f>
        <v>0</v>
      </c>
      <c r="H27" s="19" t="n">
        <v>0</v>
      </c>
      <c r="I27" s="19" t="n">
        <f aca="false">IF(AND(Projects!$G$18="Yes",I$3&gt;=Projects!$C$18,I$3&lt;Projects!$C$18+Projects!$D$18),Projects!$B$18*INDEX(Curves!$B$4:$AR$4,1,I$3-Projects!$C$18+1),0)-IF(AND(Projects!$G$18="Yes",I$3&gt;=Projects!$C$18,I$3&lt;Projects!$C$18+Projects!$D$18),Projects!$B$18*(Assumptions!$B$10+Assumptions!$B$11+Assumptions!$B$12)/Projects!$D$18*0.95,0)-IF(AND(Projects!$G$18="Yes",I$3=Projects!$C$18+Projects!$D$18-1),Projects!$B$18*(Assumptions!$B$10+Assumptions!$B$11+Assumptions!$B$12)*0.05,0)</f>
        <v>0</v>
      </c>
      <c r="J27" s="19" t="n">
        <f aca="false">IF(AND(Projects!$G$18="Yes",J$3&gt;=Projects!$C$18,J$3&lt;Projects!$C$18+Projects!$D$18),Projects!$B$18*INDEX(Curves!$B$4:$AR$4,1,J$3-Projects!$C$18+1),0)-IF(AND(Projects!$G$18="Yes",J$3&gt;=Projects!$C$18,J$3&lt;Projects!$C$18+Projects!$D$18),Projects!$B$18*(Assumptions!$B$10+Assumptions!$B$11+Assumptions!$B$12)/Projects!$D$18*0.95,0)-IF(AND(Projects!$G$18="Yes",J$3=Projects!$C$18+Projects!$D$18-1),Projects!$B$18*(Assumptions!$B$10+Assumptions!$B$11+Assumptions!$B$12)*0.05,0)</f>
        <v>0</v>
      </c>
      <c r="K27" s="19" t="n">
        <f aca="false">IF(AND(Projects!$G$18="Yes",K$3&gt;=Projects!$C$18,K$3&lt;Projects!$C$18+Projects!$D$18),Projects!$B$18*INDEX(Curves!$B$4:$AR$4,1,K$3-Projects!$C$18+1),0)-IF(AND(Projects!$G$18="Yes",K$3&gt;=Projects!$C$18,K$3&lt;Projects!$C$18+Projects!$D$18),Projects!$B$18*(Assumptions!$B$10+Assumptions!$B$11+Assumptions!$B$12)/Projects!$D$18*0.95,0)-IF(AND(Projects!$G$18="Yes",K$3=Projects!$C$18+Projects!$D$18-1),Projects!$B$18*(Assumptions!$B$10+Assumptions!$B$11+Assumptions!$B$12)*0.05,0)</f>
        <v>0</v>
      </c>
      <c r="L27" s="19" t="n">
        <f aca="false">IF(AND(Projects!$G$18="Yes",L$3&gt;=Projects!$C$18,L$3&lt;Projects!$C$18+Projects!$D$18),Projects!$B$18*INDEX(Curves!$B$4:$AR$4,1,L$3-Projects!$C$18+1),0)-IF(AND(Projects!$G$18="Yes",L$3&gt;=Projects!$C$18,L$3&lt;Projects!$C$18+Projects!$D$18),Projects!$B$18*(Assumptions!$B$10+Assumptions!$B$11+Assumptions!$B$12)/Projects!$D$18*0.95,0)-IF(AND(Projects!$G$18="Yes",L$3=Projects!$C$18+Projects!$D$18-1),Projects!$B$18*(Assumptions!$B$10+Assumptions!$B$11+Assumptions!$B$12)*0.05,0)</f>
        <v>0</v>
      </c>
      <c r="M27" s="19" t="n">
        <f aca="false">IF(AND(Projects!$G$18="Yes",M$3&gt;=Projects!$C$18,M$3&lt;Projects!$C$18+Projects!$D$18),Projects!$B$18*INDEX(Curves!$B$4:$AR$4,1,M$3-Projects!$C$18+1),0)-IF(AND(Projects!$G$18="Yes",M$3&gt;=Projects!$C$18,M$3&lt;Projects!$C$18+Projects!$D$18),Projects!$B$18*(Assumptions!$B$10+Assumptions!$B$11+Assumptions!$B$12)/Projects!$D$18*0.95,0)-IF(AND(Projects!$G$18="Yes",M$3=Projects!$C$18+Projects!$D$18-1),Projects!$B$18*(Assumptions!$B$10+Assumptions!$B$11+Assumptions!$B$12)*0.05,0)</f>
        <v>0</v>
      </c>
      <c r="N27" s="19" t="n">
        <f aca="false">IF(AND(Projects!$G$18="Yes",N$3&gt;=Projects!$C$18,N$3&lt;Projects!$C$18+Projects!$D$18),Projects!$B$18*INDEX(Curves!$B$4:$AR$4,1,N$3-Projects!$C$18+1),0)-IF(AND(Projects!$G$18="Yes",N$3&gt;=Projects!$C$18,N$3&lt;Projects!$C$18+Projects!$D$18),Projects!$B$18*(Assumptions!$B$10+Assumptions!$B$11+Assumptions!$B$12)/Projects!$D$18*0.95,0)-IF(AND(Projects!$G$18="Yes",N$3=Projects!$C$18+Projects!$D$18-1),Projects!$B$18*(Assumptions!$B$10+Assumptions!$B$11+Assumptions!$B$12)*0.05,0)</f>
        <v>0</v>
      </c>
      <c r="O27" s="19" t="n">
        <f aca="false">IF(AND(Projects!$G$18="Yes",O$3&gt;=Projects!$C$18,O$3&lt;Projects!$C$18+Projects!$D$18),Projects!$B$18*INDEX(Curves!$B$4:$AR$4,1,O$3-Projects!$C$18+1),0)-IF(AND(Projects!$G$18="Yes",O$3&gt;=Projects!$C$18,O$3&lt;Projects!$C$18+Projects!$D$18),Projects!$B$18*(Assumptions!$B$10+Assumptions!$B$11+Assumptions!$B$12)/Projects!$D$18*0.95,0)-IF(AND(Projects!$G$18="Yes",O$3=Projects!$C$18+Projects!$D$18-1),Projects!$B$18*(Assumptions!$B$10+Assumptions!$B$11+Assumptions!$B$12)*0.05,0)</f>
        <v>0</v>
      </c>
      <c r="P27" s="19" t="n">
        <f aca="false">IF(AND(Projects!$G$18="Yes",P$3&gt;=Projects!$C$18,P$3&lt;Projects!$C$18+Projects!$D$18),Projects!$B$18*INDEX(Curves!$B$4:$AR$4,1,P$3-Projects!$C$18+1),0)-IF(AND(Projects!$G$18="Yes",P$3&gt;=Projects!$C$18,P$3&lt;Projects!$C$18+Projects!$D$18),Projects!$B$18*(Assumptions!$B$10+Assumptions!$B$11+Assumptions!$B$12)/Projects!$D$18*0.95,0)-IF(AND(Projects!$G$18="Yes",P$3=Projects!$C$18+Projects!$D$18-1),Projects!$B$18*(Assumptions!$B$10+Assumptions!$B$11+Assumptions!$B$12)*0.05,0)</f>
        <v>0</v>
      </c>
      <c r="Q27" s="19" t="n">
        <f aca="false">IF(AND(Projects!$G$18="Yes",Q$3&gt;=Projects!$C$18,Q$3&lt;Projects!$C$18+Projects!$D$18),Projects!$B$18*INDEX(Curves!$B$4:$AR$4,1,Q$3-Projects!$C$18+1),0)-IF(AND(Projects!$G$18="Yes",Q$3&gt;=Projects!$C$18,Q$3&lt;Projects!$C$18+Projects!$D$18),Projects!$B$18*(Assumptions!$B$10+Assumptions!$B$11+Assumptions!$B$12)/Projects!$D$18*0.95,0)-IF(AND(Projects!$G$18="Yes",Q$3=Projects!$C$18+Projects!$D$18-1),Projects!$B$18*(Assumptions!$B$10+Assumptions!$B$11+Assumptions!$B$12)*0.05,0)</f>
        <v>0</v>
      </c>
      <c r="R27" s="19" t="n">
        <f aca="false">IF(AND(Projects!$G$18="Yes",R$3&gt;=Projects!$C$18,R$3&lt;Projects!$C$18+Projects!$D$18),Projects!$B$18*INDEX(Curves!$B$4:$AR$4,1,R$3-Projects!$C$18+1),0)-IF(AND(Projects!$G$18="Yes",R$3&gt;=Projects!$C$18,R$3&lt;Projects!$C$18+Projects!$D$18),Projects!$B$18*(Assumptions!$B$10+Assumptions!$B$11+Assumptions!$B$12)/Projects!$D$18*0.95,0)-IF(AND(Projects!$G$18="Yes",R$3=Projects!$C$18+Projects!$D$18-1),Projects!$B$18*(Assumptions!$B$10+Assumptions!$B$11+Assumptions!$B$12)*0.05,0)</f>
        <v>0</v>
      </c>
      <c r="S27" s="19" t="n">
        <f aca="false">IF(AND(Projects!$G$18="Yes",S$3&gt;=Projects!$C$18,S$3&lt;Projects!$C$18+Projects!$D$18),Projects!$B$18*INDEX(Curves!$B$4:$AR$4,1,S$3-Projects!$C$18+1),0)-IF(AND(Projects!$G$18="Yes",S$3&gt;=Projects!$C$18,S$3&lt;Projects!$C$18+Projects!$D$18),Projects!$B$18*(Assumptions!$B$10+Assumptions!$B$11+Assumptions!$B$12)/Projects!$D$18*0.95,0)-IF(AND(Projects!$G$18="Yes",S$3=Projects!$C$18+Projects!$D$18-1),Projects!$B$18*(Assumptions!$B$10+Assumptions!$B$11+Assumptions!$B$12)*0.05,0)</f>
        <v>231977.53316825</v>
      </c>
      <c r="T27" s="19" t="n">
        <f aca="false">IF(AND(Projects!$G$18="Yes",T$3&gt;=Projects!$C$18,T$3&lt;Projects!$C$18+Projects!$D$18),Projects!$B$18*INDEX(Curves!$B$4:$AR$4,1,T$3-Projects!$C$18+1),0)-IF(AND(Projects!$G$18="Yes",T$3&gt;=Projects!$C$18,T$3&lt;Projects!$C$18+Projects!$D$18),Projects!$B$18*(Assumptions!$B$10+Assumptions!$B$11+Assumptions!$B$12)/Projects!$D$18*0.95,0)-IF(AND(Projects!$G$18="Yes",T$3=Projects!$C$18+Projects!$D$18-1),Projects!$B$18*(Assumptions!$B$10+Assumptions!$B$11+Assumptions!$B$12)*0.05,0)</f>
        <v>302643.28510825</v>
      </c>
      <c r="U27" s="19" t="n">
        <f aca="false">IF(AND(Projects!$G$18="Yes",U$3&gt;=Projects!$C$18,U$3&lt;Projects!$C$18+Projects!$D$18),Projects!$B$18*INDEX(Curves!$B$4:$AR$4,1,U$3-Projects!$C$18+1),0)-IF(AND(Projects!$G$18="Yes",U$3&gt;=Projects!$C$18,U$3&lt;Projects!$C$18+Projects!$D$18),Projects!$B$18*(Assumptions!$B$10+Assumptions!$B$11+Assumptions!$B$12)/Projects!$D$18*0.95,0)-IF(AND(Projects!$G$18="Yes",U$3=Projects!$C$18+Projects!$D$18-1),Projects!$B$18*(Assumptions!$B$10+Assumptions!$B$11+Assumptions!$B$12)*0.05,0)</f>
        <v>378707.42969325</v>
      </c>
      <c r="V27" s="19" t="n">
        <f aca="false">IF(AND(Projects!$G$18="Yes",V$3&gt;=Projects!$C$18,V$3&lt;Projects!$C$18+Projects!$D$18),Projects!$B$18*INDEX(Curves!$B$4:$AR$4,1,V$3-Projects!$C$18+1),0)-IF(AND(Projects!$G$18="Yes",V$3&gt;=Projects!$C$18,V$3&lt;Projects!$C$18+Projects!$D$18),Projects!$B$18*(Assumptions!$B$10+Assumptions!$B$11+Assumptions!$B$12)/Projects!$D$18*0.95,0)-IF(AND(Projects!$G$18="Yes",V$3=Projects!$C$18+Projects!$D$18-1),Projects!$B$18*(Assumptions!$B$10+Assumptions!$B$11+Assumptions!$B$12)*0.05,0)</f>
        <v>457136.90774325</v>
      </c>
      <c r="W27" s="19" t="n">
        <f aca="false">IF(AND(Projects!$G$18="Yes",W$3&gt;=Projects!$C$18,W$3&lt;Projects!$C$18+Projects!$D$18),Projects!$B$18*INDEX(Curves!$B$4:$AR$4,1,W$3-Projects!$C$18+1),0)-IF(AND(Projects!$G$18="Yes",W$3&gt;=Projects!$C$18,W$3&lt;Projects!$C$18+Projects!$D$18),Projects!$B$18*(Assumptions!$B$10+Assumptions!$B$11+Assumptions!$B$12)/Projects!$D$18*0.95,0)-IF(AND(Projects!$G$18="Yes",W$3=Projects!$C$18+Projects!$D$18-1),Projects!$B$18*(Assumptions!$B$10+Assumptions!$B$11+Assumptions!$B$12)*0.05,0)</f>
        <v>534163.03005325</v>
      </c>
      <c r="X27" s="19" t="n">
        <f aca="false">IF(AND(Projects!$G$18="Yes",X$3&gt;=Projects!$C$18,X$3&lt;Projects!$C$18+Projects!$D$18),Projects!$B$18*INDEX(Curves!$B$4:$AR$4,1,X$3-Projects!$C$18+1),0)-IF(AND(Projects!$G$18="Yes",X$3&gt;=Projects!$C$18,X$3&lt;Projects!$C$18+Projects!$D$18),Projects!$B$18*(Assumptions!$B$10+Assumptions!$B$11+Assumptions!$B$12)/Projects!$D$18*0.95,0)-IF(AND(Projects!$G$18="Yes",X$3=Projects!$C$18+Projects!$D$18-1),Projects!$B$18*(Assumptions!$B$10+Assumptions!$B$11+Assumptions!$B$12)*0.05,0)</f>
        <v>605507.82509325</v>
      </c>
      <c r="Y27" s="19" t="n">
        <f aca="false">IF(AND(Projects!$G$18="Yes",Y$3&gt;=Projects!$C$18,Y$3&lt;Projects!$C$18+Projects!$D$18),Projects!$B$18*INDEX(Curves!$B$4:$AR$4,1,Y$3-Projects!$C$18+1),0)-IF(AND(Projects!$G$18="Yes",Y$3&gt;=Projects!$C$18,Y$3&lt;Projects!$C$18+Projects!$D$18),Projects!$B$18*(Assumptions!$B$10+Assumptions!$B$11+Assumptions!$B$12)/Projects!$D$18*0.95,0)-IF(AND(Projects!$G$18="Yes",Y$3=Projects!$C$18+Projects!$D$18-1),Projects!$B$18*(Assumptions!$B$10+Assumptions!$B$11+Assumptions!$B$12)*0.05,0)</f>
        <v>666791.46486825</v>
      </c>
      <c r="Z27" s="19" t="n">
        <f aca="false">IF(AND(Projects!$G$18="Yes",Z$3&gt;=Projects!$C$18,Z$3&lt;Projects!$C$18+Projects!$D$18),Projects!$B$18*INDEX(Curves!$B$4:$AR$4,1,Z$3-Projects!$C$18+1),0)-IF(AND(Projects!$G$18="Yes",Z$3&gt;=Projects!$C$18,Z$3&lt;Projects!$C$18+Projects!$D$18),Projects!$B$18*(Assumptions!$B$10+Assumptions!$B$11+Assumptions!$B$12)/Projects!$D$18*0.95,0)-IF(AND(Projects!$G$18="Yes",Z$3=Projects!$C$18+Projects!$D$18-1),Projects!$B$18*(Assumptions!$B$10+Assumptions!$B$11+Assumptions!$B$12)*0.05,0)</f>
        <v>713951.00816325</v>
      </c>
      <c r="AA27" s="19" t="n">
        <f aca="false">IF(AND(Projects!$G$18="Yes",AA$3&gt;=Projects!$C$18,AA$3&lt;Projects!$C$18+Projects!$D$18),Projects!$B$18*INDEX(Curves!$B$4:$AR$4,1,AA$3-Projects!$C$18+1),0)-IF(AND(Projects!$G$18="Yes",AA$3&gt;=Projects!$C$18,AA$3&lt;Projects!$C$18+Projects!$D$18),Projects!$B$18*(Assumptions!$B$10+Assumptions!$B$11+Assumptions!$B$12)/Projects!$D$18*0.95,0)-IF(AND(Projects!$G$18="Yes",AA$3=Projects!$C$18+Projects!$D$18-1),Projects!$B$18*(Assumptions!$B$10+Assumptions!$B$11+Assumptions!$B$12)*0.05,0)</f>
        <v>743693.09594325</v>
      </c>
      <c r="AB27" s="19" t="n">
        <f aca="false">IF(AND(Projects!$G$18="Yes",AB$3&gt;=Projects!$C$18,AB$3&lt;Projects!$C$18+Projects!$D$18),Projects!$B$18*INDEX(Curves!$B$4:$AR$4,1,AB$3-Projects!$C$18+1),0)-IF(AND(Projects!$G$18="Yes",AB$3&gt;=Projects!$C$18,AB$3&lt;Projects!$C$18+Projects!$D$18),Projects!$B$18*(Assumptions!$B$10+Assumptions!$B$11+Assumptions!$B$12)/Projects!$D$18*0.95,0)-IF(AND(Projects!$G$18="Yes",AB$3=Projects!$C$18+Projects!$D$18-1),Projects!$B$18*(Assumptions!$B$10+Assumptions!$B$11+Assumptions!$B$12)*0.05,0)</f>
        <v>753856.10767325</v>
      </c>
      <c r="AC27" s="19" t="n">
        <f aca="false">IF(AND(Projects!$G$18="Yes",AC$3&gt;=Projects!$C$18,AC$3&lt;Projects!$C$18+Projects!$D$18),Projects!$B$18*INDEX(Curves!$B$4:$AR$4,1,AC$3-Projects!$C$18+1),0)-IF(AND(Projects!$G$18="Yes",AC$3&gt;=Projects!$C$18,AC$3&lt;Projects!$C$18+Projects!$D$18),Projects!$B$18*(Assumptions!$B$10+Assumptions!$B$11+Assumptions!$B$12)/Projects!$D$18*0.95,0)-IF(AND(Projects!$G$18="Yes",AC$3=Projects!$C$18+Projects!$D$18-1),Projects!$B$18*(Assumptions!$B$10+Assumptions!$B$11+Assumptions!$B$12)*0.05,0)</f>
        <v>743693.09594325</v>
      </c>
      <c r="AD27" s="19" t="n">
        <f aca="false">IF(AND(Projects!$G$18="Yes",AD$3&gt;=Projects!$C$18,AD$3&lt;Projects!$C$18+Projects!$D$18),Projects!$B$18*INDEX(Curves!$B$4:$AR$4,1,AD$3-Projects!$C$18+1),0)-IF(AND(Projects!$G$18="Yes",AD$3&gt;=Projects!$C$18,AD$3&lt;Projects!$C$18+Projects!$D$18),Projects!$B$18*(Assumptions!$B$10+Assumptions!$B$11+Assumptions!$B$12)/Projects!$D$18*0.95,0)-IF(AND(Projects!$G$18="Yes",AD$3=Projects!$C$18+Projects!$D$18-1),Projects!$B$18*(Assumptions!$B$10+Assumptions!$B$11+Assumptions!$B$12)*0.05,0)</f>
        <v>713951.00816325</v>
      </c>
      <c r="AE27" s="19" t="n">
        <f aca="false">IF(AND(Projects!$G$18="Yes",AE$3&gt;=Projects!$C$18,AE$3&lt;Projects!$C$18+Projects!$D$18),Projects!$B$18*INDEX(Curves!$B$4:$AR$4,1,AE$3-Projects!$C$18+1),0)-IF(AND(Projects!$G$18="Yes",AE$3&gt;=Projects!$C$18,AE$3&lt;Projects!$C$18+Projects!$D$18),Projects!$B$18*(Assumptions!$B$10+Assumptions!$B$11+Assumptions!$B$12)/Projects!$D$18*0.95,0)-IF(AND(Projects!$G$18="Yes",AE$3=Projects!$C$18+Projects!$D$18-1),Projects!$B$18*(Assumptions!$B$10+Assumptions!$B$11+Assumptions!$B$12)*0.05,0)</f>
        <v>666791.46486825</v>
      </c>
      <c r="AF27" s="19" t="n">
        <f aca="false">IF(AND(Projects!$G$18="Yes",AF$3&gt;=Projects!$C$18,AF$3&lt;Projects!$C$18+Projects!$D$18),Projects!$B$18*INDEX(Curves!$B$4:$AR$4,1,AF$3-Projects!$C$18+1),0)-IF(AND(Projects!$G$18="Yes",AF$3&gt;=Projects!$C$18,AF$3&lt;Projects!$C$18+Projects!$D$18),Projects!$B$18*(Assumptions!$B$10+Assumptions!$B$11+Assumptions!$B$12)/Projects!$D$18*0.95,0)-IF(AND(Projects!$G$18="Yes",AF$3=Projects!$C$18+Projects!$D$18-1),Projects!$B$18*(Assumptions!$B$10+Assumptions!$B$11+Assumptions!$B$12)*0.05,0)</f>
        <v>605507.82509325</v>
      </c>
      <c r="AG27" s="19" t="n">
        <f aca="false">IF(AND(Projects!$G$18="Yes",AG$3&gt;=Projects!$C$18,AG$3&lt;Projects!$C$18+Projects!$D$18),Projects!$B$18*INDEX(Curves!$B$4:$AR$4,1,AG$3-Projects!$C$18+1),0)-IF(AND(Projects!$G$18="Yes",AG$3&gt;=Projects!$C$18,AG$3&lt;Projects!$C$18+Projects!$D$18),Projects!$B$18*(Assumptions!$B$10+Assumptions!$B$11+Assumptions!$B$12)/Projects!$D$18*0.95,0)-IF(AND(Projects!$G$18="Yes",AG$3=Projects!$C$18+Projects!$D$18-1),Projects!$B$18*(Assumptions!$B$10+Assumptions!$B$11+Assumptions!$B$12)*0.05,0)</f>
        <v>534163.03005325</v>
      </c>
      <c r="AH27" s="19" t="n">
        <f aca="false">IF(AND(Projects!$G$18="Yes",AH$3&gt;=Projects!$C$18,AH$3&lt;Projects!$C$18+Projects!$D$18),Projects!$B$18*INDEX(Curves!$B$4:$AR$4,1,AH$3-Projects!$C$18+1),0)-IF(AND(Projects!$G$18="Yes",AH$3&gt;=Projects!$C$18,AH$3&lt;Projects!$C$18+Projects!$D$18),Projects!$B$18*(Assumptions!$B$10+Assumptions!$B$11+Assumptions!$B$12)/Projects!$D$18*0.95,0)-IF(AND(Projects!$G$18="Yes",AH$3=Projects!$C$18+Projects!$D$18-1),Projects!$B$18*(Assumptions!$B$10+Assumptions!$B$11+Assumptions!$B$12)*0.05,0)</f>
        <v>457136.90774325</v>
      </c>
      <c r="AI27" s="19" t="n">
        <f aca="false">IF(AND(Projects!$G$18="Yes",AI$3&gt;=Projects!$C$18,AI$3&lt;Projects!$C$18+Projects!$D$18),Projects!$B$18*INDEX(Curves!$B$4:$AR$4,1,AI$3-Projects!$C$18+1),0)-IF(AND(Projects!$G$18="Yes",AI$3&gt;=Projects!$C$18,AI$3&lt;Projects!$C$18+Projects!$D$18),Projects!$B$18*(Assumptions!$B$10+Assumptions!$B$11+Assumptions!$B$12)/Projects!$D$18*0.95,0)-IF(AND(Projects!$G$18="Yes",AI$3=Projects!$C$18+Projects!$D$18-1),Projects!$B$18*(Assumptions!$B$10+Assumptions!$B$11+Assumptions!$B$12)*0.05,0)</f>
        <v>378707.42969325</v>
      </c>
      <c r="AJ27" s="19" t="n">
        <f aca="false">IF(AND(Projects!$G$18="Yes",AJ$3&gt;=Projects!$C$18,AJ$3&lt;Projects!$C$18+Projects!$D$18),Projects!$B$18*INDEX(Curves!$B$4:$AR$4,1,AJ$3-Projects!$C$18+1),0)-IF(AND(Projects!$G$18="Yes",AJ$3&gt;=Projects!$C$18,AJ$3&lt;Projects!$C$18+Projects!$D$18),Projects!$B$18*(Assumptions!$B$10+Assumptions!$B$11+Assumptions!$B$12)/Projects!$D$18*0.95,0)-IF(AND(Projects!$G$18="Yes",AJ$3=Projects!$C$18+Projects!$D$18-1),Projects!$B$18*(Assumptions!$B$10+Assumptions!$B$11+Assumptions!$B$12)*0.05,0)</f>
        <v>302643.28510825</v>
      </c>
      <c r="AK27" s="19" t="n">
        <f aca="false">IF(AND(Projects!$G$18="Yes",AK$3&gt;=Projects!$C$18,AK$3&lt;Projects!$C$18+Projects!$D$18),Projects!$B$18*INDEX(Curves!$B$4:$AR$4,1,AK$3-Projects!$C$18+1),0)-IF(AND(Projects!$G$18="Yes",AK$3&gt;=Projects!$C$18,AK$3&lt;Projects!$C$18+Projects!$D$18),Projects!$B$18*(Assumptions!$B$10+Assumptions!$B$11+Assumptions!$B$12)/Projects!$D$18*0.95,0)-IF(AND(Projects!$G$18="Yes",AK$3=Projects!$C$18+Projects!$D$18-1),Projects!$B$18*(Assumptions!$B$10+Assumptions!$B$11+Assumptions!$B$12)*0.05,0)</f>
        <v>163851.9682915</v>
      </c>
      <c r="AL27" s="19" t="n">
        <f aca="false">IF(AND(Projects!$G$18="Yes",AL$3&gt;=Projects!$C$18,AL$3&lt;Projects!$C$18+Projects!$D$18),Projects!$B$18*INDEX(Curves!$B$4:$AR$4,1,AL$3-Projects!$C$18+1),0)-IF(AND(Projects!$G$18="Yes",AL$3&gt;=Projects!$C$18,AL$3&lt;Projects!$C$18+Projects!$D$18),Projects!$B$18*(Assumptions!$B$10+Assumptions!$B$11+Assumptions!$B$12)/Projects!$D$18*0.95,0)-IF(AND(Projects!$G$18="Yes",AL$3=Projects!$C$18+Projects!$D$18-1),Projects!$B$18*(Assumptions!$B$10+Assumptions!$B$11+Assumptions!$B$12)*0.05,0)</f>
        <v>0</v>
      </c>
      <c r="AM27" s="19" t="n">
        <f aca="false">IF(AND(Projects!$G$18="Yes",AM$3&gt;=Projects!$C$18,AM$3&lt;Projects!$C$18+Projects!$D$18),Projects!$B$18*INDEX(Curves!$B$4:$AR$4,1,AM$3-Projects!$C$18+1),0)-IF(AND(Projects!$G$18="Yes",AM$3&gt;=Projects!$C$18,AM$3&lt;Projects!$C$18+Projects!$D$18),Projects!$B$18*(Assumptions!$B$10+Assumptions!$B$11+Assumptions!$B$12)/Projects!$D$18*0.95,0)-IF(AND(Projects!$G$18="Yes",AM$3=Projects!$C$18+Projects!$D$18-1),Projects!$B$18*(Assumptions!$B$10+Assumptions!$B$11+Assumptions!$B$12)*0.05,0)</f>
        <v>0</v>
      </c>
      <c r="AN27" s="19" t="n">
        <f aca="false">IF(AND(Projects!$G$18="Yes",AN$3&gt;=Projects!$C$18,AN$3&lt;Projects!$C$18+Projects!$D$18),Projects!$B$18*INDEX(Curves!$B$4:$AR$4,1,AN$3-Projects!$C$18+1),0)-IF(AND(Projects!$G$18="Yes",AN$3&gt;=Projects!$C$18,AN$3&lt;Projects!$C$18+Projects!$D$18),Projects!$B$18*(Assumptions!$B$10+Assumptions!$B$11+Assumptions!$B$12)/Projects!$D$18*0.95,0)-IF(AND(Projects!$G$18="Yes",AN$3=Projects!$C$18+Projects!$D$18-1),Projects!$B$18*(Assumptions!$B$10+Assumptions!$B$11+Assumptions!$B$12)*0.05,0)</f>
        <v>0</v>
      </c>
      <c r="AO27" s="19" t="n">
        <f aca="false">IF(AND(Projects!$G$18="Yes",AO$3&gt;=Projects!$C$18,AO$3&lt;Projects!$C$18+Projects!$D$18),Projects!$B$18*INDEX(Curves!$B$4:$AR$4,1,AO$3-Projects!$C$18+1),0)-IF(AND(Projects!$G$18="Yes",AO$3&gt;=Projects!$C$18,AO$3&lt;Projects!$C$18+Projects!$D$18),Projects!$B$18*(Assumptions!$B$10+Assumptions!$B$11+Assumptions!$B$12)/Projects!$D$18*0.95,0)-IF(AND(Projects!$G$18="Yes",AO$3=Projects!$C$18+Projects!$D$18-1),Projects!$B$18*(Assumptions!$B$10+Assumptions!$B$11+Assumptions!$B$12)*0.05,0)</f>
        <v>0</v>
      </c>
      <c r="AP27" s="19" t="n">
        <f aca="false">IF(AND(Projects!$G$18="Yes",AP$3&gt;=Projects!$C$18,AP$3&lt;Projects!$C$18+Projects!$D$18),Projects!$B$18*INDEX(Curves!$B$4:$AR$4,1,AP$3-Projects!$C$18+1),0)-IF(AND(Projects!$G$18="Yes",AP$3&gt;=Projects!$C$18,AP$3&lt;Projects!$C$18+Projects!$D$18),Projects!$B$18*(Assumptions!$B$10+Assumptions!$B$11+Assumptions!$B$12)/Projects!$D$18*0.95,0)-IF(AND(Projects!$G$18="Yes",AP$3=Projects!$C$18+Projects!$D$18-1),Projects!$B$18*(Assumptions!$B$10+Assumptions!$B$11+Assumptions!$B$12)*0.05,0)</f>
        <v>0</v>
      </c>
      <c r="AQ27" s="19" t="n">
        <f aca="false">IF(AND(Projects!$G$18="Yes",AQ$3&gt;=Projects!$C$18,AQ$3&lt;Projects!$C$18+Projects!$D$18),Projects!$B$18*INDEX(Curves!$B$4:$AR$4,1,AQ$3-Projects!$C$18+1),0)-IF(AND(Projects!$G$18="Yes",AQ$3&gt;=Projects!$C$18,AQ$3&lt;Projects!$C$18+Projects!$D$18),Projects!$B$18*(Assumptions!$B$10+Assumptions!$B$11+Assumptions!$B$12)/Projects!$D$18*0.95,0)-IF(AND(Projects!$G$18="Yes",AQ$3=Projects!$C$18+Projects!$D$18-1),Projects!$B$18*(Assumptions!$B$10+Assumptions!$B$11+Assumptions!$B$12)*0.05,0)</f>
        <v>0</v>
      </c>
      <c r="AR27" s="19" t="n">
        <f aca="false">IF(AND(Projects!$G$18="Yes",AR$3&gt;=Projects!$C$18,AR$3&lt;Projects!$C$18+Projects!$D$18),Projects!$B$18*INDEX(Curves!$B$4:$AR$4,1,AR$3-Projects!$C$18+1),0)-IF(AND(Projects!$G$18="Yes",AR$3&gt;=Projects!$C$18,AR$3&lt;Projects!$C$18+Projects!$D$18),Projects!$B$18*(Assumptions!$B$10+Assumptions!$B$11+Assumptions!$B$12)/Projects!$D$18*0.95,0)-IF(AND(Projects!$G$18="Yes",AR$3=Projects!$C$18+Projects!$D$18-1),Projects!$B$18*(Assumptions!$B$10+Assumptions!$B$11+Assumptions!$B$12)*0.05,0)</f>
        <v>0</v>
      </c>
      <c r="AS27" s="19" t="n">
        <f aca="false">IF(AND(Projects!$G$18="Yes",AS$3&gt;=Projects!$C$18,AS$3&lt;Projects!$C$18+Projects!$D$18),Projects!$B$18*INDEX(Curves!$B$4:$AR$4,1,AS$3-Projects!$C$18+1),0)-IF(AND(Projects!$G$18="Yes",AS$3&gt;=Projects!$C$18,AS$3&lt;Projects!$C$18+Projects!$D$18),Projects!$B$18*(Assumptions!$B$10+Assumptions!$B$11+Assumptions!$B$12)/Projects!$D$18*0.95,0)-IF(AND(Projects!$G$18="Yes",AS$3=Projects!$C$18+Projects!$D$18-1),Projects!$B$18*(Assumptions!$B$10+Assumptions!$B$11+Assumptions!$B$12)*0.05,0)</f>
        <v>0</v>
      </c>
      <c r="AT27" s="19" t="n">
        <f aca="false">IF(AND(Projects!$G$18="Yes",AT$3&gt;=Projects!$C$18,AT$3&lt;Projects!$C$18+Projects!$D$18),Projects!$B$18*INDEX(Curves!$B$4:$AR$4,1,AT$3-Projects!$C$18+1),0)-IF(AND(Projects!$G$18="Yes",AT$3&gt;=Projects!$C$18,AT$3&lt;Projects!$C$18+Projects!$D$18),Projects!$B$18*(Assumptions!$B$10+Assumptions!$B$11+Assumptions!$B$12)/Projects!$D$18*0.95,0)-IF(AND(Projects!$G$18="Yes",AT$3=Projects!$C$18+Projects!$D$18-1),Projects!$B$18*(Assumptions!$B$10+Assumptions!$B$11+Assumptions!$B$12)*0.05,0)</f>
        <v>0</v>
      </c>
      <c r="AU27" s="19" t="n">
        <f aca="false">IF(AND(Projects!$G$18="Yes",AU$3&gt;=Projects!$C$18,AU$3&lt;Projects!$C$18+Projects!$D$18),Projects!$B$18*INDEX(Curves!$B$4:$AR$4,1,AU$3-Projects!$C$18+1),0)-IF(AND(Projects!$G$18="Yes",AU$3&gt;=Projects!$C$18,AU$3&lt;Projects!$C$18+Projects!$D$18),Projects!$B$18*(Assumptions!$B$10+Assumptions!$B$11+Assumptions!$B$12)/Projects!$D$18*0.95,0)-IF(AND(Projects!$G$18="Yes",AU$3=Projects!$C$18+Projects!$D$18-1),Projects!$B$18*(Assumptions!$B$10+Assumptions!$B$11+Assumptions!$B$12)*0.05,0)</f>
        <v>0</v>
      </c>
      <c r="AV27" s="19" t="n">
        <f aca="false">IF(AND(Projects!$G$18="Yes",AV$3&gt;=Projects!$C$18,AV$3&lt;Projects!$C$18+Projects!$D$18),Projects!$B$18*INDEX(Curves!$B$4:$AR$4,1,AV$3-Projects!$C$18+1),0)-IF(AND(Projects!$G$18="Yes",AV$3&gt;=Projects!$C$18,AV$3&lt;Projects!$C$18+Projects!$D$18),Projects!$B$18*(Assumptions!$B$10+Assumptions!$B$11+Assumptions!$B$12)/Projects!$D$18*0.95,0)-IF(AND(Projects!$G$18="Yes",AV$3=Projects!$C$18+Projects!$D$18-1),Projects!$B$18*(Assumptions!$B$10+Assumptions!$B$11+Assumptions!$B$12)*0.05,0)</f>
        <v>0</v>
      </c>
      <c r="AW27" s="19" t="n">
        <f aca="false">IF(AND(Projects!$G$18="Yes",AW$3&gt;=Projects!$C$18,AW$3&lt;Projects!$C$18+Projects!$D$18),Projects!$B$18*INDEX(Curves!$B$4:$AR$4,1,AW$3-Projects!$C$18+1),0)-IF(AND(Projects!$G$18="Yes",AW$3&gt;=Projects!$C$18,AW$3&lt;Projects!$C$18+Projects!$D$18),Projects!$B$18*(Assumptions!$B$10+Assumptions!$B$11+Assumptions!$B$12)/Projects!$D$18*0.95,0)-IF(AND(Projects!$G$18="Yes",AW$3=Projects!$C$18+Projects!$D$18-1),Projects!$B$18*(Assumptions!$B$10+Assumptions!$B$11+Assumptions!$B$12)*0.05,0)</f>
        <v>0</v>
      </c>
      <c r="AX27" s="19" t="n">
        <f aca="false">IF(AND(Projects!$G$18="Yes",AX$3&gt;=Projects!$C$18,AX$3&lt;Projects!$C$18+Projects!$D$18),Projects!$B$18*INDEX(Curves!$B$4:$AR$4,1,AX$3-Projects!$C$18+1),0)-IF(AND(Projects!$G$18="Yes",AX$3&gt;=Projects!$C$18,AX$3&lt;Projects!$C$18+Projects!$D$18),Projects!$B$18*(Assumptions!$B$10+Assumptions!$B$11+Assumptions!$B$12)/Projects!$D$18*0.95,0)-IF(AND(Projects!$G$18="Yes",AX$3=Projects!$C$18+Projects!$D$18-1),Projects!$B$18*(Assumptions!$B$10+Assumptions!$B$11+Assumptions!$B$12)*0.05,0)</f>
        <v>0</v>
      </c>
      <c r="AY27" s="19" t="n">
        <f aca="false">IF(AND(Projects!$G$18="Yes",AY$3&gt;=Projects!$C$18,AY$3&lt;Projects!$C$18+Projects!$D$18),Projects!$B$18*INDEX(Curves!$B$4:$AR$4,1,AY$3-Projects!$C$18+1),0)-IF(AND(Projects!$G$18="Yes",AY$3&gt;=Projects!$C$18,AY$3&lt;Projects!$C$18+Projects!$D$18),Projects!$B$18*(Assumptions!$B$10+Assumptions!$B$11+Assumptions!$B$12)/Projects!$D$18*0.95,0)-IF(AND(Projects!$G$18="Yes",AY$3=Projects!$C$18+Projects!$D$18-1),Projects!$B$18*(Assumptions!$B$10+Assumptions!$B$11+Assumptions!$B$12)*0.05,0)</f>
        <v>0</v>
      </c>
      <c r="AZ27" s="19" t="n">
        <f aca="false">IF(AND(Projects!$G$18="Yes",AZ$3&gt;=Projects!$C$18,AZ$3&lt;Projects!$C$18+Projects!$D$18),Projects!$B$18*INDEX(Curves!$B$4:$AR$4,1,AZ$3-Projects!$C$18+1),0)-IF(AND(Projects!$G$18="Yes",AZ$3&gt;=Projects!$C$18,AZ$3&lt;Projects!$C$18+Projects!$D$18),Projects!$B$18*(Assumptions!$B$10+Assumptions!$B$11+Assumptions!$B$12)/Projects!$D$18*0.95,0)-IF(AND(Projects!$G$18="Yes",AZ$3=Projects!$C$18+Projects!$D$18-1),Projects!$B$18*(Assumptions!$B$10+Assumptions!$B$11+Assumptions!$B$12)*0.05,0)</f>
        <v>0</v>
      </c>
      <c r="BA27" s="19" t="n">
        <f aca="false">IF(AND(Projects!$G$18="Yes",BA$3&gt;=Projects!$C$18,BA$3&lt;Projects!$C$18+Projects!$D$18),Projects!$B$18*INDEX(Curves!$B$4:$AR$4,1,BA$3-Projects!$C$18+1),0)-IF(AND(Projects!$G$18="Yes",BA$3&gt;=Projects!$C$18,BA$3&lt;Projects!$C$18+Projects!$D$18),Projects!$B$18*(Assumptions!$B$10+Assumptions!$B$11+Assumptions!$B$12)/Projects!$D$18*0.95,0)-IF(AND(Projects!$G$18="Yes",BA$3=Projects!$C$18+Projects!$D$18-1),Projects!$B$18*(Assumptions!$B$10+Assumptions!$B$11+Assumptions!$B$12)*0.05,0)</f>
        <v>0</v>
      </c>
      <c r="BB27" s="19" t="n">
        <f aca="false">IF(AND(Projects!$G$18="Yes",BB$3&gt;=Projects!$C$18,BB$3&lt;Projects!$C$18+Projects!$D$18),Projects!$B$18*INDEX(Curves!$B$4:$AR$4,1,BB$3-Projects!$C$18+1),0)-IF(AND(Projects!$G$18="Yes",BB$3&gt;=Projects!$C$18,BB$3&lt;Projects!$C$18+Projects!$D$18),Projects!$B$18*(Assumptions!$B$10+Assumptions!$B$11+Assumptions!$B$12)/Projects!$D$18*0.95,0)-IF(AND(Projects!$G$18="Yes",BB$3=Projects!$C$18+Projects!$D$18-1),Projects!$B$18*(Assumptions!$B$10+Assumptions!$B$11+Assumptions!$B$12)*0.05,0)</f>
        <v>0</v>
      </c>
      <c r="BC27" s="19" t="n">
        <f aca="false">IF(AND(Projects!$G$18="Yes",BC$3&gt;=Projects!$C$18,BC$3&lt;Projects!$C$18+Projects!$D$18),Projects!$B$18*INDEX(Curves!$B$4:$AR$4,1,BC$3-Projects!$C$18+1),0)-IF(AND(Projects!$G$18="Yes",BC$3&gt;=Projects!$C$18,BC$3&lt;Projects!$C$18+Projects!$D$18),Projects!$B$18*(Assumptions!$B$10+Assumptions!$B$11+Assumptions!$B$12)/Projects!$D$18*0.95,0)-IF(AND(Projects!$G$18="Yes",BC$3=Projects!$C$18+Projects!$D$18-1),Projects!$B$18*(Assumptions!$B$10+Assumptions!$B$11+Assumptions!$B$12)*0.05,0)</f>
        <v>0</v>
      </c>
      <c r="BD27" s="19" t="n">
        <f aca="false">IF(AND(Projects!$G$18="Yes",BD$3&gt;=Projects!$C$18,BD$3&lt;Projects!$C$18+Projects!$D$18),Projects!$B$18*INDEX(Curves!$B$4:$AR$4,1,BD$3-Projects!$C$18+1),0)-IF(AND(Projects!$G$18="Yes",BD$3&gt;=Projects!$C$18,BD$3&lt;Projects!$C$18+Projects!$D$18),Projects!$B$18*(Assumptions!$B$10+Assumptions!$B$11+Assumptions!$B$12)/Projects!$D$18*0.95,0)-IF(AND(Projects!$G$18="Yes",BD$3=Projects!$C$18+Projects!$D$18-1),Projects!$B$18*(Assumptions!$B$10+Assumptions!$B$11+Assumptions!$B$12)*0.05,0)</f>
        <v>0</v>
      </c>
      <c r="BE27" s="19" t="n">
        <f aca="false">IF(AND(Projects!$G$18="Yes",BE$3&gt;=Projects!$C$18,BE$3&lt;Projects!$C$18+Projects!$D$18),Projects!$B$18*INDEX(Curves!$B$4:$AR$4,1,BE$3-Projects!$C$18+1),0)-IF(AND(Projects!$G$18="Yes",BE$3&gt;=Projects!$C$18,BE$3&lt;Projects!$C$18+Projects!$D$18),Projects!$B$18*(Assumptions!$B$10+Assumptions!$B$11+Assumptions!$B$12)/Projects!$D$18*0.95,0)-IF(AND(Projects!$G$18="Yes",BE$3=Projects!$C$18+Projects!$D$18-1),Projects!$B$18*(Assumptions!$B$10+Assumptions!$B$11+Assumptions!$B$12)*0.05,0)</f>
        <v>0</v>
      </c>
      <c r="BF27" s="19" t="n">
        <f aca="false">IF(AND(Projects!$G$18="Yes",BF$3&gt;=Projects!$C$18,BF$3&lt;Projects!$C$18+Projects!$D$18),Projects!$B$18*INDEX(Curves!$B$4:$AR$4,1,BF$3-Projects!$C$18+1),0)-IF(AND(Projects!$G$18="Yes",BF$3&gt;=Projects!$C$18,BF$3&lt;Projects!$C$18+Projects!$D$18),Projects!$B$18*(Assumptions!$B$10+Assumptions!$B$11+Assumptions!$B$12)/Projects!$D$18*0.95,0)-IF(AND(Projects!$G$18="Yes",BF$3=Projects!$C$18+Projects!$D$18-1),Projects!$B$18*(Assumptions!$B$10+Assumptions!$B$11+Assumptions!$B$12)*0.05,0)</f>
        <v>0</v>
      </c>
      <c r="BG27" s="19" t="n">
        <f aca="false">IF(AND(Projects!$G$18="Yes",BG$3&gt;=Projects!$C$18,BG$3&lt;Projects!$C$18+Projects!$D$18),Projects!$B$18*INDEX(Curves!$B$4:$AR$4,1,BG$3-Projects!$C$18+1),0)-IF(AND(Projects!$G$18="Yes",BG$3&gt;=Projects!$C$18,BG$3&lt;Projects!$C$18+Projects!$D$18),Projects!$B$18*(Assumptions!$B$10+Assumptions!$B$11+Assumptions!$B$12)/Projects!$D$18*0.95,0)-IF(AND(Projects!$G$18="Yes",BG$3=Projects!$C$18+Projects!$D$18-1),Projects!$B$18*(Assumptions!$B$10+Assumptions!$B$11+Assumptions!$B$12)*0.05,0)</f>
        <v>0</v>
      </c>
      <c r="BH27" s="19" t="n">
        <f aca="false">IF(AND(Projects!$G$18="Yes",BH$3&gt;=Projects!$C$18,BH$3&lt;Projects!$C$18+Projects!$D$18),Projects!$B$18*INDEX(Curves!$B$4:$AR$4,1,BH$3-Projects!$C$18+1),0)-IF(AND(Projects!$G$18="Yes",BH$3&gt;=Projects!$C$18,BH$3&lt;Projects!$C$18+Projects!$D$18),Projects!$B$18*(Assumptions!$B$10+Assumptions!$B$11+Assumptions!$B$12)/Projects!$D$18*0.95,0)-IF(AND(Projects!$G$18="Yes",BH$3=Projects!$C$18+Projects!$D$18-1),Projects!$B$18*(Assumptions!$B$10+Assumptions!$B$11+Assumptions!$B$12)*0.05,0)</f>
        <v>0</v>
      </c>
      <c r="BI27" s="19" t="n">
        <f aca="false">IF(AND(Projects!$G$18="Yes",BI$3&gt;=Projects!$C$18,BI$3&lt;Projects!$C$18+Projects!$D$18),Projects!$B$18*INDEX(Curves!$B$4:$AR$4,1,BI$3-Projects!$C$18+1),0)-IF(AND(Projects!$G$18="Yes",BI$3&gt;=Projects!$C$18,BI$3&lt;Projects!$C$18+Projects!$D$18),Projects!$B$18*(Assumptions!$B$10+Assumptions!$B$11+Assumptions!$B$12)/Projects!$D$18*0.95,0)-IF(AND(Projects!$G$18="Yes",BI$3=Projects!$C$18+Projects!$D$18-1),Projects!$B$18*(Assumptions!$B$10+Assumptions!$B$11+Assumptions!$B$12)*0.05,0)</f>
        <v>0</v>
      </c>
      <c r="BJ27" s="19" t="n">
        <f aca="false">IF(AND(Projects!$G$18="Yes",BJ$3&gt;=Projects!$C$18,BJ$3&lt;Projects!$C$18+Projects!$D$18),Projects!$B$18*INDEX(Curves!$B$4:$AR$4,1,BJ$3-Projects!$C$18+1),0)-IF(AND(Projects!$G$18="Yes",BJ$3&gt;=Projects!$C$18,BJ$3&lt;Projects!$C$18+Projects!$D$18),Projects!$B$18*(Assumptions!$B$10+Assumptions!$B$11+Assumptions!$B$12)/Projects!$D$18*0.95,0)-IF(AND(Projects!$G$18="Yes",BJ$3=Projects!$C$18+Projects!$D$18-1),Projects!$B$18*(Assumptions!$B$10+Assumptions!$B$11+Assumptions!$B$12)*0.05,0)</f>
        <v>0</v>
      </c>
      <c r="BK27" s="19" t="n">
        <f aca="false">IF(AND(Projects!$G$18="Yes",BK$3&gt;=Projects!$C$18,BK$3&lt;Projects!$C$18+Projects!$D$18),Projects!$B$18*INDEX(Curves!$B$4:$AR$4,1,BK$3-Projects!$C$18+1),0)-IF(AND(Projects!$G$18="Yes",BK$3&gt;=Projects!$C$18,BK$3&lt;Projects!$C$18+Projects!$D$18),Projects!$B$18*(Assumptions!$B$10+Assumptions!$B$11+Assumptions!$B$12)/Projects!$D$18*0.95,0)-IF(AND(Projects!$G$18="Yes",BK$3=Projects!$C$18+Projects!$D$18-1),Projects!$B$18*(Assumptions!$B$10+Assumptions!$B$11+Assumptions!$B$12)*0.05,0)</f>
        <v>0</v>
      </c>
      <c r="BL27" s="19" t="n">
        <f aca="false">IF(AND(Projects!$G$18="Yes",BL$3&gt;=Projects!$C$18,BL$3&lt;Projects!$C$18+Projects!$D$18),Projects!$B$18*INDEX(Curves!$B$4:$AR$4,1,BL$3-Projects!$C$18+1),0)-IF(AND(Projects!$G$18="Yes",BL$3&gt;=Projects!$C$18,BL$3&lt;Projects!$C$18+Projects!$D$18),Projects!$B$18*(Assumptions!$B$10+Assumptions!$B$11+Assumptions!$B$12)/Projects!$D$18*0.95,0)-IF(AND(Projects!$G$18="Yes",BL$3=Projects!$C$18+Projects!$D$18-1),Projects!$B$18*(Assumptions!$B$10+Assumptions!$B$11+Assumptions!$B$12)*0.05,0)</f>
        <v>0</v>
      </c>
      <c r="BM27" s="19" t="n">
        <f aca="false">IF(AND(Projects!$G$18="Yes",BM$3&gt;=Projects!$C$18,BM$3&lt;Projects!$C$18+Projects!$D$18),Projects!$B$18*INDEX(Curves!$B$4:$AR$4,1,BM$3-Projects!$C$18+1),0)-IF(AND(Projects!$G$18="Yes",BM$3&gt;=Projects!$C$18,BM$3&lt;Projects!$C$18+Projects!$D$18),Projects!$B$18*(Assumptions!$B$10+Assumptions!$B$11+Assumptions!$B$12)/Projects!$D$18*0.95,0)-IF(AND(Projects!$G$18="Yes",BM$3=Projects!$C$18+Projects!$D$18-1),Projects!$B$18*(Assumptions!$B$10+Assumptions!$B$11+Assumptions!$B$12)*0.05,0)</f>
        <v>0</v>
      </c>
      <c r="BN27" s="19" t="n">
        <f aca="false">IF(AND(Projects!$G$18="Yes",BN$3&gt;=Projects!$C$18,BN$3&lt;Projects!$C$18+Projects!$D$18),Projects!$B$18*INDEX(Curves!$B$4:$AR$4,1,BN$3-Projects!$C$18+1),0)-IF(AND(Projects!$G$18="Yes",BN$3&gt;=Projects!$C$18,BN$3&lt;Projects!$C$18+Projects!$D$18),Projects!$B$18*(Assumptions!$B$10+Assumptions!$B$11+Assumptions!$B$12)/Projects!$D$18*0.95,0)-IF(AND(Projects!$G$18="Yes",BN$3=Projects!$C$18+Projects!$D$18-1),Projects!$B$18*(Assumptions!$B$10+Assumptions!$B$11+Assumptions!$B$12)*0.05,0)</f>
        <v>0</v>
      </c>
      <c r="BO27" s="19" t="n">
        <f aca="false">IF(AND(Projects!$G$18="Yes",BO$3&gt;=Projects!$C$18,BO$3&lt;Projects!$C$18+Projects!$D$18),Projects!$B$18*INDEX(Curves!$B$4:$AR$4,1,BO$3-Projects!$C$18+1),0)-IF(AND(Projects!$G$18="Yes",BO$3&gt;=Projects!$C$18,BO$3&lt;Projects!$C$18+Projects!$D$18),Projects!$B$18*(Assumptions!$B$10+Assumptions!$B$11+Assumptions!$B$12)/Projects!$D$18*0.95,0)-IF(AND(Projects!$G$18="Yes",BO$3=Projects!$C$18+Projects!$D$18-1),Projects!$B$18*(Assumptions!$B$10+Assumptions!$B$11+Assumptions!$B$12)*0.05,0)</f>
        <v>0</v>
      </c>
      <c r="BP27" s="19" t="n">
        <f aca="false">IF(AND(Projects!$G$18="Yes",BP$3&gt;=Projects!$C$18,BP$3&lt;Projects!$C$18+Projects!$D$18),Projects!$B$18*INDEX(Curves!$B$4:$AR$4,1,BP$3-Projects!$C$18+1),0)-IF(AND(Projects!$G$18="Yes",BP$3&gt;=Projects!$C$18,BP$3&lt;Projects!$C$18+Projects!$D$18),Projects!$B$18*(Assumptions!$B$10+Assumptions!$B$11+Assumptions!$B$12)/Projects!$D$18*0.95,0)-IF(AND(Projects!$G$18="Yes",BP$3=Projects!$C$18+Projects!$D$18-1),Projects!$B$18*(Assumptions!$B$10+Assumptions!$B$11+Assumptions!$B$12)*0.05,0)</f>
        <v>0</v>
      </c>
      <c r="BQ27" s="19" t="n">
        <f aca="false">IF(AND(Projects!$G$18="Yes",BQ$3&gt;=Projects!$C$18,BQ$3&lt;Projects!$C$18+Projects!$D$18),Projects!$B$18*INDEX(Curves!$B$4:$AR$4,1,BQ$3-Projects!$C$18+1),0)-IF(AND(Projects!$G$18="Yes",BQ$3&gt;=Projects!$C$18,BQ$3&lt;Projects!$C$18+Projects!$D$18),Projects!$B$18*(Assumptions!$B$10+Assumptions!$B$11+Assumptions!$B$12)/Projects!$D$18*0.95,0)-IF(AND(Projects!$G$18="Yes",BQ$3=Projects!$C$18+Projects!$D$18-1),Projects!$B$18*(Assumptions!$B$10+Assumptions!$B$11+Assumptions!$B$12)*0.05,0)</f>
        <v>0</v>
      </c>
      <c r="BR27" s="19" t="n">
        <f aca="false">IF(AND(Projects!$G$18="Yes",BR$3&gt;=Projects!$C$18,BR$3&lt;Projects!$C$18+Projects!$D$18),Projects!$B$18*INDEX(Curves!$B$4:$AR$4,1,BR$3-Projects!$C$18+1),0)-IF(AND(Projects!$G$18="Yes",BR$3&gt;=Projects!$C$18,BR$3&lt;Projects!$C$18+Projects!$D$18),Projects!$B$18*(Assumptions!$B$10+Assumptions!$B$11+Assumptions!$B$12)/Projects!$D$18*0.95,0)-IF(AND(Projects!$G$18="Yes",BR$3=Projects!$C$18+Projects!$D$18-1),Projects!$B$18*(Assumptions!$B$10+Assumptions!$B$11+Assumptions!$B$12)*0.05,0)</f>
        <v>0</v>
      </c>
      <c r="BS27" s="19" t="n">
        <f aca="false">IF(AND(Projects!$G$18="Yes",BS$3&gt;=Projects!$C$18,BS$3&lt;Projects!$C$18+Projects!$D$18),Projects!$B$18*INDEX(Curves!$B$4:$AR$4,1,BS$3-Projects!$C$18+1),0)-IF(AND(Projects!$G$18="Yes",BS$3&gt;=Projects!$C$18,BS$3&lt;Projects!$C$18+Projects!$D$18),Projects!$B$18*(Assumptions!$B$10+Assumptions!$B$11+Assumptions!$B$12)/Projects!$D$18*0.95,0)-IF(AND(Projects!$G$18="Yes",BS$3=Projects!$C$18+Projects!$D$18-1),Projects!$B$18*(Assumptions!$B$10+Assumptions!$B$11+Assumptions!$B$12)*0.05,0)</f>
        <v>0</v>
      </c>
      <c r="BT27" s="19" t="n">
        <f aca="false">IF(AND(Projects!$G$18="Yes",BT$3&gt;=Projects!$C$18,BT$3&lt;Projects!$C$18+Projects!$D$18),Projects!$B$18*INDEX(Curves!$B$4:$AR$4,1,BT$3-Projects!$C$18+1),0)-IF(AND(Projects!$G$18="Yes",BT$3&gt;=Projects!$C$18,BT$3&lt;Projects!$C$18+Projects!$D$18),Projects!$B$18*(Assumptions!$B$10+Assumptions!$B$11+Assumptions!$B$12)/Projects!$D$18*0.95,0)-IF(AND(Projects!$G$18="Yes",BT$3=Projects!$C$18+Projects!$D$18-1),Projects!$B$18*(Assumptions!$B$10+Assumptions!$B$11+Assumptions!$B$12)*0.05,0)</f>
        <v>0</v>
      </c>
      <c r="BU27" s="19" t="n">
        <f aca="false">IF(AND(Projects!$G$18="Yes",BU$3&gt;=Projects!$C$18,BU$3&lt;Projects!$C$18+Projects!$D$18),Projects!$B$18*INDEX(Curves!$B$4:$AR$4,1,BU$3-Projects!$C$18+1),0)-IF(AND(Projects!$G$18="Yes",BU$3&gt;=Projects!$C$18,BU$3&lt;Projects!$C$18+Projects!$D$18),Projects!$B$18*(Assumptions!$B$10+Assumptions!$B$11+Assumptions!$B$12)/Projects!$D$18*0.95,0)-IF(AND(Projects!$G$18="Yes",BU$3=Projects!$C$18+Projects!$D$18-1),Projects!$B$18*(Assumptions!$B$10+Assumptions!$B$11+Assumptions!$B$12)*0.05,0)</f>
        <v>0</v>
      </c>
      <c r="BV27" s="19" t="n">
        <f aca="false">IF(AND(Projects!$G$18="Yes",BV$3&gt;=Projects!$C$18,BV$3&lt;Projects!$C$18+Projects!$D$18),Projects!$B$18*INDEX(Curves!$B$4:$AR$4,1,BV$3-Projects!$C$18+1),0)-IF(AND(Projects!$G$18="Yes",BV$3&gt;=Projects!$C$18,BV$3&lt;Projects!$C$18+Projects!$D$18),Projects!$B$18*(Assumptions!$B$10+Assumptions!$B$11+Assumptions!$B$12)/Projects!$D$18*0.95,0)-IF(AND(Projects!$G$18="Yes",BV$3=Projects!$C$18+Projects!$D$18-1),Projects!$B$18*(Assumptions!$B$10+Assumptions!$B$11+Assumptions!$B$12)*0.05,0)</f>
        <v>0</v>
      </c>
      <c r="BW27" s="19" t="n">
        <f aca="false">IF(AND(Projects!$G$18="Yes",BW$3&gt;=Projects!$C$18,BW$3&lt;Projects!$C$18+Projects!$D$18),Projects!$B$18*INDEX(Curves!$B$4:$AR$4,1,BW$3-Projects!$C$18+1),0)-IF(AND(Projects!$G$18="Yes",BW$3&gt;=Projects!$C$18,BW$3&lt;Projects!$C$18+Projects!$D$18),Projects!$B$18*(Assumptions!$B$10+Assumptions!$B$11+Assumptions!$B$12)/Projects!$D$18*0.95,0)-IF(AND(Projects!$G$18="Yes",BW$3=Projects!$C$18+Projects!$D$18-1),Projects!$B$18*(Assumptions!$B$10+Assumptions!$B$11+Assumptions!$B$12)*0.05,0)</f>
        <v>0</v>
      </c>
      <c r="BX27" s="19" t="n">
        <f aca="false">IF(AND(Projects!$G$18="Yes",BX$3&gt;=Projects!$C$18,BX$3&lt;Projects!$C$18+Projects!$D$18),Projects!$B$18*INDEX(Curves!$B$4:$AR$4,1,BX$3-Projects!$C$18+1),0)-IF(AND(Projects!$G$18="Yes",BX$3&gt;=Projects!$C$18,BX$3&lt;Projects!$C$18+Projects!$D$18),Projects!$B$18*(Assumptions!$B$10+Assumptions!$B$11+Assumptions!$B$12)/Projects!$D$18*0.95,0)-IF(AND(Projects!$G$18="Yes",BX$3=Projects!$C$18+Projects!$D$18-1),Projects!$B$18*(Assumptions!$B$10+Assumptions!$B$11+Assumptions!$B$12)*0.05,0)</f>
        <v>0</v>
      </c>
      <c r="BY27" s="19" t="n">
        <f aca="false">IF(AND(Projects!$G$18="Yes",BY$3&gt;=Projects!$C$18,BY$3&lt;Projects!$C$18+Projects!$D$18),Projects!$B$18*INDEX(Curves!$B$4:$AR$4,1,BY$3-Projects!$C$18+1),0)-IF(AND(Projects!$G$18="Yes",BY$3&gt;=Projects!$C$18,BY$3&lt;Projects!$C$18+Projects!$D$18),Projects!$B$18*(Assumptions!$B$10+Assumptions!$B$11+Assumptions!$B$12)/Projects!$D$18*0.95,0)-IF(AND(Projects!$G$18="Yes",BY$3=Projects!$C$18+Projects!$D$18-1),Projects!$B$18*(Assumptions!$B$10+Assumptions!$B$11+Assumptions!$B$12)*0.05,0)</f>
        <v>0</v>
      </c>
      <c r="BZ27" s="19" t="n">
        <f aca="false">IF(AND(Projects!$G$18="Yes",BZ$3&gt;=Projects!$C$18,BZ$3&lt;Projects!$C$18+Projects!$D$18),Projects!$B$18*INDEX(Curves!$B$4:$AR$4,1,BZ$3-Projects!$C$18+1),0)-IF(AND(Projects!$G$18="Yes",BZ$3&gt;=Projects!$C$18,BZ$3&lt;Projects!$C$18+Projects!$D$18),Projects!$B$18*(Assumptions!$B$10+Assumptions!$B$11+Assumptions!$B$12)/Projects!$D$18*0.95,0)-IF(AND(Projects!$G$18="Yes",BZ$3=Projects!$C$18+Projects!$D$18-1),Projects!$B$18*(Assumptions!$B$10+Assumptions!$B$11+Assumptions!$B$12)*0.05,0)</f>
        <v>0</v>
      </c>
      <c r="CA27" s="19" t="n">
        <f aca="false">IF(AND(Projects!$G$18="Yes",CA$3&gt;=Projects!$C$18,CA$3&lt;Projects!$C$18+Projects!$D$18),Projects!$B$18*INDEX(Curves!$B$4:$AR$4,1,CA$3-Projects!$C$18+1),0)-IF(AND(Projects!$G$18="Yes",CA$3&gt;=Projects!$C$18,CA$3&lt;Projects!$C$18+Projects!$D$18),Projects!$B$18*(Assumptions!$B$10+Assumptions!$B$11+Assumptions!$B$12)/Projects!$D$18*0.95,0)-IF(AND(Projects!$G$18="Yes",CA$3=Projects!$C$18+Projects!$D$18-1),Projects!$B$18*(Assumptions!$B$10+Assumptions!$B$11+Assumptions!$B$12)*0.05,0)</f>
        <v>0</v>
      </c>
      <c r="CB27" s="19" t="n">
        <f aca="false">IF(AND(Projects!$G$18="Yes",CB$3&gt;=Projects!$C$18,CB$3&lt;Projects!$C$18+Projects!$D$18),Projects!$B$18*INDEX(Curves!$B$4:$AR$4,1,CB$3-Projects!$C$18+1),0)-IF(AND(Projects!$G$18="Yes",CB$3&gt;=Projects!$C$18,CB$3&lt;Projects!$C$18+Projects!$D$18),Projects!$B$18*(Assumptions!$B$10+Assumptions!$B$11+Assumptions!$B$12)/Projects!$D$18*0.95,0)-IF(AND(Projects!$G$18="Yes",CB$3=Projects!$C$18+Projects!$D$18-1),Projects!$B$18*(Assumptions!$B$10+Assumptions!$B$11+Assumptions!$B$12)*0.05,0)</f>
        <v>0</v>
      </c>
      <c r="CC27" s="19" t="n">
        <f aca="false">IF(AND(Projects!$G$18="Yes",CC$3&gt;=Projects!$C$18,CC$3&lt;Projects!$C$18+Projects!$D$18),Projects!$B$18*INDEX(Curves!$B$4:$AR$4,1,CC$3-Projects!$C$18+1),0)-IF(AND(Projects!$G$18="Yes",CC$3&gt;=Projects!$C$18,CC$3&lt;Projects!$C$18+Projects!$D$18),Projects!$B$18*(Assumptions!$B$10+Assumptions!$B$11+Assumptions!$B$12)/Projects!$D$18*0.95,0)-IF(AND(Projects!$G$18="Yes",CC$3=Projects!$C$18+Projects!$D$18-1),Projects!$B$18*(Assumptions!$B$10+Assumptions!$B$11+Assumptions!$B$12)*0.05,0)</f>
        <v>0</v>
      </c>
      <c r="CD27" s="19" t="n">
        <f aca="false">IF(AND(Projects!$G$18="Yes",CD$3&gt;=Projects!$C$18,CD$3&lt;Projects!$C$18+Projects!$D$18),Projects!$B$18*INDEX(Curves!$B$4:$AR$4,1,CD$3-Projects!$C$18+1),0)-IF(AND(Projects!$G$18="Yes",CD$3&gt;=Projects!$C$18,CD$3&lt;Projects!$C$18+Projects!$D$18),Projects!$B$18*(Assumptions!$B$10+Assumptions!$B$11+Assumptions!$B$12)/Projects!$D$18*0.95,0)-IF(AND(Projects!$G$18="Yes",CD$3=Projects!$C$18+Projects!$D$18-1),Projects!$B$18*(Assumptions!$B$10+Assumptions!$B$11+Assumptions!$B$12)*0.05,0)</f>
        <v>0</v>
      </c>
      <c r="CE27" s="19" t="n">
        <f aca="false">IF(AND(Projects!$G$18="Yes",CE$3&gt;=Projects!$C$18,CE$3&lt;Projects!$C$18+Projects!$D$18),Projects!$B$18*INDEX(Curves!$B$4:$AR$4,1,CE$3-Projects!$C$18+1),0)-IF(AND(Projects!$G$18="Yes",CE$3&gt;=Projects!$C$18,CE$3&lt;Projects!$C$18+Projects!$D$18),Projects!$B$18*(Assumptions!$B$10+Assumptions!$B$11+Assumptions!$B$12)/Projects!$D$18*0.95,0)-IF(AND(Projects!$G$18="Yes",CE$3=Projects!$C$18+Projects!$D$18-1),Projects!$B$18*(Assumptions!$B$10+Assumptions!$B$11+Assumptions!$B$12)*0.05,0)</f>
        <v>0</v>
      </c>
      <c r="CF27" s="19" t="n">
        <f aca="false">IF(AND(Projects!$G$18="Yes",CF$3&gt;=Projects!$C$18,CF$3&lt;Projects!$C$18+Projects!$D$18),Projects!$B$18*INDEX(Curves!$B$4:$AR$4,1,CF$3-Projects!$C$18+1),0)-IF(AND(Projects!$G$18="Yes",CF$3&gt;=Projects!$C$18,CF$3&lt;Projects!$C$18+Projects!$D$18),Projects!$B$18*(Assumptions!$B$10+Assumptions!$B$11+Assumptions!$B$12)/Projects!$D$18*0.95,0)-IF(AND(Projects!$G$18="Yes",CF$3=Projects!$C$18+Projects!$D$18-1),Projects!$B$18*(Assumptions!$B$10+Assumptions!$B$11+Assumptions!$B$12)*0.05,0)</f>
        <v>0</v>
      </c>
      <c r="CG27" s="19" t="n">
        <f aca="false">IF(AND(Projects!$G$18="Yes",CG$3&gt;=Projects!$C$18,CG$3&lt;Projects!$C$18+Projects!$D$18),Projects!$B$18*INDEX(Curves!$B$4:$AR$4,1,CG$3-Projects!$C$18+1),0)-IF(AND(Projects!$G$18="Yes",CG$3&gt;=Projects!$C$18,CG$3&lt;Projects!$C$18+Projects!$D$18),Projects!$B$18*(Assumptions!$B$10+Assumptions!$B$11+Assumptions!$B$12)/Projects!$D$18*0.95,0)-IF(AND(Projects!$G$18="Yes",CG$3=Projects!$C$18+Projects!$D$18-1),Projects!$B$18*(Assumptions!$B$10+Assumptions!$B$11+Assumptions!$B$12)*0.05,0)</f>
        <v>0</v>
      </c>
      <c r="CH27" s="19" t="n">
        <f aca="false">IF(AND(Projects!$G$18="Yes",CH$3&gt;=Projects!$C$18,CH$3&lt;Projects!$C$18+Projects!$D$18),Projects!$B$18*INDEX(Curves!$B$4:$AR$4,1,CH$3-Projects!$C$18+1),0)-IF(AND(Projects!$G$18="Yes",CH$3&gt;=Projects!$C$18,CH$3&lt;Projects!$C$18+Projects!$D$18),Projects!$B$18*(Assumptions!$B$10+Assumptions!$B$11+Assumptions!$B$12)/Projects!$D$18*0.95,0)-IF(AND(Projects!$G$18="Yes",CH$3=Projects!$C$18+Projects!$D$18-1),Projects!$B$18*(Assumptions!$B$10+Assumptions!$B$11+Assumptions!$B$12)*0.05,0)</f>
        <v>0</v>
      </c>
      <c r="CI27" s="19" t="n">
        <f aca="false">IF(AND(Projects!$G$18="Yes",CI$3&gt;=Projects!$C$18,CI$3&lt;Projects!$C$18+Projects!$D$18),Projects!$B$18*INDEX(Curves!$B$4:$AR$4,1,CI$3-Projects!$C$18+1),0)-IF(AND(Projects!$G$18="Yes",CI$3&gt;=Projects!$C$18,CI$3&lt;Projects!$C$18+Projects!$D$18),Projects!$B$18*(Assumptions!$B$10+Assumptions!$B$11+Assumptions!$B$12)/Projects!$D$18*0.95,0)-IF(AND(Projects!$G$18="Yes",CI$3=Projects!$C$18+Projects!$D$18-1),Projects!$B$18*(Assumptions!$B$10+Assumptions!$B$11+Assumptions!$B$12)*0.05,0)</f>
        <v>0</v>
      </c>
      <c r="CJ27" s="19" t="n">
        <f aca="false">IF(AND(Projects!$G$18="Yes",CJ$3&gt;=Projects!$C$18,CJ$3&lt;Projects!$C$18+Projects!$D$18),Projects!$B$18*INDEX(Curves!$B$4:$AR$4,1,CJ$3-Projects!$C$18+1),0)-IF(AND(Projects!$G$18="Yes",CJ$3&gt;=Projects!$C$18,CJ$3&lt;Projects!$C$18+Projects!$D$18),Projects!$B$18*(Assumptions!$B$10+Assumptions!$B$11+Assumptions!$B$12)/Projects!$D$18*0.95,0)-IF(AND(Projects!$G$18="Yes",CJ$3=Projects!$C$18+Projects!$D$18-1),Projects!$B$18*(Assumptions!$B$10+Assumptions!$B$11+Assumptions!$B$12)*0.05,0)</f>
        <v>0</v>
      </c>
      <c r="CK27" s="19" t="n">
        <f aca="false">IF(AND(Projects!$G$18="Yes",CK$3&gt;=Projects!$C$18,CK$3&lt;Projects!$C$18+Projects!$D$18),Projects!$B$18*INDEX(Curves!$B$4:$AR$4,1,CK$3-Projects!$C$18+1),0)-IF(AND(Projects!$G$18="Yes",CK$3&gt;=Projects!$C$18,CK$3&lt;Projects!$C$18+Projects!$D$18),Projects!$B$18*(Assumptions!$B$10+Assumptions!$B$11+Assumptions!$B$12)/Projects!$D$18*0.95,0)-IF(AND(Projects!$G$18="Yes",CK$3=Projects!$C$18+Projects!$D$18-1),Projects!$B$18*(Assumptions!$B$10+Assumptions!$B$11+Assumptions!$B$12)*0.05,0)</f>
        <v>0</v>
      </c>
      <c r="CL27" s="19" t="n">
        <f aca="false">IF(AND(Projects!$G$18="Yes",CL$3&gt;=Projects!$C$18,CL$3&lt;Projects!$C$18+Projects!$D$18),Projects!$B$18*INDEX(Curves!$B$4:$AR$4,1,CL$3-Projects!$C$18+1),0)-IF(AND(Projects!$G$18="Yes",CL$3&gt;=Projects!$C$18,CL$3&lt;Projects!$C$18+Projects!$D$18),Projects!$B$18*(Assumptions!$B$10+Assumptions!$B$11+Assumptions!$B$12)/Projects!$D$18*0.95,0)-IF(AND(Projects!$G$18="Yes",CL$3=Projects!$C$18+Projects!$D$18-1),Projects!$B$18*(Assumptions!$B$10+Assumptions!$B$11+Assumptions!$B$12)*0.05,0)</f>
        <v>0</v>
      </c>
      <c r="CM27" s="19" t="n">
        <f aca="false">IF(AND(Projects!$G$18="Yes",CM$3&gt;=Projects!$C$18,CM$3&lt;Projects!$C$18+Projects!$D$18),Projects!$B$18*INDEX(Curves!$B$4:$AR$4,1,CM$3-Projects!$C$18+1),0)-IF(AND(Projects!$G$18="Yes",CM$3&gt;=Projects!$C$18,CM$3&lt;Projects!$C$18+Projects!$D$18),Projects!$B$18*(Assumptions!$B$10+Assumptions!$B$11+Assumptions!$B$12)/Projects!$D$18*0.95,0)-IF(AND(Projects!$G$18="Yes",CM$3=Projects!$C$18+Projects!$D$18-1),Projects!$B$18*(Assumptions!$B$10+Assumptions!$B$11+Assumptions!$B$12)*0.05,0)</f>
        <v>0</v>
      </c>
      <c r="CN27" s="19" t="n">
        <f aca="false">IF(AND(Projects!$G$18="Yes",CN$3&gt;=Projects!$C$18,CN$3&lt;Projects!$C$18+Projects!$D$18),Projects!$B$18*INDEX(Curves!$B$4:$AR$4,1,CN$3-Projects!$C$18+1),0)-IF(AND(Projects!$G$18="Yes",CN$3&gt;=Projects!$C$18,CN$3&lt;Projects!$C$18+Projects!$D$18),Projects!$B$18*(Assumptions!$B$10+Assumptions!$B$11+Assumptions!$B$12)/Projects!$D$18*0.95,0)-IF(AND(Projects!$G$18="Yes",CN$3=Projects!$C$18+Projects!$D$18-1),Projects!$B$18*(Assumptions!$B$10+Assumptions!$B$11+Assumptions!$B$12)*0.05,0)</f>
        <v>0</v>
      </c>
      <c r="CO27" s="19" t="n">
        <f aca="false">IF(AND(Projects!$G$18="Yes",CO$3&gt;=Projects!$C$18,CO$3&lt;Projects!$C$18+Projects!$D$18),Projects!$B$18*INDEX(Curves!$B$4:$AR$4,1,CO$3-Projects!$C$18+1),0)-IF(AND(Projects!$G$18="Yes",CO$3&gt;=Projects!$C$18,CO$3&lt;Projects!$C$18+Projects!$D$18),Projects!$B$18*(Assumptions!$B$10+Assumptions!$B$11+Assumptions!$B$12)/Projects!$D$18*0.95,0)-IF(AND(Projects!$G$18="Yes",CO$3=Projects!$C$18+Projects!$D$18-1),Projects!$B$18*(Assumptions!$B$10+Assumptions!$B$11+Assumptions!$B$12)*0.05,0)</f>
        <v>0</v>
      </c>
      <c r="CP27" s="19" t="n">
        <f aca="false">IF(AND(Projects!$G$18="Yes",CP$3&gt;=Projects!$C$18,CP$3&lt;Projects!$C$18+Projects!$D$18),Projects!$B$18*INDEX(Curves!$B$4:$AR$4,1,CP$3-Projects!$C$18+1),0)-IF(AND(Projects!$G$18="Yes",CP$3&gt;=Projects!$C$18,CP$3&lt;Projects!$C$18+Projects!$D$18),Projects!$B$18*(Assumptions!$B$10+Assumptions!$B$11+Assumptions!$B$12)/Projects!$D$18*0.95,0)-IF(AND(Projects!$G$18="Yes",CP$3=Projects!$C$18+Projects!$D$18-1),Projects!$B$18*(Assumptions!$B$10+Assumptions!$B$11+Assumptions!$B$12)*0.05,0)</f>
        <v>0</v>
      </c>
      <c r="CQ27" s="19" t="n">
        <f aca="false">IF(AND(Projects!$G$18="Yes",CQ$3&gt;=Projects!$C$18,CQ$3&lt;Projects!$C$18+Projects!$D$18),Projects!$B$18*INDEX(Curves!$B$4:$AR$4,1,CQ$3-Projects!$C$18+1),0)-IF(AND(Projects!$G$18="Yes",CQ$3&gt;=Projects!$C$18,CQ$3&lt;Projects!$C$18+Projects!$D$18),Projects!$B$18*(Assumptions!$B$10+Assumptions!$B$11+Assumptions!$B$12)/Projects!$D$18*0.95,0)-IF(AND(Projects!$G$18="Yes",CQ$3=Projects!$C$18+Projects!$D$18-1),Projects!$B$18*(Assumptions!$B$10+Assumptions!$B$11+Assumptions!$B$12)*0.05,0)</f>
        <v>0</v>
      </c>
      <c r="CR27" s="19" t="n">
        <f aca="false">IF(AND(Projects!$G$18="Yes",CR$3&gt;=Projects!$C$18,CR$3&lt;Projects!$C$18+Projects!$D$18),Projects!$B$18*INDEX(Curves!$B$4:$AR$4,1,CR$3-Projects!$C$18+1),0)-IF(AND(Projects!$G$18="Yes",CR$3&gt;=Projects!$C$18,CR$3&lt;Projects!$C$18+Projects!$D$18),Projects!$B$18*(Assumptions!$B$10+Assumptions!$B$11+Assumptions!$B$12)/Projects!$D$18*0.95,0)-IF(AND(Projects!$G$18="Yes",CR$3=Projects!$C$18+Projects!$D$18-1),Projects!$B$18*(Assumptions!$B$10+Assumptions!$B$11+Assumptions!$B$12)*0.05,0)</f>
        <v>0</v>
      </c>
      <c r="CS27" s="19" t="n">
        <f aca="false">IF(AND(Projects!$G$18="Yes",CS$3&gt;=Projects!$C$18,CS$3&lt;Projects!$C$18+Projects!$D$18),Projects!$B$18*INDEX(Curves!$B$4:$AR$4,1,CS$3-Projects!$C$18+1),0)-IF(AND(Projects!$G$18="Yes",CS$3&gt;=Projects!$C$18,CS$3&lt;Projects!$C$18+Projects!$D$18),Projects!$B$18*(Assumptions!$B$10+Assumptions!$B$11+Assumptions!$B$12)/Projects!$D$18*0.95,0)-IF(AND(Projects!$G$18="Yes",CS$3=Projects!$C$18+Projects!$D$18-1),Projects!$B$18*(Assumptions!$B$10+Assumptions!$B$11+Assumptions!$B$12)*0.05,0)</f>
        <v>0</v>
      </c>
      <c r="CT27" s="19" t="n">
        <f aca="false">IF(AND(Projects!$G$18="Yes",CT$3&gt;=Projects!$C$18,CT$3&lt;Projects!$C$18+Projects!$D$18),Projects!$B$18*INDEX(Curves!$B$4:$AR$4,1,CT$3-Projects!$C$18+1),0)-IF(AND(Projects!$G$18="Yes",CT$3&gt;=Projects!$C$18,CT$3&lt;Projects!$C$18+Projects!$D$18),Projects!$B$18*(Assumptions!$B$10+Assumptions!$B$11+Assumptions!$B$12)/Projects!$D$18*0.95,0)-IF(AND(Projects!$G$18="Yes",CT$3=Projects!$C$18+Projects!$D$18-1),Projects!$B$18*(Assumptions!$B$10+Assumptions!$B$11+Assumptions!$B$12)*0.05,0)</f>
        <v>0</v>
      </c>
      <c r="CU27" s="19" t="n">
        <f aca="false">IF(AND(Projects!$G$18="Yes",CU$3&gt;=Projects!$C$18,CU$3&lt;Projects!$C$18+Projects!$D$18),Projects!$B$18*INDEX(Curves!$B$4:$AR$4,1,CU$3-Projects!$C$18+1),0)-IF(AND(Projects!$G$18="Yes",CU$3&gt;=Projects!$C$18,CU$3&lt;Projects!$C$18+Projects!$D$18),Projects!$B$18*(Assumptions!$B$10+Assumptions!$B$11+Assumptions!$B$12)/Projects!$D$18*0.95,0)-IF(AND(Projects!$G$18="Yes",CU$3=Projects!$C$18+Projects!$D$18-1),Projects!$B$18*(Assumptions!$B$10+Assumptions!$B$11+Assumptions!$B$12)*0.05,0)</f>
        <v>0</v>
      </c>
      <c r="CV27" s="19" t="n">
        <f aca="false">IF(AND(Projects!$G$18="Yes",CV$3&gt;=Projects!$C$18,CV$3&lt;Projects!$C$18+Projects!$D$18),Projects!$B$18*INDEX(Curves!$B$4:$AR$4,1,CV$3-Projects!$C$18+1),0)-IF(AND(Projects!$G$18="Yes",CV$3&gt;=Projects!$C$18,CV$3&lt;Projects!$C$18+Projects!$D$18),Projects!$B$18*(Assumptions!$B$10+Assumptions!$B$11+Assumptions!$B$12)/Projects!$D$18*0.95,0)-IF(AND(Projects!$G$18="Yes",CV$3=Projects!$C$18+Projects!$D$18-1),Projects!$B$18*(Assumptions!$B$10+Assumptions!$B$11+Assumptions!$B$12)*0.05,0)</f>
        <v>0</v>
      </c>
      <c r="CW27" s="19" t="n">
        <f aca="false">IF(AND(Projects!$G$18="Yes",CW$3&gt;=Projects!$C$18,CW$3&lt;Projects!$C$18+Projects!$D$18),Projects!$B$18*INDEX(Curves!$B$4:$AR$4,1,CW$3-Projects!$C$18+1),0)-IF(AND(Projects!$G$18="Yes",CW$3&gt;=Projects!$C$18,CW$3&lt;Projects!$C$18+Projects!$D$18),Projects!$B$18*(Assumptions!$B$10+Assumptions!$B$11+Assumptions!$B$12)/Projects!$D$18*0.95,0)-IF(AND(Projects!$G$18="Yes",CW$3=Projects!$C$18+Projects!$D$18-1),Projects!$B$18*(Assumptions!$B$10+Assumptions!$B$11+Assumptions!$B$12)*0.05,0)</f>
        <v>0</v>
      </c>
      <c r="CX27" s="19" t="n">
        <f aca="false">IF(AND(Projects!$G$18="Yes",CX$3&gt;=Projects!$C$18,CX$3&lt;Projects!$C$18+Projects!$D$18),Projects!$B$18*INDEX(Curves!$B$4:$AR$4,1,CX$3-Projects!$C$18+1),0)-IF(AND(Projects!$G$18="Yes",CX$3&gt;=Projects!$C$18,CX$3&lt;Projects!$C$18+Projects!$D$18),Projects!$B$18*(Assumptions!$B$10+Assumptions!$B$11+Assumptions!$B$12)/Projects!$D$18*0.95,0)-IF(AND(Projects!$G$18="Yes",CX$3=Projects!$C$18+Projects!$D$18-1),Projects!$B$18*(Assumptions!$B$10+Assumptions!$B$11+Assumptions!$B$12)*0.05,0)</f>
        <v>0</v>
      </c>
      <c r="CY27" s="19" t="n">
        <f aca="false">IF(AND(Projects!$G$18="Yes",CY$3&gt;=Projects!$C$18,CY$3&lt;Projects!$C$18+Projects!$D$18),Projects!$B$18*INDEX(Curves!$B$4:$AR$4,1,CY$3-Projects!$C$18+1),0)-IF(AND(Projects!$G$18="Yes",CY$3&gt;=Projects!$C$18,CY$3&lt;Projects!$C$18+Projects!$D$18),Projects!$B$18*(Assumptions!$B$10+Assumptions!$B$11+Assumptions!$B$12)/Projects!$D$18*0.95,0)-IF(AND(Projects!$G$18="Yes",CY$3=Projects!$C$18+Projects!$D$18-1),Projects!$B$18*(Assumptions!$B$10+Assumptions!$B$11+Assumptions!$B$12)*0.05,0)</f>
        <v>0</v>
      </c>
      <c r="CZ27" s="19" t="n">
        <f aca="false">IF(AND(Projects!$G$18="Yes",CZ$3&gt;=Projects!$C$18,CZ$3&lt;Projects!$C$18+Projects!$D$18),Projects!$B$18*INDEX(Curves!$B$4:$AR$4,1,CZ$3-Projects!$C$18+1),0)-IF(AND(Projects!$G$18="Yes",CZ$3&gt;=Projects!$C$18,CZ$3&lt;Projects!$C$18+Projects!$D$18),Projects!$B$18*(Assumptions!$B$10+Assumptions!$B$11+Assumptions!$B$12)/Projects!$D$18*0.95,0)-IF(AND(Projects!$G$18="Yes",CZ$3=Projects!$C$18+Projects!$D$18-1),Projects!$B$18*(Assumptions!$B$10+Assumptions!$B$11+Assumptions!$B$12)*0.05,0)</f>
        <v>0</v>
      </c>
      <c r="DA27" s="19" t="n">
        <f aca="false">IF(AND(Projects!$G$18="Yes",DA$3&gt;=Projects!$C$18,DA$3&lt;Projects!$C$18+Projects!$D$18),Projects!$B$18*INDEX(Curves!$B$4:$AR$4,1,DA$3-Projects!$C$18+1),0)-IF(AND(Projects!$G$18="Yes",DA$3&gt;=Projects!$C$18,DA$3&lt;Projects!$C$18+Projects!$D$18),Projects!$B$18*(Assumptions!$B$10+Assumptions!$B$11+Assumptions!$B$12)/Projects!$D$18*0.95,0)-IF(AND(Projects!$G$18="Yes",DA$3=Projects!$C$18+Projects!$D$18-1),Projects!$B$18*(Assumptions!$B$10+Assumptions!$B$11+Assumptions!$B$12)*0.05,0)</f>
        <v>0</v>
      </c>
      <c r="DB27" s="19" t="n">
        <f aca="false">IF(AND(Projects!$G$18="Yes",DB$3&gt;=Projects!$C$18,DB$3&lt;Projects!$C$18+Projects!$D$18),Projects!$B$18*INDEX(Curves!$B$4:$AR$4,1,DB$3-Projects!$C$18+1),0)-IF(AND(Projects!$G$18="Yes",DB$3&gt;=Projects!$C$18,DB$3&lt;Projects!$C$18+Projects!$D$18),Projects!$B$18*(Assumptions!$B$10+Assumptions!$B$11+Assumptions!$B$12)/Projects!$D$18*0.95,0)-IF(AND(Projects!$G$18="Yes",DB$3=Projects!$C$18+Projects!$D$18-1),Projects!$B$18*(Assumptions!$B$10+Assumptions!$B$11+Assumptions!$B$12)*0.05,0)</f>
        <v>0</v>
      </c>
      <c r="DC27" s="19" t="n">
        <f aca="false">IF(AND(Projects!$G$18="Yes",DC$3&gt;=Projects!$C$18,DC$3&lt;Projects!$C$18+Projects!$D$18),Projects!$B$18*INDEX(Curves!$B$4:$AR$4,1,DC$3-Projects!$C$18+1),0)-IF(AND(Projects!$G$18="Yes",DC$3&gt;=Projects!$C$18,DC$3&lt;Projects!$C$18+Projects!$D$18),Projects!$B$18*(Assumptions!$B$10+Assumptions!$B$11+Assumptions!$B$12)/Projects!$D$18*0.95,0)-IF(AND(Projects!$G$18="Yes",DC$3=Projects!$C$18+Projects!$D$18-1),Projects!$B$18*(Assumptions!$B$10+Assumptions!$B$11+Assumptions!$B$12)*0.05,0)</f>
        <v>0</v>
      </c>
      <c r="DD27" s="19" t="n">
        <f aca="false">IF(AND(Projects!$G$18="Yes",DD$3&gt;=Projects!$C$18,DD$3&lt;Projects!$C$18+Projects!$D$18),Projects!$B$18*INDEX(Curves!$B$4:$AR$4,1,DD$3-Projects!$C$18+1),0)-IF(AND(Projects!$G$18="Yes",DD$3&gt;=Projects!$C$18,DD$3&lt;Projects!$C$18+Projects!$D$18),Projects!$B$18*(Assumptions!$B$10+Assumptions!$B$11+Assumptions!$B$12)/Projects!$D$18*0.95,0)-IF(AND(Projects!$G$18="Yes",DD$3=Projects!$C$18+Projects!$D$18-1),Projects!$B$18*(Assumptions!$B$10+Assumptions!$B$11+Assumptions!$B$12)*0.05,0)</f>
        <v>0</v>
      </c>
      <c r="DE27" s="19" t="n">
        <f aca="false">IF(AND(Projects!$G$18="Yes",DE$3&gt;=Projects!$C$18,DE$3&lt;Projects!$C$18+Projects!$D$18),Projects!$B$18*INDEX(Curves!$B$4:$AR$4,1,DE$3-Projects!$C$18+1),0)-IF(AND(Projects!$G$18="Yes",DE$3&gt;=Projects!$C$18,DE$3&lt;Projects!$C$18+Projects!$D$18),Projects!$B$18*(Assumptions!$B$10+Assumptions!$B$11+Assumptions!$B$12)/Projects!$D$18*0.95,0)-IF(AND(Projects!$G$18="Yes",DE$3=Projects!$C$18+Projects!$D$18-1),Projects!$B$18*(Assumptions!$B$10+Assumptions!$B$11+Assumptions!$B$12)*0.05,0)</f>
        <v>0</v>
      </c>
    </row>
    <row r="28" customFormat="false" ht="15" hidden="true" customHeight="true" outlineLevel="1" collapsed="false">
      <c r="A28" s="28" t="s">
        <v>22</v>
      </c>
      <c r="B28" s="19" t="n">
        <v>0</v>
      </c>
      <c r="C28" s="19" t="n">
        <v>0</v>
      </c>
      <c r="D28" s="19" t="n">
        <v>0</v>
      </c>
      <c r="E28" s="19" t="n">
        <v>0</v>
      </c>
      <c r="F28" s="19" t="n">
        <f aca="false">IF(AND(Projects!$G$19="Yes",F$3&gt;=Projects!$C$19,F$3&lt;Projects!$C$19+Projects!$D$19),Projects!$B$19*INDEX(Curves!$B$4:$AR$4,1,F$3-Projects!$C$19+1),0)-IF(AND(Projects!$G$19="Yes",F$3&gt;=Projects!$C$19,F$3&lt;Projects!$C$19+Projects!$D$19),Projects!$B$19*(Assumptions!$B$10+Assumptions!$B$11+Assumptions!$B$12)/Projects!$D$19*0.95,0)-IF(AND(Projects!$G$19="Yes",F$3=Projects!$C$19+Projects!$D$19-1),Projects!$B$19*(Assumptions!$B$10+Assumptions!$B$11+Assumptions!$B$12)*0.05,0)</f>
        <v>0</v>
      </c>
      <c r="G28" s="19" t="n">
        <f aca="false">IF(AND(Projects!$G$19="Yes",G$3&gt;=Projects!$C$19,G$3&lt;Projects!$C$19+Projects!$D$19),Projects!$B$19*INDEX(Curves!$B$4:$AR$4,1,G$3-Projects!$C$19+1),0)-IF(AND(Projects!$G$19="Yes",G$3&gt;=Projects!$C$19,G$3&lt;Projects!$C$19+Projects!$D$19),Projects!$B$19*(Assumptions!$B$10+Assumptions!$B$11+Assumptions!$B$12)/Projects!$D$19*0.95,0)-IF(AND(Projects!$G$19="Yes",G$3=Projects!$C$19+Projects!$D$19-1),Projects!$B$19*(Assumptions!$B$10+Assumptions!$B$11+Assumptions!$B$12)*0.05,0)</f>
        <v>0</v>
      </c>
      <c r="H28" s="19" t="n">
        <f aca="false">IF(AND(Projects!$G$19="Yes",H$3&gt;=Projects!$C$19,H$3&lt;Projects!$C$19+Projects!$D$19),Projects!$B$19*INDEX(Curves!$B$4:$AR$4,1,H$3-Projects!$C$19+1),0)-IF(AND(Projects!$G$19="Yes",H$3&gt;=Projects!$C$19,H$3&lt;Projects!$C$19+Projects!$D$19),Projects!$B$19*(Assumptions!$B$10+Assumptions!$B$11+Assumptions!$B$12)/Projects!$D$19*0.95,0)-IF(AND(Projects!$G$19="Yes",H$3=Projects!$C$19+Projects!$D$19-1),Projects!$B$19*(Assumptions!$B$10+Assumptions!$B$11+Assumptions!$B$12)*0.05,0)</f>
        <v>0</v>
      </c>
      <c r="I28" s="19" t="n">
        <f aca="false">IF(AND(Projects!$G$19="Yes",I$3&gt;=Projects!$C$19,I$3&lt;Projects!$C$19+Projects!$D$19),Projects!$B$19*INDEX(Curves!$B$4:$AR$4,1,I$3-Projects!$C$19+1),0)-IF(AND(Projects!$G$19="Yes",I$3&gt;=Projects!$C$19,I$3&lt;Projects!$C$19+Projects!$D$19),Projects!$B$19*(Assumptions!$B$10+Assumptions!$B$11+Assumptions!$B$12)/Projects!$D$19*0.95,0)-IF(AND(Projects!$G$19="Yes",I$3=Projects!$C$19+Projects!$D$19-1),Projects!$B$19*(Assumptions!$B$10+Assumptions!$B$11+Assumptions!$B$12)*0.05,0)</f>
        <v>0</v>
      </c>
      <c r="J28" s="19" t="n">
        <f aca="false">IF(AND(Projects!$G$19="Yes",J$3&gt;=Projects!$C$19,J$3&lt;Projects!$C$19+Projects!$D$19),Projects!$B$19*INDEX(Curves!$B$4:$AR$4,1,J$3-Projects!$C$19+1),0)-IF(AND(Projects!$G$19="Yes",J$3&gt;=Projects!$C$19,J$3&lt;Projects!$C$19+Projects!$D$19),Projects!$B$19*(Assumptions!$B$10+Assumptions!$B$11+Assumptions!$B$12)/Projects!$D$19*0.95,0)-IF(AND(Projects!$G$19="Yes",J$3=Projects!$C$19+Projects!$D$19-1),Projects!$B$19*(Assumptions!$B$10+Assumptions!$B$11+Assumptions!$B$12)*0.05,0)</f>
        <v>0</v>
      </c>
      <c r="K28" s="19" t="n">
        <f aca="false">IF(AND(Projects!$G$19="Yes",K$3&gt;=Projects!$C$19,K$3&lt;Projects!$C$19+Projects!$D$19),Projects!$B$19*INDEX(Curves!$B$4:$AR$4,1,K$3-Projects!$C$19+1),0)-IF(AND(Projects!$G$19="Yes",K$3&gt;=Projects!$C$19,K$3&lt;Projects!$C$19+Projects!$D$19),Projects!$B$19*(Assumptions!$B$10+Assumptions!$B$11+Assumptions!$B$12)/Projects!$D$19*0.95,0)-IF(AND(Projects!$G$19="Yes",K$3=Projects!$C$19+Projects!$D$19-1),Projects!$B$19*(Assumptions!$B$10+Assumptions!$B$11+Assumptions!$B$12)*0.05,0)</f>
        <v>0</v>
      </c>
      <c r="L28" s="19" t="n">
        <f aca="false">IF(AND(Projects!$G$19="Yes",L$3&gt;=Projects!$C$19,L$3&lt;Projects!$C$19+Projects!$D$19),Projects!$B$19*INDEX(Curves!$B$4:$AR$4,1,L$3-Projects!$C$19+1),0)-IF(AND(Projects!$G$19="Yes",L$3&gt;=Projects!$C$19,L$3&lt;Projects!$C$19+Projects!$D$19),Projects!$B$19*(Assumptions!$B$10+Assumptions!$B$11+Assumptions!$B$12)/Projects!$D$19*0.95,0)-IF(AND(Projects!$G$19="Yes",L$3=Projects!$C$19+Projects!$D$19-1),Projects!$B$19*(Assumptions!$B$10+Assumptions!$B$11+Assumptions!$B$12)*0.05,0)</f>
        <v>0</v>
      </c>
      <c r="M28" s="19" t="n">
        <f aca="false">IF(AND(Projects!$G$19="Yes",M$3&gt;=Projects!$C$19,M$3&lt;Projects!$C$19+Projects!$D$19),Projects!$B$19*INDEX(Curves!$B$4:$AR$4,1,M$3-Projects!$C$19+1),0)-IF(AND(Projects!$G$19="Yes",M$3&gt;=Projects!$C$19,M$3&lt;Projects!$C$19+Projects!$D$19),Projects!$B$19*(Assumptions!$B$10+Assumptions!$B$11+Assumptions!$B$12)/Projects!$D$19*0.95,0)-IF(AND(Projects!$G$19="Yes",M$3=Projects!$C$19+Projects!$D$19-1),Projects!$B$19*(Assumptions!$B$10+Assumptions!$B$11+Assumptions!$B$12)*0.05,0)</f>
        <v>0</v>
      </c>
      <c r="N28" s="19" t="n">
        <f aca="false">IF(AND(Projects!$G$19="Yes",N$3&gt;=Projects!$C$19,N$3&lt;Projects!$C$19+Projects!$D$19),Projects!$B$19*INDEX(Curves!$B$4:$AR$4,1,N$3-Projects!$C$19+1),0)-IF(AND(Projects!$G$19="Yes",N$3&gt;=Projects!$C$19,N$3&lt;Projects!$C$19+Projects!$D$19),Projects!$B$19*(Assumptions!$B$10+Assumptions!$B$11+Assumptions!$B$12)/Projects!$D$19*0.95,0)-IF(AND(Projects!$G$19="Yes",N$3=Projects!$C$19+Projects!$D$19-1),Projects!$B$19*(Assumptions!$B$10+Assumptions!$B$11+Assumptions!$B$12)*0.05,0)</f>
        <v>0</v>
      </c>
      <c r="O28" s="19" t="n">
        <f aca="false">IF(AND(Projects!$G$19="Yes",O$3&gt;=Projects!$C$19,O$3&lt;Projects!$C$19+Projects!$D$19),Projects!$B$19*INDEX(Curves!$B$4:$AR$4,1,O$3-Projects!$C$19+1),0)-IF(AND(Projects!$G$19="Yes",O$3&gt;=Projects!$C$19,O$3&lt;Projects!$C$19+Projects!$D$19),Projects!$B$19*(Assumptions!$B$10+Assumptions!$B$11+Assumptions!$B$12)/Projects!$D$19*0.95,0)-IF(AND(Projects!$G$19="Yes",O$3=Projects!$C$19+Projects!$D$19-1),Projects!$B$19*(Assumptions!$B$10+Assumptions!$B$11+Assumptions!$B$12)*0.05,0)</f>
        <v>0</v>
      </c>
      <c r="P28" s="19" t="n">
        <f aca="false">IF(AND(Projects!$G$19="Yes",P$3&gt;=Projects!$C$19,P$3&lt;Projects!$C$19+Projects!$D$19),Projects!$B$19*INDEX(Curves!$B$4:$AR$4,1,P$3-Projects!$C$19+1),0)-IF(AND(Projects!$G$19="Yes",P$3&gt;=Projects!$C$19,P$3&lt;Projects!$C$19+Projects!$D$19),Projects!$B$19*(Assumptions!$B$10+Assumptions!$B$11+Assumptions!$B$12)/Projects!$D$19*0.95,0)-IF(AND(Projects!$G$19="Yes",P$3=Projects!$C$19+Projects!$D$19-1),Projects!$B$19*(Assumptions!$B$10+Assumptions!$B$11+Assumptions!$B$12)*0.05,0)</f>
        <v>0</v>
      </c>
      <c r="Q28" s="19" t="n">
        <f aca="false">IF(AND(Projects!$G$19="Yes",Q$3&gt;=Projects!$C$19,Q$3&lt;Projects!$C$19+Projects!$D$19),Projects!$B$19*INDEX(Curves!$B$4:$AR$4,1,Q$3-Projects!$C$19+1),0)-IF(AND(Projects!$G$19="Yes",Q$3&gt;=Projects!$C$19,Q$3&lt;Projects!$C$19+Projects!$D$19),Projects!$B$19*(Assumptions!$B$10+Assumptions!$B$11+Assumptions!$B$12)/Projects!$D$19*0.95,0)-IF(AND(Projects!$G$19="Yes",Q$3=Projects!$C$19+Projects!$D$19-1),Projects!$B$19*(Assumptions!$B$10+Assumptions!$B$11+Assumptions!$B$12)*0.05,0)</f>
        <v>0</v>
      </c>
      <c r="R28" s="19" t="n">
        <f aca="false">IF(AND(Projects!$G$19="Yes",R$3&gt;=Projects!$C$19,R$3&lt;Projects!$C$19+Projects!$D$19),Projects!$B$19*INDEX(Curves!$B$4:$AR$4,1,R$3-Projects!$C$19+1),0)-IF(AND(Projects!$G$19="Yes",R$3&gt;=Projects!$C$19,R$3&lt;Projects!$C$19+Projects!$D$19),Projects!$B$19*(Assumptions!$B$10+Assumptions!$B$11+Assumptions!$B$12)/Projects!$D$19*0.95,0)-IF(AND(Projects!$G$19="Yes",R$3=Projects!$C$19+Projects!$D$19-1),Projects!$B$19*(Assumptions!$B$10+Assumptions!$B$11+Assumptions!$B$12)*0.05,0)</f>
        <v>0</v>
      </c>
      <c r="S28" s="19" t="n">
        <f aca="false">IF(AND(Projects!$G$19="Yes",S$3&gt;=Projects!$C$19,S$3&lt;Projects!$C$19+Projects!$D$19),Projects!$B$19*INDEX(Curves!$B$4:$AR$4,1,S$3-Projects!$C$19+1),0)-IF(AND(Projects!$G$19="Yes",S$3&gt;=Projects!$C$19,S$3&lt;Projects!$C$19+Projects!$D$19),Projects!$B$19*(Assumptions!$B$10+Assumptions!$B$11+Assumptions!$B$12)/Projects!$D$19*0.95,0)-IF(AND(Projects!$G$19="Yes",S$3=Projects!$C$19+Projects!$D$19-1),Projects!$B$19*(Assumptions!$B$10+Assumptions!$B$11+Assumptions!$B$12)*0.05,0)</f>
        <v>0</v>
      </c>
      <c r="T28" s="19" t="n">
        <f aca="false">IF(AND(Projects!$G$19="Yes",T$3&gt;=Projects!$C$19,T$3&lt;Projects!$C$19+Projects!$D$19),Projects!$B$19*INDEX(Curves!$B$4:$AR$4,1,T$3-Projects!$C$19+1),0)-IF(AND(Projects!$G$19="Yes",T$3&gt;=Projects!$C$19,T$3&lt;Projects!$C$19+Projects!$D$19),Projects!$B$19*(Assumptions!$B$10+Assumptions!$B$11+Assumptions!$B$12)/Projects!$D$19*0.95,0)-IF(AND(Projects!$G$19="Yes",T$3=Projects!$C$19+Projects!$D$19-1),Projects!$B$19*(Assumptions!$B$10+Assumptions!$B$11+Assumptions!$B$12)*0.05,0)</f>
        <v>378029.73543905</v>
      </c>
      <c r="U28" s="19" t="n">
        <f aca="false">IF(AND(Projects!$G$19="Yes",U$3&gt;=Projects!$C$19,U$3&lt;Projects!$C$19+Projects!$D$19),Projects!$B$19*INDEX(Curves!$B$4:$AR$4,1,U$3-Projects!$C$19+1),0)-IF(AND(Projects!$G$19="Yes",U$3&gt;=Projects!$C$19,U$3&lt;Projects!$C$19+Projects!$D$19),Projects!$B$19*(Assumptions!$B$10+Assumptions!$B$11+Assumptions!$B$12)/Projects!$D$19*0.95,0)-IF(AND(Projects!$G$19="Yes",U$3=Projects!$C$19+Projects!$D$19-1),Projects!$B$19*(Assumptions!$B$10+Assumptions!$B$11+Assumptions!$B$12)*0.05,0)</f>
        <v>493186.38507505</v>
      </c>
      <c r="V28" s="19" t="n">
        <f aca="false">IF(AND(Projects!$G$19="Yes",V$3&gt;=Projects!$C$19,V$3&lt;Projects!$C$19+Projects!$D$19),Projects!$B$19*INDEX(Curves!$B$4:$AR$4,1,V$3-Projects!$C$19+1),0)-IF(AND(Projects!$G$19="Yes",V$3&gt;=Projects!$C$19,V$3&lt;Projects!$C$19+Projects!$D$19),Projects!$B$19*(Assumptions!$B$10+Assumptions!$B$11+Assumptions!$B$12)/Projects!$D$19*0.95,0)-IF(AND(Projects!$G$19="Yes",V$3=Projects!$C$19+Projects!$D$19-1),Projects!$B$19*(Assumptions!$B$10+Assumptions!$B$11+Assumptions!$B$12)*0.05,0)</f>
        <v>617140.23552405</v>
      </c>
      <c r="W28" s="19" t="n">
        <f aca="false">IF(AND(Projects!$G$19="Yes",W$3&gt;=Projects!$C$19,W$3&lt;Projects!$C$19+Projects!$D$19),Projects!$B$19*INDEX(Curves!$B$4:$AR$4,1,W$3-Projects!$C$19+1),0)-IF(AND(Projects!$G$19="Yes",W$3&gt;=Projects!$C$19,W$3&lt;Projects!$C$19+Projects!$D$19),Projects!$B$19*(Assumptions!$B$10+Assumptions!$B$11+Assumptions!$B$12)/Projects!$D$19*0.95,0)-IF(AND(Projects!$G$19="Yes",W$3=Projects!$C$19+Projects!$D$19-1),Projects!$B$19*(Assumptions!$B$10+Assumptions!$B$11+Assumptions!$B$12)*0.05,0)</f>
        <v>744948.62469405</v>
      </c>
      <c r="X28" s="19" t="n">
        <f aca="false">IF(AND(Projects!$G$19="Yes",X$3&gt;=Projects!$C$19,X$3&lt;Projects!$C$19+Projects!$D$19),Projects!$B$19*INDEX(Curves!$B$4:$AR$4,1,X$3-Projects!$C$19+1),0)-IF(AND(Projects!$G$19="Yes",X$3&gt;=Projects!$C$19,X$3&lt;Projects!$C$19+Projects!$D$19),Projects!$B$19*(Assumptions!$B$10+Assumptions!$B$11+Assumptions!$B$12)/Projects!$D$19*0.95,0)-IF(AND(Projects!$G$19="Yes",X$3=Projects!$C$19+Projects!$D$19-1),Projects!$B$19*(Assumptions!$B$10+Assumptions!$B$11+Assumptions!$B$12)*0.05,0)</f>
        <v>870470.11050805</v>
      </c>
      <c r="Y28" s="19" t="n">
        <f aca="false">IF(AND(Projects!$G$19="Yes",Y$3&gt;=Projects!$C$19,Y$3&lt;Projects!$C$19+Projects!$D$19),Projects!$B$19*INDEX(Curves!$B$4:$AR$4,1,Y$3-Projects!$C$19+1),0)-IF(AND(Projects!$G$19="Yes",Y$3&gt;=Projects!$C$19,Y$3&lt;Projects!$C$19+Projects!$D$19),Projects!$B$19*(Assumptions!$B$10+Assumptions!$B$11+Assumptions!$B$12)/Projects!$D$19*0.95,0)-IF(AND(Projects!$G$19="Yes",Y$3=Projects!$C$19+Projects!$D$19-1),Projects!$B$19*(Assumptions!$B$10+Assumptions!$B$11+Assumptions!$B$12)*0.05,0)</f>
        <v>986733.32628405</v>
      </c>
      <c r="Z28" s="19" t="n">
        <f aca="false">IF(AND(Projects!$G$19="Yes",Z$3&gt;=Projects!$C$19,Z$3&lt;Projects!$C$19+Projects!$D$19),Projects!$B$19*INDEX(Curves!$B$4:$AR$4,1,Z$3-Projects!$C$19+1),0)-IF(AND(Projects!$G$19="Yes",Z$3&gt;=Projects!$C$19,Z$3&lt;Projects!$C$19+Projects!$D$19),Projects!$B$19*(Assumptions!$B$10+Assumptions!$B$11+Assumptions!$B$12)/Projects!$D$19*0.95,0)-IF(AND(Projects!$G$19="Yes",Z$3=Projects!$C$19+Projects!$D$19-1),Projects!$B$19*(Assumptions!$B$10+Assumptions!$B$11+Assumptions!$B$12)*0.05,0)</f>
        <v>1086600.92041905</v>
      </c>
      <c r="AA28" s="19" t="n">
        <f aca="false">IF(AND(Projects!$G$19="Yes",AA$3&gt;=Projects!$C$19,AA$3&lt;Projects!$C$19+Projects!$D$19),Projects!$B$19*INDEX(Curves!$B$4:$AR$4,1,AA$3-Projects!$C$19+1),0)-IF(AND(Projects!$G$19="Yes",AA$3&gt;=Projects!$C$19,AA$3&lt;Projects!$C$19+Projects!$D$19),Projects!$B$19*(Assumptions!$B$10+Assumptions!$B$11+Assumptions!$B$12)/Projects!$D$19*0.95,0)-IF(AND(Projects!$G$19="Yes",AA$3=Projects!$C$19+Projects!$D$19-1),Projects!$B$19*(Assumptions!$B$10+Assumptions!$B$11+Assumptions!$B$12)*0.05,0)</f>
        <v>1163451.93884205</v>
      </c>
      <c r="AB28" s="19" t="n">
        <f aca="false">IF(AND(Projects!$G$19="Yes",AB$3&gt;=Projects!$C$19,AB$3&lt;Projects!$C$19+Projects!$D$19),Projects!$B$19*INDEX(Curves!$B$4:$AR$4,1,AB$3-Projects!$C$19+1),0)-IF(AND(Projects!$G$19="Yes",AB$3&gt;=Projects!$C$19,AB$3&lt;Projects!$C$19+Projects!$D$19),Projects!$B$19*(Assumptions!$B$10+Assumptions!$B$11+Assumptions!$B$12)/Projects!$D$19*0.95,0)-IF(AND(Projects!$G$19="Yes",AB$3=Projects!$C$19+Projects!$D$19-1),Projects!$B$19*(Assumptions!$B$10+Assumptions!$B$11+Assumptions!$B$12)*0.05,0)</f>
        <v>1211919.53577405</v>
      </c>
      <c r="AC28" s="19" t="n">
        <f aca="false">IF(AND(Projects!$G$19="Yes",AC$3&gt;=Projects!$C$19,AC$3&lt;Projects!$C$19+Projects!$D$19),Projects!$B$19*INDEX(Curves!$B$4:$AR$4,1,AC$3-Projects!$C$19+1),0)-IF(AND(Projects!$G$19="Yes",AC$3&gt;=Projects!$C$19,AC$3&lt;Projects!$C$19+Projects!$D$19),Projects!$B$19*(Assumptions!$B$10+Assumptions!$B$11+Assumptions!$B$12)/Projects!$D$19*0.95,0)-IF(AND(Projects!$G$19="Yes",AC$3=Projects!$C$19+Projects!$D$19-1),Projects!$B$19*(Assumptions!$B$10+Assumptions!$B$11+Assumptions!$B$12)*0.05,0)</f>
        <v>1228481.14233605</v>
      </c>
      <c r="AD28" s="19" t="n">
        <f aca="false">IF(AND(Projects!$G$19="Yes",AD$3&gt;=Projects!$C$19,AD$3&lt;Projects!$C$19+Projects!$D$19),Projects!$B$19*INDEX(Curves!$B$4:$AR$4,1,AD$3-Projects!$C$19+1),0)-IF(AND(Projects!$G$19="Yes",AD$3&gt;=Projects!$C$19,AD$3&lt;Projects!$C$19+Projects!$D$19),Projects!$B$19*(Assumptions!$B$10+Assumptions!$B$11+Assumptions!$B$12)/Projects!$D$19*0.95,0)-IF(AND(Projects!$G$19="Yes",AD$3=Projects!$C$19+Projects!$D$19-1),Projects!$B$19*(Assumptions!$B$10+Assumptions!$B$11+Assumptions!$B$12)*0.05,0)</f>
        <v>1211919.53577405</v>
      </c>
      <c r="AE28" s="19" t="n">
        <f aca="false">IF(AND(Projects!$G$19="Yes",AE$3&gt;=Projects!$C$19,AE$3&lt;Projects!$C$19+Projects!$D$19),Projects!$B$19*INDEX(Curves!$B$4:$AR$4,1,AE$3-Projects!$C$19+1),0)-IF(AND(Projects!$G$19="Yes",AE$3&gt;=Projects!$C$19,AE$3&lt;Projects!$C$19+Projects!$D$19),Projects!$B$19*(Assumptions!$B$10+Assumptions!$B$11+Assumptions!$B$12)/Projects!$D$19*0.95,0)-IF(AND(Projects!$G$19="Yes",AE$3=Projects!$C$19+Projects!$D$19-1),Projects!$B$19*(Assumptions!$B$10+Assumptions!$B$11+Assumptions!$B$12)*0.05,0)</f>
        <v>1163451.93884205</v>
      </c>
      <c r="AF28" s="19" t="n">
        <f aca="false">IF(AND(Projects!$G$19="Yes",AF$3&gt;=Projects!$C$19,AF$3&lt;Projects!$C$19+Projects!$D$19),Projects!$B$19*INDEX(Curves!$B$4:$AR$4,1,AF$3-Projects!$C$19+1),0)-IF(AND(Projects!$G$19="Yes",AF$3&gt;=Projects!$C$19,AF$3&lt;Projects!$C$19+Projects!$D$19),Projects!$B$19*(Assumptions!$B$10+Assumptions!$B$11+Assumptions!$B$12)/Projects!$D$19*0.95,0)-IF(AND(Projects!$G$19="Yes",AF$3=Projects!$C$19+Projects!$D$19-1),Projects!$B$19*(Assumptions!$B$10+Assumptions!$B$11+Assumptions!$B$12)*0.05,0)</f>
        <v>1086600.92041905</v>
      </c>
      <c r="AG28" s="19" t="n">
        <f aca="false">IF(AND(Projects!$G$19="Yes",AG$3&gt;=Projects!$C$19,AG$3&lt;Projects!$C$19+Projects!$D$19),Projects!$B$19*INDEX(Curves!$B$4:$AR$4,1,AG$3-Projects!$C$19+1),0)-IF(AND(Projects!$G$19="Yes",AG$3&gt;=Projects!$C$19,AG$3&lt;Projects!$C$19+Projects!$D$19),Projects!$B$19*(Assumptions!$B$10+Assumptions!$B$11+Assumptions!$B$12)/Projects!$D$19*0.95,0)-IF(AND(Projects!$G$19="Yes",AG$3=Projects!$C$19+Projects!$D$19-1),Projects!$B$19*(Assumptions!$B$10+Assumptions!$B$11+Assumptions!$B$12)*0.05,0)</f>
        <v>986733.32628405</v>
      </c>
      <c r="AH28" s="19" t="n">
        <f aca="false">IF(AND(Projects!$G$19="Yes",AH$3&gt;=Projects!$C$19,AH$3&lt;Projects!$C$19+Projects!$D$19),Projects!$B$19*INDEX(Curves!$B$4:$AR$4,1,AH$3-Projects!$C$19+1),0)-IF(AND(Projects!$G$19="Yes",AH$3&gt;=Projects!$C$19,AH$3&lt;Projects!$C$19+Projects!$D$19),Projects!$B$19*(Assumptions!$B$10+Assumptions!$B$11+Assumptions!$B$12)/Projects!$D$19*0.95,0)-IF(AND(Projects!$G$19="Yes",AH$3=Projects!$C$19+Projects!$D$19-1),Projects!$B$19*(Assumptions!$B$10+Assumptions!$B$11+Assumptions!$B$12)*0.05,0)</f>
        <v>870470.11050805</v>
      </c>
      <c r="AI28" s="19" t="n">
        <f aca="false">IF(AND(Projects!$G$19="Yes",AI$3&gt;=Projects!$C$19,AI$3&lt;Projects!$C$19+Projects!$D$19),Projects!$B$19*INDEX(Curves!$B$4:$AR$4,1,AI$3-Projects!$C$19+1),0)-IF(AND(Projects!$G$19="Yes",AI$3&gt;=Projects!$C$19,AI$3&lt;Projects!$C$19+Projects!$D$19),Projects!$B$19*(Assumptions!$B$10+Assumptions!$B$11+Assumptions!$B$12)/Projects!$D$19*0.95,0)-IF(AND(Projects!$G$19="Yes",AI$3=Projects!$C$19+Projects!$D$19-1),Projects!$B$19*(Assumptions!$B$10+Assumptions!$B$11+Assumptions!$B$12)*0.05,0)</f>
        <v>744948.62469405</v>
      </c>
      <c r="AJ28" s="19" t="n">
        <f aca="false">IF(AND(Projects!$G$19="Yes",AJ$3&gt;=Projects!$C$19,AJ$3&lt;Projects!$C$19+Projects!$D$19),Projects!$B$19*INDEX(Curves!$B$4:$AR$4,1,AJ$3-Projects!$C$19+1),0)-IF(AND(Projects!$G$19="Yes",AJ$3&gt;=Projects!$C$19,AJ$3&lt;Projects!$C$19+Projects!$D$19),Projects!$B$19*(Assumptions!$B$10+Assumptions!$B$11+Assumptions!$B$12)/Projects!$D$19*0.95,0)-IF(AND(Projects!$G$19="Yes",AJ$3=Projects!$C$19+Projects!$D$19-1),Projects!$B$19*(Assumptions!$B$10+Assumptions!$B$11+Assumptions!$B$12)*0.05,0)</f>
        <v>617140.23552405</v>
      </c>
      <c r="AK28" s="19" t="n">
        <f aca="false">IF(AND(Projects!$G$19="Yes",AK$3&gt;=Projects!$C$19,AK$3&lt;Projects!$C$19+Projects!$D$19),Projects!$B$19*INDEX(Curves!$B$4:$AR$4,1,AK$3-Projects!$C$19+1),0)-IF(AND(Projects!$G$19="Yes",AK$3&gt;=Projects!$C$19,AK$3&lt;Projects!$C$19+Projects!$D$19),Projects!$B$19*(Assumptions!$B$10+Assumptions!$B$11+Assumptions!$B$12)/Projects!$D$19*0.95,0)-IF(AND(Projects!$G$19="Yes",AK$3=Projects!$C$19+Projects!$D$19-1),Projects!$B$19*(Assumptions!$B$10+Assumptions!$B$11+Assumptions!$B$12)*0.05,0)</f>
        <v>493186.38507505</v>
      </c>
      <c r="AL28" s="19" t="n">
        <f aca="false">IF(AND(Projects!$G$19="Yes",AL$3&gt;=Projects!$C$19,AL$3&lt;Projects!$C$19+Projects!$D$19),Projects!$B$19*INDEX(Curves!$B$4:$AR$4,1,AL$3-Projects!$C$19+1),0)-IF(AND(Projects!$G$19="Yes",AL$3&gt;=Projects!$C$19,AL$3&lt;Projects!$C$19+Projects!$D$19),Projects!$B$19*(Assumptions!$B$10+Assumptions!$B$11+Assumptions!$B$12)/Projects!$D$19*0.95,0)-IF(AND(Projects!$G$19="Yes",AL$3=Projects!$C$19+Projects!$D$19-1),Projects!$B$19*(Assumptions!$B$10+Assumptions!$B$11+Assumptions!$B$12)*0.05,0)</f>
        <v>267012.5653051</v>
      </c>
      <c r="AM28" s="19" t="n">
        <f aca="false">IF(AND(Projects!$G$19="Yes",AM$3&gt;=Projects!$C$19,AM$3&lt;Projects!$C$19+Projects!$D$19),Projects!$B$19*INDEX(Curves!$B$4:$AR$4,1,AM$3-Projects!$C$19+1),0)-IF(AND(Projects!$G$19="Yes",AM$3&gt;=Projects!$C$19,AM$3&lt;Projects!$C$19+Projects!$D$19),Projects!$B$19*(Assumptions!$B$10+Assumptions!$B$11+Assumptions!$B$12)/Projects!$D$19*0.95,0)-IF(AND(Projects!$G$19="Yes",AM$3=Projects!$C$19+Projects!$D$19-1),Projects!$B$19*(Assumptions!$B$10+Assumptions!$B$11+Assumptions!$B$12)*0.05,0)</f>
        <v>0</v>
      </c>
      <c r="AN28" s="19" t="n">
        <f aca="false">IF(AND(Projects!$G$19="Yes",AN$3&gt;=Projects!$C$19,AN$3&lt;Projects!$C$19+Projects!$D$19),Projects!$B$19*INDEX(Curves!$B$4:$AR$4,1,AN$3-Projects!$C$19+1),0)-IF(AND(Projects!$G$19="Yes",AN$3&gt;=Projects!$C$19,AN$3&lt;Projects!$C$19+Projects!$D$19),Projects!$B$19*(Assumptions!$B$10+Assumptions!$B$11+Assumptions!$B$12)/Projects!$D$19*0.95,0)-IF(AND(Projects!$G$19="Yes",AN$3=Projects!$C$19+Projects!$D$19-1),Projects!$B$19*(Assumptions!$B$10+Assumptions!$B$11+Assumptions!$B$12)*0.05,0)</f>
        <v>0</v>
      </c>
      <c r="AO28" s="19" t="n">
        <f aca="false">IF(AND(Projects!$G$19="Yes",AO$3&gt;=Projects!$C$19,AO$3&lt;Projects!$C$19+Projects!$D$19),Projects!$B$19*INDEX(Curves!$B$4:$AR$4,1,AO$3-Projects!$C$19+1),0)-IF(AND(Projects!$G$19="Yes",AO$3&gt;=Projects!$C$19,AO$3&lt;Projects!$C$19+Projects!$D$19),Projects!$B$19*(Assumptions!$B$10+Assumptions!$B$11+Assumptions!$B$12)/Projects!$D$19*0.95,0)-IF(AND(Projects!$G$19="Yes",AO$3=Projects!$C$19+Projects!$D$19-1),Projects!$B$19*(Assumptions!$B$10+Assumptions!$B$11+Assumptions!$B$12)*0.05,0)</f>
        <v>0</v>
      </c>
      <c r="AP28" s="19" t="n">
        <f aca="false">IF(AND(Projects!$G$19="Yes",AP$3&gt;=Projects!$C$19,AP$3&lt;Projects!$C$19+Projects!$D$19),Projects!$B$19*INDEX(Curves!$B$4:$AR$4,1,AP$3-Projects!$C$19+1),0)-IF(AND(Projects!$G$19="Yes",AP$3&gt;=Projects!$C$19,AP$3&lt;Projects!$C$19+Projects!$D$19),Projects!$B$19*(Assumptions!$B$10+Assumptions!$B$11+Assumptions!$B$12)/Projects!$D$19*0.95,0)-IF(AND(Projects!$G$19="Yes",AP$3=Projects!$C$19+Projects!$D$19-1),Projects!$B$19*(Assumptions!$B$10+Assumptions!$B$11+Assumptions!$B$12)*0.05,0)</f>
        <v>0</v>
      </c>
      <c r="AQ28" s="19" t="n">
        <f aca="false">IF(AND(Projects!$G$19="Yes",AQ$3&gt;=Projects!$C$19,AQ$3&lt;Projects!$C$19+Projects!$D$19),Projects!$B$19*INDEX(Curves!$B$4:$AR$4,1,AQ$3-Projects!$C$19+1),0)-IF(AND(Projects!$G$19="Yes",AQ$3&gt;=Projects!$C$19,AQ$3&lt;Projects!$C$19+Projects!$D$19),Projects!$B$19*(Assumptions!$B$10+Assumptions!$B$11+Assumptions!$B$12)/Projects!$D$19*0.95,0)-IF(AND(Projects!$G$19="Yes",AQ$3=Projects!$C$19+Projects!$D$19-1),Projects!$B$19*(Assumptions!$B$10+Assumptions!$B$11+Assumptions!$B$12)*0.05,0)</f>
        <v>0</v>
      </c>
      <c r="AR28" s="19" t="n">
        <f aca="false">IF(AND(Projects!$G$19="Yes",AR$3&gt;=Projects!$C$19,AR$3&lt;Projects!$C$19+Projects!$D$19),Projects!$B$19*INDEX(Curves!$B$4:$AR$4,1,AR$3-Projects!$C$19+1),0)-IF(AND(Projects!$G$19="Yes",AR$3&gt;=Projects!$C$19,AR$3&lt;Projects!$C$19+Projects!$D$19),Projects!$B$19*(Assumptions!$B$10+Assumptions!$B$11+Assumptions!$B$12)/Projects!$D$19*0.95,0)-IF(AND(Projects!$G$19="Yes",AR$3=Projects!$C$19+Projects!$D$19-1),Projects!$B$19*(Assumptions!$B$10+Assumptions!$B$11+Assumptions!$B$12)*0.05,0)</f>
        <v>0</v>
      </c>
      <c r="AS28" s="19" t="n">
        <f aca="false">IF(AND(Projects!$G$19="Yes",AS$3&gt;=Projects!$C$19,AS$3&lt;Projects!$C$19+Projects!$D$19),Projects!$B$19*INDEX(Curves!$B$4:$AR$4,1,AS$3-Projects!$C$19+1),0)-IF(AND(Projects!$G$19="Yes",AS$3&gt;=Projects!$C$19,AS$3&lt;Projects!$C$19+Projects!$D$19),Projects!$B$19*(Assumptions!$B$10+Assumptions!$B$11+Assumptions!$B$12)/Projects!$D$19*0.95,0)-IF(AND(Projects!$G$19="Yes",AS$3=Projects!$C$19+Projects!$D$19-1),Projects!$B$19*(Assumptions!$B$10+Assumptions!$B$11+Assumptions!$B$12)*0.05,0)</f>
        <v>0</v>
      </c>
      <c r="AT28" s="19" t="n">
        <f aca="false">IF(AND(Projects!$G$19="Yes",AT$3&gt;=Projects!$C$19,AT$3&lt;Projects!$C$19+Projects!$D$19),Projects!$B$19*INDEX(Curves!$B$4:$AR$4,1,AT$3-Projects!$C$19+1),0)-IF(AND(Projects!$G$19="Yes",AT$3&gt;=Projects!$C$19,AT$3&lt;Projects!$C$19+Projects!$D$19),Projects!$B$19*(Assumptions!$B$10+Assumptions!$B$11+Assumptions!$B$12)/Projects!$D$19*0.95,0)-IF(AND(Projects!$G$19="Yes",AT$3=Projects!$C$19+Projects!$D$19-1),Projects!$B$19*(Assumptions!$B$10+Assumptions!$B$11+Assumptions!$B$12)*0.05,0)</f>
        <v>0</v>
      </c>
      <c r="AU28" s="19" t="n">
        <f aca="false">IF(AND(Projects!$G$19="Yes",AU$3&gt;=Projects!$C$19,AU$3&lt;Projects!$C$19+Projects!$D$19),Projects!$B$19*INDEX(Curves!$B$4:$AR$4,1,AU$3-Projects!$C$19+1),0)-IF(AND(Projects!$G$19="Yes",AU$3&gt;=Projects!$C$19,AU$3&lt;Projects!$C$19+Projects!$D$19),Projects!$B$19*(Assumptions!$B$10+Assumptions!$B$11+Assumptions!$B$12)/Projects!$D$19*0.95,0)-IF(AND(Projects!$G$19="Yes",AU$3=Projects!$C$19+Projects!$D$19-1),Projects!$B$19*(Assumptions!$B$10+Assumptions!$B$11+Assumptions!$B$12)*0.05,0)</f>
        <v>0</v>
      </c>
      <c r="AV28" s="19" t="n">
        <f aca="false">IF(AND(Projects!$G$19="Yes",AV$3&gt;=Projects!$C$19,AV$3&lt;Projects!$C$19+Projects!$D$19),Projects!$B$19*INDEX(Curves!$B$4:$AR$4,1,AV$3-Projects!$C$19+1),0)-IF(AND(Projects!$G$19="Yes",AV$3&gt;=Projects!$C$19,AV$3&lt;Projects!$C$19+Projects!$D$19),Projects!$B$19*(Assumptions!$B$10+Assumptions!$B$11+Assumptions!$B$12)/Projects!$D$19*0.95,0)-IF(AND(Projects!$G$19="Yes",AV$3=Projects!$C$19+Projects!$D$19-1),Projects!$B$19*(Assumptions!$B$10+Assumptions!$B$11+Assumptions!$B$12)*0.05,0)</f>
        <v>0</v>
      </c>
      <c r="AW28" s="19" t="n">
        <f aca="false">IF(AND(Projects!$G$19="Yes",AW$3&gt;=Projects!$C$19,AW$3&lt;Projects!$C$19+Projects!$D$19),Projects!$B$19*INDEX(Curves!$B$4:$AR$4,1,AW$3-Projects!$C$19+1),0)-IF(AND(Projects!$G$19="Yes",AW$3&gt;=Projects!$C$19,AW$3&lt;Projects!$C$19+Projects!$D$19),Projects!$B$19*(Assumptions!$B$10+Assumptions!$B$11+Assumptions!$B$12)/Projects!$D$19*0.95,0)-IF(AND(Projects!$G$19="Yes",AW$3=Projects!$C$19+Projects!$D$19-1),Projects!$B$19*(Assumptions!$B$10+Assumptions!$B$11+Assumptions!$B$12)*0.05,0)</f>
        <v>0</v>
      </c>
      <c r="AX28" s="19" t="n">
        <f aca="false">IF(AND(Projects!$G$19="Yes",AX$3&gt;=Projects!$C$19,AX$3&lt;Projects!$C$19+Projects!$D$19),Projects!$B$19*INDEX(Curves!$B$4:$AR$4,1,AX$3-Projects!$C$19+1),0)-IF(AND(Projects!$G$19="Yes",AX$3&gt;=Projects!$C$19,AX$3&lt;Projects!$C$19+Projects!$D$19),Projects!$B$19*(Assumptions!$B$10+Assumptions!$B$11+Assumptions!$B$12)/Projects!$D$19*0.95,0)-IF(AND(Projects!$G$19="Yes",AX$3=Projects!$C$19+Projects!$D$19-1),Projects!$B$19*(Assumptions!$B$10+Assumptions!$B$11+Assumptions!$B$12)*0.05,0)</f>
        <v>0</v>
      </c>
      <c r="AY28" s="19" t="n">
        <f aca="false">IF(AND(Projects!$G$19="Yes",AY$3&gt;=Projects!$C$19,AY$3&lt;Projects!$C$19+Projects!$D$19),Projects!$B$19*INDEX(Curves!$B$4:$AR$4,1,AY$3-Projects!$C$19+1),0)-IF(AND(Projects!$G$19="Yes",AY$3&gt;=Projects!$C$19,AY$3&lt;Projects!$C$19+Projects!$D$19),Projects!$B$19*(Assumptions!$B$10+Assumptions!$B$11+Assumptions!$B$12)/Projects!$D$19*0.95,0)-IF(AND(Projects!$G$19="Yes",AY$3=Projects!$C$19+Projects!$D$19-1),Projects!$B$19*(Assumptions!$B$10+Assumptions!$B$11+Assumptions!$B$12)*0.05,0)</f>
        <v>0</v>
      </c>
      <c r="AZ28" s="19" t="n">
        <f aca="false">IF(AND(Projects!$G$19="Yes",AZ$3&gt;=Projects!$C$19,AZ$3&lt;Projects!$C$19+Projects!$D$19),Projects!$B$19*INDEX(Curves!$B$4:$AR$4,1,AZ$3-Projects!$C$19+1),0)-IF(AND(Projects!$G$19="Yes",AZ$3&gt;=Projects!$C$19,AZ$3&lt;Projects!$C$19+Projects!$D$19),Projects!$B$19*(Assumptions!$B$10+Assumptions!$B$11+Assumptions!$B$12)/Projects!$D$19*0.95,0)-IF(AND(Projects!$G$19="Yes",AZ$3=Projects!$C$19+Projects!$D$19-1),Projects!$B$19*(Assumptions!$B$10+Assumptions!$B$11+Assumptions!$B$12)*0.05,0)</f>
        <v>0</v>
      </c>
      <c r="BA28" s="19" t="n">
        <f aca="false">IF(AND(Projects!$G$19="Yes",BA$3&gt;=Projects!$C$19,BA$3&lt;Projects!$C$19+Projects!$D$19),Projects!$B$19*INDEX(Curves!$B$4:$AR$4,1,BA$3-Projects!$C$19+1),0)-IF(AND(Projects!$G$19="Yes",BA$3&gt;=Projects!$C$19,BA$3&lt;Projects!$C$19+Projects!$D$19),Projects!$B$19*(Assumptions!$B$10+Assumptions!$B$11+Assumptions!$B$12)/Projects!$D$19*0.95,0)-IF(AND(Projects!$G$19="Yes",BA$3=Projects!$C$19+Projects!$D$19-1),Projects!$B$19*(Assumptions!$B$10+Assumptions!$B$11+Assumptions!$B$12)*0.05,0)</f>
        <v>0</v>
      </c>
      <c r="BB28" s="19" t="n">
        <f aca="false">IF(AND(Projects!$G$19="Yes",BB$3&gt;=Projects!$C$19,BB$3&lt;Projects!$C$19+Projects!$D$19),Projects!$B$19*INDEX(Curves!$B$4:$AR$4,1,BB$3-Projects!$C$19+1),0)-IF(AND(Projects!$G$19="Yes",BB$3&gt;=Projects!$C$19,BB$3&lt;Projects!$C$19+Projects!$D$19),Projects!$B$19*(Assumptions!$B$10+Assumptions!$B$11+Assumptions!$B$12)/Projects!$D$19*0.95,0)-IF(AND(Projects!$G$19="Yes",BB$3=Projects!$C$19+Projects!$D$19-1),Projects!$B$19*(Assumptions!$B$10+Assumptions!$B$11+Assumptions!$B$12)*0.05,0)</f>
        <v>0</v>
      </c>
      <c r="BC28" s="19" t="n">
        <f aca="false">IF(AND(Projects!$G$19="Yes",BC$3&gt;=Projects!$C$19,BC$3&lt;Projects!$C$19+Projects!$D$19),Projects!$B$19*INDEX(Curves!$B$4:$AR$4,1,BC$3-Projects!$C$19+1),0)-IF(AND(Projects!$G$19="Yes",BC$3&gt;=Projects!$C$19,BC$3&lt;Projects!$C$19+Projects!$D$19),Projects!$B$19*(Assumptions!$B$10+Assumptions!$B$11+Assumptions!$B$12)/Projects!$D$19*0.95,0)-IF(AND(Projects!$G$19="Yes",BC$3=Projects!$C$19+Projects!$D$19-1),Projects!$B$19*(Assumptions!$B$10+Assumptions!$B$11+Assumptions!$B$12)*0.05,0)</f>
        <v>0</v>
      </c>
      <c r="BD28" s="19" t="n">
        <f aca="false">IF(AND(Projects!$G$19="Yes",BD$3&gt;=Projects!$C$19,BD$3&lt;Projects!$C$19+Projects!$D$19),Projects!$B$19*INDEX(Curves!$B$4:$AR$4,1,BD$3-Projects!$C$19+1),0)-IF(AND(Projects!$G$19="Yes",BD$3&gt;=Projects!$C$19,BD$3&lt;Projects!$C$19+Projects!$D$19),Projects!$B$19*(Assumptions!$B$10+Assumptions!$B$11+Assumptions!$B$12)/Projects!$D$19*0.95,0)-IF(AND(Projects!$G$19="Yes",BD$3=Projects!$C$19+Projects!$D$19-1),Projects!$B$19*(Assumptions!$B$10+Assumptions!$B$11+Assumptions!$B$12)*0.05,0)</f>
        <v>0</v>
      </c>
      <c r="BE28" s="19" t="n">
        <f aca="false">IF(AND(Projects!$G$19="Yes",BE$3&gt;=Projects!$C$19,BE$3&lt;Projects!$C$19+Projects!$D$19),Projects!$B$19*INDEX(Curves!$B$4:$AR$4,1,BE$3-Projects!$C$19+1),0)-IF(AND(Projects!$G$19="Yes",BE$3&gt;=Projects!$C$19,BE$3&lt;Projects!$C$19+Projects!$D$19),Projects!$B$19*(Assumptions!$B$10+Assumptions!$B$11+Assumptions!$B$12)/Projects!$D$19*0.95,0)-IF(AND(Projects!$G$19="Yes",BE$3=Projects!$C$19+Projects!$D$19-1),Projects!$B$19*(Assumptions!$B$10+Assumptions!$B$11+Assumptions!$B$12)*0.05,0)</f>
        <v>0</v>
      </c>
      <c r="BF28" s="19" t="n">
        <f aca="false">IF(AND(Projects!$G$19="Yes",BF$3&gt;=Projects!$C$19,BF$3&lt;Projects!$C$19+Projects!$D$19),Projects!$B$19*INDEX(Curves!$B$4:$AR$4,1,BF$3-Projects!$C$19+1),0)-IF(AND(Projects!$G$19="Yes",BF$3&gt;=Projects!$C$19,BF$3&lt;Projects!$C$19+Projects!$D$19),Projects!$B$19*(Assumptions!$B$10+Assumptions!$B$11+Assumptions!$B$12)/Projects!$D$19*0.95,0)-IF(AND(Projects!$G$19="Yes",BF$3=Projects!$C$19+Projects!$D$19-1),Projects!$B$19*(Assumptions!$B$10+Assumptions!$B$11+Assumptions!$B$12)*0.05,0)</f>
        <v>0</v>
      </c>
      <c r="BG28" s="19" t="n">
        <f aca="false">IF(AND(Projects!$G$19="Yes",BG$3&gt;=Projects!$C$19,BG$3&lt;Projects!$C$19+Projects!$D$19),Projects!$B$19*INDEX(Curves!$B$4:$AR$4,1,BG$3-Projects!$C$19+1),0)-IF(AND(Projects!$G$19="Yes",BG$3&gt;=Projects!$C$19,BG$3&lt;Projects!$C$19+Projects!$D$19),Projects!$B$19*(Assumptions!$B$10+Assumptions!$B$11+Assumptions!$B$12)/Projects!$D$19*0.95,0)-IF(AND(Projects!$G$19="Yes",BG$3=Projects!$C$19+Projects!$D$19-1),Projects!$B$19*(Assumptions!$B$10+Assumptions!$B$11+Assumptions!$B$12)*0.05,0)</f>
        <v>0</v>
      </c>
      <c r="BH28" s="19" t="n">
        <f aca="false">IF(AND(Projects!$G$19="Yes",BH$3&gt;=Projects!$C$19,BH$3&lt;Projects!$C$19+Projects!$D$19),Projects!$B$19*INDEX(Curves!$B$4:$AR$4,1,BH$3-Projects!$C$19+1),0)-IF(AND(Projects!$G$19="Yes",BH$3&gt;=Projects!$C$19,BH$3&lt;Projects!$C$19+Projects!$D$19),Projects!$B$19*(Assumptions!$B$10+Assumptions!$B$11+Assumptions!$B$12)/Projects!$D$19*0.95,0)-IF(AND(Projects!$G$19="Yes",BH$3=Projects!$C$19+Projects!$D$19-1),Projects!$B$19*(Assumptions!$B$10+Assumptions!$B$11+Assumptions!$B$12)*0.05,0)</f>
        <v>0</v>
      </c>
      <c r="BI28" s="19" t="n">
        <f aca="false">IF(AND(Projects!$G$19="Yes",BI$3&gt;=Projects!$C$19,BI$3&lt;Projects!$C$19+Projects!$D$19),Projects!$B$19*INDEX(Curves!$B$4:$AR$4,1,BI$3-Projects!$C$19+1),0)-IF(AND(Projects!$G$19="Yes",BI$3&gt;=Projects!$C$19,BI$3&lt;Projects!$C$19+Projects!$D$19),Projects!$B$19*(Assumptions!$B$10+Assumptions!$B$11+Assumptions!$B$12)/Projects!$D$19*0.95,0)-IF(AND(Projects!$G$19="Yes",BI$3=Projects!$C$19+Projects!$D$19-1),Projects!$B$19*(Assumptions!$B$10+Assumptions!$B$11+Assumptions!$B$12)*0.05,0)</f>
        <v>0</v>
      </c>
      <c r="BJ28" s="19" t="n">
        <f aca="false">IF(AND(Projects!$G$19="Yes",BJ$3&gt;=Projects!$C$19,BJ$3&lt;Projects!$C$19+Projects!$D$19),Projects!$B$19*INDEX(Curves!$B$4:$AR$4,1,BJ$3-Projects!$C$19+1),0)-IF(AND(Projects!$G$19="Yes",BJ$3&gt;=Projects!$C$19,BJ$3&lt;Projects!$C$19+Projects!$D$19),Projects!$B$19*(Assumptions!$B$10+Assumptions!$B$11+Assumptions!$B$12)/Projects!$D$19*0.95,0)-IF(AND(Projects!$G$19="Yes",BJ$3=Projects!$C$19+Projects!$D$19-1),Projects!$B$19*(Assumptions!$B$10+Assumptions!$B$11+Assumptions!$B$12)*0.05,0)</f>
        <v>0</v>
      </c>
      <c r="BK28" s="19" t="n">
        <f aca="false">IF(AND(Projects!$G$19="Yes",BK$3&gt;=Projects!$C$19,BK$3&lt;Projects!$C$19+Projects!$D$19),Projects!$B$19*INDEX(Curves!$B$4:$AR$4,1,BK$3-Projects!$C$19+1),0)-IF(AND(Projects!$G$19="Yes",BK$3&gt;=Projects!$C$19,BK$3&lt;Projects!$C$19+Projects!$D$19),Projects!$B$19*(Assumptions!$B$10+Assumptions!$B$11+Assumptions!$B$12)/Projects!$D$19*0.95,0)-IF(AND(Projects!$G$19="Yes",BK$3=Projects!$C$19+Projects!$D$19-1),Projects!$B$19*(Assumptions!$B$10+Assumptions!$B$11+Assumptions!$B$12)*0.05,0)</f>
        <v>0</v>
      </c>
      <c r="BL28" s="19" t="n">
        <f aca="false">IF(AND(Projects!$G$19="Yes",BL$3&gt;=Projects!$C$19,BL$3&lt;Projects!$C$19+Projects!$D$19),Projects!$B$19*INDEX(Curves!$B$4:$AR$4,1,BL$3-Projects!$C$19+1),0)-IF(AND(Projects!$G$19="Yes",BL$3&gt;=Projects!$C$19,BL$3&lt;Projects!$C$19+Projects!$D$19),Projects!$B$19*(Assumptions!$B$10+Assumptions!$B$11+Assumptions!$B$12)/Projects!$D$19*0.95,0)-IF(AND(Projects!$G$19="Yes",BL$3=Projects!$C$19+Projects!$D$19-1),Projects!$B$19*(Assumptions!$B$10+Assumptions!$B$11+Assumptions!$B$12)*0.05,0)</f>
        <v>0</v>
      </c>
      <c r="BM28" s="19" t="n">
        <f aca="false">IF(AND(Projects!$G$19="Yes",BM$3&gt;=Projects!$C$19,BM$3&lt;Projects!$C$19+Projects!$D$19),Projects!$B$19*INDEX(Curves!$B$4:$AR$4,1,BM$3-Projects!$C$19+1),0)-IF(AND(Projects!$G$19="Yes",BM$3&gt;=Projects!$C$19,BM$3&lt;Projects!$C$19+Projects!$D$19),Projects!$B$19*(Assumptions!$B$10+Assumptions!$B$11+Assumptions!$B$12)/Projects!$D$19*0.95,0)-IF(AND(Projects!$G$19="Yes",BM$3=Projects!$C$19+Projects!$D$19-1),Projects!$B$19*(Assumptions!$B$10+Assumptions!$B$11+Assumptions!$B$12)*0.05,0)</f>
        <v>0</v>
      </c>
      <c r="BN28" s="19" t="n">
        <f aca="false">IF(AND(Projects!$G$19="Yes",BN$3&gt;=Projects!$C$19,BN$3&lt;Projects!$C$19+Projects!$D$19),Projects!$B$19*INDEX(Curves!$B$4:$AR$4,1,BN$3-Projects!$C$19+1),0)-IF(AND(Projects!$G$19="Yes",BN$3&gt;=Projects!$C$19,BN$3&lt;Projects!$C$19+Projects!$D$19),Projects!$B$19*(Assumptions!$B$10+Assumptions!$B$11+Assumptions!$B$12)/Projects!$D$19*0.95,0)-IF(AND(Projects!$G$19="Yes",BN$3=Projects!$C$19+Projects!$D$19-1),Projects!$B$19*(Assumptions!$B$10+Assumptions!$B$11+Assumptions!$B$12)*0.05,0)</f>
        <v>0</v>
      </c>
      <c r="BO28" s="19" t="n">
        <f aca="false">IF(AND(Projects!$G$19="Yes",BO$3&gt;=Projects!$C$19,BO$3&lt;Projects!$C$19+Projects!$D$19),Projects!$B$19*INDEX(Curves!$B$4:$AR$4,1,BO$3-Projects!$C$19+1),0)-IF(AND(Projects!$G$19="Yes",BO$3&gt;=Projects!$C$19,BO$3&lt;Projects!$C$19+Projects!$D$19),Projects!$B$19*(Assumptions!$B$10+Assumptions!$B$11+Assumptions!$B$12)/Projects!$D$19*0.95,0)-IF(AND(Projects!$G$19="Yes",BO$3=Projects!$C$19+Projects!$D$19-1),Projects!$B$19*(Assumptions!$B$10+Assumptions!$B$11+Assumptions!$B$12)*0.05,0)</f>
        <v>0</v>
      </c>
      <c r="BP28" s="19" t="n">
        <f aca="false">IF(AND(Projects!$G$19="Yes",BP$3&gt;=Projects!$C$19,BP$3&lt;Projects!$C$19+Projects!$D$19),Projects!$B$19*INDEX(Curves!$B$4:$AR$4,1,BP$3-Projects!$C$19+1),0)-IF(AND(Projects!$G$19="Yes",BP$3&gt;=Projects!$C$19,BP$3&lt;Projects!$C$19+Projects!$D$19),Projects!$B$19*(Assumptions!$B$10+Assumptions!$B$11+Assumptions!$B$12)/Projects!$D$19*0.95,0)-IF(AND(Projects!$G$19="Yes",BP$3=Projects!$C$19+Projects!$D$19-1),Projects!$B$19*(Assumptions!$B$10+Assumptions!$B$11+Assumptions!$B$12)*0.05,0)</f>
        <v>0</v>
      </c>
      <c r="BQ28" s="19" t="n">
        <f aca="false">IF(AND(Projects!$G$19="Yes",BQ$3&gt;=Projects!$C$19,BQ$3&lt;Projects!$C$19+Projects!$D$19),Projects!$B$19*INDEX(Curves!$B$4:$AR$4,1,BQ$3-Projects!$C$19+1),0)-IF(AND(Projects!$G$19="Yes",BQ$3&gt;=Projects!$C$19,BQ$3&lt;Projects!$C$19+Projects!$D$19),Projects!$B$19*(Assumptions!$B$10+Assumptions!$B$11+Assumptions!$B$12)/Projects!$D$19*0.95,0)-IF(AND(Projects!$G$19="Yes",BQ$3=Projects!$C$19+Projects!$D$19-1),Projects!$B$19*(Assumptions!$B$10+Assumptions!$B$11+Assumptions!$B$12)*0.05,0)</f>
        <v>0</v>
      </c>
      <c r="BR28" s="19" t="n">
        <f aca="false">IF(AND(Projects!$G$19="Yes",BR$3&gt;=Projects!$C$19,BR$3&lt;Projects!$C$19+Projects!$D$19),Projects!$B$19*INDEX(Curves!$B$4:$AR$4,1,BR$3-Projects!$C$19+1),0)-IF(AND(Projects!$G$19="Yes",BR$3&gt;=Projects!$C$19,BR$3&lt;Projects!$C$19+Projects!$D$19),Projects!$B$19*(Assumptions!$B$10+Assumptions!$B$11+Assumptions!$B$12)/Projects!$D$19*0.95,0)-IF(AND(Projects!$G$19="Yes",BR$3=Projects!$C$19+Projects!$D$19-1),Projects!$B$19*(Assumptions!$B$10+Assumptions!$B$11+Assumptions!$B$12)*0.05,0)</f>
        <v>0</v>
      </c>
      <c r="BS28" s="19" t="n">
        <f aca="false">IF(AND(Projects!$G$19="Yes",BS$3&gt;=Projects!$C$19,BS$3&lt;Projects!$C$19+Projects!$D$19),Projects!$B$19*INDEX(Curves!$B$4:$AR$4,1,BS$3-Projects!$C$19+1),0)-IF(AND(Projects!$G$19="Yes",BS$3&gt;=Projects!$C$19,BS$3&lt;Projects!$C$19+Projects!$D$19),Projects!$B$19*(Assumptions!$B$10+Assumptions!$B$11+Assumptions!$B$12)/Projects!$D$19*0.95,0)-IF(AND(Projects!$G$19="Yes",BS$3=Projects!$C$19+Projects!$D$19-1),Projects!$B$19*(Assumptions!$B$10+Assumptions!$B$11+Assumptions!$B$12)*0.05,0)</f>
        <v>0</v>
      </c>
      <c r="BT28" s="19" t="n">
        <f aca="false">IF(AND(Projects!$G$19="Yes",BT$3&gt;=Projects!$C$19,BT$3&lt;Projects!$C$19+Projects!$D$19),Projects!$B$19*INDEX(Curves!$B$4:$AR$4,1,BT$3-Projects!$C$19+1),0)-IF(AND(Projects!$G$19="Yes",BT$3&gt;=Projects!$C$19,BT$3&lt;Projects!$C$19+Projects!$D$19),Projects!$B$19*(Assumptions!$B$10+Assumptions!$B$11+Assumptions!$B$12)/Projects!$D$19*0.95,0)-IF(AND(Projects!$G$19="Yes",BT$3=Projects!$C$19+Projects!$D$19-1),Projects!$B$19*(Assumptions!$B$10+Assumptions!$B$11+Assumptions!$B$12)*0.05,0)</f>
        <v>0</v>
      </c>
      <c r="BU28" s="19" t="n">
        <f aca="false">IF(AND(Projects!$G$19="Yes",BU$3&gt;=Projects!$C$19,BU$3&lt;Projects!$C$19+Projects!$D$19),Projects!$B$19*INDEX(Curves!$B$4:$AR$4,1,BU$3-Projects!$C$19+1),0)-IF(AND(Projects!$G$19="Yes",BU$3&gt;=Projects!$C$19,BU$3&lt;Projects!$C$19+Projects!$D$19),Projects!$B$19*(Assumptions!$B$10+Assumptions!$B$11+Assumptions!$B$12)/Projects!$D$19*0.95,0)-IF(AND(Projects!$G$19="Yes",BU$3=Projects!$C$19+Projects!$D$19-1),Projects!$B$19*(Assumptions!$B$10+Assumptions!$B$11+Assumptions!$B$12)*0.05,0)</f>
        <v>0</v>
      </c>
      <c r="BV28" s="19" t="n">
        <f aca="false">IF(AND(Projects!$G$19="Yes",BV$3&gt;=Projects!$C$19,BV$3&lt;Projects!$C$19+Projects!$D$19),Projects!$B$19*INDEX(Curves!$B$4:$AR$4,1,BV$3-Projects!$C$19+1),0)-IF(AND(Projects!$G$19="Yes",BV$3&gt;=Projects!$C$19,BV$3&lt;Projects!$C$19+Projects!$D$19),Projects!$B$19*(Assumptions!$B$10+Assumptions!$B$11+Assumptions!$B$12)/Projects!$D$19*0.95,0)-IF(AND(Projects!$G$19="Yes",BV$3=Projects!$C$19+Projects!$D$19-1),Projects!$B$19*(Assumptions!$B$10+Assumptions!$B$11+Assumptions!$B$12)*0.05,0)</f>
        <v>0</v>
      </c>
      <c r="BW28" s="19" t="n">
        <f aca="false">IF(AND(Projects!$G$19="Yes",BW$3&gt;=Projects!$C$19,BW$3&lt;Projects!$C$19+Projects!$D$19),Projects!$B$19*INDEX(Curves!$B$4:$AR$4,1,BW$3-Projects!$C$19+1),0)-IF(AND(Projects!$G$19="Yes",BW$3&gt;=Projects!$C$19,BW$3&lt;Projects!$C$19+Projects!$D$19),Projects!$B$19*(Assumptions!$B$10+Assumptions!$B$11+Assumptions!$B$12)/Projects!$D$19*0.95,0)-IF(AND(Projects!$G$19="Yes",BW$3=Projects!$C$19+Projects!$D$19-1),Projects!$B$19*(Assumptions!$B$10+Assumptions!$B$11+Assumptions!$B$12)*0.05,0)</f>
        <v>0</v>
      </c>
      <c r="BX28" s="19" t="n">
        <f aca="false">IF(AND(Projects!$G$19="Yes",BX$3&gt;=Projects!$C$19,BX$3&lt;Projects!$C$19+Projects!$D$19),Projects!$B$19*INDEX(Curves!$B$4:$AR$4,1,BX$3-Projects!$C$19+1),0)-IF(AND(Projects!$G$19="Yes",BX$3&gt;=Projects!$C$19,BX$3&lt;Projects!$C$19+Projects!$D$19),Projects!$B$19*(Assumptions!$B$10+Assumptions!$B$11+Assumptions!$B$12)/Projects!$D$19*0.95,0)-IF(AND(Projects!$G$19="Yes",BX$3=Projects!$C$19+Projects!$D$19-1),Projects!$B$19*(Assumptions!$B$10+Assumptions!$B$11+Assumptions!$B$12)*0.05,0)</f>
        <v>0</v>
      </c>
      <c r="BY28" s="19" t="n">
        <f aca="false">IF(AND(Projects!$G$19="Yes",BY$3&gt;=Projects!$C$19,BY$3&lt;Projects!$C$19+Projects!$D$19),Projects!$B$19*INDEX(Curves!$B$4:$AR$4,1,BY$3-Projects!$C$19+1),0)-IF(AND(Projects!$G$19="Yes",BY$3&gt;=Projects!$C$19,BY$3&lt;Projects!$C$19+Projects!$D$19),Projects!$B$19*(Assumptions!$B$10+Assumptions!$B$11+Assumptions!$B$12)/Projects!$D$19*0.95,0)-IF(AND(Projects!$G$19="Yes",BY$3=Projects!$C$19+Projects!$D$19-1),Projects!$B$19*(Assumptions!$B$10+Assumptions!$B$11+Assumptions!$B$12)*0.05,0)</f>
        <v>0</v>
      </c>
      <c r="BZ28" s="19" t="n">
        <f aca="false">IF(AND(Projects!$G$19="Yes",BZ$3&gt;=Projects!$C$19,BZ$3&lt;Projects!$C$19+Projects!$D$19),Projects!$B$19*INDEX(Curves!$B$4:$AR$4,1,BZ$3-Projects!$C$19+1),0)-IF(AND(Projects!$G$19="Yes",BZ$3&gt;=Projects!$C$19,BZ$3&lt;Projects!$C$19+Projects!$D$19),Projects!$B$19*(Assumptions!$B$10+Assumptions!$B$11+Assumptions!$B$12)/Projects!$D$19*0.95,0)-IF(AND(Projects!$G$19="Yes",BZ$3=Projects!$C$19+Projects!$D$19-1),Projects!$B$19*(Assumptions!$B$10+Assumptions!$B$11+Assumptions!$B$12)*0.05,0)</f>
        <v>0</v>
      </c>
      <c r="CA28" s="19" t="n">
        <f aca="false">IF(AND(Projects!$G$19="Yes",CA$3&gt;=Projects!$C$19,CA$3&lt;Projects!$C$19+Projects!$D$19),Projects!$B$19*INDEX(Curves!$B$4:$AR$4,1,CA$3-Projects!$C$19+1),0)-IF(AND(Projects!$G$19="Yes",CA$3&gt;=Projects!$C$19,CA$3&lt;Projects!$C$19+Projects!$D$19),Projects!$B$19*(Assumptions!$B$10+Assumptions!$B$11+Assumptions!$B$12)/Projects!$D$19*0.95,0)-IF(AND(Projects!$G$19="Yes",CA$3=Projects!$C$19+Projects!$D$19-1),Projects!$B$19*(Assumptions!$B$10+Assumptions!$B$11+Assumptions!$B$12)*0.05,0)</f>
        <v>0</v>
      </c>
      <c r="CB28" s="19" t="n">
        <f aca="false">IF(AND(Projects!$G$19="Yes",CB$3&gt;=Projects!$C$19,CB$3&lt;Projects!$C$19+Projects!$D$19),Projects!$B$19*INDEX(Curves!$B$4:$AR$4,1,CB$3-Projects!$C$19+1),0)-IF(AND(Projects!$G$19="Yes",CB$3&gt;=Projects!$C$19,CB$3&lt;Projects!$C$19+Projects!$D$19),Projects!$B$19*(Assumptions!$B$10+Assumptions!$B$11+Assumptions!$B$12)/Projects!$D$19*0.95,0)-IF(AND(Projects!$G$19="Yes",CB$3=Projects!$C$19+Projects!$D$19-1),Projects!$B$19*(Assumptions!$B$10+Assumptions!$B$11+Assumptions!$B$12)*0.05,0)</f>
        <v>0</v>
      </c>
      <c r="CC28" s="19" t="n">
        <f aca="false">IF(AND(Projects!$G$19="Yes",CC$3&gt;=Projects!$C$19,CC$3&lt;Projects!$C$19+Projects!$D$19),Projects!$B$19*INDEX(Curves!$B$4:$AR$4,1,CC$3-Projects!$C$19+1),0)-IF(AND(Projects!$G$19="Yes",CC$3&gt;=Projects!$C$19,CC$3&lt;Projects!$C$19+Projects!$D$19),Projects!$B$19*(Assumptions!$B$10+Assumptions!$B$11+Assumptions!$B$12)/Projects!$D$19*0.95,0)-IF(AND(Projects!$G$19="Yes",CC$3=Projects!$C$19+Projects!$D$19-1),Projects!$B$19*(Assumptions!$B$10+Assumptions!$B$11+Assumptions!$B$12)*0.05,0)</f>
        <v>0</v>
      </c>
      <c r="CD28" s="19" t="n">
        <f aca="false">IF(AND(Projects!$G$19="Yes",CD$3&gt;=Projects!$C$19,CD$3&lt;Projects!$C$19+Projects!$D$19),Projects!$B$19*INDEX(Curves!$B$4:$AR$4,1,CD$3-Projects!$C$19+1),0)-IF(AND(Projects!$G$19="Yes",CD$3&gt;=Projects!$C$19,CD$3&lt;Projects!$C$19+Projects!$D$19),Projects!$B$19*(Assumptions!$B$10+Assumptions!$B$11+Assumptions!$B$12)/Projects!$D$19*0.95,0)-IF(AND(Projects!$G$19="Yes",CD$3=Projects!$C$19+Projects!$D$19-1),Projects!$B$19*(Assumptions!$B$10+Assumptions!$B$11+Assumptions!$B$12)*0.05,0)</f>
        <v>0</v>
      </c>
      <c r="CE28" s="19" t="n">
        <f aca="false">IF(AND(Projects!$G$19="Yes",CE$3&gt;=Projects!$C$19,CE$3&lt;Projects!$C$19+Projects!$D$19),Projects!$B$19*INDEX(Curves!$B$4:$AR$4,1,CE$3-Projects!$C$19+1),0)-IF(AND(Projects!$G$19="Yes",CE$3&gt;=Projects!$C$19,CE$3&lt;Projects!$C$19+Projects!$D$19),Projects!$B$19*(Assumptions!$B$10+Assumptions!$B$11+Assumptions!$B$12)/Projects!$D$19*0.95,0)-IF(AND(Projects!$G$19="Yes",CE$3=Projects!$C$19+Projects!$D$19-1),Projects!$B$19*(Assumptions!$B$10+Assumptions!$B$11+Assumptions!$B$12)*0.05,0)</f>
        <v>0</v>
      </c>
      <c r="CF28" s="19" t="n">
        <f aca="false">IF(AND(Projects!$G$19="Yes",CF$3&gt;=Projects!$C$19,CF$3&lt;Projects!$C$19+Projects!$D$19),Projects!$B$19*INDEX(Curves!$B$4:$AR$4,1,CF$3-Projects!$C$19+1),0)-IF(AND(Projects!$G$19="Yes",CF$3&gt;=Projects!$C$19,CF$3&lt;Projects!$C$19+Projects!$D$19),Projects!$B$19*(Assumptions!$B$10+Assumptions!$B$11+Assumptions!$B$12)/Projects!$D$19*0.95,0)-IF(AND(Projects!$G$19="Yes",CF$3=Projects!$C$19+Projects!$D$19-1),Projects!$B$19*(Assumptions!$B$10+Assumptions!$B$11+Assumptions!$B$12)*0.05,0)</f>
        <v>0</v>
      </c>
      <c r="CG28" s="19" t="n">
        <f aca="false">IF(AND(Projects!$G$19="Yes",CG$3&gt;=Projects!$C$19,CG$3&lt;Projects!$C$19+Projects!$D$19),Projects!$B$19*INDEX(Curves!$B$4:$AR$4,1,CG$3-Projects!$C$19+1),0)-IF(AND(Projects!$G$19="Yes",CG$3&gt;=Projects!$C$19,CG$3&lt;Projects!$C$19+Projects!$D$19),Projects!$B$19*(Assumptions!$B$10+Assumptions!$B$11+Assumptions!$B$12)/Projects!$D$19*0.95,0)-IF(AND(Projects!$G$19="Yes",CG$3=Projects!$C$19+Projects!$D$19-1),Projects!$B$19*(Assumptions!$B$10+Assumptions!$B$11+Assumptions!$B$12)*0.05,0)</f>
        <v>0</v>
      </c>
      <c r="CH28" s="19" t="n">
        <f aca="false">IF(AND(Projects!$G$19="Yes",CH$3&gt;=Projects!$C$19,CH$3&lt;Projects!$C$19+Projects!$D$19),Projects!$B$19*INDEX(Curves!$B$4:$AR$4,1,CH$3-Projects!$C$19+1),0)-IF(AND(Projects!$G$19="Yes",CH$3&gt;=Projects!$C$19,CH$3&lt;Projects!$C$19+Projects!$D$19),Projects!$B$19*(Assumptions!$B$10+Assumptions!$B$11+Assumptions!$B$12)/Projects!$D$19*0.95,0)-IF(AND(Projects!$G$19="Yes",CH$3=Projects!$C$19+Projects!$D$19-1),Projects!$B$19*(Assumptions!$B$10+Assumptions!$B$11+Assumptions!$B$12)*0.05,0)</f>
        <v>0</v>
      </c>
      <c r="CI28" s="19" t="n">
        <f aca="false">IF(AND(Projects!$G$19="Yes",CI$3&gt;=Projects!$C$19,CI$3&lt;Projects!$C$19+Projects!$D$19),Projects!$B$19*INDEX(Curves!$B$4:$AR$4,1,CI$3-Projects!$C$19+1),0)-IF(AND(Projects!$G$19="Yes",CI$3&gt;=Projects!$C$19,CI$3&lt;Projects!$C$19+Projects!$D$19),Projects!$B$19*(Assumptions!$B$10+Assumptions!$B$11+Assumptions!$B$12)/Projects!$D$19*0.95,0)-IF(AND(Projects!$G$19="Yes",CI$3=Projects!$C$19+Projects!$D$19-1),Projects!$B$19*(Assumptions!$B$10+Assumptions!$B$11+Assumptions!$B$12)*0.05,0)</f>
        <v>0</v>
      </c>
      <c r="CJ28" s="19" t="n">
        <f aca="false">IF(AND(Projects!$G$19="Yes",CJ$3&gt;=Projects!$C$19,CJ$3&lt;Projects!$C$19+Projects!$D$19),Projects!$B$19*INDEX(Curves!$B$4:$AR$4,1,CJ$3-Projects!$C$19+1),0)-IF(AND(Projects!$G$19="Yes",CJ$3&gt;=Projects!$C$19,CJ$3&lt;Projects!$C$19+Projects!$D$19),Projects!$B$19*(Assumptions!$B$10+Assumptions!$B$11+Assumptions!$B$12)/Projects!$D$19*0.95,0)-IF(AND(Projects!$G$19="Yes",CJ$3=Projects!$C$19+Projects!$D$19-1),Projects!$B$19*(Assumptions!$B$10+Assumptions!$B$11+Assumptions!$B$12)*0.05,0)</f>
        <v>0</v>
      </c>
      <c r="CK28" s="19" t="n">
        <f aca="false">IF(AND(Projects!$G$19="Yes",CK$3&gt;=Projects!$C$19,CK$3&lt;Projects!$C$19+Projects!$D$19),Projects!$B$19*INDEX(Curves!$B$4:$AR$4,1,CK$3-Projects!$C$19+1),0)-IF(AND(Projects!$G$19="Yes",CK$3&gt;=Projects!$C$19,CK$3&lt;Projects!$C$19+Projects!$D$19),Projects!$B$19*(Assumptions!$B$10+Assumptions!$B$11+Assumptions!$B$12)/Projects!$D$19*0.95,0)-IF(AND(Projects!$G$19="Yes",CK$3=Projects!$C$19+Projects!$D$19-1),Projects!$B$19*(Assumptions!$B$10+Assumptions!$B$11+Assumptions!$B$12)*0.05,0)</f>
        <v>0</v>
      </c>
      <c r="CL28" s="19" t="n">
        <f aca="false">IF(AND(Projects!$G$19="Yes",CL$3&gt;=Projects!$C$19,CL$3&lt;Projects!$C$19+Projects!$D$19),Projects!$B$19*INDEX(Curves!$B$4:$AR$4,1,CL$3-Projects!$C$19+1),0)-IF(AND(Projects!$G$19="Yes",CL$3&gt;=Projects!$C$19,CL$3&lt;Projects!$C$19+Projects!$D$19),Projects!$B$19*(Assumptions!$B$10+Assumptions!$B$11+Assumptions!$B$12)/Projects!$D$19*0.95,0)-IF(AND(Projects!$G$19="Yes",CL$3=Projects!$C$19+Projects!$D$19-1),Projects!$B$19*(Assumptions!$B$10+Assumptions!$B$11+Assumptions!$B$12)*0.05,0)</f>
        <v>0</v>
      </c>
      <c r="CM28" s="19" t="n">
        <f aca="false">IF(AND(Projects!$G$19="Yes",CM$3&gt;=Projects!$C$19,CM$3&lt;Projects!$C$19+Projects!$D$19),Projects!$B$19*INDEX(Curves!$B$4:$AR$4,1,CM$3-Projects!$C$19+1),0)-IF(AND(Projects!$G$19="Yes",CM$3&gt;=Projects!$C$19,CM$3&lt;Projects!$C$19+Projects!$D$19),Projects!$B$19*(Assumptions!$B$10+Assumptions!$B$11+Assumptions!$B$12)/Projects!$D$19*0.95,0)-IF(AND(Projects!$G$19="Yes",CM$3=Projects!$C$19+Projects!$D$19-1),Projects!$B$19*(Assumptions!$B$10+Assumptions!$B$11+Assumptions!$B$12)*0.05,0)</f>
        <v>0</v>
      </c>
      <c r="CN28" s="19" t="n">
        <f aca="false">IF(AND(Projects!$G$19="Yes",CN$3&gt;=Projects!$C$19,CN$3&lt;Projects!$C$19+Projects!$D$19),Projects!$B$19*INDEX(Curves!$B$4:$AR$4,1,CN$3-Projects!$C$19+1),0)-IF(AND(Projects!$G$19="Yes",CN$3&gt;=Projects!$C$19,CN$3&lt;Projects!$C$19+Projects!$D$19),Projects!$B$19*(Assumptions!$B$10+Assumptions!$B$11+Assumptions!$B$12)/Projects!$D$19*0.95,0)-IF(AND(Projects!$G$19="Yes",CN$3=Projects!$C$19+Projects!$D$19-1),Projects!$B$19*(Assumptions!$B$10+Assumptions!$B$11+Assumptions!$B$12)*0.05,0)</f>
        <v>0</v>
      </c>
      <c r="CO28" s="19" t="n">
        <f aca="false">IF(AND(Projects!$G$19="Yes",CO$3&gt;=Projects!$C$19,CO$3&lt;Projects!$C$19+Projects!$D$19),Projects!$B$19*INDEX(Curves!$B$4:$AR$4,1,CO$3-Projects!$C$19+1),0)-IF(AND(Projects!$G$19="Yes",CO$3&gt;=Projects!$C$19,CO$3&lt;Projects!$C$19+Projects!$D$19),Projects!$B$19*(Assumptions!$B$10+Assumptions!$B$11+Assumptions!$B$12)/Projects!$D$19*0.95,0)-IF(AND(Projects!$G$19="Yes",CO$3=Projects!$C$19+Projects!$D$19-1),Projects!$B$19*(Assumptions!$B$10+Assumptions!$B$11+Assumptions!$B$12)*0.05,0)</f>
        <v>0</v>
      </c>
      <c r="CP28" s="19" t="n">
        <f aca="false">IF(AND(Projects!$G$19="Yes",CP$3&gt;=Projects!$C$19,CP$3&lt;Projects!$C$19+Projects!$D$19),Projects!$B$19*INDEX(Curves!$B$4:$AR$4,1,CP$3-Projects!$C$19+1),0)-IF(AND(Projects!$G$19="Yes",CP$3&gt;=Projects!$C$19,CP$3&lt;Projects!$C$19+Projects!$D$19),Projects!$B$19*(Assumptions!$B$10+Assumptions!$B$11+Assumptions!$B$12)/Projects!$D$19*0.95,0)-IF(AND(Projects!$G$19="Yes",CP$3=Projects!$C$19+Projects!$D$19-1),Projects!$B$19*(Assumptions!$B$10+Assumptions!$B$11+Assumptions!$B$12)*0.05,0)</f>
        <v>0</v>
      </c>
      <c r="CQ28" s="19" t="n">
        <f aca="false">IF(AND(Projects!$G$19="Yes",CQ$3&gt;=Projects!$C$19,CQ$3&lt;Projects!$C$19+Projects!$D$19),Projects!$B$19*INDEX(Curves!$B$4:$AR$4,1,CQ$3-Projects!$C$19+1),0)-IF(AND(Projects!$G$19="Yes",CQ$3&gt;=Projects!$C$19,CQ$3&lt;Projects!$C$19+Projects!$D$19),Projects!$B$19*(Assumptions!$B$10+Assumptions!$B$11+Assumptions!$B$12)/Projects!$D$19*0.95,0)-IF(AND(Projects!$G$19="Yes",CQ$3=Projects!$C$19+Projects!$D$19-1),Projects!$B$19*(Assumptions!$B$10+Assumptions!$B$11+Assumptions!$B$12)*0.05,0)</f>
        <v>0</v>
      </c>
      <c r="CR28" s="19" t="n">
        <f aca="false">IF(AND(Projects!$G$19="Yes",CR$3&gt;=Projects!$C$19,CR$3&lt;Projects!$C$19+Projects!$D$19),Projects!$B$19*INDEX(Curves!$B$4:$AR$4,1,CR$3-Projects!$C$19+1),0)-IF(AND(Projects!$G$19="Yes",CR$3&gt;=Projects!$C$19,CR$3&lt;Projects!$C$19+Projects!$D$19),Projects!$B$19*(Assumptions!$B$10+Assumptions!$B$11+Assumptions!$B$12)/Projects!$D$19*0.95,0)-IF(AND(Projects!$G$19="Yes",CR$3=Projects!$C$19+Projects!$D$19-1),Projects!$B$19*(Assumptions!$B$10+Assumptions!$B$11+Assumptions!$B$12)*0.05,0)</f>
        <v>0</v>
      </c>
      <c r="CS28" s="19" t="n">
        <f aca="false">IF(AND(Projects!$G$19="Yes",CS$3&gt;=Projects!$C$19,CS$3&lt;Projects!$C$19+Projects!$D$19),Projects!$B$19*INDEX(Curves!$B$4:$AR$4,1,CS$3-Projects!$C$19+1),0)-IF(AND(Projects!$G$19="Yes",CS$3&gt;=Projects!$C$19,CS$3&lt;Projects!$C$19+Projects!$D$19),Projects!$B$19*(Assumptions!$B$10+Assumptions!$B$11+Assumptions!$B$12)/Projects!$D$19*0.95,0)-IF(AND(Projects!$G$19="Yes",CS$3=Projects!$C$19+Projects!$D$19-1),Projects!$B$19*(Assumptions!$B$10+Assumptions!$B$11+Assumptions!$B$12)*0.05,0)</f>
        <v>0</v>
      </c>
      <c r="CT28" s="19" t="n">
        <f aca="false">IF(AND(Projects!$G$19="Yes",CT$3&gt;=Projects!$C$19,CT$3&lt;Projects!$C$19+Projects!$D$19),Projects!$B$19*INDEX(Curves!$B$4:$AR$4,1,CT$3-Projects!$C$19+1),0)-IF(AND(Projects!$G$19="Yes",CT$3&gt;=Projects!$C$19,CT$3&lt;Projects!$C$19+Projects!$D$19),Projects!$B$19*(Assumptions!$B$10+Assumptions!$B$11+Assumptions!$B$12)/Projects!$D$19*0.95,0)-IF(AND(Projects!$G$19="Yes",CT$3=Projects!$C$19+Projects!$D$19-1),Projects!$B$19*(Assumptions!$B$10+Assumptions!$B$11+Assumptions!$B$12)*0.05,0)</f>
        <v>0</v>
      </c>
      <c r="CU28" s="19" t="n">
        <f aca="false">IF(AND(Projects!$G$19="Yes",CU$3&gt;=Projects!$C$19,CU$3&lt;Projects!$C$19+Projects!$D$19),Projects!$B$19*INDEX(Curves!$B$4:$AR$4,1,CU$3-Projects!$C$19+1),0)-IF(AND(Projects!$G$19="Yes",CU$3&gt;=Projects!$C$19,CU$3&lt;Projects!$C$19+Projects!$D$19),Projects!$B$19*(Assumptions!$B$10+Assumptions!$B$11+Assumptions!$B$12)/Projects!$D$19*0.95,0)-IF(AND(Projects!$G$19="Yes",CU$3=Projects!$C$19+Projects!$D$19-1),Projects!$B$19*(Assumptions!$B$10+Assumptions!$B$11+Assumptions!$B$12)*0.05,0)</f>
        <v>0</v>
      </c>
      <c r="CV28" s="19" t="n">
        <f aca="false">IF(AND(Projects!$G$19="Yes",CV$3&gt;=Projects!$C$19,CV$3&lt;Projects!$C$19+Projects!$D$19),Projects!$B$19*INDEX(Curves!$B$4:$AR$4,1,CV$3-Projects!$C$19+1),0)-IF(AND(Projects!$G$19="Yes",CV$3&gt;=Projects!$C$19,CV$3&lt;Projects!$C$19+Projects!$D$19),Projects!$B$19*(Assumptions!$B$10+Assumptions!$B$11+Assumptions!$B$12)/Projects!$D$19*0.95,0)-IF(AND(Projects!$G$19="Yes",CV$3=Projects!$C$19+Projects!$D$19-1),Projects!$B$19*(Assumptions!$B$10+Assumptions!$B$11+Assumptions!$B$12)*0.05,0)</f>
        <v>0</v>
      </c>
      <c r="CW28" s="19" t="n">
        <f aca="false">IF(AND(Projects!$G$19="Yes",CW$3&gt;=Projects!$C$19,CW$3&lt;Projects!$C$19+Projects!$D$19),Projects!$B$19*INDEX(Curves!$B$4:$AR$4,1,CW$3-Projects!$C$19+1),0)-IF(AND(Projects!$G$19="Yes",CW$3&gt;=Projects!$C$19,CW$3&lt;Projects!$C$19+Projects!$D$19),Projects!$B$19*(Assumptions!$B$10+Assumptions!$B$11+Assumptions!$B$12)/Projects!$D$19*0.95,0)-IF(AND(Projects!$G$19="Yes",CW$3=Projects!$C$19+Projects!$D$19-1),Projects!$B$19*(Assumptions!$B$10+Assumptions!$B$11+Assumptions!$B$12)*0.05,0)</f>
        <v>0</v>
      </c>
      <c r="CX28" s="19" t="n">
        <f aca="false">IF(AND(Projects!$G$19="Yes",CX$3&gt;=Projects!$C$19,CX$3&lt;Projects!$C$19+Projects!$D$19),Projects!$B$19*INDEX(Curves!$B$4:$AR$4,1,CX$3-Projects!$C$19+1),0)-IF(AND(Projects!$G$19="Yes",CX$3&gt;=Projects!$C$19,CX$3&lt;Projects!$C$19+Projects!$D$19),Projects!$B$19*(Assumptions!$B$10+Assumptions!$B$11+Assumptions!$B$12)/Projects!$D$19*0.95,0)-IF(AND(Projects!$G$19="Yes",CX$3=Projects!$C$19+Projects!$D$19-1),Projects!$B$19*(Assumptions!$B$10+Assumptions!$B$11+Assumptions!$B$12)*0.05,0)</f>
        <v>0</v>
      </c>
      <c r="CY28" s="19" t="n">
        <f aca="false">IF(AND(Projects!$G$19="Yes",CY$3&gt;=Projects!$C$19,CY$3&lt;Projects!$C$19+Projects!$D$19),Projects!$B$19*INDEX(Curves!$B$4:$AR$4,1,CY$3-Projects!$C$19+1),0)-IF(AND(Projects!$G$19="Yes",CY$3&gt;=Projects!$C$19,CY$3&lt;Projects!$C$19+Projects!$D$19),Projects!$B$19*(Assumptions!$B$10+Assumptions!$B$11+Assumptions!$B$12)/Projects!$D$19*0.95,0)-IF(AND(Projects!$G$19="Yes",CY$3=Projects!$C$19+Projects!$D$19-1),Projects!$B$19*(Assumptions!$B$10+Assumptions!$B$11+Assumptions!$B$12)*0.05,0)</f>
        <v>0</v>
      </c>
      <c r="CZ28" s="19" t="n">
        <f aca="false">IF(AND(Projects!$G$19="Yes",CZ$3&gt;=Projects!$C$19,CZ$3&lt;Projects!$C$19+Projects!$D$19),Projects!$B$19*INDEX(Curves!$B$4:$AR$4,1,CZ$3-Projects!$C$19+1),0)-IF(AND(Projects!$G$19="Yes",CZ$3&gt;=Projects!$C$19,CZ$3&lt;Projects!$C$19+Projects!$D$19),Projects!$B$19*(Assumptions!$B$10+Assumptions!$B$11+Assumptions!$B$12)/Projects!$D$19*0.95,0)-IF(AND(Projects!$G$19="Yes",CZ$3=Projects!$C$19+Projects!$D$19-1),Projects!$B$19*(Assumptions!$B$10+Assumptions!$B$11+Assumptions!$B$12)*0.05,0)</f>
        <v>0</v>
      </c>
      <c r="DA28" s="19" t="n">
        <f aca="false">IF(AND(Projects!$G$19="Yes",DA$3&gt;=Projects!$C$19,DA$3&lt;Projects!$C$19+Projects!$D$19),Projects!$B$19*INDEX(Curves!$B$4:$AR$4,1,DA$3-Projects!$C$19+1),0)-IF(AND(Projects!$G$19="Yes",DA$3&gt;=Projects!$C$19,DA$3&lt;Projects!$C$19+Projects!$D$19),Projects!$B$19*(Assumptions!$B$10+Assumptions!$B$11+Assumptions!$B$12)/Projects!$D$19*0.95,0)-IF(AND(Projects!$G$19="Yes",DA$3=Projects!$C$19+Projects!$D$19-1),Projects!$B$19*(Assumptions!$B$10+Assumptions!$B$11+Assumptions!$B$12)*0.05,0)</f>
        <v>0</v>
      </c>
      <c r="DB28" s="19" t="n">
        <f aca="false">IF(AND(Projects!$G$19="Yes",DB$3&gt;=Projects!$C$19,DB$3&lt;Projects!$C$19+Projects!$D$19),Projects!$B$19*INDEX(Curves!$B$4:$AR$4,1,DB$3-Projects!$C$19+1),0)-IF(AND(Projects!$G$19="Yes",DB$3&gt;=Projects!$C$19,DB$3&lt;Projects!$C$19+Projects!$D$19),Projects!$B$19*(Assumptions!$B$10+Assumptions!$B$11+Assumptions!$B$12)/Projects!$D$19*0.95,0)-IF(AND(Projects!$G$19="Yes",DB$3=Projects!$C$19+Projects!$D$19-1),Projects!$B$19*(Assumptions!$B$10+Assumptions!$B$11+Assumptions!$B$12)*0.05,0)</f>
        <v>0</v>
      </c>
      <c r="DC28" s="19" t="n">
        <f aca="false">IF(AND(Projects!$G$19="Yes",DC$3&gt;=Projects!$C$19,DC$3&lt;Projects!$C$19+Projects!$D$19),Projects!$B$19*INDEX(Curves!$B$4:$AR$4,1,DC$3-Projects!$C$19+1),0)-IF(AND(Projects!$G$19="Yes",DC$3&gt;=Projects!$C$19,DC$3&lt;Projects!$C$19+Projects!$D$19),Projects!$B$19*(Assumptions!$B$10+Assumptions!$B$11+Assumptions!$B$12)/Projects!$D$19*0.95,0)-IF(AND(Projects!$G$19="Yes",DC$3=Projects!$C$19+Projects!$D$19-1),Projects!$B$19*(Assumptions!$B$10+Assumptions!$B$11+Assumptions!$B$12)*0.05,0)</f>
        <v>0</v>
      </c>
      <c r="DD28" s="19" t="n">
        <f aca="false">IF(AND(Projects!$G$19="Yes",DD$3&gt;=Projects!$C$19,DD$3&lt;Projects!$C$19+Projects!$D$19),Projects!$B$19*INDEX(Curves!$B$4:$AR$4,1,DD$3-Projects!$C$19+1),0)-IF(AND(Projects!$G$19="Yes",DD$3&gt;=Projects!$C$19,DD$3&lt;Projects!$C$19+Projects!$D$19),Projects!$B$19*(Assumptions!$B$10+Assumptions!$B$11+Assumptions!$B$12)/Projects!$D$19*0.95,0)-IF(AND(Projects!$G$19="Yes",DD$3=Projects!$C$19+Projects!$D$19-1),Projects!$B$19*(Assumptions!$B$10+Assumptions!$B$11+Assumptions!$B$12)*0.05,0)</f>
        <v>0</v>
      </c>
      <c r="DE28" s="19" t="n">
        <f aca="false">IF(AND(Projects!$G$19="Yes",DE$3&gt;=Projects!$C$19,DE$3&lt;Projects!$C$19+Projects!$D$19),Projects!$B$19*INDEX(Curves!$B$4:$AR$4,1,DE$3-Projects!$C$19+1),0)-IF(AND(Projects!$G$19="Yes",DE$3&gt;=Projects!$C$19,DE$3&lt;Projects!$C$19+Projects!$D$19),Projects!$B$19*(Assumptions!$B$10+Assumptions!$B$11+Assumptions!$B$12)/Projects!$D$19*0.95,0)-IF(AND(Projects!$G$19="Yes",DE$3=Projects!$C$19+Projects!$D$19-1),Projects!$B$19*(Assumptions!$B$10+Assumptions!$B$11+Assumptions!$B$12)*0.05,0)</f>
        <v>0</v>
      </c>
    </row>
    <row r="29" customFormat="false" ht="15" hidden="true" customHeight="true" outlineLevel="1" collapsed="false">
      <c r="A29" s="28" t="s">
        <v>23</v>
      </c>
      <c r="B29" s="19" t="n">
        <v>0</v>
      </c>
      <c r="C29" s="19" t="n">
        <v>0</v>
      </c>
      <c r="D29" s="19" t="n">
        <v>0</v>
      </c>
      <c r="E29" s="19" t="n">
        <v>0</v>
      </c>
      <c r="F29" s="19" t="n">
        <f aca="false">IF(AND(Projects!$G$20="Yes",F$3&gt;=Projects!$C$20,F$3&lt;Projects!$C$20+Projects!$D$20),Projects!$B$20*INDEX(Curves!$B$4:$AR$4,1,F$3-Projects!$C$20+1),0)-IF(AND(Projects!$G$20="Yes",F$3&gt;=Projects!$C$20,F$3&lt;Projects!$C$20+Projects!$D$20),Projects!$B$20*(Assumptions!$B$10+Assumptions!$B$11+Assumptions!$B$12)/Projects!$D$20*0.95,0)-IF(AND(Projects!$G$20="Yes",F$3=Projects!$C$20+Projects!$D$20-1),Projects!$B$20*(Assumptions!$B$10+Assumptions!$B$11+Assumptions!$B$12)*0.05,0)</f>
        <v>0</v>
      </c>
      <c r="G29" s="19" t="n">
        <f aca="false">IF(AND(Projects!$G$20="Yes",G$3&gt;=Projects!$C$20,G$3&lt;Projects!$C$20+Projects!$D$20),Projects!$B$20*INDEX(Curves!$B$4:$AR$4,1,G$3-Projects!$C$20+1),0)-IF(AND(Projects!$G$20="Yes",G$3&gt;=Projects!$C$20,G$3&lt;Projects!$C$20+Projects!$D$20),Projects!$B$20*(Assumptions!$B$10+Assumptions!$B$11+Assumptions!$B$12)/Projects!$D$20*0.95,0)-IF(AND(Projects!$G$20="Yes",G$3=Projects!$C$20+Projects!$D$20-1),Projects!$B$20*(Assumptions!$B$10+Assumptions!$B$11+Assumptions!$B$12)*0.05,0)</f>
        <v>0</v>
      </c>
      <c r="H29" s="19" t="n">
        <f aca="false">IF(AND(Projects!$G$20="Yes",H$3&gt;=Projects!$C$20,H$3&lt;Projects!$C$20+Projects!$D$20),Projects!$B$20*INDEX(Curves!$B$4:$AR$4,1,H$3-Projects!$C$20+1),0)-IF(AND(Projects!$G$20="Yes",H$3&gt;=Projects!$C$20,H$3&lt;Projects!$C$20+Projects!$D$20),Projects!$B$20*(Assumptions!$B$10+Assumptions!$B$11+Assumptions!$B$12)/Projects!$D$20*0.95,0)-IF(AND(Projects!$G$20="Yes",H$3=Projects!$C$20+Projects!$D$20-1),Projects!$B$20*(Assumptions!$B$10+Assumptions!$B$11+Assumptions!$B$12)*0.05,0)</f>
        <v>0</v>
      </c>
      <c r="I29" s="19" t="n">
        <f aca="false">IF(AND(Projects!$G$20="Yes",I$3&gt;=Projects!$C$20,I$3&lt;Projects!$C$20+Projects!$D$20),Projects!$B$20*INDEX(Curves!$B$4:$AR$4,1,I$3-Projects!$C$20+1),0)-IF(AND(Projects!$G$20="Yes",I$3&gt;=Projects!$C$20,I$3&lt;Projects!$C$20+Projects!$D$20),Projects!$B$20*(Assumptions!$B$10+Assumptions!$B$11+Assumptions!$B$12)/Projects!$D$20*0.95,0)-IF(AND(Projects!$G$20="Yes",I$3=Projects!$C$20+Projects!$D$20-1),Projects!$B$20*(Assumptions!$B$10+Assumptions!$B$11+Assumptions!$B$12)*0.05,0)</f>
        <v>0</v>
      </c>
      <c r="J29" s="19" t="n">
        <f aca="false">IF(AND(Projects!$G$20="Yes",J$3&gt;=Projects!$C$20,J$3&lt;Projects!$C$20+Projects!$D$20),Projects!$B$20*INDEX(Curves!$B$4:$AR$4,1,J$3-Projects!$C$20+1),0)-IF(AND(Projects!$G$20="Yes",J$3&gt;=Projects!$C$20,J$3&lt;Projects!$C$20+Projects!$D$20),Projects!$B$20*(Assumptions!$B$10+Assumptions!$B$11+Assumptions!$B$12)/Projects!$D$20*0.95,0)-IF(AND(Projects!$G$20="Yes",J$3=Projects!$C$20+Projects!$D$20-1),Projects!$B$20*(Assumptions!$B$10+Assumptions!$B$11+Assumptions!$B$12)*0.05,0)</f>
        <v>0</v>
      </c>
      <c r="K29" s="19" t="n">
        <f aca="false">IF(AND(Projects!$G$20="Yes",K$3&gt;=Projects!$C$20,K$3&lt;Projects!$C$20+Projects!$D$20),Projects!$B$20*INDEX(Curves!$B$4:$AR$4,1,K$3-Projects!$C$20+1),0)-IF(AND(Projects!$G$20="Yes",K$3&gt;=Projects!$C$20,K$3&lt;Projects!$C$20+Projects!$D$20),Projects!$B$20*(Assumptions!$B$10+Assumptions!$B$11+Assumptions!$B$12)/Projects!$D$20*0.95,0)-IF(AND(Projects!$G$20="Yes",K$3=Projects!$C$20+Projects!$D$20-1),Projects!$B$20*(Assumptions!$B$10+Assumptions!$B$11+Assumptions!$B$12)*0.05,0)</f>
        <v>0</v>
      </c>
      <c r="L29" s="19" t="n">
        <f aca="false">IF(AND(Projects!$G$20="Yes",L$3&gt;=Projects!$C$20,L$3&lt;Projects!$C$20+Projects!$D$20),Projects!$B$20*INDEX(Curves!$B$4:$AR$4,1,L$3-Projects!$C$20+1),0)-IF(AND(Projects!$G$20="Yes",L$3&gt;=Projects!$C$20,L$3&lt;Projects!$C$20+Projects!$D$20),Projects!$B$20*(Assumptions!$B$10+Assumptions!$B$11+Assumptions!$B$12)/Projects!$D$20*0.95,0)-IF(AND(Projects!$G$20="Yes",L$3=Projects!$C$20+Projects!$D$20-1),Projects!$B$20*(Assumptions!$B$10+Assumptions!$B$11+Assumptions!$B$12)*0.05,0)</f>
        <v>0</v>
      </c>
      <c r="M29" s="19" t="n">
        <f aca="false">IF(AND(Projects!$G$20="Yes",M$3&gt;=Projects!$C$20,M$3&lt;Projects!$C$20+Projects!$D$20),Projects!$B$20*INDEX(Curves!$B$4:$AR$4,1,M$3-Projects!$C$20+1),0)-IF(AND(Projects!$G$20="Yes",M$3&gt;=Projects!$C$20,M$3&lt;Projects!$C$20+Projects!$D$20),Projects!$B$20*(Assumptions!$B$10+Assumptions!$B$11+Assumptions!$B$12)/Projects!$D$20*0.95,0)-IF(AND(Projects!$G$20="Yes",M$3=Projects!$C$20+Projects!$D$20-1),Projects!$B$20*(Assumptions!$B$10+Assumptions!$B$11+Assumptions!$B$12)*0.05,0)</f>
        <v>0</v>
      </c>
      <c r="N29" s="19" t="n">
        <f aca="false">IF(AND(Projects!$G$20="Yes",N$3&gt;=Projects!$C$20,N$3&lt;Projects!$C$20+Projects!$D$20),Projects!$B$20*INDEX(Curves!$B$4:$AR$4,1,N$3-Projects!$C$20+1),0)-IF(AND(Projects!$G$20="Yes",N$3&gt;=Projects!$C$20,N$3&lt;Projects!$C$20+Projects!$D$20),Projects!$B$20*(Assumptions!$B$10+Assumptions!$B$11+Assumptions!$B$12)/Projects!$D$20*0.95,0)-IF(AND(Projects!$G$20="Yes",N$3=Projects!$C$20+Projects!$D$20-1),Projects!$B$20*(Assumptions!$B$10+Assumptions!$B$11+Assumptions!$B$12)*0.05,0)</f>
        <v>0</v>
      </c>
      <c r="O29" s="19" t="n">
        <f aca="false">IF(AND(Projects!$G$20="Yes",O$3&gt;=Projects!$C$20,O$3&lt;Projects!$C$20+Projects!$D$20),Projects!$B$20*INDEX(Curves!$B$4:$AR$4,1,O$3-Projects!$C$20+1),0)-IF(AND(Projects!$G$20="Yes",O$3&gt;=Projects!$C$20,O$3&lt;Projects!$C$20+Projects!$D$20),Projects!$B$20*(Assumptions!$B$10+Assumptions!$B$11+Assumptions!$B$12)/Projects!$D$20*0.95,0)-IF(AND(Projects!$G$20="Yes",O$3=Projects!$C$20+Projects!$D$20-1),Projects!$B$20*(Assumptions!$B$10+Assumptions!$B$11+Assumptions!$B$12)*0.05,0)</f>
        <v>0</v>
      </c>
      <c r="P29" s="19" t="n">
        <f aca="false">IF(AND(Projects!$G$20="Yes",P$3&gt;=Projects!$C$20,P$3&lt;Projects!$C$20+Projects!$D$20),Projects!$B$20*INDEX(Curves!$B$4:$AR$4,1,P$3-Projects!$C$20+1),0)-IF(AND(Projects!$G$20="Yes",P$3&gt;=Projects!$C$20,P$3&lt;Projects!$C$20+Projects!$D$20),Projects!$B$20*(Assumptions!$B$10+Assumptions!$B$11+Assumptions!$B$12)/Projects!$D$20*0.95,0)-IF(AND(Projects!$G$20="Yes",P$3=Projects!$C$20+Projects!$D$20-1),Projects!$B$20*(Assumptions!$B$10+Assumptions!$B$11+Assumptions!$B$12)*0.05,0)</f>
        <v>0</v>
      </c>
      <c r="Q29" s="19" t="n">
        <f aca="false">IF(AND(Projects!$G$20="Yes",Q$3&gt;=Projects!$C$20,Q$3&lt;Projects!$C$20+Projects!$D$20),Projects!$B$20*INDEX(Curves!$B$4:$AR$4,1,Q$3-Projects!$C$20+1),0)-IF(AND(Projects!$G$20="Yes",Q$3&gt;=Projects!$C$20,Q$3&lt;Projects!$C$20+Projects!$D$20),Projects!$B$20*(Assumptions!$B$10+Assumptions!$B$11+Assumptions!$B$12)/Projects!$D$20*0.95,0)-IF(AND(Projects!$G$20="Yes",Q$3=Projects!$C$20+Projects!$D$20-1),Projects!$B$20*(Assumptions!$B$10+Assumptions!$B$11+Assumptions!$B$12)*0.05,0)</f>
        <v>0</v>
      </c>
      <c r="R29" s="19" t="n">
        <f aca="false">IF(AND(Projects!$G$20="Yes",R$3&gt;=Projects!$C$20,R$3&lt;Projects!$C$20+Projects!$D$20),Projects!$B$20*INDEX(Curves!$B$4:$AR$4,1,R$3-Projects!$C$20+1),0)-IF(AND(Projects!$G$20="Yes",R$3&gt;=Projects!$C$20,R$3&lt;Projects!$C$20+Projects!$D$20),Projects!$B$20*(Assumptions!$B$10+Assumptions!$B$11+Assumptions!$B$12)/Projects!$D$20*0.95,0)-IF(AND(Projects!$G$20="Yes",R$3=Projects!$C$20+Projects!$D$20-1),Projects!$B$20*(Assumptions!$B$10+Assumptions!$B$11+Assumptions!$B$12)*0.05,0)</f>
        <v>0</v>
      </c>
      <c r="S29" s="19" t="n">
        <f aca="false">IF(AND(Projects!$G$20="Yes",S$3&gt;=Projects!$C$20,S$3&lt;Projects!$C$20+Projects!$D$20),Projects!$B$20*INDEX(Curves!$B$4:$AR$4,1,S$3-Projects!$C$20+1),0)-IF(AND(Projects!$G$20="Yes",S$3&gt;=Projects!$C$20,S$3&lt;Projects!$C$20+Projects!$D$20),Projects!$B$20*(Assumptions!$B$10+Assumptions!$B$11+Assumptions!$B$12)/Projects!$D$20*0.95,0)-IF(AND(Projects!$G$20="Yes",S$3=Projects!$C$20+Projects!$D$20-1),Projects!$B$20*(Assumptions!$B$10+Assumptions!$B$11+Assumptions!$B$12)*0.05,0)</f>
        <v>0</v>
      </c>
      <c r="T29" s="19" t="n">
        <f aca="false">IF(AND(Projects!$G$20="Yes",T$3&gt;=Projects!$C$20,T$3&lt;Projects!$C$20+Projects!$D$20),Projects!$B$20*INDEX(Curves!$B$4:$AR$4,1,T$3-Projects!$C$20+1),0)-IF(AND(Projects!$G$20="Yes",T$3&gt;=Projects!$C$20,T$3&lt;Projects!$C$20+Projects!$D$20),Projects!$B$20*(Assumptions!$B$10+Assumptions!$B$11+Assumptions!$B$12)/Projects!$D$20*0.95,0)-IF(AND(Projects!$G$20="Yes",T$3=Projects!$C$20+Projects!$D$20-1),Projects!$B$20*(Assumptions!$B$10+Assumptions!$B$11+Assumptions!$B$12)*0.05,0)</f>
        <v>0</v>
      </c>
      <c r="U29" s="19" t="n">
        <f aca="false">IF(AND(Projects!$G$20="Yes",U$3&gt;=Projects!$C$20,U$3&lt;Projects!$C$20+Projects!$D$20),Projects!$B$20*INDEX(Curves!$B$4:$AR$4,1,U$3-Projects!$C$20+1),0)-IF(AND(Projects!$G$20="Yes",U$3&gt;=Projects!$C$20,U$3&lt;Projects!$C$20+Projects!$D$20),Projects!$B$20*(Assumptions!$B$10+Assumptions!$B$11+Assumptions!$B$12)/Projects!$D$20*0.95,0)-IF(AND(Projects!$G$20="Yes",U$3=Projects!$C$20+Projects!$D$20-1),Projects!$B$20*(Assumptions!$B$10+Assumptions!$B$11+Assumptions!$B$12)*0.05,0)</f>
        <v>0</v>
      </c>
      <c r="V29" s="19" t="n">
        <f aca="false">IF(AND(Projects!$G$20="Yes",V$3&gt;=Projects!$C$20,V$3&lt;Projects!$C$20+Projects!$D$20),Projects!$B$20*INDEX(Curves!$B$4:$AR$4,1,V$3-Projects!$C$20+1),0)-IF(AND(Projects!$G$20="Yes",V$3&gt;=Projects!$C$20,V$3&lt;Projects!$C$20+Projects!$D$20),Projects!$B$20*(Assumptions!$B$10+Assumptions!$B$11+Assumptions!$B$12)/Projects!$D$20*0.95,0)-IF(AND(Projects!$G$20="Yes",V$3=Projects!$C$20+Projects!$D$20-1),Projects!$B$20*(Assumptions!$B$10+Assumptions!$B$11+Assumptions!$B$12)*0.05,0)</f>
        <v>0</v>
      </c>
      <c r="W29" s="19" t="n">
        <f aca="false">IF(AND(Projects!$G$20="Yes",W$3&gt;=Projects!$C$20,W$3&lt;Projects!$C$20+Projects!$D$20),Projects!$B$20*INDEX(Curves!$B$4:$AR$4,1,W$3-Projects!$C$20+1),0)-IF(AND(Projects!$G$20="Yes",W$3&gt;=Projects!$C$20,W$3&lt;Projects!$C$20+Projects!$D$20),Projects!$B$20*(Assumptions!$B$10+Assumptions!$B$11+Assumptions!$B$12)/Projects!$D$20*0.95,0)-IF(AND(Projects!$G$20="Yes",W$3=Projects!$C$20+Projects!$D$20-1),Projects!$B$20*(Assumptions!$B$10+Assumptions!$B$11+Assumptions!$B$12)*0.05,0)</f>
        <v>0</v>
      </c>
      <c r="X29" s="19" t="n">
        <f aca="false">IF(AND(Projects!$G$20="Yes",X$3&gt;=Projects!$C$20,X$3&lt;Projects!$C$20+Projects!$D$20),Projects!$B$20*INDEX(Curves!$B$4:$AR$4,1,X$3-Projects!$C$20+1),0)-IF(AND(Projects!$G$20="Yes",X$3&gt;=Projects!$C$20,X$3&lt;Projects!$C$20+Projects!$D$20),Projects!$B$20*(Assumptions!$B$10+Assumptions!$B$11+Assumptions!$B$12)/Projects!$D$20*0.95,0)-IF(AND(Projects!$G$20="Yes",X$3=Projects!$C$20+Projects!$D$20-1),Projects!$B$20*(Assumptions!$B$10+Assumptions!$B$11+Assumptions!$B$12)*0.05,0)</f>
        <v>544360.803130946</v>
      </c>
      <c r="Y29" s="19" t="n">
        <f aca="false">IF(AND(Projects!$G$20="Yes",Y$3&gt;=Projects!$C$20,Y$3&lt;Projects!$C$20+Projects!$D$20),Projects!$B$20*INDEX(Curves!$B$4:$AR$4,1,Y$3-Projects!$C$20+1),0)-IF(AND(Projects!$G$20="Yes",Y$3&gt;=Projects!$C$20,Y$3&lt;Projects!$C$20+Projects!$D$20),Projects!$B$20*(Assumptions!$B$10+Assumptions!$B$11+Assumptions!$B$12)/Projects!$D$20*0.95,0)-IF(AND(Projects!$G$20="Yes",Y$3=Projects!$C$20+Projects!$D$20-1),Projects!$B$20*(Assumptions!$B$10+Assumptions!$B$11+Assumptions!$B$12)*0.05,0)</f>
        <v>700625.211272466</v>
      </c>
      <c r="Z29" s="19" t="n">
        <f aca="false">IF(AND(Projects!$G$20="Yes",Z$3&gt;=Projects!$C$20,Z$3&lt;Projects!$C$20+Projects!$D$20),Projects!$B$20*INDEX(Curves!$B$4:$AR$4,1,Z$3-Projects!$C$20+1),0)-IF(AND(Projects!$G$20="Yes",Z$3&gt;=Projects!$C$20,Z$3&lt;Projects!$C$20+Projects!$D$20),Projects!$B$20*(Assumptions!$B$10+Assumptions!$B$11+Assumptions!$B$12)/Projects!$D$20*0.95,0)-IF(AND(Projects!$G$20="Yes",Z$3=Projects!$C$20+Projects!$D$20-1),Projects!$B$20*(Assumptions!$B$10+Assumptions!$B$11+Assumptions!$B$12)*0.05,0)</f>
        <v>868827.179100646</v>
      </c>
      <c r="AA29" s="19" t="n">
        <f aca="false">IF(AND(Projects!$G$20="Yes",AA$3&gt;=Projects!$C$20,AA$3&lt;Projects!$C$20+Projects!$D$20),Projects!$B$20*INDEX(Curves!$B$4:$AR$4,1,AA$3-Projects!$C$20+1),0)-IF(AND(Projects!$G$20="Yes",AA$3&gt;=Projects!$C$20,AA$3&lt;Projects!$C$20+Projects!$D$20),Projects!$B$20*(Assumptions!$B$10+Assumptions!$B$11+Assumptions!$B$12)/Projects!$D$20*0.95,0)-IF(AND(Projects!$G$20="Yes",AA$3=Projects!$C$20+Projects!$D$20-1),Projects!$B$20*(Assumptions!$B$10+Assumptions!$B$11+Assumptions!$B$12)*0.05,0)</f>
        <v>1042259.65002005</v>
      </c>
      <c r="AB29" s="19" t="n">
        <f aca="false">IF(AND(Projects!$G$20="Yes",AB$3&gt;=Projects!$C$20,AB$3&lt;Projects!$C$20+Projects!$D$20),Projects!$B$20*INDEX(Curves!$B$4:$AR$4,1,AB$3-Projects!$C$20+1),0)-IF(AND(Projects!$G$20="Yes",AB$3&gt;=Projects!$C$20,AB$3&lt;Projects!$C$20+Projects!$D$20),Projects!$B$20*(Assumptions!$B$10+Assumptions!$B$11+Assumptions!$B$12)/Projects!$D$20*0.95,0)-IF(AND(Projects!$G$20="Yes",AB$3=Projects!$C$20+Projects!$D$20-1),Projects!$B$20*(Assumptions!$B$10+Assumptions!$B$11+Assumptions!$B$12)*0.05,0)</f>
        <v>1212588.85594753</v>
      </c>
      <c r="AC29" s="19" t="n">
        <f aca="false">IF(AND(Projects!$G$20="Yes",AC$3&gt;=Projects!$C$20,AC$3&lt;Projects!$C$20+Projects!$D$20),Projects!$B$20*INDEX(Curves!$B$4:$AR$4,1,AC$3-Projects!$C$20+1),0)-IF(AND(Projects!$G$20="Yes",AC$3&gt;=Projects!$C$20,AC$3&lt;Projects!$C$20+Projects!$D$20),Projects!$B$20*(Assumptions!$B$10+Assumptions!$B$11+Assumptions!$B$12)/Projects!$D$20*0.95,0)-IF(AND(Projects!$G$20="Yes",AC$3=Projects!$C$20+Projects!$D$20-1),Projects!$B$20*(Assumptions!$B$10+Assumptions!$B$11+Assumptions!$B$12)*0.05,0)</f>
        <v>1370354.84392385</v>
      </c>
      <c r="AD29" s="19" t="n">
        <f aca="false">IF(AND(Projects!$G$20="Yes",AD$3&gt;=Projects!$C$20,AD$3&lt;Projects!$C$20+Projects!$D$20),Projects!$B$20*INDEX(Curves!$B$4:$AR$4,1,AD$3-Projects!$C$20+1),0)-IF(AND(Projects!$G$20="Yes",AD$3&gt;=Projects!$C$20,AD$3&lt;Projects!$C$20+Projects!$D$20),Projects!$B$20*(Assumptions!$B$10+Assumptions!$B$11+Assumptions!$B$12)/Projects!$D$20*0.95,0)-IF(AND(Projects!$G$20="Yes",AD$3=Projects!$C$20+Projects!$D$20-1),Projects!$B$20*(Assumptions!$B$10+Assumptions!$B$11+Assumptions!$B$12)*0.05,0)</f>
        <v>1505872.42401455</v>
      </c>
      <c r="AE29" s="19" t="n">
        <f aca="false">IF(AND(Projects!$G$20="Yes",AE$3&gt;=Projects!$C$20,AE$3&lt;Projects!$C$20+Projects!$D$20),Projects!$B$20*INDEX(Curves!$B$4:$AR$4,1,AE$3-Projects!$C$20+1),0)-IF(AND(Projects!$G$20="Yes",AE$3&gt;=Projects!$C$20,AE$3&lt;Projects!$C$20+Projects!$D$20),Projects!$B$20*(Assumptions!$B$10+Assumptions!$B$11+Assumptions!$B$12)/Projects!$D$20*0.95,0)-IF(AND(Projects!$G$20="Yes",AE$3=Projects!$C$20+Projects!$D$20-1),Projects!$B$20*(Assumptions!$B$10+Assumptions!$B$11+Assumptions!$B$12)*0.05,0)</f>
        <v>1610157.14354141</v>
      </c>
      <c r="AF29" s="19" t="n">
        <f aca="false">IF(AND(Projects!$G$20="Yes",AF$3&gt;=Projects!$C$20,AF$3&lt;Projects!$C$20+Projects!$D$20),Projects!$B$20*INDEX(Curves!$B$4:$AR$4,1,AF$3-Projects!$C$20+1),0)-IF(AND(Projects!$G$20="Yes",AF$3&gt;=Projects!$C$20,AF$3&lt;Projects!$C$20+Projects!$D$20),Projects!$B$20*(Assumptions!$B$10+Assumptions!$B$11+Assumptions!$B$12)/Projects!$D$20*0.95,0)-IF(AND(Projects!$G$20="Yes",AF$3=Projects!$C$20+Projects!$D$20-1),Projects!$B$20*(Assumptions!$B$10+Assumptions!$B$11+Assumptions!$B$12)*0.05,0)</f>
        <v>1675926.34030565</v>
      </c>
      <c r="AG29" s="19" t="n">
        <f aca="false">IF(AND(Projects!$G$20="Yes",AG$3&gt;=Projects!$C$20,AG$3&lt;Projects!$C$20+Projects!$D$20),Projects!$B$20*INDEX(Curves!$B$4:$AR$4,1,AG$3-Projects!$C$20+1),0)-IF(AND(Projects!$G$20="Yes",AG$3&gt;=Projects!$C$20,AG$3&lt;Projects!$C$20+Projects!$D$20),Projects!$B$20*(Assumptions!$B$10+Assumptions!$B$11+Assumptions!$B$12)/Projects!$D$20*0.95,0)-IF(AND(Projects!$G$20="Yes",AG$3=Projects!$C$20+Projects!$D$20-1),Projects!$B$20*(Assumptions!$B$10+Assumptions!$B$11+Assumptions!$B$12)*0.05,0)</f>
        <v>1698399.98516649</v>
      </c>
      <c r="AH29" s="19" t="n">
        <f aca="false">IF(AND(Projects!$G$20="Yes",AH$3&gt;=Projects!$C$20,AH$3&lt;Projects!$C$20+Projects!$D$20),Projects!$B$20*INDEX(Curves!$B$4:$AR$4,1,AH$3-Projects!$C$20+1),0)-IF(AND(Projects!$G$20="Yes",AH$3&gt;=Projects!$C$20,AH$3&lt;Projects!$C$20+Projects!$D$20),Projects!$B$20*(Assumptions!$B$10+Assumptions!$B$11+Assumptions!$B$12)/Projects!$D$20*0.95,0)-IF(AND(Projects!$G$20="Yes",AH$3=Projects!$C$20+Projects!$D$20-1),Projects!$B$20*(Assumptions!$B$10+Assumptions!$B$11+Assumptions!$B$12)*0.05,0)</f>
        <v>1675926.34030565</v>
      </c>
      <c r="AI29" s="19" t="n">
        <f aca="false">IF(AND(Projects!$G$20="Yes",AI$3&gt;=Projects!$C$20,AI$3&lt;Projects!$C$20+Projects!$D$20),Projects!$B$20*INDEX(Curves!$B$4:$AR$4,1,AI$3-Projects!$C$20+1),0)-IF(AND(Projects!$G$20="Yes",AI$3&gt;=Projects!$C$20,AI$3&lt;Projects!$C$20+Projects!$D$20),Projects!$B$20*(Assumptions!$B$10+Assumptions!$B$11+Assumptions!$B$12)/Projects!$D$20*0.95,0)-IF(AND(Projects!$G$20="Yes",AI$3=Projects!$C$20+Projects!$D$20-1),Projects!$B$20*(Assumptions!$B$10+Assumptions!$B$11+Assumptions!$B$12)*0.05,0)</f>
        <v>1610157.14354141</v>
      </c>
      <c r="AJ29" s="19" t="n">
        <f aca="false">IF(AND(Projects!$G$20="Yes",AJ$3&gt;=Projects!$C$20,AJ$3&lt;Projects!$C$20+Projects!$D$20),Projects!$B$20*INDEX(Curves!$B$4:$AR$4,1,AJ$3-Projects!$C$20+1),0)-IF(AND(Projects!$G$20="Yes",AJ$3&gt;=Projects!$C$20,AJ$3&lt;Projects!$C$20+Projects!$D$20),Projects!$B$20*(Assumptions!$B$10+Assumptions!$B$11+Assumptions!$B$12)/Projects!$D$20*0.95,0)-IF(AND(Projects!$G$20="Yes",AJ$3=Projects!$C$20+Projects!$D$20-1),Projects!$B$20*(Assumptions!$B$10+Assumptions!$B$11+Assumptions!$B$12)*0.05,0)</f>
        <v>1505872.42401455</v>
      </c>
      <c r="AK29" s="19" t="n">
        <f aca="false">IF(AND(Projects!$G$20="Yes",AK$3&gt;=Projects!$C$20,AK$3&lt;Projects!$C$20+Projects!$D$20),Projects!$B$20*INDEX(Curves!$B$4:$AR$4,1,AK$3-Projects!$C$20+1),0)-IF(AND(Projects!$G$20="Yes",AK$3&gt;=Projects!$C$20,AK$3&lt;Projects!$C$20+Projects!$D$20),Projects!$B$20*(Assumptions!$B$10+Assumptions!$B$11+Assumptions!$B$12)/Projects!$D$20*0.95,0)-IF(AND(Projects!$G$20="Yes",AK$3=Projects!$C$20+Projects!$D$20-1),Projects!$B$20*(Assumptions!$B$10+Assumptions!$B$11+Assumptions!$B$12)*0.05,0)</f>
        <v>1370354.84392385</v>
      </c>
      <c r="AL29" s="19" t="n">
        <f aca="false">IF(AND(Projects!$G$20="Yes",AL$3&gt;=Projects!$C$20,AL$3&lt;Projects!$C$20+Projects!$D$20),Projects!$B$20*INDEX(Curves!$B$4:$AR$4,1,AL$3-Projects!$C$20+1),0)-IF(AND(Projects!$G$20="Yes",AL$3&gt;=Projects!$C$20,AL$3&lt;Projects!$C$20+Projects!$D$20),Projects!$B$20*(Assumptions!$B$10+Assumptions!$B$11+Assumptions!$B$12)/Projects!$D$20*0.95,0)-IF(AND(Projects!$G$20="Yes",AL$3=Projects!$C$20+Projects!$D$20-1),Projects!$B$20*(Assumptions!$B$10+Assumptions!$B$11+Assumptions!$B$12)*0.05,0)</f>
        <v>1212588.85594753</v>
      </c>
      <c r="AM29" s="19" t="n">
        <f aca="false">IF(AND(Projects!$G$20="Yes",AM$3&gt;=Projects!$C$20,AM$3&lt;Projects!$C$20+Projects!$D$20),Projects!$B$20*INDEX(Curves!$B$4:$AR$4,1,AM$3-Projects!$C$20+1),0)-IF(AND(Projects!$G$20="Yes",AM$3&gt;=Projects!$C$20,AM$3&lt;Projects!$C$20+Projects!$D$20),Projects!$B$20*(Assumptions!$B$10+Assumptions!$B$11+Assumptions!$B$12)/Projects!$D$20*0.95,0)-IF(AND(Projects!$G$20="Yes",AM$3=Projects!$C$20+Projects!$D$20-1),Projects!$B$20*(Assumptions!$B$10+Assumptions!$B$11+Assumptions!$B$12)*0.05,0)</f>
        <v>1042259.65002005</v>
      </c>
      <c r="AN29" s="19" t="n">
        <f aca="false">IF(AND(Projects!$G$20="Yes",AN$3&gt;=Projects!$C$20,AN$3&lt;Projects!$C$20+Projects!$D$20),Projects!$B$20*INDEX(Curves!$B$4:$AR$4,1,AN$3-Projects!$C$20+1),0)-IF(AND(Projects!$G$20="Yes",AN$3&gt;=Projects!$C$20,AN$3&lt;Projects!$C$20+Projects!$D$20),Projects!$B$20*(Assumptions!$B$10+Assumptions!$B$11+Assumptions!$B$12)/Projects!$D$20*0.95,0)-IF(AND(Projects!$G$20="Yes",AN$3=Projects!$C$20+Projects!$D$20-1),Projects!$B$20*(Assumptions!$B$10+Assumptions!$B$11+Assumptions!$B$12)*0.05,0)</f>
        <v>868827.179100646</v>
      </c>
      <c r="AO29" s="19" t="n">
        <f aca="false">IF(AND(Projects!$G$20="Yes",AO$3&gt;=Projects!$C$20,AO$3&lt;Projects!$C$20+Projects!$D$20),Projects!$B$20*INDEX(Curves!$B$4:$AR$4,1,AO$3-Projects!$C$20+1),0)-IF(AND(Projects!$G$20="Yes",AO$3&gt;=Projects!$C$20,AO$3&lt;Projects!$C$20+Projects!$D$20),Projects!$B$20*(Assumptions!$B$10+Assumptions!$B$11+Assumptions!$B$12)/Projects!$D$20*0.95,0)-IF(AND(Projects!$G$20="Yes",AO$3=Projects!$C$20+Projects!$D$20-1),Projects!$B$20*(Assumptions!$B$10+Assumptions!$B$11+Assumptions!$B$12)*0.05,0)</f>
        <v>700625.211272466</v>
      </c>
      <c r="AP29" s="19" t="n">
        <f aca="false">IF(AND(Projects!$G$20="Yes",AP$3&gt;=Projects!$C$20,AP$3&lt;Projects!$C$20+Projects!$D$20),Projects!$B$20*INDEX(Curves!$B$4:$AR$4,1,AP$3-Projects!$C$20+1),0)-IF(AND(Projects!$G$20="Yes",AP$3&gt;=Projects!$C$20,AP$3&lt;Projects!$C$20+Projects!$D$20),Projects!$B$20*(Assumptions!$B$10+Assumptions!$B$11+Assumptions!$B$12)/Projects!$D$20*0.95,0)-IF(AND(Projects!$G$20="Yes",AP$3=Projects!$C$20+Projects!$D$20-1),Projects!$B$20*(Assumptions!$B$10+Assumptions!$B$11+Assumptions!$B$12)*0.05,0)</f>
        <v>544360.803130946</v>
      </c>
      <c r="AQ29" s="19" t="n">
        <f aca="false">IF(AND(Projects!$G$20="Yes",AQ$3&gt;=Projects!$C$20,AQ$3&lt;Projects!$C$20+Projects!$D$20),Projects!$B$20*INDEX(Curves!$B$4:$AR$4,1,AQ$3-Projects!$C$20+1),0)-IF(AND(Projects!$G$20="Yes",AQ$3&gt;=Projects!$C$20,AQ$3&lt;Projects!$C$20+Projects!$D$20),Projects!$B$20*(Assumptions!$B$10+Assumptions!$B$11+Assumptions!$B$12)/Projects!$D$20*0.95,0)-IF(AND(Projects!$G$20="Yes",AQ$3=Projects!$C$20+Projects!$D$20-1),Projects!$B$20*(Assumptions!$B$10+Assumptions!$B$11+Assumptions!$B$12)*0.05,0)</f>
        <v>-119262.404858914</v>
      </c>
      <c r="AR29" s="19" t="n">
        <f aca="false">IF(AND(Projects!$G$20="Yes",AR$3&gt;=Projects!$C$20,AR$3&lt;Projects!$C$20+Projects!$D$20),Projects!$B$20*INDEX(Curves!$B$4:$AR$4,1,AR$3-Projects!$C$20+1),0)-IF(AND(Projects!$G$20="Yes",AR$3&gt;=Projects!$C$20,AR$3&lt;Projects!$C$20+Projects!$D$20),Projects!$B$20*(Assumptions!$B$10+Assumptions!$B$11+Assumptions!$B$12)/Projects!$D$20*0.95,0)-IF(AND(Projects!$G$20="Yes",AR$3=Projects!$C$20+Projects!$D$20-1),Projects!$B$20*(Assumptions!$B$10+Assumptions!$B$11+Assumptions!$B$12)*0.05,0)</f>
        <v>-119262.404858914</v>
      </c>
      <c r="AS29" s="19" t="n">
        <f aca="false">IF(AND(Projects!$G$20="Yes",AS$3&gt;=Projects!$C$20,AS$3&lt;Projects!$C$20+Projects!$D$20),Projects!$B$20*INDEX(Curves!$B$4:$AR$4,1,AS$3-Projects!$C$20+1),0)-IF(AND(Projects!$G$20="Yes",AS$3&gt;=Projects!$C$20,AS$3&lt;Projects!$C$20+Projects!$D$20),Projects!$B$20*(Assumptions!$B$10+Assumptions!$B$11+Assumptions!$B$12)/Projects!$D$20*0.95,0)-IF(AND(Projects!$G$20="Yes",AS$3=Projects!$C$20+Projects!$D$20-1),Projects!$B$20*(Assumptions!$B$10+Assumptions!$B$11+Assumptions!$B$12)*0.05,0)</f>
        <v>-119262.404858914</v>
      </c>
      <c r="AT29" s="19" t="n">
        <f aca="false">IF(AND(Projects!$G$20="Yes",AT$3&gt;=Projects!$C$20,AT$3&lt;Projects!$C$20+Projects!$D$20),Projects!$B$20*INDEX(Curves!$B$4:$AR$4,1,AT$3-Projects!$C$20+1),0)-IF(AND(Projects!$G$20="Yes",AT$3&gt;=Projects!$C$20,AT$3&lt;Projects!$C$20+Projects!$D$20),Projects!$B$20*(Assumptions!$B$10+Assumptions!$B$11+Assumptions!$B$12)/Projects!$D$20*0.95,0)-IF(AND(Projects!$G$20="Yes",AT$3=Projects!$C$20+Projects!$D$20-1),Projects!$B$20*(Assumptions!$B$10+Assumptions!$B$11+Assumptions!$B$12)*0.05,0)</f>
        <v>-119262.404858914</v>
      </c>
      <c r="AU29" s="19" t="n">
        <f aca="false">IF(AND(Projects!$G$20="Yes",AU$3&gt;=Projects!$C$20,AU$3&lt;Projects!$C$20+Projects!$D$20),Projects!$B$20*INDEX(Curves!$B$4:$AR$4,1,AU$3-Projects!$C$20+1),0)-IF(AND(Projects!$G$20="Yes",AU$3&gt;=Projects!$C$20,AU$3&lt;Projects!$C$20+Projects!$D$20),Projects!$B$20*(Assumptions!$B$10+Assumptions!$B$11+Assumptions!$B$12)/Projects!$D$20*0.95,0)-IF(AND(Projects!$G$20="Yes",AU$3=Projects!$C$20+Projects!$D$20-1),Projects!$B$20*(Assumptions!$B$10+Assumptions!$B$11+Assumptions!$B$12)*0.05,0)</f>
        <v>-269909.653101753</v>
      </c>
      <c r="AV29" s="19" t="n">
        <f aca="false">IF(AND(Projects!$G$20="Yes",AV$3&gt;=Projects!$C$20,AV$3&lt;Projects!$C$20+Projects!$D$20),Projects!$B$20*INDEX(Curves!$B$4:$AR$4,1,AV$3-Projects!$C$20+1),0)-IF(AND(Projects!$G$20="Yes",AV$3&gt;=Projects!$C$20,AV$3&lt;Projects!$C$20+Projects!$D$20),Projects!$B$20*(Assumptions!$B$10+Assumptions!$B$11+Assumptions!$B$12)/Projects!$D$20*0.95,0)-IF(AND(Projects!$G$20="Yes",AV$3=Projects!$C$20+Projects!$D$20-1),Projects!$B$20*(Assumptions!$B$10+Assumptions!$B$11+Assumptions!$B$12)*0.05,0)</f>
        <v>0</v>
      </c>
      <c r="AW29" s="19" t="n">
        <f aca="false">IF(AND(Projects!$G$20="Yes",AW$3&gt;=Projects!$C$20,AW$3&lt;Projects!$C$20+Projects!$D$20),Projects!$B$20*INDEX(Curves!$B$4:$AR$4,1,AW$3-Projects!$C$20+1),0)-IF(AND(Projects!$G$20="Yes",AW$3&gt;=Projects!$C$20,AW$3&lt;Projects!$C$20+Projects!$D$20),Projects!$B$20*(Assumptions!$B$10+Assumptions!$B$11+Assumptions!$B$12)/Projects!$D$20*0.95,0)-IF(AND(Projects!$G$20="Yes",AW$3=Projects!$C$20+Projects!$D$20-1),Projects!$B$20*(Assumptions!$B$10+Assumptions!$B$11+Assumptions!$B$12)*0.05,0)</f>
        <v>0</v>
      </c>
      <c r="AX29" s="19" t="n">
        <f aca="false">IF(AND(Projects!$G$20="Yes",AX$3&gt;=Projects!$C$20,AX$3&lt;Projects!$C$20+Projects!$D$20),Projects!$B$20*INDEX(Curves!$B$4:$AR$4,1,AX$3-Projects!$C$20+1),0)-IF(AND(Projects!$G$20="Yes",AX$3&gt;=Projects!$C$20,AX$3&lt;Projects!$C$20+Projects!$D$20),Projects!$B$20*(Assumptions!$B$10+Assumptions!$B$11+Assumptions!$B$12)/Projects!$D$20*0.95,0)-IF(AND(Projects!$G$20="Yes",AX$3=Projects!$C$20+Projects!$D$20-1),Projects!$B$20*(Assumptions!$B$10+Assumptions!$B$11+Assumptions!$B$12)*0.05,0)</f>
        <v>0</v>
      </c>
      <c r="AY29" s="19" t="n">
        <f aca="false">IF(AND(Projects!$G$20="Yes",AY$3&gt;=Projects!$C$20,AY$3&lt;Projects!$C$20+Projects!$D$20),Projects!$B$20*INDEX(Curves!$B$4:$AR$4,1,AY$3-Projects!$C$20+1),0)-IF(AND(Projects!$G$20="Yes",AY$3&gt;=Projects!$C$20,AY$3&lt;Projects!$C$20+Projects!$D$20),Projects!$B$20*(Assumptions!$B$10+Assumptions!$B$11+Assumptions!$B$12)/Projects!$D$20*0.95,0)-IF(AND(Projects!$G$20="Yes",AY$3=Projects!$C$20+Projects!$D$20-1),Projects!$B$20*(Assumptions!$B$10+Assumptions!$B$11+Assumptions!$B$12)*0.05,0)</f>
        <v>0</v>
      </c>
      <c r="AZ29" s="19" t="n">
        <f aca="false">IF(AND(Projects!$G$20="Yes",AZ$3&gt;=Projects!$C$20,AZ$3&lt;Projects!$C$20+Projects!$D$20),Projects!$B$20*INDEX(Curves!$B$4:$AR$4,1,AZ$3-Projects!$C$20+1),0)-IF(AND(Projects!$G$20="Yes",AZ$3&gt;=Projects!$C$20,AZ$3&lt;Projects!$C$20+Projects!$D$20),Projects!$B$20*(Assumptions!$B$10+Assumptions!$B$11+Assumptions!$B$12)/Projects!$D$20*0.95,0)-IF(AND(Projects!$G$20="Yes",AZ$3=Projects!$C$20+Projects!$D$20-1),Projects!$B$20*(Assumptions!$B$10+Assumptions!$B$11+Assumptions!$B$12)*0.05,0)</f>
        <v>0</v>
      </c>
      <c r="BA29" s="19" t="n">
        <f aca="false">IF(AND(Projects!$G$20="Yes",BA$3&gt;=Projects!$C$20,BA$3&lt;Projects!$C$20+Projects!$D$20),Projects!$B$20*INDEX(Curves!$B$4:$AR$4,1,BA$3-Projects!$C$20+1),0)-IF(AND(Projects!$G$20="Yes",BA$3&gt;=Projects!$C$20,BA$3&lt;Projects!$C$20+Projects!$D$20),Projects!$B$20*(Assumptions!$B$10+Assumptions!$B$11+Assumptions!$B$12)/Projects!$D$20*0.95,0)-IF(AND(Projects!$G$20="Yes",BA$3=Projects!$C$20+Projects!$D$20-1),Projects!$B$20*(Assumptions!$B$10+Assumptions!$B$11+Assumptions!$B$12)*0.05,0)</f>
        <v>0</v>
      </c>
      <c r="BB29" s="19" t="n">
        <f aca="false">IF(AND(Projects!$G$20="Yes",BB$3&gt;=Projects!$C$20,BB$3&lt;Projects!$C$20+Projects!$D$20),Projects!$B$20*INDEX(Curves!$B$4:$AR$4,1,BB$3-Projects!$C$20+1),0)-IF(AND(Projects!$G$20="Yes",BB$3&gt;=Projects!$C$20,BB$3&lt;Projects!$C$20+Projects!$D$20),Projects!$B$20*(Assumptions!$B$10+Assumptions!$B$11+Assumptions!$B$12)/Projects!$D$20*0.95,0)-IF(AND(Projects!$G$20="Yes",BB$3=Projects!$C$20+Projects!$D$20-1),Projects!$B$20*(Assumptions!$B$10+Assumptions!$B$11+Assumptions!$B$12)*0.05,0)</f>
        <v>0</v>
      </c>
      <c r="BC29" s="19" t="n">
        <f aca="false">IF(AND(Projects!$G$20="Yes",BC$3&gt;=Projects!$C$20,BC$3&lt;Projects!$C$20+Projects!$D$20),Projects!$B$20*INDEX(Curves!$B$4:$AR$4,1,BC$3-Projects!$C$20+1),0)-IF(AND(Projects!$G$20="Yes",BC$3&gt;=Projects!$C$20,BC$3&lt;Projects!$C$20+Projects!$D$20),Projects!$B$20*(Assumptions!$B$10+Assumptions!$B$11+Assumptions!$B$12)/Projects!$D$20*0.95,0)-IF(AND(Projects!$G$20="Yes",BC$3=Projects!$C$20+Projects!$D$20-1),Projects!$B$20*(Assumptions!$B$10+Assumptions!$B$11+Assumptions!$B$12)*0.05,0)</f>
        <v>0</v>
      </c>
      <c r="BD29" s="19" t="n">
        <f aca="false">IF(AND(Projects!$G$20="Yes",BD$3&gt;=Projects!$C$20,BD$3&lt;Projects!$C$20+Projects!$D$20),Projects!$B$20*INDEX(Curves!$B$4:$AR$4,1,BD$3-Projects!$C$20+1),0)-IF(AND(Projects!$G$20="Yes",BD$3&gt;=Projects!$C$20,BD$3&lt;Projects!$C$20+Projects!$D$20),Projects!$B$20*(Assumptions!$B$10+Assumptions!$B$11+Assumptions!$B$12)/Projects!$D$20*0.95,0)-IF(AND(Projects!$G$20="Yes",BD$3=Projects!$C$20+Projects!$D$20-1),Projects!$B$20*(Assumptions!$B$10+Assumptions!$B$11+Assumptions!$B$12)*0.05,0)</f>
        <v>0</v>
      </c>
      <c r="BE29" s="19" t="n">
        <f aca="false">IF(AND(Projects!$G$20="Yes",BE$3&gt;=Projects!$C$20,BE$3&lt;Projects!$C$20+Projects!$D$20),Projects!$B$20*INDEX(Curves!$B$4:$AR$4,1,BE$3-Projects!$C$20+1),0)-IF(AND(Projects!$G$20="Yes",BE$3&gt;=Projects!$C$20,BE$3&lt;Projects!$C$20+Projects!$D$20),Projects!$B$20*(Assumptions!$B$10+Assumptions!$B$11+Assumptions!$B$12)/Projects!$D$20*0.95,0)-IF(AND(Projects!$G$20="Yes",BE$3=Projects!$C$20+Projects!$D$20-1),Projects!$B$20*(Assumptions!$B$10+Assumptions!$B$11+Assumptions!$B$12)*0.05,0)</f>
        <v>0</v>
      </c>
      <c r="BF29" s="19" t="n">
        <f aca="false">IF(AND(Projects!$G$20="Yes",BF$3&gt;=Projects!$C$20,BF$3&lt;Projects!$C$20+Projects!$D$20),Projects!$B$20*INDEX(Curves!$B$4:$AR$4,1,BF$3-Projects!$C$20+1),0)-IF(AND(Projects!$G$20="Yes",BF$3&gt;=Projects!$C$20,BF$3&lt;Projects!$C$20+Projects!$D$20),Projects!$B$20*(Assumptions!$B$10+Assumptions!$B$11+Assumptions!$B$12)/Projects!$D$20*0.95,0)-IF(AND(Projects!$G$20="Yes",BF$3=Projects!$C$20+Projects!$D$20-1),Projects!$B$20*(Assumptions!$B$10+Assumptions!$B$11+Assumptions!$B$12)*0.05,0)</f>
        <v>0</v>
      </c>
      <c r="BG29" s="19" t="n">
        <f aca="false">IF(AND(Projects!$G$20="Yes",BG$3&gt;=Projects!$C$20,BG$3&lt;Projects!$C$20+Projects!$D$20),Projects!$B$20*INDEX(Curves!$B$4:$AR$4,1,BG$3-Projects!$C$20+1),0)-IF(AND(Projects!$G$20="Yes",BG$3&gt;=Projects!$C$20,BG$3&lt;Projects!$C$20+Projects!$D$20),Projects!$B$20*(Assumptions!$B$10+Assumptions!$B$11+Assumptions!$B$12)/Projects!$D$20*0.95,0)-IF(AND(Projects!$G$20="Yes",BG$3=Projects!$C$20+Projects!$D$20-1),Projects!$B$20*(Assumptions!$B$10+Assumptions!$B$11+Assumptions!$B$12)*0.05,0)</f>
        <v>0</v>
      </c>
      <c r="BH29" s="19" t="n">
        <f aca="false">IF(AND(Projects!$G$20="Yes",BH$3&gt;=Projects!$C$20,BH$3&lt;Projects!$C$20+Projects!$D$20),Projects!$B$20*INDEX(Curves!$B$4:$AR$4,1,BH$3-Projects!$C$20+1),0)-IF(AND(Projects!$G$20="Yes",BH$3&gt;=Projects!$C$20,BH$3&lt;Projects!$C$20+Projects!$D$20),Projects!$B$20*(Assumptions!$B$10+Assumptions!$B$11+Assumptions!$B$12)/Projects!$D$20*0.95,0)-IF(AND(Projects!$G$20="Yes",BH$3=Projects!$C$20+Projects!$D$20-1),Projects!$B$20*(Assumptions!$B$10+Assumptions!$B$11+Assumptions!$B$12)*0.05,0)</f>
        <v>0</v>
      </c>
      <c r="BI29" s="19" t="n">
        <f aca="false">IF(AND(Projects!$G$20="Yes",BI$3&gt;=Projects!$C$20,BI$3&lt;Projects!$C$20+Projects!$D$20),Projects!$B$20*INDEX(Curves!$B$4:$AR$4,1,BI$3-Projects!$C$20+1),0)-IF(AND(Projects!$G$20="Yes",BI$3&gt;=Projects!$C$20,BI$3&lt;Projects!$C$20+Projects!$D$20),Projects!$B$20*(Assumptions!$B$10+Assumptions!$B$11+Assumptions!$B$12)/Projects!$D$20*0.95,0)-IF(AND(Projects!$G$20="Yes",BI$3=Projects!$C$20+Projects!$D$20-1),Projects!$B$20*(Assumptions!$B$10+Assumptions!$B$11+Assumptions!$B$12)*0.05,0)</f>
        <v>0</v>
      </c>
      <c r="BJ29" s="19" t="n">
        <f aca="false">IF(AND(Projects!$G$20="Yes",BJ$3&gt;=Projects!$C$20,BJ$3&lt;Projects!$C$20+Projects!$D$20),Projects!$B$20*INDEX(Curves!$B$4:$AR$4,1,BJ$3-Projects!$C$20+1),0)-IF(AND(Projects!$G$20="Yes",BJ$3&gt;=Projects!$C$20,BJ$3&lt;Projects!$C$20+Projects!$D$20),Projects!$B$20*(Assumptions!$B$10+Assumptions!$B$11+Assumptions!$B$12)/Projects!$D$20*0.95,0)-IF(AND(Projects!$G$20="Yes",BJ$3=Projects!$C$20+Projects!$D$20-1),Projects!$B$20*(Assumptions!$B$10+Assumptions!$B$11+Assumptions!$B$12)*0.05,0)</f>
        <v>0</v>
      </c>
      <c r="BK29" s="19" t="n">
        <f aca="false">IF(AND(Projects!$G$20="Yes",BK$3&gt;=Projects!$C$20,BK$3&lt;Projects!$C$20+Projects!$D$20),Projects!$B$20*INDEX(Curves!$B$4:$AR$4,1,BK$3-Projects!$C$20+1),0)-IF(AND(Projects!$G$20="Yes",BK$3&gt;=Projects!$C$20,BK$3&lt;Projects!$C$20+Projects!$D$20),Projects!$B$20*(Assumptions!$B$10+Assumptions!$B$11+Assumptions!$B$12)/Projects!$D$20*0.95,0)-IF(AND(Projects!$G$20="Yes",BK$3=Projects!$C$20+Projects!$D$20-1),Projects!$B$20*(Assumptions!$B$10+Assumptions!$B$11+Assumptions!$B$12)*0.05,0)</f>
        <v>0</v>
      </c>
      <c r="BL29" s="19" t="n">
        <f aca="false">IF(AND(Projects!$G$20="Yes",BL$3&gt;=Projects!$C$20,BL$3&lt;Projects!$C$20+Projects!$D$20),Projects!$B$20*INDEX(Curves!$B$4:$AR$4,1,BL$3-Projects!$C$20+1),0)-IF(AND(Projects!$G$20="Yes",BL$3&gt;=Projects!$C$20,BL$3&lt;Projects!$C$20+Projects!$D$20),Projects!$B$20*(Assumptions!$B$10+Assumptions!$B$11+Assumptions!$B$12)/Projects!$D$20*0.95,0)-IF(AND(Projects!$G$20="Yes",BL$3=Projects!$C$20+Projects!$D$20-1),Projects!$B$20*(Assumptions!$B$10+Assumptions!$B$11+Assumptions!$B$12)*0.05,0)</f>
        <v>0</v>
      </c>
      <c r="BM29" s="19" t="n">
        <f aca="false">IF(AND(Projects!$G$20="Yes",BM$3&gt;=Projects!$C$20,BM$3&lt;Projects!$C$20+Projects!$D$20),Projects!$B$20*INDEX(Curves!$B$4:$AR$4,1,BM$3-Projects!$C$20+1),0)-IF(AND(Projects!$G$20="Yes",BM$3&gt;=Projects!$C$20,BM$3&lt;Projects!$C$20+Projects!$D$20),Projects!$B$20*(Assumptions!$B$10+Assumptions!$B$11+Assumptions!$B$12)/Projects!$D$20*0.95,0)-IF(AND(Projects!$G$20="Yes",BM$3=Projects!$C$20+Projects!$D$20-1),Projects!$B$20*(Assumptions!$B$10+Assumptions!$B$11+Assumptions!$B$12)*0.05,0)</f>
        <v>0</v>
      </c>
      <c r="BN29" s="19" t="n">
        <f aca="false">IF(AND(Projects!$G$20="Yes",BN$3&gt;=Projects!$C$20,BN$3&lt;Projects!$C$20+Projects!$D$20),Projects!$B$20*INDEX(Curves!$B$4:$AR$4,1,BN$3-Projects!$C$20+1),0)-IF(AND(Projects!$G$20="Yes",BN$3&gt;=Projects!$C$20,BN$3&lt;Projects!$C$20+Projects!$D$20),Projects!$B$20*(Assumptions!$B$10+Assumptions!$B$11+Assumptions!$B$12)/Projects!$D$20*0.95,0)-IF(AND(Projects!$G$20="Yes",BN$3=Projects!$C$20+Projects!$D$20-1),Projects!$B$20*(Assumptions!$B$10+Assumptions!$B$11+Assumptions!$B$12)*0.05,0)</f>
        <v>0</v>
      </c>
      <c r="BO29" s="19" t="n">
        <f aca="false">IF(AND(Projects!$G$20="Yes",BO$3&gt;=Projects!$C$20,BO$3&lt;Projects!$C$20+Projects!$D$20),Projects!$B$20*INDEX(Curves!$B$4:$AR$4,1,BO$3-Projects!$C$20+1),0)-IF(AND(Projects!$G$20="Yes",BO$3&gt;=Projects!$C$20,BO$3&lt;Projects!$C$20+Projects!$D$20),Projects!$B$20*(Assumptions!$B$10+Assumptions!$B$11+Assumptions!$B$12)/Projects!$D$20*0.95,0)-IF(AND(Projects!$G$20="Yes",BO$3=Projects!$C$20+Projects!$D$20-1),Projects!$B$20*(Assumptions!$B$10+Assumptions!$B$11+Assumptions!$B$12)*0.05,0)</f>
        <v>0</v>
      </c>
      <c r="BP29" s="19" t="n">
        <f aca="false">IF(AND(Projects!$G$20="Yes",BP$3&gt;=Projects!$C$20,BP$3&lt;Projects!$C$20+Projects!$D$20),Projects!$B$20*INDEX(Curves!$B$4:$AR$4,1,BP$3-Projects!$C$20+1),0)-IF(AND(Projects!$G$20="Yes",BP$3&gt;=Projects!$C$20,BP$3&lt;Projects!$C$20+Projects!$D$20),Projects!$B$20*(Assumptions!$B$10+Assumptions!$B$11+Assumptions!$B$12)/Projects!$D$20*0.95,0)-IF(AND(Projects!$G$20="Yes",BP$3=Projects!$C$20+Projects!$D$20-1),Projects!$B$20*(Assumptions!$B$10+Assumptions!$B$11+Assumptions!$B$12)*0.05,0)</f>
        <v>0</v>
      </c>
      <c r="BQ29" s="19" t="n">
        <f aca="false">IF(AND(Projects!$G$20="Yes",BQ$3&gt;=Projects!$C$20,BQ$3&lt;Projects!$C$20+Projects!$D$20),Projects!$B$20*INDEX(Curves!$B$4:$AR$4,1,BQ$3-Projects!$C$20+1),0)-IF(AND(Projects!$G$20="Yes",BQ$3&gt;=Projects!$C$20,BQ$3&lt;Projects!$C$20+Projects!$D$20),Projects!$B$20*(Assumptions!$B$10+Assumptions!$B$11+Assumptions!$B$12)/Projects!$D$20*0.95,0)-IF(AND(Projects!$G$20="Yes",BQ$3=Projects!$C$20+Projects!$D$20-1),Projects!$B$20*(Assumptions!$B$10+Assumptions!$B$11+Assumptions!$B$12)*0.05,0)</f>
        <v>0</v>
      </c>
      <c r="BR29" s="19" t="n">
        <f aca="false">IF(AND(Projects!$G$20="Yes",BR$3&gt;=Projects!$C$20,BR$3&lt;Projects!$C$20+Projects!$D$20),Projects!$B$20*INDEX(Curves!$B$4:$AR$4,1,BR$3-Projects!$C$20+1),0)-IF(AND(Projects!$G$20="Yes",BR$3&gt;=Projects!$C$20,BR$3&lt;Projects!$C$20+Projects!$D$20),Projects!$B$20*(Assumptions!$B$10+Assumptions!$B$11+Assumptions!$B$12)/Projects!$D$20*0.95,0)-IF(AND(Projects!$G$20="Yes",BR$3=Projects!$C$20+Projects!$D$20-1),Projects!$B$20*(Assumptions!$B$10+Assumptions!$B$11+Assumptions!$B$12)*0.05,0)</f>
        <v>0</v>
      </c>
      <c r="BS29" s="19" t="n">
        <f aca="false">IF(AND(Projects!$G$20="Yes",BS$3&gt;=Projects!$C$20,BS$3&lt;Projects!$C$20+Projects!$D$20),Projects!$B$20*INDEX(Curves!$B$4:$AR$4,1,BS$3-Projects!$C$20+1),0)-IF(AND(Projects!$G$20="Yes",BS$3&gt;=Projects!$C$20,BS$3&lt;Projects!$C$20+Projects!$D$20),Projects!$B$20*(Assumptions!$B$10+Assumptions!$B$11+Assumptions!$B$12)/Projects!$D$20*0.95,0)-IF(AND(Projects!$G$20="Yes",BS$3=Projects!$C$20+Projects!$D$20-1),Projects!$B$20*(Assumptions!$B$10+Assumptions!$B$11+Assumptions!$B$12)*0.05,0)</f>
        <v>0</v>
      </c>
      <c r="BT29" s="19" t="n">
        <f aca="false">IF(AND(Projects!$G$20="Yes",BT$3&gt;=Projects!$C$20,BT$3&lt;Projects!$C$20+Projects!$D$20),Projects!$B$20*INDEX(Curves!$B$4:$AR$4,1,BT$3-Projects!$C$20+1),0)-IF(AND(Projects!$G$20="Yes",BT$3&gt;=Projects!$C$20,BT$3&lt;Projects!$C$20+Projects!$D$20),Projects!$B$20*(Assumptions!$B$10+Assumptions!$B$11+Assumptions!$B$12)/Projects!$D$20*0.95,0)-IF(AND(Projects!$G$20="Yes",BT$3=Projects!$C$20+Projects!$D$20-1),Projects!$B$20*(Assumptions!$B$10+Assumptions!$B$11+Assumptions!$B$12)*0.05,0)</f>
        <v>0</v>
      </c>
      <c r="BU29" s="19" t="n">
        <f aca="false">IF(AND(Projects!$G$20="Yes",BU$3&gt;=Projects!$C$20,BU$3&lt;Projects!$C$20+Projects!$D$20),Projects!$B$20*INDEX(Curves!$B$4:$AR$4,1,BU$3-Projects!$C$20+1),0)-IF(AND(Projects!$G$20="Yes",BU$3&gt;=Projects!$C$20,BU$3&lt;Projects!$C$20+Projects!$D$20),Projects!$B$20*(Assumptions!$B$10+Assumptions!$B$11+Assumptions!$B$12)/Projects!$D$20*0.95,0)-IF(AND(Projects!$G$20="Yes",BU$3=Projects!$C$20+Projects!$D$20-1),Projects!$B$20*(Assumptions!$B$10+Assumptions!$B$11+Assumptions!$B$12)*0.05,0)</f>
        <v>0</v>
      </c>
      <c r="BV29" s="19" t="n">
        <f aca="false">IF(AND(Projects!$G$20="Yes",BV$3&gt;=Projects!$C$20,BV$3&lt;Projects!$C$20+Projects!$D$20),Projects!$B$20*INDEX(Curves!$B$4:$AR$4,1,BV$3-Projects!$C$20+1),0)-IF(AND(Projects!$G$20="Yes",BV$3&gt;=Projects!$C$20,BV$3&lt;Projects!$C$20+Projects!$D$20),Projects!$B$20*(Assumptions!$B$10+Assumptions!$B$11+Assumptions!$B$12)/Projects!$D$20*0.95,0)-IF(AND(Projects!$G$20="Yes",BV$3=Projects!$C$20+Projects!$D$20-1),Projects!$B$20*(Assumptions!$B$10+Assumptions!$B$11+Assumptions!$B$12)*0.05,0)</f>
        <v>0</v>
      </c>
      <c r="BW29" s="19" t="n">
        <f aca="false">IF(AND(Projects!$G$20="Yes",BW$3&gt;=Projects!$C$20,BW$3&lt;Projects!$C$20+Projects!$D$20),Projects!$B$20*INDEX(Curves!$B$4:$AR$4,1,BW$3-Projects!$C$20+1),0)-IF(AND(Projects!$G$20="Yes",BW$3&gt;=Projects!$C$20,BW$3&lt;Projects!$C$20+Projects!$D$20),Projects!$B$20*(Assumptions!$B$10+Assumptions!$B$11+Assumptions!$B$12)/Projects!$D$20*0.95,0)-IF(AND(Projects!$G$20="Yes",BW$3=Projects!$C$20+Projects!$D$20-1),Projects!$B$20*(Assumptions!$B$10+Assumptions!$B$11+Assumptions!$B$12)*0.05,0)</f>
        <v>0</v>
      </c>
      <c r="BX29" s="19" t="n">
        <f aca="false">IF(AND(Projects!$G$20="Yes",BX$3&gt;=Projects!$C$20,BX$3&lt;Projects!$C$20+Projects!$D$20),Projects!$B$20*INDEX(Curves!$B$4:$AR$4,1,BX$3-Projects!$C$20+1),0)-IF(AND(Projects!$G$20="Yes",BX$3&gt;=Projects!$C$20,BX$3&lt;Projects!$C$20+Projects!$D$20),Projects!$B$20*(Assumptions!$B$10+Assumptions!$B$11+Assumptions!$B$12)/Projects!$D$20*0.95,0)-IF(AND(Projects!$G$20="Yes",BX$3=Projects!$C$20+Projects!$D$20-1),Projects!$B$20*(Assumptions!$B$10+Assumptions!$B$11+Assumptions!$B$12)*0.05,0)</f>
        <v>0</v>
      </c>
      <c r="BY29" s="19" t="n">
        <f aca="false">IF(AND(Projects!$G$20="Yes",BY$3&gt;=Projects!$C$20,BY$3&lt;Projects!$C$20+Projects!$D$20),Projects!$B$20*INDEX(Curves!$B$4:$AR$4,1,BY$3-Projects!$C$20+1),0)-IF(AND(Projects!$G$20="Yes",BY$3&gt;=Projects!$C$20,BY$3&lt;Projects!$C$20+Projects!$D$20),Projects!$B$20*(Assumptions!$B$10+Assumptions!$B$11+Assumptions!$B$12)/Projects!$D$20*0.95,0)-IF(AND(Projects!$G$20="Yes",BY$3=Projects!$C$20+Projects!$D$20-1),Projects!$B$20*(Assumptions!$B$10+Assumptions!$B$11+Assumptions!$B$12)*0.05,0)</f>
        <v>0</v>
      </c>
      <c r="BZ29" s="19" t="n">
        <f aca="false">IF(AND(Projects!$G$20="Yes",BZ$3&gt;=Projects!$C$20,BZ$3&lt;Projects!$C$20+Projects!$D$20),Projects!$B$20*INDEX(Curves!$B$4:$AR$4,1,BZ$3-Projects!$C$20+1),0)-IF(AND(Projects!$G$20="Yes",BZ$3&gt;=Projects!$C$20,BZ$3&lt;Projects!$C$20+Projects!$D$20),Projects!$B$20*(Assumptions!$B$10+Assumptions!$B$11+Assumptions!$B$12)/Projects!$D$20*0.95,0)-IF(AND(Projects!$G$20="Yes",BZ$3=Projects!$C$20+Projects!$D$20-1),Projects!$B$20*(Assumptions!$B$10+Assumptions!$B$11+Assumptions!$B$12)*0.05,0)</f>
        <v>0</v>
      </c>
      <c r="CA29" s="19" t="n">
        <f aca="false">IF(AND(Projects!$G$20="Yes",CA$3&gt;=Projects!$C$20,CA$3&lt;Projects!$C$20+Projects!$D$20),Projects!$B$20*INDEX(Curves!$B$4:$AR$4,1,CA$3-Projects!$C$20+1),0)-IF(AND(Projects!$G$20="Yes",CA$3&gt;=Projects!$C$20,CA$3&lt;Projects!$C$20+Projects!$D$20),Projects!$B$20*(Assumptions!$B$10+Assumptions!$B$11+Assumptions!$B$12)/Projects!$D$20*0.95,0)-IF(AND(Projects!$G$20="Yes",CA$3=Projects!$C$20+Projects!$D$20-1),Projects!$B$20*(Assumptions!$B$10+Assumptions!$B$11+Assumptions!$B$12)*0.05,0)</f>
        <v>0</v>
      </c>
      <c r="CB29" s="19" t="n">
        <f aca="false">IF(AND(Projects!$G$20="Yes",CB$3&gt;=Projects!$C$20,CB$3&lt;Projects!$C$20+Projects!$D$20),Projects!$B$20*INDEX(Curves!$B$4:$AR$4,1,CB$3-Projects!$C$20+1),0)-IF(AND(Projects!$G$20="Yes",CB$3&gt;=Projects!$C$20,CB$3&lt;Projects!$C$20+Projects!$D$20),Projects!$B$20*(Assumptions!$B$10+Assumptions!$B$11+Assumptions!$B$12)/Projects!$D$20*0.95,0)-IF(AND(Projects!$G$20="Yes",CB$3=Projects!$C$20+Projects!$D$20-1),Projects!$B$20*(Assumptions!$B$10+Assumptions!$B$11+Assumptions!$B$12)*0.05,0)</f>
        <v>0</v>
      </c>
      <c r="CC29" s="19" t="n">
        <f aca="false">IF(AND(Projects!$G$20="Yes",CC$3&gt;=Projects!$C$20,CC$3&lt;Projects!$C$20+Projects!$D$20),Projects!$B$20*INDEX(Curves!$B$4:$AR$4,1,CC$3-Projects!$C$20+1),0)-IF(AND(Projects!$G$20="Yes",CC$3&gt;=Projects!$C$20,CC$3&lt;Projects!$C$20+Projects!$D$20),Projects!$B$20*(Assumptions!$B$10+Assumptions!$B$11+Assumptions!$B$12)/Projects!$D$20*0.95,0)-IF(AND(Projects!$G$20="Yes",CC$3=Projects!$C$20+Projects!$D$20-1),Projects!$B$20*(Assumptions!$B$10+Assumptions!$B$11+Assumptions!$B$12)*0.05,0)</f>
        <v>0</v>
      </c>
      <c r="CD29" s="19" t="n">
        <f aca="false">IF(AND(Projects!$G$20="Yes",CD$3&gt;=Projects!$C$20,CD$3&lt;Projects!$C$20+Projects!$D$20),Projects!$B$20*INDEX(Curves!$B$4:$AR$4,1,CD$3-Projects!$C$20+1),0)-IF(AND(Projects!$G$20="Yes",CD$3&gt;=Projects!$C$20,CD$3&lt;Projects!$C$20+Projects!$D$20),Projects!$B$20*(Assumptions!$B$10+Assumptions!$B$11+Assumptions!$B$12)/Projects!$D$20*0.95,0)-IF(AND(Projects!$G$20="Yes",CD$3=Projects!$C$20+Projects!$D$20-1),Projects!$B$20*(Assumptions!$B$10+Assumptions!$B$11+Assumptions!$B$12)*0.05,0)</f>
        <v>0</v>
      </c>
      <c r="CE29" s="19" t="n">
        <f aca="false">IF(AND(Projects!$G$20="Yes",CE$3&gt;=Projects!$C$20,CE$3&lt;Projects!$C$20+Projects!$D$20),Projects!$B$20*INDEX(Curves!$B$4:$AR$4,1,CE$3-Projects!$C$20+1),0)-IF(AND(Projects!$G$20="Yes",CE$3&gt;=Projects!$C$20,CE$3&lt;Projects!$C$20+Projects!$D$20),Projects!$B$20*(Assumptions!$B$10+Assumptions!$B$11+Assumptions!$B$12)/Projects!$D$20*0.95,0)-IF(AND(Projects!$G$20="Yes",CE$3=Projects!$C$20+Projects!$D$20-1),Projects!$B$20*(Assumptions!$B$10+Assumptions!$B$11+Assumptions!$B$12)*0.05,0)</f>
        <v>0</v>
      </c>
      <c r="CF29" s="19" t="n">
        <f aca="false">IF(AND(Projects!$G$20="Yes",CF$3&gt;=Projects!$C$20,CF$3&lt;Projects!$C$20+Projects!$D$20),Projects!$B$20*INDEX(Curves!$B$4:$AR$4,1,CF$3-Projects!$C$20+1),0)-IF(AND(Projects!$G$20="Yes",CF$3&gt;=Projects!$C$20,CF$3&lt;Projects!$C$20+Projects!$D$20),Projects!$B$20*(Assumptions!$B$10+Assumptions!$B$11+Assumptions!$B$12)/Projects!$D$20*0.95,0)-IF(AND(Projects!$G$20="Yes",CF$3=Projects!$C$20+Projects!$D$20-1),Projects!$B$20*(Assumptions!$B$10+Assumptions!$B$11+Assumptions!$B$12)*0.05,0)</f>
        <v>0</v>
      </c>
      <c r="CG29" s="19" t="n">
        <f aca="false">IF(AND(Projects!$G$20="Yes",CG$3&gt;=Projects!$C$20,CG$3&lt;Projects!$C$20+Projects!$D$20),Projects!$B$20*INDEX(Curves!$B$4:$AR$4,1,CG$3-Projects!$C$20+1),0)-IF(AND(Projects!$G$20="Yes",CG$3&gt;=Projects!$C$20,CG$3&lt;Projects!$C$20+Projects!$D$20),Projects!$B$20*(Assumptions!$B$10+Assumptions!$B$11+Assumptions!$B$12)/Projects!$D$20*0.95,0)-IF(AND(Projects!$G$20="Yes",CG$3=Projects!$C$20+Projects!$D$20-1),Projects!$B$20*(Assumptions!$B$10+Assumptions!$B$11+Assumptions!$B$12)*0.05,0)</f>
        <v>0</v>
      </c>
      <c r="CH29" s="19" t="n">
        <f aca="false">IF(AND(Projects!$G$20="Yes",CH$3&gt;=Projects!$C$20,CH$3&lt;Projects!$C$20+Projects!$D$20),Projects!$B$20*INDEX(Curves!$B$4:$AR$4,1,CH$3-Projects!$C$20+1),0)-IF(AND(Projects!$G$20="Yes",CH$3&gt;=Projects!$C$20,CH$3&lt;Projects!$C$20+Projects!$D$20),Projects!$B$20*(Assumptions!$B$10+Assumptions!$B$11+Assumptions!$B$12)/Projects!$D$20*0.95,0)-IF(AND(Projects!$G$20="Yes",CH$3=Projects!$C$20+Projects!$D$20-1),Projects!$B$20*(Assumptions!$B$10+Assumptions!$B$11+Assumptions!$B$12)*0.05,0)</f>
        <v>0</v>
      </c>
      <c r="CI29" s="19" t="n">
        <f aca="false">IF(AND(Projects!$G$20="Yes",CI$3&gt;=Projects!$C$20,CI$3&lt;Projects!$C$20+Projects!$D$20),Projects!$B$20*INDEX(Curves!$B$4:$AR$4,1,CI$3-Projects!$C$20+1),0)-IF(AND(Projects!$G$20="Yes",CI$3&gt;=Projects!$C$20,CI$3&lt;Projects!$C$20+Projects!$D$20),Projects!$B$20*(Assumptions!$B$10+Assumptions!$B$11+Assumptions!$B$12)/Projects!$D$20*0.95,0)-IF(AND(Projects!$G$20="Yes",CI$3=Projects!$C$20+Projects!$D$20-1),Projects!$B$20*(Assumptions!$B$10+Assumptions!$B$11+Assumptions!$B$12)*0.05,0)</f>
        <v>0</v>
      </c>
      <c r="CJ29" s="19" t="n">
        <f aca="false">IF(AND(Projects!$G$20="Yes",CJ$3&gt;=Projects!$C$20,CJ$3&lt;Projects!$C$20+Projects!$D$20),Projects!$B$20*INDEX(Curves!$B$4:$AR$4,1,CJ$3-Projects!$C$20+1),0)-IF(AND(Projects!$G$20="Yes",CJ$3&gt;=Projects!$C$20,CJ$3&lt;Projects!$C$20+Projects!$D$20),Projects!$B$20*(Assumptions!$B$10+Assumptions!$B$11+Assumptions!$B$12)/Projects!$D$20*0.95,0)-IF(AND(Projects!$G$20="Yes",CJ$3=Projects!$C$20+Projects!$D$20-1),Projects!$B$20*(Assumptions!$B$10+Assumptions!$B$11+Assumptions!$B$12)*0.05,0)</f>
        <v>0</v>
      </c>
      <c r="CK29" s="19" t="n">
        <f aca="false">IF(AND(Projects!$G$20="Yes",CK$3&gt;=Projects!$C$20,CK$3&lt;Projects!$C$20+Projects!$D$20),Projects!$B$20*INDEX(Curves!$B$4:$AR$4,1,CK$3-Projects!$C$20+1),0)-IF(AND(Projects!$G$20="Yes",CK$3&gt;=Projects!$C$20,CK$3&lt;Projects!$C$20+Projects!$D$20),Projects!$B$20*(Assumptions!$B$10+Assumptions!$B$11+Assumptions!$B$12)/Projects!$D$20*0.95,0)-IF(AND(Projects!$G$20="Yes",CK$3=Projects!$C$20+Projects!$D$20-1),Projects!$B$20*(Assumptions!$B$10+Assumptions!$B$11+Assumptions!$B$12)*0.05,0)</f>
        <v>0</v>
      </c>
      <c r="CL29" s="19" t="n">
        <f aca="false">IF(AND(Projects!$G$20="Yes",CL$3&gt;=Projects!$C$20,CL$3&lt;Projects!$C$20+Projects!$D$20),Projects!$B$20*INDEX(Curves!$B$4:$AR$4,1,CL$3-Projects!$C$20+1),0)-IF(AND(Projects!$G$20="Yes",CL$3&gt;=Projects!$C$20,CL$3&lt;Projects!$C$20+Projects!$D$20),Projects!$B$20*(Assumptions!$B$10+Assumptions!$B$11+Assumptions!$B$12)/Projects!$D$20*0.95,0)-IF(AND(Projects!$G$20="Yes",CL$3=Projects!$C$20+Projects!$D$20-1),Projects!$B$20*(Assumptions!$B$10+Assumptions!$B$11+Assumptions!$B$12)*0.05,0)</f>
        <v>0</v>
      </c>
      <c r="CM29" s="19" t="n">
        <f aca="false">IF(AND(Projects!$G$20="Yes",CM$3&gt;=Projects!$C$20,CM$3&lt;Projects!$C$20+Projects!$D$20),Projects!$B$20*INDEX(Curves!$B$4:$AR$4,1,CM$3-Projects!$C$20+1),0)-IF(AND(Projects!$G$20="Yes",CM$3&gt;=Projects!$C$20,CM$3&lt;Projects!$C$20+Projects!$D$20),Projects!$B$20*(Assumptions!$B$10+Assumptions!$B$11+Assumptions!$B$12)/Projects!$D$20*0.95,0)-IF(AND(Projects!$G$20="Yes",CM$3=Projects!$C$20+Projects!$D$20-1),Projects!$B$20*(Assumptions!$B$10+Assumptions!$B$11+Assumptions!$B$12)*0.05,0)</f>
        <v>0</v>
      </c>
      <c r="CN29" s="19" t="n">
        <f aca="false">IF(AND(Projects!$G$20="Yes",CN$3&gt;=Projects!$C$20,CN$3&lt;Projects!$C$20+Projects!$D$20),Projects!$B$20*INDEX(Curves!$B$4:$AR$4,1,CN$3-Projects!$C$20+1),0)-IF(AND(Projects!$G$20="Yes",CN$3&gt;=Projects!$C$20,CN$3&lt;Projects!$C$20+Projects!$D$20),Projects!$B$20*(Assumptions!$B$10+Assumptions!$B$11+Assumptions!$B$12)/Projects!$D$20*0.95,0)-IF(AND(Projects!$G$20="Yes",CN$3=Projects!$C$20+Projects!$D$20-1),Projects!$B$20*(Assumptions!$B$10+Assumptions!$B$11+Assumptions!$B$12)*0.05,0)</f>
        <v>0</v>
      </c>
      <c r="CO29" s="19" t="n">
        <f aca="false">IF(AND(Projects!$G$20="Yes",CO$3&gt;=Projects!$C$20,CO$3&lt;Projects!$C$20+Projects!$D$20),Projects!$B$20*INDEX(Curves!$B$4:$AR$4,1,CO$3-Projects!$C$20+1),0)-IF(AND(Projects!$G$20="Yes",CO$3&gt;=Projects!$C$20,CO$3&lt;Projects!$C$20+Projects!$D$20),Projects!$B$20*(Assumptions!$B$10+Assumptions!$B$11+Assumptions!$B$12)/Projects!$D$20*0.95,0)-IF(AND(Projects!$G$20="Yes",CO$3=Projects!$C$20+Projects!$D$20-1),Projects!$B$20*(Assumptions!$B$10+Assumptions!$B$11+Assumptions!$B$12)*0.05,0)</f>
        <v>0</v>
      </c>
      <c r="CP29" s="19" t="n">
        <f aca="false">IF(AND(Projects!$G$20="Yes",CP$3&gt;=Projects!$C$20,CP$3&lt;Projects!$C$20+Projects!$D$20),Projects!$B$20*INDEX(Curves!$B$4:$AR$4,1,CP$3-Projects!$C$20+1),0)-IF(AND(Projects!$G$20="Yes",CP$3&gt;=Projects!$C$20,CP$3&lt;Projects!$C$20+Projects!$D$20),Projects!$B$20*(Assumptions!$B$10+Assumptions!$B$11+Assumptions!$B$12)/Projects!$D$20*0.95,0)-IF(AND(Projects!$G$20="Yes",CP$3=Projects!$C$20+Projects!$D$20-1),Projects!$B$20*(Assumptions!$B$10+Assumptions!$B$11+Assumptions!$B$12)*0.05,0)</f>
        <v>0</v>
      </c>
      <c r="CQ29" s="19" t="n">
        <f aca="false">IF(AND(Projects!$G$20="Yes",CQ$3&gt;=Projects!$C$20,CQ$3&lt;Projects!$C$20+Projects!$D$20),Projects!$B$20*INDEX(Curves!$B$4:$AR$4,1,CQ$3-Projects!$C$20+1),0)-IF(AND(Projects!$G$20="Yes",CQ$3&gt;=Projects!$C$20,CQ$3&lt;Projects!$C$20+Projects!$D$20),Projects!$B$20*(Assumptions!$B$10+Assumptions!$B$11+Assumptions!$B$12)/Projects!$D$20*0.95,0)-IF(AND(Projects!$G$20="Yes",CQ$3=Projects!$C$20+Projects!$D$20-1),Projects!$B$20*(Assumptions!$B$10+Assumptions!$B$11+Assumptions!$B$12)*0.05,0)</f>
        <v>0</v>
      </c>
      <c r="CR29" s="19" t="n">
        <f aca="false">IF(AND(Projects!$G$20="Yes",CR$3&gt;=Projects!$C$20,CR$3&lt;Projects!$C$20+Projects!$D$20),Projects!$B$20*INDEX(Curves!$B$4:$AR$4,1,CR$3-Projects!$C$20+1),0)-IF(AND(Projects!$G$20="Yes",CR$3&gt;=Projects!$C$20,CR$3&lt;Projects!$C$20+Projects!$D$20),Projects!$B$20*(Assumptions!$B$10+Assumptions!$B$11+Assumptions!$B$12)/Projects!$D$20*0.95,0)-IF(AND(Projects!$G$20="Yes",CR$3=Projects!$C$20+Projects!$D$20-1),Projects!$B$20*(Assumptions!$B$10+Assumptions!$B$11+Assumptions!$B$12)*0.05,0)</f>
        <v>0</v>
      </c>
      <c r="CS29" s="19" t="n">
        <f aca="false">IF(AND(Projects!$G$20="Yes",CS$3&gt;=Projects!$C$20,CS$3&lt;Projects!$C$20+Projects!$D$20),Projects!$B$20*INDEX(Curves!$B$4:$AR$4,1,CS$3-Projects!$C$20+1),0)-IF(AND(Projects!$G$20="Yes",CS$3&gt;=Projects!$C$20,CS$3&lt;Projects!$C$20+Projects!$D$20),Projects!$B$20*(Assumptions!$B$10+Assumptions!$B$11+Assumptions!$B$12)/Projects!$D$20*0.95,0)-IF(AND(Projects!$G$20="Yes",CS$3=Projects!$C$20+Projects!$D$20-1),Projects!$B$20*(Assumptions!$B$10+Assumptions!$B$11+Assumptions!$B$12)*0.05,0)</f>
        <v>0</v>
      </c>
      <c r="CT29" s="19" t="n">
        <f aca="false">IF(AND(Projects!$G$20="Yes",CT$3&gt;=Projects!$C$20,CT$3&lt;Projects!$C$20+Projects!$D$20),Projects!$B$20*INDEX(Curves!$B$4:$AR$4,1,CT$3-Projects!$C$20+1),0)-IF(AND(Projects!$G$20="Yes",CT$3&gt;=Projects!$C$20,CT$3&lt;Projects!$C$20+Projects!$D$20),Projects!$B$20*(Assumptions!$B$10+Assumptions!$B$11+Assumptions!$B$12)/Projects!$D$20*0.95,0)-IF(AND(Projects!$G$20="Yes",CT$3=Projects!$C$20+Projects!$D$20-1),Projects!$B$20*(Assumptions!$B$10+Assumptions!$B$11+Assumptions!$B$12)*0.05,0)</f>
        <v>0</v>
      </c>
      <c r="CU29" s="19" t="n">
        <f aca="false">IF(AND(Projects!$G$20="Yes",CU$3&gt;=Projects!$C$20,CU$3&lt;Projects!$C$20+Projects!$D$20),Projects!$B$20*INDEX(Curves!$B$4:$AR$4,1,CU$3-Projects!$C$20+1),0)-IF(AND(Projects!$G$20="Yes",CU$3&gt;=Projects!$C$20,CU$3&lt;Projects!$C$20+Projects!$D$20),Projects!$B$20*(Assumptions!$B$10+Assumptions!$B$11+Assumptions!$B$12)/Projects!$D$20*0.95,0)-IF(AND(Projects!$G$20="Yes",CU$3=Projects!$C$20+Projects!$D$20-1),Projects!$B$20*(Assumptions!$B$10+Assumptions!$B$11+Assumptions!$B$12)*0.05,0)</f>
        <v>0</v>
      </c>
      <c r="CV29" s="19" t="n">
        <f aca="false">IF(AND(Projects!$G$20="Yes",CV$3&gt;=Projects!$C$20,CV$3&lt;Projects!$C$20+Projects!$D$20),Projects!$B$20*INDEX(Curves!$B$4:$AR$4,1,CV$3-Projects!$C$20+1),0)-IF(AND(Projects!$G$20="Yes",CV$3&gt;=Projects!$C$20,CV$3&lt;Projects!$C$20+Projects!$D$20),Projects!$B$20*(Assumptions!$B$10+Assumptions!$B$11+Assumptions!$B$12)/Projects!$D$20*0.95,0)-IF(AND(Projects!$G$20="Yes",CV$3=Projects!$C$20+Projects!$D$20-1),Projects!$B$20*(Assumptions!$B$10+Assumptions!$B$11+Assumptions!$B$12)*0.05,0)</f>
        <v>0</v>
      </c>
      <c r="CW29" s="19" t="n">
        <f aca="false">IF(AND(Projects!$G$20="Yes",CW$3&gt;=Projects!$C$20,CW$3&lt;Projects!$C$20+Projects!$D$20),Projects!$B$20*INDEX(Curves!$B$4:$AR$4,1,CW$3-Projects!$C$20+1),0)-IF(AND(Projects!$G$20="Yes",CW$3&gt;=Projects!$C$20,CW$3&lt;Projects!$C$20+Projects!$D$20),Projects!$B$20*(Assumptions!$B$10+Assumptions!$B$11+Assumptions!$B$12)/Projects!$D$20*0.95,0)-IF(AND(Projects!$G$20="Yes",CW$3=Projects!$C$20+Projects!$D$20-1),Projects!$B$20*(Assumptions!$B$10+Assumptions!$B$11+Assumptions!$B$12)*0.05,0)</f>
        <v>0</v>
      </c>
      <c r="CX29" s="19" t="n">
        <f aca="false">IF(AND(Projects!$G$20="Yes",CX$3&gt;=Projects!$C$20,CX$3&lt;Projects!$C$20+Projects!$D$20),Projects!$B$20*INDEX(Curves!$B$4:$AR$4,1,CX$3-Projects!$C$20+1),0)-IF(AND(Projects!$G$20="Yes",CX$3&gt;=Projects!$C$20,CX$3&lt;Projects!$C$20+Projects!$D$20),Projects!$B$20*(Assumptions!$B$10+Assumptions!$B$11+Assumptions!$B$12)/Projects!$D$20*0.95,0)-IF(AND(Projects!$G$20="Yes",CX$3=Projects!$C$20+Projects!$D$20-1),Projects!$B$20*(Assumptions!$B$10+Assumptions!$B$11+Assumptions!$B$12)*0.05,0)</f>
        <v>0</v>
      </c>
      <c r="CY29" s="19" t="n">
        <f aca="false">IF(AND(Projects!$G$20="Yes",CY$3&gt;=Projects!$C$20,CY$3&lt;Projects!$C$20+Projects!$D$20),Projects!$B$20*INDEX(Curves!$B$4:$AR$4,1,CY$3-Projects!$C$20+1),0)-IF(AND(Projects!$G$20="Yes",CY$3&gt;=Projects!$C$20,CY$3&lt;Projects!$C$20+Projects!$D$20),Projects!$B$20*(Assumptions!$B$10+Assumptions!$B$11+Assumptions!$B$12)/Projects!$D$20*0.95,0)-IF(AND(Projects!$G$20="Yes",CY$3=Projects!$C$20+Projects!$D$20-1),Projects!$B$20*(Assumptions!$B$10+Assumptions!$B$11+Assumptions!$B$12)*0.05,0)</f>
        <v>0</v>
      </c>
      <c r="CZ29" s="19" t="n">
        <f aca="false">IF(AND(Projects!$G$20="Yes",CZ$3&gt;=Projects!$C$20,CZ$3&lt;Projects!$C$20+Projects!$D$20),Projects!$B$20*INDEX(Curves!$B$4:$AR$4,1,CZ$3-Projects!$C$20+1),0)-IF(AND(Projects!$G$20="Yes",CZ$3&gt;=Projects!$C$20,CZ$3&lt;Projects!$C$20+Projects!$D$20),Projects!$B$20*(Assumptions!$B$10+Assumptions!$B$11+Assumptions!$B$12)/Projects!$D$20*0.95,0)-IF(AND(Projects!$G$20="Yes",CZ$3=Projects!$C$20+Projects!$D$20-1),Projects!$B$20*(Assumptions!$B$10+Assumptions!$B$11+Assumptions!$B$12)*0.05,0)</f>
        <v>0</v>
      </c>
      <c r="DA29" s="19" t="n">
        <f aca="false">IF(AND(Projects!$G$20="Yes",DA$3&gt;=Projects!$C$20,DA$3&lt;Projects!$C$20+Projects!$D$20),Projects!$B$20*INDEX(Curves!$B$4:$AR$4,1,DA$3-Projects!$C$20+1),0)-IF(AND(Projects!$G$20="Yes",DA$3&gt;=Projects!$C$20,DA$3&lt;Projects!$C$20+Projects!$D$20),Projects!$B$20*(Assumptions!$B$10+Assumptions!$B$11+Assumptions!$B$12)/Projects!$D$20*0.95,0)-IF(AND(Projects!$G$20="Yes",DA$3=Projects!$C$20+Projects!$D$20-1),Projects!$B$20*(Assumptions!$B$10+Assumptions!$B$11+Assumptions!$B$12)*0.05,0)</f>
        <v>0</v>
      </c>
      <c r="DB29" s="19" t="n">
        <f aca="false">IF(AND(Projects!$G$20="Yes",DB$3&gt;=Projects!$C$20,DB$3&lt;Projects!$C$20+Projects!$D$20),Projects!$B$20*INDEX(Curves!$B$4:$AR$4,1,DB$3-Projects!$C$20+1),0)-IF(AND(Projects!$G$20="Yes",DB$3&gt;=Projects!$C$20,DB$3&lt;Projects!$C$20+Projects!$D$20),Projects!$B$20*(Assumptions!$B$10+Assumptions!$B$11+Assumptions!$B$12)/Projects!$D$20*0.95,0)-IF(AND(Projects!$G$20="Yes",DB$3=Projects!$C$20+Projects!$D$20-1),Projects!$B$20*(Assumptions!$B$10+Assumptions!$B$11+Assumptions!$B$12)*0.05,0)</f>
        <v>0</v>
      </c>
      <c r="DC29" s="19" t="n">
        <f aca="false">IF(AND(Projects!$G$20="Yes",DC$3&gt;=Projects!$C$20,DC$3&lt;Projects!$C$20+Projects!$D$20),Projects!$B$20*INDEX(Curves!$B$4:$AR$4,1,DC$3-Projects!$C$20+1),0)-IF(AND(Projects!$G$20="Yes",DC$3&gt;=Projects!$C$20,DC$3&lt;Projects!$C$20+Projects!$D$20),Projects!$B$20*(Assumptions!$B$10+Assumptions!$B$11+Assumptions!$B$12)/Projects!$D$20*0.95,0)-IF(AND(Projects!$G$20="Yes",DC$3=Projects!$C$20+Projects!$D$20-1),Projects!$B$20*(Assumptions!$B$10+Assumptions!$B$11+Assumptions!$B$12)*0.05,0)</f>
        <v>0</v>
      </c>
      <c r="DD29" s="19" t="n">
        <f aca="false">IF(AND(Projects!$G$20="Yes",DD$3&gt;=Projects!$C$20,DD$3&lt;Projects!$C$20+Projects!$D$20),Projects!$B$20*INDEX(Curves!$B$4:$AR$4,1,DD$3-Projects!$C$20+1),0)-IF(AND(Projects!$G$20="Yes",DD$3&gt;=Projects!$C$20,DD$3&lt;Projects!$C$20+Projects!$D$20),Projects!$B$20*(Assumptions!$B$10+Assumptions!$B$11+Assumptions!$B$12)/Projects!$D$20*0.95,0)-IF(AND(Projects!$G$20="Yes",DD$3=Projects!$C$20+Projects!$D$20-1),Projects!$B$20*(Assumptions!$B$10+Assumptions!$B$11+Assumptions!$B$12)*0.05,0)</f>
        <v>0</v>
      </c>
      <c r="DE29" s="19" t="n">
        <f aca="false">IF(AND(Projects!$G$20="Yes",DE$3&gt;=Projects!$C$20,DE$3&lt;Projects!$C$20+Projects!$D$20),Projects!$B$20*INDEX(Curves!$B$4:$AR$4,1,DE$3-Projects!$C$20+1),0)-IF(AND(Projects!$G$20="Yes",DE$3&gt;=Projects!$C$20,DE$3&lt;Projects!$C$20+Projects!$D$20),Projects!$B$20*(Assumptions!$B$10+Assumptions!$B$11+Assumptions!$B$12)/Projects!$D$20*0.95,0)-IF(AND(Projects!$G$20="Yes",DE$3=Projects!$C$20+Projects!$D$20-1),Projects!$B$20*(Assumptions!$B$10+Assumptions!$B$11+Assumptions!$B$12)*0.05,0)</f>
        <v>0</v>
      </c>
    </row>
    <row r="30" customFormat="false" ht="15" hidden="true" customHeight="true" outlineLevel="1" collapsed="false">
      <c r="A30" s="28" t="s">
        <v>24</v>
      </c>
      <c r="B30" s="19" t="n">
        <v>0</v>
      </c>
      <c r="C30" s="19" t="n">
        <v>0</v>
      </c>
      <c r="D30" s="19" t="n">
        <v>0</v>
      </c>
      <c r="E30" s="19" t="n">
        <v>0</v>
      </c>
      <c r="F30" s="19" t="n">
        <f aca="false">IF(AND(Projects!$G$21="Yes",F$3&gt;=Projects!$C$21,F$3&lt;Projects!$C$21+Projects!$D$21),Projects!$B$21*INDEX(Curves!$B$4:$AR$4,1,F$3-Projects!$C$21+1),0)-IF(AND(Projects!$G$21="Yes",F$3&gt;=Projects!$C$21,F$3&lt;Projects!$C$21+Projects!$D$21),Projects!$B$21*(Assumptions!$B$10+Assumptions!$B$11+Assumptions!$B$12)/Projects!$D$21*0.95,0)-IF(AND(Projects!$G$21="Yes",F$3=Projects!$C$21+Projects!$D$21-1),Projects!$B$21*(Assumptions!$B$10+Assumptions!$B$11+Assumptions!$B$12)*0.05,0)</f>
        <v>0</v>
      </c>
      <c r="G30" s="19" t="n">
        <f aca="false">IF(AND(Projects!$G$21="Yes",G$3&gt;=Projects!$C$21,G$3&lt;Projects!$C$21+Projects!$D$21),Projects!$B$21*INDEX(Curves!$B$4:$AR$4,1,G$3-Projects!$C$21+1),0)-IF(AND(Projects!$G$21="Yes",G$3&gt;=Projects!$C$21,G$3&lt;Projects!$C$21+Projects!$D$21),Projects!$B$21*(Assumptions!$B$10+Assumptions!$B$11+Assumptions!$B$12)/Projects!$D$21*0.95,0)-IF(AND(Projects!$G$21="Yes",G$3=Projects!$C$21+Projects!$D$21-1),Projects!$B$21*(Assumptions!$B$10+Assumptions!$B$11+Assumptions!$B$12)*0.05,0)</f>
        <v>0</v>
      </c>
      <c r="H30" s="19" t="n">
        <f aca="false">IF(AND(Projects!$G$21="Yes",H$3&gt;=Projects!$C$21,H$3&lt;Projects!$C$21+Projects!$D$21),Projects!$B$21*INDEX(Curves!$B$4:$AR$4,1,H$3-Projects!$C$21+1),0)-IF(AND(Projects!$G$21="Yes",H$3&gt;=Projects!$C$21,H$3&lt;Projects!$C$21+Projects!$D$21),Projects!$B$21*(Assumptions!$B$10+Assumptions!$B$11+Assumptions!$B$12)/Projects!$D$21*0.95,0)-IF(AND(Projects!$G$21="Yes",H$3=Projects!$C$21+Projects!$D$21-1),Projects!$B$21*(Assumptions!$B$10+Assumptions!$B$11+Assumptions!$B$12)*0.05,0)</f>
        <v>0</v>
      </c>
      <c r="I30" s="19" t="n">
        <f aca="false">IF(AND(Projects!$G$21="Yes",I$3&gt;=Projects!$C$21,I$3&lt;Projects!$C$21+Projects!$D$21),Projects!$B$21*INDEX(Curves!$B$4:$AR$4,1,I$3-Projects!$C$21+1),0)-IF(AND(Projects!$G$21="Yes",I$3&gt;=Projects!$C$21,I$3&lt;Projects!$C$21+Projects!$D$21),Projects!$B$21*(Assumptions!$B$10+Assumptions!$B$11+Assumptions!$B$12)/Projects!$D$21*0.95,0)-IF(AND(Projects!$G$21="Yes",I$3=Projects!$C$21+Projects!$D$21-1),Projects!$B$21*(Assumptions!$B$10+Assumptions!$B$11+Assumptions!$B$12)*0.05,0)</f>
        <v>0</v>
      </c>
      <c r="J30" s="19" t="n">
        <f aca="false">IF(AND(Projects!$G$21="Yes",J$3&gt;=Projects!$C$21,J$3&lt;Projects!$C$21+Projects!$D$21),Projects!$B$21*INDEX(Curves!$B$4:$AR$4,1,J$3-Projects!$C$21+1),0)-IF(AND(Projects!$G$21="Yes",J$3&gt;=Projects!$C$21,J$3&lt;Projects!$C$21+Projects!$D$21),Projects!$B$21*(Assumptions!$B$10+Assumptions!$B$11+Assumptions!$B$12)/Projects!$D$21*0.95,0)-IF(AND(Projects!$G$21="Yes",J$3=Projects!$C$21+Projects!$D$21-1),Projects!$B$21*(Assumptions!$B$10+Assumptions!$B$11+Assumptions!$B$12)*0.05,0)</f>
        <v>0</v>
      </c>
      <c r="K30" s="19" t="n">
        <f aca="false">IF(AND(Projects!$G$21="Yes",K$3&gt;=Projects!$C$21,K$3&lt;Projects!$C$21+Projects!$D$21),Projects!$B$21*INDEX(Curves!$B$4:$AR$4,1,K$3-Projects!$C$21+1),0)-IF(AND(Projects!$G$21="Yes",K$3&gt;=Projects!$C$21,K$3&lt;Projects!$C$21+Projects!$D$21),Projects!$B$21*(Assumptions!$B$10+Assumptions!$B$11+Assumptions!$B$12)/Projects!$D$21*0.95,0)-IF(AND(Projects!$G$21="Yes",K$3=Projects!$C$21+Projects!$D$21-1),Projects!$B$21*(Assumptions!$B$10+Assumptions!$B$11+Assumptions!$B$12)*0.05,0)</f>
        <v>0</v>
      </c>
      <c r="L30" s="19" t="n">
        <f aca="false">IF(AND(Projects!$G$21="Yes",L$3&gt;=Projects!$C$21,L$3&lt;Projects!$C$21+Projects!$D$21),Projects!$B$21*INDEX(Curves!$B$4:$AR$4,1,L$3-Projects!$C$21+1),0)-IF(AND(Projects!$G$21="Yes",L$3&gt;=Projects!$C$21,L$3&lt;Projects!$C$21+Projects!$D$21),Projects!$B$21*(Assumptions!$B$10+Assumptions!$B$11+Assumptions!$B$12)/Projects!$D$21*0.95,0)-IF(AND(Projects!$G$21="Yes",L$3=Projects!$C$21+Projects!$D$21-1),Projects!$B$21*(Assumptions!$B$10+Assumptions!$B$11+Assumptions!$B$12)*0.05,0)</f>
        <v>0</v>
      </c>
      <c r="M30" s="19" t="n">
        <f aca="false">IF(AND(Projects!$G$21="Yes",M$3&gt;=Projects!$C$21,M$3&lt;Projects!$C$21+Projects!$D$21),Projects!$B$21*INDEX(Curves!$B$4:$AR$4,1,M$3-Projects!$C$21+1),0)-IF(AND(Projects!$G$21="Yes",M$3&gt;=Projects!$C$21,M$3&lt;Projects!$C$21+Projects!$D$21),Projects!$B$21*(Assumptions!$B$10+Assumptions!$B$11+Assumptions!$B$12)/Projects!$D$21*0.95,0)-IF(AND(Projects!$G$21="Yes",M$3=Projects!$C$21+Projects!$D$21-1),Projects!$B$21*(Assumptions!$B$10+Assumptions!$B$11+Assumptions!$B$12)*0.05,0)</f>
        <v>0</v>
      </c>
      <c r="N30" s="19" t="n">
        <f aca="false">IF(AND(Projects!$G$21="Yes",N$3&gt;=Projects!$C$21,N$3&lt;Projects!$C$21+Projects!$D$21),Projects!$B$21*INDEX(Curves!$B$4:$AR$4,1,N$3-Projects!$C$21+1),0)-IF(AND(Projects!$G$21="Yes",N$3&gt;=Projects!$C$21,N$3&lt;Projects!$C$21+Projects!$D$21),Projects!$B$21*(Assumptions!$B$10+Assumptions!$B$11+Assumptions!$B$12)/Projects!$D$21*0.95,0)-IF(AND(Projects!$G$21="Yes",N$3=Projects!$C$21+Projects!$D$21-1),Projects!$B$21*(Assumptions!$B$10+Assumptions!$B$11+Assumptions!$B$12)*0.05,0)</f>
        <v>311346.196127688</v>
      </c>
      <c r="O30" s="19" t="n">
        <f aca="false">IF(AND(Projects!$G$21="Yes",O$3&gt;=Projects!$C$21,O$3&lt;Projects!$C$21+Projects!$D$21),Projects!$B$21*INDEX(Curves!$B$4:$AR$4,1,O$3-Projects!$C$21+1),0)-IF(AND(Projects!$G$21="Yes",O$3&gt;=Projects!$C$21,O$3&lt;Projects!$C$21+Projects!$D$21),Projects!$B$21*(Assumptions!$B$10+Assumptions!$B$11+Assumptions!$B$12)/Projects!$D$21*0.95,0)-IF(AND(Projects!$G$21="Yes",O$3=Projects!$C$21+Projects!$D$21-1),Projects!$B$21*(Assumptions!$B$10+Assumptions!$B$11+Assumptions!$B$12)*0.05,0)</f>
        <v>406189.488762688</v>
      </c>
      <c r="P30" s="19" t="n">
        <f aca="false">IF(AND(Projects!$G$21="Yes",P$3&gt;=Projects!$C$21,P$3&lt;Projects!$C$21+Projects!$D$21),Projects!$B$21*INDEX(Curves!$B$4:$AR$4,1,P$3-Projects!$C$21+1),0)-IF(AND(Projects!$G$21="Yes",P$3&gt;=Projects!$C$21,P$3&lt;Projects!$C$21+Projects!$D$21),Projects!$B$21*(Assumptions!$B$10+Assumptions!$B$11+Assumptions!$B$12)/Projects!$D$21*0.95,0)-IF(AND(Projects!$G$21="Yes",P$3=Projects!$C$21+Projects!$D$21-1),Projects!$B$21*(Assumptions!$B$10+Assumptions!$B$11+Assumptions!$B$12)*0.05,0)</f>
        <v>508278.177071438</v>
      </c>
      <c r="Q30" s="19" t="n">
        <f aca="false">IF(AND(Projects!$G$21="Yes",Q$3&gt;=Projects!$C$21,Q$3&lt;Projects!$C$21+Projects!$D$21),Projects!$B$21*INDEX(Curves!$B$4:$AR$4,1,Q$3-Projects!$C$21+1),0)-IF(AND(Projects!$G$21="Yes",Q$3&gt;=Projects!$C$21,Q$3&lt;Projects!$C$21+Projects!$D$21),Projects!$B$21*(Assumptions!$B$10+Assumptions!$B$11+Assumptions!$B$12)/Projects!$D$21*0.95,0)-IF(AND(Projects!$G$21="Yes",Q$3=Projects!$C$21+Projects!$D$21-1),Projects!$B$21*(Assumptions!$B$10+Assumptions!$B$11+Assumptions!$B$12)*0.05,0)</f>
        <v>613541.472708938</v>
      </c>
      <c r="R30" s="19" t="n">
        <f aca="false">IF(AND(Projects!$G$21="Yes",R$3&gt;=Projects!$C$21,R$3&lt;Projects!$C$21+Projects!$D$21),Projects!$B$21*INDEX(Curves!$B$4:$AR$4,1,R$3-Projects!$C$21+1),0)-IF(AND(Projects!$G$21="Yes",R$3&gt;=Projects!$C$21,R$3&lt;Projects!$C$21+Projects!$D$21),Projects!$B$21*(Assumptions!$B$10+Assumptions!$B$11+Assumptions!$B$12)/Projects!$D$21*0.95,0)-IF(AND(Projects!$G$21="Yes",R$3=Projects!$C$21+Projects!$D$21-1),Projects!$B$21*(Assumptions!$B$10+Assumptions!$B$11+Assumptions!$B$12)*0.05,0)</f>
        <v>716921.269261438</v>
      </c>
      <c r="S30" s="19" t="n">
        <f aca="false">IF(AND(Projects!$G$21="Yes",S$3&gt;=Projects!$C$21,S$3&lt;Projects!$C$21+Projects!$D$21),Projects!$B$21*INDEX(Curves!$B$4:$AR$4,1,S$3-Projects!$C$21+1),0)-IF(AND(Projects!$G$21="Yes",S$3&gt;=Projects!$C$21,S$3&lt;Projects!$C$21+Projects!$D$21),Projects!$B$21*(Assumptions!$B$10+Assumptions!$B$11+Assumptions!$B$12)/Projects!$D$21*0.95,0)-IF(AND(Projects!$G$21="Yes",S$3=Projects!$C$21+Projects!$D$21-1),Projects!$B$21*(Assumptions!$B$10+Assumptions!$B$11+Assumptions!$B$12)*0.05,0)</f>
        <v>812675.932421438</v>
      </c>
      <c r="T30" s="19" t="n">
        <f aca="false">IF(AND(Projects!$G$21="Yes",T$3&gt;=Projects!$C$21,T$3&lt;Projects!$C$21+Projects!$D$21),Projects!$B$21*INDEX(Curves!$B$4:$AR$4,1,T$3-Projects!$C$21+1),0)-IF(AND(Projects!$G$21="Yes",T$3&gt;=Projects!$C$21,T$3&lt;Projects!$C$21+Projects!$D$21),Projects!$B$21*(Assumptions!$B$10+Assumptions!$B$11+Assumptions!$B$12)/Projects!$D$21*0.95,0)-IF(AND(Projects!$G$21="Yes",T$3=Projects!$C$21+Projects!$D$21-1),Projects!$B$21*(Assumptions!$B$10+Assumptions!$B$11+Assumptions!$B$12)*0.05,0)</f>
        <v>894927.122302687</v>
      </c>
      <c r="U30" s="19" t="n">
        <f aca="false">IF(AND(Projects!$G$21="Yes",U$3&gt;=Projects!$C$21,U$3&lt;Projects!$C$21+Projects!$D$21),Projects!$B$21*INDEX(Curves!$B$4:$AR$4,1,U$3-Projects!$C$21+1),0)-IF(AND(Projects!$G$21="Yes",U$3&gt;=Projects!$C$21,U$3&lt;Projects!$C$21+Projects!$D$21),Projects!$B$21*(Assumptions!$B$10+Assumptions!$B$11+Assumptions!$B$12)/Projects!$D$21*0.95,0)-IF(AND(Projects!$G$21="Yes",U$3=Projects!$C$21+Projects!$D$21-1),Projects!$B$21*(Assumptions!$B$10+Assumptions!$B$11+Assumptions!$B$12)*0.05,0)</f>
        <v>958221.805263938</v>
      </c>
      <c r="V30" s="19" t="n">
        <f aca="false">IF(AND(Projects!$G$21="Yes",V$3&gt;=Projects!$C$21,V$3&lt;Projects!$C$21+Projects!$D$21),Projects!$B$21*INDEX(Curves!$B$4:$AR$4,1,V$3-Projects!$C$21+1),0)-IF(AND(Projects!$G$21="Yes",V$3&gt;=Projects!$C$21,V$3&lt;Projects!$C$21+Projects!$D$21),Projects!$B$21*(Assumptions!$B$10+Assumptions!$B$11+Assumptions!$B$12)/Projects!$D$21*0.95,0)-IF(AND(Projects!$G$21="Yes",V$3=Projects!$C$21+Projects!$D$21-1),Projects!$B$21*(Assumptions!$B$10+Assumptions!$B$11+Assumptions!$B$12)*0.05,0)</f>
        <v>998139.834258938</v>
      </c>
      <c r="W30" s="19" t="n">
        <f aca="false">IF(AND(Projects!$G$21="Yes",W$3&gt;=Projects!$C$21,W$3&lt;Projects!$C$21+Projects!$D$21),Projects!$B$21*INDEX(Curves!$B$4:$AR$4,1,W$3-Projects!$C$21+1),0)-IF(AND(Projects!$G$21="Yes",W$3&gt;=Projects!$C$21,W$3&lt;Projects!$C$21+Projects!$D$21),Projects!$B$21*(Assumptions!$B$10+Assumptions!$B$11+Assumptions!$B$12)/Projects!$D$21*0.95,0)-IF(AND(Projects!$G$21="Yes",W$3=Projects!$C$21+Projects!$D$21-1),Projects!$B$21*(Assumptions!$B$10+Assumptions!$B$11+Assumptions!$B$12)*0.05,0)</f>
        <v>1011780.01311644</v>
      </c>
      <c r="X30" s="19" t="n">
        <f aca="false">IF(AND(Projects!$G$21="Yes",X$3&gt;=Projects!$C$21,X$3&lt;Projects!$C$21+Projects!$D$21),Projects!$B$21*INDEX(Curves!$B$4:$AR$4,1,X$3-Projects!$C$21+1),0)-IF(AND(Projects!$G$21="Yes",X$3&gt;=Projects!$C$21,X$3&lt;Projects!$C$21+Projects!$D$21),Projects!$B$21*(Assumptions!$B$10+Assumptions!$B$11+Assumptions!$B$12)/Projects!$D$21*0.95,0)-IF(AND(Projects!$G$21="Yes",X$3=Projects!$C$21+Projects!$D$21-1),Projects!$B$21*(Assumptions!$B$10+Assumptions!$B$11+Assumptions!$B$12)*0.05,0)</f>
        <v>998139.834258938</v>
      </c>
      <c r="Y30" s="19" t="n">
        <f aca="false">IF(AND(Projects!$G$21="Yes",Y$3&gt;=Projects!$C$21,Y$3&lt;Projects!$C$21+Projects!$D$21),Projects!$B$21*INDEX(Curves!$B$4:$AR$4,1,Y$3-Projects!$C$21+1),0)-IF(AND(Projects!$G$21="Yes",Y$3&gt;=Projects!$C$21,Y$3&lt;Projects!$C$21+Projects!$D$21),Projects!$B$21*(Assumptions!$B$10+Assumptions!$B$11+Assumptions!$B$12)/Projects!$D$21*0.95,0)-IF(AND(Projects!$G$21="Yes",Y$3=Projects!$C$21+Projects!$D$21-1),Projects!$B$21*(Assumptions!$B$10+Assumptions!$B$11+Assumptions!$B$12)*0.05,0)</f>
        <v>958221.805263938</v>
      </c>
      <c r="Z30" s="19" t="n">
        <f aca="false">IF(AND(Projects!$G$21="Yes",Z$3&gt;=Projects!$C$21,Z$3&lt;Projects!$C$21+Projects!$D$21),Projects!$B$21*INDEX(Curves!$B$4:$AR$4,1,Z$3-Projects!$C$21+1),0)-IF(AND(Projects!$G$21="Yes",Z$3&gt;=Projects!$C$21,Z$3&lt;Projects!$C$21+Projects!$D$21),Projects!$B$21*(Assumptions!$B$10+Assumptions!$B$11+Assumptions!$B$12)/Projects!$D$21*0.95,0)-IF(AND(Projects!$G$21="Yes",Z$3=Projects!$C$21+Projects!$D$21-1),Projects!$B$21*(Assumptions!$B$10+Assumptions!$B$11+Assumptions!$B$12)*0.05,0)</f>
        <v>894927.122302687</v>
      </c>
      <c r="AA30" s="19" t="n">
        <f aca="false">IF(AND(Projects!$G$21="Yes",AA$3&gt;=Projects!$C$21,AA$3&lt;Projects!$C$21+Projects!$D$21),Projects!$B$21*INDEX(Curves!$B$4:$AR$4,1,AA$3-Projects!$C$21+1),0)-IF(AND(Projects!$G$21="Yes",AA$3&gt;=Projects!$C$21,AA$3&lt;Projects!$C$21+Projects!$D$21),Projects!$B$21*(Assumptions!$B$10+Assumptions!$B$11+Assumptions!$B$12)/Projects!$D$21*0.95,0)-IF(AND(Projects!$G$21="Yes",AA$3=Projects!$C$21+Projects!$D$21-1),Projects!$B$21*(Assumptions!$B$10+Assumptions!$B$11+Assumptions!$B$12)*0.05,0)</f>
        <v>812675.932421438</v>
      </c>
      <c r="AB30" s="19" t="n">
        <f aca="false">IF(AND(Projects!$G$21="Yes",AB$3&gt;=Projects!$C$21,AB$3&lt;Projects!$C$21+Projects!$D$21),Projects!$B$21*INDEX(Curves!$B$4:$AR$4,1,AB$3-Projects!$C$21+1),0)-IF(AND(Projects!$G$21="Yes",AB$3&gt;=Projects!$C$21,AB$3&lt;Projects!$C$21+Projects!$D$21),Projects!$B$21*(Assumptions!$B$10+Assumptions!$B$11+Assumptions!$B$12)/Projects!$D$21*0.95,0)-IF(AND(Projects!$G$21="Yes",AB$3=Projects!$C$21+Projects!$D$21-1),Projects!$B$21*(Assumptions!$B$10+Assumptions!$B$11+Assumptions!$B$12)*0.05,0)</f>
        <v>716921.269261438</v>
      </c>
      <c r="AC30" s="19" t="n">
        <f aca="false">IF(AND(Projects!$G$21="Yes",AC$3&gt;=Projects!$C$21,AC$3&lt;Projects!$C$21+Projects!$D$21),Projects!$B$21*INDEX(Curves!$B$4:$AR$4,1,AC$3-Projects!$C$21+1),0)-IF(AND(Projects!$G$21="Yes",AC$3&gt;=Projects!$C$21,AC$3&lt;Projects!$C$21+Projects!$D$21),Projects!$B$21*(Assumptions!$B$10+Assumptions!$B$11+Assumptions!$B$12)/Projects!$D$21*0.95,0)-IF(AND(Projects!$G$21="Yes",AC$3=Projects!$C$21+Projects!$D$21-1),Projects!$B$21*(Assumptions!$B$10+Assumptions!$B$11+Assumptions!$B$12)*0.05,0)</f>
        <v>613541.472708938</v>
      </c>
      <c r="AD30" s="19" t="n">
        <f aca="false">IF(AND(Projects!$G$21="Yes",AD$3&gt;=Projects!$C$21,AD$3&lt;Projects!$C$21+Projects!$D$21),Projects!$B$21*INDEX(Curves!$B$4:$AR$4,1,AD$3-Projects!$C$21+1),0)-IF(AND(Projects!$G$21="Yes",AD$3&gt;=Projects!$C$21,AD$3&lt;Projects!$C$21+Projects!$D$21),Projects!$B$21*(Assumptions!$B$10+Assumptions!$B$11+Assumptions!$B$12)/Projects!$D$21*0.95,0)-IF(AND(Projects!$G$21="Yes",AD$3=Projects!$C$21+Projects!$D$21-1),Projects!$B$21*(Assumptions!$B$10+Assumptions!$B$11+Assumptions!$B$12)*0.05,0)</f>
        <v>508278.177071438</v>
      </c>
      <c r="AE30" s="19" t="n">
        <f aca="false">IF(AND(Projects!$G$21="Yes",AE$3&gt;=Projects!$C$21,AE$3&lt;Projects!$C$21+Projects!$D$21),Projects!$B$21*INDEX(Curves!$B$4:$AR$4,1,AE$3-Projects!$C$21+1),0)-IF(AND(Projects!$G$21="Yes",AE$3&gt;=Projects!$C$21,AE$3&lt;Projects!$C$21+Projects!$D$21),Projects!$B$21*(Assumptions!$B$10+Assumptions!$B$11+Assumptions!$B$12)/Projects!$D$21*0.95,0)-IF(AND(Projects!$G$21="Yes",AE$3=Projects!$C$21+Projects!$D$21-1),Projects!$B$21*(Assumptions!$B$10+Assumptions!$B$11+Assumptions!$B$12)*0.05,0)</f>
        <v>406189.488762688</v>
      </c>
      <c r="AF30" s="19" t="n">
        <f aca="false">IF(AND(Projects!$G$21="Yes",AF$3&gt;=Projects!$C$21,AF$3&lt;Projects!$C$21+Projects!$D$21),Projects!$B$21*INDEX(Curves!$B$4:$AR$4,1,AF$3-Projects!$C$21+1),0)-IF(AND(Projects!$G$21="Yes",AF$3&gt;=Projects!$C$21,AF$3&lt;Projects!$C$21+Projects!$D$21),Projects!$B$21*(Assumptions!$B$10+Assumptions!$B$11+Assumptions!$B$12)/Projects!$D$21*0.95,0)-IF(AND(Projects!$G$21="Yes",AF$3=Projects!$C$21+Projects!$D$21-1),Projects!$B$21*(Assumptions!$B$10+Assumptions!$B$11+Assumptions!$B$12)*0.05,0)</f>
        <v>219912.188731625</v>
      </c>
      <c r="AG30" s="19" t="n">
        <f aca="false">IF(AND(Projects!$G$21="Yes",AG$3&gt;=Projects!$C$21,AG$3&lt;Projects!$C$21+Projects!$D$21),Projects!$B$21*INDEX(Curves!$B$4:$AR$4,1,AG$3-Projects!$C$21+1),0)-IF(AND(Projects!$G$21="Yes",AG$3&gt;=Projects!$C$21,AG$3&lt;Projects!$C$21+Projects!$D$21),Projects!$B$21*(Assumptions!$B$10+Assumptions!$B$11+Assumptions!$B$12)/Projects!$D$21*0.95,0)-IF(AND(Projects!$G$21="Yes",AG$3=Projects!$C$21+Projects!$D$21-1),Projects!$B$21*(Assumptions!$B$10+Assumptions!$B$11+Assumptions!$B$12)*0.05,0)</f>
        <v>0</v>
      </c>
      <c r="AH30" s="19" t="n">
        <f aca="false">IF(AND(Projects!$G$21="Yes",AH$3&gt;=Projects!$C$21,AH$3&lt;Projects!$C$21+Projects!$D$21),Projects!$B$21*INDEX(Curves!$B$4:$AR$4,1,AH$3-Projects!$C$21+1),0)-IF(AND(Projects!$G$21="Yes",AH$3&gt;=Projects!$C$21,AH$3&lt;Projects!$C$21+Projects!$D$21),Projects!$B$21*(Assumptions!$B$10+Assumptions!$B$11+Assumptions!$B$12)/Projects!$D$21*0.95,0)-IF(AND(Projects!$G$21="Yes",AH$3=Projects!$C$21+Projects!$D$21-1),Projects!$B$21*(Assumptions!$B$10+Assumptions!$B$11+Assumptions!$B$12)*0.05,0)</f>
        <v>0</v>
      </c>
      <c r="AI30" s="19" t="n">
        <f aca="false">IF(AND(Projects!$G$21="Yes",AI$3&gt;=Projects!$C$21,AI$3&lt;Projects!$C$21+Projects!$D$21),Projects!$B$21*INDEX(Curves!$B$4:$AR$4,1,AI$3-Projects!$C$21+1),0)-IF(AND(Projects!$G$21="Yes",AI$3&gt;=Projects!$C$21,AI$3&lt;Projects!$C$21+Projects!$D$21),Projects!$B$21*(Assumptions!$B$10+Assumptions!$B$11+Assumptions!$B$12)/Projects!$D$21*0.95,0)-IF(AND(Projects!$G$21="Yes",AI$3=Projects!$C$21+Projects!$D$21-1),Projects!$B$21*(Assumptions!$B$10+Assumptions!$B$11+Assumptions!$B$12)*0.05,0)</f>
        <v>0</v>
      </c>
      <c r="AJ30" s="19" t="n">
        <f aca="false">IF(AND(Projects!$G$21="Yes",AJ$3&gt;=Projects!$C$21,AJ$3&lt;Projects!$C$21+Projects!$D$21),Projects!$B$21*INDEX(Curves!$B$4:$AR$4,1,AJ$3-Projects!$C$21+1),0)-IF(AND(Projects!$G$21="Yes",AJ$3&gt;=Projects!$C$21,AJ$3&lt;Projects!$C$21+Projects!$D$21),Projects!$B$21*(Assumptions!$B$10+Assumptions!$B$11+Assumptions!$B$12)/Projects!$D$21*0.95,0)-IF(AND(Projects!$G$21="Yes",AJ$3=Projects!$C$21+Projects!$D$21-1),Projects!$B$21*(Assumptions!$B$10+Assumptions!$B$11+Assumptions!$B$12)*0.05,0)</f>
        <v>0</v>
      </c>
      <c r="AK30" s="19" t="n">
        <f aca="false">IF(AND(Projects!$G$21="Yes",AK$3&gt;=Projects!$C$21,AK$3&lt;Projects!$C$21+Projects!$D$21),Projects!$B$21*INDEX(Curves!$B$4:$AR$4,1,AK$3-Projects!$C$21+1),0)-IF(AND(Projects!$G$21="Yes",AK$3&gt;=Projects!$C$21,AK$3&lt;Projects!$C$21+Projects!$D$21),Projects!$B$21*(Assumptions!$B$10+Assumptions!$B$11+Assumptions!$B$12)/Projects!$D$21*0.95,0)-IF(AND(Projects!$G$21="Yes",AK$3=Projects!$C$21+Projects!$D$21-1),Projects!$B$21*(Assumptions!$B$10+Assumptions!$B$11+Assumptions!$B$12)*0.05,0)</f>
        <v>0</v>
      </c>
      <c r="AL30" s="19" t="n">
        <f aca="false">IF(AND(Projects!$G$21="Yes",AL$3&gt;=Projects!$C$21,AL$3&lt;Projects!$C$21+Projects!$D$21),Projects!$B$21*INDEX(Curves!$B$4:$AR$4,1,AL$3-Projects!$C$21+1),0)-IF(AND(Projects!$G$21="Yes",AL$3&gt;=Projects!$C$21,AL$3&lt;Projects!$C$21+Projects!$D$21),Projects!$B$21*(Assumptions!$B$10+Assumptions!$B$11+Assumptions!$B$12)/Projects!$D$21*0.95,0)-IF(AND(Projects!$G$21="Yes",AL$3=Projects!$C$21+Projects!$D$21-1),Projects!$B$21*(Assumptions!$B$10+Assumptions!$B$11+Assumptions!$B$12)*0.05,0)</f>
        <v>0</v>
      </c>
      <c r="AM30" s="19" t="n">
        <f aca="false">IF(AND(Projects!$G$21="Yes",AM$3&gt;=Projects!$C$21,AM$3&lt;Projects!$C$21+Projects!$D$21),Projects!$B$21*INDEX(Curves!$B$4:$AR$4,1,AM$3-Projects!$C$21+1),0)-IF(AND(Projects!$G$21="Yes",AM$3&gt;=Projects!$C$21,AM$3&lt;Projects!$C$21+Projects!$D$21),Projects!$B$21*(Assumptions!$B$10+Assumptions!$B$11+Assumptions!$B$12)/Projects!$D$21*0.95,0)-IF(AND(Projects!$G$21="Yes",AM$3=Projects!$C$21+Projects!$D$21-1),Projects!$B$21*(Assumptions!$B$10+Assumptions!$B$11+Assumptions!$B$12)*0.05,0)</f>
        <v>0</v>
      </c>
      <c r="AN30" s="19" t="n">
        <f aca="false">IF(AND(Projects!$G$21="Yes",AN$3&gt;=Projects!$C$21,AN$3&lt;Projects!$C$21+Projects!$D$21),Projects!$B$21*INDEX(Curves!$B$4:$AR$4,1,AN$3-Projects!$C$21+1),0)-IF(AND(Projects!$G$21="Yes",AN$3&gt;=Projects!$C$21,AN$3&lt;Projects!$C$21+Projects!$D$21),Projects!$B$21*(Assumptions!$B$10+Assumptions!$B$11+Assumptions!$B$12)/Projects!$D$21*0.95,0)-IF(AND(Projects!$G$21="Yes",AN$3=Projects!$C$21+Projects!$D$21-1),Projects!$B$21*(Assumptions!$B$10+Assumptions!$B$11+Assumptions!$B$12)*0.05,0)</f>
        <v>0</v>
      </c>
      <c r="AO30" s="19" t="n">
        <f aca="false">IF(AND(Projects!$G$21="Yes",AO$3&gt;=Projects!$C$21,AO$3&lt;Projects!$C$21+Projects!$D$21),Projects!$B$21*INDEX(Curves!$B$4:$AR$4,1,AO$3-Projects!$C$21+1),0)-IF(AND(Projects!$G$21="Yes",AO$3&gt;=Projects!$C$21,AO$3&lt;Projects!$C$21+Projects!$D$21),Projects!$B$21*(Assumptions!$B$10+Assumptions!$B$11+Assumptions!$B$12)/Projects!$D$21*0.95,0)-IF(AND(Projects!$G$21="Yes",AO$3=Projects!$C$21+Projects!$D$21-1),Projects!$B$21*(Assumptions!$B$10+Assumptions!$B$11+Assumptions!$B$12)*0.05,0)</f>
        <v>0</v>
      </c>
      <c r="AP30" s="19" t="n">
        <f aca="false">IF(AND(Projects!$G$21="Yes",AP$3&gt;=Projects!$C$21,AP$3&lt;Projects!$C$21+Projects!$D$21),Projects!$B$21*INDEX(Curves!$B$4:$AR$4,1,AP$3-Projects!$C$21+1),0)-IF(AND(Projects!$G$21="Yes",AP$3&gt;=Projects!$C$21,AP$3&lt;Projects!$C$21+Projects!$D$21),Projects!$B$21*(Assumptions!$B$10+Assumptions!$B$11+Assumptions!$B$12)/Projects!$D$21*0.95,0)-IF(AND(Projects!$G$21="Yes",AP$3=Projects!$C$21+Projects!$D$21-1),Projects!$B$21*(Assumptions!$B$10+Assumptions!$B$11+Assumptions!$B$12)*0.05,0)</f>
        <v>0</v>
      </c>
      <c r="AQ30" s="19" t="n">
        <f aca="false">IF(AND(Projects!$G$21="Yes",AQ$3&gt;=Projects!$C$21,AQ$3&lt;Projects!$C$21+Projects!$D$21),Projects!$B$21*INDEX(Curves!$B$4:$AR$4,1,AQ$3-Projects!$C$21+1),0)-IF(AND(Projects!$G$21="Yes",AQ$3&gt;=Projects!$C$21,AQ$3&lt;Projects!$C$21+Projects!$D$21),Projects!$B$21*(Assumptions!$B$10+Assumptions!$B$11+Assumptions!$B$12)/Projects!$D$21*0.95,0)-IF(AND(Projects!$G$21="Yes",AQ$3=Projects!$C$21+Projects!$D$21-1),Projects!$B$21*(Assumptions!$B$10+Assumptions!$B$11+Assumptions!$B$12)*0.05,0)</f>
        <v>0</v>
      </c>
      <c r="AR30" s="19" t="n">
        <f aca="false">IF(AND(Projects!$G$21="Yes",AR$3&gt;=Projects!$C$21,AR$3&lt;Projects!$C$21+Projects!$D$21),Projects!$B$21*INDEX(Curves!$B$4:$AR$4,1,AR$3-Projects!$C$21+1),0)-IF(AND(Projects!$G$21="Yes",AR$3&gt;=Projects!$C$21,AR$3&lt;Projects!$C$21+Projects!$D$21),Projects!$B$21*(Assumptions!$B$10+Assumptions!$B$11+Assumptions!$B$12)/Projects!$D$21*0.95,0)-IF(AND(Projects!$G$21="Yes",AR$3=Projects!$C$21+Projects!$D$21-1),Projects!$B$21*(Assumptions!$B$10+Assumptions!$B$11+Assumptions!$B$12)*0.05,0)</f>
        <v>0</v>
      </c>
      <c r="AS30" s="19" t="n">
        <f aca="false">IF(AND(Projects!$G$21="Yes",AS$3&gt;=Projects!$C$21,AS$3&lt;Projects!$C$21+Projects!$D$21),Projects!$B$21*INDEX(Curves!$B$4:$AR$4,1,AS$3-Projects!$C$21+1),0)-IF(AND(Projects!$G$21="Yes",AS$3&gt;=Projects!$C$21,AS$3&lt;Projects!$C$21+Projects!$D$21),Projects!$B$21*(Assumptions!$B$10+Assumptions!$B$11+Assumptions!$B$12)/Projects!$D$21*0.95,0)-IF(AND(Projects!$G$21="Yes",AS$3=Projects!$C$21+Projects!$D$21-1),Projects!$B$21*(Assumptions!$B$10+Assumptions!$B$11+Assumptions!$B$12)*0.05,0)</f>
        <v>0</v>
      </c>
      <c r="AT30" s="19" t="n">
        <f aca="false">IF(AND(Projects!$G$21="Yes",AT$3&gt;=Projects!$C$21,AT$3&lt;Projects!$C$21+Projects!$D$21),Projects!$B$21*INDEX(Curves!$B$4:$AR$4,1,AT$3-Projects!$C$21+1),0)-IF(AND(Projects!$G$21="Yes",AT$3&gt;=Projects!$C$21,AT$3&lt;Projects!$C$21+Projects!$D$21),Projects!$B$21*(Assumptions!$B$10+Assumptions!$B$11+Assumptions!$B$12)/Projects!$D$21*0.95,0)-IF(AND(Projects!$G$21="Yes",AT$3=Projects!$C$21+Projects!$D$21-1),Projects!$B$21*(Assumptions!$B$10+Assumptions!$B$11+Assumptions!$B$12)*0.05,0)</f>
        <v>0</v>
      </c>
      <c r="AU30" s="19" t="n">
        <f aca="false">IF(AND(Projects!$G$21="Yes",AU$3&gt;=Projects!$C$21,AU$3&lt;Projects!$C$21+Projects!$D$21),Projects!$B$21*INDEX(Curves!$B$4:$AR$4,1,AU$3-Projects!$C$21+1),0)-IF(AND(Projects!$G$21="Yes",AU$3&gt;=Projects!$C$21,AU$3&lt;Projects!$C$21+Projects!$D$21),Projects!$B$21*(Assumptions!$B$10+Assumptions!$B$11+Assumptions!$B$12)/Projects!$D$21*0.95,0)-IF(AND(Projects!$G$21="Yes",AU$3=Projects!$C$21+Projects!$D$21-1),Projects!$B$21*(Assumptions!$B$10+Assumptions!$B$11+Assumptions!$B$12)*0.05,0)</f>
        <v>0</v>
      </c>
      <c r="AV30" s="19" t="n">
        <f aca="false">IF(AND(Projects!$G$21="Yes",AV$3&gt;=Projects!$C$21,AV$3&lt;Projects!$C$21+Projects!$D$21),Projects!$B$21*INDEX(Curves!$B$4:$AR$4,1,AV$3-Projects!$C$21+1),0)-IF(AND(Projects!$G$21="Yes",AV$3&gt;=Projects!$C$21,AV$3&lt;Projects!$C$21+Projects!$D$21),Projects!$B$21*(Assumptions!$B$10+Assumptions!$B$11+Assumptions!$B$12)/Projects!$D$21*0.95,0)-IF(AND(Projects!$G$21="Yes",AV$3=Projects!$C$21+Projects!$D$21-1),Projects!$B$21*(Assumptions!$B$10+Assumptions!$B$11+Assumptions!$B$12)*0.05,0)</f>
        <v>0</v>
      </c>
      <c r="AW30" s="19" t="n">
        <f aca="false">IF(AND(Projects!$G$21="Yes",AW$3&gt;=Projects!$C$21,AW$3&lt;Projects!$C$21+Projects!$D$21),Projects!$B$21*INDEX(Curves!$B$4:$AR$4,1,AW$3-Projects!$C$21+1),0)-IF(AND(Projects!$G$21="Yes",AW$3&gt;=Projects!$C$21,AW$3&lt;Projects!$C$21+Projects!$D$21),Projects!$B$21*(Assumptions!$B$10+Assumptions!$B$11+Assumptions!$B$12)/Projects!$D$21*0.95,0)-IF(AND(Projects!$G$21="Yes",AW$3=Projects!$C$21+Projects!$D$21-1),Projects!$B$21*(Assumptions!$B$10+Assumptions!$B$11+Assumptions!$B$12)*0.05,0)</f>
        <v>0</v>
      </c>
      <c r="AX30" s="19" t="n">
        <f aca="false">IF(AND(Projects!$G$21="Yes",AX$3&gt;=Projects!$C$21,AX$3&lt;Projects!$C$21+Projects!$D$21),Projects!$B$21*INDEX(Curves!$B$4:$AR$4,1,AX$3-Projects!$C$21+1),0)-IF(AND(Projects!$G$21="Yes",AX$3&gt;=Projects!$C$21,AX$3&lt;Projects!$C$21+Projects!$D$21),Projects!$B$21*(Assumptions!$B$10+Assumptions!$B$11+Assumptions!$B$12)/Projects!$D$21*0.95,0)-IF(AND(Projects!$G$21="Yes",AX$3=Projects!$C$21+Projects!$D$21-1),Projects!$B$21*(Assumptions!$B$10+Assumptions!$B$11+Assumptions!$B$12)*0.05,0)</f>
        <v>0</v>
      </c>
      <c r="AY30" s="19" t="n">
        <f aca="false">IF(AND(Projects!$G$21="Yes",AY$3&gt;=Projects!$C$21,AY$3&lt;Projects!$C$21+Projects!$D$21),Projects!$B$21*INDEX(Curves!$B$4:$AR$4,1,AY$3-Projects!$C$21+1),0)-IF(AND(Projects!$G$21="Yes",AY$3&gt;=Projects!$C$21,AY$3&lt;Projects!$C$21+Projects!$D$21),Projects!$B$21*(Assumptions!$B$10+Assumptions!$B$11+Assumptions!$B$12)/Projects!$D$21*0.95,0)-IF(AND(Projects!$G$21="Yes",AY$3=Projects!$C$21+Projects!$D$21-1),Projects!$B$21*(Assumptions!$B$10+Assumptions!$B$11+Assumptions!$B$12)*0.05,0)</f>
        <v>0</v>
      </c>
      <c r="AZ30" s="19" t="n">
        <f aca="false">IF(AND(Projects!$G$21="Yes",AZ$3&gt;=Projects!$C$21,AZ$3&lt;Projects!$C$21+Projects!$D$21),Projects!$B$21*INDEX(Curves!$B$4:$AR$4,1,AZ$3-Projects!$C$21+1),0)-IF(AND(Projects!$G$21="Yes",AZ$3&gt;=Projects!$C$21,AZ$3&lt;Projects!$C$21+Projects!$D$21),Projects!$B$21*(Assumptions!$B$10+Assumptions!$B$11+Assumptions!$B$12)/Projects!$D$21*0.95,0)-IF(AND(Projects!$G$21="Yes",AZ$3=Projects!$C$21+Projects!$D$21-1),Projects!$B$21*(Assumptions!$B$10+Assumptions!$B$11+Assumptions!$B$12)*0.05,0)</f>
        <v>0</v>
      </c>
      <c r="BA30" s="19" t="n">
        <f aca="false">IF(AND(Projects!$G$21="Yes",BA$3&gt;=Projects!$C$21,BA$3&lt;Projects!$C$21+Projects!$D$21),Projects!$B$21*INDEX(Curves!$B$4:$AR$4,1,BA$3-Projects!$C$21+1),0)-IF(AND(Projects!$G$21="Yes",BA$3&gt;=Projects!$C$21,BA$3&lt;Projects!$C$21+Projects!$D$21),Projects!$B$21*(Assumptions!$B$10+Assumptions!$B$11+Assumptions!$B$12)/Projects!$D$21*0.95,0)-IF(AND(Projects!$G$21="Yes",BA$3=Projects!$C$21+Projects!$D$21-1),Projects!$B$21*(Assumptions!$B$10+Assumptions!$B$11+Assumptions!$B$12)*0.05,0)</f>
        <v>0</v>
      </c>
      <c r="BB30" s="19" t="n">
        <f aca="false">IF(AND(Projects!$G$21="Yes",BB$3&gt;=Projects!$C$21,BB$3&lt;Projects!$C$21+Projects!$D$21),Projects!$B$21*INDEX(Curves!$B$4:$AR$4,1,BB$3-Projects!$C$21+1),0)-IF(AND(Projects!$G$21="Yes",BB$3&gt;=Projects!$C$21,BB$3&lt;Projects!$C$21+Projects!$D$21),Projects!$B$21*(Assumptions!$B$10+Assumptions!$B$11+Assumptions!$B$12)/Projects!$D$21*0.95,0)-IF(AND(Projects!$G$21="Yes",BB$3=Projects!$C$21+Projects!$D$21-1),Projects!$B$21*(Assumptions!$B$10+Assumptions!$B$11+Assumptions!$B$12)*0.05,0)</f>
        <v>0</v>
      </c>
      <c r="BC30" s="19" t="n">
        <f aca="false">IF(AND(Projects!$G$21="Yes",BC$3&gt;=Projects!$C$21,BC$3&lt;Projects!$C$21+Projects!$D$21),Projects!$B$21*INDEX(Curves!$B$4:$AR$4,1,BC$3-Projects!$C$21+1),0)-IF(AND(Projects!$G$21="Yes",BC$3&gt;=Projects!$C$21,BC$3&lt;Projects!$C$21+Projects!$D$21),Projects!$B$21*(Assumptions!$B$10+Assumptions!$B$11+Assumptions!$B$12)/Projects!$D$21*0.95,0)-IF(AND(Projects!$G$21="Yes",BC$3=Projects!$C$21+Projects!$D$21-1),Projects!$B$21*(Assumptions!$B$10+Assumptions!$B$11+Assumptions!$B$12)*0.05,0)</f>
        <v>0</v>
      </c>
      <c r="BD30" s="19" t="n">
        <f aca="false">IF(AND(Projects!$G$21="Yes",BD$3&gt;=Projects!$C$21,BD$3&lt;Projects!$C$21+Projects!$D$21),Projects!$B$21*INDEX(Curves!$B$4:$AR$4,1,BD$3-Projects!$C$21+1),0)-IF(AND(Projects!$G$21="Yes",BD$3&gt;=Projects!$C$21,BD$3&lt;Projects!$C$21+Projects!$D$21),Projects!$B$21*(Assumptions!$B$10+Assumptions!$B$11+Assumptions!$B$12)/Projects!$D$21*0.95,0)-IF(AND(Projects!$G$21="Yes",BD$3=Projects!$C$21+Projects!$D$21-1),Projects!$B$21*(Assumptions!$B$10+Assumptions!$B$11+Assumptions!$B$12)*0.05,0)</f>
        <v>0</v>
      </c>
      <c r="BE30" s="19" t="n">
        <f aca="false">IF(AND(Projects!$G$21="Yes",BE$3&gt;=Projects!$C$21,BE$3&lt;Projects!$C$21+Projects!$D$21),Projects!$B$21*INDEX(Curves!$B$4:$AR$4,1,BE$3-Projects!$C$21+1),0)-IF(AND(Projects!$G$21="Yes",BE$3&gt;=Projects!$C$21,BE$3&lt;Projects!$C$21+Projects!$D$21),Projects!$B$21*(Assumptions!$B$10+Assumptions!$B$11+Assumptions!$B$12)/Projects!$D$21*0.95,0)-IF(AND(Projects!$G$21="Yes",BE$3=Projects!$C$21+Projects!$D$21-1),Projects!$B$21*(Assumptions!$B$10+Assumptions!$B$11+Assumptions!$B$12)*0.05,0)</f>
        <v>0</v>
      </c>
      <c r="BF30" s="19" t="n">
        <f aca="false">IF(AND(Projects!$G$21="Yes",BF$3&gt;=Projects!$C$21,BF$3&lt;Projects!$C$21+Projects!$D$21),Projects!$B$21*INDEX(Curves!$B$4:$AR$4,1,BF$3-Projects!$C$21+1),0)-IF(AND(Projects!$G$21="Yes",BF$3&gt;=Projects!$C$21,BF$3&lt;Projects!$C$21+Projects!$D$21),Projects!$B$21*(Assumptions!$B$10+Assumptions!$B$11+Assumptions!$B$12)/Projects!$D$21*0.95,0)-IF(AND(Projects!$G$21="Yes",BF$3=Projects!$C$21+Projects!$D$21-1),Projects!$B$21*(Assumptions!$B$10+Assumptions!$B$11+Assumptions!$B$12)*0.05,0)</f>
        <v>0</v>
      </c>
      <c r="BG30" s="19" t="n">
        <f aca="false">IF(AND(Projects!$G$21="Yes",BG$3&gt;=Projects!$C$21,BG$3&lt;Projects!$C$21+Projects!$D$21),Projects!$B$21*INDEX(Curves!$B$4:$AR$4,1,BG$3-Projects!$C$21+1),0)-IF(AND(Projects!$G$21="Yes",BG$3&gt;=Projects!$C$21,BG$3&lt;Projects!$C$21+Projects!$D$21),Projects!$B$21*(Assumptions!$B$10+Assumptions!$B$11+Assumptions!$B$12)/Projects!$D$21*0.95,0)-IF(AND(Projects!$G$21="Yes",BG$3=Projects!$C$21+Projects!$D$21-1),Projects!$B$21*(Assumptions!$B$10+Assumptions!$B$11+Assumptions!$B$12)*0.05,0)</f>
        <v>0</v>
      </c>
      <c r="BH30" s="19" t="n">
        <f aca="false">IF(AND(Projects!$G$21="Yes",BH$3&gt;=Projects!$C$21,BH$3&lt;Projects!$C$21+Projects!$D$21),Projects!$B$21*INDEX(Curves!$B$4:$AR$4,1,BH$3-Projects!$C$21+1),0)-IF(AND(Projects!$G$21="Yes",BH$3&gt;=Projects!$C$21,BH$3&lt;Projects!$C$21+Projects!$D$21),Projects!$B$21*(Assumptions!$B$10+Assumptions!$B$11+Assumptions!$B$12)/Projects!$D$21*0.95,0)-IF(AND(Projects!$G$21="Yes",BH$3=Projects!$C$21+Projects!$D$21-1),Projects!$B$21*(Assumptions!$B$10+Assumptions!$B$11+Assumptions!$B$12)*0.05,0)</f>
        <v>0</v>
      </c>
      <c r="BI30" s="19" t="n">
        <f aca="false">IF(AND(Projects!$G$21="Yes",BI$3&gt;=Projects!$C$21,BI$3&lt;Projects!$C$21+Projects!$D$21),Projects!$B$21*INDEX(Curves!$B$4:$AR$4,1,BI$3-Projects!$C$21+1),0)-IF(AND(Projects!$G$21="Yes",BI$3&gt;=Projects!$C$21,BI$3&lt;Projects!$C$21+Projects!$D$21),Projects!$B$21*(Assumptions!$B$10+Assumptions!$B$11+Assumptions!$B$12)/Projects!$D$21*0.95,0)-IF(AND(Projects!$G$21="Yes",BI$3=Projects!$C$21+Projects!$D$21-1),Projects!$B$21*(Assumptions!$B$10+Assumptions!$B$11+Assumptions!$B$12)*0.05,0)</f>
        <v>0</v>
      </c>
      <c r="BJ30" s="19" t="n">
        <f aca="false">IF(AND(Projects!$G$21="Yes",BJ$3&gt;=Projects!$C$21,BJ$3&lt;Projects!$C$21+Projects!$D$21),Projects!$B$21*INDEX(Curves!$B$4:$AR$4,1,BJ$3-Projects!$C$21+1),0)-IF(AND(Projects!$G$21="Yes",BJ$3&gt;=Projects!$C$21,BJ$3&lt;Projects!$C$21+Projects!$D$21),Projects!$B$21*(Assumptions!$B$10+Assumptions!$B$11+Assumptions!$B$12)/Projects!$D$21*0.95,0)-IF(AND(Projects!$G$21="Yes",BJ$3=Projects!$C$21+Projects!$D$21-1),Projects!$B$21*(Assumptions!$B$10+Assumptions!$B$11+Assumptions!$B$12)*0.05,0)</f>
        <v>0</v>
      </c>
      <c r="BK30" s="19" t="n">
        <f aca="false">IF(AND(Projects!$G$21="Yes",BK$3&gt;=Projects!$C$21,BK$3&lt;Projects!$C$21+Projects!$D$21),Projects!$B$21*INDEX(Curves!$B$4:$AR$4,1,BK$3-Projects!$C$21+1),0)-IF(AND(Projects!$G$21="Yes",BK$3&gt;=Projects!$C$21,BK$3&lt;Projects!$C$21+Projects!$D$21),Projects!$B$21*(Assumptions!$B$10+Assumptions!$B$11+Assumptions!$B$12)/Projects!$D$21*0.95,0)-IF(AND(Projects!$G$21="Yes",BK$3=Projects!$C$21+Projects!$D$21-1),Projects!$B$21*(Assumptions!$B$10+Assumptions!$B$11+Assumptions!$B$12)*0.05,0)</f>
        <v>0</v>
      </c>
      <c r="BL30" s="19" t="n">
        <f aca="false">IF(AND(Projects!$G$21="Yes",BL$3&gt;=Projects!$C$21,BL$3&lt;Projects!$C$21+Projects!$D$21),Projects!$B$21*INDEX(Curves!$B$4:$AR$4,1,BL$3-Projects!$C$21+1),0)-IF(AND(Projects!$G$21="Yes",BL$3&gt;=Projects!$C$21,BL$3&lt;Projects!$C$21+Projects!$D$21),Projects!$B$21*(Assumptions!$B$10+Assumptions!$B$11+Assumptions!$B$12)/Projects!$D$21*0.95,0)-IF(AND(Projects!$G$21="Yes",BL$3=Projects!$C$21+Projects!$D$21-1),Projects!$B$21*(Assumptions!$B$10+Assumptions!$B$11+Assumptions!$B$12)*0.05,0)</f>
        <v>0</v>
      </c>
      <c r="BM30" s="19" t="n">
        <f aca="false">IF(AND(Projects!$G$21="Yes",BM$3&gt;=Projects!$C$21,BM$3&lt;Projects!$C$21+Projects!$D$21),Projects!$B$21*INDEX(Curves!$B$4:$AR$4,1,BM$3-Projects!$C$21+1),0)-IF(AND(Projects!$G$21="Yes",BM$3&gt;=Projects!$C$21,BM$3&lt;Projects!$C$21+Projects!$D$21),Projects!$B$21*(Assumptions!$B$10+Assumptions!$B$11+Assumptions!$B$12)/Projects!$D$21*0.95,0)-IF(AND(Projects!$G$21="Yes",BM$3=Projects!$C$21+Projects!$D$21-1),Projects!$B$21*(Assumptions!$B$10+Assumptions!$B$11+Assumptions!$B$12)*0.05,0)</f>
        <v>0</v>
      </c>
      <c r="BN30" s="19" t="n">
        <f aca="false">IF(AND(Projects!$G$21="Yes",BN$3&gt;=Projects!$C$21,BN$3&lt;Projects!$C$21+Projects!$D$21),Projects!$B$21*INDEX(Curves!$B$4:$AR$4,1,BN$3-Projects!$C$21+1),0)-IF(AND(Projects!$G$21="Yes",BN$3&gt;=Projects!$C$21,BN$3&lt;Projects!$C$21+Projects!$D$21),Projects!$B$21*(Assumptions!$B$10+Assumptions!$B$11+Assumptions!$B$12)/Projects!$D$21*0.95,0)-IF(AND(Projects!$G$21="Yes",BN$3=Projects!$C$21+Projects!$D$21-1),Projects!$B$21*(Assumptions!$B$10+Assumptions!$B$11+Assumptions!$B$12)*0.05,0)</f>
        <v>0</v>
      </c>
      <c r="BO30" s="19" t="n">
        <f aca="false">IF(AND(Projects!$G$21="Yes",BO$3&gt;=Projects!$C$21,BO$3&lt;Projects!$C$21+Projects!$D$21),Projects!$B$21*INDEX(Curves!$B$4:$AR$4,1,BO$3-Projects!$C$21+1),0)-IF(AND(Projects!$G$21="Yes",BO$3&gt;=Projects!$C$21,BO$3&lt;Projects!$C$21+Projects!$D$21),Projects!$B$21*(Assumptions!$B$10+Assumptions!$B$11+Assumptions!$B$12)/Projects!$D$21*0.95,0)-IF(AND(Projects!$G$21="Yes",BO$3=Projects!$C$21+Projects!$D$21-1),Projects!$B$21*(Assumptions!$B$10+Assumptions!$B$11+Assumptions!$B$12)*0.05,0)</f>
        <v>0</v>
      </c>
      <c r="BP30" s="19" t="n">
        <f aca="false">IF(AND(Projects!$G$21="Yes",BP$3&gt;=Projects!$C$21,BP$3&lt;Projects!$C$21+Projects!$D$21),Projects!$B$21*INDEX(Curves!$B$4:$AR$4,1,BP$3-Projects!$C$21+1),0)-IF(AND(Projects!$G$21="Yes",BP$3&gt;=Projects!$C$21,BP$3&lt;Projects!$C$21+Projects!$D$21),Projects!$B$21*(Assumptions!$B$10+Assumptions!$B$11+Assumptions!$B$12)/Projects!$D$21*0.95,0)-IF(AND(Projects!$G$21="Yes",BP$3=Projects!$C$21+Projects!$D$21-1),Projects!$B$21*(Assumptions!$B$10+Assumptions!$B$11+Assumptions!$B$12)*0.05,0)</f>
        <v>0</v>
      </c>
      <c r="BQ30" s="19" t="n">
        <f aca="false">IF(AND(Projects!$G$21="Yes",BQ$3&gt;=Projects!$C$21,BQ$3&lt;Projects!$C$21+Projects!$D$21),Projects!$B$21*INDEX(Curves!$B$4:$AR$4,1,BQ$3-Projects!$C$21+1),0)-IF(AND(Projects!$G$21="Yes",BQ$3&gt;=Projects!$C$21,BQ$3&lt;Projects!$C$21+Projects!$D$21),Projects!$B$21*(Assumptions!$B$10+Assumptions!$B$11+Assumptions!$B$12)/Projects!$D$21*0.95,0)-IF(AND(Projects!$G$21="Yes",BQ$3=Projects!$C$21+Projects!$D$21-1),Projects!$B$21*(Assumptions!$B$10+Assumptions!$B$11+Assumptions!$B$12)*0.05,0)</f>
        <v>0</v>
      </c>
      <c r="BR30" s="19" t="n">
        <f aca="false">IF(AND(Projects!$G$21="Yes",BR$3&gt;=Projects!$C$21,BR$3&lt;Projects!$C$21+Projects!$D$21),Projects!$B$21*INDEX(Curves!$B$4:$AR$4,1,BR$3-Projects!$C$21+1),0)-IF(AND(Projects!$G$21="Yes",BR$3&gt;=Projects!$C$21,BR$3&lt;Projects!$C$21+Projects!$D$21),Projects!$B$21*(Assumptions!$B$10+Assumptions!$B$11+Assumptions!$B$12)/Projects!$D$21*0.95,0)-IF(AND(Projects!$G$21="Yes",BR$3=Projects!$C$21+Projects!$D$21-1),Projects!$B$21*(Assumptions!$B$10+Assumptions!$B$11+Assumptions!$B$12)*0.05,0)</f>
        <v>0</v>
      </c>
      <c r="BS30" s="19" t="n">
        <f aca="false">IF(AND(Projects!$G$21="Yes",BS$3&gt;=Projects!$C$21,BS$3&lt;Projects!$C$21+Projects!$D$21),Projects!$B$21*INDEX(Curves!$B$4:$AR$4,1,BS$3-Projects!$C$21+1),0)-IF(AND(Projects!$G$21="Yes",BS$3&gt;=Projects!$C$21,BS$3&lt;Projects!$C$21+Projects!$D$21),Projects!$B$21*(Assumptions!$B$10+Assumptions!$B$11+Assumptions!$B$12)/Projects!$D$21*0.95,0)-IF(AND(Projects!$G$21="Yes",BS$3=Projects!$C$21+Projects!$D$21-1),Projects!$B$21*(Assumptions!$B$10+Assumptions!$B$11+Assumptions!$B$12)*0.05,0)</f>
        <v>0</v>
      </c>
      <c r="BT30" s="19" t="n">
        <f aca="false">IF(AND(Projects!$G$21="Yes",BT$3&gt;=Projects!$C$21,BT$3&lt;Projects!$C$21+Projects!$D$21),Projects!$B$21*INDEX(Curves!$B$4:$AR$4,1,BT$3-Projects!$C$21+1),0)-IF(AND(Projects!$G$21="Yes",BT$3&gt;=Projects!$C$21,BT$3&lt;Projects!$C$21+Projects!$D$21),Projects!$B$21*(Assumptions!$B$10+Assumptions!$B$11+Assumptions!$B$12)/Projects!$D$21*0.95,0)-IF(AND(Projects!$G$21="Yes",BT$3=Projects!$C$21+Projects!$D$21-1),Projects!$B$21*(Assumptions!$B$10+Assumptions!$B$11+Assumptions!$B$12)*0.05,0)</f>
        <v>0</v>
      </c>
      <c r="BU30" s="19" t="n">
        <f aca="false">IF(AND(Projects!$G$21="Yes",BU$3&gt;=Projects!$C$21,BU$3&lt;Projects!$C$21+Projects!$D$21),Projects!$B$21*INDEX(Curves!$B$4:$AR$4,1,BU$3-Projects!$C$21+1),0)-IF(AND(Projects!$G$21="Yes",BU$3&gt;=Projects!$C$21,BU$3&lt;Projects!$C$21+Projects!$D$21),Projects!$B$21*(Assumptions!$B$10+Assumptions!$B$11+Assumptions!$B$12)/Projects!$D$21*0.95,0)-IF(AND(Projects!$G$21="Yes",BU$3=Projects!$C$21+Projects!$D$21-1),Projects!$B$21*(Assumptions!$B$10+Assumptions!$B$11+Assumptions!$B$12)*0.05,0)</f>
        <v>0</v>
      </c>
      <c r="BV30" s="19" t="n">
        <f aca="false">IF(AND(Projects!$G$21="Yes",BV$3&gt;=Projects!$C$21,BV$3&lt;Projects!$C$21+Projects!$D$21),Projects!$B$21*INDEX(Curves!$B$4:$AR$4,1,BV$3-Projects!$C$21+1),0)-IF(AND(Projects!$G$21="Yes",BV$3&gt;=Projects!$C$21,BV$3&lt;Projects!$C$21+Projects!$D$21),Projects!$B$21*(Assumptions!$B$10+Assumptions!$B$11+Assumptions!$B$12)/Projects!$D$21*0.95,0)-IF(AND(Projects!$G$21="Yes",BV$3=Projects!$C$21+Projects!$D$21-1),Projects!$B$21*(Assumptions!$B$10+Assumptions!$B$11+Assumptions!$B$12)*0.05,0)</f>
        <v>0</v>
      </c>
      <c r="BW30" s="19" t="n">
        <f aca="false">IF(AND(Projects!$G$21="Yes",BW$3&gt;=Projects!$C$21,BW$3&lt;Projects!$C$21+Projects!$D$21),Projects!$B$21*INDEX(Curves!$B$4:$AR$4,1,BW$3-Projects!$C$21+1),0)-IF(AND(Projects!$G$21="Yes",BW$3&gt;=Projects!$C$21,BW$3&lt;Projects!$C$21+Projects!$D$21),Projects!$B$21*(Assumptions!$B$10+Assumptions!$B$11+Assumptions!$B$12)/Projects!$D$21*0.95,0)-IF(AND(Projects!$G$21="Yes",BW$3=Projects!$C$21+Projects!$D$21-1),Projects!$B$21*(Assumptions!$B$10+Assumptions!$B$11+Assumptions!$B$12)*0.05,0)</f>
        <v>0</v>
      </c>
      <c r="BX30" s="19" t="n">
        <f aca="false">IF(AND(Projects!$G$21="Yes",BX$3&gt;=Projects!$C$21,BX$3&lt;Projects!$C$21+Projects!$D$21),Projects!$B$21*INDEX(Curves!$B$4:$AR$4,1,BX$3-Projects!$C$21+1),0)-IF(AND(Projects!$G$21="Yes",BX$3&gt;=Projects!$C$21,BX$3&lt;Projects!$C$21+Projects!$D$21),Projects!$B$21*(Assumptions!$B$10+Assumptions!$B$11+Assumptions!$B$12)/Projects!$D$21*0.95,0)-IF(AND(Projects!$G$21="Yes",BX$3=Projects!$C$21+Projects!$D$21-1),Projects!$B$21*(Assumptions!$B$10+Assumptions!$B$11+Assumptions!$B$12)*0.05,0)</f>
        <v>0</v>
      </c>
      <c r="BY30" s="19" t="n">
        <f aca="false">IF(AND(Projects!$G$21="Yes",BY$3&gt;=Projects!$C$21,BY$3&lt;Projects!$C$21+Projects!$D$21),Projects!$B$21*INDEX(Curves!$B$4:$AR$4,1,BY$3-Projects!$C$21+1),0)-IF(AND(Projects!$G$21="Yes",BY$3&gt;=Projects!$C$21,BY$3&lt;Projects!$C$21+Projects!$D$21),Projects!$B$21*(Assumptions!$B$10+Assumptions!$B$11+Assumptions!$B$12)/Projects!$D$21*0.95,0)-IF(AND(Projects!$G$21="Yes",BY$3=Projects!$C$21+Projects!$D$21-1),Projects!$B$21*(Assumptions!$B$10+Assumptions!$B$11+Assumptions!$B$12)*0.05,0)</f>
        <v>0</v>
      </c>
      <c r="BZ30" s="19" t="n">
        <f aca="false">IF(AND(Projects!$G$21="Yes",BZ$3&gt;=Projects!$C$21,BZ$3&lt;Projects!$C$21+Projects!$D$21),Projects!$B$21*INDEX(Curves!$B$4:$AR$4,1,BZ$3-Projects!$C$21+1),0)-IF(AND(Projects!$G$21="Yes",BZ$3&gt;=Projects!$C$21,BZ$3&lt;Projects!$C$21+Projects!$D$21),Projects!$B$21*(Assumptions!$B$10+Assumptions!$B$11+Assumptions!$B$12)/Projects!$D$21*0.95,0)-IF(AND(Projects!$G$21="Yes",BZ$3=Projects!$C$21+Projects!$D$21-1),Projects!$B$21*(Assumptions!$B$10+Assumptions!$B$11+Assumptions!$B$12)*0.05,0)</f>
        <v>0</v>
      </c>
      <c r="CA30" s="19" t="n">
        <f aca="false">IF(AND(Projects!$G$21="Yes",CA$3&gt;=Projects!$C$21,CA$3&lt;Projects!$C$21+Projects!$D$21),Projects!$B$21*INDEX(Curves!$B$4:$AR$4,1,CA$3-Projects!$C$21+1),0)-IF(AND(Projects!$G$21="Yes",CA$3&gt;=Projects!$C$21,CA$3&lt;Projects!$C$21+Projects!$D$21),Projects!$B$21*(Assumptions!$B$10+Assumptions!$B$11+Assumptions!$B$12)/Projects!$D$21*0.95,0)-IF(AND(Projects!$G$21="Yes",CA$3=Projects!$C$21+Projects!$D$21-1),Projects!$B$21*(Assumptions!$B$10+Assumptions!$B$11+Assumptions!$B$12)*0.05,0)</f>
        <v>0</v>
      </c>
      <c r="CB30" s="19" t="n">
        <f aca="false">IF(AND(Projects!$G$21="Yes",CB$3&gt;=Projects!$C$21,CB$3&lt;Projects!$C$21+Projects!$D$21),Projects!$B$21*INDEX(Curves!$B$4:$AR$4,1,CB$3-Projects!$C$21+1),0)-IF(AND(Projects!$G$21="Yes",CB$3&gt;=Projects!$C$21,CB$3&lt;Projects!$C$21+Projects!$D$21),Projects!$B$21*(Assumptions!$B$10+Assumptions!$B$11+Assumptions!$B$12)/Projects!$D$21*0.95,0)-IF(AND(Projects!$G$21="Yes",CB$3=Projects!$C$21+Projects!$D$21-1),Projects!$B$21*(Assumptions!$B$10+Assumptions!$B$11+Assumptions!$B$12)*0.05,0)</f>
        <v>0</v>
      </c>
      <c r="CC30" s="19" t="n">
        <f aca="false">IF(AND(Projects!$G$21="Yes",CC$3&gt;=Projects!$C$21,CC$3&lt;Projects!$C$21+Projects!$D$21),Projects!$B$21*INDEX(Curves!$B$4:$AR$4,1,CC$3-Projects!$C$21+1),0)-IF(AND(Projects!$G$21="Yes",CC$3&gt;=Projects!$C$21,CC$3&lt;Projects!$C$21+Projects!$D$21),Projects!$B$21*(Assumptions!$B$10+Assumptions!$B$11+Assumptions!$B$12)/Projects!$D$21*0.95,0)-IF(AND(Projects!$G$21="Yes",CC$3=Projects!$C$21+Projects!$D$21-1),Projects!$B$21*(Assumptions!$B$10+Assumptions!$B$11+Assumptions!$B$12)*0.05,0)</f>
        <v>0</v>
      </c>
      <c r="CD30" s="19" t="n">
        <f aca="false">IF(AND(Projects!$G$21="Yes",CD$3&gt;=Projects!$C$21,CD$3&lt;Projects!$C$21+Projects!$D$21),Projects!$B$21*INDEX(Curves!$B$4:$AR$4,1,CD$3-Projects!$C$21+1),0)-IF(AND(Projects!$G$21="Yes",CD$3&gt;=Projects!$C$21,CD$3&lt;Projects!$C$21+Projects!$D$21),Projects!$B$21*(Assumptions!$B$10+Assumptions!$B$11+Assumptions!$B$12)/Projects!$D$21*0.95,0)-IF(AND(Projects!$G$21="Yes",CD$3=Projects!$C$21+Projects!$D$21-1),Projects!$B$21*(Assumptions!$B$10+Assumptions!$B$11+Assumptions!$B$12)*0.05,0)</f>
        <v>0</v>
      </c>
      <c r="CE30" s="19" t="n">
        <f aca="false">IF(AND(Projects!$G$21="Yes",CE$3&gt;=Projects!$C$21,CE$3&lt;Projects!$C$21+Projects!$D$21),Projects!$B$21*INDEX(Curves!$B$4:$AR$4,1,CE$3-Projects!$C$21+1),0)-IF(AND(Projects!$G$21="Yes",CE$3&gt;=Projects!$C$21,CE$3&lt;Projects!$C$21+Projects!$D$21),Projects!$B$21*(Assumptions!$B$10+Assumptions!$B$11+Assumptions!$B$12)/Projects!$D$21*0.95,0)-IF(AND(Projects!$G$21="Yes",CE$3=Projects!$C$21+Projects!$D$21-1),Projects!$B$21*(Assumptions!$B$10+Assumptions!$B$11+Assumptions!$B$12)*0.05,0)</f>
        <v>0</v>
      </c>
      <c r="CF30" s="19" t="n">
        <f aca="false">IF(AND(Projects!$G$21="Yes",CF$3&gt;=Projects!$C$21,CF$3&lt;Projects!$C$21+Projects!$D$21),Projects!$B$21*INDEX(Curves!$B$4:$AR$4,1,CF$3-Projects!$C$21+1),0)-IF(AND(Projects!$G$21="Yes",CF$3&gt;=Projects!$C$21,CF$3&lt;Projects!$C$21+Projects!$D$21),Projects!$B$21*(Assumptions!$B$10+Assumptions!$B$11+Assumptions!$B$12)/Projects!$D$21*0.95,0)-IF(AND(Projects!$G$21="Yes",CF$3=Projects!$C$21+Projects!$D$21-1),Projects!$B$21*(Assumptions!$B$10+Assumptions!$B$11+Assumptions!$B$12)*0.05,0)</f>
        <v>0</v>
      </c>
      <c r="CG30" s="19" t="n">
        <f aca="false">IF(AND(Projects!$G$21="Yes",CG$3&gt;=Projects!$C$21,CG$3&lt;Projects!$C$21+Projects!$D$21),Projects!$B$21*INDEX(Curves!$B$4:$AR$4,1,CG$3-Projects!$C$21+1),0)-IF(AND(Projects!$G$21="Yes",CG$3&gt;=Projects!$C$21,CG$3&lt;Projects!$C$21+Projects!$D$21),Projects!$B$21*(Assumptions!$B$10+Assumptions!$B$11+Assumptions!$B$12)/Projects!$D$21*0.95,0)-IF(AND(Projects!$G$21="Yes",CG$3=Projects!$C$21+Projects!$D$21-1),Projects!$B$21*(Assumptions!$B$10+Assumptions!$B$11+Assumptions!$B$12)*0.05,0)</f>
        <v>0</v>
      </c>
      <c r="CH30" s="19" t="n">
        <f aca="false">IF(AND(Projects!$G$21="Yes",CH$3&gt;=Projects!$C$21,CH$3&lt;Projects!$C$21+Projects!$D$21),Projects!$B$21*INDEX(Curves!$B$4:$AR$4,1,CH$3-Projects!$C$21+1),0)-IF(AND(Projects!$G$21="Yes",CH$3&gt;=Projects!$C$21,CH$3&lt;Projects!$C$21+Projects!$D$21),Projects!$B$21*(Assumptions!$B$10+Assumptions!$B$11+Assumptions!$B$12)/Projects!$D$21*0.95,0)-IF(AND(Projects!$G$21="Yes",CH$3=Projects!$C$21+Projects!$D$21-1),Projects!$B$21*(Assumptions!$B$10+Assumptions!$B$11+Assumptions!$B$12)*0.05,0)</f>
        <v>0</v>
      </c>
      <c r="CI30" s="19" t="n">
        <f aca="false">IF(AND(Projects!$G$21="Yes",CI$3&gt;=Projects!$C$21,CI$3&lt;Projects!$C$21+Projects!$D$21),Projects!$B$21*INDEX(Curves!$B$4:$AR$4,1,CI$3-Projects!$C$21+1),0)-IF(AND(Projects!$G$21="Yes",CI$3&gt;=Projects!$C$21,CI$3&lt;Projects!$C$21+Projects!$D$21),Projects!$B$21*(Assumptions!$B$10+Assumptions!$B$11+Assumptions!$B$12)/Projects!$D$21*0.95,0)-IF(AND(Projects!$G$21="Yes",CI$3=Projects!$C$21+Projects!$D$21-1),Projects!$B$21*(Assumptions!$B$10+Assumptions!$B$11+Assumptions!$B$12)*0.05,0)</f>
        <v>0</v>
      </c>
      <c r="CJ30" s="19" t="n">
        <f aca="false">IF(AND(Projects!$G$21="Yes",CJ$3&gt;=Projects!$C$21,CJ$3&lt;Projects!$C$21+Projects!$D$21),Projects!$B$21*INDEX(Curves!$B$4:$AR$4,1,CJ$3-Projects!$C$21+1),0)-IF(AND(Projects!$G$21="Yes",CJ$3&gt;=Projects!$C$21,CJ$3&lt;Projects!$C$21+Projects!$D$21),Projects!$B$21*(Assumptions!$B$10+Assumptions!$B$11+Assumptions!$B$12)/Projects!$D$21*0.95,0)-IF(AND(Projects!$G$21="Yes",CJ$3=Projects!$C$21+Projects!$D$21-1),Projects!$B$21*(Assumptions!$B$10+Assumptions!$B$11+Assumptions!$B$12)*0.05,0)</f>
        <v>0</v>
      </c>
      <c r="CK30" s="19" t="n">
        <f aca="false">IF(AND(Projects!$G$21="Yes",CK$3&gt;=Projects!$C$21,CK$3&lt;Projects!$C$21+Projects!$D$21),Projects!$B$21*INDEX(Curves!$B$4:$AR$4,1,CK$3-Projects!$C$21+1),0)-IF(AND(Projects!$G$21="Yes",CK$3&gt;=Projects!$C$21,CK$3&lt;Projects!$C$21+Projects!$D$21),Projects!$B$21*(Assumptions!$B$10+Assumptions!$B$11+Assumptions!$B$12)/Projects!$D$21*0.95,0)-IF(AND(Projects!$G$21="Yes",CK$3=Projects!$C$21+Projects!$D$21-1),Projects!$B$21*(Assumptions!$B$10+Assumptions!$B$11+Assumptions!$B$12)*0.05,0)</f>
        <v>0</v>
      </c>
      <c r="CL30" s="19" t="n">
        <f aca="false">IF(AND(Projects!$G$21="Yes",CL$3&gt;=Projects!$C$21,CL$3&lt;Projects!$C$21+Projects!$D$21),Projects!$B$21*INDEX(Curves!$B$4:$AR$4,1,CL$3-Projects!$C$21+1),0)-IF(AND(Projects!$G$21="Yes",CL$3&gt;=Projects!$C$21,CL$3&lt;Projects!$C$21+Projects!$D$21),Projects!$B$21*(Assumptions!$B$10+Assumptions!$B$11+Assumptions!$B$12)/Projects!$D$21*0.95,0)-IF(AND(Projects!$G$21="Yes",CL$3=Projects!$C$21+Projects!$D$21-1),Projects!$B$21*(Assumptions!$B$10+Assumptions!$B$11+Assumptions!$B$12)*0.05,0)</f>
        <v>0</v>
      </c>
      <c r="CM30" s="19" t="n">
        <f aca="false">IF(AND(Projects!$G$21="Yes",CM$3&gt;=Projects!$C$21,CM$3&lt;Projects!$C$21+Projects!$D$21),Projects!$B$21*INDEX(Curves!$B$4:$AR$4,1,CM$3-Projects!$C$21+1),0)-IF(AND(Projects!$G$21="Yes",CM$3&gt;=Projects!$C$21,CM$3&lt;Projects!$C$21+Projects!$D$21),Projects!$B$21*(Assumptions!$B$10+Assumptions!$B$11+Assumptions!$B$12)/Projects!$D$21*0.95,0)-IF(AND(Projects!$G$21="Yes",CM$3=Projects!$C$21+Projects!$D$21-1),Projects!$B$21*(Assumptions!$B$10+Assumptions!$B$11+Assumptions!$B$12)*0.05,0)</f>
        <v>0</v>
      </c>
      <c r="CN30" s="19" t="n">
        <f aca="false">IF(AND(Projects!$G$21="Yes",CN$3&gt;=Projects!$C$21,CN$3&lt;Projects!$C$21+Projects!$D$21),Projects!$B$21*INDEX(Curves!$B$4:$AR$4,1,CN$3-Projects!$C$21+1),0)-IF(AND(Projects!$G$21="Yes",CN$3&gt;=Projects!$C$21,CN$3&lt;Projects!$C$21+Projects!$D$21),Projects!$B$21*(Assumptions!$B$10+Assumptions!$B$11+Assumptions!$B$12)/Projects!$D$21*0.95,0)-IF(AND(Projects!$G$21="Yes",CN$3=Projects!$C$21+Projects!$D$21-1),Projects!$B$21*(Assumptions!$B$10+Assumptions!$B$11+Assumptions!$B$12)*0.05,0)</f>
        <v>0</v>
      </c>
      <c r="CO30" s="19" t="n">
        <f aca="false">IF(AND(Projects!$G$21="Yes",CO$3&gt;=Projects!$C$21,CO$3&lt;Projects!$C$21+Projects!$D$21),Projects!$B$21*INDEX(Curves!$B$4:$AR$4,1,CO$3-Projects!$C$21+1),0)-IF(AND(Projects!$G$21="Yes",CO$3&gt;=Projects!$C$21,CO$3&lt;Projects!$C$21+Projects!$D$21),Projects!$B$21*(Assumptions!$B$10+Assumptions!$B$11+Assumptions!$B$12)/Projects!$D$21*0.95,0)-IF(AND(Projects!$G$21="Yes",CO$3=Projects!$C$21+Projects!$D$21-1),Projects!$B$21*(Assumptions!$B$10+Assumptions!$B$11+Assumptions!$B$12)*0.05,0)</f>
        <v>0</v>
      </c>
      <c r="CP30" s="19" t="n">
        <f aca="false">IF(AND(Projects!$G$21="Yes",CP$3&gt;=Projects!$C$21,CP$3&lt;Projects!$C$21+Projects!$D$21),Projects!$B$21*INDEX(Curves!$B$4:$AR$4,1,CP$3-Projects!$C$21+1),0)-IF(AND(Projects!$G$21="Yes",CP$3&gt;=Projects!$C$21,CP$3&lt;Projects!$C$21+Projects!$D$21),Projects!$B$21*(Assumptions!$B$10+Assumptions!$B$11+Assumptions!$B$12)/Projects!$D$21*0.95,0)-IF(AND(Projects!$G$21="Yes",CP$3=Projects!$C$21+Projects!$D$21-1),Projects!$B$21*(Assumptions!$B$10+Assumptions!$B$11+Assumptions!$B$12)*0.05,0)</f>
        <v>0</v>
      </c>
      <c r="CQ30" s="19" t="n">
        <f aca="false">IF(AND(Projects!$G$21="Yes",CQ$3&gt;=Projects!$C$21,CQ$3&lt;Projects!$C$21+Projects!$D$21),Projects!$B$21*INDEX(Curves!$B$4:$AR$4,1,CQ$3-Projects!$C$21+1),0)-IF(AND(Projects!$G$21="Yes",CQ$3&gt;=Projects!$C$21,CQ$3&lt;Projects!$C$21+Projects!$D$21),Projects!$B$21*(Assumptions!$B$10+Assumptions!$B$11+Assumptions!$B$12)/Projects!$D$21*0.95,0)-IF(AND(Projects!$G$21="Yes",CQ$3=Projects!$C$21+Projects!$D$21-1),Projects!$B$21*(Assumptions!$B$10+Assumptions!$B$11+Assumptions!$B$12)*0.05,0)</f>
        <v>0</v>
      </c>
      <c r="CR30" s="19" t="n">
        <f aca="false">IF(AND(Projects!$G$21="Yes",CR$3&gt;=Projects!$C$21,CR$3&lt;Projects!$C$21+Projects!$D$21),Projects!$B$21*INDEX(Curves!$B$4:$AR$4,1,CR$3-Projects!$C$21+1),0)-IF(AND(Projects!$G$21="Yes",CR$3&gt;=Projects!$C$21,CR$3&lt;Projects!$C$21+Projects!$D$21),Projects!$B$21*(Assumptions!$B$10+Assumptions!$B$11+Assumptions!$B$12)/Projects!$D$21*0.95,0)-IF(AND(Projects!$G$21="Yes",CR$3=Projects!$C$21+Projects!$D$21-1),Projects!$B$21*(Assumptions!$B$10+Assumptions!$B$11+Assumptions!$B$12)*0.05,0)</f>
        <v>0</v>
      </c>
      <c r="CS30" s="19" t="n">
        <f aca="false">IF(AND(Projects!$G$21="Yes",CS$3&gt;=Projects!$C$21,CS$3&lt;Projects!$C$21+Projects!$D$21),Projects!$B$21*INDEX(Curves!$B$4:$AR$4,1,CS$3-Projects!$C$21+1),0)-IF(AND(Projects!$G$21="Yes",CS$3&gt;=Projects!$C$21,CS$3&lt;Projects!$C$21+Projects!$D$21),Projects!$B$21*(Assumptions!$B$10+Assumptions!$B$11+Assumptions!$B$12)/Projects!$D$21*0.95,0)-IF(AND(Projects!$G$21="Yes",CS$3=Projects!$C$21+Projects!$D$21-1),Projects!$B$21*(Assumptions!$B$10+Assumptions!$B$11+Assumptions!$B$12)*0.05,0)</f>
        <v>0</v>
      </c>
      <c r="CT30" s="19" t="n">
        <f aca="false">IF(AND(Projects!$G$21="Yes",CT$3&gt;=Projects!$C$21,CT$3&lt;Projects!$C$21+Projects!$D$21),Projects!$B$21*INDEX(Curves!$B$4:$AR$4,1,CT$3-Projects!$C$21+1),0)-IF(AND(Projects!$G$21="Yes",CT$3&gt;=Projects!$C$21,CT$3&lt;Projects!$C$21+Projects!$D$21),Projects!$B$21*(Assumptions!$B$10+Assumptions!$B$11+Assumptions!$B$12)/Projects!$D$21*0.95,0)-IF(AND(Projects!$G$21="Yes",CT$3=Projects!$C$21+Projects!$D$21-1),Projects!$B$21*(Assumptions!$B$10+Assumptions!$B$11+Assumptions!$B$12)*0.05,0)</f>
        <v>0</v>
      </c>
      <c r="CU30" s="19" t="n">
        <f aca="false">IF(AND(Projects!$G$21="Yes",CU$3&gt;=Projects!$C$21,CU$3&lt;Projects!$C$21+Projects!$D$21),Projects!$B$21*INDEX(Curves!$B$4:$AR$4,1,CU$3-Projects!$C$21+1),0)-IF(AND(Projects!$G$21="Yes",CU$3&gt;=Projects!$C$21,CU$3&lt;Projects!$C$21+Projects!$D$21),Projects!$B$21*(Assumptions!$B$10+Assumptions!$B$11+Assumptions!$B$12)/Projects!$D$21*0.95,0)-IF(AND(Projects!$G$21="Yes",CU$3=Projects!$C$21+Projects!$D$21-1),Projects!$B$21*(Assumptions!$B$10+Assumptions!$B$11+Assumptions!$B$12)*0.05,0)</f>
        <v>0</v>
      </c>
      <c r="CV30" s="19" t="n">
        <f aca="false">IF(AND(Projects!$G$21="Yes",CV$3&gt;=Projects!$C$21,CV$3&lt;Projects!$C$21+Projects!$D$21),Projects!$B$21*INDEX(Curves!$B$4:$AR$4,1,CV$3-Projects!$C$21+1),0)-IF(AND(Projects!$G$21="Yes",CV$3&gt;=Projects!$C$21,CV$3&lt;Projects!$C$21+Projects!$D$21),Projects!$B$21*(Assumptions!$B$10+Assumptions!$B$11+Assumptions!$B$12)/Projects!$D$21*0.95,0)-IF(AND(Projects!$G$21="Yes",CV$3=Projects!$C$21+Projects!$D$21-1),Projects!$B$21*(Assumptions!$B$10+Assumptions!$B$11+Assumptions!$B$12)*0.05,0)</f>
        <v>0</v>
      </c>
      <c r="CW30" s="19" t="n">
        <f aca="false">IF(AND(Projects!$G$21="Yes",CW$3&gt;=Projects!$C$21,CW$3&lt;Projects!$C$21+Projects!$D$21),Projects!$B$21*INDEX(Curves!$B$4:$AR$4,1,CW$3-Projects!$C$21+1),0)-IF(AND(Projects!$G$21="Yes",CW$3&gt;=Projects!$C$21,CW$3&lt;Projects!$C$21+Projects!$D$21),Projects!$B$21*(Assumptions!$B$10+Assumptions!$B$11+Assumptions!$B$12)/Projects!$D$21*0.95,0)-IF(AND(Projects!$G$21="Yes",CW$3=Projects!$C$21+Projects!$D$21-1),Projects!$B$21*(Assumptions!$B$10+Assumptions!$B$11+Assumptions!$B$12)*0.05,0)</f>
        <v>0</v>
      </c>
      <c r="CX30" s="19" t="n">
        <f aca="false">IF(AND(Projects!$G$21="Yes",CX$3&gt;=Projects!$C$21,CX$3&lt;Projects!$C$21+Projects!$D$21),Projects!$B$21*INDEX(Curves!$B$4:$AR$4,1,CX$3-Projects!$C$21+1),0)-IF(AND(Projects!$G$21="Yes",CX$3&gt;=Projects!$C$21,CX$3&lt;Projects!$C$21+Projects!$D$21),Projects!$B$21*(Assumptions!$B$10+Assumptions!$B$11+Assumptions!$B$12)/Projects!$D$21*0.95,0)-IF(AND(Projects!$G$21="Yes",CX$3=Projects!$C$21+Projects!$D$21-1),Projects!$B$21*(Assumptions!$B$10+Assumptions!$B$11+Assumptions!$B$12)*0.05,0)</f>
        <v>0</v>
      </c>
      <c r="CY30" s="19" t="n">
        <f aca="false">IF(AND(Projects!$G$21="Yes",CY$3&gt;=Projects!$C$21,CY$3&lt;Projects!$C$21+Projects!$D$21),Projects!$B$21*INDEX(Curves!$B$4:$AR$4,1,CY$3-Projects!$C$21+1),0)-IF(AND(Projects!$G$21="Yes",CY$3&gt;=Projects!$C$21,CY$3&lt;Projects!$C$21+Projects!$D$21),Projects!$B$21*(Assumptions!$B$10+Assumptions!$B$11+Assumptions!$B$12)/Projects!$D$21*0.95,0)-IF(AND(Projects!$G$21="Yes",CY$3=Projects!$C$21+Projects!$D$21-1),Projects!$B$21*(Assumptions!$B$10+Assumptions!$B$11+Assumptions!$B$12)*0.05,0)</f>
        <v>0</v>
      </c>
      <c r="CZ30" s="19" t="n">
        <f aca="false">IF(AND(Projects!$G$21="Yes",CZ$3&gt;=Projects!$C$21,CZ$3&lt;Projects!$C$21+Projects!$D$21),Projects!$B$21*INDEX(Curves!$B$4:$AR$4,1,CZ$3-Projects!$C$21+1),0)-IF(AND(Projects!$G$21="Yes",CZ$3&gt;=Projects!$C$21,CZ$3&lt;Projects!$C$21+Projects!$D$21),Projects!$B$21*(Assumptions!$B$10+Assumptions!$B$11+Assumptions!$B$12)/Projects!$D$21*0.95,0)-IF(AND(Projects!$G$21="Yes",CZ$3=Projects!$C$21+Projects!$D$21-1),Projects!$B$21*(Assumptions!$B$10+Assumptions!$B$11+Assumptions!$B$12)*0.05,0)</f>
        <v>0</v>
      </c>
      <c r="DA30" s="19" t="n">
        <f aca="false">IF(AND(Projects!$G$21="Yes",DA$3&gt;=Projects!$C$21,DA$3&lt;Projects!$C$21+Projects!$D$21),Projects!$B$21*INDEX(Curves!$B$4:$AR$4,1,DA$3-Projects!$C$21+1),0)-IF(AND(Projects!$G$21="Yes",DA$3&gt;=Projects!$C$21,DA$3&lt;Projects!$C$21+Projects!$D$21),Projects!$B$21*(Assumptions!$B$10+Assumptions!$B$11+Assumptions!$B$12)/Projects!$D$21*0.95,0)-IF(AND(Projects!$G$21="Yes",DA$3=Projects!$C$21+Projects!$D$21-1),Projects!$B$21*(Assumptions!$B$10+Assumptions!$B$11+Assumptions!$B$12)*0.05,0)</f>
        <v>0</v>
      </c>
      <c r="DB30" s="19" t="n">
        <f aca="false">IF(AND(Projects!$G$21="Yes",DB$3&gt;=Projects!$C$21,DB$3&lt;Projects!$C$21+Projects!$D$21),Projects!$B$21*INDEX(Curves!$B$4:$AR$4,1,DB$3-Projects!$C$21+1),0)-IF(AND(Projects!$G$21="Yes",DB$3&gt;=Projects!$C$21,DB$3&lt;Projects!$C$21+Projects!$D$21),Projects!$B$21*(Assumptions!$B$10+Assumptions!$B$11+Assumptions!$B$12)/Projects!$D$21*0.95,0)-IF(AND(Projects!$G$21="Yes",DB$3=Projects!$C$21+Projects!$D$21-1),Projects!$B$21*(Assumptions!$B$10+Assumptions!$B$11+Assumptions!$B$12)*0.05,0)</f>
        <v>0</v>
      </c>
      <c r="DC30" s="19" t="n">
        <f aca="false">IF(AND(Projects!$G$21="Yes",DC$3&gt;=Projects!$C$21,DC$3&lt;Projects!$C$21+Projects!$D$21),Projects!$B$21*INDEX(Curves!$B$4:$AR$4,1,DC$3-Projects!$C$21+1),0)-IF(AND(Projects!$G$21="Yes",DC$3&gt;=Projects!$C$21,DC$3&lt;Projects!$C$21+Projects!$D$21),Projects!$B$21*(Assumptions!$B$10+Assumptions!$B$11+Assumptions!$B$12)/Projects!$D$21*0.95,0)-IF(AND(Projects!$G$21="Yes",DC$3=Projects!$C$21+Projects!$D$21-1),Projects!$B$21*(Assumptions!$B$10+Assumptions!$B$11+Assumptions!$B$12)*0.05,0)</f>
        <v>0</v>
      </c>
      <c r="DD30" s="19" t="n">
        <f aca="false">IF(AND(Projects!$G$21="Yes",DD$3&gt;=Projects!$C$21,DD$3&lt;Projects!$C$21+Projects!$D$21),Projects!$B$21*INDEX(Curves!$B$4:$AR$4,1,DD$3-Projects!$C$21+1),0)-IF(AND(Projects!$G$21="Yes",DD$3&gt;=Projects!$C$21,DD$3&lt;Projects!$C$21+Projects!$D$21),Projects!$B$21*(Assumptions!$B$10+Assumptions!$B$11+Assumptions!$B$12)/Projects!$D$21*0.95,0)-IF(AND(Projects!$G$21="Yes",DD$3=Projects!$C$21+Projects!$D$21-1),Projects!$B$21*(Assumptions!$B$10+Assumptions!$B$11+Assumptions!$B$12)*0.05,0)</f>
        <v>0</v>
      </c>
      <c r="DE30" s="19" t="n">
        <f aca="false">IF(AND(Projects!$G$21="Yes",DE$3&gt;=Projects!$C$21,DE$3&lt;Projects!$C$21+Projects!$D$21),Projects!$B$21*INDEX(Curves!$B$4:$AR$4,1,DE$3-Projects!$C$21+1),0)-IF(AND(Projects!$G$21="Yes",DE$3&gt;=Projects!$C$21,DE$3&lt;Projects!$C$21+Projects!$D$21),Projects!$B$21*(Assumptions!$B$10+Assumptions!$B$11+Assumptions!$B$12)/Projects!$D$21*0.95,0)-IF(AND(Projects!$G$21="Yes",DE$3=Projects!$C$21+Projects!$D$21-1),Projects!$B$21*(Assumptions!$B$10+Assumptions!$B$11+Assumptions!$B$12)*0.05,0)</f>
        <v>0</v>
      </c>
    </row>
    <row r="31" customFormat="false" ht="15" hidden="true" customHeight="true" outlineLevel="1" collapsed="false">
      <c r="A31" s="28" t="s">
        <v>25</v>
      </c>
      <c r="B31" s="19" t="n">
        <v>0</v>
      </c>
      <c r="C31" s="19" t="n">
        <v>0</v>
      </c>
      <c r="D31" s="19" t="n">
        <v>0</v>
      </c>
      <c r="E31" s="19" t="n">
        <v>0</v>
      </c>
      <c r="F31" s="19" t="n">
        <f aca="false">IF(AND(Projects!$G$22="Yes",F$3&gt;=Projects!$C$22,F$3&lt;Projects!$C$22+Projects!$D$22),Projects!$B$22*INDEX(Curves!$B$4:$AR$4,1,F$3-Projects!$C$22+1),0)-IF(AND(Projects!$G$22="Yes",F$3&gt;=Projects!$C$22,F$3&lt;Projects!$C$22+Projects!$D$22),Projects!$B$22*(Assumptions!$B$10+Assumptions!$B$11+Assumptions!$B$12)/Projects!$D$22*0.95,0)-IF(AND(Projects!$G$22="Yes",F$3=Projects!$C$22+Projects!$D$22-1),Projects!$B$22*(Assumptions!$B$10+Assumptions!$B$11+Assumptions!$B$12)*0.05,0)</f>
        <v>0</v>
      </c>
      <c r="G31" s="19" t="n">
        <f aca="false">IF(AND(Projects!$G$22="Yes",G$3&gt;=Projects!$C$22,G$3&lt;Projects!$C$22+Projects!$D$22),Projects!$B$22*INDEX(Curves!$B$4:$AR$4,1,G$3-Projects!$C$22+1),0)-IF(AND(Projects!$G$22="Yes",G$3&gt;=Projects!$C$22,G$3&lt;Projects!$C$22+Projects!$D$22),Projects!$B$22*(Assumptions!$B$10+Assumptions!$B$11+Assumptions!$B$12)/Projects!$D$22*0.95,0)-IF(AND(Projects!$G$22="Yes",G$3=Projects!$C$22+Projects!$D$22-1),Projects!$B$22*(Assumptions!$B$10+Assumptions!$B$11+Assumptions!$B$12)*0.05,0)</f>
        <v>0</v>
      </c>
      <c r="H31" s="19" t="n">
        <f aca="false">IF(AND(Projects!$G$22="Yes",H$3&gt;=Projects!$C$22,H$3&lt;Projects!$C$22+Projects!$D$22),Projects!$B$22*INDEX(Curves!$B$4:$AR$4,1,H$3-Projects!$C$22+1),0)-IF(AND(Projects!$G$22="Yes",H$3&gt;=Projects!$C$22,H$3&lt;Projects!$C$22+Projects!$D$22),Projects!$B$22*(Assumptions!$B$10+Assumptions!$B$11+Assumptions!$B$12)/Projects!$D$22*0.95,0)-IF(AND(Projects!$G$22="Yes",H$3=Projects!$C$22+Projects!$D$22-1),Projects!$B$22*(Assumptions!$B$10+Assumptions!$B$11+Assumptions!$B$12)*0.05,0)</f>
        <v>0</v>
      </c>
      <c r="I31" s="19" t="n">
        <f aca="false">IF(AND(Projects!$G$22="Yes",I$3&gt;=Projects!$C$22,I$3&lt;Projects!$C$22+Projects!$D$22),Projects!$B$22*INDEX(Curves!$B$4:$AR$4,1,I$3-Projects!$C$22+1),0)-IF(AND(Projects!$G$22="Yes",I$3&gt;=Projects!$C$22,I$3&lt;Projects!$C$22+Projects!$D$22),Projects!$B$22*(Assumptions!$B$10+Assumptions!$B$11+Assumptions!$B$12)/Projects!$D$22*0.95,0)-IF(AND(Projects!$G$22="Yes",I$3=Projects!$C$22+Projects!$D$22-1),Projects!$B$22*(Assumptions!$B$10+Assumptions!$B$11+Assumptions!$B$12)*0.05,0)</f>
        <v>0</v>
      </c>
      <c r="J31" s="19" t="n">
        <f aca="false">IF(AND(Projects!$G$22="Yes",J$3&gt;=Projects!$C$22,J$3&lt;Projects!$C$22+Projects!$D$22),Projects!$B$22*INDEX(Curves!$B$4:$AR$4,1,J$3-Projects!$C$22+1),0)-IF(AND(Projects!$G$22="Yes",J$3&gt;=Projects!$C$22,J$3&lt;Projects!$C$22+Projects!$D$22),Projects!$B$22*(Assumptions!$B$10+Assumptions!$B$11+Assumptions!$B$12)/Projects!$D$22*0.95,0)-IF(AND(Projects!$G$22="Yes",J$3=Projects!$C$22+Projects!$D$22-1),Projects!$B$22*(Assumptions!$B$10+Assumptions!$B$11+Assumptions!$B$12)*0.05,0)</f>
        <v>0</v>
      </c>
      <c r="K31" s="19" t="n">
        <f aca="false">IF(AND(Projects!$G$22="Yes",K$3&gt;=Projects!$C$22,K$3&lt;Projects!$C$22+Projects!$D$22),Projects!$B$22*INDEX(Curves!$B$4:$AR$4,1,K$3-Projects!$C$22+1),0)-IF(AND(Projects!$G$22="Yes",K$3&gt;=Projects!$C$22,K$3&lt;Projects!$C$22+Projects!$D$22),Projects!$B$22*(Assumptions!$B$10+Assumptions!$B$11+Assumptions!$B$12)/Projects!$D$22*0.95,0)-IF(AND(Projects!$G$22="Yes",K$3=Projects!$C$22+Projects!$D$22-1),Projects!$B$22*(Assumptions!$B$10+Assumptions!$B$11+Assumptions!$B$12)*0.05,0)</f>
        <v>0</v>
      </c>
      <c r="L31" s="19" t="n">
        <f aca="false">IF(AND(Projects!$G$22="Yes",L$3&gt;=Projects!$C$22,L$3&lt;Projects!$C$22+Projects!$D$22),Projects!$B$22*INDEX(Curves!$B$4:$AR$4,1,L$3-Projects!$C$22+1),0)-IF(AND(Projects!$G$22="Yes",L$3&gt;=Projects!$C$22,L$3&lt;Projects!$C$22+Projects!$D$22),Projects!$B$22*(Assumptions!$B$10+Assumptions!$B$11+Assumptions!$B$12)/Projects!$D$22*0.95,0)-IF(AND(Projects!$G$22="Yes",L$3=Projects!$C$22+Projects!$D$22-1),Projects!$B$22*(Assumptions!$B$10+Assumptions!$B$11+Assumptions!$B$12)*0.05,0)</f>
        <v>0</v>
      </c>
      <c r="M31" s="19" t="n">
        <f aca="false">IF(AND(Projects!$G$22="Yes",M$3&gt;=Projects!$C$22,M$3&lt;Projects!$C$22+Projects!$D$22),Projects!$B$22*INDEX(Curves!$B$4:$AR$4,1,M$3-Projects!$C$22+1),0)-IF(AND(Projects!$G$22="Yes",M$3&gt;=Projects!$C$22,M$3&lt;Projects!$C$22+Projects!$D$22),Projects!$B$22*(Assumptions!$B$10+Assumptions!$B$11+Assumptions!$B$12)/Projects!$D$22*0.95,0)-IF(AND(Projects!$G$22="Yes",M$3=Projects!$C$22+Projects!$D$22-1),Projects!$B$22*(Assumptions!$B$10+Assumptions!$B$11+Assumptions!$B$12)*0.05,0)</f>
        <v>0</v>
      </c>
      <c r="N31" s="19" t="n">
        <f aca="false">IF(AND(Projects!$G$22="Yes",N$3&gt;=Projects!$C$22,N$3&lt;Projects!$C$22+Projects!$D$22),Projects!$B$22*INDEX(Curves!$B$4:$AR$4,1,N$3-Projects!$C$22+1),0)-IF(AND(Projects!$G$22="Yes",N$3&gt;=Projects!$C$22,N$3&lt;Projects!$C$22+Projects!$D$22),Projects!$B$22*(Assumptions!$B$10+Assumptions!$B$11+Assumptions!$B$12)/Projects!$D$22*0.95,0)-IF(AND(Projects!$G$22="Yes",N$3=Projects!$C$22+Projects!$D$22-1),Projects!$B$22*(Assumptions!$B$10+Assumptions!$B$11+Assumptions!$B$12)*0.05,0)</f>
        <v>0</v>
      </c>
      <c r="O31" s="19" t="n">
        <f aca="false">IF(AND(Projects!$G$22="Yes",O$3&gt;=Projects!$C$22,O$3&lt;Projects!$C$22+Projects!$D$22),Projects!$B$22*INDEX(Curves!$B$4:$AR$4,1,O$3-Projects!$C$22+1),0)-IF(AND(Projects!$G$22="Yes",O$3&gt;=Projects!$C$22,O$3&lt;Projects!$C$22+Projects!$D$22),Projects!$B$22*(Assumptions!$B$10+Assumptions!$B$11+Assumptions!$B$12)/Projects!$D$22*0.95,0)-IF(AND(Projects!$G$22="Yes",O$3=Projects!$C$22+Projects!$D$22-1),Projects!$B$22*(Assumptions!$B$10+Assumptions!$B$11+Assumptions!$B$12)*0.05,0)</f>
        <v>0</v>
      </c>
      <c r="P31" s="19" t="n">
        <f aca="false">IF(AND(Projects!$G$22="Yes",P$3&gt;=Projects!$C$22,P$3&lt;Projects!$C$22+Projects!$D$22),Projects!$B$22*INDEX(Curves!$B$4:$AR$4,1,P$3-Projects!$C$22+1),0)-IF(AND(Projects!$G$22="Yes",P$3&gt;=Projects!$C$22,P$3&lt;Projects!$C$22+Projects!$D$22),Projects!$B$22*(Assumptions!$B$10+Assumptions!$B$11+Assumptions!$B$12)/Projects!$D$22*0.95,0)-IF(AND(Projects!$G$22="Yes",P$3=Projects!$C$22+Projects!$D$22-1),Projects!$B$22*(Assumptions!$B$10+Assumptions!$B$11+Assumptions!$B$12)*0.05,0)</f>
        <v>0</v>
      </c>
      <c r="Q31" s="19" t="n">
        <f aca="false">IF(AND(Projects!$G$22="Yes",Q$3&gt;=Projects!$C$22,Q$3&lt;Projects!$C$22+Projects!$D$22),Projects!$B$22*INDEX(Curves!$B$4:$AR$4,1,Q$3-Projects!$C$22+1),0)-IF(AND(Projects!$G$22="Yes",Q$3&gt;=Projects!$C$22,Q$3&lt;Projects!$C$22+Projects!$D$22),Projects!$B$22*(Assumptions!$B$10+Assumptions!$B$11+Assumptions!$B$12)/Projects!$D$22*0.95,0)-IF(AND(Projects!$G$22="Yes",Q$3=Projects!$C$22+Projects!$D$22-1),Projects!$B$22*(Assumptions!$B$10+Assumptions!$B$11+Assumptions!$B$12)*0.05,0)</f>
        <v>0</v>
      </c>
      <c r="R31" s="19" t="n">
        <f aca="false">IF(AND(Projects!$G$22="Yes",R$3&gt;=Projects!$C$22,R$3&lt;Projects!$C$22+Projects!$D$22),Projects!$B$22*INDEX(Curves!$B$4:$AR$4,1,R$3-Projects!$C$22+1),0)-IF(AND(Projects!$G$22="Yes",R$3&gt;=Projects!$C$22,R$3&lt;Projects!$C$22+Projects!$D$22),Projects!$B$22*(Assumptions!$B$10+Assumptions!$B$11+Assumptions!$B$12)/Projects!$D$22*0.95,0)-IF(AND(Projects!$G$22="Yes",R$3=Projects!$C$22+Projects!$D$22-1),Projects!$B$22*(Assumptions!$B$10+Assumptions!$B$11+Assumptions!$B$12)*0.05,0)</f>
        <v>0</v>
      </c>
      <c r="S31" s="19" t="n">
        <f aca="false">IF(AND(Projects!$G$22="Yes",S$3&gt;=Projects!$C$22,S$3&lt;Projects!$C$22+Projects!$D$22),Projects!$B$22*INDEX(Curves!$B$4:$AR$4,1,S$3-Projects!$C$22+1),0)-IF(AND(Projects!$G$22="Yes",S$3&gt;=Projects!$C$22,S$3&lt;Projects!$C$22+Projects!$D$22),Projects!$B$22*(Assumptions!$B$10+Assumptions!$B$11+Assumptions!$B$12)/Projects!$D$22*0.95,0)-IF(AND(Projects!$G$22="Yes",S$3=Projects!$C$22+Projects!$D$22-1),Projects!$B$22*(Assumptions!$B$10+Assumptions!$B$11+Assumptions!$B$12)*0.05,0)</f>
        <v>0</v>
      </c>
      <c r="T31" s="19" t="n">
        <f aca="false">IF(AND(Projects!$G$22="Yes",T$3&gt;=Projects!$C$22,T$3&lt;Projects!$C$22+Projects!$D$22),Projects!$B$22*INDEX(Curves!$B$4:$AR$4,1,T$3-Projects!$C$22+1),0)-IF(AND(Projects!$G$22="Yes",T$3&gt;=Projects!$C$22,T$3&lt;Projects!$C$22+Projects!$D$22),Projects!$B$22*(Assumptions!$B$10+Assumptions!$B$11+Assumptions!$B$12)/Projects!$D$22*0.95,0)-IF(AND(Projects!$G$22="Yes",T$3=Projects!$C$22+Projects!$D$22-1),Projects!$B$22*(Assumptions!$B$10+Assumptions!$B$11+Assumptions!$B$12)*0.05,0)</f>
        <v>0</v>
      </c>
      <c r="U31" s="19" t="n">
        <f aca="false">IF(AND(Projects!$G$22="Yes",U$3&gt;=Projects!$C$22,U$3&lt;Projects!$C$22+Projects!$D$22),Projects!$B$22*INDEX(Curves!$B$4:$AR$4,1,U$3-Projects!$C$22+1),0)-IF(AND(Projects!$G$22="Yes",U$3&gt;=Projects!$C$22,U$3&lt;Projects!$C$22+Projects!$D$22),Projects!$B$22*(Assumptions!$B$10+Assumptions!$B$11+Assumptions!$B$12)/Projects!$D$22*0.95,0)-IF(AND(Projects!$G$22="Yes",U$3=Projects!$C$22+Projects!$D$22-1),Projects!$B$22*(Assumptions!$B$10+Assumptions!$B$11+Assumptions!$B$12)*0.05,0)</f>
        <v>0</v>
      </c>
      <c r="V31" s="19" t="n">
        <f aca="false">IF(AND(Projects!$G$22="Yes",V$3&gt;=Projects!$C$22,V$3&lt;Projects!$C$22+Projects!$D$22),Projects!$B$22*INDEX(Curves!$B$4:$AR$4,1,V$3-Projects!$C$22+1),0)-IF(AND(Projects!$G$22="Yes",V$3&gt;=Projects!$C$22,V$3&lt;Projects!$C$22+Projects!$D$22),Projects!$B$22*(Assumptions!$B$10+Assumptions!$B$11+Assumptions!$B$12)/Projects!$D$22*0.95,0)-IF(AND(Projects!$G$22="Yes",V$3=Projects!$C$22+Projects!$D$22-1),Projects!$B$22*(Assumptions!$B$10+Assumptions!$B$11+Assumptions!$B$12)*0.05,0)</f>
        <v>0</v>
      </c>
      <c r="W31" s="19" t="n">
        <f aca="false">IF(AND(Projects!$G$22="Yes",W$3&gt;=Projects!$C$22,W$3&lt;Projects!$C$22+Projects!$D$22),Projects!$B$22*INDEX(Curves!$B$4:$AR$4,1,W$3-Projects!$C$22+1),0)-IF(AND(Projects!$G$22="Yes",W$3&gt;=Projects!$C$22,W$3&lt;Projects!$C$22+Projects!$D$22),Projects!$B$22*(Assumptions!$B$10+Assumptions!$B$11+Assumptions!$B$12)/Projects!$D$22*0.95,0)-IF(AND(Projects!$G$22="Yes",W$3=Projects!$C$22+Projects!$D$22-1),Projects!$B$22*(Assumptions!$B$10+Assumptions!$B$11+Assumptions!$B$12)*0.05,0)</f>
        <v>0</v>
      </c>
      <c r="X31" s="19" t="n">
        <f aca="false">IF(AND(Projects!$G$22="Yes",X$3&gt;=Projects!$C$22,X$3&lt;Projects!$C$22+Projects!$D$22),Projects!$B$22*INDEX(Curves!$B$4:$AR$4,1,X$3-Projects!$C$22+1),0)-IF(AND(Projects!$G$22="Yes",X$3&gt;=Projects!$C$22,X$3&lt;Projects!$C$22+Projects!$D$22),Projects!$B$22*(Assumptions!$B$10+Assumptions!$B$11+Assumptions!$B$12)/Projects!$D$22*0.95,0)-IF(AND(Projects!$G$22="Yes",X$3=Projects!$C$22+Projects!$D$22-1),Projects!$B$22*(Assumptions!$B$10+Assumptions!$B$11+Assumptions!$B$12)*0.05,0)</f>
        <v>0</v>
      </c>
      <c r="Y31" s="19" t="n">
        <f aca="false">IF(AND(Projects!$G$22="Yes",Y$3&gt;=Projects!$C$22,Y$3&lt;Projects!$C$22+Projects!$D$22),Projects!$B$22*INDEX(Curves!$B$4:$AR$4,1,Y$3-Projects!$C$22+1),0)-IF(AND(Projects!$G$22="Yes",Y$3&gt;=Projects!$C$22,Y$3&lt;Projects!$C$22+Projects!$D$22),Projects!$B$22*(Assumptions!$B$10+Assumptions!$B$11+Assumptions!$B$12)/Projects!$D$22*0.95,0)-IF(AND(Projects!$G$22="Yes",Y$3=Projects!$C$22+Projects!$D$22-1),Projects!$B$22*(Assumptions!$B$10+Assumptions!$B$11+Assumptions!$B$12)*0.05,0)</f>
        <v>0</v>
      </c>
      <c r="Z31" s="19" t="n">
        <f aca="false">IF(AND(Projects!$G$22="Yes",Z$3&gt;=Projects!$C$22,Z$3&lt;Projects!$C$22+Projects!$D$22),Projects!$B$22*INDEX(Curves!$B$4:$AR$4,1,Z$3-Projects!$C$22+1),0)-IF(AND(Projects!$G$22="Yes",Z$3&gt;=Projects!$C$22,Z$3&lt;Projects!$C$22+Projects!$D$22),Projects!$B$22*(Assumptions!$B$10+Assumptions!$B$11+Assumptions!$B$12)/Projects!$D$22*0.95,0)-IF(AND(Projects!$G$22="Yes",Z$3=Projects!$C$22+Projects!$D$22-1),Projects!$B$22*(Assumptions!$B$10+Assumptions!$B$11+Assumptions!$B$12)*0.05,0)</f>
        <v>0</v>
      </c>
      <c r="AA31" s="19" t="n">
        <f aca="false">IF(AND(Projects!$G$22="Yes",AA$3&gt;=Projects!$C$22,AA$3&lt;Projects!$C$22+Projects!$D$22),Projects!$B$22*INDEX(Curves!$B$4:$AR$4,1,AA$3-Projects!$C$22+1),0)-IF(AND(Projects!$G$22="Yes",AA$3&gt;=Projects!$C$22,AA$3&lt;Projects!$C$22+Projects!$D$22),Projects!$B$22*(Assumptions!$B$10+Assumptions!$B$11+Assumptions!$B$12)/Projects!$D$22*0.95,0)-IF(AND(Projects!$G$22="Yes",AA$3=Projects!$C$22+Projects!$D$22-1),Projects!$B$22*(Assumptions!$B$10+Assumptions!$B$11+Assumptions!$B$12)*0.05,0)</f>
        <v>0</v>
      </c>
      <c r="AB31" s="19" t="n">
        <f aca="false">IF(AND(Projects!$G$22="Yes",AB$3&gt;=Projects!$C$22,AB$3&lt;Projects!$C$22+Projects!$D$22),Projects!$B$22*INDEX(Curves!$B$4:$AR$4,1,AB$3-Projects!$C$22+1),0)-IF(AND(Projects!$G$22="Yes",AB$3&gt;=Projects!$C$22,AB$3&lt;Projects!$C$22+Projects!$D$22),Projects!$B$22*(Assumptions!$B$10+Assumptions!$B$11+Assumptions!$B$12)/Projects!$D$22*0.95,0)-IF(AND(Projects!$G$22="Yes",AB$3=Projects!$C$22+Projects!$D$22-1),Projects!$B$22*(Assumptions!$B$10+Assumptions!$B$11+Assumptions!$B$12)*0.05,0)</f>
        <v>0</v>
      </c>
      <c r="AC31" s="19" t="n">
        <f aca="false">IF(AND(Projects!$G$22="Yes",AC$3&gt;=Projects!$C$22,AC$3&lt;Projects!$C$22+Projects!$D$22),Projects!$B$22*INDEX(Curves!$B$4:$AR$4,1,AC$3-Projects!$C$22+1),0)-IF(AND(Projects!$G$22="Yes",AC$3&gt;=Projects!$C$22,AC$3&lt;Projects!$C$22+Projects!$D$22),Projects!$B$22*(Assumptions!$B$10+Assumptions!$B$11+Assumptions!$B$12)/Projects!$D$22*0.95,0)-IF(AND(Projects!$G$22="Yes",AC$3=Projects!$C$22+Projects!$D$22-1),Projects!$B$22*(Assumptions!$B$10+Assumptions!$B$11+Assumptions!$B$12)*0.05,0)</f>
        <v>0</v>
      </c>
      <c r="AD31" s="19" t="n">
        <f aca="false">IF(AND(Projects!$G$22="Yes",AD$3&gt;=Projects!$C$22,AD$3&lt;Projects!$C$22+Projects!$D$22),Projects!$B$22*INDEX(Curves!$B$4:$AR$4,1,AD$3-Projects!$C$22+1),0)-IF(AND(Projects!$G$22="Yes",AD$3&gt;=Projects!$C$22,AD$3&lt;Projects!$C$22+Projects!$D$22),Projects!$B$22*(Assumptions!$B$10+Assumptions!$B$11+Assumptions!$B$12)/Projects!$D$22*0.95,0)-IF(AND(Projects!$G$22="Yes",AD$3=Projects!$C$22+Projects!$D$22-1),Projects!$B$22*(Assumptions!$B$10+Assumptions!$B$11+Assumptions!$B$12)*0.05,0)</f>
        <v>0</v>
      </c>
      <c r="AE31" s="19" t="n">
        <f aca="false">IF(AND(Projects!$G$22="Yes",AE$3&gt;=Projects!$C$22,AE$3&lt;Projects!$C$22+Projects!$D$22),Projects!$B$22*INDEX(Curves!$B$4:$AR$4,1,AE$3-Projects!$C$22+1),0)-IF(AND(Projects!$G$22="Yes",AE$3&gt;=Projects!$C$22,AE$3&lt;Projects!$C$22+Projects!$D$22),Projects!$B$22*(Assumptions!$B$10+Assumptions!$B$11+Assumptions!$B$12)/Projects!$D$22*0.95,0)-IF(AND(Projects!$G$22="Yes",AE$3=Projects!$C$22+Projects!$D$22-1),Projects!$B$22*(Assumptions!$B$10+Assumptions!$B$11+Assumptions!$B$12)*0.05,0)</f>
        <v>0</v>
      </c>
      <c r="AF31" s="19" t="n">
        <f aca="false">IF(AND(Projects!$G$22="Yes",AF$3&gt;=Projects!$C$22,AF$3&lt;Projects!$C$22+Projects!$D$22),Projects!$B$22*INDEX(Curves!$B$4:$AR$4,1,AF$3-Projects!$C$22+1),0)-IF(AND(Projects!$G$22="Yes",AF$3&gt;=Projects!$C$22,AF$3&lt;Projects!$C$22+Projects!$D$22),Projects!$B$22*(Assumptions!$B$10+Assumptions!$B$11+Assumptions!$B$12)/Projects!$D$22*0.95,0)-IF(AND(Projects!$G$22="Yes",AF$3=Projects!$C$22+Projects!$D$22-1),Projects!$B$22*(Assumptions!$B$10+Assumptions!$B$11+Assumptions!$B$12)*0.05,0)</f>
        <v>0</v>
      </c>
      <c r="AG31" s="19" t="n">
        <f aca="false">IF(AND(Projects!$G$22="Yes",AG$3&gt;=Projects!$C$22,AG$3&lt;Projects!$C$22+Projects!$D$22),Projects!$B$22*INDEX(Curves!$B$4:$AR$4,1,AG$3-Projects!$C$22+1),0)-IF(AND(Projects!$G$22="Yes",AG$3&gt;=Projects!$C$22,AG$3&lt;Projects!$C$22+Projects!$D$22),Projects!$B$22*(Assumptions!$B$10+Assumptions!$B$11+Assumptions!$B$12)/Projects!$D$22*0.95,0)-IF(AND(Projects!$G$22="Yes",AG$3=Projects!$C$22+Projects!$D$22-1),Projects!$B$22*(Assumptions!$B$10+Assumptions!$B$11+Assumptions!$B$12)*0.05,0)</f>
        <v>0</v>
      </c>
      <c r="AH31" s="19" t="n">
        <f aca="false">IF(AND(Projects!$G$22="Yes",AH$3&gt;=Projects!$C$22,AH$3&lt;Projects!$C$22+Projects!$D$22),Projects!$B$22*INDEX(Curves!$B$4:$AR$4,1,AH$3-Projects!$C$22+1),0)-IF(AND(Projects!$G$22="Yes",AH$3&gt;=Projects!$C$22,AH$3&lt;Projects!$C$22+Projects!$D$22),Projects!$B$22*(Assumptions!$B$10+Assumptions!$B$11+Assumptions!$B$12)/Projects!$D$22*0.95,0)-IF(AND(Projects!$G$22="Yes",AH$3=Projects!$C$22+Projects!$D$22-1),Projects!$B$22*(Assumptions!$B$10+Assumptions!$B$11+Assumptions!$B$12)*0.05,0)</f>
        <v>0</v>
      </c>
      <c r="AI31" s="19" t="n">
        <f aca="false">IF(AND(Projects!$G$22="Yes",AI$3&gt;=Projects!$C$22,AI$3&lt;Projects!$C$22+Projects!$D$22),Projects!$B$22*INDEX(Curves!$B$4:$AR$4,1,AI$3-Projects!$C$22+1),0)-IF(AND(Projects!$G$22="Yes",AI$3&gt;=Projects!$C$22,AI$3&lt;Projects!$C$22+Projects!$D$22),Projects!$B$22*(Assumptions!$B$10+Assumptions!$B$11+Assumptions!$B$12)/Projects!$D$22*0.95,0)-IF(AND(Projects!$G$22="Yes",AI$3=Projects!$C$22+Projects!$D$22-1),Projects!$B$22*(Assumptions!$B$10+Assumptions!$B$11+Assumptions!$B$12)*0.05,0)</f>
        <v>0</v>
      </c>
      <c r="AJ31" s="19" t="n">
        <f aca="false">IF(AND(Projects!$G$22="Yes",AJ$3&gt;=Projects!$C$22,AJ$3&lt;Projects!$C$22+Projects!$D$22),Projects!$B$22*INDEX(Curves!$B$4:$AR$4,1,AJ$3-Projects!$C$22+1),0)-IF(AND(Projects!$G$22="Yes",AJ$3&gt;=Projects!$C$22,AJ$3&lt;Projects!$C$22+Projects!$D$22),Projects!$B$22*(Assumptions!$B$10+Assumptions!$B$11+Assumptions!$B$12)/Projects!$D$22*0.95,0)-IF(AND(Projects!$G$22="Yes",AJ$3=Projects!$C$22+Projects!$D$22-1),Projects!$B$22*(Assumptions!$B$10+Assumptions!$B$11+Assumptions!$B$12)*0.05,0)</f>
        <v>0</v>
      </c>
      <c r="AK31" s="19" t="n">
        <f aca="false">IF(AND(Projects!$G$22="Yes",AK$3&gt;=Projects!$C$22,AK$3&lt;Projects!$C$22+Projects!$D$22),Projects!$B$22*INDEX(Curves!$B$4:$AR$4,1,AK$3-Projects!$C$22+1),0)-IF(AND(Projects!$G$22="Yes",AK$3&gt;=Projects!$C$22,AK$3&lt;Projects!$C$22+Projects!$D$22),Projects!$B$22*(Assumptions!$B$10+Assumptions!$B$11+Assumptions!$B$12)/Projects!$D$22*0.95,0)-IF(AND(Projects!$G$22="Yes",AK$3=Projects!$C$22+Projects!$D$22-1),Projects!$B$22*(Assumptions!$B$10+Assumptions!$B$11+Assumptions!$B$12)*0.05,0)</f>
        <v>0</v>
      </c>
      <c r="AL31" s="19" t="n">
        <f aca="false">IF(AND(Projects!$G$22="Yes",AL$3&gt;=Projects!$C$22,AL$3&lt;Projects!$C$22+Projects!$D$22),Projects!$B$22*INDEX(Curves!$B$4:$AR$4,1,AL$3-Projects!$C$22+1),0)-IF(AND(Projects!$G$22="Yes",AL$3&gt;=Projects!$C$22,AL$3&lt;Projects!$C$22+Projects!$D$22),Projects!$B$22*(Assumptions!$B$10+Assumptions!$B$11+Assumptions!$B$12)/Projects!$D$22*0.95,0)-IF(AND(Projects!$G$22="Yes",AL$3=Projects!$C$22+Projects!$D$22-1),Projects!$B$22*(Assumptions!$B$10+Assumptions!$B$11+Assumptions!$B$12)*0.05,0)</f>
        <v>0</v>
      </c>
      <c r="AM31" s="19" t="n">
        <f aca="false">IF(AND(Projects!$G$22="Yes",AM$3&gt;=Projects!$C$22,AM$3&lt;Projects!$C$22+Projects!$D$22),Projects!$B$22*INDEX(Curves!$B$4:$AR$4,1,AM$3-Projects!$C$22+1),0)-IF(AND(Projects!$G$22="Yes",AM$3&gt;=Projects!$C$22,AM$3&lt;Projects!$C$22+Projects!$D$22),Projects!$B$22*(Assumptions!$B$10+Assumptions!$B$11+Assumptions!$B$12)/Projects!$D$22*0.95,0)-IF(AND(Projects!$G$22="Yes",AM$3=Projects!$C$22+Projects!$D$22-1),Projects!$B$22*(Assumptions!$B$10+Assumptions!$B$11+Assumptions!$B$12)*0.05,0)</f>
        <v>0</v>
      </c>
      <c r="AN31" s="19" t="n">
        <f aca="false">IF(AND(Projects!$G$22="Yes",AN$3&gt;=Projects!$C$22,AN$3&lt;Projects!$C$22+Projects!$D$22),Projects!$B$22*INDEX(Curves!$B$4:$AR$4,1,AN$3-Projects!$C$22+1),0)-IF(AND(Projects!$G$22="Yes",AN$3&gt;=Projects!$C$22,AN$3&lt;Projects!$C$22+Projects!$D$22),Projects!$B$22*(Assumptions!$B$10+Assumptions!$B$11+Assumptions!$B$12)/Projects!$D$22*0.95,0)-IF(AND(Projects!$G$22="Yes",AN$3=Projects!$C$22+Projects!$D$22-1),Projects!$B$22*(Assumptions!$B$10+Assumptions!$B$11+Assumptions!$B$12)*0.05,0)</f>
        <v>0</v>
      </c>
      <c r="AO31" s="19" t="n">
        <f aca="false">IF(AND(Projects!$G$22="Yes",AO$3&gt;=Projects!$C$22,AO$3&lt;Projects!$C$22+Projects!$D$22),Projects!$B$22*INDEX(Curves!$B$4:$AR$4,1,AO$3-Projects!$C$22+1),0)-IF(AND(Projects!$G$22="Yes",AO$3&gt;=Projects!$C$22,AO$3&lt;Projects!$C$22+Projects!$D$22),Projects!$B$22*(Assumptions!$B$10+Assumptions!$B$11+Assumptions!$B$12)/Projects!$D$22*0.95,0)-IF(AND(Projects!$G$22="Yes",AO$3=Projects!$C$22+Projects!$D$22-1),Projects!$B$22*(Assumptions!$B$10+Assumptions!$B$11+Assumptions!$B$12)*0.05,0)</f>
        <v>0</v>
      </c>
      <c r="AP31" s="19" t="n">
        <f aca="false">IF(AND(Projects!$G$22="Yes",AP$3&gt;=Projects!$C$22,AP$3&lt;Projects!$C$22+Projects!$D$22),Projects!$B$22*INDEX(Curves!$B$4:$AR$4,1,AP$3-Projects!$C$22+1),0)-IF(AND(Projects!$G$22="Yes",AP$3&gt;=Projects!$C$22,AP$3&lt;Projects!$C$22+Projects!$D$22),Projects!$B$22*(Assumptions!$B$10+Assumptions!$B$11+Assumptions!$B$12)/Projects!$D$22*0.95,0)-IF(AND(Projects!$G$22="Yes",AP$3=Projects!$C$22+Projects!$D$22-1),Projects!$B$22*(Assumptions!$B$10+Assumptions!$B$11+Assumptions!$B$12)*0.05,0)</f>
        <v>0</v>
      </c>
      <c r="AQ31" s="19" t="n">
        <f aca="false">IF(AND(Projects!$G$22="Yes",AQ$3&gt;=Projects!$C$22,AQ$3&lt;Projects!$C$22+Projects!$D$22),Projects!$B$22*INDEX(Curves!$B$4:$AR$4,1,AQ$3-Projects!$C$22+1),0)-IF(AND(Projects!$G$22="Yes",AQ$3&gt;=Projects!$C$22,AQ$3&lt;Projects!$C$22+Projects!$D$22),Projects!$B$22*(Assumptions!$B$10+Assumptions!$B$11+Assumptions!$B$12)/Projects!$D$22*0.95,0)-IF(AND(Projects!$G$22="Yes",AQ$3=Projects!$C$22+Projects!$D$22-1),Projects!$B$22*(Assumptions!$B$10+Assumptions!$B$11+Assumptions!$B$12)*0.05,0)</f>
        <v>0</v>
      </c>
      <c r="AR31" s="19" t="n">
        <f aca="false">IF(AND(Projects!$G$22="Yes",AR$3&gt;=Projects!$C$22,AR$3&lt;Projects!$C$22+Projects!$D$22),Projects!$B$22*INDEX(Curves!$B$4:$AR$4,1,AR$3-Projects!$C$22+1),0)-IF(AND(Projects!$G$22="Yes",AR$3&gt;=Projects!$C$22,AR$3&lt;Projects!$C$22+Projects!$D$22),Projects!$B$22*(Assumptions!$B$10+Assumptions!$B$11+Assumptions!$B$12)/Projects!$D$22*0.95,0)-IF(AND(Projects!$G$22="Yes",AR$3=Projects!$C$22+Projects!$D$22-1),Projects!$B$22*(Assumptions!$B$10+Assumptions!$B$11+Assumptions!$B$12)*0.05,0)</f>
        <v>0</v>
      </c>
      <c r="AS31" s="19" t="n">
        <f aca="false">IF(AND(Projects!$G$22="Yes",AS$3&gt;=Projects!$C$22,AS$3&lt;Projects!$C$22+Projects!$D$22),Projects!$B$22*INDEX(Curves!$B$4:$AR$4,1,AS$3-Projects!$C$22+1),0)-IF(AND(Projects!$G$22="Yes",AS$3&gt;=Projects!$C$22,AS$3&lt;Projects!$C$22+Projects!$D$22),Projects!$B$22*(Assumptions!$B$10+Assumptions!$B$11+Assumptions!$B$12)/Projects!$D$22*0.95,0)-IF(AND(Projects!$G$22="Yes",AS$3=Projects!$C$22+Projects!$D$22-1),Projects!$B$22*(Assumptions!$B$10+Assumptions!$B$11+Assumptions!$B$12)*0.05,0)</f>
        <v>0</v>
      </c>
      <c r="AT31" s="19" t="n">
        <f aca="false">IF(AND(Projects!$G$22="Yes",AT$3&gt;=Projects!$C$22,AT$3&lt;Projects!$C$22+Projects!$D$22),Projects!$B$22*INDEX(Curves!$B$4:$AR$4,1,AT$3-Projects!$C$22+1),0)-IF(AND(Projects!$G$22="Yes",AT$3&gt;=Projects!$C$22,AT$3&lt;Projects!$C$22+Projects!$D$22),Projects!$B$22*(Assumptions!$B$10+Assumptions!$B$11+Assumptions!$B$12)/Projects!$D$22*0.95,0)-IF(AND(Projects!$G$22="Yes",AT$3=Projects!$C$22+Projects!$D$22-1),Projects!$B$22*(Assumptions!$B$10+Assumptions!$B$11+Assumptions!$B$12)*0.05,0)</f>
        <v>0</v>
      </c>
      <c r="AU31" s="19" t="n">
        <f aca="false">IF(AND(Projects!$G$22="Yes",AU$3&gt;=Projects!$C$22,AU$3&lt;Projects!$C$22+Projects!$D$22),Projects!$B$22*INDEX(Curves!$B$4:$AR$4,1,AU$3-Projects!$C$22+1),0)-IF(AND(Projects!$G$22="Yes",AU$3&gt;=Projects!$C$22,AU$3&lt;Projects!$C$22+Projects!$D$22),Projects!$B$22*(Assumptions!$B$10+Assumptions!$B$11+Assumptions!$B$12)/Projects!$D$22*0.95,0)-IF(AND(Projects!$G$22="Yes",AU$3=Projects!$C$22+Projects!$D$22-1),Projects!$B$22*(Assumptions!$B$10+Assumptions!$B$11+Assumptions!$B$12)*0.05,0)</f>
        <v>0</v>
      </c>
      <c r="AV31" s="19" t="n">
        <f aca="false">IF(AND(Projects!$G$22="Yes",AV$3&gt;=Projects!$C$22,AV$3&lt;Projects!$C$22+Projects!$D$22),Projects!$B$22*INDEX(Curves!$B$4:$AR$4,1,AV$3-Projects!$C$22+1),0)-IF(AND(Projects!$G$22="Yes",AV$3&gt;=Projects!$C$22,AV$3&lt;Projects!$C$22+Projects!$D$22),Projects!$B$22*(Assumptions!$B$10+Assumptions!$B$11+Assumptions!$B$12)/Projects!$D$22*0.95,0)-IF(AND(Projects!$G$22="Yes",AV$3=Projects!$C$22+Projects!$D$22-1),Projects!$B$22*(Assumptions!$B$10+Assumptions!$B$11+Assumptions!$B$12)*0.05,0)</f>
        <v>0</v>
      </c>
      <c r="AW31" s="19" t="n">
        <f aca="false">IF(AND(Projects!$G$22="Yes",AW$3&gt;=Projects!$C$22,AW$3&lt;Projects!$C$22+Projects!$D$22),Projects!$B$22*INDEX(Curves!$B$4:$AR$4,1,AW$3-Projects!$C$22+1),0)-IF(AND(Projects!$G$22="Yes",AW$3&gt;=Projects!$C$22,AW$3&lt;Projects!$C$22+Projects!$D$22),Projects!$B$22*(Assumptions!$B$10+Assumptions!$B$11+Assumptions!$B$12)/Projects!$D$22*0.95,0)-IF(AND(Projects!$G$22="Yes",AW$3=Projects!$C$22+Projects!$D$22-1),Projects!$B$22*(Assumptions!$B$10+Assumptions!$B$11+Assumptions!$B$12)*0.05,0)</f>
        <v>0</v>
      </c>
      <c r="AX31" s="19" t="n">
        <f aca="false">IF(AND(Projects!$G$22="Yes",AX$3&gt;=Projects!$C$22,AX$3&lt;Projects!$C$22+Projects!$D$22),Projects!$B$22*INDEX(Curves!$B$4:$AR$4,1,AX$3-Projects!$C$22+1),0)-IF(AND(Projects!$G$22="Yes",AX$3&gt;=Projects!$C$22,AX$3&lt;Projects!$C$22+Projects!$D$22),Projects!$B$22*(Assumptions!$B$10+Assumptions!$B$11+Assumptions!$B$12)/Projects!$D$22*0.95,0)-IF(AND(Projects!$G$22="Yes",AX$3=Projects!$C$22+Projects!$D$22-1),Projects!$B$22*(Assumptions!$B$10+Assumptions!$B$11+Assumptions!$B$12)*0.05,0)</f>
        <v>0</v>
      </c>
      <c r="AY31" s="19" t="n">
        <f aca="false">IF(AND(Projects!$G$22="Yes",AY$3&gt;=Projects!$C$22,AY$3&lt;Projects!$C$22+Projects!$D$22),Projects!$B$22*INDEX(Curves!$B$4:$AR$4,1,AY$3-Projects!$C$22+1),0)-IF(AND(Projects!$G$22="Yes",AY$3&gt;=Projects!$C$22,AY$3&lt;Projects!$C$22+Projects!$D$22),Projects!$B$22*(Assumptions!$B$10+Assumptions!$B$11+Assumptions!$B$12)/Projects!$D$22*0.95,0)-IF(AND(Projects!$G$22="Yes",AY$3=Projects!$C$22+Projects!$D$22-1),Projects!$B$22*(Assumptions!$B$10+Assumptions!$B$11+Assumptions!$B$12)*0.05,0)</f>
        <v>0</v>
      </c>
      <c r="AZ31" s="19" t="n">
        <f aca="false">IF(AND(Projects!$G$22="Yes",AZ$3&gt;=Projects!$C$22,AZ$3&lt;Projects!$C$22+Projects!$D$22),Projects!$B$22*INDEX(Curves!$B$4:$AR$4,1,AZ$3-Projects!$C$22+1),0)-IF(AND(Projects!$G$22="Yes",AZ$3&gt;=Projects!$C$22,AZ$3&lt;Projects!$C$22+Projects!$D$22),Projects!$B$22*(Assumptions!$B$10+Assumptions!$B$11+Assumptions!$B$12)/Projects!$D$22*0.95,0)-IF(AND(Projects!$G$22="Yes",AZ$3=Projects!$C$22+Projects!$D$22-1),Projects!$B$22*(Assumptions!$B$10+Assumptions!$B$11+Assumptions!$B$12)*0.05,0)</f>
        <v>0</v>
      </c>
      <c r="BA31" s="19" t="n">
        <f aca="false">IF(AND(Projects!$G$22="Yes",BA$3&gt;=Projects!$C$22,BA$3&lt;Projects!$C$22+Projects!$D$22),Projects!$B$22*INDEX(Curves!$B$4:$AR$4,1,BA$3-Projects!$C$22+1),0)-IF(AND(Projects!$G$22="Yes",BA$3&gt;=Projects!$C$22,BA$3&lt;Projects!$C$22+Projects!$D$22),Projects!$B$22*(Assumptions!$B$10+Assumptions!$B$11+Assumptions!$B$12)/Projects!$D$22*0.95,0)-IF(AND(Projects!$G$22="Yes",BA$3=Projects!$C$22+Projects!$D$22-1),Projects!$B$22*(Assumptions!$B$10+Assumptions!$B$11+Assumptions!$B$12)*0.05,0)</f>
        <v>0</v>
      </c>
      <c r="BB31" s="19" t="n">
        <f aca="false">IF(AND(Projects!$G$22="Yes",BB$3&gt;=Projects!$C$22,BB$3&lt;Projects!$C$22+Projects!$D$22),Projects!$B$22*INDEX(Curves!$B$4:$AR$4,1,BB$3-Projects!$C$22+1),0)-IF(AND(Projects!$G$22="Yes",BB$3&gt;=Projects!$C$22,BB$3&lt;Projects!$C$22+Projects!$D$22),Projects!$B$22*(Assumptions!$B$10+Assumptions!$B$11+Assumptions!$B$12)/Projects!$D$22*0.95,0)-IF(AND(Projects!$G$22="Yes",BB$3=Projects!$C$22+Projects!$D$22-1),Projects!$B$22*(Assumptions!$B$10+Assumptions!$B$11+Assumptions!$B$12)*0.05,0)</f>
        <v>0</v>
      </c>
      <c r="BC31" s="19" t="n">
        <f aca="false">IF(AND(Projects!$G$22="Yes",BC$3&gt;=Projects!$C$22,BC$3&lt;Projects!$C$22+Projects!$D$22),Projects!$B$22*INDEX(Curves!$B$4:$AR$4,1,BC$3-Projects!$C$22+1),0)-IF(AND(Projects!$G$22="Yes",BC$3&gt;=Projects!$C$22,BC$3&lt;Projects!$C$22+Projects!$D$22),Projects!$B$22*(Assumptions!$B$10+Assumptions!$B$11+Assumptions!$B$12)/Projects!$D$22*0.95,0)-IF(AND(Projects!$G$22="Yes",BC$3=Projects!$C$22+Projects!$D$22-1),Projects!$B$22*(Assumptions!$B$10+Assumptions!$B$11+Assumptions!$B$12)*0.05,0)</f>
        <v>0</v>
      </c>
      <c r="BD31" s="19" t="n">
        <f aca="false">IF(AND(Projects!$G$22="Yes",BD$3&gt;=Projects!$C$22,BD$3&lt;Projects!$C$22+Projects!$D$22),Projects!$B$22*INDEX(Curves!$B$4:$AR$4,1,BD$3-Projects!$C$22+1),0)-IF(AND(Projects!$G$22="Yes",BD$3&gt;=Projects!$C$22,BD$3&lt;Projects!$C$22+Projects!$D$22),Projects!$B$22*(Assumptions!$B$10+Assumptions!$B$11+Assumptions!$B$12)/Projects!$D$22*0.95,0)-IF(AND(Projects!$G$22="Yes",BD$3=Projects!$C$22+Projects!$D$22-1),Projects!$B$22*(Assumptions!$B$10+Assumptions!$B$11+Assumptions!$B$12)*0.05,0)</f>
        <v>0</v>
      </c>
      <c r="BE31" s="19" t="n">
        <f aca="false">IF(AND(Projects!$G$22="Yes",BE$3&gt;=Projects!$C$22,BE$3&lt;Projects!$C$22+Projects!$D$22),Projects!$B$22*INDEX(Curves!$B$4:$AR$4,1,BE$3-Projects!$C$22+1),0)-IF(AND(Projects!$G$22="Yes",BE$3&gt;=Projects!$C$22,BE$3&lt;Projects!$C$22+Projects!$D$22),Projects!$B$22*(Assumptions!$B$10+Assumptions!$B$11+Assumptions!$B$12)/Projects!$D$22*0.95,0)-IF(AND(Projects!$G$22="Yes",BE$3=Projects!$C$22+Projects!$D$22-1),Projects!$B$22*(Assumptions!$B$10+Assumptions!$B$11+Assumptions!$B$12)*0.05,0)</f>
        <v>0</v>
      </c>
      <c r="BF31" s="19" t="n">
        <f aca="false">IF(AND(Projects!$G$22="Yes",BF$3&gt;=Projects!$C$22,BF$3&lt;Projects!$C$22+Projects!$D$22),Projects!$B$22*INDEX(Curves!$B$4:$AR$4,1,BF$3-Projects!$C$22+1),0)-IF(AND(Projects!$G$22="Yes",BF$3&gt;=Projects!$C$22,BF$3&lt;Projects!$C$22+Projects!$D$22),Projects!$B$22*(Assumptions!$B$10+Assumptions!$B$11+Assumptions!$B$12)/Projects!$D$22*0.95,0)-IF(AND(Projects!$G$22="Yes",BF$3=Projects!$C$22+Projects!$D$22-1),Projects!$B$22*(Assumptions!$B$10+Assumptions!$B$11+Assumptions!$B$12)*0.05,0)</f>
        <v>0</v>
      </c>
      <c r="BG31" s="19" t="n">
        <f aca="false">IF(AND(Projects!$G$22="Yes",BG$3&gt;=Projects!$C$22,BG$3&lt;Projects!$C$22+Projects!$D$22),Projects!$B$22*INDEX(Curves!$B$4:$AR$4,1,BG$3-Projects!$C$22+1),0)-IF(AND(Projects!$G$22="Yes",BG$3&gt;=Projects!$C$22,BG$3&lt;Projects!$C$22+Projects!$D$22),Projects!$B$22*(Assumptions!$B$10+Assumptions!$B$11+Assumptions!$B$12)/Projects!$D$22*0.95,0)-IF(AND(Projects!$G$22="Yes",BG$3=Projects!$C$22+Projects!$D$22-1),Projects!$B$22*(Assumptions!$B$10+Assumptions!$B$11+Assumptions!$B$12)*0.05,0)</f>
        <v>0</v>
      </c>
      <c r="BH31" s="19" t="n">
        <f aca="false">IF(AND(Projects!$G$22="Yes",BH$3&gt;=Projects!$C$22,BH$3&lt;Projects!$C$22+Projects!$D$22),Projects!$B$22*INDEX(Curves!$B$4:$AR$4,1,BH$3-Projects!$C$22+1),0)-IF(AND(Projects!$G$22="Yes",BH$3&gt;=Projects!$C$22,BH$3&lt;Projects!$C$22+Projects!$D$22),Projects!$B$22*(Assumptions!$B$10+Assumptions!$B$11+Assumptions!$B$12)/Projects!$D$22*0.95,0)-IF(AND(Projects!$G$22="Yes",BH$3=Projects!$C$22+Projects!$D$22-1),Projects!$B$22*(Assumptions!$B$10+Assumptions!$B$11+Assumptions!$B$12)*0.05,0)</f>
        <v>0</v>
      </c>
      <c r="BI31" s="19" t="n">
        <f aca="false">IF(AND(Projects!$G$22="Yes",BI$3&gt;=Projects!$C$22,BI$3&lt;Projects!$C$22+Projects!$D$22),Projects!$B$22*INDEX(Curves!$B$4:$AR$4,1,BI$3-Projects!$C$22+1),0)-IF(AND(Projects!$G$22="Yes",BI$3&gt;=Projects!$C$22,BI$3&lt;Projects!$C$22+Projects!$D$22),Projects!$B$22*(Assumptions!$B$10+Assumptions!$B$11+Assumptions!$B$12)/Projects!$D$22*0.95,0)-IF(AND(Projects!$G$22="Yes",BI$3=Projects!$C$22+Projects!$D$22-1),Projects!$B$22*(Assumptions!$B$10+Assumptions!$B$11+Assumptions!$B$12)*0.05,0)</f>
        <v>0</v>
      </c>
      <c r="BJ31" s="19" t="n">
        <f aca="false">IF(AND(Projects!$G$22="Yes",BJ$3&gt;=Projects!$C$22,BJ$3&lt;Projects!$C$22+Projects!$D$22),Projects!$B$22*INDEX(Curves!$B$4:$AR$4,1,BJ$3-Projects!$C$22+1),0)-IF(AND(Projects!$G$22="Yes",BJ$3&gt;=Projects!$C$22,BJ$3&lt;Projects!$C$22+Projects!$D$22),Projects!$B$22*(Assumptions!$B$10+Assumptions!$B$11+Assumptions!$B$12)/Projects!$D$22*0.95,0)-IF(AND(Projects!$G$22="Yes",BJ$3=Projects!$C$22+Projects!$D$22-1),Projects!$B$22*(Assumptions!$B$10+Assumptions!$B$11+Assumptions!$B$12)*0.05,0)</f>
        <v>0</v>
      </c>
      <c r="BK31" s="19" t="n">
        <f aca="false">IF(AND(Projects!$G$22="Yes",BK$3&gt;=Projects!$C$22,BK$3&lt;Projects!$C$22+Projects!$D$22),Projects!$B$22*INDEX(Curves!$B$4:$AR$4,1,BK$3-Projects!$C$22+1),0)-IF(AND(Projects!$G$22="Yes",BK$3&gt;=Projects!$C$22,BK$3&lt;Projects!$C$22+Projects!$D$22),Projects!$B$22*(Assumptions!$B$10+Assumptions!$B$11+Assumptions!$B$12)/Projects!$D$22*0.95,0)-IF(AND(Projects!$G$22="Yes",BK$3=Projects!$C$22+Projects!$D$22-1),Projects!$B$22*(Assumptions!$B$10+Assumptions!$B$11+Assumptions!$B$12)*0.05,0)</f>
        <v>0</v>
      </c>
      <c r="BL31" s="19" t="n">
        <f aca="false">IF(AND(Projects!$G$22="Yes",BL$3&gt;=Projects!$C$22,BL$3&lt;Projects!$C$22+Projects!$D$22),Projects!$B$22*INDEX(Curves!$B$4:$AR$4,1,BL$3-Projects!$C$22+1),0)-IF(AND(Projects!$G$22="Yes",BL$3&gt;=Projects!$C$22,BL$3&lt;Projects!$C$22+Projects!$D$22),Projects!$B$22*(Assumptions!$B$10+Assumptions!$B$11+Assumptions!$B$12)/Projects!$D$22*0.95,0)-IF(AND(Projects!$G$22="Yes",BL$3=Projects!$C$22+Projects!$D$22-1),Projects!$B$22*(Assumptions!$B$10+Assumptions!$B$11+Assumptions!$B$12)*0.05,0)</f>
        <v>0</v>
      </c>
      <c r="BM31" s="19" t="n">
        <f aca="false">IF(AND(Projects!$G$22="Yes",BM$3&gt;=Projects!$C$22,BM$3&lt;Projects!$C$22+Projects!$D$22),Projects!$B$22*INDEX(Curves!$B$4:$AR$4,1,BM$3-Projects!$C$22+1),0)-IF(AND(Projects!$G$22="Yes",BM$3&gt;=Projects!$C$22,BM$3&lt;Projects!$C$22+Projects!$D$22),Projects!$B$22*(Assumptions!$B$10+Assumptions!$B$11+Assumptions!$B$12)/Projects!$D$22*0.95,0)-IF(AND(Projects!$G$22="Yes",BM$3=Projects!$C$22+Projects!$D$22-1),Projects!$B$22*(Assumptions!$B$10+Assumptions!$B$11+Assumptions!$B$12)*0.05,0)</f>
        <v>0</v>
      </c>
      <c r="BN31" s="19" t="n">
        <f aca="false">IF(AND(Projects!$G$22="Yes",BN$3&gt;=Projects!$C$22,BN$3&lt;Projects!$C$22+Projects!$D$22),Projects!$B$22*INDEX(Curves!$B$4:$AR$4,1,BN$3-Projects!$C$22+1),0)-IF(AND(Projects!$G$22="Yes",BN$3&gt;=Projects!$C$22,BN$3&lt;Projects!$C$22+Projects!$D$22),Projects!$B$22*(Assumptions!$B$10+Assumptions!$B$11+Assumptions!$B$12)/Projects!$D$22*0.95,0)-IF(AND(Projects!$G$22="Yes",BN$3=Projects!$C$22+Projects!$D$22-1),Projects!$B$22*(Assumptions!$B$10+Assumptions!$B$11+Assumptions!$B$12)*0.05,0)</f>
        <v>0</v>
      </c>
      <c r="BO31" s="19" t="n">
        <f aca="false">IF(AND(Projects!$G$22="Yes",BO$3&gt;=Projects!$C$22,BO$3&lt;Projects!$C$22+Projects!$D$22),Projects!$B$22*INDEX(Curves!$B$4:$AR$4,1,BO$3-Projects!$C$22+1),0)-IF(AND(Projects!$G$22="Yes",BO$3&gt;=Projects!$C$22,BO$3&lt;Projects!$C$22+Projects!$D$22),Projects!$B$22*(Assumptions!$B$10+Assumptions!$B$11+Assumptions!$B$12)/Projects!$D$22*0.95,0)-IF(AND(Projects!$G$22="Yes",BO$3=Projects!$C$22+Projects!$D$22-1),Projects!$B$22*(Assumptions!$B$10+Assumptions!$B$11+Assumptions!$B$12)*0.05,0)</f>
        <v>0</v>
      </c>
      <c r="BP31" s="19" t="n">
        <f aca="false">IF(AND(Projects!$G$22="Yes",BP$3&gt;=Projects!$C$22,BP$3&lt;Projects!$C$22+Projects!$D$22),Projects!$B$22*INDEX(Curves!$B$4:$AR$4,1,BP$3-Projects!$C$22+1),0)-IF(AND(Projects!$G$22="Yes",BP$3&gt;=Projects!$C$22,BP$3&lt;Projects!$C$22+Projects!$D$22),Projects!$B$22*(Assumptions!$B$10+Assumptions!$B$11+Assumptions!$B$12)/Projects!$D$22*0.95,0)-IF(AND(Projects!$G$22="Yes",BP$3=Projects!$C$22+Projects!$D$22-1),Projects!$B$22*(Assumptions!$B$10+Assumptions!$B$11+Assumptions!$B$12)*0.05,0)</f>
        <v>0</v>
      </c>
      <c r="BQ31" s="19" t="n">
        <f aca="false">IF(AND(Projects!$G$22="Yes",BQ$3&gt;=Projects!$C$22,BQ$3&lt;Projects!$C$22+Projects!$D$22),Projects!$B$22*INDEX(Curves!$B$4:$AR$4,1,BQ$3-Projects!$C$22+1),0)-IF(AND(Projects!$G$22="Yes",BQ$3&gt;=Projects!$C$22,BQ$3&lt;Projects!$C$22+Projects!$D$22),Projects!$B$22*(Assumptions!$B$10+Assumptions!$B$11+Assumptions!$B$12)/Projects!$D$22*0.95,0)-IF(AND(Projects!$G$22="Yes",BQ$3=Projects!$C$22+Projects!$D$22-1),Projects!$B$22*(Assumptions!$B$10+Assumptions!$B$11+Assumptions!$B$12)*0.05,0)</f>
        <v>0</v>
      </c>
      <c r="BR31" s="19" t="n">
        <f aca="false">IF(AND(Projects!$G$22="Yes",BR$3&gt;=Projects!$C$22,BR$3&lt;Projects!$C$22+Projects!$D$22),Projects!$B$22*INDEX(Curves!$B$4:$AR$4,1,BR$3-Projects!$C$22+1),0)-IF(AND(Projects!$G$22="Yes",BR$3&gt;=Projects!$C$22,BR$3&lt;Projects!$C$22+Projects!$D$22),Projects!$B$22*(Assumptions!$B$10+Assumptions!$B$11+Assumptions!$B$12)/Projects!$D$22*0.95,0)-IF(AND(Projects!$G$22="Yes",BR$3=Projects!$C$22+Projects!$D$22-1),Projects!$B$22*(Assumptions!$B$10+Assumptions!$B$11+Assumptions!$B$12)*0.05,0)</f>
        <v>0</v>
      </c>
      <c r="BS31" s="19" t="n">
        <f aca="false">IF(AND(Projects!$G$22="Yes",BS$3&gt;=Projects!$C$22,BS$3&lt;Projects!$C$22+Projects!$D$22),Projects!$B$22*INDEX(Curves!$B$4:$AR$4,1,BS$3-Projects!$C$22+1),0)-IF(AND(Projects!$G$22="Yes",BS$3&gt;=Projects!$C$22,BS$3&lt;Projects!$C$22+Projects!$D$22),Projects!$B$22*(Assumptions!$B$10+Assumptions!$B$11+Assumptions!$B$12)/Projects!$D$22*0.95,0)-IF(AND(Projects!$G$22="Yes",BS$3=Projects!$C$22+Projects!$D$22-1),Projects!$B$22*(Assumptions!$B$10+Assumptions!$B$11+Assumptions!$B$12)*0.05,0)</f>
        <v>0</v>
      </c>
      <c r="BT31" s="19" t="n">
        <f aca="false">IF(AND(Projects!$G$22="Yes",BT$3&gt;=Projects!$C$22,BT$3&lt;Projects!$C$22+Projects!$D$22),Projects!$B$22*INDEX(Curves!$B$4:$AR$4,1,BT$3-Projects!$C$22+1),0)-IF(AND(Projects!$G$22="Yes",BT$3&gt;=Projects!$C$22,BT$3&lt;Projects!$C$22+Projects!$D$22),Projects!$B$22*(Assumptions!$B$10+Assumptions!$B$11+Assumptions!$B$12)/Projects!$D$22*0.95,0)-IF(AND(Projects!$G$22="Yes",BT$3=Projects!$C$22+Projects!$D$22-1),Projects!$B$22*(Assumptions!$B$10+Assumptions!$B$11+Assumptions!$B$12)*0.05,0)</f>
        <v>0</v>
      </c>
      <c r="BU31" s="19" t="n">
        <f aca="false">IF(AND(Projects!$G$22="Yes",BU$3&gt;=Projects!$C$22,BU$3&lt;Projects!$C$22+Projects!$D$22),Projects!$B$22*INDEX(Curves!$B$4:$AR$4,1,BU$3-Projects!$C$22+1),0)-IF(AND(Projects!$G$22="Yes",BU$3&gt;=Projects!$C$22,BU$3&lt;Projects!$C$22+Projects!$D$22),Projects!$B$22*(Assumptions!$B$10+Assumptions!$B$11+Assumptions!$B$12)/Projects!$D$22*0.95,0)-IF(AND(Projects!$G$22="Yes",BU$3=Projects!$C$22+Projects!$D$22-1),Projects!$B$22*(Assumptions!$B$10+Assumptions!$B$11+Assumptions!$B$12)*0.05,0)</f>
        <v>0</v>
      </c>
      <c r="BV31" s="19" t="n">
        <f aca="false">IF(AND(Projects!$G$22="Yes",BV$3&gt;=Projects!$C$22,BV$3&lt;Projects!$C$22+Projects!$D$22),Projects!$B$22*INDEX(Curves!$B$4:$AR$4,1,BV$3-Projects!$C$22+1),0)-IF(AND(Projects!$G$22="Yes",BV$3&gt;=Projects!$C$22,BV$3&lt;Projects!$C$22+Projects!$D$22),Projects!$B$22*(Assumptions!$B$10+Assumptions!$B$11+Assumptions!$B$12)/Projects!$D$22*0.95,0)-IF(AND(Projects!$G$22="Yes",BV$3=Projects!$C$22+Projects!$D$22-1),Projects!$B$22*(Assumptions!$B$10+Assumptions!$B$11+Assumptions!$B$12)*0.05,0)</f>
        <v>0</v>
      </c>
      <c r="BW31" s="19" t="n">
        <f aca="false">IF(AND(Projects!$G$22="Yes",BW$3&gt;=Projects!$C$22,BW$3&lt;Projects!$C$22+Projects!$D$22),Projects!$B$22*INDEX(Curves!$B$4:$AR$4,1,BW$3-Projects!$C$22+1),0)-IF(AND(Projects!$G$22="Yes",BW$3&gt;=Projects!$C$22,BW$3&lt;Projects!$C$22+Projects!$D$22),Projects!$B$22*(Assumptions!$B$10+Assumptions!$B$11+Assumptions!$B$12)/Projects!$D$22*0.95,0)-IF(AND(Projects!$G$22="Yes",BW$3=Projects!$C$22+Projects!$D$22-1),Projects!$B$22*(Assumptions!$B$10+Assumptions!$B$11+Assumptions!$B$12)*0.05,0)</f>
        <v>0</v>
      </c>
      <c r="BX31" s="19" t="n">
        <f aca="false">IF(AND(Projects!$G$22="Yes",BX$3&gt;=Projects!$C$22,BX$3&lt;Projects!$C$22+Projects!$D$22),Projects!$B$22*INDEX(Curves!$B$4:$AR$4,1,BX$3-Projects!$C$22+1),0)-IF(AND(Projects!$G$22="Yes",BX$3&gt;=Projects!$C$22,BX$3&lt;Projects!$C$22+Projects!$D$22),Projects!$B$22*(Assumptions!$B$10+Assumptions!$B$11+Assumptions!$B$12)/Projects!$D$22*0.95,0)-IF(AND(Projects!$G$22="Yes",BX$3=Projects!$C$22+Projects!$D$22-1),Projects!$B$22*(Assumptions!$B$10+Assumptions!$B$11+Assumptions!$B$12)*0.05,0)</f>
        <v>0</v>
      </c>
      <c r="BY31" s="19" t="n">
        <f aca="false">IF(AND(Projects!$G$22="Yes",BY$3&gt;=Projects!$C$22,BY$3&lt;Projects!$C$22+Projects!$D$22),Projects!$B$22*INDEX(Curves!$B$4:$AR$4,1,BY$3-Projects!$C$22+1),0)-IF(AND(Projects!$G$22="Yes",BY$3&gt;=Projects!$C$22,BY$3&lt;Projects!$C$22+Projects!$D$22),Projects!$B$22*(Assumptions!$B$10+Assumptions!$B$11+Assumptions!$B$12)/Projects!$D$22*0.95,0)-IF(AND(Projects!$G$22="Yes",BY$3=Projects!$C$22+Projects!$D$22-1),Projects!$B$22*(Assumptions!$B$10+Assumptions!$B$11+Assumptions!$B$12)*0.05,0)</f>
        <v>0</v>
      </c>
      <c r="BZ31" s="19" t="n">
        <f aca="false">IF(AND(Projects!$G$22="Yes",BZ$3&gt;=Projects!$C$22,BZ$3&lt;Projects!$C$22+Projects!$D$22),Projects!$B$22*INDEX(Curves!$B$4:$AR$4,1,BZ$3-Projects!$C$22+1),0)-IF(AND(Projects!$G$22="Yes",BZ$3&gt;=Projects!$C$22,BZ$3&lt;Projects!$C$22+Projects!$D$22),Projects!$B$22*(Assumptions!$B$10+Assumptions!$B$11+Assumptions!$B$12)/Projects!$D$22*0.95,0)-IF(AND(Projects!$G$22="Yes",BZ$3=Projects!$C$22+Projects!$D$22-1),Projects!$B$22*(Assumptions!$B$10+Assumptions!$B$11+Assumptions!$B$12)*0.05,0)</f>
        <v>0</v>
      </c>
      <c r="CA31" s="19" t="n">
        <f aca="false">IF(AND(Projects!$G$22="Yes",CA$3&gt;=Projects!$C$22,CA$3&lt;Projects!$C$22+Projects!$D$22),Projects!$B$22*INDEX(Curves!$B$4:$AR$4,1,CA$3-Projects!$C$22+1),0)-IF(AND(Projects!$G$22="Yes",CA$3&gt;=Projects!$C$22,CA$3&lt;Projects!$C$22+Projects!$D$22),Projects!$B$22*(Assumptions!$B$10+Assumptions!$B$11+Assumptions!$B$12)/Projects!$D$22*0.95,0)-IF(AND(Projects!$G$22="Yes",CA$3=Projects!$C$22+Projects!$D$22-1),Projects!$B$22*(Assumptions!$B$10+Assumptions!$B$11+Assumptions!$B$12)*0.05,0)</f>
        <v>0</v>
      </c>
      <c r="CB31" s="19" t="n">
        <f aca="false">IF(AND(Projects!$G$22="Yes",CB$3&gt;=Projects!$C$22,CB$3&lt;Projects!$C$22+Projects!$D$22),Projects!$B$22*INDEX(Curves!$B$4:$AR$4,1,CB$3-Projects!$C$22+1),0)-IF(AND(Projects!$G$22="Yes",CB$3&gt;=Projects!$C$22,CB$3&lt;Projects!$C$22+Projects!$D$22),Projects!$B$22*(Assumptions!$B$10+Assumptions!$B$11+Assumptions!$B$12)/Projects!$D$22*0.95,0)-IF(AND(Projects!$G$22="Yes",CB$3=Projects!$C$22+Projects!$D$22-1),Projects!$B$22*(Assumptions!$B$10+Assumptions!$B$11+Assumptions!$B$12)*0.05,0)</f>
        <v>0</v>
      </c>
      <c r="CC31" s="19" t="n">
        <f aca="false">IF(AND(Projects!$G$22="Yes",CC$3&gt;=Projects!$C$22,CC$3&lt;Projects!$C$22+Projects!$D$22),Projects!$B$22*INDEX(Curves!$B$4:$AR$4,1,CC$3-Projects!$C$22+1),0)-IF(AND(Projects!$G$22="Yes",CC$3&gt;=Projects!$C$22,CC$3&lt;Projects!$C$22+Projects!$D$22),Projects!$B$22*(Assumptions!$B$10+Assumptions!$B$11+Assumptions!$B$12)/Projects!$D$22*0.95,0)-IF(AND(Projects!$G$22="Yes",CC$3=Projects!$C$22+Projects!$D$22-1),Projects!$B$22*(Assumptions!$B$10+Assumptions!$B$11+Assumptions!$B$12)*0.05,0)</f>
        <v>0</v>
      </c>
      <c r="CD31" s="19" t="n">
        <f aca="false">IF(AND(Projects!$G$22="Yes",CD$3&gt;=Projects!$C$22,CD$3&lt;Projects!$C$22+Projects!$D$22),Projects!$B$22*INDEX(Curves!$B$4:$AR$4,1,CD$3-Projects!$C$22+1),0)-IF(AND(Projects!$G$22="Yes",CD$3&gt;=Projects!$C$22,CD$3&lt;Projects!$C$22+Projects!$D$22),Projects!$B$22*(Assumptions!$B$10+Assumptions!$B$11+Assumptions!$B$12)/Projects!$D$22*0.95,0)-IF(AND(Projects!$G$22="Yes",CD$3=Projects!$C$22+Projects!$D$22-1),Projects!$B$22*(Assumptions!$B$10+Assumptions!$B$11+Assumptions!$B$12)*0.05,0)</f>
        <v>0</v>
      </c>
      <c r="CE31" s="19" t="n">
        <f aca="false">IF(AND(Projects!$G$22="Yes",CE$3&gt;=Projects!$C$22,CE$3&lt;Projects!$C$22+Projects!$D$22),Projects!$B$22*INDEX(Curves!$B$4:$AR$4,1,CE$3-Projects!$C$22+1),0)-IF(AND(Projects!$G$22="Yes",CE$3&gt;=Projects!$C$22,CE$3&lt;Projects!$C$22+Projects!$D$22),Projects!$B$22*(Assumptions!$B$10+Assumptions!$B$11+Assumptions!$B$12)/Projects!$D$22*0.95,0)-IF(AND(Projects!$G$22="Yes",CE$3=Projects!$C$22+Projects!$D$22-1),Projects!$B$22*(Assumptions!$B$10+Assumptions!$B$11+Assumptions!$B$12)*0.05,0)</f>
        <v>0</v>
      </c>
      <c r="CF31" s="19" t="n">
        <f aca="false">IF(AND(Projects!$G$22="Yes",CF$3&gt;=Projects!$C$22,CF$3&lt;Projects!$C$22+Projects!$D$22),Projects!$B$22*INDEX(Curves!$B$4:$AR$4,1,CF$3-Projects!$C$22+1),0)-IF(AND(Projects!$G$22="Yes",CF$3&gt;=Projects!$C$22,CF$3&lt;Projects!$C$22+Projects!$D$22),Projects!$B$22*(Assumptions!$B$10+Assumptions!$B$11+Assumptions!$B$12)/Projects!$D$22*0.95,0)-IF(AND(Projects!$G$22="Yes",CF$3=Projects!$C$22+Projects!$D$22-1),Projects!$B$22*(Assumptions!$B$10+Assumptions!$B$11+Assumptions!$B$12)*0.05,0)</f>
        <v>0</v>
      </c>
      <c r="CG31" s="19" t="n">
        <f aca="false">IF(AND(Projects!$G$22="Yes",CG$3&gt;=Projects!$C$22,CG$3&lt;Projects!$C$22+Projects!$D$22),Projects!$B$22*INDEX(Curves!$B$4:$AR$4,1,CG$3-Projects!$C$22+1),0)-IF(AND(Projects!$G$22="Yes",CG$3&gt;=Projects!$C$22,CG$3&lt;Projects!$C$22+Projects!$D$22),Projects!$B$22*(Assumptions!$B$10+Assumptions!$B$11+Assumptions!$B$12)/Projects!$D$22*0.95,0)-IF(AND(Projects!$G$22="Yes",CG$3=Projects!$C$22+Projects!$D$22-1),Projects!$B$22*(Assumptions!$B$10+Assumptions!$B$11+Assumptions!$B$12)*0.05,0)</f>
        <v>0</v>
      </c>
      <c r="CH31" s="19" t="n">
        <f aca="false">IF(AND(Projects!$G$22="Yes",CH$3&gt;=Projects!$C$22,CH$3&lt;Projects!$C$22+Projects!$D$22),Projects!$B$22*INDEX(Curves!$B$4:$AR$4,1,CH$3-Projects!$C$22+1),0)-IF(AND(Projects!$G$22="Yes",CH$3&gt;=Projects!$C$22,CH$3&lt;Projects!$C$22+Projects!$D$22),Projects!$B$22*(Assumptions!$B$10+Assumptions!$B$11+Assumptions!$B$12)/Projects!$D$22*0.95,0)-IF(AND(Projects!$G$22="Yes",CH$3=Projects!$C$22+Projects!$D$22-1),Projects!$B$22*(Assumptions!$B$10+Assumptions!$B$11+Assumptions!$B$12)*0.05,0)</f>
        <v>0</v>
      </c>
      <c r="CI31" s="19" t="n">
        <f aca="false">IF(AND(Projects!$G$22="Yes",CI$3&gt;=Projects!$C$22,CI$3&lt;Projects!$C$22+Projects!$D$22),Projects!$B$22*INDEX(Curves!$B$4:$AR$4,1,CI$3-Projects!$C$22+1),0)-IF(AND(Projects!$G$22="Yes",CI$3&gt;=Projects!$C$22,CI$3&lt;Projects!$C$22+Projects!$D$22),Projects!$B$22*(Assumptions!$B$10+Assumptions!$B$11+Assumptions!$B$12)/Projects!$D$22*0.95,0)-IF(AND(Projects!$G$22="Yes",CI$3=Projects!$C$22+Projects!$D$22-1),Projects!$B$22*(Assumptions!$B$10+Assumptions!$B$11+Assumptions!$B$12)*0.05,0)</f>
        <v>0</v>
      </c>
      <c r="CJ31" s="19" t="n">
        <f aca="false">IF(AND(Projects!$G$22="Yes",CJ$3&gt;=Projects!$C$22,CJ$3&lt;Projects!$C$22+Projects!$D$22),Projects!$B$22*INDEX(Curves!$B$4:$AR$4,1,CJ$3-Projects!$C$22+1),0)-IF(AND(Projects!$G$22="Yes",CJ$3&gt;=Projects!$C$22,CJ$3&lt;Projects!$C$22+Projects!$D$22),Projects!$B$22*(Assumptions!$B$10+Assumptions!$B$11+Assumptions!$B$12)/Projects!$D$22*0.95,0)-IF(AND(Projects!$G$22="Yes",CJ$3=Projects!$C$22+Projects!$D$22-1),Projects!$B$22*(Assumptions!$B$10+Assumptions!$B$11+Assumptions!$B$12)*0.05,0)</f>
        <v>0</v>
      </c>
      <c r="CK31" s="19" t="n">
        <f aca="false">IF(AND(Projects!$G$22="Yes",CK$3&gt;=Projects!$C$22,CK$3&lt;Projects!$C$22+Projects!$D$22),Projects!$B$22*INDEX(Curves!$B$4:$AR$4,1,CK$3-Projects!$C$22+1),0)-IF(AND(Projects!$G$22="Yes",CK$3&gt;=Projects!$C$22,CK$3&lt;Projects!$C$22+Projects!$D$22),Projects!$B$22*(Assumptions!$B$10+Assumptions!$B$11+Assumptions!$B$12)/Projects!$D$22*0.95,0)-IF(AND(Projects!$G$22="Yes",CK$3=Projects!$C$22+Projects!$D$22-1),Projects!$B$22*(Assumptions!$B$10+Assumptions!$B$11+Assumptions!$B$12)*0.05,0)</f>
        <v>0</v>
      </c>
      <c r="CL31" s="19" t="n">
        <f aca="false">IF(AND(Projects!$G$22="Yes",CL$3&gt;=Projects!$C$22,CL$3&lt;Projects!$C$22+Projects!$D$22),Projects!$B$22*INDEX(Curves!$B$4:$AR$4,1,CL$3-Projects!$C$22+1),0)-IF(AND(Projects!$G$22="Yes",CL$3&gt;=Projects!$C$22,CL$3&lt;Projects!$C$22+Projects!$D$22),Projects!$B$22*(Assumptions!$B$10+Assumptions!$B$11+Assumptions!$B$12)/Projects!$D$22*0.95,0)-IF(AND(Projects!$G$22="Yes",CL$3=Projects!$C$22+Projects!$D$22-1),Projects!$B$22*(Assumptions!$B$10+Assumptions!$B$11+Assumptions!$B$12)*0.05,0)</f>
        <v>0</v>
      </c>
      <c r="CM31" s="19" t="n">
        <f aca="false">IF(AND(Projects!$G$22="Yes",CM$3&gt;=Projects!$C$22,CM$3&lt;Projects!$C$22+Projects!$D$22),Projects!$B$22*INDEX(Curves!$B$4:$AR$4,1,CM$3-Projects!$C$22+1),0)-IF(AND(Projects!$G$22="Yes",CM$3&gt;=Projects!$C$22,CM$3&lt;Projects!$C$22+Projects!$D$22),Projects!$B$22*(Assumptions!$B$10+Assumptions!$B$11+Assumptions!$B$12)/Projects!$D$22*0.95,0)-IF(AND(Projects!$G$22="Yes",CM$3=Projects!$C$22+Projects!$D$22-1),Projects!$B$22*(Assumptions!$B$10+Assumptions!$B$11+Assumptions!$B$12)*0.05,0)</f>
        <v>0</v>
      </c>
      <c r="CN31" s="19" t="n">
        <f aca="false">IF(AND(Projects!$G$22="Yes",CN$3&gt;=Projects!$C$22,CN$3&lt;Projects!$C$22+Projects!$D$22),Projects!$B$22*INDEX(Curves!$B$4:$AR$4,1,CN$3-Projects!$C$22+1),0)-IF(AND(Projects!$G$22="Yes",CN$3&gt;=Projects!$C$22,CN$3&lt;Projects!$C$22+Projects!$D$22),Projects!$B$22*(Assumptions!$B$10+Assumptions!$B$11+Assumptions!$B$12)/Projects!$D$22*0.95,0)-IF(AND(Projects!$G$22="Yes",CN$3=Projects!$C$22+Projects!$D$22-1),Projects!$B$22*(Assumptions!$B$10+Assumptions!$B$11+Assumptions!$B$12)*0.05,0)</f>
        <v>0</v>
      </c>
      <c r="CO31" s="19" t="n">
        <f aca="false">IF(AND(Projects!$G$22="Yes",CO$3&gt;=Projects!$C$22,CO$3&lt;Projects!$C$22+Projects!$D$22),Projects!$B$22*INDEX(Curves!$B$4:$AR$4,1,CO$3-Projects!$C$22+1),0)-IF(AND(Projects!$G$22="Yes",CO$3&gt;=Projects!$C$22,CO$3&lt;Projects!$C$22+Projects!$D$22),Projects!$B$22*(Assumptions!$B$10+Assumptions!$B$11+Assumptions!$B$12)/Projects!$D$22*0.95,0)-IF(AND(Projects!$G$22="Yes",CO$3=Projects!$C$22+Projects!$D$22-1),Projects!$B$22*(Assumptions!$B$10+Assumptions!$B$11+Assumptions!$B$12)*0.05,0)</f>
        <v>0</v>
      </c>
      <c r="CP31" s="19" t="n">
        <f aca="false">IF(AND(Projects!$G$22="Yes",CP$3&gt;=Projects!$C$22,CP$3&lt;Projects!$C$22+Projects!$D$22),Projects!$B$22*INDEX(Curves!$B$4:$AR$4,1,CP$3-Projects!$C$22+1),0)-IF(AND(Projects!$G$22="Yes",CP$3&gt;=Projects!$C$22,CP$3&lt;Projects!$C$22+Projects!$D$22),Projects!$B$22*(Assumptions!$B$10+Assumptions!$B$11+Assumptions!$B$12)/Projects!$D$22*0.95,0)-IF(AND(Projects!$G$22="Yes",CP$3=Projects!$C$22+Projects!$D$22-1),Projects!$B$22*(Assumptions!$B$10+Assumptions!$B$11+Assumptions!$B$12)*0.05,0)</f>
        <v>0</v>
      </c>
      <c r="CQ31" s="19" t="n">
        <f aca="false">IF(AND(Projects!$G$22="Yes",CQ$3&gt;=Projects!$C$22,CQ$3&lt;Projects!$C$22+Projects!$D$22),Projects!$B$22*INDEX(Curves!$B$4:$AR$4,1,CQ$3-Projects!$C$22+1),0)-IF(AND(Projects!$G$22="Yes",CQ$3&gt;=Projects!$C$22,CQ$3&lt;Projects!$C$22+Projects!$D$22),Projects!$B$22*(Assumptions!$B$10+Assumptions!$B$11+Assumptions!$B$12)/Projects!$D$22*0.95,0)-IF(AND(Projects!$G$22="Yes",CQ$3=Projects!$C$22+Projects!$D$22-1),Projects!$B$22*(Assumptions!$B$10+Assumptions!$B$11+Assumptions!$B$12)*0.05,0)</f>
        <v>0</v>
      </c>
      <c r="CR31" s="19" t="n">
        <f aca="false">IF(AND(Projects!$G$22="Yes",CR$3&gt;=Projects!$C$22,CR$3&lt;Projects!$C$22+Projects!$D$22),Projects!$B$22*INDEX(Curves!$B$4:$AR$4,1,CR$3-Projects!$C$22+1),0)-IF(AND(Projects!$G$22="Yes",CR$3&gt;=Projects!$C$22,CR$3&lt;Projects!$C$22+Projects!$D$22),Projects!$B$22*(Assumptions!$B$10+Assumptions!$B$11+Assumptions!$B$12)/Projects!$D$22*0.95,0)-IF(AND(Projects!$G$22="Yes",CR$3=Projects!$C$22+Projects!$D$22-1),Projects!$B$22*(Assumptions!$B$10+Assumptions!$B$11+Assumptions!$B$12)*0.05,0)</f>
        <v>0</v>
      </c>
      <c r="CS31" s="19" t="n">
        <f aca="false">IF(AND(Projects!$G$22="Yes",CS$3&gt;=Projects!$C$22,CS$3&lt;Projects!$C$22+Projects!$D$22),Projects!$B$22*INDEX(Curves!$B$4:$AR$4,1,CS$3-Projects!$C$22+1),0)-IF(AND(Projects!$G$22="Yes",CS$3&gt;=Projects!$C$22,CS$3&lt;Projects!$C$22+Projects!$D$22),Projects!$B$22*(Assumptions!$B$10+Assumptions!$B$11+Assumptions!$B$12)/Projects!$D$22*0.95,0)-IF(AND(Projects!$G$22="Yes",CS$3=Projects!$C$22+Projects!$D$22-1),Projects!$B$22*(Assumptions!$B$10+Assumptions!$B$11+Assumptions!$B$12)*0.05,0)</f>
        <v>0</v>
      </c>
      <c r="CT31" s="19" t="n">
        <f aca="false">IF(AND(Projects!$G$22="Yes",CT$3&gt;=Projects!$C$22,CT$3&lt;Projects!$C$22+Projects!$D$22),Projects!$B$22*INDEX(Curves!$B$4:$AR$4,1,CT$3-Projects!$C$22+1),0)-IF(AND(Projects!$G$22="Yes",CT$3&gt;=Projects!$C$22,CT$3&lt;Projects!$C$22+Projects!$D$22),Projects!$B$22*(Assumptions!$B$10+Assumptions!$B$11+Assumptions!$B$12)/Projects!$D$22*0.95,0)-IF(AND(Projects!$G$22="Yes",CT$3=Projects!$C$22+Projects!$D$22-1),Projects!$B$22*(Assumptions!$B$10+Assumptions!$B$11+Assumptions!$B$12)*0.05,0)</f>
        <v>0</v>
      </c>
      <c r="CU31" s="19" t="n">
        <f aca="false">IF(AND(Projects!$G$22="Yes",CU$3&gt;=Projects!$C$22,CU$3&lt;Projects!$C$22+Projects!$D$22),Projects!$B$22*INDEX(Curves!$B$4:$AR$4,1,CU$3-Projects!$C$22+1),0)-IF(AND(Projects!$G$22="Yes",CU$3&gt;=Projects!$C$22,CU$3&lt;Projects!$C$22+Projects!$D$22),Projects!$B$22*(Assumptions!$B$10+Assumptions!$B$11+Assumptions!$B$12)/Projects!$D$22*0.95,0)-IF(AND(Projects!$G$22="Yes",CU$3=Projects!$C$22+Projects!$D$22-1),Projects!$B$22*(Assumptions!$B$10+Assumptions!$B$11+Assumptions!$B$12)*0.05,0)</f>
        <v>0</v>
      </c>
      <c r="CV31" s="19" t="n">
        <f aca="false">IF(AND(Projects!$G$22="Yes",CV$3&gt;=Projects!$C$22,CV$3&lt;Projects!$C$22+Projects!$D$22),Projects!$B$22*INDEX(Curves!$B$4:$AR$4,1,CV$3-Projects!$C$22+1),0)-IF(AND(Projects!$G$22="Yes",CV$3&gt;=Projects!$C$22,CV$3&lt;Projects!$C$22+Projects!$D$22),Projects!$B$22*(Assumptions!$B$10+Assumptions!$B$11+Assumptions!$B$12)/Projects!$D$22*0.95,0)-IF(AND(Projects!$G$22="Yes",CV$3=Projects!$C$22+Projects!$D$22-1),Projects!$B$22*(Assumptions!$B$10+Assumptions!$B$11+Assumptions!$B$12)*0.05,0)</f>
        <v>0</v>
      </c>
      <c r="CW31" s="19" t="n">
        <f aca="false">IF(AND(Projects!$G$22="Yes",CW$3&gt;=Projects!$C$22,CW$3&lt;Projects!$C$22+Projects!$D$22),Projects!$B$22*INDEX(Curves!$B$4:$AR$4,1,CW$3-Projects!$C$22+1),0)-IF(AND(Projects!$G$22="Yes",CW$3&gt;=Projects!$C$22,CW$3&lt;Projects!$C$22+Projects!$D$22),Projects!$B$22*(Assumptions!$B$10+Assumptions!$B$11+Assumptions!$B$12)/Projects!$D$22*0.95,0)-IF(AND(Projects!$G$22="Yes",CW$3=Projects!$C$22+Projects!$D$22-1),Projects!$B$22*(Assumptions!$B$10+Assumptions!$B$11+Assumptions!$B$12)*0.05,0)</f>
        <v>0</v>
      </c>
      <c r="CX31" s="19" t="n">
        <f aca="false">IF(AND(Projects!$G$22="Yes",CX$3&gt;=Projects!$C$22,CX$3&lt;Projects!$C$22+Projects!$D$22),Projects!$B$22*INDEX(Curves!$B$4:$AR$4,1,CX$3-Projects!$C$22+1),0)-IF(AND(Projects!$G$22="Yes",CX$3&gt;=Projects!$C$22,CX$3&lt;Projects!$C$22+Projects!$D$22),Projects!$B$22*(Assumptions!$B$10+Assumptions!$B$11+Assumptions!$B$12)/Projects!$D$22*0.95,0)-IF(AND(Projects!$G$22="Yes",CX$3=Projects!$C$22+Projects!$D$22-1),Projects!$B$22*(Assumptions!$B$10+Assumptions!$B$11+Assumptions!$B$12)*0.05,0)</f>
        <v>0</v>
      </c>
      <c r="CY31" s="19" t="n">
        <f aca="false">IF(AND(Projects!$G$22="Yes",CY$3&gt;=Projects!$C$22,CY$3&lt;Projects!$C$22+Projects!$D$22),Projects!$B$22*INDEX(Curves!$B$4:$AR$4,1,CY$3-Projects!$C$22+1),0)-IF(AND(Projects!$G$22="Yes",CY$3&gt;=Projects!$C$22,CY$3&lt;Projects!$C$22+Projects!$D$22),Projects!$B$22*(Assumptions!$B$10+Assumptions!$B$11+Assumptions!$B$12)/Projects!$D$22*0.95,0)-IF(AND(Projects!$G$22="Yes",CY$3=Projects!$C$22+Projects!$D$22-1),Projects!$B$22*(Assumptions!$B$10+Assumptions!$B$11+Assumptions!$B$12)*0.05,0)</f>
        <v>0</v>
      </c>
      <c r="CZ31" s="19" t="n">
        <f aca="false">IF(AND(Projects!$G$22="Yes",CZ$3&gt;=Projects!$C$22,CZ$3&lt;Projects!$C$22+Projects!$D$22),Projects!$B$22*INDEX(Curves!$B$4:$AR$4,1,CZ$3-Projects!$C$22+1),0)-IF(AND(Projects!$G$22="Yes",CZ$3&gt;=Projects!$C$22,CZ$3&lt;Projects!$C$22+Projects!$D$22),Projects!$B$22*(Assumptions!$B$10+Assumptions!$B$11+Assumptions!$B$12)/Projects!$D$22*0.95,0)-IF(AND(Projects!$G$22="Yes",CZ$3=Projects!$C$22+Projects!$D$22-1),Projects!$B$22*(Assumptions!$B$10+Assumptions!$B$11+Assumptions!$B$12)*0.05,0)</f>
        <v>0</v>
      </c>
      <c r="DA31" s="19" t="n">
        <f aca="false">IF(AND(Projects!$G$22="Yes",DA$3&gt;=Projects!$C$22,DA$3&lt;Projects!$C$22+Projects!$D$22),Projects!$B$22*INDEX(Curves!$B$4:$AR$4,1,DA$3-Projects!$C$22+1),0)-IF(AND(Projects!$G$22="Yes",DA$3&gt;=Projects!$C$22,DA$3&lt;Projects!$C$22+Projects!$D$22),Projects!$B$22*(Assumptions!$B$10+Assumptions!$B$11+Assumptions!$B$12)/Projects!$D$22*0.95,0)-IF(AND(Projects!$G$22="Yes",DA$3=Projects!$C$22+Projects!$D$22-1),Projects!$B$22*(Assumptions!$B$10+Assumptions!$B$11+Assumptions!$B$12)*0.05,0)</f>
        <v>0</v>
      </c>
      <c r="DB31" s="19" t="n">
        <f aca="false">IF(AND(Projects!$G$22="Yes",DB$3&gt;=Projects!$C$22,DB$3&lt;Projects!$C$22+Projects!$D$22),Projects!$B$22*INDEX(Curves!$B$4:$AR$4,1,DB$3-Projects!$C$22+1),0)-IF(AND(Projects!$G$22="Yes",DB$3&gt;=Projects!$C$22,DB$3&lt;Projects!$C$22+Projects!$D$22),Projects!$B$22*(Assumptions!$B$10+Assumptions!$B$11+Assumptions!$B$12)/Projects!$D$22*0.95,0)-IF(AND(Projects!$G$22="Yes",DB$3=Projects!$C$22+Projects!$D$22-1),Projects!$B$22*(Assumptions!$B$10+Assumptions!$B$11+Assumptions!$B$12)*0.05,0)</f>
        <v>0</v>
      </c>
      <c r="DC31" s="19" t="n">
        <f aca="false">IF(AND(Projects!$G$22="Yes",DC$3&gt;=Projects!$C$22,DC$3&lt;Projects!$C$22+Projects!$D$22),Projects!$B$22*INDEX(Curves!$B$4:$AR$4,1,DC$3-Projects!$C$22+1),0)-IF(AND(Projects!$G$22="Yes",DC$3&gt;=Projects!$C$22,DC$3&lt;Projects!$C$22+Projects!$D$22),Projects!$B$22*(Assumptions!$B$10+Assumptions!$B$11+Assumptions!$B$12)/Projects!$D$22*0.95,0)-IF(AND(Projects!$G$22="Yes",DC$3=Projects!$C$22+Projects!$D$22-1),Projects!$B$22*(Assumptions!$B$10+Assumptions!$B$11+Assumptions!$B$12)*0.05,0)</f>
        <v>0</v>
      </c>
      <c r="DD31" s="19" t="n">
        <f aca="false">IF(AND(Projects!$G$22="Yes",DD$3&gt;=Projects!$C$22,DD$3&lt;Projects!$C$22+Projects!$D$22),Projects!$B$22*INDEX(Curves!$B$4:$AR$4,1,DD$3-Projects!$C$22+1),0)-IF(AND(Projects!$G$22="Yes",DD$3&gt;=Projects!$C$22,DD$3&lt;Projects!$C$22+Projects!$D$22),Projects!$B$22*(Assumptions!$B$10+Assumptions!$B$11+Assumptions!$B$12)/Projects!$D$22*0.95,0)-IF(AND(Projects!$G$22="Yes",DD$3=Projects!$C$22+Projects!$D$22-1),Projects!$B$22*(Assumptions!$B$10+Assumptions!$B$11+Assumptions!$B$12)*0.05,0)</f>
        <v>0</v>
      </c>
      <c r="DE31" s="19" t="n">
        <f aca="false">IF(AND(Projects!$G$22="Yes",DE$3&gt;=Projects!$C$22,DE$3&lt;Projects!$C$22+Projects!$D$22),Projects!$B$22*INDEX(Curves!$B$4:$AR$4,1,DE$3-Projects!$C$22+1),0)-IF(AND(Projects!$G$22="Yes",DE$3&gt;=Projects!$C$22,DE$3&lt;Projects!$C$22+Projects!$D$22),Projects!$B$22*(Assumptions!$B$10+Assumptions!$B$11+Assumptions!$B$12)/Projects!$D$22*0.95,0)-IF(AND(Projects!$G$22="Yes",DE$3=Projects!$C$22+Projects!$D$22-1),Projects!$B$22*(Assumptions!$B$10+Assumptions!$B$11+Assumptions!$B$12)*0.05,0)</f>
        <v>0</v>
      </c>
    </row>
    <row r="32" customFormat="false" ht="15" hidden="true" customHeight="true" outlineLevel="1" collapsed="false">
      <c r="A32" s="28" t="s">
        <v>26</v>
      </c>
      <c r="B32" s="19" t="n">
        <v>0</v>
      </c>
      <c r="C32" s="19" t="n">
        <v>0</v>
      </c>
      <c r="D32" s="19" t="n">
        <v>0</v>
      </c>
      <c r="E32" s="19" t="n">
        <v>0</v>
      </c>
      <c r="F32" s="19" t="n">
        <f aca="false">IF(AND(Projects!$G$23="Yes",F$3&gt;=Projects!$C$23,F$3&lt;Projects!$C$23+Projects!$D$23),Projects!$B$23*INDEX(Curves!$B$4:$AR$4,1,F$3-Projects!$C$23+1),0)-IF(AND(Projects!$G$23="Yes",F$3&gt;=Projects!$C$23,F$3&lt;Projects!$C$23+Projects!$D$23),Projects!$B$23*(Assumptions!$B$10+Assumptions!$B$11+Assumptions!$B$12)/Projects!$D$23*0.95,0)-IF(AND(Projects!$G$23="Yes",F$3=Projects!$C$23+Projects!$D$23-1),Projects!$B$23*(Assumptions!$B$10+Assumptions!$B$11+Assumptions!$B$12)*0.05,0)</f>
        <v>0</v>
      </c>
      <c r="G32" s="19" t="n">
        <f aca="false">IF(AND(Projects!$G$23="Yes",G$3&gt;=Projects!$C$23,G$3&lt;Projects!$C$23+Projects!$D$23),Projects!$B$23*INDEX(Curves!$B$4:$AR$4,1,G$3-Projects!$C$23+1),0)-IF(AND(Projects!$G$23="Yes",G$3&gt;=Projects!$C$23,G$3&lt;Projects!$C$23+Projects!$D$23),Projects!$B$23*(Assumptions!$B$10+Assumptions!$B$11+Assumptions!$B$12)/Projects!$D$23*0.95,0)-IF(AND(Projects!$G$23="Yes",G$3=Projects!$C$23+Projects!$D$23-1),Projects!$B$23*(Assumptions!$B$10+Assumptions!$B$11+Assumptions!$B$12)*0.05,0)</f>
        <v>0</v>
      </c>
      <c r="H32" s="19" t="n">
        <f aca="false">IF(AND(Projects!$G$23="Yes",H$3&gt;=Projects!$C$23,H$3&lt;Projects!$C$23+Projects!$D$23),Projects!$B$23*INDEX(Curves!$B$4:$AR$4,1,H$3-Projects!$C$23+1),0)-IF(AND(Projects!$G$23="Yes",H$3&gt;=Projects!$C$23,H$3&lt;Projects!$C$23+Projects!$D$23),Projects!$B$23*(Assumptions!$B$10+Assumptions!$B$11+Assumptions!$B$12)/Projects!$D$23*0.95,0)-IF(AND(Projects!$G$23="Yes",H$3=Projects!$C$23+Projects!$D$23-1),Projects!$B$23*(Assumptions!$B$10+Assumptions!$B$11+Assumptions!$B$12)*0.05,0)</f>
        <v>0</v>
      </c>
      <c r="I32" s="19" t="n">
        <f aca="false">IF(AND(Projects!$G$23="Yes",I$3&gt;=Projects!$C$23,I$3&lt;Projects!$C$23+Projects!$D$23),Projects!$B$23*INDEX(Curves!$B$4:$AR$4,1,I$3-Projects!$C$23+1),0)-IF(AND(Projects!$G$23="Yes",I$3&gt;=Projects!$C$23,I$3&lt;Projects!$C$23+Projects!$D$23),Projects!$B$23*(Assumptions!$B$10+Assumptions!$B$11+Assumptions!$B$12)/Projects!$D$23*0.95,0)-IF(AND(Projects!$G$23="Yes",I$3=Projects!$C$23+Projects!$D$23-1),Projects!$B$23*(Assumptions!$B$10+Assumptions!$B$11+Assumptions!$B$12)*0.05,0)</f>
        <v>0</v>
      </c>
      <c r="J32" s="19" t="n">
        <f aca="false">IF(AND(Projects!$G$23="Yes",J$3&gt;=Projects!$C$23,J$3&lt;Projects!$C$23+Projects!$D$23),Projects!$B$23*INDEX(Curves!$B$4:$AR$4,1,J$3-Projects!$C$23+1),0)-IF(AND(Projects!$G$23="Yes",J$3&gt;=Projects!$C$23,J$3&lt;Projects!$C$23+Projects!$D$23),Projects!$B$23*(Assumptions!$B$10+Assumptions!$B$11+Assumptions!$B$12)/Projects!$D$23*0.95,0)-IF(AND(Projects!$G$23="Yes",J$3=Projects!$C$23+Projects!$D$23-1),Projects!$B$23*(Assumptions!$B$10+Assumptions!$B$11+Assumptions!$B$12)*0.05,0)</f>
        <v>0</v>
      </c>
      <c r="K32" s="19" t="n">
        <f aca="false">IF(AND(Projects!$G$23="Yes",K$3&gt;=Projects!$C$23,K$3&lt;Projects!$C$23+Projects!$D$23),Projects!$B$23*INDEX(Curves!$B$4:$AR$4,1,K$3-Projects!$C$23+1),0)-IF(AND(Projects!$G$23="Yes",K$3&gt;=Projects!$C$23,K$3&lt;Projects!$C$23+Projects!$D$23),Projects!$B$23*(Assumptions!$B$10+Assumptions!$B$11+Assumptions!$B$12)/Projects!$D$23*0.95,0)-IF(AND(Projects!$G$23="Yes",K$3=Projects!$C$23+Projects!$D$23-1),Projects!$B$23*(Assumptions!$B$10+Assumptions!$B$11+Assumptions!$B$12)*0.05,0)</f>
        <v>0</v>
      </c>
      <c r="L32" s="19" t="n">
        <f aca="false">IF(AND(Projects!$G$23="Yes",L$3&gt;=Projects!$C$23,L$3&lt;Projects!$C$23+Projects!$D$23),Projects!$B$23*INDEX(Curves!$B$4:$AR$4,1,L$3-Projects!$C$23+1),0)-IF(AND(Projects!$G$23="Yes",L$3&gt;=Projects!$C$23,L$3&lt;Projects!$C$23+Projects!$D$23),Projects!$B$23*(Assumptions!$B$10+Assumptions!$B$11+Assumptions!$B$12)/Projects!$D$23*0.95,0)-IF(AND(Projects!$G$23="Yes",L$3=Projects!$C$23+Projects!$D$23-1),Projects!$B$23*(Assumptions!$B$10+Assumptions!$B$11+Assumptions!$B$12)*0.05,0)</f>
        <v>0</v>
      </c>
      <c r="M32" s="19" t="n">
        <f aca="false">IF(AND(Projects!$G$23="Yes",M$3&gt;=Projects!$C$23,M$3&lt;Projects!$C$23+Projects!$D$23),Projects!$B$23*INDEX(Curves!$B$4:$AR$4,1,M$3-Projects!$C$23+1),0)-IF(AND(Projects!$G$23="Yes",M$3&gt;=Projects!$C$23,M$3&lt;Projects!$C$23+Projects!$D$23),Projects!$B$23*(Assumptions!$B$10+Assumptions!$B$11+Assumptions!$B$12)/Projects!$D$23*0.95,0)-IF(AND(Projects!$G$23="Yes",M$3=Projects!$C$23+Projects!$D$23-1),Projects!$B$23*(Assumptions!$B$10+Assumptions!$B$11+Assumptions!$B$12)*0.05,0)</f>
        <v>0</v>
      </c>
      <c r="N32" s="19" t="n">
        <f aca="false">IF(AND(Projects!$G$23="Yes",N$3&gt;=Projects!$C$23,N$3&lt;Projects!$C$23+Projects!$D$23),Projects!$B$23*INDEX(Curves!$B$4:$AR$4,1,N$3-Projects!$C$23+1),0)-IF(AND(Projects!$G$23="Yes",N$3&gt;=Projects!$C$23,N$3&lt;Projects!$C$23+Projects!$D$23),Projects!$B$23*(Assumptions!$B$10+Assumptions!$B$11+Assumptions!$B$12)/Projects!$D$23*0.95,0)-IF(AND(Projects!$G$23="Yes",N$3=Projects!$C$23+Projects!$D$23-1),Projects!$B$23*(Assumptions!$B$10+Assumptions!$B$11+Assumptions!$B$12)*0.05,0)</f>
        <v>0</v>
      </c>
      <c r="O32" s="19" t="n">
        <f aca="false">IF(AND(Projects!$G$23="Yes",O$3&gt;=Projects!$C$23,O$3&lt;Projects!$C$23+Projects!$D$23),Projects!$B$23*INDEX(Curves!$B$4:$AR$4,1,O$3-Projects!$C$23+1),0)-IF(AND(Projects!$G$23="Yes",O$3&gt;=Projects!$C$23,O$3&lt;Projects!$C$23+Projects!$D$23),Projects!$B$23*(Assumptions!$B$10+Assumptions!$B$11+Assumptions!$B$12)/Projects!$D$23*0.95,0)-IF(AND(Projects!$G$23="Yes",O$3=Projects!$C$23+Projects!$D$23-1),Projects!$B$23*(Assumptions!$B$10+Assumptions!$B$11+Assumptions!$B$12)*0.05,0)</f>
        <v>0</v>
      </c>
      <c r="P32" s="19" t="n">
        <f aca="false">IF(AND(Projects!$G$23="Yes",P$3&gt;=Projects!$C$23,P$3&lt;Projects!$C$23+Projects!$D$23),Projects!$B$23*INDEX(Curves!$B$4:$AR$4,1,P$3-Projects!$C$23+1),0)-IF(AND(Projects!$G$23="Yes",P$3&gt;=Projects!$C$23,P$3&lt;Projects!$C$23+Projects!$D$23),Projects!$B$23*(Assumptions!$B$10+Assumptions!$B$11+Assumptions!$B$12)/Projects!$D$23*0.95,0)-IF(AND(Projects!$G$23="Yes",P$3=Projects!$C$23+Projects!$D$23-1),Projects!$B$23*(Assumptions!$B$10+Assumptions!$B$11+Assumptions!$B$12)*0.05,0)</f>
        <v>0</v>
      </c>
      <c r="Q32" s="19" t="n">
        <f aca="false">IF(AND(Projects!$G$23="Yes",Q$3&gt;=Projects!$C$23,Q$3&lt;Projects!$C$23+Projects!$D$23),Projects!$B$23*INDEX(Curves!$B$4:$AR$4,1,Q$3-Projects!$C$23+1),0)-IF(AND(Projects!$G$23="Yes",Q$3&gt;=Projects!$C$23,Q$3&lt;Projects!$C$23+Projects!$D$23),Projects!$B$23*(Assumptions!$B$10+Assumptions!$B$11+Assumptions!$B$12)/Projects!$D$23*0.95,0)-IF(AND(Projects!$G$23="Yes",Q$3=Projects!$C$23+Projects!$D$23-1),Projects!$B$23*(Assumptions!$B$10+Assumptions!$B$11+Assumptions!$B$12)*0.05,0)</f>
        <v>0</v>
      </c>
      <c r="R32" s="19" t="n">
        <f aca="false">IF(AND(Projects!$G$23="Yes",R$3&gt;=Projects!$C$23,R$3&lt;Projects!$C$23+Projects!$D$23),Projects!$B$23*INDEX(Curves!$B$4:$AR$4,1,R$3-Projects!$C$23+1),0)-IF(AND(Projects!$G$23="Yes",R$3&gt;=Projects!$C$23,R$3&lt;Projects!$C$23+Projects!$D$23),Projects!$B$23*(Assumptions!$B$10+Assumptions!$B$11+Assumptions!$B$12)/Projects!$D$23*0.95,0)-IF(AND(Projects!$G$23="Yes",R$3=Projects!$C$23+Projects!$D$23-1),Projects!$B$23*(Assumptions!$B$10+Assumptions!$B$11+Assumptions!$B$12)*0.05,0)</f>
        <v>0</v>
      </c>
      <c r="S32" s="19" t="n">
        <f aca="false">IF(AND(Projects!$G$23="Yes",S$3&gt;=Projects!$C$23,S$3&lt;Projects!$C$23+Projects!$D$23),Projects!$B$23*INDEX(Curves!$B$4:$AR$4,1,S$3-Projects!$C$23+1),0)-IF(AND(Projects!$G$23="Yes",S$3&gt;=Projects!$C$23,S$3&lt;Projects!$C$23+Projects!$D$23),Projects!$B$23*(Assumptions!$B$10+Assumptions!$B$11+Assumptions!$B$12)/Projects!$D$23*0.95,0)-IF(AND(Projects!$G$23="Yes",S$3=Projects!$C$23+Projects!$D$23-1),Projects!$B$23*(Assumptions!$B$10+Assumptions!$B$11+Assumptions!$B$12)*0.05,0)</f>
        <v>0</v>
      </c>
      <c r="T32" s="19" t="n">
        <f aca="false">IF(AND(Projects!$G$23="Yes",T$3&gt;=Projects!$C$23,T$3&lt;Projects!$C$23+Projects!$D$23),Projects!$B$23*INDEX(Curves!$B$4:$AR$4,1,T$3-Projects!$C$23+1),0)-IF(AND(Projects!$G$23="Yes",T$3&gt;=Projects!$C$23,T$3&lt;Projects!$C$23+Projects!$D$23),Projects!$B$23*(Assumptions!$B$10+Assumptions!$B$11+Assumptions!$B$12)/Projects!$D$23*0.95,0)-IF(AND(Projects!$G$23="Yes",T$3=Projects!$C$23+Projects!$D$23-1),Projects!$B$23*(Assumptions!$B$10+Assumptions!$B$11+Assumptions!$B$12)*0.05,0)</f>
        <v>0</v>
      </c>
      <c r="U32" s="19" t="n">
        <f aca="false">IF(AND(Projects!$G$23="Yes",U$3&gt;=Projects!$C$23,U$3&lt;Projects!$C$23+Projects!$D$23),Projects!$B$23*INDEX(Curves!$B$4:$AR$4,1,U$3-Projects!$C$23+1),0)-IF(AND(Projects!$G$23="Yes",U$3&gt;=Projects!$C$23,U$3&lt;Projects!$C$23+Projects!$D$23),Projects!$B$23*(Assumptions!$B$10+Assumptions!$B$11+Assumptions!$B$12)/Projects!$D$23*0.95,0)-IF(AND(Projects!$G$23="Yes",U$3=Projects!$C$23+Projects!$D$23-1),Projects!$B$23*(Assumptions!$B$10+Assumptions!$B$11+Assumptions!$B$12)*0.05,0)</f>
        <v>0</v>
      </c>
      <c r="V32" s="19" t="n">
        <f aca="false">IF(AND(Projects!$G$23="Yes",V$3&gt;=Projects!$C$23,V$3&lt;Projects!$C$23+Projects!$D$23),Projects!$B$23*INDEX(Curves!$B$4:$AR$4,1,V$3-Projects!$C$23+1),0)-IF(AND(Projects!$G$23="Yes",V$3&gt;=Projects!$C$23,V$3&lt;Projects!$C$23+Projects!$D$23),Projects!$B$23*(Assumptions!$B$10+Assumptions!$B$11+Assumptions!$B$12)/Projects!$D$23*0.95,0)-IF(AND(Projects!$G$23="Yes",V$3=Projects!$C$23+Projects!$D$23-1),Projects!$B$23*(Assumptions!$B$10+Assumptions!$B$11+Assumptions!$B$12)*0.05,0)</f>
        <v>0</v>
      </c>
      <c r="W32" s="19" t="n">
        <f aca="false">IF(AND(Projects!$G$23="Yes",W$3&gt;=Projects!$C$23,W$3&lt;Projects!$C$23+Projects!$D$23),Projects!$B$23*INDEX(Curves!$B$4:$AR$4,1,W$3-Projects!$C$23+1),0)-IF(AND(Projects!$G$23="Yes",W$3&gt;=Projects!$C$23,W$3&lt;Projects!$C$23+Projects!$D$23),Projects!$B$23*(Assumptions!$B$10+Assumptions!$B$11+Assumptions!$B$12)/Projects!$D$23*0.95,0)-IF(AND(Projects!$G$23="Yes",W$3=Projects!$C$23+Projects!$D$23-1),Projects!$B$23*(Assumptions!$B$10+Assumptions!$B$11+Assumptions!$B$12)*0.05,0)</f>
        <v>0</v>
      </c>
      <c r="X32" s="19" t="n">
        <f aca="false">IF(AND(Projects!$G$23="Yes",X$3&gt;=Projects!$C$23,X$3&lt;Projects!$C$23+Projects!$D$23),Projects!$B$23*INDEX(Curves!$B$4:$AR$4,1,X$3-Projects!$C$23+1),0)-IF(AND(Projects!$G$23="Yes",X$3&gt;=Projects!$C$23,X$3&lt;Projects!$C$23+Projects!$D$23),Projects!$B$23*(Assumptions!$B$10+Assumptions!$B$11+Assumptions!$B$12)/Projects!$D$23*0.95,0)-IF(AND(Projects!$G$23="Yes",X$3=Projects!$C$23+Projects!$D$23-1),Projects!$B$23*(Assumptions!$B$10+Assumptions!$B$11+Assumptions!$B$12)*0.05,0)</f>
        <v>0</v>
      </c>
      <c r="Y32" s="19" t="n">
        <f aca="false">IF(AND(Projects!$G$23="Yes",Y$3&gt;=Projects!$C$23,Y$3&lt;Projects!$C$23+Projects!$D$23),Projects!$B$23*INDEX(Curves!$B$4:$AR$4,1,Y$3-Projects!$C$23+1),0)-IF(AND(Projects!$G$23="Yes",Y$3&gt;=Projects!$C$23,Y$3&lt;Projects!$C$23+Projects!$D$23),Projects!$B$23*(Assumptions!$B$10+Assumptions!$B$11+Assumptions!$B$12)/Projects!$D$23*0.95,0)-IF(AND(Projects!$G$23="Yes",Y$3=Projects!$C$23+Projects!$D$23-1),Projects!$B$23*(Assumptions!$B$10+Assumptions!$B$11+Assumptions!$B$12)*0.05,0)</f>
        <v>0</v>
      </c>
      <c r="Z32" s="19" t="n">
        <f aca="false">IF(AND(Projects!$G$23="Yes",Z$3&gt;=Projects!$C$23,Z$3&lt;Projects!$C$23+Projects!$D$23),Projects!$B$23*INDEX(Curves!$B$4:$AR$4,1,Z$3-Projects!$C$23+1),0)-IF(AND(Projects!$G$23="Yes",Z$3&gt;=Projects!$C$23,Z$3&lt;Projects!$C$23+Projects!$D$23),Projects!$B$23*(Assumptions!$B$10+Assumptions!$B$11+Assumptions!$B$12)/Projects!$D$23*0.95,0)-IF(AND(Projects!$G$23="Yes",Z$3=Projects!$C$23+Projects!$D$23-1),Projects!$B$23*(Assumptions!$B$10+Assumptions!$B$11+Assumptions!$B$12)*0.05,0)</f>
        <v>0</v>
      </c>
      <c r="AA32" s="19" t="n">
        <f aca="false">IF(AND(Projects!$G$23="Yes",AA$3&gt;=Projects!$C$23,AA$3&lt;Projects!$C$23+Projects!$D$23),Projects!$B$23*INDEX(Curves!$B$4:$AR$4,1,AA$3-Projects!$C$23+1),0)-IF(AND(Projects!$G$23="Yes",AA$3&gt;=Projects!$C$23,AA$3&lt;Projects!$C$23+Projects!$D$23),Projects!$B$23*(Assumptions!$B$10+Assumptions!$B$11+Assumptions!$B$12)/Projects!$D$23*0.95,0)-IF(AND(Projects!$G$23="Yes",AA$3=Projects!$C$23+Projects!$D$23-1),Projects!$B$23*(Assumptions!$B$10+Assumptions!$B$11+Assumptions!$B$12)*0.05,0)</f>
        <v>0</v>
      </c>
      <c r="AB32" s="19" t="n">
        <f aca="false">IF(AND(Projects!$G$23="Yes",AB$3&gt;=Projects!$C$23,AB$3&lt;Projects!$C$23+Projects!$D$23),Projects!$B$23*INDEX(Curves!$B$4:$AR$4,1,AB$3-Projects!$C$23+1),0)-IF(AND(Projects!$G$23="Yes",AB$3&gt;=Projects!$C$23,AB$3&lt;Projects!$C$23+Projects!$D$23),Projects!$B$23*(Assumptions!$B$10+Assumptions!$B$11+Assumptions!$B$12)/Projects!$D$23*0.95,0)-IF(AND(Projects!$G$23="Yes",AB$3=Projects!$C$23+Projects!$D$23-1),Projects!$B$23*(Assumptions!$B$10+Assumptions!$B$11+Assumptions!$B$12)*0.05,0)</f>
        <v>0</v>
      </c>
      <c r="AC32" s="19" t="n">
        <f aca="false">IF(AND(Projects!$G$23="Yes",AC$3&gt;=Projects!$C$23,AC$3&lt;Projects!$C$23+Projects!$D$23),Projects!$B$23*INDEX(Curves!$B$4:$AR$4,1,AC$3-Projects!$C$23+1),0)-IF(AND(Projects!$G$23="Yes",AC$3&gt;=Projects!$C$23,AC$3&lt;Projects!$C$23+Projects!$D$23),Projects!$B$23*(Assumptions!$B$10+Assumptions!$B$11+Assumptions!$B$12)/Projects!$D$23*0.95,0)-IF(AND(Projects!$G$23="Yes",AC$3=Projects!$C$23+Projects!$D$23-1),Projects!$B$23*(Assumptions!$B$10+Assumptions!$B$11+Assumptions!$B$12)*0.05,0)</f>
        <v>0</v>
      </c>
      <c r="AD32" s="19" t="n">
        <f aca="false">IF(AND(Projects!$G$23="Yes",AD$3&gt;=Projects!$C$23,AD$3&lt;Projects!$C$23+Projects!$D$23),Projects!$B$23*INDEX(Curves!$B$4:$AR$4,1,AD$3-Projects!$C$23+1),0)-IF(AND(Projects!$G$23="Yes",AD$3&gt;=Projects!$C$23,AD$3&lt;Projects!$C$23+Projects!$D$23),Projects!$B$23*(Assumptions!$B$10+Assumptions!$B$11+Assumptions!$B$12)/Projects!$D$23*0.95,0)-IF(AND(Projects!$G$23="Yes",AD$3=Projects!$C$23+Projects!$D$23-1),Projects!$B$23*(Assumptions!$B$10+Assumptions!$B$11+Assumptions!$B$12)*0.05,0)</f>
        <v>0</v>
      </c>
      <c r="AE32" s="19" t="n">
        <f aca="false">IF(AND(Projects!$G$23="Yes",AE$3&gt;=Projects!$C$23,AE$3&lt;Projects!$C$23+Projects!$D$23),Projects!$B$23*INDEX(Curves!$B$4:$AR$4,1,AE$3-Projects!$C$23+1),0)-IF(AND(Projects!$G$23="Yes",AE$3&gt;=Projects!$C$23,AE$3&lt;Projects!$C$23+Projects!$D$23),Projects!$B$23*(Assumptions!$B$10+Assumptions!$B$11+Assumptions!$B$12)/Projects!$D$23*0.95,0)-IF(AND(Projects!$G$23="Yes",AE$3=Projects!$C$23+Projects!$D$23-1),Projects!$B$23*(Assumptions!$B$10+Assumptions!$B$11+Assumptions!$B$12)*0.05,0)</f>
        <v>0</v>
      </c>
      <c r="AF32" s="19" t="n">
        <f aca="false">IF(AND(Projects!$G$23="Yes",AF$3&gt;=Projects!$C$23,AF$3&lt;Projects!$C$23+Projects!$D$23),Projects!$B$23*INDEX(Curves!$B$4:$AR$4,1,AF$3-Projects!$C$23+1),0)-IF(AND(Projects!$G$23="Yes",AF$3&gt;=Projects!$C$23,AF$3&lt;Projects!$C$23+Projects!$D$23),Projects!$B$23*(Assumptions!$B$10+Assumptions!$B$11+Assumptions!$B$12)/Projects!$D$23*0.95,0)-IF(AND(Projects!$G$23="Yes",AF$3=Projects!$C$23+Projects!$D$23-1),Projects!$B$23*(Assumptions!$B$10+Assumptions!$B$11+Assumptions!$B$12)*0.05,0)</f>
        <v>0</v>
      </c>
      <c r="AG32" s="19" t="n">
        <f aca="false">IF(AND(Projects!$G$23="Yes",AG$3&gt;=Projects!$C$23,AG$3&lt;Projects!$C$23+Projects!$D$23),Projects!$B$23*INDEX(Curves!$B$4:$AR$4,1,AG$3-Projects!$C$23+1),0)-IF(AND(Projects!$G$23="Yes",AG$3&gt;=Projects!$C$23,AG$3&lt;Projects!$C$23+Projects!$D$23),Projects!$B$23*(Assumptions!$B$10+Assumptions!$B$11+Assumptions!$B$12)/Projects!$D$23*0.95,0)-IF(AND(Projects!$G$23="Yes",AG$3=Projects!$C$23+Projects!$D$23-1),Projects!$B$23*(Assumptions!$B$10+Assumptions!$B$11+Assumptions!$B$12)*0.05,0)</f>
        <v>0</v>
      </c>
      <c r="AH32" s="19" t="n">
        <f aca="false">IF(AND(Projects!$G$23="Yes",AH$3&gt;=Projects!$C$23,AH$3&lt;Projects!$C$23+Projects!$D$23),Projects!$B$23*INDEX(Curves!$B$4:$AR$4,1,AH$3-Projects!$C$23+1),0)-IF(AND(Projects!$G$23="Yes",AH$3&gt;=Projects!$C$23,AH$3&lt;Projects!$C$23+Projects!$D$23),Projects!$B$23*(Assumptions!$B$10+Assumptions!$B$11+Assumptions!$B$12)/Projects!$D$23*0.95,0)-IF(AND(Projects!$G$23="Yes",AH$3=Projects!$C$23+Projects!$D$23-1),Projects!$B$23*(Assumptions!$B$10+Assumptions!$B$11+Assumptions!$B$12)*0.05,0)</f>
        <v>0</v>
      </c>
      <c r="AI32" s="19" t="n">
        <f aca="false">IF(AND(Projects!$G$23="Yes",AI$3&gt;=Projects!$C$23,AI$3&lt;Projects!$C$23+Projects!$D$23),Projects!$B$23*INDEX(Curves!$B$4:$AR$4,1,AI$3-Projects!$C$23+1),0)-IF(AND(Projects!$G$23="Yes",AI$3&gt;=Projects!$C$23,AI$3&lt;Projects!$C$23+Projects!$D$23),Projects!$B$23*(Assumptions!$B$10+Assumptions!$B$11+Assumptions!$B$12)/Projects!$D$23*0.95,0)-IF(AND(Projects!$G$23="Yes",AI$3=Projects!$C$23+Projects!$D$23-1),Projects!$B$23*(Assumptions!$B$10+Assumptions!$B$11+Assumptions!$B$12)*0.05,0)</f>
        <v>0</v>
      </c>
      <c r="AJ32" s="19" t="n">
        <f aca="false">IF(AND(Projects!$G$23="Yes",AJ$3&gt;=Projects!$C$23,AJ$3&lt;Projects!$C$23+Projects!$D$23),Projects!$B$23*INDEX(Curves!$B$4:$AR$4,1,AJ$3-Projects!$C$23+1),0)-IF(AND(Projects!$G$23="Yes",AJ$3&gt;=Projects!$C$23,AJ$3&lt;Projects!$C$23+Projects!$D$23),Projects!$B$23*(Assumptions!$B$10+Assumptions!$B$11+Assumptions!$B$12)/Projects!$D$23*0.95,0)-IF(AND(Projects!$G$23="Yes",AJ$3=Projects!$C$23+Projects!$D$23-1),Projects!$B$23*(Assumptions!$B$10+Assumptions!$B$11+Assumptions!$B$12)*0.05,0)</f>
        <v>0</v>
      </c>
      <c r="AK32" s="19" t="n">
        <f aca="false">IF(AND(Projects!$G$23="Yes",AK$3&gt;=Projects!$C$23,AK$3&lt;Projects!$C$23+Projects!$D$23),Projects!$B$23*INDEX(Curves!$B$4:$AR$4,1,AK$3-Projects!$C$23+1),0)-IF(AND(Projects!$G$23="Yes",AK$3&gt;=Projects!$C$23,AK$3&lt;Projects!$C$23+Projects!$D$23),Projects!$B$23*(Assumptions!$B$10+Assumptions!$B$11+Assumptions!$B$12)/Projects!$D$23*0.95,0)-IF(AND(Projects!$G$23="Yes",AK$3=Projects!$C$23+Projects!$D$23-1),Projects!$B$23*(Assumptions!$B$10+Assumptions!$B$11+Assumptions!$B$12)*0.05,0)</f>
        <v>0</v>
      </c>
      <c r="AL32" s="19" t="n">
        <f aca="false">IF(AND(Projects!$G$23="Yes",AL$3&gt;=Projects!$C$23,AL$3&lt;Projects!$C$23+Projects!$D$23),Projects!$B$23*INDEX(Curves!$B$4:$AR$4,1,AL$3-Projects!$C$23+1),0)-IF(AND(Projects!$G$23="Yes",AL$3&gt;=Projects!$C$23,AL$3&lt;Projects!$C$23+Projects!$D$23),Projects!$B$23*(Assumptions!$B$10+Assumptions!$B$11+Assumptions!$B$12)/Projects!$D$23*0.95,0)-IF(AND(Projects!$G$23="Yes",AL$3=Projects!$C$23+Projects!$D$23-1),Projects!$B$23*(Assumptions!$B$10+Assumptions!$B$11+Assumptions!$B$12)*0.05,0)</f>
        <v>0</v>
      </c>
      <c r="AM32" s="19" t="n">
        <f aca="false">IF(AND(Projects!$G$23="Yes",AM$3&gt;=Projects!$C$23,AM$3&lt;Projects!$C$23+Projects!$D$23),Projects!$B$23*INDEX(Curves!$B$4:$AR$4,1,AM$3-Projects!$C$23+1),0)-IF(AND(Projects!$G$23="Yes",AM$3&gt;=Projects!$C$23,AM$3&lt;Projects!$C$23+Projects!$D$23),Projects!$B$23*(Assumptions!$B$10+Assumptions!$B$11+Assumptions!$B$12)/Projects!$D$23*0.95,0)-IF(AND(Projects!$G$23="Yes",AM$3=Projects!$C$23+Projects!$D$23-1),Projects!$B$23*(Assumptions!$B$10+Assumptions!$B$11+Assumptions!$B$12)*0.05,0)</f>
        <v>0</v>
      </c>
      <c r="AN32" s="19" t="n">
        <f aca="false">IF(AND(Projects!$G$23="Yes",AN$3&gt;=Projects!$C$23,AN$3&lt;Projects!$C$23+Projects!$D$23),Projects!$B$23*INDEX(Curves!$B$4:$AR$4,1,AN$3-Projects!$C$23+1),0)-IF(AND(Projects!$G$23="Yes",AN$3&gt;=Projects!$C$23,AN$3&lt;Projects!$C$23+Projects!$D$23),Projects!$B$23*(Assumptions!$B$10+Assumptions!$B$11+Assumptions!$B$12)/Projects!$D$23*0.95,0)-IF(AND(Projects!$G$23="Yes",AN$3=Projects!$C$23+Projects!$D$23-1),Projects!$B$23*(Assumptions!$B$10+Assumptions!$B$11+Assumptions!$B$12)*0.05,0)</f>
        <v>0</v>
      </c>
      <c r="AO32" s="19" t="n">
        <f aca="false">IF(AND(Projects!$G$23="Yes",AO$3&gt;=Projects!$C$23,AO$3&lt;Projects!$C$23+Projects!$D$23),Projects!$B$23*INDEX(Curves!$B$4:$AR$4,1,AO$3-Projects!$C$23+1),0)-IF(AND(Projects!$G$23="Yes",AO$3&gt;=Projects!$C$23,AO$3&lt;Projects!$C$23+Projects!$D$23),Projects!$B$23*(Assumptions!$B$10+Assumptions!$B$11+Assumptions!$B$12)/Projects!$D$23*0.95,0)-IF(AND(Projects!$G$23="Yes",AO$3=Projects!$C$23+Projects!$D$23-1),Projects!$B$23*(Assumptions!$B$10+Assumptions!$B$11+Assumptions!$B$12)*0.05,0)</f>
        <v>0</v>
      </c>
      <c r="AP32" s="19" t="n">
        <f aca="false">IF(AND(Projects!$G$23="Yes",AP$3&gt;=Projects!$C$23,AP$3&lt;Projects!$C$23+Projects!$D$23),Projects!$B$23*INDEX(Curves!$B$4:$AR$4,1,AP$3-Projects!$C$23+1),0)-IF(AND(Projects!$G$23="Yes",AP$3&gt;=Projects!$C$23,AP$3&lt;Projects!$C$23+Projects!$D$23),Projects!$B$23*(Assumptions!$B$10+Assumptions!$B$11+Assumptions!$B$12)/Projects!$D$23*0.95,0)-IF(AND(Projects!$G$23="Yes",AP$3=Projects!$C$23+Projects!$D$23-1),Projects!$B$23*(Assumptions!$B$10+Assumptions!$B$11+Assumptions!$B$12)*0.05,0)</f>
        <v>0</v>
      </c>
      <c r="AQ32" s="19" t="n">
        <f aca="false">IF(AND(Projects!$G$23="Yes",AQ$3&gt;=Projects!$C$23,AQ$3&lt;Projects!$C$23+Projects!$D$23),Projects!$B$23*INDEX(Curves!$B$4:$AR$4,1,AQ$3-Projects!$C$23+1),0)-IF(AND(Projects!$G$23="Yes",AQ$3&gt;=Projects!$C$23,AQ$3&lt;Projects!$C$23+Projects!$D$23),Projects!$B$23*(Assumptions!$B$10+Assumptions!$B$11+Assumptions!$B$12)/Projects!$D$23*0.95,0)-IF(AND(Projects!$G$23="Yes",AQ$3=Projects!$C$23+Projects!$D$23-1),Projects!$B$23*(Assumptions!$B$10+Assumptions!$B$11+Assumptions!$B$12)*0.05,0)</f>
        <v>0</v>
      </c>
      <c r="AR32" s="19" t="n">
        <f aca="false">IF(AND(Projects!$G$23="Yes",AR$3&gt;=Projects!$C$23,AR$3&lt;Projects!$C$23+Projects!$D$23),Projects!$B$23*INDEX(Curves!$B$4:$AR$4,1,AR$3-Projects!$C$23+1),0)-IF(AND(Projects!$G$23="Yes",AR$3&gt;=Projects!$C$23,AR$3&lt;Projects!$C$23+Projects!$D$23),Projects!$B$23*(Assumptions!$B$10+Assumptions!$B$11+Assumptions!$B$12)/Projects!$D$23*0.95,0)-IF(AND(Projects!$G$23="Yes",AR$3=Projects!$C$23+Projects!$D$23-1),Projects!$B$23*(Assumptions!$B$10+Assumptions!$B$11+Assumptions!$B$12)*0.05,0)</f>
        <v>0</v>
      </c>
      <c r="AS32" s="19" t="n">
        <f aca="false">IF(AND(Projects!$G$23="Yes",AS$3&gt;=Projects!$C$23,AS$3&lt;Projects!$C$23+Projects!$D$23),Projects!$B$23*INDEX(Curves!$B$4:$AR$4,1,AS$3-Projects!$C$23+1),0)-IF(AND(Projects!$G$23="Yes",AS$3&gt;=Projects!$C$23,AS$3&lt;Projects!$C$23+Projects!$D$23),Projects!$B$23*(Assumptions!$B$10+Assumptions!$B$11+Assumptions!$B$12)/Projects!$D$23*0.95,0)-IF(AND(Projects!$G$23="Yes",AS$3=Projects!$C$23+Projects!$D$23-1),Projects!$B$23*(Assumptions!$B$10+Assumptions!$B$11+Assumptions!$B$12)*0.05,0)</f>
        <v>0</v>
      </c>
      <c r="AT32" s="19" t="n">
        <f aca="false">IF(AND(Projects!$G$23="Yes",AT$3&gt;=Projects!$C$23,AT$3&lt;Projects!$C$23+Projects!$D$23),Projects!$B$23*INDEX(Curves!$B$4:$AR$4,1,AT$3-Projects!$C$23+1),0)-IF(AND(Projects!$G$23="Yes",AT$3&gt;=Projects!$C$23,AT$3&lt;Projects!$C$23+Projects!$D$23),Projects!$B$23*(Assumptions!$B$10+Assumptions!$B$11+Assumptions!$B$12)/Projects!$D$23*0.95,0)-IF(AND(Projects!$G$23="Yes",AT$3=Projects!$C$23+Projects!$D$23-1),Projects!$B$23*(Assumptions!$B$10+Assumptions!$B$11+Assumptions!$B$12)*0.05,0)</f>
        <v>0</v>
      </c>
      <c r="AU32" s="19" t="n">
        <f aca="false">IF(AND(Projects!$G$23="Yes",AU$3&gt;=Projects!$C$23,AU$3&lt;Projects!$C$23+Projects!$D$23),Projects!$B$23*INDEX(Curves!$B$4:$AR$4,1,AU$3-Projects!$C$23+1),0)-IF(AND(Projects!$G$23="Yes",AU$3&gt;=Projects!$C$23,AU$3&lt;Projects!$C$23+Projects!$D$23),Projects!$B$23*(Assumptions!$B$10+Assumptions!$B$11+Assumptions!$B$12)/Projects!$D$23*0.95,0)-IF(AND(Projects!$G$23="Yes",AU$3=Projects!$C$23+Projects!$D$23-1),Projects!$B$23*(Assumptions!$B$10+Assumptions!$B$11+Assumptions!$B$12)*0.05,0)</f>
        <v>0</v>
      </c>
      <c r="AV32" s="19" t="n">
        <f aca="false">IF(AND(Projects!$G$23="Yes",AV$3&gt;=Projects!$C$23,AV$3&lt;Projects!$C$23+Projects!$D$23),Projects!$B$23*INDEX(Curves!$B$4:$AR$4,1,AV$3-Projects!$C$23+1),0)-IF(AND(Projects!$G$23="Yes",AV$3&gt;=Projects!$C$23,AV$3&lt;Projects!$C$23+Projects!$D$23),Projects!$B$23*(Assumptions!$B$10+Assumptions!$B$11+Assumptions!$B$12)/Projects!$D$23*0.95,0)-IF(AND(Projects!$G$23="Yes",AV$3=Projects!$C$23+Projects!$D$23-1),Projects!$B$23*(Assumptions!$B$10+Assumptions!$B$11+Assumptions!$B$12)*0.05,0)</f>
        <v>0</v>
      </c>
      <c r="AW32" s="19" t="n">
        <f aca="false">IF(AND(Projects!$G$23="Yes",AW$3&gt;=Projects!$C$23,AW$3&lt;Projects!$C$23+Projects!$D$23),Projects!$B$23*INDEX(Curves!$B$4:$AR$4,1,AW$3-Projects!$C$23+1),0)-IF(AND(Projects!$G$23="Yes",AW$3&gt;=Projects!$C$23,AW$3&lt;Projects!$C$23+Projects!$D$23),Projects!$B$23*(Assumptions!$B$10+Assumptions!$B$11+Assumptions!$B$12)/Projects!$D$23*0.95,0)-IF(AND(Projects!$G$23="Yes",AW$3=Projects!$C$23+Projects!$D$23-1),Projects!$B$23*(Assumptions!$B$10+Assumptions!$B$11+Assumptions!$B$12)*0.05,0)</f>
        <v>0</v>
      </c>
      <c r="AX32" s="19" t="n">
        <f aca="false">IF(AND(Projects!$G$23="Yes",AX$3&gt;=Projects!$C$23,AX$3&lt;Projects!$C$23+Projects!$D$23),Projects!$B$23*INDEX(Curves!$B$4:$AR$4,1,AX$3-Projects!$C$23+1),0)-IF(AND(Projects!$G$23="Yes",AX$3&gt;=Projects!$C$23,AX$3&lt;Projects!$C$23+Projects!$D$23),Projects!$B$23*(Assumptions!$B$10+Assumptions!$B$11+Assumptions!$B$12)/Projects!$D$23*0.95,0)-IF(AND(Projects!$G$23="Yes",AX$3=Projects!$C$23+Projects!$D$23-1),Projects!$B$23*(Assumptions!$B$10+Assumptions!$B$11+Assumptions!$B$12)*0.05,0)</f>
        <v>0</v>
      </c>
      <c r="AY32" s="19" t="n">
        <f aca="false">IF(AND(Projects!$G$23="Yes",AY$3&gt;=Projects!$C$23,AY$3&lt;Projects!$C$23+Projects!$D$23),Projects!$B$23*INDEX(Curves!$B$4:$AR$4,1,AY$3-Projects!$C$23+1),0)-IF(AND(Projects!$G$23="Yes",AY$3&gt;=Projects!$C$23,AY$3&lt;Projects!$C$23+Projects!$D$23),Projects!$B$23*(Assumptions!$B$10+Assumptions!$B$11+Assumptions!$B$12)/Projects!$D$23*0.95,0)-IF(AND(Projects!$G$23="Yes",AY$3=Projects!$C$23+Projects!$D$23-1),Projects!$B$23*(Assumptions!$B$10+Assumptions!$B$11+Assumptions!$B$12)*0.05,0)</f>
        <v>0</v>
      </c>
      <c r="AZ32" s="19" t="n">
        <f aca="false">IF(AND(Projects!$G$23="Yes",AZ$3&gt;=Projects!$C$23,AZ$3&lt;Projects!$C$23+Projects!$D$23),Projects!$B$23*INDEX(Curves!$B$4:$AR$4,1,AZ$3-Projects!$C$23+1),0)-IF(AND(Projects!$G$23="Yes",AZ$3&gt;=Projects!$C$23,AZ$3&lt;Projects!$C$23+Projects!$D$23),Projects!$B$23*(Assumptions!$B$10+Assumptions!$B$11+Assumptions!$B$12)/Projects!$D$23*0.95,0)-IF(AND(Projects!$G$23="Yes",AZ$3=Projects!$C$23+Projects!$D$23-1),Projects!$B$23*(Assumptions!$B$10+Assumptions!$B$11+Assumptions!$B$12)*0.05,0)</f>
        <v>0</v>
      </c>
      <c r="BA32" s="19" t="n">
        <f aca="false">IF(AND(Projects!$G$23="Yes",BA$3&gt;=Projects!$C$23,BA$3&lt;Projects!$C$23+Projects!$D$23),Projects!$B$23*INDEX(Curves!$B$4:$AR$4,1,BA$3-Projects!$C$23+1),0)-IF(AND(Projects!$G$23="Yes",BA$3&gt;=Projects!$C$23,BA$3&lt;Projects!$C$23+Projects!$D$23),Projects!$B$23*(Assumptions!$B$10+Assumptions!$B$11+Assumptions!$B$12)/Projects!$D$23*0.95,0)-IF(AND(Projects!$G$23="Yes",BA$3=Projects!$C$23+Projects!$D$23-1),Projects!$B$23*(Assumptions!$B$10+Assumptions!$B$11+Assumptions!$B$12)*0.05,0)</f>
        <v>0</v>
      </c>
      <c r="BB32" s="19" t="n">
        <f aca="false">IF(AND(Projects!$G$23="Yes",BB$3&gt;=Projects!$C$23,BB$3&lt;Projects!$C$23+Projects!$D$23),Projects!$B$23*INDEX(Curves!$B$4:$AR$4,1,BB$3-Projects!$C$23+1),0)-IF(AND(Projects!$G$23="Yes",BB$3&gt;=Projects!$C$23,BB$3&lt;Projects!$C$23+Projects!$D$23),Projects!$B$23*(Assumptions!$B$10+Assumptions!$B$11+Assumptions!$B$12)/Projects!$D$23*0.95,0)-IF(AND(Projects!$G$23="Yes",BB$3=Projects!$C$23+Projects!$D$23-1),Projects!$B$23*(Assumptions!$B$10+Assumptions!$B$11+Assumptions!$B$12)*0.05,0)</f>
        <v>0</v>
      </c>
      <c r="BC32" s="19" t="n">
        <f aca="false">IF(AND(Projects!$G$23="Yes",BC$3&gt;=Projects!$C$23,BC$3&lt;Projects!$C$23+Projects!$D$23),Projects!$B$23*INDEX(Curves!$B$4:$AR$4,1,BC$3-Projects!$C$23+1),0)-IF(AND(Projects!$G$23="Yes",BC$3&gt;=Projects!$C$23,BC$3&lt;Projects!$C$23+Projects!$D$23),Projects!$B$23*(Assumptions!$B$10+Assumptions!$B$11+Assumptions!$B$12)/Projects!$D$23*0.95,0)-IF(AND(Projects!$G$23="Yes",BC$3=Projects!$C$23+Projects!$D$23-1),Projects!$B$23*(Assumptions!$B$10+Assumptions!$B$11+Assumptions!$B$12)*0.05,0)</f>
        <v>0</v>
      </c>
      <c r="BD32" s="19" t="n">
        <f aca="false">IF(AND(Projects!$G$23="Yes",BD$3&gt;=Projects!$C$23,BD$3&lt;Projects!$C$23+Projects!$D$23),Projects!$B$23*INDEX(Curves!$B$4:$AR$4,1,BD$3-Projects!$C$23+1),0)-IF(AND(Projects!$G$23="Yes",BD$3&gt;=Projects!$C$23,BD$3&lt;Projects!$C$23+Projects!$D$23),Projects!$B$23*(Assumptions!$B$10+Assumptions!$B$11+Assumptions!$B$12)/Projects!$D$23*0.95,0)-IF(AND(Projects!$G$23="Yes",BD$3=Projects!$C$23+Projects!$D$23-1),Projects!$B$23*(Assumptions!$B$10+Assumptions!$B$11+Assumptions!$B$12)*0.05,0)</f>
        <v>0</v>
      </c>
      <c r="BE32" s="19" t="n">
        <f aca="false">IF(AND(Projects!$G$23="Yes",BE$3&gt;=Projects!$C$23,BE$3&lt;Projects!$C$23+Projects!$D$23),Projects!$B$23*INDEX(Curves!$B$4:$AR$4,1,BE$3-Projects!$C$23+1),0)-IF(AND(Projects!$G$23="Yes",BE$3&gt;=Projects!$C$23,BE$3&lt;Projects!$C$23+Projects!$D$23),Projects!$B$23*(Assumptions!$B$10+Assumptions!$B$11+Assumptions!$B$12)/Projects!$D$23*0.95,0)-IF(AND(Projects!$G$23="Yes",BE$3=Projects!$C$23+Projects!$D$23-1),Projects!$B$23*(Assumptions!$B$10+Assumptions!$B$11+Assumptions!$B$12)*0.05,0)</f>
        <v>0</v>
      </c>
      <c r="BF32" s="19" t="n">
        <f aca="false">IF(AND(Projects!$G$23="Yes",BF$3&gt;=Projects!$C$23,BF$3&lt;Projects!$C$23+Projects!$D$23),Projects!$B$23*INDEX(Curves!$B$4:$AR$4,1,BF$3-Projects!$C$23+1),0)-IF(AND(Projects!$G$23="Yes",BF$3&gt;=Projects!$C$23,BF$3&lt;Projects!$C$23+Projects!$D$23),Projects!$B$23*(Assumptions!$B$10+Assumptions!$B$11+Assumptions!$B$12)/Projects!$D$23*0.95,0)-IF(AND(Projects!$G$23="Yes",BF$3=Projects!$C$23+Projects!$D$23-1),Projects!$B$23*(Assumptions!$B$10+Assumptions!$B$11+Assumptions!$B$12)*0.05,0)</f>
        <v>0</v>
      </c>
      <c r="BG32" s="19" t="n">
        <f aca="false">IF(AND(Projects!$G$23="Yes",BG$3&gt;=Projects!$C$23,BG$3&lt;Projects!$C$23+Projects!$D$23),Projects!$B$23*INDEX(Curves!$B$4:$AR$4,1,BG$3-Projects!$C$23+1),0)-IF(AND(Projects!$G$23="Yes",BG$3&gt;=Projects!$C$23,BG$3&lt;Projects!$C$23+Projects!$D$23),Projects!$B$23*(Assumptions!$B$10+Assumptions!$B$11+Assumptions!$B$12)/Projects!$D$23*0.95,0)-IF(AND(Projects!$G$23="Yes",BG$3=Projects!$C$23+Projects!$D$23-1),Projects!$B$23*(Assumptions!$B$10+Assumptions!$B$11+Assumptions!$B$12)*0.05,0)</f>
        <v>0</v>
      </c>
      <c r="BH32" s="19" t="n">
        <f aca="false">IF(AND(Projects!$G$23="Yes",BH$3&gt;=Projects!$C$23,BH$3&lt;Projects!$C$23+Projects!$D$23),Projects!$B$23*INDEX(Curves!$B$4:$AR$4,1,BH$3-Projects!$C$23+1),0)-IF(AND(Projects!$G$23="Yes",BH$3&gt;=Projects!$C$23,BH$3&lt;Projects!$C$23+Projects!$D$23),Projects!$B$23*(Assumptions!$B$10+Assumptions!$B$11+Assumptions!$B$12)/Projects!$D$23*0.95,0)-IF(AND(Projects!$G$23="Yes",BH$3=Projects!$C$23+Projects!$D$23-1),Projects!$B$23*(Assumptions!$B$10+Assumptions!$B$11+Assumptions!$B$12)*0.05,0)</f>
        <v>0</v>
      </c>
      <c r="BI32" s="19" t="n">
        <f aca="false">IF(AND(Projects!$G$23="Yes",BI$3&gt;=Projects!$C$23,BI$3&lt;Projects!$C$23+Projects!$D$23),Projects!$B$23*INDEX(Curves!$B$4:$AR$4,1,BI$3-Projects!$C$23+1),0)-IF(AND(Projects!$G$23="Yes",BI$3&gt;=Projects!$C$23,BI$3&lt;Projects!$C$23+Projects!$D$23),Projects!$B$23*(Assumptions!$B$10+Assumptions!$B$11+Assumptions!$B$12)/Projects!$D$23*0.95,0)-IF(AND(Projects!$G$23="Yes",BI$3=Projects!$C$23+Projects!$D$23-1),Projects!$B$23*(Assumptions!$B$10+Assumptions!$B$11+Assumptions!$B$12)*0.05,0)</f>
        <v>0</v>
      </c>
      <c r="BJ32" s="19" t="n">
        <f aca="false">IF(AND(Projects!$G$23="Yes",BJ$3&gt;=Projects!$C$23,BJ$3&lt;Projects!$C$23+Projects!$D$23),Projects!$B$23*INDEX(Curves!$B$4:$AR$4,1,BJ$3-Projects!$C$23+1),0)-IF(AND(Projects!$G$23="Yes",BJ$3&gt;=Projects!$C$23,BJ$3&lt;Projects!$C$23+Projects!$D$23),Projects!$B$23*(Assumptions!$B$10+Assumptions!$B$11+Assumptions!$B$12)/Projects!$D$23*0.95,0)-IF(AND(Projects!$G$23="Yes",BJ$3=Projects!$C$23+Projects!$D$23-1),Projects!$B$23*(Assumptions!$B$10+Assumptions!$B$11+Assumptions!$B$12)*0.05,0)</f>
        <v>0</v>
      </c>
      <c r="BK32" s="19" t="n">
        <f aca="false">IF(AND(Projects!$G$23="Yes",BK$3&gt;=Projects!$C$23,BK$3&lt;Projects!$C$23+Projects!$D$23),Projects!$B$23*INDEX(Curves!$B$4:$AR$4,1,BK$3-Projects!$C$23+1),0)-IF(AND(Projects!$G$23="Yes",BK$3&gt;=Projects!$C$23,BK$3&lt;Projects!$C$23+Projects!$D$23),Projects!$B$23*(Assumptions!$B$10+Assumptions!$B$11+Assumptions!$B$12)/Projects!$D$23*0.95,0)-IF(AND(Projects!$G$23="Yes",BK$3=Projects!$C$23+Projects!$D$23-1),Projects!$B$23*(Assumptions!$B$10+Assumptions!$B$11+Assumptions!$B$12)*0.05,0)</f>
        <v>0</v>
      </c>
      <c r="BL32" s="19" t="n">
        <f aca="false">IF(AND(Projects!$G$23="Yes",BL$3&gt;=Projects!$C$23,BL$3&lt;Projects!$C$23+Projects!$D$23),Projects!$B$23*INDEX(Curves!$B$4:$AR$4,1,BL$3-Projects!$C$23+1),0)-IF(AND(Projects!$G$23="Yes",BL$3&gt;=Projects!$C$23,BL$3&lt;Projects!$C$23+Projects!$D$23),Projects!$B$23*(Assumptions!$B$10+Assumptions!$B$11+Assumptions!$B$12)/Projects!$D$23*0.95,0)-IF(AND(Projects!$G$23="Yes",BL$3=Projects!$C$23+Projects!$D$23-1),Projects!$B$23*(Assumptions!$B$10+Assumptions!$B$11+Assumptions!$B$12)*0.05,0)</f>
        <v>0</v>
      </c>
      <c r="BM32" s="19" t="n">
        <f aca="false">IF(AND(Projects!$G$23="Yes",BM$3&gt;=Projects!$C$23,BM$3&lt;Projects!$C$23+Projects!$D$23),Projects!$B$23*INDEX(Curves!$B$4:$AR$4,1,BM$3-Projects!$C$23+1),0)-IF(AND(Projects!$G$23="Yes",BM$3&gt;=Projects!$C$23,BM$3&lt;Projects!$C$23+Projects!$D$23),Projects!$B$23*(Assumptions!$B$10+Assumptions!$B$11+Assumptions!$B$12)/Projects!$D$23*0.95,0)-IF(AND(Projects!$G$23="Yes",BM$3=Projects!$C$23+Projects!$D$23-1),Projects!$B$23*(Assumptions!$B$10+Assumptions!$B$11+Assumptions!$B$12)*0.05,0)</f>
        <v>0</v>
      </c>
      <c r="BN32" s="19" t="n">
        <f aca="false">IF(AND(Projects!$G$23="Yes",BN$3&gt;=Projects!$C$23,BN$3&lt;Projects!$C$23+Projects!$D$23),Projects!$B$23*INDEX(Curves!$B$4:$AR$4,1,BN$3-Projects!$C$23+1),0)-IF(AND(Projects!$G$23="Yes",BN$3&gt;=Projects!$C$23,BN$3&lt;Projects!$C$23+Projects!$D$23),Projects!$B$23*(Assumptions!$B$10+Assumptions!$B$11+Assumptions!$B$12)/Projects!$D$23*0.95,0)-IF(AND(Projects!$G$23="Yes",BN$3=Projects!$C$23+Projects!$D$23-1),Projects!$B$23*(Assumptions!$B$10+Assumptions!$B$11+Assumptions!$B$12)*0.05,0)</f>
        <v>0</v>
      </c>
      <c r="BO32" s="19" t="n">
        <f aca="false">IF(AND(Projects!$G$23="Yes",BO$3&gt;=Projects!$C$23,BO$3&lt;Projects!$C$23+Projects!$D$23),Projects!$B$23*INDEX(Curves!$B$4:$AR$4,1,BO$3-Projects!$C$23+1),0)-IF(AND(Projects!$G$23="Yes",BO$3&gt;=Projects!$C$23,BO$3&lt;Projects!$C$23+Projects!$D$23),Projects!$B$23*(Assumptions!$B$10+Assumptions!$B$11+Assumptions!$B$12)/Projects!$D$23*0.95,0)-IF(AND(Projects!$G$23="Yes",BO$3=Projects!$C$23+Projects!$D$23-1),Projects!$B$23*(Assumptions!$B$10+Assumptions!$B$11+Assumptions!$B$12)*0.05,0)</f>
        <v>0</v>
      </c>
      <c r="BP32" s="19" t="n">
        <f aca="false">IF(AND(Projects!$G$23="Yes",BP$3&gt;=Projects!$C$23,BP$3&lt;Projects!$C$23+Projects!$D$23),Projects!$B$23*INDEX(Curves!$B$4:$AR$4,1,BP$3-Projects!$C$23+1),0)-IF(AND(Projects!$G$23="Yes",BP$3&gt;=Projects!$C$23,BP$3&lt;Projects!$C$23+Projects!$D$23),Projects!$B$23*(Assumptions!$B$10+Assumptions!$B$11+Assumptions!$B$12)/Projects!$D$23*0.95,0)-IF(AND(Projects!$G$23="Yes",BP$3=Projects!$C$23+Projects!$D$23-1),Projects!$B$23*(Assumptions!$B$10+Assumptions!$B$11+Assumptions!$B$12)*0.05,0)</f>
        <v>0</v>
      </c>
      <c r="BQ32" s="19" t="n">
        <f aca="false">IF(AND(Projects!$G$23="Yes",BQ$3&gt;=Projects!$C$23,BQ$3&lt;Projects!$C$23+Projects!$D$23),Projects!$B$23*INDEX(Curves!$B$4:$AR$4,1,BQ$3-Projects!$C$23+1),0)-IF(AND(Projects!$G$23="Yes",BQ$3&gt;=Projects!$C$23,BQ$3&lt;Projects!$C$23+Projects!$D$23),Projects!$B$23*(Assumptions!$B$10+Assumptions!$B$11+Assumptions!$B$12)/Projects!$D$23*0.95,0)-IF(AND(Projects!$G$23="Yes",BQ$3=Projects!$C$23+Projects!$D$23-1),Projects!$B$23*(Assumptions!$B$10+Assumptions!$B$11+Assumptions!$B$12)*0.05,0)</f>
        <v>0</v>
      </c>
      <c r="BR32" s="19" t="n">
        <f aca="false">IF(AND(Projects!$G$23="Yes",BR$3&gt;=Projects!$C$23,BR$3&lt;Projects!$C$23+Projects!$D$23),Projects!$B$23*INDEX(Curves!$B$4:$AR$4,1,BR$3-Projects!$C$23+1),0)-IF(AND(Projects!$G$23="Yes",BR$3&gt;=Projects!$C$23,BR$3&lt;Projects!$C$23+Projects!$D$23),Projects!$B$23*(Assumptions!$B$10+Assumptions!$B$11+Assumptions!$B$12)/Projects!$D$23*0.95,0)-IF(AND(Projects!$G$23="Yes",BR$3=Projects!$C$23+Projects!$D$23-1),Projects!$B$23*(Assumptions!$B$10+Assumptions!$B$11+Assumptions!$B$12)*0.05,0)</f>
        <v>0</v>
      </c>
      <c r="BS32" s="19" t="n">
        <f aca="false">IF(AND(Projects!$G$23="Yes",BS$3&gt;=Projects!$C$23,BS$3&lt;Projects!$C$23+Projects!$D$23),Projects!$B$23*INDEX(Curves!$B$4:$AR$4,1,BS$3-Projects!$C$23+1),0)-IF(AND(Projects!$G$23="Yes",BS$3&gt;=Projects!$C$23,BS$3&lt;Projects!$C$23+Projects!$D$23),Projects!$B$23*(Assumptions!$B$10+Assumptions!$B$11+Assumptions!$B$12)/Projects!$D$23*0.95,0)-IF(AND(Projects!$G$23="Yes",BS$3=Projects!$C$23+Projects!$D$23-1),Projects!$B$23*(Assumptions!$B$10+Assumptions!$B$11+Assumptions!$B$12)*0.05,0)</f>
        <v>0</v>
      </c>
      <c r="BT32" s="19" t="n">
        <f aca="false">IF(AND(Projects!$G$23="Yes",BT$3&gt;=Projects!$C$23,BT$3&lt;Projects!$C$23+Projects!$D$23),Projects!$B$23*INDEX(Curves!$B$4:$AR$4,1,BT$3-Projects!$C$23+1),0)-IF(AND(Projects!$G$23="Yes",BT$3&gt;=Projects!$C$23,BT$3&lt;Projects!$C$23+Projects!$D$23),Projects!$B$23*(Assumptions!$B$10+Assumptions!$B$11+Assumptions!$B$12)/Projects!$D$23*0.95,0)-IF(AND(Projects!$G$23="Yes",BT$3=Projects!$C$23+Projects!$D$23-1),Projects!$B$23*(Assumptions!$B$10+Assumptions!$B$11+Assumptions!$B$12)*0.05,0)</f>
        <v>0</v>
      </c>
      <c r="BU32" s="19" t="n">
        <f aca="false">IF(AND(Projects!$G$23="Yes",BU$3&gt;=Projects!$C$23,BU$3&lt;Projects!$C$23+Projects!$D$23),Projects!$B$23*INDEX(Curves!$B$4:$AR$4,1,BU$3-Projects!$C$23+1),0)-IF(AND(Projects!$G$23="Yes",BU$3&gt;=Projects!$C$23,BU$3&lt;Projects!$C$23+Projects!$D$23),Projects!$B$23*(Assumptions!$B$10+Assumptions!$B$11+Assumptions!$B$12)/Projects!$D$23*0.95,0)-IF(AND(Projects!$G$23="Yes",BU$3=Projects!$C$23+Projects!$D$23-1),Projects!$B$23*(Assumptions!$B$10+Assumptions!$B$11+Assumptions!$B$12)*0.05,0)</f>
        <v>0</v>
      </c>
      <c r="BV32" s="19" t="n">
        <f aca="false">IF(AND(Projects!$G$23="Yes",BV$3&gt;=Projects!$C$23,BV$3&lt;Projects!$C$23+Projects!$D$23),Projects!$B$23*INDEX(Curves!$B$4:$AR$4,1,BV$3-Projects!$C$23+1),0)-IF(AND(Projects!$G$23="Yes",BV$3&gt;=Projects!$C$23,BV$3&lt;Projects!$C$23+Projects!$D$23),Projects!$B$23*(Assumptions!$B$10+Assumptions!$B$11+Assumptions!$B$12)/Projects!$D$23*0.95,0)-IF(AND(Projects!$G$23="Yes",BV$3=Projects!$C$23+Projects!$D$23-1),Projects!$B$23*(Assumptions!$B$10+Assumptions!$B$11+Assumptions!$B$12)*0.05,0)</f>
        <v>0</v>
      </c>
      <c r="BW32" s="19" t="n">
        <f aca="false">IF(AND(Projects!$G$23="Yes",BW$3&gt;=Projects!$C$23,BW$3&lt;Projects!$C$23+Projects!$D$23),Projects!$B$23*INDEX(Curves!$B$4:$AR$4,1,BW$3-Projects!$C$23+1),0)-IF(AND(Projects!$G$23="Yes",BW$3&gt;=Projects!$C$23,BW$3&lt;Projects!$C$23+Projects!$D$23),Projects!$B$23*(Assumptions!$B$10+Assumptions!$B$11+Assumptions!$B$12)/Projects!$D$23*0.95,0)-IF(AND(Projects!$G$23="Yes",BW$3=Projects!$C$23+Projects!$D$23-1),Projects!$B$23*(Assumptions!$B$10+Assumptions!$B$11+Assumptions!$B$12)*0.05,0)</f>
        <v>0</v>
      </c>
      <c r="BX32" s="19" t="n">
        <f aca="false">IF(AND(Projects!$G$23="Yes",BX$3&gt;=Projects!$C$23,BX$3&lt;Projects!$C$23+Projects!$D$23),Projects!$B$23*INDEX(Curves!$B$4:$AR$4,1,BX$3-Projects!$C$23+1),0)-IF(AND(Projects!$G$23="Yes",BX$3&gt;=Projects!$C$23,BX$3&lt;Projects!$C$23+Projects!$D$23),Projects!$B$23*(Assumptions!$B$10+Assumptions!$B$11+Assumptions!$B$12)/Projects!$D$23*0.95,0)-IF(AND(Projects!$G$23="Yes",BX$3=Projects!$C$23+Projects!$D$23-1),Projects!$B$23*(Assumptions!$B$10+Assumptions!$B$11+Assumptions!$B$12)*0.05,0)</f>
        <v>0</v>
      </c>
      <c r="BY32" s="19" t="n">
        <f aca="false">IF(AND(Projects!$G$23="Yes",BY$3&gt;=Projects!$C$23,BY$3&lt;Projects!$C$23+Projects!$D$23),Projects!$B$23*INDEX(Curves!$B$4:$AR$4,1,BY$3-Projects!$C$23+1),0)-IF(AND(Projects!$G$23="Yes",BY$3&gt;=Projects!$C$23,BY$3&lt;Projects!$C$23+Projects!$D$23),Projects!$B$23*(Assumptions!$B$10+Assumptions!$B$11+Assumptions!$B$12)/Projects!$D$23*0.95,0)-IF(AND(Projects!$G$23="Yes",BY$3=Projects!$C$23+Projects!$D$23-1),Projects!$B$23*(Assumptions!$B$10+Assumptions!$B$11+Assumptions!$B$12)*0.05,0)</f>
        <v>0</v>
      </c>
      <c r="BZ32" s="19" t="n">
        <f aca="false">IF(AND(Projects!$G$23="Yes",BZ$3&gt;=Projects!$C$23,BZ$3&lt;Projects!$C$23+Projects!$D$23),Projects!$B$23*INDEX(Curves!$B$4:$AR$4,1,BZ$3-Projects!$C$23+1),0)-IF(AND(Projects!$G$23="Yes",BZ$3&gt;=Projects!$C$23,BZ$3&lt;Projects!$C$23+Projects!$D$23),Projects!$B$23*(Assumptions!$B$10+Assumptions!$B$11+Assumptions!$B$12)/Projects!$D$23*0.95,0)-IF(AND(Projects!$G$23="Yes",BZ$3=Projects!$C$23+Projects!$D$23-1),Projects!$B$23*(Assumptions!$B$10+Assumptions!$B$11+Assumptions!$B$12)*0.05,0)</f>
        <v>0</v>
      </c>
      <c r="CA32" s="19" t="n">
        <f aca="false">IF(AND(Projects!$G$23="Yes",CA$3&gt;=Projects!$C$23,CA$3&lt;Projects!$C$23+Projects!$D$23),Projects!$B$23*INDEX(Curves!$B$4:$AR$4,1,CA$3-Projects!$C$23+1),0)-IF(AND(Projects!$G$23="Yes",CA$3&gt;=Projects!$C$23,CA$3&lt;Projects!$C$23+Projects!$D$23),Projects!$B$23*(Assumptions!$B$10+Assumptions!$B$11+Assumptions!$B$12)/Projects!$D$23*0.95,0)-IF(AND(Projects!$G$23="Yes",CA$3=Projects!$C$23+Projects!$D$23-1),Projects!$B$23*(Assumptions!$B$10+Assumptions!$B$11+Assumptions!$B$12)*0.05,0)</f>
        <v>0</v>
      </c>
      <c r="CB32" s="19" t="n">
        <f aca="false">IF(AND(Projects!$G$23="Yes",CB$3&gt;=Projects!$C$23,CB$3&lt;Projects!$C$23+Projects!$D$23),Projects!$B$23*INDEX(Curves!$B$4:$AR$4,1,CB$3-Projects!$C$23+1),0)-IF(AND(Projects!$G$23="Yes",CB$3&gt;=Projects!$C$23,CB$3&lt;Projects!$C$23+Projects!$D$23),Projects!$B$23*(Assumptions!$B$10+Assumptions!$B$11+Assumptions!$B$12)/Projects!$D$23*0.95,0)-IF(AND(Projects!$G$23="Yes",CB$3=Projects!$C$23+Projects!$D$23-1),Projects!$B$23*(Assumptions!$B$10+Assumptions!$B$11+Assumptions!$B$12)*0.05,0)</f>
        <v>0</v>
      </c>
      <c r="CC32" s="19" t="n">
        <f aca="false">IF(AND(Projects!$G$23="Yes",CC$3&gt;=Projects!$C$23,CC$3&lt;Projects!$C$23+Projects!$D$23),Projects!$B$23*INDEX(Curves!$B$4:$AR$4,1,CC$3-Projects!$C$23+1),0)-IF(AND(Projects!$G$23="Yes",CC$3&gt;=Projects!$C$23,CC$3&lt;Projects!$C$23+Projects!$D$23),Projects!$B$23*(Assumptions!$B$10+Assumptions!$B$11+Assumptions!$B$12)/Projects!$D$23*0.95,0)-IF(AND(Projects!$G$23="Yes",CC$3=Projects!$C$23+Projects!$D$23-1),Projects!$B$23*(Assumptions!$B$10+Assumptions!$B$11+Assumptions!$B$12)*0.05,0)</f>
        <v>0</v>
      </c>
      <c r="CD32" s="19" t="n">
        <f aca="false">IF(AND(Projects!$G$23="Yes",CD$3&gt;=Projects!$C$23,CD$3&lt;Projects!$C$23+Projects!$D$23),Projects!$B$23*INDEX(Curves!$B$4:$AR$4,1,CD$3-Projects!$C$23+1),0)-IF(AND(Projects!$G$23="Yes",CD$3&gt;=Projects!$C$23,CD$3&lt;Projects!$C$23+Projects!$D$23),Projects!$B$23*(Assumptions!$B$10+Assumptions!$B$11+Assumptions!$B$12)/Projects!$D$23*0.95,0)-IF(AND(Projects!$G$23="Yes",CD$3=Projects!$C$23+Projects!$D$23-1),Projects!$B$23*(Assumptions!$B$10+Assumptions!$B$11+Assumptions!$B$12)*0.05,0)</f>
        <v>0</v>
      </c>
      <c r="CE32" s="19" t="n">
        <f aca="false">IF(AND(Projects!$G$23="Yes",CE$3&gt;=Projects!$C$23,CE$3&lt;Projects!$C$23+Projects!$D$23),Projects!$B$23*INDEX(Curves!$B$4:$AR$4,1,CE$3-Projects!$C$23+1),0)-IF(AND(Projects!$G$23="Yes",CE$3&gt;=Projects!$C$23,CE$3&lt;Projects!$C$23+Projects!$D$23),Projects!$B$23*(Assumptions!$B$10+Assumptions!$B$11+Assumptions!$B$12)/Projects!$D$23*0.95,0)-IF(AND(Projects!$G$23="Yes",CE$3=Projects!$C$23+Projects!$D$23-1),Projects!$B$23*(Assumptions!$B$10+Assumptions!$B$11+Assumptions!$B$12)*0.05,0)</f>
        <v>0</v>
      </c>
      <c r="CF32" s="19" t="n">
        <f aca="false">IF(AND(Projects!$G$23="Yes",CF$3&gt;=Projects!$C$23,CF$3&lt;Projects!$C$23+Projects!$D$23),Projects!$B$23*INDEX(Curves!$B$4:$AR$4,1,CF$3-Projects!$C$23+1),0)-IF(AND(Projects!$G$23="Yes",CF$3&gt;=Projects!$C$23,CF$3&lt;Projects!$C$23+Projects!$D$23),Projects!$B$23*(Assumptions!$B$10+Assumptions!$B$11+Assumptions!$B$12)/Projects!$D$23*0.95,0)-IF(AND(Projects!$G$23="Yes",CF$3=Projects!$C$23+Projects!$D$23-1),Projects!$B$23*(Assumptions!$B$10+Assumptions!$B$11+Assumptions!$B$12)*0.05,0)</f>
        <v>0</v>
      </c>
      <c r="CG32" s="19" t="n">
        <f aca="false">IF(AND(Projects!$G$23="Yes",CG$3&gt;=Projects!$C$23,CG$3&lt;Projects!$C$23+Projects!$D$23),Projects!$B$23*INDEX(Curves!$B$4:$AR$4,1,CG$3-Projects!$C$23+1),0)-IF(AND(Projects!$G$23="Yes",CG$3&gt;=Projects!$C$23,CG$3&lt;Projects!$C$23+Projects!$D$23),Projects!$B$23*(Assumptions!$B$10+Assumptions!$B$11+Assumptions!$B$12)/Projects!$D$23*0.95,0)-IF(AND(Projects!$G$23="Yes",CG$3=Projects!$C$23+Projects!$D$23-1),Projects!$B$23*(Assumptions!$B$10+Assumptions!$B$11+Assumptions!$B$12)*0.05,0)</f>
        <v>0</v>
      </c>
      <c r="CH32" s="19" t="n">
        <f aca="false">IF(AND(Projects!$G$23="Yes",CH$3&gt;=Projects!$C$23,CH$3&lt;Projects!$C$23+Projects!$D$23),Projects!$B$23*INDEX(Curves!$B$4:$AR$4,1,CH$3-Projects!$C$23+1),0)-IF(AND(Projects!$G$23="Yes",CH$3&gt;=Projects!$C$23,CH$3&lt;Projects!$C$23+Projects!$D$23),Projects!$B$23*(Assumptions!$B$10+Assumptions!$B$11+Assumptions!$B$12)/Projects!$D$23*0.95,0)-IF(AND(Projects!$G$23="Yes",CH$3=Projects!$C$23+Projects!$D$23-1),Projects!$B$23*(Assumptions!$B$10+Assumptions!$B$11+Assumptions!$B$12)*0.05,0)</f>
        <v>0</v>
      </c>
      <c r="CI32" s="19" t="n">
        <f aca="false">IF(AND(Projects!$G$23="Yes",CI$3&gt;=Projects!$C$23,CI$3&lt;Projects!$C$23+Projects!$D$23),Projects!$B$23*INDEX(Curves!$B$4:$AR$4,1,CI$3-Projects!$C$23+1),0)-IF(AND(Projects!$G$23="Yes",CI$3&gt;=Projects!$C$23,CI$3&lt;Projects!$C$23+Projects!$D$23),Projects!$B$23*(Assumptions!$B$10+Assumptions!$B$11+Assumptions!$B$12)/Projects!$D$23*0.95,0)-IF(AND(Projects!$G$23="Yes",CI$3=Projects!$C$23+Projects!$D$23-1),Projects!$B$23*(Assumptions!$B$10+Assumptions!$B$11+Assumptions!$B$12)*0.05,0)</f>
        <v>0</v>
      </c>
      <c r="CJ32" s="19" t="n">
        <f aca="false">IF(AND(Projects!$G$23="Yes",CJ$3&gt;=Projects!$C$23,CJ$3&lt;Projects!$C$23+Projects!$D$23),Projects!$B$23*INDEX(Curves!$B$4:$AR$4,1,CJ$3-Projects!$C$23+1),0)-IF(AND(Projects!$G$23="Yes",CJ$3&gt;=Projects!$C$23,CJ$3&lt;Projects!$C$23+Projects!$D$23),Projects!$B$23*(Assumptions!$B$10+Assumptions!$B$11+Assumptions!$B$12)/Projects!$D$23*0.95,0)-IF(AND(Projects!$G$23="Yes",CJ$3=Projects!$C$23+Projects!$D$23-1),Projects!$B$23*(Assumptions!$B$10+Assumptions!$B$11+Assumptions!$B$12)*0.05,0)</f>
        <v>0</v>
      </c>
      <c r="CK32" s="19" t="n">
        <f aca="false">IF(AND(Projects!$G$23="Yes",CK$3&gt;=Projects!$C$23,CK$3&lt;Projects!$C$23+Projects!$D$23),Projects!$B$23*INDEX(Curves!$B$4:$AR$4,1,CK$3-Projects!$C$23+1),0)-IF(AND(Projects!$G$23="Yes",CK$3&gt;=Projects!$C$23,CK$3&lt;Projects!$C$23+Projects!$D$23),Projects!$B$23*(Assumptions!$B$10+Assumptions!$B$11+Assumptions!$B$12)/Projects!$D$23*0.95,0)-IF(AND(Projects!$G$23="Yes",CK$3=Projects!$C$23+Projects!$D$23-1),Projects!$B$23*(Assumptions!$B$10+Assumptions!$B$11+Assumptions!$B$12)*0.05,0)</f>
        <v>0</v>
      </c>
      <c r="CL32" s="19" t="n">
        <f aca="false">IF(AND(Projects!$G$23="Yes",CL$3&gt;=Projects!$C$23,CL$3&lt;Projects!$C$23+Projects!$D$23),Projects!$B$23*INDEX(Curves!$B$4:$AR$4,1,CL$3-Projects!$C$23+1),0)-IF(AND(Projects!$G$23="Yes",CL$3&gt;=Projects!$C$23,CL$3&lt;Projects!$C$23+Projects!$D$23),Projects!$B$23*(Assumptions!$B$10+Assumptions!$B$11+Assumptions!$B$12)/Projects!$D$23*0.95,0)-IF(AND(Projects!$G$23="Yes",CL$3=Projects!$C$23+Projects!$D$23-1),Projects!$B$23*(Assumptions!$B$10+Assumptions!$B$11+Assumptions!$B$12)*0.05,0)</f>
        <v>0</v>
      </c>
      <c r="CM32" s="19" t="n">
        <f aca="false">IF(AND(Projects!$G$23="Yes",CM$3&gt;=Projects!$C$23,CM$3&lt;Projects!$C$23+Projects!$D$23),Projects!$B$23*INDEX(Curves!$B$4:$AR$4,1,CM$3-Projects!$C$23+1),0)-IF(AND(Projects!$G$23="Yes",CM$3&gt;=Projects!$C$23,CM$3&lt;Projects!$C$23+Projects!$D$23),Projects!$B$23*(Assumptions!$B$10+Assumptions!$B$11+Assumptions!$B$12)/Projects!$D$23*0.95,0)-IF(AND(Projects!$G$23="Yes",CM$3=Projects!$C$23+Projects!$D$23-1),Projects!$B$23*(Assumptions!$B$10+Assumptions!$B$11+Assumptions!$B$12)*0.05,0)</f>
        <v>0</v>
      </c>
      <c r="CN32" s="19" t="n">
        <f aca="false">IF(AND(Projects!$G$23="Yes",CN$3&gt;=Projects!$C$23,CN$3&lt;Projects!$C$23+Projects!$D$23),Projects!$B$23*INDEX(Curves!$B$4:$AR$4,1,CN$3-Projects!$C$23+1),0)-IF(AND(Projects!$G$23="Yes",CN$3&gt;=Projects!$C$23,CN$3&lt;Projects!$C$23+Projects!$D$23),Projects!$B$23*(Assumptions!$B$10+Assumptions!$B$11+Assumptions!$B$12)/Projects!$D$23*0.95,0)-IF(AND(Projects!$G$23="Yes",CN$3=Projects!$C$23+Projects!$D$23-1),Projects!$B$23*(Assumptions!$B$10+Assumptions!$B$11+Assumptions!$B$12)*0.05,0)</f>
        <v>0</v>
      </c>
      <c r="CO32" s="19" t="n">
        <f aca="false">IF(AND(Projects!$G$23="Yes",CO$3&gt;=Projects!$C$23,CO$3&lt;Projects!$C$23+Projects!$D$23),Projects!$B$23*INDEX(Curves!$B$4:$AR$4,1,CO$3-Projects!$C$23+1),0)-IF(AND(Projects!$G$23="Yes",CO$3&gt;=Projects!$C$23,CO$3&lt;Projects!$C$23+Projects!$D$23),Projects!$B$23*(Assumptions!$B$10+Assumptions!$B$11+Assumptions!$B$12)/Projects!$D$23*0.95,0)-IF(AND(Projects!$G$23="Yes",CO$3=Projects!$C$23+Projects!$D$23-1),Projects!$B$23*(Assumptions!$B$10+Assumptions!$B$11+Assumptions!$B$12)*0.05,0)</f>
        <v>0</v>
      </c>
      <c r="CP32" s="19" t="n">
        <f aca="false">IF(AND(Projects!$G$23="Yes",CP$3&gt;=Projects!$C$23,CP$3&lt;Projects!$C$23+Projects!$D$23),Projects!$B$23*INDEX(Curves!$B$4:$AR$4,1,CP$3-Projects!$C$23+1),0)-IF(AND(Projects!$G$23="Yes",CP$3&gt;=Projects!$C$23,CP$3&lt;Projects!$C$23+Projects!$D$23),Projects!$B$23*(Assumptions!$B$10+Assumptions!$B$11+Assumptions!$B$12)/Projects!$D$23*0.95,0)-IF(AND(Projects!$G$23="Yes",CP$3=Projects!$C$23+Projects!$D$23-1),Projects!$B$23*(Assumptions!$B$10+Assumptions!$B$11+Assumptions!$B$12)*0.05,0)</f>
        <v>0</v>
      </c>
      <c r="CQ32" s="19" t="n">
        <f aca="false">IF(AND(Projects!$G$23="Yes",CQ$3&gt;=Projects!$C$23,CQ$3&lt;Projects!$C$23+Projects!$D$23),Projects!$B$23*INDEX(Curves!$B$4:$AR$4,1,CQ$3-Projects!$C$23+1),0)-IF(AND(Projects!$G$23="Yes",CQ$3&gt;=Projects!$C$23,CQ$3&lt;Projects!$C$23+Projects!$D$23),Projects!$B$23*(Assumptions!$B$10+Assumptions!$B$11+Assumptions!$B$12)/Projects!$D$23*0.95,0)-IF(AND(Projects!$G$23="Yes",CQ$3=Projects!$C$23+Projects!$D$23-1),Projects!$B$23*(Assumptions!$B$10+Assumptions!$B$11+Assumptions!$B$12)*0.05,0)</f>
        <v>0</v>
      </c>
      <c r="CR32" s="19" t="n">
        <f aca="false">IF(AND(Projects!$G$23="Yes",CR$3&gt;=Projects!$C$23,CR$3&lt;Projects!$C$23+Projects!$D$23),Projects!$B$23*INDEX(Curves!$B$4:$AR$4,1,CR$3-Projects!$C$23+1),0)-IF(AND(Projects!$G$23="Yes",CR$3&gt;=Projects!$C$23,CR$3&lt;Projects!$C$23+Projects!$D$23),Projects!$B$23*(Assumptions!$B$10+Assumptions!$B$11+Assumptions!$B$12)/Projects!$D$23*0.95,0)-IF(AND(Projects!$G$23="Yes",CR$3=Projects!$C$23+Projects!$D$23-1),Projects!$B$23*(Assumptions!$B$10+Assumptions!$B$11+Assumptions!$B$12)*0.05,0)</f>
        <v>0</v>
      </c>
      <c r="CS32" s="19" t="n">
        <f aca="false">IF(AND(Projects!$G$23="Yes",CS$3&gt;=Projects!$C$23,CS$3&lt;Projects!$C$23+Projects!$D$23),Projects!$B$23*INDEX(Curves!$B$4:$AR$4,1,CS$3-Projects!$C$23+1),0)-IF(AND(Projects!$G$23="Yes",CS$3&gt;=Projects!$C$23,CS$3&lt;Projects!$C$23+Projects!$D$23),Projects!$B$23*(Assumptions!$B$10+Assumptions!$B$11+Assumptions!$B$12)/Projects!$D$23*0.95,0)-IF(AND(Projects!$G$23="Yes",CS$3=Projects!$C$23+Projects!$D$23-1),Projects!$B$23*(Assumptions!$B$10+Assumptions!$B$11+Assumptions!$B$12)*0.05,0)</f>
        <v>0</v>
      </c>
      <c r="CT32" s="19" t="n">
        <f aca="false">IF(AND(Projects!$G$23="Yes",CT$3&gt;=Projects!$C$23,CT$3&lt;Projects!$C$23+Projects!$D$23),Projects!$B$23*INDEX(Curves!$B$4:$AR$4,1,CT$3-Projects!$C$23+1),0)-IF(AND(Projects!$G$23="Yes",CT$3&gt;=Projects!$C$23,CT$3&lt;Projects!$C$23+Projects!$D$23),Projects!$B$23*(Assumptions!$B$10+Assumptions!$B$11+Assumptions!$B$12)/Projects!$D$23*0.95,0)-IF(AND(Projects!$G$23="Yes",CT$3=Projects!$C$23+Projects!$D$23-1),Projects!$B$23*(Assumptions!$B$10+Assumptions!$B$11+Assumptions!$B$12)*0.05,0)</f>
        <v>0</v>
      </c>
      <c r="CU32" s="19" t="n">
        <f aca="false">IF(AND(Projects!$G$23="Yes",CU$3&gt;=Projects!$C$23,CU$3&lt;Projects!$C$23+Projects!$D$23),Projects!$B$23*INDEX(Curves!$B$4:$AR$4,1,CU$3-Projects!$C$23+1),0)-IF(AND(Projects!$G$23="Yes",CU$3&gt;=Projects!$C$23,CU$3&lt;Projects!$C$23+Projects!$D$23),Projects!$B$23*(Assumptions!$B$10+Assumptions!$B$11+Assumptions!$B$12)/Projects!$D$23*0.95,0)-IF(AND(Projects!$G$23="Yes",CU$3=Projects!$C$23+Projects!$D$23-1),Projects!$B$23*(Assumptions!$B$10+Assumptions!$B$11+Assumptions!$B$12)*0.05,0)</f>
        <v>0</v>
      </c>
      <c r="CV32" s="19" t="n">
        <f aca="false">IF(AND(Projects!$G$23="Yes",CV$3&gt;=Projects!$C$23,CV$3&lt;Projects!$C$23+Projects!$D$23),Projects!$B$23*INDEX(Curves!$B$4:$AR$4,1,CV$3-Projects!$C$23+1),0)-IF(AND(Projects!$G$23="Yes",CV$3&gt;=Projects!$C$23,CV$3&lt;Projects!$C$23+Projects!$D$23),Projects!$B$23*(Assumptions!$B$10+Assumptions!$B$11+Assumptions!$B$12)/Projects!$D$23*0.95,0)-IF(AND(Projects!$G$23="Yes",CV$3=Projects!$C$23+Projects!$D$23-1),Projects!$B$23*(Assumptions!$B$10+Assumptions!$B$11+Assumptions!$B$12)*0.05,0)</f>
        <v>0</v>
      </c>
      <c r="CW32" s="19" t="n">
        <f aca="false">IF(AND(Projects!$G$23="Yes",CW$3&gt;=Projects!$C$23,CW$3&lt;Projects!$C$23+Projects!$D$23),Projects!$B$23*INDEX(Curves!$B$4:$AR$4,1,CW$3-Projects!$C$23+1),0)-IF(AND(Projects!$G$23="Yes",CW$3&gt;=Projects!$C$23,CW$3&lt;Projects!$C$23+Projects!$D$23),Projects!$B$23*(Assumptions!$B$10+Assumptions!$B$11+Assumptions!$B$12)/Projects!$D$23*0.95,0)-IF(AND(Projects!$G$23="Yes",CW$3=Projects!$C$23+Projects!$D$23-1),Projects!$B$23*(Assumptions!$B$10+Assumptions!$B$11+Assumptions!$B$12)*0.05,0)</f>
        <v>0</v>
      </c>
      <c r="CX32" s="19" t="n">
        <f aca="false">IF(AND(Projects!$G$23="Yes",CX$3&gt;=Projects!$C$23,CX$3&lt;Projects!$C$23+Projects!$D$23),Projects!$B$23*INDEX(Curves!$B$4:$AR$4,1,CX$3-Projects!$C$23+1),0)-IF(AND(Projects!$G$23="Yes",CX$3&gt;=Projects!$C$23,CX$3&lt;Projects!$C$23+Projects!$D$23),Projects!$B$23*(Assumptions!$B$10+Assumptions!$B$11+Assumptions!$B$12)/Projects!$D$23*0.95,0)-IF(AND(Projects!$G$23="Yes",CX$3=Projects!$C$23+Projects!$D$23-1),Projects!$B$23*(Assumptions!$B$10+Assumptions!$B$11+Assumptions!$B$12)*0.05,0)</f>
        <v>0</v>
      </c>
      <c r="CY32" s="19" t="n">
        <f aca="false">IF(AND(Projects!$G$23="Yes",CY$3&gt;=Projects!$C$23,CY$3&lt;Projects!$C$23+Projects!$D$23),Projects!$B$23*INDEX(Curves!$B$4:$AR$4,1,CY$3-Projects!$C$23+1),0)-IF(AND(Projects!$G$23="Yes",CY$3&gt;=Projects!$C$23,CY$3&lt;Projects!$C$23+Projects!$D$23),Projects!$B$23*(Assumptions!$B$10+Assumptions!$B$11+Assumptions!$B$12)/Projects!$D$23*0.95,0)-IF(AND(Projects!$G$23="Yes",CY$3=Projects!$C$23+Projects!$D$23-1),Projects!$B$23*(Assumptions!$B$10+Assumptions!$B$11+Assumptions!$B$12)*0.05,0)</f>
        <v>0</v>
      </c>
      <c r="CZ32" s="19" t="n">
        <f aca="false">IF(AND(Projects!$G$23="Yes",CZ$3&gt;=Projects!$C$23,CZ$3&lt;Projects!$C$23+Projects!$D$23),Projects!$B$23*INDEX(Curves!$B$4:$AR$4,1,CZ$3-Projects!$C$23+1),0)-IF(AND(Projects!$G$23="Yes",CZ$3&gt;=Projects!$C$23,CZ$3&lt;Projects!$C$23+Projects!$D$23),Projects!$B$23*(Assumptions!$B$10+Assumptions!$B$11+Assumptions!$B$12)/Projects!$D$23*0.95,0)-IF(AND(Projects!$G$23="Yes",CZ$3=Projects!$C$23+Projects!$D$23-1),Projects!$B$23*(Assumptions!$B$10+Assumptions!$B$11+Assumptions!$B$12)*0.05,0)</f>
        <v>0</v>
      </c>
      <c r="DA32" s="19" t="n">
        <f aca="false">IF(AND(Projects!$G$23="Yes",DA$3&gt;=Projects!$C$23,DA$3&lt;Projects!$C$23+Projects!$D$23),Projects!$B$23*INDEX(Curves!$B$4:$AR$4,1,DA$3-Projects!$C$23+1),0)-IF(AND(Projects!$G$23="Yes",DA$3&gt;=Projects!$C$23,DA$3&lt;Projects!$C$23+Projects!$D$23),Projects!$B$23*(Assumptions!$B$10+Assumptions!$B$11+Assumptions!$B$12)/Projects!$D$23*0.95,0)-IF(AND(Projects!$G$23="Yes",DA$3=Projects!$C$23+Projects!$D$23-1),Projects!$B$23*(Assumptions!$B$10+Assumptions!$B$11+Assumptions!$B$12)*0.05,0)</f>
        <v>0</v>
      </c>
      <c r="DB32" s="19" t="n">
        <f aca="false">IF(AND(Projects!$G$23="Yes",DB$3&gt;=Projects!$C$23,DB$3&lt;Projects!$C$23+Projects!$D$23),Projects!$B$23*INDEX(Curves!$B$4:$AR$4,1,DB$3-Projects!$C$23+1),0)-IF(AND(Projects!$G$23="Yes",DB$3&gt;=Projects!$C$23,DB$3&lt;Projects!$C$23+Projects!$D$23),Projects!$B$23*(Assumptions!$B$10+Assumptions!$B$11+Assumptions!$B$12)/Projects!$D$23*0.95,0)-IF(AND(Projects!$G$23="Yes",DB$3=Projects!$C$23+Projects!$D$23-1),Projects!$B$23*(Assumptions!$B$10+Assumptions!$B$11+Assumptions!$B$12)*0.05,0)</f>
        <v>0</v>
      </c>
      <c r="DC32" s="19" t="n">
        <f aca="false">IF(AND(Projects!$G$23="Yes",DC$3&gt;=Projects!$C$23,DC$3&lt;Projects!$C$23+Projects!$D$23),Projects!$B$23*INDEX(Curves!$B$4:$AR$4,1,DC$3-Projects!$C$23+1),0)-IF(AND(Projects!$G$23="Yes",DC$3&gt;=Projects!$C$23,DC$3&lt;Projects!$C$23+Projects!$D$23),Projects!$B$23*(Assumptions!$B$10+Assumptions!$B$11+Assumptions!$B$12)/Projects!$D$23*0.95,0)-IF(AND(Projects!$G$23="Yes",DC$3=Projects!$C$23+Projects!$D$23-1),Projects!$B$23*(Assumptions!$B$10+Assumptions!$B$11+Assumptions!$B$12)*0.05,0)</f>
        <v>0</v>
      </c>
      <c r="DD32" s="19" t="n">
        <f aca="false">IF(AND(Projects!$G$23="Yes",DD$3&gt;=Projects!$C$23,DD$3&lt;Projects!$C$23+Projects!$D$23),Projects!$B$23*INDEX(Curves!$B$4:$AR$4,1,DD$3-Projects!$C$23+1),0)-IF(AND(Projects!$G$23="Yes",DD$3&gt;=Projects!$C$23,DD$3&lt;Projects!$C$23+Projects!$D$23),Projects!$B$23*(Assumptions!$B$10+Assumptions!$B$11+Assumptions!$B$12)/Projects!$D$23*0.95,0)-IF(AND(Projects!$G$23="Yes",DD$3=Projects!$C$23+Projects!$D$23-1),Projects!$B$23*(Assumptions!$B$10+Assumptions!$B$11+Assumptions!$B$12)*0.05,0)</f>
        <v>0</v>
      </c>
      <c r="DE32" s="19" t="n">
        <f aca="false">IF(AND(Projects!$G$23="Yes",DE$3&gt;=Projects!$C$23,DE$3&lt;Projects!$C$23+Projects!$D$23),Projects!$B$23*INDEX(Curves!$B$4:$AR$4,1,DE$3-Projects!$C$23+1),0)-IF(AND(Projects!$G$23="Yes",DE$3&gt;=Projects!$C$23,DE$3&lt;Projects!$C$23+Projects!$D$23),Projects!$B$23*(Assumptions!$B$10+Assumptions!$B$11+Assumptions!$B$12)/Projects!$D$23*0.95,0)-IF(AND(Projects!$G$23="Yes",DE$3=Projects!$C$23+Projects!$D$23-1),Projects!$B$23*(Assumptions!$B$10+Assumptions!$B$11+Assumptions!$B$12)*0.05,0)</f>
        <v>0</v>
      </c>
    </row>
    <row r="33" customFormat="false" ht="15" hidden="true" customHeight="true" outlineLevel="1" collapsed="false">
      <c r="A33" s="28" t="s">
        <v>27</v>
      </c>
      <c r="B33" s="19" t="n">
        <v>0</v>
      </c>
      <c r="C33" s="19" t="n">
        <v>0</v>
      </c>
      <c r="D33" s="19" t="n">
        <v>0</v>
      </c>
      <c r="E33" s="19" t="n">
        <v>0</v>
      </c>
      <c r="F33" s="19" t="n">
        <f aca="false">IF(AND(Projects!$G$24="Yes",F$3&gt;=Projects!$C$24,F$3&lt;Projects!$C$24+Projects!$D$24),Projects!$B$24*INDEX(Curves!$B$4:$AR$4,1,F$3-Projects!$C$24+1),0)-IF(AND(Projects!$G$24="Yes",F$3&gt;=Projects!$C$24,F$3&lt;Projects!$C$24+Projects!$D$24),Projects!$B$24*(Assumptions!$B$10+Assumptions!$B$11+Assumptions!$B$12)/Projects!$D$24*0.95,0)-IF(AND(Projects!$G$24="Yes",F$3=Projects!$C$24+Projects!$D$24-1),Projects!$B$24*(Assumptions!$B$10+Assumptions!$B$11+Assumptions!$B$12)*0.05,0)</f>
        <v>0</v>
      </c>
      <c r="G33" s="19" t="n">
        <f aca="false">IF(AND(Projects!$G$24="Yes",G$3&gt;=Projects!$C$24,G$3&lt;Projects!$C$24+Projects!$D$24),Projects!$B$24*INDEX(Curves!$B$4:$AR$4,1,G$3-Projects!$C$24+1),0)-IF(AND(Projects!$G$24="Yes",G$3&gt;=Projects!$C$24,G$3&lt;Projects!$C$24+Projects!$D$24),Projects!$B$24*(Assumptions!$B$10+Assumptions!$B$11+Assumptions!$B$12)/Projects!$D$24*0.95,0)-IF(AND(Projects!$G$24="Yes",G$3=Projects!$C$24+Projects!$D$24-1),Projects!$B$24*(Assumptions!$B$10+Assumptions!$B$11+Assumptions!$B$12)*0.05,0)</f>
        <v>0</v>
      </c>
      <c r="H33" s="19" t="n">
        <f aca="false">IF(AND(Projects!$G$24="Yes",H$3&gt;=Projects!$C$24,H$3&lt;Projects!$C$24+Projects!$D$24),Projects!$B$24*INDEX(Curves!$B$4:$AR$4,1,H$3-Projects!$C$24+1),0)-IF(AND(Projects!$G$24="Yes",H$3&gt;=Projects!$C$24,H$3&lt;Projects!$C$24+Projects!$D$24),Projects!$B$24*(Assumptions!$B$10+Assumptions!$B$11+Assumptions!$B$12)/Projects!$D$24*0.95,0)-IF(AND(Projects!$G$24="Yes",H$3=Projects!$C$24+Projects!$D$24-1),Projects!$B$24*(Assumptions!$B$10+Assumptions!$B$11+Assumptions!$B$12)*0.05,0)</f>
        <v>0</v>
      </c>
      <c r="I33" s="19" t="n">
        <f aca="false">IF(AND(Projects!$G$24="Yes",I$3&gt;=Projects!$C$24,I$3&lt;Projects!$C$24+Projects!$D$24),Projects!$B$24*INDEX(Curves!$B$4:$AR$4,1,I$3-Projects!$C$24+1),0)-IF(AND(Projects!$G$24="Yes",I$3&gt;=Projects!$C$24,I$3&lt;Projects!$C$24+Projects!$D$24),Projects!$B$24*(Assumptions!$B$10+Assumptions!$B$11+Assumptions!$B$12)/Projects!$D$24*0.95,0)-IF(AND(Projects!$G$24="Yes",I$3=Projects!$C$24+Projects!$D$24-1),Projects!$B$24*(Assumptions!$B$10+Assumptions!$B$11+Assumptions!$B$12)*0.05,0)</f>
        <v>0</v>
      </c>
      <c r="J33" s="19" t="n">
        <f aca="false">IF(AND(Projects!$G$24="Yes",J$3&gt;=Projects!$C$24,J$3&lt;Projects!$C$24+Projects!$D$24),Projects!$B$24*INDEX(Curves!$B$4:$AR$4,1,J$3-Projects!$C$24+1),0)-IF(AND(Projects!$G$24="Yes",J$3&gt;=Projects!$C$24,J$3&lt;Projects!$C$24+Projects!$D$24),Projects!$B$24*(Assumptions!$B$10+Assumptions!$B$11+Assumptions!$B$12)/Projects!$D$24*0.95,0)-IF(AND(Projects!$G$24="Yes",J$3=Projects!$C$24+Projects!$D$24-1),Projects!$B$24*(Assumptions!$B$10+Assumptions!$B$11+Assumptions!$B$12)*0.05,0)</f>
        <v>0</v>
      </c>
      <c r="K33" s="19" t="n">
        <f aca="false">IF(AND(Projects!$G$24="Yes",K$3&gt;=Projects!$C$24,K$3&lt;Projects!$C$24+Projects!$D$24),Projects!$B$24*INDEX(Curves!$B$4:$AR$4,1,K$3-Projects!$C$24+1),0)-IF(AND(Projects!$G$24="Yes",K$3&gt;=Projects!$C$24,K$3&lt;Projects!$C$24+Projects!$D$24),Projects!$B$24*(Assumptions!$B$10+Assumptions!$B$11+Assumptions!$B$12)/Projects!$D$24*0.95,0)-IF(AND(Projects!$G$24="Yes",K$3=Projects!$C$24+Projects!$D$24-1),Projects!$B$24*(Assumptions!$B$10+Assumptions!$B$11+Assumptions!$B$12)*0.05,0)</f>
        <v>0</v>
      </c>
      <c r="L33" s="19" t="n">
        <f aca="false">IF(AND(Projects!$G$24="Yes",L$3&gt;=Projects!$C$24,L$3&lt;Projects!$C$24+Projects!$D$24),Projects!$B$24*INDEX(Curves!$B$4:$AR$4,1,L$3-Projects!$C$24+1),0)-IF(AND(Projects!$G$24="Yes",L$3&gt;=Projects!$C$24,L$3&lt;Projects!$C$24+Projects!$D$24),Projects!$B$24*(Assumptions!$B$10+Assumptions!$B$11+Assumptions!$B$12)/Projects!$D$24*0.95,0)-IF(AND(Projects!$G$24="Yes",L$3=Projects!$C$24+Projects!$D$24-1),Projects!$B$24*(Assumptions!$B$10+Assumptions!$B$11+Assumptions!$B$12)*0.05,0)</f>
        <v>0</v>
      </c>
      <c r="M33" s="19" t="n">
        <f aca="false">IF(AND(Projects!$G$24="Yes",M$3&gt;=Projects!$C$24,M$3&lt;Projects!$C$24+Projects!$D$24),Projects!$B$24*INDEX(Curves!$B$4:$AR$4,1,M$3-Projects!$C$24+1),0)-IF(AND(Projects!$G$24="Yes",M$3&gt;=Projects!$C$24,M$3&lt;Projects!$C$24+Projects!$D$24),Projects!$B$24*(Assumptions!$B$10+Assumptions!$B$11+Assumptions!$B$12)/Projects!$D$24*0.95,0)-IF(AND(Projects!$G$24="Yes",M$3=Projects!$C$24+Projects!$D$24-1),Projects!$B$24*(Assumptions!$B$10+Assumptions!$B$11+Assumptions!$B$12)*0.05,0)</f>
        <v>0</v>
      </c>
      <c r="N33" s="19" t="n">
        <f aca="false">IF(AND(Projects!$G$24="Yes",N$3&gt;=Projects!$C$24,N$3&lt;Projects!$C$24+Projects!$D$24),Projects!$B$24*INDEX(Curves!$B$4:$AR$4,1,N$3-Projects!$C$24+1),0)-IF(AND(Projects!$G$24="Yes",N$3&gt;=Projects!$C$24,N$3&lt;Projects!$C$24+Projects!$D$24),Projects!$B$24*(Assumptions!$B$10+Assumptions!$B$11+Assumptions!$B$12)/Projects!$D$24*0.95,0)-IF(AND(Projects!$G$24="Yes",N$3=Projects!$C$24+Projects!$D$24-1),Projects!$B$24*(Assumptions!$B$10+Assumptions!$B$11+Assumptions!$B$12)*0.05,0)</f>
        <v>0</v>
      </c>
      <c r="O33" s="19" t="n">
        <f aca="false">IF(AND(Projects!$G$24="Yes",O$3&gt;=Projects!$C$24,O$3&lt;Projects!$C$24+Projects!$D$24),Projects!$B$24*INDEX(Curves!$B$4:$AR$4,1,O$3-Projects!$C$24+1),0)-IF(AND(Projects!$G$24="Yes",O$3&gt;=Projects!$C$24,O$3&lt;Projects!$C$24+Projects!$D$24),Projects!$B$24*(Assumptions!$B$10+Assumptions!$B$11+Assumptions!$B$12)/Projects!$D$24*0.95,0)-IF(AND(Projects!$G$24="Yes",O$3=Projects!$C$24+Projects!$D$24-1),Projects!$B$24*(Assumptions!$B$10+Assumptions!$B$11+Assumptions!$B$12)*0.05,0)</f>
        <v>0</v>
      </c>
      <c r="P33" s="19" t="n">
        <f aca="false">IF(AND(Projects!$G$24="Yes",P$3&gt;=Projects!$C$24,P$3&lt;Projects!$C$24+Projects!$D$24),Projects!$B$24*INDEX(Curves!$B$4:$AR$4,1,P$3-Projects!$C$24+1),0)-IF(AND(Projects!$G$24="Yes",P$3&gt;=Projects!$C$24,P$3&lt;Projects!$C$24+Projects!$D$24),Projects!$B$24*(Assumptions!$B$10+Assumptions!$B$11+Assumptions!$B$12)/Projects!$D$24*0.95,0)-IF(AND(Projects!$G$24="Yes",P$3=Projects!$C$24+Projects!$D$24-1),Projects!$B$24*(Assumptions!$B$10+Assumptions!$B$11+Assumptions!$B$12)*0.05,0)</f>
        <v>0</v>
      </c>
      <c r="Q33" s="19" t="n">
        <f aca="false">IF(AND(Projects!$G$24="Yes",Q$3&gt;=Projects!$C$24,Q$3&lt;Projects!$C$24+Projects!$D$24),Projects!$B$24*INDEX(Curves!$B$4:$AR$4,1,Q$3-Projects!$C$24+1),0)-IF(AND(Projects!$G$24="Yes",Q$3&gt;=Projects!$C$24,Q$3&lt;Projects!$C$24+Projects!$D$24),Projects!$B$24*(Assumptions!$B$10+Assumptions!$B$11+Assumptions!$B$12)/Projects!$D$24*0.95,0)-IF(AND(Projects!$G$24="Yes",Q$3=Projects!$C$24+Projects!$D$24-1),Projects!$B$24*(Assumptions!$B$10+Assumptions!$B$11+Assumptions!$B$12)*0.05,0)</f>
        <v>0</v>
      </c>
      <c r="R33" s="19" t="n">
        <f aca="false">IF(AND(Projects!$G$24="Yes",R$3&gt;=Projects!$C$24,R$3&lt;Projects!$C$24+Projects!$D$24),Projects!$B$24*INDEX(Curves!$B$4:$AR$4,1,R$3-Projects!$C$24+1),0)-IF(AND(Projects!$G$24="Yes",R$3&gt;=Projects!$C$24,R$3&lt;Projects!$C$24+Projects!$D$24),Projects!$B$24*(Assumptions!$B$10+Assumptions!$B$11+Assumptions!$B$12)/Projects!$D$24*0.95,0)-IF(AND(Projects!$G$24="Yes",R$3=Projects!$C$24+Projects!$D$24-1),Projects!$B$24*(Assumptions!$B$10+Assumptions!$B$11+Assumptions!$B$12)*0.05,0)</f>
        <v>0</v>
      </c>
      <c r="S33" s="19" t="n">
        <f aca="false">IF(AND(Projects!$G$24="Yes",S$3&gt;=Projects!$C$24,S$3&lt;Projects!$C$24+Projects!$D$24),Projects!$B$24*INDEX(Curves!$B$4:$AR$4,1,S$3-Projects!$C$24+1),0)-IF(AND(Projects!$G$24="Yes",S$3&gt;=Projects!$C$24,S$3&lt;Projects!$C$24+Projects!$D$24),Projects!$B$24*(Assumptions!$B$10+Assumptions!$B$11+Assumptions!$B$12)/Projects!$D$24*0.95,0)-IF(AND(Projects!$G$24="Yes",S$3=Projects!$C$24+Projects!$D$24-1),Projects!$B$24*(Assumptions!$B$10+Assumptions!$B$11+Assumptions!$B$12)*0.05,0)</f>
        <v>0</v>
      </c>
      <c r="T33" s="19" t="n">
        <f aca="false">IF(AND(Projects!$G$24="Yes",T$3&gt;=Projects!$C$24,T$3&lt;Projects!$C$24+Projects!$D$24),Projects!$B$24*INDEX(Curves!$B$4:$AR$4,1,T$3-Projects!$C$24+1),0)-IF(AND(Projects!$G$24="Yes",T$3&gt;=Projects!$C$24,T$3&lt;Projects!$C$24+Projects!$D$24),Projects!$B$24*(Assumptions!$B$10+Assumptions!$B$11+Assumptions!$B$12)/Projects!$D$24*0.95,0)-IF(AND(Projects!$G$24="Yes",T$3=Projects!$C$24+Projects!$D$24-1),Projects!$B$24*(Assumptions!$B$10+Assumptions!$B$11+Assumptions!$B$12)*0.05,0)</f>
        <v>0</v>
      </c>
      <c r="U33" s="19" t="n">
        <f aca="false">IF(AND(Projects!$G$24="Yes",U$3&gt;=Projects!$C$24,U$3&lt;Projects!$C$24+Projects!$D$24),Projects!$B$24*INDEX(Curves!$B$4:$AR$4,1,U$3-Projects!$C$24+1),0)-IF(AND(Projects!$G$24="Yes",U$3&gt;=Projects!$C$24,U$3&lt;Projects!$C$24+Projects!$D$24),Projects!$B$24*(Assumptions!$B$10+Assumptions!$B$11+Assumptions!$B$12)/Projects!$D$24*0.95,0)-IF(AND(Projects!$G$24="Yes",U$3=Projects!$C$24+Projects!$D$24-1),Projects!$B$24*(Assumptions!$B$10+Assumptions!$B$11+Assumptions!$B$12)*0.05,0)</f>
        <v>0</v>
      </c>
      <c r="V33" s="19" t="n">
        <f aca="false">IF(AND(Projects!$G$24="Yes",V$3&gt;=Projects!$C$24,V$3&lt;Projects!$C$24+Projects!$D$24),Projects!$B$24*INDEX(Curves!$B$4:$AR$4,1,V$3-Projects!$C$24+1),0)-IF(AND(Projects!$G$24="Yes",V$3&gt;=Projects!$C$24,V$3&lt;Projects!$C$24+Projects!$D$24),Projects!$B$24*(Assumptions!$B$10+Assumptions!$B$11+Assumptions!$B$12)/Projects!$D$24*0.95,0)-IF(AND(Projects!$G$24="Yes",V$3=Projects!$C$24+Projects!$D$24-1),Projects!$B$24*(Assumptions!$B$10+Assumptions!$B$11+Assumptions!$B$12)*0.05,0)</f>
        <v>0</v>
      </c>
      <c r="W33" s="19" t="n">
        <f aca="false">IF(AND(Projects!$G$24="Yes",W$3&gt;=Projects!$C$24,W$3&lt;Projects!$C$24+Projects!$D$24),Projects!$B$24*INDEX(Curves!$B$4:$AR$4,1,W$3-Projects!$C$24+1),0)-IF(AND(Projects!$G$24="Yes",W$3&gt;=Projects!$C$24,W$3&lt;Projects!$C$24+Projects!$D$24),Projects!$B$24*(Assumptions!$B$10+Assumptions!$B$11+Assumptions!$B$12)/Projects!$D$24*0.95,0)-IF(AND(Projects!$G$24="Yes",W$3=Projects!$C$24+Projects!$D$24-1),Projects!$B$24*(Assumptions!$B$10+Assumptions!$B$11+Assumptions!$B$12)*0.05,0)</f>
        <v>0</v>
      </c>
      <c r="X33" s="19" t="n">
        <f aca="false">IF(AND(Projects!$G$24="Yes",X$3&gt;=Projects!$C$24,X$3&lt;Projects!$C$24+Projects!$D$24),Projects!$B$24*INDEX(Curves!$B$4:$AR$4,1,X$3-Projects!$C$24+1),0)-IF(AND(Projects!$G$24="Yes",X$3&gt;=Projects!$C$24,X$3&lt;Projects!$C$24+Projects!$D$24),Projects!$B$24*(Assumptions!$B$10+Assumptions!$B$11+Assumptions!$B$12)/Projects!$D$24*0.95,0)-IF(AND(Projects!$G$24="Yes",X$3=Projects!$C$24+Projects!$D$24-1),Projects!$B$24*(Assumptions!$B$10+Assumptions!$B$11+Assumptions!$B$12)*0.05,0)</f>
        <v>0</v>
      </c>
      <c r="Y33" s="19" t="n">
        <f aca="false">IF(AND(Projects!$G$24="Yes",Y$3&gt;=Projects!$C$24,Y$3&lt;Projects!$C$24+Projects!$D$24),Projects!$B$24*INDEX(Curves!$B$4:$AR$4,1,Y$3-Projects!$C$24+1),0)-IF(AND(Projects!$G$24="Yes",Y$3&gt;=Projects!$C$24,Y$3&lt;Projects!$C$24+Projects!$D$24),Projects!$B$24*(Assumptions!$B$10+Assumptions!$B$11+Assumptions!$B$12)/Projects!$D$24*0.95,0)-IF(AND(Projects!$G$24="Yes",Y$3=Projects!$C$24+Projects!$D$24-1),Projects!$B$24*(Assumptions!$B$10+Assumptions!$B$11+Assumptions!$B$12)*0.05,0)</f>
        <v>0</v>
      </c>
      <c r="Z33" s="19" t="n">
        <f aca="false">IF(AND(Projects!$G$24="Yes",Z$3&gt;=Projects!$C$24,Z$3&lt;Projects!$C$24+Projects!$D$24),Projects!$B$24*INDEX(Curves!$B$4:$AR$4,1,Z$3-Projects!$C$24+1),0)-IF(AND(Projects!$G$24="Yes",Z$3&gt;=Projects!$C$24,Z$3&lt;Projects!$C$24+Projects!$D$24),Projects!$B$24*(Assumptions!$B$10+Assumptions!$B$11+Assumptions!$B$12)/Projects!$D$24*0.95,0)-IF(AND(Projects!$G$24="Yes",Z$3=Projects!$C$24+Projects!$D$24-1),Projects!$B$24*(Assumptions!$B$10+Assumptions!$B$11+Assumptions!$B$12)*0.05,0)</f>
        <v>0</v>
      </c>
      <c r="AA33" s="19" t="n">
        <f aca="false">IF(AND(Projects!$G$24="Yes",AA$3&gt;=Projects!$C$24,AA$3&lt;Projects!$C$24+Projects!$D$24),Projects!$B$24*INDEX(Curves!$B$4:$AR$4,1,AA$3-Projects!$C$24+1),0)-IF(AND(Projects!$G$24="Yes",AA$3&gt;=Projects!$C$24,AA$3&lt;Projects!$C$24+Projects!$D$24),Projects!$B$24*(Assumptions!$B$10+Assumptions!$B$11+Assumptions!$B$12)/Projects!$D$24*0.95,0)-IF(AND(Projects!$G$24="Yes",AA$3=Projects!$C$24+Projects!$D$24-1),Projects!$B$24*(Assumptions!$B$10+Assumptions!$B$11+Assumptions!$B$12)*0.05,0)</f>
        <v>0</v>
      </c>
      <c r="AB33" s="19" t="n">
        <f aca="false">IF(AND(Projects!$G$24="Yes",AB$3&gt;=Projects!$C$24,AB$3&lt;Projects!$C$24+Projects!$D$24),Projects!$B$24*INDEX(Curves!$B$4:$AR$4,1,AB$3-Projects!$C$24+1),0)-IF(AND(Projects!$G$24="Yes",AB$3&gt;=Projects!$C$24,AB$3&lt;Projects!$C$24+Projects!$D$24),Projects!$B$24*(Assumptions!$B$10+Assumptions!$B$11+Assumptions!$B$12)/Projects!$D$24*0.95,0)-IF(AND(Projects!$G$24="Yes",AB$3=Projects!$C$24+Projects!$D$24-1),Projects!$B$24*(Assumptions!$B$10+Assumptions!$B$11+Assumptions!$B$12)*0.05,0)</f>
        <v>368954.1</v>
      </c>
      <c r="AC33" s="19" t="n">
        <f aca="false">IF(AND(Projects!$G$24="Yes",AC$3&gt;=Projects!$C$24,AC$3&lt;Projects!$C$24+Projects!$D$24),Projects!$B$24*INDEX(Curves!$B$4:$AR$4,1,AC$3-Projects!$C$24+1),0)-IF(AND(Projects!$G$24="Yes",AC$3&gt;=Projects!$C$24,AC$3&lt;Projects!$C$24+Projects!$D$24),Projects!$B$24*(Assumptions!$B$10+Assumptions!$B$11+Assumptions!$B$12)/Projects!$D$24*0.95,0)-IF(AND(Projects!$G$24="Yes",AC$3=Projects!$C$24+Projects!$D$24-1),Projects!$B$24*(Assumptions!$B$10+Assumptions!$B$11+Assumptions!$B$12)*0.05,0)</f>
        <v>481346.1</v>
      </c>
      <c r="AD33" s="19" t="n">
        <f aca="false">IF(AND(Projects!$G$24="Yes",AD$3&gt;=Projects!$C$24,AD$3&lt;Projects!$C$24+Projects!$D$24),Projects!$B$24*INDEX(Curves!$B$4:$AR$4,1,AD$3-Projects!$C$24+1),0)-IF(AND(Projects!$G$24="Yes",AD$3&gt;=Projects!$C$24,AD$3&lt;Projects!$C$24+Projects!$D$24),Projects!$B$24*(Assumptions!$B$10+Assumptions!$B$11+Assumptions!$B$12)/Projects!$D$24*0.95,0)-IF(AND(Projects!$G$24="Yes",AD$3=Projects!$C$24+Projects!$D$24-1),Projects!$B$24*(Assumptions!$B$10+Assumptions!$B$11+Assumptions!$B$12)*0.05,0)</f>
        <v>602324.1</v>
      </c>
      <c r="AE33" s="19" t="n">
        <f aca="false">IF(AND(Projects!$G$24="Yes",AE$3&gt;=Projects!$C$24,AE$3&lt;Projects!$C$24+Projects!$D$24),Projects!$B$24*INDEX(Curves!$B$4:$AR$4,1,AE$3-Projects!$C$24+1),0)-IF(AND(Projects!$G$24="Yes",AE$3&gt;=Projects!$C$24,AE$3&lt;Projects!$C$24+Projects!$D$24),Projects!$B$24*(Assumptions!$B$10+Assumptions!$B$11+Assumptions!$B$12)/Projects!$D$24*0.95,0)-IF(AND(Projects!$G$24="Yes",AE$3=Projects!$C$24+Projects!$D$24-1),Projects!$B$24*(Assumptions!$B$10+Assumptions!$B$11+Assumptions!$B$12)*0.05,0)</f>
        <v>727064.1</v>
      </c>
      <c r="AF33" s="19" t="n">
        <f aca="false">IF(AND(Projects!$G$24="Yes",AF$3&gt;=Projects!$C$24,AF$3&lt;Projects!$C$24+Projects!$D$24),Projects!$B$24*INDEX(Curves!$B$4:$AR$4,1,AF$3-Projects!$C$24+1),0)-IF(AND(Projects!$G$24="Yes",AF$3&gt;=Projects!$C$24,AF$3&lt;Projects!$C$24+Projects!$D$24),Projects!$B$24*(Assumptions!$B$10+Assumptions!$B$11+Assumptions!$B$12)/Projects!$D$24*0.95,0)-IF(AND(Projects!$G$24="Yes",AF$3=Projects!$C$24+Projects!$D$24-1),Projects!$B$24*(Assumptions!$B$10+Assumptions!$B$11+Assumptions!$B$12)*0.05,0)</f>
        <v>849572.1</v>
      </c>
      <c r="AG33" s="19" t="n">
        <f aca="false">IF(AND(Projects!$G$24="Yes",AG$3&gt;=Projects!$C$24,AG$3&lt;Projects!$C$24+Projects!$D$24),Projects!$B$24*INDEX(Curves!$B$4:$AR$4,1,AG$3-Projects!$C$24+1),0)-IF(AND(Projects!$G$24="Yes",AG$3&gt;=Projects!$C$24,AG$3&lt;Projects!$C$24+Projects!$D$24),Projects!$B$24*(Assumptions!$B$10+Assumptions!$B$11+Assumptions!$B$12)/Projects!$D$24*0.95,0)-IF(AND(Projects!$G$24="Yes",AG$3=Projects!$C$24+Projects!$D$24-1),Projects!$B$24*(Assumptions!$B$10+Assumptions!$B$11+Assumptions!$B$12)*0.05,0)</f>
        <v>963044.1</v>
      </c>
      <c r="AH33" s="19" t="n">
        <f aca="false">IF(AND(Projects!$G$24="Yes",AH$3&gt;=Projects!$C$24,AH$3&lt;Projects!$C$24+Projects!$D$24),Projects!$B$24*INDEX(Curves!$B$4:$AR$4,1,AH$3-Projects!$C$24+1),0)-IF(AND(Projects!$G$24="Yes",AH$3&gt;=Projects!$C$24,AH$3&lt;Projects!$C$24+Projects!$D$24),Projects!$B$24*(Assumptions!$B$10+Assumptions!$B$11+Assumptions!$B$12)/Projects!$D$24*0.95,0)-IF(AND(Projects!$G$24="Yes",AH$3=Projects!$C$24+Projects!$D$24-1),Projects!$B$24*(Assumptions!$B$10+Assumptions!$B$11+Assumptions!$B$12)*0.05,0)</f>
        <v>1060514.1</v>
      </c>
      <c r="AI33" s="19" t="n">
        <f aca="false">IF(AND(Projects!$G$24="Yes",AI$3&gt;=Projects!$C$24,AI$3&lt;Projects!$C$24+Projects!$D$24),Projects!$B$24*INDEX(Curves!$B$4:$AR$4,1,AI$3-Projects!$C$24+1),0)-IF(AND(Projects!$G$24="Yes",AI$3&gt;=Projects!$C$24,AI$3&lt;Projects!$C$24+Projects!$D$24),Projects!$B$24*(Assumptions!$B$10+Assumptions!$B$11+Assumptions!$B$12)/Projects!$D$24*0.95,0)-IF(AND(Projects!$G$24="Yes",AI$3=Projects!$C$24+Projects!$D$24-1),Projects!$B$24*(Assumptions!$B$10+Assumptions!$B$11+Assumptions!$B$12)*0.05,0)</f>
        <v>1135520.1</v>
      </c>
      <c r="AJ33" s="19" t="n">
        <f aca="false">IF(AND(Projects!$G$24="Yes",AJ$3&gt;=Projects!$C$24,AJ$3&lt;Projects!$C$24+Projects!$D$24),Projects!$B$24*INDEX(Curves!$B$4:$AR$4,1,AJ$3-Projects!$C$24+1),0)-IF(AND(Projects!$G$24="Yes",AJ$3&gt;=Projects!$C$24,AJ$3&lt;Projects!$C$24+Projects!$D$24),Projects!$B$24*(Assumptions!$B$10+Assumptions!$B$11+Assumptions!$B$12)/Projects!$D$24*0.95,0)-IF(AND(Projects!$G$24="Yes",AJ$3=Projects!$C$24+Projects!$D$24-1),Projects!$B$24*(Assumptions!$B$10+Assumptions!$B$11+Assumptions!$B$12)*0.05,0)</f>
        <v>1182824.1</v>
      </c>
      <c r="AK33" s="19" t="n">
        <f aca="false">IF(AND(Projects!$G$24="Yes",AK$3&gt;=Projects!$C$24,AK$3&lt;Projects!$C$24+Projects!$D$24),Projects!$B$24*INDEX(Curves!$B$4:$AR$4,1,AK$3-Projects!$C$24+1),0)-IF(AND(Projects!$G$24="Yes",AK$3&gt;=Projects!$C$24,AK$3&lt;Projects!$C$24+Projects!$D$24),Projects!$B$24*(Assumptions!$B$10+Assumptions!$B$11+Assumptions!$B$12)/Projects!$D$24*0.95,0)-IF(AND(Projects!$G$24="Yes",AK$3=Projects!$C$24+Projects!$D$24-1),Projects!$B$24*(Assumptions!$B$10+Assumptions!$B$11+Assumptions!$B$12)*0.05,0)</f>
        <v>1198988.1</v>
      </c>
      <c r="AL33" s="19" t="n">
        <f aca="false">IF(AND(Projects!$G$24="Yes",AL$3&gt;=Projects!$C$24,AL$3&lt;Projects!$C$24+Projects!$D$24),Projects!$B$24*INDEX(Curves!$B$4:$AR$4,1,AL$3-Projects!$C$24+1),0)-IF(AND(Projects!$G$24="Yes",AL$3&gt;=Projects!$C$24,AL$3&lt;Projects!$C$24+Projects!$D$24),Projects!$B$24*(Assumptions!$B$10+Assumptions!$B$11+Assumptions!$B$12)/Projects!$D$24*0.95,0)-IF(AND(Projects!$G$24="Yes",AL$3=Projects!$C$24+Projects!$D$24-1),Projects!$B$24*(Assumptions!$B$10+Assumptions!$B$11+Assumptions!$B$12)*0.05,0)</f>
        <v>1182824.1</v>
      </c>
      <c r="AM33" s="19" t="n">
        <f aca="false">IF(AND(Projects!$G$24="Yes",AM$3&gt;=Projects!$C$24,AM$3&lt;Projects!$C$24+Projects!$D$24),Projects!$B$24*INDEX(Curves!$B$4:$AR$4,1,AM$3-Projects!$C$24+1),0)-IF(AND(Projects!$G$24="Yes",AM$3&gt;=Projects!$C$24,AM$3&lt;Projects!$C$24+Projects!$D$24),Projects!$B$24*(Assumptions!$B$10+Assumptions!$B$11+Assumptions!$B$12)/Projects!$D$24*0.95,0)-IF(AND(Projects!$G$24="Yes",AM$3=Projects!$C$24+Projects!$D$24-1),Projects!$B$24*(Assumptions!$B$10+Assumptions!$B$11+Assumptions!$B$12)*0.05,0)</f>
        <v>1135520.1</v>
      </c>
      <c r="AN33" s="19" t="n">
        <f aca="false">IF(AND(Projects!$G$24="Yes",AN$3&gt;=Projects!$C$24,AN$3&lt;Projects!$C$24+Projects!$D$24),Projects!$B$24*INDEX(Curves!$B$4:$AR$4,1,AN$3-Projects!$C$24+1),0)-IF(AND(Projects!$G$24="Yes",AN$3&gt;=Projects!$C$24,AN$3&lt;Projects!$C$24+Projects!$D$24),Projects!$B$24*(Assumptions!$B$10+Assumptions!$B$11+Assumptions!$B$12)/Projects!$D$24*0.95,0)-IF(AND(Projects!$G$24="Yes",AN$3=Projects!$C$24+Projects!$D$24-1),Projects!$B$24*(Assumptions!$B$10+Assumptions!$B$11+Assumptions!$B$12)*0.05,0)</f>
        <v>1060514.1</v>
      </c>
      <c r="AO33" s="19" t="n">
        <f aca="false">IF(AND(Projects!$G$24="Yes",AO$3&gt;=Projects!$C$24,AO$3&lt;Projects!$C$24+Projects!$D$24),Projects!$B$24*INDEX(Curves!$B$4:$AR$4,1,AO$3-Projects!$C$24+1),0)-IF(AND(Projects!$G$24="Yes",AO$3&gt;=Projects!$C$24,AO$3&lt;Projects!$C$24+Projects!$D$24),Projects!$B$24*(Assumptions!$B$10+Assumptions!$B$11+Assumptions!$B$12)/Projects!$D$24*0.95,0)-IF(AND(Projects!$G$24="Yes",AO$3=Projects!$C$24+Projects!$D$24-1),Projects!$B$24*(Assumptions!$B$10+Assumptions!$B$11+Assumptions!$B$12)*0.05,0)</f>
        <v>963044.1</v>
      </c>
      <c r="AP33" s="19" t="n">
        <f aca="false">IF(AND(Projects!$G$24="Yes",AP$3&gt;=Projects!$C$24,AP$3&lt;Projects!$C$24+Projects!$D$24),Projects!$B$24*INDEX(Curves!$B$4:$AR$4,1,AP$3-Projects!$C$24+1),0)-IF(AND(Projects!$G$24="Yes",AP$3&gt;=Projects!$C$24,AP$3&lt;Projects!$C$24+Projects!$D$24),Projects!$B$24*(Assumptions!$B$10+Assumptions!$B$11+Assumptions!$B$12)/Projects!$D$24*0.95,0)-IF(AND(Projects!$G$24="Yes",AP$3=Projects!$C$24+Projects!$D$24-1),Projects!$B$24*(Assumptions!$B$10+Assumptions!$B$11+Assumptions!$B$12)*0.05,0)</f>
        <v>849572.1</v>
      </c>
      <c r="AQ33" s="19" t="n">
        <f aca="false">IF(AND(Projects!$G$24="Yes",AQ$3&gt;=Projects!$C$24,AQ$3&lt;Projects!$C$24+Projects!$D$24),Projects!$B$24*INDEX(Curves!$B$4:$AR$4,1,AQ$3-Projects!$C$24+1),0)-IF(AND(Projects!$G$24="Yes",AQ$3&gt;=Projects!$C$24,AQ$3&lt;Projects!$C$24+Projects!$D$24),Projects!$B$24*(Assumptions!$B$10+Assumptions!$B$11+Assumptions!$B$12)/Projects!$D$24*0.95,0)-IF(AND(Projects!$G$24="Yes",AQ$3=Projects!$C$24+Projects!$D$24-1),Projects!$B$24*(Assumptions!$B$10+Assumptions!$B$11+Assumptions!$B$12)*0.05,0)</f>
        <v>727064.1</v>
      </c>
      <c r="AR33" s="19" t="n">
        <f aca="false">IF(AND(Projects!$G$24="Yes",AR$3&gt;=Projects!$C$24,AR$3&lt;Projects!$C$24+Projects!$D$24),Projects!$B$24*INDEX(Curves!$B$4:$AR$4,1,AR$3-Projects!$C$24+1),0)-IF(AND(Projects!$G$24="Yes",AR$3&gt;=Projects!$C$24,AR$3&lt;Projects!$C$24+Projects!$D$24),Projects!$B$24*(Assumptions!$B$10+Assumptions!$B$11+Assumptions!$B$12)/Projects!$D$24*0.95,0)-IF(AND(Projects!$G$24="Yes",AR$3=Projects!$C$24+Projects!$D$24-1),Projects!$B$24*(Assumptions!$B$10+Assumptions!$B$11+Assumptions!$B$12)*0.05,0)</f>
        <v>602324.1</v>
      </c>
      <c r="AS33" s="19" t="n">
        <f aca="false">IF(AND(Projects!$G$24="Yes",AS$3&gt;=Projects!$C$24,AS$3&lt;Projects!$C$24+Projects!$D$24),Projects!$B$24*INDEX(Curves!$B$4:$AR$4,1,AS$3-Projects!$C$24+1),0)-IF(AND(Projects!$G$24="Yes",AS$3&gt;=Projects!$C$24,AS$3&lt;Projects!$C$24+Projects!$D$24),Projects!$B$24*(Assumptions!$B$10+Assumptions!$B$11+Assumptions!$B$12)/Projects!$D$24*0.95,0)-IF(AND(Projects!$G$24="Yes",AS$3=Projects!$C$24+Projects!$D$24-1),Projects!$B$24*(Assumptions!$B$10+Assumptions!$B$11+Assumptions!$B$12)*0.05,0)</f>
        <v>481346.1</v>
      </c>
      <c r="AT33" s="19" t="n">
        <f aca="false">IF(AND(Projects!$G$24="Yes",AT$3&gt;=Projects!$C$24,AT$3&lt;Projects!$C$24+Projects!$D$24),Projects!$B$24*INDEX(Curves!$B$4:$AR$4,1,AT$3-Projects!$C$24+1),0)-IF(AND(Projects!$G$24="Yes",AT$3&gt;=Projects!$C$24,AT$3&lt;Projects!$C$24+Projects!$D$24),Projects!$B$24*(Assumptions!$B$10+Assumptions!$B$11+Assumptions!$B$12)/Projects!$D$24*0.95,0)-IF(AND(Projects!$G$24="Yes",AT$3=Projects!$C$24+Projects!$D$24-1),Projects!$B$24*(Assumptions!$B$10+Assumptions!$B$11+Assumptions!$B$12)*0.05,0)</f>
        <v>260602.2</v>
      </c>
      <c r="AU33" s="19" t="n">
        <f aca="false">IF(AND(Projects!$G$24="Yes",AU$3&gt;=Projects!$C$24,AU$3&lt;Projects!$C$24+Projects!$D$24),Projects!$B$24*INDEX(Curves!$B$4:$AR$4,1,AU$3-Projects!$C$24+1),0)-IF(AND(Projects!$G$24="Yes",AU$3&gt;=Projects!$C$24,AU$3&lt;Projects!$C$24+Projects!$D$24),Projects!$B$24*(Assumptions!$B$10+Assumptions!$B$11+Assumptions!$B$12)/Projects!$D$24*0.95,0)-IF(AND(Projects!$G$24="Yes",AU$3=Projects!$C$24+Projects!$D$24-1),Projects!$B$24*(Assumptions!$B$10+Assumptions!$B$11+Assumptions!$B$12)*0.05,0)</f>
        <v>0</v>
      </c>
      <c r="AV33" s="19" t="n">
        <f aca="false">IF(AND(Projects!$G$24="Yes",AV$3&gt;=Projects!$C$24,AV$3&lt;Projects!$C$24+Projects!$D$24),Projects!$B$24*INDEX(Curves!$B$4:$AR$4,1,AV$3-Projects!$C$24+1),0)-IF(AND(Projects!$G$24="Yes",AV$3&gt;=Projects!$C$24,AV$3&lt;Projects!$C$24+Projects!$D$24),Projects!$B$24*(Assumptions!$B$10+Assumptions!$B$11+Assumptions!$B$12)/Projects!$D$24*0.95,0)-IF(AND(Projects!$G$24="Yes",AV$3=Projects!$C$24+Projects!$D$24-1),Projects!$B$24*(Assumptions!$B$10+Assumptions!$B$11+Assumptions!$B$12)*0.05,0)</f>
        <v>0</v>
      </c>
      <c r="AW33" s="19" t="n">
        <f aca="false">IF(AND(Projects!$G$24="Yes",AW$3&gt;=Projects!$C$24,AW$3&lt;Projects!$C$24+Projects!$D$24),Projects!$B$24*INDEX(Curves!$B$4:$AR$4,1,AW$3-Projects!$C$24+1),0)-IF(AND(Projects!$G$24="Yes",AW$3&gt;=Projects!$C$24,AW$3&lt;Projects!$C$24+Projects!$D$24),Projects!$B$24*(Assumptions!$B$10+Assumptions!$B$11+Assumptions!$B$12)/Projects!$D$24*0.95,0)-IF(AND(Projects!$G$24="Yes",AW$3=Projects!$C$24+Projects!$D$24-1),Projects!$B$24*(Assumptions!$B$10+Assumptions!$B$11+Assumptions!$B$12)*0.05,0)</f>
        <v>0</v>
      </c>
      <c r="AX33" s="19" t="n">
        <f aca="false">IF(AND(Projects!$G$24="Yes",AX$3&gt;=Projects!$C$24,AX$3&lt;Projects!$C$24+Projects!$D$24),Projects!$B$24*INDEX(Curves!$B$4:$AR$4,1,AX$3-Projects!$C$24+1),0)-IF(AND(Projects!$G$24="Yes",AX$3&gt;=Projects!$C$24,AX$3&lt;Projects!$C$24+Projects!$D$24),Projects!$B$24*(Assumptions!$B$10+Assumptions!$B$11+Assumptions!$B$12)/Projects!$D$24*0.95,0)-IF(AND(Projects!$G$24="Yes",AX$3=Projects!$C$24+Projects!$D$24-1),Projects!$B$24*(Assumptions!$B$10+Assumptions!$B$11+Assumptions!$B$12)*0.05,0)</f>
        <v>0</v>
      </c>
      <c r="AY33" s="19" t="n">
        <f aca="false">IF(AND(Projects!$G$24="Yes",AY$3&gt;=Projects!$C$24,AY$3&lt;Projects!$C$24+Projects!$D$24),Projects!$B$24*INDEX(Curves!$B$4:$AR$4,1,AY$3-Projects!$C$24+1),0)-IF(AND(Projects!$G$24="Yes",AY$3&gt;=Projects!$C$24,AY$3&lt;Projects!$C$24+Projects!$D$24),Projects!$B$24*(Assumptions!$B$10+Assumptions!$B$11+Assumptions!$B$12)/Projects!$D$24*0.95,0)-IF(AND(Projects!$G$24="Yes",AY$3=Projects!$C$24+Projects!$D$24-1),Projects!$B$24*(Assumptions!$B$10+Assumptions!$B$11+Assumptions!$B$12)*0.05,0)</f>
        <v>0</v>
      </c>
      <c r="AZ33" s="19" t="n">
        <f aca="false">IF(AND(Projects!$G$24="Yes",AZ$3&gt;=Projects!$C$24,AZ$3&lt;Projects!$C$24+Projects!$D$24),Projects!$B$24*INDEX(Curves!$B$4:$AR$4,1,AZ$3-Projects!$C$24+1),0)-IF(AND(Projects!$G$24="Yes",AZ$3&gt;=Projects!$C$24,AZ$3&lt;Projects!$C$24+Projects!$D$24),Projects!$B$24*(Assumptions!$B$10+Assumptions!$B$11+Assumptions!$B$12)/Projects!$D$24*0.95,0)-IF(AND(Projects!$G$24="Yes",AZ$3=Projects!$C$24+Projects!$D$24-1),Projects!$B$24*(Assumptions!$B$10+Assumptions!$B$11+Assumptions!$B$12)*0.05,0)</f>
        <v>0</v>
      </c>
      <c r="BA33" s="19" t="n">
        <f aca="false">IF(AND(Projects!$G$24="Yes",BA$3&gt;=Projects!$C$24,BA$3&lt;Projects!$C$24+Projects!$D$24),Projects!$B$24*INDEX(Curves!$B$4:$AR$4,1,BA$3-Projects!$C$24+1),0)-IF(AND(Projects!$G$24="Yes",BA$3&gt;=Projects!$C$24,BA$3&lt;Projects!$C$24+Projects!$D$24),Projects!$B$24*(Assumptions!$B$10+Assumptions!$B$11+Assumptions!$B$12)/Projects!$D$24*0.95,0)-IF(AND(Projects!$G$24="Yes",BA$3=Projects!$C$24+Projects!$D$24-1),Projects!$B$24*(Assumptions!$B$10+Assumptions!$B$11+Assumptions!$B$12)*0.05,0)</f>
        <v>0</v>
      </c>
      <c r="BB33" s="19" t="n">
        <f aca="false">IF(AND(Projects!$G$24="Yes",BB$3&gt;=Projects!$C$24,BB$3&lt;Projects!$C$24+Projects!$D$24),Projects!$B$24*INDEX(Curves!$B$4:$AR$4,1,BB$3-Projects!$C$24+1),0)-IF(AND(Projects!$G$24="Yes",BB$3&gt;=Projects!$C$24,BB$3&lt;Projects!$C$24+Projects!$D$24),Projects!$B$24*(Assumptions!$B$10+Assumptions!$B$11+Assumptions!$B$12)/Projects!$D$24*0.95,0)-IF(AND(Projects!$G$24="Yes",BB$3=Projects!$C$24+Projects!$D$24-1),Projects!$B$24*(Assumptions!$B$10+Assumptions!$B$11+Assumptions!$B$12)*0.05,0)</f>
        <v>0</v>
      </c>
      <c r="BC33" s="19" t="n">
        <f aca="false">IF(AND(Projects!$G$24="Yes",BC$3&gt;=Projects!$C$24,BC$3&lt;Projects!$C$24+Projects!$D$24),Projects!$B$24*INDEX(Curves!$B$4:$AR$4,1,BC$3-Projects!$C$24+1),0)-IF(AND(Projects!$G$24="Yes",BC$3&gt;=Projects!$C$24,BC$3&lt;Projects!$C$24+Projects!$D$24),Projects!$B$24*(Assumptions!$B$10+Assumptions!$B$11+Assumptions!$B$12)/Projects!$D$24*0.95,0)-IF(AND(Projects!$G$24="Yes",BC$3=Projects!$C$24+Projects!$D$24-1),Projects!$B$24*(Assumptions!$B$10+Assumptions!$B$11+Assumptions!$B$12)*0.05,0)</f>
        <v>0</v>
      </c>
      <c r="BD33" s="19" t="n">
        <f aca="false">IF(AND(Projects!$G$24="Yes",BD$3&gt;=Projects!$C$24,BD$3&lt;Projects!$C$24+Projects!$D$24),Projects!$B$24*INDEX(Curves!$B$4:$AR$4,1,BD$3-Projects!$C$24+1),0)-IF(AND(Projects!$G$24="Yes",BD$3&gt;=Projects!$C$24,BD$3&lt;Projects!$C$24+Projects!$D$24),Projects!$B$24*(Assumptions!$B$10+Assumptions!$B$11+Assumptions!$B$12)/Projects!$D$24*0.95,0)-IF(AND(Projects!$G$24="Yes",BD$3=Projects!$C$24+Projects!$D$24-1),Projects!$B$24*(Assumptions!$B$10+Assumptions!$B$11+Assumptions!$B$12)*0.05,0)</f>
        <v>0</v>
      </c>
      <c r="BE33" s="19" t="n">
        <f aca="false">IF(AND(Projects!$G$24="Yes",BE$3&gt;=Projects!$C$24,BE$3&lt;Projects!$C$24+Projects!$D$24),Projects!$B$24*INDEX(Curves!$B$4:$AR$4,1,BE$3-Projects!$C$24+1),0)-IF(AND(Projects!$G$24="Yes",BE$3&gt;=Projects!$C$24,BE$3&lt;Projects!$C$24+Projects!$D$24),Projects!$B$24*(Assumptions!$B$10+Assumptions!$B$11+Assumptions!$B$12)/Projects!$D$24*0.95,0)-IF(AND(Projects!$G$24="Yes",BE$3=Projects!$C$24+Projects!$D$24-1),Projects!$B$24*(Assumptions!$B$10+Assumptions!$B$11+Assumptions!$B$12)*0.05,0)</f>
        <v>0</v>
      </c>
      <c r="BF33" s="19" t="n">
        <f aca="false">IF(AND(Projects!$G$24="Yes",BF$3&gt;=Projects!$C$24,BF$3&lt;Projects!$C$24+Projects!$D$24),Projects!$B$24*INDEX(Curves!$B$4:$AR$4,1,BF$3-Projects!$C$24+1),0)-IF(AND(Projects!$G$24="Yes",BF$3&gt;=Projects!$C$24,BF$3&lt;Projects!$C$24+Projects!$D$24),Projects!$B$24*(Assumptions!$B$10+Assumptions!$B$11+Assumptions!$B$12)/Projects!$D$24*0.95,0)-IF(AND(Projects!$G$24="Yes",BF$3=Projects!$C$24+Projects!$D$24-1),Projects!$B$24*(Assumptions!$B$10+Assumptions!$B$11+Assumptions!$B$12)*0.05,0)</f>
        <v>0</v>
      </c>
      <c r="BG33" s="19" t="n">
        <f aca="false">IF(AND(Projects!$G$24="Yes",BG$3&gt;=Projects!$C$24,BG$3&lt;Projects!$C$24+Projects!$D$24),Projects!$B$24*INDEX(Curves!$B$4:$AR$4,1,BG$3-Projects!$C$24+1),0)-IF(AND(Projects!$G$24="Yes",BG$3&gt;=Projects!$C$24,BG$3&lt;Projects!$C$24+Projects!$D$24),Projects!$B$24*(Assumptions!$B$10+Assumptions!$B$11+Assumptions!$B$12)/Projects!$D$24*0.95,0)-IF(AND(Projects!$G$24="Yes",BG$3=Projects!$C$24+Projects!$D$24-1),Projects!$B$24*(Assumptions!$B$10+Assumptions!$B$11+Assumptions!$B$12)*0.05,0)</f>
        <v>0</v>
      </c>
      <c r="BH33" s="19" t="n">
        <f aca="false">IF(AND(Projects!$G$24="Yes",BH$3&gt;=Projects!$C$24,BH$3&lt;Projects!$C$24+Projects!$D$24),Projects!$B$24*INDEX(Curves!$B$4:$AR$4,1,BH$3-Projects!$C$24+1),0)-IF(AND(Projects!$G$24="Yes",BH$3&gt;=Projects!$C$24,BH$3&lt;Projects!$C$24+Projects!$D$24),Projects!$B$24*(Assumptions!$B$10+Assumptions!$B$11+Assumptions!$B$12)/Projects!$D$24*0.95,0)-IF(AND(Projects!$G$24="Yes",BH$3=Projects!$C$24+Projects!$D$24-1),Projects!$B$24*(Assumptions!$B$10+Assumptions!$B$11+Assumptions!$B$12)*0.05,0)</f>
        <v>0</v>
      </c>
      <c r="BI33" s="19" t="n">
        <f aca="false">IF(AND(Projects!$G$24="Yes",BI$3&gt;=Projects!$C$24,BI$3&lt;Projects!$C$24+Projects!$D$24),Projects!$B$24*INDEX(Curves!$B$4:$AR$4,1,BI$3-Projects!$C$24+1),0)-IF(AND(Projects!$G$24="Yes",BI$3&gt;=Projects!$C$24,BI$3&lt;Projects!$C$24+Projects!$D$24),Projects!$B$24*(Assumptions!$B$10+Assumptions!$B$11+Assumptions!$B$12)/Projects!$D$24*0.95,0)-IF(AND(Projects!$G$24="Yes",BI$3=Projects!$C$24+Projects!$D$24-1),Projects!$B$24*(Assumptions!$B$10+Assumptions!$B$11+Assumptions!$B$12)*0.05,0)</f>
        <v>0</v>
      </c>
      <c r="BJ33" s="19" t="n">
        <f aca="false">IF(AND(Projects!$G$24="Yes",BJ$3&gt;=Projects!$C$24,BJ$3&lt;Projects!$C$24+Projects!$D$24),Projects!$B$24*INDEX(Curves!$B$4:$AR$4,1,BJ$3-Projects!$C$24+1),0)-IF(AND(Projects!$G$24="Yes",BJ$3&gt;=Projects!$C$24,BJ$3&lt;Projects!$C$24+Projects!$D$24),Projects!$B$24*(Assumptions!$B$10+Assumptions!$B$11+Assumptions!$B$12)/Projects!$D$24*0.95,0)-IF(AND(Projects!$G$24="Yes",BJ$3=Projects!$C$24+Projects!$D$24-1),Projects!$B$24*(Assumptions!$B$10+Assumptions!$B$11+Assumptions!$B$12)*0.05,0)</f>
        <v>0</v>
      </c>
      <c r="BK33" s="19" t="n">
        <f aca="false">IF(AND(Projects!$G$24="Yes",BK$3&gt;=Projects!$C$24,BK$3&lt;Projects!$C$24+Projects!$D$24),Projects!$B$24*INDEX(Curves!$B$4:$AR$4,1,BK$3-Projects!$C$24+1),0)-IF(AND(Projects!$G$24="Yes",BK$3&gt;=Projects!$C$24,BK$3&lt;Projects!$C$24+Projects!$D$24),Projects!$B$24*(Assumptions!$B$10+Assumptions!$B$11+Assumptions!$B$12)/Projects!$D$24*0.95,0)-IF(AND(Projects!$G$24="Yes",BK$3=Projects!$C$24+Projects!$D$24-1),Projects!$B$24*(Assumptions!$B$10+Assumptions!$B$11+Assumptions!$B$12)*0.05,0)</f>
        <v>0</v>
      </c>
      <c r="BL33" s="19" t="n">
        <f aca="false">IF(AND(Projects!$G$24="Yes",BL$3&gt;=Projects!$C$24,BL$3&lt;Projects!$C$24+Projects!$D$24),Projects!$B$24*INDEX(Curves!$B$4:$AR$4,1,BL$3-Projects!$C$24+1),0)-IF(AND(Projects!$G$24="Yes",BL$3&gt;=Projects!$C$24,BL$3&lt;Projects!$C$24+Projects!$D$24),Projects!$B$24*(Assumptions!$B$10+Assumptions!$B$11+Assumptions!$B$12)/Projects!$D$24*0.95,0)-IF(AND(Projects!$G$24="Yes",BL$3=Projects!$C$24+Projects!$D$24-1),Projects!$B$24*(Assumptions!$B$10+Assumptions!$B$11+Assumptions!$B$12)*0.05,0)</f>
        <v>0</v>
      </c>
      <c r="BM33" s="19" t="n">
        <f aca="false">IF(AND(Projects!$G$24="Yes",BM$3&gt;=Projects!$C$24,BM$3&lt;Projects!$C$24+Projects!$D$24),Projects!$B$24*INDEX(Curves!$B$4:$AR$4,1,BM$3-Projects!$C$24+1),0)-IF(AND(Projects!$G$24="Yes",BM$3&gt;=Projects!$C$24,BM$3&lt;Projects!$C$24+Projects!$D$24),Projects!$B$24*(Assumptions!$B$10+Assumptions!$B$11+Assumptions!$B$12)/Projects!$D$24*0.95,0)-IF(AND(Projects!$G$24="Yes",BM$3=Projects!$C$24+Projects!$D$24-1),Projects!$B$24*(Assumptions!$B$10+Assumptions!$B$11+Assumptions!$B$12)*0.05,0)</f>
        <v>0</v>
      </c>
      <c r="BN33" s="19" t="n">
        <f aca="false">IF(AND(Projects!$G$24="Yes",BN$3&gt;=Projects!$C$24,BN$3&lt;Projects!$C$24+Projects!$D$24),Projects!$B$24*INDEX(Curves!$B$4:$AR$4,1,BN$3-Projects!$C$24+1),0)-IF(AND(Projects!$G$24="Yes",BN$3&gt;=Projects!$C$24,BN$3&lt;Projects!$C$24+Projects!$D$24),Projects!$B$24*(Assumptions!$B$10+Assumptions!$B$11+Assumptions!$B$12)/Projects!$D$24*0.95,0)-IF(AND(Projects!$G$24="Yes",BN$3=Projects!$C$24+Projects!$D$24-1),Projects!$B$24*(Assumptions!$B$10+Assumptions!$B$11+Assumptions!$B$12)*0.05,0)</f>
        <v>0</v>
      </c>
      <c r="BO33" s="19" t="n">
        <f aca="false">IF(AND(Projects!$G$24="Yes",BO$3&gt;=Projects!$C$24,BO$3&lt;Projects!$C$24+Projects!$D$24),Projects!$B$24*INDEX(Curves!$B$4:$AR$4,1,BO$3-Projects!$C$24+1),0)-IF(AND(Projects!$G$24="Yes",BO$3&gt;=Projects!$C$24,BO$3&lt;Projects!$C$24+Projects!$D$24),Projects!$B$24*(Assumptions!$B$10+Assumptions!$B$11+Assumptions!$B$12)/Projects!$D$24*0.95,0)-IF(AND(Projects!$G$24="Yes",BO$3=Projects!$C$24+Projects!$D$24-1),Projects!$B$24*(Assumptions!$B$10+Assumptions!$B$11+Assumptions!$B$12)*0.05,0)</f>
        <v>0</v>
      </c>
      <c r="BP33" s="19" t="n">
        <f aca="false">IF(AND(Projects!$G$24="Yes",BP$3&gt;=Projects!$C$24,BP$3&lt;Projects!$C$24+Projects!$D$24),Projects!$B$24*INDEX(Curves!$B$4:$AR$4,1,BP$3-Projects!$C$24+1),0)-IF(AND(Projects!$G$24="Yes",BP$3&gt;=Projects!$C$24,BP$3&lt;Projects!$C$24+Projects!$D$24),Projects!$B$24*(Assumptions!$B$10+Assumptions!$B$11+Assumptions!$B$12)/Projects!$D$24*0.95,0)-IF(AND(Projects!$G$24="Yes",BP$3=Projects!$C$24+Projects!$D$24-1),Projects!$B$24*(Assumptions!$B$10+Assumptions!$B$11+Assumptions!$B$12)*0.05,0)</f>
        <v>0</v>
      </c>
      <c r="BQ33" s="19" t="n">
        <f aca="false">IF(AND(Projects!$G$24="Yes",BQ$3&gt;=Projects!$C$24,BQ$3&lt;Projects!$C$24+Projects!$D$24),Projects!$B$24*INDEX(Curves!$B$4:$AR$4,1,BQ$3-Projects!$C$24+1),0)-IF(AND(Projects!$G$24="Yes",BQ$3&gt;=Projects!$C$24,BQ$3&lt;Projects!$C$24+Projects!$D$24),Projects!$B$24*(Assumptions!$B$10+Assumptions!$B$11+Assumptions!$B$12)/Projects!$D$24*0.95,0)-IF(AND(Projects!$G$24="Yes",BQ$3=Projects!$C$24+Projects!$D$24-1),Projects!$B$24*(Assumptions!$B$10+Assumptions!$B$11+Assumptions!$B$12)*0.05,0)</f>
        <v>0</v>
      </c>
      <c r="BR33" s="19" t="n">
        <f aca="false">IF(AND(Projects!$G$24="Yes",BR$3&gt;=Projects!$C$24,BR$3&lt;Projects!$C$24+Projects!$D$24),Projects!$B$24*INDEX(Curves!$B$4:$AR$4,1,BR$3-Projects!$C$24+1),0)-IF(AND(Projects!$G$24="Yes",BR$3&gt;=Projects!$C$24,BR$3&lt;Projects!$C$24+Projects!$D$24),Projects!$B$24*(Assumptions!$B$10+Assumptions!$B$11+Assumptions!$B$12)/Projects!$D$24*0.95,0)-IF(AND(Projects!$G$24="Yes",BR$3=Projects!$C$24+Projects!$D$24-1),Projects!$B$24*(Assumptions!$B$10+Assumptions!$B$11+Assumptions!$B$12)*0.05,0)</f>
        <v>0</v>
      </c>
      <c r="BS33" s="19" t="n">
        <f aca="false">IF(AND(Projects!$G$24="Yes",BS$3&gt;=Projects!$C$24,BS$3&lt;Projects!$C$24+Projects!$D$24),Projects!$B$24*INDEX(Curves!$B$4:$AR$4,1,BS$3-Projects!$C$24+1),0)-IF(AND(Projects!$G$24="Yes",BS$3&gt;=Projects!$C$24,BS$3&lt;Projects!$C$24+Projects!$D$24),Projects!$B$24*(Assumptions!$B$10+Assumptions!$B$11+Assumptions!$B$12)/Projects!$D$24*0.95,0)-IF(AND(Projects!$G$24="Yes",BS$3=Projects!$C$24+Projects!$D$24-1),Projects!$B$24*(Assumptions!$B$10+Assumptions!$B$11+Assumptions!$B$12)*0.05,0)</f>
        <v>0</v>
      </c>
      <c r="BT33" s="19" t="n">
        <f aca="false">IF(AND(Projects!$G$24="Yes",BT$3&gt;=Projects!$C$24,BT$3&lt;Projects!$C$24+Projects!$D$24),Projects!$B$24*INDEX(Curves!$B$4:$AR$4,1,BT$3-Projects!$C$24+1),0)-IF(AND(Projects!$G$24="Yes",BT$3&gt;=Projects!$C$24,BT$3&lt;Projects!$C$24+Projects!$D$24),Projects!$B$24*(Assumptions!$B$10+Assumptions!$B$11+Assumptions!$B$12)/Projects!$D$24*0.95,0)-IF(AND(Projects!$G$24="Yes",BT$3=Projects!$C$24+Projects!$D$24-1),Projects!$B$24*(Assumptions!$B$10+Assumptions!$B$11+Assumptions!$B$12)*0.05,0)</f>
        <v>0</v>
      </c>
      <c r="BU33" s="19" t="n">
        <f aca="false">IF(AND(Projects!$G$24="Yes",BU$3&gt;=Projects!$C$24,BU$3&lt;Projects!$C$24+Projects!$D$24),Projects!$B$24*INDEX(Curves!$B$4:$AR$4,1,BU$3-Projects!$C$24+1),0)-IF(AND(Projects!$G$24="Yes",BU$3&gt;=Projects!$C$24,BU$3&lt;Projects!$C$24+Projects!$D$24),Projects!$B$24*(Assumptions!$B$10+Assumptions!$B$11+Assumptions!$B$12)/Projects!$D$24*0.95,0)-IF(AND(Projects!$G$24="Yes",BU$3=Projects!$C$24+Projects!$D$24-1),Projects!$B$24*(Assumptions!$B$10+Assumptions!$B$11+Assumptions!$B$12)*0.05,0)</f>
        <v>0</v>
      </c>
      <c r="BV33" s="19" t="n">
        <f aca="false">IF(AND(Projects!$G$24="Yes",BV$3&gt;=Projects!$C$24,BV$3&lt;Projects!$C$24+Projects!$D$24),Projects!$B$24*INDEX(Curves!$B$4:$AR$4,1,BV$3-Projects!$C$24+1),0)-IF(AND(Projects!$G$24="Yes",BV$3&gt;=Projects!$C$24,BV$3&lt;Projects!$C$24+Projects!$D$24),Projects!$B$24*(Assumptions!$B$10+Assumptions!$B$11+Assumptions!$B$12)/Projects!$D$24*0.95,0)-IF(AND(Projects!$G$24="Yes",BV$3=Projects!$C$24+Projects!$D$24-1),Projects!$B$24*(Assumptions!$B$10+Assumptions!$B$11+Assumptions!$B$12)*0.05,0)</f>
        <v>0</v>
      </c>
      <c r="BW33" s="19" t="n">
        <f aca="false">IF(AND(Projects!$G$24="Yes",BW$3&gt;=Projects!$C$24,BW$3&lt;Projects!$C$24+Projects!$D$24),Projects!$B$24*INDEX(Curves!$B$4:$AR$4,1,BW$3-Projects!$C$24+1),0)-IF(AND(Projects!$G$24="Yes",BW$3&gt;=Projects!$C$24,BW$3&lt;Projects!$C$24+Projects!$D$24),Projects!$B$24*(Assumptions!$B$10+Assumptions!$B$11+Assumptions!$B$12)/Projects!$D$24*0.95,0)-IF(AND(Projects!$G$24="Yes",BW$3=Projects!$C$24+Projects!$D$24-1),Projects!$B$24*(Assumptions!$B$10+Assumptions!$B$11+Assumptions!$B$12)*0.05,0)</f>
        <v>0</v>
      </c>
      <c r="BX33" s="19" t="n">
        <f aca="false">IF(AND(Projects!$G$24="Yes",BX$3&gt;=Projects!$C$24,BX$3&lt;Projects!$C$24+Projects!$D$24),Projects!$B$24*INDEX(Curves!$B$4:$AR$4,1,BX$3-Projects!$C$24+1),0)-IF(AND(Projects!$G$24="Yes",BX$3&gt;=Projects!$C$24,BX$3&lt;Projects!$C$24+Projects!$D$24),Projects!$B$24*(Assumptions!$B$10+Assumptions!$B$11+Assumptions!$B$12)/Projects!$D$24*0.95,0)-IF(AND(Projects!$G$24="Yes",BX$3=Projects!$C$24+Projects!$D$24-1),Projects!$B$24*(Assumptions!$B$10+Assumptions!$B$11+Assumptions!$B$12)*0.05,0)</f>
        <v>0</v>
      </c>
      <c r="BY33" s="19" t="n">
        <f aca="false">IF(AND(Projects!$G$24="Yes",BY$3&gt;=Projects!$C$24,BY$3&lt;Projects!$C$24+Projects!$D$24),Projects!$B$24*INDEX(Curves!$B$4:$AR$4,1,BY$3-Projects!$C$24+1),0)-IF(AND(Projects!$G$24="Yes",BY$3&gt;=Projects!$C$24,BY$3&lt;Projects!$C$24+Projects!$D$24),Projects!$B$24*(Assumptions!$B$10+Assumptions!$B$11+Assumptions!$B$12)/Projects!$D$24*0.95,0)-IF(AND(Projects!$G$24="Yes",BY$3=Projects!$C$24+Projects!$D$24-1),Projects!$B$24*(Assumptions!$B$10+Assumptions!$B$11+Assumptions!$B$12)*0.05,0)</f>
        <v>0</v>
      </c>
      <c r="BZ33" s="19" t="n">
        <f aca="false">IF(AND(Projects!$G$24="Yes",BZ$3&gt;=Projects!$C$24,BZ$3&lt;Projects!$C$24+Projects!$D$24),Projects!$B$24*INDEX(Curves!$B$4:$AR$4,1,BZ$3-Projects!$C$24+1),0)-IF(AND(Projects!$G$24="Yes",BZ$3&gt;=Projects!$C$24,BZ$3&lt;Projects!$C$24+Projects!$D$24),Projects!$B$24*(Assumptions!$B$10+Assumptions!$B$11+Assumptions!$B$12)/Projects!$D$24*0.95,0)-IF(AND(Projects!$G$24="Yes",BZ$3=Projects!$C$24+Projects!$D$24-1),Projects!$B$24*(Assumptions!$B$10+Assumptions!$B$11+Assumptions!$B$12)*0.05,0)</f>
        <v>0</v>
      </c>
      <c r="CA33" s="19" t="n">
        <f aca="false">IF(AND(Projects!$G$24="Yes",CA$3&gt;=Projects!$C$24,CA$3&lt;Projects!$C$24+Projects!$D$24),Projects!$B$24*INDEX(Curves!$B$4:$AR$4,1,CA$3-Projects!$C$24+1),0)-IF(AND(Projects!$G$24="Yes",CA$3&gt;=Projects!$C$24,CA$3&lt;Projects!$C$24+Projects!$D$24),Projects!$B$24*(Assumptions!$B$10+Assumptions!$B$11+Assumptions!$B$12)/Projects!$D$24*0.95,0)-IF(AND(Projects!$G$24="Yes",CA$3=Projects!$C$24+Projects!$D$24-1),Projects!$B$24*(Assumptions!$B$10+Assumptions!$B$11+Assumptions!$B$12)*0.05,0)</f>
        <v>0</v>
      </c>
      <c r="CB33" s="19" t="n">
        <f aca="false">IF(AND(Projects!$G$24="Yes",CB$3&gt;=Projects!$C$24,CB$3&lt;Projects!$C$24+Projects!$D$24),Projects!$B$24*INDEX(Curves!$B$4:$AR$4,1,CB$3-Projects!$C$24+1),0)-IF(AND(Projects!$G$24="Yes",CB$3&gt;=Projects!$C$24,CB$3&lt;Projects!$C$24+Projects!$D$24),Projects!$B$24*(Assumptions!$B$10+Assumptions!$B$11+Assumptions!$B$12)/Projects!$D$24*0.95,0)-IF(AND(Projects!$G$24="Yes",CB$3=Projects!$C$24+Projects!$D$24-1),Projects!$B$24*(Assumptions!$B$10+Assumptions!$B$11+Assumptions!$B$12)*0.05,0)</f>
        <v>0</v>
      </c>
      <c r="CC33" s="19" t="n">
        <f aca="false">IF(AND(Projects!$G$24="Yes",CC$3&gt;=Projects!$C$24,CC$3&lt;Projects!$C$24+Projects!$D$24),Projects!$B$24*INDEX(Curves!$B$4:$AR$4,1,CC$3-Projects!$C$24+1),0)-IF(AND(Projects!$G$24="Yes",CC$3&gt;=Projects!$C$24,CC$3&lt;Projects!$C$24+Projects!$D$24),Projects!$B$24*(Assumptions!$B$10+Assumptions!$B$11+Assumptions!$B$12)/Projects!$D$24*0.95,0)-IF(AND(Projects!$G$24="Yes",CC$3=Projects!$C$24+Projects!$D$24-1),Projects!$B$24*(Assumptions!$B$10+Assumptions!$B$11+Assumptions!$B$12)*0.05,0)</f>
        <v>0</v>
      </c>
      <c r="CD33" s="19" t="n">
        <f aca="false">IF(AND(Projects!$G$24="Yes",CD$3&gt;=Projects!$C$24,CD$3&lt;Projects!$C$24+Projects!$D$24),Projects!$B$24*INDEX(Curves!$B$4:$AR$4,1,CD$3-Projects!$C$24+1),0)-IF(AND(Projects!$G$24="Yes",CD$3&gt;=Projects!$C$24,CD$3&lt;Projects!$C$24+Projects!$D$24),Projects!$B$24*(Assumptions!$B$10+Assumptions!$B$11+Assumptions!$B$12)/Projects!$D$24*0.95,0)-IF(AND(Projects!$G$24="Yes",CD$3=Projects!$C$24+Projects!$D$24-1),Projects!$B$24*(Assumptions!$B$10+Assumptions!$B$11+Assumptions!$B$12)*0.05,0)</f>
        <v>0</v>
      </c>
      <c r="CE33" s="19" t="n">
        <f aca="false">IF(AND(Projects!$G$24="Yes",CE$3&gt;=Projects!$C$24,CE$3&lt;Projects!$C$24+Projects!$D$24),Projects!$B$24*INDEX(Curves!$B$4:$AR$4,1,CE$3-Projects!$C$24+1),0)-IF(AND(Projects!$G$24="Yes",CE$3&gt;=Projects!$C$24,CE$3&lt;Projects!$C$24+Projects!$D$24),Projects!$B$24*(Assumptions!$B$10+Assumptions!$B$11+Assumptions!$B$12)/Projects!$D$24*0.95,0)-IF(AND(Projects!$G$24="Yes",CE$3=Projects!$C$24+Projects!$D$24-1),Projects!$B$24*(Assumptions!$B$10+Assumptions!$B$11+Assumptions!$B$12)*0.05,0)</f>
        <v>0</v>
      </c>
      <c r="CF33" s="19" t="n">
        <f aca="false">IF(AND(Projects!$G$24="Yes",CF$3&gt;=Projects!$C$24,CF$3&lt;Projects!$C$24+Projects!$D$24),Projects!$B$24*INDEX(Curves!$B$4:$AR$4,1,CF$3-Projects!$C$24+1),0)-IF(AND(Projects!$G$24="Yes",CF$3&gt;=Projects!$C$24,CF$3&lt;Projects!$C$24+Projects!$D$24),Projects!$B$24*(Assumptions!$B$10+Assumptions!$B$11+Assumptions!$B$12)/Projects!$D$24*0.95,0)-IF(AND(Projects!$G$24="Yes",CF$3=Projects!$C$24+Projects!$D$24-1),Projects!$B$24*(Assumptions!$B$10+Assumptions!$B$11+Assumptions!$B$12)*0.05,0)</f>
        <v>0</v>
      </c>
      <c r="CG33" s="19" t="n">
        <f aca="false">IF(AND(Projects!$G$24="Yes",CG$3&gt;=Projects!$C$24,CG$3&lt;Projects!$C$24+Projects!$D$24),Projects!$B$24*INDEX(Curves!$B$4:$AR$4,1,CG$3-Projects!$C$24+1),0)-IF(AND(Projects!$G$24="Yes",CG$3&gt;=Projects!$C$24,CG$3&lt;Projects!$C$24+Projects!$D$24),Projects!$B$24*(Assumptions!$B$10+Assumptions!$B$11+Assumptions!$B$12)/Projects!$D$24*0.95,0)-IF(AND(Projects!$G$24="Yes",CG$3=Projects!$C$24+Projects!$D$24-1),Projects!$B$24*(Assumptions!$B$10+Assumptions!$B$11+Assumptions!$B$12)*0.05,0)</f>
        <v>0</v>
      </c>
      <c r="CH33" s="19" t="n">
        <f aca="false">IF(AND(Projects!$G$24="Yes",CH$3&gt;=Projects!$C$24,CH$3&lt;Projects!$C$24+Projects!$D$24),Projects!$B$24*INDEX(Curves!$B$4:$AR$4,1,CH$3-Projects!$C$24+1),0)-IF(AND(Projects!$G$24="Yes",CH$3&gt;=Projects!$C$24,CH$3&lt;Projects!$C$24+Projects!$D$24),Projects!$B$24*(Assumptions!$B$10+Assumptions!$B$11+Assumptions!$B$12)/Projects!$D$24*0.95,0)-IF(AND(Projects!$G$24="Yes",CH$3=Projects!$C$24+Projects!$D$24-1),Projects!$B$24*(Assumptions!$B$10+Assumptions!$B$11+Assumptions!$B$12)*0.05,0)</f>
        <v>0</v>
      </c>
      <c r="CI33" s="19" t="n">
        <f aca="false">IF(AND(Projects!$G$24="Yes",CI$3&gt;=Projects!$C$24,CI$3&lt;Projects!$C$24+Projects!$D$24),Projects!$B$24*INDEX(Curves!$B$4:$AR$4,1,CI$3-Projects!$C$24+1),0)-IF(AND(Projects!$G$24="Yes",CI$3&gt;=Projects!$C$24,CI$3&lt;Projects!$C$24+Projects!$D$24),Projects!$B$24*(Assumptions!$B$10+Assumptions!$B$11+Assumptions!$B$12)/Projects!$D$24*0.95,0)-IF(AND(Projects!$G$24="Yes",CI$3=Projects!$C$24+Projects!$D$24-1),Projects!$B$24*(Assumptions!$B$10+Assumptions!$B$11+Assumptions!$B$12)*0.05,0)</f>
        <v>0</v>
      </c>
      <c r="CJ33" s="19" t="n">
        <f aca="false">IF(AND(Projects!$G$24="Yes",CJ$3&gt;=Projects!$C$24,CJ$3&lt;Projects!$C$24+Projects!$D$24),Projects!$B$24*INDEX(Curves!$B$4:$AR$4,1,CJ$3-Projects!$C$24+1),0)-IF(AND(Projects!$G$24="Yes",CJ$3&gt;=Projects!$C$24,CJ$3&lt;Projects!$C$24+Projects!$D$24),Projects!$B$24*(Assumptions!$B$10+Assumptions!$B$11+Assumptions!$B$12)/Projects!$D$24*0.95,0)-IF(AND(Projects!$G$24="Yes",CJ$3=Projects!$C$24+Projects!$D$24-1),Projects!$B$24*(Assumptions!$B$10+Assumptions!$B$11+Assumptions!$B$12)*0.05,0)</f>
        <v>0</v>
      </c>
      <c r="CK33" s="19" t="n">
        <f aca="false">IF(AND(Projects!$G$24="Yes",CK$3&gt;=Projects!$C$24,CK$3&lt;Projects!$C$24+Projects!$D$24),Projects!$B$24*INDEX(Curves!$B$4:$AR$4,1,CK$3-Projects!$C$24+1),0)-IF(AND(Projects!$G$24="Yes",CK$3&gt;=Projects!$C$24,CK$3&lt;Projects!$C$24+Projects!$D$24),Projects!$B$24*(Assumptions!$B$10+Assumptions!$B$11+Assumptions!$B$12)/Projects!$D$24*0.95,0)-IF(AND(Projects!$G$24="Yes",CK$3=Projects!$C$24+Projects!$D$24-1),Projects!$B$24*(Assumptions!$B$10+Assumptions!$B$11+Assumptions!$B$12)*0.05,0)</f>
        <v>0</v>
      </c>
      <c r="CL33" s="19" t="n">
        <f aca="false">IF(AND(Projects!$G$24="Yes",CL$3&gt;=Projects!$C$24,CL$3&lt;Projects!$C$24+Projects!$D$24),Projects!$B$24*INDEX(Curves!$B$4:$AR$4,1,CL$3-Projects!$C$24+1),0)-IF(AND(Projects!$G$24="Yes",CL$3&gt;=Projects!$C$24,CL$3&lt;Projects!$C$24+Projects!$D$24),Projects!$B$24*(Assumptions!$B$10+Assumptions!$B$11+Assumptions!$B$12)/Projects!$D$24*0.95,0)-IF(AND(Projects!$G$24="Yes",CL$3=Projects!$C$24+Projects!$D$24-1),Projects!$B$24*(Assumptions!$B$10+Assumptions!$B$11+Assumptions!$B$12)*0.05,0)</f>
        <v>0</v>
      </c>
      <c r="CM33" s="19" t="n">
        <f aca="false">IF(AND(Projects!$G$24="Yes",CM$3&gt;=Projects!$C$24,CM$3&lt;Projects!$C$24+Projects!$D$24),Projects!$B$24*INDEX(Curves!$B$4:$AR$4,1,CM$3-Projects!$C$24+1),0)-IF(AND(Projects!$G$24="Yes",CM$3&gt;=Projects!$C$24,CM$3&lt;Projects!$C$24+Projects!$D$24),Projects!$B$24*(Assumptions!$B$10+Assumptions!$B$11+Assumptions!$B$12)/Projects!$D$24*0.95,0)-IF(AND(Projects!$G$24="Yes",CM$3=Projects!$C$24+Projects!$D$24-1),Projects!$B$24*(Assumptions!$B$10+Assumptions!$B$11+Assumptions!$B$12)*0.05,0)</f>
        <v>0</v>
      </c>
      <c r="CN33" s="19" t="n">
        <f aca="false">IF(AND(Projects!$G$24="Yes",CN$3&gt;=Projects!$C$24,CN$3&lt;Projects!$C$24+Projects!$D$24),Projects!$B$24*INDEX(Curves!$B$4:$AR$4,1,CN$3-Projects!$C$24+1),0)-IF(AND(Projects!$G$24="Yes",CN$3&gt;=Projects!$C$24,CN$3&lt;Projects!$C$24+Projects!$D$24),Projects!$B$24*(Assumptions!$B$10+Assumptions!$B$11+Assumptions!$B$12)/Projects!$D$24*0.95,0)-IF(AND(Projects!$G$24="Yes",CN$3=Projects!$C$24+Projects!$D$24-1),Projects!$B$24*(Assumptions!$B$10+Assumptions!$B$11+Assumptions!$B$12)*0.05,0)</f>
        <v>0</v>
      </c>
      <c r="CO33" s="19" t="n">
        <f aca="false">IF(AND(Projects!$G$24="Yes",CO$3&gt;=Projects!$C$24,CO$3&lt;Projects!$C$24+Projects!$D$24),Projects!$B$24*INDEX(Curves!$B$4:$AR$4,1,CO$3-Projects!$C$24+1),0)-IF(AND(Projects!$G$24="Yes",CO$3&gt;=Projects!$C$24,CO$3&lt;Projects!$C$24+Projects!$D$24),Projects!$B$24*(Assumptions!$B$10+Assumptions!$B$11+Assumptions!$B$12)/Projects!$D$24*0.95,0)-IF(AND(Projects!$G$24="Yes",CO$3=Projects!$C$24+Projects!$D$24-1),Projects!$B$24*(Assumptions!$B$10+Assumptions!$B$11+Assumptions!$B$12)*0.05,0)</f>
        <v>0</v>
      </c>
      <c r="CP33" s="19" t="n">
        <f aca="false">IF(AND(Projects!$G$24="Yes",CP$3&gt;=Projects!$C$24,CP$3&lt;Projects!$C$24+Projects!$D$24),Projects!$B$24*INDEX(Curves!$B$4:$AR$4,1,CP$3-Projects!$C$24+1),0)-IF(AND(Projects!$G$24="Yes",CP$3&gt;=Projects!$C$24,CP$3&lt;Projects!$C$24+Projects!$D$24),Projects!$B$24*(Assumptions!$B$10+Assumptions!$B$11+Assumptions!$B$12)/Projects!$D$24*0.95,0)-IF(AND(Projects!$G$24="Yes",CP$3=Projects!$C$24+Projects!$D$24-1),Projects!$B$24*(Assumptions!$B$10+Assumptions!$B$11+Assumptions!$B$12)*0.05,0)</f>
        <v>0</v>
      </c>
      <c r="CQ33" s="19" t="n">
        <f aca="false">IF(AND(Projects!$G$24="Yes",CQ$3&gt;=Projects!$C$24,CQ$3&lt;Projects!$C$24+Projects!$D$24),Projects!$B$24*INDEX(Curves!$B$4:$AR$4,1,CQ$3-Projects!$C$24+1),0)-IF(AND(Projects!$G$24="Yes",CQ$3&gt;=Projects!$C$24,CQ$3&lt;Projects!$C$24+Projects!$D$24),Projects!$B$24*(Assumptions!$B$10+Assumptions!$B$11+Assumptions!$B$12)/Projects!$D$24*0.95,0)-IF(AND(Projects!$G$24="Yes",CQ$3=Projects!$C$24+Projects!$D$24-1),Projects!$B$24*(Assumptions!$B$10+Assumptions!$B$11+Assumptions!$B$12)*0.05,0)</f>
        <v>0</v>
      </c>
      <c r="CR33" s="19" t="n">
        <f aca="false">IF(AND(Projects!$G$24="Yes",CR$3&gt;=Projects!$C$24,CR$3&lt;Projects!$C$24+Projects!$D$24),Projects!$B$24*INDEX(Curves!$B$4:$AR$4,1,CR$3-Projects!$C$24+1),0)-IF(AND(Projects!$G$24="Yes",CR$3&gt;=Projects!$C$24,CR$3&lt;Projects!$C$24+Projects!$D$24),Projects!$B$24*(Assumptions!$B$10+Assumptions!$B$11+Assumptions!$B$12)/Projects!$D$24*0.95,0)-IF(AND(Projects!$G$24="Yes",CR$3=Projects!$C$24+Projects!$D$24-1),Projects!$B$24*(Assumptions!$B$10+Assumptions!$B$11+Assumptions!$B$12)*0.05,0)</f>
        <v>0</v>
      </c>
      <c r="CS33" s="19" t="n">
        <f aca="false">IF(AND(Projects!$G$24="Yes",CS$3&gt;=Projects!$C$24,CS$3&lt;Projects!$C$24+Projects!$D$24),Projects!$B$24*INDEX(Curves!$B$4:$AR$4,1,CS$3-Projects!$C$24+1),0)-IF(AND(Projects!$G$24="Yes",CS$3&gt;=Projects!$C$24,CS$3&lt;Projects!$C$24+Projects!$D$24),Projects!$B$24*(Assumptions!$B$10+Assumptions!$B$11+Assumptions!$B$12)/Projects!$D$24*0.95,0)-IF(AND(Projects!$G$24="Yes",CS$3=Projects!$C$24+Projects!$D$24-1),Projects!$B$24*(Assumptions!$B$10+Assumptions!$B$11+Assumptions!$B$12)*0.05,0)</f>
        <v>0</v>
      </c>
      <c r="CT33" s="19" t="n">
        <f aca="false">IF(AND(Projects!$G$24="Yes",CT$3&gt;=Projects!$C$24,CT$3&lt;Projects!$C$24+Projects!$D$24),Projects!$B$24*INDEX(Curves!$B$4:$AR$4,1,CT$3-Projects!$C$24+1),0)-IF(AND(Projects!$G$24="Yes",CT$3&gt;=Projects!$C$24,CT$3&lt;Projects!$C$24+Projects!$D$24),Projects!$B$24*(Assumptions!$B$10+Assumptions!$B$11+Assumptions!$B$12)/Projects!$D$24*0.95,0)-IF(AND(Projects!$G$24="Yes",CT$3=Projects!$C$24+Projects!$D$24-1),Projects!$B$24*(Assumptions!$B$10+Assumptions!$B$11+Assumptions!$B$12)*0.05,0)</f>
        <v>0</v>
      </c>
      <c r="CU33" s="19" t="n">
        <f aca="false">IF(AND(Projects!$G$24="Yes",CU$3&gt;=Projects!$C$24,CU$3&lt;Projects!$C$24+Projects!$D$24),Projects!$B$24*INDEX(Curves!$B$4:$AR$4,1,CU$3-Projects!$C$24+1),0)-IF(AND(Projects!$G$24="Yes",CU$3&gt;=Projects!$C$24,CU$3&lt;Projects!$C$24+Projects!$D$24),Projects!$B$24*(Assumptions!$B$10+Assumptions!$B$11+Assumptions!$B$12)/Projects!$D$24*0.95,0)-IF(AND(Projects!$G$24="Yes",CU$3=Projects!$C$24+Projects!$D$24-1),Projects!$B$24*(Assumptions!$B$10+Assumptions!$B$11+Assumptions!$B$12)*0.05,0)</f>
        <v>0</v>
      </c>
      <c r="CV33" s="19" t="n">
        <f aca="false">IF(AND(Projects!$G$24="Yes",CV$3&gt;=Projects!$C$24,CV$3&lt;Projects!$C$24+Projects!$D$24),Projects!$B$24*INDEX(Curves!$B$4:$AR$4,1,CV$3-Projects!$C$24+1),0)-IF(AND(Projects!$G$24="Yes",CV$3&gt;=Projects!$C$24,CV$3&lt;Projects!$C$24+Projects!$D$24),Projects!$B$24*(Assumptions!$B$10+Assumptions!$B$11+Assumptions!$B$12)/Projects!$D$24*0.95,0)-IF(AND(Projects!$G$24="Yes",CV$3=Projects!$C$24+Projects!$D$24-1),Projects!$B$24*(Assumptions!$B$10+Assumptions!$B$11+Assumptions!$B$12)*0.05,0)</f>
        <v>0</v>
      </c>
      <c r="CW33" s="19" t="n">
        <f aca="false">IF(AND(Projects!$G$24="Yes",CW$3&gt;=Projects!$C$24,CW$3&lt;Projects!$C$24+Projects!$D$24),Projects!$B$24*INDEX(Curves!$B$4:$AR$4,1,CW$3-Projects!$C$24+1),0)-IF(AND(Projects!$G$24="Yes",CW$3&gt;=Projects!$C$24,CW$3&lt;Projects!$C$24+Projects!$D$24),Projects!$B$24*(Assumptions!$B$10+Assumptions!$B$11+Assumptions!$B$12)/Projects!$D$24*0.95,0)-IF(AND(Projects!$G$24="Yes",CW$3=Projects!$C$24+Projects!$D$24-1),Projects!$B$24*(Assumptions!$B$10+Assumptions!$B$11+Assumptions!$B$12)*0.05,0)</f>
        <v>0</v>
      </c>
      <c r="CX33" s="19" t="n">
        <f aca="false">IF(AND(Projects!$G$24="Yes",CX$3&gt;=Projects!$C$24,CX$3&lt;Projects!$C$24+Projects!$D$24),Projects!$B$24*INDEX(Curves!$B$4:$AR$4,1,CX$3-Projects!$C$24+1),0)-IF(AND(Projects!$G$24="Yes",CX$3&gt;=Projects!$C$24,CX$3&lt;Projects!$C$24+Projects!$D$24),Projects!$B$24*(Assumptions!$B$10+Assumptions!$B$11+Assumptions!$B$12)/Projects!$D$24*0.95,0)-IF(AND(Projects!$G$24="Yes",CX$3=Projects!$C$24+Projects!$D$24-1),Projects!$B$24*(Assumptions!$B$10+Assumptions!$B$11+Assumptions!$B$12)*0.05,0)</f>
        <v>0</v>
      </c>
      <c r="CY33" s="19" t="n">
        <f aca="false">IF(AND(Projects!$G$24="Yes",CY$3&gt;=Projects!$C$24,CY$3&lt;Projects!$C$24+Projects!$D$24),Projects!$B$24*INDEX(Curves!$B$4:$AR$4,1,CY$3-Projects!$C$24+1),0)-IF(AND(Projects!$G$24="Yes",CY$3&gt;=Projects!$C$24,CY$3&lt;Projects!$C$24+Projects!$D$24),Projects!$B$24*(Assumptions!$B$10+Assumptions!$B$11+Assumptions!$B$12)/Projects!$D$24*0.95,0)-IF(AND(Projects!$G$24="Yes",CY$3=Projects!$C$24+Projects!$D$24-1),Projects!$B$24*(Assumptions!$B$10+Assumptions!$B$11+Assumptions!$B$12)*0.05,0)</f>
        <v>0</v>
      </c>
      <c r="CZ33" s="19" t="n">
        <f aca="false">IF(AND(Projects!$G$24="Yes",CZ$3&gt;=Projects!$C$24,CZ$3&lt;Projects!$C$24+Projects!$D$24),Projects!$B$24*INDEX(Curves!$B$4:$AR$4,1,CZ$3-Projects!$C$24+1),0)-IF(AND(Projects!$G$24="Yes",CZ$3&gt;=Projects!$C$24,CZ$3&lt;Projects!$C$24+Projects!$D$24),Projects!$B$24*(Assumptions!$B$10+Assumptions!$B$11+Assumptions!$B$12)/Projects!$D$24*0.95,0)-IF(AND(Projects!$G$24="Yes",CZ$3=Projects!$C$24+Projects!$D$24-1),Projects!$B$24*(Assumptions!$B$10+Assumptions!$B$11+Assumptions!$B$12)*0.05,0)</f>
        <v>0</v>
      </c>
      <c r="DA33" s="19" t="n">
        <f aca="false">IF(AND(Projects!$G$24="Yes",DA$3&gt;=Projects!$C$24,DA$3&lt;Projects!$C$24+Projects!$D$24),Projects!$B$24*INDEX(Curves!$B$4:$AR$4,1,DA$3-Projects!$C$24+1),0)-IF(AND(Projects!$G$24="Yes",DA$3&gt;=Projects!$C$24,DA$3&lt;Projects!$C$24+Projects!$D$24),Projects!$B$24*(Assumptions!$B$10+Assumptions!$B$11+Assumptions!$B$12)/Projects!$D$24*0.95,0)-IF(AND(Projects!$G$24="Yes",DA$3=Projects!$C$24+Projects!$D$24-1),Projects!$B$24*(Assumptions!$B$10+Assumptions!$B$11+Assumptions!$B$12)*0.05,0)</f>
        <v>0</v>
      </c>
      <c r="DB33" s="19" t="n">
        <f aca="false">IF(AND(Projects!$G$24="Yes",DB$3&gt;=Projects!$C$24,DB$3&lt;Projects!$C$24+Projects!$D$24),Projects!$B$24*INDEX(Curves!$B$4:$AR$4,1,DB$3-Projects!$C$24+1),0)-IF(AND(Projects!$G$24="Yes",DB$3&gt;=Projects!$C$24,DB$3&lt;Projects!$C$24+Projects!$D$24),Projects!$B$24*(Assumptions!$B$10+Assumptions!$B$11+Assumptions!$B$12)/Projects!$D$24*0.95,0)-IF(AND(Projects!$G$24="Yes",DB$3=Projects!$C$24+Projects!$D$24-1),Projects!$B$24*(Assumptions!$B$10+Assumptions!$B$11+Assumptions!$B$12)*0.05,0)</f>
        <v>0</v>
      </c>
      <c r="DC33" s="19" t="n">
        <f aca="false">IF(AND(Projects!$G$24="Yes",DC$3&gt;=Projects!$C$24,DC$3&lt;Projects!$C$24+Projects!$D$24),Projects!$B$24*INDEX(Curves!$B$4:$AR$4,1,DC$3-Projects!$C$24+1),0)-IF(AND(Projects!$G$24="Yes",DC$3&gt;=Projects!$C$24,DC$3&lt;Projects!$C$24+Projects!$D$24),Projects!$B$24*(Assumptions!$B$10+Assumptions!$B$11+Assumptions!$B$12)/Projects!$D$24*0.95,0)-IF(AND(Projects!$G$24="Yes",DC$3=Projects!$C$24+Projects!$D$24-1),Projects!$B$24*(Assumptions!$B$10+Assumptions!$B$11+Assumptions!$B$12)*0.05,0)</f>
        <v>0</v>
      </c>
      <c r="DD33" s="19" t="n">
        <f aca="false">IF(AND(Projects!$G$24="Yes",DD$3&gt;=Projects!$C$24,DD$3&lt;Projects!$C$24+Projects!$D$24),Projects!$B$24*INDEX(Curves!$B$4:$AR$4,1,DD$3-Projects!$C$24+1),0)-IF(AND(Projects!$G$24="Yes",DD$3&gt;=Projects!$C$24,DD$3&lt;Projects!$C$24+Projects!$D$24),Projects!$B$24*(Assumptions!$B$10+Assumptions!$B$11+Assumptions!$B$12)/Projects!$D$24*0.95,0)-IF(AND(Projects!$G$24="Yes",DD$3=Projects!$C$24+Projects!$D$24-1),Projects!$B$24*(Assumptions!$B$10+Assumptions!$B$11+Assumptions!$B$12)*0.05,0)</f>
        <v>0</v>
      </c>
      <c r="DE33" s="19" t="n">
        <f aca="false">IF(AND(Projects!$G$24="Yes",DE$3&gt;=Projects!$C$24,DE$3&lt;Projects!$C$24+Projects!$D$24),Projects!$B$24*INDEX(Curves!$B$4:$AR$4,1,DE$3-Projects!$C$24+1),0)-IF(AND(Projects!$G$24="Yes",DE$3&gt;=Projects!$C$24,DE$3&lt;Projects!$C$24+Projects!$D$24),Projects!$B$24*(Assumptions!$B$10+Assumptions!$B$11+Assumptions!$B$12)/Projects!$D$24*0.95,0)-IF(AND(Projects!$G$24="Yes",DE$3=Projects!$C$24+Projects!$D$24-1),Projects!$B$24*(Assumptions!$B$10+Assumptions!$B$11+Assumptions!$B$12)*0.05,0)</f>
        <v>0</v>
      </c>
    </row>
    <row r="34" customFormat="false" ht="15" hidden="true" customHeight="true" outlineLevel="1" collapsed="false">
      <c r="A34" s="28" t="s">
        <v>28</v>
      </c>
      <c r="B34" s="19" t="n">
        <v>0</v>
      </c>
      <c r="C34" s="19" t="n">
        <v>0</v>
      </c>
      <c r="D34" s="19" t="n">
        <v>0</v>
      </c>
      <c r="E34" s="19" t="n">
        <v>0</v>
      </c>
      <c r="F34" s="19" t="n">
        <f aca="false">IF(AND(Projects!$G$25="Yes",F$3&gt;=Projects!$C$25,F$3&lt;Projects!$C$25+Projects!$D$25),Projects!$B$25*INDEX(Curves!$B$4:$AR$4,1,F$3-Projects!$C$25+1),0)-IF(AND(Projects!$G$25="Yes",F$3&gt;=Projects!$C$25,F$3&lt;Projects!$C$25+Projects!$D$25),Projects!$B$25*(Assumptions!$B$10+Assumptions!$B$11+Assumptions!$B$12)/Projects!$D$25*0.95,0)-IF(AND(Projects!$G$25="Yes",F$3=Projects!$C$25+Projects!$D$25-1),Projects!$B$25*(Assumptions!$B$10+Assumptions!$B$11+Assumptions!$B$12)*0.05,0)</f>
        <v>0</v>
      </c>
      <c r="G34" s="19" t="n">
        <f aca="false">IF(AND(Projects!$G$25="Yes",G$3&gt;=Projects!$C$25,G$3&lt;Projects!$C$25+Projects!$D$25),Projects!$B$25*INDEX(Curves!$B$4:$AR$4,1,G$3-Projects!$C$25+1),0)-IF(AND(Projects!$G$25="Yes",G$3&gt;=Projects!$C$25,G$3&lt;Projects!$C$25+Projects!$D$25),Projects!$B$25*(Assumptions!$B$10+Assumptions!$B$11+Assumptions!$B$12)/Projects!$D$25*0.95,0)-IF(AND(Projects!$G$25="Yes",G$3=Projects!$C$25+Projects!$D$25-1),Projects!$B$25*(Assumptions!$B$10+Assumptions!$B$11+Assumptions!$B$12)*0.05,0)</f>
        <v>0</v>
      </c>
      <c r="H34" s="19" t="n">
        <f aca="false">IF(AND(Projects!$G$25="Yes",H$3&gt;=Projects!$C$25,H$3&lt;Projects!$C$25+Projects!$D$25),Projects!$B$25*INDEX(Curves!$B$4:$AR$4,1,H$3-Projects!$C$25+1),0)-IF(AND(Projects!$G$25="Yes",H$3&gt;=Projects!$C$25,H$3&lt;Projects!$C$25+Projects!$D$25),Projects!$B$25*(Assumptions!$B$10+Assumptions!$B$11+Assumptions!$B$12)/Projects!$D$25*0.95,0)-IF(AND(Projects!$G$25="Yes",H$3=Projects!$C$25+Projects!$D$25-1),Projects!$B$25*(Assumptions!$B$10+Assumptions!$B$11+Assumptions!$B$12)*0.05,0)</f>
        <v>0</v>
      </c>
      <c r="I34" s="19" t="n">
        <f aca="false">IF(AND(Projects!$G$25="Yes",I$3&gt;=Projects!$C$25,I$3&lt;Projects!$C$25+Projects!$D$25),Projects!$B$25*INDEX(Curves!$B$4:$AR$4,1,I$3-Projects!$C$25+1),0)-IF(AND(Projects!$G$25="Yes",I$3&gt;=Projects!$C$25,I$3&lt;Projects!$C$25+Projects!$D$25),Projects!$B$25*(Assumptions!$B$10+Assumptions!$B$11+Assumptions!$B$12)/Projects!$D$25*0.95,0)-IF(AND(Projects!$G$25="Yes",I$3=Projects!$C$25+Projects!$D$25-1),Projects!$B$25*(Assumptions!$B$10+Assumptions!$B$11+Assumptions!$B$12)*0.05,0)</f>
        <v>0</v>
      </c>
      <c r="J34" s="19" t="n">
        <f aca="false">IF(AND(Projects!$G$25="Yes",J$3&gt;=Projects!$C$25,J$3&lt;Projects!$C$25+Projects!$D$25),Projects!$B$25*INDEX(Curves!$B$4:$AR$4,1,J$3-Projects!$C$25+1),0)-IF(AND(Projects!$G$25="Yes",J$3&gt;=Projects!$C$25,J$3&lt;Projects!$C$25+Projects!$D$25),Projects!$B$25*(Assumptions!$B$10+Assumptions!$B$11+Assumptions!$B$12)/Projects!$D$25*0.95,0)-IF(AND(Projects!$G$25="Yes",J$3=Projects!$C$25+Projects!$D$25-1),Projects!$B$25*(Assumptions!$B$10+Assumptions!$B$11+Assumptions!$B$12)*0.05,0)</f>
        <v>0</v>
      </c>
      <c r="K34" s="19" t="n">
        <f aca="false">IF(AND(Projects!$G$25="Yes",K$3&gt;=Projects!$C$25,K$3&lt;Projects!$C$25+Projects!$D$25),Projects!$B$25*INDEX(Curves!$B$4:$AR$4,1,K$3-Projects!$C$25+1),0)-IF(AND(Projects!$G$25="Yes",K$3&gt;=Projects!$C$25,K$3&lt;Projects!$C$25+Projects!$D$25),Projects!$B$25*(Assumptions!$B$10+Assumptions!$B$11+Assumptions!$B$12)/Projects!$D$25*0.95,0)-IF(AND(Projects!$G$25="Yes",K$3=Projects!$C$25+Projects!$D$25-1),Projects!$B$25*(Assumptions!$B$10+Assumptions!$B$11+Assumptions!$B$12)*0.05,0)</f>
        <v>0</v>
      </c>
      <c r="L34" s="19" t="n">
        <f aca="false">IF(AND(Projects!$G$25="Yes",L$3&gt;=Projects!$C$25,L$3&lt;Projects!$C$25+Projects!$D$25),Projects!$B$25*INDEX(Curves!$B$4:$AR$4,1,L$3-Projects!$C$25+1),0)-IF(AND(Projects!$G$25="Yes",L$3&gt;=Projects!$C$25,L$3&lt;Projects!$C$25+Projects!$D$25),Projects!$B$25*(Assumptions!$B$10+Assumptions!$B$11+Assumptions!$B$12)/Projects!$D$25*0.95,0)-IF(AND(Projects!$G$25="Yes",L$3=Projects!$C$25+Projects!$D$25-1),Projects!$B$25*(Assumptions!$B$10+Assumptions!$B$11+Assumptions!$B$12)*0.05,0)</f>
        <v>0</v>
      </c>
      <c r="M34" s="19" t="n">
        <f aca="false">IF(AND(Projects!$G$25="Yes",M$3&gt;=Projects!$C$25,M$3&lt;Projects!$C$25+Projects!$D$25),Projects!$B$25*INDEX(Curves!$B$4:$AR$4,1,M$3-Projects!$C$25+1),0)-IF(AND(Projects!$G$25="Yes",M$3&gt;=Projects!$C$25,M$3&lt;Projects!$C$25+Projects!$D$25),Projects!$B$25*(Assumptions!$B$10+Assumptions!$B$11+Assumptions!$B$12)/Projects!$D$25*0.95,0)-IF(AND(Projects!$G$25="Yes",M$3=Projects!$C$25+Projects!$D$25-1),Projects!$B$25*(Assumptions!$B$10+Assumptions!$B$11+Assumptions!$B$12)*0.05,0)</f>
        <v>0</v>
      </c>
      <c r="N34" s="19" t="n">
        <f aca="false">IF(AND(Projects!$G$25="Yes",N$3&gt;=Projects!$C$25,N$3&lt;Projects!$C$25+Projects!$D$25),Projects!$B$25*INDEX(Curves!$B$4:$AR$4,1,N$3-Projects!$C$25+1),0)-IF(AND(Projects!$G$25="Yes",N$3&gt;=Projects!$C$25,N$3&lt;Projects!$C$25+Projects!$D$25),Projects!$B$25*(Assumptions!$B$10+Assumptions!$B$11+Assumptions!$B$12)/Projects!$D$25*0.95,0)-IF(AND(Projects!$G$25="Yes",N$3=Projects!$C$25+Projects!$D$25-1),Projects!$B$25*(Assumptions!$B$10+Assumptions!$B$11+Assumptions!$B$12)*0.05,0)</f>
        <v>0</v>
      </c>
      <c r="O34" s="19" t="n">
        <f aca="false">IF(AND(Projects!$G$25="Yes",O$3&gt;=Projects!$C$25,O$3&lt;Projects!$C$25+Projects!$D$25),Projects!$B$25*INDEX(Curves!$B$4:$AR$4,1,O$3-Projects!$C$25+1),0)-IF(AND(Projects!$G$25="Yes",O$3&gt;=Projects!$C$25,O$3&lt;Projects!$C$25+Projects!$D$25),Projects!$B$25*(Assumptions!$B$10+Assumptions!$B$11+Assumptions!$B$12)/Projects!$D$25*0.95,0)-IF(AND(Projects!$G$25="Yes",O$3=Projects!$C$25+Projects!$D$25-1),Projects!$B$25*(Assumptions!$B$10+Assumptions!$B$11+Assumptions!$B$12)*0.05,0)</f>
        <v>0</v>
      </c>
      <c r="P34" s="19" t="n">
        <f aca="false">IF(AND(Projects!$G$25="Yes",P$3&gt;=Projects!$C$25,P$3&lt;Projects!$C$25+Projects!$D$25),Projects!$B$25*INDEX(Curves!$B$4:$AR$4,1,P$3-Projects!$C$25+1),0)-IF(AND(Projects!$G$25="Yes",P$3&gt;=Projects!$C$25,P$3&lt;Projects!$C$25+Projects!$D$25),Projects!$B$25*(Assumptions!$B$10+Assumptions!$B$11+Assumptions!$B$12)/Projects!$D$25*0.95,0)-IF(AND(Projects!$G$25="Yes",P$3=Projects!$C$25+Projects!$D$25-1),Projects!$B$25*(Assumptions!$B$10+Assumptions!$B$11+Assumptions!$B$12)*0.05,0)</f>
        <v>0</v>
      </c>
      <c r="Q34" s="19" t="n">
        <f aca="false">IF(AND(Projects!$G$25="Yes",Q$3&gt;=Projects!$C$25,Q$3&lt;Projects!$C$25+Projects!$D$25),Projects!$B$25*INDEX(Curves!$B$4:$AR$4,1,Q$3-Projects!$C$25+1),0)-IF(AND(Projects!$G$25="Yes",Q$3&gt;=Projects!$C$25,Q$3&lt;Projects!$C$25+Projects!$D$25),Projects!$B$25*(Assumptions!$B$10+Assumptions!$B$11+Assumptions!$B$12)/Projects!$D$25*0.95,0)-IF(AND(Projects!$G$25="Yes",Q$3=Projects!$C$25+Projects!$D$25-1),Projects!$B$25*(Assumptions!$B$10+Assumptions!$B$11+Assumptions!$B$12)*0.05,0)</f>
        <v>0</v>
      </c>
      <c r="R34" s="19" t="n">
        <f aca="false">IF(AND(Projects!$G$25="Yes",R$3&gt;=Projects!$C$25,R$3&lt;Projects!$C$25+Projects!$D$25),Projects!$B$25*INDEX(Curves!$B$4:$AR$4,1,R$3-Projects!$C$25+1),0)-IF(AND(Projects!$G$25="Yes",R$3&gt;=Projects!$C$25,R$3&lt;Projects!$C$25+Projects!$D$25),Projects!$B$25*(Assumptions!$B$10+Assumptions!$B$11+Assumptions!$B$12)/Projects!$D$25*0.95,0)-IF(AND(Projects!$G$25="Yes",R$3=Projects!$C$25+Projects!$D$25-1),Projects!$B$25*(Assumptions!$B$10+Assumptions!$B$11+Assumptions!$B$12)*0.05,0)</f>
        <v>0</v>
      </c>
      <c r="S34" s="19" t="n">
        <f aca="false">IF(AND(Projects!$G$25="Yes",S$3&gt;=Projects!$C$25,S$3&lt;Projects!$C$25+Projects!$D$25),Projects!$B$25*INDEX(Curves!$B$4:$AR$4,1,S$3-Projects!$C$25+1),0)-IF(AND(Projects!$G$25="Yes",S$3&gt;=Projects!$C$25,S$3&lt;Projects!$C$25+Projects!$D$25),Projects!$B$25*(Assumptions!$B$10+Assumptions!$B$11+Assumptions!$B$12)/Projects!$D$25*0.95,0)-IF(AND(Projects!$G$25="Yes",S$3=Projects!$C$25+Projects!$D$25-1),Projects!$B$25*(Assumptions!$B$10+Assumptions!$B$11+Assumptions!$B$12)*0.05,0)</f>
        <v>0</v>
      </c>
      <c r="T34" s="19" t="n">
        <f aca="false">IF(AND(Projects!$G$25="Yes",T$3&gt;=Projects!$C$25,T$3&lt;Projects!$C$25+Projects!$D$25),Projects!$B$25*INDEX(Curves!$B$4:$AR$4,1,T$3-Projects!$C$25+1),0)-IF(AND(Projects!$G$25="Yes",T$3&gt;=Projects!$C$25,T$3&lt;Projects!$C$25+Projects!$D$25),Projects!$B$25*(Assumptions!$B$10+Assumptions!$B$11+Assumptions!$B$12)/Projects!$D$25*0.95,0)-IF(AND(Projects!$G$25="Yes",T$3=Projects!$C$25+Projects!$D$25-1),Projects!$B$25*(Assumptions!$B$10+Assumptions!$B$11+Assumptions!$B$12)*0.05,0)</f>
        <v>0</v>
      </c>
      <c r="U34" s="19" t="n">
        <f aca="false">IF(AND(Projects!$G$25="Yes",U$3&gt;=Projects!$C$25,U$3&lt;Projects!$C$25+Projects!$D$25),Projects!$B$25*INDEX(Curves!$B$4:$AR$4,1,U$3-Projects!$C$25+1),0)-IF(AND(Projects!$G$25="Yes",U$3&gt;=Projects!$C$25,U$3&lt;Projects!$C$25+Projects!$D$25),Projects!$B$25*(Assumptions!$B$10+Assumptions!$B$11+Assumptions!$B$12)/Projects!$D$25*0.95,0)-IF(AND(Projects!$G$25="Yes",U$3=Projects!$C$25+Projects!$D$25-1),Projects!$B$25*(Assumptions!$B$10+Assumptions!$B$11+Assumptions!$B$12)*0.05,0)</f>
        <v>0</v>
      </c>
      <c r="V34" s="19" t="n">
        <f aca="false">IF(AND(Projects!$G$25="Yes",V$3&gt;=Projects!$C$25,V$3&lt;Projects!$C$25+Projects!$D$25),Projects!$B$25*INDEX(Curves!$B$4:$AR$4,1,V$3-Projects!$C$25+1),0)-IF(AND(Projects!$G$25="Yes",V$3&gt;=Projects!$C$25,V$3&lt;Projects!$C$25+Projects!$D$25),Projects!$B$25*(Assumptions!$B$10+Assumptions!$B$11+Assumptions!$B$12)/Projects!$D$25*0.95,0)-IF(AND(Projects!$G$25="Yes",V$3=Projects!$C$25+Projects!$D$25-1),Projects!$B$25*(Assumptions!$B$10+Assumptions!$B$11+Assumptions!$B$12)*0.05,0)</f>
        <v>0</v>
      </c>
      <c r="W34" s="19" t="n">
        <f aca="false">IF(AND(Projects!$G$25="Yes",W$3&gt;=Projects!$C$25,W$3&lt;Projects!$C$25+Projects!$D$25),Projects!$B$25*INDEX(Curves!$B$4:$AR$4,1,W$3-Projects!$C$25+1),0)-IF(AND(Projects!$G$25="Yes",W$3&gt;=Projects!$C$25,W$3&lt;Projects!$C$25+Projects!$D$25),Projects!$B$25*(Assumptions!$B$10+Assumptions!$B$11+Assumptions!$B$12)/Projects!$D$25*0.95,0)-IF(AND(Projects!$G$25="Yes",W$3=Projects!$C$25+Projects!$D$25-1),Projects!$B$25*(Assumptions!$B$10+Assumptions!$B$11+Assumptions!$B$12)*0.05,0)</f>
        <v>0</v>
      </c>
      <c r="X34" s="19" t="n">
        <f aca="false">IF(AND(Projects!$G$25="Yes",X$3&gt;=Projects!$C$25,X$3&lt;Projects!$C$25+Projects!$D$25),Projects!$B$25*INDEX(Curves!$B$4:$AR$4,1,X$3-Projects!$C$25+1),0)-IF(AND(Projects!$G$25="Yes",X$3&gt;=Projects!$C$25,X$3&lt;Projects!$C$25+Projects!$D$25),Projects!$B$25*(Assumptions!$B$10+Assumptions!$B$11+Assumptions!$B$12)/Projects!$D$25*0.95,0)-IF(AND(Projects!$G$25="Yes",X$3=Projects!$C$25+Projects!$D$25-1),Projects!$B$25*(Assumptions!$B$10+Assumptions!$B$11+Assumptions!$B$12)*0.05,0)</f>
        <v>0</v>
      </c>
      <c r="Y34" s="19" t="n">
        <f aca="false">IF(AND(Projects!$G$25="Yes",Y$3&gt;=Projects!$C$25,Y$3&lt;Projects!$C$25+Projects!$D$25),Projects!$B$25*INDEX(Curves!$B$4:$AR$4,1,Y$3-Projects!$C$25+1),0)-IF(AND(Projects!$G$25="Yes",Y$3&gt;=Projects!$C$25,Y$3&lt;Projects!$C$25+Projects!$D$25),Projects!$B$25*(Assumptions!$B$10+Assumptions!$B$11+Assumptions!$B$12)/Projects!$D$25*0.95,0)-IF(AND(Projects!$G$25="Yes",Y$3=Projects!$C$25+Projects!$D$25-1),Projects!$B$25*(Assumptions!$B$10+Assumptions!$B$11+Assumptions!$B$12)*0.05,0)</f>
        <v>0</v>
      </c>
      <c r="Z34" s="19" t="n">
        <f aca="false">IF(AND(Projects!$G$25="Yes",Z$3&gt;=Projects!$C$25,Z$3&lt;Projects!$C$25+Projects!$D$25),Projects!$B$25*INDEX(Curves!$B$4:$AR$4,1,Z$3-Projects!$C$25+1),0)-IF(AND(Projects!$G$25="Yes",Z$3&gt;=Projects!$C$25,Z$3&lt;Projects!$C$25+Projects!$D$25),Projects!$B$25*(Assumptions!$B$10+Assumptions!$B$11+Assumptions!$B$12)/Projects!$D$25*0.95,0)-IF(AND(Projects!$G$25="Yes",Z$3=Projects!$C$25+Projects!$D$25-1),Projects!$B$25*(Assumptions!$B$10+Assumptions!$B$11+Assumptions!$B$12)*0.05,0)</f>
        <v>0</v>
      </c>
      <c r="AA34" s="19" t="n">
        <f aca="false">IF(AND(Projects!$G$25="Yes",AA$3&gt;=Projects!$C$25,AA$3&lt;Projects!$C$25+Projects!$D$25),Projects!$B$25*INDEX(Curves!$B$4:$AR$4,1,AA$3-Projects!$C$25+1),0)-IF(AND(Projects!$G$25="Yes",AA$3&gt;=Projects!$C$25,AA$3&lt;Projects!$C$25+Projects!$D$25),Projects!$B$25*(Assumptions!$B$10+Assumptions!$B$11+Assumptions!$B$12)/Projects!$D$25*0.95,0)-IF(AND(Projects!$G$25="Yes",AA$3=Projects!$C$25+Projects!$D$25-1),Projects!$B$25*(Assumptions!$B$10+Assumptions!$B$11+Assumptions!$B$12)*0.05,0)</f>
        <v>0</v>
      </c>
      <c r="AB34" s="19" t="n">
        <f aca="false">IF(AND(Projects!$G$25="Yes",AB$3&gt;=Projects!$C$25,AB$3&lt;Projects!$C$25+Projects!$D$25),Projects!$B$25*INDEX(Curves!$B$4:$AR$4,1,AB$3-Projects!$C$25+1),0)-IF(AND(Projects!$G$25="Yes",AB$3&gt;=Projects!$C$25,AB$3&lt;Projects!$C$25+Projects!$D$25),Projects!$B$25*(Assumptions!$B$10+Assumptions!$B$11+Assumptions!$B$12)/Projects!$D$25*0.95,0)-IF(AND(Projects!$G$25="Yes",AB$3=Projects!$C$25+Projects!$D$25-1),Projects!$B$25*(Assumptions!$B$10+Assumptions!$B$11+Assumptions!$B$12)*0.05,0)</f>
        <v>0</v>
      </c>
      <c r="AC34" s="19" t="n">
        <f aca="false">IF(AND(Projects!$G$25="Yes",AC$3&gt;=Projects!$C$25,AC$3&lt;Projects!$C$25+Projects!$D$25),Projects!$B$25*INDEX(Curves!$B$4:$AR$4,1,AC$3-Projects!$C$25+1),0)-IF(AND(Projects!$G$25="Yes",AC$3&gt;=Projects!$C$25,AC$3&lt;Projects!$C$25+Projects!$D$25),Projects!$B$25*(Assumptions!$B$10+Assumptions!$B$11+Assumptions!$B$12)/Projects!$D$25*0.95,0)-IF(AND(Projects!$G$25="Yes",AC$3=Projects!$C$25+Projects!$D$25-1),Projects!$B$25*(Assumptions!$B$10+Assumptions!$B$11+Assumptions!$B$12)*0.05,0)</f>
        <v>0</v>
      </c>
      <c r="AD34" s="19" t="n">
        <f aca="false">IF(AND(Projects!$G$25="Yes",AD$3&gt;=Projects!$C$25,AD$3&lt;Projects!$C$25+Projects!$D$25),Projects!$B$25*INDEX(Curves!$B$4:$AR$4,1,AD$3-Projects!$C$25+1),0)-IF(AND(Projects!$G$25="Yes",AD$3&gt;=Projects!$C$25,AD$3&lt;Projects!$C$25+Projects!$D$25),Projects!$B$25*(Assumptions!$B$10+Assumptions!$B$11+Assumptions!$B$12)/Projects!$D$25*0.95,0)-IF(AND(Projects!$G$25="Yes",AD$3=Projects!$C$25+Projects!$D$25-1),Projects!$B$25*(Assumptions!$B$10+Assumptions!$B$11+Assumptions!$B$12)*0.05,0)</f>
        <v>0</v>
      </c>
      <c r="AE34" s="19" t="n">
        <f aca="false">IF(AND(Projects!$G$25="Yes",AE$3&gt;=Projects!$C$25,AE$3&lt;Projects!$C$25+Projects!$D$25),Projects!$B$25*INDEX(Curves!$B$4:$AR$4,1,AE$3-Projects!$C$25+1),0)-IF(AND(Projects!$G$25="Yes",AE$3&gt;=Projects!$C$25,AE$3&lt;Projects!$C$25+Projects!$D$25),Projects!$B$25*(Assumptions!$B$10+Assumptions!$B$11+Assumptions!$B$12)/Projects!$D$25*0.95,0)-IF(AND(Projects!$G$25="Yes",AE$3=Projects!$C$25+Projects!$D$25-1),Projects!$B$25*(Assumptions!$B$10+Assumptions!$B$11+Assumptions!$B$12)*0.05,0)</f>
        <v>0</v>
      </c>
      <c r="AF34" s="19" t="n">
        <f aca="false">IF(AND(Projects!$G$25="Yes",AF$3&gt;=Projects!$C$25,AF$3&lt;Projects!$C$25+Projects!$D$25),Projects!$B$25*INDEX(Curves!$B$4:$AR$4,1,AF$3-Projects!$C$25+1),0)-IF(AND(Projects!$G$25="Yes",AF$3&gt;=Projects!$C$25,AF$3&lt;Projects!$C$25+Projects!$D$25),Projects!$B$25*(Assumptions!$B$10+Assumptions!$B$11+Assumptions!$B$12)/Projects!$D$25*0.95,0)-IF(AND(Projects!$G$25="Yes",AF$3=Projects!$C$25+Projects!$D$25-1),Projects!$B$25*(Assumptions!$B$10+Assumptions!$B$11+Assumptions!$B$12)*0.05,0)</f>
        <v>0</v>
      </c>
      <c r="AG34" s="19" t="n">
        <f aca="false">IF(AND(Projects!$G$25="Yes",AG$3&gt;=Projects!$C$25,AG$3&lt;Projects!$C$25+Projects!$D$25),Projects!$B$25*INDEX(Curves!$B$4:$AR$4,1,AG$3-Projects!$C$25+1),0)-IF(AND(Projects!$G$25="Yes",AG$3&gt;=Projects!$C$25,AG$3&lt;Projects!$C$25+Projects!$D$25),Projects!$B$25*(Assumptions!$B$10+Assumptions!$B$11+Assumptions!$B$12)/Projects!$D$25*0.95,0)-IF(AND(Projects!$G$25="Yes",AG$3=Projects!$C$25+Projects!$D$25-1),Projects!$B$25*(Assumptions!$B$10+Assumptions!$B$11+Assumptions!$B$12)*0.05,0)</f>
        <v>368954.1</v>
      </c>
      <c r="AH34" s="19" t="n">
        <f aca="false">IF(AND(Projects!$G$25="Yes",AH$3&gt;=Projects!$C$25,AH$3&lt;Projects!$C$25+Projects!$D$25),Projects!$B$25*INDEX(Curves!$B$4:$AR$4,1,AH$3-Projects!$C$25+1),0)-IF(AND(Projects!$G$25="Yes",AH$3&gt;=Projects!$C$25,AH$3&lt;Projects!$C$25+Projects!$D$25),Projects!$B$25*(Assumptions!$B$10+Assumptions!$B$11+Assumptions!$B$12)/Projects!$D$25*0.95,0)-IF(AND(Projects!$G$25="Yes",AH$3=Projects!$C$25+Projects!$D$25-1),Projects!$B$25*(Assumptions!$B$10+Assumptions!$B$11+Assumptions!$B$12)*0.05,0)</f>
        <v>481346.1</v>
      </c>
      <c r="AI34" s="19" t="n">
        <f aca="false">IF(AND(Projects!$G$25="Yes",AI$3&gt;=Projects!$C$25,AI$3&lt;Projects!$C$25+Projects!$D$25),Projects!$B$25*INDEX(Curves!$B$4:$AR$4,1,AI$3-Projects!$C$25+1),0)-IF(AND(Projects!$G$25="Yes",AI$3&gt;=Projects!$C$25,AI$3&lt;Projects!$C$25+Projects!$D$25),Projects!$B$25*(Assumptions!$B$10+Assumptions!$B$11+Assumptions!$B$12)/Projects!$D$25*0.95,0)-IF(AND(Projects!$G$25="Yes",AI$3=Projects!$C$25+Projects!$D$25-1),Projects!$B$25*(Assumptions!$B$10+Assumptions!$B$11+Assumptions!$B$12)*0.05,0)</f>
        <v>602324.1</v>
      </c>
      <c r="AJ34" s="19" t="n">
        <f aca="false">IF(AND(Projects!$G$25="Yes",AJ$3&gt;=Projects!$C$25,AJ$3&lt;Projects!$C$25+Projects!$D$25),Projects!$B$25*INDEX(Curves!$B$4:$AR$4,1,AJ$3-Projects!$C$25+1),0)-IF(AND(Projects!$G$25="Yes",AJ$3&gt;=Projects!$C$25,AJ$3&lt;Projects!$C$25+Projects!$D$25),Projects!$B$25*(Assumptions!$B$10+Assumptions!$B$11+Assumptions!$B$12)/Projects!$D$25*0.95,0)-IF(AND(Projects!$G$25="Yes",AJ$3=Projects!$C$25+Projects!$D$25-1),Projects!$B$25*(Assumptions!$B$10+Assumptions!$B$11+Assumptions!$B$12)*0.05,0)</f>
        <v>727064.1</v>
      </c>
      <c r="AK34" s="19" t="n">
        <f aca="false">IF(AND(Projects!$G$25="Yes",AK$3&gt;=Projects!$C$25,AK$3&lt;Projects!$C$25+Projects!$D$25),Projects!$B$25*INDEX(Curves!$B$4:$AR$4,1,AK$3-Projects!$C$25+1),0)-IF(AND(Projects!$G$25="Yes",AK$3&gt;=Projects!$C$25,AK$3&lt;Projects!$C$25+Projects!$D$25),Projects!$B$25*(Assumptions!$B$10+Assumptions!$B$11+Assumptions!$B$12)/Projects!$D$25*0.95,0)-IF(AND(Projects!$G$25="Yes",AK$3=Projects!$C$25+Projects!$D$25-1),Projects!$B$25*(Assumptions!$B$10+Assumptions!$B$11+Assumptions!$B$12)*0.05,0)</f>
        <v>849572.1</v>
      </c>
      <c r="AL34" s="19" t="n">
        <f aca="false">IF(AND(Projects!$G$25="Yes",AL$3&gt;=Projects!$C$25,AL$3&lt;Projects!$C$25+Projects!$D$25),Projects!$B$25*INDEX(Curves!$B$4:$AR$4,1,AL$3-Projects!$C$25+1),0)-IF(AND(Projects!$G$25="Yes",AL$3&gt;=Projects!$C$25,AL$3&lt;Projects!$C$25+Projects!$D$25),Projects!$B$25*(Assumptions!$B$10+Assumptions!$B$11+Assumptions!$B$12)/Projects!$D$25*0.95,0)-IF(AND(Projects!$G$25="Yes",AL$3=Projects!$C$25+Projects!$D$25-1),Projects!$B$25*(Assumptions!$B$10+Assumptions!$B$11+Assumptions!$B$12)*0.05,0)</f>
        <v>963044.1</v>
      </c>
      <c r="AM34" s="19" t="n">
        <f aca="false">IF(AND(Projects!$G$25="Yes",AM$3&gt;=Projects!$C$25,AM$3&lt;Projects!$C$25+Projects!$D$25),Projects!$B$25*INDEX(Curves!$B$4:$AR$4,1,AM$3-Projects!$C$25+1),0)-IF(AND(Projects!$G$25="Yes",AM$3&gt;=Projects!$C$25,AM$3&lt;Projects!$C$25+Projects!$D$25),Projects!$B$25*(Assumptions!$B$10+Assumptions!$B$11+Assumptions!$B$12)/Projects!$D$25*0.95,0)-IF(AND(Projects!$G$25="Yes",AM$3=Projects!$C$25+Projects!$D$25-1),Projects!$B$25*(Assumptions!$B$10+Assumptions!$B$11+Assumptions!$B$12)*0.05,0)</f>
        <v>1060514.1</v>
      </c>
      <c r="AN34" s="19" t="n">
        <f aca="false">IF(AND(Projects!$G$25="Yes",AN$3&gt;=Projects!$C$25,AN$3&lt;Projects!$C$25+Projects!$D$25),Projects!$B$25*INDEX(Curves!$B$4:$AR$4,1,AN$3-Projects!$C$25+1),0)-IF(AND(Projects!$G$25="Yes",AN$3&gt;=Projects!$C$25,AN$3&lt;Projects!$C$25+Projects!$D$25),Projects!$B$25*(Assumptions!$B$10+Assumptions!$B$11+Assumptions!$B$12)/Projects!$D$25*0.95,0)-IF(AND(Projects!$G$25="Yes",AN$3=Projects!$C$25+Projects!$D$25-1),Projects!$B$25*(Assumptions!$B$10+Assumptions!$B$11+Assumptions!$B$12)*0.05,0)</f>
        <v>1135520.1</v>
      </c>
      <c r="AO34" s="19" t="n">
        <f aca="false">IF(AND(Projects!$G$25="Yes",AO$3&gt;=Projects!$C$25,AO$3&lt;Projects!$C$25+Projects!$D$25),Projects!$B$25*INDEX(Curves!$B$4:$AR$4,1,AO$3-Projects!$C$25+1),0)-IF(AND(Projects!$G$25="Yes",AO$3&gt;=Projects!$C$25,AO$3&lt;Projects!$C$25+Projects!$D$25),Projects!$B$25*(Assumptions!$B$10+Assumptions!$B$11+Assumptions!$B$12)/Projects!$D$25*0.95,0)-IF(AND(Projects!$G$25="Yes",AO$3=Projects!$C$25+Projects!$D$25-1),Projects!$B$25*(Assumptions!$B$10+Assumptions!$B$11+Assumptions!$B$12)*0.05,0)</f>
        <v>1182824.1</v>
      </c>
      <c r="AP34" s="19" t="n">
        <f aca="false">IF(AND(Projects!$G$25="Yes",AP$3&gt;=Projects!$C$25,AP$3&lt;Projects!$C$25+Projects!$D$25),Projects!$B$25*INDEX(Curves!$B$4:$AR$4,1,AP$3-Projects!$C$25+1),0)-IF(AND(Projects!$G$25="Yes",AP$3&gt;=Projects!$C$25,AP$3&lt;Projects!$C$25+Projects!$D$25),Projects!$B$25*(Assumptions!$B$10+Assumptions!$B$11+Assumptions!$B$12)/Projects!$D$25*0.95,0)-IF(AND(Projects!$G$25="Yes",AP$3=Projects!$C$25+Projects!$D$25-1),Projects!$B$25*(Assumptions!$B$10+Assumptions!$B$11+Assumptions!$B$12)*0.05,0)</f>
        <v>1198988.1</v>
      </c>
      <c r="AQ34" s="19" t="n">
        <f aca="false">IF(AND(Projects!$G$25="Yes",AQ$3&gt;=Projects!$C$25,AQ$3&lt;Projects!$C$25+Projects!$D$25),Projects!$B$25*INDEX(Curves!$B$4:$AR$4,1,AQ$3-Projects!$C$25+1),0)-IF(AND(Projects!$G$25="Yes",AQ$3&gt;=Projects!$C$25,AQ$3&lt;Projects!$C$25+Projects!$D$25),Projects!$B$25*(Assumptions!$B$10+Assumptions!$B$11+Assumptions!$B$12)/Projects!$D$25*0.95,0)-IF(AND(Projects!$G$25="Yes",AQ$3=Projects!$C$25+Projects!$D$25-1),Projects!$B$25*(Assumptions!$B$10+Assumptions!$B$11+Assumptions!$B$12)*0.05,0)</f>
        <v>1182824.1</v>
      </c>
      <c r="AR34" s="19" t="n">
        <f aca="false">IF(AND(Projects!$G$25="Yes",AR$3&gt;=Projects!$C$25,AR$3&lt;Projects!$C$25+Projects!$D$25),Projects!$B$25*INDEX(Curves!$B$4:$AR$4,1,AR$3-Projects!$C$25+1),0)-IF(AND(Projects!$G$25="Yes",AR$3&gt;=Projects!$C$25,AR$3&lt;Projects!$C$25+Projects!$D$25),Projects!$B$25*(Assumptions!$B$10+Assumptions!$B$11+Assumptions!$B$12)/Projects!$D$25*0.95,0)-IF(AND(Projects!$G$25="Yes",AR$3=Projects!$C$25+Projects!$D$25-1),Projects!$B$25*(Assumptions!$B$10+Assumptions!$B$11+Assumptions!$B$12)*0.05,0)</f>
        <v>1135520.1</v>
      </c>
      <c r="AS34" s="19" t="n">
        <f aca="false">IF(AND(Projects!$G$25="Yes",AS$3&gt;=Projects!$C$25,AS$3&lt;Projects!$C$25+Projects!$D$25),Projects!$B$25*INDEX(Curves!$B$4:$AR$4,1,AS$3-Projects!$C$25+1),0)-IF(AND(Projects!$G$25="Yes",AS$3&gt;=Projects!$C$25,AS$3&lt;Projects!$C$25+Projects!$D$25),Projects!$B$25*(Assumptions!$B$10+Assumptions!$B$11+Assumptions!$B$12)/Projects!$D$25*0.95,0)-IF(AND(Projects!$G$25="Yes",AS$3=Projects!$C$25+Projects!$D$25-1),Projects!$B$25*(Assumptions!$B$10+Assumptions!$B$11+Assumptions!$B$12)*0.05,0)</f>
        <v>1060514.1</v>
      </c>
      <c r="AT34" s="19" t="n">
        <f aca="false">IF(AND(Projects!$G$25="Yes",AT$3&gt;=Projects!$C$25,AT$3&lt;Projects!$C$25+Projects!$D$25),Projects!$B$25*INDEX(Curves!$B$4:$AR$4,1,AT$3-Projects!$C$25+1),0)-IF(AND(Projects!$G$25="Yes",AT$3&gt;=Projects!$C$25,AT$3&lt;Projects!$C$25+Projects!$D$25),Projects!$B$25*(Assumptions!$B$10+Assumptions!$B$11+Assumptions!$B$12)/Projects!$D$25*0.95,0)-IF(AND(Projects!$G$25="Yes",AT$3=Projects!$C$25+Projects!$D$25-1),Projects!$B$25*(Assumptions!$B$10+Assumptions!$B$11+Assumptions!$B$12)*0.05,0)</f>
        <v>963044.1</v>
      </c>
      <c r="AU34" s="19" t="n">
        <f aca="false">IF(AND(Projects!$G$25="Yes",AU$3&gt;=Projects!$C$25,AU$3&lt;Projects!$C$25+Projects!$D$25),Projects!$B$25*INDEX(Curves!$B$4:$AR$4,1,AU$3-Projects!$C$25+1),0)-IF(AND(Projects!$G$25="Yes",AU$3&gt;=Projects!$C$25,AU$3&lt;Projects!$C$25+Projects!$D$25),Projects!$B$25*(Assumptions!$B$10+Assumptions!$B$11+Assumptions!$B$12)/Projects!$D$25*0.95,0)-IF(AND(Projects!$G$25="Yes",AU$3=Projects!$C$25+Projects!$D$25-1),Projects!$B$25*(Assumptions!$B$10+Assumptions!$B$11+Assumptions!$B$12)*0.05,0)</f>
        <v>849572.1</v>
      </c>
      <c r="AV34" s="19" t="n">
        <f aca="false">IF(AND(Projects!$G$25="Yes",AV$3&gt;=Projects!$C$25,AV$3&lt;Projects!$C$25+Projects!$D$25),Projects!$B$25*INDEX(Curves!$B$4:$AR$4,1,AV$3-Projects!$C$25+1),0)-IF(AND(Projects!$G$25="Yes",AV$3&gt;=Projects!$C$25,AV$3&lt;Projects!$C$25+Projects!$D$25),Projects!$B$25*(Assumptions!$B$10+Assumptions!$B$11+Assumptions!$B$12)/Projects!$D$25*0.95,0)-IF(AND(Projects!$G$25="Yes",AV$3=Projects!$C$25+Projects!$D$25-1),Projects!$B$25*(Assumptions!$B$10+Assumptions!$B$11+Assumptions!$B$12)*0.05,0)</f>
        <v>727064.1</v>
      </c>
      <c r="AW34" s="19" t="n">
        <f aca="false">IF(AND(Projects!$G$25="Yes",AW$3&gt;=Projects!$C$25,AW$3&lt;Projects!$C$25+Projects!$D$25),Projects!$B$25*INDEX(Curves!$B$4:$AR$4,1,AW$3-Projects!$C$25+1),0)-IF(AND(Projects!$G$25="Yes",AW$3&gt;=Projects!$C$25,AW$3&lt;Projects!$C$25+Projects!$D$25),Projects!$B$25*(Assumptions!$B$10+Assumptions!$B$11+Assumptions!$B$12)/Projects!$D$25*0.95,0)-IF(AND(Projects!$G$25="Yes",AW$3=Projects!$C$25+Projects!$D$25-1),Projects!$B$25*(Assumptions!$B$10+Assumptions!$B$11+Assumptions!$B$12)*0.05,0)</f>
        <v>602324.1</v>
      </c>
      <c r="AX34" s="19" t="n">
        <f aca="false">IF(AND(Projects!$G$25="Yes",AX$3&gt;=Projects!$C$25,AX$3&lt;Projects!$C$25+Projects!$D$25),Projects!$B$25*INDEX(Curves!$B$4:$AR$4,1,AX$3-Projects!$C$25+1),0)-IF(AND(Projects!$G$25="Yes",AX$3&gt;=Projects!$C$25,AX$3&lt;Projects!$C$25+Projects!$D$25),Projects!$B$25*(Assumptions!$B$10+Assumptions!$B$11+Assumptions!$B$12)/Projects!$D$25*0.95,0)-IF(AND(Projects!$G$25="Yes",AX$3=Projects!$C$25+Projects!$D$25-1),Projects!$B$25*(Assumptions!$B$10+Assumptions!$B$11+Assumptions!$B$12)*0.05,0)</f>
        <v>481346.1</v>
      </c>
      <c r="AY34" s="19" t="n">
        <f aca="false">IF(AND(Projects!$G$25="Yes",AY$3&gt;=Projects!$C$25,AY$3&lt;Projects!$C$25+Projects!$D$25),Projects!$B$25*INDEX(Curves!$B$4:$AR$4,1,AY$3-Projects!$C$25+1),0)-IF(AND(Projects!$G$25="Yes",AY$3&gt;=Projects!$C$25,AY$3&lt;Projects!$C$25+Projects!$D$25),Projects!$B$25*(Assumptions!$B$10+Assumptions!$B$11+Assumptions!$B$12)/Projects!$D$25*0.95,0)-IF(AND(Projects!$G$25="Yes",AY$3=Projects!$C$25+Projects!$D$25-1),Projects!$B$25*(Assumptions!$B$10+Assumptions!$B$11+Assumptions!$B$12)*0.05,0)</f>
        <v>260602.2</v>
      </c>
      <c r="AZ34" s="19" t="n">
        <f aca="false">IF(AND(Projects!$G$25="Yes",AZ$3&gt;=Projects!$C$25,AZ$3&lt;Projects!$C$25+Projects!$D$25),Projects!$B$25*INDEX(Curves!$B$4:$AR$4,1,AZ$3-Projects!$C$25+1),0)-IF(AND(Projects!$G$25="Yes",AZ$3&gt;=Projects!$C$25,AZ$3&lt;Projects!$C$25+Projects!$D$25),Projects!$B$25*(Assumptions!$B$10+Assumptions!$B$11+Assumptions!$B$12)/Projects!$D$25*0.95,0)-IF(AND(Projects!$G$25="Yes",AZ$3=Projects!$C$25+Projects!$D$25-1),Projects!$B$25*(Assumptions!$B$10+Assumptions!$B$11+Assumptions!$B$12)*0.05,0)</f>
        <v>0</v>
      </c>
      <c r="BA34" s="19" t="n">
        <f aca="false">IF(AND(Projects!$G$25="Yes",BA$3&gt;=Projects!$C$25,BA$3&lt;Projects!$C$25+Projects!$D$25),Projects!$B$25*INDEX(Curves!$B$4:$AR$4,1,BA$3-Projects!$C$25+1),0)-IF(AND(Projects!$G$25="Yes",BA$3&gt;=Projects!$C$25,BA$3&lt;Projects!$C$25+Projects!$D$25),Projects!$B$25*(Assumptions!$B$10+Assumptions!$B$11+Assumptions!$B$12)/Projects!$D$25*0.95,0)-IF(AND(Projects!$G$25="Yes",BA$3=Projects!$C$25+Projects!$D$25-1),Projects!$B$25*(Assumptions!$B$10+Assumptions!$B$11+Assumptions!$B$12)*0.05,0)</f>
        <v>0</v>
      </c>
      <c r="BB34" s="19" t="n">
        <f aca="false">IF(AND(Projects!$G$25="Yes",BB$3&gt;=Projects!$C$25,BB$3&lt;Projects!$C$25+Projects!$D$25),Projects!$B$25*INDEX(Curves!$B$4:$AR$4,1,BB$3-Projects!$C$25+1),0)-IF(AND(Projects!$G$25="Yes",BB$3&gt;=Projects!$C$25,BB$3&lt;Projects!$C$25+Projects!$D$25),Projects!$B$25*(Assumptions!$B$10+Assumptions!$B$11+Assumptions!$B$12)/Projects!$D$25*0.95,0)-IF(AND(Projects!$G$25="Yes",BB$3=Projects!$C$25+Projects!$D$25-1),Projects!$B$25*(Assumptions!$B$10+Assumptions!$B$11+Assumptions!$B$12)*0.05,0)</f>
        <v>0</v>
      </c>
      <c r="BC34" s="19" t="n">
        <f aca="false">IF(AND(Projects!$G$25="Yes",BC$3&gt;=Projects!$C$25,BC$3&lt;Projects!$C$25+Projects!$D$25),Projects!$B$25*INDEX(Curves!$B$4:$AR$4,1,BC$3-Projects!$C$25+1),0)-IF(AND(Projects!$G$25="Yes",BC$3&gt;=Projects!$C$25,BC$3&lt;Projects!$C$25+Projects!$D$25),Projects!$B$25*(Assumptions!$B$10+Assumptions!$B$11+Assumptions!$B$12)/Projects!$D$25*0.95,0)-IF(AND(Projects!$G$25="Yes",BC$3=Projects!$C$25+Projects!$D$25-1),Projects!$B$25*(Assumptions!$B$10+Assumptions!$B$11+Assumptions!$B$12)*0.05,0)</f>
        <v>0</v>
      </c>
      <c r="BD34" s="19" t="n">
        <f aca="false">IF(AND(Projects!$G$25="Yes",BD$3&gt;=Projects!$C$25,BD$3&lt;Projects!$C$25+Projects!$D$25),Projects!$B$25*INDEX(Curves!$B$4:$AR$4,1,BD$3-Projects!$C$25+1),0)-IF(AND(Projects!$G$25="Yes",BD$3&gt;=Projects!$C$25,BD$3&lt;Projects!$C$25+Projects!$D$25),Projects!$B$25*(Assumptions!$B$10+Assumptions!$B$11+Assumptions!$B$12)/Projects!$D$25*0.95,0)-IF(AND(Projects!$G$25="Yes",BD$3=Projects!$C$25+Projects!$D$25-1),Projects!$B$25*(Assumptions!$B$10+Assumptions!$B$11+Assumptions!$B$12)*0.05,0)</f>
        <v>0</v>
      </c>
      <c r="BE34" s="19" t="n">
        <f aca="false">IF(AND(Projects!$G$25="Yes",BE$3&gt;=Projects!$C$25,BE$3&lt;Projects!$C$25+Projects!$D$25),Projects!$B$25*INDEX(Curves!$B$4:$AR$4,1,BE$3-Projects!$C$25+1),0)-IF(AND(Projects!$G$25="Yes",BE$3&gt;=Projects!$C$25,BE$3&lt;Projects!$C$25+Projects!$D$25),Projects!$B$25*(Assumptions!$B$10+Assumptions!$B$11+Assumptions!$B$12)/Projects!$D$25*0.95,0)-IF(AND(Projects!$G$25="Yes",BE$3=Projects!$C$25+Projects!$D$25-1),Projects!$B$25*(Assumptions!$B$10+Assumptions!$B$11+Assumptions!$B$12)*0.05,0)</f>
        <v>0</v>
      </c>
      <c r="BF34" s="19" t="n">
        <f aca="false">IF(AND(Projects!$G$25="Yes",BF$3&gt;=Projects!$C$25,BF$3&lt;Projects!$C$25+Projects!$D$25),Projects!$B$25*INDEX(Curves!$B$4:$AR$4,1,BF$3-Projects!$C$25+1),0)-IF(AND(Projects!$G$25="Yes",BF$3&gt;=Projects!$C$25,BF$3&lt;Projects!$C$25+Projects!$D$25),Projects!$B$25*(Assumptions!$B$10+Assumptions!$B$11+Assumptions!$B$12)/Projects!$D$25*0.95,0)-IF(AND(Projects!$G$25="Yes",BF$3=Projects!$C$25+Projects!$D$25-1),Projects!$B$25*(Assumptions!$B$10+Assumptions!$B$11+Assumptions!$B$12)*0.05,0)</f>
        <v>0</v>
      </c>
      <c r="BG34" s="19" t="n">
        <f aca="false">IF(AND(Projects!$G$25="Yes",BG$3&gt;=Projects!$C$25,BG$3&lt;Projects!$C$25+Projects!$D$25),Projects!$B$25*INDEX(Curves!$B$4:$AR$4,1,BG$3-Projects!$C$25+1),0)-IF(AND(Projects!$G$25="Yes",BG$3&gt;=Projects!$C$25,BG$3&lt;Projects!$C$25+Projects!$D$25),Projects!$B$25*(Assumptions!$B$10+Assumptions!$B$11+Assumptions!$B$12)/Projects!$D$25*0.95,0)-IF(AND(Projects!$G$25="Yes",BG$3=Projects!$C$25+Projects!$D$25-1),Projects!$B$25*(Assumptions!$B$10+Assumptions!$B$11+Assumptions!$B$12)*0.05,0)</f>
        <v>0</v>
      </c>
      <c r="BH34" s="19" t="n">
        <f aca="false">IF(AND(Projects!$G$25="Yes",BH$3&gt;=Projects!$C$25,BH$3&lt;Projects!$C$25+Projects!$D$25),Projects!$B$25*INDEX(Curves!$B$4:$AR$4,1,BH$3-Projects!$C$25+1),0)-IF(AND(Projects!$G$25="Yes",BH$3&gt;=Projects!$C$25,BH$3&lt;Projects!$C$25+Projects!$D$25),Projects!$B$25*(Assumptions!$B$10+Assumptions!$B$11+Assumptions!$B$12)/Projects!$D$25*0.95,0)-IF(AND(Projects!$G$25="Yes",BH$3=Projects!$C$25+Projects!$D$25-1),Projects!$B$25*(Assumptions!$B$10+Assumptions!$B$11+Assumptions!$B$12)*0.05,0)</f>
        <v>0</v>
      </c>
      <c r="BI34" s="19" t="n">
        <f aca="false">IF(AND(Projects!$G$25="Yes",BI$3&gt;=Projects!$C$25,BI$3&lt;Projects!$C$25+Projects!$D$25),Projects!$B$25*INDEX(Curves!$B$4:$AR$4,1,BI$3-Projects!$C$25+1),0)-IF(AND(Projects!$G$25="Yes",BI$3&gt;=Projects!$C$25,BI$3&lt;Projects!$C$25+Projects!$D$25),Projects!$B$25*(Assumptions!$B$10+Assumptions!$B$11+Assumptions!$B$12)/Projects!$D$25*0.95,0)-IF(AND(Projects!$G$25="Yes",BI$3=Projects!$C$25+Projects!$D$25-1),Projects!$B$25*(Assumptions!$B$10+Assumptions!$B$11+Assumptions!$B$12)*0.05,0)</f>
        <v>0</v>
      </c>
      <c r="BJ34" s="19" t="n">
        <f aca="false">IF(AND(Projects!$G$25="Yes",BJ$3&gt;=Projects!$C$25,BJ$3&lt;Projects!$C$25+Projects!$D$25),Projects!$B$25*INDEX(Curves!$B$4:$AR$4,1,BJ$3-Projects!$C$25+1),0)-IF(AND(Projects!$G$25="Yes",BJ$3&gt;=Projects!$C$25,BJ$3&lt;Projects!$C$25+Projects!$D$25),Projects!$B$25*(Assumptions!$B$10+Assumptions!$B$11+Assumptions!$B$12)/Projects!$D$25*0.95,0)-IF(AND(Projects!$G$25="Yes",BJ$3=Projects!$C$25+Projects!$D$25-1),Projects!$B$25*(Assumptions!$B$10+Assumptions!$B$11+Assumptions!$B$12)*0.05,0)</f>
        <v>0</v>
      </c>
      <c r="BK34" s="19" t="n">
        <f aca="false">IF(AND(Projects!$G$25="Yes",BK$3&gt;=Projects!$C$25,BK$3&lt;Projects!$C$25+Projects!$D$25),Projects!$B$25*INDEX(Curves!$B$4:$AR$4,1,BK$3-Projects!$C$25+1),0)-IF(AND(Projects!$G$25="Yes",BK$3&gt;=Projects!$C$25,BK$3&lt;Projects!$C$25+Projects!$D$25),Projects!$B$25*(Assumptions!$B$10+Assumptions!$B$11+Assumptions!$B$12)/Projects!$D$25*0.95,0)-IF(AND(Projects!$G$25="Yes",BK$3=Projects!$C$25+Projects!$D$25-1),Projects!$B$25*(Assumptions!$B$10+Assumptions!$B$11+Assumptions!$B$12)*0.05,0)</f>
        <v>0</v>
      </c>
      <c r="BL34" s="19" t="n">
        <f aca="false">IF(AND(Projects!$G$25="Yes",BL$3&gt;=Projects!$C$25,BL$3&lt;Projects!$C$25+Projects!$D$25),Projects!$B$25*INDEX(Curves!$B$4:$AR$4,1,BL$3-Projects!$C$25+1),0)-IF(AND(Projects!$G$25="Yes",BL$3&gt;=Projects!$C$25,BL$3&lt;Projects!$C$25+Projects!$D$25),Projects!$B$25*(Assumptions!$B$10+Assumptions!$B$11+Assumptions!$B$12)/Projects!$D$25*0.95,0)-IF(AND(Projects!$G$25="Yes",BL$3=Projects!$C$25+Projects!$D$25-1),Projects!$B$25*(Assumptions!$B$10+Assumptions!$B$11+Assumptions!$B$12)*0.05,0)</f>
        <v>0</v>
      </c>
      <c r="BM34" s="19" t="n">
        <f aca="false">IF(AND(Projects!$G$25="Yes",BM$3&gt;=Projects!$C$25,BM$3&lt;Projects!$C$25+Projects!$D$25),Projects!$B$25*INDEX(Curves!$B$4:$AR$4,1,BM$3-Projects!$C$25+1),0)-IF(AND(Projects!$G$25="Yes",BM$3&gt;=Projects!$C$25,BM$3&lt;Projects!$C$25+Projects!$D$25),Projects!$B$25*(Assumptions!$B$10+Assumptions!$B$11+Assumptions!$B$12)/Projects!$D$25*0.95,0)-IF(AND(Projects!$G$25="Yes",BM$3=Projects!$C$25+Projects!$D$25-1),Projects!$B$25*(Assumptions!$B$10+Assumptions!$B$11+Assumptions!$B$12)*0.05,0)</f>
        <v>0</v>
      </c>
      <c r="BN34" s="19" t="n">
        <f aca="false">IF(AND(Projects!$G$25="Yes",BN$3&gt;=Projects!$C$25,BN$3&lt;Projects!$C$25+Projects!$D$25),Projects!$B$25*INDEX(Curves!$B$4:$AR$4,1,BN$3-Projects!$C$25+1),0)-IF(AND(Projects!$G$25="Yes",BN$3&gt;=Projects!$C$25,BN$3&lt;Projects!$C$25+Projects!$D$25),Projects!$B$25*(Assumptions!$B$10+Assumptions!$B$11+Assumptions!$B$12)/Projects!$D$25*0.95,0)-IF(AND(Projects!$G$25="Yes",BN$3=Projects!$C$25+Projects!$D$25-1),Projects!$B$25*(Assumptions!$B$10+Assumptions!$B$11+Assumptions!$B$12)*0.05,0)</f>
        <v>0</v>
      </c>
      <c r="BO34" s="19" t="n">
        <f aca="false">IF(AND(Projects!$G$25="Yes",BO$3&gt;=Projects!$C$25,BO$3&lt;Projects!$C$25+Projects!$D$25),Projects!$B$25*INDEX(Curves!$B$4:$AR$4,1,BO$3-Projects!$C$25+1),0)-IF(AND(Projects!$G$25="Yes",BO$3&gt;=Projects!$C$25,BO$3&lt;Projects!$C$25+Projects!$D$25),Projects!$B$25*(Assumptions!$B$10+Assumptions!$B$11+Assumptions!$B$12)/Projects!$D$25*0.95,0)-IF(AND(Projects!$G$25="Yes",BO$3=Projects!$C$25+Projects!$D$25-1),Projects!$B$25*(Assumptions!$B$10+Assumptions!$B$11+Assumptions!$B$12)*0.05,0)</f>
        <v>0</v>
      </c>
      <c r="BP34" s="19" t="n">
        <f aca="false">IF(AND(Projects!$G$25="Yes",BP$3&gt;=Projects!$C$25,BP$3&lt;Projects!$C$25+Projects!$D$25),Projects!$B$25*INDEX(Curves!$B$4:$AR$4,1,BP$3-Projects!$C$25+1),0)-IF(AND(Projects!$G$25="Yes",BP$3&gt;=Projects!$C$25,BP$3&lt;Projects!$C$25+Projects!$D$25),Projects!$B$25*(Assumptions!$B$10+Assumptions!$B$11+Assumptions!$B$12)/Projects!$D$25*0.95,0)-IF(AND(Projects!$G$25="Yes",BP$3=Projects!$C$25+Projects!$D$25-1),Projects!$B$25*(Assumptions!$B$10+Assumptions!$B$11+Assumptions!$B$12)*0.05,0)</f>
        <v>0</v>
      </c>
      <c r="BQ34" s="19" t="n">
        <f aca="false">IF(AND(Projects!$G$25="Yes",BQ$3&gt;=Projects!$C$25,BQ$3&lt;Projects!$C$25+Projects!$D$25),Projects!$B$25*INDEX(Curves!$B$4:$AR$4,1,BQ$3-Projects!$C$25+1),0)-IF(AND(Projects!$G$25="Yes",BQ$3&gt;=Projects!$C$25,BQ$3&lt;Projects!$C$25+Projects!$D$25),Projects!$B$25*(Assumptions!$B$10+Assumptions!$B$11+Assumptions!$B$12)/Projects!$D$25*0.95,0)-IF(AND(Projects!$G$25="Yes",BQ$3=Projects!$C$25+Projects!$D$25-1),Projects!$B$25*(Assumptions!$B$10+Assumptions!$B$11+Assumptions!$B$12)*0.05,0)</f>
        <v>0</v>
      </c>
      <c r="BR34" s="19" t="n">
        <f aca="false">IF(AND(Projects!$G$25="Yes",BR$3&gt;=Projects!$C$25,BR$3&lt;Projects!$C$25+Projects!$D$25),Projects!$B$25*INDEX(Curves!$B$4:$AR$4,1,BR$3-Projects!$C$25+1),0)-IF(AND(Projects!$G$25="Yes",BR$3&gt;=Projects!$C$25,BR$3&lt;Projects!$C$25+Projects!$D$25),Projects!$B$25*(Assumptions!$B$10+Assumptions!$B$11+Assumptions!$B$12)/Projects!$D$25*0.95,0)-IF(AND(Projects!$G$25="Yes",BR$3=Projects!$C$25+Projects!$D$25-1),Projects!$B$25*(Assumptions!$B$10+Assumptions!$B$11+Assumptions!$B$12)*0.05,0)</f>
        <v>0</v>
      </c>
      <c r="BS34" s="19" t="n">
        <f aca="false">IF(AND(Projects!$G$25="Yes",BS$3&gt;=Projects!$C$25,BS$3&lt;Projects!$C$25+Projects!$D$25),Projects!$B$25*INDEX(Curves!$B$4:$AR$4,1,BS$3-Projects!$C$25+1),0)-IF(AND(Projects!$G$25="Yes",BS$3&gt;=Projects!$C$25,BS$3&lt;Projects!$C$25+Projects!$D$25),Projects!$B$25*(Assumptions!$B$10+Assumptions!$B$11+Assumptions!$B$12)/Projects!$D$25*0.95,0)-IF(AND(Projects!$G$25="Yes",BS$3=Projects!$C$25+Projects!$D$25-1),Projects!$B$25*(Assumptions!$B$10+Assumptions!$B$11+Assumptions!$B$12)*0.05,0)</f>
        <v>0</v>
      </c>
      <c r="BT34" s="19" t="n">
        <f aca="false">IF(AND(Projects!$G$25="Yes",BT$3&gt;=Projects!$C$25,BT$3&lt;Projects!$C$25+Projects!$D$25),Projects!$B$25*INDEX(Curves!$B$4:$AR$4,1,BT$3-Projects!$C$25+1),0)-IF(AND(Projects!$G$25="Yes",BT$3&gt;=Projects!$C$25,BT$3&lt;Projects!$C$25+Projects!$D$25),Projects!$B$25*(Assumptions!$B$10+Assumptions!$B$11+Assumptions!$B$12)/Projects!$D$25*0.95,0)-IF(AND(Projects!$G$25="Yes",BT$3=Projects!$C$25+Projects!$D$25-1),Projects!$B$25*(Assumptions!$B$10+Assumptions!$B$11+Assumptions!$B$12)*0.05,0)</f>
        <v>0</v>
      </c>
      <c r="BU34" s="19" t="n">
        <f aca="false">IF(AND(Projects!$G$25="Yes",BU$3&gt;=Projects!$C$25,BU$3&lt;Projects!$C$25+Projects!$D$25),Projects!$B$25*INDEX(Curves!$B$4:$AR$4,1,BU$3-Projects!$C$25+1),0)-IF(AND(Projects!$G$25="Yes",BU$3&gt;=Projects!$C$25,BU$3&lt;Projects!$C$25+Projects!$D$25),Projects!$B$25*(Assumptions!$B$10+Assumptions!$B$11+Assumptions!$B$12)/Projects!$D$25*0.95,0)-IF(AND(Projects!$G$25="Yes",BU$3=Projects!$C$25+Projects!$D$25-1),Projects!$B$25*(Assumptions!$B$10+Assumptions!$B$11+Assumptions!$B$12)*0.05,0)</f>
        <v>0</v>
      </c>
      <c r="BV34" s="19" t="n">
        <f aca="false">IF(AND(Projects!$G$25="Yes",BV$3&gt;=Projects!$C$25,BV$3&lt;Projects!$C$25+Projects!$D$25),Projects!$B$25*INDEX(Curves!$B$4:$AR$4,1,BV$3-Projects!$C$25+1),0)-IF(AND(Projects!$G$25="Yes",BV$3&gt;=Projects!$C$25,BV$3&lt;Projects!$C$25+Projects!$D$25),Projects!$B$25*(Assumptions!$B$10+Assumptions!$B$11+Assumptions!$B$12)/Projects!$D$25*0.95,0)-IF(AND(Projects!$G$25="Yes",BV$3=Projects!$C$25+Projects!$D$25-1),Projects!$B$25*(Assumptions!$B$10+Assumptions!$B$11+Assumptions!$B$12)*0.05,0)</f>
        <v>0</v>
      </c>
      <c r="BW34" s="19" t="n">
        <f aca="false">IF(AND(Projects!$G$25="Yes",BW$3&gt;=Projects!$C$25,BW$3&lt;Projects!$C$25+Projects!$D$25),Projects!$B$25*INDEX(Curves!$B$4:$AR$4,1,BW$3-Projects!$C$25+1),0)-IF(AND(Projects!$G$25="Yes",BW$3&gt;=Projects!$C$25,BW$3&lt;Projects!$C$25+Projects!$D$25),Projects!$B$25*(Assumptions!$B$10+Assumptions!$B$11+Assumptions!$B$12)/Projects!$D$25*0.95,0)-IF(AND(Projects!$G$25="Yes",BW$3=Projects!$C$25+Projects!$D$25-1),Projects!$B$25*(Assumptions!$B$10+Assumptions!$B$11+Assumptions!$B$12)*0.05,0)</f>
        <v>0</v>
      </c>
      <c r="BX34" s="19" t="n">
        <f aca="false">IF(AND(Projects!$G$25="Yes",BX$3&gt;=Projects!$C$25,BX$3&lt;Projects!$C$25+Projects!$D$25),Projects!$B$25*INDEX(Curves!$B$4:$AR$4,1,BX$3-Projects!$C$25+1),0)-IF(AND(Projects!$G$25="Yes",BX$3&gt;=Projects!$C$25,BX$3&lt;Projects!$C$25+Projects!$D$25),Projects!$B$25*(Assumptions!$B$10+Assumptions!$B$11+Assumptions!$B$12)/Projects!$D$25*0.95,0)-IF(AND(Projects!$G$25="Yes",BX$3=Projects!$C$25+Projects!$D$25-1),Projects!$B$25*(Assumptions!$B$10+Assumptions!$B$11+Assumptions!$B$12)*0.05,0)</f>
        <v>0</v>
      </c>
      <c r="BY34" s="19" t="n">
        <f aca="false">IF(AND(Projects!$G$25="Yes",BY$3&gt;=Projects!$C$25,BY$3&lt;Projects!$C$25+Projects!$D$25),Projects!$B$25*INDEX(Curves!$B$4:$AR$4,1,BY$3-Projects!$C$25+1),0)-IF(AND(Projects!$G$25="Yes",BY$3&gt;=Projects!$C$25,BY$3&lt;Projects!$C$25+Projects!$D$25),Projects!$B$25*(Assumptions!$B$10+Assumptions!$B$11+Assumptions!$B$12)/Projects!$D$25*0.95,0)-IF(AND(Projects!$G$25="Yes",BY$3=Projects!$C$25+Projects!$D$25-1),Projects!$B$25*(Assumptions!$B$10+Assumptions!$B$11+Assumptions!$B$12)*0.05,0)</f>
        <v>0</v>
      </c>
      <c r="BZ34" s="19" t="n">
        <f aca="false">IF(AND(Projects!$G$25="Yes",BZ$3&gt;=Projects!$C$25,BZ$3&lt;Projects!$C$25+Projects!$D$25),Projects!$B$25*INDEX(Curves!$B$4:$AR$4,1,BZ$3-Projects!$C$25+1),0)-IF(AND(Projects!$G$25="Yes",BZ$3&gt;=Projects!$C$25,BZ$3&lt;Projects!$C$25+Projects!$D$25),Projects!$B$25*(Assumptions!$B$10+Assumptions!$B$11+Assumptions!$B$12)/Projects!$D$25*0.95,0)-IF(AND(Projects!$G$25="Yes",BZ$3=Projects!$C$25+Projects!$D$25-1),Projects!$B$25*(Assumptions!$B$10+Assumptions!$B$11+Assumptions!$B$12)*0.05,0)</f>
        <v>0</v>
      </c>
      <c r="CA34" s="19" t="n">
        <f aca="false">IF(AND(Projects!$G$25="Yes",CA$3&gt;=Projects!$C$25,CA$3&lt;Projects!$C$25+Projects!$D$25),Projects!$B$25*INDEX(Curves!$B$4:$AR$4,1,CA$3-Projects!$C$25+1),0)-IF(AND(Projects!$G$25="Yes",CA$3&gt;=Projects!$C$25,CA$3&lt;Projects!$C$25+Projects!$D$25),Projects!$B$25*(Assumptions!$B$10+Assumptions!$B$11+Assumptions!$B$12)/Projects!$D$25*0.95,0)-IF(AND(Projects!$G$25="Yes",CA$3=Projects!$C$25+Projects!$D$25-1),Projects!$B$25*(Assumptions!$B$10+Assumptions!$B$11+Assumptions!$B$12)*0.05,0)</f>
        <v>0</v>
      </c>
      <c r="CB34" s="19" t="n">
        <f aca="false">IF(AND(Projects!$G$25="Yes",CB$3&gt;=Projects!$C$25,CB$3&lt;Projects!$C$25+Projects!$D$25),Projects!$B$25*INDEX(Curves!$B$4:$AR$4,1,CB$3-Projects!$C$25+1),0)-IF(AND(Projects!$G$25="Yes",CB$3&gt;=Projects!$C$25,CB$3&lt;Projects!$C$25+Projects!$D$25),Projects!$B$25*(Assumptions!$B$10+Assumptions!$B$11+Assumptions!$B$12)/Projects!$D$25*0.95,0)-IF(AND(Projects!$G$25="Yes",CB$3=Projects!$C$25+Projects!$D$25-1),Projects!$B$25*(Assumptions!$B$10+Assumptions!$B$11+Assumptions!$B$12)*0.05,0)</f>
        <v>0</v>
      </c>
      <c r="CC34" s="19" t="n">
        <f aca="false">IF(AND(Projects!$G$25="Yes",CC$3&gt;=Projects!$C$25,CC$3&lt;Projects!$C$25+Projects!$D$25),Projects!$B$25*INDEX(Curves!$B$4:$AR$4,1,CC$3-Projects!$C$25+1),0)-IF(AND(Projects!$G$25="Yes",CC$3&gt;=Projects!$C$25,CC$3&lt;Projects!$C$25+Projects!$D$25),Projects!$B$25*(Assumptions!$B$10+Assumptions!$B$11+Assumptions!$B$12)/Projects!$D$25*0.95,0)-IF(AND(Projects!$G$25="Yes",CC$3=Projects!$C$25+Projects!$D$25-1),Projects!$B$25*(Assumptions!$B$10+Assumptions!$B$11+Assumptions!$B$12)*0.05,0)</f>
        <v>0</v>
      </c>
      <c r="CD34" s="19" t="n">
        <f aca="false">IF(AND(Projects!$G$25="Yes",CD$3&gt;=Projects!$C$25,CD$3&lt;Projects!$C$25+Projects!$D$25),Projects!$B$25*INDEX(Curves!$B$4:$AR$4,1,CD$3-Projects!$C$25+1),0)-IF(AND(Projects!$G$25="Yes",CD$3&gt;=Projects!$C$25,CD$3&lt;Projects!$C$25+Projects!$D$25),Projects!$B$25*(Assumptions!$B$10+Assumptions!$B$11+Assumptions!$B$12)/Projects!$D$25*0.95,0)-IF(AND(Projects!$G$25="Yes",CD$3=Projects!$C$25+Projects!$D$25-1),Projects!$B$25*(Assumptions!$B$10+Assumptions!$B$11+Assumptions!$B$12)*0.05,0)</f>
        <v>0</v>
      </c>
      <c r="CE34" s="19" t="n">
        <f aca="false">IF(AND(Projects!$G$25="Yes",CE$3&gt;=Projects!$C$25,CE$3&lt;Projects!$C$25+Projects!$D$25),Projects!$B$25*INDEX(Curves!$B$4:$AR$4,1,CE$3-Projects!$C$25+1),0)-IF(AND(Projects!$G$25="Yes",CE$3&gt;=Projects!$C$25,CE$3&lt;Projects!$C$25+Projects!$D$25),Projects!$B$25*(Assumptions!$B$10+Assumptions!$B$11+Assumptions!$B$12)/Projects!$D$25*0.95,0)-IF(AND(Projects!$G$25="Yes",CE$3=Projects!$C$25+Projects!$D$25-1),Projects!$B$25*(Assumptions!$B$10+Assumptions!$B$11+Assumptions!$B$12)*0.05,0)</f>
        <v>0</v>
      </c>
      <c r="CF34" s="19" t="n">
        <f aca="false">IF(AND(Projects!$G$25="Yes",CF$3&gt;=Projects!$C$25,CF$3&lt;Projects!$C$25+Projects!$D$25),Projects!$B$25*INDEX(Curves!$B$4:$AR$4,1,CF$3-Projects!$C$25+1),0)-IF(AND(Projects!$G$25="Yes",CF$3&gt;=Projects!$C$25,CF$3&lt;Projects!$C$25+Projects!$D$25),Projects!$B$25*(Assumptions!$B$10+Assumptions!$B$11+Assumptions!$B$12)/Projects!$D$25*0.95,0)-IF(AND(Projects!$G$25="Yes",CF$3=Projects!$C$25+Projects!$D$25-1),Projects!$B$25*(Assumptions!$B$10+Assumptions!$B$11+Assumptions!$B$12)*0.05,0)</f>
        <v>0</v>
      </c>
      <c r="CG34" s="19" t="n">
        <f aca="false">IF(AND(Projects!$G$25="Yes",CG$3&gt;=Projects!$C$25,CG$3&lt;Projects!$C$25+Projects!$D$25),Projects!$B$25*INDEX(Curves!$B$4:$AR$4,1,CG$3-Projects!$C$25+1),0)-IF(AND(Projects!$G$25="Yes",CG$3&gt;=Projects!$C$25,CG$3&lt;Projects!$C$25+Projects!$D$25),Projects!$B$25*(Assumptions!$B$10+Assumptions!$B$11+Assumptions!$B$12)/Projects!$D$25*0.95,0)-IF(AND(Projects!$G$25="Yes",CG$3=Projects!$C$25+Projects!$D$25-1),Projects!$B$25*(Assumptions!$B$10+Assumptions!$B$11+Assumptions!$B$12)*0.05,0)</f>
        <v>0</v>
      </c>
      <c r="CH34" s="19" t="n">
        <f aca="false">IF(AND(Projects!$G$25="Yes",CH$3&gt;=Projects!$C$25,CH$3&lt;Projects!$C$25+Projects!$D$25),Projects!$B$25*INDEX(Curves!$B$4:$AR$4,1,CH$3-Projects!$C$25+1),0)-IF(AND(Projects!$G$25="Yes",CH$3&gt;=Projects!$C$25,CH$3&lt;Projects!$C$25+Projects!$D$25),Projects!$B$25*(Assumptions!$B$10+Assumptions!$B$11+Assumptions!$B$12)/Projects!$D$25*0.95,0)-IF(AND(Projects!$G$25="Yes",CH$3=Projects!$C$25+Projects!$D$25-1),Projects!$B$25*(Assumptions!$B$10+Assumptions!$B$11+Assumptions!$B$12)*0.05,0)</f>
        <v>0</v>
      </c>
      <c r="CI34" s="19" t="n">
        <f aca="false">IF(AND(Projects!$G$25="Yes",CI$3&gt;=Projects!$C$25,CI$3&lt;Projects!$C$25+Projects!$D$25),Projects!$B$25*INDEX(Curves!$B$4:$AR$4,1,CI$3-Projects!$C$25+1),0)-IF(AND(Projects!$G$25="Yes",CI$3&gt;=Projects!$C$25,CI$3&lt;Projects!$C$25+Projects!$D$25),Projects!$B$25*(Assumptions!$B$10+Assumptions!$B$11+Assumptions!$B$12)/Projects!$D$25*0.95,0)-IF(AND(Projects!$G$25="Yes",CI$3=Projects!$C$25+Projects!$D$25-1),Projects!$B$25*(Assumptions!$B$10+Assumptions!$B$11+Assumptions!$B$12)*0.05,0)</f>
        <v>0</v>
      </c>
      <c r="CJ34" s="19" t="n">
        <f aca="false">IF(AND(Projects!$G$25="Yes",CJ$3&gt;=Projects!$C$25,CJ$3&lt;Projects!$C$25+Projects!$D$25),Projects!$B$25*INDEX(Curves!$B$4:$AR$4,1,CJ$3-Projects!$C$25+1),0)-IF(AND(Projects!$G$25="Yes",CJ$3&gt;=Projects!$C$25,CJ$3&lt;Projects!$C$25+Projects!$D$25),Projects!$B$25*(Assumptions!$B$10+Assumptions!$B$11+Assumptions!$B$12)/Projects!$D$25*0.95,0)-IF(AND(Projects!$G$25="Yes",CJ$3=Projects!$C$25+Projects!$D$25-1),Projects!$B$25*(Assumptions!$B$10+Assumptions!$B$11+Assumptions!$B$12)*0.05,0)</f>
        <v>0</v>
      </c>
      <c r="CK34" s="19" t="n">
        <f aca="false">IF(AND(Projects!$G$25="Yes",CK$3&gt;=Projects!$C$25,CK$3&lt;Projects!$C$25+Projects!$D$25),Projects!$B$25*INDEX(Curves!$B$4:$AR$4,1,CK$3-Projects!$C$25+1),0)-IF(AND(Projects!$G$25="Yes",CK$3&gt;=Projects!$C$25,CK$3&lt;Projects!$C$25+Projects!$D$25),Projects!$B$25*(Assumptions!$B$10+Assumptions!$B$11+Assumptions!$B$12)/Projects!$D$25*0.95,0)-IF(AND(Projects!$G$25="Yes",CK$3=Projects!$C$25+Projects!$D$25-1),Projects!$B$25*(Assumptions!$B$10+Assumptions!$B$11+Assumptions!$B$12)*0.05,0)</f>
        <v>0</v>
      </c>
      <c r="CL34" s="19" t="n">
        <f aca="false">IF(AND(Projects!$G$25="Yes",CL$3&gt;=Projects!$C$25,CL$3&lt;Projects!$C$25+Projects!$D$25),Projects!$B$25*INDEX(Curves!$B$4:$AR$4,1,CL$3-Projects!$C$25+1),0)-IF(AND(Projects!$G$25="Yes",CL$3&gt;=Projects!$C$25,CL$3&lt;Projects!$C$25+Projects!$D$25),Projects!$B$25*(Assumptions!$B$10+Assumptions!$B$11+Assumptions!$B$12)/Projects!$D$25*0.95,0)-IF(AND(Projects!$G$25="Yes",CL$3=Projects!$C$25+Projects!$D$25-1),Projects!$B$25*(Assumptions!$B$10+Assumptions!$B$11+Assumptions!$B$12)*0.05,0)</f>
        <v>0</v>
      </c>
      <c r="CM34" s="19" t="n">
        <f aca="false">IF(AND(Projects!$G$25="Yes",CM$3&gt;=Projects!$C$25,CM$3&lt;Projects!$C$25+Projects!$D$25),Projects!$B$25*INDEX(Curves!$B$4:$AR$4,1,CM$3-Projects!$C$25+1),0)-IF(AND(Projects!$G$25="Yes",CM$3&gt;=Projects!$C$25,CM$3&lt;Projects!$C$25+Projects!$D$25),Projects!$B$25*(Assumptions!$B$10+Assumptions!$B$11+Assumptions!$B$12)/Projects!$D$25*0.95,0)-IF(AND(Projects!$G$25="Yes",CM$3=Projects!$C$25+Projects!$D$25-1),Projects!$B$25*(Assumptions!$B$10+Assumptions!$B$11+Assumptions!$B$12)*0.05,0)</f>
        <v>0</v>
      </c>
      <c r="CN34" s="19" t="n">
        <f aca="false">IF(AND(Projects!$G$25="Yes",CN$3&gt;=Projects!$C$25,CN$3&lt;Projects!$C$25+Projects!$D$25),Projects!$B$25*INDEX(Curves!$B$4:$AR$4,1,CN$3-Projects!$C$25+1),0)-IF(AND(Projects!$G$25="Yes",CN$3&gt;=Projects!$C$25,CN$3&lt;Projects!$C$25+Projects!$D$25),Projects!$B$25*(Assumptions!$B$10+Assumptions!$B$11+Assumptions!$B$12)/Projects!$D$25*0.95,0)-IF(AND(Projects!$G$25="Yes",CN$3=Projects!$C$25+Projects!$D$25-1),Projects!$B$25*(Assumptions!$B$10+Assumptions!$B$11+Assumptions!$B$12)*0.05,0)</f>
        <v>0</v>
      </c>
      <c r="CO34" s="19" t="n">
        <f aca="false">IF(AND(Projects!$G$25="Yes",CO$3&gt;=Projects!$C$25,CO$3&lt;Projects!$C$25+Projects!$D$25),Projects!$B$25*INDEX(Curves!$B$4:$AR$4,1,CO$3-Projects!$C$25+1),0)-IF(AND(Projects!$G$25="Yes",CO$3&gt;=Projects!$C$25,CO$3&lt;Projects!$C$25+Projects!$D$25),Projects!$B$25*(Assumptions!$B$10+Assumptions!$B$11+Assumptions!$B$12)/Projects!$D$25*0.95,0)-IF(AND(Projects!$G$25="Yes",CO$3=Projects!$C$25+Projects!$D$25-1),Projects!$B$25*(Assumptions!$B$10+Assumptions!$B$11+Assumptions!$B$12)*0.05,0)</f>
        <v>0</v>
      </c>
      <c r="CP34" s="19" t="n">
        <f aca="false">IF(AND(Projects!$G$25="Yes",CP$3&gt;=Projects!$C$25,CP$3&lt;Projects!$C$25+Projects!$D$25),Projects!$B$25*INDEX(Curves!$B$4:$AR$4,1,CP$3-Projects!$C$25+1),0)-IF(AND(Projects!$G$25="Yes",CP$3&gt;=Projects!$C$25,CP$3&lt;Projects!$C$25+Projects!$D$25),Projects!$B$25*(Assumptions!$B$10+Assumptions!$B$11+Assumptions!$B$12)/Projects!$D$25*0.95,0)-IF(AND(Projects!$G$25="Yes",CP$3=Projects!$C$25+Projects!$D$25-1),Projects!$B$25*(Assumptions!$B$10+Assumptions!$B$11+Assumptions!$B$12)*0.05,0)</f>
        <v>0</v>
      </c>
      <c r="CQ34" s="19" t="n">
        <f aca="false">IF(AND(Projects!$G$25="Yes",CQ$3&gt;=Projects!$C$25,CQ$3&lt;Projects!$C$25+Projects!$D$25),Projects!$B$25*INDEX(Curves!$B$4:$AR$4,1,CQ$3-Projects!$C$25+1),0)-IF(AND(Projects!$G$25="Yes",CQ$3&gt;=Projects!$C$25,CQ$3&lt;Projects!$C$25+Projects!$D$25),Projects!$B$25*(Assumptions!$B$10+Assumptions!$B$11+Assumptions!$B$12)/Projects!$D$25*0.95,0)-IF(AND(Projects!$G$25="Yes",CQ$3=Projects!$C$25+Projects!$D$25-1),Projects!$B$25*(Assumptions!$B$10+Assumptions!$B$11+Assumptions!$B$12)*0.05,0)</f>
        <v>0</v>
      </c>
      <c r="CR34" s="19" t="n">
        <f aca="false">IF(AND(Projects!$G$25="Yes",CR$3&gt;=Projects!$C$25,CR$3&lt;Projects!$C$25+Projects!$D$25),Projects!$B$25*INDEX(Curves!$B$4:$AR$4,1,CR$3-Projects!$C$25+1),0)-IF(AND(Projects!$G$25="Yes",CR$3&gt;=Projects!$C$25,CR$3&lt;Projects!$C$25+Projects!$D$25),Projects!$B$25*(Assumptions!$B$10+Assumptions!$B$11+Assumptions!$B$12)/Projects!$D$25*0.95,0)-IF(AND(Projects!$G$25="Yes",CR$3=Projects!$C$25+Projects!$D$25-1),Projects!$B$25*(Assumptions!$B$10+Assumptions!$B$11+Assumptions!$B$12)*0.05,0)</f>
        <v>0</v>
      </c>
      <c r="CS34" s="19" t="n">
        <f aca="false">IF(AND(Projects!$G$25="Yes",CS$3&gt;=Projects!$C$25,CS$3&lt;Projects!$C$25+Projects!$D$25),Projects!$B$25*INDEX(Curves!$B$4:$AR$4,1,CS$3-Projects!$C$25+1),0)-IF(AND(Projects!$G$25="Yes",CS$3&gt;=Projects!$C$25,CS$3&lt;Projects!$C$25+Projects!$D$25),Projects!$B$25*(Assumptions!$B$10+Assumptions!$B$11+Assumptions!$B$12)/Projects!$D$25*0.95,0)-IF(AND(Projects!$G$25="Yes",CS$3=Projects!$C$25+Projects!$D$25-1),Projects!$B$25*(Assumptions!$B$10+Assumptions!$B$11+Assumptions!$B$12)*0.05,0)</f>
        <v>0</v>
      </c>
      <c r="CT34" s="19" t="n">
        <f aca="false">IF(AND(Projects!$G$25="Yes",CT$3&gt;=Projects!$C$25,CT$3&lt;Projects!$C$25+Projects!$D$25),Projects!$B$25*INDEX(Curves!$B$4:$AR$4,1,CT$3-Projects!$C$25+1),0)-IF(AND(Projects!$G$25="Yes",CT$3&gt;=Projects!$C$25,CT$3&lt;Projects!$C$25+Projects!$D$25),Projects!$B$25*(Assumptions!$B$10+Assumptions!$B$11+Assumptions!$B$12)/Projects!$D$25*0.95,0)-IF(AND(Projects!$G$25="Yes",CT$3=Projects!$C$25+Projects!$D$25-1),Projects!$B$25*(Assumptions!$B$10+Assumptions!$B$11+Assumptions!$B$12)*0.05,0)</f>
        <v>0</v>
      </c>
      <c r="CU34" s="19" t="n">
        <f aca="false">IF(AND(Projects!$G$25="Yes",CU$3&gt;=Projects!$C$25,CU$3&lt;Projects!$C$25+Projects!$D$25),Projects!$B$25*INDEX(Curves!$B$4:$AR$4,1,CU$3-Projects!$C$25+1),0)-IF(AND(Projects!$G$25="Yes",CU$3&gt;=Projects!$C$25,CU$3&lt;Projects!$C$25+Projects!$D$25),Projects!$B$25*(Assumptions!$B$10+Assumptions!$B$11+Assumptions!$B$12)/Projects!$D$25*0.95,0)-IF(AND(Projects!$G$25="Yes",CU$3=Projects!$C$25+Projects!$D$25-1),Projects!$B$25*(Assumptions!$B$10+Assumptions!$B$11+Assumptions!$B$12)*0.05,0)</f>
        <v>0</v>
      </c>
      <c r="CV34" s="19" t="n">
        <f aca="false">IF(AND(Projects!$G$25="Yes",CV$3&gt;=Projects!$C$25,CV$3&lt;Projects!$C$25+Projects!$D$25),Projects!$B$25*INDEX(Curves!$B$4:$AR$4,1,CV$3-Projects!$C$25+1),0)-IF(AND(Projects!$G$25="Yes",CV$3&gt;=Projects!$C$25,CV$3&lt;Projects!$C$25+Projects!$D$25),Projects!$B$25*(Assumptions!$B$10+Assumptions!$B$11+Assumptions!$B$12)/Projects!$D$25*0.95,0)-IF(AND(Projects!$G$25="Yes",CV$3=Projects!$C$25+Projects!$D$25-1),Projects!$B$25*(Assumptions!$B$10+Assumptions!$B$11+Assumptions!$B$12)*0.05,0)</f>
        <v>0</v>
      </c>
      <c r="CW34" s="19" t="n">
        <f aca="false">IF(AND(Projects!$G$25="Yes",CW$3&gt;=Projects!$C$25,CW$3&lt;Projects!$C$25+Projects!$D$25),Projects!$B$25*INDEX(Curves!$B$4:$AR$4,1,CW$3-Projects!$C$25+1),0)-IF(AND(Projects!$G$25="Yes",CW$3&gt;=Projects!$C$25,CW$3&lt;Projects!$C$25+Projects!$D$25),Projects!$B$25*(Assumptions!$B$10+Assumptions!$B$11+Assumptions!$B$12)/Projects!$D$25*0.95,0)-IF(AND(Projects!$G$25="Yes",CW$3=Projects!$C$25+Projects!$D$25-1),Projects!$B$25*(Assumptions!$B$10+Assumptions!$B$11+Assumptions!$B$12)*0.05,0)</f>
        <v>0</v>
      </c>
      <c r="CX34" s="19" t="n">
        <f aca="false">IF(AND(Projects!$G$25="Yes",CX$3&gt;=Projects!$C$25,CX$3&lt;Projects!$C$25+Projects!$D$25),Projects!$B$25*INDEX(Curves!$B$4:$AR$4,1,CX$3-Projects!$C$25+1),0)-IF(AND(Projects!$G$25="Yes",CX$3&gt;=Projects!$C$25,CX$3&lt;Projects!$C$25+Projects!$D$25),Projects!$B$25*(Assumptions!$B$10+Assumptions!$B$11+Assumptions!$B$12)/Projects!$D$25*0.95,0)-IF(AND(Projects!$G$25="Yes",CX$3=Projects!$C$25+Projects!$D$25-1),Projects!$B$25*(Assumptions!$B$10+Assumptions!$B$11+Assumptions!$B$12)*0.05,0)</f>
        <v>0</v>
      </c>
      <c r="CY34" s="19" t="n">
        <f aca="false">IF(AND(Projects!$G$25="Yes",CY$3&gt;=Projects!$C$25,CY$3&lt;Projects!$C$25+Projects!$D$25),Projects!$B$25*INDEX(Curves!$B$4:$AR$4,1,CY$3-Projects!$C$25+1),0)-IF(AND(Projects!$G$25="Yes",CY$3&gt;=Projects!$C$25,CY$3&lt;Projects!$C$25+Projects!$D$25),Projects!$B$25*(Assumptions!$B$10+Assumptions!$B$11+Assumptions!$B$12)/Projects!$D$25*0.95,0)-IF(AND(Projects!$G$25="Yes",CY$3=Projects!$C$25+Projects!$D$25-1),Projects!$B$25*(Assumptions!$B$10+Assumptions!$B$11+Assumptions!$B$12)*0.05,0)</f>
        <v>0</v>
      </c>
      <c r="CZ34" s="19" t="n">
        <f aca="false">IF(AND(Projects!$G$25="Yes",CZ$3&gt;=Projects!$C$25,CZ$3&lt;Projects!$C$25+Projects!$D$25),Projects!$B$25*INDEX(Curves!$B$4:$AR$4,1,CZ$3-Projects!$C$25+1),0)-IF(AND(Projects!$G$25="Yes",CZ$3&gt;=Projects!$C$25,CZ$3&lt;Projects!$C$25+Projects!$D$25),Projects!$B$25*(Assumptions!$B$10+Assumptions!$B$11+Assumptions!$B$12)/Projects!$D$25*0.95,0)-IF(AND(Projects!$G$25="Yes",CZ$3=Projects!$C$25+Projects!$D$25-1),Projects!$B$25*(Assumptions!$B$10+Assumptions!$B$11+Assumptions!$B$12)*0.05,0)</f>
        <v>0</v>
      </c>
      <c r="DA34" s="19" t="n">
        <f aca="false">IF(AND(Projects!$G$25="Yes",DA$3&gt;=Projects!$C$25,DA$3&lt;Projects!$C$25+Projects!$D$25),Projects!$B$25*INDEX(Curves!$B$4:$AR$4,1,DA$3-Projects!$C$25+1),0)-IF(AND(Projects!$G$25="Yes",DA$3&gt;=Projects!$C$25,DA$3&lt;Projects!$C$25+Projects!$D$25),Projects!$B$25*(Assumptions!$B$10+Assumptions!$B$11+Assumptions!$B$12)/Projects!$D$25*0.95,0)-IF(AND(Projects!$G$25="Yes",DA$3=Projects!$C$25+Projects!$D$25-1),Projects!$B$25*(Assumptions!$B$10+Assumptions!$B$11+Assumptions!$B$12)*0.05,0)</f>
        <v>0</v>
      </c>
      <c r="DB34" s="19" t="n">
        <f aca="false">IF(AND(Projects!$G$25="Yes",DB$3&gt;=Projects!$C$25,DB$3&lt;Projects!$C$25+Projects!$D$25),Projects!$B$25*INDEX(Curves!$B$4:$AR$4,1,DB$3-Projects!$C$25+1),0)-IF(AND(Projects!$G$25="Yes",DB$3&gt;=Projects!$C$25,DB$3&lt;Projects!$C$25+Projects!$D$25),Projects!$B$25*(Assumptions!$B$10+Assumptions!$B$11+Assumptions!$B$12)/Projects!$D$25*0.95,0)-IF(AND(Projects!$G$25="Yes",DB$3=Projects!$C$25+Projects!$D$25-1),Projects!$B$25*(Assumptions!$B$10+Assumptions!$B$11+Assumptions!$B$12)*0.05,0)</f>
        <v>0</v>
      </c>
      <c r="DC34" s="19" t="n">
        <f aca="false">IF(AND(Projects!$G$25="Yes",DC$3&gt;=Projects!$C$25,DC$3&lt;Projects!$C$25+Projects!$D$25),Projects!$B$25*INDEX(Curves!$B$4:$AR$4,1,DC$3-Projects!$C$25+1),0)-IF(AND(Projects!$G$25="Yes",DC$3&gt;=Projects!$C$25,DC$3&lt;Projects!$C$25+Projects!$D$25),Projects!$B$25*(Assumptions!$B$10+Assumptions!$B$11+Assumptions!$B$12)/Projects!$D$25*0.95,0)-IF(AND(Projects!$G$25="Yes",DC$3=Projects!$C$25+Projects!$D$25-1),Projects!$B$25*(Assumptions!$B$10+Assumptions!$B$11+Assumptions!$B$12)*0.05,0)</f>
        <v>0</v>
      </c>
      <c r="DD34" s="19" t="n">
        <f aca="false">IF(AND(Projects!$G$25="Yes",DD$3&gt;=Projects!$C$25,DD$3&lt;Projects!$C$25+Projects!$D$25),Projects!$B$25*INDEX(Curves!$B$4:$AR$4,1,DD$3-Projects!$C$25+1),0)-IF(AND(Projects!$G$25="Yes",DD$3&gt;=Projects!$C$25,DD$3&lt;Projects!$C$25+Projects!$D$25),Projects!$B$25*(Assumptions!$B$10+Assumptions!$B$11+Assumptions!$B$12)/Projects!$D$25*0.95,0)-IF(AND(Projects!$G$25="Yes",DD$3=Projects!$C$25+Projects!$D$25-1),Projects!$B$25*(Assumptions!$B$10+Assumptions!$B$11+Assumptions!$B$12)*0.05,0)</f>
        <v>0</v>
      </c>
      <c r="DE34" s="19" t="n">
        <f aca="false">IF(AND(Projects!$G$25="Yes",DE$3&gt;=Projects!$C$25,DE$3&lt;Projects!$C$25+Projects!$D$25),Projects!$B$25*INDEX(Curves!$B$4:$AR$4,1,DE$3-Projects!$C$25+1),0)-IF(AND(Projects!$G$25="Yes",DE$3&gt;=Projects!$C$25,DE$3&lt;Projects!$C$25+Projects!$D$25),Projects!$B$25*(Assumptions!$B$10+Assumptions!$B$11+Assumptions!$B$12)/Projects!$D$25*0.95,0)-IF(AND(Projects!$G$25="Yes",DE$3=Projects!$C$25+Projects!$D$25-1),Projects!$B$25*(Assumptions!$B$10+Assumptions!$B$11+Assumptions!$B$12)*0.05,0)</f>
        <v>0</v>
      </c>
    </row>
    <row r="35" customFormat="false" ht="15" hidden="true" customHeight="true" outlineLevel="1" collapsed="false">
      <c r="A35" s="28" t="s">
        <v>29</v>
      </c>
      <c r="B35" s="19" t="n">
        <v>0</v>
      </c>
      <c r="C35" s="19" t="n">
        <v>0</v>
      </c>
      <c r="D35" s="19" t="n">
        <v>0</v>
      </c>
      <c r="E35" s="19" t="n">
        <v>0</v>
      </c>
      <c r="F35" s="19" t="n">
        <f aca="false">IF(AND(Projects!$G$26="Yes",F$3&gt;=Projects!$C$26,F$3&lt;Projects!$C$26+Projects!$D$26),Projects!$B$26*INDEX(Curves!$B$4:$AR$4,1,F$3-Projects!$C$26+1),0)-IF(AND(Projects!$G$26="Yes",F$3&gt;=Projects!$C$26,F$3&lt;Projects!$C$26+Projects!$D$26),Projects!$B$26*(Assumptions!$B$10+Assumptions!$B$11+Assumptions!$B$12)/Projects!$D$26*0.95,0)-IF(AND(Projects!$G$26="Yes",F$3=Projects!$C$26+Projects!$D$26-1),Projects!$B$26*(Assumptions!$B$10+Assumptions!$B$11+Assumptions!$B$12)*0.05,0)</f>
        <v>0</v>
      </c>
      <c r="G35" s="19" t="n">
        <f aca="false">IF(AND(Projects!$G$26="Yes",G$3&gt;=Projects!$C$26,G$3&lt;Projects!$C$26+Projects!$D$26),Projects!$B$26*INDEX(Curves!$B$4:$AR$4,1,G$3-Projects!$C$26+1),0)-IF(AND(Projects!$G$26="Yes",G$3&gt;=Projects!$C$26,G$3&lt;Projects!$C$26+Projects!$D$26),Projects!$B$26*(Assumptions!$B$10+Assumptions!$B$11+Assumptions!$B$12)/Projects!$D$26*0.95,0)-IF(AND(Projects!$G$26="Yes",G$3=Projects!$C$26+Projects!$D$26-1),Projects!$B$26*(Assumptions!$B$10+Assumptions!$B$11+Assumptions!$B$12)*0.05,0)</f>
        <v>0</v>
      </c>
      <c r="H35" s="19" t="n">
        <f aca="false">IF(AND(Projects!$G$26="Yes",H$3&gt;=Projects!$C$26,H$3&lt;Projects!$C$26+Projects!$D$26),Projects!$B$26*INDEX(Curves!$B$4:$AR$4,1,H$3-Projects!$C$26+1),0)-IF(AND(Projects!$G$26="Yes",H$3&gt;=Projects!$C$26,H$3&lt;Projects!$C$26+Projects!$D$26),Projects!$B$26*(Assumptions!$B$10+Assumptions!$B$11+Assumptions!$B$12)/Projects!$D$26*0.95,0)-IF(AND(Projects!$G$26="Yes",H$3=Projects!$C$26+Projects!$D$26-1),Projects!$B$26*(Assumptions!$B$10+Assumptions!$B$11+Assumptions!$B$12)*0.05,0)</f>
        <v>0</v>
      </c>
      <c r="I35" s="19" t="n">
        <f aca="false">IF(AND(Projects!$G$26="Yes",I$3&gt;=Projects!$C$26,I$3&lt;Projects!$C$26+Projects!$D$26),Projects!$B$26*INDEX(Curves!$B$4:$AR$4,1,I$3-Projects!$C$26+1),0)-IF(AND(Projects!$G$26="Yes",I$3&gt;=Projects!$C$26,I$3&lt;Projects!$C$26+Projects!$D$26),Projects!$B$26*(Assumptions!$B$10+Assumptions!$B$11+Assumptions!$B$12)/Projects!$D$26*0.95,0)-IF(AND(Projects!$G$26="Yes",I$3=Projects!$C$26+Projects!$D$26-1),Projects!$B$26*(Assumptions!$B$10+Assumptions!$B$11+Assumptions!$B$12)*0.05,0)</f>
        <v>0</v>
      </c>
      <c r="J35" s="19" t="n">
        <f aca="false">IF(AND(Projects!$G$26="Yes",J$3&gt;=Projects!$C$26,J$3&lt;Projects!$C$26+Projects!$D$26),Projects!$B$26*INDEX(Curves!$B$4:$AR$4,1,J$3-Projects!$C$26+1),0)-IF(AND(Projects!$G$26="Yes",J$3&gt;=Projects!$C$26,J$3&lt;Projects!$C$26+Projects!$D$26),Projects!$B$26*(Assumptions!$B$10+Assumptions!$B$11+Assumptions!$B$12)/Projects!$D$26*0.95,0)-IF(AND(Projects!$G$26="Yes",J$3=Projects!$C$26+Projects!$D$26-1),Projects!$B$26*(Assumptions!$B$10+Assumptions!$B$11+Assumptions!$B$12)*0.05,0)</f>
        <v>0</v>
      </c>
      <c r="K35" s="19" t="n">
        <f aca="false">IF(AND(Projects!$G$26="Yes",K$3&gt;=Projects!$C$26,K$3&lt;Projects!$C$26+Projects!$D$26),Projects!$B$26*INDEX(Curves!$B$4:$AR$4,1,K$3-Projects!$C$26+1),0)-IF(AND(Projects!$G$26="Yes",K$3&gt;=Projects!$C$26,K$3&lt;Projects!$C$26+Projects!$D$26),Projects!$B$26*(Assumptions!$B$10+Assumptions!$B$11+Assumptions!$B$12)/Projects!$D$26*0.95,0)-IF(AND(Projects!$G$26="Yes",K$3=Projects!$C$26+Projects!$D$26-1),Projects!$B$26*(Assumptions!$B$10+Assumptions!$B$11+Assumptions!$B$12)*0.05,0)</f>
        <v>0</v>
      </c>
      <c r="L35" s="19" t="n">
        <f aca="false">IF(AND(Projects!$G$26="Yes",L$3&gt;=Projects!$C$26,L$3&lt;Projects!$C$26+Projects!$D$26),Projects!$B$26*INDEX(Curves!$B$4:$AR$4,1,L$3-Projects!$C$26+1),0)-IF(AND(Projects!$G$26="Yes",L$3&gt;=Projects!$C$26,L$3&lt;Projects!$C$26+Projects!$D$26),Projects!$B$26*(Assumptions!$B$10+Assumptions!$B$11+Assumptions!$B$12)/Projects!$D$26*0.95,0)-IF(AND(Projects!$G$26="Yes",L$3=Projects!$C$26+Projects!$D$26-1),Projects!$B$26*(Assumptions!$B$10+Assumptions!$B$11+Assumptions!$B$12)*0.05,0)</f>
        <v>0</v>
      </c>
      <c r="M35" s="19" t="n">
        <f aca="false">IF(AND(Projects!$G$26="Yes",M$3&gt;=Projects!$C$26,M$3&lt;Projects!$C$26+Projects!$D$26),Projects!$B$26*INDEX(Curves!$B$4:$AR$4,1,M$3-Projects!$C$26+1),0)-IF(AND(Projects!$G$26="Yes",M$3&gt;=Projects!$C$26,M$3&lt;Projects!$C$26+Projects!$D$26),Projects!$B$26*(Assumptions!$B$10+Assumptions!$B$11+Assumptions!$B$12)/Projects!$D$26*0.95,0)-IF(AND(Projects!$G$26="Yes",M$3=Projects!$C$26+Projects!$D$26-1),Projects!$B$26*(Assumptions!$B$10+Assumptions!$B$11+Assumptions!$B$12)*0.05,0)</f>
        <v>0</v>
      </c>
      <c r="N35" s="19" t="n">
        <f aca="false">IF(AND(Projects!$G$26="Yes",N$3&gt;=Projects!$C$26,N$3&lt;Projects!$C$26+Projects!$D$26),Projects!$B$26*INDEX(Curves!$B$4:$AR$4,1,N$3-Projects!$C$26+1),0)-IF(AND(Projects!$G$26="Yes",N$3&gt;=Projects!$C$26,N$3&lt;Projects!$C$26+Projects!$D$26),Projects!$B$26*(Assumptions!$B$10+Assumptions!$B$11+Assumptions!$B$12)/Projects!$D$26*0.95,0)-IF(AND(Projects!$G$26="Yes",N$3=Projects!$C$26+Projects!$D$26-1),Projects!$B$26*(Assumptions!$B$10+Assumptions!$B$11+Assumptions!$B$12)*0.05,0)</f>
        <v>0</v>
      </c>
      <c r="O35" s="19" t="n">
        <f aca="false">IF(AND(Projects!$G$26="Yes",O$3&gt;=Projects!$C$26,O$3&lt;Projects!$C$26+Projects!$D$26),Projects!$B$26*INDEX(Curves!$B$4:$AR$4,1,O$3-Projects!$C$26+1),0)-IF(AND(Projects!$G$26="Yes",O$3&gt;=Projects!$C$26,O$3&lt;Projects!$C$26+Projects!$D$26),Projects!$B$26*(Assumptions!$B$10+Assumptions!$B$11+Assumptions!$B$12)/Projects!$D$26*0.95,0)-IF(AND(Projects!$G$26="Yes",O$3=Projects!$C$26+Projects!$D$26-1),Projects!$B$26*(Assumptions!$B$10+Assumptions!$B$11+Assumptions!$B$12)*0.05,0)</f>
        <v>0</v>
      </c>
      <c r="P35" s="19" t="n">
        <f aca="false">IF(AND(Projects!$G$26="Yes",P$3&gt;=Projects!$C$26,P$3&lt;Projects!$C$26+Projects!$D$26),Projects!$B$26*INDEX(Curves!$B$4:$AR$4,1,P$3-Projects!$C$26+1),0)-IF(AND(Projects!$G$26="Yes",P$3&gt;=Projects!$C$26,P$3&lt;Projects!$C$26+Projects!$D$26),Projects!$B$26*(Assumptions!$B$10+Assumptions!$B$11+Assumptions!$B$12)/Projects!$D$26*0.95,0)-IF(AND(Projects!$G$26="Yes",P$3=Projects!$C$26+Projects!$D$26-1),Projects!$B$26*(Assumptions!$B$10+Assumptions!$B$11+Assumptions!$B$12)*0.05,0)</f>
        <v>0</v>
      </c>
      <c r="Q35" s="19" t="n">
        <f aca="false">IF(AND(Projects!$G$26="Yes",Q$3&gt;=Projects!$C$26,Q$3&lt;Projects!$C$26+Projects!$D$26),Projects!$B$26*INDEX(Curves!$B$4:$AR$4,1,Q$3-Projects!$C$26+1),0)-IF(AND(Projects!$G$26="Yes",Q$3&gt;=Projects!$C$26,Q$3&lt;Projects!$C$26+Projects!$D$26),Projects!$B$26*(Assumptions!$B$10+Assumptions!$B$11+Assumptions!$B$12)/Projects!$D$26*0.95,0)-IF(AND(Projects!$G$26="Yes",Q$3=Projects!$C$26+Projects!$D$26-1),Projects!$B$26*(Assumptions!$B$10+Assumptions!$B$11+Assumptions!$B$12)*0.05,0)</f>
        <v>0</v>
      </c>
      <c r="R35" s="19" t="n">
        <f aca="false">IF(AND(Projects!$G$26="Yes",R$3&gt;=Projects!$C$26,R$3&lt;Projects!$C$26+Projects!$D$26),Projects!$B$26*INDEX(Curves!$B$4:$AR$4,1,R$3-Projects!$C$26+1),0)-IF(AND(Projects!$G$26="Yes",R$3&gt;=Projects!$C$26,R$3&lt;Projects!$C$26+Projects!$D$26),Projects!$B$26*(Assumptions!$B$10+Assumptions!$B$11+Assumptions!$B$12)/Projects!$D$26*0.95,0)-IF(AND(Projects!$G$26="Yes",R$3=Projects!$C$26+Projects!$D$26-1),Projects!$B$26*(Assumptions!$B$10+Assumptions!$B$11+Assumptions!$B$12)*0.05,0)</f>
        <v>0</v>
      </c>
      <c r="S35" s="19" t="n">
        <f aca="false">IF(AND(Projects!$G$26="Yes",S$3&gt;=Projects!$C$26,S$3&lt;Projects!$C$26+Projects!$D$26),Projects!$B$26*INDEX(Curves!$B$4:$AR$4,1,S$3-Projects!$C$26+1),0)-IF(AND(Projects!$G$26="Yes",S$3&gt;=Projects!$C$26,S$3&lt;Projects!$C$26+Projects!$D$26),Projects!$B$26*(Assumptions!$B$10+Assumptions!$B$11+Assumptions!$B$12)/Projects!$D$26*0.95,0)-IF(AND(Projects!$G$26="Yes",S$3=Projects!$C$26+Projects!$D$26-1),Projects!$B$26*(Assumptions!$B$10+Assumptions!$B$11+Assumptions!$B$12)*0.05,0)</f>
        <v>0</v>
      </c>
      <c r="T35" s="19" t="n">
        <f aca="false">IF(AND(Projects!$G$26="Yes",T$3&gt;=Projects!$C$26,T$3&lt;Projects!$C$26+Projects!$D$26),Projects!$B$26*INDEX(Curves!$B$4:$AR$4,1,T$3-Projects!$C$26+1),0)-IF(AND(Projects!$G$26="Yes",T$3&gt;=Projects!$C$26,T$3&lt;Projects!$C$26+Projects!$D$26),Projects!$B$26*(Assumptions!$B$10+Assumptions!$B$11+Assumptions!$B$12)/Projects!$D$26*0.95,0)-IF(AND(Projects!$G$26="Yes",T$3=Projects!$C$26+Projects!$D$26-1),Projects!$B$26*(Assumptions!$B$10+Assumptions!$B$11+Assumptions!$B$12)*0.05,0)</f>
        <v>0</v>
      </c>
      <c r="U35" s="19" t="n">
        <f aca="false">IF(AND(Projects!$G$26="Yes",U$3&gt;=Projects!$C$26,U$3&lt;Projects!$C$26+Projects!$D$26),Projects!$B$26*INDEX(Curves!$B$4:$AR$4,1,U$3-Projects!$C$26+1),0)-IF(AND(Projects!$G$26="Yes",U$3&gt;=Projects!$C$26,U$3&lt;Projects!$C$26+Projects!$D$26),Projects!$B$26*(Assumptions!$B$10+Assumptions!$B$11+Assumptions!$B$12)/Projects!$D$26*0.95,0)-IF(AND(Projects!$G$26="Yes",U$3=Projects!$C$26+Projects!$D$26-1),Projects!$B$26*(Assumptions!$B$10+Assumptions!$B$11+Assumptions!$B$12)*0.05,0)</f>
        <v>0</v>
      </c>
      <c r="V35" s="19" t="n">
        <f aca="false">IF(AND(Projects!$G$26="Yes",V$3&gt;=Projects!$C$26,V$3&lt;Projects!$C$26+Projects!$D$26),Projects!$B$26*INDEX(Curves!$B$4:$AR$4,1,V$3-Projects!$C$26+1),0)-IF(AND(Projects!$G$26="Yes",V$3&gt;=Projects!$C$26,V$3&lt;Projects!$C$26+Projects!$D$26),Projects!$B$26*(Assumptions!$B$10+Assumptions!$B$11+Assumptions!$B$12)/Projects!$D$26*0.95,0)-IF(AND(Projects!$G$26="Yes",V$3=Projects!$C$26+Projects!$D$26-1),Projects!$B$26*(Assumptions!$B$10+Assumptions!$B$11+Assumptions!$B$12)*0.05,0)</f>
        <v>0</v>
      </c>
      <c r="W35" s="19" t="n">
        <f aca="false">IF(AND(Projects!$G$26="Yes",W$3&gt;=Projects!$C$26,W$3&lt;Projects!$C$26+Projects!$D$26),Projects!$B$26*INDEX(Curves!$B$4:$AR$4,1,W$3-Projects!$C$26+1),0)-IF(AND(Projects!$G$26="Yes",W$3&gt;=Projects!$C$26,W$3&lt;Projects!$C$26+Projects!$D$26),Projects!$B$26*(Assumptions!$B$10+Assumptions!$B$11+Assumptions!$B$12)/Projects!$D$26*0.95,0)-IF(AND(Projects!$G$26="Yes",W$3=Projects!$C$26+Projects!$D$26-1),Projects!$B$26*(Assumptions!$B$10+Assumptions!$B$11+Assumptions!$B$12)*0.05,0)</f>
        <v>0</v>
      </c>
      <c r="X35" s="19" t="n">
        <f aca="false">IF(AND(Projects!$G$26="Yes",X$3&gt;=Projects!$C$26,X$3&lt;Projects!$C$26+Projects!$D$26),Projects!$B$26*INDEX(Curves!$B$4:$AR$4,1,X$3-Projects!$C$26+1),0)-IF(AND(Projects!$G$26="Yes",X$3&gt;=Projects!$C$26,X$3&lt;Projects!$C$26+Projects!$D$26),Projects!$B$26*(Assumptions!$B$10+Assumptions!$B$11+Assumptions!$B$12)/Projects!$D$26*0.95,0)-IF(AND(Projects!$G$26="Yes",X$3=Projects!$C$26+Projects!$D$26-1),Projects!$B$26*(Assumptions!$B$10+Assumptions!$B$11+Assumptions!$B$12)*0.05,0)</f>
        <v>0</v>
      </c>
      <c r="Y35" s="19" t="n">
        <f aca="false">IF(AND(Projects!$G$26="Yes",Y$3&gt;=Projects!$C$26,Y$3&lt;Projects!$C$26+Projects!$D$26),Projects!$B$26*INDEX(Curves!$B$4:$AR$4,1,Y$3-Projects!$C$26+1),0)-IF(AND(Projects!$G$26="Yes",Y$3&gt;=Projects!$C$26,Y$3&lt;Projects!$C$26+Projects!$D$26),Projects!$B$26*(Assumptions!$B$10+Assumptions!$B$11+Assumptions!$B$12)/Projects!$D$26*0.95,0)-IF(AND(Projects!$G$26="Yes",Y$3=Projects!$C$26+Projects!$D$26-1),Projects!$B$26*(Assumptions!$B$10+Assumptions!$B$11+Assumptions!$B$12)*0.05,0)</f>
        <v>0</v>
      </c>
      <c r="Z35" s="19" t="n">
        <f aca="false">IF(AND(Projects!$G$26="Yes",Z$3&gt;=Projects!$C$26,Z$3&lt;Projects!$C$26+Projects!$D$26),Projects!$B$26*INDEX(Curves!$B$4:$AR$4,1,Z$3-Projects!$C$26+1),0)-IF(AND(Projects!$G$26="Yes",Z$3&gt;=Projects!$C$26,Z$3&lt;Projects!$C$26+Projects!$D$26),Projects!$B$26*(Assumptions!$B$10+Assumptions!$B$11+Assumptions!$B$12)/Projects!$D$26*0.95,0)-IF(AND(Projects!$G$26="Yes",Z$3=Projects!$C$26+Projects!$D$26-1),Projects!$B$26*(Assumptions!$B$10+Assumptions!$B$11+Assumptions!$B$12)*0.05,0)</f>
        <v>0</v>
      </c>
      <c r="AA35" s="19" t="n">
        <f aca="false">IF(AND(Projects!$G$26="Yes",AA$3&gt;=Projects!$C$26,AA$3&lt;Projects!$C$26+Projects!$D$26),Projects!$B$26*INDEX(Curves!$B$4:$AR$4,1,AA$3-Projects!$C$26+1),0)-IF(AND(Projects!$G$26="Yes",AA$3&gt;=Projects!$C$26,AA$3&lt;Projects!$C$26+Projects!$D$26),Projects!$B$26*(Assumptions!$B$10+Assumptions!$B$11+Assumptions!$B$12)/Projects!$D$26*0.95,0)-IF(AND(Projects!$G$26="Yes",AA$3=Projects!$C$26+Projects!$D$26-1),Projects!$B$26*(Assumptions!$B$10+Assumptions!$B$11+Assumptions!$B$12)*0.05,0)</f>
        <v>0</v>
      </c>
      <c r="AB35" s="19" t="n">
        <f aca="false">IF(AND(Projects!$G$26="Yes",AB$3&gt;=Projects!$C$26,AB$3&lt;Projects!$C$26+Projects!$D$26),Projects!$B$26*INDEX(Curves!$B$4:$AR$4,1,AB$3-Projects!$C$26+1),0)-IF(AND(Projects!$G$26="Yes",AB$3&gt;=Projects!$C$26,AB$3&lt;Projects!$C$26+Projects!$D$26),Projects!$B$26*(Assumptions!$B$10+Assumptions!$B$11+Assumptions!$B$12)/Projects!$D$26*0.95,0)-IF(AND(Projects!$G$26="Yes",AB$3=Projects!$C$26+Projects!$D$26-1),Projects!$B$26*(Assumptions!$B$10+Assumptions!$B$11+Assumptions!$B$12)*0.05,0)</f>
        <v>0</v>
      </c>
      <c r="AC35" s="19" t="n">
        <f aca="false">IF(AND(Projects!$G$26="Yes",AC$3&gt;=Projects!$C$26,AC$3&lt;Projects!$C$26+Projects!$D$26),Projects!$B$26*INDEX(Curves!$B$4:$AR$4,1,AC$3-Projects!$C$26+1),0)-IF(AND(Projects!$G$26="Yes",AC$3&gt;=Projects!$C$26,AC$3&lt;Projects!$C$26+Projects!$D$26),Projects!$B$26*(Assumptions!$B$10+Assumptions!$B$11+Assumptions!$B$12)/Projects!$D$26*0.95,0)-IF(AND(Projects!$G$26="Yes",AC$3=Projects!$C$26+Projects!$D$26-1),Projects!$B$26*(Assumptions!$B$10+Assumptions!$B$11+Assumptions!$B$12)*0.05,0)</f>
        <v>0</v>
      </c>
      <c r="AD35" s="19" t="n">
        <f aca="false">IF(AND(Projects!$G$26="Yes",AD$3&gt;=Projects!$C$26,AD$3&lt;Projects!$C$26+Projects!$D$26),Projects!$B$26*INDEX(Curves!$B$4:$AR$4,1,AD$3-Projects!$C$26+1),0)-IF(AND(Projects!$G$26="Yes",AD$3&gt;=Projects!$C$26,AD$3&lt;Projects!$C$26+Projects!$D$26),Projects!$B$26*(Assumptions!$B$10+Assumptions!$B$11+Assumptions!$B$12)/Projects!$D$26*0.95,0)-IF(AND(Projects!$G$26="Yes",AD$3=Projects!$C$26+Projects!$D$26-1),Projects!$B$26*(Assumptions!$B$10+Assumptions!$B$11+Assumptions!$B$12)*0.05,0)</f>
        <v>0</v>
      </c>
      <c r="AE35" s="19" t="n">
        <f aca="false">IF(AND(Projects!$G$26="Yes",AE$3&gt;=Projects!$C$26,AE$3&lt;Projects!$C$26+Projects!$D$26),Projects!$B$26*INDEX(Curves!$B$4:$AR$4,1,AE$3-Projects!$C$26+1),0)-IF(AND(Projects!$G$26="Yes",AE$3&gt;=Projects!$C$26,AE$3&lt;Projects!$C$26+Projects!$D$26),Projects!$B$26*(Assumptions!$B$10+Assumptions!$B$11+Assumptions!$B$12)/Projects!$D$26*0.95,0)-IF(AND(Projects!$G$26="Yes",AE$3=Projects!$C$26+Projects!$D$26-1),Projects!$B$26*(Assumptions!$B$10+Assumptions!$B$11+Assumptions!$B$12)*0.05,0)</f>
        <v>0</v>
      </c>
      <c r="AF35" s="19" t="n">
        <f aca="false">IF(AND(Projects!$G$26="Yes",AF$3&gt;=Projects!$C$26,AF$3&lt;Projects!$C$26+Projects!$D$26),Projects!$B$26*INDEX(Curves!$B$4:$AR$4,1,AF$3-Projects!$C$26+1),0)-IF(AND(Projects!$G$26="Yes",AF$3&gt;=Projects!$C$26,AF$3&lt;Projects!$C$26+Projects!$D$26),Projects!$B$26*(Assumptions!$B$10+Assumptions!$B$11+Assumptions!$B$12)/Projects!$D$26*0.95,0)-IF(AND(Projects!$G$26="Yes",AF$3=Projects!$C$26+Projects!$D$26-1),Projects!$B$26*(Assumptions!$B$10+Assumptions!$B$11+Assumptions!$B$12)*0.05,0)</f>
        <v>0</v>
      </c>
      <c r="AG35" s="19" t="n">
        <f aca="false">IF(AND(Projects!$G$26="Yes",AG$3&gt;=Projects!$C$26,AG$3&lt;Projects!$C$26+Projects!$D$26),Projects!$B$26*INDEX(Curves!$B$4:$AR$4,1,AG$3-Projects!$C$26+1),0)-IF(AND(Projects!$G$26="Yes",AG$3&gt;=Projects!$C$26,AG$3&lt;Projects!$C$26+Projects!$D$26),Projects!$B$26*(Assumptions!$B$10+Assumptions!$B$11+Assumptions!$B$12)/Projects!$D$26*0.95,0)-IF(AND(Projects!$G$26="Yes",AG$3=Projects!$C$26+Projects!$D$26-1),Projects!$B$26*(Assumptions!$B$10+Assumptions!$B$11+Assumptions!$B$12)*0.05,0)</f>
        <v>0</v>
      </c>
      <c r="AH35" s="19" t="n">
        <f aca="false">IF(AND(Projects!$G$26="Yes",AH$3&gt;=Projects!$C$26,AH$3&lt;Projects!$C$26+Projects!$D$26),Projects!$B$26*INDEX(Curves!$B$4:$AR$4,1,AH$3-Projects!$C$26+1),0)-IF(AND(Projects!$G$26="Yes",AH$3&gt;=Projects!$C$26,AH$3&lt;Projects!$C$26+Projects!$D$26),Projects!$B$26*(Assumptions!$B$10+Assumptions!$B$11+Assumptions!$B$12)/Projects!$D$26*0.95,0)-IF(AND(Projects!$G$26="Yes",AH$3=Projects!$C$26+Projects!$D$26-1),Projects!$B$26*(Assumptions!$B$10+Assumptions!$B$11+Assumptions!$B$12)*0.05,0)</f>
        <v>368954.1</v>
      </c>
      <c r="AI35" s="19" t="n">
        <f aca="false">IF(AND(Projects!$G$26="Yes",AI$3&gt;=Projects!$C$26,AI$3&lt;Projects!$C$26+Projects!$D$26),Projects!$B$26*INDEX(Curves!$B$4:$AR$4,1,AI$3-Projects!$C$26+1),0)-IF(AND(Projects!$G$26="Yes",AI$3&gt;=Projects!$C$26,AI$3&lt;Projects!$C$26+Projects!$D$26),Projects!$B$26*(Assumptions!$B$10+Assumptions!$B$11+Assumptions!$B$12)/Projects!$D$26*0.95,0)-IF(AND(Projects!$G$26="Yes",AI$3=Projects!$C$26+Projects!$D$26-1),Projects!$B$26*(Assumptions!$B$10+Assumptions!$B$11+Assumptions!$B$12)*0.05,0)</f>
        <v>481346.1</v>
      </c>
      <c r="AJ35" s="19" t="n">
        <f aca="false">IF(AND(Projects!$G$26="Yes",AJ$3&gt;=Projects!$C$26,AJ$3&lt;Projects!$C$26+Projects!$D$26),Projects!$B$26*INDEX(Curves!$B$4:$AR$4,1,AJ$3-Projects!$C$26+1),0)-IF(AND(Projects!$G$26="Yes",AJ$3&gt;=Projects!$C$26,AJ$3&lt;Projects!$C$26+Projects!$D$26),Projects!$B$26*(Assumptions!$B$10+Assumptions!$B$11+Assumptions!$B$12)/Projects!$D$26*0.95,0)-IF(AND(Projects!$G$26="Yes",AJ$3=Projects!$C$26+Projects!$D$26-1),Projects!$B$26*(Assumptions!$B$10+Assumptions!$B$11+Assumptions!$B$12)*0.05,0)</f>
        <v>602324.1</v>
      </c>
      <c r="AK35" s="19" t="n">
        <f aca="false">IF(AND(Projects!$G$26="Yes",AK$3&gt;=Projects!$C$26,AK$3&lt;Projects!$C$26+Projects!$D$26),Projects!$B$26*INDEX(Curves!$B$4:$AR$4,1,AK$3-Projects!$C$26+1),0)-IF(AND(Projects!$G$26="Yes",AK$3&gt;=Projects!$C$26,AK$3&lt;Projects!$C$26+Projects!$D$26),Projects!$B$26*(Assumptions!$B$10+Assumptions!$B$11+Assumptions!$B$12)/Projects!$D$26*0.95,0)-IF(AND(Projects!$G$26="Yes",AK$3=Projects!$C$26+Projects!$D$26-1),Projects!$B$26*(Assumptions!$B$10+Assumptions!$B$11+Assumptions!$B$12)*0.05,0)</f>
        <v>727064.1</v>
      </c>
      <c r="AL35" s="19" t="n">
        <f aca="false">IF(AND(Projects!$G$26="Yes",AL$3&gt;=Projects!$C$26,AL$3&lt;Projects!$C$26+Projects!$D$26),Projects!$B$26*INDEX(Curves!$B$4:$AR$4,1,AL$3-Projects!$C$26+1),0)-IF(AND(Projects!$G$26="Yes",AL$3&gt;=Projects!$C$26,AL$3&lt;Projects!$C$26+Projects!$D$26),Projects!$B$26*(Assumptions!$B$10+Assumptions!$B$11+Assumptions!$B$12)/Projects!$D$26*0.95,0)-IF(AND(Projects!$G$26="Yes",AL$3=Projects!$C$26+Projects!$D$26-1),Projects!$B$26*(Assumptions!$B$10+Assumptions!$B$11+Assumptions!$B$12)*0.05,0)</f>
        <v>849572.1</v>
      </c>
      <c r="AM35" s="19" t="n">
        <f aca="false">IF(AND(Projects!$G$26="Yes",AM$3&gt;=Projects!$C$26,AM$3&lt;Projects!$C$26+Projects!$D$26),Projects!$B$26*INDEX(Curves!$B$4:$AR$4,1,AM$3-Projects!$C$26+1),0)-IF(AND(Projects!$G$26="Yes",AM$3&gt;=Projects!$C$26,AM$3&lt;Projects!$C$26+Projects!$D$26),Projects!$B$26*(Assumptions!$B$10+Assumptions!$B$11+Assumptions!$B$12)/Projects!$D$26*0.95,0)-IF(AND(Projects!$G$26="Yes",AM$3=Projects!$C$26+Projects!$D$26-1),Projects!$B$26*(Assumptions!$B$10+Assumptions!$B$11+Assumptions!$B$12)*0.05,0)</f>
        <v>963044.1</v>
      </c>
      <c r="AN35" s="19" t="n">
        <f aca="false">IF(AND(Projects!$G$26="Yes",AN$3&gt;=Projects!$C$26,AN$3&lt;Projects!$C$26+Projects!$D$26),Projects!$B$26*INDEX(Curves!$B$4:$AR$4,1,AN$3-Projects!$C$26+1),0)-IF(AND(Projects!$G$26="Yes",AN$3&gt;=Projects!$C$26,AN$3&lt;Projects!$C$26+Projects!$D$26),Projects!$B$26*(Assumptions!$B$10+Assumptions!$B$11+Assumptions!$B$12)/Projects!$D$26*0.95,0)-IF(AND(Projects!$G$26="Yes",AN$3=Projects!$C$26+Projects!$D$26-1),Projects!$B$26*(Assumptions!$B$10+Assumptions!$B$11+Assumptions!$B$12)*0.05,0)</f>
        <v>1060514.1</v>
      </c>
      <c r="AO35" s="19" t="n">
        <f aca="false">IF(AND(Projects!$G$26="Yes",AO$3&gt;=Projects!$C$26,AO$3&lt;Projects!$C$26+Projects!$D$26),Projects!$B$26*INDEX(Curves!$B$4:$AR$4,1,AO$3-Projects!$C$26+1),0)-IF(AND(Projects!$G$26="Yes",AO$3&gt;=Projects!$C$26,AO$3&lt;Projects!$C$26+Projects!$D$26),Projects!$B$26*(Assumptions!$B$10+Assumptions!$B$11+Assumptions!$B$12)/Projects!$D$26*0.95,0)-IF(AND(Projects!$G$26="Yes",AO$3=Projects!$C$26+Projects!$D$26-1),Projects!$B$26*(Assumptions!$B$10+Assumptions!$B$11+Assumptions!$B$12)*0.05,0)</f>
        <v>1135520.1</v>
      </c>
      <c r="AP35" s="19" t="n">
        <f aca="false">IF(AND(Projects!$G$26="Yes",AP$3&gt;=Projects!$C$26,AP$3&lt;Projects!$C$26+Projects!$D$26),Projects!$B$26*INDEX(Curves!$B$4:$AR$4,1,AP$3-Projects!$C$26+1),0)-IF(AND(Projects!$G$26="Yes",AP$3&gt;=Projects!$C$26,AP$3&lt;Projects!$C$26+Projects!$D$26),Projects!$B$26*(Assumptions!$B$10+Assumptions!$B$11+Assumptions!$B$12)/Projects!$D$26*0.95,0)-IF(AND(Projects!$G$26="Yes",AP$3=Projects!$C$26+Projects!$D$26-1),Projects!$B$26*(Assumptions!$B$10+Assumptions!$B$11+Assumptions!$B$12)*0.05,0)</f>
        <v>1182824.1</v>
      </c>
      <c r="AQ35" s="19" t="n">
        <f aca="false">IF(AND(Projects!$G$26="Yes",AQ$3&gt;=Projects!$C$26,AQ$3&lt;Projects!$C$26+Projects!$D$26),Projects!$B$26*INDEX(Curves!$B$4:$AR$4,1,AQ$3-Projects!$C$26+1),0)-IF(AND(Projects!$G$26="Yes",AQ$3&gt;=Projects!$C$26,AQ$3&lt;Projects!$C$26+Projects!$D$26),Projects!$B$26*(Assumptions!$B$10+Assumptions!$B$11+Assumptions!$B$12)/Projects!$D$26*0.95,0)-IF(AND(Projects!$G$26="Yes",AQ$3=Projects!$C$26+Projects!$D$26-1),Projects!$B$26*(Assumptions!$B$10+Assumptions!$B$11+Assumptions!$B$12)*0.05,0)</f>
        <v>1198988.1</v>
      </c>
      <c r="AR35" s="19" t="n">
        <f aca="false">IF(AND(Projects!$G$26="Yes",AR$3&gt;=Projects!$C$26,AR$3&lt;Projects!$C$26+Projects!$D$26),Projects!$B$26*INDEX(Curves!$B$4:$AR$4,1,AR$3-Projects!$C$26+1),0)-IF(AND(Projects!$G$26="Yes",AR$3&gt;=Projects!$C$26,AR$3&lt;Projects!$C$26+Projects!$D$26),Projects!$B$26*(Assumptions!$B$10+Assumptions!$B$11+Assumptions!$B$12)/Projects!$D$26*0.95,0)-IF(AND(Projects!$G$26="Yes",AR$3=Projects!$C$26+Projects!$D$26-1),Projects!$B$26*(Assumptions!$B$10+Assumptions!$B$11+Assumptions!$B$12)*0.05,0)</f>
        <v>1182824.1</v>
      </c>
      <c r="AS35" s="19" t="n">
        <f aca="false">IF(AND(Projects!$G$26="Yes",AS$3&gt;=Projects!$C$26,AS$3&lt;Projects!$C$26+Projects!$D$26),Projects!$B$26*INDEX(Curves!$B$4:$AR$4,1,AS$3-Projects!$C$26+1),0)-IF(AND(Projects!$G$26="Yes",AS$3&gt;=Projects!$C$26,AS$3&lt;Projects!$C$26+Projects!$D$26),Projects!$B$26*(Assumptions!$B$10+Assumptions!$B$11+Assumptions!$B$12)/Projects!$D$26*0.95,0)-IF(AND(Projects!$G$26="Yes",AS$3=Projects!$C$26+Projects!$D$26-1),Projects!$B$26*(Assumptions!$B$10+Assumptions!$B$11+Assumptions!$B$12)*0.05,0)</f>
        <v>1135520.1</v>
      </c>
      <c r="AT35" s="19" t="n">
        <f aca="false">IF(AND(Projects!$G$26="Yes",AT$3&gt;=Projects!$C$26,AT$3&lt;Projects!$C$26+Projects!$D$26),Projects!$B$26*INDEX(Curves!$B$4:$AR$4,1,AT$3-Projects!$C$26+1),0)-IF(AND(Projects!$G$26="Yes",AT$3&gt;=Projects!$C$26,AT$3&lt;Projects!$C$26+Projects!$D$26),Projects!$B$26*(Assumptions!$B$10+Assumptions!$B$11+Assumptions!$B$12)/Projects!$D$26*0.95,0)-IF(AND(Projects!$G$26="Yes",AT$3=Projects!$C$26+Projects!$D$26-1),Projects!$B$26*(Assumptions!$B$10+Assumptions!$B$11+Assumptions!$B$12)*0.05,0)</f>
        <v>1060514.1</v>
      </c>
      <c r="AU35" s="19" t="n">
        <f aca="false">IF(AND(Projects!$G$26="Yes",AU$3&gt;=Projects!$C$26,AU$3&lt;Projects!$C$26+Projects!$D$26),Projects!$B$26*INDEX(Curves!$B$4:$AR$4,1,AU$3-Projects!$C$26+1),0)-IF(AND(Projects!$G$26="Yes",AU$3&gt;=Projects!$C$26,AU$3&lt;Projects!$C$26+Projects!$D$26),Projects!$B$26*(Assumptions!$B$10+Assumptions!$B$11+Assumptions!$B$12)/Projects!$D$26*0.95,0)-IF(AND(Projects!$G$26="Yes",AU$3=Projects!$C$26+Projects!$D$26-1),Projects!$B$26*(Assumptions!$B$10+Assumptions!$B$11+Assumptions!$B$12)*0.05,0)</f>
        <v>963044.1</v>
      </c>
      <c r="AV35" s="19" t="n">
        <f aca="false">IF(AND(Projects!$G$26="Yes",AV$3&gt;=Projects!$C$26,AV$3&lt;Projects!$C$26+Projects!$D$26),Projects!$B$26*INDEX(Curves!$B$4:$AR$4,1,AV$3-Projects!$C$26+1),0)-IF(AND(Projects!$G$26="Yes",AV$3&gt;=Projects!$C$26,AV$3&lt;Projects!$C$26+Projects!$D$26),Projects!$B$26*(Assumptions!$B$10+Assumptions!$B$11+Assumptions!$B$12)/Projects!$D$26*0.95,0)-IF(AND(Projects!$G$26="Yes",AV$3=Projects!$C$26+Projects!$D$26-1),Projects!$B$26*(Assumptions!$B$10+Assumptions!$B$11+Assumptions!$B$12)*0.05,0)</f>
        <v>849572.1</v>
      </c>
      <c r="AW35" s="19" t="n">
        <f aca="false">IF(AND(Projects!$G$26="Yes",AW$3&gt;=Projects!$C$26,AW$3&lt;Projects!$C$26+Projects!$D$26),Projects!$B$26*INDEX(Curves!$B$4:$AR$4,1,AW$3-Projects!$C$26+1),0)-IF(AND(Projects!$G$26="Yes",AW$3&gt;=Projects!$C$26,AW$3&lt;Projects!$C$26+Projects!$D$26),Projects!$B$26*(Assumptions!$B$10+Assumptions!$B$11+Assumptions!$B$12)/Projects!$D$26*0.95,0)-IF(AND(Projects!$G$26="Yes",AW$3=Projects!$C$26+Projects!$D$26-1),Projects!$B$26*(Assumptions!$B$10+Assumptions!$B$11+Assumptions!$B$12)*0.05,0)</f>
        <v>727064.1</v>
      </c>
      <c r="AX35" s="19" t="n">
        <f aca="false">IF(AND(Projects!$G$26="Yes",AX$3&gt;=Projects!$C$26,AX$3&lt;Projects!$C$26+Projects!$D$26),Projects!$B$26*INDEX(Curves!$B$4:$AR$4,1,AX$3-Projects!$C$26+1),0)-IF(AND(Projects!$G$26="Yes",AX$3&gt;=Projects!$C$26,AX$3&lt;Projects!$C$26+Projects!$D$26),Projects!$B$26*(Assumptions!$B$10+Assumptions!$B$11+Assumptions!$B$12)/Projects!$D$26*0.95,0)-IF(AND(Projects!$G$26="Yes",AX$3=Projects!$C$26+Projects!$D$26-1),Projects!$B$26*(Assumptions!$B$10+Assumptions!$B$11+Assumptions!$B$12)*0.05,0)</f>
        <v>602324.1</v>
      </c>
      <c r="AY35" s="19" t="n">
        <f aca="false">IF(AND(Projects!$G$26="Yes",AY$3&gt;=Projects!$C$26,AY$3&lt;Projects!$C$26+Projects!$D$26),Projects!$B$26*INDEX(Curves!$B$4:$AR$4,1,AY$3-Projects!$C$26+1),0)-IF(AND(Projects!$G$26="Yes",AY$3&gt;=Projects!$C$26,AY$3&lt;Projects!$C$26+Projects!$D$26),Projects!$B$26*(Assumptions!$B$10+Assumptions!$B$11+Assumptions!$B$12)/Projects!$D$26*0.95,0)-IF(AND(Projects!$G$26="Yes",AY$3=Projects!$C$26+Projects!$D$26-1),Projects!$B$26*(Assumptions!$B$10+Assumptions!$B$11+Assumptions!$B$12)*0.05,0)</f>
        <v>481346.1</v>
      </c>
      <c r="AZ35" s="19" t="n">
        <f aca="false">IF(AND(Projects!$G$26="Yes",AZ$3&gt;=Projects!$C$26,AZ$3&lt;Projects!$C$26+Projects!$D$26),Projects!$B$26*INDEX(Curves!$B$4:$AR$4,1,AZ$3-Projects!$C$26+1),0)-IF(AND(Projects!$G$26="Yes",AZ$3&gt;=Projects!$C$26,AZ$3&lt;Projects!$C$26+Projects!$D$26),Projects!$B$26*(Assumptions!$B$10+Assumptions!$B$11+Assumptions!$B$12)/Projects!$D$26*0.95,0)-IF(AND(Projects!$G$26="Yes",AZ$3=Projects!$C$26+Projects!$D$26-1),Projects!$B$26*(Assumptions!$B$10+Assumptions!$B$11+Assumptions!$B$12)*0.05,0)</f>
        <v>260602.2</v>
      </c>
      <c r="BA35" s="19" t="n">
        <f aca="false">IF(AND(Projects!$G$26="Yes",BA$3&gt;=Projects!$C$26,BA$3&lt;Projects!$C$26+Projects!$D$26),Projects!$B$26*INDEX(Curves!$B$4:$AR$4,1,BA$3-Projects!$C$26+1),0)-IF(AND(Projects!$G$26="Yes",BA$3&gt;=Projects!$C$26,BA$3&lt;Projects!$C$26+Projects!$D$26),Projects!$B$26*(Assumptions!$B$10+Assumptions!$B$11+Assumptions!$B$12)/Projects!$D$26*0.95,0)-IF(AND(Projects!$G$26="Yes",BA$3=Projects!$C$26+Projects!$D$26-1),Projects!$B$26*(Assumptions!$B$10+Assumptions!$B$11+Assumptions!$B$12)*0.05,0)</f>
        <v>0</v>
      </c>
      <c r="BB35" s="19" t="n">
        <f aca="false">IF(AND(Projects!$G$26="Yes",BB$3&gt;=Projects!$C$26,BB$3&lt;Projects!$C$26+Projects!$D$26),Projects!$B$26*INDEX(Curves!$B$4:$AR$4,1,BB$3-Projects!$C$26+1),0)-IF(AND(Projects!$G$26="Yes",BB$3&gt;=Projects!$C$26,BB$3&lt;Projects!$C$26+Projects!$D$26),Projects!$B$26*(Assumptions!$B$10+Assumptions!$B$11+Assumptions!$B$12)/Projects!$D$26*0.95,0)-IF(AND(Projects!$G$26="Yes",BB$3=Projects!$C$26+Projects!$D$26-1),Projects!$B$26*(Assumptions!$B$10+Assumptions!$B$11+Assumptions!$B$12)*0.05,0)</f>
        <v>0</v>
      </c>
      <c r="BC35" s="19" t="n">
        <f aca="false">IF(AND(Projects!$G$26="Yes",BC$3&gt;=Projects!$C$26,BC$3&lt;Projects!$C$26+Projects!$D$26),Projects!$B$26*INDEX(Curves!$B$4:$AR$4,1,BC$3-Projects!$C$26+1),0)-IF(AND(Projects!$G$26="Yes",BC$3&gt;=Projects!$C$26,BC$3&lt;Projects!$C$26+Projects!$D$26),Projects!$B$26*(Assumptions!$B$10+Assumptions!$B$11+Assumptions!$B$12)/Projects!$D$26*0.95,0)-IF(AND(Projects!$G$26="Yes",BC$3=Projects!$C$26+Projects!$D$26-1),Projects!$B$26*(Assumptions!$B$10+Assumptions!$B$11+Assumptions!$B$12)*0.05,0)</f>
        <v>0</v>
      </c>
      <c r="BD35" s="19" t="n">
        <f aca="false">IF(AND(Projects!$G$26="Yes",BD$3&gt;=Projects!$C$26,BD$3&lt;Projects!$C$26+Projects!$D$26),Projects!$B$26*INDEX(Curves!$B$4:$AR$4,1,BD$3-Projects!$C$26+1),0)-IF(AND(Projects!$G$26="Yes",BD$3&gt;=Projects!$C$26,BD$3&lt;Projects!$C$26+Projects!$D$26),Projects!$B$26*(Assumptions!$B$10+Assumptions!$B$11+Assumptions!$B$12)/Projects!$D$26*0.95,0)-IF(AND(Projects!$G$26="Yes",BD$3=Projects!$C$26+Projects!$D$26-1),Projects!$B$26*(Assumptions!$B$10+Assumptions!$B$11+Assumptions!$B$12)*0.05,0)</f>
        <v>0</v>
      </c>
      <c r="BE35" s="19" t="n">
        <f aca="false">IF(AND(Projects!$G$26="Yes",BE$3&gt;=Projects!$C$26,BE$3&lt;Projects!$C$26+Projects!$D$26),Projects!$B$26*INDEX(Curves!$B$4:$AR$4,1,BE$3-Projects!$C$26+1),0)-IF(AND(Projects!$G$26="Yes",BE$3&gt;=Projects!$C$26,BE$3&lt;Projects!$C$26+Projects!$D$26),Projects!$B$26*(Assumptions!$B$10+Assumptions!$B$11+Assumptions!$B$12)/Projects!$D$26*0.95,0)-IF(AND(Projects!$G$26="Yes",BE$3=Projects!$C$26+Projects!$D$26-1),Projects!$B$26*(Assumptions!$B$10+Assumptions!$B$11+Assumptions!$B$12)*0.05,0)</f>
        <v>0</v>
      </c>
      <c r="BF35" s="19" t="n">
        <f aca="false">IF(AND(Projects!$G$26="Yes",BF$3&gt;=Projects!$C$26,BF$3&lt;Projects!$C$26+Projects!$D$26),Projects!$B$26*INDEX(Curves!$B$4:$AR$4,1,BF$3-Projects!$C$26+1),0)-IF(AND(Projects!$G$26="Yes",BF$3&gt;=Projects!$C$26,BF$3&lt;Projects!$C$26+Projects!$D$26),Projects!$B$26*(Assumptions!$B$10+Assumptions!$B$11+Assumptions!$B$12)/Projects!$D$26*0.95,0)-IF(AND(Projects!$G$26="Yes",BF$3=Projects!$C$26+Projects!$D$26-1),Projects!$B$26*(Assumptions!$B$10+Assumptions!$B$11+Assumptions!$B$12)*0.05,0)</f>
        <v>0</v>
      </c>
      <c r="BG35" s="19" t="n">
        <f aca="false">IF(AND(Projects!$G$26="Yes",BG$3&gt;=Projects!$C$26,BG$3&lt;Projects!$C$26+Projects!$D$26),Projects!$B$26*INDEX(Curves!$B$4:$AR$4,1,BG$3-Projects!$C$26+1),0)-IF(AND(Projects!$G$26="Yes",BG$3&gt;=Projects!$C$26,BG$3&lt;Projects!$C$26+Projects!$D$26),Projects!$B$26*(Assumptions!$B$10+Assumptions!$B$11+Assumptions!$B$12)/Projects!$D$26*0.95,0)-IF(AND(Projects!$G$26="Yes",BG$3=Projects!$C$26+Projects!$D$26-1),Projects!$B$26*(Assumptions!$B$10+Assumptions!$B$11+Assumptions!$B$12)*0.05,0)</f>
        <v>0</v>
      </c>
      <c r="BH35" s="19" t="n">
        <f aca="false">IF(AND(Projects!$G$26="Yes",BH$3&gt;=Projects!$C$26,BH$3&lt;Projects!$C$26+Projects!$D$26),Projects!$B$26*INDEX(Curves!$B$4:$AR$4,1,BH$3-Projects!$C$26+1),0)-IF(AND(Projects!$G$26="Yes",BH$3&gt;=Projects!$C$26,BH$3&lt;Projects!$C$26+Projects!$D$26),Projects!$B$26*(Assumptions!$B$10+Assumptions!$B$11+Assumptions!$B$12)/Projects!$D$26*0.95,0)-IF(AND(Projects!$G$26="Yes",BH$3=Projects!$C$26+Projects!$D$26-1),Projects!$B$26*(Assumptions!$B$10+Assumptions!$B$11+Assumptions!$B$12)*0.05,0)</f>
        <v>0</v>
      </c>
      <c r="BI35" s="19" t="n">
        <f aca="false">IF(AND(Projects!$G$26="Yes",BI$3&gt;=Projects!$C$26,BI$3&lt;Projects!$C$26+Projects!$D$26),Projects!$B$26*INDEX(Curves!$B$4:$AR$4,1,BI$3-Projects!$C$26+1),0)-IF(AND(Projects!$G$26="Yes",BI$3&gt;=Projects!$C$26,BI$3&lt;Projects!$C$26+Projects!$D$26),Projects!$B$26*(Assumptions!$B$10+Assumptions!$B$11+Assumptions!$B$12)/Projects!$D$26*0.95,0)-IF(AND(Projects!$G$26="Yes",BI$3=Projects!$C$26+Projects!$D$26-1),Projects!$B$26*(Assumptions!$B$10+Assumptions!$B$11+Assumptions!$B$12)*0.05,0)</f>
        <v>0</v>
      </c>
      <c r="BJ35" s="19" t="n">
        <f aca="false">IF(AND(Projects!$G$26="Yes",BJ$3&gt;=Projects!$C$26,BJ$3&lt;Projects!$C$26+Projects!$D$26),Projects!$B$26*INDEX(Curves!$B$4:$AR$4,1,BJ$3-Projects!$C$26+1),0)-IF(AND(Projects!$G$26="Yes",BJ$3&gt;=Projects!$C$26,BJ$3&lt;Projects!$C$26+Projects!$D$26),Projects!$B$26*(Assumptions!$B$10+Assumptions!$B$11+Assumptions!$B$12)/Projects!$D$26*0.95,0)-IF(AND(Projects!$G$26="Yes",BJ$3=Projects!$C$26+Projects!$D$26-1),Projects!$B$26*(Assumptions!$B$10+Assumptions!$B$11+Assumptions!$B$12)*0.05,0)</f>
        <v>0</v>
      </c>
      <c r="BK35" s="19" t="n">
        <f aca="false">IF(AND(Projects!$G$26="Yes",BK$3&gt;=Projects!$C$26,BK$3&lt;Projects!$C$26+Projects!$D$26),Projects!$B$26*INDEX(Curves!$B$4:$AR$4,1,BK$3-Projects!$C$26+1),0)-IF(AND(Projects!$G$26="Yes",BK$3&gt;=Projects!$C$26,BK$3&lt;Projects!$C$26+Projects!$D$26),Projects!$B$26*(Assumptions!$B$10+Assumptions!$B$11+Assumptions!$B$12)/Projects!$D$26*0.95,0)-IF(AND(Projects!$G$26="Yes",BK$3=Projects!$C$26+Projects!$D$26-1),Projects!$B$26*(Assumptions!$B$10+Assumptions!$B$11+Assumptions!$B$12)*0.05,0)</f>
        <v>0</v>
      </c>
      <c r="BL35" s="19" t="n">
        <f aca="false">IF(AND(Projects!$G$26="Yes",BL$3&gt;=Projects!$C$26,BL$3&lt;Projects!$C$26+Projects!$D$26),Projects!$B$26*INDEX(Curves!$B$4:$AR$4,1,BL$3-Projects!$C$26+1),0)-IF(AND(Projects!$G$26="Yes",BL$3&gt;=Projects!$C$26,BL$3&lt;Projects!$C$26+Projects!$D$26),Projects!$B$26*(Assumptions!$B$10+Assumptions!$B$11+Assumptions!$B$12)/Projects!$D$26*0.95,0)-IF(AND(Projects!$G$26="Yes",BL$3=Projects!$C$26+Projects!$D$26-1),Projects!$B$26*(Assumptions!$B$10+Assumptions!$B$11+Assumptions!$B$12)*0.05,0)</f>
        <v>0</v>
      </c>
      <c r="BM35" s="19" t="n">
        <f aca="false">IF(AND(Projects!$G$26="Yes",BM$3&gt;=Projects!$C$26,BM$3&lt;Projects!$C$26+Projects!$D$26),Projects!$B$26*INDEX(Curves!$B$4:$AR$4,1,BM$3-Projects!$C$26+1),0)-IF(AND(Projects!$G$26="Yes",BM$3&gt;=Projects!$C$26,BM$3&lt;Projects!$C$26+Projects!$D$26),Projects!$B$26*(Assumptions!$B$10+Assumptions!$B$11+Assumptions!$B$12)/Projects!$D$26*0.95,0)-IF(AND(Projects!$G$26="Yes",BM$3=Projects!$C$26+Projects!$D$26-1),Projects!$B$26*(Assumptions!$B$10+Assumptions!$B$11+Assumptions!$B$12)*0.05,0)</f>
        <v>0</v>
      </c>
      <c r="BN35" s="19" t="n">
        <f aca="false">IF(AND(Projects!$G$26="Yes",BN$3&gt;=Projects!$C$26,BN$3&lt;Projects!$C$26+Projects!$D$26),Projects!$B$26*INDEX(Curves!$B$4:$AR$4,1,BN$3-Projects!$C$26+1),0)-IF(AND(Projects!$G$26="Yes",BN$3&gt;=Projects!$C$26,BN$3&lt;Projects!$C$26+Projects!$D$26),Projects!$B$26*(Assumptions!$B$10+Assumptions!$B$11+Assumptions!$B$12)/Projects!$D$26*0.95,0)-IF(AND(Projects!$G$26="Yes",BN$3=Projects!$C$26+Projects!$D$26-1),Projects!$B$26*(Assumptions!$B$10+Assumptions!$B$11+Assumptions!$B$12)*0.05,0)</f>
        <v>0</v>
      </c>
      <c r="BO35" s="19" t="n">
        <f aca="false">IF(AND(Projects!$G$26="Yes",BO$3&gt;=Projects!$C$26,BO$3&lt;Projects!$C$26+Projects!$D$26),Projects!$B$26*INDEX(Curves!$B$4:$AR$4,1,BO$3-Projects!$C$26+1),0)-IF(AND(Projects!$G$26="Yes",BO$3&gt;=Projects!$C$26,BO$3&lt;Projects!$C$26+Projects!$D$26),Projects!$B$26*(Assumptions!$B$10+Assumptions!$B$11+Assumptions!$B$12)/Projects!$D$26*0.95,0)-IF(AND(Projects!$G$26="Yes",BO$3=Projects!$C$26+Projects!$D$26-1),Projects!$B$26*(Assumptions!$B$10+Assumptions!$B$11+Assumptions!$B$12)*0.05,0)</f>
        <v>0</v>
      </c>
      <c r="BP35" s="19" t="n">
        <f aca="false">IF(AND(Projects!$G$26="Yes",BP$3&gt;=Projects!$C$26,BP$3&lt;Projects!$C$26+Projects!$D$26),Projects!$B$26*INDEX(Curves!$B$4:$AR$4,1,BP$3-Projects!$C$26+1),0)-IF(AND(Projects!$G$26="Yes",BP$3&gt;=Projects!$C$26,BP$3&lt;Projects!$C$26+Projects!$D$26),Projects!$B$26*(Assumptions!$B$10+Assumptions!$B$11+Assumptions!$B$12)/Projects!$D$26*0.95,0)-IF(AND(Projects!$G$26="Yes",BP$3=Projects!$C$26+Projects!$D$26-1),Projects!$B$26*(Assumptions!$B$10+Assumptions!$B$11+Assumptions!$B$12)*0.05,0)</f>
        <v>0</v>
      </c>
      <c r="BQ35" s="19" t="n">
        <f aca="false">IF(AND(Projects!$G$26="Yes",BQ$3&gt;=Projects!$C$26,BQ$3&lt;Projects!$C$26+Projects!$D$26),Projects!$B$26*INDEX(Curves!$B$4:$AR$4,1,BQ$3-Projects!$C$26+1),0)-IF(AND(Projects!$G$26="Yes",BQ$3&gt;=Projects!$C$26,BQ$3&lt;Projects!$C$26+Projects!$D$26),Projects!$B$26*(Assumptions!$B$10+Assumptions!$B$11+Assumptions!$B$12)/Projects!$D$26*0.95,0)-IF(AND(Projects!$G$26="Yes",BQ$3=Projects!$C$26+Projects!$D$26-1),Projects!$B$26*(Assumptions!$B$10+Assumptions!$B$11+Assumptions!$B$12)*0.05,0)</f>
        <v>0</v>
      </c>
      <c r="BR35" s="19" t="n">
        <f aca="false">IF(AND(Projects!$G$26="Yes",BR$3&gt;=Projects!$C$26,BR$3&lt;Projects!$C$26+Projects!$D$26),Projects!$B$26*INDEX(Curves!$B$4:$AR$4,1,BR$3-Projects!$C$26+1),0)-IF(AND(Projects!$G$26="Yes",BR$3&gt;=Projects!$C$26,BR$3&lt;Projects!$C$26+Projects!$D$26),Projects!$B$26*(Assumptions!$B$10+Assumptions!$B$11+Assumptions!$B$12)/Projects!$D$26*0.95,0)-IF(AND(Projects!$G$26="Yes",BR$3=Projects!$C$26+Projects!$D$26-1),Projects!$B$26*(Assumptions!$B$10+Assumptions!$B$11+Assumptions!$B$12)*0.05,0)</f>
        <v>0</v>
      </c>
      <c r="BS35" s="19" t="n">
        <f aca="false">IF(AND(Projects!$G$26="Yes",BS$3&gt;=Projects!$C$26,BS$3&lt;Projects!$C$26+Projects!$D$26),Projects!$B$26*INDEX(Curves!$B$4:$AR$4,1,BS$3-Projects!$C$26+1),0)-IF(AND(Projects!$G$26="Yes",BS$3&gt;=Projects!$C$26,BS$3&lt;Projects!$C$26+Projects!$D$26),Projects!$B$26*(Assumptions!$B$10+Assumptions!$B$11+Assumptions!$B$12)/Projects!$D$26*0.95,0)-IF(AND(Projects!$G$26="Yes",BS$3=Projects!$C$26+Projects!$D$26-1),Projects!$B$26*(Assumptions!$B$10+Assumptions!$B$11+Assumptions!$B$12)*0.05,0)</f>
        <v>0</v>
      </c>
      <c r="BT35" s="19" t="n">
        <f aca="false">IF(AND(Projects!$G$26="Yes",BT$3&gt;=Projects!$C$26,BT$3&lt;Projects!$C$26+Projects!$D$26),Projects!$B$26*INDEX(Curves!$B$4:$AR$4,1,BT$3-Projects!$C$26+1),0)-IF(AND(Projects!$G$26="Yes",BT$3&gt;=Projects!$C$26,BT$3&lt;Projects!$C$26+Projects!$D$26),Projects!$B$26*(Assumptions!$B$10+Assumptions!$B$11+Assumptions!$B$12)/Projects!$D$26*0.95,0)-IF(AND(Projects!$G$26="Yes",BT$3=Projects!$C$26+Projects!$D$26-1),Projects!$B$26*(Assumptions!$B$10+Assumptions!$B$11+Assumptions!$B$12)*0.05,0)</f>
        <v>0</v>
      </c>
      <c r="BU35" s="19" t="n">
        <f aca="false">IF(AND(Projects!$G$26="Yes",BU$3&gt;=Projects!$C$26,BU$3&lt;Projects!$C$26+Projects!$D$26),Projects!$B$26*INDEX(Curves!$B$4:$AR$4,1,BU$3-Projects!$C$26+1),0)-IF(AND(Projects!$G$26="Yes",BU$3&gt;=Projects!$C$26,BU$3&lt;Projects!$C$26+Projects!$D$26),Projects!$B$26*(Assumptions!$B$10+Assumptions!$B$11+Assumptions!$B$12)/Projects!$D$26*0.95,0)-IF(AND(Projects!$G$26="Yes",BU$3=Projects!$C$26+Projects!$D$26-1),Projects!$B$26*(Assumptions!$B$10+Assumptions!$B$11+Assumptions!$B$12)*0.05,0)</f>
        <v>0</v>
      </c>
      <c r="BV35" s="19" t="n">
        <f aca="false">IF(AND(Projects!$G$26="Yes",BV$3&gt;=Projects!$C$26,BV$3&lt;Projects!$C$26+Projects!$D$26),Projects!$B$26*INDEX(Curves!$B$4:$AR$4,1,BV$3-Projects!$C$26+1),0)-IF(AND(Projects!$G$26="Yes",BV$3&gt;=Projects!$C$26,BV$3&lt;Projects!$C$26+Projects!$D$26),Projects!$B$26*(Assumptions!$B$10+Assumptions!$B$11+Assumptions!$B$12)/Projects!$D$26*0.95,0)-IF(AND(Projects!$G$26="Yes",BV$3=Projects!$C$26+Projects!$D$26-1),Projects!$B$26*(Assumptions!$B$10+Assumptions!$B$11+Assumptions!$B$12)*0.05,0)</f>
        <v>0</v>
      </c>
      <c r="BW35" s="19" t="n">
        <f aca="false">IF(AND(Projects!$G$26="Yes",BW$3&gt;=Projects!$C$26,BW$3&lt;Projects!$C$26+Projects!$D$26),Projects!$B$26*INDEX(Curves!$B$4:$AR$4,1,BW$3-Projects!$C$26+1),0)-IF(AND(Projects!$G$26="Yes",BW$3&gt;=Projects!$C$26,BW$3&lt;Projects!$C$26+Projects!$D$26),Projects!$B$26*(Assumptions!$B$10+Assumptions!$B$11+Assumptions!$B$12)/Projects!$D$26*0.95,0)-IF(AND(Projects!$G$26="Yes",BW$3=Projects!$C$26+Projects!$D$26-1),Projects!$B$26*(Assumptions!$B$10+Assumptions!$B$11+Assumptions!$B$12)*0.05,0)</f>
        <v>0</v>
      </c>
      <c r="BX35" s="19" t="n">
        <f aca="false">IF(AND(Projects!$G$26="Yes",BX$3&gt;=Projects!$C$26,BX$3&lt;Projects!$C$26+Projects!$D$26),Projects!$B$26*INDEX(Curves!$B$4:$AR$4,1,BX$3-Projects!$C$26+1),0)-IF(AND(Projects!$G$26="Yes",BX$3&gt;=Projects!$C$26,BX$3&lt;Projects!$C$26+Projects!$D$26),Projects!$B$26*(Assumptions!$B$10+Assumptions!$B$11+Assumptions!$B$12)/Projects!$D$26*0.95,0)-IF(AND(Projects!$G$26="Yes",BX$3=Projects!$C$26+Projects!$D$26-1),Projects!$B$26*(Assumptions!$B$10+Assumptions!$B$11+Assumptions!$B$12)*0.05,0)</f>
        <v>0</v>
      </c>
      <c r="BY35" s="19" t="n">
        <f aca="false">IF(AND(Projects!$G$26="Yes",BY$3&gt;=Projects!$C$26,BY$3&lt;Projects!$C$26+Projects!$D$26),Projects!$B$26*INDEX(Curves!$B$4:$AR$4,1,BY$3-Projects!$C$26+1),0)-IF(AND(Projects!$G$26="Yes",BY$3&gt;=Projects!$C$26,BY$3&lt;Projects!$C$26+Projects!$D$26),Projects!$B$26*(Assumptions!$B$10+Assumptions!$B$11+Assumptions!$B$12)/Projects!$D$26*0.95,0)-IF(AND(Projects!$G$26="Yes",BY$3=Projects!$C$26+Projects!$D$26-1),Projects!$B$26*(Assumptions!$B$10+Assumptions!$B$11+Assumptions!$B$12)*0.05,0)</f>
        <v>0</v>
      </c>
      <c r="BZ35" s="19" t="n">
        <f aca="false">IF(AND(Projects!$G$26="Yes",BZ$3&gt;=Projects!$C$26,BZ$3&lt;Projects!$C$26+Projects!$D$26),Projects!$B$26*INDEX(Curves!$B$4:$AR$4,1,BZ$3-Projects!$C$26+1),0)-IF(AND(Projects!$G$26="Yes",BZ$3&gt;=Projects!$C$26,BZ$3&lt;Projects!$C$26+Projects!$D$26),Projects!$B$26*(Assumptions!$B$10+Assumptions!$B$11+Assumptions!$B$12)/Projects!$D$26*0.95,0)-IF(AND(Projects!$G$26="Yes",BZ$3=Projects!$C$26+Projects!$D$26-1),Projects!$B$26*(Assumptions!$B$10+Assumptions!$B$11+Assumptions!$B$12)*0.05,0)</f>
        <v>0</v>
      </c>
      <c r="CA35" s="19" t="n">
        <f aca="false">IF(AND(Projects!$G$26="Yes",CA$3&gt;=Projects!$C$26,CA$3&lt;Projects!$C$26+Projects!$D$26),Projects!$B$26*INDEX(Curves!$B$4:$AR$4,1,CA$3-Projects!$C$26+1),0)-IF(AND(Projects!$G$26="Yes",CA$3&gt;=Projects!$C$26,CA$3&lt;Projects!$C$26+Projects!$D$26),Projects!$B$26*(Assumptions!$B$10+Assumptions!$B$11+Assumptions!$B$12)/Projects!$D$26*0.95,0)-IF(AND(Projects!$G$26="Yes",CA$3=Projects!$C$26+Projects!$D$26-1),Projects!$B$26*(Assumptions!$B$10+Assumptions!$B$11+Assumptions!$B$12)*0.05,0)</f>
        <v>0</v>
      </c>
      <c r="CB35" s="19" t="n">
        <f aca="false">IF(AND(Projects!$G$26="Yes",CB$3&gt;=Projects!$C$26,CB$3&lt;Projects!$C$26+Projects!$D$26),Projects!$B$26*INDEX(Curves!$B$4:$AR$4,1,CB$3-Projects!$C$26+1),0)-IF(AND(Projects!$G$26="Yes",CB$3&gt;=Projects!$C$26,CB$3&lt;Projects!$C$26+Projects!$D$26),Projects!$B$26*(Assumptions!$B$10+Assumptions!$B$11+Assumptions!$B$12)/Projects!$D$26*0.95,0)-IF(AND(Projects!$G$26="Yes",CB$3=Projects!$C$26+Projects!$D$26-1),Projects!$B$26*(Assumptions!$B$10+Assumptions!$B$11+Assumptions!$B$12)*0.05,0)</f>
        <v>0</v>
      </c>
      <c r="CC35" s="19" t="n">
        <f aca="false">IF(AND(Projects!$G$26="Yes",CC$3&gt;=Projects!$C$26,CC$3&lt;Projects!$C$26+Projects!$D$26),Projects!$B$26*INDEX(Curves!$B$4:$AR$4,1,CC$3-Projects!$C$26+1),0)-IF(AND(Projects!$G$26="Yes",CC$3&gt;=Projects!$C$26,CC$3&lt;Projects!$C$26+Projects!$D$26),Projects!$B$26*(Assumptions!$B$10+Assumptions!$B$11+Assumptions!$B$12)/Projects!$D$26*0.95,0)-IF(AND(Projects!$G$26="Yes",CC$3=Projects!$C$26+Projects!$D$26-1),Projects!$B$26*(Assumptions!$B$10+Assumptions!$B$11+Assumptions!$B$12)*0.05,0)</f>
        <v>0</v>
      </c>
      <c r="CD35" s="19" t="n">
        <f aca="false">IF(AND(Projects!$G$26="Yes",CD$3&gt;=Projects!$C$26,CD$3&lt;Projects!$C$26+Projects!$D$26),Projects!$B$26*INDEX(Curves!$B$4:$AR$4,1,CD$3-Projects!$C$26+1),0)-IF(AND(Projects!$G$26="Yes",CD$3&gt;=Projects!$C$26,CD$3&lt;Projects!$C$26+Projects!$D$26),Projects!$B$26*(Assumptions!$B$10+Assumptions!$B$11+Assumptions!$B$12)/Projects!$D$26*0.95,0)-IF(AND(Projects!$G$26="Yes",CD$3=Projects!$C$26+Projects!$D$26-1),Projects!$B$26*(Assumptions!$B$10+Assumptions!$B$11+Assumptions!$B$12)*0.05,0)</f>
        <v>0</v>
      </c>
      <c r="CE35" s="19" t="n">
        <f aca="false">IF(AND(Projects!$G$26="Yes",CE$3&gt;=Projects!$C$26,CE$3&lt;Projects!$C$26+Projects!$D$26),Projects!$B$26*INDEX(Curves!$B$4:$AR$4,1,CE$3-Projects!$C$26+1),0)-IF(AND(Projects!$G$26="Yes",CE$3&gt;=Projects!$C$26,CE$3&lt;Projects!$C$26+Projects!$D$26),Projects!$B$26*(Assumptions!$B$10+Assumptions!$B$11+Assumptions!$B$12)/Projects!$D$26*0.95,0)-IF(AND(Projects!$G$26="Yes",CE$3=Projects!$C$26+Projects!$D$26-1),Projects!$B$26*(Assumptions!$B$10+Assumptions!$B$11+Assumptions!$B$12)*0.05,0)</f>
        <v>0</v>
      </c>
      <c r="CF35" s="19" t="n">
        <f aca="false">IF(AND(Projects!$G$26="Yes",CF$3&gt;=Projects!$C$26,CF$3&lt;Projects!$C$26+Projects!$D$26),Projects!$B$26*INDEX(Curves!$B$4:$AR$4,1,CF$3-Projects!$C$26+1),0)-IF(AND(Projects!$G$26="Yes",CF$3&gt;=Projects!$C$26,CF$3&lt;Projects!$C$26+Projects!$D$26),Projects!$B$26*(Assumptions!$B$10+Assumptions!$B$11+Assumptions!$B$12)/Projects!$D$26*0.95,0)-IF(AND(Projects!$G$26="Yes",CF$3=Projects!$C$26+Projects!$D$26-1),Projects!$B$26*(Assumptions!$B$10+Assumptions!$B$11+Assumptions!$B$12)*0.05,0)</f>
        <v>0</v>
      </c>
      <c r="CG35" s="19" t="n">
        <f aca="false">IF(AND(Projects!$G$26="Yes",CG$3&gt;=Projects!$C$26,CG$3&lt;Projects!$C$26+Projects!$D$26),Projects!$B$26*INDEX(Curves!$B$4:$AR$4,1,CG$3-Projects!$C$26+1),0)-IF(AND(Projects!$G$26="Yes",CG$3&gt;=Projects!$C$26,CG$3&lt;Projects!$C$26+Projects!$D$26),Projects!$B$26*(Assumptions!$B$10+Assumptions!$B$11+Assumptions!$B$12)/Projects!$D$26*0.95,0)-IF(AND(Projects!$G$26="Yes",CG$3=Projects!$C$26+Projects!$D$26-1),Projects!$B$26*(Assumptions!$B$10+Assumptions!$B$11+Assumptions!$B$12)*0.05,0)</f>
        <v>0</v>
      </c>
      <c r="CH35" s="19" t="n">
        <f aca="false">IF(AND(Projects!$G$26="Yes",CH$3&gt;=Projects!$C$26,CH$3&lt;Projects!$C$26+Projects!$D$26),Projects!$B$26*INDEX(Curves!$B$4:$AR$4,1,CH$3-Projects!$C$26+1),0)-IF(AND(Projects!$G$26="Yes",CH$3&gt;=Projects!$C$26,CH$3&lt;Projects!$C$26+Projects!$D$26),Projects!$B$26*(Assumptions!$B$10+Assumptions!$B$11+Assumptions!$B$12)/Projects!$D$26*0.95,0)-IF(AND(Projects!$G$26="Yes",CH$3=Projects!$C$26+Projects!$D$26-1),Projects!$B$26*(Assumptions!$B$10+Assumptions!$B$11+Assumptions!$B$12)*0.05,0)</f>
        <v>0</v>
      </c>
      <c r="CI35" s="19" t="n">
        <f aca="false">IF(AND(Projects!$G$26="Yes",CI$3&gt;=Projects!$C$26,CI$3&lt;Projects!$C$26+Projects!$D$26),Projects!$B$26*INDEX(Curves!$B$4:$AR$4,1,CI$3-Projects!$C$26+1),0)-IF(AND(Projects!$G$26="Yes",CI$3&gt;=Projects!$C$26,CI$3&lt;Projects!$C$26+Projects!$D$26),Projects!$B$26*(Assumptions!$B$10+Assumptions!$B$11+Assumptions!$B$12)/Projects!$D$26*0.95,0)-IF(AND(Projects!$G$26="Yes",CI$3=Projects!$C$26+Projects!$D$26-1),Projects!$B$26*(Assumptions!$B$10+Assumptions!$B$11+Assumptions!$B$12)*0.05,0)</f>
        <v>0</v>
      </c>
      <c r="CJ35" s="19" t="n">
        <f aca="false">IF(AND(Projects!$G$26="Yes",CJ$3&gt;=Projects!$C$26,CJ$3&lt;Projects!$C$26+Projects!$D$26),Projects!$B$26*INDEX(Curves!$B$4:$AR$4,1,CJ$3-Projects!$C$26+1),0)-IF(AND(Projects!$G$26="Yes",CJ$3&gt;=Projects!$C$26,CJ$3&lt;Projects!$C$26+Projects!$D$26),Projects!$B$26*(Assumptions!$B$10+Assumptions!$B$11+Assumptions!$B$12)/Projects!$D$26*0.95,0)-IF(AND(Projects!$G$26="Yes",CJ$3=Projects!$C$26+Projects!$D$26-1),Projects!$B$26*(Assumptions!$B$10+Assumptions!$B$11+Assumptions!$B$12)*0.05,0)</f>
        <v>0</v>
      </c>
      <c r="CK35" s="19" t="n">
        <f aca="false">IF(AND(Projects!$G$26="Yes",CK$3&gt;=Projects!$C$26,CK$3&lt;Projects!$C$26+Projects!$D$26),Projects!$B$26*INDEX(Curves!$B$4:$AR$4,1,CK$3-Projects!$C$26+1),0)-IF(AND(Projects!$G$26="Yes",CK$3&gt;=Projects!$C$26,CK$3&lt;Projects!$C$26+Projects!$D$26),Projects!$B$26*(Assumptions!$B$10+Assumptions!$B$11+Assumptions!$B$12)/Projects!$D$26*0.95,0)-IF(AND(Projects!$G$26="Yes",CK$3=Projects!$C$26+Projects!$D$26-1),Projects!$B$26*(Assumptions!$B$10+Assumptions!$B$11+Assumptions!$B$12)*0.05,0)</f>
        <v>0</v>
      </c>
      <c r="CL35" s="19" t="n">
        <f aca="false">IF(AND(Projects!$G$26="Yes",CL$3&gt;=Projects!$C$26,CL$3&lt;Projects!$C$26+Projects!$D$26),Projects!$B$26*INDEX(Curves!$B$4:$AR$4,1,CL$3-Projects!$C$26+1),0)-IF(AND(Projects!$G$26="Yes",CL$3&gt;=Projects!$C$26,CL$3&lt;Projects!$C$26+Projects!$D$26),Projects!$B$26*(Assumptions!$B$10+Assumptions!$B$11+Assumptions!$B$12)/Projects!$D$26*0.95,0)-IF(AND(Projects!$G$26="Yes",CL$3=Projects!$C$26+Projects!$D$26-1),Projects!$B$26*(Assumptions!$B$10+Assumptions!$B$11+Assumptions!$B$12)*0.05,0)</f>
        <v>0</v>
      </c>
      <c r="CM35" s="19" t="n">
        <f aca="false">IF(AND(Projects!$G$26="Yes",CM$3&gt;=Projects!$C$26,CM$3&lt;Projects!$C$26+Projects!$D$26),Projects!$B$26*INDEX(Curves!$B$4:$AR$4,1,CM$3-Projects!$C$26+1),0)-IF(AND(Projects!$G$26="Yes",CM$3&gt;=Projects!$C$26,CM$3&lt;Projects!$C$26+Projects!$D$26),Projects!$B$26*(Assumptions!$B$10+Assumptions!$B$11+Assumptions!$B$12)/Projects!$D$26*0.95,0)-IF(AND(Projects!$G$26="Yes",CM$3=Projects!$C$26+Projects!$D$26-1),Projects!$B$26*(Assumptions!$B$10+Assumptions!$B$11+Assumptions!$B$12)*0.05,0)</f>
        <v>0</v>
      </c>
      <c r="CN35" s="19" t="n">
        <f aca="false">IF(AND(Projects!$G$26="Yes",CN$3&gt;=Projects!$C$26,CN$3&lt;Projects!$C$26+Projects!$D$26),Projects!$B$26*INDEX(Curves!$B$4:$AR$4,1,CN$3-Projects!$C$26+1),0)-IF(AND(Projects!$G$26="Yes",CN$3&gt;=Projects!$C$26,CN$3&lt;Projects!$C$26+Projects!$D$26),Projects!$B$26*(Assumptions!$B$10+Assumptions!$B$11+Assumptions!$B$12)/Projects!$D$26*0.95,0)-IF(AND(Projects!$G$26="Yes",CN$3=Projects!$C$26+Projects!$D$26-1),Projects!$B$26*(Assumptions!$B$10+Assumptions!$B$11+Assumptions!$B$12)*0.05,0)</f>
        <v>0</v>
      </c>
      <c r="CO35" s="19" t="n">
        <f aca="false">IF(AND(Projects!$G$26="Yes",CO$3&gt;=Projects!$C$26,CO$3&lt;Projects!$C$26+Projects!$D$26),Projects!$B$26*INDEX(Curves!$B$4:$AR$4,1,CO$3-Projects!$C$26+1),0)-IF(AND(Projects!$G$26="Yes",CO$3&gt;=Projects!$C$26,CO$3&lt;Projects!$C$26+Projects!$D$26),Projects!$B$26*(Assumptions!$B$10+Assumptions!$B$11+Assumptions!$B$12)/Projects!$D$26*0.95,0)-IF(AND(Projects!$G$26="Yes",CO$3=Projects!$C$26+Projects!$D$26-1),Projects!$B$26*(Assumptions!$B$10+Assumptions!$B$11+Assumptions!$B$12)*0.05,0)</f>
        <v>0</v>
      </c>
      <c r="CP35" s="19" t="n">
        <f aca="false">IF(AND(Projects!$G$26="Yes",CP$3&gt;=Projects!$C$26,CP$3&lt;Projects!$C$26+Projects!$D$26),Projects!$B$26*INDEX(Curves!$B$4:$AR$4,1,CP$3-Projects!$C$26+1),0)-IF(AND(Projects!$G$26="Yes",CP$3&gt;=Projects!$C$26,CP$3&lt;Projects!$C$26+Projects!$D$26),Projects!$B$26*(Assumptions!$B$10+Assumptions!$B$11+Assumptions!$B$12)/Projects!$D$26*0.95,0)-IF(AND(Projects!$G$26="Yes",CP$3=Projects!$C$26+Projects!$D$26-1),Projects!$B$26*(Assumptions!$B$10+Assumptions!$B$11+Assumptions!$B$12)*0.05,0)</f>
        <v>0</v>
      </c>
      <c r="CQ35" s="19" t="n">
        <f aca="false">IF(AND(Projects!$G$26="Yes",CQ$3&gt;=Projects!$C$26,CQ$3&lt;Projects!$C$26+Projects!$D$26),Projects!$B$26*INDEX(Curves!$B$4:$AR$4,1,CQ$3-Projects!$C$26+1),0)-IF(AND(Projects!$G$26="Yes",CQ$3&gt;=Projects!$C$26,CQ$3&lt;Projects!$C$26+Projects!$D$26),Projects!$B$26*(Assumptions!$B$10+Assumptions!$B$11+Assumptions!$B$12)/Projects!$D$26*0.95,0)-IF(AND(Projects!$G$26="Yes",CQ$3=Projects!$C$26+Projects!$D$26-1),Projects!$B$26*(Assumptions!$B$10+Assumptions!$B$11+Assumptions!$B$12)*0.05,0)</f>
        <v>0</v>
      </c>
      <c r="CR35" s="19" t="n">
        <f aca="false">IF(AND(Projects!$G$26="Yes",CR$3&gt;=Projects!$C$26,CR$3&lt;Projects!$C$26+Projects!$D$26),Projects!$B$26*INDEX(Curves!$B$4:$AR$4,1,CR$3-Projects!$C$26+1),0)-IF(AND(Projects!$G$26="Yes",CR$3&gt;=Projects!$C$26,CR$3&lt;Projects!$C$26+Projects!$D$26),Projects!$B$26*(Assumptions!$B$10+Assumptions!$B$11+Assumptions!$B$12)/Projects!$D$26*0.95,0)-IF(AND(Projects!$G$26="Yes",CR$3=Projects!$C$26+Projects!$D$26-1),Projects!$B$26*(Assumptions!$B$10+Assumptions!$B$11+Assumptions!$B$12)*0.05,0)</f>
        <v>0</v>
      </c>
      <c r="CS35" s="19" t="n">
        <f aca="false">IF(AND(Projects!$G$26="Yes",CS$3&gt;=Projects!$C$26,CS$3&lt;Projects!$C$26+Projects!$D$26),Projects!$B$26*INDEX(Curves!$B$4:$AR$4,1,CS$3-Projects!$C$26+1),0)-IF(AND(Projects!$G$26="Yes",CS$3&gt;=Projects!$C$26,CS$3&lt;Projects!$C$26+Projects!$D$26),Projects!$B$26*(Assumptions!$B$10+Assumptions!$B$11+Assumptions!$B$12)/Projects!$D$26*0.95,0)-IF(AND(Projects!$G$26="Yes",CS$3=Projects!$C$26+Projects!$D$26-1),Projects!$B$26*(Assumptions!$B$10+Assumptions!$B$11+Assumptions!$B$12)*0.05,0)</f>
        <v>0</v>
      </c>
      <c r="CT35" s="19" t="n">
        <f aca="false">IF(AND(Projects!$G$26="Yes",CT$3&gt;=Projects!$C$26,CT$3&lt;Projects!$C$26+Projects!$D$26),Projects!$B$26*INDEX(Curves!$B$4:$AR$4,1,CT$3-Projects!$C$26+1),0)-IF(AND(Projects!$G$26="Yes",CT$3&gt;=Projects!$C$26,CT$3&lt;Projects!$C$26+Projects!$D$26),Projects!$B$26*(Assumptions!$B$10+Assumptions!$B$11+Assumptions!$B$12)/Projects!$D$26*0.95,0)-IF(AND(Projects!$G$26="Yes",CT$3=Projects!$C$26+Projects!$D$26-1),Projects!$B$26*(Assumptions!$B$10+Assumptions!$B$11+Assumptions!$B$12)*0.05,0)</f>
        <v>0</v>
      </c>
      <c r="CU35" s="19" t="n">
        <f aca="false">IF(AND(Projects!$G$26="Yes",CU$3&gt;=Projects!$C$26,CU$3&lt;Projects!$C$26+Projects!$D$26),Projects!$B$26*INDEX(Curves!$B$4:$AR$4,1,CU$3-Projects!$C$26+1),0)-IF(AND(Projects!$G$26="Yes",CU$3&gt;=Projects!$C$26,CU$3&lt;Projects!$C$26+Projects!$D$26),Projects!$B$26*(Assumptions!$B$10+Assumptions!$B$11+Assumptions!$B$12)/Projects!$D$26*0.95,0)-IF(AND(Projects!$G$26="Yes",CU$3=Projects!$C$26+Projects!$D$26-1),Projects!$B$26*(Assumptions!$B$10+Assumptions!$B$11+Assumptions!$B$12)*0.05,0)</f>
        <v>0</v>
      </c>
      <c r="CV35" s="19" t="n">
        <f aca="false">IF(AND(Projects!$G$26="Yes",CV$3&gt;=Projects!$C$26,CV$3&lt;Projects!$C$26+Projects!$D$26),Projects!$B$26*INDEX(Curves!$B$4:$AR$4,1,CV$3-Projects!$C$26+1),0)-IF(AND(Projects!$G$26="Yes",CV$3&gt;=Projects!$C$26,CV$3&lt;Projects!$C$26+Projects!$D$26),Projects!$B$26*(Assumptions!$B$10+Assumptions!$B$11+Assumptions!$B$12)/Projects!$D$26*0.95,0)-IF(AND(Projects!$G$26="Yes",CV$3=Projects!$C$26+Projects!$D$26-1),Projects!$B$26*(Assumptions!$B$10+Assumptions!$B$11+Assumptions!$B$12)*0.05,0)</f>
        <v>0</v>
      </c>
      <c r="CW35" s="19" t="n">
        <f aca="false">IF(AND(Projects!$G$26="Yes",CW$3&gt;=Projects!$C$26,CW$3&lt;Projects!$C$26+Projects!$D$26),Projects!$B$26*INDEX(Curves!$B$4:$AR$4,1,CW$3-Projects!$C$26+1),0)-IF(AND(Projects!$G$26="Yes",CW$3&gt;=Projects!$C$26,CW$3&lt;Projects!$C$26+Projects!$D$26),Projects!$B$26*(Assumptions!$B$10+Assumptions!$B$11+Assumptions!$B$12)/Projects!$D$26*0.95,0)-IF(AND(Projects!$G$26="Yes",CW$3=Projects!$C$26+Projects!$D$26-1),Projects!$B$26*(Assumptions!$B$10+Assumptions!$B$11+Assumptions!$B$12)*0.05,0)</f>
        <v>0</v>
      </c>
      <c r="CX35" s="19" t="n">
        <f aca="false">IF(AND(Projects!$G$26="Yes",CX$3&gt;=Projects!$C$26,CX$3&lt;Projects!$C$26+Projects!$D$26),Projects!$B$26*INDEX(Curves!$B$4:$AR$4,1,CX$3-Projects!$C$26+1),0)-IF(AND(Projects!$G$26="Yes",CX$3&gt;=Projects!$C$26,CX$3&lt;Projects!$C$26+Projects!$D$26),Projects!$B$26*(Assumptions!$B$10+Assumptions!$B$11+Assumptions!$B$12)/Projects!$D$26*0.95,0)-IF(AND(Projects!$G$26="Yes",CX$3=Projects!$C$26+Projects!$D$26-1),Projects!$B$26*(Assumptions!$B$10+Assumptions!$B$11+Assumptions!$B$12)*0.05,0)</f>
        <v>0</v>
      </c>
      <c r="CY35" s="19" t="n">
        <f aca="false">IF(AND(Projects!$G$26="Yes",CY$3&gt;=Projects!$C$26,CY$3&lt;Projects!$C$26+Projects!$D$26),Projects!$B$26*INDEX(Curves!$B$4:$AR$4,1,CY$3-Projects!$C$26+1),0)-IF(AND(Projects!$G$26="Yes",CY$3&gt;=Projects!$C$26,CY$3&lt;Projects!$C$26+Projects!$D$26),Projects!$B$26*(Assumptions!$B$10+Assumptions!$B$11+Assumptions!$B$12)/Projects!$D$26*0.95,0)-IF(AND(Projects!$G$26="Yes",CY$3=Projects!$C$26+Projects!$D$26-1),Projects!$B$26*(Assumptions!$B$10+Assumptions!$B$11+Assumptions!$B$12)*0.05,0)</f>
        <v>0</v>
      </c>
      <c r="CZ35" s="19" t="n">
        <f aca="false">IF(AND(Projects!$G$26="Yes",CZ$3&gt;=Projects!$C$26,CZ$3&lt;Projects!$C$26+Projects!$D$26),Projects!$B$26*INDEX(Curves!$B$4:$AR$4,1,CZ$3-Projects!$C$26+1),0)-IF(AND(Projects!$G$26="Yes",CZ$3&gt;=Projects!$C$26,CZ$3&lt;Projects!$C$26+Projects!$D$26),Projects!$B$26*(Assumptions!$B$10+Assumptions!$B$11+Assumptions!$B$12)/Projects!$D$26*0.95,0)-IF(AND(Projects!$G$26="Yes",CZ$3=Projects!$C$26+Projects!$D$26-1),Projects!$B$26*(Assumptions!$B$10+Assumptions!$B$11+Assumptions!$B$12)*0.05,0)</f>
        <v>0</v>
      </c>
      <c r="DA35" s="19" t="n">
        <f aca="false">IF(AND(Projects!$G$26="Yes",DA$3&gt;=Projects!$C$26,DA$3&lt;Projects!$C$26+Projects!$D$26),Projects!$B$26*INDEX(Curves!$B$4:$AR$4,1,DA$3-Projects!$C$26+1),0)-IF(AND(Projects!$G$26="Yes",DA$3&gt;=Projects!$C$26,DA$3&lt;Projects!$C$26+Projects!$D$26),Projects!$B$26*(Assumptions!$B$10+Assumptions!$B$11+Assumptions!$B$12)/Projects!$D$26*0.95,0)-IF(AND(Projects!$G$26="Yes",DA$3=Projects!$C$26+Projects!$D$26-1),Projects!$B$26*(Assumptions!$B$10+Assumptions!$B$11+Assumptions!$B$12)*0.05,0)</f>
        <v>0</v>
      </c>
      <c r="DB35" s="19" t="n">
        <f aca="false">IF(AND(Projects!$G$26="Yes",DB$3&gt;=Projects!$C$26,DB$3&lt;Projects!$C$26+Projects!$D$26),Projects!$B$26*INDEX(Curves!$B$4:$AR$4,1,DB$3-Projects!$C$26+1),0)-IF(AND(Projects!$G$26="Yes",DB$3&gt;=Projects!$C$26,DB$3&lt;Projects!$C$26+Projects!$D$26),Projects!$B$26*(Assumptions!$B$10+Assumptions!$B$11+Assumptions!$B$12)/Projects!$D$26*0.95,0)-IF(AND(Projects!$G$26="Yes",DB$3=Projects!$C$26+Projects!$D$26-1),Projects!$B$26*(Assumptions!$B$10+Assumptions!$B$11+Assumptions!$B$12)*0.05,0)</f>
        <v>0</v>
      </c>
      <c r="DC35" s="19" t="n">
        <f aca="false">IF(AND(Projects!$G$26="Yes",DC$3&gt;=Projects!$C$26,DC$3&lt;Projects!$C$26+Projects!$D$26),Projects!$B$26*INDEX(Curves!$B$4:$AR$4,1,DC$3-Projects!$C$26+1),0)-IF(AND(Projects!$G$26="Yes",DC$3&gt;=Projects!$C$26,DC$3&lt;Projects!$C$26+Projects!$D$26),Projects!$B$26*(Assumptions!$B$10+Assumptions!$B$11+Assumptions!$B$12)/Projects!$D$26*0.95,0)-IF(AND(Projects!$G$26="Yes",DC$3=Projects!$C$26+Projects!$D$26-1),Projects!$B$26*(Assumptions!$B$10+Assumptions!$B$11+Assumptions!$B$12)*0.05,0)</f>
        <v>0</v>
      </c>
      <c r="DD35" s="19" t="n">
        <f aca="false">IF(AND(Projects!$G$26="Yes",DD$3&gt;=Projects!$C$26,DD$3&lt;Projects!$C$26+Projects!$D$26),Projects!$B$26*INDEX(Curves!$B$4:$AR$4,1,DD$3-Projects!$C$26+1),0)-IF(AND(Projects!$G$26="Yes",DD$3&gt;=Projects!$C$26,DD$3&lt;Projects!$C$26+Projects!$D$26),Projects!$B$26*(Assumptions!$B$10+Assumptions!$B$11+Assumptions!$B$12)/Projects!$D$26*0.95,0)-IF(AND(Projects!$G$26="Yes",DD$3=Projects!$C$26+Projects!$D$26-1),Projects!$B$26*(Assumptions!$B$10+Assumptions!$B$11+Assumptions!$B$12)*0.05,0)</f>
        <v>0</v>
      </c>
      <c r="DE35" s="19" t="n">
        <f aca="false">IF(AND(Projects!$G$26="Yes",DE$3&gt;=Projects!$C$26,DE$3&lt;Projects!$C$26+Projects!$D$26),Projects!$B$26*INDEX(Curves!$B$4:$AR$4,1,DE$3-Projects!$C$26+1),0)-IF(AND(Projects!$G$26="Yes",DE$3&gt;=Projects!$C$26,DE$3&lt;Projects!$C$26+Projects!$D$26),Projects!$B$26*(Assumptions!$B$10+Assumptions!$B$11+Assumptions!$B$12)/Projects!$D$26*0.95,0)-IF(AND(Projects!$G$26="Yes",DE$3=Projects!$C$26+Projects!$D$26-1),Projects!$B$26*(Assumptions!$B$10+Assumptions!$B$11+Assumptions!$B$12)*0.05,0)</f>
        <v>0</v>
      </c>
    </row>
    <row r="36" customFormat="false" ht="15" hidden="true" customHeight="true" outlineLevel="1" collapsed="false">
      <c r="A36" s="28" t="s">
        <v>30</v>
      </c>
      <c r="B36" s="19" t="n">
        <v>0</v>
      </c>
      <c r="C36" s="19" t="n">
        <v>0</v>
      </c>
      <c r="D36" s="19" t="n">
        <v>0</v>
      </c>
      <c r="E36" s="19" t="n">
        <v>0</v>
      </c>
      <c r="F36" s="19" t="n">
        <f aca="false">IF(AND(Projects!$G$27="Yes",F$3&gt;=Projects!$C$27,F$3&lt;Projects!$C$27+Projects!$D$27),Projects!$B$27*INDEX(Curves!$B$4:$AR$4,1,F$3-Projects!$C$27+1),0)-IF(AND(Projects!$G$27="Yes",F$3&gt;=Projects!$C$27,F$3&lt;Projects!$C$27+Projects!$D$27),Projects!$B$27*(Assumptions!$B$10+Assumptions!$B$11+Assumptions!$B$12)/Projects!$D$27*0.95,0)-IF(AND(Projects!$G$27="Yes",F$3=Projects!$C$27+Projects!$D$27-1),Projects!$B$27*(Assumptions!$B$10+Assumptions!$B$11+Assumptions!$B$12)*0.05,0)</f>
        <v>0</v>
      </c>
      <c r="G36" s="19" t="n">
        <f aca="false">IF(AND(Projects!$G$27="Yes",G$3&gt;=Projects!$C$27,G$3&lt;Projects!$C$27+Projects!$D$27),Projects!$B$27*INDEX(Curves!$B$4:$AR$4,1,G$3-Projects!$C$27+1),0)-IF(AND(Projects!$G$27="Yes",G$3&gt;=Projects!$C$27,G$3&lt;Projects!$C$27+Projects!$D$27),Projects!$B$27*(Assumptions!$B$10+Assumptions!$B$11+Assumptions!$B$12)/Projects!$D$27*0.95,0)-IF(AND(Projects!$G$27="Yes",G$3=Projects!$C$27+Projects!$D$27-1),Projects!$B$27*(Assumptions!$B$10+Assumptions!$B$11+Assumptions!$B$12)*0.05,0)</f>
        <v>0</v>
      </c>
      <c r="H36" s="19" t="n">
        <f aca="false">IF(AND(Projects!$G$27="Yes",H$3&gt;=Projects!$C$27,H$3&lt;Projects!$C$27+Projects!$D$27),Projects!$B$27*INDEX(Curves!$B$4:$AR$4,1,H$3-Projects!$C$27+1),0)-IF(AND(Projects!$G$27="Yes",H$3&gt;=Projects!$C$27,H$3&lt;Projects!$C$27+Projects!$D$27),Projects!$B$27*(Assumptions!$B$10+Assumptions!$B$11+Assumptions!$B$12)/Projects!$D$27*0.95,0)-IF(AND(Projects!$G$27="Yes",H$3=Projects!$C$27+Projects!$D$27-1),Projects!$B$27*(Assumptions!$B$10+Assumptions!$B$11+Assumptions!$B$12)*0.05,0)</f>
        <v>0</v>
      </c>
      <c r="I36" s="19" t="n">
        <f aca="false">IF(AND(Projects!$G$27="Yes",I$3&gt;=Projects!$C$27,I$3&lt;Projects!$C$27+Projects!$D$27),Projects!$B$27*INDEX(Curves!$B$4:$AR$4,1,I$3-Projects!$C$27+1),0)-IF(AND(Projects!$G$27="Yes",I$3&gt;=Projects!$C$27,I$3&lt;Projects!$C$27+Projects!$D$27),Projects!$B$27*(Assumptions!$B$10+Assumptions!$B$11+Assumptions!$B$12)/Projects!$D$27*0.95,0)-IF(AND(Projects!$G$27="Yes",I$3=Projects!$C$27+Projects!$D$27-1),Projects!$B$27*(Assumptions!$B$10+Assumptions!$B$11+Assumptions!$B$12)*0.05,0)</f>
        <v>0</v>
      </c>
      <c r="J36" s="19" t="n">
        <f aca="false">IF(AND(Projects!$G$27="Yes",J$3&gt;=Projects!$C$27,J$3&lt;Projects!$C$27+Projects!$D$27),Projects!$B$27*INDEX(Curves!$B$4:$AR$4,1,J$3-Projects!$C$27+1),0)-IF(AND(Projects!$G$27="Yes",J$3&gt;=Projects!$C$27,J$3&lt;Projects!$C$27+Projects!$D$27),Projects!$B$27*(Assumptions!$B$10+Assumptions!$B$11+Assumptions!$B$12)/Projects!$D$27*0.95,0)-IF(AND(Projects!$G$27="Yes",J$3=Projects!$C$27+Projects!$D$27-1),Projects!$B$27*(Assumptions!$B$10+Assumptions!$B$11+Assumptions!$B$12)*0.05,0)</f>
        <v>0</v>
      </c>
      <c r="K36" s="19" t="n">
        <f aca="false">IF(AND(Projects!$G$27="Yes",K$3&gt;=Projects!$C$27,K$3&lt;Projects!$C$27+Projects!$D$27),Projects!$B$27*INDEX(Curves!$B$4:$AR$4,1,K$3-Projects!$C$27+1),0)-IF(AND(Projects!$G$27="Yes",K$3&gt;=Projects!$C$27,K$3&lt;Projects!$C$27+Projects!$D$27),Projects!$B$27*(Assumptions!$B$10+Assumptions!$B$11+Assumptions!$B$12)/Projects!$D$27*0.95,0)-IF(AND(Projects!$G$27="Yes",K$3=Projects!$C$27+Projects!$D$27-1),Projects!$B$27*(Assumptions!$B$10+Assumptions!$B$11+Assumptions!$B$12)*0.05,0)</f>
        <v>0</v>
      </c>
      <c r="L36" s="19" t="n">
        <f aca="false">IF(AND(Projects!$G$27="Yes",L$3&gt;=Projects!$C$27,L$3&lt;Projects!$C$27+Projects!$D$27),Projects!$B$27*INDEX(Curves!$B$4:$AR$4,1,L$3-Projects!$C$27+1),0)-IF(AND(Projects!$G$27="Yes",L$3&gt;=Projects!$C$27,L$3&lt;Projects!$C$27+Projects!$D$27),Projects!$B$27*(Assumptions!$B$10+Assumptions!$B$11+Assumptions!$B$12)/Projects!$D$27*0.95,0)-IF(AND(Projects!$G$27="Yes",L$3=Projects!$C$27+Projects!$D$27-1),Projects!$B$27*(Assumptions!$B$10+Assumptions!$B$11+Assumptions!$B$12)*0.05,0)</f>
        <v>0</v>
      </c>
      <c r="M36" s="19" t="n">
        <f aca="false">IF(AND(Projects!$G$27="Yes",M$3&gt;=Projects!$C$27,M$3&lt;Projects!$C$27+Projects!$D$27),Projects!$B$27*INDEX(Curves!$B$4:$AR$4,1,M$3-Projects!$C$27+1),0)-IF(AND(Projects!$G$27="Yes",M$3&gt;=Projects!$C$27,M$3&lt;Projects!$C$27+Projects!$D$27),Projects!$B$27*(Assumptions!$B$10+Assumptions!$B$11+Assumptions!$B$12)/Projects!$D$27*0.95,0)-IF(AND(Projects!$G$27="Yes",M$3=Projects!$C$27+Projects!$D$27-1),Projects!$B$27*(Assumptions!$B$10+Assumptions!$B$11+Assumptions!$B$12)*0.05,0)</f>
        <v>0</v>
      </c>
      <c r="N36" s="19" t="n">
        <f aca="false">IF(AND(Projects!$G$27="Yes",N$3&gt;=Projects!$C$27,N$3&lt;Projects!$C$27+Projects!$D$27),Projects!$B$27*INDEX(Curves!$B$4:$AR$4,1,N$3-Projects!$C$27+1),0)-IF(AND(Projects!$G$27="Yes",N$3&gt;=Projects!$C$27,N$3&lt;Projects!$C$27+Projects!$D$27),Projects!$B$27*(Assumptions!$B$10+Assumptions!$B$11+Assumptions!$B$12)/Projects!$D$27*0.95,0)-IF(AND(Projects!$G$27="Yes",N$3=Projects!$C$27+Projects!$D$27-1),Projects!$B$27*(Assumptions!$B$10+Assumptions!$B$11+Assumptions!$B$12)*0.05,0)</f>
        <v>0</v>
      </c>
      <c r="O36" s="19" t="n">
        <f aca="false">IF(AND(Projects!$G$27="Yes",O$3&gt;=Projects!$C$27,O$3&lt;Projects!$C$27+Projects!$D$27),Projects!$B$27*INDEX(Curves!$B$4:$AR$4,1,O$3-Projects!$C$27+1),0)-IF(AND(Projects!$G$27="Yes",O$3&gt;=Projects!$C$27,O$3&lt;Projects!$C$27+Projects!$D$27),Projects!$B$27*(Assumptions!$B$10+Assumptions!$B$11+Assumptions!$B$12)/Projects!$D$27*0.95,0)-IF(AND(Projects!$G$27="Yes",O$3=Projects!$C$27+Projects!$D$27-1),Projects!$B$27*(Assumptions!$B$10+Assumptions!$B$11+Assumptions!$B$12)*0.05,0)</f>
        <v>0</v>
      </c>
      <c r="P36" s="19" t="n">
        <f aca="false">IF(AND(Projects!$G$27="Yes",P$3&gt;=Projects!$C$27,P$3&lt;Projects!$C$27+Projects!$D$27),Projects!$B$27*INDEX(Curves!$B$4:$AR$4,1,P$3-Projects!$C$27+1),0)-IF(AND(Projects!$G$27="Yes",P$3&gt;=Projects!$C$27,P$3&lt;Projects!$C$27+Projects!$D$27),Projects!$B$27*(Assumptions!$B$10+Assumptions!$B$11+Assumptions!$B$12)/Projects!$D$27*0.95,0)-IF(AND(Projects!$G$27="Yes",P$3=Projects!$C$27+Projects!$D$27-1),Projects!$B$27*(Assumptions!$B$10+Assumptions!$B$11+Assumptions!$B$12)*0.05,0)</f>
        <v>0</v>
      </c>
      <c r="Q36" s="19" t="n">
        <f aca="false">IF(AND(Projects!$G$27="Yes",Q$3&gt;=Projects!$C$27,Q$3&lt;Projects!$C$27+Projects!$D$27),Projects!$B$27*INDEX(Curves!$B$4:$AR$4,1,Q$3-Projects!$C$27+1),0)-IF(AND(Projects!$G$27="Yes",Q$3&gt;=Projects!$C$27,Q$3&lt;Projects!$C$27+Projects!$D$27),Projects!$B$27*(Assumptions!$B$10+Assumptions!$B$11+Assumptions!$B$12)/Projects!$D$27*0.95,0)-IF(AND(Projects!$G$27="Yes",Q$3=Projects!$C$27+Projects!$D$27-1),Projects!$B$27*(Assumptions!$B$10+Assumptions!$B$11+Assumptions!$B$12)*0.05,0)</f>
        <v>0</v>
      </c>
      <c r="R36" s="19" t="n">
        <f aca="false">IF(AND(Projects!$G$27="Yes",R$3&gt;=Projects!$C$27,R$3&lt;Projects!$C$27+Projects!$D$27),Projects!$B$27*INDEX(Curves!$B$4:$AR$4,1,R$3-Projects!$C$27+1),0)-IF(AND(Projects!$G$27="Yes",R$3&gt;=Projects!$C$27,R$3&lt;Projects!$C$27+Projects!$D$27),Projects!$B$27*(Assumptions!$B$10+Assumptions!$B$11+Assumptions!$B$12)/Projects!$D$27*0.95,0)-IF(AND(Projects!$G$27="Yes",R$3=Projects!$C$27+Projects!$D$27-1),Projects!$B$27*(Assumptions!$B$10+Assumptions!$B$11+Assumptions!$B$12)*0.05,0)</f>
        <v>0</v>
      </c>
      <c r="S36" s="19" t="n">
        <f aca="false">IF(AND(Projects!$G$27="Yes",S$3&gt;=Projects!$C$27,S$3&lt;Projects!$C$27+Projects!$D$27),Projects!$B$27*INDEX(Curves!$B$4:$AR$4,1,S$3-Projects!$C$27+1),0)-IF(AND(Projects!$G$27="Yes",S$3&gt;=Projects!$C$27,S$3&lt;Projects!$C$27+Projects!$D$27),Projects!$B$27*(Assumptions!$B$10+Assumptions!$B$11+Assumptions!$B$12)/Projects!$D$27*0.95,0)-IF(AND(Projects!$G$27="Yes",S$3=Projects!$C$27+Projects!$D$27-1),Projects!$B$27*(Assumptions!$B$10+Assumptions!$B$11+Assumptions!$B$12)*0.05,0)</f>
        <v>0</v>
      </c>
      <c r="T36" s="19" t="n">
        <f aca="false">IF(AND(Projects!$G$27="Yes",T$3&gt;=Projects!$C$27,T$3&lt;Projects!$C$27+Projects!$D$27),Projects!$B$27*INDEX(Curves!$B$4:$AR$4,1,T$3-Projects!$C$27+1),0)-IF(AND(Projects!$G$27="Yes",T$3&gt;=Projects!$C$27,T$3&lt;Projects!$C$27+Projects!$D$27),Projects!$B$27*(Assumptions!$B$10+Assumptions!$B$11+Assumptions!$B$12)/Projects!$D$27*0.95,0)-IF(AND(Projects!$G$27="Yes",T$3=Projects!$C$27+Projects!$D$27-1),Projects!$B$27*(Assumptions!$B$10+Assumptions!$B$11+Assumptions!$B$12)*0.05,0)</f>
        <v>0</v>
      </c>
      <c r="U36" s="19" t="n">
        <f aca="false">IF(AND(Projects!$G$27="Yes",U$3&gt;=Projects!$C$27,U$3&lt;Projects!$C$27+Projects!$D$27),Projects!$B$27*INDEX(Curves!$B$4:$AR$4,1,U$3-Projects!$C$27+1),0)-IF(AND(Projects!$G$27="Yes",U$3&gt;=Projects!$C$27,U$3&lt;Projects!$C$27+Projects!$D$27),Projects!$B$27*(Assumptions!$B$10+Assumptions!$B$11+Assumptions!$B$12)/Projects!$D$27*0.95,0)-IF(AND(Projects!$G$27="Yes",U$3=Projects!$C$27+Projects!$D$27-1),Projects!$B$27*(Assumptions!$B$10+Assumptions!$B$11+Assumptions!$B$12)*0.05,0)</f>
        <v>0</v>
      </c>
      <c r="V36" s="19" t="n">
        <f aca="false">IF(AND(Projects!$G$27="Yes",V$3&gt;=Projects!$C$27,V$3&lt;Projects!$C$27+Projects!$D$27),Projects!$B$27*INDEX(Curves!$B$4:$AR$4,1,V$3-Projects!$C$27+1),0)-IF(AND(Projects!$G$27="Yes",V$3&gt;=Projects!$C$27,V$3&lt;Projects!$C$27+Projects!$D$27),Projects!$B$27*(Assumptions!$B$10+Assumptions!$B$11+Assumptions!$B$12)/Projects!$D$27*0.95,0)-IF(AND(Projects!$G$27="Yes",V$3=Projects!$C$27+Projects!$D$27-1),Projects!$B$27*(Assumptions!$B$10+Assumptions!$B$11+Assumptions!$B$12)*0.05,0)</f>
        <v>0</v>
      </c>
      <c r="W36" s="19" t="n">
        <f aca="false">IF(AND(Projects!$G$27="Yes",W$3&gt;=Projects!$C$27,W$3&lt;Projects!$C$27+Projects!$D$27),Projects!$B$27*INDEX(Curves!$B$4:$AR$4,1,W$3-Projects!$C$27+1),0)-IF(AND(Projects!$G$27="Yes",W$3&gt;=Projects!$C$27,W$3&lt;Projects!$C$27+Projects!$D$27),Projects!$B$27*(Assumptions!$B$10+Assumptions!$B$11+Assumptions!$B$12)/Projects!$D$27*0.95,0)-IF(AND(Projects!$G$27="Yes",W$3=Projects!$C$27+Projects!$D$27-1),Projects!$B$27*(Assumptions!$B$10+Assumptions!$B$11+Assumptions!$B$12)*0.05,0)</f>
        <v>0</v>
      </c>
      <c r="X36" s="19" t="n">
        <f aca="false">IF(AND(Projects!$G$27="Yes",X$3&gt;=Projects!$C$27,X$3&lt;Projects!$C$27+Projects!$D$27),Projects!$B$27*INDEX(Curves!$B$4:$AR$4,1,X$3-Projects!$C$27+1),0)-IF(AND(Projects!$G$27="Yes",X$3&gt;=Projects!$C$27,X$3&lt;Projects!$C$27+Projects!$D$27),Projects!$B$27*(Assumptions!$B$10+Assumptions!$B$11+Assumptions!$B$12)/Projects!$D$27*0.95,0)-IF(AND(Projects!$G$27="Yes",X$3=Projects!$C$27+Projects!$D$27-1),Projects!$B$27*(Assumptions!$B$10+Assumptions!$B$11+Assumptions!$B$12)*0.05,0)</f>
        <v>0</v>
      </c>
      <c r="Y36" s="19" t="n">
        <f aca="false">IF(AND(Projects!$G$27="Yes",Y$3&gt;=Projects!$C$27,Y$3&lt;Projects!$C$27+Projects!$D$27),Projects!$B$27*INDEX(Curves!$B$4:$AR$4,1,Y$3-Projects!$C$27+1),0)-IF(AND(Projects!$G$27="Yes",Y$3&gt;=Projects!$C$27,Y$3&lt;Projects!$C$27+Projects!$D$27),Projects!$B$27*(Assumptions!$B$10+Assumptions!$B$11+Assumptions!$B$12)/Projects!$D$27*0.95,0)-IF(AND(Projects!$G$27="Yes",Y$3=Projects!$C$27+Projects!$D$27-1),Projects!$B$27*(Assumptions!$B$10+Assumptions!$B$11+Assumptions!$B$12)*0.05,0)</f>
        <v>0</v>
      </c>
      <c r="Z36" s="19" t="n">
        <f aca="false">IF(AND(Projects!$G$27="Yes",Z$3&gt;=Projects!$C$27,Z$3&lt;Projects!$C$27+Projects!$D$27),Projects!$B$27*INDEX(Curves!$B$4:$AR$4,1,Z$3-Projects!$C$27+1),0)-IF(AND(Projects!$G$27="Yes",Z$3&gt;=Projects!$C$27,Z$3&lt;Projects!$C$27+Projects!$D$27),Projects!$B$27*(Assumptions!$B$10+Assumptions!$B$11+Assumptions!$B$12)/Projects!$D$27*0.95,0)-IF(AND(Projects!$G$27="Yes",Z$3=Projects!$C$27+Projects!$D$27-1),Projects!$B$27*(Assumptions!$B$10+Assumptions!$B$11+Assumptions!$B$12)*0.05,0)</f>
        <v>0</v>
      </c>
      <c r="AA36" s="19" t="n">
        <f aca="false">IF(AND(Projects!$G$27="Yes",AA$3&gt;=Projects!$C$27,AA$3&lt;Projects!$C$27+Projects!$D$27),Projects!$B$27*INDEX(Curves!$B$4:$AR$4,1,AA$3-Projects!$C$27+1),0)-IF(AND(Projects!$G$27="Yes",AA$3&gt;=Projects!$C$27,AA$3&lt;Projects!$C$27+Projects!$D$27),Projects!$B$27*(Assumptions!$B$10+Assumptions!$B$11+Assumptions!$B$12)/Projects!$D$27*0.95,0)-IF(AND(Projects!$G$27="Yes",AA$3=Projects!$C$27+Projects!$D$27-1),Projects!$B$27*(Assumptions!$B$10+Assumptions!$B$11+Assumptions!$B$12)*0.05,0)</f>
        <v>0</v>
      </c>
      <c r="AB36" s="19" t="n">
        <f aca="false">IF(AND(Projects!$G$27="Yes",AB$3&gt;=Projects!$C$27,AB$3&lt;Projects!$C$27+Projects!$D$27),Projects!$B$27*INDEX(Curves!$B$4:$AR$4,1,AB$3-Projects!$C$27+1),0)-IF(AND(Projects!$G$27="Yes",AB$3&gt;=Projects!$C$27,AB$3&lt;Projects!$C$27+Projects!$D$27),Projects!$B$27*(Assumptions!$B$10+Assumptions!$B$11+Assumptions!$B$12)/Projects!$D$27*0.95,0)-IF(AND(Projects!$G$27="Yes",AB$3=Projects!$C$27+Projects!$D$27-1),Projects!$B$27*(Assumptions!$B$10+Assumptions!$B$11+Assumptions!$B$12)*0.05,0)</f>
        <v>0</v>
      </c>
      <c r="AC36" s="19" t="n">
        <f aca="false">IF(AND(Projects!$G$27="Yes",AC$3&gt;=Projects!$C$27,AC$3&lt;Projects!$C$27+Projects!$D$27),Projects!$B$27*INDEX(Curves!$B$4:$AR$4,1,AC$3-Projects!$C$27+1),0)-IF(AND(Projects!$G$27="Yes",AC$3&gt;=Projects!$C$27,AC$3&lt;Projects!$C$27+Projects!$D$27),Projects!$B$27*(Assumptions!$B$10+Assumptions!$B$11+Assumptions!$B$12)/Projects!$D$27*0.95,0)-IF(AND(Projects!$G$27="Yes",AC$3=Projects!$C$27+Projects!$D$27-1),Projects!$B$27*(Assumptions!$B$10+Assumptions!$B$11+Assumptions!$B$12)*0.05,0)</f>
        <v>0</v>
      </c>
      <c r="AD36" s="19" t="n">
        <f aca="false">IF(AND(Projects!$G$27="Yes",AD$3&gt;=Projects!$C$27,AD$3&lt;Projects!$C$27+Projects!$D$27),Projects!$B$27*INDEX(Curves!$B$4:$AR$4,1,AD$3-Projects!$C$27+1),0)-IF(AND(Projects!$G$27="Yes",AD$3&gt;=Projects!$C$27,AD$3&lt;Projects!$C$27+Projects!$D$27),Projects!$B$27*(Assumptions!$B$10+Assumptions!$B$11+Assumptions!$B$12)/Projects!$D$27*0.95,0)-IF(AND(Projects!$G$27="Yes",AD$3=Projects!$C$27+Projects!$D$27-1),Projects!$B$27*(Assumptions!$B$10+Assumptions!$B$11+Assumptions!$B$12)*0.05,0)</f>
        <v>0</v>
      </c>
      <c r="AE36" s="19" t="n">
        <f aca="false">IF(AND(Projects!$G$27="Yes",AE$3&gt;=Projects!$C$27,AE$3&lt;Projects!$C$27+Projects!$D$27),Projects!$B$27*INDEX(Curves!$B$4:$AR$4,1,AE$3-Projects!$C$27+1),0)-IF(AND(Projects!$G$27="Yes",AE$3&gt;=Projects!$C$27,AE$3&lt;Projects!$C$27+Projects!$D$27),Projects!$B$27*(Assumptions!$B$10+Assumptions!$B$11+Assumptions!$B$12)/Projects!$D$27*0.95,0)-IF(AND(Projects!$G$27="Yes",AE$3=Projects!$C$27+Projects!$D$27-1),Projects!$B$27*(Assumptions!$B$10+Assumptions!$B$11+Assumptions!$B$12)*0.05,0)</f>
        <v>0</v>
      </c>
      <c r="AF36" s="19" t="n">
        <f aca="false">IF(AND(Projects!$G$27="Yes",AF$3&gt;=Projects!$C$27,AF$3&lt;Projects!$C$27+Projects!$D$27),Projects!$B$27*INDEX(Curves!$B$4:$AR$4,1,AF$3-Projects!$C$27+1),0)-IF(AND(Projects!$G$27="Yes",AF$3&gt;=Projects!$C$27,AF$3&lt;Projects!$C$27+Projects!$D$27),Projects!$B$27*(Assumptions!$B$10+Assumptions!$B$11+Assumptions!$B$12)/Projects!$D$27*0.95,0)-IF(AND(Projects!$G$27="Yes",AF$3=Projects!$C$27+Projects!$D$27-1),Projects!$B$27*(Assumptions!$B$10+Assumptions!$B$11+Assumptions!$B$12)*0.05,0)</f>
        <v>0</v>
      </c>
      <c r="AG36" s="19" t="n">
        <f aca="false">IF(AND(Projects!$G$27="Yes",AG$3&gt;=Projects!$C$27,AG$3&lt;Projects!$C$27+Projects!$D$27),Projects!$B$27*INDEX(Curves!$B$4:$AR$4,1,AG$3-Projects!$C$27+1),0)-IF(AND(Projects!$G$27="Yes",AG$3&gt;=Projects!$C$27,AG$3&lt;Projects!$C$27+Projects!$D$27),Projects!$B$27*(Assumptions!$B$10+Assumptions!$B$11+Assumptions!$B$12)/Projects!$D$27*0.95,0)-IF(AND(Projects!$G$27="Yes",AG$3=Projects!$C$27+Projects!$D$27-1),Projects!$B$27*(Assumptions!$B$10+Assumptions!$B$11+Assumptions!$B$12)*0.05,0)</f>
        <v>0</v>
      </c>
      <c r="AH36" s="19" t="n">
        <f aca="false">IF(AND(Projects!$G$27="Yes",AH$3&gt;=Projects!$C$27,AH$3&lt;Projects!$C$27+Projects!$D$27),Projects!$B$27*INDEX(Curves!$B$4:$AR$4,1,AH$3-Projects!$C$27+1),0)-IF(AND(Projects!$G$27="Yes",AH$3&gt;=Projects!$C$27,AH$3&lt;Projects!$C$27+Projects!$D$27),Projects!$B$27*(Assumptions!$B$10+Assumptions!$B$11+Assumptions!$B$12)/Projects!$D$27*0.95,0)-IF(AND(Projects!$G$27="Yes",AH$3=Projects!$C$27+Projects!$D$27-1),Projects!$B$27*(Assumptions!$B$10+Assumptions!$B$11+Assumptions!$B$12)*0.05,0)</f>
        <v>0</v>
      </c>
      <c r="AI36" s="19" t="n">
        <f aca="false">IF(AND(Projects!$G$27="Yes",AI$3&gt;=Projects!$C$27,AI$3&lt;Projects!$C$27+Projects!$D$27),Projects!$B$27*INDEX(Curves!$B$4:$AR$4,1,AI$3-Projects!$C$27+1),0)-IF(AND(Projects!$G$27="Yes",AI$3&gt;=Projects!$C$27,AI$3&lt;Projects!$C$27+Projects!$D$27),Projects!$B$27*(Assumptions!$B$10+Assumptions!$B$11+Assumptions!$B$12)/Projects!$D$27*0.95,0)-IF(AND(Projects!$G$27="Yes",AI$3=Projects!$C$27+Projects!$D$27-1),Projects!$B$27*(Assumptions!$B$10+Assumptions!$B$11+Assumptions!$B$12)*0.05,0)</f>
        <v>307461.75</v>
      </c>
      <c r="AJ36" s="19" t="n">
        <f aca="false">IF(AND(Projects!$G$27="Yes",AJ$3&gt;=Projects!$C$27,AJ$3&lt;Projects!$C$27+Projects!$D$27),Projects!$B$27*INDEX(Curves!$B$4:$AR$4,1,AJ$3-Projects!$C$27+1),0)-IF(AND(Projects!$G$27="Yes",AJ$3&gt;=Projects!$C$27,AJ$3&lt;Projects!$C$27+Projects!$D$27),Projects!$B$27*(Assumptions!$B$10+Assumptions!$B$11+Assumptions!$B$12)/Projects!$D$27*0.95,0)-IF(AND(Projects!$G$27="Yes",AJ$3=Projects!$C$27+Projects!$D$27-1),Projects!$B$27*(Assumptions!$B$10+Assumptions!$B$11+Assumptions!$B$12)*0.05,0)</f>
        <v>401121.75</v>
      </c>
      <c r="AK36" s="19" t="n">
        <f aca="false">IF(AND(Projects!$G$27="Yes",AK$3&gt;=Projects!$C$27,AK$3&lt;Projects!$C$27+Projects!$D$27),Projects!$B$27*INDEX(Curves!$B$4:$AR$4,1,AK$3-Projects!$C$27+1),0)-IF(AND(Projects!$G$27="Yes",AK$3&gt;=Projects!$C$27,AK$3&lt;Projects!$C$27+Projects!$D$27),Projects!$B$27*(Assumptions!$B$10+Assumptions!$B$11+Assumptions!$B$12)/Projects!$D$27*0.95,0)-IF(AND(Projects!$G$27="Yes",AK$3=Projects!$C$27+Projects!$D$27-1),Projects!$B$27*(Assumptions!$B$10+Assumptions!$B$11+Assumptions!$B$12)*0.05,0)</f>
        <v>501936.75</v>
      </c>
      <c r="AL36" s="19" t="n">
        <f aca="false">IF(AND(Projects!$G$27="Yes",AL$3&gt;=Projects!$C$27,AL$3&lt;Projects!$C$27+Projects!$D$27),Projects!$B$27*INDEX(Curves!$B$4:$AR$4,1,AL$3-Projects!$C$27+1),0)-IF(AND(Projects!$G$27="Yes",AL$3&gt;=Projects!$C$27,AL$3&lt;Projects!$C$27+Projects!$D$27),Projects!$B$27*(Assumptions!$B$10+Assumptions!$B$11+Assumptions!$B$12)/Projects!$D$27*0.95,0)-IF(AND(Projects!$G$27="Yes",AL$3=Projects!$C$27+Projects!$D$27-1),Projects!$B$27*(Assumptions!$B$10+Assumptions!$B$11+Assumptions!$B$12)*0.05,0)</f>
        <v>605886.75</v>
      </c>
      <c r="AM36" s="19" t="n">
        <f aca="false">IF(AND(Projects!$G$27="Yes",AM$3&gt;=Projects!$C$27,AM$3&lt;Projects!$C$27+Projects!$D$27),Projects!$B$27*INDEX(Curves!$B$4:$AR$4,1,AM$3-Projects!$C$27+1),0)-IF(AND(Projects!$G$27="Yes",AM$3&gt;=Projects!$C$27,AM$3&lt;Projects!$C$27+Projects!$D$27),Projects!$B$27*(Assumptions!$B$10+Assumptions!$B$11+Assumptions!$B$12)/Projects!$D$27*0.95,0)-IF(AND(Projects!$G$27="Yes",AM$3=Projects!$C$27+Projects!$D$27-1),Projects!$B$27*(Assumptions!$B$10+Assumptions!$B$11+Assumptions!$B$12)*0.05,0)</f>
        <v>707976.75</v>
      </c>
      <c r="AN36" s="19" t="n">
        <f aca="false">IF(AND(Projects!$G$27="Yes",AN$3&gt;=Projects!$C$27,AN$3&lt;Projects!$C$27+Projects!$D$27),Projects!$B$27*INDEX(Curves!$B$4:$AR$4,1,AN$3-Projects!$C$27+1),0)-IF(AND(Projects!$G$27="Yes",AN$3&gt;=Projects!$C$27,AN$3&lt;Projects!$C$27+Projects!$D$27),Projects!$B$27*(Assumptions!$B$10+Assumptions!$B$11+Assumptions!$B$12)/Projects!$D$27*0.95,0)-IF(AND(Projects!$G$27="Yes",AN$3=Projects!$C$27+Projects!$D$27-1),Projects!$B$27*(Assumptions!$B$10+Assumptions!$B$11+Assumptions!$B$12)*0.05,0)</f>
        <v>802536.75</v>
      </c>
      <c r="AO36" s="19" t="n">
        <f aca="false">IF(AND(Projects!$G$27="Yes",AO$3&gt;=Projects!$C$27,AO$3&lt;Projects!$C$27+Projects!$D$27),Projects!$B$27*INDEX(Curves!$B$4:$AR$4,1,AO$3-Projects!$C$27+1),0)-IF(AND(Projects!$G$27="Yes",AO$3&gt;=Projects!$C$27,AO$3&lt;Projects!$C$27+Projects!$D$27),Projects!$B$27*(Assumptions!$B$10+Assumptions!$B$11+Assumptions!$B$12)/Projects!$D$27*0.95,0)-IF(AND(Projects!$G$27="Yes",AO$3=Projects!$C$27+Projects!$D$27-1),Projects!$B$27*(Assumptions!$B$10+Assumptions!$B$11+Assumptions!$B$12)*0.05,0)</f>
        <v>883761.75</v>
      </c>
      <c r="AP36" s="19" t="n">
        <f aca="false">IF(AND(Projects!$G$27="Yes",AP$3&gt;=Projects!$C$27,AP$3&lt;Projects!$C$27+Projects!$D$27),Projects!$B$27*INDEX(Curves!$B$4:$AR$4,1,AP$3-Projects!$C$27+1),0)-IF(AND(Projects!$G$27="Yes",AP$3&gt;=Projects!$C$27,AP$3&lt;Projects!$C$27+Projects!$D$27),Projects!$B$27*(Assumptions!$B$10+Assumptions!$B$11+Assumptions!$B$12)/Projects!$D$27*0.95,0)-IF(AND(Projects!$G$27="Yes",AP$3=Projects!$C$27+Projects!$D$27-1),Projects!$B$27*(Assumptions!$B$10+Assumptions!$B$11+Assumptions!$B$12)*0.05,0)</f>
        <v>946266.75</v>
      </c>
      <c r="AQ36" s="19" t="n">
        <f aca="false">IF(AND(Projects!$G$27="Yes",AQ$3&gt;=Projects!$C$27,AQ$3&lt;Projects!$C$27+Projects!$D$27),Projects!$B$27*INDEX(Curves!$B$4:$AR$4,1,AQ$3-Projects!$C$27+1),0)-IF(AND(Projects!$G$27="Yes",AQ$3&gt;=Projects!$C$27,AQ$3&lt;Projects!$C$27+Projects!$D$27),Projects!$B$27*(Assumptions!$B$10+Assumptions!$B$11+Assumptions!$B$12)/Projects!$D$27*0.95,0)-IF(AND(Projects!$G$27="Yes",AQ$3=Projects!$C$27+Projects!$D$27-1),Projects!$B$27*(Assumptions!$B$10+Assumptions!$B$11+Assumptions!$B$12)*0.05,0)</f>
        <v>985686.75</v>
      </c>
      <c r="AR36" s="19" t="n">
        <f aca="false">IF(AND(Projects!$G$27="Yes",AR$3&gt;=Projects!$C$27,AR$3&lt;Projects!$C$27+Projects!$D$27),Projects!$B$27*INDEX(Curves!$B$4:$AR$4,1,AR$3-Projects!$C$27+1),0)-IF(AND(Projects!$G$27="Yes",AR$3&gt;=Projects!$C$27,AR$3&lt;Projects!$C$27+Projects!$D$27),Projects!$B$27*(Assumptions!$B$10+Assumptions!$B$11+Assumptions!$B$12)/Projects!$D$27*0.95,0)-IF(AND(Projects!$G$27="Yes",AR$3=Projects!$C$27+Projects!$D$27-1),Projects!$B$27*(Assumptions!$B$10+Assumptions!$B$11+Assumptions!$B$12)*0.05,0)</f>
        <v>999156.75</v>
      </c>
      <c r="AS36" s="19" t="n">
        <f aca="false">IF(AND(Projects!$G$27="Yes",AS$3&gt;=Projects!$C$27,AS$3&lt;Projects!$C$27+Projects!$D$27),Projects!$B$27*INDEX(Curves!$B$4:$AR$4,1,AS$3-Projects!$C$27+1),0)-IF(AND(Projects!$G$27="Yes",AS$3&gt;=Projects!$C$27,AS$3&lt;Projects!$C$27+Projects!$D$27),Projects!$B$27*(Assumptions!$B$10+Assumptions!$B$11+Assumptions!$B$12)/Projects!$D$27*0.95,0)-IF(AND(Projects!$G$27="Yes",AS$3=Projects!$C$27+Projects!$D$27-1),Projects!$B$27*(Assumptions!$B$10+Assumptions!$B$11+Assumptions!$B$12)*0.05,0)</f>
        <v>985686.75</v>
      </c>
      <c r="AT36" s="19" t="n">
        <f aca="false">IF(AND(Projects!$G$27="Yes",AT$3&gt;=Projects!$C$27,AT$3&lt;Projects!$C$27+Projects!$D$27),Projects!$B$27*INDEX(Curves!$B$4:$AR$4,1,AT$3-Projects!$C$27+1),0)-IF(AND(Projects!$G$27="Yes",AT$3&gt;=Projects!$C$27,AT$3&lt;Projects!$C$27+Projects!$D$27),Projects!$B$27*(Assumptions!$B$10+Assumptions!$B$11+Assumptions!$B$12)/Projects!$D$27*0.95,0)-IF(AND(Projects!$G$27="Yes",AT$3=Projects!$C$27+Projects!$D$27-1),Projects!$B$27*(Assumptions!$B$10+Assumptions!$B$11+Assumptions!$B$12)*0.05,0)</f>
        <v>946266.75</v>
      </c>
      <c r="AU36" s="19" t="n">
        <f aca="false">IF(AND(Projects!$G$27="Yes",AU$3&gt;=Projects!$C$27,AU$3&lt;Projects!$C$27+Projects!$D$27),Projects!$B$27*INDEX(Curves!$B$4:$AR$4,1,AU$3-Projects!$C$27+1),0)-IF(AND(Projects!$G$27="Yes",AU$3&gt;=Projects!$C$27,AU$3&lt;Projects!$C$27+Projects!$D$27),Projects!$B$27*(Assumptions!$B$10+Assumptions!$B$11+Assumptions!$B$12)/Projects!$D$27*0.95,0)-IF(AND(Projects!$G$27="Yes",AU$3=Projects!$C$27+Projects!$D$27-1),Projects!$B$27*(Assumptions!$B$10+Assumptions!$B$11+Assumptions!$B$12)*0.05,0)</f>
        <v>883761.75</v>
      </c>
      <c r="AV36" s="19" t="n">
        <f aca="false">IF(AND(Projects!$G$27="Yes",AV$3&gt;=Projects!$C$27,AV$3&lt;Projects!$C$27+Projects!$D$27),Projects!$B$27*INDEX(Curves!$B$4:$AR$4,1,AV$3-Projects!$C$27+1),0)-IF(AND(Projects!$G$27="Yes",AV$3&gt;=Projects!$C$27,AV$3&lt;Projects!$C$27+Projects!$D$27),Projects!$B$27*(Assumptions!$B$10+Assumptions!$B$11+Assumptions!$B$12)/Projects!$D$27*0.95,0)-IF(AND(Projects!$G$27="Yes",AV$3=Projects!$C$27+Projects!$D$27-1),Projects!$B$27*(Assumptions!$B$10+Assumptions!$B$11+Assumptions!$B$12)*0.05,0)</f>
        <v>802536.75</v>
      </c>
      <c r="AW36" s="19" t="n">
        <f aca="false">IF(AND(Projects!$G$27="Yes",AW$3&gt;=Projects!$C$27,AW$3&lt;Projects!$C$27+Projects!$D$27),Projects!$B$27*INDEX(Curves!$B$4:$AR$4,1,AW$3-Projects!$C$27+1),0)-IF(AND(Projects!$G$27="Yes",AW$3&gt;=Projects!$C$27,AW$3&lt;Projects!$C$27+Projects!$D$27),Projects!$B$27*(Assumptions!$B$10+Assumptions!$B$11+Assumptions!$B$12)/Projects!$D$27*0.95,0)-IF(AND(Projects!$G$27="Yes",AW$3=Projects!$C$27+Projects!$D$27-1),Projects!$B$27*(Assumptions!$B$10+Assumptions!$B$11+Assumptions!$B$12)*0.05,0)</f>
        <v>707976.75</v>
      </c>
      <c r="AX36" s="19" t="n">
        <f aca="false">IF(AND(Projects!$G$27="Yes",AX$3&gt;=Projects!$C$27,AX$3&lt;Projects!$C$27+Projects!$D$27),Projects!$B$27*INDEX(Curves!$B$4:$AR$4,1,AX$3-Projects!$C$27+1),0)-IF(AND(Projects!$G$27="Yes",AX$3&gt;=Projects!$C$27,AX$3&lt;Projects!$C$27+Projects!$D$27),Projects!$B$27*(Assumptions!$B$10+Assumptions!$B$11+Assumptions!$B$12)/Projects!$D$27*0.95,0)-IF(AND(Projects!$G$27="Yes",AX$3=Projects!$C$27+Projects!$D$27-1),Projects!$B$27*(Assumptions!$B$10+Assumptions!$B$11+Assumptions!$B$12)*0.05,0)</f>
        <v>605886.75</v>
      </c>
      <c r="AY36" s="19" t="n">
        <f aca="false">IF(AND(Projects!$G$27="Yes",AY$3&gt;=Projects!$C$27,AY$3&lt;Projects!$C$27+Projects!$D$27),Projects!$B$27*INDEX(Curves!$B$4:$AR$4,1,AY$3-Projects!$C$27+1),0)-IF(AND(Projects!$G$27="Yes",AY$3&gt;=Projects!$C$27,AY$3&lt;Projects!$C$27+Projects!$D$27),Projects!$B$27*(Assumptions!$B$10+Assumptions!$B$11+Assumptions!$B$12)/Projects!$D$27*0.95,0)-IF(AND(Projects!$G$27="Yes",AY$3=Projects!$C$27+Projects!$D$27-1),Projects!$B$27*(Assumptions!$B$10+Assumptions!$B$11+Assumptions!$B$12)*0.05,0)</f>
        <v>501936.75</v>
      </c>
      <c r="AZ36" s="19" t="n">
        <f aca="false">IF(AND(Projects!$G$27="Yes",AZ$3&gt;=Projects!$C$27,AZ$3&lt;Projects!$C$27+Projects!$D$27),Projects!$B$27*INDEX(Curves!$B$4:$AR$4,1,AZ$3-Projects!$C$27+1),0)-IF(AND(Projects!$G$27="Yes",AZ$3&gt;=Projects!$C$27,AZ$3&lt;Projects!$C$27+Projects!$D$27),Projects!$B$27*(Assumptions!$B$10+Assumptions!$B$11+Assumptions!$B$12)/Projects!$D$27*0.95,0)-IF(AND(Projects!$G$27="Yes",AZ$3=Projects!$C$27+Projects!$D$27-1),Projects!$B$27*(Assumptions!$B$10+Assumptions!$B$11+Assumptions!$B$12)*0.05,0)</f>
        <v>401121.75</v>
      </c>
      <c r="BA36" s="19" t="n">
        <f aca="false">IF(AND(Projects!$G$27="Yes",BA$3&gt;=Projects!$C$27,BA$3&lt;Projects!$C$27+Projects!$D$27),Projects!$B$27*INDEX(Curves!$B$4:$AR$4,1,BA$3-Projects!$C$27+1),0)-IF(AND(Projects!$G$27="Yes",BA$3&gt;=Projects!$C$27,BA$3&lt;Projects!$C$27+Projects!$D$27),Projects!$B$27*(Assumptions!$B$10+Assumptions!$B$11+Assumptions!$B$12)/Projects!$D$27*0.95,0)-IF(AND(Projects!$G$27="Yes",BA$3=Projects!$C$27+Projects!$D$27-1),Projects!$B$27*(Assumptions!$B$10+Assumptions!$B$11+Assumptions!$B$12)*0.05,0)</f>
        <v>217168.5</v>
      </c>
      <c r="BB36" s="19" t="n">
        <f aca="false">IF(AND(Projects!$G$27="Yes",BB$3&gt;=Projects!$C$27,BB$3&lt;Projects!$C$27+Projects!$D$27),Projects!$B$27*INDEX(Curves!$B$4:$AR$4,1,BB$3-Projects!$C$27+1),0)-IF(AND(Projects!$G$27="Yes",BB$3&gt;=Projects!$C$27,BB$3&lt;Projects!$C$27+Projects!$D$27),Projects!$B$27*(Assumptions!$B$10+Assumptions!$B$11+Assumptions!$B$12)/Projects!$D$27*0.95,0)-IF(AND(Projects!$G$27="Yes",BB$3=Projects!$C$27+Projects!$D$27-1),Projects!$B$27*(Assumptions!$B$10+Assumptions!$B$11+Assumptions!$B$12)*0.05,0)</f>
        <v>0</v>
      </c>
      <c r="BC36" s="19" t="n">
        <f aca="false">IF(AND(Projects!$G$27="Yes",BC$3&gt;=Projects!$C$27,BC$3&lt;Projects!$C$27+Projects!$D$27),Projects!$B$27*INDEX(Curves!$B$4:$AR$4,1,BC$3-Projects!$C$27+1),0)-IF(AND(Projects!$G$27="Yes",BC$3&gt;=Projects!$C$27,BC$3&lt;Projects!$C$27+Projects!$D$27),Projects!$B$27*(Assumptions!$B$10+Assumptions!$B$11+Assumptions!$B$12)/Projects!$D$27*0.95,0)-IF(AND(Projects!$G$27="Yes",BC$3=Projects!$C$27+Projects!$D$27-1),Projects!$B$27*(Assumptions!$B$10+Assumptions!$B$11+Assumptions!$B$12)*0.05,0)</f>
        <v>0</v>
      </c>
      <c r="BD36" s="19" t="n">
        <f aca="false">IF(AND(Projects!$G$27="Yes",BD$3&gt;=Projects!$C$27,BD$3&lt;Projects!$C$27+Projects!$D$27),Projects!$B$27*INDEX(Curves!$B$4:$AR$4,1,BD$3-Projects!$C$27+1),0)-IF(AND(Projects!$G$27="Yes",BD$3&gt;=Projects!$C$27,BD$3&lt;Projects!$C$27+Projects!$D$27),Projects!$B$27*(Assumptions!$B$10+Assumptions!$B$11+Assumptions!$B$12)/Projects!$D$27*0.95,0)-IF(AND(Projects!$G$27="Yes",BD$3=Projects!$C$27+Projects!$D$27-1),Projects!$B$27*(Assumptions!$B$10+Assumptions!$B$11+Assumptions!$B$12)*0.05,0)</f>
        <v>0</v>
      </c>
      <c r="BE36" s="19" t="n">
        <f aca="false">IF(AND(Projects!$G$27="Yes",BE$3&gt;=Projects!$C$27,BE$3&lt;Projects!$C$27+Projects!$D$27),Projects!$B$27*INDEX(Curves!$B$4:$AR$4,1,BE$3-Projects!$C$27+1),0)-IF(AND(Projects!$G$27="Yes",BE$3&gt;=Projects!$C$27,BE$3&lt;Projects!$C$27+Projects!$D$27),Projects!$B$27*(Assumptions!$B$10+Assumptions!$B$11+Assumptions!$B$12)/Projects!$D$27*0.95,0)-IF(AND(Projects!$G$27="Yes",BE$3=Projects!$C$27+Projects!$D$27-1),Projects!$B$27*(Assumptions!$B$10+Assumptions!$B$11+Assumptions!$B$12)*0.05,0)</f>
        <v>0</v>
      </c>
      <c r="BF36" s="19" t="n">
        <f aca="false">IF(AND(Projects!$G$27="Yes",BF$3&gt;=Projects!$C$27,BF$3&lt;Projects!$C$27+Projects!$D$27),Projects!$B$27*INDEX(Curves!$B$4:$AR$4,1,BF$3-Projects!$C$27+1),0)-IF(AND(Projects!$G$27="Yes",BF$3&gt;=Projects!$C$27,BF$3&lt;Projects!$C$27+Projects!$D$27),Projects!$B$27*(Assumptions!$B$10+Assumptions!$B$11+Assumptions!$B$12)/Projects!$D$27*0.95,0)-IF(AND(Projects!$G$27="Yes",BF$3=Projects!$C$27+Projects!$D$27-1),Projects!$B$27*(Assumptions!$B$10+Assumptions!$B$11+Assumptions!$B$12)*0.05,0)</f>
        <v>0</v>
      </c>
      <c r="BG36" s="19" t="n">
        <f aca="false">IF(AND(Projects!$G$27="Yes",BG$3&gt;=Projects!$C$27,BG$3&lt;Projects!$C$27+Projects!$D$27),Projects!$B$27*INDEX(Curves!$B$4:$AR$4,1,BG$3-Projects!$C$27+1),0)-IF(AND(Projects!$G$27="Yes",BG$3&gt;=Projects!$C$27,BG$3&lt;Projects!$C$27+Projects!$D$27),Projects!$B$27*(Assumptions!$B$10+Assumptions!$B$11+Assumptions!$B$12)/Projects!$D$27*0.95,0)-IF(AND(Projects!$G$27="Yes",BG$3=Projects!$C$27+Projects!$D$27-1),Projects!$B$27*(Assumptions!$B$10+Assumptions!$B$11+Assumptions!$B$12)*0.05,0)</f>
        <v>0</v>
      </c>
      <c r="BH36" s="19" t="n">
        <f aca="false">IF(AND(Projects!$G$27="Yes",BH$3&gt;=Projects!$C$27,BH$3&lt;Projects!$C$27+Projects!$D$27),Projects!$B$27*INDEX(Curves!$B$4:$AR$4,1,BH$3-Projects!$C$27+1),0)-IF(AND(Projects!$G$27="Yes",BH$3&gt;=Projects!$C$27,BH$3&lt;Projects!$C$27+Projects!$D$27),Projects!$B$27*(Assumptions!$B$10+Assumptions!$B$11+Assumptions!$B$12)/Projects!$D$27*0.95,0)-IF(AND(Projects!$G$27="Yes",BH$3=Projects!$C$27+Projects!$D$27-1),Projects!$B$27*(Assumptions!$B$10+Assumptions!$B$11+Assumptions!$B$12)*0.05,0)</f>
        <v>0</v>
      </c>
      <c r="BI36" s="19" t="n">
        <f aca="false">IF(AND(Projects!$G$27="Yes",BI$3&gt;=Projects!$C$27,BI$3&lt;Projects!$C$27+Projects!$D$27),Projects!$B$27*INDEX(Curves!$B$4:$AR$4,1,BI$3-Projects!$C$27+1),0)-IF(AND(Projects!$G$27="Yes",BI$3&gt;=Projects!$C$27,BI$3&lt;Projects!$C$27+Projects!$D$27),Projects!$B$27*(Assumptions!$B$10+Assumptions!$B$11+Assumptions!$B$12)/Projects!$D$27*0.95,0)-IF(AND(Projects!$G$27="Yes",BI$3=Projects!$C$27+Projects!$D$27-1),Projects!$B$27*(Assumptions!$B$10+Assumptions!$B$11+Assumptions!$B$12)*0.05,0)</f>
        <v>0</v>
      </c>
      <c r="BJ36" s="19" t="n">
        <f aca="false">IF(AND(Projects!$G$27="Yes",BJ$3&gt;=Projects!$C$27,BJ$3&lt;Projects!$C$27+Projects!$D$27),Projects!$B$27*INDEX(Curves!$B$4:$AR$4,1,BJ$3-Projects!$C$27+1),0)-IF(AND(Projects!$G$27="Yes",BJ$3&gt;=Projects!$C$27,BJ$3&lt;Projects!$C$27+Projects!$D$27),Projects!$B$27*(Assumptions!$B$10+Assumptions!$B$11+Assumptions!$B$12)/Projects!$D$27*0.95,0)-IF(AND(Projects!$G$27="Yes",BJ$3=Projects!$C$27+Projects!$D$27-1),Projects!$B$27*(Assumptions!$B$10+Assumptions!$B$11+Assumptions!$B$12)*0.05,0)</f>
        <v>0</v>
      </c>
      <c r="BK36" s="19" t="n">
        <f aca="false">IF(AND(Projects!$G$27="Yes",BK$3&gt;=Projects!$C$27,BK$3&lt;Projects!$C$27+Projects!$D$27),Projects!$B$27*INDEX(Curves!$B$4:$AR$4,1,BK$3-Projects!$C$27+1),0)-IF(AND(Projects!$G$27="Yes",BK$3&gt;=Projects!$C$27,BK$3&lt;Projects!$C$27+Projects!$D$27),Projects!$B$27*(Assumptions!$B$10+Assumptions!$B$11+Assumptions!$B$12)/Projects!$D$27*0.95,0)-IF(AND(Projects!$G$27="Yes",BK$3=Projects!$C$27+Projects!$D$27-1),Projects!$B$27*(Assumptions!$B$10+Assumptions!$B$11+Assumptions!$B$12)*0.05,0)</f>
        <v>0</v>
      </c>
      <c r="BL36" s="19" t="n">
        <f aca="false">IF(AND(Projects!$G$27="Yes",BL$3&gt;=Projects!$C$27,BL$3&lt;Projects!$C$27+Projects!$D$27),Projects!$B$27*INDEX(Curves!$B$4:$AR$4,1,BL$3-Projects!$C$27+1),0)-IF(AND(Projects!$G$27="Yes",BL$3&gt;=Projects!$C$27,BL$3&lt;Projects!$C$27+Projects!$D$27),Projects!$B$27*(Assumptions!$B$10+Assumptions!$B$11+Assumptions!$B$12)/Projects!$D$27*0.95,0)-IF(AND(Projects!$G$27="Yes",BL$3=Projects!$C$27+Projects!$D$27-1),Projects!$B$27*(Assumptions!$B$10+Assumptions!$B$11+Assumptions!$B$12)*0.05,0)</f>
        <v>0</v>
      </c>
      <c r="BM36" s="19" t="n">
        <f aca="false">IF(AND(Projects!$G$27="Yes",BM$3&gt;=Projects!$C$27,BM$3&lt;Projects!$C$27+Projects!$D$27),Projects!$B$27*INDEX(Curves!$B$4:$AR$4,1,BM$3-Projects!$C$27+1),0)-IF(AND(Projects!$G$27="Yes",BM$3&gt;=Projects!$C$27,BM$3&lt;Projects!$C$27+Projects!$D$27),Projects!$B$27*(Assumptions!$B$10+Assumptions!$B$11+Assumptions!$B$12)/Projects!$D$27*0.95,0)-IF(AND(Projects!$G$27="Yes",BM$3=Projects!$C$27+Projects!$D$27-1),Projects!$B$27*(Assumptions!$B$10+Assumptions!$B$11+Assumptions!$B$12)*0.05,0)</f>
        <v>0</v>
      </c>
      <c r="BN36" s="19" t="n">
        <f aca="false">IF(AND(Projects!$G$27="Yes",BN$3&gt;=Projects!$C$27,BN$3&lt;Projects!$C$27+Projects!$D$27),Projects!$B$27*INDEX(Curves!$B$4:$AR$4,1,BN$3-Projects!$C$27+1),0)-IF(AND(Projects!$G$27="Yes",BN$3&gt;=Projects!$C$27,BN$3&lt;Projects!$C$27+Projects!$D$27),Projects!$B$27*(Assumptions!$B$10+Assumptions!$B$11+Assumptions!$B$12)/Projects!$D$27*0.95,0)-IF(AND(Projects!$G$27="Yes",BN$3=Projects!$C$27+Projects!$D$27-1),Projects!$B$27*(Assumptions!$B$10+Assumptions!$B$11+Assumptions!$B$12)*0.05,0)</f>
        <v>0</v>
      </c>
      <c r="BO36" s="19" t="n">
        <f aca="false">IF(AND(Projects!$G$27="Yes",BO$3&gt;=Projects!$C$27,BO$3&lt;Projects!$C$27+Projects!$D$27),Projects!$B$27*INDEX(Curves!$B$4:$AR$4,1,BO$3-Projects!$C$27+1),0)-IF(AND(Projects!$G$27="Yes",BO$3&gt;=Projects!$C$27,BO$3&lt;Projects!$C$27+Projects!$D$27),Projects!$B$27*(Assumptions!$B$10+Assumptions!$B$11+Assumptions!$B$12)/Projects!$D$27*0.95,0)-IF(AND(Projects!$G$27="Yes",BO$3=Projects!$C$27+Projects!$D$27-1),Projects!$B$27*(Assumptions!$B$10+Assumptions!$B$11+Assumptions!$B$12)*0.05,0)</f>
        <v>0</v>
      </c>
      <c r="BP36" s="19" t="n">
        <f aca="false">IF(AND(Projects!$G$27="Yes",BP$3&gt;=Projects!$C$27,BP$3&lt;Projects!$C$27+Projects!$D$27),Projects!$B$27*INDEX(Curves!$B$4:$AR$4,1,BP$3-Projects!$C$27+1),0)-IF(AND(Projects!$G$27="Yes",BP$3&gt;=Projects!$C$27,BP$3&lt;Projects!$C$27+Projects!$D$27),Projects!$B$27*(Assumptions!$B$10+Assumptions!$B$11+Assumptions!$B$12)/Projects!$D$27*0.95,0)-IF(AND(Projects!$G$27="Yes",BP$3=Projects!$C$27+Projects!$D$27-1),Projects!$B$27*(Assumptions!$B$10+Assumptions!$B$11+Assumptions!$B$12)*0.05,0)</f>
        <v>0</v>
      </c>
      <c r="BQ36" s="19" t="n">
        <f aca="false">IF(AND(Projects!$G$27="Yes",BQ$3&gt;=Projects!$C$27,BQ$3&lt;Projects!$C$27+Projects!$D$27),Projects!$B$27*INDEX(Curves!$B$4:$AR$4,1,BQ$3-Projects!$C$27+1),0)-IF(AND(Projects!$G$27="Yes",BQ$3&gt;=Projects!$C$27,BQ$3&lt;Projects!$C$27+Projects!$D$27),Projects!$B$27*(Assumptions!$B$10+Assumptions!$B$11+Assumptions!$B$12)/Projects!$D$27*0.95,0)-IF(AND(Projects!$G$27="Yes",BQ$3=Projects!$C$27+Projects!$D$27-1),Projects!$B$27*(Assumptions!$B$10+Assumptions!$B$11+Assumptions!$B$12)*0.05,0)</f>
        <v>0</v>
      </c>
      <c r="BR36" s="19" t="n">
        <f aca="false">IF(AND(Projects!$G$27="Yes",BR$3&gt;=Projects!$C$27,BR$3&lt;Projects!$C$27+Projects!$D$27),Projects!$B$27*INDEX(Curves!$B$4:$AR$4,1,BR$3-Projects!$C$27+1),0)-IF(AND(Projects!$G$27="Yes",BR$3&gt;=Projects!$C$27,BR$3&lt;Projects!$C$27+Projects!$D$27),Projects!$B$27*(Assumptions!$B$10+Assumptions!$B$11+Assumptions!$B$12)/Projects!$D$27*0.95,0)-IF(AND(Projects!$G$27="Yes",BR$3=Projects!$C$27+Projects!$D$27-1),Projects!$B$27*(Assumptions!$B$10+Assumptions!$B$11+Assumptions!$B$12)*0.05,0)</f>
        <v>0</v>
      </c>
      <c r="BS36" s="19" t="n">
        <f aca="false">IF(AND(Projects!$G$27="Yes",BS$3&gt;=Projects!$C$27,BS$3&lt;Projects!$C$27+Projects!$D$27),Projects!$B$27*INDEX(Curves!$B$4:$AR$4,1,BS$3-Projects!$C$27+1),0)-IF(AND(Projects!$G$27="Yes",BS$3&gt;=Projects!$C$27,BS$3&lt;Projects!$C$27+Projects!$D$27),Projects!$B$27*(Assumptions!$B$10+Assumptions!$B$11+Assumptions!$B$12)/Projects!$D$27*0.95,0)-IF(AND(Projects!$G$27="Yes",BS$3=Projects!$C$27+Projects!$D$27-1),Projects!$B$27*(Assumptions!$B$10+Assumptions!$B$11+Assumptions!$B$12)*0.05,0)</f>
        <v>0</v>
      </c>
      <c r="BT36" s="19" t="n">
        <f aca="false">IF(AND(Projects!$G$27="Yes",BT$3&gt;=Projects!$C$27,BT$3&lt;Projects!$C$27+Projects!$D$27),Projects!$B$27*INDEX(Curves!$B$4:$AR$4,1,BT$3-Projects!$C$27+1),0)-IF(AND(Projects!$G$27="Yes",BT$3&gt;=Projects!$C$27,BT$3&lt;Projects!$C$27+Projects!$D$27),Projects!$B$27*(Assumptions!$B$10+Assumptions!$B$11+Assumptions!$B$12)/Projects!$D$27*0.95,0)-IF(AND(Projects!$G$27="Yes",BT$3=Projects!$C$27+Projects!$D$27-1),Projects!$B$27*(Assumptions!$B$10+Assumptions!$B$11+Assumptions!$B$12)*0.05,0)</f>
        <v>0</v>
      </c>
      <c r="BU36" s="19" t="n">
        <f aca="false">IF(AND(Projects!$G$27="Yes",BU$3&gt;=Projects!$C$27,BU$3&lt;Projects!$C$27+Projects!$D$27),Projects!$B$27*INDEX(Curves!$B$4:$AR$4,1,BU$3-Projects!$C$27+1),0)-IF(AND(Projects!$G$27="Yes",BU$3&gt;=Projects!$C$27,BU$3&lt;Projects!$C$27+Projects!$D$27),Projects!$B$27*(Assumptions!$B$10+Assumptions!$B$11+Assumptions!$B$12)/Projects!$D$27*0.95,0)-IF(AND(Projects!$G$27="Yes",BU$3=Projects!$C$27+Projects!$D$27-1),Projects!$B$27*(Assumptions!$B$10+Assumptions!$B$11+Assumptions!$B$12)*0.05,0)</f>
        <v>0</v>
      </c>
      <c r="BV36" s="19" t="n">
        <f aca="false">IF(AND(Projects!$G$27="Yes",BV$3&gt;=Projects!$C$27,BV$3&lt;Projects!$C$27+Projects!$D$27),Projects!$B$27*INDEX(Curves!$B$4:$AR$4,1,BV$3-Projects!$C$27+1),0)-IF(AND(Projects!$G$27="Yes",BV$3&gt;=Projects!$C$27,BV$3&lt;Projects!$C$27+Projects!$D$27),Projects!$B$27*(Assumptions!$B$10+Assumptions!$B$11+Assumptions!$B$12)/Projects!$D$27*0.95,0)-IF(AND(Projects!$G$27="Yes",BV$3=Projects!$C$27+Projects!$D$27-1),Projects!$B$27*(Assumptions!$B$10+Assumptions!$B$11+Assumptions!$B$12)*0.05,0)</f>
        <v>0</v>
      </c>
      <c r="BW36" s="19" t="n">
        <f aca="false">IF(AND(Projects!$G$27="Yes",BW$3&gt;=Projects!$C$27,BW$3&lt;Projects!$C$27+Projects!$D$27),Projects!$B$27*INDEX(Curves!$B$4:$AR$4,1,BW$3-Projects!$C$27+1),0)-IF(AND(Projects!$G$27="Yes",BW$3&gt;=Projects!$C$27,BW$3&lt;Projects!$C$27+Projects!$D$27),Projects!$B$27*(Assumptions!$B$10+Assumptions!$B$11+Assumptions!$B$12)/Projects!$D$27*0.95,0)-IF(AND(Projects!$G$27="Yes",BW$3=Projects!$C$27+Projects!$D$27-1),Projects!$B$27*(Assumptions!$B$10+Assumptions!$B$11+Assumptions!$B$12)*0.05,0)</f>
        <v>0</v>
      </c>
      <c r="BX36" s="19" t="n">
        <f aca="false">IF(AND(Projects!$G$27="Yes",BX$3&gt;=Projects!$C$27,BX$3&lt;Projects!$C$27+Projects!$D$27),Projects!$B$27*INDEX(Curves!$B$4:$AR$4,1,BX$3-Projects!$C$27+1),0)-IF(AND(Projects!$G$27="Yes",BX$3&gt;=Projects!$C$27,BX$3&lt;Projects!$C$27+Projects!$D$27),Projects!$B$27*(Assumptions!$B$10+Assumptions!$B$11+Assumptions!$B$12)/Projects!$D$27*0.95,0)-IF(AND(Projects!$G$27="Yes",BX$3=Projects!$C$27+Projects!$D$27-1),Projects!$B$27*(Assumptions!$B$10+Assumptions!$B$11+Assumptions!$B$12)*0.05,0)</f>
        <v>0</v>
      </c>
      <c r="BY36" s="19" t="n">
        <f aca="false">IF(AND(Projects!$G$27="Yes",BY$3&gt;=Projects!$C$27,BY$3&lt;Projects!$C$27+Projects!$D$27),Projects!$B$27*INDEX(Curves!$B$4:$AR$4,1,BY$3-Projects!$C$27+1),0)-IF(AND(Projects!$G$27="Yes",BY$3&gt;=Projects!$C$27,BY$3&lt;Projects!$C$27+Projects!$D$27),Projects!$B$27*(Assumptions!$B$10+Assumptions!$B$11+Assumptions!$B$12)/Projects!$D$27*0.95,0)-IF(AND(Projects!$G$27="Yes",BY$3=Projects!$C$27+Projects!$D$27-1),Projects!$B$27*(Assumptions!$B$10+Assumptions!$B$11+Assumptions!$B$12)*0.05,0)</f>
        <v>0</v>
      </c>
      <c r="BZ36" s="19" t="n">
        <f aca="false">IF(AND(Projects!$G$27="Yes",BZ$3&gt;=Projects!$C$27,BZ$3&lt;Projects!$C$27+Projects!$D$27),Projects!$B$27*INDEX(Curves!$B$4:$AR$4,1,BZ$3-Projects!$C$27+1),0)-IF(AND(Projects!$G$27="Yes",BZ$3&gt;=Projects!$C$27,BZ$3&lt;Projects!$C$27+Projects!$D$27),Projects!$B$27*(Assumptions!$B$10+Assumptions!$B$11+Assumptions!$B$12)/Projects!$D$27*0.95,0)-IF(AND(Projects!$G$27="Yes",BZ$3=Projects!$C$27+Projects!$D$27-1),Projects!$B$27*(Assumptions!$B$10+Assumptions!$B$11+Assumptions!$B$12)*0.05,0)</f>
        <v>0</v>
      </c>
      <c r="CA36" s="19" t="n">
        <f aca="false">IF(AND(Projects!$G$27="Yes",CA$3&gt;=Projects!$C$27,CA$3&lt;Projects!$C$27+Projects!$D$27),Projects!$B$27*INDEX(Curves!$B$4:$AR$4,1,CA$3-Projects!$C$27+1),0)-IF(AND(Projects!$G$27="Yes",CA$3&gt;=Projects!$C$27,CA$3&lt;Projects!$C$27+Projects!$D$27),Projects!$B$27*(Assumptions!$B$10+Assumptions!$B$11+Assumptions!$B$12)/Projects!$D$27*0.95,0)-IF(AND(Projects!$G$27="Yes",CA$3=Projects!$C$27+Projects!$D$27-1),Projects!$B$27*(Assumptions!$B$10+Assumptions!$B$11+Assumptions!$B$12)*0.05,0)</f>
        <v>0</v>
      </c>
      <c r="CB36" s="19" t="n">
        <f aca="false">IF(AND(Projects!$G$27="Yes",CB$3&gt;=Projects!$C$27,CB$3&lt;Projects!$C$27+Projects!$D$27),Projects!$B$27*INDEX(Curves!$B$4:$AR$4,1,CB$3-Projects!$C$27+1),0)-IF(AND(Projects!$G$27="Yes",CB$3&gt;=Projects!$C$27,CB$3&lt;Projects!$C$27+Projects!$D$27),Projects!$B$27*(Assumptions!$B$10+Assumptions!$B$11+Assumptions!$B$12)/Projects!$D$27*0.95,0)-IF(AND(Projects!$G$27="Yes",CB$3=Projects!$C$27+Projects!$D$27-1),Projects!$B$27*(Assumptions!$B$10+Assumptions!$B$11+Assumptions!$B$12)*0.05,0)</f>
        <v>0</v>
      </c>
      <c r="CC36" s="19" t="n">
        <f aca="false">IF(AND(Projects!$G$27="Yes",CC$3&gt;=Projects!$C$27,CC$3&lt;Projects!$C$27+Projects!$D$27),Projects!$B$27*INDEX(Curves!$B$4:$AR$4,1,CC$3-Projects!$C$27+1),0)-IF(AND(Projects!$G$27="Yes",CC$3&gt;=Projects!$C$27,CC$3&lt;Projects!$C$27+Projects!$D$27),Projects!$B$27*(Assumptions!$B$10+Assumptions!$B$11+Assumptions!$B$12)/Projects!$D$27*0.95,0)-IF(AND(Projects!$G$27="Yes",CC$3=Projects!$C$27+Projects!$D$27-1),Projects!$B$27*(Assumptions!$B$10+Assumptions!$B$11+Assumptions!$B$12)*0.05,0)</f>
        <v>0</v>
      </c>
      <c r="CD36" s="19" t="n">
        <f aca="false">IF(AND(Projects!$G$27="Yes",CD$3&gt;=Projects!$C$27,CD$3&lt;Projects!$C$27+Projects!$D$27),Projects!$B$27*INDEX(Curves!$B$4:$AR$4,1,CD$3-Projects!$C$27+1),0)-IF(AND(Projects!$G$27="Yes",CD$3&gt;=Projects!$C$27,CD$3&lt;Projects!$C$27+Projects!$D$27),Projects!$B$27*(Assumptions!$B$10+Assumptions!$B$11+Assumptions!$B$12)/Projects!$D$27*0.95,0)-IF(AND(Projects!$G$27="Yes",CD$3=Projects!$C$27+Projects!$D$27-1),Projects!$B$27*(Assumptions!$B$10+Assumptions!$B$11+Assumptions!$B$12)*0.05,0)</f>
        <v>0</v>
      </c>
      <c r="CE36" s="19" t="n">
        <f aca="false">IF(AND(Projects!$G$27="Yes",CE$3&gt;=Projects!$C$27,CE$3&lt;Projects!$C$27+Projects!$D$27),Projects!$B$27*INDEX(Curves!$B$4:$AR$4,1,CE$3-Projects!$C$27+1),0)-IF(AND(Projects!$G$27="Yes",CE$3&gt;=Projects!$C$27,CE$3&lt;Projects!$C$27+Projects!$D$27),Projects!$B$27*(Assumptions!$B$10+Assumptions!$B$11+Assumptions!$B$12)/Projects!$D$27*0.95,0)-IF(AND(Projects!$G$27="Yes",CE$3=Projects!$C$27+Projects!$D$27-1),Projects!$B$27*(Assumptions!$B$10+Assumptions!$B$11+Assumptions!$B$12)*0.05,0)</f>
        <v>0</v>
      </c>
      <c r="CF36" s="19" t="n">
        <f aca="false">IF(AND(Projects!$G$27="Yes",CF$3&gt;=Projects!$C$27,CF$3&lt;Projects!$C$27+Projects!$D$27),Projects!$B$27*INDEX(Curves!$B$4:$AR$4,1,CF$3-Projects!$C$27+1),0)-IF(AND(Projects!$G$27="Yes",CF$3&gt;=Projects!$C$27,CF$3&lt;Projects!$C$27+Projects!$D$27),Projects!$B$27*(Assumptions!$B$10+Assumptions!$B$11+Assumptions!$B$12)/Projects!$D$27*0.95,0)-IF(AND(Projects!$G$27="Yes",CF$3=Projects!$C$27+Projects!$D$27-1),Projects!$B$27*(Assumptions!$B$10+Assumptions!$B$11+Assumptions!$B$12)*0.05,0)</f>
        <v>0</v>
      </c>
      <c r="CG36" s="19" t="n">
        <f aca="false">IF(AND(Projects!$G$27="Yes",CG$3&gt;=Projects!$C$27,CG$3&lt;Projects!$C$27+Projects!$D$27),Projects!$B$27*INDEX(Curves!$B$4:$AR$4,1,CG$3-Projects!$C$27+1),0)-IF(AND(Projects!$G$27="Yes",CG$3&gt;=Projects!$C$27,CG$3&lt;Projects!$C$27+Projects!$D$27),Projects!$B$27*(Assumptions!$B$10+Assumptions!$B$11+Assumptions!$B$12)/Projects!$D$27*0.95,0)-IF(AND(Projects!$G$27="Yes",CG$3=Projects!$C$27+Projects!$D$27-1),Projects!$B$27*(Assumptions!$B$10+Assumptions!$B$11+Assumptions!$B$12)*0.05,0)</f>
        <v>0</v>
      </c>
      <c r="CH36" s="19" t="n">
        <f aca="false">IF(AND(Projects!$G$27="Yes",CH$3&gt;=Projects!$C$27,CH$3&lt;Projects!$C$27+Projects!$D$27),Projects!$B$27*INDEX(Curves!$B$4:$AR$4,1,CH$3-Projects!$C$27+1),0)-IF(AND(Projects!$G$27="Yes",CH$3&gt;=Projects!$C$27,CH$3&lt;Projects!$C$27+Projects!$D$27),Projects!$B$27*(Assumptions!$B$10+Assumptions!$B$11+Assumptions!$B$12)/Projects!$D$27*0.95,0)-IF(AND(Projects!$G$27="Yes",CH$3=Projects!$C$27+Projects!$D$27-1),Projects!$B$27*(Assumptions!$B$10+Assumptions!$B$11+Assumptions!$B$12)*0.05,0)</f>
        <v>0</v>
      </c>
      <c r="CI36" s="19" t="n">
        <f aca="false">IF(AND(Projects!$G$27="Yes",CI$3&gt;=Projects!$C$27,CI$3&lt;Projects!$C$27+Projects!$D$27),Projects!$B$27*INDEX(Curves!$B$4:$AR$4,1,CI$3-Projects!$C$27+1),0)-IF(AND(Projects!$G$27="Yes",CI$3&gt;=Projects!$C$27,CI$3&lt;Projects!$C$27+Projects!$D$27),Projects!$B$27*(Assumptions!$B$10+Assumptions!$B$11+Assumptions!$B$12)/Projects!$D$27*0.95,0)-IF(AND(Projects!$G$27="Yes",CI$3=Projects!$C$27+Projects!$D$27-1),Projects!$B$27*(Assumptions!$B$10+Assumptions!$B$11+Assumptions!$B$12)*0.05,0)</f>
        <v>0</v>
      </c>
      <c r="CJ36" s="19" t="n">
        <f aca="false">IF(AND(Projects!$G$27="Yes",CJ$3&gt;=Projects!$C$27,CJ$3&lt;Projects!$C$27+Projects!$D$27),Projects!$B$27*INDEX(Curves!$B$4:$AR$4,1,CJ$3-Projects!$C$27+1),0)-IF(AND(Projects!$G$27="Yes",CJ$3&gt;=Projects!$C$27,CJ$3&lt;Projects!$C$27+Projects!$D$27),Projects!$B$27*(Assumptions!$B$10+Assumptions!$B$11+Assumptions!$B$12)/Projects!$D$27*0.95,0)-IF(AND(Projects!$G$27="Yes",CJ$3=Projects!$C$27+Projects!$D$27-1),Projects!$B$27*(Assumptions!$B$10+Assumptions!$B$11+Assumptions!$B$12)*0.05,0)</f>
        <v>0</v>
      </c>
      <c r="CK36" s="19" t="n">
        <f aca="false">IF(AND(Projects!$G$27="Yes",CK$3&gt;=Projects!$C$27,CK$3&lt;Projects!$C$27+Projects!$D$27),Projects!$B$27*INDEX(Curves!$B$4:$AR$4,1,CK$3-Projects!$C$27+1),0)-IF(AND(Projects!$G$27="Yes",CK$3&gt;=Projects!$C$27,CK$3&lt;Projects!$C$27+Projects!$D$27),Projects!$B$27*(Assumptions!$B$10+Assumptions!$B$11+Assumptions!$B$12)/Projects!$D$27*0.95,0)-IF(AND(Projects!$G$27="Yes",CK$3=Projects!$C$27+Projects!$D$27-1),Projects!$B$27*(Assumptions!$B$10+Assumptions!$B$11+Assumptions!$B$12)*0.05,0)</f>
        <v>0</v>
      </c>
      <c r="CL36" s="19" t="n">
        <f aca="false">IF(AND(Projects!$G$27="Yes",CL$3&gt;=Projects!$C$27,CL$3&lt;Projects!$C$27+Projects!$D$27),Projects!$B$27*INDEX(Curves!$B$4:$AR$4,1,CL$3-Projects!$C$27+1),0)-IF(AND(Projects!$G$27="Yes",CL$3&gt;=Projects!$C$27,CL$3&lt;Projects!$C$27+Projects!$D$27),Projects!$B$27*(Assumptions!$B$10+Assumptions!$B$11+Assumptions!$B$12)/Projects!$D$27*0.95,0)-IF(AND(Projects!$G$27="Yes",CL$3=Projects!$C$27+Projects!$D$27-1),Projects!$B$27*(Assumptions!$B$10+Assumptions!$B$11+Assumptions!$B$12)*0.05,0)</f>
        <v>0</v>
      </c>
      <c r="CM36" s="19" t="n">
        <f aca="false">IF(AND(Projects!$G$27="Yes",CM$3&gt;=Projects!$C$27,CM$3&lt;Projects!$C$27+Projects!$D$27),Projects!$B$27*INDEX(Curves!$B$4:$AR$4,1,CM$3-Projects!$C$27+1),0)-IF(AND(Projects!$G$27="Yes",CM$3&gt;=Projects!$C$27,CM$3&lt;Projects!$C$27+Projects!$D$27),Projects!$B$27*(Assumptions!$B$10+Assumptions!$B$11+Assumptions!$B$12)/Projects!$D$27*0.95,0)-IF(AND(Projects!$G$27="Yes",CM$3=Projects!$C$27+Projects!$D$27-1),Projects!$B$27*(Assumptions!$B$10+Assumptions!$B$11+Assumptions!$B$12)*0.05,0)</f>
        <v>0</v>
      </c>
      <c r="CN36" s="19" t="n">
        <f aca="false">IF(AND(Projects!$G$27="Yes",CN$3&gt;=Projects!$C$27,CN$3&lt;Projects!$C$27+Projects!$D$27),Projects!$B$27*INDEX(Curves!$B$4:$AR$4,1,CN$3-Projects!$C$27+1),0)-IF(AND(Projects!$G$27="Yes",CN$3&gt;=Projects!$C$27,CN$3&lt;Projects!$C$27+Projects!$D$27),Projects!$B$27*(Assumptions!$B$10+Assumptions!$B$11+Assumptions!$B$12)/Projects!$D$27*0.95,0)-IF(AND(Projects!$G$27="Yes",CN$3=Projects!$C$27+Projects!$D$27-1),Projects!$B$27*(Assumptions!$B$10+Assumptions!$B$11+Assumptions!$B$12)*0.05,0)</f>
        <v>0</v>
      </c>
      <c r="CO36" s="19" t="n">
        <f aca="false">IF(AND(Projects!$G$27="Yes",CO$3&gt;=Projects!$C$27,CO$3&lt;Projects!$C$27+Projects!$D$27),Projects!$B$27*INDEX(Curves!$B$4:$AR$4,1,CO$3-Projects!$C$27+1),0)-IF(AND(Projects!$G$27="Yes",CO$3&gt;=Projects!$C$27,CO$3&lt;Projects!$C$27+Projects!$D$27),Projects!$B$27*(Assumptions!$B$10+Assumptions!$B$11+Assumptions!$B$12)/Projects!$D$27*0.95,0)-IF(AND(Projects!$G$27="Yes",CO$3=Projects!$C$27+Projects!$D$27-1),Projects!$B$27*(Assumptions!$B$10+Assumptions!$B$11+Assumptions!$B$12)*0.05,0)</f>
        <v>0</v>
      </c>
      <c r="CP36" s="19" t="n">
        <f aca="false">IF(AND(Projects!$G$27="Yes",CP$3&gt;=Projects!$C$27,CP$3&lt;Projects!$C$27+Projects!$D$27),Projects!$B$27*INDEX(Curves!$B$4:$AR$4,1,CP$3-Projects!$C$27+1),0)-IF(AND(Projects!$G$27="Yes",CP$3&gt;=Projects!$C$27,CP$3&lt;Projects!$C$27+Projects!$D$27),Projects!$B$27*(Assumptions!$B$10+Assumptions!$B$11+Assumptions!$B$12)/Projects!$D$27*0.95,0)-IF(AND(Projects!$G$27="Yes",CP$3=Projects!$C$27+Projects!$D$27-1),Projects!$B$27*(Assumptions!$B$10+Assumptions!$B$11+Assumptions!$B$12)*0.05,0)</f>
        <v>0</v>
      </c>
      <c r="CQ36" s="19" t="n">
        <f aca="false">IF(AND(Projects!$G$27="Yes",CQ$3&gt;=Projects!$C$27,CQ$3&lt;Projects!$C$27+Projects!$D$27),Projects!$B$27*INDEX(Curves!$B$4:$AR$4,1,CQ$3-Projects!$C$27+1),0)-IF(AND(Projects!$G$27="Yes",CQ$3&gt;=Projects!$C$27,CQ$3&lt;Projects!$C$27+Projects!$D$27),Projects!$B$27*(Assumptions!$B$10+Assumptions!$B$11+Assumptions!$B$12)/Projects!$D$27*0.95,0)-IF(AND(Projects!$G$27="Yes",CQ$3=Projects!$C$27+Projects!$D$27-1),Projects!$B$27*(Assumptions!$B$10+Assumptions!$B$11+Assumptions!$B$12)*0.05,0)</f>
        <v>0</v>
      </c>
      <c r="CR36" s="19" t="n">
        <f aca="false">IF(AND(Projects!$G$27="Yes",CR$3&gt;=Projects!$C$27,CR$3&lt;Projects!$C$27+Projects!$D$27),Projects!$B$27*INDEX(Curves!$B$4:$AR$4,1,CR$3-Projects!$C$27+1),0)-IF(AND(Projects!$G$27="Yes",CR$3&gt;=Projects!$C$27,CR$3&lt;Projects!$C$27+Projects!$D$27),Projects!$B$27*(Assumptions!$B$10+Assumptions!$B$11+Assumptions!$B$12)/Projects!$D$27*0.95,0)-IF(AND(Projects!$G$27="Yes",CR$3=Projects!$C$27+Projects!$D$27-1),Projects!$B$27*(Assumptions!$B$10+Assumptions!$B$11+Assumptions!$B$12)*0.05,0)</f>
        <v>0</v>
      </c>
      <c r="CS36" s="19" t="n">
        <f aca="false">IF(AND(Projects!$G$27="Yes",CS$3&gt;=Projects!$C$27,CS$3&lt;Projects!$C$27+Projects!$D$27),Projects!$B$27*INDEX(Curves!$B$4:$AR$4,1,CS$3-Projects!$C$27+1),0)-IF(AND(Projects!$G$27="Yes",CS$3&gt;=Projects!$C$27,CS$3&lt;Projects!$C$27+Projects!$D$27),Projects!$B$27*(Assumptions!$B$10+Assumptions!$B$11+Assumptions!$B$12)/Projects!$D$27*0.95,0)-IF(AND(Projects!$G$27="Yes",CS$3=Projects!$C$27+Projects!$D$27-1),Projects!$B$27*(Assumptions!$B$10+Assumptions!$B$11+Assumptions!$B$12)*0.05,0)</f>
        <v>0</v>
      </c>
      <c r="CT36" s="19" t="n">
        <f aca="false">IF(AND(Projects!$G$27="Yes",CT$3&gt;=Projects!$C$27,CT$3&lt;Projects!$C$27+Projects!$D$27),Projects!$B$27*INDEX(Curves!$B$4:$AR$4,1,CT$3-Projects!$C$27+1),0)-IF(AND(Projects!$G$27="Yes",CT$3&gt;=Projects!$C$27,CT$3&lt;Projects!$C$27+Projects!$D$27),Projects!$B$27*(Assumptions!$B$10+Assumptions!$B$11+Assumptions!$B$12)/Projects!$D$27*0.95,0)-IF(AND(Projects!$G$27="Yes",CT$3=Projects!$C$27+Projects!$D$27-1),Projects!$B$27*(Assumptions!$B$10+Assumptions!$B$11+Assumptions!$B$12)*0.05,0)</f>
        <v>0</v>
      </c>
      <c r="CU36" s="19" t="n">
        <f aca="false">IF(AND(Projects!$G$27="Yes",CU$3&gt;=Projects!$C$27,CU$3&lt;Projects!$C$27+Projects!$D$27),Projects!$B$27*INDEX(Curves!$B$4:$AR$4,1,CU$3-Projects!$C$27+1),0)-IF(AND(Projects!$G$27="Yes",CU$3&gt;=Projects!$C$27,CU$3&lt;Projects!$C$27+Projects!$D$27),Projects!$B$27*(Assumptions!$B$10+Assumptions!$B$11+Assumptions!$B$12)/Projects!$D$27*0.95,0)-IF(AND(Projects!$G$27="Yes",CU$3=Projects!$C$27+Projects!$D$27-1),Projects!$B$27*(Assumptions!$B$10+Assumptions!$B$11+Assumptions!$B$12)*0.05,0)</f>
        <v>0</v>
      </c>
      <c r="CV36" s="19" t="n">
        <f aca="false">IF(AND(Projects!$G$27="Yes",CV$3&gt;=Projects!$C$27,CV$3&lt;Projects!$C$27+Projects!$D$27),Projects!$B$27*INDEX(Curves!$B$4:$AR$4,1,CV$3-Projects!$C$27+1),0)-IF(AND(Projects!$G$27="Yes",CV$3&gt;=Projects!$C$27,CV$3&lt;Projects!$C$27+Projects!$D$27),Projects!$B$27*(Assumptions!$B$10+Assumptions!$B$11+Assumptions!$B$12)/Projects!$D$27*0.95,0)-IF(AND(Projects!$G$27="Yes",CV$3=Projects!$C$27+Projects!$D$27-1),Projects!$B$27*(Assumptions!$B$10+Assumptions!$B$11+Assumptions!$B$12)*0.05,0)</f>
        <v>0</v>
      </c>
      <c r="CW36" s="19" t="n">
        <f aca="false">IF(AND(Projects!$G$27="Yes",CW$3&gt;=Projects!$C$27,CW$3&lt;Projects!$C$27+Projects!$D$27),Projects!$B$27*INDEX(Curves!$B$4:$AR$4,1,CW$3-Projects!$C$27+1),0)-IF(AND(Projects!$G$27="Yes",CW$3&gt;=Projects!$C$27,CW$3&lt;Projects!$C$27+Projects!$D$27),Projects!$B$27*(Assumptions!$B$10+Assumptions!$B$11+Assumptions!$B$12)/Projects!$D$27*0.95,0)-IF(AND(Projects!$G$27="Yes",CW$3=Projects!$C$27+Projects!$D$27-1),Projects!$B$27*(Assumptions!$B$10+Assumptions!$B$11+Assumptions!$B$12)*0.05,0)</f>
        <v>0</v>
      </c>
      <c r="CX36" s="19" t="n">
        <f aca="false">IF(AND(Projects!$G$27="Yes",CX$3&gt;=Projects!$C$27,CX$3&lt;Projects!$C$27+Projects!$D$27),Projects!$B$27*INDEX(Curves!$B$4:$AR$4,1,CX$3-Projects!$C$27+1),0)-IF(AND(Projects!$G$27="Yes",CX$3&gt;=Projects!$C$27,CX$3&lt;Projects!$C$27+Projects!$D$27),Projects!$B$27*(Assumptions!$B$10+Assumptions!$B$11+Assumptions!$B$12)/Projects!$D$27*0.95,0)-IF(AND(Projects!$G$27="Yes",CX$3=Projects!$C$27+Projects!$D$27-1),Projects!$B$27*(Assumptions!$B$10+Assumptions!$B$11+Assumptions!$B$12)*0.05,0)</f>
        <v>0</v>
      </c>
      <c r="CY36" s="19" t="n">
        <f aca="false">IF(AND(Projects!$G$27="Yes",CY$3&gt;=Projects!$C$27,CY$3&lt;Projects!$C$27+Projects!$D$27),Projects!$B$27*INDEX(Curves!$B$4:$AR$4,1,CY$3-Projects!$C$27+1),0)-IF(AND(Projects!$G$27="Yes",CY$3&gt;=Projects!$C$27,CY$3&lt;Projects!$C$27+Projects!$D$27),Projects!$B$27*(Assumptions!$B$10+Assumptions!$B$11+Assumptions!$B$12)/Projects!$D$27*0.95,0)-IF(AND(Projects!$G$27="Yes",CY$3=Projects!$C$27+Projects!$D$27-1),Projects!$B$27*(Assumptions!$B$10+Assumptions!$B$11+Assumptions!$B$12)*0.05,0)</f>
        <v>0</v>
      </c>
      <c r="CZ36" s="19" t="n">
        <f aca="false">IF(AND(Projects!$G$27="Yes",CZ$3&gt;=Projects!$C$27,CZ$3&lt;Projects!$C$27+Projects!$D$27),Projects!$B$27*INDEX(Curves!$B$4:$AR$4,1,CZ$3-Projects!$C$27+1),0)-IF(AND(Projects!$G$27="Yes",CZ$3&gt;=Projects!$C$27,CZ$3&lt;Projects!$C$27+Projects!$D$27),Projects!$B$27*(Assumptions!$B$10+Assumptions!$B$11+Assumptions!$B$12)/Projects!$D$27*0.95,0)-IF(AND(Projects!$G$27="Yes",CZ$3=Projects!$C$27+Projects!$D$27-1),Projects!$B$27*(Assumptions!$B$10+Assumptions!$B$11+Assumptions!$B$12)*0.05,0)</f>
        <v>0</v>
      </c>
      <c r="DA36" s="19" t="n">
        <f aca="false">IF(AND(Projects!$G$27="Yes",DA$3&gt;=Projects!$C$27,DA$3&lt;Projects!$C$27+Projects!$D$27),Projects!$B$27*INDEX(Curves!$B$4:$AR$4,1,DA$3-Projects!$C$27+1),0)-IF(AND(Projects!$G$27="Yes",DA$3&gt;=Projects!$C$27,DA$3&lt;Projects!$C$27+Projects!$D$27),Projects!$B$27*(Assumptions!$B$10+Assumptions!$B$11+Assumptions!$B$12)/Projects!$D$27*0.95,0)-IF(AND(Projects!$G$27="Yes",DA$3=Projects!$C$27+Projects!$D$27-1),Projects!$B$27*(Assumptions!$B$10+Assumptions!$B$11+Assumptions!$B$12)*0.05,0)</f>
        <v>0</v>
      </c>
      <c r="DB36" s="19" t="n">
        <f aca="false">IF(AND(Projects!$G$27="Yes",DB$3&gt;=Projects!$C$27,DB$3&lt;Projects!$C$27+Projects!$D$27),Projects!$B$27*INDEX(Curves!$B$4:$AR$4,1,DB$3-Projects!$C$27+1),0)-IF(AND(Projects!$G$27="Yes",DB$3&gt;=Projects!$C$27,DB$3&lt;Projects!$C$27+Projects!$D$27),Projects!$B$27*(Assumptions!$B$10+Assumptions!$B$11+Assumptions!$B$12)/Projects!$D$27*0.95,0)-IF(AND(Projects!$G$27="Yes",DB$3=Projects!$C$27+Projects!$D$27-1),Projects!$B$27*(Assumptions!$B$10+Assumptions!$B$11+Assumptions!$B$12)*0.05,0)</f>
        <v>0</v>
      </c>
      <c r="DC36" s="19" t="n">
        <f aca="false">IF(AND(Projects!$G$27="Yes",DC$3&gt;=Projects!$C$27,DC$3&lt;Projects!$C$27+Projects!$D$27),Projects!$B$27*INDEX(Curves!$B$4:$AR$4,1,DC$3-Projects!$C$27+1),0)-IF(AND(Projects!$G$27="Yes",DC$3&gt;=Projects!$C$27,DC$3&lt;Projects!$C$27+Projects!$D$27),Projects!$B$27*(Assumptions!$B$10+Assumptions!$B$11+Assumptions!$B$12)/Projects!$D$27*0.95,0)-IF(AND(Projects!$G$27="Yes",DC$3=Projects!$C$27+Projects!$D$27-1),Projects!$B$27*(Assumptions!$B$10+Assumptions!$B$11+Assumptions!$B$12)*0.05,0)</f>
        <v>0</v>
      </c>
      <c r="DD36" s="19" t="n">
        <f aca="false">IF(AND(Projects!$G$27="Yes",DD$3&gt;=Projects!$C$27,DD$3&lt;Projects!$C$27+Projects!$D$27),Projects!$B$27*INDEX(Curves!$B$4:$AR$4,1,DD$3-Projects!$C$27+1),0)-IF(AND(Projects!$G$27="Yes",DD$3&gt;=Projects!$C$27,DD$3&lt;Projects!$C$27+Projects!$D$27),Projects!$B$27*(Assumptions!$B$10+Assumptions!$B$11+Assumptions!$B$12)/Projects!$D$27*0.95,0)-IF(AND(Projects!$G$27="Yes",DD$3=Projects!$C$27+Projects!$D$27-1),Projects!$B$27*(Assumptions!$B$10+Assumptions!$B$11+Assumptions!$B$12)*0.05,0)</f>
        <v>0</v>
      </c>
      <c r="DE36" s="19" t="n">
        <f aca="false">IF(AND(Projects!$G$27="Yes",DE$3&gt;=Projects!$C$27,DE$3&lt;Projects!$C$27+Projects!$D$27),Projects!$B$27*INDEX(Curves!$B$4:$AR$4,1,DE$3-Projects!$C$27+1),0)-IF(AND(Projects!$G$27="Yes",DE$3&gt;=Projects!$C$27,DE$3&lt;Projects!$C$27+Projects!$D$27),Projects!$B$27*(Assumptions!$B$10+Assumptions!$B$11+Assumptions!$B$12)/Projects!$D$27*0.95,0)-IF(AND(Projects!$G$27="Yes",DE$3=Projects!$C$27+Projects!$D$27-1),Projects!$B$27*(Assumptions!$B$10+Assumptions!$B$11+Assumptions!$B$12)*0.05,0)</f>
        <v>0</v>
      </c>
    </row>
    <row r="37" customFormat="false" ht="15" hidden="true" customHeight="true" outlineLevel="1" collapsed="false">
      <c r="A37" s="28" t="s">
        <v>31</v>
      </c>
      <c r="B37" s="19" t="n">
        <v>0</v>
      </c>
      <c r="C37" s="19" t="n">
        <v>0</v>
      </c>
      <c r="D37" s="19" t="n">
        <v>0</v>
      </c>
      <c r="E37" s="19" t="n">
        <v>0</v>
      </c>
      <c r="F37" s="19" t="n">
        <f aca="false">IF(AND(Projects!$G$28="Yes",F$3&gt;=Projects!$C$28,F$3&lt;Projects!$C$28+Projects!$D$28),Projects!$B$28*INDEX(Curves!$B$4:$AR$4,1,F$3-Projects!$C$28+1),0)-IF(AND(Projects!$G$28="Yes",F$3&gt;=Projects!$C$28,F$3&lt;Projects!$C$28+Projects!$D$28),Projects!$B$28*(Assumptions!$B$10+Assumptions!$B$11+Assumptions!$B$12)/Projects!$D$28*0.95,0)-IF(AND(Projects!$G$28="Yes",F$3=Projects!$C$28+Projects!$D$28-1),Projects!$B$28*(Assumptions!$B$10+Assumptions!$B$11+Assumptions!$B$12)*0.05,0)</f>
        <v>0</v>
      </c>
      <c r="G37" s="19" t="n">
        <f aca="false">IF(AND(Projects!$G$28="Yes",G$3&gt;=Projects!$C$28,G$3&lt;Projects!$C$28+Projects!$D$28),Projects!$B$28*INDEX(Curves!$B$4:$AR$4,1,G$3-Projects!$C$28+1),0)-IF(AND(Projects!$G$28="Yes",G$3&gt;=Projects!$C$28,G$3&lt;Projects!$C$28+Projects!$D$28),Projects!$B$28*(Assumptions!$B$10+Assumptions!$B$11+Assumptions!$B$12)/Projects!$D$28*0.95,0)-IF(AND(Projects!$G$28="Yes",G$3=Projects!$C$28+Projects!$D$28-1),Projects!$B$28*(Assumptions!$B$10+Assumptions!$B$11+Assumptions!$B$12)*0.05,0)</f>
        <v>0</v>
      </c>
      <c r="H37" s="19" t="n">
        <f aca="false">IF(AND(Projects!$G$28="Yes",H$3&gt;=Projects!$C$28,H$3&lt;Projects!$C$28+Projects!$D$28),Projects!$B$28*INDEX(Curves!$B$4:$AR$4,1,H$3-Projects!$C$28+1),0)-IF(AND(Projects!$G$28="Yes",H$3&gt;=Projects!$C$28,H$3&lt;Projects!$C$28+Projects!$D$28),Projects!$B$28*(Assumptions!$B$10+Assumptions!$B$11+Assumptions!$B$12)/Projects!$D$28*0.95,0)-IF(AND(Projects!$G$28="Yes",H$3=Projects!$C$28+Projects!$D$28-1),Projects!$B$28*(Assumptions!$B$10+Assumptions!$B$11+Assumptions!$B$12)*0.05,0)</f>
        <v>0</v>
      </c>
      <c r="I37" s="19" t="n">
        <f aca="false">IF(AND(Projects!$G$28="Yes",I$3&gt;=Projects!$C$28,I$3&lt;Projects!$C$28+Projects!$D$28),Projects!$B$28*INDEX(Curves!$B$4:$AR$4,1,I$3-Projects!$C$28+1),0)-IF(AND(Projects!$G$28="Yes",I$3&gt;=Projects!$C$28,I$3&lt;Projects!$C$28+Projects!$D$28),Projects!$B$28*(Assumptions!$B$10+Assumptions!$B$11+Assumptions!$B$12)/Projects!$D$28*0.95,0)-IF(AND(Projects!$G$28="Yes",I$3=Projects!$C$28+Projects!$D$28-1),Projects!$B$28*(Assumptions!$B$10+Assumptions!$B$11+Assumptions!$B$12)*0.05,0)</f>
        <v>0</v>
      </c>
      <c r="J37" s="19" t="n">
        <f aca="false">IF(AND(Projects!$G$28="Yes",J$3&gt;=Projects!$C$28,J$3&lt;Projects!$C$28+Projects!$D$28),Projects!$B$28*INDEX(Curves!$B$4:$AR$4,1,J$3-Projects!$C$28+1),0)-IF(AND(Projects!$G$28="Yes",J$3&gt;=Projects!$C$28,J$3&lt;Projects!$C$28+Projects!$D$28),Projects!$B$28*(Assumptions!$B$10+Assumptions!$B$11+Assumptions!$B$12)/Projects!$D$28*0.95,0)-IF(AND(Projects!$G$28="Yes",J$3=Projects!$C$28+Projects!$D$28-1),Projects!$B$28*(Assumptions!$B$10+Assumptions!$B$11+Assumptions!$B$12)*0.05,0)</f>
        <v>0</v>
      </c>
      <c r="K37" s="19" t="n">
        <f aca="false">IF(AND(Projects!$G$28="Yes",K$3&gt;=Projects!$C$28,K$3&lt;Projects!$C$28+Projects!$D$28),Projects!$B$28*INDEX(Curves!$B$4:$AR$4,1,K$3-Projects!$C$28+1),0)-IF(AND(Projects!$G$28="Yes",K$3&gt;=Projects!$C$28,K$3&lt;Projects!$C$28+Projects!$D$28),Projects!$B$28*(Assumptions!$B$10+Assumptions!$B$11+Assumptions!$B$12)/Projects!$D$28*0.95,0)-IF(AND(Projects!$G$28="Yes",K$3=Projects!$C$28+Projects!$D$28-1),Projects!$B$28*(Assumptions!$B$10+Assumptions!$B$11+Assumptions!$B$12)*0.05,0)</f>
        <v>0</v>
      </c>
      <c r="L37" s="19" t="n">
        <f aca="false">IF(AND(Projects!$G$28="Yes",L$3&gt;=Projects!$C$28,L$3&lt;Projects!$C$28+Projects!$D$28),Projects!$B$28*INDEX(Curves!$B$4:$AR$4,1,L$3-Projects!$C$28+1),0)-IF(AND(Projects!$G$28="Yes",L$3&gt;=Projects!$C$28,L$3&lt;Projects!$C$28+Projects!$D$28),Projects!$B$28*(Assumptions!$B$10+Assumptions!$B$11+Assumptions!$B$12)/Projects!$D$28*0.95,0)-IF(AND(Projects!$G$28="Yes",L$3=Projects!$C$28+Projects!$D$28-1),Projects!$B$28*(Assumptions!$B$10+Assumptions!$B$11+Assumptions!$B$12)*0.05,0)</f>
        <v>0</v>
      </c>
      <c r="M37" s="19" t="n">
        <f aca="false">IF(AND(Projects!$G$28="Yes",M$3&gt;=Projects!$C$28,M$3&lt;Projects!$C$28+Projects!$D$28),Projects!$B$28*INDEX(Curves!$B$4:$AR$4,1,M$3-Projects!$C$28+1),0)-IF(AND(Projects!$G$28="Yes",M$3&gt;=Projects!$C$28,M$3&lt;Projects!$C$28+Projects!$D$28),Projects!$B$28*(Assumptions!$B$10+Assumptions!$B$11+Assumptions!$B$12)/Projects!$D$28*0.95,0)-IF(AND(Projects!$G$28="Yes",M$3=Projects!$C$28+Projects!$D$28-1),Projects!$B$28*(Assumptions!$B$10+Assumptions!$B$11+Assumptions!$B$12)*0.05,0)</f>
        <v>0</v>
      </c>
      <c r="N37" s="19" t="n">
        <f aca="false">IF(AND(Projects!$G$28="Yes",N$3&gt;=Projects!$C$28,N$3&lt;Projects!$C$28+Projects!$D$28),Projects!$B$28*INDEX(Curves!$B$4:$AR$4,1,N$3-Projects!$C$28+1),0)-IF(AND(Projects!$G$28="Yes",N$3&gt;=Projects!$C$28,N$3&lt;Projects!$C$28+Projects!$D$28),Projects!$B$28*(Assumptions!$B$10+Assumptions!$B$11+Assumptions!$B$12)/Projects!$D$28*0.95,0)-IF(AND(Projects!$G$28="Yes",N$3=Projects!$C$28+Projects!$D$28-1),Projects!$B$28*(Assumptions!$B$10+Assumptions!$B$11+Assumptions!$B$12)*0.05,0)</f>
        <v>0</v>
      </c>
      <c r="O37" s="19" t="n">
        <f aca="false">IF(AND(Projects!$G$28="Yes",O$3&gt;=Projects!$C$28,O$3&lt;Projects!$C$28+Projects!$D$28),Projects!$B$28*INDEX(Curves!$B$4:$AR$4,1,O$3-Projects!$C$28+1),0)-IF(AND(Projects!$G$28="Yes",O$3&gt;=Projects!$C$28,O$3&lt;Projects!$C$28+Projects!$D$28),Projects!$B$28*(Assumptions!$B$10+Assumptions!$B$11+Assumptions!$B$12)/Projects!$D$28*0.95,0)-IF(AND(Projects!$G$28="Yes",O$3=Projects!$C$28+Projects!$D$28-1),Projects!$B$28*(Assumptions!$B$10+Assumptions!$B$11+Assumptions!$B$12)*0.05,0)</f>
        <v>0</v>
      </c>
      <c r="P37" s="19" t="n">
        <f aca="false">IF(AND(Projects!$G$28="Yes",P$3&gt;=Projects!$C$28,P$3&lt;Projects!$C$28+Projects!$D$28),Projects!$B$28*INDEX(Curves!$B$4:$AR$4,1,P$3-Projects!$C$28+1),0)-IF(AND(Projects!$G$28="Yes",P$3&gt;=Projects!$C$28,P$3&lt;Projects!$C$28+Projects!$D$28),Projects!$B$28*(Assumptions!$B$10+Assumptions!$B$11+Assumptions!$B$12)/Projects!$D$28*0.95,0)-IF(AND(Projects!$G$28="Yes",P$3=Projects!$C$28+Projects!$D$28-1),Projects!$B$28*(Assumptions!$B$10+Assumptions!$B$11+Assumptions!$B$12)*0.05,0)</f>
        <v>0</v>
      </c>
      <c r="Q37" s="19" t="n">
        <f aca="false">IF(AND(Projects!$G$28="Yes",Q$3&gt;=Projects!$C$28,Q$3&lt;Projects!$C$28+Projects!$D$28),Projects!$B$28*INDEX(Curves!$B$4:$AR$4,1,Q$3-Projects!$C$28+1),0)-IF(AND(Projects!$G$28="Yes",Q$3&gt;=Projects!$C$28,Q$3&lt;Projects!$C$28+Projects!$D$28),Projects!$B$28*(Assumptions!$B$10+Assumptions!$B$11+Assumptions!$B$12)/Projects!$D$28*0.95,0)-IF(AND(Projects!$G$28="Yes",Q$3=Projects!$C$28+Projects!$D$28-1),Projects!$B$28*(Assumptions!$B$10+Assumptions!$B$11+Assumptions!$B$12)*0.05,0)</f>
        <v>0</v>
      </c>
      <c r="R37" s="19" t="n">
        <f aca="false">IF(AND(Projects!$G$28="Yes",R$3&gt;=Projects!$C$28,R$3&lt;Projects!$C$28+Projects!$D$28),Projects!$B$28*INDEX(Curves!$B$4:$AR$4,1,R$3-Projects!$C$28+1),0)-IF(AND(Projects!$G$28="Yes",R$3&gt;=Projects!$C$28,R$3&lt;Projects!$C$28+Projects!$D$28),Projects!$B$28*(Assumptions!$B$10+Assumptions!$B$11+Assumptions!$B$12)/Projects!$D$28*0.95,0)-IF(AND(Projects!$G$28="Yes",R$3=Projects!$C$28+Projects!$D$28-1),Projects!$B$28*(Assumptions!$B$10+Assumptions!$B$11+Assumptions!$B$12)*0.05,0)</f>
        <v>0</v>
      </c>
      <c r="S37" s="19" t="n">
        <f aca="false">IF(AND(Projects!$G$28="Yes",S$3&gt;=Projects!$C$28,S$3&lt;Projects!$C$28+Projects!$D$28),Projects!$B$28*INDEX(Curves!$B$4:$AR$4,1,S$3-Projects!$C$28+1),0)-IF(AND(Projects!$G$28="Yes",S$3&gt;=Projects!$C$28,S$3&lt;Projects!$C$28+Projects!$D$28),Projects!$B$28*(Assumptions!$B$10+Assumptions!$B$11+Assumptions!$B$12)/Projects!$D$28*0.95,0)-IF(AND(Projects!$G$28="Yes",S$3=Projects!$C$28+Projects!$D$28-1),Projects!$B$28*(Assumptions!$B$10+Assumptions!$B$11+Assumptions!$B$12)*0.05,0)</f>
        <v>0</v>
      </c>
      <c r="T37" s="19" t="n">
        <f aca="false">IF(AND(Projects!$G$28="Yes",T$3&gt;=Projects!$C$28,T$3&lt;Projects!$C$28+Projects!$D$28),Projects!$B$28*INDEX(Curves!$B$4:$AR$4,1,T$3-Projects!$C$28+1),0)-IF(AND(Projects!$G$28="Yes",T$3&gt;=Projects!$C$28,T$3&lt;Projects!$C$28+Projects!$D$28),Projects!$B$28*(Assumptions!$B$10+Assumptions!$B$11+Assumptions!$B$12)/Projects!$D$28*0.95,0)-IF(AND(Projects!$G$28="Yes",T$3=Projects!$C$28+Projects!$D$28-1),Projects!$B$28*(Assumptions!$B$10+Assumptions!$B$11+Assumptions!$B$12)*0.05,0)</f>
        <v>0</v>
      </c>
      <c r="U37" s="19" t="n">
        <f aca="false">IF(AND(Projects!$G$28="Yes",U$3&gt;=Projects!$C$28,U$3&lt;Projects!$C$28+Projects!$D$28),Projects!$B$28*INDEX(Curves!$B$4:$AR$4,1,U$3-Projects!$C$28+1),0)-IF(AND(Projects!$G$28="Yes",U$3&gt;=Projects!$C$28,U$3&lt;Projects!$C$28+Projects!$D$28),Projects!$B$28*(Assumptions!$B$10+Assumptions!$B$11+Assumptions!$B$12)/Projects!$D$28*0.95,0)-IF(AND(Projects!$G$28="Yes",U$3=Projects!$C$28+Projects!$D$28-1),Projects!$B$28*(Assumptions!$B$10+Assumptions!$B$11+Assumptions!$B$12)*0.05,0)</f>
        <v>0</v>
      </c>
      <c r="V37" s="19" t="n">
        <f aca="false">IF(AND(Projects!$G$28="Yes",V$3&gt;=Projects!$C$28,V$3&lt;Projects!$C$28+Projects!$D$28),Projects!$B$28*INDEX(Curves!$B$4:$AR$4,1,V$3-Projects!$C$28+1),0)-IF(AND(Projects!$G$28="Yes",V$3&gt;=Projects!$C$28,V$3&lt;Projects!$C$28+Projects!$D$28),Projects!$B$28*(Assumptions!$B$10+Assumptions!$B$11+Assumptions!$B$12)/Projects!$D$28*0.95,0)-IF(AND(Projects!$G$28="Yes",V$3=Projects!$C$28+Projects!$D$28-1),Projects!$B$28*(Assumptions!$B$10+Assumptions!$B$11+Assumptions!$B$12)*0.05,0)</f>
        <v>0</v>
      </c>
      <c r="W37" s="19" t="n">
        <f aca="false">IF(AND(Projects!$G$28="Yes",W$3&gt;=Projects!$C$28,W$3&lt;Projects!$C$28+Projects!$D$28),Projects!$B$28*INDEX(Curves!$B$4:$AR$4,1,W$3-Projects!$C$28+1),0)-IF(AND(Projects!$G$28="Yes",W$3&gt;=Projects!$C$28,W$3&lt;Projects!$C$28+Projects!$D$28),Projects!$B$28*(Assumptions!$B$10+Assumptions!$B$11+Assumptions!$B$12)/Projects!$D$28*0.95,0)-IF(AND(Projects!$G$28="Yes",W$3=Projects!$C$28+Projects!$D$28-1),Projects!$B$28*(Assumptions!$B$10+Assumptions!$B$11+Assumptions!$B$12)*0.05,0)</f>
        <v>0</v>
      </c>
      <c r="X37" s="19" t="n">
        <f aca="false">IF(AND(Projects!$G$28="Yes",X$3&gt;=Projects!$C$28,X$3&lt;Projects!$C$28+Projects!$D$28),Projects!$B$28*INDEX(Curves!$B$4:$AR$4,1,X$3-Projects!$C$28+1),0)-IF(AND(Projects!$G$28="Yes",X$3&gt;=Projects!$C$28,X$3&lt;Projects!$C$28+Projects!$D$28),Projects!$B$28*(Assumptions!$B$10+Assumptions!$B$11+Assumptions!$B$12)/Projects!$D$28*0.95,0)-IF(AND(Projects!$G$28="Yes",X$3=Projects!$C$28+Projects!$D$28-1),Projects!$B$28*(Assumptions!$B$10+Assumptions!$B$11+Assumptions!$B$12)*0.05,0)</f>
        <v>0</v>
      </c>
      <c r="Y37" s="19" t="n">
        <f aca="false">IF(AND(Projects!$G$28="Yes",Y$3&gt;=Projects!$C$28,Y$3&lt;Projects!$C$28+Projects!$D$28),Projects!$B$28*INDEX(Curves!$B$4:$AR$4,1,Y$3-Projects!$C$28+1),0)-IF(AND(Projects!$G$28="Yes",Y$3&gt;=Projects!$C$28,Y$3&lt;Projects!$C$28+Projects!$D$28),Projects!$B$28*(Assumptions!$B$10+Assumptions!$B$11+Assumptions!$B$12)/Projects!$D$28*0.95,0)-IF(AND(Projects!$G$28="Yes",Y$3=Projects!$C$28+Projects!$D$28-1),Projects!$B$28*(Assumptions!$B$10+Assumptions!$B$11+Assumptions!$B$12)*0.05,0)</f>
        <v>0</v>
      </c>
      <c r="Z37" s="19" t="n">
        <f aca="false">IF(AND(Projects!$G$28="Yes",Z$3&gt;=Projects!$C$28,Z$3&lt;Projects!$C$28+Projects!$D$28),Projects!$B$28*INDEX(Curves!$B$4:$AR$4,1,Z$3-Projects!$C$28+1),0)-IF(AND(Projects!$G$28="Yes",Z$3&gt;=Projects!$C$28,Z$3&lt;Projects!$C$28+Projects!$D$28),Projects!$B$28*(Assumptions!$B$10+Assumptions!$B$11+Assumptions!$B$12)/Projects!$D$28*0.95,0)-IF(AND(Projects!$G$28="Yes",Z$3=Projects!$C$28+Projects!$D$28-1),Projects!$B$28*(Assumptions!$B$10+Assumptions!$B$11+Assumptions!$B$12)*0.05,0)</f>
        <v>0</v>
      </c>
      <c r="AA37" s="19" t="n">
        <f aca="false">IF(AND(Projects!$G$28="Yes",AA$3&gt;=Projects!$C$28,AA$3&lt;Projects!$C$28+Projects!$D$28),Projects!$B$28*INDEX(Curves!$B$4:$AR$4,1,AA$3-Projects!$C$28+1),0)-IF(AND(Projects!$G$28="Yes",AA$3&gt;=Projects!$C$28,AA$3&lt;Projects!$C$28+Projects!$D$28),Projects!$B$28*(Assumptions!$B$10+Assumptions!$B$11+Assumptions!$B$12)/Projects!$D$28*0.95,0)-IF(AND(Projects!$G$28="Yes",AA$3=Projects!$C$28+Projects!$D$28-1),Projects!$B$28*(Assumptions!$B$10+Assumptions!$B$11+Assumptions!$B$12)*0.05,0)</f>
        <v>0</v>
      </c>
      <c r="AB37" s="19" t="n">
        <f aca="false">IF(AND(Projects!$G$28="Yes",AB$3&gt;=Projects!$C$28,AB$3&lt;Projects!$C$28+Projects!$D$28),Projects!$B$28*INDEX(Curves!$B$4:$AR$4,1,AB$3-Projects!$C$28+1),0)-IF(AND(Projects!$G$28="Yes",AB$3&gt;=Projects!$C$28,AB$3&lt;Projects!$C$28+Projects!$D$28),Projects!$B$28*(Assumptions!$B$10+Assumptions!$B$11+Assumptions!$B$12)/Projects!$D$28*0.95,0)-IF(AND(Projects!$G$28="Yes",AB$3=Projects!$C$28+Projects!$D$28-1),Projects!$B$28*(Assumptions!$B$10+Assumptions!$B$11+Assumptions!$B$12)*0.05,0)</f>
        <v>0</v>
      </c>
      <c r="AC37" s="19" t="n">
        <f aca="false">IF(AND(Projects!$G$28="Yes",AC$3&gt;=Projects!$C$28,AC$3&lt;Projects!$C$28+Projects!$D$28),Projects!$B$28*INDEX(Curves!$B$4:$AR$4,1,AC$3-Projects!$C$28+1),0)-IF(AND(Projects!$G$28="Yes",AC$3&gt;=Projects!$C$28,AC$3&lt;Projects!$C$28+Projects!$D$28),Projects!$B$28*(Assumptions!$B$10+Assumptions!$B$11+Assumptions!$B$12)/Projects!$D$28*0.95,0)-IF(AND(Projects!$G$28="Yes",AC$3=Projects!$C$28+Projects!$D$28-1),Projects!$B$28*(Assumptions!$B$10+Assumptions!$B$11+Assumptions!$B$12)*0.05,0)</f>
        <v>0</v>
      </c>
      <c r="AD37" s="19" t="n">
        <f aca="false">IF(AND(Projects!$G$28="Yes",AD$3&gt;=Projects!$C$28,AD$3&lt;Projects!$C$28+Projects!$D$28),Projects!$B$28*INDEX(Curves!$B$4:$AR$4,1,AD$3-Projects!$C$28+1),0)-IF(AND(Projects!$G$28="Yes",AD$3&gt;=Projects!$C$28,AD$3&lt;Projects!$C$28+Projects!$D$28),Projects!$B$28*(Assumptions!$B$10+Assumptions!$B$11+Assumptions!$B$12)/Projects!$D$28*0.95,0)-IF(AND(Projects!$G$28="Yes",AD$3=Projects!$C$28+Projects!$D$28-1),Projects!$B$28*(Assumptions!$B$10+Assumptions!$B$11+Assumptions!$B$12)*0.05,0)</f>
        <v>0</v>
      </c>
      <c r="AE37" s="19" t="n">
        <f aca="false">IF(AND(Projects!$G$28="Yes",AE$3&gt;=Projects!$C$28,AE$3&lt;Projects!$C$28+Projects!$D$28),Projects!$B$28*INDEX(Curves!$B$4:$AR$4,1,AE$3-Projects!$C$28+1),0)-IF(AND(Projects!$G$28="Yes",AE$3&gt;=Projects!$C$28,AE$3&lt;Projects!$C$28+Projects!$D$28),Projects!$B$28*(Assumptions!$B$10+Assumptions!$B$11+Assumptions!$B$12)/Projects!$D$28*0.95,0)-IF(AND(Projects!$G$28="Yes",AE$3=Projects!$C$28+Projects!$D$28-1),Projects!$B$28*(Assumptions!$B$10+Assumptions!$B$11+Assumptions!$B$12)*0.05,0)</f>
        <v>0</v>
      </c>
      <c r="AF37" s="19" t="n">
        <f aca="false">IF(AND(Projects!$G$28="Yes",AF$3&gt;=Projects!$C$28,AF$3&lt;Projects!$C$28+Projects!$D$28),Projects!$B$28*INDEX(Curves!$B$4:$AR$4,1,AF$3-Projects!$C$28+1),0)-IF(AND(Projects!$G$28="Yes",AF$3&gt;=Projects!$C$28,AF$3&lt;Projects!$C$28+Projects!$D$28),Projects!$B$28*(Assumptions!$B$10+Assumptions!$B$11+Assumptions!$B$12)/Projects!$D$28*0.95,0)-IF(AND(Projects!$G$28="Yes",AF$3=Projects!$C$28+Projects!$D$28-1),Projects!$B$28*(Assumptions!$B$10+Assumptions!$B$11+Assumptions!$B$12)*0.05,0)</f>
        <v>0</v>
      </c>
      <c r="AG37" s="19" t="n">
        <f aca="false">IF(AND(Projects!$G$28="Yes",AG$3&gt;=Projects!$C$28,AG$3&lt;Projects!$C$28+Projects!$D$28),Projects!$B$28*INDEX(Curves!$B$4:$AR$4,1,AG$3-Projects!$C$28+1),0)-IF(AND(Projects!$G$28="Yes",AG$3&gt;=Projects!$C$28,AG$3&lt;Projects!$C$28+Projects!$D$28),Projects!$B$28*(Assumptions!$B$10+Assumptions!$B$11+Assumptions!$B$12)/Projects!$D$28*0.95,0)-IF(AND(Projects!$G$28="Yes",AG$3=Projects!$C$28+Projects!$D$28-1),Projects!$B$28*(Assumptions!$B$10+Assumptions!$B$11+Assumptions!$B$12)*0.05,0)</f>
        <v>0</v>
      </c>
      <c r="AH37" s="19" t="n">
        <f aca="false">IF(AND(Projects!$G$28="Yes",AH$3&gt;=Projects!$C$28,AH$3&lt;Projects!$C$28+Projects!$D$28),Projects!$B$28*INDEX(Curves!$B$4:$AR$4,1,AH$3-Projects!$C$28+1),0)-IF(AND(Projects!$G$28="Yes",AH$3&gt;=Projects!$C$28,AH$3&lt;Projects!$C$28+Projects!$D$28),Projects!$B$28*(Assumptions!$B$10+Assumptions!$B$11+Assumptions!$B$12)/Projects!$D$28*0.95,0)-IF(AND(Projects!$G$28="Yes",AH$3=Projects!$C$28+Projects!$D$28-1),Projects!$B$28*(Assumptions!$B$10+Assumptions!$B$11+Assumptions!$B$12)*0.05,0)</f>
        <v>0</v>
      </c>
      <c r="AI37" s="19" t="n">
        <f aca="false">IF(AND(Projects!$G$28="Yes",AI$3&gt;=Projects!$C$28,AI$3&lt;Projects!$C$28+Projects!$D$28),Projects!$B$28*INDEX(Curves!$B$4:$AR$4,1,AI$3-Projects!$C$28+1),0)-IF(AND(Projects!$G$28="Yes",AI$3&gt;=Projects!$C$28,AI$3&lt;Projects!$C$28+Projects!$D$28),Projects!$B$28*(Assumptions!$B$10+Assumptions!$B$11+Assumptions!$B$12)/Projects!$D$28*0.95,0)-IF(AND(Projects!$G$28="Yes",AI$3=Projects!$C$28+Projects!$D$28-1),Projects!$B$28*(Assumptions!$B$10+Assumptions!$B$11+Assumptions!$B$12)*0.05,0)</f>
        <v>0</v>
      </c>
      <c r="AJ37" s="19" t="n">
        <f aca="false">IF(AND(Projects!$G$28="Yes",AJ$3&gt;=Projects!$C$28,AJ$3&lt;Projects!$C$28+Projects!$D$28),Projects!$B$28*INDEX(Curves!$B$4:$AR$4,1,AJ$3-Projects!$C$28+1),0)-IF(AND(Projects!$G$28="Yes",AJ$3&gt;=Projects!$C$28,AJ$3&lt;Projects!$C$28+Projects!$D$28),Projects!$B$28*(Assumptions!$B$10+Assumptions!$B$11+Assumptions!$B$12)/Projects!$D$28*0.95,0)-IF(AND(Projects!$G$28="Yes",AJ$3=Projects!$C$28+Projects!$D$28-1),Projects!$B$28*(Assumptions!$B$10+Assumptions!$B$11+Assumptions!$B$12)*0.05,0)</f>
        <v>307461.75</v>
      </c>
      <c r="AK37" s="19" t="n">
        <f aca="false">IF(AND(Projects!$G$28="Yes",AK$3&gt;=Projects!$C$28,AK$3&lt;Projects!$C$28+Projects!$D$28),Projects!$B$28*INDEX(Curves!$B$4:$AR$4,1,AK$3-Projects!$C$28+1),0)-IF(AND(Projects!$G$28="Yes",AK$3&gt;=Projects!$C$28,AK$3&lt;Projects!$C$28+Projects!$D$28),Projects!$B$28*(Assumptions!$B$10+Assumptions!$B$11+Assumptions!$B$12)/Projects!$D$28*0.95,0)-IF(AND(Projects!$G$28="Yes",AK$3=Projects!$C$28+Projects!$D$28-1),Projects!$B$28*(Assumptions!$B$10+Assumptions!$B$11+Assumptions!$B$12)*0.05,0)</f>
        <v>401121.75</v>
      </c>
      <c r="AL37" s="19" t="n">
        <f aca="false">IF(AND(Projects!$G$28="Yes",AL$3&gt;=Projects!$C$28,AL$3&lt;Projects!$C$28+Projects!$D$28),Projects!$B$28*INDEX(Curves!$B$4:$AR$4,1,AL$3-Projects!$C$28+1),0)-IF(AND(Projects!$G$28="Yes",AL$3&gt;=Projects!$C$28,AL$3&lt;Projects!$C$28+Projects!$D$28),Projects!$B$28*(Assumptions!$B$10+Assumptions!$B$11+Assumptions!$B$12)/Projects!$D$28*0.95,0)-IF(AND(Projects!$G$28="Yes",AL$3=Projects!$C$28+Projects!$D$28-1),Projects!$B$28*(Assumptions!$B$10+Assumptions!$B$11+Assumptions!$B$12)*0.05,0)</f>
        <v>501936.75</v>
      </c>
      <c r="AM37" s="19" t="n">
        <f aca="false">IF(AND(Projects!$G$28="Yes",AM$3&gt;=Projects!$C$28,AM$3&lt;Projects!$C$28+Projects!$D$28),Projects!$B$28*INDEX(Curves!$B$4:$AR$4,1,AM$3-Projects!$C$28+1),0)-IF(AND(Projects!$G$28="Yes",AM$3&gt;=Projects!$C$28,AM$3&lt;Projects!$C$28+Projects!$D$28),Projects!$B$28*(Assumptions!$B$10+Assumptions!$B$11+Assumptions!$B$12)/Projects!$D$28*0.95,0)-IF(AND(Projects!$G$28="Yes",AM$3=Projects!$C$28+Projects!$D$28-1),Projects!$B$28*(Assumptions!$B$10+Assumptions!$B$11+Assumptions!$B$12)*0.05,0)</f>
        <v>605886.75</v>
      </c>
      <c r="AN37" s="19" t="n">
        <f aca="false">IF(AND(Projects!$G$28="Yes",AN$3&gt;=Projects!$C$28,AN$3&lt;Projects!$C$28+Projects!$D$28),Projects!$B$28*INDEX(Curves!$B$4:$AR$4,1,AN$3-Projects!$C$28+1),0)-IF(AND(Projects!$G$28="Yes",AN$3&gt;=Projects!$C$28,AN$3&lt;Projects!$C$28+Projects!$D$28),Projects!$B$28*(Assumptions!$B$10+Assumptions!$B$11+Assumptions!$B$12)/Projects!$D$28*0.95,0)-IF(AND(Projects!$G$28="Yes",AN$3=Projects!$C$28+Projects!$D$28-1),Projects!$B$28*(Assumptions!$B$10+Assumptions!$B$11+Assumptions!$B$12)*0.05,0)</f>
        <v>707976.75</v>
      </c>
      <c r="AO37" s="19" t="n">
        <f aca="false">IF(AND(Projects!$G$28="Yes",AO$3&gt;=Projects!$C$28,AO$3&lt;Projects!$C$28+Projects!$D$28),Projects!$B$28*INDEX(Curves!$B$4:$AR$4,1,AO$3-Projects!$C$28+1),0)-IF(AND(Projects!$G$28="Yes",AO$3&gt;=Projects!$C$28,AO$3&lt;Projects!$C$28+Projects!$D$28),Projects!$B$28*(Assumptions!$B$10+Assumptions!$B$11+Assumptions!$B$12)/Projects!$D$28*0.95,0)-IF(AND(Projects!$G$28="Yes",AO$3=Projects!$C$28+Projects!$D$28-1),Projects!$B$28*(Assumptions!$B$10+Assumptions!$B$11+Assumptions!$B$12)*0.05,0)</f>
        <v>802536.75</v>
      </c>
      <c r="AP37" s="19" t="n">
        <f aca="false">IF(AND(Projects!$G$28="Yes",AP$3&gt;=Projects!$C$28,AP$3&lt;Projects!$C$28+Projects!$D$28),Projects!$B$28*INDEX(Curves!$B$4:$AR$4,1,AP$3-Projects!$C$28+1),0)-IF(AND(Projects!$G$28="Yes",AP$3&gt;=Projects!$C$28,AP$3&lt;Projects!$C$28+Projects!$D$28),Projects!$B$28*(Assumptions!$B$10+Assumptions!$B$11+Assumptions!$B$12)/Projects!$D$28*0.95,0)-IF(AND(Projects!$G$28="Yes",AP$3=Projects!$C$28+Projects!$D$28-1),Projects!$B$28*(Assumptions!$B$10+Assumptions!$B$11+Assumptions!$B$12)*0.05,0)</f>
        <v>883761.75</v>
      </c>
      <c r="AQ37" s="19" t="n">
        <f aca="false">IF(AND(Projects!$G$28="Yes",AQ$3&gt;=Projects!$C$28,AQ$3&lt;Projects!$C$28+Projects!$D$28),Projects!$B$28*INDEX(Curves!$B$4:$AR$4,1,AQ$3-Projects!$C$28+1),0)-IF(AND(Projects!$G$28="Yes",AQ$3&gt;=Projects!$C$28,AQ$3&lt;Projects!$C$28+Projects!$D$28),Projects!$B$28*(Assumptions!$B$10+Assumptions!$B$11+Assumptions!$B$12)/Projects!$D$28*0.95,0)-IF(AND(Projects!$G$28="Yes",AQ$3=Projects!$C$28+Projects!$D$28-1),Projects!$B$28*(Assumptions!$B$10+Assumptions!$B$11+Assumptions!$B$12)*0.05,0)</f>
        <v>946266.75</v>
      </c>
      <c r="AR37" s="19" t="n">
        <f aca="false">IF(AND(Projects!$G$28="Yes",AR$3&gt;=Projects!$C$28,AR$3&lt;Projects!$C$28+Projects!$D$28),Projects!$B$28*INDEX(Curves!$B$4:$AR$4,1,AR$3-Projects!$C$28+1),0)-IF(AND(Projects!$G$28="Yes",AR$3&gt;=Projects!$C$28,AR$3&lt;Projects!$C$28+Projects!$D$28),Projects!$B$28*(Assumptions!$B$10+Assumptions!$B$11+Assumptions!$B$12)/Projects!$D$28*0.95,0)-IF(AND(Projects!$G$28="Yes",AR$3=Projects!$C$28+Projects!$D$28-1),Projects!$B$28*(Assumptions!$B$10+Assumptions!$B$11+Assumptions!$B$12)*0.05,0)</f>
        <v>985686.75</v>
      </c>
      <c r="AS37" s="19" t="n">
        <f aca="false">IF(AND(Projects!$G$28="Yes",AS$3&gt;=Projects!$C$28,AS$3&lt;Projects!$C$28+Projects!$D$28),Projects!$B$28*INDEX(Curves!$B$4:$AR$4,1,AS$3-Projects!$C$28+1),0)-IF(AND(Projects!$G$28="Yes",AS$3&gt;=Projects!$C$28,AS$3&lt;Projects!$C$28+Projects!$D$28),Projects!$B$28*(Assumptions!$B$10+Assumptions!$B$11+Assumptions!$B$12)/Projects!$D$28*0.95,0)-IF(AND(Projects!$G$28="Yes",AS$3=Projects!$C$28+Projects!$D$28-1),Projects!$B$28*(Assumptions!$B$10+Assumptions!$B$11+Assumptions!$B$12)*0.05,0)</f>
        <v>999156.75</v>
      </c>
      <c r="AT37" s="19" t="n">
        <f aca="false">IF(AND(Projects!$G$28="Yes",AT$3&gt;=Projects!$C$28,AT$3&lt;Projects!$C$28+Projects!$D$28),Projects!$B$28*INDEX(Curves!$B$4:$AR$4,1,AT$3-Projects!$C$28+1),0)-IF(AND(Projects!$G$28="Yes",AT$3&gt;=Projects!$C$28,AT$3&lt;Projects!$C$28+Projects!$D$28),Projects!$B$28*(Assumptions!$B$10+Assumptions!$B$11+Assumptions!$B$12)/Projects!$D$28*0.95,0)-IF(AND(Projects!$G$28="Yes",AT$3=Projects!$C$28+Projects!$D$28-1),Projects!$B$28*(Assumptions!$B$10+Assumptions!$B$11+Assumptions!$B$12)*0.05,0)</f>
        <v>985686.75</v>
      </c>
      <c r="AU37" s="19" t="n">
        <f aca="false">IF(AND(Projects!$G$28="Yes",AU$3&gt;=Projects!$C$28,AU$3&lt;Projects!$C$28+Projects!$D$28),Projects!$B$28*INDEX(Curves!$B$4:$AR$4,1,AU$3-Projects!$C$28+1),0)-IF(AND(Projects!$G$28="Yes",AU$3&gt;=Projects!$C$28,AU$3&lt;Projects!$C$28+Projects!$D$28),Projects!$B$28*(Assumptions!$B$10+Assumptions!$B$11+Assumptions!$B$12)/Projects!$D$28*0.95,0)-IF(AND(Projects!$G$28="Yes",AU$3=Projects!$C$28+Projects!$D$28-1),Projects!$B$28*(Assumptions!$B$10+Assumptions!$B$11+Assumptions!$B$12)*0.05,0)</f>
        <v>946266.75</v>
      </c>
      <c r="AV37" s="19" t="n">
        <f aca="false">IF(AND(Projects!$G$28="Yes",AV$3&gt;=Projects!$C$28,AV$3&lt;Projects!$C$28+Projects!$D$28),Projects!$B$28*INDEX(Curves!$B$4:$AR$4,1,AV$3-Projects!$C$28+1),0)-IF(AND(Projects!$G$28="Yes",AV$3&gt;=Projects!$C$28,AV$3&lt;Projects!$C$28+Projects!$D$28),Projects!$B$28*(Assumptions!$B$10+Assumptions!$B$11+Assumptions!$B$12)/Projects!$D$28*0.95,0)-IF(AND(Projects!$G$28="Yes",AV$3=Projects!$C$28+Projects!$D$28-1),Projects!$B$28*(Assumptions!$B$10+Assumptions!$B$11+Assumptions!$B$12)*0.05,0)</f>
        <v>883761.75</v>
      </c>
      <c r="AW37" s="19" t="n">
        <f aca="false">IF(AND(Projects!$G$28="Yes",AW$3&gt;=Projects!$C$28,AW$3&lt;Projects!$C$28+Projects!$D$28),Projects!$B$28*INDEX(Curves!$B$4:$AR$4,1,AW$3-Projects!$C$28+1),0)-IF(AND(Projects!$G$28="Yes",AW$3&gt;=Projects!$C$28,AW$3&lt;Projects!$C$28+Projects!$D$28),Projects!$B$28*(Assumptions!$B$10+Assumptions!$B$11+Assumptions!$B$12)/Projects!$D$28*0.95,0)-IF(AND(Projects!$G$28="Yes",AW$3=Projects!$C$28+Projects!$D$28-1),Projects!$B$28*(Assumptions!$B$10+Assumptions!$B$11+Assumptions!$B$12)*0.05,0)</f>
        <v>802536.75</v>
      </c>
      <c r="AX37" s="19" t="n">
        <f aca="false">IF(AND(Projects!$G$28="Yes",AX$3&gt;=Projects!$C$28,AX$3&lt;Projects!$C$28+Projects!$D$28),Projects!$B$28*INDEX(Curves!$B$4:$AR$4,1,AX$3-Projects!$C$28+1),0)-IF(AND(Projects!$G$28="Yes",AX$3&gt;=Projects!$C$28,AX$3&lt;Projects!$C$28+Projects!$D$28),Projects!$B$28*(Assumptions!$B$10+Assumptions!$B$11+Assumptions!$B$12)/Projects!$D$28*0.95,0)-IF(AND(Projects!$G$28="Yes",AX$3=Projects!$C$28+Projects!$D$28-1),Projects!$B$28*(Assumptions!$B$10+Assumptions!$B$11+Assumptions!$B$12)*0.05,0)</f>
        <v>707976.75</v>
      </c>
      <c r="AY37" s="19" t="n">
        <f aca="false">IF(AND(Projects!$G$28="Yes",AY$3&gt;=Projects!$C$28,AY$3&lt;Projects!$C$28+Projects!$D$28),Projects!$B$28*INDEX(Curves!$B$4:$AR$4,1,AY$3-Projects!$C$28+1),0)-IF(AND(Projects!$G$28="Yes",AY$3&gt;=Projects!$C$28,AY$3&lt;Projects!$C$28+Projects!$D$28),Projects!$B$28*(Assumptions!$B$10+Assumptions!$B$11+Assumptions!$B$12)/Projects!$D$28*0.95,0)-IF(AND(Projects!$G$28="Yes",AY$3=Projects!$C$28+Projects!$D$28-1),Projects!$B$28*(Assumptions!$B$10+Assumptions!$B$11+Assumptions!$B$12)*0.05,0)</f>
        <v>605886.75</v>
      </c>
      <c r="AZ37" s="19" t="n">
        <f aca="false">IF(AND(Projects!$G$28="Yes",AZ$3&gt;=Projects!$C$28,AZ$3&lt;Projects!$C$28+Projects!$D$28),Projects!$B$28*INDEX(Curves!$B$4:$AR$4,1,AZ$3-Projects!$C$28+1),0)-IF(AND(Projects!$G$28="Yes",AZ$3&gt;=Projects!$C$28,AZ$3&lt;Projects!$C$28+Projects!$D$28),Projects!$B$28*(Assumptions!$B$10+Assumptions!$B$11+Assumptions!$B$12)/Projects!$D$28*0.95,0)-IF(AND(Projects!$G$28="Yes",AZ$3=Projects!$C$28+Projects!$D$28-1),Projects!$B$28*(Assumptions!$B$10+Assumptions!$B$11+Assumptions!$B$12)*0.05,0)</f>
        <v>501936.75</v>
      </c>
      <c r="BA37" s="19" t="n">
        <f aca="false">IF(AND(Projects!$G$28="Yes",BA$3&gt;=Projects!$C$28,BA$3&lt;Projects!$C$28+Projects!$D$28),Projects!$B$28*INDEX(Curves!$B$4:$AR$4,1,BA$3-Projects!$C$28+1),0)-IF(AND(Projects!$G$28="Yes",BA$3&gt;=Projects!$C$28,BA$3&lt;Projects!$C$28+Projects!$D$28),Projects!$B$28*(Assumptions!$B$10+Assumptions!$B$11+Assumptions!$B$12)/Projects!$D$28*0.95,0)-IF(AND(Projects!$G$28="Yes",BA$3=Projects!$C$28+Projects!$D$28-1),Projects!$B$28*(Assumptions!$B$10+Assumptions!$B$11+Assumptions!$B$12)*0.05,0)</f>
        <v>401121.75</v>
      </c>
      <c r="BB37" s="19" t="n">
        <f aca="false">IF(AND(Projects!$G$28="Yes",BB$3&gt;=Projects!$C$28,BB$3&lt;Projects!$C$28+Projects!$D$28),Projects!$B$28*INDEX(Curves!$B$4:$AR$4,1,BB$3-Projects!$C$28+1),0)-IF(AND(Projects!$G$28="Yes",BB$3&gt;=Projects!$C$28,BB$3&lt;Projects!$C$28+Projects!$D$28),Projects!$B$28*(Assumptions!$B$10+Assumptions!$B$11+Assumptions!$B$12)/Projects!$D$28*0.95,0)-IF(AND(Projects!$G$28="Yes",BB$3=Projects!$C$28+Projects!$D$28-1),Projects!$B$28*(Assumptions!$B$10+Assumptions!$B$11+Assumptions!$B$12)*0.05,0)</f>
        <v>217168.5</v>
      </c>
      <c r="BC37" s="19" t="n">
        <f aca="false">IF(AND(Projects!$G$28="Yes",BC$3&gt;=Projects!$C$28,BC$3&lt;Projects!$C$28+Projects!$D$28),Projects!$B$28*INDEX(Curves!$B$4:$AR$4,1,BC$3-Projects!$C$28+1),0)-IF(AND(Projects!$G$28="Yes",BC$3&gt;=Projects!$C$28,BC$3&lt;Projects!$C$28+Projects!$D$28),Projects!$B$28*(Assumptions!$B$10+Assumptions!$B$11+Assumptions!$B$12)/Projects!$D$28*0.95,0)-IF(AND(Projects!$G$28="Yes",BC$3=Projects!$C$28+Projects!$D$28-1),Projects!$B$28*(Assumptions!$B$10+Assumptions!$B$11+Assumptions!$B$12)*0.05,0)</f>
        <v>0</v>
      </c>
      <c r="BD37" s="19" t="n">
        <f aca="false">IF(AND(Projects!$G$28="Yes",BD$3&gt;=Projects!$C$28,BD$3&lt;Projects!$C$28+Projects!$D$28),Projects!$B$28*INDEX(Curves!$B$4:$AR$4,1,BD$3-Projects!$C$28+1),0)-IF(AND(Projects!$G$28="Yes",BD$3&gt;=Projects!$C$28,BD$3&lt;Projects!$C$28+Projects!$D$28),Projects!$B$28*(Assumptions!$B$10+Assumptions!$B$11+Assumptions!$B$12)/Projects!$D$28*0.95,0)-IF(AND(Projects!$G$28="Yes",BD$3=Projects!$C$28+Projects!$D$28-1),Projects!$B$28*(Assumptions!$B$10+Assumptions!$B$11+Assumptions!$B$12)*0.05,0)</f>
        <v>0</v>
      </c>
      <c r="BE37" s="19" t="n">
        <f aca="false">IF(AND(Projects!$G$28="Yes",BE$3&gt;=Projects!$C$28,BE$3&lt;Projects!$C$28+Projects!$D$28),Projects!$B$28*INDEX(Curves!$B$4:$AR$4,1,BE$3-Projects!$C$28+1),0)-IF(AND(Projects!$G$28="Yes",BE$3&gt;=Projects!$C$28,BE$3&lt;Projects!$C$28+Projects!$D$28),Projects!$B$28*(Assumptions!$B$10+Assumptions!$B$11+Assumptions!$B$12)/Projects!$D$28*0.95,0)-IF(AND(Projects!$G$28="Yes",BE$3=Projects!$C$28+Projects!$D$28-1),Projects!$B$28*(Assumptions!$B$10+Assumptions!$B$11+Assumptions!$B$12)*0.05,0)</f>
        <v>0</v>
      </c>
      <c r="BF37" s="19" t="n">
        <f aca="false">IF(AND(Projects!$G$28="Yes",BF$3&gt;=Projects!$C$28,BF$3&lt;Projects!$C$28+Projects!$D$28),Projects!$B$28*INDEX(Curves!$B$4:$AR$4,1,BF$3-Projects!$C$28+1),0)-IF(AND(Projects!$G$28="Yes",BF$3&gt;=Projects!$C$28,BF$3&lt;Projects!$C$28+Projects!$D$28),Projects!$B$28*(Assumptions!$B$10+Assumptions!$B$11+Assumptions!$B$12)/Projects!$D$28*0.95,0)-IF(AND(Projects!$G$28="Yes",BF$3=Projects!$C$28+Projects!$D$28-1),Projects!$B$28*(Assumptions!$B$10+Assumptions!$B$11+Assumptions!$B$12)*0.05,0)</f>
        <v>0</v>
      </c>
      <c r="BG37" s="19" t="n">
        <f aca="false">IF(AND(Projects!$G$28="Yes",BG$3&gt;=Projects!$C$28,BG$3&lt;Projects!$C$28+Projects!$D$28),Projects!$B$28*INDEX(Curves!$B$4:$AR$4,1,BG$3-Projects!$C$28+1),0)-IF(AND(Projects!$G$28="Yes",BG$3&gt;=Projects!$C$28,BG$3&lt;Projects!$C$28+Projects!$D$28),Projects!$B$28*(Assumptions!$B$10+Assumptions!$B$11+Assumptions!$B$12)/Projects!$D$28*0.95,0)-IF(AND(Projects!$G$28="Yes",BG$3=Projects!$C$28+Projects!$D$28-1),Projects!$B$28*(Assumptions!$B$10+Assumptions!$B$11+Assumptions!$B$12)*0.05,0)</f>
        <v>0</v>
      </c>
      <c r="BH37" s="19" t="n">
        <f aca="false">IF(AND(Projects!$G$28="Yes",BH$3&gt;=Projects!$C$28,BH$3&lt;Projects!$C$28+Projects!$D$28),Projects!$B$28*INDEX(Curves!$B$4:$AR$4,1,BH$3-Projects!$C$28+1),0)-IF(AND(Projects!$G$28="Yes",BH$3&gt;=Projects!$C$28,BH$3&lt;Projects!$C$28+Projects!$D$28),Projects!$B$28*(Assumptions!$B$10+Assumptions!$B$11+Assumptions!$B$12)/Projects!$D$28*0.95,0)-IF(AND(Projects!$G$28="Yes",BH$3=Projects!$C$28+Projects!$D$28-1),Projects!$B$28*(Assumptions!$B$10+Assumptions!$B$11+Assumptions!$B$12)*0.05,0)</f>
        <v>0</v>
      </c>
      <c r="BI37" s="19" t="n">
        <f aca="false">IF(AND(Projects!$G$28="Yes",BI$3&gt;=Projects!$C$28,BI$3&lt;Projects!$C$28+Projects!$D$28),Projects!$B$28*INDEX(Curves!$B$4:$AR$4,1,BI$3-Projects!$C$28+1),0)-IF(AND(Projects!$G$28="Yes",BI$3&gt;=Projects!$C$28,BI$3&lt;Projects!$C$28+Projects!$D$28),Projects!$B$28*(Assumptions!$B$10+Assumptions!$B$11+Assumptions!$B$12)/Projects!$D$28*0.95,0)-IF(AND(Projects!$G$28="Yes",BI$3=Projects!$C$28+Projects!$D$28-1),Projects!$B$28*(Assumptions!$B$10+Assumptions!$B$11+Assumptions!$B$12)*0.05,0)</f>
        <v>0</v>
      </c>
      <c r="BJ37" s="19" t="n">
        <f aca="false">IF(AND(Projects!$G$28="Yes",BJ$3&gt;=Projects!$C$28,BJ$3&lt;Projects!$C$28+Projects!$D$28),Projects!$B$28*INDEX(Curves!$B$4:$AR$4,1,BJ$3-Projects!$C$28+1),0)-IF(AND(Projects!$G$28="Yes",BJ$3&gt;=Projects!$C$28,BJ$3&lt;Projects!$C$28+Projects!$D$28),Projects!$B$28*(Assumptions!$B$10+Assumptions!$B$11+Assumptions!$B$12)/Projects!$D$28*0.95,0)-IF(AND(Projects!$G$28="Yes",BJ$3=Projects!$C$28+Projects!$D$28-1),Projects!$B$28*(Assumptions!$B$10+Assumptions!$B$11+Assumptions!$B$12)*0.05,0)</f>
        <v>0</v>
      </c>
      <c r="BK37" s="19" t="n">
        <f aca="false">IF(AND(Projects!$G$28="Yes",BK$3&gt;=Projects!$C$28,BK$3&lt;Projects!$C$28+Projects!$D$28),Projects!$B$28*INDEX(Curves!$B$4:$AR$4,1,BK$3-Projects!$C$28+1),0)-IF(AND(Projects!$G$28="Yes",BK$3&gt;=Projects!$C$28,BK$3&lt;Projects!$C$28+Projects!$D$28),Projects!$B$28*(Assumptions!$B$10+Assumptions!$B$11+Assumptions!$B$12)/Projects!$D$28*0.95,0)-IF(AND(Projects!$G$28="Yes",BK$3=Projects!$C$28+Projects!$D$28-1),Projects!$B$28*(Assumptions!$B$10+Assumptions!$B$11+Assumptions!$B$12)*0.05,0)</f>
        <v>0</v>
      </c>
      <c r="BL37" s="19" t="n">
        <f aca="false">IF(AND(Projects!$G$28="Yes",BL$3&gt;=Projects!$C$28,BL$3&lt;Projects!$C$28+Projects!$D$28),Projects!$B$28*INDEX(Curves!$B$4:$AR$4,1,BL$3-Projects!$C$28+1),0)-IF(AND(Projects!$G$28="Yes",BL$3&gt;=Projects!$C$28,BL$3&lt;Projects!$C$28+Projects!$D$28),Projects!$B$28*(Assumptions!$B$10+Assumptions!$B$11+Assumptions!$B$12)/Projects!$D$28*0.95,0)-IF(AND(Projects!$G$28="Yes",BL$3=Projects!$C$28+Projects!$D$28-1),Projects!$B$28*(Assumptions!$B$10+Assumptions!$B$11+Assumptions!$B$12)*0.05,0)</f>
        <v>0</v>
      </c>
      <c r="BM37" s="19" t="n">
        <f aca="false">IF(AND(Projects!$G$28="Yes",BM$3&gt;=Projects!$C$28,BM$3&lt;Projects!$C$28+Projects!$D$28),Projects!$B$28*INDEX(Curves!$B$4:$AR$4,1,BM$3-Projects!$C$28+1),0)-IF(AND(Projects!$G$28="Yes",BM$3&gt;=Projects!$C$28,BM$3&lt;Projects!$C$28+Projects!$D$28),Projects!$B$28*(Assumptions!$B$10+Assumptions!$B$11+Assumptions!$B$12)/Projects!$D$28*0.95,0)-IF(AND(Projects!$G$28="Yes",BM$3=Projects!$C$28+Projects!$D$28-1),Projects!$B$28*(Assumptions!$B$10+Assumptions!$B$11+Assumptions!$B$12)*0.05,0)</f>
        <v>0</v>
      </c>
      <c r="BN37" s="19" t="n">
        <f aca="false">IF(AND(Projects!$G$28="Yes",BN$3&gt;=Projects!$C$28,BN$3&lt;Projects!$C$28+Projects!$D$28),Projects!$B$28*INDEX(Curves!$B$4:$AR$4,1,BN$3-Projects!$C$28+1),0)-IF(AND(Projects!$G$28="Yes",BN$3&gt;=Projects!$C$28,BN$3&lt;Projects!$C$28+Projects!$D$28),Projects!$B$28*(Assumptions!$B$10+Assumptions!$B$11+Assumptions!$B$12)/Projects!$D$28*0.95,0)-IF(AND(Projects!$G$28="Yes",BN$3=Projects!$C$28+Projects!$D$28-1),Projects!$B$28*(Assumptions!$B$10+Assumptions!$B$11+Assumptions!$B$12)*0.05,0)</f>
        <v>0</v>
      </c>
      <c r="BO37" s="19" t="n">
        <f aca="false">IF(AND(Projects!$G$28="Yes",BO$3&gt;=Projects!$C$28,BO$3&lt;Projects!$C$28+Projects!$D$28),Projects!$B$28*INDEX(Curves!$B$4:$AR$4,1,BO$3-Projects!$C$28+1),0)-IF(AND(Projects!$G$28="Yes",BO$3&gt;=Projects!$C$28,BO$3&lt;Projects!$C$28+Projects!$D$28),Projects!$B$28*(Assumptions!$B$10+Assumptions!$B$11+Assumptions!$B$12)/Projects!$D$28*0.95,0)-IF(AND(Projects!$G$28="Yes",BO$3=Projects!$C$28+Projects!$D$28-1),Projects!$B$28*(Assumptions!$B$10+Assumptions!$B$11+Assumptions!$B$12)*0.05,0)</f>
        <v>0</v>
      </c>
      <c r="BP37" s="19" t="n">
        <f aca="false">IF(AND(Projects!$G$28="Yes",BP$3&gt;=Projects!$C$28,BP$3&lt;Projects!$C$28+Projects!$D$28),Projects!$B$28*INDEX(Curves!$B$4:$AR$4,1,BP$3-Projects!$C$28+1),0)-IF(AND(Projects!$G$28="Yes",BP$3&gt;=Projects!$C$28,BP$3&lt;Projects!$C$28+Projects!$D$28),Projects!$B$28*(Assumptions!$B$10+Assumptions!$B$11+Assumptions!$B$12)/Projects!$D$28*0.95,0)-IF(AND(Projects!$G$28="Yes",BP$3=Projects!$C$28+Projects!$D$28-1),Projects!$B$28*(Assumptions!$B$10+Assumptions!$B$11+Assumptions!$B$12)*0.05,0)</f>
        <v>0</v>
      </c>
      <c r="BQ37" s="19" t="n">
        <f aca="false">IF(AND(Projects!$G$28="Yes",BQ$3&gt;=Projects!$C$28,BQ$3&lt;Projects!$C$28+Projects!$D$28),Projects!$B$28*INDEX(Curves!$B$4:$AR$4,1,BQ$3-Projects!$C$28+1),0)-IF(AND(Projects!$G$28="Yes",BQ$3&gt;=Projects!$C$28,BQ$3&lt;Projects!$C$28+Projects!$D$28),Projects!$B$28*(Assumptions!$B$10+Assumptions!$B$11+Assumptions!$B$12)/Projects!$D$28*0.95,0)-IF(AND(Projects!$G$28="Yes",BQ$3=Projects!$C$28+Projects!$D$28-1),Projects!$B$28*(Assumptions!$B$10+Assumptions!$B$11+Assumptions!$B$12)*0.05,0)</f>
        <v>0</v>
      </c>
      <c r="BR37" s="19" t="n">
        <f aca="false">IF(AND(Projects!$G$28="Yes",BR$3&gt;=Projects!$C$28,BR$3&lt;Projects!$C$28+Projects!$D$28),Projects!$B$28*INDEX(Curves!$B$4:$AR$4,1,BR$3-Projects!$C$28+1),0)-IF(AND(Projects!$G$28="Yes",BR$3&gt;=Projects!$C$28,BR$3&lt;Projects!$C$28+Projects!$D$28),Projects!$B$28*(Assumptions!$B$10+Assumptions!$B$11+Assumptions!$B$12)/Projects!$D$28*0.95,0)-IF(AND(Projects!$G$28="Yes",BR$3=Projects!$C$28+Projects!$D$28-1),Projects!$B$28*(Assumptions!$B$10+Assumptions!$B$11+Assumptions!$B$12)*0.05,0)</f>
        <v>0</v>
      </c>
      <c r="BS37" s="19" t="n">
        <f aca="false">IF(AND(Projects!$G$28="Yes",BS$3&gt;=Projects!$C$28,BS$3&lt;Projects!$C$28+Projects!$D$28),Projects!$B$28*INDEX(Curves!$B$4:$AR$4,1,BS$3-Projects!$C$28+1),0)-IF(AND(Projects!$G$28="Yes",BS$3&gt;=Projects!$C$28,BS$3&lt;Projects!$C$28+Projects!$D$28),Projects!$B$28*(Assumptions!$B$10+Assumptions!$B$11+Assumptions!$B$12)/Projects!$D$28*0.95,0)-IF(AND(Projects!$G$28="Yes",BS$3=Projects!$C$28+Projects!$D$28-1),Projects!$B$28*(Assumptions!$B$10+Assumptions!$B$11+Assumptions!$B$12)*0.05,0)</f>
        <v>0</v>
      </c>
      <c r="BT37" s="19" t="n">
        <f aca="false">IF(AND(Projects!$G$28="Yes",BT$3&gt;=Projects!$C$28,BT$3&lt;Projects!$C$28+Projects!$D$28),Projects!$B$28*INDEX(Curves!$B$4:$AR$4,1,BT$3-Projects!$C$28+1),0)-IF(AND(Projects!$G$28="Yes",BT$3&gt;=Projects!$C$28,BT$3&lt;Projects!$C$28+Projects!$D$28),Projects!$B$28*(Assumptions!$B$10+Assumptions!$B$11+Assumptions!$B$12)/Projects!$D$28*0.95,0)-IF(AND(Projects!$G$28="Yes",BT$3=Projects!$C$28+Projects!$D$28-1),Projects!$B$28*(Assumptions!$B$10+Assumptions!$B$11+Assumptions!$B$12)*0.05,0)</f>
        <v>0</v>
      </c>
      <c r="BU37" s="19" t="n">
        <f aca="false">IF(AND(Projects!$G$28="Yes",BU$3&gt;=Projects!$C$28,BU$3&lt;Projects!$C$28+Projects!$D$28),Projects!$B$28*INDEX(Curves!$B$4:$AR$4,1,BU$3-Projects!$C$28+1),0)-IF(AND(Projects!$G$28="Yes",BU$3&gt;=Projects!$C$28,BU$3&lt;Projects!$C$28+Projects!$D$28),Projects!$B$28*(Assumptions!$B$10+Assumptions!$B$11+Assumptions!$B$12)/Projects!$D$28*0.95,0)-IF(AND(Projects!$G$28="Yes",BU$3=Projects!$C$28+Projects!$D$28-1),Projects!$B$28*(Assumptions!$B$10+Assumptions!$B$11+Assumptions!$B$12)*0.05,0)</f>
        <v>0</v>
      </c>
      <c r="BV37" s="19" t="n">
        <f aca="false">IF(AND(Projects!$G$28="Yes",BV$3&gt;=Projects!$C$28,BV$3&lt;Projects!$C$28+Projects!$D$28),Projects!$B$28*INDEX(Curves!$B$4:$AR$4,1,BV$3-Projects!$C$28+1),0)-IF(AND(Projects!$G$28="Yes",BV$3&gt;=Projects!$C$28,BV$3&lt;Projects!$C$28+Projects!$D$28),Projects!$B$28*(Assumptions!$B$10+Assumptions!$B$11+Assumptions!$B$12)/Projects!$D$28*0.95,0)-IF(AND(Projects!$G$28="Yes",BV$3=Projects!$C$28+Projects!$D$28-1),Projects!$B$28*(Assumptions!$B$10+Assumptions!$B$11+Assumptions!$B$12)*0.05,0)</f>
        <v>0</v>
      </c>
      <c r="BW37" s="19" t="n">
        <f aca="false">IF(AND(Projects!$G$28="Yes",BW$3&gt;=Projects!$C$28,BW$3&lt;Projects!$C$28+Projects!$D$28),Projects!$B$28*INDEX(Curves!$B$4:$AR$4,1,BW$3-Projects!$C$28+1),0)-IF(AND(Projects!$G$28="Yes",BW$3&gt;=Projects!$C$28,BW$3&lt;Projects!$C$28+Projects!$D$28),Projects!$B$28*(Assumptions!$B$10+Assumptions!$B$11+Assumptions!$B$12)/Projects!$D$28*0.95,0)-IF(AND(Projects!$G$28="Yes",BW$3=Projects!$C$28+Projects!$D$28-1),Projects!$B$28*(Assumptions!$B$10+Assumptions!$B$11+Assumptions!$B$12)*0.05,0)</f>
        <v>0</v>
      </c>
      <c r="BX37" s="19" t="n">
        <f aca="false">IF(AND(Projects!$G$28="Yes",BX$3&gt;=Projects!$C$28,BX$3&lt;Projects!$C$28+Projects!$D$28),Projects!$B$28*INDEX(Curves!$B$4:$AR$4,1,BX$3-Projects!$C$28+1),0)-IF(AND(Projects!$G$28="Yes",BX$3&gt;=Projects!$C$28,BX$3&lt;Projects!$C$28+Projects!$D$28),Projects!$B$28*(Assumptions!$B$10+Assumptions!$B$11+Assumptions!$B$12)/Projects!$D$28*0.95,0)-IF(AND(Projects!$G$28="Yes",BX$3=Projects!$C$28+Projects!$D$28-1),Projects!$B$28*(Assumptions!$B$10+Assumptions!$B$11+Assumptions!$B$12)*0.05,0)</f>
        <v>0</v>
      </c>
      <c r="BY37" s="19" t="n">
        <f aca="false">IF(AND(Projects!$G$28="Yes",BY$3&gt;=Projects!$C$28,BY$3&lt;Projects!$C$28+Projects!$D$28),Projects!$B$28*INDEX(Curves!$B$4:$AR$4,1,BY$3-Projects!$C$28+1),0)-IF(AND(Projects!$G$28="Yes",BY$3&gt;=Projects!$C$28,BY$3&lt;Projects!$C$28+Projects!$D$28),Projects!$B$28*(Assumptions!$B$10+Assumptions!$B$11+Assumptions!$B$12)/Projects!$D$28*0.95,0)-IF(AND(Projects!$G$28="Yes",BY$3=Projects!$C$28+Projects!$D$28-1),Projects!$B$28*(Assumptions!$B$10+Assumptions!$B$11+Assumptions!$B$12)*0.05,0)</f>
        <v>0</v>
      </c>
      <c r="BZ37" s="19" t="n">
        <f aca="false">IF(AND(Projects!$G$28="Yes",BZ$3&gt;=Projects!$C$28,BZ$3&lt;Projects!$C$28+Projects!$D$28),Projects!$B$28*INDEX(Curves!$B$4:$AR$4,1,BZ$3-Projects!$C$28+1),0)-IF(AND(Projects!$G$28="Yes",BZ$3&gt;=Projects!$C$28,BZ$3&lt;Projects!$C$28+Projects!$D$28),Projects!$B$28*(Assumptions!$B$10+Assumptions!$B$11+Assumptions!$B$12)/Projects!$D$28*0.95,0)-IF(AND(Projects!$G$28="Yes",BZ$3=Projects!$C$28+Projects!$D$28-1),Projects!$B$28*(Assumptions!$B$10+Assumptions!$B$11+Assumptions!$B$12)*0.05,0)</f>
        <v>0</v>
      </c>
      <c r="CA37" s="19" t="n">
        <f aca="false">IF(AND(Projects!$G$28="Yes",CA$3&gt;=Projects!$C$28,CA$3&lt;Projects!$C$28+Projects!$D$28),Projects!$B$28*INDEX(Curves!$B$4:$AR$4,1,CA$3-Projects!$C$28+1),0)-IF(AND(Projects!$G$28="Yes",CA$3&gt;=Projects!$C$28,CA$3&lt;Projects!$C$28+Projects!$D$28),Projects!$B$28*(Assumptions!$B$10+Assumptions!$B$11+Assumptions!$B$12)/Projects!$D$28*0.95,0)-IF(AND(Projects!$G$28="Yes",CA$3=Projects!$C$28+Projects!$D$28-1),Projects!$B$28*(Assumptions!$B$10+Assumptions!$B$11+Assumptions!$B$12)*0.05,0)</f>
        <v>0</v>
      </c>
      <c r="CB37" s="19" t="n">
        <f aca="false">IF(AND(Projects!$G$28="Yes",CB$3&gt;=Projects!$C$28,CB$3&lt;Projects!$C$28+Projects!$D$28),Projects!$B$28*INDEX(Curves!$B$4:$AR$4,1,CB$3-Projects!$C$28+1),0)-IF(AND(Projects!$G$28="Yes",CB$3&gt;=Projects!$C$28,CB$3&lt;Projects!$C$28+Projects!$D$28),Projects!$B$28*(Assumptions!$B$10+Assumptions!$B$11+Assumptions!$B$12)/Projects!$D$28*0.95,0)-IF(AND(Projects!$G$28="Yes",CB$3=Projects!$C$28+Projects!$D$28-1),Projects!$B$28*(Assumptions!$B$10+Assumptions!$B$11+Assumptions!$B$12)*0.05,0)</f>
        <v>0</v>
      </c>
      <c r="CC37" s="19" t="n">
        <f aca="false">IF(AND(Projects!$G$28="Yes",CC$3&gt;=Projects!$C$28,CC$3&lt;Projects!$C$28+Projects!$D$28),Projects!$B$28*INDEX(Curves!$B$4:$AR$4,1,CC$3-Projects!$C$28+1),0)-IF(AND(Projects!$G$28="Yes",CC$3&gt;=Projects!$C$28,CC$3&lt;Projects!$C$28+Projects!$D$28),Projects!$B$28*(Assumptions!$B$10+Assumptions!$B$11+Assumptions!$B$12)/Projects!$D$28*0.95,0)-IF(AND(Projects!$G$28="Yes",CC$3=Projects!$C$28+Projects!$D$28-1),Projects!$B$28*(Assumptions!$B$10+Assumptions!$B$11+Assumptions!$B$12)*0.05,0)</f>
        <v>0</v>
      </c>
      <c r="CD37" s="19" t="n">
        <f aca="false">IF(AND(Projects!$G$28="Yes",CD$3&gt;=Projects!$C$28,CD$3&lt;Projects!$C$28+Projects!$D$28),Projects!$B$28*INDEX(Curves!$B$4:$AR$4,1,CD$3-Projects!$C$28+1),0)-IF(AND(Projects!$G$28="Yes",CD$3&gt;=Projects!$C$28,CD$3&lt;Projects!$C$28+Projects!$D$28),Projects!$B$28*(Assumptions!$B$10+Assumptions!$B$11+Assumptions!$B$12)/Projects!$D$28*0.95,0)-IF(AND(Projects!$G$28="Yes",CD$3=Projects!$C$28+Projects!$D$28-1),Projects!$B$28*(Assumptions!$B$10+Assumptions!$B$11+Assumptions!$B$12)*0.05,0)</f>
        <v>0</v>
      </c>
      <c r="CE37" s="19" t="n">
        <f aca="false">IF(AND(Projects!$G$28="Yes",CE$3&gt;=Projects!$C$28,CE$3&lt;Projects!$C$28+Projects!$D$28),Projects!$B$28*INDEX(Curves!$B$4:$AR$4,1,CE$3-Projects!$C$28+1),0)-IF(AND(Projects!$G$28="Yes",CE$3&gt;=Projects!$C$28,CE$3&lt;Projects!$C$28+Projects!$D$28),Projects!$B$28*(Assumptions!$B$10+Assumptions!$B$11+Assumptions!$B$12)/Projects!$D$28*0.95,0)-IF(AND(Projects!$G$28="Yes",CE$3=Projects!$C$28+Projects!$D$28-1),Projects!$B$28*(Assumptions!$B$10+Assumptions!$B$11+Assumptions!$B$12)*0.05,0)</f>
        <v>0</v>
      </c>
      <c r="CF37" s="19" t="n">
        <f aca="false">IF(AND(Projects!$G$28="Yes",CF$3&gt;=Projects!$C$28,CF$3&lt;Projects!$C$28+Projects!$D$28),Projects!$B$28*INDEX(Curves!$B$4:$AR$4,1,CF$3-Projects!$C$28+1),0)-IF(AND(Projects!$G$28="Yes",CF$3&gt;=Projects!$C$28,CF$3&lt;Projects!$C$28+Projects!$D$28),Projects!$B$28*(Assumptions!$B$10+Assumptions!$B$11+Assumptions!$B$12)/Projects!$D$28*0.95,0)-IF(AND(Projects!$G$28="Yes",CF$3=Projects!$C$28+Projects!$D$28-1),Projects!$B$28*(Assumptions!$B$10+Assumptions!$B$11+Assumptions!$B$12)*0.05,0)</f>
        <v>0</v>
      </c>
      <c r="CG37" s="19" t="n">
        <f aca="false">IF(AND(Projects!$G$28="Yes",CG$3&gt;=Projects!$C$28,CG$3&lt;Projects!$C$28+Projects!$D$28),Projects!$B$28*INDEX(Curves!$B$4:$AR$4,1,CG$3-Projects!$C$28+1),0)-IF(AND(Projects!$G$28="Yes",CG$3&gt;=Projects!$C$28,CG$3&lt;Projects!$C$28+Projects!$D$28),Projects!$B$28*(Assumptions!$B$10+Assumptions!$B$11+Assumptions!$B$12)/Projects!$D$28*0.95,0)-IF(AND(Projects!$G$28="Yes",CG$3=Projects!$C$28+Projects!$D$28-1),Projects!$B$28*(Assumptions!$B$10+Assumptions!$B$11+Assumptions!$B$12)*0.05,0)</f>
        <v>0</v>
      </c>
      <c r="CH37" s="19" t="n">
        <f aca="false">IF(AND(Projects!$G$28="Yes",CH$3&gt;=Projects!$C$28,CH$3&lt;Projects!$C$28+Projects!$D$28),Projects!$B$28*INDEX(Curves!$B$4:$AR$4,1,CH$3-Projects!$C$28+1),0)-IF(AND(Projects!$G$28="Yes",CH$3&gt;=Projects!$C$28,CH$3&lt;Projects!$C$28+Projects!$D$28),Projects!$B$28*(Assumptions!$B$10+Assumptions!$B$11+Assumptions!$B$12)/Projects!$D$28*0.95,0)-IF(AND(Projects!$G$28="Yes",CH$3=Projects!$C$28+Projects!$D$28-1),Projects!$B$28*(Assumptions!$B$10+Assumptions!$B$11+Assumptions!$B$12)*0.05,0)</f>
        <v>0</v>
      </c>
      <c r="CI37" s="19" t="n">
        <f aca="false">IF(AND(Projects!$G$28="Yes",CI$3&gt;=Projects!$C$28,CI$3&lt;Projects!$C$28+Projects!$D$28),Projects!$B$28*INDEX(Curves!$B$4:$AR$4,1,CI$3-Projects!$C$28+1),0)-IF(AND(Projects!$G$28="Yes",CI$3&gt;=Projects!$C$28,CI$3&lt;Projects!$C$28+Projects!$D$28),Projects!$B$28*(Assumptions!$B$10+Assumptions!$B$11+Assumptions!$B$12)/Projects!$D$28*0.95,0)-IF(AND(Projects!$G$28="Yes",CI$3=Projects!$C$28+Projects!$D$28-1),Projects!$B$28*(Assumptions!$B$10+Assumptions!$B$11+Assumptions!$B$12)*0.05,0)</f>
        <v>0</v>
      </c>
      <c r="CJ37" s="19" t="n">
        <f aca="false">IF(AND(Projects!$G$28="Yes",CJ$3&gt;=Projects!$C$28,CJ$3&lt;Projects!$C$28+Projects!$D$28),Projects!$B$28*INDEX(Curves!$B$4:$AR$4,1,CJ$3-Projects!$C$28+1),0)-IF(AND(Projects!$G$28="Yes",CJ$3&gt;=Projects!$C$28,CJ$3&lt;Projects!$C$28+Projects!$D$28),Projects!$B$28*(Assumptions!$B$10+Assumptions!$B$11+Assumptions!$B$12)/Projects!$D$28*0.95,0)-IF(AND(Projects!$G$28="Yes",CJ$3=Projects!$C$28+Projects!$D$28-1),Projects!$B$28*(Assumptions!$B$10+Assumptions!$B$11+Assumptions!$B$12)*0.05,0)</f>
        <v>0</v>
      </c>
      <c r="CK37" s="19" t="n">
        <f aca="false">IF(AND(Projects!$G$28="Yes",CK$3&gt;=Projects!$C$28,CK$3&lt;Projects!$C$28+Projects!$D$28),Projects!$B$28*INDEX(Curves!$B$4:$AR$4,1,CK$3-Projects!$C$28+1),0)-IF(AND(Projects!$G$28="Yes",CK$3&gt;=Projects!$C$28,CK$3&lt;Projects!$C$28+Projects!$D$28),Projects!$B$28*(Assumptions!$B$10+Assumptions!$B$11+Assumptions!$B$12)/Projects!$D$28*0.95,0)-IF(AND(Projects!$G$28="Yes",CK$3=Projects!$C$28+Projects!$D$28-1),Projects!$B$28*(Assumptions!$B$10+Assumptions!$B$11+Assumptions!$B$12)*0.05,0)</f>
        <v>0</v>
      </c>
      <c r="CL37" s="19" t="n">
        <f aca="false">IF(AND(Projects!$G$28="Yes",CL$3&gt;=Projects!$C$28,CL$3&lt;Projects!$C$28+Projects!$D$28),Projects!$B$28*INDEX(Curves!$B$4:$AR$4,1,CL$3-Projects!$C$28+1),0)-IF(AND(Projects!$G$28="Yes",CL$3&gt;=Projects!$C$28,CL$3&lt;Projects!$C$28+Projects!$D$28),Projects!$B$28*(Assumptions!$B$10+Assumptions!$B$11+Assumptions!$B$12)/Projects!$D$28*0.95,0)-IF(AND(Projects!$G$28="Yes",CL$3=Projects!$C$28+Projects!$D$28-1),Projects!$B$28*(Assumptions!$B$10+Assumptions!$B$11+Assumptions!$B$12)*0.05,0)</f>
        <v>0</v>
      </c>
      <c r="CM37" s="19" t="n">
        <f aca="false">IF(AND(Projects!$G$28="Yes",CM$3&gt;=Projects!$C$28,CM$3&lt;Projects!$C$28+Projects!$D$28),Projects!$B$28*INDEX(Curves!$B$4:$AR$4,1,CM$3-Projects!$C$28+1),0)-IF(AND(Projects!$G$28="Yes",CM$3&gt;=Projects!$C$28,CM$3&lt;Projects!$C$28+Projects!$D$28),Projects!$B$28*(Assumptions!$B$10+Assumptions!$B$11+Assumptions!$B$12)/Projects!$D$28*0.95,0)-IF(AND(Projects!$G$28="Yes",CM$3=Projects!$C$28+Projects!$D$28-1),Projects!$B$28*(Assumptions!$B$10+Assumptions!$B$11+Assumptions!$B$12)*0.05,0)</f>
        <v>0</v>
      </c>
      <c r="CN37" s="19" t="n">
        <f aca="false">IF(AND(Projects!$G$28="Yes",CN$3&gt;=Projects!$C$28,CN$3&lt;Projects!$C$28+Projects!$D$28),Projects!$B$28*INDEX(Curves!$B$4:$AR$4,1,CN$3-Projects!$C$28+1),0)-IF(AND(Projects!$G$28="Yes",CN$3&gt;=Projects!$C$28,CN$3&lt;Projects!$C$28+Projects!$D$28),Projects!$B$28*(Assumptions!$B$10+Assumptions!$B$11+Assumptions!$B$12)/Projects!$D$28*0.95,0)-IF(AND(Projects!$G$28="Yes",CN$3=Projects!$C$28+Projects!$D$28-1),Projects!$B$28*(Assumptions!$B$10+Assumptions!$B$11+Assumptions!$B$12)*0.05,0)</f>
        <v>0</v>
      </c>
      <c r="CO37" s="19" t="n">
        <f aca="false">IF(AND(Projects!$G$28="Yes",CO$3&gt;=Projects!$C$28,CO$3&lt;Projects!$C$28+Projects!$D$28),Projects!$B$28*INDEX(Curves!$B$4:$AR$4,1,CO$3-Projects!$C$28+1),0)-IF(AND(Projects!$G$28="Yes",CO$3&gt;=Projects!$C$28,CO$3&lt;Projects!$C$28+Projects!$D$28),Projects!$B$28*(Assumptions!$B$10+Assumptions!$B$11+Assumptions!$B$12)/Projects!$D$28*0.95,0)-IF(AND(Projects!$G$28="Yes",CO$3=Projects!$C$28+Projects!$D$28-1),Projects!$B$28*(Assumptions!$B$10+Assumptions!$B$11+Assumptions!$B$12)*0.05,0)</f>
        <v>0</v>
      </c>
      <c r="CP37" s="19" t="n">
        <f aca="false">IF(AND(Projects!$G$28="Yes",CP$3&gt;=Projects!$C$28,CP$3&lt;Projects!$C$28+Projects!$D$28),Projects!$B$28*INDEX(Curves!$B$4:$AR$4,1,CP$3-Projects!$C$28+1),0)-IF(AND(Projects!$G$28="Yes",CP$3&gt;=Projects!$C$28,CP$3&lt;Projects!$C$28+Projects!$D$28),Projects!$B$28*(Assumptions!$B$10+Assumptions!$B$11+Assumptions!$B$12)/Projects!$D$28*0.95,0)-IF(AND(Projects!$G$28="Yes",CP$3=Projects!$C$28+Projects!$D$28-1),Projects!$B$28*(Assumptions!$B$10+Assumptions!$B$11+Assumptions!$B$12)*0.05,0)</f>
        <v>0</v>
      </c>
      <c r="CQ37" s="19" t="n">
        <f aca="false">IF(AND(Projects!$G$28="Yes",CQ$3&gt;=Projects!$C$28,CQ$3&lt;Projects!$C$28+Projects!$D$28),Projects!$B$28*INDEX(Curves!$B$4:$AR$4,1,CQ$3-Projects!$C$28+1),0)-IF(AND(Projects!$G$28="Yes",CQ$3&gt;=Projects!$C$28,CQ$3&lt;Projects!$C$28+Projects!$D$28),Projects!$B$28*(Assumptions!$B$10+Assumptions!$B$11+Assumptions!$B$12)/Projects!$D$28*0.95,0)-IF(AND(Projects!$G$28="Yes",CQ$3=Projects!$C$28+Projects!$D$28-1),Projects!$B$28*(Assumptions!$B$10+Assumptions!$B$11+Assumptions!$B$12)*0.05,0)</f>
        <v>0</v>
      </c>
      <c r="CR37" s="19" t="n">
        <f aca="false">IF(AND(Projects!$G$28="Yes",CR$3&gt;=Projects!$C$28,CR$3&lt;Projects!$C$28+Projects!$D$28),Projects!$B$28*INDEX(Curves!$B$4:$AR$4,1,CR$3-Projects!$C$28+1),0)-IF(AND(Projects!$G$28="Yes",CR$3&gt;=Projects!$C$28,CR$3&lt;Projects!$C$28+Projects!$D$28),Projects!$B$28*(Assumptions!$B$10+Assumptions!$B$11+Assumptions!$B$12)/Projects!$D$28*0.95,0)-IF(AND(Projects!$G$28="Yes",CR$3=Projects!$C$28+Projects!$D$28-1),Projects!$B$28*(Assumptions!$B$10+Assumptions!$B$11+Assumptions!$B$12)*0.05,0)</f>
        <v>0</v>
      </c>
      <c r="CS37" s="19" t="n">
        <f aca="false">IF(AND(Projects!$G$28="Yes",CS$3&gt;=Projects!$C$28,CS$3&lt;Projects!$C$28+Projects!$D$28),Projects!$B$28*INDEX(Curves!$B$4:$AR$4,1,CS$3-Projects!$C$28+1),0)-IF(AND(Projects!$G$28="Yes",CS$3&gt;=Projects!$C$28,CS$3&lt;Projects!$C$28+Projects!$D$28),Projects!$B$28*(Assumptions!$B$10+Assumptions!$B$11+Assumptions!$B$12)/Projects!$D$28*0.95,0)-IF(AND(Projects!$G$28="Yes",CS$3=Projects!$C$28+Projects!$D$28-1),Projects!$B$28*(Assumptions!$B$10+Assumptions!$B$11+Assumptions!$B$12)*0.05,0)</f>
        <v>0</v>
      </c>
      <c r="CT37" s="19" t="n">
        <f aca="false">IF(AND(Projects!$G$28="Yes",CT$3&gt;=Projects!$C$28,CT$3&lt;Projects!$C$28+Projects!$D$28),Projects!$B$28*INDEX(Curves!$B$4:$AR$4,1,CT$3-Projects!$C$28+1),0)-IF(AND(Projects!$G$28="Yes",CT$3&gt;=Projects!$C$28,CT$3&lt;Projects!$C$28+Projects!$D$28),Projects!$B$28*(Assumptions!$B$10+Assumptions!$B$11+Assumptions!$B$12)/Projects!$D$28*0.95,0)-IF(AND(Projects!$G$28="Yes",CT$3=Projects!$C$28+Projects!$D$28-1),Projects!$B$28*(Assumptions!$B$10+Assumptions!$B$11+Assumptions!$B$12)*0.05,0)</f>
        <v>0</v>
      </c>
      <c r="CU37" s="19" t="n">
        <f aca="false">IF(AND(Projects!$G$28="Yes",CU$3&gt;=Projects!$C$28,CU$3&lt;Projects!$C$28+Projects!$D$28),Projects!$B$28*INDEX(Curves!$B$4:$AR$4,1,CU$3-Projects!$C$28+1),0)-IF(AND(Projects!$G$28="Yes",CU$3&gt;=Projects!$C$28,CU$3&lt;Projects!$C$28+Projects!$D$28),Projects!$B$28*(Assumptions!$B$10+Assumptions!$B$11+Assumptions!$B$12)/Projects!$D$28*0.95,0)-IF(AND(Projects!$G$28="Yes",CU$3=Projects!$C$28+Projects!$D$28-1),Projects!$B$28*(Assumptions!$B$10+Assumptions!$B$11+Assumptions!$B$12)*0.05,0)</f>
        <v>0</v>
      </c>
      <c r="CV37" s="19" t="n">
        <f aca="false">IF(AND(Projects!$G$28="Yes",CV$3&gt;=Projects!$C$28,CV$3&lt;Projects!$C$28+Projects!$D$28),Projects!$B$28*INDEX(Curves!$B$4:$AR$4,1,CV$3-Projects!$C$28+1),0)-IF(AND(Projects!$G$28="Yes",CV$3&gt;=Projects!$C$28,CV$3&lt;Projects!$C$28+Projects!$D$28),Projects!$B$28*(Assumptions!$B$10+Assumptions!$B$11+Assumptions!$B$12)/Projects!$D$28*0.95,0)-IF(AND(Projects!$G$28="Yes",CV$3=Projects!$C$28+Projects!$D$28-1),Projects!$B$28*(Assumptions!$B$10+Assumptions!$B$11+Assumptions!$B$12)*0.05,0)</f>
        <v>0</v>
      </c>
      <c r="CW37" s="19" t="n">
        <f aca="false">IF(AND(Projects!$G$28="Yes",CW$3&gt;=Projects!$C$28,CW$3&lt;Projects!$C$28+Projects!$D$28),Projects!$B$28*INDEX(Curves!$B$4:$AR$4,1,CW$3-Projects!$C$28+1),0)-IF(AND(Projects!$G$28="Yes",CW$3&gt;=Projects!$C$28,CW$3&lt;Projects!$C$28+Projects!$D$28),Projects!$B$28*(Assumptions!$B$10+Assumptions!$B$11+Assumptions!$B$12)/Projects!$D$28*0.95,0)-IF(AND(Projects!$G$28="Yes",CW$3=Projects!$C$28+Projects!$D$28-1),Projects!$B$28*(Assumptions!$B$10+Assumptions!$B$11+Assumptions!$B$12)*0.05,0)</f>
        <v>0</v>
      </c>
      <c r="CX37" s="19" t="n">
        <f aca="false">IF(AND(Projects!$G$28="Yes",CX$3&gt;=Projects!$C$28,CX$3&lt;Projects!$C$28+Projects!$D$28),Projects!$B$28*INDEX(Curves!$B$4:$AR$4,1,CX$3-Projects!$C$28+1),0)-IF(AND(Projects!$G$28="Yes",CX$3&gt;=Projects!$C$28,CX$3&lt;Projects!$C$28+Projects!$D$28),Projects!$B$28*(Assumptions!$B$10+Assumptions!$B$11+Assumptions!$B$12)/Projects!$D$28*0.95,0)-IF(AND(Projects!$G$28="Yes",CX$3=Projects!$C$28+Projects!$D$28-1),Projects!$B$28*(Assumptions!$B$10+Assumptions!$B$11+Assumptions!$B$12)*0.05,0)</f>
        <v>0</v>
      </c>
      <c r="CY37" s="19" t="n">
        <f aca="false">IF(AND(Projects!$G$28="Yes",CY$3&gt;=Projects!$C$28,CY$3&lt;Projects!$C$28+Projects!$D$28),Projects!$B$28*INDEX(Curves!$B$4:$AR$4,1,CY$3-Projects!$C$28+1),0)-IF(AND(Projects!$G$28="Yes",CY$3&gt;=Projects!$C$28,CY$3&lt;Projects!$C$28+Projects!$D$28),Projects!$B$28*(Assumptions!$B$10+Assumptions!$B$11+Assumptions!$B$12)/Projects!$D$28*0.95,0)-IF(AND(Projects!$G$28="Yes",CY$3=Projects!$C$28+Projects!$D$28-1),Projects!$B$28*(Assumptions!$B$10+Assumptions!$B$11+Assumptions!$B$12)*0.05,0)</f>
        <v>0</v>
      </c>
      <c r="CZ37" s="19" t="n">
        <f aca="false">IF(AND(Projects!$G$28="Yes",CZ$3&gt;=Projects!$C$28,CZ$3&lt;Projects!$C$28+Projects!$D$28),Projects!$B$28*INDEX(Curves!$B$4:$AR$4,1,CZ$3-Projects!$C$28+1),0)-IF(AND(Projects!$G$28="Yes",CZ$3&gt;=Projects!$C$28,CZ$3&lt;Projects!$C$28+Projects!$D$28),Projects!$B$28*(Assumptions!$B$10+Assumptions!$B$11+Assumptions!$B$12)/Projects!$D$28*0.95,0)-IF(AND(Projects!$G$28="Yes",CZ$3=Projects!$C$28+Projects!$D$28-1),Projects!$B$28*(Assumptions!$B$10+Assumptions!$B$11+Assumptions!$B$12)*0.05,0)</f>
        <v>0</v>
      </c>
      <c r="DA37" s="19" t="n">
        <f aca="false">IF(AND(Projects!$G$28="Yes",DA$3&gt;=Projects!$C$28,DA$3&lt;Projects!$C$28+Projects!$D$28),Projects!$B$28*INDEX(Curves!$B$4:$AR$4,1,DA$3-Projects!$C$28+1),0)-IF(AND(Projects!$G$28="Yes",DA$3&gt;=Projects!$C$28,DA$3&lt;Projects!$C$28+Projects!$D$28),Projects!$B$28*(Assumptions!$B$10+Assumptions!$B$11+Assumptions!$B$12)/Projects!$D$28*0.95,0)-IF(AND(Projects!$G$28="Yes",DA$3=Projects!$C$28+Projects!$D$28-1),Projects!$B$28*(Assumptions!$B$10+Assumptions!$B$11+Assumptions!$B$12)*0.05,0)</f>
        <v>0</v>
      </c>
      <c r="DB37" s="19" t="n">
        <f aca="false">IF(AND(Projects!$G$28="Yes",DB$3&gt;=Projects!$C$28,DB$3&lt;Projects!$C$28+Projects!$D$28),Projects!$B$28*INDEX(Curves!$B$4:$AR$4,1,DB$3-Projects!$C$28+1),0)-IF(AND(Projects!$G$28="Yes",DB$3&gt;=Projects!$C$28,DB$3&lt;Projects!$C$28+Projects!$D$28),Projects!$B$28*(Assumptions!$B$10+Assumptions!$B$11+Assumptions!$B$12)/Projects!$D$28*0.95,0)-IF(AND(Projects!$G$28="Yes",DB$3=Projects!$C$28+Projects!$D$28-1),Projects!$B$28*(Assumptions!$B$10+Assumptions!$B$11+Assumptions!$B$12)*0.05,0)</f>
        <v>0</v>
      </c>
      <c r="DC37" s="19" t="n">
        <f aca="false">IF(AND(Projects!$G$28="Yes",DC$3&gt;=Projects!$C$28,DC$3&lt;Projects!$C$28+Projects!$D$28),Projects!$B$28*INDEX(Curves!$B$4:$AR$4,1,DC$3-Projects!$C$28+1),0)-IF(AND(Projects!$G$28="Yes",DC$3&gt;=Projects!$C$28,DC$3&lt;Projects!$C$28+Projects!$D$28),Projects!$B$28*(Assumptions!$B$10+Assumptions!$B$11+Assumptions!$B$12)/Projects!$D$28*0.95,0)-IF(AND(Projects!$G$28="Yes",DC$3=Projects!$C$28+Projects!$D$28-1),Projects!$B$28*(Assumptions!$B$10+Assumptions!$B$11+Assumptions!$B$12)*0.05,0)</f>
        <v>0</v>
      </c>
      <c r="DD37" s="19" t="n">
        <f aca="false">IF(AND(Projects!$G$28="Yes",DD$3&gt;=Projects!$C$28,DD$3&lt;Projects!$C$28+Projects!$D$28),Projects!$B$28*INDEX(Curves!$B$4:$AR$4,1,DD$3-Projects!$C$28+1),0)-IF(AND(Projects!$G$28="Yes",DD$3&gt;=Projects!$C$28,DD$3&lt;Projects!$C$28+Projects!$D$28),Projects!$B$28*(Assumptions!$B$10+Assumptions!$B$11+Assumptions!$B$12)/Projects!$D$28*0.95,0)-IF(AND(Projects!$G$28="Yes",DD$3=Projects!$C$28+Projects!$D$28-1),Projects!$B$28*(Assumptions!$B$10+Assumptions!$B$11+Assumptions!$B$12)*0.05,0)</f>
        <v>0</v>
      </c>
      <c r="DE37" s="19" t="n">
        <f aca="false">IF(AND(Projects!$G$28="Yes",DE$3&gt;=Projects!$C$28,DE$3&lt;Projects!$C$28+Projects!$D$28),Projects!$B$28*INDEX(Curves!$B$4:$AR$4,1,DE$3-Projects!$C$28+1),0)-IF(AND(Projects!$G$28="Yes",DE$3&gt;=Projects!$C$28,DE$3&lt;Projects!$C$28+Projects!$D$28),Projects!$B$28*(Assumptions!$B$10+Assumptions!$B$11+Assumptions!$B$12)/Projects!$D$28*0.95,0)-IF(AND(Projects!$G$28="Yes",DE$3=Projects!$C$28+Projects!$D$28-1),Projects!$B$28*(Assumptions!$B$10+Assumptions!$B$11+Assumptions!$B$12)*0.05,0)</f>
        <v>0</v>
      </c>
    </row>
    <row r="38" customFormat="false" ht="15" hidden="true" customHeight="true" outlineLevel="1" collapsed="false">
      <c r="A38" s="28" t="s">
        <v>32</v>
      </c>
      <c r="B38" s="19" t="n">
        <v>0</v>
      </c>
      <c r="C38" s="19" t="n">
        <v>0</v>
      </c>
      <c r="D38" s="19" t="n">
        <v>0</v>
      </c>
      <c r="E38" s="19" t="n">
        <v>0</v>
      </c>
      <c r="F38" s="19" t="n">
        <f aca="false">IF(AND(Projects!$G$29="Yes",F$3&gt;=Projects!$C$29,F$3&lt;Projects!$C$29+Projects!$D$29),Projects!$B$29*INDEX(Curves!$B$4:$AR$4,1,F$3-Projects!$C$29+1),0)-IF(AND(Projects!$G$29="Yes",F$3&gt;=Projects!$C$29,F$3&lt;Projects!$C$29+Projects!$D$29),Projects!$B$29*(Assumptions!$B$10+Assumptions!$B$11+Assumptions!$B$12)/Projects!$D$29*0.95,0)-IF(AND(Projects!$G$29="Yes",F$3=Projects!$C$29+Projects!$D$29-1),Projects!$B$29*(Assumptions!$B$10+Assumptions!$B$11+Assumptions!$B$12)*0.05,0)</f>
        <v>0</v>
      </c>
      <c r="G38" s="19" t="n">
        <f aca="false">IF(AND(Projects!$G$29="Yes",G$3&gt;=Projects!$C$29,G$3&lt;Projects!$C$29+Projects!$D$29),Projects!$B$29*INDEX(Curves!$B$4:$AR$4,1,G$3-Projects!$C$29+1),0)-IF(AND(Projects!$G$29="Yes",G$3&gt;=Projects!$C$29,G$3&lt;Projects!$C$29+Projects!$D$29),Projects!$B$29*(Assumptions!$B$10+Assumptions!$B$11+Assumptions!$B$12)/Projects!$D$29*0.95,0)-IF(AND(Projects!$G$29="Yes",G$3=Projects!$C$29+Projects!$D$29-1),Projects!$B$29*(Assumptions!$B$10+Assumptions!$B$11+Assumptions!$B$12)*0.05,0)</f>
        <v>0</v>
      </c>
      <c r="H38" s="19" t="n">
        <f aca="false">IF(AND(Projects!$G$29="Yes",H$3&gt;=Projects!$C$29,H$3&lt;Projects!$C$29+Projects!$D$29),Projects!$B$29*INDEX(Curves!$B$4:$AR$4,1,H$3-Projects!$C$29+1),0)-IF(AND(Projects!$G$29="Yes",H$3&gt;=Projects!$C$29,H$3&lt;Projects!$C$29+Projects!$D$29),Projects!$B$29*(Assumptions!$B$10+Assumptions!$B$11+Assumptions!$B$12)/Projects!$D$29*0.95,0)-IF(AND(Projects!$G$29="Yes",H$3=Projects!$C$29+Projects!$D$29-1),Projects!$B$29*(Assumptions!$B$10+Assumptions!$B$11+Assumptions!$B$12)*0.05,0)</f>
        <v>0</v>
      </c>
      <c r="I38" s="19" t="n">
        <f aca="false">IF(AND(Projects!$G$29="Yes",I$3&gt;=Projects!$C$29,I$3&lt;Projects!$C$29+Projects!$D$29),Projects!$B$29*INDEX(Curves!$B$4:$AR$4,1,I$3-Projects!$C$29+1),0)-IF(AND(Projects!$G$29="Yes",I$3&gt;=Projects!$C$29,I$3&lt;Projects!$C$29+Projects!$D$29),Projects!$B$29*(Assumptions!$B$10+Assumptions!$B$11+Assumptions!$B$12)/Projects!$D$29*0.95,0)-IF(AND(Projects!$G$29="Yes",I$3=Projects!$C$29+Projects!$D$29-1),Projects!$B$29*(Assumptions!$B$10+Assumptions!$B$11+Assumptions!$B$12)*0.05,0)</f>
        <v>0</v>
      </c>
      <c r="J38" s="19" t="n">
        <f aca="false">IF(AND(Projects!$G$29="Yes",J$3&gt;=Projects!$C$29,J$3&lt;Projects!$C$29+Projects!$D$29),Projects!$B$29*INDEX(Curves!$B$4:$AR$4,1,J$3-Projects!$C$29+1),0)-IF(AND(Projects!$G$29="Yes",J$3&gt;=Projects!$C$29,J$3&lt;Projects!$C$29+Projects!$D$29),Projects!$B$29*(Assumptions!$B$10+Assumptions!$B$11+Assumptions!$B$12)/Projects!$D$29*0.95,0)-IF(AND(Projects!$G$29="Yes",J$3=Projects!$C$29+Projects!$D$29-1),Projects!$B$29*(Assumptions!$B$10+Assumptions!$B$11+Assumptions!$B$12)*0.05,0)</f>
        <v>0</v>
      </c>
      <c r="K38" s="19" t="n">
        <f aca="false">IF(AND(Projects!$G$29="Yes",K$3&gt;=Projects!$C$29,K$3&lt;Projects!$C$29+Projects!$D$29),Projects!$B$29*INDEX(Curves!$B$4:$AR$4,1,K$3-Projects!$C$29+1),0)-IF(AND(Projects!$G$29="Yes",K$3&gt;=Projects!$C$29,K$3&lt;Projects!$C$29+Projects!$D$29),Projects!$B$29*(Assumptions!$B$10+Assumptions!$B$11+Assumptions!$B$12)/Projects!$D$29*0.95,0)-IF(AND(Projects!$G$29="Yes",K$3=Projects!$C$29+Projects!$D$29-1),Projects!$B$29*(Assumptions!$B$10+Assumptions!$B$11+Assumptions!$B$12)*0.05,0)</f>
        <v>0</v>
      </c>
      <c r="L38" s="19" t="n">
        <f aca="false">IF(AND(Projects!$G$29="Yes",L$3&gt;=Projects!$C$29,L$3&lt;Projects!$C$29+Projects!$D$29),Projects!$B$29*INDEX(Curves!$B$4:$AR$4,1,L$3-Projects!$C$29+1),0)-IF(AND(Projects!$G$29="Yes",L$3&gt;=Projects!$C$29,L$3&lt;Projects!$C$29+Projects!$D$29),Projects!$B$29*(Assumptions!$B$10+Assumptions!$B$11+Assumptions!$B$12)/Projects!$D$29*0.95,0)-IF(AND(Projects!$G$29="Yes",L$3=Projects!$C$29+Projects!$D$29-1),Projects!$B$29*(Assumptions!$B$10+Assumptions!$B$11+Assumptions!$B$12)*0.05,0)</f>
        <v>0</v>
      </c>
      <c r="M38" s="19" t="n">
        <f aca="false">IF(AND(Projects!$G$29="Yes",M$3&gt;=Projects!$C$29,M$3&lt;Projects!$C$29+Projects!$D$29),Projects!$B$29*INDEX(Curves!$B$4:$AR$4,1,M$3-Projects!$C$29+1),0)-IF(AND(Projects!$G$29="Yes",M$3&gt;=Projects!$C$29,M$3&lt;Projects!$C$29+Projects!$D$29),Projects!$B$29*(Assumptions!$B$10+Assumptions!$B$11+Assumptions!$B$12)/Projects!$D$29*0.95,0)-IF(AND(Projects!$G$29="Yes",M$3=Projects!$C$29+Projects!$D$29-1),Projects!$B$29*(Assumptions!$B$10+Assumptions!$B$11+Assumptions!$B$12)*0.05,0)</f>
        <v>0</v>
      </c>
      <c r="N38" s="19" t="n">
        <f aca="false">IF(AND(Projects!$G$29="Yes",N$3&gt;=Projects!$C$29,N$3&lt;Projects!$C$29+Projects!$D$29),Projects!$B$29*INDEX(Curves!$B$4:$AR$4,1,N$3-Projects!$C$29+1),0)-IF(AND(Projects!$G$29="Yes",N$3&gt;=Projects!$C$29,N$3&lt;Projects!$C$29+Projects!$D$29),Projects!$B$29*(Assumptions!$B$10+Assumptions!$B$11+Assumptions!$B$12)/Projects!$D$29*0.95,0)-IF(AND(Projects!$G$29="Yes",N$3=Projects!$C$29+Projects!$D$29-1),Projects!$B$29*(Assumptions!$B$10+Assumptions!$B$11+Assumptions!$B$12)*0.05,0)</f>
        <v>0</v>
      </c>
      <c r="O38" s="19" t="n">
        <f aca="false">IF(AND(Projects!$G$29="Yes",O$3&gt;=Projects!$C$29,O$3&lt;Projects!$C$29+Projects!$D$29),Projects!$B$29*INDEX(Curves!$B$4:$AR$4,1,O$3-Projects!$C$29+1),0)-IF(AND(Projects!$G$29="Yes",O$3&gt;=Projects!$C$29,O$3&lt;Projects!$C$29+Projects!$D$29),Projects!$B$29*(Assumptions!$B$10+Assumptions!$B$11+Assumptions!$B$12)/Projects!$D$29*0.95,0)-IF(AND(Projects!$G$29="Yes",O$3=Projects!$C$29+Projects!$D$29-1),Projects!$B$29*(Assumptions!$B$10+Assumptions!$B$11+Assumptions!$B$12)*0.05,0)</f>
        <v>0</v>
      </c>
      <c r="P38" s="19" t="n">
        <f aca="false">IF(AND(Projects!$G$29="Yes",P$3&gt;=Projects!$C$29,P$3&lt;Projects!$C$29+Projects!$D$29),Projects!$B$29*INDEX(Curves!$B$4:$AR$4,1,P$3-Projects!$C$29+1),0)-IF(AND(Projects!$G$29="Yes",P$3&gt;=Projects!$C$29,P$3&lt;Projects!$C$29+Projects!$D$29),Projects!$B$29*(Assumptions!$B$10+Assumptions!$B$11+Assumptions!$B$12)/Projects!$D$29*0.95,0)-IF(AND(Projects!$G$29="Yes",P$3=Projects!$C$29+Projects!$D$29-1),Projects!$B$29*(Assumptions!$B$10+Assumptions!$B$11+Assumptions!$B$12)*0.05,0)</f>
        <v>0</v>
      </c>
      <c r="Q38" s="19" t="n">
        <f aca="false">IF(AND(Projects!$G$29="Yes",Q$3&gt;=Projects!$C$29,Q$3&lt;Projects!$C$29+Projects!$D$29),Projects!$B$29*INDEX(Curves!$B$4:$AR$4,1,Q$3-Projects!$C$29+1),0)-IF(AND(Projects!$G$29="Yes",Q$3&gt;=Projects!$C$29,Q$3&lt;Projects!$C$29+Projects!$D$29),Projects!$B$29*(Assumptions!$B$10+Assumptions!$B$11+Assumptions!$B$12)/Projects!$D$29*0.95,0)-IF(AND(Projects!$G$29="Yes",Q$3=Projects!$C$29+Projects!$D$29-1),Projects!$B$29*(Assumptions!$B$10+Assumptions!$B$11+Assumptions!$B$12)*0.05,0)</f>
        <v>0</v>
      </c>
      <c r="R38" s="19" t="n">
        <f aca="false">IF(AND(Projects!$G$29="Yes",R$3&gt;=Projects!$C$29,R$3&lt;Projects!$C$29+Projects!$D$29),Projects!$B$29*INDEX(Curves!$B$4:$AR$4,1,R$3-Projects!$C$29+1),0)-IF(AND(Projects!$G$29="Yes",R$3&gt;=Projects!$C$29,R$3&lt;Projects!$C$29+Projects!$D$29),Projects!$B$29*(Assumptions!$B$10+Assumptions!$B$11+Assumptions!$B$12)/Projects!$D$29*0.95,0)-IF(AND(Projects!$G$29="Yes",R$3=Projects!$C$29+Projects!$D$29-1),Projects!$B$29*(Assumptions!$B$10+Assumptions!$B$11+Assumptions!$B$12)*0.05,0)</f>
        <v>0</v>
      </c>
      <c r="S38" s="19" t="n">
        <f aca="false">IF(AND(Projects!$G$29="Yes",S$3&gt;=Projects!$C$29,S$3&lt;Projects!$C$29+Projects!$D$29),Projects!$B$29*INDEX(Curves!$B$4:$AR$4,1,S$3-Projects!$C$29+1),0)-IF(AND(Projects!$G$29="Yes",S$3&gt;=Projects!$C$29,S$3&lt;Projects!$C$29+Projects!$D$29),Projects!$B$29*(Assumptions!$B$10+Assumptions!$B$11+Assumptions!$B$12)/Projects!$D$29*0.95,0)-IF(AND(Projects!$G$29="Yes",S$3=Projects!$C$29+Projects!$D$29-1),Projects!$B$29*(Assumptions!$B$10+Assumptions!$B$11+Assumptions!$B$12)*0.05,0)</f>
        <v>0</v>
      </c>
      <c r="T38" s="19" t="n">
        <f aca="false">IF(AND(Projects!$G$29="Yes",T$3&gt;=Projects!$C$29,T$3&lt;Projects!$C$29+Projects!$D$29),Projects!$B$29*INDEX(Curves!$B$4:$AR$4,1,T$3-Projects!$C$29+1),0)-IF(AND(Projects!$G$29="Yes",T$3&gt;=Projects!$C$29,T$3&lt;Projects!$C$29+Projects!$D$29),Projects!$B$29*(Assumptions!$B$10+Assumptions!$B$11+Assumptions!$B$12)/Projects!$D$29*0.95,0)-IF(AND(Projects!$G$29="Yes",T$3=Projects!$C$29+Projects!$D$29-1),Projects!$B$29*(Assumptions!$B$10+Assumptions!$B$11+Assumptions!$B$12)*0.05,0)</f>
        <v>0</v>
      </c>
      <c r="U38" s="19" t="n">
        <f aca="false">IF(AND(Projects!$G$29="Yes",U$3&gt;=Projects!$C$29,U$3&lt;Projects!$C$29+Projects!$D$29),Projects!$B$29*INDEX(Curves!$B$4:$AR$4,1,U$3-Projects!$C$29+1),0)-IF(AND(Projects!$G$29="Yes",U$3&gt;=Projects!$C$29,U$3&lt;Projects!$C$29+Projects!$D$29),Projects!$B$29*(Assumptions!$B$10+Assumptions!$B$11+Assumptions!$B$12)/Projects!$D$29*0.95,0)-IF(AND(Projects!$G$29="Yes",U$3=Projects!$C$29+Projects!$D$29-1),Projects!$B$29*(Assumptions!$B$10+Assumptions!$B$11+Assumptions!$B$12)*0.05,0)</f>
        <v>0</v>
      </c>
      <c r="V38" s="19" t="n">
        <f aca="false">IF(AND(Projects!$G$29="Yes",V$3&gt;=Projects!$C$29,V$3&lt;Projects!$C$29+Projects!$D$29),Projects!$B$29*INDEX(Curves!$B$4:$AR$4,1,V$3-Projects!$C$29+1),0)-IF(AND(Projects!$G$29="Yes",V$3&gt;=Projects!$C$29,V$3&lt;Projects!$C$29+Projects!$D$29),Projects!$B$29*(Assumptions!$B$10+Assumptions!$B$11+Assumptions!$B$12)/Projects!$D$29*0.95,0)-IF(AND(Projects!$G$29="Yes",V$3=Projects!$C$29+Projects!$D$29-1),Projects!$B$29*(Assumptions!$B$10+Assumptions!$B$11+Assumptions!$B$12)*0.05,0)</f>
        <v>0</v>
      </c>
      <c r="W38" s="19" t="n">
        <f aca="false">IF(AND(Projects!$G$29="Yes",W$3&gt;=Projects!$C$29,W$3&lt;Projects!$C$29+Projects!$D$29),Projects!$B$29*INDEX(Curves!$B$4:$AR$4,1,W$3-Projects!$C$29+1),0)-IF(AND(Projects!$G$29="Yes",W$3&gt;=Projects!$C$29,W$3&lt;Projects!$C$29+Projects!$D$29),Projects!$B$29*(Assumptions!$B$10+Assumptions!$B$11+Assumptions!$B$12)/Projects!$D$29*0.95,0)-IF(AND(Projects!$G$29="Yes",W$3=Projects!$C$29+Projects!$D$29-1),Projects!$B$29*(Assumptions!$B$10+Assumptions!$B$11+Assumptions!$B$12)*0.05,0)</f>
        <v>0</v>
      </c>
      <c r="X38" s="19" t="n">
        <f aca="false">IF(AND(Projects!$G$29="Yes",X$3&gt;=Projects!$C$29,X$3&lt;Projects!$C$29+Projects!$D$29),Projects!$B$29*INDEX(Curves!$B$4:$AR$4,1,X$3-Projects!$C$29+1),0)-IF(AND(Projects!$G$29="Yes",X$3&gt;=Projects!$C$29,X$3&lt;Projects!$C$29+Projects!$D$29),Projects!$B$29*(Assumptions!$B$10+Assumptions!$B$11+Assumptions!$B$12)/Projects!$D$29*0.95,0)-IF(AND(Projects!$G$29="Yes",X$3=Projects!$C$29+Projects!$D$29-1),Projects!$B$29*(Assumptions!$B$10+Assumptions!$B$11+Assumptions!$B$12)*0.05,0)</f>
        <v>0</v>
      </c>
      <c r="Y38" s="19" t="n">
        <f aca="false">IF(AND(Projects!$G$29="Yes",Y$3&gt;=Projects!$C$29,Y$3&lt;Projects!$C$29+Projects!$D$29),Projects!$B$29*INDEX(Curves!$B$4:$AR$4,1,Y$3-Projects!$C$29+1),0)-IF(AND(Projects!$G$29="Yes",Y$3&gt;=Projects!$C$29,Y$3&lt;Projects!$C$29+Projects!$D$29),Projects!$B$29*(Assumptions!$B$10+Assumptions!$B$11+Assumptions!$B$12)/Projects!$D$29*0.95,0)-IF(AND(Projects!$G$29="Yes",Y$3=Projects!$C$29+Projects!$D$29-1),Projects!$B$29*(Assumptions!$B$10+Assumptions!$B$11+Assumptions!$B$12)*0.05,0)</f>
        <v>0</v>
      </c>
      <c r="Z38" s="19" t="n">
        <f aca="false">IF(AND(Projects!$G$29="Yes",Z$3&gt;=Projects!$C$29,Z$3&lt;Projects!$C$29+Projects!$D$29),Projects!$B$29*INDEX(Curves!$B$4:$AR$4,1,Z$3-Projects!$C$29+1),0)-IF(AND(Projects!$G$29="Yes",Z$3&gt;=Projects!$C$29,Z$3&lt;Projects!$C$29+Projects!$D$29),Projects!$B$29*(Assumptions!$B$10+Assumptions!$B$11+Assumptions!$B$12)/Projects!$D$29*0.95,0)-IF(AND(Projects!$G$29="Yes",Z$3=Projects!$C$29+Projects!$D$29-1),Projects!$B$29*(Assumptions!$B$10+Assumptions!$B$11+Assumptions!$B$12)*0.05,0)</f>
        <v>0</v>
      </c>
      <c r="AA38" s="19" t="n">
        <f aca="false">IF(AND(Projects!$G$29="Yes",AA$3&gt;=Projects!$C$29,AA$3&lt;Projects!$C$29+Projects!$D$29),Projects!$B$29*INDEX(Curves!$B$4:$AR$4,1,AA$3-Projects!$C$29+1),0)-IF(AND(Projects!$G$29="Yes",AA$3&gt;=Projects!$C$29,AA$3&lt;Projects!$C$29+Projects!$D$29),Projects!$B$29*(Assumptions!$B$10+Assumptions!$B$11+Assumptions!$B$12)/Projects!$D$29*0.95,0)-IF(AND(Projects!$G$29="Yes",AA$3=Projects!$C$29+Projects!$D$29-1),Projects!$B$29*(Assumptions!$B$10+Assumptions!$B$11+Assumptions!$B$12)*0.05,0)</f>
        <v>0</v>
      </c>
      <c r="AB38" s="19" t="n">
        <f aca="false">IF(AND(Projects!$G$29="Yes",AB$3&gt;=Projects!$C$29,AB$3&lt;Projects!$C$29+Projects!$D$29),Projects!$B$29*INDEX(Curves!$B$4:$AR$4,1,AB$3-Projects!$C$29+1),0)-IF(AND(Projects!$G$29="Yes",AB$3&gt;=Projects!$C$29,AB$3&lt;Projects!$C$29+Projects!$D$29),Projects!$B$29*(Assumptions!$B$10+Assumptions!$B$11+Assumptions!$B$12)/Projects!$D$29*0.95,0)-IF(AND(Projects!$G$29="Yes",AB$3=Projects!$C$29+Projects!$D$29-1),Projects!$B$29*(Assumptions!$B$10+Assumptions!$B$11+Assumptions!$B$12)*0.05,0)</f>
        <v>0</v>
      </c>
      <c r="AC38" s="19" t="n">
        <f aca="false">IF(AND(Projects!$G$29="Yes",AC$3&gt;=Projects!$C$29,AC$3&lt;Projects!$C$29+Projects!$D$29),Projects!$B$29*INDEX(Curves!$B$4:$AR$4,1,AC$3-Projects!$C$29+1),0)-IF(AND(Projects!$G$29="Yes",AC$3&gt;=Projects!$C$29,AC$3&lt;Projects!$C$29+Projects!$D$29),Projects!$B$29*(Assumptions!$B$10+Assumptions!$B$11+Assumptions!$B$12)/Projects!$D$29*0.95,0)-IF(AND(Projects!$G$29="Yes",AC$3=Projects!$C$29+Projects!$D$29-1),Projects!$B$29*(Assumptions!$B$10+Assumptions!$B$11+Assumptions!$B$12)*0.05,0)</f>
        <v>0</v>
      </c>
      <c r="AD38" s="19" t="n">
        <f aca="false">IF(AND(Projects!$G$29="Yes",AD$3&gt;=Projects!$C$29,AD$3&lt;Projects!$C$29+Projects!$D$29),Projects!$B$29*INDEX(Curves!$B$4:$AR$4,1,AD$3-Projects!$C$29+1),0)-IF(AND(Projects!$G$29="Yes",AD$3&gt;=Projects!$C$29,AD$3&lt;Projects!$C$29+Projects!$D$29),Projects!$B$29*(Assumptions!$B$10+Assumptions!$B$11+Assumptions!$B$12)/Projects!$D$29*0.95,0)-IF(AND(Projects!$G$29="Yes",AD$3=Projects!$C$29+Projects!$D$29-1),Projects!$B$29*(Assumptions!$B$10+Assumptions!$B$11+Assumptions!$B$12)*0.05,0)</f>
        <v>0</v>
      </c>
      <c r="AE38" s="19" t="n">
        <f aca="false">IF(AND(Projects!$G$29="Yes",AE$3&gt;=Projects!$C$29,AE$3&lt;Projects!$C$29+Projects!$D$29),Projects!$B$29*INDEX(Curves!$B$4:$AR$4,1,AE$3-Projects!$C$29+1),0)-IF(AND(Projects!$G$29="Yes",AE$3&gt;=Projects!$C$29,AE$3&lt;Projects!$C$29+Projects!$D$29),Projects!$B$29*(Assumptions!$B$10+Assumptions!$B$11+Assumptions!$B$12)/Projects!$D$29*0.95,0)-IF(AND(Projects!$G$29="Yes",AE$3=Projects!$C$29+Projects!$D$29-1),Projects!$B$29*(Assumptions!$B$10+Assumptions!$B$11+Assumptions!$B$12)*0.05,0)</f>
        <v>0</v>
      </c>
      <c r="AF38" s="19" t="n">
        <f aca="false">IF(AND(Projects!$G$29="Yes",AF$3&gt;=Projects!$C$29,AF$3&lt;Projects!$C$29+Projects!$D$29),Projects!$B$29*INDEX(Curves!$B$4:$AR$4,1,AF$3-Projects!$C$29+1),0)-IF(AND(Projects!$G$29="Yes",AF$3&gt;=Projects!$C$29,AF$3&lt;Projects!$C$29+Projects!$D$29),Projects!$B$29*(Assumptions!$B$10+Assumptions!$B$11+Assumptions!$B$12)/Projects!$D$29*0.95,0)-IF(AND(Projects!$G$29="Yes",AF$3=Projects!$C$29+Projects!$D$29-1),Projects!$B$29*(Assumptions!$B$10+Assumptions!$B$11+Assumptions!$B$12)*0.05,0)</f>
        <v>0</v>
      </c>
      <c r="AG38" s="19" t="n">
        <f aca="false">IF(AND(Projects!$G$29="Yes",AG$3&gt;=Projects!$C$29,AG$3&lt;Projects!$C$29+Projects!$D$29),Projects!$B$29*INDEX(Curves!$B$4:$AR$4,1,AG$3-Projects!$C$29+1),0)-IF(AND(Projects!$G$29="Yes",AG$3&gt;=Projects!$C$29,AG$3&lt;Projects!$C$29+Projects!$D$29),Projects!$B$29*(Assumptions!$B$10+Assumptions!$B$11+Assumptions!$B$12)/Projects!$D$29*0.95,0)-IF(AND(Projects!$G$29="Yes",AG$3=Projects!$C$29+Projects!$D$29-1),Projects!$B$29*(Assumptions!$B$10+Assumptions!$B$11+Assumptions!$B$12)*0.05,0)</f>
        <v>0</v>
      </c>
      <c r="AH38" s="19" t="n">
        <f aca="false">IF(AND(Projects!$G$29="Yes",AH$3&gt;=Projects!$C$29,AH$3&lt;Projects!$C$29+Projects!$D$29),Projects!$B$29*INDEX(Curves!$B$4:$AR$4,1,AH$3-Projects!$C$29+1),0)-IF(AND(Projects!$G$29="Yes",AH$3&gt;=Projects!$C$29,AH$3&lt;Projects!$C$29+Projects!$D$29),Projects!$B$29*(Assumptions!$B$10+Assumptions!$B$11+Assumptions!$B$12)/Projects!$D$29*0.95,0)-IF(AND(Projects!$G$29="Yes",AH$3=Projects!$C$29+Projects!$D$29-1),Projects!$B$29*(Assumptions!$B$10+Assumptions!$B$11+Assumptions!$B$12)*0.05,0)</f>
        <v>0</v>
      </c>
      <c r="AI38" s="19" t="n">
        <f aca="false">IF(AND(Projects!$G$29="Yes",AI$3&gt;=Projects!$C$29,AI$3&lt;Projects!$C$29+Projects!$D$29),Projects!$B$29*INDEX(Curves!$B$4:$AR$4,1,AI$3-Projects!$C$29+1),0)-IF(AND(Projects!$G$29="Yes",AI$3&gt;=Projects!$C$29,AI$3&lt;Projects!$C$29+Projects!$D$29),Projects!$B$29*(Assumptions!$B$10+Assumptions!$B$11+Assumptions!$B$12)/Projects!$D$29*0.95,0)-IF(AND(Projects!$G$29="Yes",AI$3=Projects!$C$29+Projects!$D$29-1),Projects!$B$29*(Assumptions!$B$10+Assumptions!$B$11+Assumptions!$B$12)*0.05,0)</f>
        <v>0</v>
      </c>
      <c r="AJ38" s="19" t="n">
        <f aca="false">IF(AND(Projects!$G$29="Yes",AJ$3&gt;=Projects!$C$29,AJ$3&lt;Projects!$C$29+Projects!$D$29),Projects!$B$29*INDEX(Curves!$B$4:$AR$4,1,AJ$3-Projects!$C$29+1),0)-IF(AND(Projects!$G$29="Yes",AJ$3&gt;=Projects!$C$29,AJ$3&lt;Projects!$C$29+Projects!$D$29),Projects!$B$29*(Assumptions!$B$10+Assumptions!$B$11+Assumptions!$B$12)/Projects!$D$29*0.95,0)-IF(AND(Projects!$G$29="Yes",AJ$3=Projects!$C$29+Projects!$D$29-1),Projects!$B$29*(Assumptions!$B$10+Assumptions!$B$11+Assumptions!$B$12)*0.05,0)</f>
        <v>0</v>
      </c>
      <c r="AK38" s="19" t="n">
        <f aca="false">IF(AND(Projects!$G$29="Yes",AK$3&gt;=Projects!$C$29,AK$3&lt;Projects!$C$29+Projects!$D$29),Projects!$B$29*INDEX(Curves!$B$4:$AR$4,1,AK$3-Projects!$C$29+1),0)-IF(AND(Projects!$G$29="Yes",AK$3&gt;=Projects!$C$29,AK$3&lt;Projects!$C$29+Projects!$D$29),Projects!$B$29*(Assumptions!$B$10+Assumptions!$B$11+Assumptions!$B$12)/Projects!$D$29*0.95,0)-IF(AND(Projects!$G$29="Yes",AK$3=Projects!$C$29+Projects!$D$29-1),Projects!$B$29*(Assumptions!$B$10+Assumptions!$B$11+Assumptions!$B$12)*0.05,0)</f>
        <v>307461.75</v>
      </c>
      <c r="AL38" s="19" t="n">
        <f aca="false">IF(AND(Projects!$G$29="Yes",AL$3&gt;=Projects!$C$29,AL$3&lt;Projects!$C$29+Projects!$D$29),Projects!$B$29*INDEX(Curves!$B$4:$AR$4,1,AL$3-Projects!$C$29+1),0)-IF(AND(Projects!$G$29="Yes",AL$3&gt;=Projects!$C$29,AL$3&lt;Projects!$C$29+Projects!$D$29),Projects!$B$29*(Assumptions!$B$10+Assumptions!$B$11+Assumptions!$B$12)/Projects!$D$29*0.95,0)-IF(AND(Projects!$G$29="Yes",AL$3=Projects!$C$29+Projects!$D$29-1),Projects!$B$29*(Assumptions!$B$10+Assumptions!$B$11+Assumptions!$B$12)*0.05,0)</f>
        <v>401121.75</v>
      </c>
      <c r="AM38" s="19" t="n">
        <f aca="false">IF(AND(Projects!$G$29="Yes",AM$3&gt;=Projects!$C$29,AM$3&lt;Projects!$C$29+Projects!$D$29),Projects!$B$29*INDEX(Curves!$B$4:$AR$4,1,AM$3-Projects!$C$29+1),0)-IF(AND(Projects!$G$29="Yes",AM$3&gt;=Projects!$C$29,AM$3&lt;Projects!$C$29+Projects!$D$29),Projects!$B$29*(Assumptions!$B$10+Assumptions!$B$11+Assumptions!$B$12)/Projects!$D$29*0.95,0)-IF(AND(Projects!$G$29="Yes",AM$3=Projects!$C$29+Projects!$D$29-1),Projects!$B$29*(Assumptions!$B$10+Assumptions!$B$11+Assumptions!$B$12)*0.05,0)</f>
        <v>501936.75</v>
      </c>
      <c r="AN38" s="19" t="n">
        <f aca="false">IF(AND(Projects!$G$29="Yes",AN$3&gt;=Projects!$C$29,AN$3&lt;Projects!$C$29+Projects!$D$29),Projects!$B$29*INDEX(Curves!$B$4:$AR$4,1,AN$3-Projects!$C$29+1),0)-IF(AND(Projects!$G$29="Yes",AN$3&gt;=Projects!$C$29,AN$3&lt;Projects!$C$29+Projects!$D$29),Projects!$B$29*(Assumptions!$B$10+Assumptions!$B$11+Assumptions!$B$12)/Projects!$D$29*0.95,0)-IF(AND(Projects!$G$29="Yes",AN$3=Projects!$C$29+Projects!$D$29-1),Projects!$B$29*(Assumptions!$B$10+Assumptions!$B$11+Assumptions!$B$12)*0.05,0)</f>
        <v>605886.75</v>
      </c>
      <c r="AO38" s="19" t="n">
        <f aca="false">IF(AND(Projects!$G$29="Yes",AO$3&gt;=Projects!$C$29,AO$3&lt;Projects!$C$29+Projects!$D$29),Projects!$B$29*INDEX(Curves!$B$4:$AR$4,1,AO$3-Projects!$C$29+1),0)-IF(AND(Projects!$G$29="Yes",AO$3&gt;=Projects!$C$29,AO$3&lt;Projects!$C$29+Projects!$D$29),Projects!$B$29*(Assumptions!$B$10+Assumptions!$B$11+Assumptions!$B$12)/Projects!$D$29*0.95,0)-IF(AND(Projects!$G$29="Yes",AO$3=Projects!$C$29+Projects!$D$29-1),Projects!$B$29*(Assumptions!$B$10+Assumptions!$B$11+Assumptions!$B$12)*0.05,0)</f>
        <v>707976.75</v>
      </c>
      <c r="AP38" s="19" t="n">
        <f aca="false">IF(AND(Projects!$G$29="Yes",AP$3&gt;=Projects!$C$29,AP$3&lt;Projects!$C$29+Projects!$D$29),Projects!$B$29*INDEX(Curves!$B$4:$AR$4,1,AP$3-Projects!$C$29+1),0)-IF(AND(Projects!$G$29="Yes",AP$3&gt;=Projects!$C$29,AP$3&lt;Projects!$C$29+Projects!$D$29),Projects!$B$29*(Assumptions!$B$10+Assumptions!$B$11+Assumptions!$B$12)/Projects!$D$29*0.95,0)-IF(AND(Projects!$G$29="Yes",AP$3=Projects!$C$29+Projects!$D$29-1),Projects!$B$29*(Assumptions!$B$10+Assumptions!$B$11+Assumptions!$B$12)*0.05,0)</f>
        <v>802536.75</v>
      </c>
      <c r="AQ38" s="19" t="n">
        <f aca="false">IF(AND(Projects!$G$29="Yes",AQ$3&gt;=Projects!$C$29,AQ$3&lt;Projects!$C$29+Projects!$D$29),Projects!$B$29*INDEX(Curves!$B$4:$AR$4,1,AQ$3-Projects!$C$29+1),0)-IF(AND(Projects!$G$29="Yes",AQ$3&gt;=Projects!$C$29,AQ$3&lt;Projects!$C$29+Projects!$D$29),Projects!$B$29*(Assumptions!$B$10+Assumptions!$B$11+Assumptions!$B$12)/Projects!$D$29*0.95,0)-IF(AND(Projects!$G$29="Yes",AQ$3=Projects!$C$29+Projects!$D$29-1),Projects!$B$29*(Assumptions!$B$10+Assumptions!$B$11+Assumptions!$B$12)*0.05,0)</f>
        <v>883761.75</v>
      </c>
      <c r="AR38" s="19" t="n">
        <f aca="false">IF(AND(Projects!$G$29="Yes",AR$3&gt;=Projects!$C$29,AR$3&lt;Projects!$C$29+Projects!$D$29),Projects!$B$29*INDEX(Curves!$B$4:$AR$4,1,AR$3-Projects!$C$29+1),0)-IF(AND(Projects!$G$29="Yes",AR$3&gt;=Projects!$C$29,AR$3&lt;Projects!$C$29+Projects!$D$29),Projects!$B$29*(Assumptions!$B$10+Assumptions!$B$11+Assumptions!$B$12)/Projects!$D$29*0.95,0)-IF(AND(Projects!$G$29="Yes",AR$3=Projects!$C$29+Projects!$D$29-1),Projects!$B$29*(Assumptions!$B$10+Assumptions!$B$11+Assumptions!$B$12)*0.05,0)</f>
        <v>946266.75</v>
      </c>
      <c r="AS38" s="19" t="n">
        <f aca="false">IF(AND(Projects!$G$29="Yes",AS$3&gt;=Projects!$C$29,AS$3&lt;Projects!$C$29+Projects!$D$29),Projects!$B$29*INDEX(Curves!$B$4:$AR$4,1,AS$3-Projects!$C$29+1),0)-IF(AND(Projects!$G$29="Yes",AS$3&gt;=Projects!$C$29,AS$3&lt;Projects!$C$29+Projects!$D$29),Projects!$B$29*(Assumptions!$B$10+Assumptions!$B$11+Assumptions!$B$12)/Projects!$D$29*0.95,0)-IF(AND(Projects!$G$29="Yes",AS$3=Projects!$C$29+Projects!$D$29-1),Projects!$B$29*(Assumptions!$B$10+Assumptions!$B$11+Assumptions!$B$12)*0.05,0)</f>
        <v>985686.75</v>
      </c>
      <c r="AT38" s="19" t="n">
        <f aca="false">IF(AND(Projects!$G$29="Yes",AT$3&gt;=Projects!$C$29,AT$3&lt;Projects!$C$29+Projects!$D$29),Projects!$B$29*INDEX(Curves!$B$4:$AR$4,1,AT$3-Projects!$C$29+1),0)-IF(AND(Projects!$G$29="Yes",AT$3&gt;=Projects!$C$29,AT$3&lt;Projects!$C$29+Projects!$D$29),Projects!$B$29*(Assumptions!$B$10+Assumptions!$B$11+Assumptions!$B$12)/Projects!$D$29*0.95,0)-IF(AND(Projects!$G$29="Yes",AT$3=Projects!$C$29+Projects!$D$29-1),Projects!$B$29*(Assumptions!$B$10+Assumptions!$B$11+Assumptions!$B$12)*0.05,0)</f>
        <v>999156.75</v>
      </c>
      <c r="AU38" s="19" t="n">
        <f aca="false">IF(AND(Projects!$G$29="Yes",AU$3&gt;=Projects!$C$29,AU$3&lt;Projects!$C$29+Projects!$D$29),Projects!$B$29*INDEX(Curves!$B$4:$AR$4,1,AU$3-Projects!$C$29+1),0)-IF(AND(Projects!$G$29="Yes",AU$3&gt;=Projects!$C$29,AU$3&lt;Projects!$C$29+Projects!$D$29),Projects!$B$29*(Assumptions!$B$10+Assumptions!$B$11+Assumptions!$B$12)/Projects!$D$29*0.95,0)-IF(AND(Projects!$G$29="Yes",AU$3=Projects!$C$29+Projects!$D$29-1),Projects!$B$29*(Assumptions!$B$10+Assumptions!$B$11+Assumptions!$B$12)*0.05,0)</f>
        <v>985686.75</v>
      </c>
      <c r="AV38" s="19" t="n">
        <f aca="false">IF(AND(Projects!$G$29="Yes",AV$3&gt;=Projects!$C$29,AV$3&lt;Projects!$C$29+Projects!$D$29),Projects!$B$29*INDEX(Curves!$B$4:$AR$4,1,AV$3-Projects!$C$29+1),0)-IF(AND(Projects!$G$29="Yes",AV$3&gt;=Projects!$C$29,AV$3&lt;Projects!$C$29+Projects!$D$29),Projects!$B$29*(Assumptions!$B$10+Assumptions!$B$11+Assumptions!$B$12)/Projects!$D$29*0.95,0)-IF(AND(Projects!$G$29="Yes",AV$3=Projects!$C$29+Projects!$D$29-1),Projects!$B$29*(Assumptions!$B$10+Assumptions!$B$11+Assumptions!$B$12)*0.05,0)</f>
        <v>946266.75</v>
      </c>
      <c r="AW38" s="19" t="n">
        <f aca="false">IF(AND(Projects!$G$29="Yes",AW$3&gt;=Projects!$C$29,AW$3&lt;Projects!$C$29+Projects!$D$29),Projects!$B$29*INDEX(Curves!$B$4:$AR$4,1,AW$3-Projects!$C$29+1),0)-IF(AND(Projects!$G$29="Yes",AW$3&gt;=Projects!$C$29,AW$3&lt;Projects!$C$29+Projects!$D$29),Projects!$B$29*(Assumptions!$B$10+Assumptions!$B$11+Assumptions!$B$12)/Projects!$D$29*0.95,0)-IF(AND(Projects!$G$29="Yes",AW$3=Projects!$C$29+Projects!$D$29-1),Projects!$B$29*(Assumptions!$B$10+Assumptions!$B$11+Assumptions!$B$12)*0.05,0)</f>
        <v>883761.75</v>
      </c>
      <c r="AX38" s="19" t="n">
        <f aca="false">IF(AND(Projects!$G$29="Yes",AX$3&gt;=Projects!$C$29,AX$3&lt;Projects!$C$29+Projects!$D$29),Projects!$B$29*INDEX(Curves!$B$4:$AR$4,1,AX$3-Projects!$C$29+1),0)-IF(AND(Projects!$G$29="Yes",AX$3&gt;=Projects!$C$29,AX$3&lt;Projects!$C$29+Projects!$D$29),Projects!$B$29*(Assumptions!$B$10+Assumptions!$B$11+Assumptions!$B$12)/Projects!$D$29*0.95,0)-IF(AND(Projects!$G$29="Yes",AX$3=Projects!$C$29+Projects!$D$29-1),Projects!$B$29*(Assumptions!$B$10+Assumptions!$B$11+Assumptions!$B$12)*0.05,0)</f>
        <v>802536.75</v>
      </c>
      <c r="AY38" s="19" t="n">
        <f aca="false">IF(AND(Projects!$G$29="Yes",AY$3&gt;=Projects!$C$29,AY$3&lt;Projects!$C$29+Projects!$D$29),Projects!$B$29*INDEX(Curves!$B$4:$AR$4,1,AY$3-Projects!$C$29+1),0)-IF(AND(Projects!$G$29="Yes",AY$3&gt;=Projects!$C$29,AY$3&lt;Projects!$C$29+Projects!$D$29),Projects!$B$29*(Assumptions!$B$10+Assumptions!$B$11+Assumptions!$B$12)/Projects!$D$29*0.95,0)-IF(AND(Projects!$G$29="Yes",AY$3=Projects!$C$29+Projects!$D$29-1),Projects!$B$29*(Assumptions!$B$10+Assumptions!$B$11+Assumptions!$B$12)*0.05,0)</f>
        <v>707976.75</v>
      </c>
      <c r="AZ38" s="19" t="n">
        <f aca="false">IF(AND(Projects!$G$29="Yes",AZ$3&gt;=Projects!$C$29,AZ$3&lt;Projects!$C$29+Projects!$D$29),Projects!$B$29*INDEX(Curves!$B$4:$AR$4,1,AZ$3-Projects!$C$29+1),0)-IF(AND(Projects!$G$29="Yes",AZ$3&gt;=Projects!$C$29,AZ$3&lt;Projects!$C$29+Projects!$D$29),Projects!$B$29*(Assumptions!$B$10+Assumptions!$B$11+Assumptions!$B$12)/Projects!$D$29*0.95,0)-IF(AND(Projects!$G$29="Yes",AZ$3=Projects!$C$29+Projects!$D$29-1),Projects!$B$29*(Assumptions!$B$10+Assumptions!$B$11+Assumptions!$B$12)*0.05,0)</f>
        <v>605886.75</v>
      </c>
      <c r="BA38" s="19" t="n">
        <f aca="false">IF(AND(Projects!$G$29="Yes",BA$3&gt;=Projects!$C$29,BA$3&lt;Projects!$C$29+Projects!$D$29),Projects!$B$29*INDEX(Curves!$B$4:$AR$4,1,BA$3-Projects!$C$29+1),0)-IF(AND(Projects!$G$29="Yes",BA$3&gt;=Projects!$C$29,BA$3&lt;Projects!$C$29+Projects!$D$29),Projects!$B$29*(Assumptions!$B$10+Assumptions!$B$11+Assumptions!$B$12)/Projects!$D$29*0.95,0)-IF(AND(Projects!$G$29="Yes",BA$3=Projects!$C$29+Projects!$D$29-1),Projects!$B$29*(Assumptions!$B$10+Assumptions!$B$11+Assumptions!$B$12)*0.05,0)</f>
        <v>501936.75</v>
      </c>
      <c r="BB38" s="19" t="n">
        <f aca="false">IF(AND(Projects!$G$29="Yes",BB$3&gt;=Projects!$C$29,BB$3&lt;Projects!$C$29+Projects!$D$29),Projects!$B$29*INDEX(Curves!$B$4:$AR$4,1,BB$3-Projects!$C$29+1),0)-IF(AND(Projects!$G$29="Yes",BB$3&gt;=Projects!$C$29,BB$3&lt;Projects!$C$29+Projects!$D$29),Projects!$B$29*(Assumptions!$B$10+Assumptions!$B$11+Assumptions!$B$12)/Projects!$D$29*0.95,0)-IF(AND(Projects!$G$29="Yes",BB$3=Projects!$C$29+Projects!$D$29-1),Projects!$B$29*(Assumptions!$B$10+Assumptions!$B$11+Assumptions!$B$12)*0.05,0)</f>
        <v>401121.75</v>
      </c>
      <c r="BC38" s="19" t="n">
        <f aca="false">IF(AND(Projects!$G$29="Yes",BC$3&gt;=Projects!$C$29,BC$3&lt;Projects!$C$29+Projects!$D$29),Projects!$B$29*INDEX(Curves!$B$4:$AR$4,1,BC$3-Projects!$C$29+1),0)-IF(AND(Projects!$G$29="Yes",BC$3&gt;=Projects!$C$29,BC$3&lt;Projects!$C$29+Projects!$D$29),Projects!$B$29*(Assumptions!$B$10+Assumptions!$B$11+Assumptions!$B$12)/Projects!$D$29*0.95,0)-IF(AND(Projects!$G$29="Yes",BC$3=Projects!$C$29+Projects!$D$29-1),Projects!$B$29*(Assumptions!$B$10+Assumptions!$B$11+Assumptions!$B$12)*0.05,0)</f>
        <v>217168.5</v>
      </c>
      <c r="BD38" s="19" t="n">
        <f aca="false">IF(AND(Projects!$G$29="Yes",BD$3&gt;=Projects!$C$29,BD$3&lt;Projects!$C$29+Projects!$D$29),Projects!$B$29*INDEX(Curves!$B$4:$AR$4,1,BD$3-Projects!$C$29+1),0)-IF(AND(Projects!$G$29="Yes",BD$3&gt;=Projects!$C$29,BD$3&lt;Projects!$C$29+Projects!$D$29),Projects!$B$29*(Assumptions!$B$10+Assumptions!$B$11+Assumptions!$B$12)/Projects!$D$29*0.95,0)-IF(AND(Projects!$G$29="Yes",BD$3=Projects!$C$29+Projects!$D$29-1),Projects!$B$29*(Assumptions!$B$10+Assumptions!$B$11+Assumptions!$B$12)*0.05,0)</f>
        <v>0</v>
      </c>
      <c r="BE38" s="19" t="n">
        <f aca="false">IF(AND(Projects!$G$29="Yes",BE$3&gt;=Projects!$C$29,BE$3&lt;Projects!$C$29+Projects!$D$29),Projects!$B$29*INDEX(Curves!$B$4:$AR$4,1,BE$3-Projects!$C$29+1),0)-IF(AND(Projects!$G$29="Yes",BE$3&gt;=Projects!$C$29,BE$3&lt;Projects!$C$29+Projects!$D$29),Projects!$B$29*(Assumptions!$B$10+Assumptions!$B$11+Assumptions!$B$12)/Projects!$D$29*0.95,0)-IF(AND(Projects!$G$29="Yes",BE$3=Projects!$C$29+Projects!$D$29-1),Projects!$B$29*(Assumptions!$B$10+Assumptions!$B$11+Assumptions!$B$12)*0.05,0)</f>
        <v>0</v>
      </c>
      <c r="BF38" s="19" t="n">
        <f aca="false">IF(AND(Projects!$G$29="Yes",BF$3&gt;=Projects!$C$29,BF$3&lt;Projects!$C$29+Projects!$D$29),Projects!$B$29*INDEX(Curves!$B$4:$AR$4,1,BF$3-Projects!$C$29+1),0)-IF(AND(Projects!$G$29="Yes",BF$3&gt;=Projects!$C$29,BF$3&lt;Projects!$C$29+Projects!$D$29),Projects!$B$29*(Assumptions!$B$10+Assumptions!$B$11+Assumptions!$B$12)/Projects!$D$29*0.95,0)-IF(AND(Projects!$G$29="Yes",BF$3=Projects!$C$29+Projects!$D$29-1),Projects!$B$29*(Assumptions!$B$10+Assumptions!$B$11+Assumptions!$B$12)*0.05,0)</f>
        <v>0</v>
      </c>
      <c r="BG38" s="19" t="n">
        <f aca="false">IF(AND(Projects!$G$29="Yes",BG$3&gt;=Projects!$C$29,BG$3&lt;Projects!$C$29+Projects!$D$29),Projects!$B$29*INDEX(Curves!$B$4:$AR$4,1,BG$3-Projects!$C$29+1),0)-IF(AND(Projects!$G$29="Yes",BG$3&gt;=Projects!$C$29,BG$3&lt;Projects!$C$29+Projects!$D$29),Projects!$B$29*(Assumptions!$B$10+Assumptions!$B$11+Assumptions!$B$12)/Projects!$D$29*0.95,0)-IF(AND(Projects!$G$29="Yes",BG$3=Projects!$C$29+Projects!$D$29-1),Projects!$B$29*(Assumptions!$B$10+Assumptions!$B$11+Assumptions!$B$12)*0.05,0)</f>
        <v>0</v>
      </c>
      <c r="BH38" s="19" t="n">
        <f aca="false">IF(AND(Projects!$G$29="Yes",BH$3&gt;=Projects!$C$29,BH$3&lt;Projects!$C$29+Projects!$D$29),Projects!$B$29*INDEX(Curves!$B$4:$AR$4,1,BH$3-Projects!$C$29+1),0)-IF(AND(Projects!$G$29="Yes",BH$3&gt;=Projects!$C$29,BH$3&lt;Projects!$C$29+Projects!$D$29),Projects!$B$29*(Assumptions!$B$10+Assumptions!$B$11+Assumptions!$B$12)/Projects!$D$29*0.95,0)-IF(AND(Projects!$G$29="Yes",BH$3=Projects!$C$29+Projects!$D$29-1),Projects!$B$29*(Assumptions!$B$10+Assumptions!$B$11+Assumptions!$B$12)*0.05,0)</f>
        <v>0</v>
      </c>
      <c r="BI38" s="19" t="n">
        <f aca="false">IF(AND(Projects!$G$29="Yes",BI$3&gt;=Projects!$C$29,BI$3&lt;Projects!$C$29+Projects!$D$29),Projects!$B$29*INDEX(Curves!$B$4:$AR$4,1,BI$3-Projects!$C$29+1),0)-IF(AND(Projects!$G$29="Yes",BI$3&gt;=Projects!$C$29,BI$3&lt;Projects!$C$29+Projects!$D$29),Projects!$B$29*(Assumptions!$B$10+Assumptions!$B$11+Assumptions!$B$12)/Projects!$D$29*0.95,0)-IF(AND(Projects!$G$29="Yes",BI$3=Projects!$C$29+Projects!$D$29-1),Projects!$B$29*(Assumptions!$B$10+Assumptions!$B$11+Assumptions!$B$12)*0.05,0)</f>
        <v>0</v>
      </c>
      <c r="BJ38" s="19" t="n">
        <f aca="false">IF(AND(Projects!$G$29="Yes",BJ$3&gt;=Projects!$C$29,BJ$3&lt;Projects!$C$29+Projects!$D$29),Projects!$B$29*INDEX(Curves!$B$4:$AR$4,1,BJ$3-Projects!$C$29+1),0)-IF(AND(Projects!$G$29="Yes",BJ$3&gt;=Projects!$C$29,BJ$3&lt;Projects!$C$29+Projects!$D$29),Projects!$B$29*(Assumptions!$B$10+Assumptions!$B$11+Assumptions!$B$12)/Projects!$D$29*0.95,0)-IF(AND(Projects!$G$29="Yes",BJ$3=Projects!$C$29+Projects!$D$29-1),Projects!$B$29*(Assumptions!$B$10+Assumptions!$B$11+Assumptions!$B$12)*0.05,0)</f>
        <v>0</v>
      </c>
      <c r="BK38" s="19" t="n">
        <f aca="false">IF(AND(Projects!$G$29="Yes",BK$3&gt;=Projects!$C$29,BK$3&lt;Projects!$C$29+Projects!$D$29),Projects!$B$29*INDEX(Curves!$B$4:$AR$4,1,BK$3-Projects!$C$29+1),0)-IF(AND(Projects!$G$29="Yes",BK$3&gt;=Projects!$C$29,BK$3&lt;Projects!$C$29+Projects!$D$29),Projects!$B$29*(Assumptions!$B$10+Assumptions!$B$11+Assumptions!$B$12)/Projects!$D$29*0.95,0)-IF(AND(Projects!$G$29="Yes",BK$3=Projects!$C$29+Projects!$D$29-1),Projects!$B$29*(Assumptions!$B$10+Assumptions!$B$11+Assumptions!$B$12)*0.05,0)</f>
        <v>0</v>
      </c>
      <c r="BL38" s="19" t="n">
        <f aca="false">IF(AND(Projects!$G$29="Yes",BL$3&gt;=Projects!$C$29,BL$3&lt;Projects!$C$29+Projects!$D$29),Projects!$B$29*INDEX(Curves!$B$4:$AR$4,1,BL$3-Projects!$C$29+1),0)-IF(AND(Projects!$G$29="Yes",BL$3&gt;=Projects!$C$29,BL$3&lt;Projects!$C$29+Projects!$D$29),Projects!$B$29*(Assumptions!$B$10+Assumptions!$B$11+Assumptions!$B$12)/Projects!$D$29*0.95,0)-IF(AND(Projects!$G$29="Yes",BL$3=Projects!$C$29+Projects!$D$29-1),Projects!$B$29*(Assumptions!$B$10+Assumptions!$B$11+Assumptions!$B$12)*0.05,0)</f>
        <v>0</v>
      </c>
      <c r="BM38" s="19" t="n">
        <f aca="false">IF(AND(Projects!$G$29="Yes",BM$3&gt;=Projects!$C$29,BM$3&lt;Projects!$C$29+Projects!$D$29),Projects!$B$29*INDEX(Curves!$B$4:$AR$4,1,BM$3-Projects!$C$29+1),0)-IF(AND(Projects!$G$29="Yes",BM$3&gt;=Projects!$C$29,BM$3&lt;Projects!$C$29+Projects!$D$29),Projects!$B$29*(Assumptions!$B$10+Assumptions!$B$11+Assumptions!$B$12)/Projects!$D$29*0.95,0)-IF(AND(Projects!$G$29="Yes",BM$3=Projects!$C$29+Projects!$D$29-1),Projects!$B$29*(Assumptions!$B$10+Assumptions!$B$11+Assumptions!$B$12)*0.05,0)</f>
        <v>0</v>
      </c>
      <c r="BN38" s="19" t="n">
        <f aca="false">IF(AND(Projects!$G$29="Yes",BN$3&gt;=Projects!$C$29,BN$3&lt;Projects!$C$29+Projects!$D$29),Projects!$B$29*INDEX(Curves!$B$4:$AR$4,1,BN$3-Projects!$C$29+1),0)-IF(AND(Projects!$G$29="Yes",BN$3&gt;=Projects!$C$29,BN$3&lt;Projects!$C$29+Projects!$D$29),Projects!$B$29*(Assumptions!$B$10+Assumptions!$B$11+Assumptions!$B$12)/Projects!$D$29*0.95,0)-IF(AND(Projects!$G$29="Yes",BN$3=Projects!$C$29+Projects!$D$29-1),Projects!$B$29*(Assumptions!$B$10+Assumptions!$B$11+Assumptions!$B$12)*0.05,0)</f>
        <v>0</v>
      </c>
      <c r="BO38" s="19" t="n">
        <f aca="false">IF(AND(Projects!$G$29="Yes",BO$3&gt;=Projects!$C$29,BO$3&lt;Projects!$C$29+Projects!$D$29),Projects!$B$29*INDEX(Curves!$B$4:$AR$4,1,BO$3-Projects!$C$29+1),0)-IF(AND(Projects!$G$29="Yes",BO$3&gt;=Projects!$C$29,BO$3&lt;Projects!$C$29+Projects!$D$29),Projects!$B$29*(Assumptions!$B$10+Assumptions!$B$11+Assumptions!$B$12)/Projects!$D$29*0.95,0)-IF(AND(Projects!$G$29="Yes",BO$3=Projects!$C$29+Projects!$D$29-1),Projects!$B$29*(Assumptions!$B$10+Assumptions!$B$11+Assumptions!$B$12)*0.05,0)</f>
        <v>0</v>
      </c>
      <c r="BP38" s="19" t="n">
        <f aca="false">IF(AND(Projects!$G$29="Yes",BP$3&gt;=Projects!$C$29,BP$3&lt;Projects!$C$29+Projects!$D$29),Projects!$B$29*INDEX(Curves!$B$4:$AR$4,1,BP$3-Projects!$C$29+1),0)-IF(AND(Projects!$G$29="Yes",BP$3&gt;=Projects!$C$29,BP$3&lt;Projects!$C$29+Projects!$D$29),Projects!$B$29*(Assumptions!$B$10+Assumptions!$B$11+Assumptions!$B$12)/Projects!$D$29*0.95,0)-IF(AND(Projects!$G$29="Yes",BP$3=Projects!$C$29+Projects!$D$29-1),Projects!$B$29*(Assumptions!$B$10+Assumptions!$B$11+Assumptions!$B$12)*0.05,0)</f>
        <v>0</v>
      </c>
      <c r="BQ38" s="19" t="n">
        <f aca="false">IF(AND(Projects!$G$29="Yes",BQ$3&gt;=Projects!$C$29,BQ$3&lt;Projects!$C$29+Projects!$D$29),Projects!$B$29*INDEX(Curves!$B$4:$AR$4,1,BQ$3-Projects!$C$29+1),0)-IF(AND(Projects!$G$29="Yes",BQ$3&gt;=Projects!$C$29,BQ$3&lt;Projects!$C$29+Projects!$D$29),Projects!$B$29*(Assumptions!$B$10+Assumptions!$B$11+Assumptions!$B$12)/Projects!$D$29*0.95,0)-IF(AND(Projects!$G$29="Yes",BQ$3=Projects!$C$29+Projects!$D$29-1),Projects!$B$29*(Assumptions!$B$10+Assumptions!$B$11+Assumptions!$B$12)*0.05,0)</f>
        <v>0</v>
      </c>
      <c r="BR38" s="19" t="n">
        <f aca="false">IF(AND(Projects!$G$29="Yes",BR$3&gt;=Projects!$C$29,BR$3&lt;Projects!$C$29+Projects!$D$29),Projects!$B$29*INDEX(Curves!$B$4:$AR$4,1,BR$3-Projects!$C$29+1),0)-IF(AND(Projects!$G$29="Yes",BR$3&gt;=Projects!$C$29,BR$3&lt;Projects!$C$29+Projects!$D$29),Projects!$B$29*(Assumptions!$B$10+Assumptions!$B$11+Assumptions!$B$12)/Projects!$D$29*0.95,0)-IF(AND(Projects!$G$29="Yes",BR$3=Projects!$C$29+Projects!$D$29-1),Projects!$B$29*(Assumptions!$B$10+Assumptions!$B$11+Assumptions!$B$12)*0.05,0)</f>
        <v>0</v>
      </c>
      <c r="BS38" s="19" t="n">
        <f aca="false">IF(AND(Projects!$G$29="Yes",BS$3&gt;=Projects!$C$29,BS$3&lt;Projects!$C$29+Projects!$D$29),Projects!$B$29*INDEX(Curves!$B$4:$AR$4,1,BS$3-Projects!$C$29+1),0)-IF(AND(Projects!$G$29="Yes",BS$3&gt;=Projects!$C$29,BS$3&lt;Projects!$C$29+Projects!$D$29),Projects!$B$29*(Assumptions!$B$10+Assumptions!$B$11+Assumptions!$B$12)/Projects!$D$29*0.95,0)-IF(AND(Projects!$G$29="Yes",BS$3=Projects!$C$29+Projects!$D$29-1),Projects!$B$29*(Assumptions!$B$10+Assumptions!$B$11+Assumptions!$B$12)*0.05,0)</f>
        <v>0</v>
      </c>
      <c r="BT38" s="19" t="n">
        <f aca="false">IF(AND(Projects!$G$29="Yes",BT$3&gt;=Projects!$C$29,BT$3&lt;Projects!$C$29+Projects!$D$29),Projects!$B$29*INDEX(Curves!$B$4:$AR$4,1,BT$3-Projects!$C$29+1),0)-IF(AND(Projects!$G$29="Yes",BT$3&gt;=Projects!$C$29,BT$3&lt;Projects!$C$29+Projects!$D$29),Projects!$B$29*(Assumptions!$B$10+Assumptions!$B$11+Assumptions!$B$12)/Projects!$D$29*0.95,0)-IF(AND(Projects!$G$29="Yes",BT$3=Projects!$C$29+Projects!$D$29-1),Projects!$B$29*(Assumptions!$B$10+Assumptions!$B$11+Assumptions!$B$12)*0.05,0)</f>
        <v>0</v>
      </c>
      <c r="BU38" s="19" t="n">
        <f aca="false">IF(AND(Projects!$G$29="Yes",BU$3&gt;=Projects!$C$29,BU$3&lt;Projects!$C$29+Projects!$D$29),Projects!$B$29*INDEX(Curves!$B$4:$AR$4,1,BU$3-Projects!$C$29+1),0)-IF(AND(Projects!$G$29="Yes",BU$3&gt;=Projects!$C$29,BU$3&lt;Projects!$C$29+Projects!$D$29),Projects!$B$29*(Assumptions!$B$10+Assumptions!$B$11+Assumptions!$B$12)/Projects!$D$29*0.95,0)-IF(AND(Projects!$G$29="Yes",BU$3=Projects!$C$29+Projects!$D$29-1),Projects!$B$29*(Assumptions!$B$10+Assumptions!$B$11+Assumptions!$B$12)*0.05,0)</f>
        <v>0</v>
      </c>
      <c r="BV38" s="19" t="n">
        <f aca="false">IF(AND(Projects!$G$29="Yes",BV$3&gt;=Projects!$C$29,BV$3&lt;Projects!$C$29+Projects!$D$29),Projects!$B$29*INDEX(Curves!$B$4:$AR$4,1,BV$3-Projects!$C$29+1),0)-IF(AND(Projects!$G$29="Yes",BV$3&gt;=Projects!$C$29,BV$3&lt;Projects!$C$29+Projects!$D$29),Projects!$B$29*(Assumptions!$B$10+Assumptions!$B$11+Assumptions!$B$12)/Projects!$D$29*0.95,0)-IF(AND(Projects!$G$29="Yes",BV$3=Projects!$C$29+Projects!$D$29-1),Projects!$B$29*(Assumptions!$B$10+Assumptions!$B$11+Assumptions!$B$12)*0.05,0)</f>
        <v>0</v>
      </c>
      <c r="BW38" s="19" t="n">
        <f aca="false">IF(AND(Projects!$G$29="Yes",BW$3&gt;=Projects!$C$29,BW$3&lt;Projects!$C$29+Projects!$D$29),Projects!$B$29*INDEX(Curves!$B$4:$AR$4,1,BW$3-Projects!$C$29+1),0)-IF(AND(Projects!$G$29="Yes",BW$3&gt;=Projects!$C$29,BW$3&lt;Projects!$C$29+Projects!$D$29),Projects!$B$29*(Assumptions!$B$10+Assumptions!$B$11+Assumptions!$B$12)/Projects!$D$29*0.95,0)-IF(AND(Projects!$G$29="Yes",BW$3=Projects!$C$29+Projects!$D$29-1),Projects!$B$29*(Assumptions!$B$10+Assumptions!$B$11+Assumptions!$B$12)*0.05,0)</f>
        <v>0</v>
      </c>
      <c r="BX38" s="19" t="n">
        <f aca="false">IF(AND(Projects!$G$29="Yes",BX$3&gt;=Projects!$C$29,BX$3&lt;Projects!$C$29+Projects!$D$29),Projects!$B$29*INDEX(Curves!$B$4:$AR$4,1,BX$3-Projects!$C$29+1),0)-IF(AND(Projects!$G$29="Yes",BX$3&gt;=Projects!$C$29,BX$3&lt;Projects!$C$29+Projects!$D$29),Projects!$B$29*(Assumptions!$B$10+Assumptions!$B$11+Assumptions!$B$12)/Projects!$D$29*0.95,0)-IF(AND(Projects!$G$29="Yes",BX$3=Projects!$C$29+Projects!$D$29-1),Projects!$B$29*(Assumptions!$B$10+Assumptions!$B$11+Assumptions!$B$12)*0.05,0)</f>
        <v>0</v>
      </c>
      <c r="BY38" s="19" t="n">
        <f aca="false">IF(AND(Projects!$G$29="Yes",BY$3&gt;=Projects!$C$29,BY$3&lt;Projects!$C$29+Projects!$D$29),Projects!$B$29*INDEX(Curves!$B$4:$AR$4,1,BY$3-Projects!$C$29+1),0)-IF(AND(Projects!$G$29="Yes",BY$3&gt;=Projects!$C$29,BY$3&lt;Projects!$C$29+Projects!$D$29),Projects!$B$29*(Assumptions!$B$10+Assumptions!$B$11+Assumptions!$B$12)/Projects!$D$29*0.95,0)-IF(AND(Projects!$G$29="Yes",BY$3=Projects!$C$29+Projects!$D$29-1),Projects!$B$29*(Assumptions!$B$10+Assumptions!$B$11+Assumptions!$B$12)*0.05,0)</f>
        <v>0</v>
      </c>
      <c r="BZ38" s="19" t="n">
        <f aca="false">IF(AND(Projects!$G$29="Yes",BZ$3&gt;=Projects!$C$29,BZ$3&lt;Projects!$C$29+Projects!$D$29),Projects!$B$29*INDEX(Curves!$B$4:$AR$4,1,BZ$3-Projects!$C$29+1),0)-IF(AND(Projects!$G$29="Yes",BZ$3&gt;=Projects!$C$29,BZ$3&lt;Projects!$C$29+Projects!$D$29),Projects!$B$29*(Assumptions!$B$10+Assumptions!$B$11+Assumptions!$B$12)/Projects!$D$29*0.95,0)-IF(AND(Projects!$G$29="Yes",BZ$3=Projects!$C$29+Projects!$D$29-1),Projects!$B$29*(Assumptions!$B$10+Assumptions!$B$11+Assumptions!$B$12)*0.05,0)</f>
        <v>0</v>
      </c>
      <c r="CA38" s="19" t="n">
        <f aca="false">IF(AND(Projects!$G$29="Yes",CA$3&gt;=Projects!$C$29,CA$3&lt;Projects!$C$29+Projects!$D$29),Projects!$B$29*INDEX(Curves!$B$4:$AR$4,1,CA$3-Projects!$C$29+1),0)-IF(AND(Projects!$G$29="Yes",CA$3&gt;=Projects!$C$29,CA$3&lt;Projects!$C$29+Projects!$D$29),Projects!$B$29*(Assumptions!$B$10+Assumptions!$B$11+Assumptions!$B$12)/Projects!$D$29*0.95,0)-IF(AND(Projects!$G$29="Yes",CA$3=Projects!$C$29+Projects!$D$29-1),Projects!$B$29*(Assumptions!$B$10+Assumptions!$B$11+Assumptions!$B$12)*0.05,0)</f>
        <v>0</v>
      </c>
      <c r="CB38" s="19" t="n">
        <f aca="false">IF(AND(Projects!$G$29="Yes",CB$3&gt;=Projects!$C$29,CB$3&lt;Projects!$C$29+Projects!$D$29),Projects!$B$29*INDEX(Curves!$B$4:$AR$4,1,CB$3-Projects!$C$29+1),0)-IF(AND(Projects!$G$29="Yes",CB$3&gt;=Projects!$C$29,CB$3&lt;Projects!$C$29+Projects!$D$29),Projects!$B$29*(Assumptions!$B$10+Assumptions!$B$11+Assumptions!$B$12)/Projects!$D$29*0.95,0)-IF(AND(Projects!$G$29="Yes",CB$3=Projects!$C$29+Projects!$D$29-1),Projects!$B$29*(Assumptions!$B$10+Assumptions!$B$11+Assumptions!$B$12)*0.05,0)</f>
        <v>0</v>
      </c>
      <c r="CC38" s="19" t="n">
        <f aca="false">IF(AND(Projects!$G$29="Yes",CC$3&gt;=Projects!$C$29,CC$3&lt;Projects!$C$29+Projects!$D$29),Projects!$B$29*INDEX(Curves!$B$4:$AR$4,1,CC$3-Projects!$C$29+1),0)-IF(AND(Projects!$G$29="Yes",CC$3&gt;=Projects!$C$29,CC$3&lt;Projects!$C$29+Projects!$D$29),Projects!$B$29*(Assumptions!$B$10+Assumptions!$B$11+Assumptions!$B$12)/Projects!$D$29*0.95,0)-IF(AND(Projects!$G$29="Yes",CC$3=Projects!$C$29+Projects!$D$29-1),Projects!$B$29*(Assumptions!$B$10+Assumptions!$B$11+Assumptions!$B$12)*0.05,0)</f>
        <v>0</v>
      </c>
      <c r="CD38" s="19" t="n">
        <f aca="false">IF(AND(Projects!$G$29="Yes",CD$3&gt;=Projects!$C$29,CD$3&lt;Projects!$C$29+Projects!$D$29),Projects!$B$29*INDEX(Curves!$B$4:$AR$4,1,CD$3-Projects!$C$29+1),0)-IF(AND(Projects!$G$29="Yes",CD$3&gt;=Projects!$C$29,CD$3&lt;Projects!$C$29+Projects!$D$29),Projects!$B$29*(Assumptions!$B$10+Assumptions!$B$11+Assumptions!$B$12)/Projects!$D$29*0.95,0)-IF(AND(Projects!$G$29="Yes",CD$3=Projects!$C$29+Projects!$D$29-1),Projects!$B$29*(Assumptions!$B$10+Assumptions!$B$11+Assumptions!$B$12)*0.05,0)</f>
        <v>0</v>
      </c>
      <c r="CE38" s="19" t="n">
        <f aca="false">IF(AND(Projects!$G$29="Yes",CE$3&gt;=Projects!$C$29,CE$3&lt;Projects!$C$29+Projects!$D$29),Projects!$B$29*INDEX(Curves!$B$4:$AR$4,1,CE$3-Projects!$C$29+1),0)-IF(AND(Projects!$G$29="Yes",CE$3&gt;=Projects!$C$29,CE$3&lt;Projects!$C$29+Projects!$D$29),Projects!$B$29*(Assumptions!$B$10+Assumptions!$B$11+Assumptions!$B$12)/Projects!$D$29*0.95,0)-IF(AND(Projects!$G$29="Yes",CE$3=Projects!$C$29+Projects!$D$29-1),Projects!$B$29*(Assumptions!$B$10+Assumptions!$B$11+Assumptions!$B$12)*0.05,0)</f>
        <v>0</v>
      </c>
      <c r="CF38" s="19" t="n">
        <f aca="false">IF(AND(Projects!$G$29="Yes",CF$3&gt;=Projects!$C$29,CF$3&lt;Projects!$C$29+Projects!$D$29),Projects!$B$29*INDEX(Curves!$B$4:$AR$4,1,CF$3-Projects!$C$29+1),0)-IF(AND(Projects!$G$29="Yes",CF$3&gt;=Projects!$C$29,CF$3&lt;Projects!$C$29+Projects!$D$29),Projects!$B$29*(Assumptions!$B$10+Assumptions!$B$11+Assumptions!$B$12)/Projects!$D$29*0.95,0)-IF(AND(Projects!$G$29="Yes",CF$3=Projects!$C$29+Projects!$D$29-1),Projects!$B$29*(Assumptions!$B$10+Assumptions!$B$11+Assumptions!$B$12)*0.05,0)</f>
        <v>0</v>
      </c>
      <c r="CG38" s="19" t="n">
        <f aca="false">IF(AND(Projects!$G$29="Yes",CG$3&gt;=Projects!$C$29,CG$3&lt;Projects!$C$29+Projects!$D$29),Projects!$B$29*INDEX(Curves!$B$4:$AR$4,1,CG$3-Projects!$C$29+1),0)-IF(AND(Projects!$G$29="Yes",CG$3&gt;=Projects!$C$29,CG$3&lt;Projects!$C$29+Projects!$D$29),Projects!$B$29*(Assumptions!$B$10+Assumptions!$B$11+Assumptions!$B$12)/Projects!$D$29*0.95,0)-IF(AND(Projects!$G$29="Yes",CG$3=Projects!$C$29+Projects!$D$29-1),Projects!$B$29*(Assumptions!$B$10+Assumptions!$B$11+Assumptions!$B$12)*0.05,0)</f>
        <v>0</v>
      </c>
      <c r="CH38" s="19" t="n">
        <f aca="false">IF(AND(Projects!$G$29="Yes",CH$3&gt;=Projects!$C$29,CH$3&lt;Projects!$C$29+Projects!$D$29),Projects!$B$29*INDEX(Curves!$B$4:$AR$4,1,CH$3-Projects!$C$29+1),0)-IF(AND(Projects!$G$29="Yes",CH$3&gt;=Projects!$C$29,CH$3&lt;Projects!$C$29+Projects!$D$29),Projects!$B$29*(Assumptions!$B$10+Assumptions!$B$11+Assumptions!$B$12)/Projects!$D$29*0.95,0)-IF(AND(Projects!$G$29="Yes",CH$3=Projects!$C$29+Projects!$D$29-1),Projects!$B$29*(Assumptions!$B$10+Assumptions!$B$11+Assumptions!$B$12)*0.05,0)</f>
        <v>0</v>
      </c>
      <c r="CI38" s="19" t="n">
        <f aca="false">IF(AND(Projects!$G$29="Yes",CI$3&gt;=Projects!$C$29,CI$3&lt;Projects!$C$29+Projects!$D$29),Projects!$B$29*INDEX(Curves!$B$4:$AR$4,1,CI$3-Projects!$C$29+1),0)-IF(AND(Projects!$G$29="Yes",CI$3&gt;=Projects!$C$29,CI$3&lt;Projects!$C$29+Projects!$D$29),Projects!$B$29*(Assumptions!$B$10+Assumptions!$B$11+Assumptions!$B$12)/Projects!$D$29*0.95,0)-IF(AND(Projects!$G$29="Yes",CI$3=Projects!$C$29+Projects!$D$29-1),Projects!$B$29*(Assumptions!$B$10+Assumptions!$B$11+Assumptions!$B$12)*0.05,0)</f>
        <v>0</v>
      </c>
      <c r="CJ38" s="19" t="n">
        <f aca="false">IF(AND(Projects!$G$29="Yes",CJ$3&gt;=Projects!$C$29,CJ$3&lt;Projects!$C$29+Projects!$D$29),Projects!$B$29*INDEX(Curves!$B$4:$AR$4,1,CJ$3-Projects!$C$29+1),0)-IF(AND(Projects!$G$29="Yes",CJ$3&gt;=Projects!$C$29,CJ$3&lt;Projects!$C$29+Projects!$D$29),Projects!$B$29*(Assumptions!$B$10+Assumptions!$B$11+Assumptions!$B$12)/Projects!$D$29*0.95,0)-IF(AND(Projects!$G$29="Yes",CJ$3=Projects!$C$29+Projects!$D$29-1),Projects!$B$29*(Assumptions!$B$10+Assumptions!$B$11+Assumptions!$B$12)*0.05,0)</f>
        <v>0</v>
      </c>
      <c r="CK38" s="19" t="n">
        <f aca="false">IF(AND(Projects!$G$29="Yes",CK$3&gt;=Projects!$C$29,CK$3&lt;Projects!$C$29+Projects!$D$29),Projects!$B$29*INDEX(Curves!$B$4:$AR$4,1,CK$3-Projects!$C$29+1),0)-IF(AND(Projects!$G$29="Yes",CK$3&gt;=Projects!$C$29,CK$3&lt;Projects!$C$29+Projects!$D$29),Projects!$B$29*(Assumptions!$B$10+Assumptions!$B$11+Assumptions!$B$12)/Projects!$D$29*0.95,0)-IF(AND(Projects!$G$29="Yes",CK$3=Projects!$C$29+Projects!$D$29-1),Projects!$B$29*(Assumptions!$B$10+Assumptions!$B$11+Assumptions!$B$12)*0.05,0)</f>
        <v>0</v>
      </c>
      <c r="CL38" s="19" t="n">
        <f aca="false">IF(AND(Projects!$G$29="Yes",CL$3&gt;=Projects!$C$29,CL$3&lt;Projects!$C$29+Projects!$D$29),Projects!$B$29*INDEX(Curves!$B$4:$AR$4,1,CL$3-Projects!$C$29+1),0)-IF(AND(Projects!$G$29="Yes",CL$3&gt;=Projects!$C$29,CL$3&lt;Projects!$C$29+Projects!$D$29),Projects!$B$29*(Assumptions!$B$10+Assumptions!$B$11+Assumptions!$B$12)/Projects!$D$29*0.95,0)-IF(AND(Projects!$G$29="Yes",CL$3=Projects!$C$29+Projects!$D$29-1),Projects!$B$29*(Assumptions!$B$10+Assumptions!$B$11+Assumptions!$B$12)*0.05,0)</f>
        <v>0</v>
      </c>
      <c r="CM38" s="19" t="n">
        <f aca="false">IF(AND(Projects!$G$29="Yes",CM$3&gt;=Projects!$C$29,CM$3&lt;Projects!$C$29+Projects!$D$29),Projects!$B$29*INDEX(Curves!$B$4:$AR$4,1,CM$3-Projects!$C$29+1),0)-IF(AND(Projects!$G$29="Yes",CM$3&gt;=Projects!$C$29,CM$3&lt;Projects!$C$29+Projects!$D$29),Projects!$B$29*(Assumptions!$B$10+Assumptions!$B$11+Assumptions!$B$12)/Projects!$D$29*0.95,0)-IF(AND(Projects!$G$29="Yes",CM$3=Projects!$C$29+Projects!$D$29-1),Projects!$B$29*(Assumptions!$B$10+Assumptions!$B$11+Assumptions!$B$12)*0.05,0)</f>
        <v>0</v>
      </c>
      <c r="CN38" s="19" t="n">
        <f aca="false">IF(AND(Projects!$G$29="Yes",CN$3&gt;=Projects!$C$29,CN$3&lt;Projects!$C$29+Projects!$D$29),Projects!$B$29*INDEX(Curves!$B$4:$AR$4,1,CN$3-Projects!$C$29+1),0)-IF(AND(Projects!$G$29="Yes",CN$3&gt;=Projects!$C$29,CN$3&lt;Projects!$C$29+Projects!$D$29),Projects!$B$29*(Assumptions!$B$10+Assumptions!$B$11+Assumptions!$B$12)/Projects!$D$29*0.95,0)-IF(AND(Projects!$G$29="Yes",CN$3=Projects!$C$29+Projects!$D$29-1),Projects!$B$29*(Assumptions!$B$10+Assumptions!$B$11+Assumptions!$B$12)*0.05,0)</f>
        <v>0</v>
      </c>
      <c r="CO38" s="19" t="n">
        <f aca="false">IF(AND(Projects!$G$29="Yes",CO$3&gt;=Projects!$C$29,CO$3&lt;Projects!$C$29+Projects!$D$29),Projects!$B$29*INDEX(Curves!$B$4:$AR$4,1,CO$3-Projects!$C$29+1),0)-IF(AND(Projects!$G$29="Yes",CO$3&gt;=Projects!$C$29,CO$3&lt;Projects!$C$29+Projects!$D$29),Projects!$B$29*(Assumptions!$B$10+Assumptions!$B$11+Assumptions!$B$12)/Projects!$D$29*0.95,0)-IF(AND(Projects!$G$29="Yes",CO$3=Projects!$C$29+Projects!$D$29-1),Projects!$B$29*(Assumptions!$B$10+Assumptions!$B$11+Assumptions!$B$12)*0.05,0)</f>
        <v>0</v>
      </c>
      <c r="CP38" s="19" t="n">
        <f aca="false">IF(AND(Projects!$G$29="Yes",CP$3&gt;=Projects!$C$29,CP$3&lt;Projects!$C$29+Projects!$D$29),Projects!$B$29*INDEX(Curves!$B$4:$AR$4,1,CP$3-Projects!$C$29+1),0)-IF(AND(Projects!$G$29="Yes",CP$3&gt;=Projects!$C$29,CP$3&lt;Projects!$C$29+Projects!$D$29),Projects!$B$29*(Assumptions!$B$10+Assumptions!$B$11+Assumptions!$B$12)/Projects!$D$29*0.95,0)-IF(AND(Projects!$G$29="Yes",CP$3=Projects!$C$29+Projects!$D$29-1),Projects!$B$29*(Assumptions!$B$10+Assumptions!$B$11+Assumptions!$B$12)*0.05,0)</f>
        <v>0</v>
      </c>
      <c r="CQ38" s="19" t="n">
        <f aca="false">IF(AND(Projects!$G$29="Yes",CQ$3&gt;=Projects!$C$29,CQ$3&lt;Projects!$C$29+Projects!$D$29),Projects!$B$29*INDEX(Curves!$B$4:$AR$4,1,CQ$3-Projects!$C$29+1),0)-IF(AND(Projects!$G$29="Yes",CQ$3&gt;=Projects!$C$29,CQ$3&lt;Projects!$C$29+Projects!$D$29),Projects!$B$29*(Assumptions!$B$10+Assumptions!$B$11+Assumptions!$B$12)/Projects!$D$29*0.95,0)-IF(AND(Projects!$G$29="Yes",CQ$3=Projects!$C$29+Projects!$D$29-1),Projects!$B$29*(Assumptions!$B$10+Assumptions!$B$11+Assumptions!$B$12)*0.05,0)</f>
        <v>0</v>
      </c>
      <c r="CR38" s="19" t="n">
        <f aca="false">IF(AND(Projects!$G$29="Yes",CR$3&gt;=Projects!$C$29,CR$3&lt;Projects!$C$29+Projects!$D$29),Projects!$B$29*INDEX(Curves!$B$4:$AR$4,1,CR$3-Projects!$C$29+1),0)-IF(AND(Projects!$G$29="Yes",CR$3&gt;=Projects!$C$29,CR$3&lt;Projects!$C$29+Projects!$D$29),Projects!$B$29*(Assumptions!$B$10+Assumptions!$B$11+Assumptions!$B$12)/Projects!$D$29*0.95,0)-IF(AND(Projects!$G$29="Yes",CR$3=Projects!$C$29+Projects!$D$29-1),Projects!$B$29*(Assumptions!$B$10+Assumptions!$B$11+Assumptions!$B$12)*0.05,0)</f>
        <v>0</v>
      </c>
      <c r="CS38" s="19" t="n">
        <f aca="false">IF(AND(Projects!$G$29="Yes",CS$3&gt;=Projects!$C$29,CS$3&lt;Projects!$C$29+Projects!$D$29),Projects!$B$29*INDEX(Curves!$B$4:$AR$4,1,CS$3-Projects!$C$29+1),0)-IF(AND(Projects!$G$29="Yes",CS$3&gt;=Projects!$C$29,CS$3&lt;Projects!$C$29+Projects!$D$29),Projects!$B$29*(Assumptions!$B$10+Assumptions!$B$11+Assumptions!$B$12)/Projects!$D$29*0.95,0)-IF(AND(Projects!$G$29="Yes",CS$3=Projects!$C$29+Projects!$D$29-1),Projects!$B$29*(Assumptions!$B$10+Assumptions!$B$11+Assumptions!$B$12)*0.05,0)</f>
        <v>0</v>
      </c>
      <c r="CT38" s="19" t="n">
        <f aca="false">IF(AND(Projects!$G$29="Yes",CT$3&gt;=Projects!$C$29,CT$3&lt;Projects!$C$29+Projects!$D$29),Projects!$B$29*INDEX(Curves!$B$4:$AR$4,1,CT$3-Projects!$C$29+1),0)-IF(AND(Projects!$G$29="Yes",CT$3&gt;=Projects!$C$29,CT$3&lt;Projects!$C$29+Projects!$D$29),Projects!$B$29*(Assumptions!$B$10+Assumptions!$B$11+Assumptions!$B$12)/Projects!$D$29*0.95,0)-IF(AND(Projects!$G$29="Yes",CT$3=Projects!$C$29+Projects!$D$29-1),Projects!$B$29*(Assumptions!$B$10+Assumptions!$B$11+Assumptions!$B$12)*0.05,0)</f>
        <v>0</v>
      </c>
      <c r="CU38" s="19" t="n">
        <f aca="false">IF(AND(Projects!$G$29="Yes",CU$3&gt;=Projects!$C$29,CU$3&lt;Projects!$C$29+Projects!$D$29),Projects!$B$29*INDEX(Curves!$B$4:$AR$4,1,CU$3-Projects!$C$29+1),0)-IF(AND(Projects!$G$29="Yes",CU$3&gt;=Projects!$C$29,CU$3&lt;Projects!$C$29+Projects!$D$29),Projects!$B$29*(Assumptions!$B$10+Assumptions!$B$11+Assumptions!$B$12)/Projects!$D$29*0.95,0)-IF(AND(Projects!$G$29="Yes",CU$3=Projects!$C$29+Projects!$D$29-1),Projects!$B$29*(Assumptions!$B$10+Assumptions!$B$11+Assumptions!$B$12)*0.05,0)</f>
        <v>0</v>
      </c>
      <c r="CV38" s="19" t="n">
        <f aca="false">IF(AND(Projects!$G$29="Yes",CV$3&gt;=Projects!$C$29,CV$3&lt;Projects!$C$29+Projects!$D$29),Projects!$B$29*INDEX(Curves!$B$4:$AR$4,1,CV$3-Projects!$C$29+1),0)-IF(AND(Projects!$G$29="Yes",CV$3&gt;=Projects!$C$29,CV$3&lt;Projects!$C$29+Projects!$D$29),Projects!$B$29*(Assumptions!$B$10+Assumptions!$B$11+Assumptions!$B$12)/Projects!$D$29*0.95,0)-IF(AND(Projects!$G$29="Yes",CV$3=Projects!$C$29+Projects!$D$29-1),Projects!$B$29*(Assumptions!$B$10+Assumptions!$B$11+Assumptions!$B$12)*0.05,0)</f>
        <v>0</v>
      </c>
      <c r="CW38" s="19" t="n">
        <f aca="false">IF(AND(Projects!$G$29="Yes",CW$3&gt;=Projects!$C$29,CW$3&lt;Projects!$C$29+Projects!$D$29),Projects!$B$29*INDEX(Curves!$B$4:$AR$4,1,CW$3-Projects!$C$29+1),0)-IF(AND(Projects!$G$29="Yes",CW$3&gt;=Projects!$C$29,CW$3&lt;Projects!$C$29+Projects!$D$29),Projects!$B$29*(Assumptions!$B$10+Assumptions!$B$11+Assumptions!$B$12)/Projects!$D$29*0.95,0)-IF(AND(Projects!$G$29="Yes",CW$3=Projects!$C$29+Projects!$D$29-1),Projects!$B$29*(Assumptions!$B$10+Assumptions!$B$11+Assumptions!$B$12)*0.05,0)</f>
        <v>0</v>
      </c>
      <c r="CX38" s="19" t="n">
        <f aca="false">IF(AND(Projects!$G$29="Yes",CX$3&gt;=Projects!$C$29,CX$3&lt;Projects!$C$29+Projects!$D$29),Projects!$B$29*INDEX(Curves!$B$4:$AR$4,1,CX$3-Projects!$C$29+1),0)-IF(AND(Projects!$G$29="Yes",CX$3&gt;=Projects!$C$29,CX$3&lt;Projects!$C$29+Projects!$D$29),Projects!$B$29*(Assumptions!$B$10+Assumptions!$B$11+Assumptions!$B$12)/Projects!$D$29*0.95,0)-IF(AND(Projects!$G$29="Yes",CX$3=Projects!$C$29+Projects!$D$29-1),Projects!$B$29*(Assumptions!$B$10+Assumptions!$B$11+Assumptions!$B$12)*0.05,0)</f>
        <v>0</v>
      </c>
      <c r="CY38" s="19" t="n">
        <f aca="false">IF(AND(Projects!$G$29="Yes",CY$3&gt;=Projects!$C$29,CY$3&lt;Projects!$C$29+Projects!$D$29),Projects!$B$29*INDEX(Curves!$B$4:$AR$4,1,CY$3-Projects!$C$29+1),0)-IF(AND(Projects!$G$29="Yes",CY$3&gt;=Projects!$C$29,CY$3&lt;Projects!$C$29+Projects!$D$29),Projects!$B$29*(Assumptions!$B$10+Assumptions!$B$11+Assumptions!$B$12)/Projects!$D$29*0.95,0)-IF(AND(Projects!$G$29="Yes",CY$3=Projects!$C$29+Projects!$D$29-1),Projects!$B$29*(Assumptions!$B$10+Assumptions!$B$11+Assumptions!$B$12)*0.05,0)</f>
        <v>0</v>
      </c>
      <c r="CZ38" s="19" t="n">
        <f aca="false">IF(AND(Projects!$G$29="Yes",CZ$3&gt;=Projects!$C$29,CZ$3&lt;Projects!$C$29+Projects!$D$29),Projects!$B$29*INDEX(Curves!$B$4:$AR$4,1,CZ$3-Projects!$C$29+1),0)-IF(AND(Projects!$G$29="Yes",CZ$3&gt;=Projects!$C$29,CZ$3&lt;Projects!$C$29+Projects!$D$29),Projects!$B$29*(Assumptions!$B$10+Assumptions!$B$11+Assumptions!$B$12)/Projects!$D$29*0.95,0)-IF(AND(Projects!$G$29="Yes",CZ$3=Projects!$C$29+Projects!$D$29-1),Projects!$B$29*(Assumptions!$B$10+Assumptions!$B$11+Assumptions!$B$12)*0.05,0)</f>
        <v>0</v>
      </c>
      <c r="DA38" s="19" t="n">
        <f aca="false">IF(AND(Projects!$G$29="Yes",DA$3&gt;=Projects!$C$29,DA$3&lt;Projects!$C$29+Projects!$D$29),Projects!$B$29*INDEX(Curves!$B$4:$AR$4,1,DA$3-Projects!$C$29+1),0)-IF(AND(Projects!$G$29="Yes",DA$3&gt;=Projects!$C$29,DA$3&lt;Projects!$C$29+Projects!$D$29),Projects!$B$29*(Assumptions!$B$10+Assumptions!$B$11+Assumptions!$B$12)/Projects!$D$29*0.95,0)-IF(AND(Projects!$G$29="Yes",DA$3=Projects!$C$29+Projects!$D$29-1),Projects!$B$29*(Assumptions!$B$10+Assumptions!$B$11+Assumptions!$B$12)*0.05,0)</f>
        <v>0</v>
      </c>
      <c r="DB38" s="19" t="n">
        <f aca="false">IF(AND(Projects!$G$29="Yes",DB$3&gt;=Projects!$C$29,DB$3&lt;Projects!$C$29+Projects!$D$29),Projects!$B$29*INDEX(Curves!$B$4:$AR$4,1,DB$3-Projects!$C$29+1),0)-IF(AND(Projects!$G$29="Yes",DB$3&gt;=Projects!$C$29,DB$3&lt;Projects!$C$29+Projects!$D$29),Projects!$B$29*(Assumptions!$B$10+Assumptions!$B$11+Assumptions!$B$12)/Projects!$D$29*0.95,0)-IF(AND(Projects!$G$29="Yes",DB$3=Projects!$C$29+Projects!$D$29-1),Projects!$B$29*(Assumptions!$B$10+Assumptions!$B$11+Assumptions!$B$12)*0.05,0)</f>
        <v>0</v>
      </c>
      <c r="DC38" s="19" t="n">
        <f aca="false">IF(AND(Projects!$G$29="Yes",DC$3&gt;=Projects!$C$29,DC$3&lt;Projects!$C$29+Projects!$D$29),Projects!$B$29*INDEX(Curves!$B$4:$AR$4,1,DC$3-Projects!$C$29+1),0)-IF(AND(Projects!$G$29="Yes",DC$3&gt;=Projects!$C$29,DC$3&lt;Projects!$C$29+Projects!$D$29),Projects!$B$29*(Assumptions!$B$10+Assumptions!$B$11+Assumptions!$B$12)/Projects!$D$29*0.95,0)-IF(AND(Projects!$G$29="Yes",DC$3=Projects!$C$29+Projects!$D$29-1),Projects!$B$29*(Assumptions!$B$10+Assumptions!$B$11+Assumptions!$B$12)*0.05,0)</f>
        <v>0</v>
      </c>
      <c r="DD38" s="19" t="n">
        <f aca="false">IF(AND(Projects!$G$29="Yes",DD$3&gt;=Projects!$C$29,DD$3&lt;Projects!$C$29+Projects!$D$29),Projects!$B$29*INDEX(Curves!$B$4:$AR$4,1,DD$3-Projects!$C$29+1),0)-IF(AND(Projects!$G$29="Yes",DD$3&gt;=Projects!$C$29,DD$3&lt;Projects!$C$29+Projects!$D$29),Projects!$B$29*(Assumptions!$B$10+Assumptions!$B$11+Assumptions!$B$12)/Projects!$D$29*0.95,0)-IF(AND(Projects!$G$29="Yes",DD$3=Projects!$C$29+Projects!$D$29-1),Projects!$B$29*(Assumptions!$B$10+Assumptions!$B$11+Assumptions!$B$12)*0.05,0)</f>
        <v>0</v>
      </c>
      <c r="DE38" s="19" t="n">
        <f aca="false">IF(AND(Projects!$G$29="Yes",DE$3&gt;=Projects!$C$29,DE$3&lt;Projects!$C$29+Projects!$D$29),Projects!$B$29*INDEX(Curves!$B$4:$AR$4,1,DE$3-Projects!$C$29+1),0)-IF(AND(Projects!$G$29="Yes",DE$3&gt;=Projects!$C$29,DE$3&lt;Projects!$C$29+Projects!$D$29),Projects!$B$29*(Assumptions!$B$10+Assumptions!$B$11+Assumptions!$B$12)/Projects!$D$29*0.95,0)-IF(AND(Projects!$G$29="Yes",DE$3=Projects!$C$29+Projects!$D$29-1),Projects!$B$29*(Assumptions!$B$10+Assumptions!$B$11+Assumptions!$B$12)*0.05,0)</f>
        <v>0</v>
      </c>
    </row>
    <row r="39" customFormat="false" ht="15" hidden="true" customHeight="true" outlineLevel="1" collapsed="false">
      <c r="A39" s="28" t="s">
        <v>33</v>
      </c>
      <c r="B39" s="19" t="n">
        <v>0</v>
      </c>
      <c r="C39" s="19" t="n">
        <v>0</v>
      </c>
      <c r="D39" s="19" t="n">
        <v>0</v>
      </c>
      <c r="E39" s="19" t="n">
        <v>0</v>
      </c>
      <c r="F39" s="19" t="n">
        <f aca="false">IF(AND(Projects!$G$30="Yes",F$3&gt;=Projects!$C$30,F$3&lt;Projects!$C$30+Projects!$D$30),Projects!$B$30*INDEX(Curves!$B$4:$AR$4,1,F$3-Projects!$C$30+1),0)-IF(AND(Projects!$G$30="Yes",F$3&gt;=Projects!$C$30,F$3&lt;Projects!$C$30+Projects!$D$30),Projects!$B$30*(Assumptions!$B$10+Assumptions!$B$11+Assumptions!$B$12)/Projects!$D$30*0.95,0)-IF(AND(Projects!$G$30="Yes",F$3=Projects!$C$30+Projects!$D$30-1),Projects!$B$30*(Assumptions!$B$10+Assumptions!$B$11+Assumptions!$B$12)*0.05,0)</f>
        <v>0</v>
      </c>
      <c r="G39" s="19" t="n">
        <f aca="false">IF(AND(Projects!$G$30="Yes",G$3&gt;=Projects!$C$30,G$3&lt;Projects!$C$30+Projects!$D$30),Projects!$B$30*INDEX(Curves!$B$4:$AR$4,1,G$3-Projects!$C$30+1),0)-IF(AND(Projects!$G$30="Yes",G$3&gt;=Projects!$C$30,G$3&lt;Projects!$C$30+Projects!$D$30),Projects!$B$30*(Assumptions!$B$10+Assumptions!$B$11+Assumptions!$B$12)/Projects!$D$30*0.95,0)-IF(AND(Projects!$G$30="Yes",G$3=Projects!$C$30+Projects!$D$30-1),Projects!$B$30*(Assumptions!$B$10+Assumptions!$B$11+Assumptions!$B$12)*0.05,0)</f>
        <v>0</v>
      </c>
      <c r="H39" s="19" t="n">
        <f aca="false">IF(AND(Projects!$G$30="Yes",H$3&gt;=Projects!$C$30,H$3&lt;Projects!$C$30+Projects!$D$30),Projects!$B$30*INDEX(Curves!$B$4:$AR$4,1,H$3-Projects!$C$30+1),0)-IF(AND(Projects!$G$30="Yes",H$3&gt;=Projects!$C$30,H$3&lt;Projects!$C$30+Projects!$D$30),Projects!$B$30*(Assumptions!$B$10+Assumptions!$B$11+Assumptions!$B$12)/Projects!$D$30*0.95,0)-IF(AND(Projects!$G$30="Yes",H$3=Projects!$C$30+Projects!$D$30-1),Projects!$B$30*(Assumptions!$B$10+Assumptions!$B$11+Assumptions!$B$12)*0.05,0)</f>
        <v>0</v>
      </c>
      <c r="I39" s="19" t="n">
        <f aca="false">IF(AND(Projects!$G$30="Yes",I$3&gt;=Projects!$C$30,I$3&lt;Projects!$C$30+Projects!$D$30),Projects!$B$30*INDEX(Curves!$B$4:$AR$4,1,I$3-Projects!$C$30+1),0)-IF(AND(Projects!$G$30="Yes",I$3&gt;=Projects!$C$30,I$3&lt;Projects!$C$30+Projects!$D$30),Projects!$B$30*(Assumptions!$B$10+Assumptions!$B$11+Assumptions!$B$12)/Projects!$D$30*0.95,0)-IF(AND(Projects!$G$30="Yes",I$3=Projects!$C$30+Projects!$D$30-1),Projects!$B$30*(Assumptions!$B$10+Assumptions!$B$11+Assumptions!$B$12)*0.05,0)</f>
        <v>0</v>
      </c>
      <c r="J39" s="19" t="n">
        <f aca="false">IF(AND(Projects!$G$30="Yes",J$3&gt;=Projects!$C$30,J$3&lt;Projects!$C$30+Projects!$D$30),Projects!$B$30*INDEX(Curves!$B$4:$AR$4,1,J$3-Projects!$C$30+1),0)-IF(AND(Projects!$G$30="Yes",J$3&gt;=Projects!$C$30,J$3&lt;Projects!$C$30+Projects!$D$30),Projects!$B$30*(Assumptions!$B$10+Assumptions!$B$11+Assumptions!$B$12)/Projects!$D$30*0.95,0)-IF(AND(Projects!$G$30="Yes",J$3=Projects!$C$30+Projects!$D$30-1),Projects!$B$30*(Assumptions!$B$10+Assumptions!$B$11+Assumptions!$B$12)*0.05,0)</f>
        <v>0</v>
      </c>
      <c r="K39" s="19" t="n">
        <f aca="false">IF(AND(Projects!$G$30="Yes",K$3&gt;=Projects!$C$30,K$3&lt;Projects!$C$30+Projects!$D$30),Projects!$B$30*INDEX(Curves!$B$4:$AR$4,1,K$3-Projects!$C$30+1),0)-IF(AND(Projects!$G$30="Yes",K$3&gt;=Projects!$C$30,K$3&lt;Projects!$C$30+Projects!$D$30),Projects!$B$30*(Assumptions!$B$10+Assumptions!$B$11+Assumptions!$B$12)/Projects!$D$30*0.95,0)-IF(AND(Projects!$G$30="Yes",K$3=Projects!$C$30+Projects!$D$30-1),Projects!$B$30*(Assumptions!$B$10+Assumptions!$B$11+Assumptions!$B$12)*0.05,0)</f>
        <v>0</v>
      </c>
      <c r="L39" s="19" t="n">
        <f aca="false">IF(AND(Projects!$G$30="Yes",L$3&gt;=Projects!$C$30,L$3&lt;Projects!$C$30+Projects!$D$30),Projects!$B$30*INDEX(Curves!$B$4:$AR$4,1,L$3-Projects!$C$30+1),0)-IF(AND(Projects!$G$30="Yes",L$3&gt;=Projects!$C$30,L$3&lt;Projects!$C$30+Projects!$D$30),Projects!$B$30*(Assumptions!$B$10+Assumptions!$B$11+Assumptions!$B$12)/Projects!$D$30*0.95,0)-IF(AND(Projects!$G$30="Yes",L$3=Projects!$C$30+Projects!$D$30-1),Projects!$B$30*(Assumptions!$B$10+Assumptions!$B$11+Assumptions!$B$12)*0.05,0)</f>
        <v>0</v>
      </c>
      <c r="M39" s="19" t="n">
        <f aca="false">IF(AND(Projects!$G$30="Yes",M$3&gt;=Projects!$C$30,M$3&lt;Projects!$C$30+Projects!$D$30),Projects!$B$30*INDEX(Curves!$B$4:$AR$4,1,M$3-Projects!$C$30+1),0)-IF(AND(Projects!$G$30="Yes",M$3&gt;=Projects!$C$30,M$3&lt;Projects!$C$30+Projects!$D$30),Projects!$B$30*(Assumptions!$B$10+Assumptions!$B$11+Assumptions!$B$12)/Projects!$D$30*0.95,0)-IF(AND(Projects!$G$30="Yes",M$3=Projects!$C$30+Projects!$D$30-1),Projects!$B$30*(Assumptions!$B$10+Assumptions!$B$11+Assumptions!$B$12)*0.05,0)</f>
        <v>0</v>
      </c>
      <c r="N39" s="19" t="n">
        <f aca="false">IF(AND(Projects!$G$30="Yes",N$3&gt;=Projects!$C$30,N$3&lt;Projects!$C$30+Projects!$D$30),Projects!$B$30*INDEX(Curves!$B$4:$AR$4,1,N$3-Projects!$C$30+1),0)-IF(AND(Projects!$G$30="Yes",N$3&gt;=Projects!$C$30,N$3&lt;Projects!$C$30+Projects!$D$30),Projects!$B$30*(Assumptions!$B$10+Assumptions!$B$11+Assumptions!$B$12)/Projects!$D$30*0.95,0)-IF(AND(Projects!$G$30="Yes",N$3=Projects!$C$30+Projects!$D$30-1),Projects!$B$30*(Assumptions!$B$10+Assumptions!$B$11+Assumptions!$B$12)*0.05,0)</f>
        <v>0</v>
      </c>
      <c r="O39" s="19" t="n">
        <f aca="false">IF(AND(Projects!$G$30="Yes",O$3&gt;=Projects!$C$30,O$3&lt;Projects!$C$30+Projects!$D$30),Projects!$B$30*INDEX(Curves!$B$4:$AR$4,1,O$3-Projects!$C$30+1),0)-IF(AND(Projects!$G$30="Yes",O$3&gt;=Projects!$C$30,O$3&lt;Projects!$C$30+Projects!$D$30),Projects!$B$30*(Assumptions!$B$10+Assumptions!$B$11+Assumptions!$B$12)/Projects!$D$30*0.95,0)-IF(AND(Projects!$G$30="Yes",O$3=Projects!$C$30+Projects!$D$30-1),Projects!$B$30*(Assumptions!$B$10+Assumptions!$B$11+Assumptions!$B$12)*0.05,0)</f>
        <v>0</v>
      </c>
      <c r="P39" s="19" t="n">
        <f aca="false">IF(AND(Projects!$G$30="Yes",P$3&gt;=Projects!$C$30,P$3&lt;Projects!$C$30+Projects!$D$30),Projects!$B$30*INDEX(Curves!$B$4:$AR$4,1,P$3-Projects!$C$30+1),0)-IF(AND(Projects!$G$30="Yes",P$3&gt;=Projects!$C$30,P$3&lt;Projects!$C$30+Projects!$D$30),Projects!$B$30*(Assumptions!$B$10+Assumptions!$B$11+Assumptions!$B$12)/Projects!$D$30*0.95,0)-IF(AND(Projects!$G$30="Yes",P$3=Projects!$C$30+Projects!$D$30-1),Projects!$B$30*(Assumptions!$B$10+Assumptions!$B$11+Assumptions!$B$12)*0.05,0)</f>
        <v>0</v>
      </c>
      <c r="Q39" s="19" t="n">
        <f aca="false">IF(AND(Projects!$G$30="Yes",Q$3&gt;=Projects!$C$30,Q$3&lt;Projects!$C$30+Projects!$D$30),Projects!$B$30*INDEX(Curves!$B$4:$AR$4,1,Q$3-Projects!$C$30+1),0)-IF(AND(Projects!$G$30="Yes",Q$3&gt;=Projects!$C$30,Q$3&lt;Projects!$C$30+Projects!$D$30),Projects!$B$30*(Assumptions!$B$10+Assumptions!$B$11+Assumptions!$B$12)/Projects!$D$30*0.95,0)-IF(AND(Projects!$G$30="Yes",Q$3=Projects!$C$30+Projects!$D$30-1),Projects!$B$30*(Assumptions!$B$10+Assumptions!$B$11+Assumptions!$B$12)*0.05,0)</f>
        <v>0</v>
      </c>
      <c r="R39" s="19" t="n">
        <f aca="false">IF(AND(Projects!$G$30="Yes",R$3&gt;=Projects!$C$30,R$3&lt;Projects!$C$30+Projects!$D$30),Projects!$B$30*INDEX(Curves!$B$4:$AR$4,1,R$3-Projects!$C$30+1),0)-IF(AND(Projects!$G$30="Yes",R$3&gt;=Projects!$C$30,R$3&lt;Projects!$C$30+Projects!$D$30),Projects!$B$30*(Assumptions!$B$10+Assumptions!$B$11+Assumptions!$B$12)/Projects!$D$30*0.95,0)-IF(AND(Projects!$G$30="Yes",R$3=Projects!$C$30+Projects!$D$30-1),Projects!$B$30*(Assumptions!$B$10+Assumptions!$B$11+Assumptions!$B$12)*0.05,0)</f>
        <v>0</v>
      </c>
      <c r="S39" s="19" t="n">
        <f aca="false">IF(AND(Projects!$G$30="Yes",S$3&gt;=Projects!$C$30,S$3&lt;Projects!$C$30+Projects!$D$30),Projects!$B$30*INDEX(Curves!$B$4:$AR$4,1,S$3-Projects!$C$30+1),0)-IF(AND(Projects!$G$30="Yes",S$3&gt;=Projects!$C$30,S$3&lt;Projects!$C$30+Projects!$D$30),Projects!$B$30*(Assumptions!$B$10+Assumptions!$B$11+Assumptions!$B$12)/Projects!$D$30*0.95,0)-IF(AND(Projects!$G$30="Yes",S$3=Projects!$C$30+Projects!$D$30-1),Projects!$B$30*(Assumptions!$B$10+Assumptions!$B$11+Assumptions!$B$12)*0.05,0)</f>
        <v>0</v>
      </c>
      <c r="T39" s="19" t="n">
        <f aca="false">IF(AND(Projects!$G$30="Yes",T$3&gt;=Projects!$C$30,T$3&lt;Projects!$C$30+Projects!$D$30),Projects!$B$30*INDEX(Curves!$B$4:$AR$4,1,T$3-Projects!$C$30+1),0)-IF(AND(Projects!$G$30="Yes",T$3&gt;=Projects!$C$30,T$3&lt;Projects!$C$30+Projects!$D$30),Projects!$B$30*(Assumptions!$B$10+Assumptions!$B$11+Assumptions!$B$12)/Projects!$D$30*0.95,0)-IF(AND(Projects!$G$30="Yes",T$3=Projects!$C$30+Projects!$D$30-1),Projects!$B$30*(Assumptions!$B$10+Assumptions!$B$11+Assumptions!$B$12)*0.05,0)</f>
        <v>0</v>
      </c>
      <c r="U39" s="19" t="n">
        <f aca="false">IF(AND(Projects!$G$30="Yes",U$3&gt;=Projects!$C$30,U$3&lt;Projects!$C$30+Projects!$D$30),Projects!$B$30*INDEX(Curves!$B$4:$AR$4,1,U$3-Projects!$C$30+1),0)-IF(AND(Projects!$G$30="Yes",U$3&gt;=Projects!$C$30,U$3&lt;Projects!$C$30+Projects!$D$30),Projects!$B$30*(Assumptions!$B$10+Assumptions!$B$11+Assumptions!$B$12)/Projects!$D$30*0.95,0)-IF(AND(Projects!$G$30="Yes",U$3=Projects!$C$30+Projects!$D$30-1),Projects!$B$30*(Assumptions!$B$10+Assumptions!$B$11+Assumptions!$B$12)*0.05,0)</f>
        <v>0</v>
      </c>
      <c r="V39" s="19" t="n">
        <f aca="false">IF(AND(Projects!$G$30="Yes",V$3&gt;=Projects!$C$30,V$3&lt;Projects!$C$30+Projects!$D$30),Projects!$B$30*INDEX(Curves!$B$4:$AR$4,1,V$3-Projects!$C$30+1),0)-IF(AND(Projects!$G$30="Yes",V$3&gt;=Projects!$C$30,V$3&lt;Projects!$C$30+Projects!$D$30),Projects!$B$30*(Assumptions!$B$10+Assumptions!$B$11+Assumptions!$B$12)/Projects!$D$30*0.95,0)-IF(AND(Projects!$G$30="Yes",V$3=Projects!$C$30+Projects!$D$30-1),Projects!$B$30*(Assumptions!$B$10+Assumptions!$B$11+Assumptions!$B$12)*0.05,0)</f>
        <v>0</v>
      </c>
      <c r="W39" s="19" t="n">
        <f aca="false">IF(AND(Projects!$G$30="Yes",W$3&gt;=Projects!$C$30,W$3&lt;Projects!$C$30+Projects!$D$30),Projects!$B$30*INDEX(Curves!$B$4:$AR$4,1,W$3-Projects!$C$30+1),0)-IF(AND(Projects!$G$30="Yes",W$3&gt;=Projects!$C$30,W$3&lt;Projects!$C$30+Projects!$D$30),Projects!$B$30*(Assumptions!$B$10+Assumptions!$B$11+Assumptions!$B$12)/Projects!$D$30*0.95,0)-IF(AND(Projects!$G$30="Yes",W$3=Projects!$C$30+Projects!$D$30-1),Projects!$B$30*(Assumptions!$B$10+Assumptions!$B$11+Assumptions!$B$12)*0.05,0)</f>
        <v>0</v>
      </c>
      <c r="X39" s="19" t="n">
        <f aca="false">IF(AND(Projects!$G$30="Yes",X$3&gt;=Projects!$C$30,X$3&lt;Projects!$C$30+Projects!$D$30),Projects!$B$30*INDEX(Curves!$B$4:$AR$4,1,X$3-Projects!$C$30+1),0)-IF(AND(Projects!$G$30="Yes",X$3&gt;=Projects!$C$30,X$3&lt;Projects!$C$30+Projects!$D$30),Projects!$B$30*(Assumptions!$B$10+Assumptions!$B$11+Assumptions!$B$12)/Projects!$D$30*0.95,0)-IF(AND(Projects!$G$30="Yes",X$3=Projects!$C$30+Projects!$D$30-1),Projects!$B$30*(Assumptions!$B$10+Assumptions!$B$11+Assumptions!$B$12)*0.05,0)</f>
        <v>0</v>
      </c>
      <c r="Y39" s="19" t="n">
        <f aca="false">IF(AND(Projects!$G$30="Yes",Y$3&gt;=Projects!$C$30,Y$3&lt;Projects!$C$30+Projects!$D$30),Projects!$B$30*INDEX(Curves!$B$4:$AR$4,1,Y$3-Projects!$C$30+1),0)-IF(AND(Projects!$G$30="Yes",Y$3&gt;=Projects!$C$30,Y$3&lt;Projects!$C$30+Projects!$D$30),Projects!$B$30*(Assumptions!$B$10+Assumptions!$B$11+Assumptions!$B$12)/Projects!$D$30*0.95,0)-IF(AND(Projects!$G$30="Yes",Y$3=Projects!$C$30+Projects!$D$30-1),Projects!$B$30*(Assumptions!$B$10+Assumptions!$B$11+Assumptions!$B$12)*0.05,0)</f>
        <v>0</v>
      </c>
      <c r="Z39" s="19" t="n">
        <f aca="false">IF(AND(Projects!$G$30="Yes",Z$3&gt;=Projects!$C$30,Z$3&lt;Projects!$C$30+Projects!$D$30),Projects!$B$30*INDEX(Curves!$B$4:$AR$4,1,Z$3-Projects!$C$30+1),0)-IF(AND(Projects!$G$30="Yes",Z$3&gt;=Projects!$C$30,Z$3&lt;Projects!$C$30+Projects!$D$30),Projects!$B$30*(Assumptions!$B$10+Assumptions!$B$11+Assumptions!$B$12)/Projects!$D$30*0.95,0)-IF(AND(Projects!$G$30="Yes",Z$3=Projects!$C$30+Projects!$D$30-1),Projects!$B$30*(Assumptions!$B$10+Assumptions!$B$11+Assumptions!$B$12)*0.05,0)</f>
        <v>0</v>
      </c>
      <c r="AA39" s="19" t="n">
        <f aca="false">IF(AND(Projects!$G$30="Yes",AA$3&gt;=Projects!$C$30,AA$3&lt;Projects!$C$30+Projects!$D$30),Projects!$B$30*INDEX(Curves!$B$4:$AR$4,1,AA$3-Projects!$C$30+1),0)-IF(AND(Projects!$G$30="Yes",AA$3&gt;=Projects!$C$30,AA$3&lt;Projects!$C$30+Projects!$D$30),Projects!$B$30*(Assumptions!$B$10+Assumptions!$B$11+Assumptions!$B$12)/Projects!$D$30*0.95,0)-IF(AND(Projects!$G$30="Yes",AA$3=Projects!$C$30+Projects!$D$30-1),Projects!$B$30*(Assumptions!$B$10+Assumptions!$B$11+Assumptions!$B$12)*0.05,0)</f>
        <v>0</v>
      </c>
      <c r="AB39" s="19" t="n">
        <f aca="false">IF(AND(Projects!$G$30="Yes",AB$3&gt;=Projects!$C$30,AB$3&lt;Projects!$C$30+Projects!$D$30),Projects!$B$30*INDEX(Curves!$B$4:$AR$4,1,AB$3-Projects!$C$30+1),0)-IF(AND(Projects!$G$30="Yes",AB$3&gt;=Projects!$C$30,AB$3&lt;Projects!$C$30+Projects!$D$30),Projects!$B$30*(Assumptions!$B$10+Assumptions!$B$11+Assumptions!$B$12)/Projects!$D$30*0.95,0)-IF(AND(Projects!$G$30="Yes",AB$3=Projects!$C$30+Projects!$D$30-1),Projects!$B$30*(Assumptions!$B$10+Assumptions!$B$11+Assumptions!$B$12)*0.05,0)</f>
        <v>0</v>
      </c>
      <c r="AC39" s="19" t="n">
        <f aca="false">IF(AND(Projects!$G$30="Yes",AC$3&gt;=Projects!$C$30,AC$3&lt;Projects!$C$30+Projects!$D$30),Projects!$B$30*INDEX(Curves!$B$4:$AR$4,1,AC$3-Projects!$C$30+1),0)-IF(AND(Projects!$G$30="Yes",AC$3&gt;=Projects!$C$30,AC$3&lt;Projects!$C$30+Projects!$D$30),Projects!$B$30*(Assumptions!$B$10+Assumptions!$B$11+Assumptions!$B$12)/Projects!$D$30*0.95,0)-IF(AND(Projects!$G$30="Yes",AC$3=Projects!$C$30+Projects!$D$30-1),Projects!$B$30*(Assumptions!$B$10+Assumptions!$B$11+Assumptions!$B$12)*0.05,0)</f>
        <v>0</v>
      </c>
      <c r="AD39" s="19" t="n">
        <f aca="false">IF(AND(Projects!$G$30="Yes",AD$3&gt;=Projects!$C$30,AD$3&lt;Projects!$C$30+Projects!$D$30),Projects!$B$30*INDEX(Curves!$B$4:$AR$4,1,AD$3-Projects!$C$30+1),0)-IF(AND(Projects!$G$30="Yes",AD$3&gt;=Projects!$C$30,AD$3&lt;Projects!$C$30+Projects!$D$30),Projects!$B$30*(Assumptions!$B$10+Assumptions!$B$11+Assumptions!$B$12)/Projects!$D$30*0.95,0)-IF(AND(Projects!$G$30="Yes",AD$3=Projects!$C$30+Projects!$D$30-1),Projects!$B$30*(Assumptions!$B$10+Assumptions!$B$11+Assumptions!$B$12)*0.05,0)</f>
        <v>0</v>
      </c>
      <c r="AE39" s="19" t="n">
        <f aca="false">IF(AND(Projects!$G$30="Yes",AE$3&gt;=Projects!$C$30,AE$3&lt;Projects!$C$30+Projects!$D$30),Projects!$B$30*INDEX(Curves!$B$4:$AR$4,1,AE$3-Projects!$C$30+1),0)-IF(AND(Projects!$G$30="Yes",AE$3&gt;=Projects!$C$30,AE$3&lt;Projects!$C$30+Projects!$D$30),Projects!$B$30*(Assumptions!$B$10+Assumptions!$B$11+Assumptions!$B$12)/Projects!$D$30*0.95,0)-IF(AND(Projects!$G$30="Yes",AE$3=Projects!$C$30+Projects!$D$30-1),Projects!$B$30*(Assumptions!$B$10+Assumptions!$B$11+Assumptions!$B$12)*0.05,0)</f>
        <v>0</v>
      </c>
      <c r="AF39" s="19" t="n">
        <f aca="false">IF(AND(Projects!$G$30="Yes",AF$3&gt;=Projects!$C$30,AF$3&lt;Projects!$C$30+Projects!$D$30),Projects!$B$30*INDEX(Curves!$B$4:$AR$4,1,AF$3-Projects!$C$30+1),0)-IF(AND(Projects!$G$30="Yes",AF$3&gt;=Projects!$C$30,AF$3&lt;Projects!$C$30+Projects!$D$30),Projects!$B$30*(Assumptions!$B$10+Assumptions!$B$11+Assumptions!$B$12)/Projects!$D$30*0.95,0)-IF(AND(Projects!$G$30="Yes",AF$3=Projects!$C$30+Projects!$D$30-1),Projects!$B$30*(Assumptions!$B$10+Assumptions!$B$11+Assumptions!$B$12)*0.05,0)</f>
        <v>0</v>
      </c>
      <c r="AG39" s="19" t="n">
        <f aca="false">IF(AND(Projects!$G$30="Yes",AG$3&gt;=Projects!$C$30,AG$3&lt;Projects!$C$30+Projects!$D$30),Projects!$B$30*INDEX(Curves!$B$4:$AR$4,1,AG$3-Projects!$C$30+1),0)-IF(AND(Projects!$G$30="Yes",AG$3&gt;=Projects!$C$30,AG$3&lt;Projects!$C$30+Projects!$D$30),Projects!$B$30*(Assumptions!$B$10+Assumptions!$B$11+Assumptions!$B$12)/Projects!$D$30*0.95,0)-IF(AND(Projects!$G$30="Yes",AG$3=Projects!$C$30+Projects!$D$30-1),Projects!$B$30*(Assumptions!$B$10+Assumptions!$B$11+Assumptions!$B$12)*0.05,0)</f>
        <v>0</v>
      </c>
      <c r="AH39" s="19" t="n">
        <f aca="false">IF(AND(Projects!$G$30="Yes",AH$3&gt;=Projects!$C$30,AH$3&lt;Projects!$C$30+Projects!$D$30),Projects!$B$30*INDEX(Curves!$B$4:$AR$4,1,AH$3-Projects!$C$30+1),0)-IF(AND(Projects!$G$30="Yes",AH$3&gt;=Projects!$C$30,AH$3&lt;Projects!$C$30+Projects!$D$30),Projects!$B$30*(Assumptions!$B$10+Assumptions!$B$11+Assumptions!$B$12)/Projects!$D$30*0.95,0)-IF(AND(Projects!$G$30="Yes",AH$3=Projects!$C$30+Projects!$D$30-1),Projects!$B$30*(Assumptions!$B$10+Assumptions!$B$11+Assumptions!$B$12)*0.05,0)</f>
        <v>0</v>
      </c>
      <c r="AI39" s="19" t="n">
        <f aca="false">IF(AND(Projects!$G$30="Yes",AI$3&gt;=Projects!$C$30,AI$3&lt;Projects!$C$30+Projects!$D$30),Projects!$B$30*INDEX(Curves!$B$4:$AR$4,1,AI$3-Projects!$C$30+1),0)-IF(AND(Projects!$G$30="Yes",AI$3&gt;=Projects!$C$30,AI$3&lt;Projects!$C$30+Projects!$D$30),Projects!$B$30*(Assumptions!$B$10+Assumptions!$B$11+Assumptions!$B$12)/Projects!$D$30*0.95,0)-IF(AND(Projects!$G$30="Yes",AI$3=Projects!$C$30+Projects!$D$30-1),Projects!$B$30*(Assumptions!$B$10+Assumptions!$B$11+Assumptions!$B$12)*0.05,0)</f>
        <v>0</v>
      </c>
      <c r="AJ39" s="19" t="n">
        <f aca="false">IF(AND(Projects!$G$30="Yes",AJ$3&gt;=Projects!$C$30,AJ$3&lt;Projects!$C$30+Projects!$D$30),Projects!$B$30*INDEX(Curves!$B$4:$AR$4,1,AJ$3-Projects!$C$30+1),0)-IF(AND(Projects!$G$30="Yes",AJ$3&gt;=Projects!$C$30,AJ$3&lt;Projects!$C$30+Projects!$D$30),Projects!$B$30*(Assumptions!$B$10+Assumptions!$B$11+Assumptions!$B$12)/Projects!$D$30*0.95,0)-IF(AND(Projects!$G$30="Yes",AJ$3=Projects!$C$30+Projects!$D$30-1),Projects!$B$30*(Assumptions!$B$10+Assumptions!$B$11+Assumptions!$B$12)*0.05,0)</f>
        <v>0</v>
      </c>
      <c r="AK39" s="19" t="n">
        <f aca="false">IF(AND(Projects!$G$30="Yes",AK$3&gt;=Projects!$C$30,AK$3&lt;Projects!$C$30+Projects!$D$30),Projects!$B$30*INDEX(Curves!$B$4:$AR$4,1,AK$3-Projects!$C$30+1),0)-IF(AND(Projects!$G$30="Yes",AK$3&gt;=Projects!$C$30,AK$3&lt;Projects!$C$30+Projects!$D$30),Projects!$B$30*(Assumptions!$B$10+Assumptions!$B$11+Assumptions!$B$12)/Projects!$D$30*0.95,0)-IF(AND(Projects!$G$30="Yes",AK$3=Projects!$C$30+Projects!$D$30-1),Projects!$B$30*(Assumptions!$B$10+Assumptions!$B$11+Assumptions!$B$12)*0.05,0)</f>
        <v>0</v>
      </c>
      <c r="AL39" s="19" t="n">
        <f aca="false">IF(AND(Projects!$G$30="Yes",AL$3&gt;=Projects!$C$30,AL$3&lt;Projects!$C$30+Projects!$D$30),Projects!$B$30*INDEX(Curves!$B$4:$AR$4,1,AL$3-Projects!$C$30+1),0)-IF(AND(Projects!$G$30="Yes",AL$3&gt;=Projects!$C$30,AL$3&lt;Projects!$C$30+Projects!$D$30),Projects!$B$30*(Assumptions!$B$10+Assumptions!$B$11+Assumptions!$B$12)/Projects!$D$30*0.95,0)-IF(AND(Projects!$G$30="Yes",AL$3=Projects!$C$30+Projects!$D$30-1),Projects!$B$30*(Assumptions!$B$10+Assumptions!$B$11+Assumptions!$B$12)*0.05,0)</f>
        <v>307461.75</v>
      </c>
      <c r="AM39" s="19" t="n">
        <f aca="false">IF(AND(Projects!$G$30="Yes",AM$3&gt;=Projects!$C$30,AM$3&lt;Projects!$C$30+Projects!$D$30),Projects!$B$30*INDEX(Curves!$B$4:$AR$4,1,AM$3-Projects!$C$30+1),0)-IF(AND(Projects!$G$30="Yes",AM$3&gt;=Projects!$C$30,AM$3&lt;Projects!$C$30+Projects!$D$30),Projects!$B$30*(Assumptions!$B$10+Assumptions!$B$11+Assumptions!$B$12)/Projects!$D$30*0.95,0)-IF(AND(Projects!$G$30="Yes",AM$3=Projects!$C$30+Projects!$D$30-1),Projects!$B$30*(Assumptions!$B$10+Assumptions!$B$11+Assumptions!$B$12)*0.05,0)</f>
        <v>401121.75</v>
      </c>
      <c r="AN39" s="19" t="n">
        <f aca="false">IF(AND(Projects!$G$30="Yes",AN$3&gt;=Projects!$C$30,AN$3&lt;Projects!$C$30+Projects!$D$30),Projects!$B$30*INDEX(Curves!$B$4:$AR$4,1,AN$3-Projects!$C$30+1),0)-IF(AND(Projects!$G$30="Yes",AN$3&gt;=Projects!$C$30,AN$3&lt;Projects!$C$30+Projects!$D$30),Projects!$B$30*(Assumptions!$B$10+Assumptions!$B$11+Assumptions!$B$12)/Projects!$D$30*0.95,0)-IF(AND(Projects!$G$30="Yes",AN$3=Projects!$C$30+Projects!$D$30-1),Projects!$B$30*(Assumptions!$B$10+Assumptions!$B$11+Assumptions!$B$12)*0.05,0)</f>
        <v>501936.75</v>
      </c>
      <c r="AO39" s="19" t="n">
        <f aca="false">IF(AND(Projects!$G$30="Yes",AO$3&gt;=Projects!$C$30,AO$3&lt;Projects!$C$30+Projects!$D$30),Projects!$B$30*INDEX(Curves!$B$4:$AR$4,1,AO$3-Projects!$C$30+1),0)-IF(AND(Projects!$G$30="Yes",AO$3&gt;=Projects!$C$30,AO$3&lt;Projects!$C$30+Projects!$D$30),Projects!$B$30*(Assumptions!$B$10+Assumptions!$B$11+Assumptions!$B$12)/Projects!$D$30*0.95,0)-IF(AND(Projects!$G$30="Yes",AO$3=Projects!$C$30+Projects!$D$30-1),Projects!$B$30*(Assumptions!$B$10+Assumptions!$B$11+Assumptions!$B$12)*0.05,0)</f>
        <v>605886.75</v>
      </c>
      <c r="AP39" s="19" t="n">
        <f aca="false">IF(AND(Projects!$G$30="Yes",AP$3&gt;=Projects!$C$30,AP$3&lt;Projects!$C$30+Projects!$D$30),Projects!$B$30*INDEX(Curves!$B$4:$AR$4,1,AP$3-Projects!$C$30+1),0)-IF(AND(Projects!$G$30="Yes",AP$3&gt;=Projects!$C$30,AP$3&lt;Projects!$C$30+Projects!$D$30),Projects!$B$30*(Assumptions!$B$10+Assumptions!$B$11+Assumptions!$B$12)/Projects!$D$30*0.95,0)-IF(AND(Projects!$G$30="Yes",AP$3=Projects!$C$30+Projects!$D$30-1),Projects!$B$30*(Assumptions!$B$10+Assumptions!$B$11+Assumptions!$B$12)*0.05,0)</f>
        <v>707976.75</v>
      </c>
      <c r="AQ39" s="19" t="n">
        <f aca="false">IF(AND(Projects!$G$30="Yes",AQ$3&gt;=Projects!$C$30,AQ$3&lt;Projects!$C$30+Projects!$D$30),Projects!$B$30*INDEX(Curves!$B$4:$AR$4,1,AQ$3-Projects!$C$30+1),0)-IF(AND(Projects!$G$30="Yes",AQ$3&gt;=Projects!$C$30,AQ$3&lt;Projects!$C$30+Projects!$D$30),Projects!$B$30*(Assumptions!$B$10+Assumptions!$B$11+Assumptions!$B$12)/Projects!$D$30*0.95,0)-IF(AND(Projects!$G$30="Yes",AQ$3=Projects!$C$30+Projects!$D$30-1),Projects!$B$30*(Assumptions!$B$10+Assumptions!$B$11+Assumptions!$B$12)*0.05,0)</f>
        <v>802536.75</v>
      </c>
      <c r="AR39" s="19" t="n">
        <f aca="false">IF(AND(Projects!$G$30="Yes",AR$3&gt;=Projects!$C$30,AR$3&lt;Projects!$C$30+Projects!$D$30),Projects!$B$30*INDEX(Curves!$B$4:$AR$4,1,AR$3-Projects!$C$30+1),0)-IF(AND(Projects!$G$30="Yes",AR$3&gt;=Projects!$C$30,AR$3&lt;Projects!$C$30+Projects!$D$30),Projects!$B$30*(Assumptions!$B$10+Assumptions!$B$11+Assumptions!$B$12)/Projects!$D$30*0.95,0)-IF(AND(Projects!$G$30="Yes",AR$3=Projects!$C$30+Projects!$D$30-1),Projects!$B$30*(Assumptions!$B$10+Assumptions!$B$11+Assumptions!$B$12)*0.05,0)</f>
        <v>883761.75</v>
      </c>
      <c r="AS39" s="19" t="n">
        <f aca="false">IF(AND(Projects!$G$30="Yes",AS$3&gt;=Projects!$C$30,AS$3&lt;Projects!$C$30+Projects!$D$30),Projects!$B$30*INDEX(Curves!$B$4:$AR$4,1,AS$3-Projects!$C$30+1),0)-IF(AND(Projects!$G$30="Yes",AS$3&gt;=Projects!$C$30,AS$3&lt;Projects!$C$30+Projects!$D$30),Projects!$B$30*(Assumptions!$B$10+Assumptions!$B$11+Assumptions!$B$12)/Projects!$D$30*0.95,0)-IF(AND(Projects!$G$30="Yes",AS$3=Projects!$C$30+Projects!$D$30-1),Projects!$B$30*(Assumptions!$B$10+Assumptions!$B$11+Assumptions!$B$12)*0.05,0)</f>
        <v>946266.75</v>
      </c>
      <c r="AT39" s="19" t="n">
        <f aca="false">IF(AND(Projects!$G$30="Yes",AT$3&gt;=Projects!$C$30,AT$3&lt;Projects!$C$30+Projects!$D$30),Projects!$B$30*INDEX(Curves!$B$4:$AR$4,1,AT$3-Projects!$C$30+1),0)-IF(AND(Projects!$G$30="Yes",AT$3&gt;=Projects!$C$30,AT$3&lt;Projects!$C$30+Projects!$D$30),Projects!$B$30*(Assumptions!$B$10+Assumptions!$B$11+Assumptions!$B$12)/Projects!$D$30*0.95,0)-IF(AND(Projects!$G$30="Yes",AT$3=Projects!$C$30+Projects!$D$30-1),Projects!$B$30*(Assumptions!$B$10+Assumptions!$B$11+Assumptions!$B$12)*0.05,0)</f>
        <v>985686.75</v>
      </c>
      <c r="AU39" s="19" t="n">
        <f aca="false">IF(AND(Projects!$G$30="Yes",AU$3&gt;=Projects!$C$30,AU$3&lt;Projects!$C$30+Projects!$D$30),Projects!$B$30*INDEX(Curves!$B$4:$AR$4,1,AU$3-Projects!$C$30+1),0)-IF(AND(Projects!$G$30="Yes",AU$3&gt;=Projects!$C$30,AU$3&lt;Projects!$C$30+Projects!$D$30),Projects!$B$30*(Assumptions!$B$10+Assumptions!$B$11+Assumptions!$B$12)/Projects!$D$30*0.95,0)-IF(AND(Projects!$G$30="Yes",AU$3=Projects!$C$30+Projects!$D$30-1),Projects!$B$30*(Assumptions!$B$10+Assumptions!$B$11+Assumptions!$B$12)*0.05,0)</f>
        <v>999156.75</v>
      </c>
      <c r="AV39" s="19" t="n">
        <f aca="false">IF(AND(Projects!$G$30="Yes",AV$3&gt;=Projects!$C$30,AV$3&lt;Projects!$C$30+Projects!$D$30),Projects!$B$30*INDEX(Curves!$B$4:$AR$4,1,AV$3-Projects!$C$30+1),0)-IF(AND(Projects!$G$30="Yes",AV$3&gt;=Projects!$C$30,AV$3&lt;Projects!$C$30+Projects!$D$30),Projects!$B$30*(Assumptions!$B$10+Assumptions!$B$11+Assumptions!$B$12)/Projects!$D$30*0.95,0)-IF(AND(Projects!$G$30="Yes",AV$3=Projects!$C$30+Projects!$D$30-1),Projects!$B$30*(Assumptions!$B$10+Assumptions!$B$11+Assumptions!$B$12)*0.05,0)</f>
        <v>985686.75</v>
      </c>
      <c r="AW39" s="19" t="n">
        <f aca="false">IF(AND(Projects!$G$30="Yes",AW$3&gt;=Projects!$C$30,AW$3&lt;Projects!$C$30+Projects!$D$30),Projects!$B$30*INDEX(Curves!$B$4:$AR$4,1,AW$3-Projects!$C$30+1),0)-IF(AND(Projects!$G$30="Yes",AW$3&gt;=Projects!$C$30,AW$3&lt;Projects!$C$30+Projects!$D$30),Projects!$B$30*(Assumptions!$B$10+Assumptions!$B$11+Assumptions!$B$12)/Projects!$D$30*0.95,0)-IF(AND(Projects!$G$30="Yes",AW$3=Projects!$C$30+Projects!$D$30-1),Projects!$B$30*(Assumptions!$B$10+Assumptions!$B$11+Assumptions!$B$12)*0.05,0)</f>
        <v>946266.75</v>
      </c>
      <c r="AX39" s="19" t="n">
        <f aca="false">IF(AND(Projects!$G$30="Yes",AX$3&gt;=Projects!$C$30,AX$3&lt;Projects!$C$30+Projects!$D$30),Projects!$B$30*INDEX(Curves!$B$4:$AR$4,1,AX$3-Projects!$C$30+1),0)-IF(AND(Projects!$G$30="Yes",AX$3&gt;=Projects!$C$30,AX$3&lt;Projects!$C$30+Projects!$D$30),Projects!$B$30*(Assumptions!$B$10+Assumptions!$B$11+Assumptions!$B$12)/Projects!$D$30*0.95,0)-IF(AND(Projects!$G$30="Yes",AX$3=Projects!$C$30+Projects!$D$30-1),Projects!$B$30*(Assumptions!$B$10+Assumptions!$B$11+Assumptions!$B$12)*0.05,0)</f>
        <v>883761.75</v>
      </c>
      <c r="AY39" s="19" t="n">
        <f aca="false">IF(AND(Projects!$G$30="Yes",AY$3&gt;=Projects!$C$30,AY$3&lt;Projects!$C$30+Projects!$D$30),Projects!$B$30*INDEX(Curves!$B$4:$AR$4,1,AY$3-Projects!$C$30+1),0)-IF(AND(Projects!$G$30="Yes",AY$3&gt;=Projects!$C$30,AY$3&lt;Projects!$C$30+Projects!$D$30),Projects!$B$30*(Assumptions!$B$10+Assumptions!$B$11+Assumptions!$B$12)/Projects!$D$30*0.95,0)-IF(AND(Projects!$G$30="Yes",AY$3=Projects!$C$30+Projects!$D$30-1),Projects!$B$30*(Assumptions!$B$10+Assumptions!$B$11+Assumptions!$B$12)*0.05,0)</f>
        <v>802536.75</v>
      </c>
      <c r="AZ39" s="19" t="n">
        <f aca="false">IF(AND(Projects!$G$30="Yes",AZ$3&gt;=Projects!$C$30,AZ$3&lt;Projects!$C$30+Projects!$D$30),Projects!$B$30*INDEX(Curves!$B$4:$AR$4,1,AZ$3-Projects!$C$30+1),0)-IF(AND(Projects!$G$30="Yes",AZ$3&gt;=Projects!$C$30,AZ$3&lt;Projects!$C$30+Projects!$D$30),Projects!$B$30*(Assumptions!$B$10+Assumptions!$B$11+Assumptions!$B$12)/Projects!$D$30*0.95,0)-IF(AND(Projects!$G$30="Yes",AZ$3=Projects!$C$30+Projects!$D$30-1),Projects!$B$30*(Assumptions!$B$10+Assumptions!$B$11+Assumptions!$B$12)*0.05,0)</f>
        <v>707976.75</v>
      </c>
      <c r="BA39" s="19" t="n">
        <f aca="false">IF(AND(Projects!$G$30="Yes",BA$3&gt;=Projects!$C$30,BA$3&lt;Projects!$C$30+Projects!$D$30),Projects!$B$30*INDEX(Curves!$B$4:$AR$4,1,BA$3-Projects!$C$30+1),0)-IF(AND(Projects!$G$30="Yes",BA$3&gt;=Projects!$C$30,BA$3&lt;Projects!$C$30+Projects!$D$30),Projects!$B$30*(Assumptions!$B$10+Assumptions!$B$11+Assumptions!$B$12)/Projects!$D$30*0.95,0)-IF(AND(Projects!$G$30="Yes",BA$3=Projects!$C$30+Projects!$D$30-1),Projects!$B$30*(Assumptions!$B$10+Assumptions!$B$11+Assumptions!$B$12)*0.05,0)</f>
        <v>605886.75</v>
      </c>
      <c r="BB39" s="19" t="n">
        <f aca="false">IF(AND(Projects!$G$30="Yes",BB$3&gt;=Projects!$C$30,BB$3&lt;Projects!$C$30+Projects!$D$30),Projects!$B$30*INDEX(Curves!$B$4:$AR$4,1,BB$3-Projects!$C$30+1),0)-IF(AND(Projects!$G$30="Yes",BB$3&gt;=Projects!$C$30,BB$3&lt;Projects!$C$30+Projects!$D$30),Projects!$B$30*(Assumptions!$B$10+Assumptions!$B$11+Assumptions!$B$12)/Projects!$D$30*0.95,0)-IF(AND(Projects!$G$30="Yes",BB$3=Projects!$C$30+Projects!$D$30-1),Projects!$B$30*(Assumptions!$B$10+Assumptions!$B$11+Assumptions!$B$12)*0.05,0)</f>
        <v>501936.75</v>
      </c>
      <c r="BC39" s="19" t="n">
        <f aca="false">IF(AND(Projects!$G$30="Yes",BC$3&gt;=Projects!$C$30,BC$3&lt;Projects!$C$30+Projects!$D$30),Projects!$B$30*INDEX(Curves!$B$4:$AR$4,1,BC$3-Projects!$C$30+1),0)-IF(AND(Projects!$G$30="Yes",BC$3&gt;=Projects!$C$30,BC$3&lt;Projects!$C$30+Projects!$D$30),Projects!$B$30*(Assumptions!$B$10+Assumptions!$B$11+Assumptions!$B$12)/Projects!$D$30*0.95,0)-IF(AND(Projects!$G$30="Yes",BC$3=Projects!$C$30+Projects!$D$30-1),Projects!$B$30*(Assumptions!$B$10+Assumptions!$B$11+Assumptions!$B$12)*0.05,0)</f>
        <v>401121.75</v>
      </c>
      <c r="BD39" s="19" t="n">
        <f aca="false">IF(AND(Projects!$G$30="Yes",BD$3&gt;=Projects!$C$30,BD$3&lt;Projects!$C$30+Projects!$D$30),Projects!$B$30*INDEX(Curves!$B$4:$AR$4,1,BD$3-Projects!$C$30+1),0)-IF(AND(Projects!$G$30="Yes",BD$3&gt;=Projects!$C$30,BD$3&lt;Projects!$C$30+Projects!$D$30),Projects!$B$30*(Assumptions!$B$10+Assumptions!$B$11+Assumptions!$B$12)/Projects!$D$30*0.95,0)-IF(AND(Projects!$G$30="Yes",BD$3=Projects!$C$30+Projects!$D$30-1),Projects!$B$30*(Assumptions!$B$10+Assumptions!$B$11+Assumptions!$B$12)*0.05,0)</f>
        <v>217168.5</v>
      </c>
      <c r="BE39" s="19" t="n">
        <f aca="false">IF(AND(Projects!$G$30="Yes",BE$3&gt;=Projects!$C$30,BE$3&lt;Projects!$C$30+Projects!$D$30),Projects!$B$30*INDEX(Curves!$B$4:$AR$4,1,BE$3-Projects!$C$30+1),0)-IF(AND(Projects!$G$30="Yes",BE$3&gt;=Projects!$C$30,BE$3&lt;Projects!$C$30+Projects!$D$30),Projects!$B$30*(Assumptions!$B$10+Assumptions!$B$11+Assumptions!$B$12)/Projects!$D$30*0.95,0)-IF(AND(Projects!$G$30="Yes",BE$3=Projects!$C$30+Projects!$D$30-1),Projects!$B$30*(Assumptions!$B$10+Assumptions!$B$11+Assumptions!$B$12)*0.05,0)</f>
        <v>0</v>
      </c>
      <c r="BF39" s="19" t="n">
        <f aca="false">IF(AND(Projects!$G$30="Yes",BF$3&gt;=Projects!$C$30,BF$3&lt;Projects!$C$30+Projects!$D$30),Projects!$B$30*INDEX(Curves!$B$4:$AR$4,1,BF$3-Projects!$C$30+1),0)-IF(AND(Projects!$G$30="Yes",BF$3&gt;=Projects!$C$30,BF$3&lt;Projects!$C$30+Projects!$D$30),Projects!$B$30*(Assumptions!$B$10+Assumptions!$B$11+Assumptions!$B$12)/Projects!$D$30*0.95,0)-IF(AND(Projects!$G$30="Yes",BF$3=Projects!$C$30+Projects!$D$30-1),Projects!$B$30*(Assumptions!$B$10+Assumptions!$B$11+Assumptions!$B$12)*0.05,0)</f>
        <v>0</v>
      </c>
      <c r="BG39" s="19" t="n">
        <f aca="false">IF(AND(Projects!$G$30="Yes",BG$3&gt;=Projects!$C$30,BG$3&lt;Projects!$C$30+Projects!$D$30),Projects!$B$30*INDEX(Curves!$B$4:$AR$4,1,BG$3-Projects!$C$30+1),0)-IF(AND(Projects!$G$30="Yes",BG$3&gt;=Projects!$C$30,BG$3&lt;Projects!$C$30+Projects!$D$30),Projects!$B$30*(Assumptions!$B$10+Assumptions!$B$11+Assumptions!$B$12)/Projects!$D$30*0.95,0)-IF(AND(Projects!$G$30="Yes",BG$3=Projects!$C$30+Projects!$D$30-1),Projects!$B$30*(Assumptions!$B$10+Assumptions!$B$11+Assumptions!$B$12)*0.05,0)</f>
        <v>0</v>
      </c>
      <c r="BH39" s="19" t="n">
        <f aca="false">IF(AND(Projects!$G$30="Yes",BH$3&gt;=Projects!$C$30,BH$3&lt;Projects!$C$30+Projects!$D$30),Projects!$B$30*INDEX(Curves!$B$4:$AR$4,1,BH$3-Projects!$C$30+1),0)-IF(AND(Projects!$G$30="Yes",BH$3&gt;=Projects!$C$30,BH$3&lt;Projects!$C$30+Projects!$D$30),Projects!$B$30*(Assumptions!$B$10+Assumptions!$B$11+Assumptions!$B$12)/Projects!$D$30*0.95,0)-IF(AND(Projects!$G$30="Yes",BH$3=Projects!$C$30+Projects!$D$30-1),Projects!$B$30*(Assumptions!$B$10+Assumptions!$B$11+Assumptions!$B$12)*0.05,0)</f>
        <v>0</v>
      </c>
      <c r="BI39" s="19" t="n">
        <f aca="false">IF(AND(Projects!$G$30="Yes",BI$3&gt;=Projects!$C$30,BI$3&lt;Projects!$C$30+Projects!$D$30),Projects!$B$30*INDEX(Curves!$B$4:$AR$4,1,BI$3-Projects!$C$30+1),0)-IF(AND(Projects!$G$30="Yes",BI$3&gt;=Projects!$C$30,BI$3&lt;Projects!$C$30+Projects!$D$30),Projects!$B$30*(Assumptions!$B$10+Assumptions!$B$11+Assumptions!$B$12)/Projects!$D$30*0.95,0)-IF(AND(Projects!$G$30="Yes",BI$3=Projects!$C$30+Projects!$D$30-1),Projects!$B$30*(Assumptions!$B$10+Assumptions!$B$11+Assumptions!$B$12)*0.05,0)</f>
        <v>0</v>
      </c>
      <c r="BJ39" s="19" t="n">
        <f aca="false">IF(AND(Projects!$G$30="Yes",BJ$3&gt;=Projects!$C$30,BJ$3&lt;Projects!$C$30+Projects!$D$30),Projects!$B$30*INDEX(Curves!$B$4:$AR$4,1,BJ$3-Projects!$C$30+1),0)-IF(AND(Projects!$G$30="Yes",BJ$3&gt;=Projects!$C$30,BJ$3&lt;Projects!$C$30+Projects!$D$30),Projects!$B$30*(Assumptions!$B$10+Assumptions!$B$11+Assumptions!$B$12)/Projects!$D$30*0.95,0)-IF(AND(Projects!$G$30="Yes",BJ$3=Projects!$C$30+Projects!$D$30-1),Projects!$B$30*(Assumptions!$B$10+Assumptions!$B$11+Assumptions!$B$12)*0.05,0)</f>
        <v>0</v>
      </c>
      <c r="BK39" s="19" t="n">
        <f aca="false">IF(AND(Projects!$G$30="Yes",BK$3&gt;=Projects!$C$30,BK$3&lt;Projects!$C$30+Projects!$D$30),Projects!$B$30*INDEX(Curves!$B$4:$AR$4,1,BK$3-Projects!$C$30+1),0)-IF(AND(Projects!$G$30="Yes",BK$3&gt;=Projects!$C$30,BK$3&lt;Projects!$C$30+Projects!$D$30),Projects!$B$30*(Assumptions!$B$10+Assumptions!$B$11+Assumptions!$B$12)/Projects!$D$30*0.95,0)-IF(AND(Projects!$G$30="Yes",BK$3=Projects!$C$30+Projects!$D$30-1),Projects!$B$30*(Assumptions!$B$10+Assumptions!$B$11+Assumptions!$B$12)*0.05,0)</f>
        <v>0</v>
      </c>
      <c r="BL39" s="19" t="n">
        <f aca="false">IF(AND(Projects!$G$30="Yes",BL$3&gt;=Projects!$C$30,BL$3&lt;Projects!$C$30+Projects!$D$30),Projects!$B$30*INDEX(Curves!$B$4:$AR$4,1,BL$3-Projects!$C$30+1),0)-IF(AND(Projects!$G$30="Yes",BL$3&gt;=Projects!$C$30,BL$3&lt;Projects!$C$30+Projects!$D$30),Projects!$B$30*(Assumptions!$B$10+Assumptions!$B$11+Assumptions!$B$12)/Projects!$D$30*0.95,0)-IF(AND(Projects!$G$30="Yes",BL$3=Projects!$C$30+Projects!$D$30-1),Projects!$B$30*(Assumptions!$B$10+Assumptions!$B$11+Assumptions!$B$12)*0.05,0)</f>
        <v>0</v>
      </c>
      <c r="BM39" s="19" t="n">
        <f aca="false">IF(AND(Projects!$G$30="Yes",BM$3&gt;=Projects!$C$30,BM$3&lt;Projects!$C$30+Projects!$D$30),Projects!$B$30*INDEX(Curves!$B$4:$AR$4,1,BM$3-Projects!$C$30+1),0)-IF(AND(Projects!$G$30="Yes",BM$3&gt;=Projects!$C$30,BM$3&lt;Projects!$C$30+Projects!$D$30),Projects!$B$30*(Assumptions!$B$10+Assumptions!$B$11+Assumptions!$B$12)/Projects!$D$30*0.95,0)-IF(AND(Projects!$G$30="Yes",BM$3=Projects!$C$30+Projects!$D$30-1),Projects!$B$30*(Assumptions!$B$10+Assumptions!$B$11+Assumptions!$B$12)*0.05,0)</f>
        <v>0</v>
      </c>
      <c r="BN39" s="19" t="n">
        <f aca="false">IF(AND(Projects!$G$30="Yes",BN$3&gt;=Projects!$C$30,BN$3&lt;Projects!$C$30+Projects!$D$30),Projects!$B$30*INDEX(Curves!$B$4:$AR$4,1,BN$3-Projects!$C$30+1),0)-IF(AND(Projects!$G$30="Yes",BN$3&gt;=Projects!$C$30,BN$3&lt;Projects!$C$30+Projects!$D$30),Projects!$B$30*(Assumptions!$B$10+Assumptions!$B$11+Assumptions!$B$12)/Projects!$D$30*0.95,0)-IF(AND(Projects!$G$30="Yes",BN$3=Projects!$C$30+Projects!$D$30-1),Projects!$B$30*(Assumptions!$B$10+Assumptions!$B$11+Assumptions!$B$12)*0.05,0)</f>
        <v>0</v>
      </c>
      <c r="BO39" s="19" t="n">
        <f aca="false">IF(AND(Projects!$G$30="Yes",BO$3&gt;=Projects!$C$30,BO$3&lt;Projects!$C$30+Projects!$D$30),Projects!$B$30*INDEX(Curves!$B$4:$AR$4,1,BO$3-Projects!$C$30+1),0)-IF(AND(Projects!$G$30="Yes",BO$3&gt;=Projects!$C$30,BO$3&lt;Projects!$C$30+Projects!$D$30),Projects!$B$30*(Assumptions!$B$10+Assumptions!$B$11+Assumptions!$B$12)/Projects!$D$30*0.95,0)-IF(AND(Projects!$G$30="Yes",BO$3=Projects!$C$30+Projects!$D$30-1),Projects!$B$30*(Assumptions!$B$10+Assumptions!$B$11+Assumptions!$B$12)*0.05,0)</f>
        <v>0</v>
      </c>
      <c r="BP39" s="19" t="n">
        <f aca="false">IF(AND(Projects!$G$30="Yes",BP$3&gt;=Projects!$C$30,BP$3&lt;Projects!$C$30+Projects!$D$30),Projects!$B$30*INDEX(Curves!$B$4:$AR$4,1,BP$3-Projects!$C$30+1),0)-IF(AND(Projects!$G$30="Yes",BP$3&gt;=Projects!$C$30,BP$3&lt;Projects!$C$30+Projects!$D$30),Projects!$B$30*(Assumptions!$B$10+Assumptions!$B$11+Assumptions!$B$12)/Projects!$D$30*0.95,0)-IF(AND(Projects!$G$30="Yes",BP$3=Projects!$C$30+Projects!$D$30-1),Projects!$B$30*(Assumptions!$B$10+Assumptions!$B$11+Assumptions!$B$12)*0.05,0)</f>
        <v>0</v>
      </c>
      <c r="BQ39" s="19" t="n">
        <f aca="false">IF(AND(Projects!$G$30="Yes",BQ$3&gt;=Projects!$C$30,BQ$3&lt;Projects!$C$30+Projects!$D$30),Projects!$B$30*INDEX(Curves!$B$4:$AR$4,1,BQ$3-Projects!$C$30+1),0)-IF(AND(Projects!$G$30="Yes",BQ$3&gt;=Projects!$C$30,BQ$3&lt;Projects!$C$30+Projects!$D$30),Projects!$B$30*(Assumptions!$B$10+Assumptions!$B$11+Assumptions!$B$12)/Projects!$D$30*0.95,0)-IF(AND(Projects!$G$30="Yes",BQ$3=Projects!$C$30+Projects!$D$30-1),Projects!$B$30*(Assumptions!$B$10+Assumptions!$B$11+Assumptions!$B$12)*0.05,0)</f>
        <v>0</v>
      </c>
      <c r="BR39" s="19" t="n">
        <f aca="false">IF(AND(Projects!$G$30="Yes",BR$3&gt;=Projects!$C$30,BR$3&lt;Projects!$C$30+Projects!$D$30),Projects!$B$30*INDEX(Curves!$B$4:$AR$4,1,BR$3-Projects!$C$30+1),0)-IF(AND(Projects!$G$30="Yes",BR$3&gt;=Projects!$C$30,BR$3&lt;Projects!$C$30+Projects!$D$30),Projects!$B$30*(Assumptions!$B$10+Assumptions!$B$11+Assumptions!$B$12)/Projects!$D$30*0.95,0)-IF(AND(Projects!$G$30="Yes",BR$3=Projects!$C$30+Projects!$D$30-1),Projects!$B$30*(Assumptions!$B$10+Assumptions!$B$11+Assumptions!$B$12)*0.05,0)</f>
        <v>0</v>
      </c>
      <c r="BS39" s="19" t="n">
        <f aca="false">IF(AND(Projects!$G$30="Yes",BS$3&gt;=Projects!$C$30,BS$3&lt;Projects!$C$30+Projects!$D$30),Projects!$B$30*INDEX(Curves!$B$4:$AR$4,1,BS$3-Projects!$C$30+1),0)-IF(AND(Projects!$G$30="Yes",BS$3&gt;=Projects!$C$30,BS$3&lt;Projects!$C$30+Projects!$D$30),Projects!$B$30*(Assumptions!$B$10+Assumptions!$B$11+Assumptions!$B$12)/Projects!$D$30*0.95,0)-IF(AND(Projects!$G$30="Yes",BS$3=Projects!$C$30+Projects!$D$30-1),Projects!$B$30*(Assumptions!$B$10+Assumptions!$B$11+Assumptions!$B$12)*0.05,0)</f>
        <v>0</v>
      </c>
      <c r="BT39" s="19" t="n">
        <f aca="false">IF(AND(Projects!$G$30="Yes",BT$3&gt;=Projects!$C$30,BT$3&lt;Projects!$C$30+Projects!$D$30),Projects!$B$30*INDEX(Curves!$B$4:$AR$4,1,BT$3-Projects!$C$30+1),0)-IF(AND(Projects!$G$30="Yes",BT$3&gt;=Projects!$C$30,BT$3&lt;Projects!$C$30+Projects!$D$30),Projects!$B$30*(Assumptions!$B$10+Assumptions!$B$11+Assumptions!$B$12)/Projects!$D$30*0.95,0)-IF(AND(Projects!$G$30="Yes",BT$3=Projects!$C$30+Projects!$D$30-1),Projects!$B$30*(Assumptions!$B$10+Assumptions!$B$11+Assumptions!$B$12)*0.05,0)</f>
        <v>0</v>
      </c>
      <c r="BU39" s="19" t="n">
        <f aca="false">IF(AND(Projects!$G$30="Yes",BU$3&gt;=Projects!$C$30,BU$3&lt;Projects!$C$30+Projects!$D$30),Projects!$B$30*INDEX(Curves!$B$4:$AR$4,1,BU$3-Projects!$C$30+1),0)-IF(AND(Projects!$G$30="Yes",BU$3&gt;=Projects!$C$30,BU$3&lt;Projects!$C$30+Projects!$D$30),Projects!$B$30*(Assumptions!$B$10+Assumptions!$B$11+Assumptions!$B$12)/Projects!$D$30*0.95,0)-IF(AND(Projects!$G$30="Yes",BU$3=Projects!$C$30+Projects!$D$30-1),Projects!$B$30*(Assumptions!$B$10+Assumptions!$B$11+Assumptions!$B$12)*0.05,0)</f>
        <v>0</v>
      </c>
      <c r="BV39" s="19" t="n">
        <f aca="false">IF(AND(Projects!$G$30="Yes",BV$3&gt;=Projects!$C$30,BV$3&lt;Projects!$C$30+Projects!$D$30),Projects!$B$30*INDEX(Curves!$B$4:$AR$4,1,BV$3-Projects!$C$30+1),0)-IF(AND(Projects!$G$30="Yes",BV$3&gt;=Projects!$C$30,BV$3&lt;Projects!$C$30+Projects!$D$30),Projects!$B$30*(Assumptions!$B$10+Assumptions!$B$11+Assumptions!$B$12)/Projects!$D$30*0.95,0)-IF(AND(Projects!$G$30="Yes",BV$3=Projects!$C$30+Projects!$D$30-1),Projects!$B$30*(Assumptions!$B$10+Assumptions!$B$11+Assumptions!$B$12)*0.05,0)</f>
        <v>0</v>
      </c>
      <c r="BW39" s="19" t="n">
        <f aca="false">IF(AND(Projects!$G$30="Yes",BW$3&gt;=Projects!$C$30,BW$3&lt;Projects!$C$30+Projects!$D$30),Projects!$B$30*INDEX(Curves!$B$4:$AR$4,1,BW$3-Projects!$C$30+1),0)-IF(AND(Projects!$G$30="Yes",BW$3&gt;=Projects!$C$30,BW$3&lt;Projects!$C$30+Projects!$D$30),Projects!$B$30*(Assumptions!$B$10+Assumptions!$B$11+Assumptions!$B$12)/Projects!$D$30*0.95,0)-IF(AND(Projects!$G$30="Yes",BW$3=Projects!$C$30+Projects!$D$30-1),Projects!$B$30*(Assumptions!$B$10+Assumptions!$B$11+Assumptions!$B$12)*0.05,0)</f>
        <v>0</v>
      </c>
      <c r="BX39" s="19" t="n">
        <f aca="false">IF(AND(Projects!$G$30="Yes",BX$3&gt;=Projects!$C$30,BX$3&lt;Projects!$C$30+Projects!$D$30),Projects!$B$30*INDEX(Curves!$B$4:$AR$4,1,BX$3-Projects!$C$30+1),0)-IF(AND(Projects!$G$30="Yes",BX$3&gt;=Projects!$C$30,BX$3&lt;Projects!$C$30+Projects!$D$30),Projects!$B$30*(Assumptions!$B$10+Assumptions!$B$11+Assumptions!$B$12)/Projects!$D$30*0.95,0)-IF(AND(Projects!$G$30="Yes",BX$3=Projects!$C$30+Projects!$D$30-1),Projects!$B$30*(Assumptions!$B$10+Assumptions!$B$11+Assumptions!$B$12)*0.05,0)</f>
        <v>0</v>
      </c>
      <c r="BY39" s="19" t="n">
        <f aca="false">IF(AND(Projects!$G$30="Yes",BY$3&gt;=Projects!$C$30,BY$3&lt;Projects!$C$30+Projects!$D$30),Projects!$B$30*INDEX(Curves!$B$4:$AR$4,1,BY$3-Projects!$C$30+1),0)-IF(AND(Projects!$G$30="Yes",BY$3&gt;=Projects!$C$30,BY$3&lt;Projects!$C$30+Projects!$D$30),Projects!$B$30*(Assumptions!$B$10+Assumptions!$B$11+Assumptions!$B$12)/Projects!$D$30*0.95,0)-IF(AND(Projects!$G$30="Yes",BY$3=Projects!$C$30+Projects!$D$30-1),Projects!$B$30*(Assumptions!$B$10+Assumptions!$B$11+Assumptions!$B$12)*0.05,0)</f>
        <v>0</v>
      </c>
      <c r="BZ39" s="19" t="n">
        <f aca="false">IF(AND(Projects!$G$30="Yes",BZ$3&gt;=Projects!$C$30,BZ$3&lt;Projects!$C$30+Projects!$D$30),Projects!$B$30*INDEX(Curves!$B$4:$AR$4,1,BZ$3-Projects!$C$30+1),0)-IF(AND(Projects!$G$30="Yes",BZ$3&gt;=Projects!$C$30,BZ$3&lt;Projects!$C$30+Projects!$D$30),Projects!$B$30*(Assumptions!$B$10+Assumptions!$B$11+Assumptions!$B$12)/Projects!$D$30*0.95,0)-IF(AND(Projects!$G$30="Yes",BZ$3=Projects!$C$30+Projects!$D$30-1),Projects!$B$30*(Assumptions!$B$10+Assumptions!$B$11+Assumptions!$B$12)*0.05,0)</f>
        <v>0</v>
      </c>
      <c r="CA39" s="19" t="n">
        <f aca="false">IF(AND(Projects!$G$30="Yes",CA$3&gt;=Projects!$C$30,CA$3&lt;Projects!$C$30+Projects!$D$30),Projects!$B$30*INDEX(Curves!$B$4:$AR$4,1,CA$3-Projects!$C$30+1),0)-IF(AND(Projects!$G$30="Yes",CA$3&gt;=Projects!$C$30,CA$3&lt;Projects!$C$30+Projects!$D$30),Projects!$B$30*(Assumptions!$B$10+Assumptions!$B$11+Assumptions!$B$12)/Projects!$D$30*0.95,0)-IF(AND(Projects!$G$30="Yes",CA$3=Projects!$C$30+Projects!$D$30-1),Projects!$B$30*(Assumptions!$B$10+Assumptions!$B$11+Assumptions!$B$12)*0.05,0)</f>
        <v>0</v>
      </c>
      <c r="CB39" s="19" t="n">
        <f aca="false">IF(AND(Projects!$G$30="Yes",CB$3&gt;=Projects!$C$30,CB$3&lt;Projects!$C$30+Projects!$D$30),Projects!$B$30*INDEX(Curves!$B$4:$AR$4,1,CB$3-Projects!$C$30+1),0)-IF(AND(Projects!$G$30="Yes",CB$3&gt;=Projects!$C$30,CB$3&lt;Projects!$C$30+Projects!$D$30),Projects!$B$30*(Assumptions!$B$10+Assumptions!$B$11+Assumptions!$B$12)/Projects!$D$30*0.95,0)-IF(AND(Projects!$G$30="Yes",CB$3=Projects!$C$30+Projects!$D$30-1),Projects!$B$30*(Assumptions!$B$10+Assumptions!$B$11+Assumptions!$B$12)*0.05,0)</f>
        <v>0</v>
      </c>
      <c r="CC39" s="19" t="n">
        <f aca="false">IF(AND(Projects!$G$30="Yes",CC$3&gt;=Projects!$C$30,CC$3&lt;Projects!$C$30+Projects!$D$30),Projects!$B$30*INDEX(Curves!$B$4:$AR$4,1,CC$3-Projects!$C$30+1),0)-IF(AND(Projects!$G$30="Yes",CC$3&gt;=Projects!$C$30,CC$3&lt;Projects!$C$30+Projects!$D$30),Projects!$B$30*(Assumptions!$B$10+Assumptions!$B$11+Assumptions!$B$12)/Projects!$D$30*0.95,0)-IF(AND(Projects!$G$30="Yes",CC$3=Projects!$C$30+Projects!$D$30-1),Projects!$B$30*(Assumptions!$B$10+Assumptions!$B$11+Assumptions!$B$12)*0.05,0)</f>
        <v>0</v>
      </c>
      <c r="CD39" s="19" t="n">
        <f aca="false">IF(AND(Projects!$G$30="Yes",CD$3&gt;=Projects!$C$30,CD$3&lt;Projects!$C$30+Projects!$D$30),Projects!$B$30*INDEX(Curves!$B$4:$AR$4,1,CD$3-Projects!$C$30+1),0)-IF(AND(Projects!$G$30="Yes",CD$3&gt;=Projects!$C$30,CD$3&lt;Projects!$C$30+Projects!$D$30),Projects!$B$30*(Assumptions!$B$10+Assumptions!$B$11+Assumptions!$B$12)/Projects!$D$30*0.95,0)-IF(AND(Projects!$G$30="Yes",CD$3=Projects!$C$30+Projects!$D$30-1),Projects!$B$30*(Assumptions!$B$10+Assumptions!$B$11+Assumptions!$B$12)*0.05,0)</f>
        <v>0</v>
      </c>
      <c r="CE39" s="19" t="n">
        <f aca="false">IF(AND(Projects!$G$30="Yes",CE$3&gt;=Projects!$C$30,CE$3&lt;Projects!$C$30+Projects!$D$30),Projects!$B$30*INDEX(Curves!$B$4:$AR$4,1,CE$3-Projects!$C$30+1),0)-IF(AND(Projects!$G$30="Yes",CE$3&gt;=Projects!$C$30,CE$3&lt;Projects!$C$30+Projects!$D$30),Projects!$B$30*(Assumptions!$B$10+Assumptions!$B$11+Assumptions!$B$12)/Projects!$D$30*0.95,0)-IF(AND(Projects!$G$30="Yes",CE$3=Projects!$C$30+Projects!$D$30-1),Projects!$B$30*(Assumptions!$B$10+Assumptions!$B$11+Assumptions!$B$12)*0.05,0)</f>
        <v>0</v>
      </c>
      <c r="CF39" s="19" t="n">
        <f aca="false">IF(AND(Projects!$G$30="Yes",CF$3&gt;=Projects!$C$30,CF$3&lt;Projects!$C$30+Projects!$D$30),Projects!$B$30*INDEX(Curves!$B$4:$AR$4,1,CF$3-Projects!$C$30+1),0)-IF(AND(Projects!$G$30="Yes",CF$3&gt;=Projects!$C$30,CF$3&lt;Projects!$C$30+Projects!$D$30),Projects!$B$30*(Assumptions!$B$10+Assumptions!$B$11+Assumptions!$B$12)/Projects!$D$30*0.95,0)-IF(AND(Projects!$G$30="Yes",CF$3=Projects!$C$30+Projects!$D$30-1),Projects!$B$30*(Assumptions!$B$10+Assumptions!$B$11+Assumptions!$B$12)*0.05,0)</f>
        <v>0</v>
      </c>
      <c r="CG39" s="19" t="n">
        <f aca="false">IF(AND(Projects!$G$30="Yes",CG$3&gt;=Projects!$C$30,CG$3&lt;Projects!$C$30+Projects!$D$30),Projects!$B$30*INDEX(Curves!$B$4:$AR$4,1,CG$3-Projects!$C$30+1),0)-IF(AND(Projects!$G$30="Yes",CG$3&gt;=Projects!$C$30,CG$3&lt;Projects!$C$30+Projects!$D$30),Projects!$B$30*(Assumptions!$B$10+Assumptions!$B$11+Assumptions!$B$12)/Projects!$D$30*0.95,0)-IF(AND(Projects!$G$30="Yes",CG$3=Projects!$C$30+Projects!$D$30-1),Projects!$B$30*(Assumptions!$B$10+Assumptions!$B$11+Assumptions!$B$12)*0.05,0)</f>
        <v>0</v>
      </c>
      <c r="CH39" s="19" t="n">
        <f aca="false">IF(AND(Projects!$G$30="Yes",CH$3&gt;=Projects!$C$30,CH$3&lt;Projects!$C$30+Projects!$D$30),Projects!$B$30*INDEX(Curves!$B$4:$AR$4,1,CH$3-Projects!$C$30+1),0)-IF(AND(Projects!$G$30="Yes",CH$3&gt;=Projects!$C$30,CH$3&lt;Projects!$C$30+Projects!$D$30),Projects!$B$30*(Assumptions!$B$10+Assumptions!$B$11+Assumptions!$B$12)/Projects!$D$30*0.95,0)-IF(AND(Projects!$G$30="Yes",CH$3=Projects!$C$30+Projects!$D$30-1),Projects!$B$30*(Assumptions!$B$10+Assumptions!$B$11+Assumptions!$B$12)*0.05,0)</f>
        <v>0</v>
      </c>
      <c r="CI39" s="19" t="n">
        <f aca="false">IF(AND(Projects!$G$30="Yes",CI$3&gt;=Projects!$C$30,CI$3&lt;Projects!$C$30+Projects!$D$30),Projects!$B$30*INDEX(Curves!$B$4:$AR$4,1,CI$3-Projects!$C$30+1),0)-IF(AND(Projects!$G$30="Yes",CI$3&gt;=Projects!$C$30,CI$3&lt;Projects!$C$30+Projects!$D$30),Projects!$B$30*(Assumptions!$B$10+Assumptions!$B$11+Assumptions!$B$12)/Projects!$D$30*0.95,0)-IF(AND(Projects!$G$30="Yes",CI$3=Projects!$C$30+Projects!$D$30-1),Projects!$B$30*(Assumptions!$B$10+Assumptions!$B$11+Assumptions!$B$12)*0.05,0)</f>
        <v>0</v>
      </c>
      <c r="CJ39" s="19" t="n">
        <f aca="false">IF(AND(Projects!$G$30="Yes",CJ$3&gt;=Projects!$C$30,CJ$3&lt;Projects!$C$30+Projects!$D$30),Projects!$B$30*INDEX(Curves!$B$4:$AR$4,1,CJ$3-Projects!$C$30+1),0)-IF(AND(Projects!$G$30="Yes",CJ$3&gt;=Projects!$C$30,CJ$3&lt;Projects!$C$30+Projects!$D$30),Projects!$B$30*(Assumptions!$B$10+Assumptions!$B$11+Assumptions!$B$12)/Projects!$D$30*0.95,0)-IF(AND(Projects!$G$30="Yes",CJ$3=Projects!$C$30+Projects!$D$30-1),Projects!$B$30*(Assumptions!$B$10+Assumptions!$B$11+Assumptions!$B$12)*0.05,0)</f>
        <v>0</v>
      </c>
      <c r="CK39" s="19" t="n">
        <f aca="false">IF(AND(Projects!$G$30="Yes",CK$3&gt;=Projects!$C$30,CK$3&lt;Projects!$C$30+Projects!$D$30),Projects!$B$30*INDEX(Curves!$B$4:$AR$4,1,CK$3-Projects!$C$30+1),0)-IF(AND(Projects!$G$30="Yes",CK$3&gt;=Projects!$C$30,CK$3&lt;Projects!$C$30+Projects!$D$30),Projects!$B$30*(Assumptions!$B$10+Assumptions!$B$11+Assumptions!$B$12)/Projects!$D$30*0.95,0)-IF(AND(Projects!$G$30="Yes",CK$3=Projects!$C$30+Projects!$D$30-1),Projects!$B$30*(Assumptions!$B$10+Assumptions!$B$11+Assumptions!$B$12)*0.05,0)</f>
        <v>0</v>
      </c>
      <c r="CL39" s="19" t="n">
        <f aca="false">IF(AND(Projects!$G$30="Yes",CL$3&gt;=Projects!$C$30,CL$3&lt;Projects!$C$30+Projects!$D$30),Projects!$B$30*INDEX(Curves!$B$4:$AR$4,1,CL$3-Projects!$C$30+1),0)-IF(AND(Projects!$G$30="Yes",CL$3&gt;=Projects!$C$30,CL$3&lt;Projects!$C$30+Projects!$D$30),Projects!$B$30*(Assumptions!$B$10+Assumptions!$B$11+Assumptions!$B$12)/Projects!$D$30*0.95,0)-IF(AND(Projects!$G$30="Yes",CL$3=Projects!$C$30+Projects!$D$30-1),Projects!$B$30*(Assumptions!$B$10+Assumptions!$B$11+Assumptions!$B$12)*0.05,0)</f>
        <v>0</v>
      </c>
      <c r="CM39" s="19" t="n">
        <f aca="false">IF(AND(Projects!$G$30="Yes",CM$3&gt;=Projects!$C$30,CM$3&lt;Projects!$C$30+Projects!$D$30),Projects!$B$30*INDEX(Curves!$B$4:$AR$4,1,CM$3-Projects!$C$30+1),0)-IF(AND(Projects!$G$30="Yes",CM$3&gt;=Projects!$C$30,CM$3&lt;Projects!$C$30+Projects!$D$30),Projects!$B$30*(Assumptions!$B$10+Assumptions!$B$11+Assumptions!$B$12)/Projects!$D$30*0.95,0)-IF(AND(Projects!$G$30="Yes",CM$3=Projects!$C$30+Projects!$D$30-1),Projects!$B$30*(Assumptions!$B$10+Assumptions!$B$11+Assumptions!$B$12)*0.05,0)</f>
        <v>0</v>
      </c>
      <c r="CN39" s="19" t="n">
        <f aca="false">IF(AND(Projects!$G$30="Yes",CN$3&gt;=Projects!$C$30,CN$3&lt;Projects!$C$30+Projects!$D$30),Projects!$B$30*INDEX(Curves!$B$4:$AR$4,1,CN$3-Projects!$C$30+1),0)-IF(AND(Projects!$G$30="Yes",CN$3&gt;=Projects!$C$30,CN$3&lt;Projects!$C$30+Projects!$D$30),Projects!$B$30*(Assumptions!$B$10+Assumptions!$B$11+Assumptions!$B$12)/Projects!$D$30*0.95,0)-IF(AND(Projects!$G$30="Yes",CN$3=Projects!$C$30+Projects!$D$30-1),Projects!$B$30*(Assumptions!$B$10+Assumptions!$B$11+Assumptions!$B$12)*0.05,0)</f>
        <v>0</v>
      </c>
      <c r="CO39" s="19" t="n">
        <f aca="false">IF(AND(Projects!$G$30="Yes",CO$3&gt;=Projects!$C$30,CO$3&lt;Projects!$C$30+Projects!$D$30),Projects!$B$30*INDEX(Curves!$B$4:$AR$4,1,CO$3-Projects!$C$30+1),0)-IF(AND(Projects!$G$30="Yes",CO$3&gt;=Projects!$C$30,CO$3&lt;Projects!$C$30+Projects!$D$30),Projects!$B$30*(Assumptions!$B$10+Assumptions!$B$11+Assumptions!$B$12)/Projects!$D$30*0.95,0)-IF(AND(Projects!$G$30="Yes",CO$3=Projects!$C$30+Projects!$D$30-1),Projects!$B$30*(Assumptions!$B$10+Assumptions!$B$11+Assumptions!$B$12)*0.05,0)</f>
        <v>0</v>
      </c>
      <c r="CP39" s="19" t="n">
        <f aca="false">IF(AND(Projects!$G$30="Yes",CP$3&gt;=Projects!$C$30,CP$3&lt;Projects!$C$30+Projects!$D$30),Projects!$B$30*INDEX(Curves!$B$4:$AR$4,1,CP$3-Projects!$C$30+1),0)-IF(AND(Projects!$G$30="Yes",CP$3&gt;=Projects!$C$30,CP$3&lt;Projects!$C$30+Projects!$D$30),Projects!$B$30*(Assumptions!$B$10+Assumptions!$B$11+Assumptions!$B$12)/Projects!$D$30*0.95,0)-IF(AND(Projects!$G$30="Yes",CP$3=Projects!$C$30+Projects!$D$30-1),Projects!$B$30*(Assumptions!$B$10+Assumptions!$B$11+Assumptions!$B$12)*0.05,0)</f>
        <v>0</v>
      </c>
      <c r="CQ39" s="19" t="n">
        <f aca="false">IF(AND(Projects!$G$30="Yes",CQ$3&gt;=Projects!$C$30,CQ$3&lt;Projects!$C$30+Projects!$D$30),Projects!$B$30*INDEX(Curves!$B$4:$AR$4,1,CQ$3-Projects!$C$30+1),0)-IF(AND(Projects!$G$30="Yes",CQ$3&gt;=Projects!$C$30,CQ$3&lt;Projects!$C$30+Projects!$D$30),Projects!$B$30*(Assumptions!$B$10+Assumptions!$B$11+Assumptions!$B$12)/Projects!$D$30*0.95,0)-IF(AND(Projects!$G$30="Yes",CQ$3=Projects!$C$30+Projects!$D$30-1),Projects!$B$30*(Assumptions!$B$10+Assumptions!$B$11+Assumptions!$B$12)*0.05,0)</f>
        <v>0</v>
      </c>
      <c r="CR39" s="19" t="n">
        <f aca="false">IF(AND(Projects!$G$30="Yes",CR$3&gt;=Projects!$C$30,CR$3&lt;Projects!$C$30+Projects!$D$30),Projects!$B$30*INDEX(Curves!$B$4:$AR$4,1,CR$3-Projects!$C$30+1),0)-IF(AND(Projects!$G$30="Yes",CR$3&gt;=Projects!$C$30,CR$3&lt;Projects!$C$30+Projects!$D$30),Projects!$B$30*(Assumptions!$B$10+Assumptions!$B$11+Assumptions!$B$12)/Projects!$D$30*0.95,0)-IF(AND(Projects!$G$30="Yes",CR$3=Projects!$C$30+Projects!$D$30-1),Projects!$B$30*(Assumptions!$B$10+Assumptions!$B$11+Assumptions!$B$12)*0.05,0)</f>
        <v>0</v>
      </c>
      <c r="CS39" s="19" t="n">
        <f aca="false">IF(AND(Projects!$G$30="Yes",CS$3&gt;=Projects!$C$30,CS$3&lt;Projects!$C$30+Projects!$D$30),Projects!$B$30*INDEX(Curves!$B$4:$AR$4,1,CS$3-Projects!$C$30+1),0)-IF(AND(Projects!$G$30="Yes",CS$3&gt;=Projects!$C$30,CS$3&lt;Projects!$C$30+Projects!$D$30),Projects!$B$30*(Assumptions!$B$10+Assumptions!$B$11+Assumptions!$B$12)/Projects!$D$30*0.95,0)-IF(AND(Projects!$G$30="Yes",CS$3=Projects!$C$30+Projects!$D$30-1),Projects!$B$30*(Assumptions!$B$10+Assumptions!$B$11+Assumptions!$B$12)*0.05,0)</f>
        <v>0</v>
      </c>
      <c r="CT39" s="19" t="n">
        <f aca="false">IF(AND(Projects!$G$30="Yes",CT$3&gt;=Projects!$C$30,CT$3&lt;Projects!$C$30+Projects!$D$30),Projects!$B$30*INDEX(Curves!$B$4:$AR$4,1,CT$3-Projects!$C$30+1),0)-IF(AND(Projects!$G$30="Yes",CT$3&gt;=Projects!$C$30,CT$3&lt;Projects!$C$30+Projects!$D$30),Projects!$B$30*(Assumptions!$B$10+Assumptions!$B$11+Assumptions!$B$12)/Projects!$D$30*0.95,0)-IF(AND(Projects!$G$30="Yes",CT$3=Projects!$C$30+Projects!$D$30-1),Projects!$B$30*(Assumptions!$B$10+Assumptions!$B$11+Assumptions!$B$12)*0.05,0)</f>
        <v>0</v>
      </c>
      <c r="CU39" s="19" t="n">
        <f aca="false">IF(AND(Projects!$G$30="Yes",CU$3&gt;=Projects!$C$30,CU$3&lt;Projects!$C$30+Projects!$D$30),Projects!$B$30*INDEX(Curves!$B$4:$AR$4,1,CU$3-Projects!$C$30+1),0)-IF(AND(Projects!$G$30="Yes",CU$3&gt;=Projects!$C$30,CU$3&lt;Projects!$C$30+Projects!$D$30),Projects!$B$30*(Assumptions!$B$10+Assumptions!$B$11+Assumptions!$B$12)/Projects!$D$30*0.95,0)-IF(AND(Projects!$G$30="Yes",CU$3=Projects!$C$30+Projects!$D$30-1),Projects!$B$30*(Assumptions!$B$10+Assumptions!$B$11+Assumptions!$B$12)*0.05,0)</f>
        <v>0</v>
      </c>
      <c r="CV39" s="19" t="n">
        <f aca="false">IF(AND(Projects!$G$30="Yes",CV$3&gt;=Projects!$C$30,CV$3&lt;Projects!$C$30+Projects!$D$30),Projects!$B$30*INDEX(Curves!$B$4:$AR$4,1,CV$3-Projects!$C$30+1),0)-IF(AND(Projects!$G$30="Yes",CV$3&gt;=Projects!$C$30,CV$3&lt;Projects!$C$30+Projects!$D$30),Projects!$B$30*(Assumptions!$B$10+Assumptions!$B$11+Assumptions!$B$12)/Projects!$D$30*0.95,0)-IF(AND(Projects!$G$30="Yes",CV$3=Projects!$C$30+Projects!$D$30-1),Projects!$B$30*(Assumptions!$B$10+Assumptions!$B$11+Assumptions!$B$12)*0.05,0)</f>
        <v>0</v>
      </c>
      <c r="CW39" s="19" t="n">
        <f aca="false">IF(AND(Projects!$G$30="Yes",CW$3&gt;=Projects!$C$30,CW$3&lt;Projects!$C$30+Projects!$D$30),Projects!$B$30*INDEX(Curves!$B$4:$AR$4,1,CW$3-Projects!$C$30+1),0)-IF(AND(Projects!$G$30="Yes",CW$3&gt;=Projects!$C$30,CW$3&lt;Projects!$C$30+Projects!$D$30),Projects!$B$30*(Assumptions!$B$10+Assumptions!$B$11+Assumptions!$B$12)/Projects!$D$30*0.95,0)-IF(AND(Projects!$G$30="Yes",CW$3=Projects!$C$30+Projects!$D$30-1),Projects!$B$30*(Assumptions!$B$10+Assumptions!$B$11+Assumptions!$B$12)*0.05,0)</f>
        <v>0</v>
      </c>
      <c r="CX39" s="19" t="n">
        <f aca="false">IF(AND(Projects!$G$30="Yes",CX$3&gt;=Projects!$C$30,CX$3&lt;Projects!$C$30+Projects!$D$30),Projects!$B$30*INDEX(Curves!$B$4:$AR$4,1,CX$3-Projects!$C$30+1),0)-IF(AND(Projects!$G$30="Yes",CX$3&gt;=Projects!$C$30,CX$3&lt;Projects!$C$30+Projects!$D$30),Projects!$B$30*(Assumptions!$B$10+Assumptions!$B$11+Assumptions!$B$12)/Projects!$D$30*0.95,0)-IF(AND(Projects!$G$30="Yes",CX$3=Projects!$C$30+Projects!$D$30-1),Projects!$B$30*(Assumptions!$B$10+Assumptions!$B$11+Assumptions!$B$12)*0.05,0)</f>
        <v>0</v>
      </c>
      <c r="CY39" s="19" t="n">
        <f aca="false">IF(AND(Projects!$G$30="Yes",CY$3&gt;=Projects!$C$30,CY$3&lt;Projects!$C$30+Projects!$D$30),Projects!$B$30*INDEX(Curves!$B$4:$AR$4,1,CY$3-Projects!$C$30+1),0)-IF(AND(Projects!$G$30="Yes",CY$3&gt;=Projects!$C$30,CY$3&lt;Projects!$C$30+Projects!$D$30),Projects!$B$30*(Assumptions!$B$10+Assumptions!$B$11+Assumptions!$B$12)/Projects!$D$30*0.95,0)-IF(AND(Projects!$G$30="Yes",CY$3=Projects!$C$30+Projects!$D$30-1),Projects!$B$30*(Assumptions!$B$10+Assumptions!$B$11+Assumptions!$B$12)*0.05,0)</f>
        <v>0</v>
      </c>
      <c r="CZ39" s="19" t="n">
        <f aca="false">IF(AND(Projects!$G$30="Yes",CZ$3&gt;=Projects!$C$30,CZ$3&lt;Projects!$C$30+Projects!$D$30),Projects!$B$30*INDEX(Curves!$B$4:$AR$4,1,CZ$3-Projects!$C$30+1),0)-IF(AND(Projects!$G$30="Yes",CZ$3&gt;=Projects!$C$30,CZ$3&lt;Projects!$C$30+Projects!$D$30),Projects!$B$30*(Assumptions!$B$10+Assumptions!$B$11+Assumptions!$B$12)/Projects!$D$30*0.95,0)-IF(AND(Projects!$G$30="Yes",CZ$3=Projects!$C$30+Projects!$D$30-1),Projects!$B$30*(Assumptions!$B$10+Assumptions!$B$11+Assumptions!$B$12)*0.05,0)</f>
        <v>0</v>
      </c>
      <c r="DA39" s="19" t="n">
        <f aca="false">IF(AND(Projects!$G$30="Yes",DA$3&gt;=Projects!$C$30,DA$3&lt;Projects!$C$30+Projects!$D$30),Projects!$B$30*INDEX(Curves!$B$4:$AR$4,1,DA$3-Projects!$C$30+1),0)-IF(AND(Projects!$G$30="Yes",DA$3&gt;=Projects!$C$30,DA$3&lt;Projects!$C$30+Projects!$D$30),Projects!$B$30*(Assumptions!$B$10+Assumptions!$B$11+Assumptions!$B$12)/Projects!$D$30*0.95,0)-IF(AND(Projects!$G$30="Yes",DA$3=Projects!$C$30+Projects!$D$30-1),Projects!$B$30*(Assumptions!$B$10+Assumptions!$B$11+Assumptions!$B$12)*0.05,0)</f>
        <v>0</v>
      </c>
      <c r="DB39" s="19" t="n">
        <f aca="false">IF(AND(Projects!$G$30="Yes",DB$3&gt;=Projects!$C$30,DB$3&lt;Projects!$C$30+Projects!$D$30),Projects!$B$30*INDEX(Curves!$B$4:$AR$4,1,DB$3-Projects!$C$30+1),0)-IF(AND(Projects!$G$30="Yes",DB$3&gt;=Projects!$C$30,DB$3&lt;Projects!$C$30+Projects!$D$30),Projects!$B$30*(Assumptions!$B$10+Assumptions!$B$11+Assumptions!$B$12)/Projects!$D$30*0.95,0)-IF(AND(Projects!$G$30="Yes",DB$3=Projects!$C$30+Projects!$D$30-1),Projects!$B$30*(Assumptions!$B$10+Assumptions!$B$11+Assumptions!$B$12)*0.05,0)</f>
        <v>0</v>
      </c>
      <c r="DC39" s="19" t="n">
        <f aca="false">IF(AND(Projects!$G$30="Yes",DC$3&gt;=Projects!$C$30,DC$3&lt;Projects!$C$30+Projects!$D$30),Projects!$B$30*INDEX(Curves!$B$4:$AR$4,1,DC$3-Projects!$C$30+1),0)-IF(AND(Projects!$G$30="Yes",DC$3&gt;=Projects!$C$30,DC$3&lt;Projects!$C$30+Projects!$D$30),Projects!$B$30*(Assumptions!$B$10+Assumptions!$B$11+Assumptions!$B$12)/Projects!$D$30*0.95,0)-IF(AND(Projects!$G$30="Yes",DC$3=Projects!$C$30+Projects!$D$30-1),Projects!$B$30*(Assumptions!$B$10+Assumptions!$B$11+Assumptions!$B$12)*0.05,0)</f>
        <v>0</v>
      </c>
      <c r="DD39" s="19" t="n">
        <f aca="false">IF(AND(Projects!$G$30="Yes",DD$3&gt;=Projects!$C$30,DD$3&lt;Projects!$C$30+Projects!$D$30),Projects!$B$30*INDEX(Curves!$B$4:$AR$4,1,DD$3-Projects!$C$30+1),0)-IF(AND(Projects!$G$30="Yes",DD$3&gt;=Projects!$C$30,DD$3&lt;Projects!$C$30+Projects!$D$30),Projects!$B$30*(Assumptions!$B$10+Assumptions!$B$11+Assumptions!$B$12)/Projects!$D$30*0.95,0)-IF(AND(Projects!$G$30="Yes",DD$3=Projects!$C$30+Projects!$D$30-1),Projects!$B$30*(Assumptions!$B$10+Assumptions!$B$11+Assumptions!$B$12)*0.05,0)</f>
        <v>0</v>
      </c>
      <c r="DE39" s="19" t="n">
        <f aca="false">IF(AND(Projects!$G$30="Yes",DE$3&gt;=Projects!$C$30,DE$3&lt;Projects!$C$30+Projects!$D$30),Projects!$B$30*INDEX(Curves!$B$4:$AR$4,1,DE$3-Projects!$C$30+1),0)-IF(AND(Projects!$G$30="Yes",DE$3&gt;=Projects!$C$30,DE$3&lt;Projects!$C$30+Projects!$D$30),Projects!$B$30*(Assumptions!$B$10+Assumptions!$B$11+Assumptions!$B$12)/Projects!$D$30*0.95,0)-IF(AND(Projects!$G$30="Yes",DE$3=Projects!$C$30+Projects!$D$30-1),Projects!$B$30*(Assumptions!$B$10+Assumptions!$B$11+Assumptions!$B$12)*0.05,0)</f>
        <v>0</v>
      </c>
    </row>
    <row r="40" customFormat="false" ht="15" hidden="true" customHeight="true" outlineLevel="1" collapsed="false">
      <c r="A40" s="28" t="s">
        <v>34</v>
      </c>
      <c r="B40" s="19" t="n">
        <v>0</v>
      </c>
      <c r="C40" s="19" t="n">
        <v>0</v>
      </c>
      <c r="D40" s="19" t="n">
        <v>0</v>
      </c>
      <c r="E40" s="19" t="n">
        <v>0</v>
      </c>
      <c r="F40" s="19" t="n">
        <f aca="false">IF(AND(Projects!$G$31="Yes",F$3&gt;=Projects!$C$31,F$3&lt;Projects!$C$31+Projects!$D$31),Projects!$B$31*INDEX(Curves!$B$4:$AR$4,1,F$3-Projects!$C$31+1),0)-IF(AND(Projects!$G$31="Yes",F$3&gt;=Projects!$C$31,F$3&lt;Projects!$C$31+Projects!$D$31),Projects!$B$31*(Assumptions!$B$10+Assumptions!$B$11+Assumptions!$B$12)/Projects!$D$31*0.95,0)-IF(AND(Projects!$G$31="Yes",F$3=Projects!$C$31+Projects!$D$31-1),Projects!$B$31*(Assumptions!$B$10+Assumptions!$B$11+Assumptions!$B$12)*0.05,0)</f>
        <v>0</v>
      </c>
      <c r="G40" s="19" t="n">
        <f aca="false">IF(AND(Projects!$G$31="Yes",G$3&gt;=Projects!$C$31,G$3&lt;Projects!$C$31+Projects!$D$31),Projects!$B$31*INDEX(Curves!$B$4:$AR$4,1,G$3-Projects!$C$31+1),0)-IF(AND(Projects!$G$31="Yes",G$3&gt;=Projects!$C$31,G$3&lt;Projects!$C$31+Projects!$D$31),Projects!$B$31*(Assumptions!$B$10+Assumptions!$B$11+Assumptions!$B$12)/Projects!$D$31*0.95,0)-IF(AND(Projects!$G$31="Yes",G$3=Projects!$C$31+Projects!$D$31-1),Projects!$B$31*(Assumptions!$B$10+Assumptions!$B$11+Assumptions!$B$12)*0.05,0)</f>
        <v>0</v>
      </c>
      <c r="H40" s="19" t="n">
        <f aca="false">IF(AND(Projects!$G$31="Yes",H$3&gt;=Projects!$C$31,H$3&lt;Projects!$C$31+Projects!$D$31),Projects!$B$31*INDEX(Curves!$B$4:$AR$4,1,H$3-Projects!$C$31+1),0)-IF(AND(Projects!$G$31="Yes",H$3&gt;=Projects!$C$31,H$3&lt;Projects!$C$31+Projects!$D$31),Projects!$B$31*(Assumptions!$B$10+Assumptions!$B$11+Assumptions!$B$12)/Projects!$D$31*0.95,0)-IF(AND(Projects!$G$31="Yes",H$3=Projects!$C$31+Projects!$D$31-1),Projects!$B$31*(Assumptions!$B$10+Assumptions!$B$11+Assumptions!$B$12)*0.05,0)</f>
        <v>0</v>
      </c>
      <c r="I40" s="19" t="n">
        <f aca="false">IF(AND(Projects!$G$31="Yes",I$3&gt;=Projects!$C$31,I$3&lt;Projects!$C$31+Projects!$D$31),Projects!$B$31*INDEX(Curves!$B$4:$AR$4,1,I$3-Projects!$C$31+1),0)-IF(AND(Projects!$G$31="Yes",I$3&gt;=Projects!$C$31,I$3&lt;Projects!$C$31+Projects!$D$31),Projects!$B$31*(Assumptions!$B$10+Assumptions!$B$11+Assumptions!$B$12)/Projects!$D$31*0.95,0)-IF(AND(Projects!$G$31="Yes",I$3=Projects!$C$31+Projects!$D$31-1),Projects!$B$31*(Assumptions!$B$10+Assumptions!$B$11+Assumptions!$B$12)*0.05,0)</f>
        <v>0</v>
      </c>
      <c r="J40" s="19" t="n">
        <f aca="false">IF(AND(Projects!$G$31="Yes",J$3&gt;=Projects!$C$31,J$3&lt;Projects!$C$31+Projects!$D$31),Projects!$B$31*INDEX(Curves!$B$4:$AR$4,1,J$3-Projects!$C$31+1),0)-IF(AND(Projects!$G$31="Yes",J$3&gt;=Projects!$C$31,J$3&lt;Projects!$C$31+Projects!$D$31),Projects!$B$31*(Assumptions!$B$10+Assumptions!$B$11+Assumptions!$B$12)/Projects!$D$31*0.95,0)-IF(AND(Projects!$G$31="Yes",J$3=Projects!$C$31+Projects!$D$31-1),Projects!$B$31*(Assumptions!$B$10+Assumptions!$B$11+Assumptions!$B$12)*0.05,0)</f>
        <v>0</v>
      </c>
      <c r="K40" s="19" t="n">
        <f aca="false">IF(AND(Projects!$G$31="Yes",K$3&gt;=Projects!$C$31,K$3&lt;Projects!$C$31+Projects!$D$31),Projects!$B$31*INDEX(Curves!$B$4:$AR$4,1,K$3-Projects!$C$31+1),0)-IF(AND(Projects!$G$31="Yes",K$3&gt;=Projects!$C$31,K$3&lt;Projects!$C$31+Projects!$D$31),Projects!$B$31*(Assumptions!$B$10+Assumptions!$B$11+Assumptions!$B$12)/Projects!$D$31*0.95,0)-IF(AND(Projects!$G$31="Yes",K$3=Projects!$C$31+Projects!$D$31-1),Projects!$B$31*(Assumptions!$B$10+Assumptions!$B$11+Assumptions!$B$12)*0.05,0)</f>
        <v>0</v>
      </c>
      <c r="L40" s="19" t="n">
        <f aca="false">IF(AND(Projects!$G$31="Yes",L$3&gt;=Projects!$C$31,L$3&lt;Projects!$C$31+Projects!$D$31),Projects!$B$31*INDEX(Curves!$B$4:$AR$4,1,L$3-Projects!$C$31+1),0)-IF(AND(Projects!$G$31="Yes",L$3&gt;=Projects!$C$31,L$3&lt;Projects!$C$31+Projects!$D$31),Projects!$B$31*(Assumptions!$B$10+Assumptions!$B$11+Assumptions!$B$12)/Projects!$D$31*0.95,0)-IF(AND(Projects!$G$31="Yes",L$3=Projects!$C$31+Projects!$D$31-1),Projects!$B$31*(Assumptions!$B$10+Assumptions!$B$11+Assumptions!$B$12)*0.05,0)</f>
        <v>0</v>
      </c>
      <c r="M40" s="19" t="n">
        <f aca="false">IF(AND(Projects!$G$31="Yes",M$3&gt;=Projects!$C$31,M$3&lt;Projects!$C$31+Projects!$D$31),Projects!$B$31*INDEX(Curves!$B$4:$AR$4,1,M$3-Projects!$C$31+1),0)-IF(AND(Projects!$G$31="Yes",M$3&gt;=Projects!$C$31,M$3&lt;Projects!$C$31+Projects!$D$31),Projects!$B$31*(Assumptions!$B$10+Assumptions!$B$11+Assumptions!$B$12)/Projects!$D$31*0.95,0)-IF(AND(Projects!$G$31="Yes",M$3=Projects!$C$31+Projects!$D$31-1),Projects!$B$31*(Assumptions!$B$10+Assumptions!$B$11+Assumptions!$B$12)*0.05,0)</f>
        <v>0</v>
      </c>
      <c r="N40" s="19" t="n">
        <f aca="false">IF(AND(Projects!$G$31="Yes",N$3&gt;=Projects!$C$31,N$3&lt;Projects!$C$31+Projects!$D$31),Projects!$B$31*INDEX(Curves!$B$4:$AR$4,1,N$3-Projects!$C$31+1),0)-IF(AND(Projects!$G$31="Yes",N$3&gt;=Projects!$C$31,N$3&lt;Projects!$C$31+Projects!$D$31),Projects!$B$31*(Assumptions!$B$10+Assumptions!$B$11+Assumptions!$B$12)/Projects!$D$31*0.95,0)-IF(AND(Projects!$G$31="Yes",N$3=Projects!$C$31+Projects!$D$31-1),Projects!$B$31*(Assumptions!$B$10+Assumptions!$B$11+Assumptions!$B$12)*0.05,0)</f>
        <v>0</v>
      </c>
      <c r="O40" s="19" t="n">
        <f aca="false">IF(AND(Projects!$G$31="Yes",O$3&gt;=Projects!$C$31,O$3&lt;Projects!$C$31+Projects!$D$31),Projects!$B$31*INDEX(Curves!$B$4:$AR$4,1,O$3-Projects!$C$31+1),0)-IF(AND(Projects!$G$31="Yes",O$3&gt;=Projects!$C$31,O$3&lt;Projects!$C$31+Projects!$D$31),Projects!$B$31*(Assumptions!$B$10+Assumptions!$B$11+Assumptions!$B$12)/Projects!$D$31*0.95,0)-IF(AND(Projects!$G$31="Yes",O$3=Projects!$C$31+Projects!$D$31-1),Projects!$B$31*(Assumptions!$B$10+Assumptions!$B$11+Assumptions!$B$12)*0.05,0)</f>
        <v>0</v>
      </c>
      <c r="P40" s="19" t="n">
        <f aca="false">IF(AND(Projects!$G$31="Yes",P$3&gt;=Projects!$C$31,P$3&lt;Projects!$C$31+Projects!$D$31),Projects!$B$31*INDEX(Curves!$B$4:$AR$4,1,P$3-Projects!$C$31+1),0)-IF(AND(Projects!$G$31="Yes",P$3&gt;=Projects!$C$31,P$3&lt;Projects!$C$31+Projects!$D$31),Projects!$B$31*(Assumptions!$B$10+Assumptions!$B$11+Assumptions!$B$12)/Projects!$D$31*0.95,0)-IF(AND(Projects!$G$31="Yes",P$3=Projects!$C$31+Projects!$D$31-1),Projects!$B$31*(Assumptions!$B$10+Assumptions!$B$11+Assumptions!$B$12)*0.05,0)</f>
        <v>0</v>
      </c>
      <c r="Q40" s="19" t="n">
        <f aca="false">IF(AND(Projects!$G$31="Yes",Q$3&gt;=Projects!$C$31,Q$3&lt;Projects!$C$31+Projects!$D$31),Projects!$B$31*INDEX(Curves!$B$4:$AR$4,1,Q$3-Projects!$C$31+1),0)-IF(AND(Projects!$G$31="Yes",Q$3&gt;=Projects!$C$31,Q$3&lt;Projects!$C$31+Projects!$D$31),Projects!$B$31*(Assumptions!$B$10+Assumptions!$B$11+Assumptions!$B$12)/Projects!$D$31*0.95,0)-IF(AND(Projects!$G$31="Yes",Q$3=Projects!$C$31+Projects!$D$31-1),Projects!$B$31*(Assumptions!$B$10+Assumptions!$B$11+Assumptions!$B$12)*0.05,0)</f>
        <v>0</v>
      </c>
      <c r="R40" s="19" t="n">
        <f aca="false">IF(AND(Projects!$G$31="Yes",R$3&gt;=Projects!$C$31,R$3&lt;Projects!$C$31+Projects!$D$31),Projects!$B$31*INDEX(Curves!$B$4:$AR$4,1,R$3-Projects!$C$31+1),0)-IF(AND(Projects!$G$31="Yes",R$3&gt;=Projects!$C$31,R$3&lt;Projects!$C$31+Projects!$D$31),Projects!$B$31*(Assumptions!$B$10+Assumptions!$B$11+Assumptions!$B$12)/Projects!$D$31*0.95,0)-IF(AND(Projects!$G$31="Yes",R$3=Projects!$C$31+Projects!$D$31-1),Projects!$B$31*(Assumptions!$B$10+Assumptions!$B$11+Assumptions!$B$12)*0.05,0)</f>
        <v>0</v>
      </c>
      <c r="S40" s="19" t="n">
        <f aca="false">IF(AND(Projects!$G$31="Yes",S$3&gt;=Projects!$C$31,S$3&lt;Projects!$C$31+Projects!$D$31),Projects!$B$31*INDEX(Curves!$B$4:$AR$4,1,S$3-Projects!$C$31+1),0)-IF(AND(Projects!$G$31="Yes",S$3&gt;=Projects!$C$31,S$3&lt;Projects!$C$31+Projects!$D$31),Projects!$B$31*(Assumptions!$B$10+Assumptions!$B$11+Assumptions!$B$12)/Projects!$D$31*0.95,0)-IF(AND(Projects!$G$31="Yes",S$3=Projects!$C$31+Projects!$D$31-1),Projects!$B$31*(Assumptions!$B$10+Assumptions!$B$11+Assumptions!$B$12)*0.05,0)</f>
        <v>0</v>
      </c>
      <c r="T40" s="19" t="n">
        <f aca="false">IF(AND(Projects!$G$31="Yes",T$3&gt;=Projects!$C$31,T$3&lt;Projects!$C$31+Projects!$D$31),Projects!$B$31*INDEX(Curves!$B$4:$AR$4,1,T$3-Projects!$C$31+1),0)-IF(AND(Projects!$G$31="Yes",T$3&gt;=Projects!$C$31,T$3&lt;Projects!$C$31+Projects!$D$31),Projects!$B$31*(Assumptions!$B$10+Assumptions!$B$11+Assumptions!$B$12)/Projects!$D$31*0.95,0)-IF(AND(Projects!$G$31="Yes",T$3=Projects!$C$31+Projects!$D$31-1),Projects!$B$31*(Assumptions!$B$10+Assumptions!$B$11+Assumptions!$B$12)*0.05,0)</f>
        <v>0</v>
      </c>
      <c r="U40" s="19" t="n">
        <f aca="false">IF(AND(Projects!$G$31="Yes",U$3&gt;=Projects!$C$31,U$3&lt;Projects!$C$31+Projects!$D$31),Projects!$B$31*INDEX(Curves!$B$4:$AR$4,1,U$3-Projects!$C$31+1),0)-IF(AND(Projects!$G$31="Yes",U$3&gt;=Projects!$C$31,U$3&lt;Projects!$C$31+Projects!$D$31),Projects!$B$31*(Assumptions!$B$10+Assumptions!$B$11+Assumptions!$B$12)/Projects!$D$31*0.95,0)-IF(AND(Projects!$G$31="Yes",U$3=Projects!$C$31+Projects!$D$31-1),Projects!$B$31*(Assumptions!$B$10+Assumptions!$B$11+Assumptions!$B$12)*0.05,0)</f>
        <v>0</v>
      </c>
      <c r="V40" s="19" t="n">
        <f aca="false">IF(AND(Projects!$G$31="Yes",V$3&gt;=Projects!$C$31,V$3&lt;Projects!$C$31+Projects!$D$31),Projects!$B$31*INDEX(Curves!$B$4:$AR$4,1,V$3-Projects!$C$31+1),0)-IF(AND(Projects!$G$31="Yes",V$3&gt;=Projects!$C$31,V$3&lt;Projects!$C$31+Projects!$D$31),Projects!$B$31*(Assumptions!$B$10+Assumptions!$B$11+Assumptions!$B$12)/Projects!$D$31*0.95,0)-IF(AND(Projects!$G$31="Yes",V$3=Projects!$C$31+Projects!$D$31-1),Projects!$B$31*(Assumptions!$B$10+Assumptions!$B$11+Assumptions!$B$12)*0.05,0)</f>
        <v>0</v>
      </c>
      <c r="W40" s="19" t="n">
        <f aca="false">IF(AND(Projects!$G$31="Yes",W$3&gt;=Projects!$C$31,W$3&lt;Projects!$C$31+Projects!$D$31),Projects!$B$31*INDEX(Curves!$B$4:$AR$4,1,W$3-Projects!$C$31+1),0)-IF(AND(Projects!$G$31="Yes",W$3&gt;=Projects!$C$31,W$3&lt;Projects!$C$31+Projects!$D$31),Projects!$B$31*(Assumptions!$B$10+Assumptions!$B$11+Assumptions!$B$12)/Projects!$D$31*0.95,0)-IF(AND(Projects!$G$31="Yes",W$3=Projects!$C$31+Projects!$D$31-1),Projects!$B$31*(Assumptions!$B$10+Assumptions!$B$11+Assumptions!$B$12)*0.05,0)</f>
        <v>0</v>
      </c>
      <c r="X40" s="19" t="n">
        <f aca="false">IF(AND(Projects!$G$31="Yes",X$3&gt;=Projects!$C$31,X$3&lt;Projects!$C$31+Projects!$D$31),Projects!$B$31*INDEX(Curves!$B$4:$AR$4,1,X$3-Projects!$C$31+1),0)-IF(AND(Projects!$G$31="Yes",X$3&gt;=Projects!$C$31,X$3&lt;Projects!$C$31+Projects!$D$31),Projects!$B$31*(Assumptions!$B$10+Assumptions!$B$11+Assumptions!$B$12)/Projects!$D$31*0.95,0)-IF(AND(Projects!$G$31="Yes",X$3=Projects!$C$31+Projects!$D$31-1),Projects!$B$31*(Assumptions!$B$10+Assumptions!$B$11+Assumptions!$B$12)*0.05,0)</f>
        <v>0</v>
      </c>
      <c r="Y40" s="19" t="n">
        <f aca="false">IF(AND(Projects!$G$31="Yes",Y$3&gt;=Projects!$C$31,Y$3&lt;Projects!$C$31+Projects!$D$31),Projects!$B$31*INDEX(Curves!$B$4:$AR$4,1,Y$3-Projects!$C$31+1),0)-IF(AND(Projects!$G$31="Yes",Y$3&gt;=Projects!$C$31,Y$3&lt;Projects!$C$31+Projects!$D$31),Projects!$B$31*(Assumptions!$B$10+Assumptions!$B$11+Assumptions!$B$12)/Projects!$D$31*0.95,0)-IF(AND(Projects!$G$31="Yes",Y$3=Projects!$C$31+Projects!$D$31-1),Projects!$B$31*(Assumptions!$B$10+Assumptions!$B$11+Assumptions!$B$12)*0.05,0)</f>
        <v>0</v>
      </c>
      <c r="Z40" s="19" t="n">
        <f aca="false">IF(AND(Projects!$G$31="Yes",Z$3&gt;=Projects!$C$31,Z$3&lt;Projects!$C$31+Projects!$D$31),Projects!$B$31*INDEX(Curves!$B$4:$AR$4,1,Z$3-Projects!$C$31+1),0)-IF(AND(Projects!$G$31="Yes",Z$3&gt;=Projects!$C$31,Z$3&lt;Projects!$C$31+Projects!$D$31),Projects!$B$31*(Assumptions!$B$10+Assumptions!$B$11+Assumptions!$B$12)/Projects!$D$31*0.95,0)-IF(AND(Projects!$G$31="Yes",Z$3=Projects!$C$31+Projects!$D$31-1),Projects!$B$31*(Assumptions!$B$10+Assumptions!$B$11+Assumptions!$B$12)*0.05,0)</f>
        <v>0</v>
      </c>
      <c r="AA40" s="19" t="n">
        <f aca="false">IF(AND(Projects!$G$31="Yes",AA$3&gt;=Projects!$C$31,AA$3&lt;Projects!$C$31+Projects!$D$31),Projects!$B$31*INDEX(Curves!$B$4:$AR$4,1,AA$3-Projects!$C$31+1),0)-IF(AND(Projects!$G$31="Yes",AA$3&gt;=Projects!$C$31,AA$3&lt;Projects!$C$31+Projects!$D$31),Projects!$B$31*(Assumptions!$B$10+Assumptions!$B$11+Assumptions!$B$12)/Projects!$D$31*0.95,0)-IF(AND(Projects!$G$31="Yes",AA$3=Projects!$C$31+Projects!$D$31-1),Projects!$B$31*(Assumptions!$B$10+Assumptions!$B$11+Assumptions!$B$12)*0.05,0)</f>
        <v>0</v>
      </c>
      <c r="AB40" s="19" t="n">
        <f aca="false">IF(AND(Projects!$G$31="Yes",AB$3&gt;=Projects!$C$31,AB$3&lt;Projects!$C$31+Projects!$D$31),Projects!$B$31*INDEX(Curves!$B$4:$AR$4,1,AB$3-Projects!$C$31+1),0)-IF(AND(Projects!$G$31="Yes",AB$3&gt;=Projects!$C$31,AB$3&lt;Projects!$C$31+Projects!$D$31),Projects!$B$31*(Assumptions!$B$10+Assumptions!$B$11+Assumptions!$B$12)/Projects!$D$31*0.95,0)-IF(AND(Projects!$G$31="Yes",AB$3=Projects!$C$31+Projects!$D$31-1),Projects!$B$31*(Assumptions!$B$10+Assumptions!$B$11+Assumptions!$B$12)*0.05,0)</f>
        <v>0</v>
      </c>
      <c r="AC40" s="19" t="n">
        <f aca="false">IF(AND(Projects!$G$31="Yes",AC$3&gt;=Projects!$C$31,AC$3&lt;Projects!$C$31+Projects!$D$31),Projects!$B$31*INDEX(Curves!$B$4:$AR$4,1,AC$3-Projects!$C$31+1),0)-IF(AND(Projects!$G$31="Yes",AC$3&gt;=Projects!$C$31,AC$3&lt;Projects!$C$31+Projects!$D$31),Projects!$B$31*(Assumptions!$B$10+Assumptions!$B$11+Assumptions!$B$12)/Projects!$D$31*0.95,0)-IF(AND(Projects!$G$31="Yes",AC$3=Projects!$C$31+Projects!$D$31-1),Projects!$B$31*(Assumptions!$B$10+Assumptions!$B$11+Assumptions!$B$12)*0.05,0)</f>
        <v>0</v>
      </c>
      <c r="AD40" s="19" t="n">
        <f aca="false">IF(AND(Projects!$G$31="Yes",AD$3&gt;=Projects!$C$31,AD$3&lt;Projects!$C$31+Projects!$D$31),Projects!$B$31*INDEX(Curves!$B$4:$AR$4,1,AD$3-Projects!$C$31+1),0)-IF(AND(Projects!$G$31="Yes",AD$3&gt;=Projects!$C$31,AD$3&lt;Projects!$C$31+Projects!$D$31),Projects!$B$31*(Assumptions!$B$10+Assumptions!$B$11+Assumptions!$B$12)/Projects!$D$31*0.95,0)-IF(AND(Projects!$G$31="Yes",AD$3=Projects!$C$31+Projects!$D$31-1),Projects!$B$31*(Assumptions!$B$10+Assumptions!$B$11+Assumptions!$B$12)*0.05,0)</f>
        <v>0</v>
      </c>
      <c r="AE40" s="19" t="n">
        <f aca="false">IF(AND(Projects!$G$31="Yes",AE$3&gt;=Projects!$C$31,AE$3&lt;Projects!$C$31+Projects!$D$31),Projects!$B$31*INDEX(Curves!$B$4:$AR$4,1,AE$3-Projects!$C$31+1),0)-IF(AND(Projects!$G$31="Yes",AE$3&gt;=Projects!$C$31,AE$3&lt;Projects!$C$31+Projects!$D$31),Projects!$B$31*(Assumptions!$B$10+Assumptions!$B$11+Assumptions!$B$12)/Projects!$D$31*0.95,0)-IF(AND(Projects!$G$31="Yes",AE$3=Projects!$C$31+Projects!$D$31-1),Projects!$B$31*(Assumptions!$B$10+Assumptions!$B$11+Assumptions!$B$12)*0.05,0)</f>
        <v>0</v>
      </c>
      <c r="AF40" s="19" t="n">
        <f aca="false">IF(AND(Projects!$G$31="Yes",AF$3&gt;=Projects!$C$31,AF$3&lt;Projects!$C$31+Projects!$D$31),Projects!$B$31*INDEX(Curves!$B$4:$AR$4,1,AF$3-Projects!$C$31+1),0)-IF(AND(Projects!$G$31="Yes",AF$3&gt;=Projects!$C$31,AF$3&lt;Projects!$C$31+Projects!$D$31),Projects!$B$31*(Assumptions!$B$10+Assumptions!$B$11+Assumptions!$B$12)/Projects!$D$31*0.95,0)-IF(AND(Projects!$G$31="Yes",AF$3=Projects!$C$31+Projects!$D$31-1),Projects!$B$31*(Assumptions!$B$10+Assumptions!$B$11+Assumptions!$B$12)*0.05,0)</f>
        <v>0</v>
      </c>
      <c r="AG40" s="19" t="n">
        <f aca="false">IF(AND(Projects!$G$31="Yes",AG$3&gt;=Projects!$C$31,AG$3&lt;Projects!$C$31+Projects!$D$31),Projects!$B$31*INDEX(Curves!$B$4:$AR$4,1,AG$3-Projects!$C$31+1),0)-IF(AND(Projects!$G$31="Yes",AG$3&gt;=Projects!$C$31,AG$3&lt;Projects!$C$31+Projects!$D$31),Projects!$B$31*(Assumptions!$B$10+Assumptions!$B$11+Assumptions!$B$12)/Projects!$D$31*0.95,0)-IF(AND(Projects!$G$31="Yes",AG$3=Projects!$C$31+Projects!$D$31-1),Projects!$B$31*(Assumptions!$B$10+Assumptions!$B$11+Assumptions!$B$12)*0.05,0)</f>
        <v>0</v>
      </c>
      <c r="AH40" s="19" t="n">
        <f aca="false">IF(AND(Projects!$G$31="Yes",AH$3&gt;=Projects!$C$31,AH$3&lt;Projects!$C$31+Projects!$D$31),Projects!$B$31*INDEX(Curves!$B$4:$AR$4,1,AH$3-Projects!$C$31+1),0)-IF(AND(Projects!$G$31="Yes",AH$3&gt;=Projects!$C$31,AH$3&lt;Projects!$C$31+Projects!$D$31),Projects!$B$31*(Assumptions!$B$10+Assumptions!$B$11+Assumptions!$B$12)/Projects!$D$31*0.95,0)-IF(AND(Projects!$G$31="Yes",AH$3=Projects!$C$31+Projects!$D$31-1),Projects!$B$31*(Assumptions!$B$10+Assumptions!$B$11+Assumptions!$B$12)*0.05,0)</f>
        <v>0</v>
      </c>
      <c r="AI40" s="19" t="n">
        <f aca="false">IF(AND(Projects!$G$31="Yes",AI$3&gt;=Projects!$C$31,AI$3&lt;Projects!$C$31+Projects!$D$31),Projects!$B$31*INDEX(Curves!$B$4:$AR$4,1,AI$3-Projects!$C$31+1),0)-IF(AND(Projects!$G$31="Yes",AI$3&gt;=Projects!$C$31,AI$3&lt;Projects!$C$31+Projects!$D$31),Projects!$B$31*(Assumptions!$B$10+Assumptions!$B$11+Assumptions!$B$12)/Projects!$D$31*0.95,0)-IF(AND(Projects!$G$31="Yes",AI$3=Projects!$C$31+Projects!$D$31-1),Projects!$B$31*(Assumptions!$B$10+Assumptions!$B$11+Assumptions!$B$12)*0.05,0)</f>
        <v>0</v>
      </c>
      <c r="AJ40" s="19" t="n">
        <f aca="false">IF(AND(Projects!$G$31="Yes",AJ$3&gt;=Projects!$C$31,AJ$3&lt;Projects!$C$31+Projects!$D$31),Projects!$B$31*INDEX(Curves!$B$4:$AR$4,1,AJ$3-Projects!$C$31+1),0)-IF(AND(Projects!$G$31="Yes",AJ$3&gt;=Projects!$C$31,AJ$3&lt;Projects!$C$31+Projects!$D$31),Projects!$B$31*(Assumptions!$B$10+Assumptions!$B$11+Assumptions!$B$12)/Projects!$D$31*0.95,0)-IF(AND(Projects!$G$31="Yes",AJ$3=Projects!$C$31+Projects!$D$31-1),Projects!$B$31*(Assumptions!$B$10+Assumptions!$B$11+Assumptions!$B$12)*0.05,0)</f>
        <v>0</v>
      </c>
      <c r="AK40" s="19" t="n">
        <f aca="false">IF(AND(Projects!$G$31="Yes",AK$3&gt;=Projects!$C$31,AK$3&lt;Projects!$C$31+Projects!$D$31),Projects!$B$31*INDEX(Curves!$B$4:$AR$4,1,AK$3-Projects!$C$31+1),0)-IF(AND(Projects!$G$31="Yes",AK$3&gt;=Projects!$C$31,AK$3&lt;Projects!$C$31+Projects!$D$31),Projects!$B$31*(Assumptions!$B$10+Assumptions!$B$11+Assumptions!$B$12)/Projects!$D$31*0.95,0)-IF(AND(Projects!$G$31="Yes",AK$3=Projects!$C$31+Projects!$D$31-1),Projects!$B$31*(Assumptions!$B$10+Assumptions!$B$11+Assumptions!$B$12)*0.05,0)</f>
        <v>0</v>
      </c>
      <c r="AL40" s="19" t="n">
        <f aca="false">IF(AND(Projects!$G$31="Yes",AL$3&gt;=Projects!$C$31,AL$3&lt;Projects!$C$31+Projects!$D$31),Projects!$B$31*INDEX(Curves!$B$4:$AR$4,1,AL$3-Projects!$C$31+1),0)-IF(AND(Projects!$G$31="Yes",AL$3&gt;=Projects!$C$31,AL$3&lt;Projects!$C$31+Projects!$D$31),Projects!$B$31*(Assumptions!$B$10+Assumptions!$B$11+Assumptions!$B$12)/Projects!$D$31*0.95,0)-IF(AND(Projects!$G$31="Yes",AL$3=Projects!$C$31+Projects!$D$31-1),Projects!$B$31*(Assumptions!$B$10+Assumptions!$B$11+Assumptions!$B$12)*0.05,0)</f>
        <v>0</v>
      </c>
      <c r="AM40" s="19" t="n">
        <f aca="false">IF(AND(Projects!$G$31="Yes",AM$3&gt;=Projects!$C$31,AM$3&lt;Projects!$C$31+Projects!$D$31),Projects!$B$31*INDEX(Curves!$B$4:$AR$4,1,AM$3-Projects!$C$31+1),0)-IF(AND(Projects!$G$31="Yes",AM$3&gt;=Projects!$C$31,AM$3&lt;Projects!$C$31+Projects!$D$31),Projects!$B$31*(Assumptions!$B$10+Assumptions!$B$11+Assumptions!$B$12)/Projects!$D$31*0.95,0)-IF(AND(Projects!$G$31="Yes",AM$3=Projects!$C$31+Projects!$D$31-1),Projects!$B$31*(Assumptions!$B$10+Assumptions!$B$11+Assumptions!$B$12)*0.05,0)</f>
        <v>368954.1</v>
      </c>
      <c r="AN40" s="19" t="n">
        <f aca="false">IF(AND(Projects!$G$31="Yes",AN$3&gt;=Projects!$C$31,AN$3&lt;Projects!$C$31+Projects!$D$31),Projects!$B$31*INDEX(Curves!$B$4:$AR$4,1,AN$3-Projects!$C$31+1),0)-IF(AND(Projects!$G$31="Yes",AN$3&gt;=Projects!$C$31,AN$3&lt;Projects!$C$31+Projects!$D$31),Projects!$B$31*(Assumptions!$B$10+Assumptions!$B$11+Assumptions!$B$12)/Projects!$D$31*0.95,0)-IF(AND(Projects!$G$31="Yes",AN$3=Projects!$C$31+Projects!$D$31-1),Projects!$B$31*(Assumptions!$B$10+Assumptions!$B$11+Assumptions!$B$12)*0.05,0)</f>
        <v>481346.1</v>
      </c>
      <c r="AO40" s="19" t="n">
        <f aca="false">IF(AND(Projects!$G$31="Yes",AO$3&gt;=Projects!$C$31,AO$3&lt;Projects!$C$31+Projects!$D$31),Projects!$B$31*INDEX(Curves!$B$4:$AR$4,1,AO$3-Projects!$C$31+1),0)-IF(AND(Projects!$G$31="Yes",AO$3&gt;=Projects!$C$31,AO$3&lt;Projects!$C$31+Projects!$D$31),Projects!$B$31*(Assumptions!$B$10+Assumptions!$B$11+Assumptions!$B$12)/Projects!$D$31*0.95,0)-IF(AND(Projects!$G$31="Yes",AO$3=Projects!$C$31+Projects!$D$31-1),Projects!$B$31*(Assumptions!$B$10+Assumptions!$B$11+Assumptions!$B$12)*0.05,0)</f>
        <v>602324.1</v>
      </c>
      <c r="AP40" s="19" t="n">
        <f aca="false">IF(AND(Projects!$G$31="Yes",AP$3&gt;=Projects!$C$31,AP$3&lt;Projects!$C$31+Projects!$D$31),Projects!$B$31*INDEX(Curves!$B$4:$AR$4,1,AP$3-Projects!$C$31+1),0)-IF(AND(Projects!$G$31="Yes",AP$3&gt;=Projects!$C$31,AP$3&lt;Projects!$C$31+Projects!$D$31),Projects!$B$31*(Assumptions!$B$10+Assumptions!$B$11+Assumptions!$B$12)/Projects!$D$31*0.95,0)-IF(AND(Projects!$G$31="Yes",AP$3=Projects!$C$31+Projects!$D$31-1),Projects!$B$31*(Assumptions!$B$10+Assumptions!$B$11+Assumptions!$B$12)*0.05,0)</f>
        <v>727064.1</v>
      </c>
      <c r="AQ40" s="19" t="n">
        <f aca="false">IF(AND(Projects!$G$31="Yes",AQ$3&gt;=Projects!$C$31,AQ$3&lt;Projects!$C$31+Projects!$D$31),Projects!$B$31*INDEX(Curves!$B$4:$AR$4,1,AQ$3-Projects!$C$31+1),0)-IF(AND(Projects!$G$31="Yes",AQ$3&gt;=Projects!$C$31,AQ$3&lt;Projects!$C$31+Projects!$D$31),Projects!$B$31*(Assumptions!$B$10+Assumptions!$B$11+Assumptions!$B$12)/Projects!$D$31*0.95,0)-IF(AND(Projects!$G$31="Yes",AQ$3=Projects!$C$31+Projects!$D$31-1),Projects!$B$31*(Assumptions!$B$10+Assumptions!$B$11+Assumptions!$B$12)*0.05,0)</f>
        <v>849572.1</v>
      </c>
      <c r="AR40" s="19" t="n">
        <f aca="false">IF(AND(Projects!$G$31="Yes",AR$3&gt;=Projects!$C$31,AR$3&lt;Projects!$C$31+Projects!$D$31),Projects!$B$31*INDEX(Curves!$B$4:$AR$4,1,AR$3-Projects!$C$31+1),0)-IF(AND(Projects!$G$31="Yes",AR$3&gt;=Projects!$C$31,AR$3&lt;Projects!$C$31+Projects!$D$31),Projects!$B$31*(Assumptions!$B$10+Assumptions!$B$11+Assumptions!$B$12)/Projects!$D$31*0.95,0)-IF(AND(Projects!$G$31="Yes",AR$3=Projects!$C$31+Projects!$D$31-1),Projects!$B$31*(Assumptions!$B$10+Assumptions!$B$11+Assumptions!$B$12)*0.05,0)</f>
        <v>963044.1</v>
      </c>
      <c r="AS40" s="19" t="n">
        <f aca="false">IF(AND(Projects!$G$31="Yes",AS$3&gt;=Projects!$C$31,AS$3&lt;Projects!$C$31+Projects!$D$31),Projects!$B$31*INDEX(Curves!$B$4:$AR$4,1,AS$3-Projects!$C$31+1),0)-IF(AND(Projects!$G$31="Yes",AS$3&gt;=Projects!$C$31,AS$3&lt;Projects!$C$31+Projects!$D$31),Projects!$B$31*(Assumptions!$B$10+Assumptions!$B$11+Assumptions!$B$12)/Projects!$D$31*0.95,0)-IF(AND(Projects!$G$31="Yes",AS$3=Projects!$C$31+Projects!$D$31-1),Projects!$B$31*(Assumptions!$B$10+Assumptions!$B$11+Assumptions!$B$12)*0.05,0)</f>
        <v>1060514.1</v>
      </c>
      <c r="AT40" s="19" t="n">
        <f aca="false">IF(AND(Projects!$G$31="Yes",AT$3&gt;=Projects!$C$31,AT$3&lt;Projects!$C$31+Projects!$D$31),Projects!$B$31*INDEX(Curves!$B$4:$AR$4,1,AT$3-Projects!$C$31+1),0)-IF(AND(Projects!$G$31="Yes",AT$3&gt;=Projects!$C$31,AT$3&lt;Projects!$C$31+Projects!$D$31),Projects!$B$31*(Assumptions!$B$10+Assumptions!$B$11+Assumptions!$B$12)/Projects!$D$31*0.95,0)-IF(AND(Projects!$G$31="Yes",AT$3=Projects!$C$31+Projects!$D$31-1),Projects!$B$31*(Assumptions!$B$10+Assumptions!$B$11+Assumptions!$B$12)*0.05,0)</f>
        <v>1135520.1</v>
      </c>
      <c r="AU40" s="19" t="n">
        <f aca="false">IF(AND(Projects!$G$31="Yes",AU$3&gt;=Projects!$C$31,AU$3&lt;Projects!$C$31+Projects!$D$31),Projects!$B$31*INDEX(Curves!$B$4:$AR$4,1,AU$3-Projects!$C$31+1),0)-IF(AND(Projects!$G$31="Yes",AU$3&gt;=Projects!$C$31,AU$3&lt;Projects!$C$31+Projects!$D$31),Projects!$B$31*(Assumptions!$B$10+Assumptions!$B$11+Assumptions!$B$12)/Projects!$D$31*0.95,0)-IF(AND(Projects!$G$31="Yes",AU$3=Projects!$C$31+Projects!$D$31-1),Projects!$B$31*(Assumptions!$B$10+Assumptions!$B$11+Assumptions!$B$12)*0.05,0)</f>
        <v>1182824.1</v>
      </c>
      <c r="AV40" s="19" t="n">
        <f aca="false">IF(AND(Projects!$G$31="Yes",AV$3&gt;=Projects!$C$31,AV$3&lt;Projects!$C$31+Projects!$D$31),Projects!$B$31*INDEX(Curves!$B$4:$AR$4,1,AV$3-Projects!$C$31+1),0)-IF(AND(Projects!$G$31="Yes",AV$3&gt;=Projects!$C$31,AV$3&lt;Projects!$C$31+Projects!$D$31),Projects!$B$31*(Assumptions!$B$10+Assumptions!$B$11+Assumptions!$B$12)/Projects!$D$31*0.95,0)-IF(AND(Projects!$G$31="Yes",AV$3=Projects!$C$31+Projects!$D$31-1),Projects!$B$31*(Assumptions!$B$10+Assumptions!$B$11+Assumptions!$B$12)*0.05,0)</f>
        <v>1198988.1</v>
      </c>
      <c r="AW40" s="19" t="n">
        <f aca="false">IF(AND(Projects!$G$31="Yes",AW$3&gt;=Projects!$C$31,AW$3&lt;Projects!$C$31+Projects!$D$31),Projects!$B$31*INDEX(Curves!$B$4:$AR$4,1,AW$3-Projects!$C$31+1),0)-IF(AND(Projects!$G$31="Yes",AW$3&gt;=Projects!$C$31,AW$3&lt;Projects!$C$31+Projects!$D$31),Projects!$B$31*(Assumptions!$B$10+Assumptions!$B$11+Assumptions!$B$12)/Projects!$D$31*0.95,0)-IF(AND(Projects!$G$31="Yes",AW$3=Projects!$C$31+Projects!$D$31-1),Projects!$B$31*(Assumptions!$B$10+Assumptions!$B$11+Assumptions!$B$12)*0.05,0)</f>
        <v>1182824.1</v>
      </c>
      <c r="AX40" s="19" t="n">
        <f aca="false">IF(AND(Projects!$G$31="Yes",AX$3&gt;=Projects!$C$31,AX$3&lt;Projects!$C$31+Projects!$D$31),Projects!$B$31*INDEX(Curves!$B$4:$AR$4,1,AX$3-Projects!$C$31+1),0)-IF(AND(Projects!$G$31="Yes",AX$3&gt;=Projects!$C$31,AX$3&lt;Projects!$C$31+Projects!$D$31),Projects!$B$31*(Assumptions!$B$10+Assumptions!$B$11+Assumptions!$B$12)/Projects!$D$31*0.95,0)-IF(AND(Projects!$G$31="Yes",AX$3=Projects!$C$31+Projects!$D$31-1),Projects!$B$31*(Assumptions!$B$10+Assumptions!$B$11+Assumptions!$B$12)*0.05,0)</f>
        <v>1135520.1</v>
      </c>
      <c r="AY40" s="19" t="n">
        <f aca="false">IF(AND(Projects!$G$31="Yes",AY$3&gt;=Projects!$C$31,AY$3&lt;Projects!$C$31+Projects!$D$31),Projects!$B$31*INDEX(Curves!$B$4:$AR$4,1,AY$3-Projects!$C$31+1),0)-IF(AND(Projects!$G$31="Yes",AY$3&gt;=Projects!$C$31,AY$3&lt;Projects!$C$31+Projects!$D$31),Projects!$B$31*(Assumptions!$B$10+Assumptions!$B$11+Assumptions!$B$12)/Projects!$D$31*0.95,0)-IF(AND(Projects!$G$31="Yes",AY$3=Projects!$C$31+Projects!$D$31-1),Projects!$B$31*(Assumptions!$B$10+Assumptions!$B$11+Assumptions!$B$12)*0.05,0)</f>
        <v>1060514.1</v>
      </c>
      <c r="AZ40" s="19" t="n">
        <f aca="false">IF(AND(Projects!$G$31="Yes",AZ$3&gt;=Projects!$C$31,AZ$3&lt;Projects!$C$31+Projects!$D$31),Projects!$B$31*INDEX(Curves!$B$4:$AR$4,1,AZ$3-Projects!$C$31+1),0)-IF(AND(Projects!$G$31="Yes",AZ$3&gt;=Projects!$C$31,AZ$3&lt;Projects!$C$31+Projects!$D$31),Projects!$B$31*(Assumptions!$B$10+Assumptions!$B$11+Assumptions!$B$12)/Projects!$D$31*0.95,0)-IF(AND(Projects!$G$31="Yes",AZ$3=Projects!$C$31+Projects!$D$31-1),Projects!$B$31*(Assumptions!$B$10+Assumptions!$B$11+Assumptions!$B$12)*0.05,0)</f>
        <v>963044.1</v>
      </c>
      <c r="BA40" s="19" t="n">
        <f aca="false">IF(AND(Projects!$G$31="Yes",BA$3&gt;=Projects!$C$31,BA$3&lt;Projects!$C$31+Projects!$D$31),Projects!$B$31*INDEX(Curves!$B$4:$AR$4,1,BA$3-Projects!$C$31+1),0)-IF(AND(Projects!$G$31="Yes",BA$3&gt;=Projects!$C$31,BA$3&lt;Projects!$C$31+Projects!$D$31),Projects!$B$31*(Assumptions!$B$10+Assumptions!$B$11+Assumptions!$B$12)/Projects!$D$31*0.95,0)-IF(AND(Projects!$G$31="Yes",BA$3=Projects!$C$31+Projects!$D$31-1),Projects!$B$31*(Assumptions!$B$10+Assumptions!$B$11+Assumptions!$B$12)*0.05,0)</f>
        <v>849572.1</v>
      </c>
      <c r="BB40" s="19" t="n">
        <f aca="false">IF(AND(Projects!$G$31="Yes",BB$3&gt;=Projects!$C$31,BB$3&lt;Projects!$C$31+Projects!$D$31),Projects!$B$31*INDEX(Curves!$B$4:$AR$4,1,BB$3-Projects!$C$31+1),0)-IF(AND(Projects!$G$31="Yes",BB$3&gt;=Projects!$C$31,BB$3&lt;Projects!$C$31+Projects!$D$31),Projects!$B$31*(Assumptions!$B$10+Assumptions!$B$11+Assumptions!$B$12)/Projects!$D$31*0.95,0)-IF(AND(Projects!$G$31="Yes",BB$3=Projects!$C$31+Projects!$D$31-1),Projects!$B$31*(Assumptions!$B$10+Assumptions!$B$11+Assumptions!$B$12)*0.05,0)</f>
        <v>727064.1</v>
      </c>
      <c r="BC40" s="19" t="n">
        <f aca="false">IF(AND(Projects!$G$31="Yes",BC$3&gt;=Projects!$C$31,BC$3&lt;Projects!$C$31+Projects!$D$31),Projects!$B$31*INDEX(Curves!$B$4:$AR$4,1,BC$3-Projects!$C$31+1),0)-IF(AND(Projects!$G$31="Yes",BC$3&gt;=Projects!$C$31,BC$3&lt;Projects!$C$31+Projects!$D$31),Projects!$B$31*(Assumptions!$B$10+Assumptions!$B$11+Assumptions!$B$12)/Projects!$D$31*0.95,0)-IF(AND(Projects!$G$31="Yes",BC$3=Projects!$C$31+Projects!$D$31-1),Projects!$B$31*(Assumptions!$B$10+Assumptions!$B$11+Assumptions!$B$12)*0.05,0)</f>
        <v>602324.1</v>
      </c>
      <c r="BD40" s="19" t="n">
        <f aca="false">IF(AND(Projects!$G$31="Yes",BD$3&gt;=Projects!$C$31,BD$3&lt;Projects!$C$31+Projects!$D$31),Projects!$B$31*INDEX(Curves!$B$4:$AR$4,1,BD$3-Projects!$C$31+1),0)-IF(AND(Projects!$G$31="Yes",BD$3&gt;=Projects!$C$31,BD$3&lt;Projects!$C$31+Projects!$D$31),Projects!$B$31*(Assumptions!$B$10+Assumptions!$B$11+Assumptions!$B$12)/Projects!$D$31*0.95,0)-IF(AND(Projects!$G$31="Yes",BD$3=Projects!$C$31+Projects!$D$31-1),Projects!$B$31*(Assumptions!$B$10+Assumptions!$B$11+Assumptions!$B$12)*0.05,0)</f>
        <v>481346.1</v>
      </c>
      <c r="BE40" s="19" t="n">
        <f aca="false">IF(AND(Projects!$G$31="Yes",BE$3&gt;=Projects!$C$31,BE$3&lt;Projects!$C$31+Projects!$D$31),Projects!$B$31*INDEX(Curves!$B$4:$AR$4,1,BE$3-Projects!$C$31+1),0)-IF(AND(Projects!$G$31="Yes",BE$3&gt;=Projects!$C$31,BE$3&lt;Projects!$C$31+Projects!$D$31),Projects!$B$31*(Assumptions!$B$10+Assumptions!$B$11+Assumptions!$B$12)/Projects!$D$31*0.95,0)-IF(AND(Projects!$G$31="Yes",BE$3=Projects!$C$31+Projects!$D$31-1),Projects!$B$31*(Assumptions!$B$10+Assumptions!$B$11+Assumptions!$B$12)*0.05,0)</f>
        <v>260602.2</v>
      </c>
      <c r="BF40" s="19" t="n">
        <f aca="false">IF(AND(Projects!$G$31="Yes",BF$3&gt;=Projects!$C$31,BF$3&lt;Projects!$C$31+Projects!$D$31),Projects!$B$31*INDEX(Curves!$B$4:$AR$4,1,BF$3-Projects!$C$31+1),0)-IF(AND(Projects!$G$31="Yes",BF$3&gt;=Projects!$C$31,BF$3&lt;Projects!$C$31+Projects!$D$31),Projects!$B$31*(Assumptions!$B$10+Assumptions!$B$11+Assumptions!$B$12)/Projects!$D$31*0.95,0)-IF(AND(Projects!$G$31="Yes",BF$3=Projects!$C$31+Projects!$D$31-1),Projects!$B$31*(Assumptions!$B$10+Assumptions!$B$11+Assumptions!$B$12)*0.05,0)</f>
        <v>0</v>
      </c>
      <c r="BG40" s="19" t="n">
        <f aca="false">IF(AND(Projects!$G$31="Yes",BG$3&gt;=Projects!$C$31,BG$3&lt;Projects!$C$31+Projects!$D$31),Projects!$B$31*INDEX(Curves!$B$4:$AR$4,1,BG$3-Projects!$C$31+1),0)-IF(AND(Projects!$G$31="Yes",BG$3&gt;=Projects!$C$31,BG$3&lt;Projects!$C$31+Projects!$D$31),Projects!$B$31*(Assumptions!$B$10+Assumptions!$B$11+Assumptions!$B$12)/Projects!$D$31*0.95,0)-IF(AND(Projects!$G$31="Yes",BG$3=Projects!$C$31+Projects!$D$31-1),Projects!$B$31*(Assumptions!$B$10+Assumptions!$B$11+Assumptions!$B$12)*0.05,0)</f>
        <v>0</v>
      </c>
      <c r="BH40" s="19" t="n">
        <f aca="false">IF(AND(Projects!$G$31="Yes",BH$3&gt;=Projects!$C$31,BH$3&lt;Projects!$C$31+Projects!$D$31),Projects!$B$31*INDEX(Curves!$B$4:$AR$4,1,BH$3-Projects!$C$31+1),0)-IF(AND(Projects!$G$31="Yes",BH$3&gt;=Projects!$C$31,BH$3&lt;Projects!$C$31+Projects!$D$31),Projects!$B$31*(Assumptions!$B$10+Assumptions!$B$11+Assumptions!$B$12)/Projects!$D$31*0.95,0)-IF(AND(Projects!$G$31="Yes",BH$3=Projects!$C$31+Projects!$D$31-1),Projects!$B$31*(Assumptions!$B$10+Assumptions!$B$11+Assumptions!$B$12)*0.05,0)</f>
        <v>0</v>
      </c>
      <c r="BI40" s="19" t="n">
        <f aca="false">IF(AND(Projects!$G$31="Yes",BI$3&gt;=Projects!$C$31,BI$3&lt;Projects!$C$31+Projects!$D$31),Projects!$B$31*INDEX(Curves!$B$4:$AR$4,1,BI$3-Projects!$C$31+1),0)-IF(AND(Projects!$G$31="Yes",BI$3&gt;=Projects!$C$31,BI$3&lt;Projects!$C$31+Projects!$D$31),Projects!$B$31*(Assumptions!$B$10+Assumptions!$B$11+Assumptions!$B$12)/Projects!$D$31*0.95,0)-IF(AND(Projects!$G$31="Yes",BI$3=Projects!$C$31+Projects!$D$31-1),Projects!$B$31*(Assumptions!$B$10+Assumptions!$B$11+Assumptions!$B$12)*0.05,0)</f>
        <v>0</v>
      </c>
      <c r="BJ40" s="19" t="n">
        <f aca="false">IF(AND(Projects!$G$31="Yes",BJ$3&gt;=Projects!$C$31,BJ$3&lt;Projects!$C$31+Projects!$D$31),Projects!$B$31*INDEX(Curves!$B$4:$AR$4,1,BJ$3-Projects!$C$31+1),0)-IF(AND(Projects!$G$31="Yes",BJ$3&gt;=Projects!$C$31,BJ$3&lt;Projects!$C$31+Projects!$D$31),Projects!$B$31*(Assumptions!$B$10+Assumptions!$B$11+Assumptions!$B$12)/Projects!$D$31*0.95,0)-IF(AND(Projects!$G$31="Yes",BJ$3=Projects!$C$31+Projects!$D$31-1),Projects!$B$31*(Assumptions!$B$10+Assumptions!$B$11+Assumptions!$B$12)*0.05,0)</f>
        <v>0</v>
      </c>
      <c r="BK40" s="19" t="n">
        <f aca="false">IF(AND(Projects!$G$31="Yes",BK$3&gt;=Projects!$C$31,BK$3&lt;Projects!$C$31+Projects!$D$31),Projects!$B$31*INDEX(Curves!$B$4:$AR$4,1,BK$3-Projects!$C$31+1),0)-IF(AND(Projects!$G$31="Yes",BK$3&gt;=Projects!$C$31,BK$3&lt;Projects!$C$31+Projects!$D$31),Projects!$B$31*(Assumptions!$B$10+Assumptions!$B$11+Assumptions!$B$12)/Projects!$D$31*0.95,0)-IF(AND(Projects!$G$31="Yes",BK$3=Projects!$C$31+Projects!$D$31-1),Projects!$B$31*(Assumptions!$B$10+Assumptions!$B$11+Assumptions!$B$12)*0.05,0)</f>
        <v>0</v>
      </c>
      <c r="BL40" s="19" t="n">
        <f aca="false">IF(AND(Projects!$G$31="Yes",BL$3&gt;=Projects!$C$31,BL$3&lt;Projects!$C$31+Projects!$D$31),Projects!$B$31*INDEX(Curves!$B$4:$AR$4,1,BL$3-Projects!$C$31+1),0)-IF(AND(Projects!$G$31="Yes",BL$3&gt;=Projects!$C$31,BL$3&lt;Projects!$C$31+Projects!$D$31),Projects!$B$31*(Assumptions!$B$10+Assumptions!$B$11+Assumptions!$B$12)/Projects!$D$31*0.95,0)-IF(AND(Projects!$G$31="Yes",BL$3=Projects!$C$31+Projects!$D$31-1),Projects!$B$31*(Assumptions!$B$10+Assumptions!$B$11+Assumptions!$B$12)*0.05,0)</f>
        <v>0</v>
      </c>
      <c r="BM40" s="19" t="n">
        <f aca="false">IF(AND(Projects!$G$31="Yes",BM$3&gt;=Projects!$C$31,BM$3&lt;Projects!$C$31+Projects!$D$31),Projects!$B$31*INDEX(Curves!$B$4:$AR$4,1,BM$3-Projects!$C$31+1),0)-IF(AND(Projects!$G$31="Yes",BM$3&gt;=Projects!$C$31,BM$3&lt;Projects!$C$31+Projects!$D$31),Projects!$B$31*(Assumptions!$B$10+Assumptions!$B$11+Assumptions!$B$12)/Projects!$D$31*0.95,0)-IF(AND(Projects!$G$31="Yes",BM$3=Projects!$C$31+Projects!$D$31-1),Projects!$B$31*(Assumptions!$B$10+Assumptions!$B$11+Assumptions!$B$12)*0.05,0)</f>
        <v>0</v>
      </c>
      <c r="BN40" s="19" t="n">
        <f aca="false">IF(AND(Projects!$G$31="Yes",BN$3&gt;=Projects!$C$31,BN$3&lt;Projects!$C$31+Projects!$D$31),Projects!$B$31*INDEX(Curves!$B$4:$AR$4,1,BN$3-Projects!$C$31+1),0)-IF(AND(Projects!$G$31="Yes",BN$3&gt;=Projects!$C$31,BN$3&lt;Projects!$C$31+Projects!$D$31),Projects!$B$31*(Assumptions!$B$10+Assumptions!$B$11+Assumptions!$B$12)/Projects!$D$31*0.95,0)-IF(AND(Projects!$G$31="Yes",BN$3=Projects!$C$31+Projects!$D$31-1),Projects!$B$31*(Assumptions!$B$10+Assumptions!$B$11+Assumptions!$B$12)*0.05,0)</f>
        <v>0</v>
      </c>
      <c r="BO40" s="19" t="n">
        <f aca="false">IF(AND(Projects!$G$31="Yes",BO$3&gt;=Projects!$C$31,BO$3&lt;Projects!$C$31+Projects!$D$31),Projects!$B$31*INDEX(Curves!$B$4:$AR$4,1,BO$3-Projects!$C$31+1),0)-IF(AND(Projects!$G$31="Yes",BO$3&gt;=Projects!$C$31,BO$3&lt;Projects!$C$31+Projects!$D$31),Projects!$B$31*(Assumptions!$B$10+Assumptions!$B$11+Assumptions!$B$12)/Projects!$D$31*0.95,0)-IF(AND(Projects!$G$31="Yes",BO$3=Projects!$C$31+Projects!$D$31-1),Projects!$B$31*(Assumptions!$B$10+Assumptions!$B$11+Assumptions!$B$12)*0.05,0)</f>
        <v>0</v>
      </c>
      <c r="BP40" s="19" t="n">
        <f aca="false">IF(AND(Projects!$G$31="Yes",BP$3&gt;=Projects!$C$31,BP$3&lt;Projects!$C$31+Projects!$D$31),Projects!$B$31*INDEX(Curves!$B$4:$AR$4,1,BP$3-Projects!$C$31+1),0)-IF(AND(Projects!$G$31="Yes",BP$3&gt;=Projects!$C$31,BP$3&lt;Projects!$C$31+Projects!$D$31),Projects!$B$31*(Assumptions!$B$10+Assumptions!$B$11+Assumptions!$B$12)/Projects!$D$31*0.95,0)-IF(AND(Projects!$G$31="Yes",BP$3=Projects!$C$31+Projects!$D$31-1),Projects!$B$31*(Assumptions!$B$10+Assumptions!$B$11+Assumptions!$B$12)*0.05,0)</f>
        <v>0</v>
      </c>
      <c r="BQ40" s="19" t="n">
        <f aca="false">IF(AND(Projects!$G$31="Yes",BQ$3&gt;=Projects!$C$31,BQ$3&lt;Projects!$C$31+Projects!$D$31),Projects!$B$31*INDEX(Curves!$B$4:$AR$4,1,BQ$3-Projects!$C$31+1),0)-IF(AND(Projects!$G$31="Yes",BQ$3&gt;=Projects!$C$31,BQ$3&lt;Projects!$C$31+Projects!$D$31),Projects!$B$31*(Assumptions!$B$10+Assumptions!$B$11+Assumptions!$B$12)/Projects!$D$31*0.95,0)-IF(AND(Projects!$G$31="Yes",BQ$3=Projects!$C$31+Projects!$D$31-1),Projects!$B$31*(Assumptions!$B$10+Assumptions!$B$11+Assumptions!$B$12)*0.05,0)</f>
        <v>0</v>
      </c>
      <c r="BR40" s="19" t="n">
        <f aca="false">IF(AND(Projects!$G$31="Yes",BR$3&gt;=Projects!$C$31,BR$3&lt;Projects!$C$31+Projects!$D$31),Projects!$B$31*INDEX(Curves!$B$4:$AR$4,1,BR$3-Projects!$C$31+1),0)-IF(AND(Projects!$G$31="Yes",BR$3&gt;=Projects!$C$31,BR$3&lt;Projects!$C$31+Projects!$D$31),Projects!$B$31*(Assumptions!$B$10+Assumptions!$B$11+Assumptions!$B$12)/Projects!$D$31*0.95,0)-IF(AND(Projects!$G$31="Yes",BR$3=Projects!$C$31+Projects!$D$31-1),Projects!$B$31*(Assumptions!$B$10+Assumptions!$B$11+Assumptions!$B$12)*0.05,0)</f>
        <v>0</v>
      </c>
      <c r="BS40" s="19" t="n">
        <f aca="false">IF(AND(Projects!$G$31="Yes",BS$3&gt;=Projects!$C$31,BS$3&lt;Projects!$C$31+Projects!$D$31),Projects!$B$31*INDEX(Curves!$B$4:$AR$4,1,BS$3-Projects!$C$31+1),0)-IF(AND(Projects!$G$31="Yes",BS$3&gt;=Projects!$C$31,BS$3&lt;Projects!$C$31+Projects!$D$31),Projects!$B$31*(Assumptions!$B$10+Assumptions!$B$11+Assumptions!$B$12)/Projects!$D$31*0.95,0)-IF(AND(Projects!$G$31="Yes",BS$3=Projects!$C$31+Projects!$D$31-1),Projects!$B$31*(Assumptions!$B$10+Assumptions!$B$11+Assumptions!$B$12)*0.05,0)</f>
        <v>0</v>
      </c>
      <c r="BT40" s="19" t="n">
        <f aca="false">IF(AND(Projects!$G$31="Yes",BT$3&gt;=Projects!$C$31,BT$3&lt;Projects!$C$31+Projects!$D$31),Projects!$B$31*INDEX(Curves!$B$4:$AR$4,1,BT$3-Projects!$C$31+1),0)-IF(AND(Projects!$G$31="Yes",BT$3&gt;=Projects!$C$31,BT$3&lt;Projects!$C$31+Projects!$D$31),Projects!$B$31*(Assumptions!$B$10+Assumptions!$B$11+Assumptions!$B$12)/Projects!$D$31*0.95,0)-IF(AND(Projects!$G$31="Yes",BT$3=Projects!$C$31+Projects!$D$31-1),Projects!$B$31*(Assumptions!$B$10+Assumptions!$B$11+Assumptions!$B$12)*0.05,0)</f>
        <v>0</v>
      </c>
      <c r="BU40" s="19" t="n">
        <f aca="false">IF(AND(Projects!$G$31="Yes",BU$3&gt;=Projects!$C$31,BU$3&lt;Projects!$C$31+Projects!$D$31),Projects!$B$31*INDEX(Curves!$B$4:$AR$4,1,BU$3-Projects!$C$31+1),0)-IF(AND(Projects!$G$31="Yes",BU$3&gt;=Projects!$C$31,BU$3&lt;Projects!$C$31+Projects!$D$31),Projects!$B$31*(Assumptions!$B$10+Assumptions!$B$11+Assumptions!$B$12)/Projects!$D$31*0.95,0)-IF(AND(Projects!$G$31="Yes",BU$3=Projects!$C$31+Projects!$D$31-1),Projects!$B$31*(Assumptions!$B$10+Assumptions!$B$11+Assumptions!$B$12)*0.05,0)</f>
        <v>0</v>
      </c>
      <c r="BV40" s="19" t="n">
        <f aca="false">IF(AND(Projects!$G$31="Yes",BV$3&gt;=Projects!$C$31,BV$3&lt;Projects!$C$31+Projects!$D$31),Projects!$B$31*INDEX(Curves!$B$4:$AR$4,1,BV$3-Projects!$C$31+1),0)-IF(AND(Projects!$G$31="Yes",BV$3&gt;=Projects!$C$31,BV$3&lt;Projects!$C$31+Projects!$D$31),Projects!$B$31*(Assumptions!$B$10+Assumptions!$B$11+Assumptions!$B$12)/Projects!$D$31*0.95,0)-IF(AND(Projects!$G$31="Yes",BV$3=Projects!$C$31+Projects!$D$31-1),Projects!$B$31*(Assumptions!$B$10+Assumptions!$B$11+Assumptions!$B$12)*0.05,0)</f>
        <v>0</v>
      </c>
      <c r="BW40" s="19" t="n">
        <f aca="false">IF(AND(Projects!$G$31="Yes",BW$3&gt;=Projects!$C$31,BW$3&lt;Projects!$C$31+Projects!$D$31),Projects!$B$31*INDEX(Curves!$B$4:$AR$4,1,BW$3-Projects!$C$31+1),0)-IF(AND(Projects!$G$31="Yes",BW$3&gt;=Projects!$C$31,BW$3&lt;Projects!$C$31+Projects!$D$31),Projects!$B$31*(Assumptions!$B$10+Assumptions!$B$11+Assumptions!$B$12)/Projects!$D$31*0.95,0)-IF(AND(Projects!$G$31="Yes",BW$3=Projects!$C$31+Projects!$D$31-1),Projects!$B$31*(Assumptions!$B$10+Assumptions!$B$11+Assumptions!$B$12)*0.05,0)</f>
        <v>0</v>
      </c>
      <c r="BX40" s="19" t="n">
        <f aca="false">IF(AND(Projects!$G$31="Yes",BX$3&gt;=Projects!$C$31,BX$3&lt;Projects!$C$31+Projects!$D$31),Projects!$B$31*INDEX(Curves!$B$4:$AR$4,1,BX$3-Projects!$C$31+1),0)-IF(AND(Projects!$G$31="Yes",BX$3&gt;=Projects!$C$31,BX$3&lt;Projects!$C$31+Projects!$D$31),Projects!$B$31*(Assumptions!$B$10+Assumptions!$B$11+Assumptions!$B$12)/Projects!$D$31*0.95,0)-IF(AND(Projects!$G$31="Yes",BX$3=Projects!$C$31+Projects!$D$31-1),Projects!$B$31*(Assumptions!$B$10+Assumptions!$B$11+Assumptions!$B$12)*0.05,0)</f>
        <v>0</v>
      </c>
      <c r="BY40" s="19" t="n">
        <f aca="false">IF(AND(Projects!$G$31="Yes",BY$3&gt;=Projects!$C$31,BY$3&lt;Projects!$C$31+Projects!$D$31),Projects!$B$31*INDEX(Curves!$B$4:$AR$4,1,BY$3-Projects!$C$31+1),0)-IF(AND(Projects!$G$31="Yes",BY$3&gt;=Projects!$C$31,BY$3&lt;Projects!$C$31+Projects!$D$31),Projects!$B$31*(Assumptions!$B$10+Assumptions!$B$11+Assumptions!$B$12)/Projects!$D$31*0.95,0)-IF(AND(Projects!$G$31="Yes",BY$3=Projects!$C$31+Projects!$D$31-1),Projects!$B$31*(Assumptions!$B$10+Assumptions!$B$11+Assumptions!$B$12)*0.05,0)</f>
        <v>0</v>
      </c>
      <c r="BZ40" s="19" t="n">
        <f aca="false">IF(AND(Projects!$G$31="Yes",BZ$3&gt;=Projects!$C$31,BZ$3&lt;Projects!$C$31+Projects!$D$31),Projects!$B$31*INDEX(Curves!$B$4:$AR$4,1,BZ$3-Projects!$C$31+1),0)-IF(AND(Projects!$G$31="Yes",BZ$3&gt;=Projects!$C$31,BZ$3&lt;Projects!$C$31+Projects!$D$31),Projects!$B$31*(Assumptions!$B$10+Assumptions!$B$11+Assumptions!$B$12)/Projects!$D$31*0.95,0)-IF(AND(Projects!$G$31="Yes",BZ$3=Projects!$C$31+Projects!$D$31-1),Projects!$B$31*(Assumptions!$B$10+Assumptions!$B$11+Assumptions!$B$12)*0.05,0)</f>
        <v>0</v>
      </c>
      <c r="CA40" s="19" t="n">
        <f aca="false">IF(AND(Projects!$G$31="Yes",CA$3&gt;=Projects!$C$31,CA$3&lt;Projects!$C$31+Projects!$D$31),Projects!$B$31*INDEX(Curves!$B$4:$AR$4,1,CA$3-Projects!$C$31+1),0)-IF(AND(Projects!$G$31="Yes",CA$3&gt;=Projects!$C$31,CA$3&lt;Projects!$C$31+Projects!$D$31),Projects!$B$31*(Assumptions!$B$10+Assumptions!$B$11+Assumptions!$B$12)/Projects!$D$31*0.95,0)-IF(AND(Projects!$G$31="Yes",CA$3=Projects!$C$31+Projects!$D$31-1),Projects!$B$31*(Assumptions!$B$10+Assumptions!$B$11+Assumptions!$B$12)*0.05,0)</f>
        <v>0</v>
      </c>
      <c r="CB40" s="19" t="n">
        <f aca="false">IF(AND(Projects!$G$31="Yes",CB$3&gt;=Projects!$C$31,CB$3&lt;Projects!$C$31+Projects!$D$31),Projects!$B$31*INDEX(Curves!$B$4:$AR$4,1,CB$3-Projects!$C$31+1),0)-IF(AND(Projects!$G$31="Yes",CB$3&gt;=Projects!$C$31,CB$3&lt;Projects!$C$31+Projects!$D$31),Projects!$B$31*(Assumptions!$B$10+Assumptions!$B$11+Assumptions!$B$12)/Projects!$D$31*0.95,0)-IF(AND(Projects!$G$31="Yes",CB$3=Projects!$C$31+Projects!$D$31-1),Projects!$B$31*(Assumptions!$B$10+Assumptions!$B$11+Assumptions!$B$12)*0.05,0)</f>
        <v>0</v>
      </c>
      <c r="CC40" s="19" t="n">
        <f aca="false">IF(AND(Projects!$G$31="Yes",CC$3&gt;=Projects!$C$31,CC$3&lt;Projects!$C$31+Projects!$D$31),Projects!$B$31*INDEX(Curves!$B$4:$AR$4,1,CC$3-Projects!$C$31+1),0)-IF(AND(Projects!$G$31="Yes",CC$3&gt;=Projects!$C$31,CC$3&lt;Projects!$C$31+Projects!$D$31),Projects!$B$31*(Assumptions!$B$10+Assumptions!$B$11+Assumptions!$B$12)/Projects!$D$31*0.95,0)-IF(AND(Projects!$G$31="Yes",CC$3=Projects!$C$31+Projects!$D$31-1),Projects!$B$31*(Assumptions!$B$10+Assumptions!$B$11+Assumptions!$B$12)*0.05,0)</f>
        <v>0</v>
      </c>
      <c r="CD40" s="19" t="n">
        <f aca="false">IF(AND(Projects!$G$31="Yes",CD$3&gt;=Projects!$C$31,CD$3&lt;Projects!$C$31+Projects!$D$31),Projects!$B$31*INDEX(Curves!$B$4:$AR$4,1,CD$3-Projects!$C$31+1),0)-IF(AND(Projects!$G$31="Yes",CD$3&gt;=Projects!$C$31,CD$3&lt;Projects!$C$31+Projects!$D$31),Projects!$B$31*(Assumptions!$B$10+Assumptions!$B$11+Assumptions!$B$12)/Projects!$D$31*0.95,0)-IF(AND(Projects!$G$31="Yes",CD$3=Projects!$C$31+Projects!$D$31-1),Projects!$B$31*(Assumptions!$B$10+Assumptions!$B$11+Assumptions!$B$12)*0.05,0)</f>
        <v>0</v>
      </c>
      <c r="CE40" s="19" t="n">
        <f aca="false">IF(AND(Projects!$G$31="Yes",CE$3&gt;=Projects!$C$31,CE$3&lt;Projects!$C$31+Projects!$D$31),Projects!$B$31*INDEX(Curves!$B$4:$AR$4,1,CE$3-Projects!$C$31+1),0)-IF(AND(Projects!$G$31="Yes",CE$3&gt;=Projects!$C$31,CE$3&lt;Projects!$C$31+Projects!$D$31),Projects!$B$31*(Assumptions!$B$10+Assumptions!$B$11+Assumptions!$B$12)/Projects!$D$31*0.95,0)-IF(AND(Projects!$G$31="Yes",CE$3=Projects!$C$31+Projects!$D$31-1),Projects!$B$31*(Assumptions!$B$10+Assumptions!$B$11+Assumptions!$B$12)*0.05,0)</f>
        <v>0</v>
      </c>
      <c r="CF40" s="19" t="n">
        <f aca="false">IF(AND(Projects!$G$31="Yes",CF$3&gt;=Projects!$C$31,CF$3&lt;Projects!$C$31+Projects!$D$31),Projects!$B$31*INDEX(Curves!$B$4:$AR$4,1,CF$3-Projects!$C$31+1),0)-IF(AND(Projects!$G$31="Yes",CF$3&gt;=Projects!$C$31,CF$3&lt;Projects!$C$31+Projects!$D$31),Projects!$B$31*(Assumptions!$B$10+Assumptions!$B$11+Assumptions!$B$12)/Projects!$D$31*0.95,0)-IF(AND(Projects!$G$31="Yes",CF$3=Projects!$C$31+Projects!$D$31-1),Projects!$B$31*(Assumptions!$B$10+Assumptions!$B$11+Assumptions!$B$12)*0.05,0)</f>
        <v>0</v>
      </c>
      <c r="CG40" s="19" t="n">
        <f aca="false">IF(AND(Projects!$G$31="Yes",CG$3&gt;=Projects!$C$31,CG$3&lt;Projects!$C$31+Projects!$D$31),Projects!$B$31*INDEX(Curves!$B$4:$AR$4,1,CG$3-Projects!$C$31+1),0)-IF(AND(Projects!$G$31="Yes",CG$3&gt;=Projects!$C$31,CG$3&lt;Projects!$C$31+Projects!$D$31),Projects!$B$31*(Assumptions!$B$10+Assumptions!$B$11+Assumptions!$B$12)/Projects!$D$31*0.95,0)-IF(AND(Projects!$G$31="Yes",CG$3=Projects!$C$31+Projects!$D$31-1),Projects!$B$31*(Assumptions!$B$10+Assumptions!$B$11+Assumptions!$B$12)*0.05,0)</f>
        <v>0</v>
      </c>
      <c r="CH40" s="19" t="n">
        <f aca="false">IF(AND(Projects!$G$31="Yes",CH$3&gt;=Projects!$C$31,CH$3&lt;Projects!$C$31+Projects!$D$31),Projects!$B$31*INDEX(Curves!$B$4:$AR$4,1,CH$3-Projects!$C$31+1),0)-IF(AND(Projects!$G$31="Yes",CH$3&gt;=Projects!$C$31,CH$3&lt;Projects!$C$31+Projects!$D$31),Projects!$B$31*(Assumptions!$B$10+Assumptions!$B$11+Assumptions!$B$12)/Projects!$D$31*0.95,0)-IF(AND(Projects!$G$31="Yes",CH$3=Projects!$C$31+Projects!$D$31-1),Projects!$B$31*(Assumptions!$B$10+Assumptions!$B$11+Assumptions!$B$12)*0.05,0)</f>
        <v>0</v>
      </c>
      <c r="CI40" s="19" t="n">
        <f aca="false">IF(AND(Projects!$G$31="Yes",CI$3&gt;=Projects!$C$31,CI$3&lt;Projects!$C$31+Projects!$D$31),Projects!$B$31*INDEX(Curves!$B$4:$AR$4,1,CI$3-Projects!$C$31+1),0)-IF(AND(Projects!$G$31="Yes",CI$3&gt;=Projects!$C$31,CI$3&lt;Projects!$C$31+Projects!$D$31),Projects!$B$31*(Assumptions!$B$10+Assumptions!$B$11+Assumptions!$B$12)/Projects!$D$31*0.95,0)-IF(AND(Projects!$G$31="Yes",CI$3=Projects!$C$31+Projects!$D$31-1),Projects!$B$31*(Assumptions!$B$10+Assumptions!$B$11+Assumptions!$B$12)*0.05,0)</f>
        <v>0</v>
      </c>
      <c r="CJ40" s="19" t="n">
        <f aca="false">IF(AND(Projects!$G$31="Yes",CJ$3&gt;=Projects!$C$31,CJ$3&lt;Projects!$C$31+Projects!$D$31),Projects!$B$31*INDEX(Curves!$B$4:$AR$4,1,CJ$3-Projects!$C$31+1),0)-IF(AND(Projects!$G$31="Yes",CJ$3&gt;=Projects!$C$31,CJ$3&lt;Projects!$C$31+Projects!$D$31),Projects!$B$31*(Assumptions!$B$10+Assumptions!$B$11+Assumptions!$B$12)/Projects!$D$31*0.95,0)-IF(AND(Projects!$G$31="Yes",CJ$3=Projects!$C$31+Projects!$D$31-1),Projects!$B$31*(Assumptions!$B$10+Assumptions!$B$11+Assumptions!$B$12)*0.05,0)</f>
        <v>0</v>
      </c>
      <c r="CK40" s="19" t="n">
        <f aca="false">IF(AND(Projects!$G$31="Yes",CK$3&gt;=Projects!$C$31,CK$3&lt;Projects!$C$31+Projects!$D$31),Projects!$B$31*INDEX(Curves!$B$4:$AR$4,1,CK$3-Projects!$C$31+1),0)-IF(AND(Projects!$G$31="Yes",CK$3&gt;=Projects!$C$31,CK$3&lt;Projects!$C$31+Projects!$D$31),Projects!$B$31*(Assumptions!$B$10+Assumptions!$B$11+Assumptions!$B$12)/Projects!$D$31*0.95,0)-IF(AND(Projects!$G$31="Yes",CK$3=Projects!$C$31+Projects!$D$31-1),Projects!$B$31*(Assumptions!$B$10+Assumptions!$B$11+Assumptions!$B$12)*0.05,0)</f>
        <v>0</v>
      </c>
      <c r="CL40" s="19" t="n">
        <f aca="false">IF(AND(Projects!$G$31="Yes",CL$3&gt;=Projects!$C$31,CL$3&lt;Projects!$C$31+Projects!$D$31),Projects!$B$31*INDEX(Curves!$B$4:$AR$4,1,CL$3-Projects!$C$31+1),0)-IF(AND(Projects!$G$31="Yes",CL$3&gt;=Projects!$C$31,CL$3&lt;Projects!$C$31+Projects!$D$31),Projects!$B$31*(Assumptions!$B$10+Assumptions!$B$11+Assumptions!$B$12)/Projects!$D$31*0.95,0)-IF(AND(Projects!$G$31="Yes",CL$3=Projects!$C$31+Projects!$D$31-1),Projects!$B$31*(Assumptions!$B$10+Assumptions!$B$11+Assumptions!$B$12)*0.05,0)</f>
        <v>0</v>
      </c>
      <c r="CM40" s="19" t="n">
        <f aca="false">IF(AND(Projects!$G$31="Yes",CM$3&gt;=Projects!$C$31,CM$3&lt;Projects!$C$31+Projects!$D$31),Projects!$B$31*INDEX(Curves!$B$4:$AR$4,1,CM$3-Projects!$C$31+1),0)-IF(AND(Projects!$G$31="Yes",CM$3&gt;=Projects!$C$31,CM$3&lt;Projects!$C$31+Projects!$D$31),Projects!$B$31*(Assumptions!$B$10+Assumptions!$B$11+Assumptions!$B$12)/Projects!$D$31*0.95,0)-IF(AND(Projects!$G$31="Yes",CM$3=Projects!$C$31+Projects!$D$31-1),Projects!$B$31*(Assumptions!$B$10+Assumptions!$B$11+Assumptions!$B$12)*0.05,0)</f>
        <v>0</v>
      </c>
      <c r="CN40" s="19" t="n">
        <f aca="false">IF(AND(Projects!$G$31="Yes",CN$3&gt;=Projects!$C$31,CN$3&lt;Projects!$C$31+Projects!$D$31),Projects!$B$31*INDEX(Curves!$B$4:$AR$4,1,CN$3-Projects!$C$31+1),0)-IF(AND(Projects!$G$31="Yes",CN$3&gt;=Projects!$C$31,CN$3&lt;Projects!$C$31+Projects!$D$31),Projects!$B$31*(Assumptions!$B$10+Assumptions!$B$11+Assumptions!$B$12)/Projects!$D$31*0.95,0)-IF(AND(Projects!$G$31="Yes",CN$3=Projects!$C$31+Projects!$D$31-1),Projects!$B$31*(Assumptions!$B$10+Assumptions!$B$11+Assumptions!$B$12)*0.05,0)</f>
        <v>0</v>
      </c>
      <c r="CO40" s="19" t="n">
        <f aca="false">IF(AND(Projects!$G$31="Yes",CO$3&gt;=Projects!$C$31,CO$3&lt;Projects!$C$31+Projects!$D$31),Projects!$B$31*INDEX(Curves!$B$4:$AR$4,1,CO$3-Projects!$C$31+1),0)-IF(AND(Projects!$G$31="Yes",CO$3&gt;=Projects!$C$31,CO$3&lt;Projects!$C$31+Projects!$D$31),Projects!$B$31*(Assumptions!$B$10+Assumptions!$B$11+Assumptions!$B$12)/Projects!$D$31*0.95,0)-IF(AND(Projects!$G$31="Yes",CO$3=Projects!$C$31+Projects!$D$31-1),Projects!$B$31*(Assumptions!$B$10+Assumptions!$B$11+Assumptions!$B$12)*0.05,0)</f>
        <v>0</v>
      </c>
      <c r="CP40" s="19" t="n">
        <f aca="false">IF(AND(Projects!$G$31="Yes",CP$3&gt;=Projects!$C$31,CP$3&lt;Projects!$C$31+Projects!$D$31),Projects!$B$31*INDEX(Curves!$B$4:$AR$4,1,CP$3-Projects!$C$31+1),0)-IF(AND(Projects!$G$31="Yes",CP$3&gt;=Projects!$C$31,CP$3&lt;Projects!$C$31+Projects!$D$31),Projects!$B$31*(Assumptions!$B$10+Assumptions!$B$11+Assumptions!$B$12)/Projects!$D$31*0.95,0)-IF(AND(Projects!$G$31="Yes",CP$3=Projects!$C$31+Projects!$D$31-1),Projects!$B$31*(Assumptions!$B$10+Assumptions!$B$11+Assumptions!$B$12)*0.05,0)</f>
        <v>0</v>
      </c>
      <c r="CQ40" s="19" t="n">
        <f aca="false">IF(AND(Projects!$G$31="Yes",CQ$3&gt;=Projects!$C$31,CQ$3&lt;Projects!$C$31+Projects!$D$31),Projects!$B$31*INDEX(Curves!$B$4:$AR$4,1,CQ$3-Projects!$C$31+1),0)-IF(AND(Projects!$G$31="Yes",CQ$3&gt;=Projects!$C$31,CQ$3&lt;Projects!$C$31+Projects!$D$31),Projects!$B$31*(Assumptions!$B$10+Assumptions!$B$11+Assumptions!$B$12)/Projects!$D$31*0.95,0)-IF(AND(Projects!$G$31="Yes",CQ$3=Projects!$C$31+Projects!$D$31-1),Projects!$B$31*(Assumptions!$B$10+Assumptions!$B$11+Assumptions!$B$12)*0.05,0)</f>
        <v>0</v>
      </c>
      <c r="CR40" s="19" t="n">
        <f aca="false">IF(AND(Projects!$G$31="Yes",CR$3&gt;=Projects!$C$31,CR$3&lt;Projects!$C$31+Projects!$D$31),Projects!$B$31*INDEX(Curves!$B$4:$AR$4,1,CR$3-Projects!$C$31+1),0)-IF(AND(Projects!$G$31="Yes",CR$3&gt;=Projects!$C$31,CR$3&lt;Projects!$C$31+Projects!$D$31),Projects!$B$31*(Assumptions!$B$10+Assumptions!$B$11+Assumptions!$B$12)/Projects!$D$31*0.95,0)-IF(AND(Projects!$G$31="Yes",CR$3=Projects!$C$31+Projects!$D$31-1),Projects!$B$31*(Assumptions!$B$10+Assumptions!$B$11+Assumptions!$B$12)*0.05,0)</f>
        <v>0</v>
      </c>
      <c r="CS40" s="19" t="n">
        <f aca="false">IF(AND(Projects!$G$31="Yes",CS$3&gt;=Projects!$C$31,CS$3&lt;Projects!$C$31+Projects!$D$31),Projects!$B$31*INDEX(Curves!$B$4:$AR$4,1,CS$3-Projects!$C$31+1),0)-IF(AND(Projects!$G$31="Yes",CS$3&gt;=Projects!$C$31,CS$3&lt;Projects!$C$31+Projects!$D$31),Projects!$B$31*(Assumptions!$B$10+Assumptions!$B$11+Assumptions!$B$12)/Projects!$D$31*0.95,0)-IF(AND(Projects!$G$31="Yes",CS$3=Projects!$C$31+Projects!$D$31-1),Projects!$B$31*(Assumptions!$B$10+Assumptions!$B$11+Assumptions!$B$12)*0.05,0)</f>
        <v>0</v>
      </c>
      <c r="CT40" s="19" t="n">
        <f aca="false">IF(AND(Projects!$G$31="Yes",CT$3&gt;=Projects!$C$31,CT$3&lt;Projects!$C$31+Projects!$D$31),Projects!$B$31*INDEX(Curves!$B$4:$AR$4,1,CT$3-Projects!$C$31+1),0)-IF(AND(Projects!$G$31="Yes",CT$3&gt;=Projects!$C$31,CT$3&lt;Projects!$C$31+Projects!$D$31),Projects!$B$31*(Assumptions!$B$10+Assumptions!$B$11+Assumptions!$B$12)/Projects!$D$31*0.95,0)-IF(AND(Projects!$G$31="Yes",CT$3=Projects!$C$31+Projects!$D$31-1),Projects!$B$31*(Assumptions!$B$10+Assumptions!$B$11+Assumptions!$B$12)*0.05,0)</f>
        <v>0</v>
      </c>
      <c r="CU40" s="19" t="n">
        <f aca="false">IF(AND(Projects!$G$31="Yes",CU$3&gt;=Projects!$C$31,CU$3&lt;Projects!$C$31+Projects!$D$31),Projects!$B$31*INDEX(Curves!$B$4:$AR$4,1,CU$3-Projects!$C$31+1),0)-IF(AND(Projects!$G$31="Yes",CU$3&gt;=Projects!$C$31,CU$3&lt;Projects!$C$31+Projects!$D$31),Projects!$B$31*(Assumptions!$B$10+Assumptions!$B$11+Assumptions!$B$12)/Projects!$D$31*0.95,0)-IF(AND(Projects!$G$31="Yes",CU$3=Projects!$C$31+Projects!$D$31-1),Projects!$B$31*(Assumptions!$B$10+Assumptions!$B$11+Assumptions!$B$12)*0.05,0)</f>
        <v>0</v>
      </c>
      <c r="CV40" s="19" t="n">
        <f aca="false">IF(AND(Projects!$G$31="Yes",CV$3&gt;=Projects!$C$31,CV$3&lt;Projects!$C$31+Projects!$D$31),Projects!$B$31*INDEX(Curves!$B$4:$AR$4,1,CV$3-Projects!$C$31+1),0)-IF(AND(Projects!$G$31="Yes",CV$3&gt;=Projects!$C$31,CV$3&lt;Projects!$C$31+Projects!$D$31),Projects!$B$31*(Assumptions!$B$10+Assumptions!$B$11+Assumptions!$B$12)/Projects!$D$31*0.95,0)-IF(AND(Projects!$G$31="Yes",CV$3=Projects!$C$31+Projects!$D$31-1),Projects!$B$31*(Assumptions!$B$10+Assumptions!$B$11+Assumptions!$B$12)*0.05,0)</f>
        <v>0</v>
      </c>
      <c r="CW40" s="19" t="n">
        <f aca="false">IF(AND(Projects!$G$31="Yes",CW$3&gt;=Projects!$C$31,CW$3&lt;Projects!$C$31+Projects!$D$31),Projects!$B$31*INDEX(Curves!$B$4:$AR$4,1,CW$3-Projects!$C$31+1),0)-IF(AND(Projects!$G$31="Yes",CW$3&gt;=Projects!$C$31,CW$3&lt;Projects!$C$31+Projects!$D$31),Projects!$B$31*(Assumptions!$B$10+Assumptions!$B$11+Assumptions!$B$12)/Projects!$D$31*0.95,0)-IF(AND(Projects!$G$31="Yes",CW$3=Projects!$C$31+Projects!$D$31-1),Projects!$B$31*(Assumptions!$B$10+Assumptions!$B$11+Assumptions!$B$12)*0.05,0)</f>
        <v>0</v>
      </c>
      <c r="CX40" s="19" t="n">
        <f aca="false">IF(AND(Projects!$G$31="Yes",CX$3&gt;=Projects!$C$31,CX$3&lt;Projects!$C$31+Projects!$D$31),Projects!$B$31*INDEX(Curves!$B$4:$AR$4,1,CX$3-Projects!$C$31+1),0)-IF(AND(Projects!$G$31="Yes",CX$3&gt;=Projects!$C$31,CX$3&lt;Projects!$C$31+Projects!$D$31),Projects!$B$31*(Assumptions!$B$10+Assumptions!$B$11+Assumptions!$B$12)/Projects!$D$31*0.95,0)-IF(AND(Projects!$G$31="Yes",CX$3=Projects!$C$31+Projects!$D$31-1),Projects!$B$31*(Assumptions!$B$10+Assumptions!$B$11+Assumptions!$B$12)*0.05,0)</f>
        <v>0</v>
      </c>
      <c r="CY40" s="19" t="n">
        <f aca="false">IF(AND(Projects!$G$31="Yes",CY$3&gt;=Projects!$C$31,CY$3&lt;Projects!$C$31+Projects!$D$31),Projects!$B$31*INDEX(Curves!$B$4:$AR$4,1,CY$3-Projects!$C$31+1),0)-IF(AND(Projects!$G$31="Yes",CY$3&gt;=Projects!$C$31,CY$3&lt;Projects!$C$31+Projects!$D$31),Projects!$B$31*(Assumptions!$B$10+Assumptions!$B$11+Assumptions!$B$12)/Projects!$D$31*0.95,0)-IF(AND(Projects!$G$31="Yes",CY$3=Projects!$C$31+Projects!$D$31-1),Projects!$B$31*(Assumptions!$B$10+Assumptions!$B$11+Assumptions!$B$12)*0.05,0)</f>
        <v>0</v>
      </c>
      <c r="CZ40" s="19" t="n">
        <f aca="false">IF(AND(Projects!$G$31="Yes",CZ$3&gt;=Projects!$C$31,CZ$3&lt;Projects!$C$31+Projects!$D$31),Projects!$B$31*INDEX(Curves!$B$4:$AR$4,1,CZ$3-Projects!$C$31+1),0)-IF(AND(Projects!$G$31="Yes",CZ$3&gt;=Projects!$C$31,CZ$3&lt;Projects!$C$31+Projects!$D$31),Projects!$B$31*(Assumptions!$B$10+Assumptions!$B$11+Assumptions!$B$12)/Projects!$D$31*0.95,0)-IF(AND(Projects!$G$31="Yes",CZ$3=Projects!$C$31+Projects!$D$31-1),Projects!$B$31*(Assumptions!$B$10+Assumptions!$B$11+Assumptions!$B$12)*0.05,0)</f>
        <v>0</v>
      </c>
      <c r="DA40" s="19" t="n">
        <f aca="false">IF(AND(Projects!$G$31="Yes",DA$3&gt;=Projects!$C$31,DA$3&lt;Projects!$C$31+Projects!$D$31),Projects!$B$31*INDEX(Curves!$B$4:$AR$4,1,DA$3-Projects!$C$31+1),0)-IF(AND(Projects!$G$31="Yes",DA$3&gt;=Projects!$C$31,DA$3&lt;Projects!$C$31+Projects!$D$31),Projects!$B$31*(Assumptions!$B$10+Assumptions!$B$11+Assumptions!$B$12)/Projects!$D$31*0.95,0)-IF(AND(Projects!$G$31="Yes",DA$3=Projects!$C$31+Projects!$D$31-1),Projects!$B$31*(Assumptions!$B$10+Assumptions!$B$11+Assumptions!$B$12)*0.05,0)</f>
        <v>0</v>
      </c>
      <c r="DB40" s="19" t="n">
        <f aca="false">IF(AND(Projects!$G$31="Yes",DB$3&gt;=Projects!$C$31,DB$3&lt;Projects!$C$31+Projects!$D$31),Projects!$B$31*INDEX(Curves!$B$4:$AR$4,1,DB$3-Projects!$C$31+1),0)-IF(AND(Projects!$G$31="Yes",DB$3&gt;=Projects!$C$31,DB$3&lt;Projects!$C$31+Projects!$D$31),Projects!$B$31*(Assumptions!$B$10+Assumptions!$B$11+Assumptions!$B$12)/Projects!$D$31*0.95,0)-IF(AND(Projects!$G$31="Yes",DB$3=Projects!$C$31+Projects!$D$31-1),Projects!$B$31*(Assumptions!$B$10+Assumptions!$B$11+Assumptions!$B$12)*0.05,0)</f>
        <v>0</v>
      </c>
      <c r="DC40" s="19" t="n">
        <f aca="false">IF(AND(Projects!$G$31="Yes",DC$3&gt;=Projects!$C$31,DC$3&lt;Projects!$C$31+Projects!$D$31),Projects!$B$31*INDEX(Curves!$B$4:$AR$4,1,DC$3-Projects!$C$31+1),0)-IF(AND(Projects!$G$31="Yes",DC$3&gt;=Projects!$C$31,DC$3&lt;Projects!$C$31+Projects!$D$31),Projects!$B$31*(Assumptions!$B$10+Assumptions!$B$11+Assumptions!$B$12)/Projects!$D$31*0.95,0)-IF(AND(Projects!$G$31="Yes",DC$3=Projects!$C$31+Projects!$D$31-1),Projects!$B$31*(Assumptions!$B$10+Assumptions!$B$11+Assumptions!$B$12)*0.05,0)</f>
        <v>0</v>
      </c>
      <c r="DD40" s="19" t="n">
        <f aca="false">IF(AND(Projects!$G$31="Yes",DD$3&gt;=Projects!$C$31,DD$3&lt;Projects!$C$31+Projects!$D$31),Projects!$B$31*INDEX(Curves!$B$4:$AR$4,1,DD$3-Projects!$C$31+1),0)-IF(AND(Projects!$G$31="Yes",DD$3&gt;=Projects!$C$31,DD$3&lt;Projects!$C$31+Projects!$D$31),Projects!$B$31*(Assumptions!$B$10+Assumptions!$B$11+Assumptions!$B$12)/Projects!$D$31*0.95,0)-IF(AND(Projects!$G$31="Yes",DD$3=Projects!$C$31+Projects!$D$31-1),Projects!$B$31*(Assumptions!$B$10+Assumptions!$B$11+Assumptions!$B$12)*0.05,0)</f>
        <v>0</v>
      </c>
      <c r="DE40" s="19" t="n">
        <f aca="false">IF(AND(Projects!$G$31="Yes",DE$3&gt;=Projects!$C$31,DE$3&lt;Projects!$C$31+Projects!$D$31),Projects!$B$31*INDEX(Curves!$B$4:$AR$4,1,DE$3-Projects!$C$31+1),0)-IF(AND(Projects!$G$31="Yes",DE$3&gt;=Projects!$C$31,DE$3&lt;Projects!$C$31+Projects!$D$31),Projects!$B$31*(Assumptions!$B$10+Assumptions!$B$11+Assumptions!$B$12)/Projects!$D$31*0.95,0)-IF(AND(Projects!$G$31="Yes",DE$3=Projects!$C$31+Projects!$D$31-1),Projects!$B$31*(Assumptions!$B$10+Assumptions!$B$11+Assumptions!$B$12)*0.05,0)</f>
        <v>0</v>
      </c>
    </row>
    <row r="41" customFormat="false" ht="15" hidden="true" customHeight="true" outlineLevel="1" collapsed="false">
      <c r="A41" s="28" t="s">
        <v>35</v>
      </c>
      <c r="B41" s="19" t="n">
        <v>0</v>
      </c>
      <c r="C41" s="19" t="n">
        <v>0</v>
      </c>
      <c r="D41" s="19" t="n">
        <v>0</v>
      </c>
      <c r="E41" s="19" t="n">
        <v>0</v>
      </c>
      <c r="F41" s="19" t="n">
        <f aca="false">IF(AND(Projects!$G$32="Yes",F$3&gt;=Projects!$C$32,F$3&lt;Projects!$C$32+Projects!$D$32),Projects!$B$32*INDEX(Curves!$B$4:$AR$4,1,F$3-Projects!$C$32+1),0)-IF(AND(Projects!$G$32="Yes",F$3&gt;=Projects!$C$32,F$3&lt;Projects!$C$32+Projects!$D$32),Projects!$B$32*(Assumptions!$B$10+Assumptions!$B$11+Assumptions!$B$12)/Projects!$D$32*0.95,0)-IF(AND(Projects!$G$32="Yes",F$3=Projects!$C$32+Projects!$D$32-1),Projects!$B$32*(Assumptions!$B$10+Assumptions!$B$11+Assumptions!$B$12)*0.05,0)</f>
        <v>0</v>
      </c>
      <c r="G41" s="19" t="n">
        <f aca="false">IF(AND(Projects!$G$32="Yes",G$3&gt;=Projects!$C$32,G$3&lt;Projects!$C$32+Projects!$D$32),Projects!$B$32*INDEX(Curves!$B$4:$AR$4,1,G$3-Projects!$C$32+1),0)-IF(AND(Projects!$G$32="Yes",G$3&gt;=Projects!$C$32,G$3&lt;Projects!$C$32+Projects!$D$32),Projects!$B$32*(Assumptions!$B$10+Assumptions!$B$11+Assumptions!$B$12)/Projects!$D$32*0.95,0)-IF(AND(Projects!$G$32="Yes",G$3=Projects!$C$32+Projects!$D$32-1),Projects!$B$32*(Assumptions!$B$10+Assumptions!$B$11+Assumptions!$B$12)*0.05,0)</f>
        <v>0</v>
      </c>
      <c r="H41" s="19" t="n">
        <f aca="false">IF(AND(Projects!$G$32="Yes",H$3&gt;=Projects!$C$32,H$3&lt;Projects!$C$32+Projects!$D$32),Projects!$B$32*INDEX(Curves!$B$4:$AR$4,1,H$3-Projects!$C$32+1),0)-IF(AND(Projects!$G$32="Yes",H$3&gt;=Projects!$C$32,H$3&lt;Projects!$C$32+Projects!$D$32),Projects!$B$32*(Assumptions!$B$10+Assumptions!$B$11+Assumptions!$B$12)/Projects!$D$32*0.95,0)-IF(AND(Projects!$G$32="Yes",H$3=Projects!$C$32+Projects!$D$32-1),Projects!$B$32*(Assumptions!$B$10+Assumptions!$B$11+Assumptions!$B$12)*0.05,0)</f>
        <v>0</v>
      </c>
      <c r="I41" s="19" t="n">
        <f aca="false">IF(AND(Projects!$G$32="Yes",I$3&gt;=Projects!$C$32,I$3&lt;Projects!$C$32+Projects!$D$32),Projects!$B$32*INDEX(Curves!$B$4:$AR$4,1,I$3-Projects!$C$32+1),0)-IF(AND(Projects!$G$32="Yes",I$3&gt;=Projects!$C$32,I$3&lt;Projects!$C$32+Projects!$D$32),Projects!$B$32*(Assumptions!$B$10+Assumptions!$B$11+Assumptions!$B$12)/Projects!$D$32*0.95,0)-IF(AND(Projects!$G$32="Yes",I$3=Projects!$C$32+Projects!$D$32-1),Projects!$B$32*(Assumptions!$B$10+Assumptions!$B$11+Assumptions!$B$12)*0.05,0)</f>
        <v>0</v>
      </c>
      <c r="J41" s="19" t="n">
        <f aca="false">IF(AND(Projects!$G$32="Yes",J$3&gt;=Projects!$C$32,J$3&lt;Projects!$C$32+Projects!$D$32),Projects!$B$32*INDEX(Curves!$B$4:$AR$4,1,J$3-Projects!$C$32+1),0)-IF(AND(Projects!$G$32="Yes",J$3&gt;=Projects!$C$32,J$3&lt;Projects!$C$32+Projects!$D$32),Projects!$B$32*(Assumptions!$B$10+Assumptions!$B$11+Assumptions!$B$12)/Projects!$D$32*0.95,0)-IF(AND(Projects!$G$32="Yes",J$3=Projects!$C$32+Projects!$D$32-1),Projects!$B$32*(Assumptions!$B$10+Assumptions!$B$11+Assumptions!$B$12)*0.05,0)</f>
        <v>0</v>
      </c>
      <c r="K41" s="19" t="n">
        <f aca="false">IF(AND(Projects!$G$32="Yes",K$3&gt;=Projects!$C$32,K$3&lt;Projects!$C$32+Projects!$D$32),Projects!$B$32*INDEX(Curves!$B$4:$AR$4,1,K$3-Projects!$C$32+1),0)-IF(AND(Projects!$G$32="Yes",K$3&gt;=Projects!$C$32,K$3&lt;Projects!$C$32+Projects!$D$32),Projects!$B$32*(Assumptions!$B$10+Assumptions!$B$11+Assumptions!$B$12)/Projects!$D$32*0.95,0)-IF(AND(Projects!$G$32="Yes",K$3=Projects!$C$32+Projects!$D$32-1),Projects!$B$32*(Assumptions!$B$10+Assumptions!$B$11+Assumptions!$B$12)*0.05,0)</f>
        <v>0</v>
      </c>
      <c r="L41" s="19" t="n">
        <f aca="false">IF(AND(Projects!$G$32="Yes",L$3&gt;=Projects!$C$32,L$3&lt;Projects!$C$32+Projects!$D$32),Projects!$B$32*INDEX(Curves!$B$4:$AR$4,1,L$3-Projects!$C$32+1),0)-IF(AND(Projects!$G$32="Yes",L$3&gt;=Projects!$C$32,L$3&lt;Projects!$C$32+Projects!$D$32),Projects!$B$32*(Assumptions!$B$10+Assumptions!$B$11+Assumptions!$B$12)/Projects!$D$32*0.95,0)-IF(AND(Projects!$G$32="Yes",L$3=Projects!$C$32+Projects!$D$32-1),Projects!$B$32*(Assumptions!$B$10+Assumptions!$B$11+Assumptions!$B$12)*0.05,0)</f>
        <v>0</v>
      </c>
      <c r="M41" s="19" t="n">
        <f aca="false">IF(AND(Projects!$G$32="Yes",M$3&gt;=Projects!$C$32,M$3&lt;Projects!$C$32+Projects!$D$32),Projects!$B$32*INDEX(Curves!$B$4:$AR$4,1,M$3-Projects!$C$32+1),0)-IF(AND(Projects!$G$32="Yes",M$3&gt;=Projects!$C$32,M$3&lt;Projects!$C$32+Projects!$D$32),Projects!$B$32*(Assumptions!$B$10+Assumptions!$B$11+Assumptions!$B$12)/Projects!$D$32*0.95,0)-IF(AND(Projects!$G$32="Yes",M$3=Projects!$C$32+Projects!$D$32-1),Projects!$B$32*(Assumptions!$B$10+Assumptions!$B$11+Assumptions!$B$12)*0.05,0)</f>
        <v>0</v>
      </c>
      <c r="N41" s="19" t="n">
        <f aca="false">IF(AND(Projects!$G$32="Yes",N$3&gt;=Projects!$C$32,N$3&lt;Projects!$C$32+Projects!$D$32),Projects!$B$32*INDEX(Curves!$B$4:$AR$4,1,N$3-Projects!$C$32+1),0)-IF(AND(Projects!$G$32="Yes",N$3&gt;=Projects!$C$32,N$3&lt;Projects!$C$32+Projects!$D$32),Projects!$B$32*(Assumptions!$B$10+Assumptions!$B$11+Assumptions!$B$12)/Projects!$D$32*0.95,0)-IF(AND(Projects!$G$32="Yes",N$3=Projects!$C$32+Projects!$D$32-1),Projects!$B$32*(Assumptions!$B$10+Assumptions!$B$11+Assumptions!$B$12)*0.05,0)</f>
        <v>0</v>
      </c>
      <c r="O41" s="19" t="n">
        <f aca="false">IF(AND(Projects!$G$32="Yes",O$3&gt;=Projects!$C$32,O$3&lt;Projects!$C$32+Projects!$D$32),Projects!$B$32*INDEX(Curves!$B$4:$AR$4,1,O$3-Projects!$C$32+1),0)-IF(AND(Projects!$G$32="Yes",O$3&gt;=Projects!$C$32,O$3&lt;Projects!$C$32+Projects!$D$32),Projects!$B$32*(Assumptions!$B$10+Assumptions!$B$11+Assumptions!$B$12)/Projects!$D$32*0.95,0)-IF(AND(Projects!$G$32="Yes",O$3=Projects!$C$32+Projects!$D$32-1),Projects!$B$32*(Assumptions!$B$10+Assumptions!$B$11+Assumptions!$B$12)*0.05,0)</f>
        <v>0</v>
      </c>
      <c r="P41" s="19" t="n">
        <f aca="false">IF(AND(Projects!$G$32="Yes",P$3&gt;=Projects!$C$32,P$3&lt;Projects!$C$32+Projects!$D$32),Projects!$B$32*INDEX(Curves!$B$4:$AR$4,1,P$3-Projects!$C$32+1),0)-IF(AND(Projects!$G$32="Yes",P$3&gt;=Projects!$C$32,P$3&lt;Projects!$C$32+Projects!$D$32),Projects!$B$32*(Assumptions!$B$10+Assumptions!$B$11+Assumptions!$B$12)/Projects!$D$32*0.95,0)-IF(AND(Projects!$G$32="Yes",P$3=Projects!$C$32+Projects!$D$32-1),Projects!$B$32*(Assumptions!$B$10+Assumptions!$B$11+Assumptions!$B$12)*0.05,0)</f>
        <v>0</v>
      </c>
      <c r="Q41" s="19" t="n">
        <f aca="false">IF(AND(Projects!$G$32="Yes",Q$3&gt;=Projects!$C$32,Q$3&lt;Projects!$C$32+Projects!$D$32),Projects!$B$32*INDEX(Curves!$B$4:$AR$4,1,Q$3-Projects!$C$32+1),0)-IF(AND(Projects!$G$32="Yes",Q$3&gt;=Projects!$C$32,Q$3&lt;Projects!$C$32+Projects!$D$32),Projects!$B$32*(Assumptions!$B$10+Assumptions!$B$11+Assumptions!$B$12)/Projects!$D$32*0.95,0)-IF(AND(Projects!$G$32="Yes",Q$3=Projects!$C$32+Projects!$D$32-1),Projects!$B$32*(Assumptions!$B$10+Assumptions!$B$11+Assumptions!$B$12)*0.05,0)</f>
        <v>0</v>
      </c>
      <c r="R41" s="19" t="n">
        <f aca="false">IF(AND(Projects!$G$32="Yes",R$3&gt;=Projects!$C$32,R$3&lt;Projects!$C$32+Projects!$D$32),Projects!$B$32*INDEX(Curves!$B$4:$AR$4,1,R$3-Projects!$C$32+1),0)-IF(AND(Projects!$G$32="Yes",R$3&gt;=Projects!$C$32,R$3&lt;Projects!$C$32+Projects!$D$32),Projects!$B$32*(Assumptions!$B$10+Assumptions!$B$11+Assumptions!$B$12)/Projects!$D$32*0.95,0)-IF(AND(Projects!$G$32="Yes",R$3=Projects!$C$32+Projects!$D$32-1),Projects!$B$32*(Assumptions!$B$10+Assumptions!$B$11+Assumptions!$B$12)*0.05,0)</f>
        <v>0</v>
      </c>
      <c r="S41" s="19" t="n">
        <f aca="false">IF(AND(Projects!$G$32="Yes",S$3&gt;=Projects!$C$32,S$3&lt;Projects!$C$32+Projects!$D$32),Projects!$B$32*INDEX(Curves!$B$4:$AR$4,1,S$3-Projects!$C$32+1),0)-IF(AND(Projects!$G$32="Yes",S$3&gt;=Projects!$C$32,S$3&lt;Projects!$C$32+Projects!$D$32),Projects!$B$32*(Assumptions!$B$10+Assumptions!$B$11+Assumptions!$B$12)/Projects!$D$32*0.95,0)-IF(AND(Projects!$G$32="Yes",S$3=Projects!$C$32+Projects!$D$32-1),Projects!$B$32*(Assumptions!$B$10+Assumptions!$B$11+Assumptions!$B$12)*0.05,0)</f>
        <v>0</v>
      </c>
      <c r="T41" s="19" t="n">
        <f aca="false">IF(AND(Projects!$G$32="Yes",T$3&gt;=Projects!$C$32,T$3&lt;Projects!$C$32+Projects!$D$32),Projects!$B$32*INDEX(Curves!$B$4:$AR$4,1,T$3-Projects!$C$32+1),0)-IF(AND(Projects!$G$32="Yes",T$3&gt;=Projects!$C$32,T$3&lt;Projects!$C$32+Projects!$D$32),Projects!$B$32*(Assumptions!$B$10+Assumptions!$B$11+Assumptions!$B$12)/Projects!$D$32*0.95,0)-IF(AND(Projects!$G$32="Yes",T$3=Projects!$C$32+Projects!$D$32-1),Projects!$B$32*(Assumptions!$B$10+Assumptions!$B$11+Assumptions!$B$12)*0.05,0)</f>
        <v>0</v>
      </c>
      <c r="U41" s="19" t="n">
        <f aca="false">IF(AND(Projects!$G$32="Yes",U$3&gt;=Projects!$C$32,U$3&lt;Projects!$C$32+Projects!$D$32),Projects!$B$32*INDEX(Curves!$B$4:$AR$4,1,U$3-Projects!$C$32+1),0)-IF(AND(Projects!$G$32="Yes",U$3&gt;=Projects!$C$32,U$3&lt;Projects!$C$32+Projects!$D$32),Projects!$B$32*(Assumptions!$B$10+Assumptions!$B$11+Assumptions!$B$12)/Projects!$D$32*0.95,0)-IF(AND(Projects!$G$32="Yes",U$3=Projects!$C$32+Projects!$D$32-1),Projects!$B$32*(Assumptions!$B$10+Assumptions!$B$11+Assumptions!$B$12)*0.05,0)</f>
        <v>0</v>
      </c>
      <c r="V41" s="19" t="n">
        <f aca="false">IF(AND(Projects!$G$32="Yes",V$3&gt;=Projects!$C$32,V$3&lt;Projects!$C$32+Projects!$D$32),Projects!$B$32*INDEX(Curves!$B$4:$AR$4,1,V$3-Projects!$C$32+1),0)-IF(AND(Projects!$G$32="Yes",V$3&gt;=Projects!$C$32,V$3&lt;Projects!$C$32+Projects!$D$32),Projects!$B$32*(Assumptions!$B$10+Assumptions!$B$11+Assumptions!$B$12)/Projects!$D$32*0.95,0)-IF(AND(Projects!$G$32="Yes",V$3=Projects!$C$32+Projects!$D$32-1),Projects!$B$32*(Assumptions!$B$10+Assumptions!$B$11+Assumptions!$B$12)*0.05,0)</f>
        <v>0</v>
      </c>
      <c r="W41" s="19" t="n">
        <f aca="false">IF(AND(Projects!$G$32="Yes",W$3&gt;=Projects!$C$32,W$3&lt;Projects!$C$32+Projects!$D$32),Projects!$B$32*INDEX(Curves!$B$4:$AR$4,1,W$3-Projects!$C$32+1),0)-IF(AND(Projects!$G$32="Yes",W$3&gt;=Projects!$C$32,W$3&lt;Projects!$C$32+Projects!$D$32),Projects!$B$32*(Assumptions!$B$10+Assumptions!$B$11+Assumptions!$B$12)/Projects!$D$32*0.95,0)-IF(AND(Projects!$G$32="Yes",W$3=Projects!$C$32+Projects!$D$32-1),Projects!$B$32*(Assumptions!$B$10+Assumptions!$B$11+Assumptions!$B$12)*0.05,0)</f>
        <v>0</v>
      </c>
      <c r="X41" s="19" t="n">
        <f aca="false">IF(AND(Projects!$G$32="Yes",X$3&gt;=Projects!$C$32,X$3&lt;Projects!$C$32+Projects!$D$32),Projects!$B$32*INDEX(Curves!$B$4:$AR$4,1,X$3-Projects!$C$32+1),0)-IF(AND(Projects!$G$32="Yes",X$3&gt;=Projects!$C$32,X$3&lt;Projects!$C$32+Projects!$D$32),Projects!$B$32*(Assumptions!$B$10+Assumptions!$B$11+Assumptions!$B$12)/Projects!$D$32*0.95,0)-IF(AND(Projects!$G$32="Yes",X$3=Projects!$C$32+Projects!$D$32-1),Projects!$B$32*(Assumptions!$B$10+Assumptions!$B$11+Assumptions!$B$12)*0.05,0)</f>
        <v>0</v>
      </c>
      <c r="Y41" s="19" t="n">
        <f aca="false">IF(AND(Projects!$G$32="Yes",Y$3&gt;=Projects!$C$32,Y$3&lt;Projects!$C$32+Projects!$D$32),Projects!$B$32*INDEX(Curves!$B$4:$AR$4,1,Y$3-Projects!$C$32+1),0)-IF(AND(Projects!$G$32="Yes",Y$3&gt;=Projects!$C$32,Y$3&lt;Projects!$C$32+Projects!$D$32),Projects!$B$32*(Assumptions!$B$10+Assumptions!$B$11+Assumptions!$B$12)/Projects!$D$32*0.95,0)-IF(AND(Projects!$G$32="Yes",Y$3=Projects!$C$32+Projects!$D$32-1),Projects!$B$32*(Assumptions!$B$10+Assumptions!$B$11+Assumptions!$B$12)*0.05,0)</f>
        <v>0</v>
      </c>
      <c r="Z41" s="19" t="n">
        <f aca="false">IF(AND(Projects!$G$32="Yes",Z$3&gt;=Projects!$C$32,Z$3&lt;Projects!$C$32+Projects!$D$32),Projects!$B$32*INDEX(Curves!$B$4:$AR$4,1,Z$3-Projects!$C$32+1),0)-IF(AND(Projects!$G$32="Yes",Z$3&gt;=Projects!$C$32,Z$3&lt;Projects!$C$32+Projects!$D$32),Projects!$B$32*(Assumptions!$B$10+Assumptions!$B$11+Assumptions!$B$12)/Projects!$D$32*0.95,0)-IF(AND(Projects!$G$32="Yes",Z$3=Projects!$C$32+Projects!$D$32-1),Projects!$B$32*(Assumptions!$B$10+Assumptions!$B$11+Assumptions!$B$12)*0.05,0)</f>
        <v>0</v>
      </c>
      <c r="AA41" s="19" t="n">
        <f aca="false">IF(AND(Projects!$G$32="Yes",AA$3&gt;=Projects!$C$32,AA$3&lt;Projects!$C$32+Projects!$D$32),Projects!$B$32*INDEX(Curves!$B$4:$AR$4,1,AA$3-Projects!$C$32+1),0)-IF(AND(Projects!$G$32="Yes",AA$3&gt;=Projects!$C$32,AA$3&lt;Projects!$C$32+Projects!$D$32),Projects!$B$32*(Assumptions!$B$10+Assumptions!$B$11+Assumptions!$B$12)/Projects!$D$32*0.95,0)-IF(AND(Projects!$G$32="Yes",AA$3=Projects!$C$32+Projects!$D$32-1),Projects!$B$32*(Assumptions!$B$10+Assumptions!$B$11+Assumptions!$B$12)*0.05,0)</f>
        <v>0</v>
      </c>
      <c r="AB41" s="19" t="n">
        <f aca="false">IF(AND(Projects!$G$32="Yes",AB$3&gt;=Projects!$C$32,AB$3&lt;Projects!$C$32+Projects!$D$32),Projects!$B$32*INDEX(Curves!$B$4:$AR$4,1,AB$3-Projects!$C$32+1),0)-IF(AND(Projects!$G$32="Yes",AB$3&gt;=Projects!$C$32,AB$3&lt;Projects!$C$32+Projects!$D$32),Projects!$B$32*(Assumptions!$B$10+Assumptions!$B$11+Assumptions!$B$12)/Projects!$D$32*0.95,0)-IF(AND(Projects!$G$32="Yes",AB$3=Projects!$C$32+Projects!$D$32-1),Projects!$B$32*(Assumptions!$B$10+Assumptions!$B$11+Assumptions!$B$12)*0.05,0)</f>
        <v>0</v>
      </c>
      <c r="AC41" s="19" t="n">
        <f aca="false">IF(AND(Projects!$G$32="Yes",AC$3&gt;=Projects!$C$32,AC$3&lt;Projects!$C$32+Projects!$D$32),Projects!$B$32*INDEX(Curves!$B$4:$AR$4,1,AC$3-Projects!$C$32+1),0)-IF(AND(Projects!$G$32="Yes",AC$3&gt;=Projects!$C$32,AC$3&lt;Projects!$C$32+Projects!$D$32),Projects!$B$32*(Assumptions!$B$10+Assumptions!$B$11+Assumptions!$B$12)/Projects!$D$32*0.95,0)-IF(AND(Projects!$G$32="Yes",AC$3=Projects!$C$32+Projects!$D$32-1),Projects!$B$32*(Assumptions!$B$10+Assumptions!$B$11+Assumptions!$B$12)*0.05,0)</f>
        <v>0</v>
      </c>
      <c r="AD41" s="19" t="n">
        <f aca="false">IF(AND(Projects!$G$32="Yes",AD$3&gt;=Projects!$C$32,AD$3&lt;Projects!$C$32+Projects!$D$32),Projects!$B$32*INDEX(Curves!$B$4:$AR$4,1,AD$3-Projects!$C$32+1),0)-IF(AND(Projects!$G$32="Yes",AD$3&gt;=Projects!$C$32,AD$3&lt;Projects!$C$32+Projects!$D$32),Projects!$B$32*(Assumptions!$B$10+Assumptions!$B$11+Assumptions!$B$12)/Projects!$D$32*0.95,0)-IF(AND(Projects!$G$32="Yes",AD$3=Projects!$C$32+Projects!$D$32-1),Projects!$B$32*(Assumptions!$B$10+Assumptions!$B$11+Assumptions!$B$12)*0.05,0)</f>
        <v>0</v>
      </c>
      <c r="AE41" s="19" t="n">
        <f aca="false">IF(AND(Projects!$G$32="Yes",AE$3&gt;=Projects!$C$32,AE$3&lt;Projects!$C$32+Projects!$D$32),Projects!$B$32*INDEX(Curves!$B$4:$AR$4,1,AE$3-Projects!$C$32+1),0)-IF(AND(Projects!$G$32="Yes",AE$3&gt;=Projects!$C$32,AE$3&lt;Projects!$C$32+Projects!$D$32),Projects!$B$32*(Assumptions!$B$10+Assumptions!$B$11+Assumptions!$B$12)/Projects!$D$32*0.95,0)-IF(AND(Projects!$G$32="Yes",AE$3=Projects!$C$32+Projects!$D$32-1),Projects!$B$32*(Assumptions!$B$10+Assumptions!$B$11+Assumptions!$B$12)*0.05,0)</f>
        <v>0</v>
      </c>
      <c r="AF41" s="19" t="n">
        <f aca="false">IF(AND(Projects!$G$32="Yes",AF$3&gt;=Projects!$C$32,AF$3&lt;Projects!$C$32+Projects!$D$32),Projects!$B$32*INDEX(Curves!$B$4:$AR$4,1,AF$3-Projects!$C$32+1),0)-IF(AND(Projects!$G$32="Yes",AF$3&gt;=Projects!$C$32,AF$3&lt;Projects!$C$32+Projects!$D$32),Projects!$B$32*(Assumptions!$B$10+Assumptions!$B$11+Assumptions!$B$12)/Projects!$D$32*0.95,0)-IF(AND(Projects!$G$32="Yes",AF$3=Projects!$C$32+Projects!$D$32-1),Projects!$B$32*(Assumptions!$B$10+Assumptions!$B$11+Assumptions!$B$12)*0.05,0)</f>
        <v>0</v>
      </c>
      <c r="AG41" s="19" t="n">
        <f aca="false">IF(AND(Projects!$G$32="Yes",AG$3&gt;=Projects!$C$32,AG$3&lt;Projects!$C$32+Projects!$D$32),Projects!$B$32*INDEX(Curves!$B$4:$AR$4,1,AG$3-Projects!$C$32+1),0)-IF(AND(Projects!$G$32="Yes",AG$3&gt;=Projects!$C$32,AG$3&lt;Projects!$C$32+Projects!$D$32),Projects!$B$32*(Assumptions!$B$10+Assumptions!$B$11+Assumptions!$B$12)/Projects!$D$32*0.95,0)-IF(AND(Projects!$G$32="Yes",AG$3=Projects!$C$32+Projects!$D$32-1),Projects!$B$32*(Assumptions!$B$10+Assumptions!$B$11+Assumptions!$B$12)*0.05,0)</f>
        <v>0</v>
      </c>
      <c r="AH41" s="19" t="n">
        <f aca="false">IF(AND(Projects!$G$32="Yes",AH$3&gt;=Projects!$C$32,AH$3&lt;Projects!$C$32+Projects!$D$32),Projects!$B$32*INDEX(Curves!$B$4:$AR$4,1,AH$3-Projects!$C$32+1),0)-IF(AND(Projects!$G$32="Yes",AH$3&gt;=Projects!$C$32,AH$3&lt;Projects!$C$32+Projects!$D$32),Projects!$B$32*(Assumptions!$B$10+Assumptions!$B$11+Assumptions!$B$12)/Projects!$D$32*0.95,0)-IF(AND(Projects!$G$32="Yes",AH$3=Projects!$C$32+Projects!$D$32-1),Projects!$B$32*(Assumptions!$B$10+Assumptions!$B$11+Assumptions!$B$12)*0.05,0)</f>
        <v>0</v>
      </c>
      <c r="AI41" s="19" t="n">
        <f aca="false">IF(AND(Projects!$G$32="Yes",AI$3&gt;=Projects!$C$32,AI$3&lt;Projects!$C$32+Projects!$D$32),Projects!$B$32*INDEX(Curves!$B$4:$AR$4,1,AI$3-Projects!$C$32+1),0)-IF(AND(Projects!$G$32="Yes",AI$3&gt;=Projects!$C$32,AI$3&lt;Projects!$C$32+Projects!$D$32),Projects!$B$32*(Assumptions!$B$10+Assumptions!$B$11+Assumptions!$B$12)/Projects!$D$32*0.95,0)-IF(AND(Projects!$G$32="Yes",AI$3=Projects!$C$32+Projects!$D$32-1),Projects!$B$32*(Assumptions!$B$10+Assumptions!$B$11+Assumptions!$B$12)*0.05,0)</f>
        <v>0</v>
      </c>
      <c r="AJ41" s="19" t="n">
        <f aca="false">IF(AND(Projects!$G$32="Yes",AJ$3&gt;=Projects!$C$32,AJ$3&lt;Projects!$C$32+Projects!$D$32),Projects!$B$32*INDEX(Curves!$B$4:$AR$4,1,AJ$3-Projects!$C$32+1),0)-IF(AND(Projects!$G$32="Yes",AJ$3&gt;=Projects!$C$32,AJ$3&lt;Projects!$C$32+Projects!$D$32),Projects!$B$32*(Assumptions!$B$10+Assumptions!$B$11+Assumptions!$B$12)/Projects!$D$32*0.95,0)-IF(AND(Projects!$G$32="Yes",AJ$3=Projects!$C$32+Projects!$D$32-1),Projects!$B$32*(Assumptions!$B$10+Assumptions!$B$11+Assumptions!$B$12)*0.05,0)</f>
        <v>0</v>
      </c>
      <c r="AK41" s="19" t="n">
        <f aca="false">IF(AND(Projects!$G$32="Yes",AK$3&gt;=Projects!$C$32,AK$3&lt;Projects!$C$32+Projects!$D$32),Projects!$B$32*INDEX(Curves!$B$4:$AR$4,1,AK$3-Projects!$C$32+1),0)-IF(AND(Projects!$G$32="Yes",AK$3&gt;=Projects!$C$32,AK$3&lt;Projects!$C$32+Projects!$D$32),Projects!$B$32*(Assumptions!$B$10+Assumptions!$B$11+Assumptions!$B$12)/Projects!$D$32*0.95,0)-IF(AND(Projects!$G$32="Yes",AK$3=Projects!$C$32+Projects!$D$32-1),Projects!$B$32*(Assumptions!$B$10+Assumptions!$B$11+Assumptions!$B$12)*0.05,0)</f>
        <v>0</v>
      </c>
      <c r="AL41" s="19" t="n">
        <f aca="false">IF(AND(Projects!$G$32="Yes",AL$3&gt;=Projects!$C$32,AL$3&lt;Projects!$C$32+Projects!$D$32),Projects!$B$32*INDEX(Curves!$B$4:$AR$4,1,AL$3-Projects!$C$32+1),0)-IF(AND(Projects!$G$32="Yes",AL$3&gt;=Projects!$C$32,AL$3&lt;Projects!$C$32+Projects!$D$32),Projects!$B$32*(Assumptions!$B$10+Assumptions!$B$11+Assumptions!$B$12)/Projects!$D$32*0.95,0)-IF(AND(Projects!$G$32="Yes",AL$3=Projects!$C$32+Projects!$D$32-1),Projects!$B$32*(Assumptions!$B$10+Assumptions!$B$11+Assumptions!$B$12)*0.05,0)</f>
        <v>0</v>
      </c>
      <c r="AM41" s="19" t="n">
        <f aca="false">IF(AND(Projects!$G$32="Yes",AM$3&gt;=Projects!$C$32,AM$3&lt;Projects!$C$32+Projects!$D$32),Projects!$B$32*INDEX(Curves!$B$4:$AR$4,1,AM$3-Projects!$C$32+1),0)-IF(AND(Projects!$G$32="Yes",AM$3&gt;=Projects!$C$32,AM$3&lt;Projects!$C$32+Projects!$D$32),Projects!$B$32*(Assumptions!$B$10+Assumptions!$B$11+Assumptions!$B$12)/Projects!$D$32*0.95,0)-IF(AND(Projects!$G$32="Yes",AM$3=Projects!$C$32+Projects!$D$32-1),Projects!$B$32*(Assumptions!$B$10+Assumptions!$B$11+Assumptions!$B$12)*0.05,0)</f>
        <v>0</v>
      </c>
      <c r="AN41" s="19" t="n">
        <f aca="false">IF(AND(Projects!$G$32="Yes",AN$3&gt;=Projects!$C$32,AN$3&lt;Projects!$C$32+Projects!$D$32),Projects!$B$32*INDEX(Curves!$B$4:$AR$4,1,AN$3-Projects!$C$32+1),0)-IF(AND(Projects!$G$32="Yes",AN$3&gt;=Projects!$C$32,AN$3&lt;Projects!$C$32+Projects!$D$32),Projects!$B$32*(Assumptions!$B$10+Assumptions!$B$11+Assumptions!$B$12)/Projects!$D$32*0.95,0)-IF(AND(Projects!$G$32="Yes",AN$3=Projects!$C$32+Projects!$D$32-1),Projects!$B$32*(Assumptions!$B$10+Assumptions!$B$11+Assumptions!$B$12)*0.05,0)</f>
        <v>307461.75</v>
      </c>
      <c r="AO41" s="19" t="n">
        <f aca="false">IF(AND(Projects!$G$32="Yes",AO$3&gt;=Projects!$C$32,AO$3&lt;Projects!$C$32+Projects!$D$32),Projects!$B$32*INDEX(Curves!$B$4:$AR$4,1,AO$3-Projects!$C$32+1),0)-IF(AND(Projects!$G$32="Yes",AO$3&gt;=Projects!$C$32,AO$3&lt;Projects!$C$32+Projects!$D$32),Projects!$B$32*(Assumptions!$B$10+Assumptions!$B$11+Assumptions!$B$12)/Projects!$D$32*0.95,0)-IF(AND(Projects!$G$32="Yes",AO$3=Projects!$C$32+Projects!$D$32-1),Projects!$B$32*(Assumptions!$B$10+Assumptions!$B$11+Assumptions!$B$12)*0.05,0)</f>
        <v>401121.75</v>
      </c>
      <c r="AP41" s="19" t="n">
        <f aca="false">IF(AND(Projects!$G$32="Yes",AP$3&gt;=Projects!$C$32,AP$3&lt;Projects!$C$32+Projects!$D$32),Projects!$B$32*INDEX(Curves!$B$4:$AR$4,1,AP$3-Projects!$C$32+1),0)-IF(AND(Projects!$G$32="Yes",AP$3&gt;=Projects!$C$32,AP$3&lt;Projects!$C$32+Projects!$D$32),Projects!$B$32*(Assumptions!$B$10+Assumptions!$B$11+Assumptions!$B$12)/Projects!$D$32*0.95,0)-IF(AND(Projects!$G$32="Yes",AP$3=Projects!$C$32+Projects!$D$32-1),Projects!$B$32*(Assumptions!$B$10+Assumptions!$B$11+Assumptions!$B$12)*0.05,0)</f>
        <v>501936.75</v>
      </c>
      <c r="AQ41" s="19" t="n">
        <f aca="false">IF(AND(Projects!$G$32="Yes",AQ$3&gt;=Projects!$C$32,AQ$3&lt;Projects!$C$32+Projects!$D$32),Projects!$B$32*INDEX(Curves!$B$4:$AR$4,1,AQ$3-Projects!$C$32+1),0)-IF(AND(Projects!$G$32="Yes",AQ$3&gt;=Projects!$C$32,AQ$3&lt;Projects!$C$32+Projects!$D$32),Projects!$B$32*(Assumptions!$B$10+Assumptions!$B$11+Assumptions!$B$12)/Projects!$D$32*0.95,0)-IF(AND(Projects!$G$32="Yes",AQ$3=Projects!$C$32+Projects!$D$32-1),Projects!$B$32*(Assumptions!$B$10+Assumptions!$B$11+Assumptions!$B$12)*0.05,0)</f>
        <v>605886.75</v>
      </c>
      <c r="AR41" s="19" t="n">
        <f aca="false">IF(AND(Projects!$G$32="Yes",AR$3&gt;=Projects!$C$32,AR$3&lt;Projects!$C$32+Projects!$D$32),Projects!$B$32*INDEX(Curves!$B$4:$AR$4,1,AR$3-Projects!$C$32+1),0)-IF(AND(Projects!$G$32="Yes",AR$3&gt;=Projects!$C$32,AR$3&lt;Projects!$C$32+Projects!$D$32),Projects!$B$32*(Assumptions!$B$10+Assumptions!$B$11+Assumptions!$B$12)/Projects!$D$32*0.95,0)-IF(AND(Projects!$G$32="Yes",AR$3=Projects!$C$32+Projects!$D$32-1),Projects!$B$32*(Assumptions!$B$10+Assumptions!$B$11+Assumptions!$B$12)*0.05,0)</f>
        <v>707976.75</v>
      </c>
      <c r="AS41" s="19" t="n">
        <f aca="false">IF(AND(Projects!$G$32="Yes",AS$3&gt;=Projects!$C$32,AS$3&lt;Projects!$C$32+Projects!$D$32),Projects!$B$32*INDEX(Curves!$B$4:$AR$4,1,AS$3-Projects!$C$32+1),0)-IF(AND(Projects!$G$32="Yes",AS$3&gt;=Projects!$C$32,AS$3&lt;Projects!$C$32+Projects!$D$32),Projects!$B$32*(Assumptions!$B$10+Assumptions!$B$11+Assumptions!$B$12)/Projects!$D$32*0.95,0)-IF(AND(Projects!$G$32="Yes",AS$3=Projects!$C$32+Projects!$D$32-1),Projects!$B$32*(Assumptions!$B$10+Assumptions!$B$11+Assumptions!$B$12)*0.05,0)</f>
        <v>802536.75</v>
      </c>
      <c r="AT41" s="19" t="n">
        <f aca="false">IF(AND(Projects!$G$32="Yes",AT$3&gt;=Projects!$C$32,AT$3&lt;Projects!$C$32+Projects!$D$32),Projects!$B$32*INDEX(Curves!$B$4:$AR$4,1,AT$3-Projects!$C$32+1),0)-IF(AND(Projects!$G$32="Yes",AT$3&gt;=Projects!$C$32,AT$3&lt;Projects!$C$32+Projects!$D$32),Projects!$B$32*(Assumptions!$B$10+Assumptions!$B$11+Assumptions!$B$12)/Projects!$D$32*0.95,0)-IF(AND(Projects!$G$32="Yes",AT$3=Projects!$C$32+Projects!$D$32-1),Projects!$B$32*(Assumptions!$B$10+Assumptions!$B$11+Assumptions!$B$12)*0.05,0)</f>
        <v>883761.75</v>
      </c>
      <c r="AU41" s="19" t="n">
        <f aca="false">IF(AND(Projects!$G$32="Yes",AU$3&gt;=Projects!$C$32,AU$3&lt;Projects!$C$32+Projects!$D$32),Projects!$B$32*INDEX(Curves!$B$4:$AR$4,1,AU$3-Projects!$C$32+1),0)-IF(AND(Projects!$G$32="Yes",AU$3&gt;=Projects!$C$32,AU$3&lt;Projects!$C$32+Projects!$D$32),Projects!$B$32*(Assumptions!$B$10+Assumptions!$B$11+Assumptions!$B$12)/Projects!$D$32*0.95,0)-IF(AND(Projects!$G$32="Yes",AU$3=Projects!$C$32+Projects!$D$32-1),Projects!$B$32*(Assumptions!$B$10+Assumptions!$B$11+Assumptions!$B$12)*0.05,0)</f>
        <v>946266.75</v>
      </c>
      <c r="AV41" s="19" t="n">
        <f aca="false">IF(AND(Projects!$G$32="Yes",AV$3&gt;=Projects!$C$32,AV$3&lt;Projects!$C$32+Projects!$D$32),Projects!$B$32*INDEX(Curves!$B$4:$AR$4,1,AV$3-Projects!$C$32+1),0)-IF(AND(Projects!$G$32="Yes",AV$3&gt;=Projects!$C$32,AV$3&lt;Projects!$C$32+Projects!$D$32),Projects!$B$32*(Assumptions!$B$10+Assumptions!$B$11+Assumptions!$B$12)/Projects!$D$32*0.95,0)-IF(AND(Projects!$G$32="Yes",AV$3=Projects!$C$32+Projects!$D$32-1),Projects!$B$32*(Assumptions!$B$10+Assumptions!$B$11+Assumptions!$B$12)*0.05,0)</f>
        <v>985686.75</v>
      </c>
      <c r="AW41" s="19" t="n">
        <f aca="false">IF(AND(Projects!$G$32="Yes",AW$3&gt;=Projects!$C$32,AW$3&lt;Projects!$C$32+Projects!$D$32),Projects!$B$32*INDEX(Curves!$B$4:$AR$4,1,AW$3-Projects!$C$32+1),0)-IF(AND(Projects!$G$32="Yes",AW$3&gt;=Projects!$C$32,AW$3&lt;Projects!$C$32+Projects!$D$32),Projects!$B$32*(Assumptions!$B$10+Assumptions!$B$11+Assumptions!$B$12)/Projects!$D$32*0.95,0)-IF(AND(Projects!$G$32="Yes",AW$3=Projects!$C$32+Projects!$D$32-1),Projects!$B$32*(Assumptions!$B$10+Assumptions!$B$11+Assumptions!$B$12)*0.05,0)</f>
        <v>999156.75</v>
      </c>
      <c r="AX41" s="19" t="n">
        <f aca="false">IF(AND(Projects!$G$32="Yes",AX$3&gt;=Projects!$C$32,AX$3&lt;Projects!$C$32+Projects!$D$32),Projects!$B$32*INDEX(Curves!$B$4:$AR$4,1,AX$3-Projects!$C$32+1),0)-IF(AND(Projects!$G$32="Yes",AX$3&gt;=Projects!$C$32,AX$3&lt;Projects!$C$32+Projects!$D$32),Projects!$B$32*(Assumptions!$B$10+Assumptions!$B$11+Assumptions!$B$12)/Projects!$D$32*0.95,0)-IF(AND(Projects!$G$32="Yes",AX$3=Projects!$C$32+Projects!$D$32-1),Projects!$B$32*(Assumptions!$B$10+Assumptions!$B$11+Assumptions!$B$12)*0.05,0)</f>
        <v>985686.75</v>
      </c>
      <c r="AY41" s="19" t="n">
        <f aca="false">IF(AND(Projects!$G$32="Yes",AY$3&gt;=Projects!$C$32,AY$3&lt;Projects!$C$32+Projects!$D$32),Projects!$B$32*INDEX(Curves!$B$4:$AR$4,1,AY$3-Projects!$C$32+1),0)-IF(AND(Projects!$G$32="Yes",AY$3&gt;=Projects!$C$32,AY$3&lt;Projects!$C$32+Projects!$D$32),Projects!$B$32*(Assumptions!$B$10+Assumptions!$B$11+Assumptions!$B$12)/Projects!$D$32*0.95,0)-IF(AND(Projects!$G$32="Yes",AY$3=Projects!$C$32+Projects!$D$32-1),Projects!$B$32*(Assumptions!$B$10+Assumptions!$B$11+Assumptions!$B$12)*0.05,0)</f>
        <v>946266.75</v>
      </c>
      <c r="AZ41" s="19" t="n">
        <f aca="false">IF(AND(Projects!$G$32="Yes",AZ$3&gt;=Projects!$C$32,AZ$3&lt;Projects!$C$32+Projects!$D$32),Projects!$B$32*INDEX(Curves!$B$4:$AR$4,1,AZ$3-Projects!$C$32+1),0)-IF(AND(Projects!$G$32="Yes",AZ$3&gt;=Projects!$C$32,AZ$3&lt;Projects!$C$32+Projects!$D$32),Projects!$B$32*(Assumptions!$B$10+Assumptions!$B$11+Assumptions!$B$12)/Projects!$D$32*0.95,0)-IF(AND(Projects!$G$32="Yes",AZ$3=Projects!$C$32+Projects!$D$32-1),Projects!$B$32*(Assumptions!$B$10+Assumptions!$B$11+Assumptions!$B$12)*0.05,0)</f>
        <v>883761.75</v>
      </c>
      <c r="BA41" s="19" t="n">
        <f aca="false">IF(AND(Projects!$G$32="Yes",BA$3&gt;=Projects!$C$32,BA$3&lt;Projects!$C$32+Projects!$D$32),Projects!$B$32*INDEX(Curves!$B$4:$AR$4,1,BA$3-Projects!$C$32+1),0)-IF(AND(Projects!$G$32="Yes",BA$3&gt;=Projects!$C$32,BA$3&lt;Projects!$C$32+Projects!$D$32),Projects!$B$32*(Assumptions!$B$10+Assumptions!$B$11+Assumptions!$B$12)/Projects!$D$32*0.95,0)-IF(AND(Projects!$G$32="Yes",BA$3=Projects!$C$32+Projects!$D$32-1),Projects!$B$32*(Assumptions!$B$10+Assumptions!$B$11+Assumptions!$B$12)*0.05,0)</f>
        <v>802536.75</v>
      </c>
      <c r="BB41" s="19" t="n">
        <f aca="false">IF(AND(Projects!$G$32="Yes",BB$3&gt;=Projects!$C$32,BB$3&lt;Projects!$C$32+Projects!$D$32),Projects!$B$32*INDEX(Curves!$B$4:$AR$4,1,BB$3-Projects!$C$32+1),0)-IF(AND(Projects!$G$32="Yes",BB$3&gt;=Projects!$C$32,BB$3&lt;Projects!$C$32+Projects!$D$32),Projects!$B$32*(Assumptions!$B$10+Assumptions!$B$11+Assumptions!$B$12)/Projects!$D$32*0.95,0)-IF(AND(Projects!$G$32="Yes",BB$3=Projects!$C$32+Projects!$D$32-1),Projects!$B$32*(Assumptions!$B$10+Assumptions!$B$11+Assumptions!$B$12)*0.05,0)</f>
        <v>707976.75</v>
      </c>
      <c r="BC41" s="19" t="n">
        <f aca="false">IF(AND(Projects!$G$32="Yes",BC$3&gt;=Projects!$C$32,BC$3&lt;Projects!$C$32+Projects!$D$32),Projects!$B$32*INDEX(Curves!$B$4:$AR$4,1,BC$3-Projects!$C$32+1),0)-IF(AND(Projects!$G$32="Yes",BC$3&gt;=Projects!$C$32,BC$3&lt;Projects!$C$32+Projects!$D$32),Projects!$B$32*(Assumptions!$B$10+Assumptions!$B$11+Assumptions!$B$12)/Projects!$D$32*0.95,0)-IF(AND(Projects!$G$32="Yes",BC$3=Projects!$C$32+Projects!$D$32-1),Projects!$B$32*(Assumptions!$B$10+Assumptions!$B$11+Assumptions!$B$12)*0.05,0)</f>
        <v>605886.75</v>
      </c>
      <c r="BD41" s="19" t="n">
        <f aca="false">IF(AND(Projects!$G$32="Yes",BD$3&gt;=Projects!$C$32,BD$3&lt;Projects!$C$32+Projects!$D$32),Projects!$B$32*INDEX(Curves!$B$4:$AR$4,1,BD$3-Projects!$C$32+1),0)-IF(AND(Projects!$G$32="Yes",BD$3&gt;=Projects!$C$32,BD$3&lt;Projects!$C$32+Projects!$D$32),Projects!$B$32*(Assumptions!$B$10+Assumptions!$B$11+Assumptions!$B$12)/Projects!$D$32*0.95,0)-IF(AND(Projects!$G$32="Yes",BD$3=Projects!$C$32+Projects!$D$32-1),Projects!$B$32*(Assumptions!$B$10+Assumptions!$B$11+Assumptions!$B$12)*0.05,0)</f>
        <v>501936.75</v>
      </c>
      <c r="BE41" s="19" t="n">
        <f aca="false">IF(AND(Projects!$G$32="Yes",BE$3&gt;=Projects!$C$32,BE$3&lt;Projects!$C$32+Projects!$D$32),Projects!$B$32*INDEX(Curves!$B$4:$AR$4,1,BE$3-Projects!$C$32+1),0)-IF(AND(Projects!$G$32="Yes",BE$3&gt;=Projects!$C$32,BE$3&lt;Projects!$C$32+Projects!$D$32),Projects!$B$32*(Assumptions!$B$10+Assumptions!$B$11+Assumptions!$B$12)/Projects!$D$32*0.95,0)-IF(AND(Projects!$G$32="Yes",BE$3=Projects!$C$32+Projects!$D$32-1),Projects!$B$32*(Assumptions!$B$10+Assumptions!$B$11+Assumptions!$B$12)*0.05,0)</f>
        <v>401121.75</v>
      </c>
      <c r="BF41" s="19" t="n">
        <f aca="false">IF(AND(Projects!$G$32="Yes",BF$3&gt;=Projects!$C$32,BF$3&lt;Projects!$C$32+Projects!$D$32),Projects!$B$32*INDEX(Curves!$B$4:$AR$4,1,BF$3-Projects!$C$32+1),0)-IF(AND(Projects!$G$32="Yes",BF$3&gt;=Projects!$C$32,BF$3&lt;Projects!$C$32+Projects!$D$32),Projects!$B$32*(Assumptions!$B$10+Assumptions!$B$11+Assumptions!$B$12)/Projects!$D$32*0.95,0)-IF(AND(Projects!$G$32="Yes",BF$3=Projects!$C$32+Projects!$D$32-1),Projects!$B$32*(Assumptions!$B$10+Assumptions!$B$11+Assumptions!$B$12)*0.05,0)</f>
        <v>217168.5</v>
      </c>
      <c r="BG41" s="19" t="n">
        <f aca="false">IF(AND(Projects!$G$32="Yes",BG$3&gt;=Projects!$C$32,BG$3&lt;Projects!$C$32+Projects!$D$32),Projects!$B$32*INDEX(Curves!$B$4:$AR$4,1,BG$3-Projects!$C$32+1),0)-IF(AND(Projects!$G$32="Yes",BG$3&gt;=Projects!$C$32,BG$3&lt;Projects!$C$32+Projects!$D$32),Projects!$B$32*(Assumptions!$B$10+Assumptions!$B$11+Assumptions!$B$12)/Projects!$D$32*0.95,0)-IF(AND(Projects!$G$32="Yes",BG$3=Projects!$C$32+Projects!$D$32-1),Projects!$B$32*(Assumptions!$B$10+Assumptions!$B$11+Assumptions!$B$12)*0.05,0)</f>
        <v>0</v>
      </c>
      <c r="BH41" s="19" t="n">
        <f aca="false">IF(AND(Projects!$G$32="Yes",BH$3&gt;=Projects!$C$32,BH$3&lt;Projects!$C$32+Projects!$D$32),Projects!$B$32*INDEX(Curves!$B$4:$AR$4,1,BH$3-Projects!$C$32+1),0)-IF(AND(Projects!$G$32="Yes",BH$3&gt;=Projects!$C$32,BH$3&lt;Projects!$C$32+Projects!$D$32),Projects!$B$32*(Assumptions!$B$10+Assumptions!$B$11+Assumptions!$B$12)/Projects!$D$32*0.95,0)-IF(AND(Projects!$G$32="Yes",BH$3=Projects!$C$32+Projects!$D$32-1),Projects!$B$32*(Assumptions!$B$10+Assumptions!$B$11+Assumptions!$B$12)*0.05,0)</f>
        <v>0</v>
      </c>
      <c r="BI41" s="19" t="n">
        <f aca="false">IF(AND(Projects!$G$32="Yes",BI$3&gt;=Projects!$C$32,BI$3&lt;Projects!$C$32+Projects!$D$32),Projects!$B$32*INDEX(Curves!$B$4:$AR$4,1,BI$3-Projects!$C$32+1),0)-IF(AND(Projects!$G$32="Yes",BI$3&gt;=Projects!$C$32,BI$3&lt;Projects!$C$32+Projects!$D$32),Projects!$B$32*(Assumptions!$B$10+Assumptions!$B$11+Assumptions!$B$12)/Projects!$D$32*0.95,0)-IF(AND(Projects!$G$32="Yes",BI$3=Projects!$C$32+Projects!$D$32-1),Projects!$B$32*(Assumptions!$B$10+Assumptions!$B$11+Assumptions!$B$12)*0.05,0)</f>
        <v>0</v>
      </c>
      <c r="BJ41" s="19" t="n">
        <f aca="false">IF(AND(Projects!$G$32="Yes",BJ$3&gt;=Projects!$C$32,BJ$3&lt;Projects!$C$32+Projects!$D$32),Projects!$B$32*INDEX(Curves!$B$4:$AR$4,1,BJ$3-Projects!$C$32+1),0)-IF(AND(Projects!$G$32="Yes",BJ$3&gt;=Projects!$C$32,BJ$3&lt;Projects!$C$32+Projects!$D$32),Projects!$B$32*(Assumptions!$B$10+Assumptions!$B$11+Assumptions!$B$12)/Projects!$D$32*0.95,0)-IF(AND(Projects!$G$32="Yes",BJ$3=Projects!$C$32+Projects!$D$32-1),Projects!$B$32*(Assumptions!$B$10+Assumptions!$B$11+Assumptions!$B$12)*0.05,0)</f>
        <v>0</v>
      </c>
      <c r="BK41" s="19" t="n">
        <f aca="false">IF(AND(Projects!$G$32="Yes",BK$3&gt;=Projects!$C$32,BK$3&lt;Projects!$C$32+Projects!$D$32),Projects!$B$32*INDEX(Curves!$B$4:$AR$4,1,BK$3-Projects!$C$32+1),0)-IF(AND(Projects!$G$32="Yes",BK$3&gt;=Projects!$C$32,BK$3&lt;Projects!$C$32+Projects!$D$32),Projects!$B$32*(Assumptions!$B$10+Assumptions!$B$11+Assumptions!$B$12)/Projects!$D$32*0.95,0)-IF(AND(Projects!$G$32="Yes",BK$3=Projects!$C$32+Projects!$D$32-1),Projects!$B$32*(Assumptions!$B$10+Assumptions!$B$11+Assumptions!$B$12)*0.05,0)</f>
        <v>0</v>
      </c>
      <c r="BL41" s="19" t="n">
        <f aca="false">IF(AND(Projects!$G$32="Yes",BL$3&gt;=Projects!$C$32,BL$3&lt;Projects!$C$32+Projects!$D$32),Projects!$B$32*INDEX(Curves!$B$4:$AR$4,1,BL$3-Projects!$C$32+1),0)-IF(AND(Projects!$G$32="Yes",BL$3&gt;=Projects!$C$32,BL$3&lt;Projects!$C$32+Projects!$D$32),Projects!$B$32*(Assumptions!$B$10+Assumptions!$B$11+Assumptions!$B$12)/Projects!$D$32*0.95,0)-IF(AND(Projects!$G$32="Yes",BL$3=Projects!$C$32+Projects!$D$32-1),Projects!$B$32*(Assumptions!$B$10+Assumptions!$B$11+Assumptions!$B$12)*0.05,0)</f>
        <v>0</v>
      </c>
      <c r="BM41" s="19" t="n">
        <f aca="false">IF(AND(Projects!$G$32="Yes",BM$3&gt;=Projects!$C$32,BM$3&lt;Projects!$C$32+Projects!$D$32),Projects!$B$32*INDEX(Curves!$B$4:$AR$4,1,BM$3-Projects!$C$32+1),0)-IF(AND(Projects!$G$32="Yes",BM$3&gt;=Projects!$C$32,BM$3&lt;Projects!$C$32+Projects!$D$32),Projects!$B$32*(Assumptions!$B$10+Assumptions!$B$11+Assumptions!$B$12)/Projects!$D$32*0.95,0)-IF(AND(Projects!$G$32="Yes",BM$3=Projects!$C$32+Projects!$D$32-1),Projects!$B$32*(Assumptions!$B$10+Assumptions!$B$11+Assumptions!$B$12)*0.05,0)</f>
        <v>0</v>
      </c>
      <c r="BN41" s="19" t="n">
        <f aca="false">IF(AND(Projects!$G$32="Yes",BN$3&gt;=Projects!$C$32,BN$3&lt;Projects!$C$32+Projects!$D$32),Projects!$B$32*INDEX(Curves!$B$4:$AR$4,1,BN$3-Projects!$C$32+1),0)-IF(AND(Projects!$G$32="Yes",BN$3&gt;=Projects!$C$32,BN$3&lt;Projects!$C$32+Projects!$D$32),Projects!$B$32*(Assumptions!$B$10+Assumptions!$B$11+Assumptions!$B$12)/Projects!$D$32*0.95,0)-IF(AND(Projects!$G$32="Yes",BN$3=Projects!$C$32+Projects!$D$32-1),Projects!$B$32*(Assumptions!$B$10+Assumptions!$B$11+Assumptions!$B$12)*0.05,0)</f>
        <v>0</v>
      </c>
      <c r="BO41" s="19" t="n">
        <f aca="false">IF(AND(Projects!$G$32="Yes",BO$3&gt;=Projects!$C$32,BO$3&lt;Projects!$C$32+Projects!$D$32),Projects!$B$32*INDEX(Curves!$B$4:$AR$4,1,BO$3-Projects!$C$32+1),0)-IF(AND(Projects!$G$32="Yes",BO$3&gt;=Projects!$C$32,BO$3&lt;Projects!$C$32+Projects!$D$32),Projects!$B$32*(Assumptions!$B$10+Assumptions!$B$11+Assumptions!$B$12)/Projects!$D$32*0.95,0)-IF(AND(Projects!$G$32="Yes",BO$3=Projects!$C$32+Projects!$D$32-1),Projects!$B$32*(Assumptions!$B$10+Assumptions!$B$11+Assumptions!$B$12)*0.05,0)</f>
        <v>0</v>
      </c>
      <c r="BP41" s="19" t="n">
        <f aca="false">IF(AND(Projects!$G$32="Yes",BP$3&gt;=Projects!$C$32,BP$3&lt;Projects!$C$32+Projects!$D$32),Projects!$B$32*INDEX(Curves!$B$4:$AR$4,1,BP$3-Projects!$C$32+1),0)-IF(AND(Projects!$G$32="Yes",BP$3&gt;=Projects!$C$32,BP$3&lt;Projects!$C$32+Projects!$D$32),Projects!$B$32*(Assumptions!$B$10+Assumptions!$B$11+Assumptions!$B$12)/Projects!$D$32*0.95,0)-IF(AND(Projects!$G$32="Yes",BP$3=Projects!$C$32+Projects!$D$32-1),Projects!$B$32*(Assumptions!$B$10+Assumptions!$B$11+Assumptions!$B$12)*0.05,0)</f>
        <v>0</v>
      </c>
      <c r="BQ41" s="19" t="n">
        <f aca="false">IF(AND(Projects!$G$32="Yes",BQ$3&gt;=Projects!$C$32,BQ$3&lt;Projects!$C$32+Projects!$D$32),Projects!$B$32*INDEX(Curves!$B$4:$AR$4,1,BQ$3-Projects!$C$32+1),0)-IF(AND(Projects!$G$32="Yes",BQ$3&gt;=Projects!$C$32,BQ$3&lt;Projects!$C$32+Projects!$D$32),Projects!$B$32*(Assumptions!$B$10+Assumptions!$B$11+Assumptions!$B$12)/Projects!$D$32*0.95,0)-IF(AND(Projects!$G$32="Yes",BQ$3=Projects!$C$32+Projects!$D$32-1),Projects!$B$32*(Assumptions!$B$10+Assumptions!$B$11+Assumptions!$B$12)*0.05,0)</f>
        <v>0</v>
      </c>
      <c r="BR41" s="19" t="n">
        <f aca="false">IF(AND(Projects!$G$32="Yes",BR$3&gt;=Projects!$C$32,BR$3&lt;Projects!$C$32+Projects!$D$32),Projects!$B$32*INDEX(Curves!$B$4:$AR$4,1,BR$3-Projects!$C$32+1),0)-IF(AND(Projects!$G$32="Yes",BR$3&gt;=Projects!$C$32,BR$3&lt;Projects!$C$32+Projects!$D$32),Projects!$B$32*(Assumptions!$B$10+Assumptions!$B$11+Assumptions!$B$12)/Projects!$D$32*0.95,0)-IF(AND(Projects!$G$32="Yes",BR$3=Projects!$C$32+Projects!$D$32-1),Projects!$B$32*(Assumptions!$B$10+Assumptions!$B$11+Assumptions!$B$12)*0.05,0)</f>
        <v>0</v>
      </c>
      <c r="BS41" s="19" t="n">
        <f aca="false">IF(AND(Projects!$G$32="Yes",BS$3&gt;=Projects!$C$32,BS$3&lt;Projects!$C$32+Projects!$D$32),Projects!$B$32*INDEX(Curves!$B$4:$AR$4,1,BS$3-Projects!$C$32+1),0)-IF(AND(Projects!$G$32="Yes",BS$3&gt;=Projects!$C$32,BS$3&lt;Projects!$C$32+Projects!$D$32),Projects!$B$32*(Assumptions!$B$10+Assumptions!$B$11+Assumptions!$B$12)/Projects!$D$32*0.95,0)-IF(AND(Projects!$G$32="Yes",BS$3=Projects!$C$32+Projects!$D$32-1),Projects!$B$32*(Assumptions!$B$10+Assumptions!$B$11+Assumptions!$B$12)*0.05,0)</f>
        <v>0</v>
      </c>
      <c r="BT41" s="19" t="n">
        <f aca="false">IF(AND(Projects!$G$32="Yes",BT$3&gt;=Projects!$C$32,BT$3&lt;Projects!$C$32+Projects!$D$32),Projects!$B$32*INDEX(Curves!$B$4:$AR$4,1,BT$3-Projects!$C$32+1),0)-IF(AND(Projects!$G$32="Yes",BT$3&gt;=Projects!$C$32,BT$3&lt;Projects!$C$32+Projects!$D$32),Projects!$B$32*(Assumptions!$B$10+Assumptions!$B$11+Assumptions!$B$12)/Projects!$D$32*0.95,0)-IF(AND(Projects!$G$32="Yes",BT$3=Projects!$C$32+Projects!$D$32-1),Projects!$B$32*(Assumptions!$B$10+Assumptions!$B$11+Assumptions!$B$12)*0.05,0)</f>
        <v>0</v>
      </c>
      <c r="BU41" s="19" t="n">
        <f aca="false">IF(AND(Projects!$G$32="Yes",BU$3&gt;=Projects!$C$32,BU$3&lt;Projects!$C$32+Projects!$D$32),Projects!$B$32*INDEX(Curves!$B$4:$AR$4,1,BU$3-Projects!$C$32+1),0)-IF(AND(Projects!$G$32="Yes",BU$3&gt;=Projects!$C$32,BU$3&lt;Projects!$C$32+Projects!$D$32),Projects!$B$32*(Assumptions!$B$10+Assumptions!$B$11+Assumptions!$B$12)/Projects!$D$32*0.95,0)-IF(AND(Projects!$G$32="Yes",BU$3=Projects!$C$32+Projects!$D$32-1),Projects!$B$32*(Assumptions!$B$10+Assumptions!$B$11+Assumptions!$B$12)*0.05,0)</f>
        <v>0</v>
      </c>
      <c r="BV41" s="19" t="n">
        <f aca="false">IF(AND(Projects!$G$32="Yes",BV$3&gt;=Projects!$C$32,BV$3&lt;Projects!$C$32+Projects!$D$32),Projects!$B$32*INDEX(Curves!$B$4:$AR$4,1,BV$3-Projects!$C$32+1),0)-IF(AND(Projects!$G$32="Yes",BV$3&gt;=Projects!$C$32,BV$3&lt;Projects!$C$32+Projects!$D$32),Projects!$B$32*(Assumptions!$B$10+Assumptions!$B$11+Assumptions!$B$12)/Projects!$D$32*0.95,0)-IF(AND(Projects!$G$32="Yes",BV$3=Projects!$C$32+Projects!$D$32-1),Projects!$B$32*(Assumptions!$B$10+Assumptions!$B$11+Assumptions!$B$12)*0.05,0)</f>
        <v>0</v>
      </c>
      <c r="BW41" s="19" t="n">
        <f aca="false">IF(AND(Projects!$G$32="Yes",BW$3&gt;=Projects!$C$32,BW$3&lt;Projects!$C$32+Projects!$D$32),Projects!$B$32*INDEX(Curves!$B$4:$AR$4,1,BW$3-Projects!$C$32+1),0)-IF(AND(Projects!$G$32="Yes",BW$3&gt;=Projects!$C$32,BW$3&lt;Projects!$C$32+Projects!$D$32),Projects!$B$32*(Assumptions!$B$10+Assumptions!$B$11+Assumptions!$B$12)/Projects!$D$32*0.95,0)-IF(AND(Projects!$G$32="Yes",BW$3=Projects!$C$32+Projects!$D$32-1),Projects!$B$32*(Assumptions!$B$10+Assumptions!$B$11+Assumptions!$B$12)*0.05,0)</f>
        <v>0</v>
      </c>
      <c r="BX41" s="19" t="n">
        <f aca="false">IF(AND(Projects!$G$32="Yes",BX$3&gt;=Projects!$C$32,BX$3&lt;Projects!$C$32+Projects!$D$32),Projects!$B$32*INDEX(Curves!$B$4:$AR$4,1,BX$3-Projects!$C$32+1),0)-IF(AND(Projects!$G$32="Yes",BX$3&gt;=Projects!$C$32,BX$3&lt;Projects!$C$32+Projects!$D$32),Projects!$B$32*(Assumptions!$B$10+Assumptions!$B$11+Assumptions!$B$12)/Projects!$D$32*0.95,0)-IF(AND(Projects!$G$32="Yes",BX$3=Projects!$C$32+Projects!$D$32-1),Projects!$B$32*(Assumptions!$B$10+Assumptions!$B$11+Assumptions!$B$12)*0.05,0)</f>
        <v>0</v>
      </c>
      <c r="BY41" s="19" t="n">
        <f aca="false">IF(AND(Projects!$G$32="Yes",BY$3&gt;=Projects!$C$32,BY$3&lt;Projects!$C$32+Projects!$D$32),Projects!$B$32*INDEX(Curves!$B$4:$AR$4,1,BY$3-Projects!$C$32+1),0)-IF(AND(Projects!$G$32="Yes",BY$3&gt;=Projects!$C$32,BY$3&lt;Projects!$C$32+Projects!$D$32),Projects!$B$32*(Assumptions!$B$10+Assumptions!$B$11+Assumptions!$B$12)/Projects!$D$32*0.95,0)-IF(AND(Projects!$G$32="Yes",BY$3=Projects!$C$32+Projects!$D$32-1),Projects!$B$32*(Assumptions!$B$10+Assumptions!$B$11+Assumptions!$B$12)*0.05,0)</f>
        <v>0</v>
      </c>
      <c r="BZ41" s="19" t="n">
        <f aca="false">IF(AND(Projects!$G$32="Yes",BZ$3&gt;=Projects!$C$32,BZ$3&lt;Projects!$C$32+Projects!$D$32),Projects!$B$32*INDEX(Curves!$B$4:$AR$4,1,BZ$3-Projects!$C$32+1),0)-IF(AND(Projects!$G$32="Yes",BZ$3&gt;=Projects!$C$32,BZ$3&lt;Projects!$C$32+Projects!$D$32),Projects!$B$32*(Assumptions!$B$10+Assumptions!$B$11+Assumptions!$B$12)/Projects!$D$32*0.95,0)-IF(AND(Projects!$G$32="Yes",BZ$3=Projects!$C$32+Projects!$D$32-1),Projects!$B$32*(Assumptions!$B$10+Assumptions!$B$11+Assumptions!$B$12)*0.05,0)</f>
        <v>0</v>
      </c>
      <c r="CA41" s="19" t="n">
        <f aca="false">IF(AND(Projects!$G$32="Yes",CA$3&gt;=Projects!$C$32,CA$3&lt;Projects!$C$32+Projects!$D$32),Projects!$B$32*INDEX(Curves!$B$4:$AR$4,1,CA$3-Projects!$C$32+1),0)-IF(AND(Projects!$G$32="Yes",CA$3&gt;=Projects!$C$32,CA$3&lt;Projects!$C$32+Projects!$D$32),Projects!$B$32*(Assumptions!$B$10+Assumptions!$B$11+Assumptions!$B$12)/Projects!$D$32*0.95,0)-IF(AND(Projects!$G$32="Yes",CA$3=Projects!$C$32+Projects!$D$32-1),Projects!$B$32*(Assumptions!$B$10+Assumptions!$B$11+Assumptions!$B$12)*0.05,0)</f>
        <v>0</v>
      </c>
      <c r="CB41" s="19" t="n">
        <f aca="false">IF(AND(Projects!$G$32="Yes",CB$3&gt;=Projects!$C$32,CB$3&lt;Projects!$C$32+Projects!$D$32),Projects!$B$32*INDEX(Curves!$B$4:$AR$4,1,CB$3-Projects!$C$32+1),0)-IF(AND(Projects!$G$32="Yes",CB$3&gt;=Projects!$C$32,CB$3&lt;Projects!$C$32+Projects!$D$32),Projects!$B$32*(Assumptions!$B$10+Assumptions!$B$11+Assumptions!$B$12)/Projects!$D$32*0.95,0)-IF(AND(Projects!$G$32="Yes",CB$3=Projects!$C$32+Projects!$D$32-1),Projects!$B$32*(Assumptions!$B$10+Assumptions!$B$11+Assumptions!$B$12)*0.05,0)</f>
        <v>0</v>
      </c>
      <c r="CC41" s="19" t="n">
        <f aca="false">IF(AND(Projects!$G$32="Yes",CC$3&gt;=Projects!$C$32,CC$3&lt;Projects!$C$32+Projects!$D$32),Projects!$B$32*INDEX(Curves!$B$4:$AR$4,1,CC$3-Projects!$C$32+1),0)-IF(AND(Projects!$G$32="Yes",CC$3&gt;=Projects!$C$32,CC$3&lt;Projects!$C$32+Projects!$D$32),Projects!$B$32*(Assumptions!$B$10+Assumptions!$B$11+Assumptions!$B$12)/Projects!$D$32*0.95,0)-IF(AND(Projects!$G$32="Yes",CC$3=Projects!$C$32+Projects!$D$32-1),Projects!$B$32*(Assumptions!$B$10+Assumptions!$B$11+Assumptions!$B$12)*0.05,0)</f>
        <v>0</v>
      </c>
      <c r="CD41" s="19" t="n">
        <f aca="false">IF(AND(Projects!$G$32="Yes",CD$3&gt;=Projects!$C$32,CD$3&lt;Projects!$C$32+Projects!$D$32),Projects!$B$32*INDEX(Curves!$B$4:$AR$4,1,CD$3-Projects!$C$32+1),0)-IF(AND(Projects!$G$32="Yes",CD$3&gt;=Projects!$C$32,CD$3&lt;Projects!$C$32+Projects!$D$32),Projects!$B$32*(Assumptions!$B$10+Assumptions!$B$11+Assumptions!$B$12)/Projects!$D$32*0.95,0)-IF(AND(Projects!$G$32="Yes",CD$3=Projects!$C$32+Projects!$D$32-1),Projects!$B$32*(Assumptions!$B$10+Assumptions!$B$11+Assumptions!$B$12)*0.05,0)</f>
        <v>0</v>
      </c>
      <c r="CE41" s="19" t="n">
        <f aca="false">IF(AND(Projects!$G$32="Yes",CE$3&gt;=Projects!$C$32,CE$3&lt;Projects!$C$32+Projects!$D$32),Projects!$B$32*INDEX(Curves!$B$4:$AR$4,1,CE$3-Projects!$C$32+1),0)-IF(AND(Projects!$G$32="Yes",CE$3&gt;=Projects!$C$32,CE$3&lt;Projects!$C$32+Projects!$D$32),Projects!$B$32*(Assumptions!$B$10+Assumptions!$B$11+Assumptions!$B$12)/Projects!$D$32*0.95,0)-IF(AND(Projects!$G$32="Yes",CE$3=Projects!$C$32+Projects!$D$32-1),Projects!$B$32*(Assumptions!$B$10+Assumptions!$B$11+Assumptions!$B$12)*0.05,0)</f>
        <v>0</v>
      </c>
      <c r="CF41" s="19" t="n">
        <f aca="false">IF(AND(Projects!$G$32="Yes",CF$3&gt;=Projects!$C$32,CF$3&lt;Projects!$C$32+Projects!$D$32),Projects!$B$32*INDEX(Curves!$B$4:$AR$4,1,CF$3-Projects!$C$32+1),0)-IF(AND(Projects!$G$32="Yes",CF$3&gt;=Projects!$C$32,CF$3&lt;Projects!$C$32+Projects!$D$32),Projects!$B$32*(Assumptions!$B$10+Assumptions!$B$11+Assumptions!$B$12)/Projects!$D$32*0.95,0)-IF(AND(Projects!$G$32="Yes",CF$3=Projects!$C$32+Projects!$D$32-1),Projects!$B$32*(Assumptions!$B$10+Assumptions!$B$11+Assumptions!$B$12)*0.05,0)</f>
        <v>0</v>
      </c>
      <c r="CG41" s="19" t="n">
        <f aca="false">IF(AND(Projects!$G$32="Yes",CG$3&gt;=Projects!$C$32,CG$3&lt;Projects!$C$32+Projects!$D$32),Projects!$B$32*INDEX(Curves!$B$4:$AR$4,1,CG$3-Projects!$C$32+1),0)-IF(AND(Projects!$G$32="Yes",CG$3&gt;=Projects!$C$32,CG$3&lt;Projects!$C$32+Projects!$D$32),Projects!$B$32*(Assumptions!$B$10+Assumptions!$B$11+Assumptions!$B$12)/Projects!$D$32*0.95,0)-IF(AND(Projects!$G$32="Yes",CG$3=Projects!$C$32+Projects!$D$32-1),Projects!$B$32*(Assumptions!$B$10+Assumptions!$B$11+Assumptions!$B$12)*0.05,0)</f>
        <v>0</v>
      </c>
      <c r="CH41" s="19" t="n">
        <f aca="false">IF(AND(Projects!$G$32="Yes",CH$3&gt;=Projects!$C$32,CH$3&lt;Projects!$C$32+Projects!$D$32),Projects!$B$32*INDEX(Curves!$B$4:$AR$4,1,CH$3-Projects!$C$32+1),0)-IF(AND(Projects!$G$32="Yes",CH$3&gt;=Projects!$C$32,CH$3&lt;Projects!$C$32+Projects!$D$32),Projects!$B$32*(Assumptions!$B$10+Assumptions!$B$11+Assumptions!$B$12)/Projects!$D$32*0.95,0)-IF(AND(Projects!$G$32="Yes",CH$3=Projects!$C$32+Projects!$D$32-1),Projects!$B$32*(Assumptions!$B$10+Assumptions!$B$11+Assumptions!$B$12)*0.05,0)</f>
        <v>0</v>
      </c>
      <c r="CI41" s="19" t="n">
        <f aca="false">IF(AND(Projects!$G$32="Yes",CI$3&gt;=Projects!$C$32,CI$3&lt;Projects!$C$32+Projects!$D$32),Projects!$B$32*INDEX(Curves!$B$4:$AR$4,1,CI$3-Projects!$C$32+1),0)-IF(AND(Projects!$G$32="Yes",CI$3&gt;=Projects!$C$32,CI$3&lt;Projects!$C$32+Projects!$D$32),Projects!$B$32*(Assumptions!$B$10+Assumptions!$B$11+Assumptions!$B$12)/Projects!$D$32*0.95,0)-IF(AND(Projects!$G$32="Yes",CI$3=Projects!$C$32+Projects!$D$32-1),Projects!$B$32*(Assumptions!$B$10+Assumptions!$B$11+Assumptions!$B$12)*0.05,0)</f>
        <v>0</v>
      </c>
      <c r="CJ41" s="19" t="n">
        <f aca="false">IF(AND(Projects!$G$32="Yes",CJ$3&gt;=Projects!$C$32,CJ$3&lt;Projects!$C$32+Projects!$D$32),Projects!$B$32*INDEX(Curves!$B$4:$AR$4,1,CJ$3-Projects!$C$32+1),0)-IF(AND(Projects!$G$32="Yes",CJ$3&gt;=Projects!$C$32,CJ$3&lt;Projects!$C$32+Projects!$D$32),Projects!$B$32*(Assumptions!$B$10+Assumptions!$B$11+Assumptions!$B$12)/Projects!$D$32*0.95,0)-IF(AND(Projects!$G$32="Yes",CJ$3=Projects!$C$32+Projects!$D$32-1),Projects!$B$32*(Assumptions!$B$10+Assumptions!$B$11+Assumptions!$B$12)*0.05,0)</f>
        <v>0</v>
      </c>
      <c r="CK41" s="19" t="n">
        <f aca="false">IF(AND(Projects!$G$32="Yes",CK$3&gt;=Projects!$C$32,CK$3&lt;Projects!$C$32+Projects!$D$32),Projects!$B$32*INDEX(Curves!$B$4:$AR$4,1,CK$3-Projects!$C$32+1),0)-IF(AND(Projects!$G$32="Yes",CK$3&gt;=Projects!$C$32,CK$3&lt;Projects!$C$32+Projects!$D$32),Projects!$B$32*(Assumptions!$B$10+Assumptions!$B$11+Assumptions!$B$12)/Projects!$D$32*0.95,0)-IF(AND(Projects!$G$32="Yes",CK$3=Projects!$C$32+Projects!$D$32-1),Projects!$B$32*(Assumptions!$B$10+Assumptions!$B$11+Assumptions!$B$12)*0.05,0)</f>
        <v>0</v>
      </c>
      <c r="CL41" s="19" t="n">
        <f aca="false">IF(AND(Projects!$G$32="Yes",CL$3&gt;=Projects!$C$32,CL$3&lt;Projects!$C$32+Projects!$D$32),Projects!$B$32*INDEX(Curves!$B$4:$AR$4,1,CL$3-Projects!$C$32+1),0)-IF(AND(Projects!$G$32="Yes",CL$3&gt;=Projects!$C$32,CL$3&lt;Projects!$C$32+Projects!$D$32),Projects!$B$32*(Assumptions!$B$10+Assumptions!$B$11+Assumptions!$B$12)/Projects!$D$32*0.95,0)-IF(AND(Projects!$G$32="Yes",CL$3=Projects!$C$32+Projects!$D$32-1),Projects!$B$32*(Assumptions!$B$10+Assumptions!$B$11+Assumptions!$B$12)*0.05,0)</f>
        <v>0</v>
      </c>
      <c r="CM41" s="19" t="n">
        <f aca="false">IF(AND(Projects!$G$32="Yes",CM$3&gt;=Projects!$C$32,CM$3&lt;Projects!$C$32+Projects!$D$32),Projects!$B$32*INDEX(Curves!$B$4:$AR$4,1,CM$3-Projects!$C$32+1),0)-IF(AND(Projects!$G$32="Yes",CM$3&gt;=Projects!$C$32,CM$3&lt;Projects!$C$32+Projects!$D$32),Projects!$B$32*(Assumptions!$B$10+Assumptions!$B$11+Assumptions!$B$12)/Projects!$D$32*0.95,0)-IF(AND(Projects!$G$32="Yes",CM$3=Projects!$C$32+Projects!$D$32-1),Projects!$B$32*(Assumptions!$B$10+Assumptions!$B$11+Assumptions!$B$12)*0.05,0)</f>
        <v>0</v>
      </c>
      <c r="CN41" s="19" t="n">
        <f aca="false">IF(AND(Projects!$G$32="Yes",CN$3&gt;=Projects!$C$32,CN$3&lt;Projects!$C$32+Projects!$D$32),Projects!$B$32*INDEX(Curves!$B$4:$AR$4,1,CN$3-Projects!$C$32+1),0)-IF(AND(Projects!$G$32="Yes",CN$3&gt;=Projects!$C$32,CN$3&lt;Projects!$C$32+Projects!$D$32),Projects!$B$32*(Assumptions!$B$10+Assumptions!$B$11+Assumptions!$B$12)/Projects!$D$32*0.95,0)-IF(AND(Projects!$G$32="Yes",CN$3=Projects!$C$32+Projects!$D$32-1),Projects!$B$32*(Assumptions!$B$10+Assumptions!$B$11+Assumptions!$B$12)*0.05,0)</f>
        <v>0</v>
      </c>
      <c r="CO41" s="19" t="n">
        <f aca="false">IF(AND(Projects!$G$32="Yes",CO$3&gt;=Projects!$C$32,CO$3&lt;Projects!$C$32+Projects!$D$32),Projects!$B$32*INDEX(Curves!$B$4:$AR$4,1,CO$3-Projects!$C$32+1),0)-IF(AND(Projects!$G$32="Yes",CO$3&gt;=Projects!$C$32,CO$3&lt;Projects!$C$32+Projects!$D$32),Projects!$B$32*(Assumptions!$B$10+Assumptions!$B$11+Assumptions!$B$12)/Projects!$D$32*0.95,0)-IF(AND(Projects!$G$32="Yes",CO$3=Projects!$C$32+Projects!$D$32-1),Projects!$B$32*(Assumptions!$B$10+Assumptions!$B$11+Assumptions!$B$12)*0.05,0)</f>
        <v>0</v>
      </c>
      <c r="CP41" s="19" t="n">
        <f aca="false">IF(AND(Projects!$G$32="Yes",CP$3&gt;=Projects!$C$32,CP$3&lt;Projects!$C$32+Projects!$D$32),Projects!$B$32*INDEX(Curves!$B$4:$AR$4,1,CP$3-Projects!$C$32+1),0)-IF(AND(Projects!$G$32="Yes",CP$3&gt;=Projects!$C$32,CP$3&lt;Projects!$C$32+Projects!$D$32),Projects!$B$32*(Assumptions!$B$10+Assumptions!$B$11+Assumptions!$B$12)/Projects!$D$32*0.95,0)-IF(AND(Projects!$G$32="Yes",CP$3=Projects!$C$32+Projects!$D$32-1),Projects!$B$32*(Assumptions!$B$10+Assumptions!$B$11+Assumptions!$B$12)*0.05,0)</f>
        <v>0</v>
      </c>
      <c r="CQ41" s="19" t="n">
        <f aca="false">IF(AND(Projects!$G$32="Yes",CQ$3&gt;=Projects!$C$32,CQ$3&lt;Projects!$C$32+Projects!$D$32),Projects!$B$32*INDEX(Curves!$B$4:$AR$4,1,CQ$3-Projects!$C$32+1),0)-IF(AND(Projects!$G$32="Yes",CQ$3&gt;=Projects!$C$32,CQ$3&lt;Projects!$C$32+Projects!$D$32),Projects!$B$32*(Assumptions!$B$10+Assumptions!$B$11+Assumptions!$B$12)/Projects!$D$32*0.95,0)-IF(AND(Projects!$G$32="Yes",CQ$3=Projects!$C$32+Projects!$D$32-1),Projects!$B$32*(Assumptions!$B$10+Assumptions!$B$11+Assumptions!$B$12)*0.05,0)</f>
        <v>0</v>
      </c>
      <c r="CR41" s="19" t="n">
        <f aca="false">IF(AND(Projects!$G$32="Yes",CR$3&gt;=Projects!$C$32,CR$3&lt;Projects!$C$32+Projects!$D$32),Projects!$B$32*INDEX(Curves!$B$4:$AR$4,1,CR$3-Projects!$C$32+1),0)-IF(AND(Projects!$G$32="Yes",CR$3&gt;=Projects!$C$32,CR$3&lt;Projects!$C$32+Projects!$D$32),Projects!$B$32*(Assumptions!$B$10+Assumptions!$B$11+Assumptions!$B$12)/Projects!$D$32*0.95,0)-IF(AND(Projects!$G$32="Yes",CR$3=Projects!$C$32+Projects!$D$32-1),Projects!$B$32*(Assumptions!$B$10+Assumptions!$B$11+Assumptions!$B$12)*0.05,0)</f>
        <v>0</v>
      </c>
      <c r="CS41" s="19" t="n">
        <f aca="false">IF(AND(Projects!$G$32="Yes",CS$3&gt;=Projects!$C$32,CS$3&lt;Projects!$C$32+Projects!$D$32),Projects!$B$32*INDEX(Curves!$B$4:$AR$4,1,CS$3-Projects!$C$32+1),0)-IF(AND(Projects!$G$32="Yes",CS$3&gt;=Projects!$C$32,CS$3&lt;Projects!$C$32+Projects!$D$32),Projects!$B$32*(Assumptions!$B$10+Assumptions!$B$11+Assumptions!$B$12)/Projects!$D$32*0.95,0)-IF(AND(Projects!$G$32="Yes",CS$3=Projects!$C$32+Projects!$D$32-1),Projects!$B$32*(Assumptions!$B$10+Assumptions!$B$11+Assumptions!$B$12)*0.05,0)</f>
        <v>0</v>
      </c>
      <c r="CT41" s="19" t="n">
        <f aca="false">IF(AND(Projects!$G$32="Yes",CT$3&gt;=Projects!$C$32,CT$3&lt;Projects!$C$32+Projects!$D$32),Projects!$B$32*INDEX(Curves!$B$4:$AR$4,1,CT$3-Projects!$C$32+1),0)-IF(AND(Projects!$G$32="Yes",CT$3&gt;=Projects!$C$32,CT$3&lt;Projects!$C$32+Projects!$D$32),Projects!$B$32*(Assumptions!$B$10+Assumptions!$B$11+Assumptions!$B$12)/Projects!$D$32*0.95,0)-IF(AND(Projects!$G$32="Yes",CT$3=Projects!$C$32+Projects!$D$32-1),Projects!$B$32*(Assumptions!$B$10+Assumptions!$B$11+Assumptions!$B$12)*0.05,0)</f>
        <v>0</v>
      </c>
      <c r="CU41" s="19" t="n">
        <f aca="false">IF(AND(Projects!$G$32="Yes",CU$3&gt;=Projects!$C$32,CU$3&lt;Projects!$C$32+Projects!$D$32),Projects!$B$32*INDEX(Curves!$B$4:$AR$4,1,CU$3-Projects!$C$32+1),0)-IF(AND(Projects!$G$32="Yes",CU$3&gt;=Projects!$C$32,CU$3&lt;Projects!$C$32+Projects!$D$32),Projects!$B$32*(Assumptions!$B$10+Assumptions!$B$11+Assumptions!$B$12)/Projects!$D$32*0.95,0)-IF(AND(Projects!$G$32="Yes",CU$3=Projects!$C$32+Projects!$D$32-1),Projects!$B$32*(Assumptions!$B$10+Assumptions!$B$11+Assumptions!$B$12)*0.05,0)</f>
        <v>0</v>
      </c>
      <c r="CV41" s="19" t="n">
        <f aca="false">IF(AND(Projects!$G$32="Yes",CV$3&gt;=Projects!$C$32,CV$3&lt;Projects!$C$32+Projects!$D$32),Projects!$B$32*INDEX(Curves!$B$4:$AR$4,1,CV$3-Projects!$C$32+1),0)-IF(AND(Projects!$G$32="Yes",CV$3&gt;=Projects!$C$32,CV$3&lt;Projects!$C$32+Projects!$D$32),Projects!$B$32*(Assumptions!$B$10+Assumptions!$B$11+Assumptions!$B$12)/Projects!$D$32*0.95,0)-IF(AND(Projects!$G$32="Yes",CV$3=Projects!$C$32+Projects!$D$32-1),Projects!$B$32*(Assumptions!$B$10+Assumptions!$B$11+Assumptions!$B$12)*0.05,0)</f>
        <v>0</v>
      </c>
      <c r="CW41" s="19" t="n">
        <f aca="false">IF(AND(Projects!$G$32="Yes",CW$3&gt;=Projects!$C$32,CW$3&lt;Projects!$C$32+Projects!$D$32),Projects!$B$32*INDEX(Curves!$B$4:$AR$4,1,CW$3-Projects!$C$32+1),0)-IF(AND(Projects!$G$32="Yes",CW$3&gt;=Projects!$C$32,CW$3&lt;Projects!$C$32+Projects!$D$32),Projects!$B$32*(Assumptions!$B$10+Assumptions!$B$11+Assumptions!$B$12)/Projects!$D$32*0.95,0)-IF(AND(Projects!$G$32="Yes",CW$3=Projects!$C$32+Projects!$D$32-1),Projects!$B$32*(Assumptions!$B$10+Assumptions!$B$11+Assumptions!$B$12)*0.05,0)</f>
        <v>0</v>
      </c>
      <c r="CX41" s="19" t="n">
        <f aca="false">IF(AND(Projects!$G$32="Yes",CX$3&gt;=Projects!$C$32,CX$3&lt;Projects!$C$32+Projects!$D$32),Projects!$B$32*INDEX(Curves!$B$4:$AR$4,1,CX$3-Projects!$C$32+1),0)-IF(AND(Projects!$G$32="Yes",CX$3&gt;=Projects!$C$32,CX$3&lt;Projects!$C$32+Projects!$D$32),Projects!$B$32*(Assumptions!$B$10+Assumptions!$B$11+Assumptions!$B$12)/Projects!$D$32*0.95,0)-IF(AND(Projects!$G$32="Yes",CX$3=Projects!$C$32+Projects!$D$32-1),Projects!$B$32*(Assumptions!$B$10+Assumptions!$B$11+Assumptions!$B$12)*0.05,0)</f>
        <v>0</v>
      </c>
      <c r="CY41" s="19" t="n">
        <f aca="false">IF(AND(Projects!$G$32="Yes",CY$3&gt;=Projects!$C$32,CY$3&lt;Projects!$C$32+Projects!$D$32),Projects!$B$32*INDEX(Curves!$B$4:$AR$4,1,CY$3-Projects!$C$32+1),0)-IF(AND(Projects!$G$32="Yes",CY$3&gt;=Projects!$C$32,CY$3&lt;Projects!$C$32+Projects!$D$32),Projects!$B$32*(Assumptions!$B$10+Assumptions!$B$11+Assumptions!$B$12)/Projects!$D$32*0.95,0)-IF(AND(Projects!$G$32="Yes",CY$3=Projects!$C$32+Projects!$D$32-1),Projects!$B$32*(Assumptions!$B$10+Assumptions!$B$11+Assumptions!$B$12)*0.05,0)</f>
        <v>0</v>
      </c>
      <c r="CZ41" s="19" t="n">
        <f aca="false">IF(AND(Projects!$G$32="Yes",CZ$3&gt;=Projects!$C$32,CZ$3&lt;Projects!$C$32+Projects!$D$32),Projects!$B$32*INDEX(Curves!$B$4:$AR$4,1,CZ$3-Projects!$C$32+1),0)-IF(AND(Projects!$G$32="Yes",CZ$3&gt;=Projects!$C$32,CZ$3&lt;Projects!$C$32+Projects!$D$32),Projects!$B$32*(Assumptions!$B$10+Assumptions!$B$11+Assumptions!$B$12)/Projects!$D$32*0.95,0)-IF(AND(Projects!$G$32="Yes",CZ$3=Projects!$C$32+Projects!$D$32-1),Projects!$B$32*(Assumptions!$B$10+Assumptions!$B$11+Assumptions!$B$12)*0.05,0)</f>
        <v>0</v>
      </c>
      <c r="DA41" s="19" t="n">
        <f aca="false">IF(AND(Projects!$G$32="Yes",DA$3&gt;=Projects!$C$32,DA$3&lt;Projects!$C$32+Projects!$D$32),Projects!$B$32*INDEX(Curves!$B$4:$AR$4,1,DA$3-Projects!$C$32+1),0)-IF(AND(Projects!$G$32="Yes",DA$3&gt;=Projects!$C$32,DA$3&lt;Projects!$C$32+Projects!$D$32),Projects!$B$32*(Assumptions!$B$10+Assumptions!$B$11+Assumptions!$B$12)/Projects!$D$32*0.95,0)-IF(AND(Projects!$G$32="Yes",DA$3=Projects!$C$32+Projects!$D$32-1),Projects!$B$32*(Assumptions!$B$10+Assumptions!$B$11+Assumptions!$B$12)*0.05,0)</f>
        <v>0</v>
      </c>
      <c r="DB41" s="19" t="n">
        <f aca="false">IF(AND(Projects!$G$32="Yes",DB$3&gt;=Projects!$C$32,DB$3&lt;Projects!$C$32+Projects!$D$32),Projects!$B$32*INDEX(Curves!$B$4:$AR$4,1,DB$3-Projects!$C$32+1),0)-IF(AND(Projects!$G$32="Yes",DB$3&gt;=Projects!$C$32,DB$3&lt;Projects!$C$32+Projects!$D$32),Projects!$B$32*(Assumptions!$B$10+Assumptions!$B$11+Assumptions!$B$12)/Projects!$D$32*0.95,0)-IF(AND(Projects!$G$32="Yes",DB$3=Projects!$C$32+Projects!$D$32-1),Projects!$B$32*(Assumptions!$B$10+Assumptions!$B$11+Assumptions!$B$12)*0.05,0)</f>
        <v>0</v>
      </c>
      <c r="DC41" s="19" t="n">
        <f aca="false">IF(AND(Projects!$G$32="Yes",DC$3&gt;=Projects!$C$32,DC$3&lt;Projects!$C$32+Projects!$D$32),Projects!$B$32*INDEX(Curves!$B$4:$AR$4,1,DC$3-Projects!$C$32+1),0)-IF(AND(Projects!$G$32="Yes",DC$3&gt;=Projects!$C$32,DC$3&lt;Projects!$C$32+Projects!$D$32),Projects!$B$32*(Assumptions!$B$10+Assumptions!$B$11+Assumptions!$B$12)/Projects!$D$32*0.95,0)-IF(AND(Projects!$G$32="Yes",DC$3=Projects!$C$32+Projects!$D$32-1),Projects!$B$32*(Assumptions!$B$10+Assumptions!$B$11+Assumptions!$B$12)*0.05,0)</f>
        <v>0</v>
      </c>
      <c r="DD41" s="19" t="n">
        <f aca="false">IF(AND(Projects!$G$32="Yes",DD$3&gt;=Projects!$C$32,DD$3&lt;Projects!$C$32+Projects!$D$32),Projects!$B$32*INDEX(Curves!$B$4:$AR$4,1,DD$3-Projects!$C$32+1),0)-IF(AND(Projects!$G$32="Yes",DD$3&gt;=Projects!$C$32,DD$3&lt;Projects!$C$32+Projects!$D$32),Projects!$B$32*(Assumptions!$B$10+Assumptions!$B$11+Assumptions!$B$12)/Projects!$D$32*0.95,0)-IF(AND(Projects!$G$32="Yes",DD$3=Projects!$C$32+Projects!$D$32-1),Projects!$B$32*(Assumptions!$B$10+Assumptions!$B$11+Assumptions!$B$12)*0.05,0)</f>
        <v>0</v>
      </c>
      <c r="DE41" s="19" t="n">
        <f aca="false">IF(AND(Projects!$G$32="Yes",DE$3&gt;=Projects!$C$32,DE$3&lt;Projects!$C$32+Projects!$D$32),Projects!$B$32*INDEX(Curves!$B$4:$AR$4,1,DE$3-Projects!$C$32+1),0)-IF(AND(Projects!$G$32="Yes",DE$3&gt;=Projects!$C$32,DE$3&lt;Projects!$C$32+Projects!$D$32),Projects!$B$32*(Assumptions!$B$10+Assumptions!$B$11+Assumptions!$B$12)/Projects!$D$32*0.95,0)-IF(AND(Projects!$G$32="Yes",DE$3=Projects!$C$32+Projects!$D$32-1),Projects!$B$32*(Assumptions!$B$10+Assumptions!$B$11+Assumptions!$B$12)*0.05,0)</f>
        <v>0</v>
      </c>
    </row>
    <row r="42" customFormat="false" ht="15" hidden="true" customHeight="true" outlineLevel="1" collapsed="false">
      <c r="A42" s="28" t="s">
        <v>36</v>
      </c>
      <c r="B42" s="19" t="n">
        <v>0</v>
      </c>
      <c r="C42" s="19" t="n">
        <v>0</v>
      </c>
      <c r="D42" s="19" t="n">
        <v>0</v>
      </c>
      <c r="E42" s="19" t="n">
        <v>0</v>
      </c>
      <c r="F42" s="19" t="n">
        <f aca="false">IF(AND(Projects!$G$33="Yes",F$3&gt;=Projects!$C$33,F$3&lt;Projects!$C$33+Projects!$D$33),Projects!$B$33*INDEX(Curves!$B$4:$AR$4,1,F$3-Projects!$C$33+1),0)-IF(AND(Projects!$G$33="Yes",F$3&gt;=Projects!$C$33,F$3&lt;Projects!$C$33+Projects!$D$33),Projects!$B$33*(Assumptions!$B$10+Assumptions!$B$11+Assumptions!$B$12)/Projects!$D$33*0.95,0)-IF(AND(Projects!$G$33="Yes",F$3=Projects!$C$33+Projects!$D$33-1),Projects!$B$33*(Assumptions!$B$10+Assumptions!$B$11+Assumptions!$B$12)*0.05,0)</f>
        <v>0</v>
      </c>
      <c r="G42" s="19" t="n">
        <f aca="false">IF(AND(Projects!$G$33="Yes",G$3&gt;=Projects!$C$33,G$3&lt;Projects!$C$33+Projects!$D$33),Projects!$B$33*INDEX(Curves!$B$4:$AR$4,1,G$3-Projects!$C$33+1),0)-IF(AND(Projects!$G$33="Yes",G$3&gt;=Projects!$C$33,G$3&lt;Projects!$C$33+Projects!$D$33),Projects!$B$33*(Assumptions!$B$10+Assumptions!$B$11+Assumptions!$B$12)/Projects!$D$33*0.95,0)-IF(AND(Projects!$G$33="Yes",G$3=Projects!$C$33+Projects!$D$33-1),Projects!$B$33*(Assumptions!$B$10+Assumptions!$B$11+Assumptions!$B$12)*0.05,0)</f>
        <v>0</v>
      </c>
      <c r="H42" s="19" t="n">
        <f aca="false">IF(AND(Projects!$G$33="Yes",H$3&gt;=Projects!$C$33,H$3&lt;Projects!$C$33+Projects!$D$33),Projects!$B$33*INDEX(Curves!$B$4:$AR$4,1,H$3-Projects!$C$33+1),0)-IF(AND(Projects!$G$33="Yes",H$3&gt;=Projects!$C$33,H$3&lt;Projects!$C$33+Projects!$D$33),Projects!$B$33*(Assumptions!$B$10+Assumptions!$B$11+Assumptions!$B$12)/Projects!$D$33*0.95,0)-IF(AND(Projects!$G$33="Yes",H$3=Projects!$C$33+Projects!$D$33-1),Projects!$B$33*(Assumptions!$B$10+Assumptions!$B$11+Assumptions!$B$12)*0.05,0)</f>
        <v>0</v>
      </c>
      <c r="I42" s="19" t="n">
        <f aca="false">IF(AND(Projects!$G$33="Yes",I$3&gt;=Projects!$C$33,I$3&lt;Projects!$C$33+Projects!$D$33),Projects!$B$33*INDEX(Curves!$B$4:$AR$4,1,I$3-Projects!$C$33+1),0)-IF(AND(Projects!$G$33="Yes",I$3&gt;=Projects!$C$33,I$3&lt;Projects!$C$33+Projects!$D$33),Projects!$B$33*(Assumptions!$B$10+Assumptions!$B$11+Assumptions!$B$12)/Projects!$D$33*0.95,0)-IF(AND(Projects!$G$33="Yes",I$3=Projects!$C$33+Projects!$D$33-1),Projects!$B$33*(Assumptions!$B$10+Assumptions!$B$11+Assumptions!$B$12)*0.05,0)</f>
        <v>0</v>
      </c>
      <c r="J42" s="19" t="n">
        <f aca="false">IF(AND(Projects!$G$33="Yes",J$3&gt;=Projects!$C$33,J$3&lt;Projects!$C$33+Projects!$D$33),Projects!$B$33*INDEX(Curves!$B$4:$AR$4,1,J$3-Projects!$C$33+1),0)-IF(AND(Projects!$G$33="Yes",J$3&gt;=Projects!$C$33,J$3&lt;Projects!$C$33+Projects!$D$33),Projects!$B$33*(Assumptions!$B$10+Assumptions!$B$11+Assumptions!$B$12)/Projects!$D$33*0.95,0)-IF(AND(Projects!$G$33="Yes",J$3=Projects!$C$33+Projects!$D$33-1),Projects!$B$33*(Assumptions!$B$10+Assumptions!$B$11+Assumptions!$B$12)*0.05,0)</f>
        <v>0</v>
      </c>
      <c r="K42" s="19" t="n">
        <f aca="false">IF(AND(Projects!$G$33="Yes",K$3&gt;=Projects!$C$33,K$3&lt;Projects!$C$33+Projects!$D$33),Projects!$B$33*INDEX(Curves!$B$4:$AR$4,1,K$3-Projects!$C$33+1),0)-IF(AND(Projects!$G$33="Yes",K$3&gt;=Projects!$C$33,K$3&lt;Projects!$C$33+Projects!$D$33),Projects!$B$33*(Assumptions!$B$10+Assumptions!$B$11+Assumptions!$B$12)/Projects!$D$33*0.95,0)-IF(AND(Projects!$G$33="Yes",K$3=Projects!$C$33+Projects!$D$33-1),Projects!$B$33*(Assumptions!$B$10+Assumptions!$B$11+Assumptions!$B$12)*0.05,0)</f>
        <v>0</v>
      </c>
      <c r="L42" s="19" t="n">
        <f aca="false">IF(AND(Projects!$G$33="Yes",L$3&gt;=Projects!$C$33,L$3&lt;Projects!$C$33+Projects!$D$33),Projects!$B$33*INDEX(Curves!$B$4:$AR$4,1,L$3-Projects!$C$33+1),0)-IF(AND(Projects!$G$33="Yes",L$3&gt;=Projects!$C$33,L$3&lt;Projects!$C$33+Projects!$D$33),Projects!$B$33*(Assumptions!$B$10+Assumptions!$B$11+Assumptions!$B$12)/Projects!$D$33*0.95,0)-IF(AND(Projects!$G$33="Yes",L$3=Projects!$C$33+Projects!$D$33-1),Projects!$B$33*(Assumptions!$B$10+Assumptions!$B$11+Assumptions!$B$12)*0.05,0)</f>
        <v>0</v>
      </c>
      <c r="M42" s="19" t="n">
        <f aca="false">IF(AND(Projects!$G$33="Yes",M$3&gt;=Projects!$C$33,M$3&lt;Projects!$C$33+Projects!$D$33),Projects!$B$33*INDEX(Curves!$B$4:$AR$4,1,M$3-Projects!$C$33+1),0)-IF(AND(Projects!$G$33="Yes",M$3&gt;=Projects!$C$33,M$3&lt;Projects!$C$33+Projects!$D$33),Projects!$B$33*(Assumptions!$B$10+Assumptions!$B$11+Assumptions!$B$12)/Projects!$D$33*0.95,0)-IF(AND(Projects!$G$33="Yes",M$3=Projects!$C$33+Projects!$D$33-1),Projects!$B$33*(Assumptions!$B$10+Assumptions!$B$11+Assumptions!$B$12)*0.05,0)</f>
        <v>0</v>
      </c>
      <c r="N42" s="19" t="n">
        <f aca="false">IF(AND(Projects!$G$33="Yes",N$3&gt;=Projects!$C$33,N$3&lt;Projects!$C$33+Projects!$D$33),Projects!$B$33*INDEX(Curves!$B$4:$AR$4,1,N$3-Projects!$C$33+1),0)-IF(AND(Projects!$G$33="Yes",N$3&gt;=Projects!$C$33,N$3&lt;Projects!$C$33+Projects!$D$33),Projects!$B$33*(Assumptions!$B$10+Assumptions!$B$11+Assumptions!$B$12)/Projects!$D$33*0.95,0)-IF(AND(Projects!$G$33="Yes",N$3=Projects!$C$33+Projects!$D$33-1),Projects!$B$33*(Assumptions!$B$10+Assumptions!$B$11+Assumptions!$B$12)*0.05,0)</f>
        <v>0</v>
      </c>
      <c r="O42" s="19" t="n">
        <f aca="false">IF(AND(Projects!$G$33="Yes",O$3&gt;=Projects!$C$33,O$3&lt;Projects!$C$33+Projects!$D$33),Projects!$B$33*INDEX(Curves!$B$4:$AR$4,1,O$3-Projects!$C$33+1),0)-IF(AND(Projects!$G$33="Yes",O$3&gt;=Projects!$C$33,O$3&lt;Projects!$C$33+Projects!$D$33),Projects!$B$33*(Assumptions!$B$10+Assumptions!$B$11+Assumptions!$B$12)/Projects!$D$33*0.95,0)-IF(AND(Projects!$G$33="Yes",O$3=Projects!$C$33+Projects!$D$33-1),Projects!$B$33*(Assumptions!$B$10+Assumptions!$B$11+Assumptions!$B$12)*0.05,0)</f>
        <v>0</v>
      </c>
      <c r="P42" s="19" t="n">
        <f aca="false">IF(AND(Projects!$G$33="Yes",P$3&gt;=Projects!$C$33,P$3&lt;Projects!$C$33+Projects!$D$33),Projects!$B$33*INDEX(Curves!$B$4:$AR$4,1,P$3-Projects!$C$33+1),0)-IF(AND(Projects!$G$33="Yes",P$3&gt;=Projects!$C$33,P$3&lt;Projects!$C$33+Projects!$D$33),Projects!$B$33*(Assumptions!$B$10+Assumptions!$B$11+Assumptions!$B$12)/Projects!$D$33*0.95,0)-IF(AND(Projects!$G$33="Yes",P$3=Projects!$C$33+Projects!$D$33-1),Projects!$B$33*(Assumptions!$B$10+Assumptions!$B$11+Assumptions!$B$12)*0.05,0)</f>
        <v>0</v>
      </c>
      <c r="Q42" s="19" t="n">
        <f aca="false">IF(AND(Projects!$G$33="Yes",Q$3&gt;=Projects!$C$33,Q$3&lt;Projects!$C$33+Projects!$D$33),Projects!$B$33*INDEX(Curves!$B$4:$AR$4,1,Q$3-Projects!$C$33+1),0)-IF(AND(Projects!$G$33="Yes",Q$3&gt;=Projects!$C$33,Q$3&lt;Projects!$C$33+Projects!$D$33),Projects!$B$33*(Assumptions!$B$10+Assumptions!$B$11+Assumptions!$B$12)/Projects!$D$33*0.95,0)-IF(AND(Projects!$G$33="Yes",Q$3=Projects!$C$33+Projects!$D$33-1),Projects!$B$33*(Assumptions!$B$10+Assumptions!$B$11+Assumptions!$B$12)*0.05,0)</f>
        <v>0</v>
      </c>
      <c r="R42" s="19" t="n">
        <f aca="false">IF(AND(Projects!$G$33="Yes",R$3&gt;=Projects!$C$33,R$3&lt;Projects!$C$33+Projects!$D$33),Projects!$B$33*INDEX(Curves!$B$4:$AR$4,1,R$3-Projects!$C$33+1),0)-IF(AND(Projects!$G$33="Yes",R$3&gt;=Projects!$C$33,R$3&lt;Projects!$C$33+Projects!$D$33),Projects!$B$33*(Assumptions!$B$10+Assumptions!$B$11+Assumptions!$B$12)/Projects!$D$33*0.95,0)-IF(AND(Projects!$G$33="Yes",R$3=Projects!$C$33+Projects!$D$33-1),Projects!$B$33*(Assumptions!$B$10+Assumptions!$B$11+Assumptions!$B$12)*0.05,0)</f>
        <v>0</v>
      </c>
      <c r="S42" s="19" t="n">
        <f aca="false">IF(AND(Projects!$G$33="Yes",S$3&gt;=Projects!$C$33,S$3&lt;Projects!$C$33+Projects!$D$33),Projects!$B$33*INDEX(Curves!$B$4:$AR$4,1,S$3-Projects!$C$33+1),0)-IF(AND(Projects!$G$33="Yes",S$3&gt;=Projects!$C$33,S$3&lt;Projects!$C$33+Projects!$D$33),Projects!$B$33*(Assumptions!$B$10+Assumptions!$B$11+Assumptions!$B$12)/Projects!$D$33*0.95,0)-IF(AND(Projects!$G$33="Yes",S$3=Projects!$C$33+Projects!$D$33-1),Projects!$B$33*(Assumptions!$B$10+Assumptions!$B$11+Assumptions!$B$12)*0.05,0)</f>
        <v>0</v>
      </c>
      <c r="T42" s="19" t="n">
        <f aca="false">IF(AND(Projects!$G$33="Yes",T$3&gt;=Projects!$C$33,T$3&lt;Projects!$C$33+Projects!$D$33),Projects!$B$33*INDEX(Curves!$B$4:$AR$4,1,T$3-Projects!$C$33+1),0)-IF(AND(Projects!$G$33="Yes",T$3&gt;=Projects!$C$33,T$3&lt;Projects!$C$33+Projects!$D$33),Projects!$B$33*(Assumptions!$B$10+Assumptions!$B$11+Assumptions!$B$12)/Projects!$D$33*0.95,0)-IF(AND(Projects!$G$33="Yes",T$3=Projects!$C$33+Projects!$D$33-1),Projects!$B$33*(Assumptions!$B$10+Assumptions!$B$11+Assumptions!$B$12)*0.05,0)</f>
        <v>0</v>
      </c>
      <c r="U42" s="19" t="n">
        <f aca="false">IF(AND(Projects!$G$33="Yes",U$3&gt;=Projects!$C$33,U$3&lt;Projects!$C$33+Projects!$D$33),Projects!$B$33*INDEX(Curves!$B$4:$AR$4,1,U$3-Projects!$C$33+1),0)-IF(AND(Projects!$G$33="Yes",U$3&gt;=Projects!$C$33,U$3&lt;Projects!$C$33+Projects!$D$33),Projects!$B$33*(Assumptions!$B$10+Assumptions!$B$11+Assumptions!$B$12)/Projects!$D$33*0.95,0)-IF(AND(Projects!$G$33="Yes",U$3=Projects!$C$33+Projects!$D$33-1),Projects!$B$33*(Assumptions!$B$10+Assumptions!$B$11+Assumptions!$B$12)*0.05,0)</f>
        <v>0</v>
      </c>
      <c r="V42" s="19" t="n">
        <f aca="false">IF(AND(Projects!$G$33="Yes",V$3&gt;=Projects!$C$33,V$3&lt;Projects!$C$33+Projects!$D$33),Projects!$B$33*INDEX(Curves!$B$4:$AR$4,1,V$3-Projects!$C$33+1),0)-IF(AND(Projects!$G$33="Yes",V$3&gt;=Projects!$C$33,V$3&lt;Projects!$C$33+Projects!$D$33),Projects!$B$33*(Assumptions!$B$10+Assumptions!$B$11+Assumptions!$B$12)/Projects!$D$33*0.95,0)-IF(AND(Projects!$G$33="Yes",V$3=Projects!$C$33+Projects!$D$33-1),Projects!$B$33*(Assumptions!$B$10+Assumptions!$B$11+Assumptions!$B$12)*0.05,0)</f>
        <v>0</v>
      </c>
      <c r="W42" s="19" t="n">
        <f aca="false">IF(AND(Projects!$G$33="Yes",W$3&gt;=Projects!$C$33,W$3&lt;Projects!$C$33+Projects!$D$33),Projects!$B$33*INDEX(Curves!$B$4:$AR$4,1,W$3-Projects!$C$33+1),0)-IF(AND(Projects!$G$33="Yes",W$3&gt;=Projects!$C$33,W$3&lt;Projects!$C$33+Projects!$D$33),Projects!$B$33*(Assumptions!$B$10+Assumptions!$B$11+Assumptions!$B$12)/Projects!$D$33*0.95,0)-IF(AND(Projects!$G$33="Yes",W$3=Projects!$C$33+Projects!$D$33-1),Projects!$B$33*(Assumptions!$B$10+Assumptions!$B$11+Assumptions!$B$12)*0.05,0)</f>
        <v>0</v>
      </c>
      <c r="X42" s="19" t="n">
        <f aca="false">IF(AND(Projects!$G$33="Yes",X$3&gt;=Projects!$C$33,X$3&lt;Projects!$C$33+Projects!$D$33),Projects!$B$33*INDEX(Curves!$B$4:$AR$4,1,X$3-Projects!$C$33+1),0)-IF(AND(Projects!$G$33="Yes",X$3&gt;=Projects!$C$33,X$3&lt;Projects!$C$33+Projects!$D$33),Projects!$B$33*(Assumptions!$B$10+Assumptions!$B$11+Assumptions!$B$12)/Projects!$D$33*0.95,0)-IF(AND(Projects!$G$33="Yes",X$3=Projects!$C$33+Projects!$D$33-1),Projects!$B$33*(Assumptions!$B$10+Assumptions!$B$11+Assumptions!$B$12)*0.05,0)</f>
        <v>0</v>
      </c>
      <c r="Y42" s="19" t="n">
        <f aca="false">IF(AND(Projects!$G$33="Yes",Y$3&gt;=Projects!$C$33,Y$3&lt;Projects!$C$33+Projects!$D$33),Projects!$B$33*INDEX(Curves!$B$4:$AR$4,1,Y$3-Projects!$C$33+1),0)-IF(AND(Projects!$G$33="Yes",Y$3&gt;=Projects!$C$33,Y$3&lt;Projects!$C$33+Projects!$D$33),Projects!$B$33*(Assumptions!$B$10+Assumptions!$B$11+Assumptions!$B$12)/Projects!$D$33*0.95,0)-IF(AND(Projects!$G$33="Yes",Y$3=Projects!$C$33+Projects!$D$33-1),Projects!$B$33*(Assumptions!$B$10+Assumptions!$B$11+Assumptions!$B$12)*0.05,0)</f>
        <v>0</v>
      </c>
      <c r="Z42" s="19" t="n">
        <f aca="false">IF(AND(Projects!$G$33="Yes",Z$3&gt;=Projects!$C$33,Z$3&lt;Projects!$C$33+Projects!$D$33),Projects!$B$33*INDEX(Curves!$B$4:$AR$4,1,Z$3-Projects!$C$33+1),0)-IF(AND(Projects!$G$33="Yes",Z$3&gt;=Projects!$C$33,Z$3&lt;Projects!$C$33+Projects!$D$33),Projects!$B$33*(Assumptions!$B$10+Assumptions!$B$11+Assumptions!$B$12)/Projects!$D$33*0.95,0)-IF(AND(Projects!$G$33="Yes",Z$3=Projects!$C$33+Projects!$D$33-1),Projects!$B$33*(Assumptions!$B$10+Assumptions!$B$11+Assumptions!$B$12)*0.05,0)</f>
        <v>0</v>
      </c>
      <c r="AA42" s="19" t="n">
        <f aca="false">IF(AND(Projects!$G$33="Yes",AA$3&gt;=Projects!$C$33,AA$3&lt;Projects!$C$33+Projects!$D$33),Projects!$B$33*INDEX(Curves!$B$4:$AR$4,1,AA$3-Projects!$C$33+1),0)-IF(AND(Projects!$G$33="Yes",AA$3&gt;=Projects!$C$33,AA$3&lt;Projects!$C$33+Projects!$D$33),Projects!$B$33*(Assumptions!$B$10+Assumptions!$B$11+Assumptions!$B$12)/Projects!$D$33*0.95,0)-IF(AND(Projects!$G$33="Yes",AA$3=Projects!$C$33+Projects!$D$33-1),Projects!$B$33*(Assumptions!$B$10+Assumptions!$B$11+Assumptions!$B$12)*0.05,0)</f>
        <v>0</v>
      </c>
      <c r="AB42" s="19" t="n">
        <f aca="false">IF(AND(Projects!$G$33="Yes",AB$3&gt;=Projects!$C$33,AB$3&lt;Projects!$C$33+Projects!$D$33),Projects!$B$33*INDEX(Curves!$B$4:$AR$4,1,AB$3-Projects!$C$33+1),0)-IF(AND(Projects!$G$33="Yes",AB$3&gt;=Projects!$C$33,AB$3&lt;Projects!$C$33+Projects!$D$33),Projects!$B$33*(Assumptions!$B$10+Assumptions!$B$11+Assumptions!$B$12)/Projects!$D$33*0.95,0)-IF(AND(Projects!$G$33="Yes",AB$3=Projects!$C$33+Projects!$D$33-1),Projects!$B$33*(Assumptions!$B$10+Assumptions!$B$11+Assumptions!$B$12)*0.05,0)</f>
        <v>0</v>
      </c>
      <c r="AC42" s="19" t="n">
        <f aca="false">IF(AND(Projects!$G$33="Yes",AC$3&gt;=Projects!$C$33,AC$3&lt;Projects!$C$33+Projects!$D$33),Projects!$B$33*INDEX(Curves!$B$4:$AR$4,1,AC$3-Projects!$C$33+1),0)-IF(AND(Projects!$G$33="Yes",AC$3&gt;=Projects!$C$33,AC$3&lt;Projects!$C$33+Projects!$D$33),Projects!$B$33*(Assumptions!$B$10+Assumptions!$B$11+Assumptions!$B$12)/Projects!$D$33*0.95,0)-IF(AND(Projects!$G$33="Yes",AC$3=Projects!$C$33+Projects!$D$33-1),Projects!$B$33*(Assumptions!$B$10+Assumptions!$B$11+Assumptions!$B$12)*0.05,0)</f>
        <v>0</v>
      </c>
      <c r="AD42" s="19" t="n">
        <f aca="false">IF(AND(Projects!$G$33="Yes",AD$3&gt;=Projects!$C$33,AD$3&lt;Projects!$C$33+Projects!$D$33),Projects!$B$33*INDEX(Curves!$B$4:$AR$4,1,AD$3-Projects!$C$33+1),0)-IF(AND(Projects!$G$33="Yes",AD$3&gt;=Projects!$C$33,AD$3&lt;Projects!$C$33+Projects!$D$33),Projects!$B$33*(Assumptions!$B$10+Assumptions!$B$11+Assumptions!$B$12)/Projects!$D$33*0.95,0)-IF(AND(Projects!$G$33="Yes",AD$3=Projects!$C$33+Projects!$D$33-1),Projects!$B$33*(Assumptions!$B$10+Assumptions!$B$11+Assumptions!$B$12)*0.05,0)</f>
        <v>0</v>
      </c>
      <c r="AE42" s="19" t="n">
        <f aca="false">IF(AND(Projects!$G$33="Yes",AE$3&gt;=Projects!$C$33,AE$3&lt;Projects!$C$33+Projects!$D$33),Projects!$B$33*INDEX(Curves!$B$4:$AR$4,1,AE$3-Projects!$C$33+1),0)-IF(AND(Projects!$G$33="Yes",AE$3&gt;=Projects!$C$33,AE$3&lt;Projects!$C$33+Projects!$D$33),Projects!$B$33*(Assumptions!$B$10+Assumptions!$B$11+Assumptions!$B$12)/Projects!$D$33*0.95,0)-IF(AND(Projects!$G$33="Yes",AE$3=Projects!$C$33+Projects!$D$33-1),Projects!$B$33*(Assumptions!$B$10+Assumptions!$B$11+Assumptions!$B$12)*0.05,0)</f>
        <v>0</v>
      </c>
      <c r="AF42" s="19" t="n">
        <f aca="false">IF(AND(Projects!$G$33="Yes",AF$3&gt;=Projects!$C$33,AF$3&lt;Projects!$C$33+Projects!$D$33),Projects!$B$33*INDEX(Curves!$B$4:$AR$4,1,AF$3-Projects!$C$33+1),0)-IF(AND(Projects!$G$33="Yes",AF$3&gt;=Projects!$C$33,AF$3&lt;Projects!$C$33+Projects!$D$33),Projects!$B$33*(Assumptions!$B$10+Assumptions!$B$11+Assumptions!$B$12)/Projects!$D$33*0.95,0)-IF(AND(Projects!$G$33="Yes",AF$3=Projects!$C$33+Projects!$D$33-1),Projects!$B$33*(Assumptions!$B$10+Assumptions!$B$11+Assumptions!$B$12)*0.05,0)</f>
        <v>0</v>
      </c>
      <c r="AG42" s="19" t="n">
        <f aca="false">IF(AND(Projects!$G$33="Yes",AG$3&gt;=Projects!$C$33,AG$3&lt;Projects!$C$33+Projects!$D$33),Projects!$B$33*INDEX(Curves!$B$4:$AR$4,1,AG$3-Projects!$C$33+1),0)-IF(AND(Projects!$G$33="Yes",AG$3&gt;=Projects!$C$33,AG$3&lt;Projects!$C$33+Projects!$D$33),Projects!$B$33*(Assumptions!$B$10+Assumptions!$B$11+Assumptions!$B$12)/Projects!$D$33*0.95,0)-IF(AND(Projects!$G$33="Yes",AG$3=Projects!$C$33+Projects!$D$33-1),Projects!$B$33*(Assumptions!$B$10+Assumptions!$B$11+Assumptions!$B$12)*0.05,0)</f>
        <v>0</v>
      </c>
      <c r="AH42" s="19" t="n">
        <f aca="false">IF(AND(Projects!$G$33="Yes",AH$3&gt;=Projects!$C$33,AH$3&lt;Projects!$C$33+Projects!$D$33),Projects!$B$33*INDEX(Curves!$B$4:$AR$4,1,AH$3-Projects!$C$33+1),0)-IF(AND(Projects!$G$33="Yes",AH$3&gt;=Projects!$C$33,AH$3&lt;Projects!$C$33+Projects!$D$33),Projects!$B$33*(Assumptions!$B$10+Assumptions!$B$11+Assumptions!$B$12)/Projects!$D$33*0.95,0)-IF(AND(Projects!$G$33="Yes",AH$3=Projects!$C$33+Projects!$D$33-1),Projects!$B$33*(Assumptions!$B$10+Assumptions!$B$11+Assumptions!$B$12)*0.05,0)</f>
        <v>0</v>
      </c>
      <c r="AI42" s="19" t="n">
        <f aca="false">IF(AND(Projects!$G$33="Yes",AI$3&gt;=Projects!$C$33,AI$3&lt;Projects!$C$33+Projects!$D$33),Projects!$B$33*INDEX(Curves!$B$4:$AR$4,1,AI$3-Projects!$C$33+1),0)-IF(AND(Projects!$G$33="Yes",AI$3&gt;=Projects!$C$33,AI$3&lt;Projects!$C$33+Projects!$D$33),Projects!$B$33*(Assumptions!$B$10+Assumptions!$B$11+Assumptions!$B$12)/Projects!$D$33*0.95,0)-IF(AND(Projects!$G$33="Yes",AI$3=Projects!$C$33+Projects!$D$33-1),Projects!$B$33*(Assumptions!$B$10+Assumptions!$B$11+Assumptions!$B$12)*0.05,0)</f>
        <v>0</v>
      </c>
      <c r="AJ42" s="19" t="n">
        <f aca="false">IF(AND(Projects!$G$33="Yes",AJ$3&gt;=Projects!$C$33,AJ$3&lt;Projects!$C$33+Projects!$D$33),Projects!$B$33*INDEX(Curves!$B$4:$AR$4,1,AJ$3-Projects!$C$33+1),0)-IF(AND(Projects!$G$33="Yes",AJ$3&gt;=Projects!$C$33,AJ$3&lt;Projects!$C$33+Projects!$D$33),Projects!$B$33*(Assumptions!$B$10+Assumptions!$B$11+Assumptions!$B$12)/Projects!$D$33*0.95,0)-IF(AND(Projects!$G$33="Yes",AJ$3=Projects!$C$33+Projects!$D$33-1),Projects!$B$33*(Assumptions!$B$10+Assumptions!$B$11+Assumptions!$B$12)*0.05,0)</f>
        <v>0</v>
      </c>
      <c r="AK42" s="19" t="n">
        <f aca="false">IF(AND(Projects!$G$33="Yes",AK$3&gt;=Projects!$C$33,AK$3&lt;Projects!$C$33+Projects!$D$33),Projects!$B$33*INDEX(Curves!$B$4:$AR$4,1,AK$3-Projects!$C$33+1),0)-IF(AND(Projects!$G$33="Yes",AK$3&gt;=Projects!$C$33,AK$3&lt;Projects!$C$33+Projects!$D$33),Projects!$B$33*(Assumptions!$B$10+Assumptions!$B$11+Assumptions!$B$12)/Projects!$D$33*0.95,0)-IF(AND(Projects!$G$33="Yes",AK$3=Projects!$C$33+Projects!$D$33-1),Projects!$B$33*(Assumptions!$B$10+Assumptions!$B$11+Assumptions!$B$12)*0.05,0)</f>
        <v>0</v>
      </c>
      <c r="AL42" s="19" t="n">
        <f aca="false">IF(AND(Projects!$G$33="Yes",AL$3&gt;=Projects!$C$33,AL$3&lt;Projects!$C$33+Projects!$D$33),Projects!$B$33*INDEX(Curves!$B$4:$AR$4,1,AL$3-Projects!$C$33+1),0)-IF(AND(Projects!$G$33="Yes",AL$3&gt;=Projects!$C$33,AL$3&lt;Projects!$C$33+Projects!$D$33),Projects!$B$33*(Assumptions!$B$10+Assumptions!$B$11+Assumptions!$B$12)/Projects!$D$33*0.95,0)-IF(AND(Projects!$G$33="Yes",AL$3=Projects!$C$33+Projects!$D$33-1),Projects!$B$33*(Assumptions!$B$10+Assumptions!$B$11+Assumptions!$B$12)*0.05,0)</f>
        <v>0</v>
      </c>
      <c r="AM42" s="19" t="n">
        <f aca="false">IF(AND(Projects!$G$33="Yes",AM$3&gt;=Projects!$C$33,AM$3&lt;Projects!$C$33+Projects!$D$33),Projects!$B$33*INDEX(Curves!$B$4:$AR$4,1,AM$3-Projects!$C$33+1),0)-IF(AND(Projects!$G$33="Yes",AM$3&gt;=Projects!$C$33,AM$3&lt;Projects!$C$33+Projects!$D$33),Projects!$B$33*(Assumptions!$B$10+Assumptions!$B$11+Assumptions!$B$12)/Projects!$D$33*0.95,0)-IF(AND(Projects!$G$33="Yes",AM$3=Projects!$C$33+Projects!$D$33-1),Projects!$B$33*(Assumptions!$B$10+Assumptions!$B$11+Assumptions!$B$12)*0.05,0)</f>
        <v>0</v>
      </c>
      <c r="AN42" s="19" t="n">
        <f aca="false">IF(AND(Projects!$G$33="Yes",AN$3&gt;=Projects!$C$33,AN$3&lt;Projects!$C$33+Projects!$D$33),Projects!$B$33*INDEX(Curves!$B$4:$AR$4,1,AN$3-Projects!$C$33+1),0)-IF(AND(Projects!$G$33="Yes",AN$3&gt;=Projects!$C$33,AN$3&lt;Projects!$C$33+Projects!$D$33),Projects!$B$33*(Assumptions!$B$10+Assumptions!$B$11+Assumptions!$B$12)/Projects!$D$33*0.95,0)-IF(AND(Projects!$G$33="Yes",AN$3=Projects!$C$33+Projects!$D$33-1),Projects!$B$33*(Assumptions!$B$10+Assumptions!$B$11+Assumptions!$B$12)*0.05,0)</f>
        <v>0</v>
      </c>
      <c r="AO42" s="19" t="n">
        <f aca="false">IF(AND(Projects!$G$33="Yes",AO$3&gt;=Projects!$C$33,AO$3&lt;Projects!$C$33+Projects!$D$33),Projects!$B$33*INDEX(Curves!$B$4:$AR$4,1,AO$3-Projects!$C$33+1),0)-IF(AND(Projects!$G$33="Yes",AO$3&gt;=Projects!$C$33,AO$3&lt;Projects!$C$33+Projects!$D$33),Projects!$B$33*(Assumptions!$B$10+Assumptions!$B$11+Assumptions!$B$12)/Projects!$D$33*0.95,0)-IF(AND(Projects!$G$33="Yes",AO$3=Projects!$C$33+Projects!$D$33-1),Projects!$B$33*(Assumptions!$B$10+Assumptions!$B$11+Assumptions!$B$12)*0.05,0)</f>
        <v>307461.75</v>
      </c>
      <c r="AP42" s="19" t="n">
        <f aca="false">IF(AND(Projects!$G$33="Yes",AP$3&gt;=Projects!$C$33,AP$3&lt;Projects!$C$33+Projects!$D$33),Projects!$B$33*INDEX(Curves!$B$4:$AR$4,1,AP$3-Projects!$C$33+1),0)-IF(AND(Projects!$G$33="Yes",AP$3&gt;=Projects!$C$33,AP$3&lt;Projects!$C$33+Projects!$D$33),Projects!$B$33*(Assumptions!$B$10+Assumptions!$B$11+Assumptions!$B$12)/Projects!$D$33*0.95,0)-IF(AND(Projects!$G$33="Yes",AP$3=Projects!$C$33+Projects!$D$33-1),Projects!$B$33*(Assumptions!$B$10+Assumptions!$B$11+Assumptions!$B$12)*0.05,0)</f>
        <v>401121.75</v>
      </c>
      <c r="AQ42" s="19" t="n">
        <f aca="false">IF(AND(Projects!$G$33="Yes",AQ$3&gt;=Projects!$C$33,AQ$3&lt;Projects!$C$33+Projects!$D$33),Projects!$B$33*INDEX(Curves!$B$4:$AR$4,1,AQ$3-Projects!$C$33+1),0)-IF(AND(Projects!$G$33="Yes",AQ$3&gt;=Projects!$C$33,AQ$3&lt;Projects!$C$33+Projects!$D$33),Projects!$B$33*(Assumptions!$B$10+Assumptions!$B$11+Assumptions!$B$12)/Projects!$D$33*0.95,0)-IF(AND(Projects!$G$33="Yes",AQ$3=Projects!$C$33+Projects!$D$33-1),Projects!$B$33*(Assumptions!$B$10+Assumptions!$B$11+Assumptions!$B$12)*0.05,0)</f>
        <v>501936.75</v>
      </c>
      <c r="AR42" s="19" t="n">
        <f aca="false">IF(AND(Projects!$G$33="Yes",AR$3&gt;=Projects!$C$33,AR$3&lt;Projects!$C$33+Projects!$D$33),Projects!$B$33*INDEX(Curves!$B$4:$AR$4,1,AR$3-Projects!$C$33+1),0)-IF(AND(Projects!$G$33="Yes",AR$3&gt;=Projects!$C$33,AR$3&lt;Projects!$C$33+Projects!$D$33),Projects!$B$33*(Assumptions!$B$10+Assumptions!$B$11+Assumptions!$B$12)/Projects!$D$33*0.95,0)-IF(AND(Projects!$G$33="Yes",AR$3=Projects!$C$33+Projects!$D$33-1),Projects!$B$33*(Assumptions!$B$10+Assumptions!$B$11+Assumptions!$B$12)*0.05,0)</f>
        <v>605886.75</v>
      </c>
      <c r="AS42" s="19" t="n">
        <f aca="false">IF(AND(Projects!$G$33="Yes",AS$3&gt;=Projects!$C$33,AS$3&lt;Projects!$C$33+Projects!$D$33),Projects!$B$33*INDEX(Curves!$B$4:$AR$4,1,AS$3-Projects!$C$33+1),0)-IF(AND(Projects!$G$33="Yes",AS$3&gt;=Projects!$C$33,AS$3&lt;Projects!$C$33+Projects!$D$33),Projects!$B$33*(Assumptions!$B$10+Assumptions!$B$11+Assumptions!$B$12)/Projects!$D$33*0.95,0)-IF(AND(Projects!$G$33="Yes",AS$3=Projects!$C$33+Projects!$D$33-1),Projects!$B$33*(Assumptions!$B$10+Assumptions!$B$11+Assumptions!$B$12)*0.05,0)</f>
        <v>707976.75</v>
      </c>
      <c r="AT42" s="19" t="n">
        <f aca="false">IF(AND(Projects!$G$33="Yes",AT$3&gt;=Projects!$C$33,AT$3&lt;Projects!$C$33+Projects!$D$33),Projects!$B$33*INDEX(Curves!$B$4:$AR$4,1,AT$3-Projects!$C$33+1),0)-IF(AND(Projects!$G$33="Yes",AT$3&gt;=Projects!$C$33,AT$3&lt;Projects!$C$33+Projects!$D$33),Projects!$B$33*(Assumptions!$B$10+Assumptions!$B$11+Assumptions!$B$12)/Projects!$D$33*0.95,0)-IF(AND(Projects!$G$33="Yes",AT$3=Projects!$C$33+Projects!$D$33-1),Projects!$B$33*(Assumptions!$B$10+Assumptions!$B$11+Assumptions!$B$12)*0.05,0)</f>
        <v>802536.75</v>
      </c>
      <c r="AU42" s="19" t="n">
        <f aca="false">IF(AND(Projects!$G$33="Yes",AU$3&gt;=Projects!$C$33,AU$3&lt;Projects!$C$33+Projects!$D$33),Projects!$B$33*INDEX(Curves!$B$4:$AR$4,1,AU$3-Projects!$C$33+1),0)-IF(AND(Projects!$G$33="Yes",AU$3&gt;=Projects!$C$33,AU$3&lt;Projects!$C$33+Projects!$D$33),Projects!$B$33*(Assumptions!$B$10+Assumptions!$B$11+Assumptions!$B$12)/Projects!$D$33*0.95,0)-IF(AND(Projects!$G$33="Yes",AU$3=Projects!$C$33+Projects!$D$33-1),Projects!$B$33*(Assumptions!$B$10+Assumptions!$B$11+Assumptions!$B$12)*0.05,0)</f>
        <v>883761.75</v>
      </c>
      <c r="AV42" s="19" t="n">
        <f aca="false">IF(AND(Projects!$G$33="Yes",AV$3&gt;=Projects!$C$33,AV$3&lt;Projects!$C$33+Projects!$D$33),Projects!$B$33*INDEX(Curves!$B$4:$AR$4,1,AV$3-Projects!$C$33+1),0)-IF(AND(Projects!$G$33="Yes",AV$3&gt;=Projects!$C$33,AV$3&lt;Projects!$C$33+Projects!$D$33),Projects!$B$33*(Assumptions!$B$10+Assumptions!$B$11+Assumptions!$B$12)/Projects!$D$33*0.95,0)-IF(AND(Projects!$G$33="Yes",AV$3=Projects!$C$33+Projects!$D$33-1),Projects!$B$33*(Assumptions!$B$10+Assumptions!$B$11+Assumptions!$B$12)*0.05,0)</f>
        <v>946266.75</v>
      </c>
      <c r="AW42" s="19" t="n">
        <f aca="false">IF(AND(Projects!$G$33="Yes",AW$3&gt;=Projects!$C$33,AW$3&lt;Projects!$C$33+Projects!$D$33),Projects!$B$33*INDEX(Curves!$B$4:$AR$4,1,AW$3-Projects!$C$33+1),0)-IF(AND(Projects!$G$33="Yes",AW$3&gt;=Projects!$C$33,AW$3&lt;Projects!$C$33+Projects!$D$33),Projects!$B$33*(Assumptions!$B$10+Assumptions!$B$11+Assumptions!$B$12)/Projects!$D$33*0.95,0)-IF(AND(Projects!$G$33="Yes",AW$3=Projects!$C$33+Projects!$D$33-1),Projects!$B$33*(Assumptions!$B$10+Assumptions!$B$11+Assumptions!$B$12)*0.05,0)</f>
        <v>985686.75</v>
      </c>
      <c r="AX42" s="19" t="n">
        <f aca="false">IF(AND(Projects!$G$33="Yes",AX$3&gt;=Projects!$C$33,AX$3&lt;Projects!$C$33+Projects!$D$33),Projects!$B$33*INDEX(Curves!$B$4:$AR$4,1,AX$3-Projects!$C$33+1),0)-IF(AND(Projects!$G$33="Yes",AX$3&gt;=Projects!$C$33,AX$3&lt;Projects!$C$33+Projects!$D$33),Projects!$B$33*(Assumptions!$B$10+Assumptions!$B$11+Assumptions!$B$12)/Projects!$D$33*0.95,0)-IF(AND(Projects!$G$33="Yes",AX$3=Projects!$C$33+Projects!$D$33-1),Projects!$B$33*(Assumptions!$B$10+Assumptions!$B$11+Assumptions!$B$12)*0.05,0)</f>
        <v>999156.75</v>
      </c>
      <c r="AY42" s="19" t="n">
        <f aca="false">IF(AND(Projects!$G$33="Yes",AY$3&gt;=Projects!$C$33,AY$3&lt;Projects!$C$33+Projects!$D$33),Projects!$B$33*INDEX(Curves!$B$4:$AR$4,1,AY$3-Projects!$C$33+1),0)-IF(AND(Projects!$G$33="Yes",AY$3&gt;=Projects!$C$33,AY$3&lt;Projects!$C$33+Projects!$D$33),Projects!$B$33*(Assumptions!$B$10+Assumptions!$B$11+Assumptions!$B$12)/Projects!$D$33*0.95,0)-IF(AND(Projects!$G$33="Yes",AY$3=Projects!$C$33+Projects!$D$33-1),Projects!$B$33*(Assumptions!$B$10+Assumptions!$B$11+Assumptions!$B$12)*0.05,0)</f>
        <v>985686.75</v>
      </c>
      <c r="AZ42" s="19" t="n">
        <f aca="false">IF(AND(Projects!$G$33="Yes",AZ$3&gt;=Projects!$C$33,AZ$3&lt;Projects!$C$33+Projects!$D$33),Projects!$B$33*INDEX(Curves!$B$4:$AR$4,1,AZ$3-Projects!$C$33+1),0)-IF(AND(Projects!$G$33="Yes",AZ$3&gt;=Projects!$C$33,AZ$3&lt;Projects!$C$33+Projects!$D$33),Projects!$B$33*(Assumptions!$B$10+Assumptions!$B$11+Assumptions!$B$12)/Projects!$D$33*0.95,0)-IF(AND(Projects!$G$33="Yes",AZ$3=Projects!$C$33+Projects!$D$33-1),Projects!$B$33*(Assumptions!$B$10+Assumptions!$B$11+Assumptions!$B$12)*0.05,0)</f>
        <v>946266.75</v>
      </c>
      <c r="BA42" s="19" t="n">
        <f aca="false">IF(AND(Projects!$G$33="Yes",BA$3&gt;=Projects!$C$33,BA$3&lt;Projects!$C$33+Projects!$D$33),Projects!$B$33*INDEX(Curves!$B$4:$AR$4,1,BA$3-Projects!$C$33+1),0)-IF(AND(Projects!$G$33="Yes",BA$3&gt;=Projects!$C$33,BA$3&lt;Projects!$C$33+Projects!$D$33),Projects!$B$33*(Assumptions!$B$10+Assumptions!$B$11+Assumptions!$B$12)/Projects!$D$33*0.95,0)-IF(AND(Projects!$G$33="Yes",BA$3=Projects!$C$33+Projects!$D$33-1),Projects!$B$33*(Assumptions!$B$10+Assumptions!$B$11+Assumptions!$B$12)*0.05,0)</f>
        <v>883761.75</v>
      </c>
      <c r="BB42" s="19" t="n">
        <f aca="false">IF(AND(Projects!$G$33="Yes",BB$3&gt;=Projects!$C$33,BB$3&lt;Projects!$C$33+Projects!$D$33),Projects!$B$33*INDEX(Curves!$B$4:$AR$4,1,BB$3-Projects!$C$33+1),0)-IF(AND(Projects!$G$33="Yes",BB$3&gt;=Projects!$C$33,BB$3&lt;Projects!$C$33+Projects!$D$33),Projects!$B$33*(Assumptions!$B$10+Assumptions!$B$11+Assumptions!$B$12)/Projects!$D$33*0.95,0)-IF(AND(Projects!$G$33="Yes",BB$3=Projects!$C$33+Projects!$D$33-1),Projects!$B$33*(Assumptions!$B$10+Assumptions!$B$11+Assumptions!$B$12)*0.05,0)</f>
        <v>802536.75</v>
      </c>
      <c r="BC42" s="19" t="n">
        <f aca="false">IF(AND(Projects!$G$33="Yes",BC$3&gt;=Projects!$C$33,BC$3&lt;Projects!$C$33+Projects!$D$33),Projects!$B$33*INDEX(Curves!$B$4:$AR$4,1,BC$3-Projects!$C$33+1),0)-IF(AND(Projects!$G$33="Yes",BC$3&gt;=Projects!$C$33,BC$3&lt;Projects!$C$33+Projects!$D$33),Projects!$B$33*(Assumptions!$B$10+Assumptions!$B$11+Assumptions!$B$12)/Projects!$D$33*0.95,0)-IF(AND(Projects!$G$33="Yes",BC$3=Projects!$C$33+Projects!$D$33-1),Projects!$B$33*(Assumptions!$B$10+Assumptions!$B$11+Assumptions!$B$12)*0.05,0)</f>
        <v>707976.75</v>
      </c>
      <c r="BD42" s="19" t="n">
        <f aca="false">IF(AND(Projects!$G$33="Yes",BD$3&gt;=Projects!$C$33,BD$3&lt;Projects!$C$33+Projects!$D$33),Projects!$B$33*INDEX(Curves!$B$4:$AR$4,1,BD$3-Projects!$C$33+1),0)-IF(AND(Projects!$G$33="Yes",BD$3&gt;=Projects!$C$33,BD$3&lt;Projects!$C$33+Projects!$D$33),Projects!$B$33*(Assumptions!$B$10+Assumptions!$B$11+Assumptions!$B$12)/Projects!$D$33*0.95,0)-IF(AND(Projects!$G$33="Yes",BD$3=Projects!$C$33+Projects!$D$33-1),Projects!$B$33*(Assumptions!$B$10+Assumptions!$B$11+Assumptions!$B$12)*0.05,0)</f>
        <v>605886.75</v>
      </c>
      <c r="BE42" s="19" t="n">
        <f aca="false">IF(AND(Projects!$G$33="Yes",BE$3&gt;=Projects!$C$33,BE$3&lt;Projects!$C$33+Projects!$D$33),Projects!$B$33*INDEX(Curves!$B$4:$AR$4,1,BE$3-Projects!$C$33+1),0)-IF(AND(Projects!$G$33="Yes",BE$3&gt;=Projects!$C$33,BE$3&lt;Projects!$C$33+Projects!$D$33),Projects!$B$33*(Assumptions!$B$10+Assumptions!$B$11+Assumptions!$B$12)/Projects!$D$33*0.95,0)-IF(AND(Projects!$G$33="Yes",BE$3=Projects!$C$33+Projects!$D$33-1),Projects!$B$33*(Assumptions!$B$10+Assumptions!$B$11+Assumptions!$B$12)*0.05,0)</f>
        <v>501936.75</v>
      </c>
      <c r="BF42" s="19" t="n">
        <f aca="false">IF(AND(Projects!$G$33="Yes",BF$3&gt;=Projects!$C$33,BF$3&lt;Projects!$C$33+Projects!$D$33),Projects!$B$33*INDEX(Curves!$B$4:$AR$4,1,BF$3-Projects!$C$33+1),0)-IF(AND(Projects!$G$33="Yes",BF$3&gt;=Projects!$C$33,BF$3&lt;Projects!$C$33+Projects!$D$33),Projects!$B$33*(Assumptions!$B$10+Assumptions!$B$11+Assumptions!$B$12)/Projects!$D$33*0.95,0)-IF(AND(Projects!$G$33="Yes",BF$3=Projects!$C$33+Projects!$D$33-1),Projects!$B$33*(Assumptions!$B$10+Assumptions!$B$11+Assumptions!$B$12)*0.05,0)</f>
        <v>401121.75</v>
      </c>
      <c r="BG42" s="19" t="n">
        <f aca="false">IF(AND(Projects!$G$33="Yes",BG$3&gt;=Projects!$C$33,BG$3&lt;Projects!$C$33+Projects!$D$33),Projects!$B$33*INDEX(Curves!$B$4:$AR$4,1,BG$3-Projects!$C$33+1),0)-IF(AND(Projects!$G$33="Yes",BG$3&gt;=Projects!$C$33,BG$3&lt;Projects!$C$33+Projects!$D$33),Projects!$B$33*(Assumptions!$B$10+Assumptions!$B$11+Assumptions!$B$12)/Projects!$D$33*0.95,0)-IF(AND(Projects!$G$33="Yes",BG$3=Projects!$C$33+Projects!$D$33-1),Projects!$B$33*(Assumptions!$B$10+Assumptions!$B$11+Assumptions!$B$12)*0.05,0)</f>
        <v>217168.5</v>
      </c>
      <c r="BH42" s="19" t="n">
        <f aca="false">IF(AND(Projects!$G$33="Yes",BH$3&gt;=Projects!$C$33,BH$3&lt;Projects!$C$33+Projects!$D$33),Projects!$B$33*INDEX(Curves!$B$4:$AR$4,1,BH$3-Projects!$C$33+1),0)-IF(AND(Projects!$G$33="Yes",BH$3&gt;=Projects!$C$33,BH$3&lt;Projects!$C$33+Projects!$D$33),Projects!$B$33*(Assumptions!$B$10+Assumptions!$B$11+Assumptions!$B$12)/Projects!$D$33*0.95,0)-IF(AND(Projects!$G$33="Yes",BH$3=Projects!$C$33+Projects!$D$33-1),Projects!$B$33*(Assumptions!$B$10+Assumptions!$B$11+Assumptions!$B$12)*0.05,0)</f>
        <v>0</v>
      </c>
      <c r="BI42" s="19" t="n">
        <f aca="false">IF(AND(Projects!$G$33="Yes",BI$3&gt;=Projects!$C$33,BI$3&lt;Projects!$C$33+Projects!$D$33),Projects!$B$33*INDEX(Curves!$B$4:$AR$4,1,BI$3-Projects!$C$33+1),0)-IF(AND(Projects!$G$33="Yes",BI$3&gt;=Projects!$C$33,BI$3&lt;Projects!$C$33+Projects!$D$33),Projects!$B$33*(Assumptions!$B$10+Assumptions!$B$11+Assumptions!$B$12)/Projects!$D$33*0.95,0)-IF(AND(Projects!$G$33="Yes",BI$3=Projects!$C$33+Projects!$D$33-1),Projects!$B$33*(Assumptions!$B$10+Assumptions!$B$11+Assumptions!$B$12)*0.05,0)</f>
        <v>0</v>
      </c>
      <c r="BJ42" s="19" t="n">
        <f aca="false">IF(AND(Projects!$G$33="Yes",BJ$3&gt;=Projects!$C$33,BJ$3&lt;Projects!$C$33+Projects!$D$33),Projects!$B$33*INDEX(Curves!$B$4:$AR$4,1,BJ$3-Projects!$C$33+1),0)-IF(AND(Projects!$G$33="Yes",BJ$3&gt;=Projects!$C$33,BJ$3&lt;Projects!$C$33+Projects!$D$33),Projects!$B$33*(Assumptions!$B$10+Assumptions!$B$11+Assumptions!$B$12)/Projects!$D$33*0.95,0)-IF(AND(Projects!$G$33="Yes",BJ$3=Projects!$C$33+Projects!$D$33-1),Projects!$B$33*(Assumptions!$B$10+Assumptions!$B$11+Assumptions!$B$12)*0.05,0)</f>
        <v>0</v>
      </c>
      <c r="BK42" s="19" t="n">
        <f aca="false">IF(AND(Projects!$G$33="Yes",BK$3&gt;=Projects!$C$33,BK$3&lt;Projects!$C$33+Projects!$D$33),Projects!$B$33*INDEX(Curves!$B$4:$AR$4,1,BK$3-Projects!$C$33+1),0)-IF(AND(Projects!$G$33="Yes",BK$3&gt;=Projects!$C$33,BK$3&lt;Projects!$C$33+Projects!$D$33),Projects!$B$33*(Assumptions!$B$10+Assumptions!$B$11+Assumptions!$B$12)/Projects!$D$33*0.95,0)-IF(AND(Projects!$G$33="Yes",BK$3=Projects!$C$33+Projects!$D$33-1),Projects!$B$33*(Assumptions!$B$10+Assumptions!$B$11+Assumptions!$B$12)*0.05,0)</f>
        <v>0</v>
      </c>
      <c r="BL42" s="19" t="n">
        <f aca="false">IF(AND(Projects!$G$33="Yes",BL$3&gt;=Projects!$C$33,BL$3&lt;Projects!$C$33+Projects!$D$33),Projects!$B$33*INDEX(Curves!$B$4:$AR$4,1,BL$3-Projects!$C$33+1),0)-IF(AND(Projects!$G$33="Yes",BL$3&gt;=Projects!$C$33,BL$3&lt;Projects!$C$33+Projects!$D$33),Projects!$B$33*(Assumptions!$B$10+Assumptions!$B$11+Assumptions!$B$12)/Projects!$D$33*0.95,0)-IF(AND(Projects!$G$33="Yes",BL$3=Projects!$C$33+Projects!$D$33-1),Projects!$B$33*(Assumptions!$B$10+Assumptions!$B$11+Assumptions!$B$12)*0.05,0)</f>
        <v>0</v>
      </c>
      <c r="BM42" s="19" t="n">
        <f aca="false">IF(AND(Projects!$G$33="Yes",BM$3&gt;=Projects!$C$33,BM$3&lt;Projects!$C$33+Projects!$D$33),Projects!$B$33*INDEX(Curves!$B$4:$AR$4,1,BM$3-Projects!$C$33+1),0)-IF(AND(Projects!$G$33="Yes",BM$3&gt;=Projects!$C$33,BM$3&lt;Projects!$C$33+Projects!$D$33),Projects!$B$33*(Assumptions!$B$10+Assumptions!$B$11+Assumptions!$B$12)/Projects!$D$33*0.95,0)-IF(AND(Projects!$G$33="Yes",BM$3=Projects!$C$33+Projects!$D$33-1),Projects!$B$33*(Assumptions!$B$10+Assumptions!$B$11+Assumptions!$B$12)*0.05,0)</f>
        <v>0</v>
      </c>
      <c r="BN42" s="19" t="n">
        <f aca="false">IF(AND(Projects!$G$33="Yes",BN$3&gt;=Projects!$C$33,BN$3&lt;Projects!$C$33+Projects!$D$33),Projects!$B$33*INDEX(Curves!$B$4:$AR$4,1,BN$3-Projects!$C$33+1),0)-IF(AND(Projects!$G$33="Yes",BN$3&gt;=Projects!$C$33,BN$3&lt;Projects!$C$33+Projects!$D$33),Projects!$B$33*(Assumptions!$B$10+Assumptions!$B$11+Assumptions!$B$12)/Projects!$D$33*0.95,0)-IF(AND(Projects!$G$33="Yes",BN$3=Projects!$C$33+Projects!$D$33-1),Projects!$B$33*(Assumptions!$B$10+Assumptions!$B$11+Assumptions!$B$12)*0.05,0)</f>
        <v>0</v>
      </c>
      <c r="BO42" s="19" t="n">
        <f aca="false">IF(AND(Projects!$G$33="Yes",BO$3&gt;=Projects!$C$33,BO$3&lt;Projects!$C$33+Projects!$D$33),Projects!$B$33*INDEX(Curves!$B$4:$AR$4,1,BO$3-Projects!$C$33+1),0)-IF(AND(Projects!$G$33="Yes",BO$3&gt;=Projects!$C$33,BO$3&lt;Projects!$C$33+Projects!$D$33),Projects!$B$33*(Assumptions!$B$10+Assumptions!$B$11+Assumptions!$B$12)/Projects!$D$33*0.95,0)-IF(AND(Projects!$G$33="Yes",BO$3=Projects!$C$33+Projects!$D$33-1),Projects!$B$33*(Assumptions!$B$10+Assumptions!$B$11+Assumptions!$B$12)*0.05,0)</f>
        <v>0</v>
      </c>
      <c r="BP42" s="19" t="n">
        <f aca="false">IF(AND(Projects!$G$33="Yes",BP$3&gt;=Projects!$C$33,BP$3&lt;Projects!$C$33+Projects!$D$33),Projects!$B$33*INDEX(Curves!$B$4:$AR$4,1,BP$3-Projects!$C$33+1),0)-IF(AND(Projects!$G$33="Yes",BP$3&gt;=Projects!$C$33,BP$3&lt;Projects!$C$33+Projects!$D$33),Projects!$B$33*(Assumptions!$B$10+Assumptions!$B$11+Assumptions!$B$12)/Projects!$D$33*0.95,0)-IF(AND(Projects!$G$33="Yes",BP$3=Projects!$C$33+Projects!$D$33-1),Projects!$B$33*(Assumptions!$B$10+Assumptions!$B$11+Assumptions!$B$12)*0.05,0)</f>
        <v>0</v>
      </c>
      <c r="BQ42" s="19" t="n">
        <f aca="false">IF(AND(Projects!$G$33="Yes",BQ$3&gt;=Projects!$C$33,BQ$3&lt;Projects!$C$33+Projects!$D$33),Projects!$B$33*INDEX(Curves!$B$4:$AR$4,1,BQ$3-Projects!$C$33+1),0)-IF(AND(Projects!$G$33="Yes",BQ$3&gt;=Projects!$C$33,BQ$3&lt;Projects!$C$33+Projects!$D$33),Projects!$B$33*(Assumptions!$B$10+Assumptions!$B$11+Assumptions!$B$12)/Projects!$D$33*0.95,0)-IF(AND(Projects!$G$33="Yes",BQ$3=Projects!$C$33+Projects!$D$33-1),Projects!$B$33*(Assumptions!$B$10+Assumptions!$B$11+Assumptions!$B$12)*0.05,0)</f>
        <v>0</v>
      </c>
      <c r="BR42" s="19" t="n">
        <f aca="false">IF(AND(Projects!$G$33="Yes",BR$3&gt;=Projects!$C$33,BR$3&lt;Projects!$C$33+Projects!$D$33),Projects!$B$33*INDEX(Curves!$B$4:$AR$4,1,BR$3-Projects!$C$33+1),0)-IF(AND(Projects!$G$33="Yes",BR$3&gt;=Projects!$C$33,BR$3&lt;Projects!$C$33+Projects!$D$33),Projects!$B$33*(Assumptions!$B$10+Assumptions!$B$11+Assumptions!$B$12)/Projects!$D$33*0.95,0)-IF(AND(Projects!$G$33="Yes",BR$3=Projects!$C$33+Projects!$D$33-1),Projects!$B$33*(Assumptions!$B$10+Assumptions!$B$11+Assumptions!$B$12)*0.05,0)</f>
        <v>0</v>
      </c>
      <c r="BS42" s="19" t="n">
        <f aca="false">IF(AND(Projects!$G$33="Yes",BS$3&gt;=Projects!$C$33,BS$3&lt;Projects!$C$33+Projects!$D$33),Projects!$B$33*INDEX(Curves!$B$4:$AR$4,1,BS$3-Projects!$C$33+1),0)-IF(AND(Projects!$G$33="Yes",BS$3&gt;=Projects!$C$33,BS$3&lt;Projects!$C$33+Projects!$D$33),Projects!$B$33*(Assumptions!$B$10+Assumptions!$B$11+Assumptions!$B$12)/Projects!$D$33*0.95,0)-IF(AND(Projects!$G$33="Yes",BS$3=Projects!$C$33+Projects!$D$33-1),Projects!$B$33*(Assumptions!$B$10+Assumptions!$B$11+Assumptions!$B$12)*0.05,0)</f>
        <v>0</v>
      </c>
      <c r="BT42" s="19" t="n">
        <f aca="false">IF(AND(Projects!$G$33="Yes",BT$3&gt;=Projects!$C$33,BT$3&lt;Projects!$C$33+Projects!$D$33),Projects!$B$33*INDEX(Curves!$B$4:$AR$4,1,BT$3-Projects!$C$33+1),0)-IF(AND(Projects!$G$33="Yes",BT$3&gt;=Projects!$C$33,BT$3&lt;Projects!$C$33+Projects!$D$33),Projects!$B$33*(Assumptions!$B$10+Assumptions!$B$11+Assumptions!$B$12)/Projects!$D$33*0.95,0)-IF(AND(Projects!$G$33="Yes",BT$3=Projects!$C$33+Projects!$D$33-1),Projects!$B$33*(Assumptions!$B$10+Assumptions!$B$11+Assumptions!$B$12)*0.05,0)</f>
        <v>0</v>
      </c>
      <c r="BU42" s="19" t="n">
        <f aca="false">IF(AND(Projects!$G$33="Yes",BU$3&gt;=Projects!$C$33,BU$3&lt;Projects!$C$33+Projects!$D$33),Projects!$B$33*INDEX(Curves!$B$4:$AR$4,1,BU$3-Projects!$C$33+1),0)-IF(AND(Projects!$G$33="Yes",BU$3&gt;=Projects!$C$33,BU$3&lt;Projects!$C$33+Projects!$D$33),Projects!$B$33*(Assumptions!$B$10+Assumptions!$B$11+Assumptions!$B$12)/Projects!$D$33*0.95,0)-IF(AND(Projects!$G$33="Yes",BU$3=Projects!$C$33+Projects!$D$33-1),Projects!$B$33*(Assumptions!$B$10+Assumptions!$B$11+Assumptions!$B$12)*0.05,0)</f>
        <v>0</v>
      </c>
      <c r="BV42" s="19" t="n">
        <f aca="false">IF(AND(Projects!$G$33="Yes",BV$3&gt;=Projects!$C$33,BV$3&lt;Projects!$C$33+Projects!$D$33),Projects!$B$33*INDEX(Curves!$B$4:$AR$4,1,BV$3-Projects!$C$33+1),0)-IF(AND(Projects!$G$33="Yes",BV$3&gt;=Projects!$C$33,BV$3&lt;Projects!$C$33+Projects!$D$33),Projects!$B$33*(Assumptions!$B$10+Assumptions!$B$11+Assumptions!$B$12)/Projects!$D$33*0.95,0)-IF(AND(Projects!$G$33="Yes",BV$3=Projects!$C$33+Projects!$D$33-1),Projects!$B$33*(Assumptions!$B$10+Assumptions!$B$11+Assumptions!$B$12)*0.05,0)</f>
        <v>0</v>
      </c>
      <c r="BW42" s="19" t="n">
        <f aca="false">IF(AND(Projects!$G$33="Yes",BW$3&gt;=Projects!$C$33,BW$3&lt;Projects!$C$33+Projects!$D$33),Projects!$B$33*INDEX(Curves!$B$4:$AR$4,1,BW$3-Projects!$C$33+1),0)-IF(AND(Projects!$G$33="Yes",BW$3&gt;=Projects!$C$33,BW$3&lt;Projects!$C$33+Projects!$D$33),Projects!$B$33*(Assumptions!$B$10+Assumptions!$B$11+Assumptions!$B$12)/Projects!$D$33*0.95,0)-IF(AND(Projects!$G$33="Yes",BW$3=Projects!$C$33+Projects!$D$33-1),Projects!$B$33*(Assumptions!$B$10+Assumptions!$B$11+Assumptions!$B$12)*0.05,0)</f>
        <v>0</v>
      </c>
      <c r="BX42" s="19" t="n">
        <f aca="false">IF(AND(Projects!$G$33="Yes",BX$3&gt;=Projects!$C$33,BX$3&lt;Projects!$C$33+Projects!$D$33),Projects!$B$33*INDEX(Curves!$B$4:$AR$4,1,BX$3-Projects!$C$33+1),0)-IF(AND(Projects!$G$33="Yes",BX$3&gt;=Projects!$C$33,BX$3&lt;Projects!$C$33+Projects!$D$33),Projects!$B$33*(Assumptions!$B$10+Assumptions!$B$11+Assumptions!$B$12)/Projects!$D$33*0.95,0)-IF(AND(Projects!$G$33="Yes",BX$3=Projects!$C$33+Projects!$D$33-1),Projects!$B$33*(Assumptions!$B$10+Assumptions!$B$11+Assumptions!$B$12)*0.05,0)</f>
        <v>0</v>
      </c>
      <c r="BY42" s="19" t="n">
        <f aca="false">IF(AND(Projects!$G$33="Yes",BY$3&gt;=Projects!$C$33,BY$3&lt;Projects!$C$33+Projects!$D$33),Projects!$B$33*INDEX(Curves!$B$4:$AR$4,1,BY$3-Projects!$C$33+1),0)-IF(AND(Projects!$G$33="Yes",BY$3&gt;=Projects!$C$33,BY$3&lt;Projects!$C$33+Projects!$D$33),Projects!$B$33*(Assumptions!$B$10+Assumptions!$B$11+Assumptions!$B$12)/Projects!$D$33*0.95,0)-IF(AND(Projects!$G$33="Yes",BY$3=Projects!$C$33+Projects!$D$33-1),Projects!$B$33*(Assumptions!$B$10+Assumptions!$B$11+Assumptions!$B$12)*0.05,0)</f>
        <v>0</v>
      </c>
      <c r="BZ42" s="19" t="n">
        <f aca="false">IF(AND(Projects!$G$33="Yes",BZ$3&gt;=Projects!$C$33,BZ$3&lt;Projects!$C$33+Projects!$D$33),Projects!$B$33*INDEX(Curves!$B$4:$AR$4,1,BZ$3-Projects!$C$33+1),0)-IF(AND(Projects!$G$33="Yes",BZ$3&gt;=Projects!$C$33,BZ$3&lt;Projects!$C$33+Projects!$D$33),Projects!$B$33*(Assumptions!$B$10+Assumptions!$B$11+Assumptions!$B$12)/Projects!$D$33*0.95,0)-IF(AND(Projects!$G$33="Yes",BZ$3=Projects!$C$33+Projects!$D$33-1),Projects!$B$33*(Assumptions!$B$10+Assumptions!$B$11+Assumptions!$B$12)*0.05,0)</f>
        <v>0</v>
      </c>
      <c r="CA42" s="19" t="n">
        <f aca="false">IF(AND(Projects!$G$33="Yes",CA$3&gt;=Projects!$C$33,CA$3&lt;Projects!$C$33+Projects!$D$33),Projects!$B$33*INDEX(Curves!$B$4:$AR$4,1,CA$3-Projects!$C$33+1),0)-IF(AND(Projects!$G$33="Yes",CA$3&gt;=Projects!$C$33,CA$3&lt;Projects!$C$33+Projects!$D$33),Projects!$B$33*(Assumptions!$B$10+Assumptions!$B$11+Assumptions!$B$12)/Projects!$D$33*0.95,0)-IF(AND(Projects!$G$33="Yes",CA$3=Projects!$C$33+Projects!$D$33-1),Projects!$B$33*(Assumptions!$B$10+Assumptions!$B$11+Assumptions!$B$12)*0.05,0)</f>
        <v>0</v>
      </c>
      <c r="CB42" s="19" t="n">
        <f aca="false">IF(AND(Projects!$G$33="Yes",CB$3&gt;=Projects!$C$33,CB$3&lt;Projects!$C$33+Projects!$D$33),Projects!$B$33*INDEX(Curves!$B$4:$AR$4,1,CB$3-Projects!$C$33+1),0)-IF(AND(Projects!$G$33="Yes",CB$3&gt;=Projects!$C$33,CB$3&lt;Projects!$C$33+Projects!$D$33),Projects!$B$33*(Assumptions!$B$10+Assumptions!$B$11+Assumptions!$B$12)/Projects!$D$33*0.95,0)-IF(AND(Projects!$G$33="Yes",CB$3=Projects!$C$33+Projects!$D$33-1),Projects!$B$33*(Assumptions!$B$10+Assumptions!$B$11+Assumptions!$B$12)*0.05,0)</f>
        <v>0</v>
      </c>
      <c r="CC42" s="19" t="n">
        <f aca="false">IF(AND(Projects!$G$33="Yes",CC$3&gt;=Projects!$C$33,CC$3&lt;Projects!$C$33+Projects!$D$33),Projects!$B$33*INDEX(Curves!$B$4:$AR$4,1,CC$3-Projects!$C$33+1),0)-IF(AND(Projects!$G$33="Yes",CC$3&gt;=Projects!$C$33,CC$3&lt;Projects!$C$33+Projects!$D$33),Projects!$B$33*(Assumptions!$B$10+Assumptions!$B$11+Assumptions!$B$12)/Projects!$D$33*0.95,0)-IF(AND(Projects!$G$33="Yes",CC$3=Projects!$C$33+Projects!$D$33-1),Projects!$B$33*(Assumptions!$B$10+Assumptions!$B$11+Assumptions!$B$12)*0.05,0)</f>
        <v>0</v>
      </c>
      <c r="CD42" s="19" t="n">
        <f aca="false">IF(AND(Projects!$G$33="Yes",CD$3&gt;=Projects!$C$33,CD$3&lt;Projects!$C$33+Projects!$D$33),Projects!$B$33*INDEX(Curves!$B$4:$AR$4,1,CD$3-Projects!$C$33+1),0)-IF(AND(Projects!$G$33="Yes",CD$3&gt;=Projects!$C$33,CD$3&lt;Projects!$C$33+Projects!$D$33),Projects!$B$33*(Assumptions!$B$10+Assumptions!$B$11+Assumptions!$B$12)/Projects!$D$33*0.95,0)-IF(AND(Projects!$G$33="Yes",CD$3=Projects!$C$33+Projects!$D$33-1),Projects!$B$33*(Assumptions!$B$10+Assumptions!$B$11+Assumptions!$B$12)*0.05,0)</f>
        <v>0</v>
      </c>
      <c r="CE42" s="19" t="n">
        <f aca="false">IF(AND(Projects!$G$33="Yes",CE$3&gt;=Projects!$C$33,CE$3&lt;Projects!$C$33+Projects!$D$33),Projects!$B$33*INDEX(Curves!$B$4:$AR$4,1,CE$3-Projects!$C$33+1),0)-IF(AND(Projects!$G$33="Yes",CE$3&gt;=Projects!$C$33,CE$3&lt;Projects!$C$33+Projects!$D$33),Projects!$B$33*(Assumptions!$B$10+Assumptions!$B$11+Assumptions!$B$12)/Projects!$D$33*0.95,0)-IF(AND(Projects!$G$33="Yes",CE$3=Projects!$C$33+Projects!$D$33-1),Projects!$B$33*(Assumptions!$B$10+Assumptions!$B$11+Assumptions!$B$12)*0.05,0)</f>
        <v>0</v>
      </c>
      <c r="CF42" s="19" t="n">
        <f aca="false">IF(AND(Projects!$G$33="Yes",CF$3&gt;=Projects!$C$33,CF$3&lt;Projects!$C$33+Projects!$D$33),Projects!$B$33*INDEX(Curves!$B$4:$AR$4,1,CF$3-Projects!$C$33+1),0)-IF(AND(Projects!$G$33="Yes",CF$3&gt;=Projects!$C$33,CF$3&lt;Projects!$C$33+Projects!$D$33),Projects!$B$33*(Assumptions!$B$10+Assumptions!$B$11+Assumptions!$B$12)/Projects!$D$33*0.95,0)-IF(AND(Projects!$G$33="Yes",CF$3=Projects!$C$33+Projects!$D$33-1),Projects!$B$33*(Assumptions!$B$10+Assumptions!$B$11+Assumptions!$B$12)*0.05,0)</f>
        <v>0</v>
      </c>
      <c r="CG42" s="19" t="n">
        <f aca="false">IF(AND(Projects!$G$33="Yes",CG$3&gt;=Projects!$C$33,CG$3&lt;Projects!$C$33+Projects!$D$33),Projects!$B$33*INDEX(Curves!$B$4:$AR$4,1,CG$3-Projects!$C$33+1),0)-IF(AND(Projects!$G$33="Yes",CG$3&gt;=Projects!$C$33,CG$3&lt;Projects!$C$33+Projects!$D$33),Projects!$B$33*(Assumptions!$B$10+Assumptions!$B$11+Assumptions!$B$12)/Projects!$D$33*0.95,0)-IF(AND(Projects!$G$33="Yes",CG$3=Projects!$C$33+Projects!$D$33-1),Projects!$B$33*(Assumptions!$B$10+Assumptions!$B$11+Assumptions!$B$12)*0.05,0)</f>
        <v>0</v>
      </c>
      <c r="CH42" s="19" t="n">
        <f aca="false">IF(AND(Projects!$G$33="Yes",CH$3&gt;=Projects!$C$33,CH$3&lt;Projects!$C$33+Projects!$D$33),Projects!$B$33*INDEX(Curves!$B$4:$AR$4,1,CH$3-Projects!$C$33+1),0)-IF(AND(Projects!$G$33="Yes",CH$3&gt;=Projects!$C$33,CH$3&lt;Projects!$C$33+Projects!$D$33),Projects!$B$33*(Assumptions!$B$10+Assumptions!$B$11+Assumptions!$B$12)/Projects!$D$33*0.95,0)-IF(AND(Projects!$G$33="Yes",CH$3=Projects!$C$33+Projects!$D$33-1),Projects!$B$33*(Assumptions!$B$10+Assumptions!$B$11+Assumptions!$B$12)*0.05,0)</f>
        <v>0</v>
      </c>
      <c r="CI42" s="19" t="n">
        <f aca="false">IF(AND(Projects!$G$33="Yes",CI$3&gt;=Projects!$C$33,CI$3&lt;Projects!$C$33+Projects!$D$33),Projects!$B$33*INDEX(Curves!$B$4:$AR$4,1,CI$3-Projects!$C$33+1),0)-IF(AND(Projects!$G$33="Yes",CI$3&gt;=Projects!$C$33,CI$3&lt;Projects!$C$33+Projects!$D$33),Projects!$B$33*(Assumptions!$B$10+Assumptions!$B$11+Assumptions!$B$12)/Projects!$D$33*0.95,0)-IF(AND(Projects!$G$33="Yes",CI$3=Projects!$C$33+Projects!$D$33-1),Projects!$B$33*(Assumptions!$B$10+Assumptions!$B$11+Assumptions!$B$12)*0.05,0)</f>
        <v>0</v>
      </c>
      <c r="CJ42" s="19" t="n">
        <f aca="false">IF(AND(Projects!$G$33="Yes",CJ$3&gt;=Projects!$C$33,CJ$3&lt;Projects!$C$33+Projects!$D$33),Projects!$B$33*INDEX(Curves!$B$4:$AR$4,1,CJ$3-Projects!$C$33+1),0)-IF(AND(Projects!$G$33="Yes",CJ$3&gt;=Projects!$C$33,CJ$3&lt;Projects!$C$33+Projects!$D$33),Projects!$B$33*(Assumptions!$B$10+Assumptions!$B$11+Assumptions!$B$12)/Projects!$D$33*0.95,0)-IF(AND(Projects!$G$33="Yes",CJ$3=Projects!$C$33+Projects!$D$33-1),Projects!$B$33*(Assumptions!$B$10+Assumptions!$B$11+Assumptions!$B$12)*0.05,0)</f>
        <v>0</v>
      </c>
      <c r="CK42" s="19" t="n">
        <f aca="false">IF(AND(Projects!$G$33="Yes",CK$3&gt;=Projects!$C$33,CK$3&lt;Projects!$C$33+Projects!$D$33),Projects!$B$33*INDEX(Curves!$B$4:$AR$4,1,CK$3-Projects!$C$33+1),0)-IF(AND(Projects!$G$33="Yes",CK$3&gt;=Projects!$C$33,CK$3&lt;Projects!$C$33+Projects!$D$33),Projects!$B$33*(Assumptions!$B$10+Assumptions!$B$11+Assumptions!$B$12)/Projects!$D$33*0.95,0)-IF(AND(Projects!$G$33="Yes",CK$3=Projects!$C$33+Projects!$D$33-1),Projects!$B$33*(Assumptions!$B$10+Assumptions!$B$11+Assumptions!$B$12)*0.05,0)</f>
        <v>0</v>
      </c>
      <c r="CL42" s="19" t="n">
        <f aca="false">IF(AND(Projects!$G$33="Yes",CL$3&gt;=Projects!$C$33,CL$3&lt;Projects!$C$33+Projects!$D$33),Projects!$B$33*INDEX(Curves!$B$4:$AR$4,1,CL$3-Projects!$C$33+1),0)-IF(AND(Projects!$G$33="Yes",CL$3&gt;=Projects!$C$33,CL$3&lt;Projects!$C$33+Projects!$D$33),Projects!$B$33*(Assumptions!$B$10+Assumptions!$B$11+Assumptions!$B$12)/Projects!$D$33*0.95,0)-IF(AND(Projects!$G$33="Yes",CL$3=Projects!$C$33+Projects!$D$33-1),Projects!$B$33*(Assumptions!$B$10+Assumptions!$B$11+Assumptions!$B$12)*0.05,0)</f>
        <v>0</v>
      </c>
      <c r="CM42" s="19" t="n">
        <f aca="false">IF(AND(Projects!$G$33="Yes",CM$3&gt;=Projects!$C$33,CM$3&lt;Projects!$C$33+Projects!$D$33),Projects!$B$33*INDEX(Curves!$B$4:$AR$4,1,CM$3-Projects!$C$33+1),0)-IF(AND(Projects!$G$33="Yes",CM$3&gt;=Projects!$C$33,CM$3&lt;Projects!$C$33+Projects!$D$33),Projects!$B$33*(Assumptions!$B$10+Assumptions!$B$11+Assumptions!$B$12)/Projects!$D$33*0.95,0)-IF(AND(Projects!$G$33="Yes",CM$3=Projects!$C$33+Projects!$D$33-1),Projects!$B$33*(Assumptions!$B$10+Assumptions!$B$11+Assumptions!$B$12)*0.05,0)</f>
        <v>0</v>
      </c>
      <c r="CN42" s="19" t="n">
        <f aca="false">IF(AND(Projects!$G$33="Yes",CN$3&gt;=Projects!$C$33,CN$3&lt;Projects!$C$33+Projects!$D$33),Projects!$B$33*INDEX(Curves!$B$4:$AR$4,1,CN$3-Projects!$C$33+1),0)-IF(AND(Projects!$G$33="Yes",CN$3&gt;=Projects!$C$33,CN$3&lt;Projects!$C$33+Projects!$D$33),Projects!$B$33*(Assumptions!$B$10+Assumptions!$B$11+Assumptions!$B$12)/Projects!$D$33*0.95,0)-IF(AND(Projects!$G$33="Yes",CN$3=Projects!$C$33+Projects!$D$33-1),Projects!$B$33*(Assumptions!$B$10+Assumptions!$B$11+Assumptions!$B$12)*0.05,0)</f>
        <v>0</v>
      </c>
      <c r="CO42" s="19" t="n">
        <f aca="false">IF(AND(Projects!$G$33="Yes",CO$3&gt;=Projects!$C$33,CO$3&lt;Projects!$C$33+Projects!$D$33),Projects!$B$33*INDEX(Curves!$B$4:$AR$4,1,CO$3-Projects!$C$33+1),0)-IF(AND(Projects!$G$33="Yes",CO$3&gt;=Projects!$C$33,CO$3&lt;Projects!$C$33+Projects!$D$33),Projects!$B$33*(Assumptions!$B$10+Assumptions!$B$11+Assumptions!$B$12)/Projects!$D$33*0.95,0)-IF(AND(Projects!$G$33="Yes",CO$3=Projects!$C$33+Projects!$D$33-1),Projects!$B$33*(Assumptions!$B$10+Assumptions!$B$11+Assumptions!$B$12)*0.05,0)</f>
        <v>0</v>
      </c>
      <c r="CP42" s="19" t="n">
        <f aca="false">IF(AND(Projects!$G$33="Yes",CP$3&gt;=Projects!$C$33,CP$3&lt;Projects!$C$33+Projects!$D$33),Projects!$B$33*INDEX(Curves!$B$4:$AR$4,1,CP$3-Projects!$C$33+1),0)-IF(AND(Projects!$G$33="Yes",CP$3&gt;=Projects!$C$33,CP$3&lt;Projects!$C$33+Projects!$D$33),Projects!$B$33*(Assumptions!$B$10+Assumptions!$B$11+Assumptions!$B$12)/Projects!$D$33*0.95,0)-IF(AND(Projects!$G$33="Yes",CP$3=Projects!$C$33+Projects!$D$33-1),Projects!$B$33*(Assumptions!$B$10+Assumptions!$B$11+Assumptions!$B$12)*0.05,0)</f>
        <v>0</v>
      </c>
      <c r="CQ42" s="19" t="n">
        <f aca="false">IF(AND(Projects!$G$33="Yes",CQ$3&gt;=Projects!$C$33,CQ$3&lt;Projects!$C$33+Projects!$D$33),Projects!$B$33*INDEX(Curves!$B$4:$AR$4,1,CQ$3-Projects!$C$33+1),0)-IF(AND(Projects!$G$33="Yes",CQ$3&gt;=Projects!$C$33,CQ$3&lt;Projects!$C$33+Projects!$D$33),Projects!$B$33*(Assumptions!$B$10+Assumptions!$B$11+Assumptions!$B$12)/Projects!$D$33*0.95,0)-IF(AND(Projects!$G$33="Yes",CQ$3=Projects!$C$33+Projects!$D$33-1),Projects!$B$33*(Assumptions!$B$10+Assumptions!$B$11+Assumptions!$B$12)*0.05,0)</f>
        <v>0</v>
      </c>
      <c r="CR42" s="19" t="n">
        <f aca="false">IF(AND(Projects!$G$33="Yes",CR$3&gt;=Projects!$C$33,CR$3&lt;Projects!$C$33+Projects!$D$33),Projects!$B$33*INDEX(Curves!$B$4:$AR$4,1,CR$3-Projects!$C$33+1),0)-IF(AND(Projects!$G$33="Yes",CR$3&gt;=Projects!$C$33,CR$3&lt;Projects!$C$33+Projects!$D$33),Projects!$B$33*(Assumptions!$B$10+Assumptions!$B$11+Assumptions!$B$12)/Projects!$D$33*0.95,0)-IF(AND(Projects!$G$33="Yes",CR$3=Projects!$C$33+Projects!$D$33-1),Projects!$B$33*(Assumptions!$B$10+Assumptions!$B$11+Assumptions!$B$12)*0.05,0)</f>
        <v>0</v>
      </c>
      <c r="CS42" s="19" t="n">
        <f aca="false">IF(AND(Projects!$G$33="Yes",CS$3&gt;=Projects!$C$33,CS$3&lt;Projects!$C$33+Projects!$D$33),Projects!$B$33*INDEX(Curves!$B$4:$AR$4,1,CS$3-Projects!$C$33+1),0)-IF(AND(Projects!$G$33="Yes",CS$3&gt;=Projects!$C$33,CS$3&lt;Projects!$C$33+Projects!$D$33),Projects!$B$33*(Assumptions!$B$10+Assumptions!$B$11+Assumptions!$B$12)/Projects!$D$33*0.95,0)-IF(AND(Projects!$G$33="Yes",CS$3=Projects!$C$33+Projects!$D$33-1),Projects!$B$33*(Assumptions!$B$10+Assumptions!$B$11+Assumptions!$B$12)*0.05,0)</f>
        <v>0</v>
      </c>
      <c r="CT42" s="19" t="n">
        <f aca="false">IF(AND(Projects!$G$33="Yes",CT$3&gt;=Projects!$C$33,CT$3&lt;Projects!$C$33+Projects!$D$33),Projects!$B$33*INDEX(Curves!$B$4:$AR$4,1,CT$3-Projects!$C$33+1),0)-IF(AND(Projects!$G$33="Yes",CT$3&gt;=Projects!$C$33,CT$3&lt;Projects!$C$33+Projects!$D$33),Projects!$B$33*(Assumptions!$B$10+Assumptions!$B$11+Assumptions!$B$12)/Projects!$D$33*0.95,0)-IF(AND(Projects!$G$33="Yes",CT$3=Projects!$C$33+Projects!$D$33-1),Projects!$B$33*(Assumptions!$B$10+Assumptions!$B$11+Assumptions!$B$12)*0.05,0)</f>
        <v>0</v>
      </c>
      <c r="CU42" s="19" t="n">
        <f aca="false">IF(AND(Projects!$G$33="Yes",CU$3&gt;=Projects!$C$33,CU$3&lt;Projects!$C$33+Projects!$D$33),Projects!$B$33*INDEX(Curves!$B$4:$AR$4,1,CU$3-Projects!$C$33+1),0)-IF(AND(Projects!$G$33="Yes",CU$3&gt;=Projects!$C$33,CU$3&lt;Projects!$C$33+Projects!$D$33),Projects!$B$33*(Assumptions!$B$10+Assumptions!$B$11+Assumptions!$B$12)/Projects!$D$33*0.95,0)-IF(AND(Projects!$G$33="Yes",CU$3=Projects!$C$33+Projects!$D$33-1),Projects!$B$33*(Assumptions!$B$10+Assumptions!$B$11+Assumptions!$B$12)*0.05,0)</f>
        <v>0</v>
      </c>
      <c r="CV42" s="19" t="n">
        <f aca="false">IF(AND(Projects!$G$33="Yes",CV$3&gt;=Projects!$C$33,CV$3&lt;Projects!$C$33+Projects!$D$33),Projects!$B$33*INDEX(Curves!$B$4:$AR$4,1,CV$3-Projects!$C$33+1),0)-IF(AND(Projects!$G$33="Yes",CV$3&gt;=Projects!$C$33,CV$3&lt;Projects!$C$33+Projects!$D$33),Projects!$B$33*(Assumptions!$B$10+Assumptions!$B$11+Assumptions!$B$12)/Projects!$D$33*0.95,0)-IF(AND(Projects!$G$33="Yes",CV$3=Projects!$C$33+Projects!$D$33-1),Projects!$B$33*(Assumptions!$B$10+Assumptions!$B$11+Assumptions!$B$12)*0.05,0)</f>
        <v>0</v>
      </c>
      <c r="CW42" s="19" t="n">
        <f aca="false">IF(AND(Projects!$G$33="Yes",CW$3&gt;=Projects!$C$33,CW$3&lt;Projects!$C$33+Projects!$D$33),Projects!$B$33*INDEX(Curves!$B$4:$AR$4,1,CW$3-Projects!$C$33+1),0)-IF(AND(Projects!$G$33="Yes",CW$3&gt;=Projects!$C$33,CW$3&lt;Projects!$C$33+Projects!$D$33),Projects!$B$33*(Assumptions!$B$10+Assumptions!$B$11+Assumptions!$B$12)/Projects!$D$33*0.95,0)-IF(AND(Projects!$G$33="Yes",CW$3=Projects!$C$33+Projects!$D$33-1),Projects!$B$33*(Assumptions!$B$10+Assumptions!$B$11+Assumptions!$B$12)*0.05,0)</f>
        <v>0</v>
      </c>
      <c r="CX42" s="19" t="n">
        <f aca="false">IF(AND(Projects!$G$33="Yes",CX$3&gt;=Projects!$C$33,CX$3&lt;Projects!$C$33+Projects!$D$33),Projects!$B$33*INDEX(Curves!$B$4:$AR$4,1,CX$3-Projects!$C$33+1),0)-IF(AND(Projects!$G$33="Yes",CX$3&gt;=Projects!$C$33,CX$3&lt;Projects!$C$33+Projects!$D$33),Projects!$B$33*(Assumptions!$B$10+Assumptions!$B$11+Assumptions!$B$12)/Projects!$D$33*0.95,0)-IF(AND(Projects!$G$33="Yes",CX$3=Projects!$C$33+Projects!$D$33-1),Projects!$B$33*(Assumptions!$B$10+Assumptions!$B$11+Assumptions!$B$12)*0.05,0)</f>
        <v>0</v>
      </c>
      <c r="CY42" s="19" t="n">
        <f aca="false">IF(AND(Projects!$G$33="Yes",CY$3&gt;=Projects!$C$33,CY$3&lt;Projects!$C$33+Projects!$D$33),Projects!$B$33*INDEX(Curves!$B$4:$AR$4,1,CY$3-Projects!$C$33+1),0)-IF(AND(Projects!$G$33="Yes",CY$3&gt;=Projects!$C$33,CY$3&lt;Projects!$C$33+Projects!$D$33),Projects!$B$33*(Assumptions!$B$10+Assumptions!$B$11+Assumptions!$B$12)/Projects!$D$33*0.95,0)-IF(AND(Projects!$G$33="Yes",CY$3=Projects!$C$33+Projects!$D$33-1),Projects!$B$33*(Assumptions!$B$10+Assumptions!$B$11+Assumptions!$B$12)*0.05,0)</f>
        <v>0</v>
      </c>
      <c r="CZ42" s="19" t="n">
        <f aca="false">IF(AND(Projects!$G$33="Yes",CZ$3&gt;=Projects!$C$33,CZ$3&lt;Projects!$C$33+Projects!$D$33),Projects!$B$33*INDEX(Curves!$B$4:$AR$4,1,CZ$3-Projects!$C$33+1),0)-IF(AND(Projects!$G$33="Yes",CZ$3&gt;=Projects!$C$33,CZ$3&lt;Projects!$C$33+Projects!$D$33),Projects!$B$33*(Assumptions!$B$10+Assumptions!$B$11+Assumptions!$B$12)/Projects!$D$33*0.95,0)-IF(AND(Projects!$G$33="Yes",CZ$3=Projects!$C$33+Projects!$D$33-1),Projects!$B$33*(Assumptions!$B$10+Assumptions!$B$11+Assumptions!$B$12)*0.05,0)</f>
        <v>0</v>
      </c>
      <c r="DA42" s="19" t="n">
        <f aca="false">IF(AND(Projects!$G$33="Yes",DA$3&gt;=Projects!$C$33,DA$3&lt;Projects!$C$33+Projects!$D$33),Projects!$B$33*INDEX(Curves!$B$4:$AR$4,1,DA$3-Projects!$C$33+1),0)-IF(AND(Projects!$G$33="Yes",DA$3&gt;=Projects!$C$33,DA$3&lt;Projects!$C$33+Projects!$D$33),Projects!$B$33*(Assumptions!$B$10+Assumptions!$B$11+Assumptions!$B$12)/Projects!$D$33*0.95,0)-IF(AND(Projects!$G$33="Yes",DA$3=Projects!$C$33+Projects!$D$33-1),Projects!$B$33*(Assumptions!$B$10+Assumptions!$B$11+Assumptions!$B$12)*0.05,0)</f>
        <v>0</v>
      </c>
      <c r="DB42" s="19" t="n">
        <f aca="false">IF(AND(Projects!$G$33="Yes",DB$3&gt;=Projects!$C$33,DB$3&lt;Projects!$C$33+Projects!$D$33),Projects!$B$33*INDEX(Curves!$B$4:$AR$4,1,DB$3-Projects!$C$33+1),0)-IF(AND(Projects!$G$33="Yes",DB$3&gt;=Projects!$C$33,DB$3&lt;Projects!$C$33+Projects!$D$33),Projects!$B$33*(Assumptions!$B$10+Assumptions!$B$11+Assumptions!$B$12)/Projects!$D$33*0.95,0)-IF(AND(Projects!$G$33="Yes",DB$3=Projects!$C$33+Projects!$D$33-1),Projects!$B$33*(Assumptions!$B$10+Assumptions!$B$11+Assumptions!$B$12)*0.05,0)</f>
        <v>0</v>
      </c>
      <c r="DC42" s="19" t="n">
        <f aca="false">IF(AND(Projects!$G$33="Yes",DC$3&gt;=Projects!$C$33,DC$3&lt;Projects!$C$33+Projects!$D$33),Projects!$B$33*INDEX(Curves!$B$4:$AR$4,1,DC$3-Projects!$C$33+1),0)-IF(AND(Projects!$G$33="Yes",DC$3&gt;=Projects!$C$33,DC$3&lt;Projects!$C$33+Projects!$D$33),Projects!$B$33*(Assumptions!$B$10+Assumptions!$B$11+Assumptions!$B$12)/Projects!$D$33*0.95,0)-IF(AND(Projects!$G$33="Yes",DC$3=Projects!$C$33+Projects!$D$33-1),Projects!$B$33*(Assumptions!$B$10+Assumptions!$B$11+Assumptions!$B$12)*0.05,0)</f>
        <v>0</v>
      </c>
      <c r="DD42" s="19" t="n">
        <f aca="false">IF(AND(Projects!$G$33="Yes",DD$3&gt;=Projects!$C$33,DD$3&lt;Projects!$C$33+Projects!$D$33),Projects!$B$33*INDEX(Curves!$B$4:$AR$4,1,DD$3-Projects!$C$33+1),0)-IF(AND(Projects!$G$33="Yes",DD$3&gt;=Projects!$C$33,DD$3&lt;Projects!$C$33+Projects!$D$33),Projects!$B$33*(Assumptions!$B$10+Assumptions!$B$11+Assumptions!$B$12)/Projects!$D$33*0.95,0)-IF(AND(Projects!$G$33="Yes",DD$3=Projects!$C$33+Projects!$D$33-1),Projects!$B$33*(Assumptions!$B$10+Assumptions!$B$11+Assumptions!$B$12)*0.05,0)</f>
        <v>0</v>
      </c>
      <c r="DE42" s="19" t="n">
        <f aca="false">IF(AND(Projects!$G$33="Yes",DE$3&gt;=Projects!$C$33,DE$3&lt;Projects!$C$33+Projects!$D$33),Projects!$B$33*INDEX(Curves!$B$4:$AR$4,1,DE$3-Projects!$C$33+1),0)-IF(AND(Projects!$G$33="Yes",DE$3&gt;=Projects!$C$33,DE$3&lt;Projects!$C$33+Projects!$D$33),Projects!$B$33*(Assumptions!$B$10+Assumptions!$B$11+Assumptions!$B$12)/Projects!$D$33*0.95,0)-IF(AND(Projects!$G$33="Yes",DE$3=Projects!$C$33+Projects!$D$33-1),Projects!$B$33*(Assumptions!$B$10+Assumptions!$B$11+Assumptions!$B$12)*0.05,0)</f>
        <v>0</v>
      </c>
    </row>
    <row r="43" customFormat="false" ht="15" hidden="true" customHeight="true" outlineLevel="1" collapsed="false">
      <c r="A43" s="28" t="s">
        <v>37</v>
      </c>
      <c r="B43" s="19" t="n">
        <v>0</v>
      </c>
      <c r="C43" s="19" t="n">
        <v>0</v>
      </c>
      <c r="D43" s="19" t="n">
        <v>0</v>
      </c>
      <c r="E43" s="19" t="n">
        <v>0</v>
      </c>
      <c r="F43" s="19" t="n">
        <f aca="false">IF(AND(Projects!$G$34="Yes",F$3&gt;=Projects!$C$34,F$3&lt;Projects!$C$34+Projects!$D$34),Projects!$B$34*INDEX(Curves!$B$4:$AR$4,1,F$3-Projects!$C$34+1),0)-IF(AND(Projects!$G$34="Yes",F$3&gt;=Projects!$C$34,F$3&lt;Projects!$C$34+Projects!$D$34),Projects!$B$34*(Assumptions!$B$10+Assumptions!$B$11+Assumptions!$B$12)/Projects!$D$34*0.95,0)-IF(AND(Projects!$G$34="Yes",F$3=Projects!$C$34+Projects!$D$34-1),Projects!$B$34*(Assumptions!$B$10+Assumptions!$B$11+Assumptions!$B$12)*0.05,0)</f>
        <v>0</v>
      </c>
      <c r="G43" s="19" t="n">
        <f aca="false">IF(AND(Projects!$G$34="Yes",G$3&gt;=Projects!$C$34,G$3&lt;Projects!$C$34+Projects!$D$34),Projects!$B$34*INDEX(Curves!$B$4:$AR$4,1,G$3-Projects!$C$34+1),0)-IF(AND(Projects!$G$34="Yes",G$3&gt;=Projects!$C$34,G$3&lt;Projects!$C$34+Projects!$D$34),Projects!$B$34*(Assumptions!$B$10+Assumptions!$B$11+Assumptions!$B$12)/Projects!$D$34*0.95,0)-IF(AND(Projects!$G$34="Yes",G$3=Projects!$C$34+Projects!$D$34-1),Projects!$B$34*(Assumptions!$B$10+Assumptions!$B$11+Assumptions!$B$12)*0.05,0)</f>
        <v>0</v>
      </c>
      <c r="H43" s="19" t="n">
        <f aca="false">IF(AND(Projects!$G$34="Yes",H$3&gt;=Projects!$C$34,H$3&lt;Projects!$C$34+Projects!$D$34),Projects!$B$34*INDEX(Curves!$B$4:$AR$4,1,H$3-Projects!$C$34+1),0)-IF(AND(Projects!$G$34="Yes",H$3&gt;=Projects!$C$34,H$3&lt;Projects!$C$34+Projects!$D$34),Projects!$B$34*(Assumptions!$B$10+Assumptions!$B$11+Assumptions!$B$12)/Projects!$D$34*0.95,0)-IF(AND(Projects!$G$34="Yes",H$3=Projects!$C$34+Projects!$D$34-1),Projects!$B$34*(Assumptions!$B$10+Assumptions!$B$11+Assumptions!$B$12)*0.05,0)</f>
        <v>0</v>
      </c>
      <c r="I43" s="19" t="n">
        <f aca="false">IF(AND(Projects!$G$34="Yes",I$3&gt;=Projects!$C$34,I$3&lt;Projects!$C$34+Projects!$D$34),Projects!$B$34*INDEX(Curves!$B$4:$AR$4,1,I$3-Projects!$C$34+1),0)-IF(AND(Projects!$G$34="Yes",I$3&gt;=Projects!$C$34,I$3&lt;Projects!$C$34+Projects!$D$34),Projects!$B$34*(Assumptions!$B$10+Assumptions!$B$11+Assumptions!$B$12)/Projects!$D$34*0.95,0)-IF(AND(Projects!$G$34="Yes",I$3=Projects!$C$34+Projects!$D$34-1),Projects!$B$34*(Assumptions!$B$10+Assumptions!$B$11+Assumptions!$B$12)*0.05,0)</f>
        <v>0</v>
      </c>
      <c r="J43" s="19" t="n">
        <f aca="false">IF(AND(Projects!$G$34="Yes",J$3&gt;=Projects!$C$34,J$3&lt;Projects!$C$34+Projects!$D$34),Projects!$B$34*INDEX(Curves!$B$4:$AR$4,1,J$3-Projects!$C$34+1),0)-IF(AND(Projects!$G$34="Yes",J$3&gt;=Projects!$C$34,J$3&lt;Projects!$C$34+Projects!$D$34),Projects!$B$34*(Assumptions!$B$10+Assumptions!$B$11+Assumptions!$B$12)/Projects!$D$34*0.95,0)-IF(AND(Projects!$G$34="Yes",J$3=Projects!$C$34+Projects!$D$34-1),Projects!$B$34*(Assumptions!$B$10+Assumptions!$B$11+Assumptions!$B$12)*0.05,0)</f>
        <v>0</v>
      </c>
      <c r="K43" s="19" t="n">
        <f aca="false">IF(AND(Projects!$G$34="Yes",K$3&gt;=Projects!$C$34,K$3&lt;Projects!$C$34+Projects!$D$34),Projects!$B$34*INDEX(Curves!$B$4:$AR$4,1,K$3-Projects!$C$34+1),0)-IF(AND(Projects!$G$34="Yes",K$3&gt;=Projects!$C$34,K$3&lt;Projects!$C$34+Projects!$D$34),Projects!$B$34*(Assumptions!$B$10+Assumptions!$B$11+Assumptions!$B$12)/Projects!$D$34*0.95,0)-IF(AND(Projects!$G$34="Yes",K$3=Projects!$C$34+Projects!$D$34-1),Projects!$B$34*(Assumptions!$B$10+Assumptions!$B$11+Assumptions!$B$12)*0.05,0)</f>
        <v>0</v>
      </c>
      <c r="L43" s="19" t="n">
        <f aca="false">IF(AND(Projects!$G$34="Yes",L$3&gt;=Projects!$C$34,L$3&lt;Projects!$C$34+Projects!$D$34),Projects!$B$34*INDEX(Curves!$B$4:$AR$4,1,L$3-Projects!$C$34+1),0)-IF(AND(Projects!$G$34="Yes",L$3&gt;=Projects!$C$34,L$3&lt;Projects!$C$34+Projects!$D$34),Projects!$B$34*(Assumptions!$B$10+Assumptions!$B$11+Assumptions!$B$12)/Projects!$D$34*0.95,0)-IF(AND(Projects!$G$34="Yes",L$3=Projects!$C$34+Projects!$D$34-1),Projects!$B$34*(Assumptions!$B$10+Assumptions!$B$11+Assumptions!$B$12)*0.05,0)</f>
        <v>0</v>
      </c>
      <c r="M43" s="19" t="n">
        <f aca="false">IF(AND(Projects!$G$34="Yes",M$3&gt;=Projects!$C$34,M$3&lt;Projects!$C$34+Projects!$D$34),Projects!$B$34*INDEX(Curves!$B$4:$AR$4,1,M$3-Projects!$C$34+1),0)-IF(AND(Projects!$G$34="Yes",M$3&gt;=Projects!$C$34,M$3&lt;Projects!$C$34+Projects!$D$34),Projects!$B$34*(Assumptions!$B$10+Assumptions!$B$11+Assumptions!$B$12)/Projects!$D$34*0.95,0)-IF(AND(Projects!$G$34="Yes",M$3=Projects!$C$34+Projects!$D$34-1),Projects!$B$34*(Assumptions!$B$10+Assumptions!$B$11+Assumptions!$B$12)*0.05,0)</f>
        <v>0</v>
      </c>
      <c r="N43" s="19" t="n">
        <f aca="false">IF(AND(Projects!$G$34="Yes",N$3&gt;=Projects!$C$34,N$3&lt;Projects!$C$34+Projects!$D$34),Projects!$B$34*INDEX(Curves!$B$4:$AR$4,1,N$3-Projects!$C$34+1),0)-IF(AND(Projects!$G$34="Yes",N$3&gt;=Projects!$C$34,N$3&lt;Projects!$C$34+Projects!$D$34),Projects!$B$34*(Assumptions!$B$10+Assumptions!$B$11+Assumptions!$B$12)/Projects!$D$34*0.95,0)-IF(AND(Projects!$G$34="Yes",N$3=Projects!$C$34+Projects!$D$34-1),Projects!$B$34*(Assumptions!$B$10+Assumptions!$B$11+Assumptions!$B$12)*0.05,0)</f>
        <v>0</v>
      </c>
      <c r="O43" s="19" t="n">
        <f aca="false">IF(AND(Projects!$G$34="Yes",O$3&gt;=Projects!$C$34,O$3&lt;Projects!$C$34+Projects!$D$34),Projects!$B$34*INDEX(Curves!$B$4:$AR$4,1,O$3-Projects!$C$34+1),0)-IF(AND(Projects!$G$34="Yes",O$3&gt;=Projects!$C$34,O$3&lt;Projects!$C$34+Projects!$D$34),Projects!$B$34*(Assumptions!$B$10+Assumptions!$B$11+Assumptions!$B$12)/Projects!$D$34*0.95,0)-IF(AND(Projects!$G$34="Yes",O$3=Projects!$C$34+Projects!$D$34-1),Projects!$B$34*(Assumptions!$B$10+Assumptions!$B$11+Assumptions!$B$12)*0.05,0)</f>
        <v>0</v>
      </c>
      <c r="P43" s="19" t="n">
        <f aca="false">IF(AND(Projects!$G$34="Yes",P$3&gt;=Projects!$C$34,P$3&lt;Projects!$C$34+Projects!$D$34),Projects!$B$34*INDEX(Curves!$B$4:$AR$4,1,P$3-Projects!$C$34+1),0)-IF(AND(Projects!$G$34="Yes",P$3&gt;=Projects!$C$34,P$3&lt;Projects!$C$34+Projects!$D$34),Projects!$B$34*(Assumptions!$B$10+Assumptions!$B$11+Assumptions!$B$12)/Projects!$D$34*0.95,0)-IF(AND(Projects!$G$34="Yes",P$3=Projects!$C$34+Projects!$D$34-1),Projects!$B$34*(Assumptions!$B$10+Assumptions!$B$11+Assumptions!$B$12)*0.05,0)</f>
        <v>0</v>
      </c>
      <c r="Q43" s="19" t="n">
        <f aca="false">IF(AND(Projects!$G$34="Yes",Q$3&gt;=Projects!$C$34,Q$3&lt;Projects!$C$34+Projects!$D$34),Projects!$B$34*INDEX(Curves!$B$4:$AR$4,1,Q$3-Projects!$C$34+1),0)-IF(AND(Projects!$G$34="Yes",Q$3&gt;=Projects!$C$34,Q$3&lt;Projects!$C$34+Projects!$D$34),Projects!$B$34*(Assumptions!$B$10+Assumptions!$B$11+Assumptions!$B$12)/Projects!$D$34*0.95,0)-IF(AND(Projects!$G$34="Yes",Q$3=Projects!$C$34+Projects!$D$34-1),Projects!$B$34*(Assumptions!$B$10+Assumptions!$B$11+Assumptions!$B$12)*0.05,0)</f>
        <v>0</v>
      </c>
      <c r="R43" s="19" t="n">
        <f aca="false">IF(AND(Projects!$G$34="Yes",R$3&gt;=Projects!$C$34,R$3&lt;Projects!$C$34+Projects!$D$34),Projects!$B$34*INDEX(Curves!$B$4:$AR$4,1,R$3-Projects!$C$34+1),0)-IF(AND(Projects!$G$34="Yes",R$3&gt;=Projects!$C$34,R$3&lt;Projects!$C$34+Projects!$D$34),Projects!$B$34*(Assumptions!$B$10+Assumptions!$B$11+Assumptions!$B$12)/Projects!$D$34*0.95,0)-IF(AND(Projects!$G$34="Yes",R$3=Projects!$C$34+Projects!$D$34-1),Projects!$B$34*(Assumptions!$B$10+Assumptions!$B$11+Assumptions!$B$12)*0.05,0)</f>
        <v>0</v>
      </c>
      <c r="S43" s="19" t="n">
        <f aca="false">IF(AND(Projects!$G$34="Yes",S$3&gt;=Projects!$C$34,S$3&lt;Projects!$C$34+Projects!$D$34),Projects!$B$34*INDEX(Curves!$B$4:$AR$4,1,S$3-Projects!$C$34+1),0)-IF(AND(Projects!$G$34="Yes",S$3&gt;=Projects!$C$34,S$3&lt;Projects!$C$34+Projects!$D$34),Projects!$B$34*(Assumptions!$B$10+Assumptions!$B$11+Assumptions!$B$12)/Projects!$D$34*0.95,0)-IF(AND(Projects!$G$34="Yes",S$3=Projects!$C$34+Projects!$D$34-1),Projects!$B$34*(Assumptions!$B$10+Assumptions!$B$11+Assumptions!$B$12)*0.05,0)</f>
        <v>0</v>
      </c>
      <c r="T43" s="19" t="n">
        <f aca="false">IF(AND(Projects!$G$34="Yes",T$3&gt;=Projects!$C$34,T$3&lt;Projects!$C$34+Projects!$D$34),Projects!$B$34*INDEX(Curves!$B$4:$AR$4,1,T$3-Projects!$C$34+1),0)-IF(AND(Projects!$G$34="Yes",T$3&gt;=Projects!$C$34,T$3&lt;Projects!$C$34+Projects!$D$34),Projects!$B$34*(Assumptions!$B$10+Assumptions!$B$11+Assumptions!$B$12)/Projects!$D$34*0.95,0)-IF(AND(Projects!$G$34="Yes",T$3=Projects!$C$34+Projects!$D$34-1),Projects!$B$34*(Assumptions!$B$10+Assumptions!$B$11+Assumptions!$B$12)*0.05,0)</f>
        <v>0</v>
      </c>
      <c r="U43" s="19" t="n">
        <f aca="false">IF(AND(Projects!$G$34="Yes",U$3&gt;=Projects!$C$34,U$3&lt;Projects!$C$34+Projects!$D$34),Projects!$B$34*INDEX(Curves!$B$4:$AR$4,1,U$3-Projects!$C$34+1),0)-IF(AND(Projects!$G$34="Yes",U$3&gt;=Projects!$C$34,U$3&lt;Projects!$C$34+Projects!$D$34),Projects!$B$34*(Assumptions!$B$10+Assumptions!$B$11+Assumptions!$B$12)/Projects!$D$34*0.95,0)-IF(AND(Projects!$G$34="Yes",U$3=Projects!$C$34+Projects!$D$34-1),Projects!$B$34*(Assumptions!$B$10+Assumptions!$B$11+Assumptions!$B$12)*0.05,0)</f>
        <v>0</v>
      </c>
      <c r="V43" s="19" t="n">
        <f aca="false">IF(AND(Projects!$G$34="Yes",V$3&gt;=Projects!$C$34,V$3&lt;Projects!$C$34+Projects!$D$34),Projects!$B$34*INDEX(Curves!$B$4:$AR$4,1,V$3-Projects!$C$34+1),0)-IF(AND(Projects!$G$34="Yes",V$3&gt;=Projects!$C$34,V$3&lt;Projects!$C$34+Projects!$D$34),Projects!$B$34*(Assumptions!$B$10+Assumptions!$B$11+Assumptions!$B$12)/Projects!$D$34*0.95,0)-IF(AND(Projects!$G$34="Yes",V$3=Projects!$C$34+Projects!$D$34-1),Projects!$B$34*(Assumptions!$B$10+Assumptions!$B$11+Assumptions!$B$12)*0.05,0)</f>
        <v>0</v>
      </c>
      <c r="W43" s="19" t="n">
        <f aca="false">IF(AND(Projects!$G$34="Yes",W$3&gt;=Projects!$C$34,W$3&lt;Projects!$C$34+Projects!$D$34),Projects!$B$34*INDEX(Curves!$B$4:$AR$4,1,W$3-Projects!$C$34+1),0)-IF(AND(Projects!$G$34="Yes",W$3&gt;=Projects!$C$34,W$3&lt;Projects!$C$34+Projects!$D$34),Projects!$B$34*(Assumptions!$B$10+Assumptions!$B$11+Assumptions!$B$12)/Projects!$D$34*0.95,0)-IF(AND(Projects!$G$34="Yes",W$3=Projects!$C$34+Projects!$D$34-1),Projects!$B$34*(Assumptions!$B$10+Assumptions!$B$11+Assumptions!$B$12)*0.05,0)</f>
        <v>0</v>
      </c>
      <c r="X43" s="19" t="n">
        <f aca="false">IF(AND(Projects!$G$34="Yes",X$3&gt;=Projects!$C$34,X$3&lt;Projects!$C$34+Projects!$D$34),Projects!$B$34*INDEX(Curves!$B$4:$AR$4,1,X$3-Projects!$C$34+1),0)-IF(AND(Projects!$G$34="Yes",X$3&gt;=Projects!$C$34,X$3&lt;Projects!$C$34+Projects!$D$34),Projects!$B$34*(Assumptions!$B$10+Assumptions!$B$11+Assumptions!$B$12)/Projects!$D$34*0.95,0)-IF(AND(Projects!$G$34="Yes",X$3=Projects!$C$34+Projects!$D$34-1),Projects!$B$34*(Assumptions!$B$10+Assumptions!$B$11+Assumptions!$B$12)*0.05,0)</f>
        <v>0</v>
      </c>
      <c r="Y43" s="19" t="n">
        <f aca="false">IF(AND(Projects!$G$34="Yes",Y$3&gt;=Projects!$C$34,Y$3&lt;Projects!$C$34+Projects!$D$34),Projects!$B$34*INDEX(Curves!$B$4:$AR$4,1,Y$3-Projects!$C$34+1),0)-IF(AND(Projects!$G$34="Yes",Y$3&gt;=Projects!$C$34,Y$3&lt;Projects!$C$34+Projects!$D$34),Projects!$B$34*(Assumptions!$B$10+Assumptions!$B$11+Assumptions!$B$12)/Projects!$D$34*0.95,0)-IF(AND(Projects!$G$34="Yes",Y$3=Projects!$C$34+Projects!$D$34-1),Projects!$B$34*(Assumptions!$B$10+Assumptions!$B$11+Assumptions!$B$12)*0.05,0)</f>
        <v>0</v>
      </c>
      <c r="Z43" s="19" t="n">
        <f aca="false">IF(AND(Projects!$G$34="Yes",Z$3&gt;=Projects!$C$34,Z$3&lt;Projects!$C$34+Projects!$D$34),Projects!$B$34*INDEX(Curves!$B$4:$AR$4,1,Z$3-Projects!$C$34+1),0)-IF(AND(Projects!$G$34="Yes",Z$3&gt;=Projects!$C$34,Z$3&lt;Projects!$C$34+Projects!$D$34),Projects!$B$34*(Assumptions!$B$10+Assumptions!$B$11+Assumptions!$B$12)/Projects!$D$34*0.95,0)-IF(AND(Projects!$G$34="Yes",Z$3=Projects!$C$34+Projects!$D$34-1),Projects!$B$34*(Assumptions!$B$10+Assumptions!$B$11+Assumptions!$B$12)*0.05,0)</f>
        <v>0</v>
      </c>
      <c r="AA43" s="19" t="n">
        <f aca="false">IF(AND(Projects!$G$34="Yes",AA$3&gt;=Projects!$C$34,AA$3&lt;Projects!$C$34+Projects!$D$34),Projects!$B$34*INDEX(Curves!$B$4:$AR$4,1,AA$3-Projects!$C$34+1),0)-IF(AND(Projects!$G$34="Yes",AA$3&gt;=Projects!$C$34,AA$3&lt;Projects!$C$34+Projects!$D$34),Projects!$B$34*(Assumptions!$B$10+Assumptions!$B$11+Assumptions!$B$12)/Projects!$D$34*0.95,0)-IF(AND(Projects!$G$34="Yes",AA$3=Projects!$C$34+Projects!$D$34-1),Projects!$B$34*(Assumptions!$B$10+Assumptions!$B$11+Assumptions!$B$12)*0.05,0)</f>
        <v>0</v>
      </c>
      <c r="AB43" s="19" t="n">
        <f aca="false">IF(AND(Projects!$G$34="Yes",AB$3&gt;=Projects!$C$34,AB$3&lt;Projects!$C$34+Projects!$D$34),Projects!$B$34*INDEX(Curves!$B$4:$AR$4,1,AB$3-Projects!$C$34+1),0)-IF(AND(Projects!$G$34="Yes",AB$3&gt;=Projects!$C$34,AB$3&lt;Projects!$C$34+Projects!$D$34),Projects!$B$34*(Assumptions!$B$10+Assumptions!$B$11+Assumptions!$B$12)/Projects!$D$34*0.95,0)-IF(AND(Projects!$G$34="Yes",AB$3=Projects!$C$34+Projects!$D$34-1),Projects!$B$34*(Assumptions!$B$10+Assumptions!$B$11+Assumptions!$B$12)*0.05,0)</f>
        <v>0</v>
      </c>
      <c r="AC43" s="19" t="n">
        <f aca="false">IF(AND(Projects!$G$34="Yes",AC$3&gt;=Projects!$C$34,AC$3&lt;Projects!$C$34+Projects!$D$34),Projects!$B$34*INDEX(Curves!$B$4:$AR$4,1,AC$3-Projects!$C$34+1),0)-IF(AND(Projects!$G$34="Yes",AC$3&gt;=Projects!$C$34,AC$3&lt;Projects!$C$34+Projects!$D$34),Projects!$B$34*(Assumptions!$B$10+Assumptions!$B$11+Assumptions!$B$12)/Projects!$D$34*0.95,0)-IF(AND(Projects!$G$34="Yes",AC$3=Projects!$C$34+Projects!$D$34-1),Projects!$B$34*(Assumptions!$B$10+Assumptions!$B$11+Assumptions!$B$12)*0.05,0)</f>
        <v>0</v>
      </c>
      <c r="AD43" s="19" t="n">
        <f aca="false">IF(AND(Projects!$G$34="Yes",AD$3&gt;=Projects!$C$34,AD$3&lt;Projects!$C$34+Projects!$D$34),Projects!$B$34*INDEX(Curves!$B$4:$AR$4,1,AD$3-Projects!$C$34+1),0)-IF(AND(Projects!$G$34="Yes",AD$3&gt;=Projects!$C$34,AD$3&lt;Projects!$C$34+Projects!$D$34),Projects!$B$34*(Assumptions!$B$10+Assumptions!$B$11+Assumptions!$B$12)/Projects!$D$34*0.95,0)-IF(AND(Projects!$G$34="Yes",AD$3=Projects!$C$34+Projects!$D$34-1),Projects!$B$34*(Assumptions!$B$10+Assumptions!$B$11+Assumptions!$B$12)*0.05,0)</f>
        <v>0</v>
      </c>
      <c r="AE43" s="19" t="n">
        <f aca="false">IF(AND(Projects!$G$34="Yes",AE$3&gt;=Projects!$C$34,AE$3&lt;Projects!$C$34+Projects!$D$34),Projects!$B$34*INDEX(Curves!$B$4:$AR$4,1,AE$3-Projects!$C$34+1),0)-IF(AND(Projects!$G$34="Yes",AE$3&gt;=Projects!$C$34,AE$3&lt;Projects!$C$34+Projects!$D$34),Projects!$B$34*(Assumptions!$B$10+Assumptions!$B$11+Assumptions!$B$12)/Projects!$D$34*0.95,0)-IF(AND(Projects!$G$34="Yes",AE$3=Projects!$C$34+Projects!$D$34-1),Projects!$B$34*(Assumptions!$B$10+Assumptions!$B$11+Assumptions!$B$12)*0.05,0)</f>
        <v>0</v>
      </c>
      <c r="AF43" s="19" t="n">
        <f aca="false">IF(AND(Projects!$G$34="Yes",AF$3&gt;=Projects!$C$34,AF$3&lt;Projects!$C$34+Projects!$D$34),Projects!$B$34*INDEX(Curves!$B$4:$AR$4,1,AF$3-Projects!$C$34+1),0)-IF(AND(Projects!$G$34="Yes",AF$3&gt;=Projects!$C$34,AF$3&lt;Projects!$C$34+Projects!$D$34),Projects!$B$34*(Assumptions!$B$10+Assumptions!$B$11+Assumptions!$B$12)/Projects!$D$34*0.95,0)-IF(AND(Projects!$G$34="Yes",AF$3=Projects!$C$34+Projects!$D$34-1),Projects!$B$34*(Assumptions!$B$10+Assumptions!$B$11+Assumptions!$B$12)*0.05,0)</f>
        <v>0</v>
      </c>
      <c r="AG43" s="19" t="n">
        <f aca="false">IF(AND(Projects!$G$34="Yes",AG$3&gt;=Projects!$C$34,AG$3&lt;Projects!$C$34+Projects!$D$34),Projects!$B$34*INDEX(Curves!$B$4:$AR$4,1,AG$3-Projects!$C$34+1),0)-IF(AND(Projects!$G$34="Yes",AG$3&gt;=Projects!$C$34,AG$3&lt;Projects!$C$34+Projects!$D$34),Projects!$B$34*(Assumptions!$B$10+Assumptions!$B$11+Assumptions!$B$12)/Projects!$D$34*0.95,0)-IF(AND(Projects!$G$34="Yes",AG$3=Projects!$C$34+Projects!$D$34-1),Projects!$B$34*(Assumptions!$B$10+Assumptions!$B$11+Assumptions!$B$12)*0.05,0)</f>
        <v>0</v>
      </c>
      <c r="AH43" s="19" t="n">
        <f aca="false">IF(AND(Projects!$G$34="Yes",AH$3&gt;=Projects!$C$34,AH$3&lt;Projects!$C$34+Projects!$D$34),Projects!$B$34*INDEX(Curves!$B$4:$AR$4,1,AH$3-Projects!$C$34+1),0)-IF(AND(Projects!$G$34="Yes",AH$3&gt;=Projects!$C$34,AH$3&lt;Projects!$C$34+Projects!$D$34),Projects!$B$34*(Assumptions!$B$10+Assumptions!$B$11+Assumptions!$B$12)/Projects!$D$34*0.95,0)-IF(AND(Projects!$G$34="Yes",AH$3=Projects!$C$34+Projects!$D$34-1),Projects!$B$34*(Assumptions!$B$10+Assumptions!$B$11+Assumptions!$B$12)*0.05,0)</f>
        <v>0</v>
      </c>
      <c r="AI43" s="19" t="n">
        <f aca="false">IF(AND(Projects!$G$34="Yes",AI$3&gt;=Projects!$C$34,AI$3&lt;Projects!$C$34+Projects!$D$34),Projects!$B$34*INDEX(Curves!$B$4:$AR$4,1,AI$3-Projects!$C$34+1),0)-IF(AND(Projects!$G$34="Yes",AI$3&gt;=Projects!$C$34,AI$3&lt;Projects!$C$34+Projects!$D$34),Projects!$B$34*(Assumptions!$B$10+Assumptions!$B$11+Assumptions!$B$12)/Projects!$D$34*0.95,0)-IF(AND(Projects!$G$34="Yes",AI$3=Projects!$C$34+Projects!$D$34-1),Projects!$B$34*(Assumptions!$B$10+Assumptions!$B$11+Assumptions!$B$12)*0.05,0)</f>
        <v>0</v>
      </c>
      <c r="AJ43" s="19" t="n">
        <f aca="false">IF(AND(Projects!$G$34="Yes",AJ$3&gt;=Projects!$C$34,AJ$3&lt;Projects!$C$34+Projects!$D$34),Projects!$B$34*INDEX(Curves!$B$4:$AR$4,1,AJ$3-Projects!$C$34+1),0)-IF(AND(Projects!$G$34="Yes",AJ$3&gt;=Projects!$C$34,AJ$3&lt;Projects!$C$34+Projects!$D$34),Projects!$B$34*(Assumptions!$B$10+Assumptions!$B$11+Assumptions!$B$12)/Projects!$D$34*0.95,0)-IF(AND(Projects!$G$34="Yes",AJ$3=Projects!$C$34+Projects!$D$34-1),Projects!$B$34*(Assumptions!$B$10+Assumptions!$B$11+Assumptions!$B$12)*0.05,0)</f>
        <v>0</v>
      </c>
      <c r="AK43" s="19" t="n">
        <f aca="false">IF(AND(Projects!$G$34="Yes",AK$3&gt;=Projects!$C$34,AK$3&lt;Projects!$C$34+Projects!$D$34),Projects!$B$34*INDEX(Curves!$B$4:$AR$4,1,AK$3-Projects!$C$34+1),0)-IF(AND(Projects!$G$34="Yes",AK$3&gt;=Projects!$C$34,AK$3&lt;Projects!$C$34+Projects!$D$34),Projects!$B$34*(Assumptions!$B$10+Assumptions!$B$11+Assumptions!$B$12)/Projects!$D$34*0.95,0)-IF(AND(Projects!$G$34="Yes",AK$3=Projects!$C$34+Projects!$D$34-1),Projects!$B$34*(Assumptions!$B$10+Assumptions!$B$11+Assumptions!$B$12)*0.05,0)</f>
        <v>0</v>
      </c>
      <c r="AL43" s="19" t="n">
        <f aca="false">IF(AND(Projects!$G$34="Yes",AL$3&gt;=Projects!$C$34,AL$3&lt;Projects!$C$34+Projects!$D$34),Projects!$B$34*INDEX(Curves!$B$4:$AR$4,1,AL$3-Projects!$C$34+1),0)-IF(AND(Projects!$G$34="Yes",AL$3&gt;=Projects!$C$34,AL$3&lt;Projects!$C$34+Projects!$D$34),Projects!$B$34*(Assumptions!$B$10+Assumptions!$B$11+Assumptions!$B$12)/Projects!$D$34*0.95,0)-IF(AND(Projects!$G$34="Yes",AL$3=Projects!$C$34+Projects!$D$34-1),Projects!$B$34*(Assumptions!$B$10+Assumptions!$B$11+Assumptions!$B$12)*0.05,0)</f>
        <v>0</v>
      </c>
      <c r="AM43" s="19" t="n">
        <f aca="false">IF(AND(Projects!$G$34="Yes",AM$3&gt;=Projects!$C$34,AM$3&lt;Projects!$C$34+Projects!$D$34),Projects!$B$34*INDEX(Curves!$B$4:$AR$4,1,AM$3-Projects!$C$34+1),0)-IF(AND(Projects!$G$34="Yes",AM$3&gt;=Projects!$C$34,AM$3&lt;Projects!$C$34+Projects!$D$34),Projects!$B$34*(Assumptions!$B$10+Assumptions!$B$11+Assumptions!$B$12)/Projects!$D$34*0.95,0)-IF(AND(Projects!$G$34="Yes",AM$3=Projects!$C$34+Projects!$D$34-1),Projects!$B$34*(Assumptions!$B$10+Assumptions!$B$11+Assumptions!$B$12)*0.05,0)</f>
        <v>0</v>
      </c>
      <c r="AN43" s="19" t="n">
        <f aca="false">IF(AND(Projects!$G$34="Yes",AN$3&gt;=Projects!$C$34,AN$3&lt;Projects!$C$34+Projects!$D$34),Projects!$B$34*INDEX(Curves!$B$4:$AR$4,1,AN$3-Projects!$C$34+1),0)-IF(AND(Projects!$G$34="Yes",AN$3&gt;=Projects!$C$34,AN$3&lt;Projects!$C$34+Projects!$D$34),Projects!$B$34*(Assumptions!$B$10+Assumptions!$B$11+Assumptions!$B$12)/Projects!$D$34*0.95,0)-IF(AND(Projects!$G$34="Yes",AN$3=Projects!$C$34+Projects!$D$34-1),Projects!$B$34*(Assumptions!$B$10+Assumptions!$B$11+Assumptions!$B$12)*0.05,0)</f>
        <v>0</v>
      </c>
      <c r="AO43" s="19" t="n">
        <f aca="false">IF(AND(Projects!$G$34="Yes",AO$3&gt;=Projects!$C$34,AO$3&lt;Projects!$C$34+Projects!$D$34),Projects!$B$34*INDEX(Curves!$B$4:$AR$4,1,AO$3-Projects!$C$34+1),0)-IF(AND(Projects!$G$34="Yes",AO$3&gt;=Projects!$C$34,AO$3&lt;Projects!$C$34+Projects!$D$34),Projects!$B$34*(Assumptions!$B$10+Assumptions!$B$11+Assumptions!$B$12)/Projects!$D$34*0.95,0)-IF(AND(Projects!$G$34="Yes",AO$3=Projects!$C$34+Projects!$D$34-1),Projects!$B$34*(Assumptions!$B$10+Assumptions!$B$11+Assumptions!$B$12)*0.05,0)</f>
        <v>0</v>
      </c>
      <c r="AP43" s="19" t="n">
        <f aca="false">IF(AND(Projects!$G$34="Yes",AP$3&gt;=Projects!$C$34,AP$3&lt;Projects!$C$34+Projects!$D$34),Projects!$B$34*INDEX(Curves!$B$4:$AR$4,1,AP$3-Projects!$C$34+1),0)-IF(AND(Projects!$G$34="Yes",AP$3&gt;=Projects!$C$34,AP$3&lt;Projects!$C$34+Projects!$D$34),Projects!$B$34*(Assumptions!$B$10+Assumptions!$B$11+Assumptions!$B$12)/Projects!$D$34*0.95,0)-IF(AND(Projects!$G$34="Yes",AP$3=Projects!$C$34+Projects!$D$34-1),Projects!$B$34*(Assumptions!$B$10+Assumptions!$B$11+Assumptions!$B$12)*0.05,0)</f>
        <v>368954.1</v>
      </c>
      <c r="AQ43" s="19" t="n">
        <f aca="false">IF(AND(Projects!$G$34="Yes",AQ$3&gt;=Projects!$C$34,AQ$3&lt;Projects!$C$34+Projects!$D$34),Projects!$B$34*INDEX(Curves!$B$4:$AR$4,1,AQ$3-Projects!$C$34+1),0)-IF(AND(Projects!$G$34="Yes",AQ$3&gt;=Projects!$C$34,AQ$3&lt;Projects!$C$34+Projects!$D$34),Projects!$B$34*(Assumptions!$B$10+Assumptions!$B$11+Assumptions!$B$12)/Projects!$D$34*0.95,0)-IF(AND(Projects!$G$34="Yes",AQ$3=Projects!$C$34+Projects!$D$34-1),Projects!$B$34*(Assumptions!$B$10+Assumptions!$B$11+Assumptions!$B$12)*0.05,0)</f>
        <v>481346.1</v>
      </c>
      <c r="AR43" s="19" t="n">
        <f aca="false">IF(AND(Projects!$G$34="Yes",AR$3&gt;=Projects!$C$34,AR$3&lt;Projects!$C$34+Projects!$D$34),Projects!$B$34*INDEX(Curves!$B$4:$AR$4,1,AR$3-Projects!$C$34+1),0)-IF(AND(Projects!$G$34="Yes",AR$3&gt;=Projects!$C$34,AR$3&lt;Projects!$C$34+Projects!$D$34),Projects!$B$34*(Assumptions!$B$10+Assumptions!$B$11+Assumptions!$B$12)/Projects!$D$34*0.95,0)-IF(AND(Projects!$G$34="Yes",AR$3=Projects!$C$34+Projects!$D$34-1),Projects!$B$34*(Assumptions!$B$10+Assumptions!$B$11+Assumptions!$B$12)*0.05,0)</f>
        <v>602324.1</v>
      </c>
      <c r="AS43" s="19" t="n">
        <f aca="false">IF(AND(Projects!$G$34="Yes",AS$3&gt;=Projects!$C$34,AS$3&lt;Projects!$C$34+Projects!$D$34),Projects!$B$34*INDEX(Curves!$B$4:$AR$4,1,AS$3-Projects!$C$34+1),0)-IF(AND(Projects!$G$34="Yes",AS$3&gt;=Projects!$C$34,AS$3&lt;Projects!$C$34+Projects!$D$34),Projects!$B$34*(Assumptions!$B$10+Assumptions!$B$11+Assumptions!$B$12)/Projects!$D$34*0.95,0)-IF(AND(Projects!$G$34="Yes",AS$3=Projects!$C$34+Projects!$D$34-1),Projects!$B$34*(Assumptions!$B$10+Assumptions!$B$11+Assumptions!$B$12)*0.05,0)</f>
        <v>727064.1</v>
      </c>
      <c r="AT43" s="19" t="n">
        <f aca="false">IF(AND(Projects!$G$34="Yes",AT$3&gt;=Projects!$C$34,AT$3&lt;Projects!$C$34+Projects!$D$34),Projects!$B$34*INDEX(Curves!$B$4:$AR$4,1,AT$3-Projects!$C$34+1),0)-IF(AND(Projects!$G$34="Yes",AT$3&gt;=Projects!$C$34,AT$3&lt;Projects!$C$34+Projects!$D$34),Projects!$B$34*(Assumptions!$B$10+Assumptions!$B$11+Assumptions!$B$12)/Projects!$D$34*0.95,0)-IF(AND(Projects!$G$34="Yes",AT$3=Projects!$C$34+Projects!$D$34-1),Projects!$B$34*(Assumptions!$B$10+Assumptions!$B$11+Assumptions!$B$12)*0.05,0)</f>
        <v>849572.1</v>
      </c>
      <c r="AU43" s="19" t="n">
        <f aca="false">IF(AND(Projects!$G$34="Yes",AU$3&gt;=Projects!$C$34,AU$3&lt;Projects!$C$34+Projects!$D$34),Projects!$B$34*INDEX(Curves!$B$4:$AR$4,1,AU$3-Projects!$C$34+1),0)-IF(AND(Projects!$G$34="Yes",AU$3&gt;=Projects!$C$34,AU$3&lt;Projects!$C$34+Projects!$D$34),Projects!$B$34*(Assumptions!$B$10+Assumptions!$B$11+Assumptions!$B$12)/Projects!$D$34*0.95,0)-IF(AND(Projects!$G$34="Yes",AU$3=Projects!$C$34+Projects!$D$34-1),Projects!$B$34*(Assumptions!$B$10+Assumptions!$B$11+Assumptions!$B$12)*0.05,0)</f>
        <v>963044.1</v>
      </c>
      <c r="AV43" s="19" t="n">
        <f aca="false">IF(AND(Projects!$G$34="Yes",AV$3&gt;=Projects!$C$34,AV$3&lt;Projects!$C$34+Projects!$D$34),Projects!$B$34*INDEX(Curves!$B$4:$AR$4,1,AV$3-Projects!$C$34+1),0)-IF(AND(Projects!$G$34="Yes",AV$3&gt;=Projects!$C$34,AV$3&lt;Projects!$C$34+Projects!$D$34),Projects!$B$34*(Assumptions!$B$10+Assumptions!$B$11+Assumptions!$B$12)/Projects!$D$34*0.95,0)-IF(AND(Projects!$G$34="Yes",AV$3=Projects!$C$34+Projects!$D$34-1),Projects!$B$34*(Assumptions!$B$10+Assumptions!$B$11+Assumptions!$B$12)*0.05,0)</f>
        <v>1060514.1</v>
      </c>
      <c r="AW43" s="19" t="n">
        <f aca="false">IF(AND(Projects!$G$34="Yes",AW$3&gt;=Projects!$C$34,AW$3&lt;Projects!$C$34+Projects!$D$34),Projects!$B$34*INDEX(Curves!$B$4:$AR$4,1,AW$3-Projects!$C$34+1),0)-IF(AND(Projects!$G$34="Yes",AW$3&gt;=Projects!$C$34,AW$3&lt;Projects!$C$34+Projects!$D$34),Projects!$B$34*(Assumptions!$B$10+Assumptions!$B$11+Assumptions!$B$12)/Projects!$D$34*0.95,0)-IF(AND(Projects!$G$34="Yes",AW$3=Projects!$C$34+Projects!$D$34-1),Projects!$B$34*(Assumptions!$B$10+Assumptions!$B$11+Assumptions!$B$12)*0.05,0)</f>
        <v>1135520.1</v>
      </c>
      <c r="AX43" s="19" t="n">
        <f aca="false">IF(AND(Projects!$G$34="Yes",AX$3&gt;=Projects!$C$34,AX$3&lt;Projects!$C$34+Projects!$D$34),Projects!$B$34*INDEX(Curves!$B$4:$AR$4,1,AX$3-Projects!$C$34+1),0)-IF(AND(Projects!$G$34="Yes",AX$3&gt;=Projects!$C$34,AX$3&lt;Projects!$C$34+Projects!$D$34),Projects!$B$34*(Assumptions!$B$10+Assumptions!$B$11+Assumptions!$B$12)/Projects!$D$34*0.95,0)-IF(AND(Projects!$G$34="Yes",AX$3=Projects!$C$34+Projects!$D$34-1),Projects!$B$34*(Assumptions!$B$10+Assumptions!$B$11+Assumptions!$B$12)*0.05,0)</f>
        <v>1182824.1</v>
      </c>
      <c r="AY43" s="19" t="n">
        <f aca="false">IF(AND(Projects!$G$34="Yes",AY$3&gt;=Projects!$C$34,AY$3&lt;Projects!$C$34+Projects!$D$34),Projects!$B$34*INDEX(Curves!$B$4:$AR$4,1,AY$3-Projects!$C$34+1),0)-IF(AND(Projects!$G$34="Yes",AY$3&gt;=Projects!$C$34,AY$3&lt;Projects!$C$34+Projects!$D$34),Projects!$B$34*(Assumptions!$B$10+Assumptions!$B$11+Assumptions!$B$12)/Projects!$D$34*0.95,0)-IF(AND(Projects!$G$34="Yes",AY$3=Projects!$C$34+Projects!$D$34-1),Projects!$B$34*(Assumptions!$B$10+Assumptions!$B$11+Assumptions!$B$12)*0.05,0)</f>
        <v>1198988.1</v>
      </c>
      <c r="AZ43" s="19" t="n">
        <f aca="false">IF(AND(Projects!$G$34="Yes",AZ$3&gt;=Projects!$C$34,AZ$3&lt;Projects!$C$34+Projects!$D$34),Projects!$B$34*INDEX(Curves!$B$4:$AR$4,1,AZ$3-Projects!$C$34+1),0)-IF(AND(Projects!$G$34="Yes",AZ$3&gt;=Projects!$C$34,AZ$3&lt;Projects!$C$34+Projects!$D$34),Projects!$B$34*(Assumptions!$B$10+Assumptions!$B$11+Assumptions!$B$12)/Projects!$D$34*0.95,0)-IF(AND(Projects!$G$34="Yes",AZ$3=Projects!$C$34+Projects!$D$34-1),Projects!$B$34*(Assumptions!$B$10+Assumptions!$B$11+Assumptions!$B$12)*0.05,0)</f>
        <v>1182824.1</v>
      </c>
      <c r="BA43" s="19" t="n">
        <f aca="false">IF(AND(Projects!$G$34="Yes",BA$3&gt;=Projects!$C$34,BA$3&lt;Projects!$C$34+Projects!$D$34),Projects!$B$34*INDEX(Curves!$B$4:$AR$4,1,BA$3-Projects!$C$34+1),0)-IF(AND(Projects!$G$34="Yes",BA$3&gt;=Projects!$C$34,BA$3&lt;Projects!$C$34+Projects!$D$34),Projects!$B$34*(Assumptions!$B$10+Assumptions!$B$11+Assumptions!$B$12)/Projects!$D$34*0.95,0)-IF(AND(Projects!$G$34="Yes",BA$3=Projects!$C$34+Projects!$D$34-1),Projects!$B$34*(Assumptions!$B$10+Assumptions!$B$11+Assumptions!$B$12)*0.05,0)</f>
        <v>1135520.1</v>
      </c>
      <c r="BB43" s="19" t="n">
        <f aca="false">IF(AND(Projects!$G$34="Yes",BB$3&gt;=Projects!$C$34,BB$3&lt;Projects!$C$34+Projects!$D$34),Projects!$B$34*INDEX(Curves!$B$4:$AR$4,1,BB$3-Projects!$C$34+1),0)-IF(AND(Projects!$G$34="Yes",BB$3&gt;=Projects!$C$34,BB$3&lt;Projects!$C$34+Projects!$D$34),Projects!$B$34*(Assumptions!$B$10+Assumptions!$B$11+Assumptions!$B$12)/Projects!$D$34*0.95,0)-IF(AND(Projects!$G$34="Yes",BB$3=Projects!$C$34+Projects!$D$34-1),Projects!$B$34*(Assumptions!$B$10+Assumptions!$B$11+Assumptions!$B$12)*0.05,0)</f>
        <v>1060514.1</v>
      </c>
      <c r="BC43" s="19" t="n">
        <f aca="false">IF(AND(Projects!$G$34="Yes",BC$3&gt;=Projects!$C$34,BC$3&lt;Projects!$C$34+Projects!$D$34),Projects!$B$34*INDEX(Curves!$B$4:$AR$4,1,BC$3-Projects!$C$34+1),0)-IF(AND(Projects!$G$34="Yes",BC$3&gt;=Projects!$C$34,BC$3&lt;Projects!$C$34+Projects!$D$34),Projects!$B$34*(Assumptions!$B$10+Assumptions!$B$11+Assumptions!$B$12)/Projects!$D$34*0.95,0)-IF(AND(Projects!$G$34="Yes",BC$3=Projects!$C$34+Projects!$D$34-1),Projects!$B$34*(Assumptions!$B$10+Assumptions!$B$11+Assumptions!$B$12)*0.05,0)</f>
        <v>963044.1</v>
      </c>
      <c r="BD43" s="19" t="n">
        <f aca="false">IF(AND(Projects!$G$34="Yes",BD$3&gt;=Projects!$C$34,BD$3&lt;Projects!$C$34+Projects!$D$34),Projects!$B$34*INDEX(Curves!$B$4:$AR$4,1,BD$3-Projects!$C$34+1),0)-IF(AND(Projects!$G$34="Yes",BD$3&gt;=Projects!$C$34,BD$3&lt;Projects!$C$34+Projects!$D$34),Projects!$B$34*(Assumptions!$B$10+Assumptions!$B$11+Assumptions!$B$12)/Projects!$D$34*0.95,0)-IF(AND(Projects!$G$34="Yes",BD$3=Projects!$C$34+Projects!$D$34-1),Projects!$B$34*(Assumptions!$B$10+Assumptions!$B$11+Assumptions!$B$12)*0.05,0)</f>
        <v>849572.1</v>
      </c>
      <c r="BE43" s="19" t="n">
        <f aca="false">IF(AND(Projects!$G$34="Yes",BE$3&gt;=Projects!$C$34,BE$3&lt;Projects!$C$34+Projects!$D$34),Projects!$B$34*INDEX(Curves!$B$4:$AR$4,1,BE$3-Projects!$C$34+1),0)-IF(AND(Projects!$G$34="Yes",BE$3&gt;=Projects!$C$34,BE$3&lt;Projects!$C$34+Projects!$D$34),Projects!$B$34*(Assumptions!$B$10+Assumptions!$B$11+Assumptions!$B$12)/Projects!$D$34*0.95,0)-IF(AND(Projects!$G$34="Yes",BE$3=Projects!$C$34+Projects!$D$34-1),Projects!$B$34*(Assumptions!$B$10+Assumptions!$B$11+Assumptions!$B$12)*0.05,0)</f>
        <v>727064.1</v>
      </c>
      <c r="BF43" s="19" t="n">
        <f aca="false">IF(AND(Projects!$G$34="Yes",BF$3&gt;=Projects!$C$34,BF$3&lt;Projects!$C$34+Projects!$D$34),Projects!$B$34*INDEX(Curves!$B$4:$AR$4,1,BF$3-Projects!$C$34+1),0)-IF(AND(Projects!$G$34="Yes",BF$3&gt;=Projects!$C$34,BF$3&lt;Projects!$C$34+Projects!$D$34),Projects!$B$34*(Assumptions!$B$10+Assumptions!$B$11+Assumptions!$B$12)/Projects!$D$34*0.95,0)-IF(AND(Projects!$G$34="Yes",BF$3=Projects!$C$34+Projects!$D$34-1),Projects!$B$34*(Assumptions!$B$10+Assumptions!$B$11+Assumptions!$B$12)*0.05,0)</f>
        <v>602324.1</v>
      </c>
      <c r="BG43" s="19" t="n">
        <f aca="false">IF(AND(Projects!$G$34="Yes",BG$3&gt;=Projects!$C$34,BG$3&lt;Projects!$C$34+Projects!$D$34),Projects!$B$34*INDEX(Curves!$B$4:$AR$4,1,BG$3-Projects!$C$34+1),0)-IF(AND(Projects!$G$34="Yes",BG$3&gt;=Projects!$C$34,BG$3&lt;Projects!$C$34+Projects!$D$34),Projects!$B$34*(Assumptions!$B$10+Assumptions!$B$11+Assumptions!$B$12)/Projects!$D$34*0.95,0)-IF(AND(Projects!$G$34="Yes",BG$3=Projects!$C$34+Projects!$D$34-1),Projects!$B$34*(Assumptions!$B$10+Assumptions!$B$11+Assumptions!$B$12)*0.05,0)</f>
        <v>481346.1</v>
      </c>
      <c r="BH43" s="19" t="n">
        <f aca="false">IF(AND(Projects!$G$34="Yes",BH$3&gt;=Projects!$C$34,BH$3&lt;Projects!$C$34+Projects!$D$34),Projects!$B$34*INDEX(Curves!$B$4:$AR$4,1,BH$3-Projects!$C$34+1),0)-IF(AND(Projects!$G$34="Yes",BH$3&gt;=Projects!$C$34,BH$3&lt;Projects!$C$34+Projects!$D$34),Projects!$B$34*(Assumptions!$B$10+Assumptions!$B$11+Assumptions!$B$12)/Projects!$D$34*0.95,0)-IF(AND(Projects!$G$34="Yes",BH$3=Projects!$C$34+Projects!$D$34-1),Projects!$B$34*(Assumptions!$B$10+Assumptions!$B$11+Assumptions!$B$12)*0.05,0)</f>
        <v>260602.2</v>
      </c>
      <c r="BI43" s="19" t="n">
        <f aca="false">IF(AND(Projects!$G$34="Yes",BI$3&gt;=Projects!$C$34,BI$3&lt;Projects!$C$34+Projects!$D$34),Projects!$B$34*INDEX(Curves!$B$4:$AR$4,1,BI$3-Projects!$C$34+1),0)-IF(AND(Projects!$G$34="Yes",BI$3&gt;=Projects!$C$34,BI$3&lt;Projects!$C$34+Projects!$D$34),Projects!$B$34*(Assumptions!$B$10+Assumptions!$B$11+Assumptions!$B$12)/Projects!$D$34*0.95,0)-IF(AND(Projects!$G$34="Yes",BI$3=Projects!$C$34+Projects!$D$34-1),Projects!$B$34*(Assumptions!$B$10+Assumptions!$B$11+Assumptions!$B$12)*0.05,0)</f>
        <v>0</v>
      </c>
      <c r="BJ43" s="19" t="n">
        <f aca="false">IF(AND(Projects!$G$34="Yes",BJ$3&gt;=Projects!$C$34,BJ$3&lt;Projects!$C$34+Projects!$D$34),Projects!$B$34*INDEX(Curves!$B$4:$AR$4,1,BJ$3-Projects!$C$34+1),0)-IF(AND(Projects!$G$34="Yes",BJ$3&gt;=Projects!$C$34,BJ$3&lt;Projects!$C$34+Projects!$D$34),Projects!$B$34*(Assumptions!$B$10+Assumptions!$B$11+Assumptions!$B$12)/Projects!$D$34*0.95,0)-IF(AND(Projects!$G$34="Yes",BJ$3=Projects!$C$34+Projects!$D$34-1),Projects!$B$34*(Assumptions!$B$10+Assumptions!$B$11+Assumptions!$B$12)*0.05,0)</f>
        <v>0</v>
      </c>
      <c r="BK43" s="19" t="n">
        <f aca="false">IF(AND(Projects!$G$34="Yes",BK$3&gt;=Projects!$C$34,BK$3&lt;Projects!$C$34+Projects!$D$34),Projects!$B$34*INDEX(Curves!$B$4:$AR$4,1,BK$3-Projects!$C$34+1),0)-IF(AND(Projects!$G$34="Yes",BK$3&gt;=Projects!$C$34,BK$3&lt;Projects!$C$34+Projects!$D$34),Projects!$B$34*(Assumptions!$B$10+Assumptions!$B$11+Assumptions!$B$12)/Projects!$D$34*0.95,0)-IF(AND(Projects!$G$34="Yes",BK$3=Projects!$C$34+Projects!$D$34-1),Projects!$B$34*(Assumptions!$B$10+Assumptions!$B$11+Assumptions!$B$12)*0.05,0)</f>
        <v>0</v>
      </c>
      <c r="BL43" s="19" t="n">
        <f aca="false">IF(AND(Projects!$G$34="Yes",BL$3&gt;=Projects!$C$34,BL$3&lt;Projects!$C$34+Projects!$D$34),Projects!$B$34*INDEX(Curves!$B$4:$AR$4,1,BL$3-Projects!$C$34+1),0)-IF(AND(Projects!$G$34="Yes",BL$3&gt;=Projects!$C$34,BL$3&lt;Projects!$C$34+Projects!$D$34),Projects!$B$34*(Assumptions!$B$10+Assumptions!$B$11+Assumptions!$B$12)/Projects!$D$34*0.95,0)-IF(AND(Projects!$G$34="Yes",BL$3=Projects!$C$34+Projects!$D$34-1),Projects!$B$34*(Assumptions!$B$10+Assumptions!$B$11+Assumptions!$B$12)*0.05,0)</f>
        <v>0</v>
      </c>
      <c r="BM43" s="19" t="n">
        <f aca="false">IF(AND(Projects!$G$34="Yes",BM$3&gt;=Projects!$C$34,BM$3&lt;Projects!$C$34+Projects!$D$34),Projects!$B$34*INDEX(Curves!$B$4:$AR$4,1,BM$3-Projects!$C$34+1),0)-IF(AND(Projects!$G$34="Yes",BM$3&gt;=Projects!$C$34,BM$3&lt;Projects!$C$34+Projects!$D$34),Projects!$B$34*(Assumptions!$B$10+Assumptions!$B$11+Assumptions!$B$12)/Projects!$D$34*0.95,0)-IF(AND(Projects!$G$34="Yes",BM$3=Projects!$C$34+Projects!$D$34-1),Projects!$B$34*(Assumptions!$B$10+Assumptions!$B$11+Assumptions!$B$12)*0.05,0)</f>
        <v>0</v>
      </c>
      <c r="BN43" s="19" t="n">
        <f aca="false">IF(AND(Projects!$G$34="Yes",BN$3&gt;=Projects!$C$34,BN$3&lt;Projects!$C$34+Projects!$D$34),Projects!$B$34*INDEX(Curves!$B$4:$AR$4,1,BN$3-Projects!$C$34+1),0)-IF(AND(Projects!$G$34="Yes",BN$3&gt;=Projects!$C$34,BN$3&lt;Projects!$C$34+Projects!$D$34),Projects!$B$34*(Assumptions!$B$10+Assumptions!$B$11+Assumptions!$B$12)/Projects!$D$34*0.95,0)-IF(AND(Projects!$G$34="Yes",BN$3=Projects!$C$34+Projects!$D$34-1),Projects!$B$34*(Assumptions!$B$10+Assumptions!$B$11+Assumptions!$B$12)*0.05,0)</f>
        <v>0</v>
      </c>
      <c r="BO43" s="19" t="n">
        <f aca="false">IF(AND(Projects!$G$34="Yes",BO$3&gt;=Projects!$C$34,BO$3&lt;Projects!$C$34+Projects!$D$34),Projects!$B$34*INDEX(Curves!$B$4:$AR$4,1,BO$3-Projects!$C$34+1),0)-IF(AND(Projects!$G$34="Yes",BO$3&gt;=Projects!$C$34,BO$3&lt;Projects!$C$34+Projects!$D$34),Projects!$B$34*(Assumptions!$B$10+Assumptions!$B$11+Assumptions!$B$12)/Projects!$D$34*0.95,0)-IF(AND(Projects!$G$34="Yes",BO$3=Projects!$C$34+Projects!$D$34-1),Projects!$B$34*(Assumptions!$B$10+Assumptions!$B$11+Assumptions!$B$12)*0.05,0)</f>
        <v>0</v>
      </c>
      <c r="BP43" s="19" t="n">
        <f aca="false">IF(AND(Projects!$G$34="Yes",BP$3&gt;=Projects!$C$34,BP$3&lt;Projects!$C$34+Projects!$D$34),Projects!$B$34*INDEX(Curves!$B$4:$AR$4,1,BP$3-Projects!$C$34+1),0)-IF(AND(Projects!$G$34="Yes",BP$3&gt;=Projects!$C$34,BP$3&lt;Projects!$C$34+Projects!$D$34),Projects!$B$34*(Assumptions!$B$10+Assumptions!$B$11+Assumptions!$B$12)/Projects!$D$34*0.95,0)-IF(AND(Projects!$G$34="Yes",BP$3=Projects!$C$34+Projects!$D$34-1),Projects!$B$34*(Assumptions!$B$10+Assumptions!$B$11+Assumptions!$B$12)*0.05,0)</f>
        <v>0</v>
      </c>
      <c r="BQ43" s="19" t="n">
        <f aca="false">IF(AND(Projects!$G$34="Yes",BQ$3&gt;=Projects!$C$34,BQ$3&lt;Projects!$C$34+Projects!$D$34),Projects!$B$34*INDEX(Curves!$B$4:$AR$4,1,BQ$3-Projects!$C$34+1),0)-IF(AND(Projects!$G$34="Yes",BQ$3&gt;=Projects!$C$34,BQ$3&lt;Projects!$C$34+Projects!$D$34),Projects!$B$34*(Assumptions!$B$10+Assumptions!$B$11+Assumptions!$B$12)/Projects!$D$34*0.95,0)-IF(AND(Projects!$G$34="Yes",BQ$3=Projects!$C$34+Projects!$D$34-1),Projects!$B$34*(Assumptions!$B$10+Assumptions!$B$11+Assumptions!$B$12)*0.05,0)</f>
        <v>0</v>
      </c>
      <c r="BR43" s="19" t="n">
        <f aca="false">IF(AND(Projects!$G$34="Yes",BR$3&gt;=Projects!$C$34,BR$3&lt;Projects!$C$34+Projects!$D$34),Projects!$B$34*INDEX(Curves!$B$4:$AR$4,1,BR$3-Projects!$C$34+1),0)-IF(AND(Projects!$G$34="Yes",BR$3&gt;=Projects!$C$34,BR$3&lt;Projects!$C$34+Projects!$D$34),Projects!$B$34*(Assumptions!$B$10+Assumptions!$B$11+Assumptions!$B$12)/Projects!$D$34*0.95,0)-IF(AND(Projects!$G$34="Yes",BR$3=Projects!$C$34+Projects!$D$34-1),Projects!$B$34*(Assumptions!$B$10+Assumptions!$B$11+Assumptions!$B$12)*0.05,0)</f>
        <v>0</v>
      </c>
      <c r="BS43" s="19" t="n">
        <f aca="false">IF(AND(Projects!$G$34="Yes",BS$3&gt;=Projects!$C$34,BS$3&lt;Projects!$C$34+Projects!$D$34),Projects!$B$34*INDEX(Curves!$B$4:$AR$4,1,BS$3-Projects!$C$34+1),0)-IF(AND(Projects!$G$34="Yes",BS$3&gt;=Projects!$C$34,BS$3&lt;Projects!$C$34+Projects!$D$34),Projects!$B$34*(Assumptions!$B$10+Assumptions!$B$11+Assumptions!$B$12)/Projects!$D$34*0.95,0)-IF(AND(Projects!$G$34="Yes",BS$3=Projects!$C$34+Projects!$D$34-1),Projects!$B$34*(Assumptions!$B$10+Assumptions!$B$11+Assumptions!$B$12)*0.05,0)</f>
        <v>0</v>
      </c>
      <c r="BT43" s="19" t="n">
        <f aca="false">IF(AND(Projects!$G$34="Yes",BT$3&gt;=Projects!$C$34,BT$3&lt;Projects!$C$34+Projects!$D$34),Projects!$B$34*INDEX(Curves!$B$4:$AR$4,1,BT$3-Projects!$C$34+1),0)-IF(AND(Projects!$G$34="Yes",BT$3&gt;=Projects!$C$34,BT$3&lt;Projects!$C$34+Projects!$D$34),Projects!$B$34*(Assumptions!$B$10+Assumptions!$B$11+Assumptions!$B$12)/Projects!$D$34*0.95,0)-IF(AND(Projects!$G$34="Yes",BT$3=Projects!$C$34+Projects!$D$34-1),Projects!$B$34*(Assumptions!$B$10+Assumptions!$B$11+Assumptions!$B$12)*0.05,0)</f>
        <v>0</v>
      </c>
      <c r="BU43" s="19" t="n">
        <f aca="false">IF(AND(Projects!$G$34="Yes",BU$3&gt;=Projects!$C$34,BU$3&lt;Projects!$C$34+Projects!$D$34),Projects!$B$34*INDEX(Curves!$B$4:$AR$4,1,BU$3-Projects!$C$34+1),0)-IF(AND(Projects!$G$34="Yes",BU$3&gt;=Projects!$C$34,BU$3&lt;Projects!$C$34+Projects!$D$34),Projects!$B$34*(Assumptions!$B$10+Assumptions!$B$11+Assumptions!$B$12)/Projects!$D$34*0.95,0)-IF(AND(Projects!$G$34="Yes",BU$3=Projects!$C$34+Projects!$D$34-1),Projects!$B$34*(Assumptions!$B$10+Assumptions!$B$11+Assumptions!$B$12)*0.05,0)</f>
        <v>0</v>
      </c>
      <c r="BV43" s="19" t="n">
        <f aca="false">IF(AND(Projects!$G$34="Yes",BV$3&gt;=Projects!$C$34,BV$3&lt;Projects!$C$34+Projects!$D$34),Projects!$B$34*INDEX(Curves!$B$4:$AR$4,1,BV$3-Projects!$C$34+1),0)-IF(AND(Projects!$G$34="Yes",BV$3&gt;=Projects!$C$34,BV$3&lt;Projects!$C$34+Projects!$D$34),Projects!$B$34*(Assumptions!$B$10+Assumptions!$B$11+Assumptions!$B$12)/Projects!$D$34*0.95,0)-IF(AND(Projects!$G$34="Yes",BV$3=Projects!$C$34+Projects!$D$34-1),Projects!$B$34*(Assumptions!$B$10+Assumptions!$B$11+Assumptions!$B$12)*0.05,0)</f>
        <v>0</v>
      </c>
      <c r="BW43" s="19" t="n">
        <f aca="false">IF(AND(Projects!$G$34="Yes",BW$3&gt;=Projects!$C$34,BW$3&lt;Projects!$C$34+Projects!$D$34),Projects!$B$34*INDEX(Curves!$B$4:$AR$4,1,BW$3-Projects!$C$34+1),0)-IF(AND(Projects!$G$34="Yes",BW$3&gt;=Projects!$C$34,BW$3&lt;Projects!$C$34+Projects!$D$34),Projects!$B$34*(Assumptions!$B$10+Assumptions!$B$11+Assumptions!$B$12)/Projects!$D$34*0.95,0)-IF(AND(Projects!$G$34="Yes",BW$3=Projects!$C$34+Projects!$D$34-1),Projects!$B$34*(Assumptions!$B$10+Assumptions!$B$11+Assumptions!$B$12)*0.05,0)</f>
        <v>0</v>
      </c>
      <c r="BX43" s="19" t="n">
        <f aca="false">IF(AND(Projects!$G$34="Yes",BX$3&gt;=Projects!$C$34,BX$3&lt;Projects!$C$34+Projects!$D$34),Projects!$B$34*INDEX(Curves!$B$4:$AR$4,1,BX$3-Projects!$C$34+1),0)-IF(AND(Projects!$G$34="Yes",BX$3&gt;=Projects!$C$34,BX$3&lt;Projects!$C$34+Projects!$D$34),Projects!$B$34*(Assumptions!$B$10+Assumptions!$B$11+Assumptions!$B$12)/Projects!$D$34*0.95,0)-IF(AND(Projects!$G$34="Yes",BX$3=Projects!$C$34+Projects!$D$34-1),Projects!$B$34*(Assumptions!$B$10+Assumptions!$B$11+Assumptions!$B$12)*0.05,0)</f>
        <v>0</v>
      </c>
      <c r="BY43" s="19" t="n">
        <f aca="false">IF(AND(Projects!$G$34="Yes",BY$3&gt;=Projects!$C$34,BY$3&lt;Projects!$C$34+Projects!$D$34),Projects!$B$34*INDEX(Curves!$B$4:$AR$4,1,BY$3-Projects!$C$34+1),0)-IF(AND(Projects!$G$34="Yes",BY$3&gt;=Projects!$C$34,BY$3&lt;Projects!$C$34+Projects!$D$34),Projects!$B$34*(Assumptions!$B$10+Assumptions!$B$11+Assumptions!$B$12)/Projects!$D$34*0.95,0)-IF(AND(Projects!$G$34="Yes",BY$3=Projects!$C$34+Projects!$D$34-1),Projects!$B$34*(Assumptions!$B$10+Assumptions!$B$11+Assumptions!$B$12)*0.05,0)</f>
        <v>0</v>
      </c>
      <c r="BZ43" s="19" t="n">
        <f aca="false">IF(AND(Projects!$G$34="Yes",BZ$3&gt;=Projects!$C$34,BZ$3&lt;Projects!$C$34+Projects!$D$34),Projects!$B$34*INDEX(Curves!$B$4:$AR$4,1,BZ$3-Projects!$C$34+1),0)-IF(AND(Projects!$G$34="Yes",BZ$3&gt;=Projects!$C$34,BZ$3&lt;Projects!$C$34+Projects!$D$34),Projects!$B$34*(Assumptions!$B$10+Assumptions!$B$11+Assumptions!$B$12)/Projects!$D$34*0.95,0)-IF(AND(Projects!$G$34="Yes",BZ$3=Projects!$C$34+Projects!$D$34-1),Projects!$B$34*(Assumptions!$B$10+Assumptions!$B$11+Assumptions!$B$12)*0.05,0)</f>
        <v>0</v>
      </c>
      <c r="CA43" s="19" t="n">
        <f aca="false">IF(AND(Projects!$G$34="Yes",CA$3&gt;=Projects!$C$34,CA$3&lt;Projects!$C$34+Projects!$D$34),Projects!$B$34*INDEX(Curves!$B$4:$AR$4,1,CA$3-Projects!$C$34+1),0)-IF(AND(Projects!$G$34="Yes",CA$3&gt;=Projects!$C$34,CA$3&lt;Projects!$C$34+Projects!$D$34),Projects!$B$34*(Assumptions!$B$10+Assumptions!$B$11+Assumptions!$B$12)/Projects!$D$34*0.95,0)-IF(AND(Projects!$G$34="Yes",CA$3=Projects!$C$34+Projects!$D$34-1),Projects!$B$34*(Assumptions!$B$10+Assumptions!$B$11+Assumptions!$B$12)*0.05,0)</f>
        <v>0</v>
      </c>
      <c r="CB43" s="19" t="n">
        <f aca="false">IF(AND(Projects!$G$34="Yes",CB$3&gt;=Projects!$C$34,CB$3&lt;Projects!$C$34+Projects!$D$34),Projects!$B$34*INDEX(Curves!$B$4:$AR$4,1,CB$3-Projects!$C$34+1),0)-IF(AND(Projects!$G$34="Yes",CB$3&gt;=Projects!$C$34,CB$3&lt;Projects!$C$34+Projects!$D$34),Projects!$B$34*(Assumptions!$B$10+Assumptions!$B$11+Assumptions!$B$12)/Projects!$D$34*0.95,0)-IF(AND(Projects!$G$34="Yes",CB$3=Projects!$C$34+Projects!$D$34-1),Projects!$B$34*(Assumptions!$B$10+Assumptions!$B$11+Assumptions!$B$12)*0.05,0)</f>
        <v>0</v>
      </c>
      <c r="CC43" s="19" t="n">
        <f aca="false">IF(AND(Projects!$G$34="Yes",CC$3&gt;=Projects!$C$34,CC$3&lt;Projects!$C$34+Projects!$D$34),Projects!$B$34*INDEX(Curves!$B$4:$AR$4,1,CC$3-Projects!$C$34+1),0)-IF(AND(Projects!$G$34="Yes",CC$3&gt;=Projects!$C$34,CC$3&lt;Projects!$C$34+Projects!$D$34),Projects!$B$34*(Assumptions!$B$10+Assumptions!$B$11+Assumptions!$B$12)/Projects!$D$34*0.95,0)-IF(AND(Projects!$G$34="Yes",CC$3=Projects!$C$34+Projects!$D$34-1),Projects!$B$34*(Assumptions!$B$10+Assumptions!$B$11+Assumptions!$B$12)*0.05,0)</f>
        <v>0</v>
      </c>
      <c r="CD43" s="19" t="n">
        <f aca="false">IF(AND(Projects!$G$34="Yes",CD$3&gt;=Projects!$C$34,CD$3&lt;Projects!$C$34+Projects!$D$34),Projects!$B$34*INDEX(Curves!$B$4:$AR$4,1,CD$3-Projects!$C$34+1),0)-IF(AND(Projects!$G$34="Yes",CD$3&gt;=Projects!$C$34,CD$3&lt;Projects!$C$34+Projects!$D$34),Projects!$B$34*(Assumptions!$B$10+Assumptions!$B$11+Assumptions!$B$12)/Projects!$D$34*0.95,0)-IF(AND(Projects!$G$34="Yes",CD$3=Projects!$C$34+Projects!$D$34-1),Projects!$B$34*(Assumptions!$B$10+Assumptions!$B$11+Assumptions!$B$12)*0.05,0)</f>
        <v>0</v>
      </c>
      <c r="CE43" s="19" t="n">
        <f aca="false">IF(AND(Projects!$G$34="Yes",CE$3&gt;=Projects!$C$34,CE$3&lt;Projects!$C$34+Projects!$D$34),Projects!$B$34*INDEX(Curves!$B$4:$AR$4,1,CE$3-Projects!$C$34+1),0)-IF(AND(Projects!$G$34="Yes",CE$3&gt;=Projects!$C$34,CE$3&lt;Projects!$C$34+Projects!$D$34),Projects!$B$34*(Assumptions!$B$10+Assumptions!$B$11+Assumptions!$B$12)/Projects!$D$34*0.95,0)-IF(AND(Projects!$G$34="Yes",CE$3=Projects!$C$34+Projects!$D$34-1),Projects!$B$34*(Assumptions!$B$10+Assumptions!$B$11+Assumptions!$B$12)*0.05,0)</f>
        <v>0</v>
      </c>
      <c r="CF43" s="19" t="n">
        <f aca="false">IF(AND(Projects!$G$34="Yes",CF$3&gt;=Projects!$C$34,CF$3&lt;Projects!$C$34+Projects!$D$34),Projects!$B$34*INDEX(Curves!$B$4:$AR$4,1,CF$3-Projects!$C$34+1),0)-IF(AND(Projects!$G$34="Yes",CF$3&gt;=Projects!$C$34,CF$3&lt;Projects!$C$34+Projects!$D$34),Projects!$B$34*(Assumptions!$B$10+Assumptions!$B$11+Assumptions!$B$12)/Projects!$D$34*0.95,0)-IF(AND(Projects!$G$34="Yes",CF$3=Projects!$C$34+Projects!$D$34-1),Projects!$B$34*(Assumptions!$B$10+Assumptions!$B$11+Assumptions!$B$12)*0.05,0)</f>
        <v>0</v>
      </c>
      <c r="CG43" s="19" t="n">
        <f aca="false">IF(AND(Projects!$G$34="Yes",CG$3&gt;=Projects!$C$34,CG$3&lt;Projects!$C$34+Projects!$D$34),Projects!$B$34*INDEX(Curves!$B$4:$AR$4,1,CG$3-Projects!$C$34+1),0)-IF(AND(Projects!$G$34="Yes",CG$3&gt;=Projects!$C$34,CG$3&lt;Projects!$C$34+Projects!$D$34),Projects!$B$34*(Assumptions!$B$10+Assumptions!$B$11+Assumptions!$B$12)/Projects!$D$34*0.95,0)-IF(AND(Projects!$G$34="Yes",CG$3=Projects!$C$34+Projects!$D$34-1),Projects!$B$34*(Assumptions!$B$10+Assumptions!$B$11+Assumptions!$B$12)*0.05,0)</f>
        <v>0</v>
      </c>
      <c r="CH43" s="19" t="n">
        <f aca="false">IF(AND(Projects!$G$34="Yes",CH$3&gt;=Projects!$C$34,CH$3&lt;Projects!$C$34+Projects!$D$34),Projects!$B$34*INDEX(Curves!$B$4:$AR$4,1,CH$3-Projects!$C$34+1),0)-IF(AND(Projects!$G$34="Yes",CH$3&gt;=Projects!$C$34,CH$3&lt;Projects!$C$34+Projects!$D$34),Projects!$B$34*(Assumptions!$B$10+Assumptions!$B$11+Assumptions!$B$12)/Projects!$D$34*0.95,0)-IF(AND(Projects!$G$34="Yes",CH$3=Projects!$C$34+Projects!$D$34-1),Projects!$B$34*(Assumptions!$B$10+Assumptions!$B$11+Assumptions!$B$12)*0.05,0)</f>
        <v>0</v>
      </c>
      <c r="CI43" s="19" t="n">
        <f aca="false">IF(AND(Projects!$G$34="Yes",CI$3&gt;=Projects!$C$34,CI$3&lt;Projects!$C$34+Projects!$D$34),Projects!$B$34*INDEX(Curves!$B$4:$AR$4,1,CI$3-Projects!$C$34+1),0)-IF(AND(Projects!$G$34="Yes",CI$3&gt;=Projects!$C$34,CI$3&lt;Projects!$C$34+Projects!$D$34),Projects!$B$34*(Assumptions!$B$10+Assumptions!$B$11+Assumptions!$B$12)/Projects!$D$34*0.95,0)-IF(AND(Projects!$G$34="Yes",CI$3=Projects!$C$34+Projects!$D$34-1),Projects!$B$34*(Assumptions!$B$10+Assumptions!$B$11+Assumptions!$B$12)*0.05,0)</f>
        <v>0</v>
      </c>
      <c r="CJ43" s="19" t="n">
        <f aca="false">IF(AND(Projects!$G$34="Yes",CJ$3&gt;=Projects!$C$34,CJ$3&lt;Projects!$C$34+Projects!$D$34),Projects!$B$34*INDEX(Curves!$B$4:$AR$4,1,CJ$3-Projects!$C$34+1),0)-IF(AND(Projects!$G$34="Yes",CJ$3&gt;=Projects!$C$34,CJ$3&lt;Projects!$C$34+Projects!$D$34),Projects!$B$34*(Assumptions!$B$10+Assumptions!$B$11+Assumptions!$B$12)/Projects!$D$34*0.95,0)-IF(AND(Projects!$G$34="Yes",CJ$3=Projects!$C$34+Projects!$D$34-1),Projects!$B$34*(Assumptions!$B$10+Assumptions!$B$11+Assumptions!$B$12)*0.05,0)</f>
        <v>0</v>
      </c>
      <c r="CK43" s="19" t="n">
        <f aca="false">IF(AND(Projects!$G$34="Yes",CK$3&gt;=Projects!$C$34,CK$3&lt;Projects!$C$34+Projects!$D$34),Projects!$B$34*INDEX(Curves!$B$4:$AR$4,1,CK$3-Projects!$C$34+1),0)-IF(AND(Projects!$G$34="Yes",CK$3&gt;=Projects!$C$34,CK$3&lt;Projects!$C$34+Projects!$D$34),Projects!$B$34*(Assumptions!$B$10+Assumptions!$B$11+Assumptions!$B$12)/Projects!$D$34*0.95,0)-IF(AND(Projects!$G$34="Yes",CK$3=Projects!$C$34+Projects!$D$34-1),Projects!$B$34*(Assumptions!$B$10+Assumptions!$B$11+Assumptions!$B$12)*0.05,0)</f>
        <v>0</v>
      </c>
      <c r="CL43" s="19" t="n">
        <f aca="false">IF(AND(Projects!$G$34="Yes",CL$3&gt;=Projects!$C$34,CL$3&lt;Projects!$C$34+Projects!$D$34),Projects!$B$34*INDEX(Curves!$B$4:$AR$4,1,CL$3-Projects!$C$34+1),0)-IF(AND(Projects!$G$34="Yes",CL$3&gt;=Projects!$C$34,CL$3&lt;Projects!$C$34+Projects!$D$34),Projects!$B$34*(Assumptions!$B$10+Assumptions!$B$11+Assumptions!$B$12)/Projects!$D$34*0.95,0)-IF(AND(Projects!$G$34="Yes",CL$3=Projects!$C$34+Projects!$D$34-1),Projects!$B$34*(Assumptions!$B$10+Assumptions!$B$11+Assumptions!$B$12)*0.05,0)</f>
        <v>0</v>
      </c>
      <c r="CM43" s="19" t="n">
        <f aca="false">IF(AND(Projects!$G$34="Yes",CM$3&gt;=Projects!$C$34,CM$3&lt;Projects!$C$34+Projects!$D$34),Projects!$B$34*INDEX(Curves!$B$4:$AR$4,1,CM$3-Projects!$C$34+1),0)-IF(AND(Projects!$G$34="Yes",CM$3&gt;=Projects!$C$34,CM$3&lt;Projects!$C$34+Projects!$D$34),Projects!$B$34*(Assumptions!$B$10+Assumptions!$B$11+Assumptions!$B$12)/Projects!$D$34*0.95,0)-IF(AND(Projects!$G$34="Yes",CM$3=Projects!$C$34+Projects!$D$34-1),Projects!$B$34*(Assumptions!$B$10+Assumptions!$B$11+Assumptions!$B$12)*0.05,0)</f>
        <v>0</v>
      </c>
      <c r="CN43" s="19" t="n">
        <f aca="false">IF(AND(Projects!$G$34="Yes",CN$3&gt;=Projects!$C$34,CN$3&lt;Projects!$C$34+Projects!$D$34),Projects!$B$34*INDEX(Curves!$B$4:$AR$4,1,CN$3-Projects!$C$34+1),0)-IF(AND(Projects!$G$34="Yes",CN$3&gt;=Projects!$C$34,CN$3&lt;Projects!$C$34+Projects!$D$34),Projects!$B$34*(Assumptions!$B$10+Assumptions!$B$11+Assumptions!$B$12)/Projects!$D$34*0.95,0)-IF(AND(Projects!$G$34="Yes",CN$3=Projects!$C$34+Projects!$D$34-1),Projects!$B$34*(Assumptions!$B$10+Assumptions!$B$11+Assumptions!$B$12)*0.05,0)</f>
        <v>0</v>
      </c>
      <c r="CO43" s="19" t="n">
        <f aca="false">IF(AND(Projects!$G$34="Yes",CO$3&gt;=Projects!$C$34,CO$3&lt;Projects!$C$34+Projects!$D$34),Projects!$B$34*INDEX(Curves!$B$4:$AR$4,1,CO$3-Projects!$C$34+1),0)-IF(AND(Projects!$G$34="Yes",CO$3&gt;=Projects!$C$34,CO$3&lt;Projects!$C$34+Projects!$D$34),Projects!$B$34*(Assumptions!$B$10+Assumptions!$B$11+Assumptions!$B$12)/Projects!$D$34*0.95,0)-IF(AND(Projects!$G$34="Yes",CO$3=Projects!$C$34+Projects!$D$34-1),Projects!$B$34*(Assumptions!$B$10+Assumptions!$B$11+Assumptions!$B$12)*0.05,0)</f>
        <v>0</v>
      </c>
      <c r="CP43" s="19" t="n">
        <f aca="false">IF(AND(Projects!$G$34="Yes",CP$3&gt;=Projects!$C$34,CP$3&lt;Projects!$C$34+Projects!$D$34),Projects!$B$34*INDEX(Curves!$B$4:$AR$4,1,CP$3-Projects!$C$34+1),0)-IF(AND(Projects!$G$34="Yes",CP$3&gt;=Projects!$C$34,CP$3&lt;Projects!$C$34+Projects!$D$34),Projects!$B$34*(Assumptions!$B$10+Assumptions!$B$11+Assumptions!$B$12)/Projects!$D$34*0.95,0)-IF(AND(Projects!$G$34="Yes",CP$3=Projects!$C$34+Projects!$D$34-1),Projects!$B$34*(Assumptions!$B$10+Assumptions!$B$11+Assumptions!$B$12)*0.05,0)</f>
        <v>0</v>
      </c>
      <c r="CQ43" s="19" t="n">
        <f aca="false">IF(AND(Projects!$G$34="Yes",CQ$3&gt;=Projects!$C$34,CQ$3&lt;Projects!$C$34+Projects!$D$34),Projects!$B$34*INDEX(Curves!$B$4:$AR$4,1,CQ$3-Projects!$C$34+1),0)-IF(AND(Projects!$G$34="Yes",CQ$3&gt;=Projects!$C$34,CQ$3&lt;Projects!$C$34+Projects!$D$34),Projects!$B$34*(Assumptions!$B$10+Assumptions!$B$11+Assumptions!$B$12)/Projects!$D$34*0.95,0)-IF(AND(Projects!$G$34="Yes",CQ$3=Projects!$C$34+Projects!$D$34-1),Projects!$B$34*(Assumptions!$B$10+Assumptions!$B$11+Assumptions!$B$12)*0.05,0)</f>
        <v>0</v>
      </c>
      <c r="CR43" s="19" t="n">
        <f aca="false">IF(AND(Projects!$G$34="Yes",CR$3&gt;=Projects!$C$34,CR$3&lt;Projects!$C$34+Projects!$D$34),Projects!$B$34*INDEX(Curves!$B$4:$AR$4,1,CR$3-Projects!$C$34+1),0)-IF(AND(Projects!$G$34="Yes",CR$3&gt;=Projects!$C$34,CR$3&lt;Projects!$C$34+Projects!$D$34),Projects!$B$34*(Assumptions!$B$10+Assumptions!$B$11+Assumptions!$B$12)/Projects!$D$34*0.95,0)-IF(AND(Projects!$G$34="Yes",CR$3=Projects!$C$34+Projects!$D$34-1),Projects!$B$34*(Assumptions!$B$10+Assumptions!$B$11+Assumptions!$B$12)*0.05,0)</f>
        <v>0</v>
      </c>
      <c r="CS43" s="19" t="n">
        <f aca="false">IF(AND(Projects!$G$34="Yes",CS$3&gt;=Projects!$C$34,CS$3&lt;Projects!$C$34+Projects!$D$34),Projects!$B$34*INDEX(Curves!$B$4:$AR$4,1,CS$3-Projects!$C$34+1),0)-IF(AND(Projects!$G$34="Yes",CS$3&gt;=Projects!$C$34,CS$3&lt;Projects!$C$34+Projects!$D$34),Projects!$B$34*(Assumptions!$B$10+Assumptions!$B$11+Assumptions!$B$12)/Projects!$D$34*0.95,0)-IF(AND(Projects!$G$34="Yes",CS$3=Projects!$C$34+Projects!$D$34-1),Projects!$B$34*(Assumptions!$B$10+Assumptions!$B$11+Assumptions!$B$12)*0.05,0)</f>
        <v>0</v>
      </c>
      <c r="CT43" s="19" t="n">
        <f aca="false">IF(AND(Projects!$G$34="Yes",CT$3&gt;=Projects!$C$34,CT$3&lt;Projects!$C$34+Projects!$D$34),Projects!$B$34*INDEX(Curves!$B$4:$AR$4,1,CT$3-Projects!$C$34+1),0)-IF(AND(Projects!$G$34="Yes",CT$3&gt;=Projects!$C$34,CT$3&lt;Projects!$C$34+Projects!$D$34),Projects!$B$34*(Assumptions!$B$10+Assumptions!$B$11+Assumptions!$B$12)/Projects!$D$34*0.95,0)-IF(AND(Projects!$G$34="Yes",CT$3=Projects!$C$34+Projects!$D$34-1),Projects!$B$34*(Assumptions!$B$10+Assumptions!$B$11+Assumptions!$B$12)*0.05,0)</f>
        <v>0</v>
      </c>
      <c r="CU43" s="19" t="n">
        <f aca="false">IF(AND(Projects!$G$34="Yes",CU$3&gt;=Projects!$C$34,CU$3&lt;Projects!$C$34+Projects!$D$34),Projects!$B$34*INDEX(Curves!$B$4:$AR$4,1,CU$3-Projects!$C$34+1),0)-IF(AND(Projects!$G$34="Yes",CU$3&gt;=Projects!$C$34,CU$3&lt;Projects!$C$34+Projects!$D$34),Projects!$B$34*(Assumptions!$B$10+Assumptions!$B$11+Assumptions!$B$12)/Projects!$D$34*0.95,0)-IF(AND(Projects!$G$34="Yes",CU$3=Projects!$C$34+Projects!$D$34-1),Projects!$B$34*(Assumptions!$B$10+Assumptions!$B$11+Assumptions!$B$12)*0.05,0)</f>
        <v>0</v>
      </c>
      <c r="CV43" s="19" t="n">
        <f aca="false">IF(AND(Projects!$G$34="Yes",CV$3&gt;=Projects!$C$34,CV$3&lt;Projects!$C$34+Projects!$D$34),Projects!$B$34*INDEX(Curves!$B$4:$AR$4,1,CV$3-Projects!$C$34+1),0)-IF(AND(Projects!$G$34="Yes",CV$3&gt;=Projects!$C$34,CV$3&lt;Projects!$C$34+Projects!$D$34),Projects!$B$34*(Assumptions!$B$10+Assumptions!$B$11+Assumptions!$B$12)/Projects!$D$34*0.95,0)-IF(AND(Projects!$G$34="Yes",CV$3=Projects!$C$34+Projects!$D$34-1),Projects!$B$34*(Assumptions!$B$10+Assumptions!$B$11+Assumptions!$B$12)*0.05,0)</f>
        <v>0</v>
      </c>
      <c r="CW43" s="19" t="n">
        <f aca="false">IF(AND(Projects!$G$34="Yes",CW$3&gt;=Projects!$C$34,CW$3&lt;Projects!$C$34+Projects!$D$34),Projects!$B$34*INDEX(Curves!$B$4:$AR$4,1,CW$3-Projects!$C$34+1),0)-IF(AND(Projects!$G$34="Yes",CW$3&gt;=Projects!$C$34,CW$3&lt;Projects!$C$34+Projects!$D$34),Projects!$B$34*(Assumptions!$B$10+Assumptions!$B$11+Assumptions!$B$12)/Projects!$D$34*0.95,0)-IF(AND(Projects!$G$34="Yes",CW$3=Projects!$C$34+Projects!$D$34-1),Projects!$B$34*(Assumptions!$B$10+Assumptions!$B$11+Assumptions!$B$12)*0.05,0)</f>
        <v>0</v>
      </c>
      <c r="CX43" s="19" t="n">
        <f aca="false">IF(AND(Projects!$G$34="Yes",CX$3&gt;=Projects!$C$34,CX$3&lt;Projects!$C$34+Projects!$D$34),Projects!$B$34*INDEX(Curves!$B$4:$AR$4,1,CX$3-Projects!$C$34+1),0)-IF(AND(Projects!$G$34="Yes",CX$3&gt;=Projects!$C$34,CX$3&lt;Projects!$C$34+Projects!$D$34),Projects!$B$34*(Assumptions!$B$10+Assumptions!$B$11+Assumptions!$B$12)/Projects!$D$34*0.95,0)-IF(AND(Projects!$G$34="Yes",CX$3=Projects!$C$34+Projects!$D$34-1),Projects!$B$34*(Assumptions!$B$10+Assumptions!$B$11+Assumptions!$B$12)*0.05,0)</f>
        <v>0</v>
      </c>
      <c r="CY43" s="19" t="n">
        <f aca="false">IF(AND(Projects!$G$34="Yes",CY$3&gt;=Projects!$C$34,CY$3&lt;Projects!$C$34+Projects!$D$34),Projects!$B$34*INDEX(Curves!$B$4:$AR$4,1,CY$3-Projects!$C$34+1),0)-IF(AND(Projects!$G$34="Yes",CY$3&gt;=Projects!$C$34,CY$3&lt;Projects!$C$34+Projects!$D$34),Projects!$B$34*(Assumptions!$B$10+Assumptions!$B$11+Assumptions!$B$12)/Projects!$D$34*0.95,0)-IF(AND(Projects!$G$34="Yes",CY$3=Projects!$C$34+Projects!$D$34-1),Projects!$B$34*(Assumptions!$B$10+Assumptions!$B$11+Assumptions!$B$12)*0.05,0)</f>
        <v>0</v>
      </c>
      <c r="CZ43" s="19" t="n">
        <f aca="false">IF(AND(Projects!$G$34="Yes",CZ$3&gt;=Projects!$C$34,CZ$3&lt;Projects!$C$34+Projects!$D$34),Projects!$B$34*INDEX(Curves!$B$4:$AR$4,1,CZ$3-Projects!$C$34+1),0)-IF(AND(Projects!$G$34="Yes",CZ$3&gt;=Projects!$C$34,CZ$3&lt;Projects!$C$34+Projects!$D$34),Projects!$B$34*(Assumptions!$B$10+Assumptions!$B$11+Assumptions!$B$12)/Projects!$D$34*0.95,0)-IF(AND(Projects!$G$34="Yes",CZ$3=Projects!$C$34+Projects!$D$34-1),Projects!$B$34*(Assumptions!$B$10+Assumptions!$B$11+Assumptions!$B$12)*0.05,0)</f>
        <v>0</v>
      </c>
      <c r="DA43" s="19" t="n">
        <f aca="false">IF(AND(Projects!$G$34="Yes",DA$3&gt;=Projects!$C$34,DA$3&lt;Projects!$C$34+Projects!$D$34),Projects!$B$34*INDEX(Curves!$B$4:$AR$4,1,DA$3-Projects!$C$34+1),0)-IF(AND(Projects!$G$34="Yes",DA$3&gt;=Projects!$C$34,DA$3&lt;Projects!$C$34+Projects!$D$34),Projects!$B$34*(Assumptions!$B$10+Assumptions!$B$11+Assumptions!$B$12)/Projects!$D$34*0.95,0)-IF(AND(Projects!$G$34="Yes",DA$3=Projects!$C$34+Projects!$D$34-1),Projects!$B$34*(Assumptions!$B$10+Assumptions!$B$11+Assumptions!$B$12)*0.05,0)</f>
        <v>0</v>
      </c>
      <c r="DB43" s="19" t="n">
        <f aca="false">IF(AND(Projects!$G$34="Yes",DB$3&gt;=Projects!$C$34,DB$3&lt;Projects!$C$34+Projects!$D$34),Projects!$B$34*INDEX(Curves!$B$4:$AR$4,1,DB$3-Projects!$C$34+1),0)-IF(AND(Projects!$G$34="Yes",DB$3&gt;=Projects!$C$34,DB$3&lt;Projects!$C$34+Projects!$D$34),Projects!$B$34*(Assumptions!$B$10+Assumptions!$B$11+Assumptions!$B$12)/Projects!$D$34*0.95,0)-IF(AND(Projects!$G$34="Yes",DB$3=Projects!$C$34+Projects!$D$34-1),Projects!$B$34*(Assumptions!$B$10+Assumptions!$B$11+Assumptions!$B$12)*0.05,0)</f>
        <v>0</v>
      </c>
      <c r="DC43" s="19" t="n">
        <f aca="false">IF(AND(Projects!$G$34="Yes",DC$3&gt;=Projects!$C$34,DC$3&lt;Projects!$C$34+Projects!$D$34),Projects!$B$34*INDEX(Curves!$B$4:$AR$4,1,DC$3-Projects!$C$34+1),0)-IF(AND(Projects!$G$34="Yes",DC$3&gt;=Projects!$C$34,DC$3&lt;Projects!$C$34+Projects!$D$34),Projects!$B$34*(Assumptions!$B$10+Assumptions!$B$11+Assumptions!$B$12)/Projects!$D$34*0.95,0)-IF(AND(Projects!$G$34="Yes",DC$3=Projects!$C$34+Projects!$D$34-1),Projects!$B$34*(Assumptions!$B$10+Assumptions!$B$11+Assumptions!$B$12)*0.05,0)</f>
        <v>0</v>
      </c>
      <c r="DD43" s="19" t="n">
        <f aca="false">IF(AND(Projects!$G$34="Yes",DD$3&gt;=Projects!$C$34,DD$3&lt;Projects!$C$34+Projects!$D$34),Projects!$B$34*INDEX(Curves!$B$4:$AR$4,1,DD$3-Projects!$C$34+1),0)-IF(AND(Projects!$G$34="Yes",DD$3&gt;=Projects!$C$34,DD$3&lt;Projects!$C$34+Projects!$D$34),Projects!$B$34*(Assumptions!$B$10+Assumptions!$B$11+Assumptions!$B$12)/Projects!$D$34*0.95,0)-IF(AND(Projects!$G$34="Yes",DD$3=Projects!$C$34+Projects!$D$34-1),Projects!$B$34*(Assumptions!$B$10+Assumptions!$B$11+Assumptions!$B$12)*0.05,0)</f>
        <v>0</v>
      </c>
      <c r="DE43" s="19" t="n">
        <f aca="false">IF(AND(Projects!$G$34="Yes",DE$3&gt;=Projects!$C$34,DE$3&lt;Projects!$C$34+Projects!$D$34),Projects!$B$34*INDEX(Curves!$B$4:$AR$4,1,DE$3-Projects!$C$34+1),0)-IF(AND(Projects!$G$34="Yes",DE$3&gt;=Projects!$C$34,DE$3&lt;Projects!$C$34+Projects!$D$34),Projects!$B$34*(Assumptions!$B$10+Assumptions!$B$11+Assumptions!$B$12)/Projects!$D$34*0.95,0)-IF(AND(Projects!$G$34="Yes",DE$3=Projects!$C$34+Projects!$D$34-1),Projects!$B$34*(Assumptions!$B$10+Assumptions!$B$11+Assumptions!$B$12)*0.05,0)</f>
        <v>0</v>
      </c>
    </row>
    <row r="44" customFormat="false" ht="15" hidden="true" customHeight="true" outlineLevel="1" collapsed="false">
      <c r="A44" s="28" t="s">
        <v>38</v>
      </c>
      <c r="B44" s="19" t="n">
        <v>0</v>
      </c>
      <c r="C44" s="19" t="n">
        <v>0</v>
      </c>
      <c r="D44" s="19" t="n">
        <v>0</v>
      </c>
      <c r="E44" s="19" t="n">
        <v>0</v>
      </c>
      <c r="F44" s="19" t="n">
        <f aca="false">IF(AND(Projects!$G$35="Yes",F$3&gt;=Projects!$C$35,F$3&lt;Projects!$C$35+Projects!$D$35),Projects!$B$35*INDEX(Curves!$B$4:$AR$4,1,F$3-Projects!$C$35+1),0)-IF(AND(Projects!$G$35="Yes",F$3&gt;=Projects!$C$35,F$3&lt;Projects!$C$35+Projects!$D$35),Projects!$B$35*(Assumptions!$B$10+Assumptions!$B$11+Assumptions!$B$12)/Projects!$D$35*0.95,0)-IF(AND(Projects!$G$35="Yes",F$3=Projects!$C$35+Projects!$D$35-1),Projects!$B$35*(Assumptions!$B$10+Assumptions!$B$11+Assumptions!$B$12)*0.05,0)</f>
        <v>0</v>
      </c>
      <c r="G44" s="19" t="n">
        <f aca="false">IF(AND(Projects!$G$35="Yes",G$3&gt;=Projects!$C$35,G$3&lt;Projects!$C$35+Projects!$D$35),Projects!$B$35*INDEX(Curves!$B$4:$AR$4,1,G$3-Projects!$C$35+1),0)-IF(AND(Projects!$G$35="Yes",G$3&gt;=Projects!$C$35,G$3&lt;Projects!$C$35+Projects!$D$35),Projects!$B$35*(Assumptions!$B$10+Assumptions!$B$11+Assumptions!$B$12)/Projects!$D$35*0.95,0)-IF(AND(Projects!$G$35="Yes",G$3=Projects!$C$35+Projects!$D$35-1),Projects!$B$35*(Assumptions!$B$10+Assumptions!$B$11+Assumptions!$B$12)*0.05,0)</f>
        <v>0</v>
      </c>
      <c r="H44" s="19" t="n">
        <f aca="false">IF(AND(Projects!$G$35="Yes",H$3&gt;=Projects!$C$35,H$3&lt;Projects!$C$35+Projects!$D$35),Projects!$B$35*INDEX(Curves!$B$4:$AR$4,1,H$3-Projects!$C$35+1),0)-IF(AND(Projects!$G$35="Yes",H$3&gt;=Projects!$C$35,H$3&lt;Projects!$C$35+Projects!$D$35),Projects!$B$35*(Assumptions!$B$10+Assumptions!$B$11+Assumptions!$B$12)/Projects!$D$35*0.95,0)-IF(AND(Projects!$G$35="Yes",H$3=Projects!$C$35+Projects!$D$35-1),Projects!$B$35*(Assumptions!$B$10+Assumptions!$B$11+Assumptions!$B$12)*0.05,0)</f>
        <v>0</v>
      </c>
      <c r="I44" s="19" t="n">
        <f aca="false">IF(AND(Projects!$G$35="Yes",I$3&gt;=Projects!$C$35,I$3&lt;Projects!$C$35+Projects!$D$35),Projects!$B$35*INDEX(Curves!$B$4:$AR$4,1,I$3-Projects!$C$35+1),0)-IF(AND(Projects!$G$35="Yes",I$3&gt;=Projects!$C$35,I$3&lt;Projects!$C$35+Projects!$D$35),Projects!$B$35*(Assumptions!$B$10+Assumptions!$B$11+Assumptions!$B$12)/Projects!$D$35*0.95,0)-IF(AND(Projects!$G$35="Yes",I$3=Projects!$C$35+Projects!$D$35-1),Projects!$B$35*(Assumptions!$B$10+Assumptions!$B$11+Assumptions!$B$12)*0.05,0)</f>
        <v>0</v>
      </c>
      <c r="J44" s="19" t="n">
        <f aca="false">IF(AND(Projects!$G$35="Yes",J$3&gt;=Projects!$C$35,J$3&lt;Projects!$C$35+Projects!$D$35),Projects!$B$35*INDEX(Curves!$B$4:$AR$4,1,J$3-Projects!$C$35+1),0)-IF(AND(Projects!$G$35="Yes",J$3&gt;=Projects!$C$35,J$3&lt;Projects!$C$35+Projects!$D$35),Projects!$B$35*(Assumptions!$B$10+Assumptions!$B$11+Assumptions!$B$12)/Projects!$D$35*0.95,0)-IF(AND(Projects!$G$35="Yes",J$3=Projects!$C$35+Projects!$D$35-1),Projects!$B$35*(Assumptions!$B$10+Assumptions!$B$11+Assumptions!$B$12)*0.05,0)</f>
        <v>0</v>
      </c>
      <c r="K44" s="19" t="n">
        <f aca="false">IF(AND(Projects!$G$35="Yes",K$3&gt;=Projects!$C$35,K$3&lt;Projects!$C$35+Projects!$D$35),Projects!$B$35*INDEX(Curves!$B$4:$AR$4,1,K$3-Projects!$C$35+1),0)-IF(AND(Projects!$G$35="Yes",K$3&gt;=Projects!$C$35,K$3&lt;Projects!$C$35+Projects!$D$35),Projects!$B$35*(Assumptions!$B$10+Assumptions!$B$11+Assumptions!$B$12)/Projects!$D$35*0.95,0)-IF(AND(Projects!$G$35="Yes",K$3=Projects!$C$35+Projects!$D$35-1),Projects!$B$35*(Assumptions!$B$10+Assumptions!$B$11+Assumptions!$B$12)*0.05,0)</f>
        <v>0</v>
      </c>
      <c r="L44" s="19" t="n">
        <f aca="false">IF(AND(Projects!$G$35="Yes",L$3&gt;=Projects!$C$35,L$3&lt;Projects!$C$35+Projects!$D$35),Projects!$B$35*INDEX(Curves!$B$4:$AR$4,1,L$3-Projects!$C$35+1),0)-IF(AND(Projects!$G$35="Yes",L$3&gt;=Projects!$C$35,L$3&lt;Projects!$C$35+Projects!$D$35),Projects!$B$35*(Assumptions!$B$10+Assumptions!$B$11+Assumptions!$B$12)/Projects!$D$35*0.95,0)-IF(AND(Projects!$G$35="Yes",L$3=Projects!$C$35+Projects!$D$35-1),Projects!$B$35*(Assumptions!$B$10+Assumptions!$B$11+Assumptions!$B$12)*0.05,0)</f>
        <v>0</v>
      </c>
      <c r="M44" s="19" t="n">
        <f aca="false">IF(AND(Projects!$G$35="Yes",M$3&gt;=Projects!$C$35,M$3&lt;Projects!$C$35+Projects!$D$35),Projects!$B$35*INDEX(Curves!$B$4:$AR$4,1,M$3-Projects!$C$35+1),0)-IF(AND(Projects!$G$35="Yes",M$3&gt;=Projects!$C$35,M$3&lt;Projects!$C$35+Projects!$D$35),Projects!$B$35*(Assumptions!$B$10+Assumptions!$B$11+Assumptions!$B$12)/Projects!$D$35*0.95,0)-IF(AND(Projects!$G$35="Yes",M$3=Projects!$C$35+Projects!$D$35-1),Projects!$B$35*(Assumptions!$B$10+Assumptions!$B$11+Assumptions!$B$12)*0.05,0)</f>
        <v>0</v>
      </c>
      <c r="N44" s="19" t="n">
        <f aca="false">IF(AND(Projects!$G$35="Yes",N$3&gt;=Projects!$C$35,N$3&lt;Projects!$C$35+Projects!$D$35),Projects!$B$35*INDEX(Curves!$B$4:$AR$4,1,N$3-Projects!$C$35+1),0)-IF(AND(Projects!$G$35="Yes",N$3&gt;=Projects!$C$35,N$3&lt;Projects!$C$35+Projects!$D$35),Projects!$B$35*(Assumptions!$B$10+Assumptions!$B$11+Assumptions!$B$12)/Projects!$D$35*0.95,0)-IF(AND(Projects!$G$35="Yes",N$3=Projects!$C$35+Projects!$D$35-1),Projects!$B$35*(Assumptions!$B$10+Assumptions!$B$11+Assumptions!$B$12)*0.05,0)</f>
        <v>0</v>
      </c>
      <c r="O44" s="19" t="n">
        <f aca="false">IF(AND(Projects!$G$35="Yes",O$3&gt;=Projects!$C$35,O$3&lt;Projects!$C$35+Projects!$D$35),Projects!$B$35*INDEX(Curves!$B$4:$AR$4,1,O$3-Projects!$C$35+1),0)-IF(AND(Projects!$G$35="Yes",O$3&gt;=Projects!$C$35,O$3&lt;Projects!$C$35+Projects!$D$35),Projects!$B$35*(Assumptions!$B$10+Assumptions!$B$11+Assumptions!$B$12)/Projects!$D$35*0.95,0)-IF(AND(Projects!$G$35="Yes",O$3=Projects!$C$35+Projects!$D$35-1),Projects!$B$35*(Assumptions!$B$10+Assumptions!$B$11+Assumptions!$B$12)*0.05,0)</f>
        <v>0</v>
      </c>
      <c r="P44" s="19" t="n">
        <f aca="false">IF(AND(Projects!$G$35="Yes",P$3&gt;=Projects!$C$35,P$3&lt;Projects!$C$35+Projects!$D$35),Projects!$B$35*INDEX(Curves!$B$4:$AR$4,1,P$3-Projects!$C$35+1),0)-IF(AND(Projects!$G$35="Yes",P$3&gt;=Projects!$C$35,P$3&lt;Projects!$C$35+Projects!$D$35),Projects!$B$35*(Assumptions!$B$10+Assumptions!$B$11+Assumptions!$B$12)/Projects!$D$35*0.95,0)-IF(AND(Projects!$G$35="Yes",P$3=Projects!$C$35+Projects!$D$35-1),Projects!$B$35*(Assumptions!$B$10+Assumptions!$B$11+Assumptions!$B$12)*0.05,0)</f>
        <v>0</v>
      </c>
      <c r="Q44" s="19" t="n">
        <f aca="false">IF(AND(Projects!$G$35="Yes",Q$3&gt;=Projects!$C$35,Q$3&lt;Projects!$C$35+Projects!$D$35),Projects!$B$35*INDEX(Curves!$B$4:$AR$4,1,Q$3-Projects!$C$35+1),0)-IF(AND(Projects!$G$35="Yes",Q$3&gt;=Projects!$C$35,Q$3&lt;Projects!$C$35+Projects!$D$35),Projects!$B$35*(Assumptions!$B$10+Assumptions!$B$11+Assumptions!$B$12)/Projects!$D$35*0.95,0)-IF(AND(Projects!$G$35="Yes",Q$3=Projects!$C$35+Projects!$D$35-1),Projects!$B$35*(Assumptions!$B$10+Assumptions!$B$11+Assumptions!$B$12)*0.05,0)</f>
        <v>0</v>
      </c>
      <c r="R44" s="19" t="n">
        <f aca="false">IF(AND(Projects!$G$35="Yes",R$3&gt;=Projects!$C$35,R$3&lt;Projects!$C$35+Projects!$D$35),Projects!$B$35*INDEX(Curves!$B$4:$AR$4,1,R$3-Projects!$C$35+1),0)-IF(AND(Projects!$G$35="Yes",R$3&gt;=Projects!$C$35,R$3&lt;Projects!$C$35+Projects!$D$35),Projects!$B$35*(Assumptions!$B$10+Assumptions!$B$11+Assumptions!$B$12)/Projects!$D$35*0.95,0)-IF(AND(Projects!$G$35="Yes",R$3=Projects!$C$35+Projects!$D$35-1),Projects!$B$35*(Assumptions!$B$10+Assumptions!$B$11+Assumptions!$B$12)*0.05,0)</f>
        <v>0</v>
      </c>
      <c r="S44" s="19" t="n">
        <f aca="false">IF(AND(Projects!$G$35="Yes",S$3&gt;=Projects!$C$35,S$3&lt;Projects!$C$35+Projects!$D$35),Projects!$B$35*INDEX(Curves!$B$4:$AR$4,1,S$3-Projects!$C$35+1),0)-IF(AND(Projects!$G$35="Yes",S$3&gt;=Projects!$C$35,S$3&lt;Projects!$C$35+Projects!$D$35),Projects!$B$35*(Assumptions!$B$10+Assumptions!$B$11+Assumptions!$B$12)/Projects!$D$35*0.95,0)-IF(AND(Projects!$G$35="Yes",S$3=Projects!$C$35+Projects!$D$35-1),Projects!$B$35*(Assumptions!$B$10+Assumptions!$B$11+Assumptions!$B$12)*0.05,0)</f>
        <v>0</v>
      </c>
      <c r="T44" s="19" t="n">
        <f aca="false">IF(AND(Projects!$G$35="Yes",T$3&gt;=Projects!$C$35,T$3&lt;Projects!$C$35+Projects!$D$35),Projects!$B$35*INDEX(Curves!$B$4:$AR$4,1,T$3-Projects!$C$35+1),0)-IF(AND(Projects!$G$35="Yes",T$3&gt;=Projects!$C$35,T$3&lt;Projects!$C$35+Projects!$D$35),Projects!$B$35*(Assumptions!$B$10+Assumptions!$B$11+Assumptions!$B$12)/Projects!$D$35*0.95,0)-IF(AND(Projects!$G$35="Yes",T$3=Projects!$C$35+Projects!$D$35-1),Projects!$B$35*(Assumptions!$B$10+Assumptions!$B$11+Assumptions!$B$12)*0.05,0)</f>
        <v>0</v>
      </c>
      <c r="U44" s="19" t="n">
        <f aca="false">IF(AND(Projects!$G$35="Yes",U$3&gt;=Projects!$C$35,U$3&lt;Projects!$C$35+Projects!$D$35),Projects!$B$35*INDEX(Curves!$B$4:$AR$4,1,U$3-Projects!$C$35+1),0)-IF(AND(Projects!$G$35="Yes",U$3&gt;=Projects!$C$35,U$3&lt;Projects!$C$35+Projects!$D$35),Projects!$B$35*(Assumptions!$B$10+Assumptions!$B$11+Assumptions!$B$12)/Projects!$D$35*0.95,0)-IF(AND(Projects!$G$35="Yes",U$3=Projects!$C$35+Projects!$D$35-1),Projects!$B$35*(Assumptions!$B$10+Assumptions!$B$11+Assumptions!$B$12)*0.05,0)</f>
        <v>0</v>
      </c>
      <c r="V44" s="19" t="n">
        <f aca="false">IF(AND(Projects!$G$35="Yes",V$3&gt;=Projects!$C$35,V$3&lt;Projects!$C$35+Projects!$D$35),Projects!$B$35*INDEX(Curves!$B$4:$AR$4,1,V$3-Projects!$C$35+1),0)-IF(AND(Projects!$G$35="Yes",V$3&gt;=Projects!$C$35,V$3&lt;Projects!$C$35+Projects!$D$35),Projects!$B$35*(Assumptions!$B$10+Assumptions!$B$11+Assumptions!$B$12)/Projects!$D$35*0.95,0)-IF(AND(Projects!$G$35="Yes",V$3=Projects!$C$35+Projects!$D$35-1),Projects!$B$35*(Assumptions!$B$10+Assumptions!$B$11+Assumptions!$B$12)*0.05,0)</f>
        <v>0</v>
      </c>
      <c r="W44" s="19" t="n">
        <f aca="false">IF(AND(Projects!$G$35="Yes",W$3&gt;=Projects!$C$35,W$3&lt;Projects!$C$35+Projects!$D$35),Projects!$B$35*INDEX(Curves!$B$4:$AR$4,1,W$3-Projects!$C$35+1),0)-IF(AND(Projects!$G$35="Yes",W$3&gt;=Projects!$C$35,W$3&lt;Projects!$C$35+Projects!$D$35),Projects!$B$35*(Assumptions!$B$10+Assumptions!$B$11+Assumptions!$B$12)/Projects!$D$35*0.95,0)-IF(AND(Projects!$G$35="Yes",W$3=Projects!$C$35+Projects!$D$35-1),Projects!$B$35*(Assumptions!$B$10+Assumptions!$B$11+Assumptions!$B$12)*0.05,0)</f>
        <v>0</v>
      </c>
      <c r="X44" s="19" t="n">
        <f aca="false">IF(AND(Projects!$G$35="Yes",X$3&gt;=Projects!$C$35,X$3&lt;Projects!$C$35+Projects!$D$35),Projects!$B$35*INDEX(Curves!$B$4:$AR$4,1,X$3-Projects!$C$35+1),0)-IF(AND(Projects!$G$35="Yes",X$3&gt;=Projects!$C$35,X$3&lt;Projects!$C$35+Projects!$D$35),Projects!$B$35*(Assumptions!$B$10+Assumptions!$B$11+Assumptions!$B$12)/Projects!$D$35*0.95,0)-IF(AND(Projects!$G$35="Yes",X$3=Projects!$C$35+Projects!$D$35-1),Projects!$B$35*(Assumptions!$B$10+Assumptions!$B$11+Assumptions!$B$12)*0.05,0)</f>
        <v>0</v>
      </c>
      <c r="Y44" s="19" t="n">
        <f aca="false">IF(AND(Projects!$G$35="Yes",Y$3&gt;=Projects!$C$35,Y$3&lt;Projects!$C$35+Projects!$D$35),Projects!$B$35*INDEX(Curves!$B$4:$AR$4,1,Y$3-Projects!$C$35+1),0)-IF(AND(Projects!$G$35="Yes",Y$3&gt;=Projects!$C$35,Y$3&lt;Projects!$C$35+Projects!$D$35),Projects!$B$35*(Assumptions!$B$10+Assumptions!$B$11+Assumptions!$B$12)/Projects!$D$35*0.95,0)-IF(AND(Projects!$G$35="Yes",Y$3=Projects!$C$35+Projects!$D$35-1),Projects!$B$35*(Assumptions!$B$10+Assumptions!$B$11+Assumptions!$B$12)*0.05,0)</f>
        <v>0</v>
      </c>
      <c r="Z44" s="19" t="n">
        <f aca="false">IF(AND(Projects!$G$35="Yes",Z$3&gt;=Projects!$C$35,Z$3&lt;Projects!$C$35+Projects!$D$35),Projects!$B$35*INDEX(Curves!$B$4:$AR$4,1,Z$3-Projects!$C$35+1),0)-IF(AND(Projects!$G$35="Yes",Z$3&gt;=Projects!$C$35,Z$3&lt;Projects!$C$35+Projects!$D$35),Projects!$B$35*(Assumptions!$B$10+Assumptions!$B$11+Assumptions!$B$12)/Projects!$D$35*0.95,0)-IF(AND(Projects!$G$35="Yes",Z$3=Projects!$C$35+Projects!$D$35-1),Projects!$B$35*(Assumptions!$B$10+Assumptions!$B$11+Assumptions!$B$12)*0.05,0)</f>
        <v>0</v>
      </c>
      <c r="AA44" s="19" t="n">
        <f aca="false">IF(AND(Projects!$G$35="Yes",AA$3&gt;=Projects!$C$35,AA$3&lt;Projects!$C$35+Projects!$D$35),Projects!$B$35*INDEX(Curves!$B$4:$AR$4,1,AA$3-Projects!$C$35+1),0)-IF(AND(Projects!$G$35="Yes",AA$3&gt;=Projects!$C$35,AA$3&lt;Projects!$C$35+Projects!$D$35),Projects!$B$35*(Assumptions!$B$10+Assumptions!$B$11+Assumptions!$B$12)/Projects!$D$35*0.95,0)-IF(AND(Projects!$G$35="Yes",AA$3=Projects!$C$35+Projects!$D$35-1),Projects!$B$35*(Assumptions!$B$10+Assumptions!$B$11+Assumptions!$B$12)*0.05,0)</f>
        <v>0</v>
      </c>
      <c r="AB44" s="19" t="n">
        <f aca="false">IF(AND(Projects!$G$35="Yes",AB$3&gt;=Projects!$C$35,AB$3&lt;Projects!$C$35+Projects!$D$35),Projects!$B$35*INDEX(Curves!$B$4:$AR$4,1,AB$3-Projects!$C$35+1),0)-IF(AND(Projects!$G$35="Yes",AB$3&gt;=Projects!$C$35,AB$3&lt;Projects!$C$35+Projects!$D$35),Projects!$B$35*(Assumptions!$B$10+Assumptions!$B$11+Assumptions!$B$12)/Projects!$D$35*0.95,0)-IF(AND(Projects!$G$35="Yes",AB$3=Projects!$C$35+Projects!$D$35-1),Projects!$B$35*(Assumptions!$B$10+Assumptions!$B$11+Assumptions!$B$12)*0.05,0)</f>
        <v>0</v>
      </c>
      <c r="AC44" s="19" t="n">
        <f aca="false">IF(AND(Projects!$G$35="Yes",AC$3&gt;=Projects!$C$35,AC$3&lt;Projects!$C$35+Projects!$D$35),Projects!$B$35*INDEX(Curves!$B$4:$AR$4,1,AC$3-Projects!$C$35+1),0)-IF(AND(Projects!$G$35="Yes",AC$3&gt;=Projects!$C$35,AC$3&lt;Projects!$C$35+Projects!$D$35),Projects!$B$35*(Assumptions!$B$10+Assumptions!$B$11+Assumptions!$B$12)/Projects!$D$35*0.95,0)-IF(AND(Projects!$G$35="Yes",AC$3=Projects!$C$35+Projects!$D$35-1),Projects!$B$35*(Assumptions!$B$10+Assumptions!$B$11+Assumptions!$B$12)*0.05,0)</f>
        <v>0</v>
      </c>
      <c r="AD44" s="19" t="n">
        <f aca="false">IF(AND(Projects!$G$35="Yes",AD$3&gt;=Projects!$C$35,AD$3&lt;Projects!$C$35+Projects!$D$35),Projects!$B$35*INDEX(Curves!$B$4:$AR$4,1,AD$3-Projects!$C$35+1),0)-IF(AND(Projects!$G$35="Yes",AD$3&gt;=Projects!$C$35,AD$3&lt;Projects!$C$35+Projects!$D$35),Projects!$B$35*(Assumptions!$B$10+Assumptions!$B$11+Assumptions!$B$12)/Projects!$D$35*0.95,0)-IF(AND(Projects!$G$35="Yes",AD$3=Projects!$C$35+Projects!$D$35-1),Projects!$B$35*(Assumptions!$B$10+Assumptions!$B$11+Assumptions!$B$12)*0.05,0)</f>
        <v>0</v>
      </c>
      <c r="AE44" s="19" t="n">
        <f aca="false">IF(AND(Projects!$G$35="Yes",AE$3&gt;=Projects!$C$35,AE$3&lt;Projects!$C$35+Projects!$D$35),Projects!$B$35*INDEX(Curves!$B$4:$AR$4,1,AE$3-Projects!$C$35+1),0)-IF(AND(Projects!$G$35="Yes",AE$3&gt;=Projects!$C$35,AE$3&lt;Projects!$C$35+Projects!$D$35),Projects!$B$35*(Assumptions!$B$10+Assumptions!$B$11+Assumptions!$B$12)/Projects!$D$35*0.95,0)-IF(AND(Projects!$G$35="Yes",AE$3=Projects!$C$35+Projects!$D$35-1),Projects!$B$35*(Assumptions!$B$10+Assumptions!$B$11+Assumptions!$B$12)*0.05,0)</f>
        <v>0</v>
      </c>
      <c r="AF44" s="19" t="n">
        <f aca="false">IF(AND(Projects!$G$35="Yes",AF$3&gt;=Projects!$C$35,AF$3&lt;Projects!$C$35+Projects!$D$35),Projects!$B$35*INDEX(Curves!$B$4:$AR$4,1,AF$3-Projects!$C$35+1),0)-IF(AND(Projects!$G$35="Yes",AF$3&gt;=Projects!$C$35,AF$3&lt;Projects!$C$35+Projects!$D$35),Projects!$B$35*(Assumptions!$B$10+Assumptions!$B$11+Assumptions!$B$12)/Projects!$D$35*0.95,0)-IF(AND(Projects!$G$35="Yes",AF$3=Projects!$C$35+Projects!$D$35-1),Projects!$B$35*(Assumptions!$B$10+Assumptions!$B$11+Assumptions!$B$12)*0.05,0)</f>
        <v>0</v>
      </c>
      <c r="AG44" s="19" t="n">
        <f aca="false">IF(AND(Projects!$G$35="Yes",AG$3&gt;=Projects!$C$35,AG$3&lt;Projects!$C$35+Projects!$D$35),Projects!$B$35*INDEX(Curves!$B$4:$AR$4,1,AG$3-Projects!$C$35+1),0)-IF(AND(Projects!$G$35="Yes",AG$3&gt;=Projects!$C$35,AG$3&lt;Projects!$C$35+Projects!$D$35),Projects!$B$35*(Assumptions!$B$10+Assumptions!$B$11+Assumptions!$B$12)/Projects!$D$35*0.95,0)-IF(AND(Projects!$G$35="Yes",AG$3=Projects!$C$35+Projects!$D$35-1),Projects!$B$35*(Assumptions!$B$10+Assumptions!$B$11+Assumptions!$B$12)*0.05,0)</f>
        <v>0</v>
      </c>
      <c r="AH44" s="19" t="n">
        <f aca="false">IF(AND(Projects!$G$35="Yes",AH$3&gt;=Projects!$C$35,AH$3&lt;Projects!$C$35+Projects!$D$35),Projects!$B$35*INDEX(Curves!$B$4:$AR$4,1,AH$3-Projects!$C$35+1),0)-IF(AND(Projects!$G$35="Yes",AH$3&gt;=Projects!$C$35,AH$3&lt;Projects!$C$35+Projects!$D$35),Projects!$B$35*(Assumptions!$B$10+Assumptions!$B$11+Assumptions!$B$12)/Projects!$D$35*0.95,0)-IF(AND(Projects!$G$35="Yes",AH$3=Projects!$C$35+Projects!$D$35-1),Projects!$B$35*(Assumptions!$B$10+Assumptions!$B$11+Assumptions!$B$12)*0.05,0)</f>
        <v>0</v>
      </c>
      <c r="AI44" s="19" t="n">
        <f aca="false">IF(AND(Projects!$G$35="Yes",AI$3&gt;=Projects!$C$35,AI$3&lt;Projects!$C$35+Projects!$D$35),Projects!$B$35*INDEX(Curves!$B$4:$AR$4,1,AI$3-Projects!$C$35+1),0)-IF(AND(Projects!$G$35="Yes",AI$3&gt;=Projects!$C$35,AI$3&lt;Projects!$C$35+Projects!$D$35),Projects!$B$35*(Assumptions!$B$10+Assumptions!$B$11+Assumptions!$B$12)/Projects!$D$35*0.95,0)-IF(AND(Projects!$G$35="Yes",AI$3=Projects!$C$35+Projects!$D$35-1),Projects!$B$35*(Assumptions!$B$10+Assumptions!$B$11+Assumptions!$B$12)*0.05,0)</f>
        <v>0</v>
      </c>
      <c r="AJ44" s="19" t="n">
        <f aca="false">IF(AND(Projects!$G$35="Yes",AJ$3&gt;=Projects!$C$35,AJ$3&lt;Projects!$C$35+Projects!$D$35),Projects!$B$35*INDEX(Curves!$B$4:$AR$4,1,AJ$3-Projects!$C$35+1),0)-IF(AND(Projects!$G$35="Yes",AJ$3&gt;=Projects!$C$35,AJ$3&lt;Projects!$C$35+Projects!$D$35),Projects!$B$35*(Assumptions!$B$10+Assumptions!$B$11+Assumptions!$B$12)/Projects!$D$35*0.95,0)-IF(AND(Projects!$G$35="Yes",AJ$3=Projects!$C$35+Projects!$D$35-1),Projects!$B$35*(Assumptions!$B$10+Assumptions!$B$11+Assumptions!$B$12)*0.05,0)</f>
        <v>0</v>
      </c>
      <c r="AK44" s="19" t="n">
        <f aca="false">IF(AND(Projects!$G$35="Yes",AK$3&gt;=Projects!$C$35,AK$3&lt;Projects!$C$35+Projects!$D$35),Projects!$B$35*INDEX(Curves!$B$4:$AR$4,1,AK$3-Projects!$C$35+1),0)-IF(AND(Projects!$G$35="Yes",AK$3&gt;=Projects!$C$35,AK$3&lt;Projects!$C$35+Projects!$D$35),Projects!$B$35*(Assumptions!$B$10+Assumptions!$B$11+Assumptions!$B$12)/Projects!$D$35*0.95,0)-IF(AND(Projects!$G$35="Yes",AK$3=Projects!$C$35+Projects!$D$35-1),Projects!$B$35*(Assumptions!$B$10+Assumptions!$B$11+Assumptions!$B$12)*0.05,0)</f>
        <v>0</v>
      </c>
      <c r="AL44" s="19" t="n">
        <f aca="false">IF(AND(Projects!$G$35="Yes",AL$3&gt;=Projects!$C$35,AL$3&lt;Projects!$C$35+Projects!$D$35),Projects!$B$35*INDEX(Curves!$B$4:$AR$4,1,AL$3-Projects!$C$35+1),0)-IF(AND(Projects!$G$35="Yes",AL$3&gt;=Projects!$C$35,AL$3&lt;Projects!$C$35+Projects!$D$35),Projects!$B$35*(Assumptions!$B$10+Assumptions!$B$11+Assumptions!$B$12)/Projects!$D$35*0.95,0)-IF(AND(Projects!$G$35="Yes",AL$3=Projects!$C$35+Projects!$D$35-1),Projects!$B$35*(Assumptions!$B$10+Assumptions!$B$11+Assumptions!$B$12)*0.05,0)</f>
        <v>0</v>
      </c>
      <c r="AM44" s="19" t="n">
        <f aca="false">IF(AND(Projects!$G$35="Yes",AM$3&gt;=Projects!$C$35,AM$3&lt;Projects!$C$35+Projects!$D$35),Projects!$B$35*INDEX(Curves!$B$4:$AR$4,1,AM$3-Projects!$C$35+1),0)-IF(AND(Projects!$G$35="Yes",AM$3&gt;=Projects!$C$35,AM$3&lt;Projects!$C$35+Projects!$D$35),Projects!$B$35*(Assumptions!$B$10+Assumptions!$B$11+Assumptions!$B$12)/Projects!$D$35*0.95,0)-IF(AND(Projects!$G$35="Yes",AM$3=Projects!$C$35+Projects!$D$35-1),Projects!$B$35*(Assumptions!$B$10+Assumptions!$B$11+Assumptions!$B$12)*0.05,0)</f>
        <v>0</v>
      </c>
      <c r="AN44" s="19" t="n">
        <f aca="false">IF(AND(Projects!$G$35="Yes",AN$3&gt;=Projects!$C$35,AN$3&lt;Projects!$C$35+Projects!$D$35),Projects!$B$35*INDEX(Curves!$B$4:$AR$4,1,AN$3-Projects!$C$35+1),0)-IF(AND(Projects!$G$35="Yes",AN$3&gt;=Projects!$C$35,AN$3&lt;Projects!$C$35+Projects!$D$35),Projects!$B$35*(Assumptions!$B$10+Assumptions!$B$11+Assumptions!$B$12)/Projects!$D$35*0.95,0)-IF(AND(Projects!$G$35="Yes",AN$3=Projects!$C$35+Projects!$D$35-1),Projects!$B$35*(Assumptions!$B$10+Assumptions!$B$11+Assumptions!$B$12)*0.05,0)</f>
        <v>0</v>
      </c>
      <c r="AO44" s="19" t="n">
        <f aca="false">IF(AND(Projects!$G$35="Yes",AO$3&gt;=Projects!$C$35,AO$3&lt;Projects!$C$35+Projects!$D$35),Projects!$B$35*INDEX(Curves!$B$4:$AR$4,1,AO$3-Projects!$C$35+1),0)-IF(AND(Projects!$G$35="Yes",AO$3&gt;=Projects!$C$35,AO$3&lt;Projects!$C$35+Projects!$D$35),Projects!$B$35*(Assumptions!$B$10+Assumptions!$B$11+Assumptions!$B$12)/Projects!$D$35*0.95,0)-IF(AND(Projects!$G$35="Yes",AO$3=Projects!$C$35+Projects!$D$35-1),Projects!$B$35*(Assumptions!$B$10+Assumptions!$B$11+Assumptions!$B$12)*0.05,0)</f>
        <v>0</v>
      </c>
      <c r="AP44" s="19" t="n">
        <f aca="false">IF(AND(Projects!$G$35="Yes",AP$3&gt;=Projects!$C$35,AP$3&lt;Projects!$C$35+Projects!$D$35),Projects!$B$35*INDEX(Curves!$B$4:$AR$4,1,AP$3-Projects!$C$35+1),0)-IF(AND(Projects!$G$35="Yes",AP$3&gt;=Projects!$C$35,AP$3&lt;Projects!$C$35+Projects!$D$35),Projects!$B$35*(Assumptions!$B$10+Assumptions!$B$11+Assumptions!$B$12)/Projects!$D$35*0.95,0)-IF(AND(Projects!$G$35="Yes",AP$3=Projects!$C$35+Projects!$D$35-1),Projects!$B$35*(Assumptions!$B$10+Assumptions!$B$11+Assumptions!$B$12)*0.05,0)</f>
        <v>0</v>
      </c>
      <c r="AQ44" s="19" t="n">
        <f aca="false">IF(AND(Projects!$G$35="Yes",AQ$3&gt;=Projects!$C$35,AQ$3&lt;Projects!$C$35+Projects!$D$35),Projects!$B$35*INDEX(Curves!$B$4:$AR$4,1,AQ$3-Projects!$C$35+1),0)-IF(AND(Projects!$G$35="Yes",AQ$3&gt;=Projects!$C$35,AQ$3&lt;Projects!$C$35+Projects!$D$35),Projects!$B$35*(Assumptions!$B$10+Assumptions!$B$11+Assumptions!$B$12)/Projects!$D$35*0.95,0)-IF(AND(Projects!$G$35="Yes",AQ$3=Projects!$C$35+Projects!$D$35-1),Projects!$B$35*(Assumptions!$B$10+Assumptions!$B$11+Assumptions!$B$12)*0.05,0)</f>
        <v>307461.75</v>
      </c>
      <c r="AR44" s="19" t="n">
        <f aca="false">IF(AND(Projects!$G$35="Yes",AR$3&gt;=Projects!$C$35,AR$3&lt;Projects!$C$35+Projects!$D$35),Projects!$B$35*INDEX(Curves!$B$4:$AR$4,1,AR$3-Projects!$C$35+1),0)-IF(AND(Projects!$G$35="Yes",AR$3&gt;=Projects!$C$35,AR$3&lt;Projects!$C$35+Projects!$D$35),Projects!$B$35*(Assumptions!$B$10+Assumptions!$B$11+Assumptions!$B$12)/Projects!$D$35*0.95,0)-IF(AND(Projects!$G$35="Yes",AR$3=Projects!$C$35+Projects!$D$35-1),Projects!$B$35*(Assumptions!$B$10+Assumptions!$B$11+Assumptions!$B$12)*0.05,0)</f>
        <v>401121.75</v>
      </c>
      <c r="AS44" s="19" t="n">
        <f aca="false">IF(AND(Projects!$G$35="Yes",AS$3&gt;=Projects!$C$35,AS$3&lt;Projects!$C$35+Projects!$D$35),Projects!$B$35*INDEX(Curves!$B$4:$AR$4,1,AS$3-Projects!$C$35+1),0)-IF(AND(Projects!$G$35="Yes",AS$3&gt;=Projects!$C$35,AS$3&lt;Projects!$C$35+Projects!$D$35),Projects!$B$35*(Assumptions!$B$10+Assumptions!$B$11+Assumptions!$B$12)/Projects!$D$35*0.95,0)-IF(AND(Projects!$G$35="Yes",AS$3=Projects!$C$35+Projects!$D$35-1),Projects!$B$35*(Assumptions!$B$10+Assumptions!$B$11+Assumptions!$B$12)*0.05,0)</f>
        <v>501936.75</v>
      </c>
      <c r="AT44" s="19" t="n">
        <f aca="false">IF(AND(Projects!$G$35="Yes",AT$3&gt;=Projects!$C$35,AT$3&lt;Projects!$C$35+Projects!$D$35),Projects!$B$35*INDEX(Curves!$B$4:$AR$4,1,AT$3-Projects!$C$35+1),0)-IF(AND(Projects!$G$35="Yes",AT$3&gt;=Projects!$C$35,AT$3&lt;Projects!$C$35+Projects!$D$35),Projects!$B$35*(Assumptions!$B$10+Assumptions!$B$11+Assumptions!$B$12)/Projects!$D$35*0.95,0)-IF(AND(Projects!$G$35="Yes",AT$3=Projects!$C$35+Projects!$D$35-1),Projects!$B$35*(Assumptions!$B$10+Assumptions!$B$11+Assumptions!$B$12)*0.05,0)</f>
        <v>605886.75</v>
      </c>
      <c r="AU44" s="19" t="n">
        <f aca="false">IF(AND(Projects!$G$35="Yes",AU$3&gt;=Projects!$C$35,AU$3&lt;Projects!$C$35+Projects!$D$35),Projects!$B$35*INDEX(Curves!$B$4:$AR$4,1,AU$3-Projects!$C$35+1),0)-IF(AND(Projects!$G$35="Yes",AU$3&gt;=Projects!$C$35,AU$3&lt;Projects!$C$35+Projects!$D$35),Projects!$B$35*(Assumptions!$B$10+Assumptions!$B$11+Assumptions!$B$12)/Projects!$D$35*0.95,0)-IF(AND(Projects!$G$35="Yes",AU$3=Projects!$C$35+Projects!$D$35-1),Projects!$B$35*(Assumptions!$B$10+Assumptions!$B$11+Assumptions!$B$12)*0.05,0)</f>
        <v>707976.75</v>
      </c>
      <c r="AV44" s="19" t="n">
        <f aca="false">IF(AND(Projects!$G$35="Yes",AV$3&gt;=Projects!$C$35,AV$3&lt;Projects!$C$35+Projects!$D$35),Projects!$B$35*INDEX(Curves!$B$4:$AR$4,1,AV$3-Projects!$C$35+1),0)-IF(AND(Projects!$G$35="Yes",AV$3&gt;=Projects!$C$35,AV$3&lt;Projects!$C$35+Projects!$D$35),Projects!$B$35*(Assumptions!$B$10+Assumptions!$B$11+Assumptions!$B$12)/Projects!$D$35*0.95,0)-IF(AND(Projects!$G$35="Yes",AV$3=Projects!$C$35+Projects!$D$35-1),Projects!$B$35*(Assumptions!$B$10+Assumptions!$B$11+Assumptions!$B$12)*0.05,0)</f>
        <v>802536.75</v>
      </c>
      <c r="AW44" s="19" t="n">
        <f aca="false">IF(AND(Projects!$G$35="Yes",AW$3&gt;=Projects!$C$35,AW$3&lt;Projects!$C$35+Projects!$D$35),Projects!$B$35*INDEX(Curves!$B$4:$AR$4,1,AW$3-Projects!$C$35+1),0)-IF(AND(Projects!$G$35="Yes",AW$3&gt;=Projects!$C$35,AW$3&lt;Projects!$C$35+Projects!$D$35),Projects!$B$35*(Assumptions!$B$10+Assumptions!$B$11+Assumptions!$B$12)/Projects!$D$35*0.95,0)-IF(AND(Projects!$G$35="Yes",AW$3=Projects!$C$35+Projects!$D$35-1),Projects!$B$35*(Assumptions!$B$10+Assumptions!$B$11+Assumptions!$B$12)*0.05,0)</f>
        <v>883761.75</v>
      </c>
      <c r="AX44" s="19" t="n">
        <f aca="false">IF(AND(Projects!$G$35="Yes",AX$3&gt;=Projects!$C$35,AX$3&lt;Projects!$C$35+Projects!$D$35),Projects!$B$35*INDEX(Curves!$B$4:$AR$4,1,AX$3-Projects!$C$35+1),0)-IF(AND(Projects!$G$35="Yes",AX$3&gt;=Projects!$C$35,AX$3&lt;Projects!$C$35+Projects!$D$35),Projects!$B$35*(Assumptions!$B$10+Assumptions!$B$11+Assumptions!$B$12)/Projects!$D$35*0.95,0)-IF(AND(Projects!$G$35="Yes",AX$3=Projects!$C$35+Projects!$D$35-1),Projects!$B$35*(Assumptions!$B$10+Assumptions!$B$11+Assumptions!$B$12)*0.05,0)</f>
        <v>946266.75</v>
      </c>
      <c r="AY44" s="19" t="n">
        <f aca="false">IF(AND(Projects!$G$35="Yes",AY$3&gt;=Projects!$C$35,AY$3&lt;Projects!$C$35+Projects!$D$35),Projects!$B$35*INDEX(Curves!$B$4:$AR$4,1,AY$3-Projects!$C$35+1),0)-IF(AND(Projects!$G$35="Yes",AY$3&gt;=Projects!$C$35,AY$3&lt;Projects!$C$35+Projects!$D$35),Projects!$B$35*(Assumptions!$B$10+Assumptions!$B$11+Assumptions!$B$12)/Projects!$D$35*0.95,0)-IF(AND(Projects!$G$35="Yes",AY$3=Projects!$C$35+Projects!$D$35-1),Projects!$B$35*(Assumptions!$B$10+Assumptions!$B$11+Assumptions!$B$12)*0.05,0)</f>
        <v>985686.75</v>
      </c>
      <c r="AZ44" s="19" t="n">
        <f aca="false">IF(AND(Projects!$G$35="Yes",AZ$3&gt;=Projects!$C$35,AZ$3&lt;Projects!$C$35+Projects!$D$35),Projects!$B$35*INDEX(Curves!$B$4:$AR$4,1,AZ$3-Projects!$C$35+1),0)-IF(AND(Projects!$G$35="Yes",AZ$3&gt;=Projects!$C$35,AZ$3&lt;Projects!$C$35+Projects!$D$35),Projects!$B$35*(Assumptions!$B$10+Assumptions!$B$11+Assumptions!$B$12)/Projects!$D$35*0.95,0)-IF(AND(Projects!$G$35="Yes",AZ$3=Projects!$C$35+Projects!$D$35-1),Projects!$B$35*(Assumptions!$B$10+Assumptions!$B$11+Assumptions!$B$12)*0.05,0)</f>
        <v>999156.75</v>
      </c>
      <c r="BA44" s="19" t="n">
        <f aca="false">IF(AND(Projects!$G$35="Yes",BA$3&gt;=Projects!$C$35,BA$3&lt;Projects!$C$35+Projects!$D$35),Projects!$B$35*INDEX(Curves!$B$4:$AR$4,1,BA$3-Projects!$C$35+1),0)-IF(AND(Projects!$G$35="Yes",BA$3&gt;=Projects!$C$35,BA$3&lt;Projects!$C$35+Projects!$D$35),Projects!$B$35*(Assumptions!$B$10+Assumptions!$B$11+Assumptions!$B$12)/Projects!$D$35*0.95,0)-IF(AND(Projects!$G$35="Yes",BA$3=Projects!$C$35+Projects!$D$35-1),Projects!$B$35*(Assumptions!$B$10+Assumptions!$B$11+Assumptions!$B$12)*0.05,0)</f>
        <v>985686.75</v>
      </c>
      <c r="BB44" s="19" t="n">
        <f aca="false">IF(AND(Projects!$G$35="Yes",BB$3&gt;=Projects!$C$35,BB$3&lt;Projects!$C$35+Projects!$D$35),Projects!$B$35*INDEX(Curves!$B$4:$AR$4,1,BB$3-Projects!$C$35+1),0)-IF(AND(Projects!$G$35="Yes",BB$3&gt;=Projects!$C$35,BB$3&lt;Projects!$C$35+Projects!$D$35),Projects!$B$35*(Assumptions!$B$10+Assumptions!$B$11+Assumptions!$B$12)/Projects!$D$35*0.95,0)-IF(AND(Projects!$G$35="Yes",BB$3=Projects!$C$35+Projects!$D$35-1),Projects!$B$35*(Assumptions!$B$10+Assumptions!$B$11+Assumptions!$B$12)*0.05,0)</f>
        <v>946266.75</v>
      </c>
      <c r="BC44" s="19" t="n">
        <f aca="false">IF(AND(Projects!$G$35="Yes",BC$3&gt;=Projects!$C$35,BC$3&lt;Projects!$C$35+Projects!$D$35),Projects!$B$35*INDEX(Curves!$B$4:$AR$4,1,BC$3-Projects!$C$35+1),0)-IF(AND(Projects!$G$35="Yes",BC$3&gt;=Projects!$C$35,BC$3&lt;Projects!$C$35+Projects!$D$35),Projects!$B$35*(Assumptions!$B$10+Assumptions!$B$11+Assumptions!$B$12)/Projects!$D$35*0.95,0)-IF(AND(Projects!$G$35="Yes",BC$3=Projects!$C$35+Projects!$D$35-1),Projects!$B$35*(Assumptions!$B$10+Assumptions!$B$11+Assumptions!$B$12)*0.05,0)</f>
        <v>883761.75</v>
      </c>
      <c r="BD44" s="19" t="n">
        <f aca="false">IF(AND(Projects!$G$35="Yes",BD$3&gt;=Projects!$C$35,BD$3&lt;Projects!$C$35+Projects!$D$35),Projects!$B$35*INDEX(Curves!$B$4:$AR$4,1,BD$3-Projects!$C$35+1),0)-IF(AND(Projects!$G$35="Yes",BD$3&gt;=Projects!$C$35,BD$3&lt;Projects!$C$35+Projects!$D$35),Projects!$B$35*(Assumptions!$B$10+Assumptions!$B$11+Assumptions!$B$12)/Projects!$D$35*0.95,0)-IF(AND(Projects!$G$35="Yes",BD$3=Projects!$C$35+Projects!$D$35-1),Projects!$B$35*(Assumptions!$B$10+Assumptions!$B$11+Assumptions!$B$12)*0.05,0)</f>
        <v>802536.75</v>
      </c>
      <c r="BE44" s="19" t="n">
        <f aca="false">IF(AND(Projects!$G$35="Yes",BE$3&gt;=Projects!$C$35,BE$3&lt;Projects!$C$35+Projects!$D$35),Projects!$B$35*INDEX(Curves!$B$4:$AR$4,1,BE$3-Projects!$C$35+1),0)-IF(AND(Projects!$G$35="Yes",BE$3&gt;=Projects!$C$35,BE$3&lt;Projects!$C$35+Projects!$D$35),Projects!$B$35*(Assumptions!$B$10+Assumptions!$B$11+Assumptions!$B$12)/Projects!$D$35*0.95,0)-IF(AND(Projects!$G$35="Yes",BE$3=Projects!$C$35+Projects!$D$35-1),Projects!$B$35*(Assumptions!$B$10+Assumptions!$B$11+Assumptions!$B$12)*0.05,0)</f>
        <v>707976.75</v>
      </c>
      <c r="BF44" s="19" t="n">
        <f aca="false">IF(AND(Projects!$G$35="Yes",BF$3&gt;=Projects!$C$35,BF$3&lt;Projects!$C$35+Projects!$D$35),Projects!$B$35*INDEX(Curves!$B$4:$AR$4,1,BF$3-Projects!$C$35+1),0)-IF(AND(Projects!$G$35="Yes",BF$3&gt;=Projects!$C$35,BF$3&lt;Projects!$C$35+Projects!$D$35),Projects!$B$35*(Assumptions!$B$10+Assumptions!$B$11+Assumptions!$B$12)/Projects!$D$35*0.95,0)-IF(AND(Projects!$G$35="Yes",BF$3=Projects!$C$35+Projects!$D$35-1),Projects!$B$35*(Assumptions!$B$10+Assumptions!$B$11+Assumptions!$B$12)*0.05,0)</f>
        <v>605886.75</v>
      </c>
      <c r="BG44" s="19" t="n">
        <f aca="false">IF(AND(Projects!$G$35="Yes",BG$3&gt;=Projects!$C$35,BG$3&lt;Projects!$C$35+Projects!$D$35),Projects!$B$35*INDEX(Curves!$B$4:$AR$4,1,BG$3-Projects!$C$35+1),0)-IF(AND(Projects!$G$35="Yes",BG$3&gt;=Projects!$C$35,BG$3&lt;Projects!$C$35+Projects!$D$35),Projects!$B$35*(Assumptions!$B$10+Assumptions!$B$11+Assumptions!$B$12)/Projects!$D$35*0.95,0)-IF(AND(Projects!$G$35="Yes",BG$3=Projects!$C$35+Projects!$D$35-1),Projects!$B$35*(Assumptions!$B$10+Assumptions!$B$11+Assumptions!$B$12)*0.05,0)</f>
        <v>501936.75</v>
      </c>
      <c r="BH44" s="19" t="n">
        <f aca="false">IF(AND(Projects!$G$35="Yes",BH$3&gt;=Projects!$C$35,BH$3&lt;Projects!$C$35+Projects!$D$35),Projects!$B$35*INDEX(Curves!$B$4:$AR$4,1,BH$3-Projects!$C$35+1),0)-IF(AND(Projects!$G$35="Yes",BH$3&gt;=Projects!$C$35,BH$3&lt;Projects!$C$35+Projects!$D$35),Projects!$B$35*(Assumptions!$B$10+Assumptions!$B$11+Assumptions!$B$12)/Projects!$D$35*0.95,0)-IF(AND(Projects!$G$35="Yes",BH$3=Projects!$C$35+Projects!$D$35-1),Projects!$B$35*(Assumptions!$B$10+Assumptions!$B$11+Assumptions!$B$12)*0.05,0)</f>
        <v>401121.75</v>
      </c>
      <c r="BI44" s="19" t="n">
        <f aca="false">IF(AND(Projects!$G$35="Yes",BI$3&gt;=Projects!$C$35,BI$3&lt;Projects!$C$35+Projects!$D$35),Projects!$B$35*INDEX(Curves!$B$4:$AR$4,1,BI$3-Projects!$C$35+1),0)-IF(AND(Projects!$G$35="Yes",BI$3&gt;=Projects!$C$35,BI$3&lt;Projects!$C$35+Projects!$D$35),Projects!$B$35*(Assumptions!$B$10+Assumptions!$B$11+Assumptions!$B$12)/Projects!$D$35*0.95,0)-IF(AND(Projects!$G$35="Yes",BI$3=Projects!$C$35+Projects!$D$35-1),Projects!$B$35*(Assumptions!$B$10+Assumptions!$B$11+Assumptions!$B$12)*0.05,0)</f>
        <v>217168.5</v>
      </c>
      <c r="BJ44" s="19" t="n">
        <f aca="false">IF(AND(Projects!$G$35="Yes",BJ$3&gt;=Projects!$C$35,BJ$3&lt;Projects!$C$35+Projects!$D$35),Projects!$B$35*INDEX(Curves!$B$4:$AR$4,1,BJ$3-Projects!$C$35+1),0)-IF(AND(Projects!$G$35="Yes",BJ$3&gt;=Projects!$C$35,BJ$3&lt;Projects!$C$35+Projects!$D$35),Projects!$B$35*(Assumptions!$B$10+Assumptions!$B$11+Assumptions!$B$12)/Projects!$D$35*0.95,0)-IF(AND(Projects!$G$35="Yes",BJ$3=Projects!$C$35+Projects!$D$35-1),Projects!$B$35*(Assumptions!$B$10+Assumptions!$B$11+Assumptions!$B$12)*0.05,0)</f>
        <v>0</v>
      </c>
      <c r="BK44" s="19" t="n">
        <f aca="false">IF(AND(Projects!$G$35="Yes",BK$3&gt;=Projects!$C$35,BK$3&lt;Projects!$C$35+Projects!$D$35),Projects!$B$35*INDEX(Curves!$B$4:$AR$4,1,BK$3-Projects!$C$35+1),0)-IF(AND(Projects!$G$35="Yes",BK$3&gt;=Projects!$C$35,BK$3&lt;Projects!$C$35+Projects!$D$35),Projects!$B$35*(Assumptions!$B$10+Assumptions!$B$11+Assumptions!$B$12)/Projects!$D$35*0.95,0)-IF(AND(Projects!$G$35="Yes",BK$3=Projects!$C$35+Projects!$D$35-1),Projects!$B$35*(Assumptions!$B$10+Assumptions!$B$11+Assumptions!$B$12)*0.05,0)</f>
        <v>0</v>
      </c>
      <c r="BL44" s="19" t="n">
        <f aca="false">IF(AND(Projects!$G$35="Yes",BL$3&gt;=Projects!$C$35,BL$3&lt;Projects!$C$35+Projects!$D$35),Projects!$B$35*INDEX(Curves!$B$4:$AR$4,1,BL$3-Projects!$C$35+1),0)-IF(AND(Projects!$G$35="Yes",BL$3&gt;=Projects!$C$35,BL$3&lt;Projects!$C$35+Projects!$D$35),Projects!$B$35*(Assumptions!$B$10+Assumptions!$B$11+Assumptions!$B$12)/Projects!$D$35*0.95,0)-IF(AND(Projects!$G$35="Yes",BL$3=Projects!$C$35+Projects!$D$35-1),Projects!$B$35*(Assumptions!$B$10+Assumptions!$B$11+Assumptions!$B$12)*0.05,0)</f>
        <v>0</v>
      </c>
      <c r="BM44" s="19" t="n">
        <f aca="false">IF(AND(Projects!$G$35="Yes",BM$3&gt;=Projects!$C$35,BM$3&lt;Projects!$C$35+Projects!$D$35),Projects!$B$35*INDEX(Curves!$B$4:$AR$4,1,BM$3-Projects!$C$35+1),0)-IF(AND(Projects!$G$35="Yes",BM$3&gt;=Projects!$C$35,BM$3&lt;Projects!$C$35+Projects!$D$35),Projects!$B$35*(Assumptions!$B$10+Assumptions!$B$11+Assumptions!$B$12)/Projects!$D$35*0.95,0)-IF(AND(Projects!$G$35="Yes",BM$3=Projects!$C$35+Projects!$D$35-1),Projects!$B$35*(Assumptions!$B$10+Assumptions!$B$11+Assumptions!$B$12)*0.05,0)</f>
        <v>0</v>
      </c>
      <c r="BN44" s="19" t="n">
        <f aca="false">IF(AND(Projects!$G$35="Yes",BN$3&gt;=Projects!$C$35,BN$3&lt;Projects!$C$35+Projects!$D$35),Projects!$B$35*INDEX(Curves!$B$4:$AR$4,1,BN$3-Projects!$C$35+1),0)-IF(AND(Projects!$G$35="Yes",BN$3&gt;=Projects!$C$35,BN$3&lt;Projects!$C$35+Projects!$D$35),Projects!$B$35*(Assumptions!$B$10+Assumptions!$B$11+Assumptions!$B$12)/Projects!$D$35*0.95,0)-IF(AND(Projects!$G$35="Yes",BN$3=Projects!$C$35+Projects!$D$35-1),Projects!$B$35*(Assumptions!$B$10+Assumptions!$B$11+Assumptions!$B$12)*0.05,0)</f>
        <v>0</v>
      </c>
      <c r="BO44" s="19" t="n">
        <f aca="false">IF(AND(Projects!$G$35="Yes",BO$3&gt;=Projects!$C$35,BO$3&lt;Projects!$C$35+Projects!$D$35),Projects!$B$35*INDEX(Curves!$B$4:$AR$4,1,BO$3-Projects!$C$35+1),0)-IF(AND(Projects!$G$35="Yes",BO$3&gt;=Projects!$C$35,BO$3&lt;Projects!$C$35+Projects!$D$35),Projects!$B$35*(Assumptions!$B$10+Assumptions!$B$11+Assumptions!$B$12)/Projects!$D$35*0.95,0)-IF(AND(Projects!$G$35="Yes",BO$3=Projects!$C$35+Projects!$D$35-1),Projects!$B$35*(Assumptions!$B$10+Assumptions!$B$11+Assumptions!$B$12)*0.05,0)</f>
        <v>0</v>
      </c>
      <c r="BP44" s="19" t="n">
        <f aca="false">IF(AND(Projects!$G$35="Yes",BP$3&gt;=Projects!$C$35,BP$3&lt;Projects!$C$35+Projects!$D$35),Projects!$B$35*INDEX(Curves!$B$4:$AR$4,1,BP$3-Projects!$C$35+1),0)-IF(AND(Projects!$G$35="Yes",BP$3&gt;=Projects!$C$35,BP$3&lt;Projects!$C$35+Projects!$D$35),Projects!$B$35*(Assumptions!$B$10+Assumptions!$B$11+Assumptions!$B$12)/Projects!$D$35*0.95,0)-IF(AND(Projects!$G$35="Yes",BP$3=Projects!$C$35+Projects!$D$35-1),Projects!$B$35*(Assumptions!$B$10+Assumptions!$B$11+Assumptions!$B$12)*0.05,0)</f>
        <v>0</v>
      </c>
      <c r="BQ44" s="19" t="n">
        <f aca="false">IF(AND(Projects!$G$35="Yes",BQ$3&gt;=Projects!$C$35,BQ$3&lt;Projects!$C$35+Projects!$D$35),Projects!$B$35*INDEX(Curves!$B$4:$AR$4,1,BQ$3-Projects!$C$35+1),0)-IF(AND(Projects!$G$35="Yes",BQ$3&gt;=Projects!$C$35,BQ$3&lt;Projects!$C$35+Projects!$D$35),Projects!$B$35*(Assumptions!$B$10+Assumptions!$B$11+Assumptions!$B$12)/Projects!$D$35*0.95,0)-IF(AND(Projects!$G$35="Yes",BQ$3=Projects!$C$35+Projects!$D$35-1),Projects!$B$35*(Assumptions!$B$10+Assumptions!$B$11+Assumptions!$B$12)*0.05,0)</f>
        <v>0</v>
      </c>
      <c r="BR44" s="19" t="n">
        <f aca="false">IF(AND(Projects!$G$35="Yes",BR$3&gt;=Projects!$C$35,BR$3&lt;Projects!$C$35+Projects!$D$35),Projects!$B$35*INDEX(Curves!$B$4:$AR$4,1,BR$3-Projects!$C$35+1),0)-IF(AND(Projects!$G$35="Yes",BR$3&gt;=Projects!$C$35,BR$3&lt;Projects!$C$35+Projects!$D$35),Projects!$B$35*(Assumptions!$B$10+Assumptions!$B$11+Assumptions!$B$12)/Projects!$D$35*0.95,0)-IF(AND(Projects!$G$35="Yes",BR$3=Projects!$C$35+Projects!$D$35-1),Projects!$B$35*(Assumptions!$B$10+Assumptions!$B$11+Assumptions!$B$12)*0.05,0)</f>
        <v>0</v>
      </c>
      <c r="BS44" s="19" t="n">
        <f aca="false">IF(AND(Projects!$G$35="Yes",BS$3&gt;=Projects!$C$35,BS$3&lt;Projects!$C$35+Projects!$D$35),Projects!$B$35*INDEX(Curves!$B$4:$AR$4,1,BS$3-Projects!$C$35+1),0)-IF(AND(Projects!$G$35="Yes",BS$3&gt;=Projects!$C$35,BS$3&lt;Projects!$C$35+Projects!$D$35),Projects!$B$35*(Assumptions!$B$10+Assumptions!$B$11+Assumptions!$B$12)/Projects!$D$35*0.95,0)-IF(AND(Projects!$G$35="Yes",BS$3=Projects!$C$35+Projects!$D$35-1),Projects!$B$35*(Assumptions!$B$10+Assumptions!$B$11+Assumptions!$B$12)*0.05,0)</f>
        <v>0</v>
      </c>
      <c r="BT44" s="19" t="n">
        <f aca="false">IF(AND(Projects!$G$35="Yes",BT$3&gt;=Projects!$C$35,BT$3&lt;Projects!$C$35+Projects!$D$35),Projects!$B$35*INDEX(Curves!$B$4:$AR$4,1,BT$3-Projects!$C$35+1),0)-IF(AND(Projects!$G$35="Yes",BT$3&gt;=Projects!$C$35,BT$3&lt;Projects!$C$35+Projects!$D$35),Projects!$B$35*(Assumptions!$B$10+Assumptions!$B$11+Assumptions!$B$12)/Projects!$D$35*0.95,0)-IF(AND(Projects!$G$35="Yes",BT$3=Projects!$C$35+Projects!$D$35-1),Projects!$B$35*(Assumptions!$B$10+Assumptions!$B$11+Assumptions!$B$12)*0.05,0)</f>
        <v>0</v>
      </c>
      <c r="BU44" s="19" t="n">
        <f aca="false">IF(AND(Projects!$G$35="Yes",BU$3&gt;=Projects!$C$35,BU$3&lt;Projects!$C$35+Projects!$D$35),Projects!$B$35*INDEX(Curves!$B$4:$AR$4,1,BU$3-Projects!$C$35+1),0)-IF(AND(Projects!$G$35="Yes",BU$3&gt;=Projects!$C$35,BU$3&lt;Projects!$C$35+Projects!$D$35),Projects!$B$35*(Assumptions!$B$10+Assumptions!$B$11+Assumptions!$B$12)/Projects!$D$35*0.95,0)-IF(AND(Projects!$G$35="Yes",BU$3=Projects!$C$35+Projects!$D$35-1),Projects!$B$35*(Assumptions!$B$10+Assumptions!$B$11+Assumptions!$B$12)*0.05,0)</f>
        <v>0</v>
      </c>
      <c r="BV44" s="19" t="n">
        <f aca="false">IF(AND(Projects!$G$35="Yes",BV$3&gt;=Projects!$C$35,BV$3&lt;Projects!$C$35+Projects!$D$35),Projects!$B$35*INDEX(Curves!$B$4:$AR$4,1,BV$3-Projects!$C$35+1),0)-IF(AND(Projects!$G$35="Yes",BV$3&gt;=Projects!$C$35,BV$3&lt;Projects!$C$35+Projects!$D$35),Projects!$B$35*(Assumptions!$B$10+Assumptions!$B$11+Assumptions!$B$12)/Projects!$D$35*0.95,0)-IF(AND(Projects!$G$35="Yes",BV$3=Projects!$C$35+Projects!$D$35-1),Projects!$B$35*(Assumptions!$B$10+Assumptions!$B$11+Assumptions!$B$12)*0.05,0)</f>
        <v>0</v>
      </c>
      <c r="BW44" s="19" t="n">
        <f aca="false">IF(AND(Projects!$G$35="Yes",BW$3&gt;=Projects!$C$35,BW$3&lt;Projects!$C$35+Projects!$D$35),Projects!$B$35*INDEX(Curves!$B$4:$AR$4,1,BW$3-Projects!$C$35+1),0)-IF(AND(Projects!$G$35="Yes",BW$3&gt;=Projects!$C$35,BW$3&lt;Projects!$C$35+Projects!$D$35),Projects!$B$35*(Assumptions!$B$10+Assumptions!$B$11+Assumptions!$B$12)/Projects!$D$35*0.95,0)-IF(AND(Projects!$G$35="Yes",BW$3=Projects!$C$35+Projects!$D$35-1),Projects!$B$35*(Assumptions!$B$10+Assumptions!$B$11+Assumptions!$B$12)*0.05,0)</f>
        <v>0</v>
      </c>
      <c r="BX44" s="19" t="n">
        <f aca="false">IF(AND(Projects!$G$35="Yes",BX$3&gt;=Projects!$C$35,BX$3&lt;Projects!$C$35+Projects!$D$35),Projects!$B$35*INDEX(Curves!$B$4:$AR$4,1,BX$3-Projects!$C$35+1),0)-IF(AND(Projects!$G$35="Yes",BX$3&gt;=Projects!$C$35,BX$3&lt;Projects!$C$35+Projects!$D$35),Projects!$B$35*(Assumptions!$B$10+Assumptions!$B$11+Assumptions!$B$12)/Projects!$D$35*0.95,0)-IF(AND(Projects!$G$35="Yes",BX$3=Projects!$C$35+Projects!$D$35-1),Projects!$B$35*(Assumptions!$B$10+Assumptions!$B$11+Assumptions!$B$12)*0.05,0)</f>
        <v>0</v>
      </c>
      <c r="BY44" s="19" t="n">
        <f aca="false">IF(AND(Projects!$G$35="Yes",BY$3&gt;=Projects!$C$35,BY$3&lt;Projects!$C$35+Projects!$D$35),Projects!$B$35*INDEX(Curves!$B$4:$AR$4,1,BY$3-Projects!$C$35+1),0)-IF(AND(Projects!$G$35="Yes",BY$3&gt;=Projects!$C$35,BY$3&lt;Projects!$C$35+Projects!$D$35),Projects!$B$35*(Assumptions!$B$10+Assumptions!$B$11+Assumptions!$B$12)/Projects!$D$35*0.95,0)-IF(AND(Projects!$G$35="Yes",BY$3=Projects!$C$35+Projects!$D$35-1),Projects!$B$35*(Assumptions!$B$10+Assumptions!$B$11+Assumptions!$B$12)*0.05,0)</f>
        <v>0</v>
      </c>
      <c r="BZ44" s="19" t="n">
        <f aca="false">IF(AND(Projects!$G$35="Yes",BZ$3&gt;=Projects!$C$35,BZ$3&lt;Projects!$C$35+Projects!$D$35),Projects!$B$35*INDEX(Curves!$B$4:$AR$4,1,BZ$3-Projects!$C$35+1),0)-IF(AND(Projects!$G$35="Yes",BZ$3&gt;=Projects!$C$35,BZ$3&lt;Projects!$C$35+Projects!$D$35),Projects!$B$35*(Assumptions!$B$10+Assumptions!$B$11+Assumptions!$B$12)/Projects!$D$35*0.95,0)-IF(AND(Projects!$G$35="Yes",BZ$3=Projects!$C$35+Projects!$D$35-1),Projects!$B$35*(Assumptions!$B$10+Assumptions!$B$11+Assumptions!$B$12)*0.05,0)</f>
        <v>0</v>
      </c>
      <c r="CA44" s="19" t="n">
        <f aca="false">IF(AND(Projects!$G$35="Yes",CA$3&gt;=Projects!$C$35,CA$3&lt;Projects!$C$35+Projects!$D$35),Projects!$B$35*INDEX(Curves!$B$4:$AR$4,1,CA$3-Projects!$C$35+1),0)-IF(AND(Projects!$G$35="Yes",CA$3&gt;=Projects!$C$35,CA$3&lt;Projects!$C$35+Projects!$D$35),Projects!$B$35*(Assumptions!$B$10+Assumptions!$B$11+Assumptions!$B$12)/Projects!$D$35*0.95,0)-IF(AND(Projects!$G$35="Yes",CA$3=Projects!$C$35+Projects!$D$35-1),Projects!$B$35*(Assumptions!$B$10+Assumptions!$B$11+Assumptions!$B$12)*0.05,0)</f>
        <v>0</v>
      </c>
      <c r="CB44" s="19" t="n">
        <f aca="false">IF(AND(Projects!$G$35="Yes",CB$3&gt;=Projects!$C$35,CB$3&lt;Projects!$C$35+Projects!$D$35),Projects!$B$35*INDEX(Curves!$B$4:$AR$4,1,CB$3-Projects!$C$35+1),0)-IF(AND(Projects!$G$35="Yes",CB$3&gt;=Projects!$C$35,CB$3&lt;Projects!$C$35+Projects!$D$35),Projects!$B$35*(Assumptions!$B$10+Assumptions!$B$11+Assumptions!$B$12)/Projects!$D$35*0.95,0)-IF(AND(Projects!$G$35="Yes",CB$3=Projects!$C$35+Projects!$D$35-1),Projects!$B$35*(Assumptions!$B$10+Assumptions!$B$11+Assumptions!$B$12)*0.05,0)</f>
        <v>0</v>
      </c>
      <c r="CC44" s="19" t="n">
        <f aca="false">IF(AND(Projects!$G$35="Yes",CC$3&gt;=Projects!$C$35,CC$3&lt;Projects!$C$35+Projects!$D$35),Projects!$B$35*INDEX(Curves!$B$4:$AR$4,1,CC$3-Projects!$C$35+1),0)-IF(AND(Projects!$G$35="Yes",CC$3&gt;=Projects!$C$35,CC$3&lt;Projects!$C$35+Projects!$D$35),Projects!$B$35*(Assumptions!$B$10+Assumptions!$B$11+Assumptions!$B$12)/Projects!$D$35*0.95,0)-IF(AND(Projects!$G$35="Yes",CC$3=Projects!$C$35+Projects!$D$35-1),Projects!$B$35*(Assumptions!$B$10+Assumptions!$B$11+Assumptions!$B$12)*0.05,0)</f>
        <v>0</v>
      </c>
      <c r="CD44" s="19" t="n">
        <f aca="false">IF(AND(Projects!$G$35="Yes",CD$3&gt;=Projects!$C$35,CD$3&lt;Projects!$C$35+Projects!$D$35),Projects!$B$35*INDEX(Curves!$B$4:$AR$4,1,CD$3-Projects!$C$35+1),0)-IF(AND(Projects!$G$35="Yes",CD$3&gt;=Projects!$C$35,CD$3&lt;Projects!$C$35+Projects!$D$35),Projects!$B$35*(Assumptions!$B$10+Assumptions!$B$11+Assumptions!$B$12)/Projects!$D$35*0.95,0)-IF(AND(Projects!$G$35="Yes",CD$3=Projects!$C$35+Projects!$D$35-1),Projects!$B$35*(Assumptions!$B$10+Assumptions!$B$11+Assumptions!$B$12)*0.05,0)</f>
        <v>0</v>
      </c>
      <c r="CE44" s="19" t="n">
        <f aca="false">IF(AND(Projects!$G$35="Yes",CE$3&gt;=Projects!$C$35,CE$3&lt;Projects!$C$35+Projects!$D$35),Projects!$B$35*INDEX(Curves!$B$4:$AR$4,1,CE$3-Projects!$C$35+1),0)-IF(AND(Projects!$G$35="Yes",CE$3&gt;=Projects!$C$35,CE$3&lt;Projects!$C$35+Projects!$D$35),Projects!$B$35*(Assumptions!$B$10+Assumptions!$B$11+Assumptions!$B$12)/Projects!$D$35*0.95,0)-IF(AND(Projects!$G$35="Yes",CE$3=Projects!$C$35+Projects!$D$35-1),Projects!$B$35*(Assumptions!$B$10+Assumptions!$B$11+Assumptions!$B$12)*0.05,0)</f>
        <v>0</v>
      </c>
      <c r="CF44" s="19" t="n">
        <f aca="false">IF(AND(Projects!$G$35="Yes",CF$3&gt;=Projects!$C$35,CF$3&lt;Projects!$C$35+Projects!$D$35),Projects!$B$35*INDEX(Curves!$B$4:$AR$4,1,CF$3-Projects!$C$35+1),0)-IF(AND(Projects!$G$35="Yes",CF$3&gt;=Projects!$C$35,CF$3&lt;Projects!$C$35+Projects!$D$35),Projects!$B$35*(Assumptions!$B$10+Assumptions!$B$11+Assumptions!$B$12)/Projects!$D$35*0.95,0)-IF(AND(Projects!$G$35="Yes",CF$3=Projects!$C$35+Projects!$D$35-1),Projects!$B$35*(Assumptions!$B$10+Assumptions!$B$11+Assumptions!$B$12)*0.05,0)</f>
        <v>0</v>
      </c>
      <c r="CG44" s="19" t="n">
        <f aca="false">IF(AND(Projects!$G$35="Yes",CG$3&gt;=Projects!$C$35,CG$3&lt;Projects!$C$35+Projects!$D$35),Projects!$B$35*INDEX(Curves!$B$4:$AR$4,1,CG$3-Projects!$C$35+1),0)-IF(AND(Projects!$G$35="Yes",CG$3&gt;=Projects!$C$35,CG$3&lt;Projects!$C$35+Projects!$D$35),Projects!$B$35*(Assumptions!$B$10+Assumptions!$B$11+Assumptions!$B$12)/Projects!$D$35*0.95,0)-IF(AND(Projects!$G$35="Yes",CG$3=Projects!$C$35+Projects!$D$35-1),Projects!$B$35*(Assumptions!$B$10+Assumptions!$B$11+Assumptions!$B$12)*0.05,0)</f>
        <v>0</v>
      </c>
      <c r="CH44" s="19" t="n">
        <f aca="false">IF(AND(Projects!$G$35="Yes",CH$3&gt;=Projects!$C$35,CH$3&lt;Projects!$C$35+Projects!$D$35),Projects!$B$35*INDEX(Curves!$B$4:$AR$4,1,CH$3-Projects!$C$35+1),0)-IF(AND(Projects!$G$35="Yes",CH$3&gt;=Projects!$C$35,CH$3&lt;Projects!$C$35+Projects!$D$35),Projects!$B$35*(Assumptions!$B$10+Assumptions!$B$11+Assumptions!$B$12)/Projects!$D$35*0.95,0)-IF(AND(Projects!$G$35="Yes",CH$3=Projects!$C$35+Projects!$D$35-1),Projects!$B$35*(Assumptions!$B$10+Assumptions!$B$11+Assumptions!$B$12)*0.05,0)</f>
        <v>0</v>
      </c>
      <c r="CI44" s="19" t="n">
        <f aca="false">IF(AND(Projects!$G$35="Yes",CI$3&gt;=Projects!$C$35,CI$3&lt;Projects!$C$35+Projects!$D$35),Projects!$B$35*INDEX(Curves!$B$4:$AR$4,1,CI$3-Projects!$C$35+1),0)-IF(AND(Projects!$G$35="Yes",CI$3&gt;=Projects!$C$35,CI$3&lt;Projects!$C$35+Projects!$D$35),Projects!$B$35*(Assumptions!$B$10+Assumptions!$B$11+Assumptions!$B$12)/Projects!$D$35*0.95,0)-IF(AND(Projects!$G$35="Yes",CI$3=Projects!$C$35+Projects!$D$35-1),Projects!$B$35*(Assumptions!$B$10+Assumptions!$B$11+Assumptions!$B$12)*0.05,0)</f>
        <v>0</v>
      </c>
      <c r="CJ44" s="19" t="n">
        <f aca="false">IF(AND(Projects!$G$35="Yes",CJ$3&gt;=Projects!$C$35,CJ$3&lt;Projects!$C$35+Projects!$D$35),Projects!$B$35*INDEX(Curves!$B$4:$AR$4,1,CJ$3-Projects!$C$35+1),0)-IF(AND(Projects!$G$35="Yes",CJ$3&gt;=Projects!$C$35,CJ$3&lt;Projects!$C$35+Projects!$D$35),Projects!$B$35*(Assumptions!$B$10+Assumptions!$B$11+Assumptions!$B$12)/Projects!$D$35*0.95,0)-IF(AND(Projects!$G$35="Yes",CJ$3=Projects!$C$35+Projects!$D$35-1),Projects!$B$35*(Assumptions!$B$10+Assumptions!$B$11+Assumptions!$B$12)*0.05,0)</f>
        <v>0</v>
      </c>
      <c r="CK44" s="19" t="n">
        <f aca="false">IF(AND(Projects!$G$35="Yes",CK$3&gt;=Projects!$C$35,CK$3&lt;Projects!$C$35+Projects!$D$35),Projects!$B$35*INDEX(Curves!$B$4:$AR$4,1,CK$3-Projects!$C$35+1),0)-IF(AND(Projects!$G$35="Yes",CK$3&gt;=Projects!$C$35,CK$3&lt;Projects!$C$35+Projects!$D$35),Projects!$B$35*(Assumptions!$B$10+Assumptions!$B$11+Assumptions!$B$12)/Projects!$D$35*0.95,0)-IF(AND(Projects!$G$35="Yes",CK$3=Projects!$C$35+Projects!$D$35-1),Projects!$B$35*(Assumptions!$B$10+Assumptions!$B$11+Assumptions!$B$12)*0.05,0)</f>
        <v>0</v>
      </c>
      <c r="CL44" s="19" t="n">
        <f aca="false">IF(AND(Projects!$G$35="Yes",CL$3&gt;=Projects!$C$35,CL$3&lt;Projects!$C$35+Projects!$D$35),Projects!$B$35*INDEX(Curves!$B$4:$AR$4,1,CL$3-Projects!$C$35+1),0)-IF(AND(Projects!$G$35="Yes",CL$3&gt;=Projects!$C$35,CL$3&lt;Projects!$C$35+Projects!$D$35),Projects!$B$35*(Assumptions!$B$10+Assumptions!$B$11+Assumptions!$B$12)/Projects!$D$35*0.95,0)-IF(AND(Projects!$G$35="Yes",CL$3=Projects!$C$35+Projects!$D$35-1),Projects!$B$35*(Assumptions!$B$10+Assumptions!$B$11+Assumptions!$B$12)*0.05,0)</f>
        <v>0</v>
      </c>
      <c r="CM44" s="19" t="n">
        <f aca="false">IF(AND(Projects!$G$35="Yes",CM$3&gt;=Projects!$C$35,CM$3&lt;Projects!$C$35+Projects!$D$35),Projects!$B$35*INDEX(Curves!$B$4:$AR$4,1,CM$3-Projects!$C$35+1),0)-IF(AND(Projects!$G$35="Yes",CM$3&gt;=Projects!$C$35,CM$3&lt;Projects!$C$35+Projects!$D$35),Projects!$B$35*(Assumptions!$B$10+Assumptions!$B$11+Assumptions!$B$12)/Projects!$D$35*0.95,0)-IF(AND(Projects!$G$35="Yes",CM$3=Projects!$C$35+Projects!$D$35-1),Projects!$B$35*(Assumptions!$B$10+Assumptions!$B$11+Assumptions!$B$12)*0.05,0)</f>
        <v>0</v>
      </c>
      <c r="CN44" s="19" t="n">
        <f aca="false">IF(AND(Projects!$G$35="Yes",CN$3&gt;=Projects!$C$35,CN$3&lt;Projects!$C$35+Projects!$D$35),Projects!$B$35*INDEX(Curves!$B$4:$AR$4,1,CN$3-Projects!$C$35+1),0)-IF(AND(Projects!$G$35="Yes",CN$3&gt;=Projects!$C$35,CN$3&lt;Projects!$C$35+Projects!$D$35),Projects!$B$35*(Assumptions!$B$10+Assumptions!$B$11+Assumptions!$B$12)/Projects!$D$35*0.95,0)-IF(AND(Projects!$G$35="Yes",CN$3=Projects!$C$35+Projects!$D$35-1),Projects!$B$35*(Assumptions!$B$10+Assumptions!$B$11+Assumptions!$B$12)*0.05,0)</f>
        <v>0</v>
      </c>
      <c r="CO44" s="19" t="n">
        <f aca="false">IF(AND(Projects!$G$35="Yes",CO$3&gt;=Projects!$C$35,CO$3&lt;Projects!$C$35+Projects!$D$35),Projects!$B$35*INDEX(Curves!$B$4:$AR$4,1,CO$3-Projects!$C$35+1),0)-IF(AND(Projects!$G$35="Yes",CO$3&gt;=Projects!$C$35,CO$3&lt;Projects!$C$35+Projects!$D$35),Projects!$B$35*(Assumptions!$B$10+Assumptions!$B$11+Assumptions!$B$12)/Projects!$D$35*0.95,0)-IF(AND(Projects!$G$35="Yes",CO$3=Projects!$C$35+Projects!$D$35-1),Projects!$B$35*(Assumptions!$B$10+Assumptions!$B$11+Assumptions!$B$12)*0.05,0)</f>
        <v>0</v>
      </c>
      <c r="CP44" s="19" t="n">
        <f aca="false">IF(AND(Projects!$G$35="Yes",CP$3&gt;=Projects!$C$35,CP$3&lt;Projects!$C$35+Projects!$D$35),Projects!$B$35*INDEX(Curves!$B$4:$AR$4,1,CP$3-Projects!$C$35+1),0)-IF(AND(Projects!$G$35="Yes",CP$3&gt;=Projects!$C$35,CP$3&lt;Projects!$C$35+Projects!$D$35),Projects!$B$35*(Assumptions!$B$10+Assumptions!$B$11+Assumptions!$B$12)/Projects!$D$35*0.95,0)-IF(AND(Projects!$G$35="Yes",CP$3=Projects!$C$35+Projects!$D$35-1),Projects!$B$35*(Assumptions!$B$10+Assumptions!$B$11+Assumptions!$B$12)*0.05,0)</f>
        <v>0</v>
      </c>
      <c r="CQ44" s="19" t="n">
        <f aca="false">IF(AND(Projects!$G$35="Yes",CQ$3&gt;=Projects!$C$35,CQ$3&lt;Projects!$C$35+Projects!$D$35),Projects!$B$35*INDEX(Curves!$B$4:$AR$4,1,CQ$3-Projects!$C$35+1),0)-IF(AND(Projects!$G$35="Yes",CQ$3&gt;=Projects!$C$35,CQ$3&lt;Projects!$C$35+Projects!$D$35),Projects!$B$35*(Assumptions!$B$10+Assumptions!$B$11+Assumptions!$B$12)/Projects!$D$35*0.95,0)-IF(AND(Projects!$G$35="Yes",CQ$3=Projects!$C$35+Projects!$D$35-1),Projects!$B$35*(Assumptions!$B$10+Assumptions!$B$11+Assumptions!$B$12)*0.05,0)</f>
        <v>0</v>
      </c>
      <c r="CR44" s="19" t="n">
        <f aca="false">IF(AND(Projects!$G$35="Yes",CR$3&gt;=Projects!$C$35,CR$3&lt;Projects!$C$35+Projects!$D$35),Projects!$B$35*INDEX(Curves!$B$4:$AR$4,1,CR$3-Projects!$C$35+1),0)-IF(AND(Projects!$G$35="Yes",CR$3&gt;=Projects!$C$35,CR$3&lt;Projects!$C$35+Projects!$D$35),Projects!$B$35*(Assumptions!$B$10+Assumptions!$B$11+Assumptions!$B$12)/Projects!$D$35*0.95,0)-IF(AND(Projects!$G$35="Yes",CR$3=Projects!$C$35+Projects!$D$35-1),Projects!$B$35*(Assumptions!$B$10+Assumptions!$B$11+Assumptions!$B$12)*0.05,0)</f>
        <v>0</v>
      </c>
      <c r="CS44" s="19" t="n">
        <f aca="false">IF(AND(Projects!$G$35="Yes",CS$3&gt;=Projects!$C$35,CS$3&lt;Projects!$C$35+Projects!$D$35),Projects!$B$35*INDEX(Curves!$B$4:$AR$4,1,CS$3-Projects!$C$35+1),0)-IF(AND(Projects!$G$35="Yes",CS$3&gt;=Projects!$C$35,CS$3&lt;Projects!$C$35+Projects!$D$35),Projects!$B$35*(Assumptions!$B$10+Assumptions!$B$11+Assumptions!$B$12)/Projects!$D$35*0.95,0)-IF(AND(Projects!$G$35="Yes",CS$3=Projects!$C$35+Projects!$D$35-1),Projects!$B$35*(Assumptions!$B$10+Assumptions!$B$11+Assumptions!$B$12)*0.05,0)</f>
        <v>0</v>
      </c>
      <c r="CT44" s="19" t="n">
        <f aca="false">IF(AND(Projects!$G$35="Yes",CT$3&gt;=Projects!$C$35,CT$3&lt;Projects!$C$35+Projects!$D$35),Projects!$B$35*INDEX(Curves!$B$4:$AR$4,1,CT$3-Projects!$C$35+1),0)-IF(AND(Projects!$G$35="Yes",CT$3&gt;=Projects!$C$35,CT$3&lt;Projects!$C$35+Projects!$D$35),Projects!$B$35*(Assumptions!$B$10+Assumptions!$B$11+Assumptions!$B$12)/Projects!$D$35*0.95,0)-IF(AND(Projects!$G$35="Yes",CT$3=Projects!$C$35+Projects!$D$35-1),Projects!$B$35*(Assumptions!$B$10+Assumptions!$B$11+Assumptions!$B$12)*0.05,0)</f>
        <v>0</v>
      </c>
      <c r="CU44" s="19" t="n">
        <f aca="false">IF(AND(Projects!$G$35="Yes",CU$3&gt;=Projects!$C$35,CU$3&lt;Projects!$C$35+Projects!$D$35),Projects!$B$35*INDEX(Curves!$B$4:$AR$4,1,CU$3-Projects!$C$35+1),0)-IF(AND(Projects!$G$35="Yes",CU$3&gt;=Projects!$C$35,CU$3&lt;Projects!$C$35+Projects!$D$35),Projects!$B$35*(Assumptions!$B$10+Assumptions!$B$11+Assumptions!$B$12)/Projects!$D$35*0.95,0)-IF(AND(Projects!$G$35="Yes",CU$3=Projects!$C$35+Projects!$D$35-1),Projects!$B$35*(Assumptions!$B$10+Assumptions!$B$11+Assumptions!$B$12)*0.05,0)</f>
        <v>0</v>
      </c>
      <c r="CV44" s="19" t="n">
        <f aca="false">IF(AND(Projects!$G$35="Yes",CV$3&gt;=Projects!$C$35,CV$3&lt;Projects!$C$35+Projects!$D$35),Projects!$B$35*INDEX(Curves!$B$4:$AR$4,1,CV$3-Projects!$C$35+1),0)-IF(AND(Projects!$G$35="Yes",CV$3&gt;=Projects!$C$35,CV$3&lt;Projects!$C$35+Projects!$D$35),Projects!$B$35*(Assumptions!$B$10+Assumptions!$B$11+Assumptions!$B$12)/Projects!$D$35*0.95,0)-IF(AND(Projects!$G$35="Yes",CV$3=Projects!$C$35+Projects!$D$35-1),Projects!$B$35*(Assumptions!$B$10+Assumptions!$B$11+Assumptions!$B$12)*0.05,0)</f>
        <v>0</v>
      </c>
      <c r="CW44" s="19" t="n">
        <f aca="false">IF(AND(Projects!$G$35="Yes",CW$3&gt;=Projects!$C$35,CW$3&lt;Projects!$C$35+Projects!$D$35),Projects!$B$35*INDEX(Curves!$B$4:$AR$4,1,CW$3-Projects!$C$35+1),0)-IF(AND(Projects!$G$35="Yes",CW$3&gt;=Projects!$C$35,CW$3&lt;Projects!$C$35+Projects!$D$35),Projects!$B$35*(Assumptions!$B$10+Assumptions!$B$11+Assumptions!$B$12)/Projects!$D$35*0.95,0)-IF(AND(Projects!$G$35="Yes",CW$3=Projects!$C$35+Projects!$D$35-1),Projects!$B$35*(Assumptions!$B$10+Assumptions!$B$11+Assumptions!$B$12)*0.05,0)</f>
        <v>0</v>
      </c>
      <c r="CX44" s="19" t="n">
        <f aca="false">IF(AND(Projects!$G$35="Yes",CX$3&gt;=Projects!$C$35,CX$3&lt;Projects!$C$35+Projects!$D$35),Projects!$B$35*INDEX(Curves!$B$4:$AR$4,1,CX$3-Projects!$C$35+1),0)-IF(AND(Projects!$G$35="Yes",CX$3&gt;=Projects!$C$35,CX$3&lt;Projects!$C$35+Projects!$D$35),Projects!$B$35*(Assumptions!$B$10+Assumptions!$B$11+Assumptions!$B$12)/Projects!$D$35*0.95,0)-IF(AND(Projects!$G$35="Yes",CX$3=Projects!$C$35+Projects!$D$35-1),Projects!$B$35*(Assumptions!$B$10+Assumptions!$B$11+Assumptions!$B$12)*0.05,0)</f>
        <v>0</v>
      </c>
      <c r="CY44" s="19" t="n">
        <f aca="false">IF(AND(Projects!$G$35="Yes",CY$3&gt;=Projects!$C$35,CY$3&lt;Projects!$C$35+Projects!$D$35),Projects!$B$35*INDEX(Curves!$B$4:$AR$4,1,CY$3-Projects!$C$35+1),0)-IF(AND(Projects!$G$35="Yes",CY$3&gt;=Projects!$C$35,CY$3&lt;Projects!$C$35+Projects!$D$35),Projects!$B$35*(Assumptions!$B$10+Assumptions!$B$11+Assumptions!$B$12)/Projects!$D$35*0.95,0)-IF(AND(Projects!$G$35="Yes",CY$3=Projects!$C$35+Projects!$D$35-1),Projects!$B$35*(Assumptions!$B$10+Assumptions!$B$11+Assumptions!$B$12)*0.05,0)</f>
        <v>0</v>
      </c>
      <c r="CZ44" s="19" t="n">
        <f aca="false">IF(AND(Projects!$G$35="Yes",CZ$3&gt;=Projects!$C$35,CZ$3&lt;Projects!$C$35+Projects!$D$35),Projects!$B$35*INDEX(Curves!$B$4:$AR$4,1,CZ$3-Projects!$C$35+1),0)-IF(AND(Projects!$G$35="Yes",CZ$3&gt;=Projects!$C$35,CZ$3&lt;Projects!$C$35+Projects!$D$35),Projects!$B$35*(Assumptions!$B$10+Assumptions!$B$11+Assumptions!$B$12)/Projects!$D$35*0.95,0)-IF(AND(Projects!$G$35="Yes",CZ$3=Projects!$C$35+Projects!$D$35-1),Projects!$B$35*(Assumptions!$B$10+Assumptions!$B$11+Assumptions!$B$12)*0.05,0)</f>
        <v>0</v>
      </c>
      <c r="DA44" s="19" t="n">
        <f aca="false">IF(AND(Projects!$G$35="Yes",DA$3&gt;=Projects!$C$35,DA$3&lt;Projects!$C$35+Projects!$D$35),Projects!$B$35*INDEX(Curves!$B$4:$AR$4,1,DA$3-Projects!$C$35+1),0)-IF(AND(Projects!$G$35="Yes",DA$3&gt;=Projects!$C$35,DA$3&lt;Projects!$C$35+Projects!$D$35),Projects!$B$35*(Assumptions!$B$10+Assumptions!$B$11+Assumptions!$B$12)/Projects!$D$35*0.95,0)-IF(AND(Projects!$G$35="Yes",DA$3=Projects!$C$35+Projects!$D$35-1),Projects!$B$35*(Assumptions!$B$10+Assumptions!$B$11+Assumptions!$B$12)*0.05,0)</f>
        <v>0</v>
      </c>
      <c r="DB44" s="19" t="n">
        <f aca="false">IF(AND(Projects!$G$35="Yes",DB$3&gt;=Projects!$C$35,DB$3&lt;Projects!$C$35+Projects!$D$35),Projects!$B$35*INDEX(Curves!$B$4:$AR$4,1,DB$3-Projects!$C$35+1),0)-IF(AND(Projects!$G$35="Yes",DB$3&gt;=Projects!$C$35,DB$3&lt;Projects!$C$35+Projects!$D$35),Projects!$B$35*(Assumptions!$B$10+Assumptions!$B$11+Assumptions!$B$12)/Projects!$D$35*0.95,0)-IF(AND(Projects!$G$35="Yes",DB$3=Projects!$C$35+Projects!$D$35-1),Projects!$B$35*(Assumptions!$B$10+Assumptions!$B$11+Assumptions!$B$12)*0.05,0)</f>
        <v>0</v>
      </c>
      <c r="DC44" s="19" t="n">
        <f aca="false">IF(AND(Projects!$G$35="Yes",DC$3&gt;=Projects!$C$35,DC$3&lt;Projects!$C$35+Projects!$D$35),Projects!$B$35*INDEX(Curves!$B$4:$AR$4,1,DC$3-Projects!$C$35+1),0)-IF(AND(Projects!$G$35="Yes",DC$3&gt;=Projects!$C$35,DC$3&lt;Projects!$C$35+Projects!$D$35),Projects!$B$35*(Assumptions!$B$10+Assumptions!$B$11+Assumptions!$B$12)/Projects!$D$35*0.95,0)-IF(AND(Projects!$G$35="Yes",DC$3=Projects!$C$35+Projects!$D$35-1),Projects!$B$35*(Assumptions!$B$10+Assumptions!$B$11+Assumptions!$B$12)*0.05,0)</f>
        <v>0</v>
      </c>
      <c r="DD44" s="19" t="n">
        <f aca="false">IF(AND(Projects!$G$35="Yes",DD$3&gt;=Projects!$C$35,DD$3&lt;Projects!$C$35+Projects!$D$35),Projects!$B$35*INDEX(Curves!$B$4:$AR$4,1,DD$3-Projects!$C$35+1),0)-IF(AND(Projects!$G$35="Yes",DD$3&gt;=Projects!$C$35,DD$3&lt;Projects!$C$35+Projects!$D$35),Projects!$B$35*(Assumptions!$B$10+Assumptions!$B$11+Assumptions!$B$12)/Projects!$D$35*0.95,0)-IF(AND(Projects!$G$35="Yes",DD$3=Projects!$C$35+Projects!$D$35-1),Projects!$B$35*(Assumptions!$B$10+Assumptions!$B$11+Assumptions!$B$12)*0.05,0)</f>
        <v>0</v>
      </c>
      <c r="DE44" s="19" t="n">
        <f aca="false">IF(AND(Projects!$G$35="Yes",DE$3&gt;=Projects!$C$35,DE$3&lt;Projects!$C$35+Projects!$D$35),Projects!$B$35*INDEX(Curves!$B$4:$AR$4,1,DE$3-Projects!$C$35+1),0)-IF(AND(Projects!$G$35="Yes",DE$3&gt;=Projects!$C$35,DE$3&lt;Projects!$C$35+Projects!$D$35),Projects!$B$35*(Assumptions!$B$10+Assumptions!$B$11+Assumptions!$B$12)/Projects!$D$35*0.95,0)-IF(AND(Projects!$G$35="Yes",DE$3=Projects!$C$35+Projects!$D$35-1),Projects!$B$35*(Assumptions!$B$10+Assumptions!$B$11+Assumptions!$B$12)*0.05,0)</f>
        <v>0</v>
      </c>
    </row>
    <row r="45" customFormat="false" ht="15" hidden="true" customHeight="true" outlineLevel="1" collapsed="false">
      <c r="A45" s="28" t="s">
        <v>39</v>
      </c>
      <c r="B45" s="19" t="n">
        <v>0</v>
      </c>
      <c r="C45" s="19" t="n">
        <v>0</v>
      </c>
      <c r="D45" s="19" t="n">
        <v>0</v>
      </c>
      <c r="E45" s="19" t="n">
        <v>0</v>
      </c>
      <c r="F45" s="19" t="n">
        <f aca="false">IF(AND(Projects!$G$36="Yes",F$3&gt;=Projects!$C$36,F$3&lt;Projects!$C$36+Projects!$D$36),Projects!$B$36*INDEX(Curves!$B$4:$AR$4,1,F$3-Projects!$C$36+1),0)-IF(AND(Projects!$G$36="Yes",F$3&gt;=Projects!$C$36,F$3&lt;Projects!$C$36+Projects!$D$36),Projects!$B$36*(Assumptions!$B$10+Assumptions!$B$11+Assumptions!$B$12)/Projects!$D$36*0.95,0)-IF(AND(Projects!$G$36="Yes",F$3=Projects!$C$36+Projects!$D$36-1),Projects!$B$36*(Assumptions!$B$10+Assumptions!$B$11+Assumptions!$B$12)*0.05,0)</f>
        <v>0</v>
      </c>
      <c r="G45" s="19" t="n">
        <f aca="false">IF(AND(Projects!$G$36="Yes",G$3&gt;=Projects!$C$36,G$3&lt;Projects!$C$36+Projects!$D$36),Projects!$B$36*INDEX(Curves!$B$4:$AR$4,1,G$3-Projects!$C$36+1),0)-IF(AND(Projects!$G$36="Yes",G$3&gt;=Projects!$C$36,G$3&lt;Projects!$C$36+Projects!$D$36),Projects!$B$36*(Assumptions!$B$10+Assumptions!$B$11+Assumptions!$B$12)/Projects!$D$36*0.95,0)-IF(AND(Projects!$G$36="Yes",G$3=Projects!$C$36+Projects!$D$36-1),Projects!$B$36*(Assumptions!$B$10+Assumptions!$B$11+Assumptions!$B$12)*0.05,0)</f>
        <v>0</v>
      </c>
      <c r="H45" s="19" t="n">
        <f aca="false">IF(AND(Projects!$G$36="Yes",H$3&gt;=Projects!$C$36,H$3&lt;Projects!$C$36+Projects!$D$36),Projects!$B$36*INDEX(Curves!$B$4:$AR$4,1,H$3-Projects!$C$36+1),0)-IF(AND(Projects!$G$36="Yes",H$3&gt;=Projects!$C$36,H$3&lt;Projects!$C$36+Projects!$D$36),Projects!$B$36*(Assumptions!$B$10+Assumptions!$B$11+Assumptions!$B$12)/Projects!$D$36*0.95,0)-IF(AND(Projects!$G$36="Yes",H$3=Projects!$C$36+Projects!$D$36-1),Projects!$B$36*(Assumptions!$B$10+Assumptions!$B$11+Assumptions!$B$12)*0.05,0)</f>
        <v>0</v>
      </c>
      <c r="I45" s="19" t="n">
        <f aca="false">IF(AND(Projects!$G$36="Yes",I$3&gt;=Projects!$C$36,I$3&lt;Projects!$C$36+Projects!$D$36),Projects!$B$36*INDEX(Curves!$B$4:$AR$4,1,I$3-Projects!$C$36+1),0)-IF(AND(Projects!$G$36="Yes",I$3&gt;=Projects!$C$36,I$3&lt;Projects!$C$36+Projects!$D$36),Projects!$B$36*(Assumptions!$B$10+Assumptions!$B$11+Assumptions!$B$12)/Projects!$D$36*0.95,0)-IF(AND(Projects!$G$36="Yes",I$3=Projects!$C$36+Projects!$D$36-1),Projects!$B$36*(Assumptions!$B$10+Assumptions!$B$11+Assumptions!$B$12)*0.05,0)</f>
        <v>0</v>
      </c>
      <c r="J45" s="19" t="n">
        <f aca="false">IF(AND(Projects!$G$36="Yes",J$3&gt;=Projects!$C$36,J$3&lt;Projects!$C$36+Projects!$D$36),Projects!$B$36*INDEX(Curves!$B$4:$AR$4,1,J$3-Projects!$C$36+1),0)-IF(AND(Projects!$G$36="Yes",J$3&gt;=Projects!$C$36,J$3&lt;Projects!$C$36+Projects!$D$36),Projects!$B$36*(Assumptions!$B$10+Assumptions!$B$11+Assumptions!$B$12)/Projects!$D$36*0.95,0)-IF(AND(Projects!$G$36="Yes",J$3=Projects!$C$36+Projects!$D$36-1),Projects!$B$36*(Assumptions!$B$10+Assumptions!$B$11+Assumptions!$B$12)*0.05,0)</f>
        <v>0</v>
      </c>
      <c r="K45" s="19" t="n">
        <f aca="false">IF(AND(Projects!$G$36="Yes",K$3&gt;=Projects!$C$36,K$3&lt;Projects!$C$36+Projects!$D$36),Projects!$B$36*INDEX(Curves!$B$4:$AR$4,1,K$3-Projects!$C$36+1),0)-IF(AND(Projects!$G$36="Yes",K$3&gt;=Projects!$C$36,K$3&lt;Projects!$C$36+Projects!$D$36),Projects!$B$36*(Assumptions!$B$10+Assumptions!$B$11+Assumptions!$B$12)/Projects!$D$36*0.95,0)-IF(AND(Projects!$G$36="Yes",K$3=Projects!$C$36+Projects!$D$36-1),Projects!$B$36*(Assumptions!$B$10+Assumptions!$B$11+Assumptions!$B$12)*0.05,0)</f>
        <v>0</v>
      </c>
      <c r="L45" s="19" t="n">
        <f aca="false">IF(AND(Projects!$G$36="Yes",L$3&gt;=Projects!$C$36,L$3&lt;Projects!$C$36+Projects!$D$36),Projects!$B$36*INDEX(Curves!$B$4:$AR$4,1,L$3-Projects!$C$36+1),0)-IF(AND(Projects!$G$36="Yes",L$3&gt;=Projects!$C$36,L$3&lt;Projects!$C$36+Projects!$D$36),Projects!$B$36*(Assumptions!$B$10+Assumptions!$B$11+Assumptions!$B$12)/Projects!$D$36*0.95,0)-IF(AND(Projects!$G$36="Yes",L$3=Projects!$C$36+Projects!$D$36-1),Projects!$B$36*(Assumptions!$B$10+Assumptions!$B$11+Assumptions!$B$12)*0.05,0)</f>
        <v>0</v>
      </c>
      <c r="M45" s="19" t="n">
        <f aca="false">IF(AND(Projects!$G$36="Yes",M$3&gt;=Projects!$C$36,M$3&lt;Projects!$C$36+Projects!$D$36),Projects!$B$36*INDEX(Curves!$B$4:$AR$4,1,M$3-Projects!$C$36+1),0)-IF(AND(Projects!$G$36="Yes",M$3&gt;=Projects!$C$36,M$3&lt;Projects!$C$36+Projects!$D$36),Projects!$B$36*(Assumptions!$B$10+Assumptions!$B$11+Assumptions!$B$12)/Projects!$D$36*0.95,0)-IF(AND(Projects!$G$36="Yes",M$3=Projects!$C$36+Projects!$D$36-1),Projects!$B$36*(Assumptions!$B$10+Assumptions!$B$11+Assumptions!$B$12)*0.05,0)</f>
        <v>0</v>
      </c>
      <c r="N45" s="19" t="n">
        <f aca="false">IF(AND(Projects!$G$36="Yes",N$3&gt;=Projects!$C$36,N$3&lt;Projects!$C$36+Projects!$D$36),Projects!$B$36*INDEX(Curves!$B$4:$AR$4,1,N$3-Projects!$C$36+1),0)-IF(AND(Projects!$G$36="Yes",N$3&gt;=Projects!$C$36,N$3&lt;Projects!$C$36+Projects!$D$36),Projects!$B$36*(Assumptions!$B$10+Assumptions!$B$11+Assumptions!$B$12)/Projects!$D$36*0.95,0)-IF(AND(Projects!$G$36="Yes",N$3=Projects!$C$36+Projects!$D$36-1),Projects!$B$36*(Assumptions!$B$10+Assumptions!$B$11+Assumptions!$B$12)*0.05,0)</f>
        <v>0</v>
      </c>
      <c r="O45" s="19" t="n">
        <f aca="false">IF(AND(Projects!$G$36="Yes",O$3&gt;=Projects!$C$36,O$3&lt;Projects!$C$36+Projects!$D$36),Projects!$B$36*INDEX(Curves!$B$4:$AR$4,1,O$3-Projects!$C$36+1),0)-IF(AND(Projects!$G$36="Yes",O$3&gt;=Projects!$C$36,O$3&lt;Projects!$C$36+Projects!$D$36),Projects!$B$36*(Assumptions!$B$10+Assumptions!$B$11+Assumptions!$B$12)/Projects!$D$36*0.95,0)-IF(AND(Projects!$G$36="Yes",O$3=Projects!$C$36+Projects!$D$36-1),Projects!$B$36*(Assumptions!$B$10+Assumptions!$B$11+Assumptions!$B$12)*0.05,0)</f>
        <v>0</v>
      </c>
      <c r="P45" s="19" t="n">
        <f aca="false">IF(AND(Projects!$G$36="Yes",P$3&gt;=Projects!$C$36,P$3&lt;Projects!$C$36+Projects!$D$36),Projects!$B$36*INDEX(Curves!$B$4:$AR$4,1,P$3-Projects!$C$36+1),0)-IF(AND(Projects!$G$36="Yes",P$3&gt;=Projects!$C$36,P$3&lt;Projects!$C$36+Projects!$D$36),Projects!$B$36*(Assumptions!$B$10+Assumptions!$B$11+Assumptions!$B$12)/Projects!$D$36*0.95,0)-IF(AND(Projects!$G$36="Yes",P$3=Projects!$C$36+Projects!$D$36-1),Projects!$B$36*(Assumptions!$B$10+Assumptions!$B$11+Assumptions!$B$12)*0.05,0)</f>
        <v>0</v>
      </c>
      <c r="Q45" s="19" t="n">
        <f aca="false">IF(AND(Projects!$G$36="Yes",Q$3&gt;=Projects!$C$36,Q$3&lt;Projects!$C$36+Projects!$D$36),Projects!$B$36*INDEX(Curves!$B$4:$AR$4,1,Q$3-Projects!$C$36+1),0)-IF(AND(Projects!$G$36="Yes",Q$3&gt;=Projects!$C$36,Q$3&lt;Projects!$C$36+Projects!$D$36),Projects!$B$36*(Assumptions!$B$10+Assumptions!$B$11+Assumptions!$B$12)/Projects!$D$36*0.95,0)-IF(AND(Projects!$G$36="Yes",Q$3=Projects!$C$36+Projects!$D$36-1),Projects!$B$36*(Assumptions!$B$10+Assumptions!$B$11+Assumptions!$B$12)*0.05,0)</f>
        <v>0</v>
      </c>
      <c r="R45" s="19" t="n">
        <f aca="false">IF(AND(Projects!$G$36="Yes",R$3&gt;=Projects!$C$36,R$3&lt;Projects!$C$36+Projects!$D$36),Projects!$B$36*INDEX(Curves!$B$4:$AR$4,1,R$3-Projects!$C$36+1),0)-IF(AND(Projects!$G$36="Yes",R$3&gt;=Projects!$C$36,R$3&lt;Projects!$C$36+Projects!$D$36),Projects!$B$36*(Assumptions!$B$10+Assumptions!$B$11+Assumptions!$B$12)/Projects!$D$36*0.95,0)-IF(AND(Projects!$G$36="Yes",R$3=Projects!$C$36+Projects!$D$36-1),Projects!$B$36*(Assumptions!$B$10+Assumptions!$B$11+Assumptions!$B$12)*0.05,0)</f>
        <v>0</v>
      </c>
      <c r="S45" s="19" t="n">
        <f aca="false">IF(AND(Projects!$G$36="Yes",S$3&gt;=Projects!$C$36,S$3&lt;Projects!$C$36+Projects!$D$36),Projects!$B$36*INDEX(Curves!$B$4:$AR$4,1,S$3-Projects!$C$36+1),0)-IF(AND(Projects!$G$36="Yes",S$3&gt;=Projects!$C$36,S$3&lt;Projects!$C$36+Projects!$D$36),Projects!$B$36*(Assumptions!$B$10+Assumptions!$B$11+Assumptions!$B$12)/Projects!$D$36*0.95,0)-IF(AND(Projects!$G$36="Yes",S$3=Projects!$C$36+Projects!$D$36-1),Projects!$B$36*(Assumptions!$B$10+Assumptions!$B$11+Assumptions!$B$12)*0.05,0)</f>
        <v>0</v>
      </c>
      <c r="T45" s="19" t="n">
        <f aca="false">IF(AND(Projects!$G$36="Yes",T$3&gt;=Projects!$C$36,T$3&lt;Projects!$C$36+Projects!$D$36),Projects!$B$36*INDEX(Curves!$B$4:$AR$4,1,T$3-Projects!$C$36+1),0)-IF(AND(Projects!$G$36="Yes",T$3&gt;=Projects!$C$36,T$3&lt;Projects!$C$36+Projects!$D$36),Projects!$B$36*(Assumptions!$B$10+Assumptions!$B$11+Assumptions!$B$12)/Projects!$D$36*0.95,0)-IF(AND(Projects!$G$36="Yes",T$3=Projects!$C$36+Projects!$D$36-1),Projects!$B$36*(Assumptions!$B$10+Assumptions!$B$11+Assumptions!$B$12)*0.05,0)</f>
        <v>0</v>
      </c>
      <c r="U45" s="19" t="n">
        <f aca="false">IF(AND(Projects!$G$36="Yes",U$3&gt;=Projects!$C$36,U$3&lt;Projects!$C$36+Projects!$D$36),Projects!$B$36*INDEX(Curves!$B$4:$AR$4,1,U$3-Projects!$C$36+1),0)-IF(AND(Projects!$G$36="Yes",U$3&gt;=Projects!$C$36,U$3&lt;Projects!$C$36+Projects!$D$36),Projects!$B$36*(Assumptions!$B$10+Assumptions!$B$11+Assumptions!$B$12)/Projects!$D$36*0.95,0)-IF(AND(Projects!$G$36="Yes",U$3=Projects!$C$36+Projects!$D$36-1),Projects!$B$36*(Assumptions!$B$10+Assumptions!$B$11+Assumptions!$B$12)*0.05,0)</f>
        <v>0</v>
      </c>
      <c r="V45" s="19" t="n">
        <f aca="false">IF(AND(Projects!$G$36="Yes",V$3&gt;=Projects!$C$36,V$3&lt;Projects!$C$36+Projects!$D$36),Projects!$B$36*INDEX(Curves!$B$4:$AR$4,1,V$3-Projects!$C$36+1),0)-IF(AND(Projects!$G$36="Yes",V$3&gt;=Projects!$C$36,V$3&lt;Projects!$C$36+Projects!$D$36),Projects!$B$36*(Assumptions!$B$10+Assumptions!$B$11+Assumptions!$B$12)/Projects!$D$36*0.95,0)-IF(AND(Projects!$G$36="Yes",V$3=Projects!$C$36+Projects!$D$36-1),Projects!$B$36*(Assumptions!$B$10+Assumptions!$B$11+Assumptions!$B$12)*0.05,0)</f>
        <v>0</v>
      </c>
      <c r="W45" s="19" t="n">
        <f aca="false">IF(AND(Projects!$G$36="Yes",W$3&gt;=Projects!$C$36,W$3&lt;Projects!$C$36+Projects!$D$36),Projects!$B$36*INDEX(Curves!$B$4:$AR$4,1,W$3-Projects!$C$36+1),0)-IF(AND(Projects!$G$36="Yes",W$3&gt;=Projects!$C$36,W$3&lt;Projects!$C$36+Projects!$D$36),Projects!$B$36*(Assumptions!$B$10+Assumptions!$B$11+Assumptions!$B$12)/Projects!$D$36*0.95,0)-IF(AND(Projects!$G$36="Yes",W$3=Projects!$C$36+Projects!$D$36-1),Projects!$B$36*(Assumptions!$B$10+Assumptions!$B$11+Assumptions!$B$12)*0.05,0)</f>
        <v>0</v>
      </c>
      <c r="X45" s="19" t="n">
        <f aca="false">IF(AND(Projects!$G$36="Yes",X$3&gt;=Projects!$C$36,X$3&lt;Projects!$C$36+Projects!$D$36),Projects!$B$36*INDEX(Curves!$B$4:$AR$4,1,X$3-Projects!$C$36+1),0)-IF(AND(Projects!$G$36="Yes",X$3&gt;=Projects!$C$36,X$3&lt;Projects!$C$36+Projects!$D$36),Projects!$B$36*(Assumptions!$B$10+Assumptions!$B$11+Assumptions!$B$12)/Projects!$D$36*0.95,0)-IF(AND(Projects!$G$36="Yes",X$3=Projects!$C$36+Projects!$D$36-1),Projects!$B$36*(Assumptions!$B$10+Assumptions!$B$11+Assumptions!$B$12)*0.05,0)</f>
        <v>0</v>
      </c>
      <c r="Y45" s="19" t="n">
        <f aca="false">IF(AND(Projects!$G$36="Yes",Y$3&gt;=Projects!$C$36,Y$3&lt;Projects!$C$36+Projects!$D$36),Projects!$B$36*INDEX(Curves!$B$4:$AR$4,1,Y$3-Projects!$C$36+1),0)-IF(AND(Projects!$G$36="Yes",Y$3&gt;=Projects!$C$36,Y$3&lt;Projects!$C$36+Projects!$D$36),Projects!$B$36*(Assumptions!$B$10+Assumptions!$B$11+Assumptions!$B$12)/Projects!$D$36*0.95,0)-IF(AND(Projects!$G$36="Yes",Y$3=Projects!$C$36+Projects!$D$36-1),Projects!$B$36*(Assumptions!$B$10+Assumptions!$B$11+Assumptions!$B$12)*0.05,0)</f>
        <v>0</v>
      </c>
      <c r="Z45" s="19" t="n">
        <f aca="false">IF(AND(Projects!$G$36="Yes",Z$3&gt;=Projects!$C$36,Z$3&lt;Projects!$C$36+Projects!$D$36),Projects!$B$36*INDEX(Curves!$B$4:$AR$4,1,Z$3-Projects!$C$36+1),0)-IF(AND(Projects!$G$36="Yes",Z$3&gt;=Projects!$C$36,Z$3&lt;Projects!$C$36+Projects!$D$36),Projects!$B$36*(Assumptions!$B$10+Assumptions!$B$11+Assumptions!$B$12)/Projects!$D$36*0.95,0)-IF(AND(Projects!$G$36="Yes",Z$3=Projects!$C$36+Projects!$D$36-1),Projects!$B$36*(Assumptions!$B$10+Assumptions!$B$11+Assumptions!$B$12)*0.05,0)</f>
        <v>0</v>
      </c>
      <c r="AA45" s="19" t="n">
        <f aca="false">IF(AND(Projects!$G$36="Yes",AA$3&gt;=Projects!$C$36,AA$3&lt;Projects!$C$36+Projects!$D$36),Projects!$B$36*INDEX(Curves!$B$4:$AR$4,1,AA$3-Projects!$C$36+1),0)-IF(AND(Projects!$G$36="Yes",AA$3&gt;=Projects!$C$36,AA$3&lt;Projects!$C$36+Projects!$D$36),Projects!$B$36*(Assumptions!$B$10+Assumptions!$B$11+Assumptions!$B$12)/Projects!$D$36*0.95,0)-IF(AND(Projects!$G$36="Yes",AA$3=Projects!$C$36+Projects!$D$36-1),Projects!$B$36*(Assumptions!$B$10+Assumptions!$B$11+Assumptions!$B$12)*0.05,0)</f>
        <v>0</v>
      </c>
      <c r="AB45" s="19" t="n">
        <f aca="false">IF(AND(Projects!$G$36="Yes",AB$3&gt;=Projects!$C$36,AB$3&lt;Projects!$C$36+Projects!$D$36),Projects!$B$36*INDEX(Curves!$B$4:$AR$4,1,AB$3-Projects!$C$36+1),0)-IF(AND(Projects!$G$36="Yes",AB$3&gt;=Projects!$C$36,AB$3&lt;Projects!$C$36+Projects!$D$36),Projects!$B$36*(Assumptions!$B$10+Assumptions!$B$11+Assumptions!$B$12)/Projects!$D$36*0.95,0)-IF(AND(Projects!$G$36="Yes",AB$3=Projects!$C$36+Projects!$D$36-1),Projects!$B$36*(Assumptions!$B$10+Assumptions!$B$11+Assumptions!$B$12)*0.05,0)</f>
        <v>0</v>
      </c>
      <c r="AC45" s="19" t="n">
        <f aca="false">IF(AND(Projects!$G$36="Yes",AC$3&gt;=Projects!$C$36,AC$3&lt;Projects!$C$36+Projects!$D$36),Projects!$B$36*INDEX(Curves!$B$4:$AR$4,1,AC$3-Projects!$C$36+1),0)-IF(AND(Projects!$G$36="Yes",AC$3&gt;=Projects!$C$36,AC$3&lt;Projects!$C$36+Projects!$D$36),Projects!$B$36*(Assumptions!$B$10+Assumptions!$B$11+Assumptions!$B$12)/Projects!$D$36*0.95,0)-IF(AND(Projects!$G$36="Yes",AC$3=Projects!$C$36+Projects!$D$36-1),Projects!$B$36*(Assumptions!$B$10+Assumptions!$B$11+Assumptions!$B$12)*0.05,0)</f>
        <v>0</v>
      </c>
      <c r="AD45" s="19" t="n">
        <f aca="false">IF(AND(Projects!$G$36="Yes",AD$3&gt;=Projects!$C$36,AD$3&lt;Projects!$C$36+Projects!$D$36),Projects!$B$36*INDEX(Curves!$B$4:$AR$4,1,AD$3-Projects!$C$36+1),0)-IF(AND(Projects!$G$36="Yes",AD$3&gt;=Projects!$C$36,AD$3&lt;Projects!$C$36+Projects!$D$36),Projects!$B$36*(Assumptions!$B$10+Assumptions!$B$11+Assumptions!$B$12)/Projects!$D$36*0.95,0)-IF(AND(Projects!$G$36="Yes",AD$3=Projects!$C$36+Projects!$D$36-1),Projects!$B$36*(Assumptions!$B$10+Assumptions!$B$11+Assumptions!$B$12)*0.05,0)</f>
        <v>0</v>
      </c>
      <c r="AE45" s="19" t="n">
        <f aca="false">IF(AND(Projects!$G$36="Yes",AE$3&gt;=Projects!$C$36,AE$3&lt;Projects!$C$36+Projects!$D$36),Projects!$B$36*INDEX(Curves!$B$4:$AR$4,1,AE$3-Projects!$C$36+1),0)-IF(AND(Projects!$G$36="Yes",AE$3&gt;=Projects!$C$36,AE$3&lt;Projects!$C$36+Projects!$D$36),Projects!$B$36*(Assumptions!$B$10+Assumptions!$B$11+Assumptions!$B$12)/Projects!$D$36*0.95,0)-IF(AND(Projects!$G$36="Yes",AE$3=Projects!$C$36+Projects!$D$36-1),Projects!$B$36*(Assumptions!$B$10+Assumptions!$B$11+Assumptions!$B$12)*0.05,0)</f>
        <v>0</v>
      </c>
      <c r="AF45" s="19" t="n">
        <f aca="false">IF(AND(Projects!$G$36="Yes",AF$3&gt;=Projects!$C$36,AF$3&lt;Projects!$C$36+Projects!$D$36),Projects!$B$36*INDEX(Curves!$B$4:$AR$4,1,AF$3-Projects!$C$36+1),0)-IF(AND(Projects!$G$36="Yes",AF$3&gt;=Projects!$C$36,AF$3&lt;Projects!$C$36+Projects!$D$36),Projects!$B$36*(Assumptions!$B$10+Assumptions!$B$11+Assumptions!$B$12)/Projects!$D$36*0.95,0)-IF(AND(Projects!$G$36="Yes",AF$3=Projects!$C$36+Projects!$D$36-1),Projects!$B$36*(Assumptions!$B$10+Assumptions!$B$11+Assumptions!$B$12)*0.05,0)</f>
        <v>0</v>
      </c>
      <c r="AG45" s="19" t="n">
        <f aca="false">IF(AND(Projects!$G$36="Yes",AG$3&gt;=Projects!$C$36,AG$3&lt;Projects!$C$36+Projects!$D$36),Projects!$B$36*INDEX(Curves!$B$4:$AR$4,1,AG$3-Projects!$C$36+1),0)-IF(AND(Projects!$G$36="Yes",AG$3&gt;=Projects!$C$36,AG$3&lt;Projects!$C$36+Projects!$D$36),Projects!$B$36*(Assumptions!$B$10+Assumptions!$B$11+Assumptions!$B$12)/Projects!$D$36*0.95,0)-IF(AND(Projects!$G$36="Yes",AG$3=Projects!$C$36+Projects!$D$36-1),Projects!$B$36*(Assumptions!$B$10+Assumptions!$B$11+Assumptions!$B$12)*0.05,0)</f>
        <v>0</v>
      </c>
      <c r="AH45" s="19" t="n">
        <f aca="false">IF(AND(Projects!$G$36="Yes",AH$3&gt;=Projects!$C$36,AH$3&lt;Projects!$C$36+Projects!$D$36),Projects!$B$36*INDEX(Curves!$B$4:$AR$4,1,AH$3-Projects!$C$36+1),0)-IF(AND(Projects!$G$36="Yes",AH$3&gt;=Projects!$C$36,AH$3&lt;Projects!$C$36+Projects!$D$36),Projects!$B$36*(Assumptions!$B$10+Assumptions!$B$11+Assumptions!$B$12)/Projects!$D$36*0.95,0)-IF(AND(Projects!$G$36="Yes",AH$3=Projects!$C$36+Projects!$D$36-1),Projects!$B$36*(Assumptions!$B$10+Assumptions!$B$11+Assumptions!$B$12)*0.05,0)</f>
        <v>0</v>
      </c>
      <c r="AI45" s="19" t="n">
        <f aca="false">IF(AND(Projects!$G$36="Yes",AI$3&gt;=Projects!$C$36,AI$3&lt;Projects!$C$36+Projects!$D$36),Projects!$B$36*INDEX(Curves!$B$4:$AR$4,1,AI$3-Projects!$C$36+1),0)-IF(AND(Projects!$G$36="Yes",AI$3&gt;=Projects!$C$36,AI$3&lt;Projects!$C$36+Projects!$D$36),Projects!$B$36*(Assumptions!$B$10+Assumptions!$B$11+Assumptions!$B$12)/Projects!$D$36*0.95,0)-IF(AND(Projects!$G$36="Yes",AI$3=Projects!$C$36+Projects!$D$36-1),Projects!$B$36*(Assumptions!$B$10+Assumptions!$B$11+Assumptions!$B$12)*0.05,0)</f>
        <v>0</v>
      </c>
      <c r="AJ45" s="19" t="n">
        <f aca="false">IF(AND(Projects!$G$36="Yes",AJ$3&gt;=Projects!$C$36,AJ$3&lt;Projects!$C$36+Projects!$D$36),Projects!$B$36*INDEX(Curves!$B$4:$AR$4,1,AJ$3-Projects!$C$36+1),0)-IF(AND(Projects!$G$36="Yes",AJ$3&gt;=Projects!$C$36,AJ$3&lt;Projects!$C$36+Projects!$D$36),Projects!$B$36*(Assumptions!$B$10+Assumptions!$B$11+Assumptions!$B$12)/Projects!$D$36*0.95,0)-IF(AND(Projects!$G$36="Yes",AJ$3=Projects!$C$36+Projects!$D$36-1),Projects!$B$36*(Assumptions!$B$10+Assumptions!$B$11+Assumptions!$B$12)*0.05,0)</f>
        <v>0</v>
      </c>
      <c r="AK45" s="19" t="n">
        <f aca="false">IF(AND(Projects!$G$36="Yes",AK$3&gt;=Projects!$C$36,AK$3&lt;Projects!$C$36+Projects!$D$36),Projects!$B$36*INDEX(Curves!$B$4:$AR$4,1,AK$3-Projects!$C$36+1),0)-IF(AND(Projects!$G$36="Yes",AK$3&gt;=Projects!$C$36,AK$3&lt;Projects!$C$36+Projects!$D$36),Projects!$B$36*(Assumptions!$B$10+Assumptions!$B$11+Assumptions!$B$12)/Projects!$D$36*0.95,0)-IF(AND(Projects!$G$36="Yes",AK$3=Projects!$C$36+Projects!$D$36-1),Projects!$B$36*(Assumptions!$B$10+Assumptions!$B$11+Assumptions!$B$12)*0.05,0)</f>
        <v>0</v>
      </c>
      <c r="AL45" s="19" t="n">
        <f aca="false">IF(AND(Projects!$G$36="Yes",AL$3&gt;=Projects!$C$36,AL$3&lt;Projects!$C$36+Projects!$D$36),Projects!$B$36*INDEX(Curves!$B$4:$AR$4,1,AL$3-Projects!$C$36+1),0)-IF(AND(Projects!$G$36="Yes",AL$3&gt;=Projects!$C$36,AL$3&lt;Projects!$C$36+Projects!$D$36),Projects!$B$36*(Assumptions!$B$10+Assumptions!$B$11+Assumptions!$B$12)/Projects!$D$36*0.95,0)-IF(AND(Projects!$G$36="Yes",AL$3=Projects!$C$36+Projects!$D$36-1),Projects!$B$36*(Assumptions!$B$10+Assumptions!$B$11+Assumptions!$B$12)*0.05,0)</f>
        <v>0</v>
      </c>
      <c r="AM45" s="19" t="n">
        <f aca="false">IF(AND(Projects!$G$36="Yes",AM$3&gt;=Projects!$C$36,AM$3&lt;Projects!$C$36+Projects!$D$36),Projects!$B$36*INDEX(Curves!$B$4:$AR$4,1,AM$3-Projects!$C$36+1),0)-IF(AND(Projects!$G$36="Yes",AM$3&gt;=Projects!$C$36,AM$3&lt;Projects!$C$36+Projects!$D$36),Projects!$B$36*(Assumptions!$B$10+Assumptions!$B$11+Assumptions!$B$12)/Projects!$D$36*0.95,0)-IF(AND(Projects!$G$36="Yes",AM$3=Projects!$C$36+Projects!$D$36-1),Projects!$B$36*(Assumptions!$B$10+Assumptions!$B$11+Assumptions!$B$12)*0.05,0)</f>
        <v>0</v>
      </c>
      <c r="AN45" s="19" t="n">
        <f aca="false">IF(AND(Projects!$G$36="Yes",AN$3&gt;=Projects!$C$36,AN$3&lt;Projects!$C$36+Projects!$D$36),Projects!$B$36*INDEX(Curves!$B$4:$AR$4,1,AN$3-Projects!$C$36+1),0)-IF(AND(Projects!$G$36="Yes",AN$3&gt;=Projects!$C$36,AN$3&lt;Projects!$C$36+Projects!$D$36),Projects!$B$36*(Assumptions!$B$10+Assumptions!$B$11+Assumptions!$B$12)/Projects!$D$36*0.95,0)-IF(AND(Projects!$G$36="Yes",AN$3=Projects!$C$36+Projects!$D$36-1),Projects!$B$36*(Assumptions!$B$10+Assumptions!$B$11+Assumptions!$B$12)*0.05,0)</f>
        <v>0</v>
      </c>
      <c r="AO45" s="19" t="n">
        <f aca="false">IF(AND(Projects!$G$36="Yes",AO$3&gt;=Projects!$C$36,AO$3&lt;Projects!$C$36+Projects!$D$36),Projects!$B$36*INDEX(Curves!$B$4:$AR$4,1,AO$3-Projects!$C$36+1),0)-IF(AND(Projects!$G$36="Yes",AO$3&gt;=Projects!$C$36,AO$3&lt;Projects!$C$36+Projects!$D$36),Projects!$B$36*(Assumptions!$B$10+Assumptions!$B$11+Assumptions!$B$12)/Projects!$D$36*0.95,0)-IF(AND(Projects!$G$36="Yes",AO$3=Projects!$C$36+Projects!$D$36-1),Projects!$B$36*(Assumptions!$B$10+Assumptions!$B$11+Assumptions!$B$12)*0.05,0)</f>
        <v>0</v>
      </c>
      <c r="AP45" s="19" t="n">
        <f aca="false">IF(AND(Projects!$G$36="Yes",AP$3&gt;=Projects!$C$36,AP$3&lt;Projects!$C$36+Projects!$D$36),Projects!$B$36*INDEX(Curves!$B$4:$AR$4,1,AP$3-Projects!$C$36+1),0)-IF(AND(Projects!$G$36="Yes",AP$3&gt;=Projects!$C$36,AP$3&lt;Projects!$C$36+Projects!$D$36),Projects!$B$36*(Assumptions!$B$10+Assumptions!$B$11+Assumptions!$B$12)/Projects!$D$36*0.95,0)-IF(AND(Projects!$G$36="Yes",AP$3=Projects!$C$36+Projects!$D$36-1),Projects!$B$36*(Assumptions!$B$10+Assumptions!$B$11+Assumptions!$B$12)*0.05,0)</f>
        <v>0</v>
      </c>
      <c r="AQ45" s="19" t="n">
        <f aca="false">IF(AND(Projects!$G$36="Yes",AQ$3&gt;=Projects!$C$36,AQ$3&lt;Projects!$C$36+Projects!$D$36),Projects!$B$36*INDEX(Curves!$B$4:$AR$4,1,AQ$3-Projects!$C$36+1),0)-IF(AND(Projects!$G$36="Yes",AQ$3&gt;=Projects!$C$36,AQ$3&lt;Projects!$C$36+Projects!$D$36),Projects!$B$36*(Assumptions!$B$10+Assumptions!$B$11+Assumptions!$B$12)/Projects!$D$36*0.95,0)-IF(AND(Projects!$G$36="Yes",AQ$3=Projects!$C$36+Projects!$D$36-1),Projects!$B$36*(Assumptions!$B$10+Assumptions!$B$11+Assumptions!$B$12)*0.05,0)</f>
        <v>0</v>
      </c>
      <c r="AR45" s="19" t="n">
        <f aca="false">IF(AND(Projects!$G$36="Yes",AR$3&gt;=Projects!$C$36,AR$3&lt;Projects!$C$36+Projects!$D$36),Projects!$B$36*INDEX(Curves!$B$4:$AR$4,1,AR$3-Projects!$C$36+1),0)-IF(AND(Projects!$G$36="Yes",AR$3&gt;=Projects!$C$36,AR$3&lt;Projects!$C$36+Projects!$D$36),Projects!$B$36*(Assumptions!$B$10+Assumptions!$B$11+Assumptions!$B$12)/Projects!$D$36*0.95,0)-IF(AND(Projects!$G$36="Yes",AR$3=Projects!$C$36+Projects!$D$36-1),Projects!$B$36*(Assumptions!$B$10+Assumptions!$B$11+Assumptions!$B$12)*0.05,0)</f>
        <v>0</v>
      </c>
      <c r="AS45" s="19" t="n">
        <f aca="false">IF(AND(Projects!$G$36="Yes",AS$3&gt;=Projects!$C$36,AS$3&lt;Projects!$C$36+Projects!$D$36),Projects!$B$36*INDEX(Curves!$B$4:$AR$4,1,AS$3-Projects!$C$36+1),0)-IF(AND(Projects!$G$36="Yes",AS$3&gt;=Projects!$C$36,AS$3&lt;Projects!$C$36+Projects!$D$36),Projects!$B$36*(Assumptions!$B$10+Assumptions!$B$11+Assumptions!$B$12)/Projects!$D$36*0.95,0)-IF(AND(Projects!$G$36="Yes",AS$3=Projects!$C$36+Projects!$D$36-1),Projects!$B$36*(Assumptions!$B$10+Assumptions!$B$11+Assumptions!$B$12)*0.05,0)</f>
        <v>0</v>
      </c>
      <c r="AT45" s="19" t="n">
        <f aca="false">IF(AND(Projects!$G$36="Yes",AT$3&gt;=Projects!$C$36,AT$3&lt;Projects!$C$36+Projects!$D$36),Projects!$B$36*INDEX(Curves!$B$4:$AR$4,1,AT$3-Projects!$C$36+1),0)-IF(AND(Projects!$G$36="Yes",AT$3&gt;=Projects!$C$36,AT$3&lt;Projects!$C$36+Projects!$D$36),Projects!$B$36*(Assumptions!$B$10+Assumptions!$B$11+Assumptions!$B$12)/Projects!$D$36*0.95,0)-IF(AND(Projects!$G$36="Yes",AT$3=Projects!$C$36+Projects!$D$36-1),Projects!$B$36*(Assumptions!$B$10+Assumptions!$B$11+Assumptions!$B$12)*0.05,0)</f>
        <v>0</v>
      </c>
      <c r="AU45" s="19" t="n">
        <f aca="false">IF(AND(Projects!$G$36="Yes",AU$3&gt;=Projects!$C$36,AU$3&lt;Projects!$C$36+Projects!$D$36),Projects!$B$36*INDEX(Curves!$B$4:$AR$4,1,AU$3-Projects!$C$36+1),0)-IF(AND(Projects!$G$36="Yes",AU$3&gt;=Projects!$C$36,AU$3&lt;Projects!$C$36+Projects!$D$36),Projects!$B$36*(Assumptions!$B$10+Assumptions!$B$11+Assumptions!$B$12)/Projects!$D$36*0.95,0)-IF(AND(Projects!$G$36="Yes",AU$3=Projects!$C$36+Projects!$D$36-1),Projects!$B$36*(Assumptions!$B$10+Assumptions!$B$11+Assumptions!$B$12)*0.05,0)</f>
        <v>368954.1</v>
      </c>
      <c r="AV45" s="19" t="n">
        <f aca="false">IF(AND(Projects!$G$36="Yes",AV$3&gt;=Projects!$C$36,AV$3&lt;Projects!$C$36+Projects!$D$36),Projects!$B$36*INDEX(Curves!$B$4:$AR$4,1,AV$3-Projects!$C$36+1),0)-IF(AND(Projects!$G$36="Yes",AV$3&gt;=Projects!$C$36,AV$3&lt;Projects!$C$36+Projects!$D$36),Projects!$B$36*(Assumptions!$B$10+Assumptions!$B$11+Assumptions!$B$12)/Projects!$D$36*0.95,0)-IF(AND(Projects!$G$36="Yes",AV$3=Projects!$C$36+Projects!$D$36-1),Projects!$B$36*(Assumptions!$B$10+Assumptions!$B$11+Assumptions!$B$12)*0.05,0)</f>
        <v>481346.1</v>
      </c>
      <c r="AW45" s="19" t="n">
        <f aca="false">IF(AND(Projects!$G$36="Yes",AW$3&gt;=Projects!$C$36,AW$3&lt;Projects!$C$36+Projects!$D$36),Projects!$B$36*INDEX(Curves!$B$4:$AR$4,1,AW$3-Projects!$C$36+1),0)-IF(AND(Projects!$G$36="Yes",AW$3&gt;=Projects!$C$36,AW$3&lt;Projects!$C$36+Projects!$D$36),Projects!$B$36*(Assumptions!$B$10+Assumptions!$B$11+Assumptions!$B$12)/Projects!$D$36*0.95,0)-IF(AND(Projects!$G$36="Yes",AW$3=Projects!$C$36+Projects!$D$36-1),Projects!$B$36*(Assumptions!$B$10+Assumptions!$B$11+Assumptions!$B$12)*0.05,0)</f>
        <v>602324.1</v>
      </c>
      <c r="AX45" s="19" t="n">
        <f aca="false">IF(AND(Projects!$G$36="Yes",AX$3&gt;=Projects!$C$36,AX$3&lt;Projects!$C$36+Projects!$D$36),Projects!$B$36*INDEX(Curves!$B$4:$AR$4,1,AX$3-Projects!$C$36+1),0)-IF(AND(Projects!$G$36="Yes",AX$3&gt;=Projects!$C$36,AX$3&lt;Projects!$C$36+Projects!$D$36),Projects!$B$36*(Assumptions!$B$10+Assumptions!$B$11+Assumptions!$B$12)/Projects!$D$36*0.95,0)-IF(AND(Projects!$G$36="Yes",AX$3=Projects!$C$36+Projects!$D$36-1),Projects!$B$36*(Assumptions!$B$10+Assumptions!$B$11+Assumptions!$B$12)*0.05,0)</f>
        <v>727064.1</v>
      </c>
      <c r="AY45" s="19" t="n">
        <f aca="false">IF(AND(Projects!$G$36="Yes",AY$3&gt;=Projects!$C$36,AY$3&lt;Projects!$C$36+Projects!$D$36),Projects!$B$36*INDEX(Curves!$B$4:$AR$4,1,AY$3-Projects!$C$36+1),0)-IF(AND(Projects!$G$36="Yes",AY$3&gt;=Projects!$C$36,AY$3&lt;Projects!$C$36+Projects!$D$36),Projects!$B$36*(Assumptions!$B$10+Assumptions!$B$11+Assumptions!$B$12)/Projects!$D$36*0.95,0)-IF(AND(Projects!$G$36="Yes",AY$3=Projects!$C$36+Projects!$D$36-1),Projects!$B$36*(Assumptions!$B$10+Assumptions!$B$11+Assumptions!$B$12)*0.05,0)</f>
        <v>849572.1</v>
      </c>
      <c r="AZ45" s="19" t="n">
        <f aca="false">IF(AND(Projects!$G$36="Yes",AZ$3&gt;=Projects!$C$36,AZ$3&lt;Projects!$C$36+Projects!$D$36),Projects!$B$36*INDEX(Curves!$B$4:$AR$4,1,AZ$3-Projects!$C$36+1),0)-IF(AND(Projects!$G$36="Yes",AZ$3&gt;=Projects!$C$36,AZ$3&lt;Projects!$C$36+Projects!$D$36),Projects!$B$36*(Assumptions!$B$10+Assumptions!$B$11+Assumptions!$B$12)/Projects!$D$36*0.95,0)-IF(AND(Projects!$G$36="Yes",AZ$3=Projects!$C$36+Projects!$D$36-1),Projects!$B$36*(Assumptions!$B$10+Assumptions!$B$11+Assumptions!$B$12)*0.05,0)</f>
        <v>963044.1</v>
      </c>
      <c r="BA45" s="19" t="n">
        <f aca="false">IF(AND(Projects!$G$36="Yes",BA$3&gt;=Projects!$C$36,BA$3&lt;Projects!$C$36+Projects!$D$36),Projects!$B$36*INDEX(Curves!$B$4:$AR$4,1,BA$3-Projects!$C$36+1),0)-IF(AND(Projects!$G$36="Yes",BA$3&gt;=Projects!$C$36,BA$3&lt;Projects!$C$36+Projects!$D$36),Projects!$B$36*(Assumptions!$B$10+Assumptions!$B$11+Assumptions!$B$12)/Projects!$D$36*0.95,0)-IF(AND(Projects!$G$36="Yes",BA$3=Projects!$C$36+Projects!$D$36-1),Projects!$B$36*(Assumptions!$B$10+Assumptions!$B$11+Assumptions!$B$12)*0.05,0)</f>
        <v>1060514.1</v>
      </c>
      <c r="BB45" s="19" t="n">
        <f aca="false">IF(AND(Projects!$G$36="Yes",BB$3&gt;=Projects!$C$36,BB$3&lt;Projects!$C$36+Projects!$D$36),Projects!$B$36*INDEX(Curves!$B$4:$AR$4,1,BB$3-Projects!$C$36+1),0)-IF(AND(Projects!$G$36="Yes",BB$3&gt;=Projects!$C$36,BB$3&lt;Projects!$C$36+Projects!$D$36),Projects!$B$36*(Assumptions!$B$10+Assumptions!$B$11+Assumptions!$B$12)/Projects!$D$36*0.95,0)-IF(AND(Projects!$G$36="Yes",BB$3=Projects!$C$36+Projects!$D$36-1),Projects!$B$36*(Assumptions!$B$10+Assumptions!$B$11+Assumptions!$B$12)*0.05,0)</f>
        <v>1135520.1</v>
      </c>
      <c r="BC45" s="19" t="n">
        <f aca="false">IF(AND(Projects!$G$36="Yes",BC$3&gt;=Projects!$C$36,BC$3&lt;Projects!$C$36+Projects!$D$36),Projects!$B$36*INDEX(Curves!$B$4:$AR$4,1,BC$3-Projects!$C$36+1),0)-IF(AND(Projects!$G$36="Yes",BC$3&gt;=Projects!$C$36,BC$3&lt;Projects!$C$36+Projects!$D$36),Projects!$B$36*(Assumptions!$B$10+Assumptions!$B$11+Assumptions!$B$12)/Projects!$D$36*0.95,0)-IF(AND(Projects!$G$36="Yes",BC$3=Projects!$C$36+Projects!$D$36-1),Projects!$B$36*(Assumptions!$B$10+Assumptions!$B$11+Assumptions!$B$12)*0.05,0)</f>
        <v>1182824.1</v>
      </c>
      <c r="BD45" s="19" t="n">
        <f aca="false">IF(AND(Projects!$G$36="Yes",BD$3&gt;=Projects!$C$36,BD$3&lt;Projects!$C$36+Projects!$D$36),Projects!$B$36*INDEX(Curves!$B$4:$AR$4,1,BD$3-Projects!$C$36+1),0)-IF(AND(Projects!$G$36="Yes",BD$3&gt;=Projects!$C$36,BD$3&lt;Projects!$C$36+Projects!$D$36),Projects!$B$36*(Assumptions!$B$10+Assumptions!$B$11+Assumptions!$B$12)/Projects!$D$36*0.95,0)-IF(AND(Projects!$G$36="Yes",BD$3=Projects!$C$36+Projects!$D$36-1),Projects!$B$36*(Assumptions!$B$10+Assumptions!$B$11+Assumptions!$B$12)*0.05,0)</f>
        <v>1198988.1</v>
      </c>
      <c r="BE45" s="19" t="n">
        <f aca="false">IF(AND(Projects!$G$36="Yes",BE$3&gt;=Projects!$C$36,BE$3&lt;Projects!$C$36+Projects!$D$36),Projects!$B$36*INDEX(Curves!$B$4:$AR$4,1,BE$3-Projects!$C$36+1),0)-IF(AND(Projects!$G$36="Yes",BE$3&gt;=Projects!$C$36,BE$3&lt;Projects!$C$36+Projects!$D$36),Projects!$B$36*(Assumptions!$B$10+Assumptions!$B$11+Assumptions!$B$12)/Projects!$D$36*0.95,0)-IF(AND(Projects!$G$36="Yes",BE$3=Projects!$C$36+Projects!$D$36-1),Projects!$B$36*(Assumptions!$B$10+Assumptions!$B$11+Assumptions!$B$12)*0.05,0)</f>
        <v>1182824.1</v>
      </c>
      <c r="BF45" s="19" t="n">
        <f aca="false">IF(AND(Projects!$G$36="Yes",BF$3&gt;=Projects!$C$36,BF$3&lt;Projects!$C$36+Projects!$D$36),Projects!$B$36*INDEX(Curves!$B$4:$AR$4,1,BF$3-Projects!$C$36+1),0)-IF(AND(Projects!$G$36="Yes",BF$3&gt;=Projects!$C$36,BF$3&lt;Projects!$C$36+Projects!$D$36),Projects!$B$36*(Assumptions!$B$10+Assumptions!$B$11+Assumptions!$B$12)/Projects!$D$36*0.95,0)-IF(AND(Projects!$G$36="Yes",BF$3=Projects!$C$36+Projects!$D$36-1),Projects!$B$36*(Assumptions!$B$10+Assumptions!$B$11+Assumptions!$B$12)*0.05,0)</f>
        <v>1135520.1</v>
      </c>
      <c r="BG45" s="19" t="n">
        <f aca="false">IF(AND(Projects!$G$36="Yes",BG$3&gt;=Projects!$C$36,BG$3&lt;Projects!$C$36+Projects!$D$36),Projects!$B$36*INDEX(Curves!$B$4:$AR$4,1,BG$3-Projects!$C$36+1),0)-IF(AND(Projects!$G$36="Yes",BG$3&gt;=Projects!$C$36,BG$3&lt;Projects!$C$36+Projects!$D$36),Projects!$B$36*(Assumptions!$B$10+Assumptions!$B$11+Assumptions!$B$12)/Projects!$D$36*0.95,0)-IF(AND(Projects!$G$36="Yes",BG$3=Projects!$C$36+Projects!$D$36-1),Projects!$B$36*(Assumptions!$B$10+Assumptions!$B$11+Assumptions!$B$12)*0.05,0)</f>
        <v>1060514.1</v>
      </c>
      <c r="BH45" s="19" t="n">
        <f aca="false">IF(AND(Projects!$G$36="Yes",BH$3&gt;=Projects!$C$36,BH$3&lt;Projects!$C$36+Projects!$D$36),Projects!$B$36*INDEX(Curves!$B$4:$AR$4,1,BH$3-Projects!$C$36+1),0)-IF(AND(Projects!$G$36="Yes",BH$3&gt;=Projects!$C$36,BH$3&lt;Projects!$C$36+Projects!$D$36),Projects!$B$36*(Assumptions!$B$10+Assumptions!$B$11+Assumptions!$B$12)/Projects!$D$36*0.95,0)-IF(AND(Projects!$G$36="Yes",BH$3=Projects!$C$36+Projects!$D$36-1),Projects!$B$36*(Assumptions!$B$10+Assumptions!$B$11+Assumptions!$B$12)*0.05,0)</f>
        <v>963044.1</v>
      </c>
      <c r="BI45" s="19" t="n">
        <f aca="false">IF(AND(Projects!$G$36="Yes",BI$3&gt;=Projects!$C$36,BI$3&lt;Projects!$C$36+Projects!$D$36),Projects!$B$36*INDEX(Curves!$B$4:$AR$4,1,BI$3-Projects!$C$36+1),0)-IF(AND(Projects!$G$36="Yes",BI$3&gt;=Projects!$C$36,BI$3&lt;Projects!$C$36+Projects!$D$36),Projects!$B$36*(Assumptions!$B$10+Assumptions!$B$11+Assumptions!$B$12)/Projects!$D$36*0.95,0)-IF(AND(Projects!$G$36="Yes",BI$3=Projects!$C$36+Projects!$D$36-1),Projects!$B$36*(Assumptions!$B$10+Assumptions!$B$11+Assumptions!$B$12)*0.05,0)</f>
        <v>849572.1</v>
      </c>
      <c r="BJ45" s="19" t="n">
        <f aca="false">IF(AND(Projects!$G$36="Yes",BJ$3&gt;=Projects!$C$36,BJ$3&lt;Projects!$C$36+Projects!$D$36),Projects!$B$36*INDEX(Curves!$B$4:$AR$4,1,BJ$3-Projects!$C$36+1),0)-IF(AND(Projects!$G$36="Yes",BJ$3&gt;=Projects!$C$36,BJ$3&lt;Projects!$C$36+Projects!$D$36),Projects!$B$36*(Assumptions!$B$10+Assumptions!$B$11+Assumptions!$B$12)/Projects!$D$36*0.95,0)-IF(AND(Projects!$G$36="Yes",BJ$3=Projects!$C$36+Projects!$D$36-1),Projects!$B$36*(Assumptions!$B$10+Assumptions!$B$11+Assumptions!$B$12)*0.05,0)</f>
        <v>727064.1</v>
      </c>
      <c r="BK45" s="19" t="n">
        <f aca="false">IF(AND(Projects!$G$36="Yes",BK$3&gt;=Projects!$C$36,BK$3&lt;Projects!$C$36+Projects!$D$36),Projects!$B$36*INDEX(Curves!$B$4:$AR$4,1,BK$3-Projects!$C$36+1),0)-IF(AND(Projects!$G$36="Yes",BK$3&gt;=Projects!$C$36,BK$3&lt;Projects!$C$36+Projects!$D$36),Projects!$B$36*(Assumptions!$B$10+Assumptions!$B$11+Assumptions!$B$12)/Projects!$D$36*0.95,0)-IF(AND(Projects!$G$36="Yes",BK$3=Projects!$C$36+Projects!$D$36-1),Projects!$B$36*(Assumptions!$B$10+Assumptions!$B$11+Assumptions!$B$12)*0.05,0)</f>
        <v>602324.1</v>
      </c>
      <c r="BL45" s="19" t="n">
        <f aca="false">IF(AND(Projects!$G$36="Yes",BL$3&gt;=Projects!$C$36,BL$3&lt;Projects!$C$36+Projects!$D$36),Projects!$B$36*INDEX(Curves!$B$4:$AR$4,1,BL$3-Projects!$C$36+1),0)-IF(AND(Projects!$G$36="Yes",BL$3&gt;=Projects!$C$36,BL$3&lt;Projects!$C$36+Projects!$D$36),Projects!$B$36*(Assumptions!$B$10+Assumptions!$B$11+Assumptions!$B$12)/Projects!$D$36*0.95,0)-IF(AND(Projects!$G$36="Yes",BL$3=Projects!$C$36+Projects!$D$36-1),Projects!$B$36*(Assumptions!$B$10+Assumptions!$B$11+Assumptions!$B$12)*0.05,0)</f>
        <v>481346.1</v>
      </c>
      <c r="BM45" s="19" t="n">
        <f aca="false">IF(AND(Projects!$G$36="Yes",BM$3&gt;=Projects!$C$36,BM$3&lt;Projects!$C$36+Projects!$D$36),Projects!$B$36*INDEX(Curves!$B$4:$AR$4,1,BM$3-Projects!$C$36+1),0)-IF(AND(Projects!$G$36="Yes",BM$3&gt;=Projects!$C$36,BM$3&lt;Projects!$C$36+Projects!$D$36),Projects!$B$36*(Assumptions!$B$10+Assumptions!$B$11+Assumptions!$B$12)/Projects!$D$36*0.95,0)-IF(AND(Projects!$G$36="Yes",BM$3=Projects!$C$36+Projects!$D$36-1),Projects!$B$36*(Assumptions!$B$10+Assumptions!$B$11+Assumptions!$B$12)*0.05,0)</f>
        <v>260602.2</v>
      </c>
      <c r="BN45" s="19" t="n">
        <f aca="false">IF(AND(Projects!$G$36="Yes",BN$3&gt;=Projects!$C$36,BN$3&lt;Projects!$C$36+Projects!$D$36),Projects!$B$36*INDEX(Curves!$B$4:$AR$4,1,BN$3-Projects!$C$36+1),0)-IF(AND(Projects!$G$36="Yes",BN$3&gt;=Projects!$C$36,BN$3&lt;Projects!$C$36+Projects!$D$36),Projects!$B$36*(Assumptions!$B$10+Assumptions!$B$11+Assumptions!$B$12)/Projects!$D$36*0.95,0)-IF(AND(Projects!$G$36="Yes",BN$3=Projects!$C$36+Projects!$D$36-1),Projects!$B$36*(Assumptions!$B$10+Assumptions!$B$11+Assumptions!$B$12)*0.05,0)</f>
        <v>0</v>
      </c>
      <c r="BO45" s="19" t="n">
        <f aca="false">IF(AND(Projects!$G$36="Yes",BO$3&gt;=Projects!$C$36,BO$3&lt;Projects!$C$36+Projects!$D$36),Projects!$B$36*INDEX(Curves!$B$4:$AR$4,1,BO$3-Projects!$C$36+1),0)-IF(AND(Projects!$G$36="Yes",BO$3&gt;=Projects!$C$36,BO$3&lt;Projects!$C$36+Projects!$D$36),Projects!$B$36*(Assumptions!$B$10+Assumptions!$B$11+Assumptions!$B$12)/Projects!$D$36*0.95,0)-IF(AND(Projects!$G$36="Yes",BO$3=Projects!$C$36+Projects!$D$36-1),Projects!$B$36*(Assumptions!$B$10+Assumptions!$B$11+Assumptions!$B$12)*0.05,0)</f>
        <v>0</v>
      </c>
      <c r="BP45" s="19" t="n">
        <f aca="false">IF(AND(Projects!$G$36="Yes",BP$3&gt;=Projects!$C$36,BP$3&lt;Projects!$C$36+Projects!$D$36),Projects!$B$36*INDEX(Curves!$B$4:$AR$4,1,BP$3-Projects!$C$36+1),0)-IF(AND(Projects!$G$36="Yes",BP$3&gt;=Projects!$C$36,BP$3&lt;Projects!$C$36+Projects!$D$36),Projects!$B$36*(Assumptions!$B$10+Assumptions!$B$11+Assumptions!$B$12)/Projects!$D$36*0.95,0)-IF(AND(Projects!$G$36="Yes",BP$3=Projects!$C$36+Projects!$D$36-1),Projects!$B$36*(Assumptions!$B$10+Assumptions!$B$11+Assumptions!$B$12)*0.05,0)</f>
        <v>0</v>
      </c>
      <c r="BQ45" s="19" t="n">
        <f aca="false">IF(AND(Projects!$G$36="Yes",BQ$3&gt;=Projects!$C$36,BQ$3&lt;Projects!$C$36+Projects!$D$36),Projects!$B$36*INDEX(Curves!$B$4:$AR$4,1,BQ$3-Projects!$C$36+1),0)-IF(AND(Projects!$G$36="Yes",BQ$3&gt;=Projects!$C$36,BQ$3&lt;Projects!$C$36+Projects!$D$36),Projects!$B$36*(Assumptions!$B$10+Assumptions!$B$11+Assumptions!$B$12)/Projects!$D$36*0.95,0)-IF(AND(Projects!$G$36="Yes",BQ$3=Projects!$C$36+Projects!$D$36-1),Projects!$B$36*(Assumptions!$B$10+Assumptions!$B$11+Assumptions!$B$12)*0.05,0)</f>
        <v>0</v>
      </c>
      <c r="BR45" s="19" t="n">
        <f aca="false">IF(AND(Projects!$G$36="Yes",BR$3&gt;=Projects!$C$36,BR$3&lt;Projects!$C$36+Projects!$D$36),Projects!$B$36*INDEX(Curves!$B$4:$AR$4,1,BR$3-Projects!$C$36+1),0)-IF(AND(Projects!$G$36="Yes",BR$3&gt;=Projects!$C$36,BR$3&lt;Projects!$C$36+Projects!$D$36),Projects!$B$36*(Assumptions!$B$10+Assumptions!$B$11+Assumptions!$B$12)/Projects!$D$36*0.95,0)-IF(AND(Projects!$G$36="Yes",BR$3=Projects!$C$36+Projects!$D$36-1),Projects!$B$36*(Assumptions!$B$10+Assumptions!$B$11+Assumptions!$B$12)*0.05,0)</f>
        <v>0</v>
      </c>
      <c r="BS45" s="19" t="n">
        <f aca="false">IF(AND(Projects!$G$36="Yes",BS$3&gt;=Projects!$C$36,BS$3&lt;Projects!$C$36+Projects!$D$36),Projects!$B$36*INDEX(Curves!$B$4:$AR$4,1,BS$3-Projects!$C$36+1),0)-IF(AND(Projects!$G$36="Yes",BS$3&gt;=Projects!$C$36,BS$3&lt;Projects!$C$36+Projects!$D$36),Projects!$B$36*(Assumptions!$B$10+Assumptions!$B$11+Assumptions!$B$12)/Projects!$D$36*0.95,0)-IF(AND(Projects!$G$36="Yes",BS$3=Projects!$C$36+Projects!$D$36-1),Projects!$B$36*(Assumptions!$B$10+Assumptions!$B$11+Assumptions!$B$12)*0.05,0)</f>
        <v>0</v>
      </c>
      <c r="BT45" s="19" t="n">
        <f aca="false">IF(AND(Projects!$G$36="Yes",BT$3&gt;=Projects!$C$36,BT$3&lt;Projects!$C$36+Projects!$D$36),Projects!$B$36*INDEX(Curves!$B$4:$AR$4,1,BT$3-Projects!$C$36+1),0)-IF(AND(Projects!$G$36="Yes",BT$3&gt;=Projects!$C$36,BT$3&lt;Projects!$C$36+Projects!$D$36),Projects!$B$36*(Assumptions!$B$10+Assumptions!$B$11+Assumptions!$B$12)/Projects!$D$36*0.95,0)-IF(AND(Projects!$G$36="Yes",BT$3=Projects!$C$36+Projects!$D$36-1),Projects!$B$36*(Assumptions!$B$10+Assumptions!$B$11+Assumptions!$B$12)*0.05,0)</f>
        <v>0</v>
      </c>
      <c r="BU45" s="19" t="n">
        <f aca="false">IF(AND(Projects!$G$36="Yes",BU$3&gt;=Projects!$C$36,BU$3&lt;Projects!$C$36+Projects!$D$36),Projects!$B$36*INDEX(Curves!$B$4:$AR$4,1,BU$3-Projects!$C$36+1),0)-IF(AND(Projects!$G$36="Yes",BU$3&gt;=Projects!$C$36,BU$3&lt;Projects!$C$36+Projects!$D$36),Projects!$B$36*(Assumptions!$B$10+Assumptions!$B$11+Assumptions!$B$12)/Projects!$D$36*0.95,0)-IF(AND(Projects!$G$36="Yes",BU$3=Projects!$C$36+Projects!$D$36-1),Projects!$B$36*(Assumptions!$B$10+Assumptions!$B$11+Assumptions!$B$12)*0.05,0)</f>
        <v>0</v>
      </c>
      <c r="BV45" s="19" t="n">
        <f aca="false">IF(AND(Projects!$G$36="Yes",BV$3&gt;=Projects!$C$36,BV$3&lt;Projects!$C$36+Projects!$D$36),Projects!$B$36*INDEX(Curves!$B$4:$AR$4,1,BV$3-Projects!$C$36+1),0)-IF(AND(Projects!$G$36="Yes",BV$3&gt;=Projects!$C$36,BV$3&lt;Projects!$C$36+Projects!$D$36),Projects!$B$36*(Assumptions!$B$10+Assumptions!$B$11+Assumptions!$B$12)/Projects!$D$36*0.95,0)-IF(AND(Projects!$G$36="Yes",BV$3=Projects!$C$36+Projects!$D$36-1),Projects!$B$36*(Assumptions!$B$10+Assumptions!$B$11+Assumptions!$B$12)*0.05,0)</f>
        <v>0</v>
      </c>
      <c r="BW45" s="19" t="n">
        <f aca="false">IF(AND(Projects!$G$36="Yes",BW$3&gt;=Projects!$C$36,BW$3&lt;Projects!$C$36+Projects!$D$36),Projects!$B$36*INDEX(Curves!$B$4:$AR$4,1,BW$3-Projects!$C$36+1),0)-IF(AND(Projects!$G$36="Yes",BW$3&gt;=Projects!$C$36,BW$3&lt;Projects!$C$36+Projects!$D$36),Projects!$B$36*(Assumptions!$B$10+Assumptions!$B$11+Assumptions!$B$12)/Projects!$D$36*0.95,0)-IF(AND(Projects!$G$36="Yes",BW$3=Projects!$C$36+Projects!$D$36-1),Projects!$B$36*(Assumptions!$B$10+Assumptions!$B$11+Assumptions!$B$12)*0.05,0)</f>
        <v>0</v>
      </c>
      <c r="BX45" s="19" t="n">
        <f aca="false">IF(AND(Projects!$G$36="Yes",BX$3&gt;=Projects!$C$36,BX$3&lt;Projects!$C$36+Projects!$D$36),Projects!$B$36*INDEX(Curves!$B$4:$AR$4,1,BX$3-Projects!$C$36+1),0)-IF(AND(Projects!$G$36="Yes",BX$3&gt;=Projects!$C$36,BX$3&lt;Projects!$C$36+Projects!$D$36),Projects!$B$36*(Assumptions!$B$10+Assumptions!$B$11+Assumptions!$B$12)/Projects!$D$36*0.95,0)-IF(AND(Projects!$G$36="Yes",BX$3=Projects!$C$36+Projects!$D$36-1),Projects!$B$36*(Assumptions!$B$10+Assumptions!$B$11+Assumptions!$B$12)*0.05,0)</f>
        <v>0</v>
      </c>
      <c r="BY45" s="19" t="n">
        <f aca="false">IF(AND(Projects!$G$36="Yes",BY$3&gt;=Projects!$C$36,BY$3&lt;Projects!$C$36+Projects!$D$36),Projects!$B$36*INDEX(Curves!$B$4:$AR$4,1,BY$3-Projects!$C$36+1),0)-IF(AND(Projects!$G$36="Yes",BY$3&gt;=Projects!$C$36,BY$3&lt;Projects!$C$36+Projects!$D$36),Projects!$B$36*(Assumptions!$B$10+Assumptions!$B$11+Assumptions!$B$12)/Projects!$D$36*0.95,0)-IF(AND(Projects!$G$36="Yes",BY$3=Projects!$C$36+Projects!$D$36-1),Projects!$B$36*(Assumptions!$B$10+Assumptions!$B$11+Assumptions!$B$12)*0.05,0)</f>
        <v>0</v>
      </c>
      <c r="BZ45" s="19" t="n">
        <f aca="false">IF(AND(Projects!$G$36="Yes",BZ$3&gt;=Projects!$C$36,BZ$3&lt;Projects!$C$36+Projects!$D$36),Projects!$B$36*INDEX(Curves!$B$4:$AR$4,1,BZ$3-Projects!$C$36+1),0)-IF(AND(Projects!$G$36="Yes",BZ$3&gt;=Projects!$C$36,BZ$3&lt;Projects!$C$36+Projects!$D$36),Projects!$B$36*(Assumptions!$B$10+Assumptions!$B$11+Assumptions!$B$12)/Projects!$D$36*0.95,0)-IF(AND(Projects!$G$36="Yes",BZ$3=Projects!$C$36+Projects!$D$36-1),Projects!$B$36*(Assumptions!$B$10+Assumptions!$B$11+Assumptions!$B$12)*0.05,0)</f>
        <v>0</v>
      </c>
      <c r="CA45" s="19" t="n">
        <f aca="false">IF(AND(Projects!$G$36="Yes",CA$3&gt;=Projects!$C$36,CA$3&lt;Projects!$C$36+Projects!$D$36),Projects!$B$36*INDEX(Curves!$B$4:$AR$4,1,CA$3-Projects!$C$36+1),0)-IF(AND(Projects!$G$36="Yes",CA$3&gt;=Projects!$C$36,CA$3&lt;Projects!$C$36+Projects!$D$36),Projects!$B$36*(Assumptions!$B$10+Assumptions!$B$11+Assumptions!$B$12)/Projects!$D$36*0.95,0)-IF(AND(Projects!$G$36="Yes",CA$3=Projects!$C$36+Projects!$D$36-1),Projects!$B$36*(Assumptions!$B$10+Assumptions!$B$11+Assumptions!$B$12)*0.05,0)</f>
        <v>0</v>
      </c>
      <c r="CB45" s="19" t="n">
        <f aca="false">IF(AND(Projects!$G$36="Yes",CB$3&gt;=Projects!$C$36,CB$3&lt;Projects!$C$36+Projects!$D$36),Projects!$B$36*INDEX(Curves!$B$4:$AR$4,1,CB$3-Projects!$C$36+1),0)-IF(AND(Projects!$G$36="Yes",CB$3&gt;=Projects!$C$36,CB$3&lt;Projects!$C$36+Projects!$D$36),Projects!$B$36*(Assumptions!$B$10+Assumptions!$B$11+Assumptions!$B$12)/Projects!$D$36*0.95,0)-IF(AND(Projects!$G$36="Yes",CB$3=Projects!$C$36+Projects!$D$36-1),Projects!$B$36*(Assumptions!$B$10+Assumptions!$B$11+Assumptions!$B$12)*0.05,0)</f>
        <v>0</v>
      </c>
      <c r="CC45" s="19" t="n">
        <f aca="false">IF(AND(Projects!$G$36="Yes",CC$3&gt;=Projects!$C$36,CC$3&lt;Projects!$C$36+Projects!$D$36),Projects!$B$36*INDEX(Curves!$B$4:$AR$4,1,CC$3-Projects!$C$36+1),0)-IF(AND(Projects!$G$36="Yes",CC$3&gt;=Projects!$C$36,CC$3&lt;Projects!$C$36+Projects!$D$36),Projects!$B$36*(Assumptions!$B$10+Assumptions!$B$11+Assumptions!$B$12)/Projects!$D$36*0.95,0)-IF(AND(Projects!$G$36="Yes",CC$3=Projects!$C$36+Projects!$D$36-1),Projects!$B$36*(Assumptions!$B$10+Assumptions!$B$11+Assumptions!$B$12)*0.05,0)</f>
        <v>0</v>
      </c>
      <c r="CD45" s="19" t="n">
        <f aca="false">IF(AND(Projects!$G$36="Yes",CD$3&gt;=Projects!$C$36,CD$3&lt;Projects!$C$36+Projects!$D$36),Projects!$B$36*INDEX(Curves!$B$4:$AR$4,1,CD$3-Projects!$C$36+1),0)-IF(AND(Projects!$G$36="Yes",CD$3&gt;=Projects!$C$36,CD$3&lt;Projects!$C$36+Projects!$D$36),Projects!$B$36*(Assumptions!$B$10+Assumptions!$B$11+Assumptions!$B$12)/Projects!$D$36*0.95,0)-IF(AND(Projects!$G$36="Yes",CD$3=Projects!$C$36+Projects!$D$36-1),Projects!$B$36*(Assumptions!$B$10+Assumptions!$B$11+Assumptions!$B$12)*0.05,0)</f>
        <v>0</v>
      </c>
      <c r="CE45" s="19" t="n">
        <f aca="false">IF(AND(Projects!$G$36="Yes",CE$3&gt;=Projects!$C$36,CE$3&lt;Projects!$C$36+Projects!$D$36),Projects!$B$36*INDEX(Curves!$B$4:$AR$4,1,CE$3-Projects!$C$36+1),0)-IF(AND(Projects!$G$36="Yes",CE$3&gt;=Projects!$C$36,CE$3&lt;Projects!$C$36+Projects!$D$36),Projects!$B$36*(Assumptions!$B$10+Assumptions!$B$11+Assumptions!$B$12)/Projects!$D$36*0.95,0)-IF(AND(Projects!$G$36="Yes",CE$3=Projects!$C$36+Projects!$D$36-1),Projects!$B$36*(Assumptions!$B$10+Assumptions!$B$11+Assumptions!$B$12)*0.05,0)</f>
        <v>0</v>
      </c>
      <c r="CF45" s="19" t="n">
        <f aca="false">IF(AND(Projects!$G$36="Yes",CF$3&gt;=Projects!$C$36,CF$3&lt;Projects!$C$36+Projects!$D$36),Projects!$B$36*INDEX(Curves!$B$4:$AR$4,1,CF$3-Projects!$C$36+1),0)-IF(AND(Projects!$G$36="Yes",CF$3&gt;=Projects!$C$36,CF$3&lt;Projects!$C$36+Projects!$D$36),Projects!$B$36*(Assumptions!$B$10+Assumptions!$B$11+Assumptions!$B$12)/Projects!$D$36*0.95,0)-IF(AND(Projects!$G$36="Yes",CF$3=Projects!$C$36+Projects!$D$36-1),Projects!$B$36*(Assumptions!$B$10+Assumptions!$B$11+Assumptions!$B$12)*0.05,0)</f>
        <v>0</v>
      </c>
      <c r="CG45" s="19" t="n">
        <f aca="false">IF(AND(Projects!$G$36="Yes",CG$3&gt;=Projects!$C$36,CG$3&lt;Projects!$C$36+Projects!$D$36),Projects!$B$36*INDEX(Curves!$B$4:$AR$4,1,CG$3-Projects!$C$36+1),0)-IF(AND(Projects!$G$36="Yes",CG$3&gt;=Projects!$C$36,CG$3&lt;Projects!$C$36+Projects!$D$36),Projects!$B$36*(Assumptions!$B$10+Assumptions!$B$11+Assumptions!$B$12)/Projects!$D$36*0.95,0)-IF(AND(Projects!$G$36="Yes",CG$3=Projects!$C$36+Projects!$D$36-1),Projects!$B$36*(Assumptions!$B$10+Assumptions!$B$11+Assumptions!$B$12)*0.05,0)</f>
        <v>0</v>
      </c>
      <c r="CH45" s="19" t="n">
        <f aca="false">IF(AND(Projects!$G$36="Yes",CH$3&gt;=Projects!$C$36,CH$3&lt;Projects!$C$36+Projects!$D$36),Projects!$B$36*INDEX(Curves!$B$4:$AR$4,1,CH$3-Projects!$C$36+1),0)-IF(AND(Projects!$G$36="Yes",CH$3&gt;=Projects!$C$36,CH$3&lt;Projects!$C$36+Projects!$D$36),Projects!$B$36*(Assumptions!$B$10+Assumptions!$B$11+Assumptions!$B$12)/Projects!$D$36*0.95,0)-IF(AND(Projects!$G$36="Yes",CH$3=Projects!$C$36+Projects!$D$36-1),Projects!$B$36*(Assumptions!$B$10+Assumptions!$B$11+Assumptions!$B$12)*0.05,0)</f>
        <v>0</v>
      </c>
      <c r="CI45" s="19" t="n">
        <f aca="false">IF(AND(Projects!$G$36="Yes",CI$3&gt;=Projects!$C$36,CI$3&lt;Projects!$C$36+Projects!$D$36),Projects!$B$36*INDEX(Curves!$B$4:$AR$4,1,CI$3-Projects!$C$36+1),0)-IF(AND(Projects!$G$36="Yes",CI$3&gt;=Projects!$C$36,CI$3&lt;Projects!$C$36+Projects!$D$36),Projects!$B$36*(Assumptions!$B$10+Assumptions!$B$11+Assumptions!$B$12)/Projects!$D$36*0.95,0)-IF(AND(Projects!$G$36="Yes",CI$3=Projects!$C$36+Projects!$D$36-1),Projects!$B$36*(Assumptions!$B$10+Assumptions!$B$11+Assumptions!$B$12)*0.05,0)</f>
        <v>0</v>
      </c>
      <c r="CJ45" s="19" t="n">
        <f aca="false">IF(AND(Projects!$G$36="Yes",CJ$3&gt;=Projects!$C$36,CJ$3&lt;Projects!$C$36+Projects!$D$36),Projects!$B$36*INDEX(Curves!$B$4:$AR$4,1,CJ$3-Projects!$C$36+1),0)-IF(AND(Projects!$G$36="Yes",CJ$3&gt;=Projects!$C$36,CJ$3&lt;Projects!$C$36+Projects!$D$36),Projects!$B$36*(Assumptions!$B$10+Assumptions!$B$11+Assumptions!$B$12)/Projects!$D$36*0.95,0)-IF(AND(Projects!$G$36="Yes",CJ$3=Projects!$C$36+Projects!$D$36-1),Projects!$B$36*(Assumptions!$B$10+Assumptions!$B$11+Assumptions!$B$12)*0.05,0)</f>
        <v>0</v>
      </c>
      <c r="CK45" s="19" t="n">
        <f aca="false">IF(AND(Projects!$G$36="Yes",CK$3&gt;=Projects!$C$36,CK$3&lt;Projects!$C$36+Projects!$D$36),Projects!$B$36*INDEX(Curves!$B$4:$AR$4,1,CK$3-Projects!$C$36+1),0)-IF(AND(Projects!$G$36="Yes",CK$3&gt;=Projects!$C$36,CK$3&lt;Projects!$C$36+Projects!$D$36),Projects!$B$36*(Assumptions!$B$10+Assumptions!$B$11+Assumptions!$B$12)/Projects!$D$36*0.95,0)-IF(AND(Projects!$G$36="Yes",CK$3=Projects!$C$36+Projects!$D$36-1),Projects!$B$36*(Assumptions!$B$10+Assumptions!$B$11+Assumptions!$B$12)*0.05,0)</f>
        <v>0</v>
      </c>
      <c r="CL45" s="19" t="n">
        <f aca="false">IF(AND(Projects!$G$36="Yes",CL$3&gt;=Projects!$C$36,CL$3&lt;Projects!$C$36+Projects!$D$36),Projects!$B$36*INDEX(Curves!$B$4:$AR$4,1,CL$3-Projects!$C$36+1),0)-IF(AND(Projects!$G$36="Yes",CL$3&gt;=Projects!$C$36,CL$3&lt;Projects!$C$36+Projects!$D$36),Projects!$B$36*(Assumptions!$B$10+Assumptions!$B$11+Assumptions!$B$12)/Projects!$D$36*0.95,0)-IF(AND(Projects!$G$36="Yes",CL$3=Projects!$C$36+Projects!$D$36-1),Projects!$B$36*(Assumptions!$B$10+Assumptions!$B$11+Assumptions!$B$12)*0.05,0)</f>
        <v>0</v>
      </c>
      <c r="CM45" s="19" t="n">
        <f aca="false">IF(AND(Projects!$G$36="Yes",CM$3&gt;=Projects!$C$36,CM$3&lt;Projects!$C$36+Projects!$D$36),Projects!$B$36*INDEX(Curves!$B$4:$AR$4,1,CM$3-Projects!$C$36+1),0)-IF(AND(Projects!$G$36="Yes",CM$3&gt;=Projects!$C$36,CM$3&lt;Projects!$C$36+Projects!$D$36),Projects!$B$36*(Assumptions!$B$10+Assumptions!$B$11+Assumptions!$B$12)/Projects!$D$36*0.95,0)-IF(AND(Projects!$G$36="Yes",CM$3=Projects!$C$36+Projects!$D$36-1),Projects!$B$36*(Assumptions!$B$10+Assumptions!$B$11+Assumptions!$B$12)*0.05,0)</f>
        <v>0</v>
      </c>
      <c r="CN45" s="19" t="n">
        <f aca="false">IF(AND(Projects!$G$36="Yes",CN$3&gt;=Projects!$C$36,CN$3&lt;Projects!$C$36+Projects!$D$36),Projects!$B$36*INDEX(Curves!$B$4:$AR$4,1,CN$3-Projects!$C$36+1),0)-IF(AND(Projects!$G$36="Yes",CN$3&gt;=Projects!$C$36,CN$3&lt;Projects!$C$36+Projects!$D$36),Projects!$B$36*(Assumptions!$B$10+Assumptions!$B$11+Assumptions!$B$12)/Projects!$D$36*0.95,0)-IF(AND(Projects!$G$36="Yes",CN$3=Projects!$C$36+Projects!$D$36-1),Projects!$B$36*(Assumptions!$B$10+Assumptions!$B$11+Assumptions!$B$12)*0.05,0)</f>
        <v>0</v>
      </c>
      <c r="CO45" s="19" t="n">
        <f aca="false">IF(AND(Projects!$G$36="Yes",CO$3&gt;=Projects!$C$36,CO$3&lt;Projects!$C$36+Projects!$D$36),Projects!$B$36*INDEX(Curves!$B$4:$AR$4,1,CO$3-Projects!$C$36+1),0)-IF(AND(Projects!$G$36="Yes",CO$3&gt;=Projects!$C$36,CO$3&lt;Projects!$C$36+Projects!$D$36),Projects!$B$36*(Assumptions!$B$10+Assumptions!$B$11+Assumptions!$B$12)/Projects!$D$36*0.95,0)-IF(AND(Projects!$G$36="Yes",CO$3=Projects!$C$36+Projects!$D$36-1),Projects!$B$36*(Assumptions!$B$10+Assumptions!$B$11+Assumptions!$B$12)*0.05,0)</f>
        <v>0</v>
      </c>
      <c r="CP45" s="19" t="n">
        <f aca="false">IF(AND(Projects!$G$36="Yes",CP$3&gt;=Projects!$C$36,CP$3&lt;Projects!$C$36+Projects!$D$36),Projects!$B$36*INDEX(Curves!$B$4:$AR$4,1,CP$3-Projects!$C$36+1),0)-IF(AND(Projects!$G$36="Yes",CP$3&gt;=Projects!$C$36,CP$3&lt;Projects!$C$36+Projects!$D$36),Projects!$B$36*(Assumptions!$B$10+Assumptions!$B$11+Assumptions!$B$12)/Projects!$D$36*0.95,0)-IF(AND(Projects!$G$36="Yes",CP$3=Projects!$C$36+Projects!$D$36-1),Projects!$B$36*(Assumptions!$B$10+Assumptions!$B$11+Assumptions!$B$12)*0.05,0)</f>
        <v>0</v>
      </c>
      <c r="CQ45" s="19" t="n">
        <f aca="false">IF(AND(Projects!$G$36="Yes",CQ$3&gt;=Projects!$C$36,CQ$3&lt;Projects!$C$36+Projects!$D$36),Projects!$B$36*INDEX(Curves!$B$4:$AR$4,1,CQ$3-Projects!$C$36+1),0)-IF(AND(Projects!$G$36="Yes",CQ$3&gt;=Projects!$C$36,CQ$3&lt;Projects!$C$36+Projects!$D$36),Projects!$B$36*(Assumptions!$B$10+Assumptions!$B$11+Assumptions!$B$12)/Projects!$D$36*0.95,0)-IF(AND(Projects!$G$36="Yes",CQ$3=Projects!$C$36+Projects!$D$36-1),Projects!$B$36*(Assumptions!$B$10+Assumptions!$B$11+Assumptions!$B$12)*0.05,0)</f>
        <v>0</v>
      </c>
      <c r="CR45" s="19" t="n">
        <f aca="false">IF(AND(Projects!$G$36="Yes",CR$3&gt;=Projects!$C$36,CR$3&lt;Projects!$C$36+Projects!$D$36),Projects!$B$36*INDEX(Curves!$B$4:$AR$4,1,CR$3-Projects!$C$36+1),0)-IF(AND(Projects!$G$36="Yes",CR$3&gt;=Projects!$C$36,CR$3&lt;Projects!$C$36+Projects!$D$36),Projects!$B$36*(Assumptions!$B$10+Assumptions!$B$11+Assumptions!$B$12)/Projects!$D$36*0.95,0)-IF(AND(Projects!$G$36="Yes",CR$3=Projects!$C$36+Projects!$D$36-1),Projects!$B$36*(Assumptions!$B$10+Assumptions!$B$11+Assumptions!$B$12)*0.05,0)</f>
        <v>0</v>
      </c>
      <c r="CS45" s="19" t="n">
        <f aca="false">IF(AND(Projects!$G$36="Yes",CS$3&gt;=Projects!$C$36,CS$3&lt;Projects!$C$36+Projects!$D$36),Projects!$B$36*INDEX(Curves!$B$4:$AR$4,1,CS$3-Projects!$C$36+1),0)-IF(AND(Projects!$G$36="Yes",CS$3&gt;=Projects!$C$36,CS$3&lt;Projects!$C$36+Projects!$D$36),Projects!$B$36*(Assumptions!$B$10+Assumptions!$B$11+Assumptions!$B$12)/Projects!$D$36*0.95,0)-IF(AND(Projects!$G$36="Yes",CS$3=Projects!$C$36+Projects!$D$36-1),Projects!$B$36*(Assumptions!$B$10+Assumptions!$B$11+Assumptions!$B$12)*0.05,0)</f>
        <v>0</v>
      </c>
      <c r="CT45" s="19" t="n">
        <f aca="false">IF(AND(Projects!$G$36="Yes",CT$3&gt;=Projects!$C$36,CT$3&lt;Projects!$C$36+Projects!$D$36),Projects!$B$36*INDEX(Curves!$B$4:$AR$4,1,CT$3-Projects!$C$36+1),0)-IF(AND(Projects!$G$36="Yes",CT$3&gt;=Projects!$C$36,CT$3&lt;Projects!$C$36+Projects!$D$36),Projects!$B$36*(Assumptions!$B$10+Assumptions!$B$11+Assumptions!$B$12)/Projects!$D$36*0.95,0)-IF(AND(Projects!$G$36="Yes",CT$3=Projects!$C$36+Projects!$D$36-1),Projects!$B$36*(Assumptions!$B$10+Assumptions!$B$11+Assumptions!$B$12)*0.05,0)</f>
        <v>0</v>
      </c>
      <c r="CU45" s="19" t="n">
        <f aca="false">IF(AND(Projects!$G$36="Yes",CU$3&gt;=Projects!$C$36,CU$3&lt;Projects!$C$36+Projects!$D$36),Projects!$B$36*INDEX(Curves!$B$4:$AR$4,1,CU$3-Projects!$C$36+1),0)-IF(AND(Projects!$G$36="Yes",CU$3&gt;=Projects!$C$36,CU$3&lt;Projects!$C$36+Projects!$D$36),Projects!$B$36*(Assumptions!$B$10+Assumptions!$B$11+Assumptions!$B$12)/Projects!$D$36*0.95,0)-IF(AND(Projects!$G$36="Yes",CU$3=Projects!$C$36+Projects!$D$36-1),Projects!$B$36*(Assumptions!$B$10+Assumptions!$B$11+Assumptions!$B$12)*0.05,0)</f>
        <v>0</v>
      </c>
      <c r="CV45" s="19" t="n">
        <f aca="false">IF(AND(Projects!$G$36="Yes",CV$3&gt;=Projects!$C$36,CV$3&lt;Projects!$C$36+Projects!$D$36),Projects!$B$36*INDEX(Curves!$B$4:$AR$4,1,CV$3-Projects!$C$36+1),0)-IF(AND(Projects!$G$36="Yes",CV$3&gt;=Projects!$C$36,CV$3&lt;Projects!$C$36+Projects!$D$36),Projects!$B$36*(Assumptions!$B$10+Assumptions!$B$11+Assumptions!$B$12)/Projects!$D$36*0.95,0)-IF(AND(Projects!$G$36="Yes",CV$3=Projects!$C$36+Projects!$D$36-1),Projects!$B$36*(Assumptions!$B$10+Assumptions!$B$11+Assumptions!$B$12)*0.05,0)</f>
        <v>0</v>
      </c>
      <c r="CW45" s="19" t="n">
        <f aca="false">IF(AND(Projects!$G$36="Yes",CW$3&gt;=Projects!$C$36,CW$3&lt;Projects!$C$36+Projects!$D$36),Projects!$B$36*INDEX(Curves!$B$4:$AR$4,1,CW$3-Projects!$C$36+1),0)-IF(AND(Projects!$G$36="Yes",CW$3&gt;=Projects!$C$36,CW$3&lt;Projects!$C$36+Projects!$D$36),Projects!$B$36*(Assumptions!$B$10+Assumptions!$B$11+Assumptions!$B$12)/Projects!$D$36*0.95,0)-IF(AND(Projects!$G$36="Yes",CW$3=Projects!$C$36+Projects!$D$36-1),Projects!$B$36*(Assumptions!$B$10+Assumptions!$B$11+Assumptions!$B$12)*0.05,0)</f>
        <v>0</v>
      </c>
      <c r="CX45" s="19" t="n">
        <f aca="false">IF(AND(Projects!$G$36="Yes",CX$3&gt;=Projects!$C$36,CX$3&lt;Projects!$C$36+Projects!$D$36),Projects!$B$36*INDEX(Curves!$B$4:$AR$4,1,CX$3-Projects!$C$36+1),0)-IF(AND(Projects!$G$36="Yes",CX$3&gt;=Projects!$C$36,CX$3&lt;Projects!$C$36+Projects!$D$36),Projects!$B$36*(Assumptions!$B$10+Assumptions!$B$11+Assumptions!$B$12)/Projects!$D$36*0.95,0)-IF(AND(Projects!$G$36="Yes",CX$3=Projects!$C$36+Projects!$D$36-1),Projects!$B$36*(Assumptions!$B$10+Assumptions!$B$11+Assumptions!$B$12)*0.05,0)</f>
        <v>0</v>
      </c>
      <c r="CY45" s="19" t="n">
        <f aca="false">IF(AND(Projects!$G$36="Yes",CY$3&gt;=Projects!$C$36,CY$3&lt;Projects!$C$36+Projects!$D$36),Projects!$B$36*INDEX(Curves!$B$4:$AR$4,1,CY$3-Projects!$C$36+1),0)-IF(AND(Projects!$G$36="Yes",CY$3&gt;=Projects!$C$36,CY$3&lt;Projects!$C$36+Projects!$D$36),Projects!$B$36*(Assumptions!$B$10+Assumptions!$B$11+Assumptions!$B$12)/Projects!$D$36*0.95,0)-IF(AND(Projects!$G$36="Yes",CY$3=Projects!$C$36+Projects!$D$36-1),Projects!$B$36*(Assumptions!$B$10+Assumptions!$B$11+Assumptions!$B$12)*0.05,0)</f>
        <v>0</v>
      </c>
      <c r="CZ45" s="19" t="n">
        <f aca="false">IF(AND(Projects!$G$36="Yes",CZ$3&gt;=Projects!$C$36,CZ$3&lt;Projects!$C$36+Projects!$D$36),Projects!$B$36*INDEX(Curves!$B$4:$AR$4,1,CZ$3-Projects!$C$36+1),0)-IF(AND(Projects!$G$36="Yes",CZ$3&gt;=Projects!$C$36,CZ$3&lt;Projects!$C$36+Projects!$D$36),Projects!$B$36*(Assumptions!$B$10+Assumptions!$B$11+Assumptions!$B$12)/Projects!$D$36*0.95,0)-IF(AND(Projects!$G$36="Yes",CZ$3=Projects!$C$36+Projects!$D$36-1),Projects!$B$36*(Assumptions!$B$10+Assumptions!$B$11+Assumptions!$B$12)*0.05,0)</f>
        <v>0</v>
      </c>
      <c r="DA45" s="19" t="n">
        <f aca="false">IF(AND(Projects!$G$36="Yes",DA$3&gt;=Projects!$C$36,DA$3&lt;Projects!$C$36+Projects!$D$36),Projects!$B$36*INDEX(Curves!$B$4:$AR$4,1,DA$3-Projects!$C$36+1),0)-IF(AND(Projects!$G$36="Yes",DA$3&gt;=Projects!$C$36,DA$3&lt;Projects!$C$36+Projects!$D$36),Projects!$B$36*(Assumptions!$B$10+Assumptions!$B$11+Assumptions!$B$12)/Projects!$D$36*0.95,0)-IF(AND(Projects!$G$36="Yes",DA$3=Projects!$C$36+Projects!$D$36-1),Projects!$B$36*(Assumptions!$B$10+Assumptions!$B$11+Assumptions!$B$12)*0.05,0)</f>
        <v>0</v>
      </c>
      <c r="DB45" s="19" t="n">
        <f aca="false">IF(AND(Projects!$G$36="Yes",DB$3&gt;=Projects!$C$36,DB$3&lt;Projects!$C$36+Projects!$D$36),Projects!$B$36*INDEX(Curves!$B$4:$AR$4,1,DB$3-Projects!$C$36+1),0)-IF(AND(Projects!$G$36="Yes",DB$3&gt;=Projects!$C$36,DB$3&lt;Projects!$C$36+Projects!$D$36),Projects!$B$36*(Assumptions!$B$10+Assumptions!$B$11+Assumptions!$B$12)/Projects!$D$36*0.95,0)-IF(AND(Projects!$G$36="Yes",DB$3=Projects!$C$36+Projects!$D$36-1),Projects!$B$36*(Assumptions!$B$10+Assumptions!$B$11+Assumptions!$B$12)*0.05,0)</f>
        <v>0</v>
      </c>
      <c r="DC45" s="19" t="n">
        <f aca="false">IF(AND(Projects!$G$36="Yes",DC$3&gt;=Projects!$C$36,DC$3&lt;Projects!$C$36+Projects!$D$36),Projects!$B$36*INDEX(Curves!$B$4:$AR$4,1,DC$3-Projects!$C$36+1),0)-IF(AND(Projects!$G$36="Yes",DC$3&gt;=Projects!$C$36,DC$3&lt;Projects!$C$36+Projects!$D$36),Projects!$B$36*(Assumptions!$B$10+Assumptions!$B$11+Assumptions!$B$12)/Projects!$D$36*0.95,0)-IF(AND(Projects!$G$36="Yes",DC$3=Projects!$C$36+Projects!$D$36-1),Projects!$B$36*(Assumptions!$B$10+Assumptions!$B$11+Assumptions!$B$12)*0.05,0)</f>
        <v>0</v>
      </c>
      <c r="DD45" s="19" t="n">
        <f aca="false">IF(AND(Projects!$G$36="Yes",DD$3&gt;=Projects!$C$36,DD$3&lt;Projects!$C$36+Projects!$D$36),Projects!$B$36*INDEX(Curves!$B$4:$AR$4,1,DD$3-Projects!$C$36+1),0)-IF(AND(Projects!$G$36="Yes",DD$3&gt;=Projects!$C$36,DD$3&lt;Projects!$C$36+Projects!$D$36),Projects!$B$36*(Assumptions!$B$10+Assumptions!$B$11+Assumptions!$B$12)/Projects!$D$36*0.95,0)-IF(AND(Projects!$G$36="Yes",DD$3=Projects!$C$36+Projects!$D$36-1),Projects!$B$36*(Assumptions!$B$10+Assumptions!$B$11+Assumptions!$B$12)*0.05,0)</f>
        <v>0</v>
      </c>
      <c r="DE45" s="19" t="n">
        <f aca="false">IF(AND(Projects!$G$36="Yes",DE$3&gt;=Projects!$C$36,DE$3&lt;Projects!$C$36+Projects!$D$36),Projects!$B$36*INDEX(Curves!$B$4:$AR$4,1,DE$3-Projects!$C$36+1),0)-IF(AND(Projects!$G$36="Yes",DE$3&gt;=Projects!$C$36,DE$3&lt;Projects!$C$36+Projects!$D$36),Projects!$B$36*(Assumptions!$B$10+Assumptions!$B$11+Assumptions!$B$12)/Projects!$D$36*0.95,0)-IF(AND(Projects!$G$36="Yes",DE$3=Projects!$C$36+Projects!$D$36-1),Projects!$B$36*(Assumptions!$B$10+Assumptions!$B$11+Assumptions!$B$12)*0.05,0)</f>
        <v>0</v>
      </c>
    </row>
    <row r="46" customFormat="false" ht="15" hidden="true" customHeight="true" outlineLevel="1" collapsed="false">
      <c r="A46" s="28" t="s">
        <v>40</v>
      </c>
      <c r="B46" s="19" t="n">
        <v>0</v>
      </c>
      <c r="C46" s="19" t="n">
        <v>0</v>
      </c>
      <c r="D46" s="19" t="n">
        <v>0</v>
      </c>
      <c r="E46" s="19" t="n">
        <v>0</v>
      </c>
      <c r="F46" s="19" t="n">
        <f aca="false">IF(AND(Projects!$G$37="Yes",F$3&gt;=Projects!$C$37,F$3&lt;Projects!$C$37+Projects!$D$37),Projects!$B$37*INDEX(Curves!$B$4:$AR$4,1,F$3-Projects!$C$37+1),0)-IF(AND(Projects!$G$37="Yes",F$3&gt;=Projects!$C$37,F$3&lt;Projects!$C$37+Projects!$D$37),Projects!$B$37*(Assumptions!$B$10+Assumptions!$B$11+Assumptions!$B$12)/Projects!$D$37*0.95,0)-IF(AND(Projects!$G$37="Yes",F$3=Projects!$C$37+Projects!$D$37-1),Projects!$B$37*(Assumptions!$B$10+Assumptions!$B$11+Assumptions!$B$12)*0.05,0)</f>
        <v>0</v>
      </c>
      <c r="G46" s="19" t="n">
        <f aca="false">IF(AND(Projects!$G$37="Yes",G$3&gt;=Projects!$C$37,G$3&lt;Projects!$C$37+Projects!$D$37),Projects!$B$37*INDEX(Curves!$B$4:$AR$4,1,G$3-Projects!$C$37+1),0)-IF(AND(Projects!$G$37="Yes",G$3&gt;=Projects!$C$37,G$3&lt;Projects!$C$37+Projects!$D$37),Projects!$B$37*(Assumptions!$B$10+Assumptions!$B$11+Assumptions!$B$12)/Projects!$D$37*0.95,0)-IF(AND(Projects!$G$37="Yes",G$3=Projects!$C$37+Projects!$D$37-1),Projects!$B$37*(Assumptions!$B$10+Assumptions!$B$11+Assumptions!$B$12)*0.05,0)</f>
        <v>0</v>
      </c>
      <c r="H46" s="19" t="n">
        <f aca="false">IF(AND(Projects!$G$37="Yes",H$3&gt;=Projects!$C$37,H$3&lt;Projects!$C$37+Projects!$D$37),Projects!$B$37*INDEX(Curves!$B$4:$AR$4,1,H$3-Projects!$C$37+1),0)-IF(AND(Projects!$G$37="Yes",H$3&gt;=Projects!$C$37,H$3&lt;Projects!$C$37+Projects!$D$37),Projects!$B$37*(Assumptions!$B$10+Assumptions!$B$11+Assumptions!$B$12)/Projects!$D$37*0.95,0)-IF(AND(Projects!$G$37="Yes",H$3=Projects!$C$37+Projects!$D$37-1),Projects!$B$37*(Assumptions!$B$10+Assumptions!$B$11+Assumptions!$B$12)*0.05,0)</f>
        <v>0</v>
      </c>
      <c r="I46" s="19" t="n">
        <f aca="false">IF(AND(Projects!$G$37="Yes",I$3&gt;=Projects!$C$37,I$3&lt;Projects!$C$37+Projects!$D$37),Projects!$B$37*INDEX(Curves!$B$4:$AR$4,1,I$3-Projects!$C$37+1),0)-IF(AND(Projects!$G$37="Yes",I$3&gt;=Projects!$C$37,I$3&lt;Projects!$C$37+Projects!$D$37),Projects!$B$37*(Assumptions!$B$10+Assumptions!$B$11+Assumptions!$B$12)/Projects!$D$37*0.95,0)-IF(AND(Projects!$G$37="Yes",I$3=Projects!$C$37+Projects!$D$37-1),Projects!$B$37*(Assumptions!$B$10+Assumptions!$B$11+Assumptions!$B$12)*0.05,0)</f>
        <v>0</v>
      </c>
      <c r="J46" s="19" t="n">
        <f aca="false">IF(AND(Projects!$G$37="Yes",J$3&gt;=Projects!$C$37,J$3&lt;Projects!$C$37+Projects!$D$37),Projects!$B$37*INDEX(Curves!$B$4:$AR$4,1,J$3-Projects!$C$37+1),0)-IF(AND(Projects!$G$37="Yes",J$3&gt;=Projects!$C$37,J$3&lt;Projects!$C$37+Projects!$D$37),Projects!$B$37*(Assumptions!$B$10+Assumptions!$B$11+Assumptions!$B$12)/Projects!$D$37*0.95,0)-IF(AND(Projects!$G$37="Yes",J$3=Projects!$C$37+Projects!$D$37-1),Projects!$B$37*(Assumptions!$B$10+Assumptions!$B$11+Assumptions!$B$12)*0.05,0)</f>
        <v>0</v>
      </c>
      <c r="K46" s="19" t="n">
        <f aca="false">IF(AND(Projects!$G$37="Yes",K$3&gt;=Projects!$C$37,K$3&lt;Projects!$C$37+Projects!$D$37),Projects!$B$37*INDEX(Curves!$B$4:$AR$4,1,K$3-Projects!$C$37+1),0)-IF(AND(Projects!$G$37="Yes",K$3&gt;=Projects!$C$37,K$3&lt;Projects!$C$37+Projects!$D$37),Projects!$B$37*(Assumptions!$B$10+Assumptions!$B$11+Assumptions!$B$12)/Projects!$D$37*0.95,0)-IF(AND(Projects!$G$37="Yes",K$3=Projects!$C$37+Projects!$D$37-1),Projects!$B$37*(Assumptions!$B$10+Assumptions!$B$11+Assumptions!$B$12)*0.05,0)</f>
        <v>0</v>
      </c>
      <c r="L46" s="19" t="n">
        <f aca="false">IF(AND(Projects!$G$37="Yes",L$3&gt;=Projects!$C$37,L$3&lt;Projects!$C$37+Projects!$D$37),Projects!$B$37*INDEX(Curves!$B$4:$AR$4,1,L$3-Projects!$C$37+1),0)-IF(AND(Projects!$G$37="Yes",L$3&gt;=Projects!$C$37,L$3&lt;Projects!$C$37+Projects!$D$37),Projects!$B$37*(Assumptions!$B$10+Assumptions!$B$11+Assumptions!$B$12)/Projects!$D$37*0.95,0)-IF(AND(Projects!$G$37="Yes",L$3=Projects!$C$37+Projects!$D$37-1),Projects!$B$37*(Assumptions!$B$10+Assumptions!$B$11+Assumptions!$B$12)*0.05,0)</f>
        <v>0</v>
      </c>
      <c r="M46" s="19" t="n">
        <f aca="false">IF(AND(Projects!$G$37="Yes",M$3&gt;=Projects!$C$37,M$3&lt;Projects!$C$37+Projects!$D$37),Projects!$B$37*INDEX(Curves!$B$4:$AR$4,1,M$3-Projects!$C$37+1),0)-IF(AND(Projects!$G$37="Yes",M$3&gt;=Projects!$C$37,M$3&lt;Projects!$C$37+Projects!$D$37),Projects!$B$37*(Assumptions!$B$10+Assumptions!$B$11+Assumptions!$B$12)/Projects!$D$37*0.95,0)-IF(AND(Projects!$G$37="Yes",M$3=Projects!$C$37+Projects!$D$37-1),Projects!$B$37*(Assumptions!$B$10+Assumptions!$B$11+Assumptions!$B$12)*0.05,0)</f>
        <v>0</v>
      </c>
      <c r="N46" s="19" t="n">
        <f aca="false">IF(AND(Projects!$G$37="Yes",N$3&gt;=Projects!$C$37,N$3&lt;Projects!$C$37+Projects!$D$37),Projects!$B$37*INDEX(Curves!$B$4:$AR$4,1,N$3-Projects!$C$37+1),0)-IF(AND(Projects!$G$37="Yes",N$3&gt;=Projects!$C$37,N$3&lt;Projects!$C$37+Projects!$D$37),Projects!$B$37*(Assumptions!$B$10+Assumptions!$B$11+Assumptions!$B$12)/Projects!$D$37*0.95,0)-IF(AND(Projects!$G$37="Yes",N$3=Projects!$C$37+Projects!$D$37-1),Projects!$B$37*(Assumptions!$B$10+Assumptions!$B$11+Assumptions!$B$12)*0.05,0)</f>
        <v>0</v>
      </c>
      <c r="O46" s="19" t="n">
        <f aca="false">IF(AND(Projects!$G$37="Yes",O$3&gt;=Projects!$C$37,O$3&lt;Projects!$C$37+Projects!$D$37),Projects!$B$37*INDEX(Curves!$B$4:$AR$4,1,O$3-Projects!$C$37+1),0)-IF(AND(Projects!$G$37="Yes",O$3&gt;=Projects!$C$37,O$3&lt;Projects!$C$37+Projects!$D$37),Projects!$B$37*(Assumptions!$B$10+Assumptions!$B$11+Assumptions!$B$12)/Projects!$D$37*0.95,0)-IF(AND(Projects!$G$37="Yes",O$3=Projects!$C$37+Projects!$D$37-1),Projects!$B$37*(Assumptions!$B$10+Assumptions!$B$11+Assumptions!$B$12)*0.05,0)</f>
        <v>0</v>
      </c>
      <c r="P46" s="19" t="n">
        <f aca="false">IF(AND(Projects!$G$37="Yes",P$3&gt;=Projects!$C$37,P$3&lt;Projects!$C$37+Projects!$D$37),Projects!$B$37*INDEX(Curves!$B$4:$AR$4,1,P$3-Projects!$C$37+1),0)-IF(AND(Projects!$G$37="Yes",P$3&gt;=Projects!$C$37,P$3&lt;Projects!$C$37+Projects!$D$37),Projects!$B$37*(Assumptions!$B$10+Assumptions!$B$11+Assumptions!$B$12)/Projects!$D$37*0.95,0)-IF(AND(Projects!$G$37="Yes",P$3=Projects!$C$37+Projects!$D$37-1),Projects!$B$37*(Assumptions!$B$10+Assumptions!$B$11+Assumptions!$B$12)*0.05,0)</f>
        <v>0</v>
      </c>
      <c r="Q46" s="19" t="n">
        <f aca="false">IF(AND(Projects!$G$37="Yes",Q$3&gt;=Projects!$C$37,Q$3&lt;Projects!$C$37+Projects!$D$37),Projects!$B$37*INDEX(Curves!$B$4:$AR$4,1,Q$3-Projects!$C$37+1),0)-IF(AND(Projects!$G$37="Yes",Q$3&gt;=Projects!$C$37,Q$3&lt;Projects!$C$37+Projects!$D$37),Projects!$B$37*(Assumptions!$B$10+Assumptions!$B$11+Assumptions!$B$12)/Projects!$D$37*0.95,0)-IF(AND(Projects!$G$37="Yes",Q$3=Projects!$C$37+Projects!$D$37-1),Projects!$B$37*(Assumptions!$B$10+Assumptions!$B$11+Assumptions!$B$12)*0.05,0)</f>
        <v>0</v>
      </c>
      <c r="R46" s="19" t="n">
        <f aca="false">IF(AND(Projects!$G$37="Yes",R$3&gt;=Projects!$C$37,R$3&lt;Projects!$C$37+Projects!$D$37),Projects!$B$37*INDEX(Curves!$B$4:$AR$4,1,R$3-Projects!$C$37+1),0)-IF(AND(Projects!$G$37="Yes",R$3&gt;=Projects!$C$37,R$3&lt;Projects!$C$37+Projects!$D$37),Projects!$B$37*(Assumptions!$B$10+Assumptions!$B$11+Assumptions!$B$12)/Projects!$D$37*0.95,0)-IF(AND(Projects!$G$37="Yes",R$3=Projects!$C$37+Projects!$D$37-1),Projects!$B$37*(Assumptions!$B$10+Assumptions!$B$11+Assumptions!$B$12)*0.05,0)</f>
        <v>0</v>
      </c>
      <c r="S46" s="19" t="n">
        <f aca="false">IF(AND(Projects!$G$37="Yes",S$3&gt;=Projects!$C$37,S$3&lt;Projects!$C$37+Projects!$D$37),Projects!$B$37*INDEX(Curves!$B$4:$AR$4,1,S$3-Projects!$C$37+1),0)-IF(AND(Projects!$G$37="Yes",S$3&gt;=Projects!$C$37,S$3&lt;Projects!$C$37+Projects!$D$37),Projects!$B$37*(Assumptions!$B$10+Assumptions!$B$11+Assumptions!$B$12)/Projects!$D$37*0.95,0)-IF(AND(Projects!$G$37="Yes",S$3=Projects!$C$37+Projects!$D$37-1),Projects!$B$37*(Assumptions!$B$10+Assumptions!$B$11+Assumptions!$B$12)*0.05,0)</f>
        <v>0</v>
      </c>
      <c r="T46" s="19" t="n">
        <f aca="false">IF(AND(Projects!$G$37="Yes",T$3&gt;=Projects!$C$37,T$3&lt;Projects!$C$37+Projects!$D$37),Projects!$B$37*INDEX(Curves!$B$4:$AR$4,1,T$3-Projects!$C$37+1),0)-IF(AND(Projects!$G$37="Yes",T$3&gt;=Projects!$C$37,T$3&lt;Projects!$C$37+Projects!$D$37),Projects!$B$37*(Assumptions!$B$10+Assumptions!$B$11+Assumptions!$B$12)/Projects!$D$37*0.95,0)-IF(AND(Projects!$G$37="Yes",T$3=Projects!$C$37+Projects!$D$37-1),Projects!$B$37*(Assumptions!$B$10+Assumptions!$B$11+Assumptions!$B$12)*0.05,0)</f>
        <v>0</v>
      </c>
      <c r="U46" s="19" t="n">
        <f aca="false">IF(AND(Projects!$G$37="Yes",U$3&gt;=Projects!$C$37,U$3&lt;Projects!$C$37+Projects!$D$37),Projects!$B$37*INDEX(Curves!$B$4:$AR$4,1,U$3-Projects!$C$37+1),0)-IF(AND(Projects!$G$37="Yes",U$3&gt;=Projects!$C$37,U$3&lt;Projects!$C$37+Projects!$D$37),Projects!$B$37*(Assumptions!$B$10+Assumptions!$B$11+Assumptions!$B$12)/Projects!$D$37*0.95,0)-IF(AND(Projects!$G$37="Yes",U$3=Projects!$C$37+Projects!$D$37-1),Projects!$B$37*(Assumptions!$B$10+Assumptions!$B$11+Assumptions!$B$12)*0.05,0)</f>
        <v>0</v>
      </c>
      <c r="V46" s="19" t="n">
        <f aca="false">IF(AND(Projects!$G$37="Yes",V$3&gt;=Projects!$C$37,V$3&lt;Projects!$C$37+Projects!$D$37),Projects!$B$37*INDEX(Curves!$B$4:$AR$4,1,V$3-Projects!$C$37+1),0)-IF(AND(Projects!$G$37="Yes",V$3&gt;=Projects!$C$37,V$3&lt;Projects!$C$37+Projects!$D$37),Projects!$B$37*(Assumptions!$B$10+Assumptions!$B$11+Assumptions!$B$12)/Projects!$D$37*0.95,0)-IF(AND(Projects!$G$37="Yes",V$3=Projects!$C$37+Projects!$D$37-1),Projects!$B$37*(Assumptions!$B$10+Assumptions!$B$11+Assumptions!$B$12)*0.05,0)</f>
        <v>0</v>
      </c>
      <c r="W46" s="19" t="n">
        <f aca="false">IF(AND(Projects!$G$37="Yes",W$3&gt;=Projects!$C$37,W$3&lt;Projects!$C$37+Projects!$D$37),Projects!$B$37*INDEX(Curves!$B$4:$AR$4,1,W$3-Projects!$C$37+1),0)-IF(AND(Projects!$G$37="Yes",W$3&gt;=Projects!$C$37,W$3&lt;Projects!$C$37+Projects!$D$37),Projects!$B$37*(Assumptions!$B$10+Assumptions!$B$11+Assumptions!$B$12)/Projects!$D$37*0.95,0)-IF(AND(Projects!$G$37="Yes",W$3=Projects!$C$37+Projects!$D$37-1),Projects!$B$37*(Assumptions!$B$10+Assumptions!$B$11+Assumptions!$B$12)*0.05,0)</f>
        <v>0</v>
      </c>
      <c r="X46" s="19" t="n">
        <f aca="false">IF(AND(Projects!$G$37="Yes",X$3&gt;=Projects!$C$37,X$3&lt;Projects!$C$37+Projects!$D$37),Projects!$B$37*INDEX(Curves!$B$4:$AR$4,1,X$3-Projects!$C$37+1),0)-IF(AND(Projects!$G$37="Yes",X$3&gt;=Projects!$C$37,X$3&lt;Projects!$C$37+Projects!$D$37),Projects!$B$37*(Assumptions!$B$10+Assumptions!$B$11+Assumptions!$B$12)/Projects!$D$37*0.95,0)-IF(AND(Projects!$G$37="Yes",X$3=Projects!$C$37+Projects!$D$37-1),Projects!$B$37*(Assumptions!$B$10+Assumptions!$B$11+Assumptions!$B$12)*0.05,0)</f>
        <v>0</v>
      </c>
      <c r="Y46" s="19" t="n">
        <f aca="false">IF(AND(Projects!$G$37="Yes",Y$3&gt;=Projects!$C$37,Y$3&lt;Projects!$C$37+Projects!$D$37),Projects!$B$37*INDEX(Curves!$B$4:$AR$4,1,Y$3-Projects!$C$37+1),0)-IF(AND(Projects!$G$37="Yes",Y$3&gt;=Projects!$C$37,Y$3&lt;Projects!$C$37+Projects!$D$37),Projects!$B$37*(Assumptions!$B$10+Assumptions!$B$11+Assumptions!$B$12)/Projects!$D$37*0.95,0)-IF(AND(Projects!$G$37="Yes",Y$3=Projects!$C$37+Projects!$D$37-1),Projects!$B$37*(Assumptions!$B$10+Assumptions!$B$11+Assumptions!$B$12)*0.05,0)</f>
        <v>0</v>
      </c>
      <c r="Z46" s="19" t="n">
        <f aca="false">IF(AND(Projects!$G$37="Yes",Z$3&gt;=Projects!$C$37,Z$3&lt;Projects!$C$37+Projects!$D$37),Projects!$B$37*INDEX(Curves!$B$4:$AR$4,1,Z$3-Projects!$C$37+1),0)-IF(AND(Projects!$G$37="Yes",Z$3&gt;=Projects!$C$37,Z$3&lt;Projects!$C$37+Projects!$D$37),Projects!$B$37*(Assumptions!$B$10+Assumptions!$B$11+Assumptions!$B$12)/Projects!$D$37*0.95,0)-IF(AND(Projects!$G$37="Yes",Z$3=Projects!$C$37+Projects!$D$37-1),Projects!$B$37*(Assumptions!$B$10+Assumptions!$B$11+Assumptions!$B$12)*0.05,0)</f>
        <v>0</v>
      </c>
      <c r="AA46" s="19" t="n">
        <f aca="false">IF(AND(Projects!$G$37="Yes",AA$3&gt;=Projects!$C$37,AA$3&lt;Projects!$C$37+Projects!$D$37),Projects!$B$37*INDEX(Curves!$B$4:$AR$4,1,AA$3-Projects!$C$37+1),0)-IF(AND(Projects!$G$37="Yes",AA$3&gt;=Projects!$C$37,AA$3&lt;Projects!$C$37+Projects!$D$37),Projects!$B$37*(Assumptions!$B$10+Assumptions!$B$11+Assumptions!$B$12)/Projects!$D$37*0.95,0)-IF(AND(Projects!$G$37="Yes",AA$3=Projects!$C$37+Projects!$D$37-1),Projects!$B$37*(Assumptions!$B$10+Assumptions!$B$11+Assumptions!$B$12)*0.05,0)</f>
        <v>0</v>
      </c>
      <c r="AB46" s="19" t="n">
        <f aca="false">IF(AND(Projects!$G$37="Yes",AB$3&gt;=Projects!$C$37,AB$3&lt;Projects!$C$37+Projects!$D$37),Projects!$B$37*INDEX(Curves!$B$4:$AR$4,1,AB$3-Projects!$C$37+1),0)-IF(AND(Projects!$G$37="Yes",AB$3&gt;=Projects!$C$37,AB$3&lt;Projects!$C$37+Projects!$D$37),Projects!$B$37*(Assumptions!$B$10+Assumptions!$B$11+Assumptions!$B$12)/Projects!$D$37*0.95,0)-IF(AND(Projects!$G$37="Yes",AB$3=Projects!$C$37+Projects!$D$37-1),Projects!$B$37*(Assumptions!$B$10+Assumptions!$B$11+Assumptions!$B$12)*0.05,0)</f>
        <v>0</v>
      </c>
      <c r="AC46" s="19" t="n">
        <f aca="false">IF(AND(Projects!$G$37="Yes",AC$3&gt;=Projects!$C$37,AC$3&lt;Projects!$C$37+Projects!$D$37),Projects!$B$37*INDEX(Curves!$B$4:$AR$4,1,AC$3-Projects!$C$37+1),0)-IF(AND(Projects!$G$37="Yes",AC$3&gt;=Projects!$C$37,AC$3&lt;Projects!$C$37+Projects!$D$37),Projects!$B$37*(Assumptions!$B$10+Assumptions!$B$11+Assumptions!$B$12)/Projects!$D$37*0.95,0)-IF(AND(Projects!$G$37="Yes",AC$3=Projects!$C$37+Projects!$D$37-1),Projects!$B$37*(Assumptions!$B$10+Assumptions!$B$11+Assumptions!$B$12)*0.05,0)</f>
        <v>0</v>
      </c>
      <c r="AD46" s="19" t="n">
        <f aca="false">IF(AND(Projects!$G$37="Yes",AD$3&gt;=Projects!$C$37,AD$3&lt;Projects!$C$37+Projects!$D$37),Projects!$B$37*INDEX(Curves!$B$4:$AR$4,1,AD$3-Projects!$C$37+1),0)-IF(AND(Projects!$G$37="Yes",AD$3&gt;=Projects!$C$37,AD$3&lt;Projects!$C$37+Projects!$D$37),Projects!$B$37*(Assumptions!$B$10+Assumptions!$B$11+Assumptions!$B$12)/Projects!$D$37*0.95,0)-IF(AND(Projects!$G$37="Yes",AD$3=Projects!$C$37+Projects!$D$37-1),Projects!$B$37*(Assumptions!$B$10+Assumptions!$B$11+Assumptions!$B$12)*0.05,0)</f>
        <v>0</v>
      </c>
      <c r="AE46" s="19" t="n">
        <f aca="false">IF(AND(Projects!$G$37="Yes",AE$3&gt;=Projects!$C$37,AE$3&lt;Projects!$C$37+Projects!$D$37),Projects!$B$37*INDEX(Curves!$B$4:$AR$4,1,AE$3-Projects!$C$37+1),0)-IF(AND(Projects!$G$37="Yes",AE$3&gt;=Projects!$C$37,AE$3&lt;Projects!$C$37+Projects!$D$37),Projects!$B$37*(Assumptions!$B$10+Assumptions!$B$11+Assumptions!$B$12)/Projects!$D$37*0.95,0)-IF(AND(Projects!$G$37="Yes",AE$3=Projects!$C$37+Projects!$D$37-1),Projects!$B$37*(Assumptions!$B$10+Assumptions!$B$11+Assumptions!$B$12)*0.05,0)</f>
        <v>0</v>
      </c>
      <c r="AF46" s="19" t="n">
        <f aca="false">IF(AND(Projects!$G$37="Yes",AF$3&gt;=Projects!$C$37,AF$3&lt;Projects!$C$37+Projects!$D$37),Projects!$B$37*INDEX(Curves!$B$4:$AR$4,1,AF$3-Projects!$C$37+1),0)-IF(AND(Projects!$G$37="Yes",AF$3&gt;=Projects!$C$37,AF$3&lt;Projects!$C$37+Projects!$D$37),Projects!$B$37*(Assumptions!$B$10+Assumptions!$B$11+Assumptions!$B$12)/Projects!$D$37*0.95,0)-IF(AND(Projects!$G$37="Yes",AF$3=Projects!$C$37+Projects!$D$37-1),Projects!$B$37*(Assumptions!$B$10+Assumptions!$B$11+Assumptions!$B$12)*0.05,0)</f>
        <v>0</v>
      </c>
      <c r="AG46" s="19" t="n">
        <f aca="false">IF(AND(Projects!$G$37="Yes",AG$3&gt;=Projects!$C$37,AG$3&lt;Projects!$C$37+Projects!$D$37),Projects!$B$37*INDEX(Curves!$B$4:$AR$4,1,AG$3-Projects!$C$37+1),0)-IF(AND(Projects!$G$37="Yes",AG$3&gt;=Projects!$C$37,AG$3&lt;Projects!$C$37+Projects!$D$37),Projects!$B$37*(Assumptions!$B$10+Assumptions!$B$11+Assumptions!$B$12)/Projects!$D$37*0.95,0)-IF(AND(Projects!$G$37="Yes",AG$3=Projects!$C$37+Projects!$D$37-1),Projects!$B$37*(Assumptions!$B$10+Assumptions!$B$11+Assumptions!$B$12)*0.05,0)</f>
        <v>0</v>
      </c>
      <c r="AH46" s="19" t="n">
        <f aca="false">IF(AND(Projects!$G$37="Yes",AH$3&gt;=Projects!$C$37,AH$3&lt;Projects!$C$37+Projects!$D$37),Projects!$B$37*INDEX(Curves!$B$4:$AR$4,1,AH$3-Projects!$C$37+1),0)-IF(AND(Projects!$G$37="Yes",AH$3&gt;=Projects!$C$37,AH$3&lt;Projects!$C$37+Projects!$D$37),Projects!$B$37*(Assumptions!$B$10+Assumptions!$B$11+Assumptions!$B$12)/Projects!$D$37*0.95,0)-IF(AND(Projects!$G$37="Yes",AH$3=Projects!$C$37+Projects!$D$37-1),Projects!$B$37*(Assumptions!$B$10+Assumptions!$B$11+Assumptions!$B$12)*0.05,0)</f>
        <v>0</v>
      </c>
      <c r="AI46" s="19" t="n">
        <f aca="false">IF(AND(Projects!$G$37="Yes",AI$3&gt;=Projects!$C$37,AI$3&lt;Projects!$C$37+Projects!$D$37),Projects!$B$37*INDEX(Curves!$B$4:$AR$4,1,AI$3-Projects!$C$37+1),0)-IF(AND(Projects!$G$37="Yes",AI$3&gt;=Projects!$C$37,AI$3&lt;Projects!$C$37+Projects!$D$37),Projects!$B$37*(Assumptions!$B$10+Assumptions!$B$11+Assumptions!$B$12)/Projects!$D$37*0.95,0)-IF(AND(Projects!$G$37="Yes",AI$3=Projects!$C$37+Projects!$D$37-1),Projects!$B$37*(Assumptions!$B$10+Assumptions!$B$11+Assumptions!$B$12)*0.05,0)</f>
        <v>0</v>
      </c>
      <c r="AJ46" s="19" t="n">
        <f aca="false">IF(AND(Projects!$G$37="Yes",AJ$3&gt;=Projects!$C$37,AJ$3&lt;Projects!$C$37+Projects!$D$37),Projects!$B$37*INDEX(Curves!$B$4:$AR$4,1,AJ$3-Projects!$C$37+1),0)-IF(AND(Projects!$G$37="Yes",AJ$3&gt;=Projects!$C$37,AJ$3&lt;Projects!$C$37+Projects!$D$37),Projects!$B$37*(Assumptions!$B$10+Assumptions!$B$11+Assumptions!$B$12)/Projects!$D$37*0.95,0)-IF(AND(Projects!$G$37="Yes",AJ$3=Projects!$C$37+Projects!$D$37-1),Projects!$B$37*(Assumptions!$B$10+Assumptions!$B$11+Assumptions!$B$12)*0.05,0)</f>
        <v>0</v>
      </c>
      <c r="AK46" s="19" t="n">
        <f aca="false">IF(AND(Projects!$G$37="Yes",AK$3&gt;=Projects!$C$37,AK$3&lt;Projects!$C$37+Projects!$D$37),Projects!$B$37*INDEX(Curves!$B$4:$AR$4,1,AK$3-Projects!$C$37+1),0)-IF(AND(Projects!$G$37="Yes",AK$3&gt;=Projects!$C$37,AK$3&lt;Projects!$C$37+Projects!$D$37),Projects!$B$37*(Assumptions!$B$10+Assumptions!$B$11+Assumptions!$B$12)/Projects!$D$37*0.95,0)-IF(AND(Projects!$G$37="Yes",AK$3=Projects!$C$37+Projects!$D$37-1),Projects!$B$37*(Assumptions!$B$10+Assumptions!$B$11+Assumptions!$B$12)*0.05,0)</f>
        <v>0</v>
      </c>
      <c r="AL46" s="19" t="n">
        <f aca="false">IF(AND(Projects!$G$37="Yes",AL$3&gt;=Projects!$C$37,AL$3&lt;Projects!$C$37+Projects!$D$37),Projects!$B$37*INDEX(Curves!$B$4:$AR$4,1,AL$3-Projects!$C$37+1),0)-IF(AND(Projects!$G$37="Yes",AL$3&gt;=Projects!$C$37,AL$3&lt;Projects!$C$37+Projects!$D$37),Projects!$B$37*(Assumptions!$B$10+Assumptions!$B$11+Assumptions!$B$12)/Projects!$D$37*0.95,0)-IF(AND(Projects!$G$37="Yes",AL$3=Projects!$C$37+Projects!$D$37-1),Projects!$B$37*(Assumptions!$B$10+Assumptions!$B$11+Assumptions!$B$12)*0.05,0)</f>
        <v>0</v>
      </c>
      <c r="AM46" s="19" t="n">
        <f aca="false">IF(AND(Projects!$G$37="Yes",AM$3&gt;=Projects!$C$37,AM$3&lt;Projects!$C$37+Projects!$D$37),Projects!$B$37*INDEX(Curves!$B$4:$AR$4,1,AM$3-Projects!$C$37+1),0)-IF(AND(Projects!$G$37="Yes",AM$3&gt;=Projects!$C$37,AM$3&lt;Projects!$C$37+Projects!$D$37),Projects!$B$37*(Assumptions!$B$10+Assumptions!$B$11+Assumptions!$B$12)/Projects!$D$37*0.95,0)-IF(AND(Projects!$G$37="Yes",AM$3=Projects!$C$37+Projects!$D$37-1),Projects!$B$37*(Assumptions!$B$10+Assumptions!$B$11+Assumptions!$B$12)*0.05,0)</f>
        <v>0</v>
      </c>
      <c r="AN46" s="19" t="n">
        <f aca="false">IF(AND(Projects!$G$37="Yes",AN$3&gt;=Projects!$C$37,AN$3&lt;Projects!$C$37+Projects!$D$37),Projects!$B$37*INDEX(Curves!$B$4:$AR$4,1,AN$3-Projects!$C$37+1),0)-IF(AND(Projects!$G$37="Yes",AN$3&gt;=Projects!$C$37,AN$3&lt;Projects!$C$37+Projects!$D$37),Projects!$B$37*(Assumptions!$B$10+Assumptions!$B$11+Assumptions!$B$12)/Projects!$D$37*0.95,0)-IF(AND(Projects!$G$37="Yes",AN$3=Projects!$C$37+Projects!$D$37-1),Projects!$B$37*(Assumptions!$B$10+Assumptions!$B$11+Assumptions!$B$12)*0.05,0)</f>
        <v>0</v>
      </c>
      <c r="AO46" s="19" t="n">
        <f aca="false">IF(AND(Projects!$G$37="Yes",AO$3&gt;=Projects!$C$37,AO$3&lt;Projects!$C$37+Projects!$D$37),Projects!$B$37*INDEX(Curves!$B$4:$AR$4,1,AO$3-Projects!$C$37+1),0)-IF(AND(Projects!$G$37="Yes",AO$3&gt;=Projects!$C$37,AO$3&lt;Projects!$C$37+Projects!$D$37),Projects!$B$37*(Assumptions!$B$10+Assumptions!$B$11+Assumptions!$B$12)/Projects!$D$37*0.95,0)-IF(AND(Projects!$G$37="Yes",AO$3=Projects!$C$37+Projects!$D$37-1),Projects!$B$37*(Assumptions!$B$10+Assumptions!$B$11+Assumptions!$B$12)*0.05,0)</f>
        <v>0</v>
      </c>
      <c r="AP46" s="19" t="n">
        <f aca="false">IF(AND(Projects!$G$37="Yes",AP$3&gt;=Projects!$C$37,AP$3&lt;Projects!$C$37+Projects!$D$37),Projects!$B$37*INDEX(Curves!$B$4:$AR$4,1,AP$3-Projects!$C$37+1),0)-IF(AND(Projects!$G$37="Yes",AP$3&gt;=Projects!$C$37,AP$3&lt;Projects!$C$37+Projects!$D$37),Projects!$B$37*(Assumptions!$B$10+Assumptions!$B$11+Assumptions!$B$12)/Projects!$D$37*0.95,0)-IF(AND(Projects!$G$37="Yes",AP$3=Projects!$C$37+Projects!$D$37-1),Projects!$B$37*(Assumptions!$B$10+Assumptions!$B$11+Assumptions!$B$12)*0.05,0)</f>
        <v>0</v>
      </c>
      <c r="AQ46" s="19" t="n">
        <f aca="false">IF(AND(Projects!$G$37="Yes",AQ$3&gt;=Projects!$C$37,AQ$3&lt;Projects!$C$37+Projects!$D$37),Projects!$B$37*INDEX(Curves!$B$4:$AR$4,1,AQ$3-Projects!$C$37+1),0)-IF(AND(Projects!$G$37="Yes",AQ$3&gt;=Projects!$C$37,AQ$3&lt;Projects!$C$37+Projects!$D$37),Projects!$B$37*(Assumptions!$B$10+Assumptions!$B$11+Assumptions!$B$12)/Projects!$D$37*0.95,0)-IF(AND(Projects!$G$37="Yes",AQ$3=Projects!$C$37+Projects!$D$37-1),Projects!$B$37*(Assumptions!$B$10+Assumptions!$B$11+Assumptions!$B$12)*0.05,0)</f>
        <v>0</v>
      </c>
      <c r="AR46" s="19" t="n">
        <f aca="false">IF(AND(Projects!$G$37="Yes",AR$3&gt;=Projects!$C$37,AR$3&lt;Projects!$C$37+Projects!$D$37),Projects!$B$37*INDEX(Curves!$B$4:$AR$4,1,AR$3-Projects!$C$37+1),0)-IF(AND(Projects!$G$37="Yes",AR$3&gt;=Projects!$C$37,AR$3&lt;Projects!$C$37+Projects!$D$37),Projects!$B$37*(Assumptions!$B$10+Assumptions!$B$11+Assumptions!$B$12)/Projects!$D$37*0.95,0)-IF(AND(Projects!$G$37="Yes",AR$3=Projects!$C$37+Projects!$D$37-1),Projects!$B$37*(Assumptions!$B$10+Assumptions!$B$11+Assumptions!$B$12)*0.05,0)</f>
        <v>0</v>
      </c>
      <c r="AS46" s="19" t="n">
        <f aca="false">IF(AND(Projects!$G$37="Yes",AS$3&gt;=Projects!$C$37,AS$3&lt;Projects!$C$37+Projects!$D$37),Projects!$B$37*INDEX(Curves!$B$4:$AR$4,1,AS$3-Projects!$C$37+1),0)-IF(AND(Projects!$G$37="Yes",AS$3&gt;=Projects!$C$37,AS$3&lt;Projects!$C$37+Projects!$D$37),Projects!$B$37*(Assumptions!$B$10+Assumptions!$B$11+Assumptions!$B$12)/Projects!$D$37*0.95,0)-IF(AND(Projects!$G$37="Yes",AS$3=Projects!$C$37+Projects!$D$37-1),Projects!$B$37*(Assumptions!$B$10+Assumptions!$B$11+Assumptions!$B$12)*0.05,0)</f>
        <v>0</v>
      </c>
      <c r="AT46" s="19" t="n">
        <f aca="false">IF(AND(Projects!$G$37="Yes",AT$3&gt;=Projects!$C$37,AT$3&lt;Projects!$C$37+Projects!$D$37),Projects!$B$37*INDEX(Curves!$B$4:$AR$4,1,AT$3-Projects!$C$37+1),0)-IF(AND(Projects!$G$37="Yes",AT$3&gt;=Projects!$C$37,AT$3&lt;Projects!$C$37+Projects!$D$37),Projects!$B$37*(Assumptions!$B$10+Assumptions!$B$11+Assumptions!$B$12)/Projects!$D$37*0.95,0)-IF(AND(Projects!$G$37="Yes",AT$3=Projects!$C$37+Projects!$D$37-1),Projects!$B$37*(Assumptions!$B$10+Assumptions!$B$11+Assumptions!$B$12)*0.05,0)</f>
        <v>0</v>
      </c>
      <c r="AU46" s="19" t="n">
        <f aca="false">IF(AND(Projects!$G$37="Yes",AU$3&gt;=Projects!$C$37,AU$3&lt;Projects!$C$37+Projects!$D$37),Projects!$B$37*INDEX(Curves!$B$4:$AR$4,1,AU$3-Projects!$C$37+1),0)-IF(AND(Projects!$G$37="Yes",AU$3&gt;=Projects!$C$37,AU$3&lt;Projects!$C$37+Projects!$D$37),Projects!$B$37*(Assumptions!$B$10+Assumptions!$B$11+Assumptions!$B$12)/Projects!$D$37*0.95,0)-IF(AND(Projects!$G$37="Yes",AU$3=Projects!$C$37+Projects!$D$37-1),Projects!$B$37*(Assumptions!$B$10+Assumptions!$B$11+Assumptions!$B$12)*0.05,0)</f>
        <v>0</v>
      </c>
      <c r="AV46" s="19" t="n">
        <f aca="false">IF(AND(Projects!$G$37="Yes",AV$3&gt;=Projects!$C$37,AV$3&lt;Projects!$C$37+Projects!$D$37),Projects!$B$37*INDEX(Curves!$B$4:$AR$4,1,AV$3-Projects!$C$37+1),0)-IF(AND(Projects!$G$37="Yes",AV$3&gt;=Projects!$C$37,AV$3&lt;Projects!$C$37+Projects!$D$37),Projects!$B$37*(Assumptions!$B$10+Assumptions!$B$11+Assumptions!$B$12)/Projects!$D$37*0.95,0)-IF(AND(Projects!$G$37="Yes",AV$3=Projects!$C$37+Projects!$D$37-1),Projects!$B$37*(Assumptions!$B$10+Assumptions!$B$11+Assumptions!$B$12)*0.05,0)</f>
        <v>307461.75</v>
      </c>
      <c r="AW46" s="19" t="n">
        <f aca="false">IF(AND(Projects!$G$37="Yes",AW$3&gt;=Projects!$C$37,AW$3&lt;Projects!$C$37+Projects!$D$37),Projects!$B$37*INDEX(Curves!$B$4:$AR$4,1,AW$3-Projects!$C$37+1),0)-IF(AND(Projects!$G$37="Yes",AW$3&gt;=Projects!$C$37,AW$3&lt;Projects!$C$37+Projects!$D$37),Projects!$B$37*(Assumptions!$B$10+Assumptions!$B$11+Assumptions!$B$12)/Projects!$D$37*0.95,0)-IF(AND(Projects!$G$37="Yes",AW$3=Projects!$C$37+Projects!$D$37-1),Projects!$B$37*(Assumptions!$B$10+Assumptions!$B$11+Assumptions!$B$12)*0.05,0)</f>
        <v>401121.75</v>
      </c>
      <c r="AX46" s="19" t="n">
        <f aca="false">IF(AND(Projects!$G$37="Yes",AX$3&gt;=Projects!$C$37,AX$3&lt;Projects!$C$37+Projects!$D$37),Projects!$B$37*INDEX(Curves!$B$4:$AR$4,1,AX$3-Projects!$C$37+1),0)-IF(AND(Projects!$G$37="Yes",AX$3&gt;=Projects!$C$37,AX$3&lt;Projects!$C$37+Projects!$D$37),Projects!$B$37*(Assumptions!$B$10+Assumptions!$B$11+Assumptions!$B$12)/Projects!$D$37*0.95,0)-IF(AND(Projects!$G$37="Yes",AX$3=Projects!$C$37+Projects!$D$37-1),Projects!$B$37*(Assumptions!$B$10+Assumptions!$B$11+Assumptions!$B$12)*0.05,0)</f>
        <v>501936.75</v>
      </c>
      <c r="AY46" s="19" t="n">
        <f aca="false">IF(AND(Projects!$G$37="Yes",AY$3&gt;=Projects!$C$37,AY$3&lt;Projects!$C$37+Projects!$D$37),Projects!$B$37*INDEX(Curves!$B$4:$AR$4,1,AY$3-Projects!$C$37+1),0)-IF(AND(Projects!$G$37="Yes",AY$3&gt;=Projects!$C$37,AY$3&lt;Projects!$C$37+Projects!$D$37),Projects!$B$37*(Assumptions!$B$10+Assumptions!$B$11+Assumptions!$B$12)/Projects!$D$37*0.95,0)-IF(AND(Projects!$G$37="Yes",AY$3=Projects!$C$37+Projects!$D$37-1),Projects!$B$37*(Assumptions!$B$10+Assumptions!$B$11+Assumptions!$B$12)*0.05,0)</f>
        <v>605886.75</v>
      </c>
      <c r="AZ46" s="19" t="n">
        <f aca="false">IF(AND(Projects!$G$37="Yes",AZ$3&gt;=Projects!$C$37,AZ$3&lt;Projects!$C$37+Projects!$D$37),Projects!$B$37*INDEX(Curves!$B$4:$AR$4,1,AZ$3-Projects!$C$37+1),0)-IF(AND(Projects!$G$37="Yes",AZ$3&gt;=Projects!$C$37,AZ$3&lt;Projects!$C$37+Projects!$D$37),Projects!$B$37*(Assumptions!$B$10+Assumptions!$B$11+Assumptions!$B$12)/Projects!$D$37*0.95,0)-IF(AND(Projects!$G$37="Yes",AZ$3=Projects!$C$37+Projects!$D$37-1),Projects!$B$37*(Assumptions!$B$10+Assumptions!$B$11+Assumptions!$B$12)*0.05,0)</f>
        <v>707976.75</v>
      </c>
      <c r="BA46" s="19" t="n">
        <f aca="false">IF(AND(Projects!$G$37="Yes",BA$3&gt;=Projects!$C$37,BA$3&lt;Projects!$C$37+Projects!$D$37),Projects!$B$37*INDEX(Curves!$B$4:$AR$4,1,BA$3-Projects!$C$37+1),0)-IF(AND(Projects!$G$37="Yes",BA$3&gt;=Projects!$C$37,BA$3&lt;Projects!$C$37+Projects!$D$37),Projects!$B$37*(Assumptions!$B$10+Assumptions!$B$11+Assumptions!$B$12)/Projects!$D$37*0.95,0)-IF(AND(Projects!$G$37="Yes",BA$3=Projects!$C$37+Projects!$D$37-1),Projects!$B$37*(Assumptions!$B$10+Assumptions!$B$11+Assumptions!$B$12)*0.05,0)</f>
        <v>802536.75</v>
      </c>
      <c r="BB46" s="19" t="n">
        <f aca="false">IF(AND(Projects!$G$37="Yes",BB$3&gt;=Projects!$C$37,BB$3&lt;Projects!$C$37+Projects!$D$37),Projects!$B$37*INDEX(Curves!$B$4:$AR$4,1,BB$3-Projects!$C$37+1),0)-IF(AND(Projects!$G$37="Yes",BB$3&gt;=Projects!$C$37,BB$3&lt;Projects!$C$37+Projects!$D$37),Projects!$B$37*(Assumptions!$B$10+Assumptions!$B$11+Assumptions!$B$12)/Projects!$D$37*0.95,0)-IF(AND(Projects!$G$37="Yes",BB$3=Projects!$C$37+Projects!$D$37-1),Projects!$B$37*(Assumptions!$B$10+Assumptions!$B$11+Assumptions!$B$12)*0.05,0)</f>
        <v>883761.75</v>
      </c>
      <c r="BC46" s="19" t="n">
        <f aca="false">IF(AND(Projects!$G$37="Yes",BC$3&gt;=Projects!$C$37,BC$3&lt;Projects!$C$37+Projects!$D$37),Projects!$B$37*INDEX(Curves!$B$4:$AR$4,1,BC$3-Projects!$C$37+1),0)-IF(AND(Projects!$G$37="Yes",BC$3&gt;=Projects!$C$37,BC$3&lt;Projects!$C$37+Projects!$D$37),Projects!$B$37*(Assumptions!$B$10+Assumptions!$B$11+Assumptions!$B$12)/Projects!$D$37*0.95,0)-IF(AND(Projects!$G$37="Yes",BC$3=Projects!$C$37+Projects!$D$37-1),Projects!$B$37*(Assumptions!$B$10+Assumptions!$B$11+Assumptions!$B$12)*0.05,0)</f>
        <v>946266.75</v>
      </c>
      <c r="BD46" s="19" t="n">
        <f aca="false">IF(AND(Projects!$G$37="Yes",BD$3&gt;=Projects!$C$37,BD$3&lt;Projects!$C$37+Projects!$D$37),Projects!$B$37*INDEX(Curves!$B$4:$AR$4,1,BD$3-Projects!$C$37+1),0)-IF(AND(Projects!$G$37="Yes",BD$3&gt;=Projects!$C$37,BD$3&lt;Projects!$C$37+Projects!$D$37),Projects!$B$37*(Assumptions!$B$10+Assumptions!$B$11+Assumptions!$B$12)/Projects!$D$37*0.95,0)-IF(AND(Projects!$G$37="Yes",BD$3=Projects!$C$37+Projects!$D$37-1),Projects!$B$37*(Assumptions!$B$10+Assumptions!$B$11+Assumptions!$B$12)*0.05,0)</f>
        <v>985686.75</v>
      </c>
      <c r="BE46" s="19" t="n">
        <f aca="false">IF(AND(Projects!$G$37="Yes",BE$3&gt;=Projects!$C$37,BE$3&lt;Projects!$C$37+Projects!$D$37),Projects!$B$37*INDEX(Curves!$B$4:$AR$4,1,BE$3-Projects!$C$37+1),0)-IF(AND(Projects!$G$37="Yes",BE$3&gt;=Projects!$C$37,BE$3&lt;Projects!$C$37+Projects!$D$37),Projects!$B$37*(Assumptions!$B$10+Assumptions!$B$11+Assumptions!$B$12)/Projects!$D$37*0.95,0)-IF(AND(Projects!$G$37="Yes",BE$3=Projects!$C$37+Projects!$D$37-1),Projects!$B$37*(Assumptions!$B$10+Assumptions!$B$11+Assumptions!$B$12)*0.05,0)</f>
        <v>999156.75</v>
      </c>
      <c r="BF46" s="19" t="n">
        <f aca="false">IF(AND(Projects!$G$37="Yes",BF$3&gt;=Projects!$C$37,BF$3&lt;Projects!$C$37+Projects!$D$37),Projects!$B$37*INDEX(Curves!$B$4:$AR$4,1,BF$3-Projects!$C$37+1),0)-IF(AND(Projects!$G$37="Yes",BF$3&gt;=Projects!$C$37,BF$3&lt;Projects!$C$37+Projects!$D$37),Projects!$B$37*(Assumptions!$B$10+Assumptions!$B$11+Assumptions!$B$12)/Projects!$D$37*0.95,0)-IF(AND(Projects!$G$37="Yes",BF$3=Projects!$C$37+Projects!$D$37-1),Projects!$B$37*(Assumptions!$B$10+Assumptions!$B$11+Assumptions!$B$12)*0.05,0)</f>
        <v>985686.75</v>
      </c>
      <c r="BG46" s="19" t="n">
        <f aca="false">IF(AND(Projects!$G$37="Yes",BG$3&gt;=Projects!$C$37,BG$3&lt;Projects!$C$37+Projects!$D$37),Projects!$B$37*INDEX(Curves!$B$4:$AR$4,1,BG$3-Projects!$C$37+1),0)-IF(AND(Projects!$G$37="Yes",BG$3&gt;=Projects!$C$37,BG$3&lt;Projects!$C$37+Projects!$D$37),Projects!$B$37*(Assumptions!$B$10+Assumptions!$B$11+Assumptions!$B$12)/Projects!$D$37*0.95,0)-IF(AND(Projects!$G$37="Yes",BG$3=Projects!$C$37+Projects!$D$37-1),Projects!$B$37*(Assumptions!$B$10+Assumptions!$B$11+Assumptions!$B$12)*0.05,0)</f>
        <v>946266.75</v>
      </c>
      <c r="BH46" s="19" t="n">
        <f aca="false">IF(AND(Projects!$G$37="Yes",BH$3&gt;=Projects!$C$37,BH$3&lt;Projects!$C$37+Projects!$D$37),Projects!$B$37*INDEX(Curves!$B$4:$AR$4,1,BH$3-Projects!$C$37+1),0)-IF(AND(Projects!$G$37="Yes",BH$3&gt;=Projects!$C$37,BH$3&lt;Projects!$C$37+Projects!$D$37),Projects!$B$37*(Assumptions!$B$10+Assumptions!$B$11+Assumptions!$B$12)/Projects!$D$37*0.95,0)-IF(AND(Projects!$G$37="Yes",BH$3=Projects!$C$37+Projects!$D$37-1),Projects!$B$37*(Assumptions!$B$10+Assumptions!$B$11+Assumptions!$B$12)*0.05,0)</f>
        <v>883761.75</v>
      </c>
      <c r="BI46" s="19" t="n">
        <f aca="false">IF(AND(Projects!$G$37="Yes",BI$3&gt;=Projects!$C$37,BI$3&lt;Projects!$C$37+Projects!$D$37),Projects!$B$37*INDEX(Curves!$B$4:$AR$4,1,BI$3-Projects!$C$37+1),0)-IF(AND(Projects!$G$37="Yes",BI$3&gt;=Projects!$C$37,BI$3&lt;Projects!$C$37+Projects!$D$37),Projects!$B$37*(Assumptions!$B$10+Assumptions!$B$11+Assumptions!$B$12)/Projects!$D$37*0.95,0)-IF(AND(Projects!$G$37="Yes",BI$3=Projects!$C$37+Projects!$D$37-1),Projects!$B$37*(Assumptions!$B$10+Assumptions!$B$11+Assumptions!$B$12)*0.05,0)</f>
        <v>802536.75</v>
      </c>
      <c r="BJ46" s="19" t="n">
        <f aca="false">IF(AND(Projects!$G$37="Yes",BJ$3&gt;=Projects!$C$37,BJ$3&lt;Projects!$C$37+Projects!$D$37),Projects!$B$37*INDEX(Curves!$B$4:$AR$4,1,BJ$3-Projects!$C$37+1),0)-IF(AND(Projects!$G$37="Yes",BJ$3&gt;=Projects!$C$37,BJ$3&lt;Projects!$C$37+Projects!$D$37),Projects!$B$37*(Assumptions!$B$10+Assumptions!$B$11+Assumptions!$B$12)/Projects!$D$37*0.95,0)-IF(AND(Projects!$G$37="Yes",BJ$3=Projects!$C$37+Projects!$D$37-1),Projects!$B$37*(Assumptions!$B$10+Assumptions!$B$11+Assumptions!$B$12)*0.05,0)</f>
        <v>707976.75</v>
      </c>
      <c r="BK46" s="19" t="n">
        <f aca="false">IF(AND(Projects!$G$37="Yes",BK$3&gt;=Projects!$C$37,BK$3&lt;Projects!$C$37+Projects!$D$37),Projects!$B$37*INDEX(Curves!$B$4:$AR$4,1,BK$3-Projects!$C$37+1),0)-IF(AND(Projects!$G$37="Yes",BK$3&gt;=Projects!$C$37,BK$3&lt;Projects!$C$37+Projects!$D$37),Projects!$B$37*(Assumptions!$B$10+Assumptions!$B$11+Assumptions!$B$12)/Projects!$D$37*0.95,0)-IF(AND(Projects!$G$37="Yes",BK$3=Projects!$C$37+Projects!$D$37-1),Projects!$B$37*(Assumptions!$B$10+Assumptions!$B$11+Assumptions!$B$12)*0.05,0)</f>
        <v>605886.75</v>
      </c>
      <c r="BL46" s="19" t="n">
        <f aca="false">IF(AND(Projects!$G$37="Yes",BL$3&gt;=Projects!$C$37,BL$3&lt;Projects!$C$37+Projects!$D$37),Projects!$B$37*INDEX(Curves!$B$4:$AR$4,1,BL$3-Projects!$C$37+1),0)-IF(AND(Projects!$G$37="Yes",BL$3&gt;=Projects!$C$37,BL$3&lt;Projects!$C$37+Projects!$D$37),Projects!$B$37*(Assumptions!$B$10+Assumptions!$B$11+Assumptions!$B$12)/Projects!$D$37*0.95,0)-IF(AND(Projects!$G$37="Yes",BL$3=Projects!$C$37+Projects!$D$37-1),Projects!$B$37*(Assumptions!$B$10+Assumptions!$B$11+Assumptions!$B$12)*0.05,0)</f>
        <v>501936.75</v>
      </c>
      <c r="BM46" s="19" t="n">
        <f aca="false">IF(AND(Projects!$G$37="Yes",BM$3&gt;=Projects!$C$37,BM$3&lt;Projects!$C$37+Projects!$D$37),Projects!$B$37*INDEX(Curves!$B$4:$AR$4,1,BM$3-Projects!$C$37+1),0)-IF(AND(Projects!$G$37="Yes",BM$3&gt;=Projects!$C$37,BM$3&lt;Projects!$C$37+Projects!$D$37),Projects!$B$37*(Assumptions!$B$10+Assumptions!$B$11+Assumptions!$B$12)/Projects!$D$37*0.95,0)-IF(AND(Projects!$G$37="Yes",BM$3=Projects!$C$37+Projects!$D$37-1),Projects!$B$37*(Assumptions!$B$10+Assumptions!$B$11+Assumptions!$B$12)*0.05,0)</f>
        <v>401121.75</v>
      </c>
      <c r="BN46" s="19" t="n">
        <f aca="false">IF(AND(Projects!$G$37="Yes",BN$3&gt;=Projects!$C$37,BN$3&lt;Projects!$C$37+Projects!$D$37),Projects!$B$37*INDEX(Curves!$B$4:$AR$4,1,BN$3-Projects!$C$37+1),0)-IF(AND(Projects!$G$37="Yes",BN$3&gt;=Projects!$C$37,BN$3&lt;Projects!$C$37+Projects!$D$37),Projects!$B$37*(Assumptions!$B$10+Assumptions!$B$11+Assumptions!$B$12)/Projects!$D$37*0.95,0)-IF(AND(Projects!$G$37="Yes",BN$3=Projects!$C$37+Projects!$D$37-1),Projects!$B$37*(Assumptions!$B$10+Assumptions!$B$11+Assumptions!$B$12)*0.05,0)</f>
        <v>217168.5</v>
      </c>
      <c r="BO46" s="19" t="n">
        <f aca="false">IF(AND(Projects!$G$37="Yes",BO$3&gt;=Projects!$C$37,BO$3&lt;Projects!$C$37+Projects!$D$37),Projects!$B$37*INDEX(Curves!$B$4:$AR$4,1,BO$3-Projects!$C$37+1),0)-IF(AND(Projects!$G$37="Yes",BO$3&gt;=Projects!$C$37,BO$3&lt;Projects!$C$37+Projects!$D$37),Projects!$B$37*(Assumptions!$B$10+Assumptions!$B$11+Assumptions!$B$12)/Projects!$D$37*0.95,0)-IF(AND(Projects!$G$37="Yes",BO$3=Projects!$C$37+Projects!$D$37-1),Projects!$B$37*(Assumptions!$B$10+Assumptions!$B$11+Assumptions!$B$12)*0.05,0)</f>
        <v>0</v>
      </c>
      <c r="BP46" s="19" t="n">
        <f aca="false">IF(AND(Projects!$G$37="Yes",BP$3&gt;=Projects!$C$37,BP$3&lt;Projects!$C$37+Projects!$D$37),Projects!$B$37*INDEX(Curves!$B$4:$AR$4,1,BP$3-Projects!$C$37+1),0)-IF(AND(Projects!$G$37="Yes",BP$3&gt;=Projects!$C$37,BP$3&lt;Projects!$C$37+Projects!$D$37),Projects!$B$37*(Assumptions!$B$10+Assumptions!$B$11+Assumptions!$B$12)/Projects!$D$37*0.95,0)-IF(AND(Projects!$G$37="Yes",BP$3=Projects!$C$37+Projects!$D$37-1),Projects!$B$37*(Assumptions!$B$10+Assumptions!$B$11+Assumptions!$B$12)*0.05,0)</f>
        <v>0</v>
      </c>
      <c r="BQ46" s="19" t="n">
        <f aca="false">IF(AND(Projects!$G$37="Yes",BQ$3&gt;=Projects!$C$37,BQ$3&lt;Projects!$C$37+Projects!$D$37),Projects!$B$37*INDEX(Curves!$B$4:$AR$4,1,BQ$3-Projects!$C$37+1),0)-IF(AND(Projects!$G$37="Yes",BQ$3&gt;=Projects!$C$37,BQ$3&lt;Projects!$C$37+Projects!$D$37),Projects!$B$37*(Assumptions!$B$10+Assumptions!$B$11+Assumptions!$B$12)/Projects!$D$37*0.95,0)-IF(AND(Projects!$G$37="Yes",BQ$3=Projects!$C$37+Projects!$D$37-1),Projects!$B$37*(Assumptions!$B$10+Assumptions!$B$11+Assumptions!$B$12)*0.05,0)</f>
        <v>0</v>
      </c>
      <c r="BR46" s="19" t="n">
        <f aca="false">IF(AND(Projects!$G$37="Yes",BR$3&gt;=Projects!$C$37,BR$3&lt;Projects!$C$37+Projects!$D$37),Projects!$B$37*INDEX(Curves!$B$4:$AR$4,1,BR$3-Projects!$C$37+1),0)-IF(AND(Projects!$G$37="Yes",BR$3&gt;=Projects!$C$37,BR$3&lt;Projects!$C$37+Projects!$D$37),Projects!$B$37*(Assumptions!$B$10+Assumptions!$B$11+Assumptions!$B$12)/Projects!$D$37*0.95,0)-IF(AND(Projects!$G$37="Yes",BR$3=Projects!$C$37+Projects!$D$37-1),Projects!$B$37*(Assumptions!$B$10+Assumptions!$B$11+Assumptions!$B$12)*0.05,0)</f>
        <v>0</v>
      </c>
      <c r="BS46" s="19" t="n">
        <f aca="false">IF(AND(Projects!$G$37="Yes",BS$3&gt;=Projects!$C$37,BS$3&lt;Projects!$C$37+Projects!$D$37),Projects!$B$37*INDEX(Curves!$B$4:$AR$4,1,BS$3-Projects!$C$37+1),0)-IF(AND(Projects!$G$37="Yes",BS$3&gt;=Projects!$C$37,BS$3&lt;Projects!$C$37+Projects!$D$37),Projects!$B$37*(Assumptions!$B$10+Assumptions!$B$11+Assumptions!$B$12)/Projects!$D$37*0.95,0)-IF(AND(Projects!$G$37="Yes",BS$3=Projects!$C$37+Projects!$D$37-1),Projects!$B$37*(Assumptions!$B$10+Assumptions!$B$11+Assumptions!$B$12)*0.05,0)</f>
        <v>0</v>
      </c>
      <c r="BT46" s="19" t="n">
        <f aca="false">IF(AND(Projects!$G$37="Yes",BT$3&gt;=Projects!$C$37,BT$3&lt;Projects!$C$37+Projects!$D$37),Projects!$B$37*INDEX(Curves!$B$4:$AR$4,1,BT$3-Projects!$C$37+1),0)-IF(AND(Projects!$G$37="Yes",BT$3&gt;=Projects!$C$37,BT$3&lt;Projects!$C$37+Projects!$D$37),Projects!$B$37*(Assumptions!$B$10+Assumptions!$B$11+Assumptions!$B$12)/Projects!$D$37*0.95,0)-IF(AND(Projects!$G$37="Yes",BT$3=Projects!$C$37+Projects!$D$37-1),Projects!$B$37*(Assumptions!$B$10+Assumptions!$B$11+Assumptions!$B$12)*0.05,0)</f>
        <v>0</v>
      </c>
      <c r="BU46" s="19" t="n">
        <f aca="false">IF(AND(Projects!$G$37="Yes",BU$3&gt;=Projects!$C$37,BU$3&lt;Projects!$C$37+Projects!$D$37),Projects!$B$37*INDEX(Curves!$B$4:$AR$4,1,BU$3-Projects!$C$37+1),0)-IF(AND(Projects!$G$37="Yes",BU$3&gt;=Projects!$C$37,BU$3&lt;Projects!$C$37+Projects!$D$37),Projects!$B$37*(Assumptions!$B$10+Assumptions!$B$11+Assumptions!$B$12)/Projects!$D$37*0.95,0)-IF(AND(Projects!$G$37="Yes",BU$3=Projects!$C$37+Projects!$D$37-1),Projects!$B$37*(Assumptions!$B$10+Assumptions!$B$11+Assumptions!$B$12)*0.05,0)</f>
        <v>0</v>
      </c>
      <c r="BV46" s="19" t="n">
        <f aca="false">IF(AND(Projects!$G$37="Yes",BV$3&gt;=Projects!$C$37,BV$3&lt;Projects!$C$37+Projects!$D$37),Projects!$B$37*INDEX(Curves!$B$4:$AR$4,1,BV$3-Projects!$C$37+1),0)-IF(AND(Projects!$G$37="Yes",BV$3&gt;=Projects!$C$37,BV$3&lt;Projects!$C$37+Projects!$D$37),Projects!$B$37*(Assumptions!$B$10+Assumptions!$B$11+Assumptions!$B$12)/Projects!$D$37*0.95,0)-IF(AND(Projects!$G$37="Yes",BV$3=Projects!$C$37+Projects!$D$37-1),Projects!$B$37*(Assumptions!$B$10+Assumptions!$B$11+Assumptions!$B$12)*0.05,0)</f>
        <v>0</v>
      </c>
      <c r="BW46" s="19" t="n">
        <f aca="false">IF(AND(Projects!$G$37="Yes",BW$3&gt;=Projects!$C$37,BW$3&lt;Projects!$C$37+Projects!$D$37),Projects!$B$37*INDEX(Curves!$B$4:$AR$4,1,BW$3-Projects!$C$37+1),0)-IF(AND(Projects!$G$37="Yes",BW$3&gt;=Projects!$C$37,BW$3&lt;Projects!$C$37+Projects!$D$37),Projects!$B$37*(Assumptions!$B$10+Assumptions!$B$11+Assumptions!$B$12)/Projects!$D$37*0.95,0)-IF(AND(Projects!$G$37="Yes",BW$3=Projects!$C$37+Projects!$D$37-1),Projects!$B$37*(Assumptions!$B$10+Assumptions!$B$11+Assumptions!$B$12)*0.05,0)</f>
        <v>0</v>
      </c>
      <c r="BX46" s="19" t="n">
        <f aca="false">IF(AND(Projects!$G$37="Yes",BX$3&gt;=Projects!$C$37,BX$3&lt;Projects!$C$37+Projects!$D$37),Projects!$B$37*INDEX(Curves!$B$4:$AR$4,1,BX$3-Projects!$C$37+1),0)-IF(AND(Projects!$G$37="Yes",BX$3&gt;=Projects!$C$37,BX$3&lt;Projects!$C$37+Projects!$D$37),Projects!$B$37*(Assumptions!$B$10+Assumptions!$B$11+Assumptions!$B$12)/Projects!$D$37*0.95,0)-IF(AND(Projects!$G$37="Yes",BX$3=Projects!$C$37+Projects!$D$37-1),Projects!$B$37*(Assumptions!$B$10+Assumptions!$B$11+Assumptions!$B$12)*0.05,0)</f>
        <v>0</v>
      </c>
      <c r="BY46" s="19" t="n">
        <f aca="false">IF(AND(Projects!$G$37="Yes",BY$3&gt;=Projects!$C$37,BY$3&lt;Projects!$C$37+Projects!$D$37),Projects!$B$37*INDEX(Curves!$B$4:$AR$4,1,BY$3-Projects!$C$37+1),0)-IF(AND(Projects!$G$37="Yes",BY$3&gt;=Projects!$C$37,BY$3&lt;Projects!$C$37+Projects!$D$37),Projects!$B$37*(Assumptions!$B$10+Assumptions!$B$11+Assumptions!$B$12)/Projects!$D$37*0.95,0)-IF(AND(Projects!$G$37="Yes",BY$3=Projects!$C$37+Projects!$D$37-1),Projects!$B$37*(Assumptions!$B$10+Assumptions!$B$11+Assumptions!$B$12)*0.05,0)</f>
        <v>0</v>
      </c>
      <c r="BZ46" s="19" t="n">
        <f aca="false">IF(AND(Projects!$G$37="Yes",BZ$3&gt;=Projects!$C$37,BZ$3&lt;Projects!$C$37+Projects!$D$37),Projects!$B$37*INDEX(Curves!$B$4:$AR$4,1,BZ$3-Projects!$C$37+1),0)-IF(AND(Projects!$G$37="Yes",BZ$3&gt;=Projects!$C$37,BZ$3&lt;Projects!$C$37+Projects!$D$37),Projects!$B$37*(Assumptions!$B$10+Assumptions!$B$11+Assumptions!$B$12)/Projects!$D$37*0.95,0)-IF(AND(Projects!$G$37="Yes",BZ$3=Projects!$C$37+Projects!$D$37-1),Projects!$B$37*(Assumptions!$B$10+Assumptions!$B$11+Assumptions!$B$12)*0.05,0)</f>
        <v>0</v>
      </c>
      <c r="CA46" s="19" t="n">
        <f aca="false">IF(AND(Projects!$G$37="Yes",CA$3&gt;=Projects!$C$37,CA$3&lt;Projects!$C$37+Projects!$D$37),Projects!$B$37*INDEX(Curves!$B$4:$AR$4,1,CA$3-Projects!$C$37+1),0)-IF(AND(Projects!$G$37="Yes",CA$3&gt;=Projects!$C$37,CA$3&lt;Projects!$C$37+Projects!$D$37),Projects!$B$37*(Assumptions!$B$10+Assumptions!$B$11+Assumptions!$B$12)/Projects!$D$37*0.95,0)-IF(AND(Projects!$G$37="Yes",CA$3=Projects!$C$37+Projects!$D$37-1),Projects!$B$37*(Assumptions!$B$10+Assumptions!$B$11+Assumptions!$B$12)*0.05,0)</f>
        <v>0</v>
      </c>
      <c r="CB46" s="19" t="n">
        <f aca="false">IF(AND(Projects!$G$37="Yes",CB$3&gt;=Projects!$C$37,CB$3&lt;Projects!$C$37+Projects!$D$37),Projects!$B$37*INDEX(Curves!$B$4:$AR$4,1,CB$3-Projects!$C$37+1),0)-IF(AND(Projects!$G$37="Yes",CB$3&gt;=Projects!$C$37,CB$3&lt;Projects!$C$37+Projects!$D$37),Projects!$B$37*(Assumptions!$B$10+Assumptions!$B$11+Assumptions!$B$12)/Projects!$D$37*0.95,0)-IF(AND(Projects!$G$37="Yes",CB$3=Projects!$C$37+Projects!$D$37-1),Projects!$B$37*(Assumptions!$B$10+Assumptions!$B$11+Assumptions!$B$12)*0.05,0)</f>
        <v>0</v>
      </c>
      <c r="CC46" s="19" t="n">
        <f aca="false">IF(AND(Projects!$G$37="Yes",CC$3&gt;=Projects!$C$37,CC$3&lt;Projects!$C$37+Projects!$D$37),Projects!$B$37*INDEX(Curves!$B$4:$AR$4,1,CC$3-Projects!$C$37+1),0)-IF(AND(Projects!$G$37="Yes",CC$3&gt;=Projects!$C$37,CC$3&lt;Projects!$C$37+Projects!$D$37),Projects!$B$37*(Assumptions!$B$10+Assumptions!$B$11+Assumptions!$B$12)/Projects!$D$37*0.95,0)-IF(AND(Projects!$G$37="Yes",CC$3=Projects!$C$37+Projects!$D$37-1),Projects!$B$37*(Assumptions!$B$10+Assumptions!$B$11+Assumptions!$B$12)*0.05,0)</f>
        <v>0</v>
      </c>
      <c r="CD46" s="19" t="n">
        <f aca="false">IF(AND(Projects!$G$37="Yes",CD$3&gt;=Projects!$C$37,CD$3&lt;Projects!$C$37+Projects!$D$37),Projects!$B$37*INDEX(Curves!$B$4:$AR$4,1,CD$3-Projects!$C$37+1),0)-IF(AND(Projects!$G$37="Yes",CD$3&gt;=Projects!$C$37,CD$3&lt;Projects!$C$37+Projects!$D$37),Projects!$B$37*(Assumptions!$B$10+Assumptions!$B$11+Assumptions!$B$12)/Projects!$D$37*0.95,0)-IF(AND(Projects!$G$37="Yes",CD$3=Projects!$C$37+Projects!$D$37-1),Projects!$B$37*(Assumptions!$B$10+Assumptions!$B$11+Assumptions!$B$12)*0.05,0)</f>
        <v>0</v>
      </c>
      <c r="CE46" s="19" t="n">
        <f aca="false">IF(AND(Projects!$G$37="Yes",CE$3&gt;=Projects!$C$37,CE$3&lt;Projects!$C$37+Projects!$D$37),Projects!$B$37*INDEX(Curves!$B$4:$AR$4,1,CE$3-Projects!$C$37+1),0)-IF(AND(Projects!$G$37="Yes",CE$3&gt;=Projects!$C$37,CE$3&lt;Projects!$C$37+Projects!$D$37),Projects!$B$37*(Assumptions!$B$10+Assumptions!$B$11+Assumptions!$B$12)/Projects!$D$37*0.95,0)-IF(AND(Projects!$G$37="Yes",CE$3=Projects!$C$37+Projects!$D$37-1),Projects!$B$37*(Assumptions!$B$10+Assumptions!$B$11+Assumptions!$B$12)*0.05,0)</f>
        <v>0</v>
      </c>
      <c r="CF46" s="19" t="n">
        <f aca="false">IF(AND(Projects!$G$37="Yes",CF$3&gt;=Projects!$C$37,CF$3&lt;Projects!$C$37+Projects!$D$37),Projects!$B$37*INDEX(Curves!$B$4:$AR$4,1,CF$3-Projects!$C$37+1),0)-IF(AND(Projects!$G$37="Yes",CF$3&gt;=Projects!$C$37,CF$3&lt;Projects!$C$37+Projects!$D$37),Projects!$B$37*(Assumptions!$B$10+Assumptions!$B$11+Assumptions!$B$12)/Projects!$D$37*0.95,0)-IF(AND(Projects!$G$37="Yes",CF$3=Projects!$C$37+Projects!$D$37-1),Projects!$B$37*(Assumptions!$B$10+Assumptions!$B$11+Assumptions!$B$12)*0.05,0)</f>
        <v>0</v>
      </c>
      <c r="CG46" s="19" t="n">
        <f aca="false">IF(AND(Projects!$G$37="Yes",CG$3&gt;=Projects!$C$37,CG$3&lt;Projects!$C$37+Projects!$D$37),Projects!$B$37*INDEX(Curves!$B$4:$AR$4,1,CG$3-Projects!$C$37+1),0)-IF(AND(Projects!$G$37="Yes",CG$3&gt;=Projects!$C$37,CG$3&lt;Projects!$C$37+Projects!$D$37),Projects!$B$37*(Assumptions!$B$10+Assumptions!$B$11+Assumptions!$B$12)/Projects!$D$37*0.95,0)-IF(AND(Projects!$G$37="Yes",CG$3=Projects!$C$37+Projects!$D$37-1),Projects!$B$37*(Assumptions!$B$10+Assumptions!$B$11+Assumptions!$B$12)*0.05,0)</f>
        <v>0</v>
      </c>
      <c r="CH46" s="19" t="n">
        <f aca="false">IF(AND(Projects!$G$37="Yes",CH$3&gt;=Projects!$C$37,CH$3&lt;Projects!$C$37+Projects!$D$37),Projects!$B$37*INDEX(Curves!$B$4:$AR$4,1,CH$3-Projects!$C$37+1),0)-IF(AND(Projects!$G$37="Yes",CH$3&gt;=Projects!$C$37,CH$3&lt;Projects!$C$37+Projects!$D$37),Projects!$B$37*(Assumptions!$B$10+Assumptions!$B$11+Assumptions!$B$12)/Projects!$D$37*0.95,0)-IF(AND(Projects!$G$37="Yes",CH$3=Projects!$C$37+Projects!$D$37-1),Projects!$B$37*(Assumptions!$B$10+Assumptions!$B$11+Assumptions!$B$12)*0.05,0)</f>
        <v>0</v>
      </c>
      <c r="CI46" s="19" t="n">
        <f aca="false">IF(AND(Projects!$G$37="Yes",CI$3&gt;=Projects!$C$37,CI$3&lt;Projects!$C$37+Projects!$D$37),Projects!$B$37*INDEX(Curves!$B$4:$AR$4,1,CI$3-Projects!$C$37+1),0)-IF(AND(Projects!$G$37="Yes",CI$3&gt;=Projects!$C$37,CI$3&lt;Projects!$C$37+Projects!$D$37),Projects!$B$37*(Assumptions!$B$10+Assumptions!$B$11+Assumptions!$B$12)/Projects!$D$37*0.95,0)-IF(AND(Projects!$G$37="Yes",CI$3=Projects!$C$37+Projects!$D$37-1),Projects!$B$37*(Assumptions!$B$10+Assumptions!$B$11+Assumptions!$B$12)*0.05,0)</f>
        <v>0</v>
      </c>
      <c r="CJ46" s="19" t="n">
        <f aca="false">IF(AND(Projects!$G$37="Yes",CJ$3&gt;=Projects!$C$37,CJ$3&lt;Projects!$C$37+Projects!$D$37),Projects!$B$37*INDEX(Curves!$B$4:$AR$4,1,CJ$3-Projects!$C$37+1),0)-IF(AND(Projects!$G$37="Yes",CJ$3&gt;=Projects!$C$37,CJ$3&lt;Projects!$C$37+Projects!$D$37),Projects!$B$37*(Assumptions!$B$10+Assumptions!$B$11+Assumptions!$B$12)/Projects!$D$37*0.95,0)-IF(AND(Projects!$G$37="Yes",CJ$3=Projects!$C$37+Projects!$D$37-1),Projects!$B$37*(Assumptions!$B$10+Assumptions!$B$11+Assumptions!$B$12)*0.05,0)</f>
        <v>0</v>
      </c>
      <c r="CK46" s="19" t="n">
        <f aca="false">IF(AND(Projects!$G$37="Yes",CK$3&gt;=Projects!$C$37,CK$3&lt;Projects!$C$37+Projects!$D$37),Projects!$B$37*INDEX(Curves!$B$4:$AR$4,1,CK$3-Projects!$C$37+1),0)-IF(AND(Projects!$G$37="Yes",CK$3&gt;=Projects!$C$37,CK$3&lt;Projects!$C$37+Projects!$D$37),Projects!$B$37*(Assumptions!$B$10+Assumptions!$B$11+Assumptions!$B$12)/Projects!$D$37*0.95,0)-IF(AND(Projects!$G$37="Yes",CK$3=Projects!$C$37+Projects!$D$37-1),Projects!$B$37*(Assumptions!$B$10+Assumptions!$B$11+Assumptions!$B$12)*0.05,0)</f>
        <v>0</v>
      </c>
      <c r="CL46" s="19" t="n">
        <f aca="false">IF(AND(Projects!$G$37="Yes",CL$3&gt;=Projects!$C$37,CL$3&lt;Projects!$C$37+Projects!$D$37),Projects!$B$37*INDEX(Curves!$B$4:$AR$4,1,CL$3-Projects!$C$37+1),0)-IF(AND(Projects!$G$37="Yes",CL$3&gt;=Projects!$C$37,CL$3&lt;Projects!$C$37+Projects!$D$37),Projects!$B$37*(Assumptions!$B$10+Assumptions!$B$11+Assumptions!$B$12)/Projects!$D$37*0.95,0)-IF(AND(Projects!$G$37="Yes",CL$3=Projects!$C$37+Projects!$D$37-1),Projects!$B$37*(Assumptions!$B$10+Assumptions!$B$11+Assumptions!$B$12)*0.05,0)</f>
        <v>0</v>
      </c>
      <c r="CM46" s="19" t="n">
        <f aca="false">IF(AND(Projects!$G$37="Yes",CM$3&gt;=Projects!$C$37,CM$3&lt;Projects!$C$37+Projects!$D$37),Projects!$B$37*INDEX(Curves!$B$4:$AR$4,1,CM$3-Projects!$C$37+1),0)-IF(AND(Projects!$G$37="Yes",CM$3&gt;=Projects!$C$37,CM$3&lt;Projects!$C$37+Projects!$D$37),Projects!$B$37*(Assumptions!$B$10+Assumptions!$B$11+Assumptions!$B$12)/Projects!$D$37*0.95,0)-IF(AND(Projects!$G$37="Yes",CM$3=Projects!$C$37+Projects!$D$37-1),Projects!$B$37*(Assumptions!$B$10+Assumptions!$B$11+Assumptions!$B$12)*0.05,0)</f>
        <v>0</v>
      </c>
      <c r="CN46" s="19" t="n">
        <f aca="false">IF(AND(Projects!$G$37="Yes",CN$3&gt;=Projects!$C$37,CN$3&lt;Projects!$C$37+Projects!$D$37),Projects!$B$37*INDEX(Curves!$B$4:$AR$4,1,CN$3-Projects!$C$37+1),0)-IF(AND(Projects!$G$37="Yes",CN$3&gt;=Projects!$C$37,CN$3&lt;Projects!$C$37+Projects!$D$37),Projects!$B$37*(Assumptions!$B$10+Assumptions!$B$11+Assumptions!$B$12)/Projects!$D$37*0.95,0)-IF(AND(Projects!$G$37="Yes",CN$3=Projects!$C$37+Projects!$D$37-1),Projects!$B$37*(Assumptions!$B$10+Assumptions!$B$11+Assumptions!$B$12)*0.05,0)</f>
        <v>0</v>
      </c>
      <c r="CO46" s="19" t="n">
        <f aca="false">IF(AND(Projects!$G$37="Yes",CO$3&gt;=Projects!$C$37,CO$3&lt;Projects!$C$37+Projects!$D$37),Projects!$B$37*INDEX(Curves!$B$4:$AR$4,1,CO$3-Projects!$C$37+1),0)-IF(AND(Projects!$G$37="Yes",CO$3&gt;=Projects!$C$37,CO$3&lt;Projects!$C$37+Projects!$D$37),Projects!$B$37*(Assumptions!$B$10+Assumptions!$B$11+Assumptions!$B$12)/Projects!$D$37*0.95,0)-IF(AND(Projects!$G$37="Yes",CO$3=Projects!$C$37+Projects!$D$37-1),Projects!$B$37*(Assumptions!$B$10+Assumptions!$B$11+Assumptions!$B$12)*0.05,0)</f>
        <v>0</v>
      </c>
      <c r="CP46" s="19" t="n">
        <f aca="false">IF(AND(Projects!$G$37="Yes",CP$3&gt;=Projects!$C$37,CP$3&lt;Projects!$C$37+Projects!$D$37),Projects!$B$37*INDEX(Curves!$B$4:$AR$4,1,CP$3-Projects!$C$37+1),0)-IF(AND(Projects!$G$37="Yes",CP$3&gt;=Projects!$C$37,CP$3&lt;Projects!$C$37+Projects!$D$37),Projects!$B$37*(Assumptions!$B$10+Assumptions!$B$11+Assumptions!$B$12)/Projects!$D$37*0.95,0)-IF(AND(Projects!$G$37="Yes",CP$3=Projects!$C$37+Projects!$D$37-1),Projects!$B$37*(Assumptions!$B$10+Assumptions!$B$11+Assumptions!$B$12)*0.05,0)</f>
        <v>0</v>
      </c>
      <c r="CQ46" s="19" t="n">
        <f aca="false">IF(AND(Projects!$G$37="Yes",CQ$3&gt;=Projects!$C$37,CQ$3&lt;Projects!$C$37+Projects!$D$37),Projects!$B$37*INDEX(Curves!$B$4:$AR$4,1,CQ$3-Projects!$C$37+1),0)-IF(AND(Projects!$G$37="Yes",CQ$3&gt;=Projects!$C$37,CQ$3&lt;Projects!$C$37+Projects!$D$37),Projects!$B$37*(Assumptions!$B$10+Assumptions!$B$11+Assumptions!$B$12)/Projects!$D$37*0.95,0)-IF(AND(Projects!$G$37="Yes",CQ$3=Projects!$C$37+Projects!$D$37-1),Projects!$B$37*(Assumptions!$B$10+Assumptions!$B$11+Assumptions!$B$12)*0.05,0)</f>
        <v>0</v>
      </c>
      <c r="CR46" s="19" t="n">
        <f aca="false">IF(AND(Projects!$G$37="Yes",CR$3&gt;=Projects!$C$37,CR$3&lt;Projects!$C$37+Projects!$D$37),Projects!$B$37*INDEX(Curves!$B$4:$AR$4,1,CR$3-Projects!$C$37+1),0)-IF(AND(Projects!$G$37="Yes",CR$3&gt;=Projects!$C$37,CR$3&lt;Projects!$C$37+Projects!$D$37),Projects!$B$37*(Assumptions!$B$10+Assumptions!$B$11+Assumptions!$B$12)/Projects!$D$37*0.95,0)-IF(AND(Projects!$G$37="Yes",CR$3=Projects!$C$37+Projects!$D$37-1),Projects!$B$37*(Assumptions!$B$10+Assumptions!$B$11+Assumptions!$B$12)*0.05,0)</f>
        <v>0</v>
      </c>
      <c r="CS46" s="19" t="n">
        <f aca="false">IF(AND(Projects!$G$37="Yes",CS$3&gt;=Projects!$C$37,CS$3&lt;Projects!$C$37+Projects!$D$37),Projects!$B$37*INDEX(Curves!$B$4:$AR$4,1,CS$3-Projects!$C$37+1),0)-IF(AND(Projects!$G$37="Yes",CS$3&gt;=Projects!$C$37,CS$3&lt;Projects!$C$37+Projects!$D$37),Projects!$B$37*(Assumptions!$B$10+Assumptions!$B$11+Assumptions!$B$12)/Projects!$D$37*0.95,0)-IF(AND(Projects!$G$37="Yes",CS$3=Projects!$C$37+Projects!$D$37-1),Projects!$B$37*(Assumptions!$B$10+Assumptions!$B$11+Assumptions!$B$12)*0.05,0)</f>
        <v>0</v>
      </c>
      <c r="CT46" s="19" t="n">
        <f aca="false">IF(AND(Projects!$G$37="Yes",CT$3&gt;=Projects!$C$37,CT$3&lt;Projects!$C$37+Projects!$D$37),Projects!$B$37*INDEX(Curves!$B$4:$AR$4,1,CT$3-Projects!$C$37+1),0)-IF(AND(Projects!$G$37="Yes",CT$3&gt;=Projects!$C$37,CT$3&lt;Projects!$C$37+Projects!$D$37),Projects!$B$37*(Assumptions!$B$10+Assumptions!$B$11+Assumptions!$B$12)/Projects!$D$37*0.95,0)-IF(AND(Projects!$G$37="Yes",CT$3=Projects!$C$37+Projects!$D$37-1),Projects!$B$37*(Assumptions!$B$10+Assumptions!$B$11+Assumptions!$B$12)*0.05,0)</f>
        <v>0</v>
      </c>
      <c r="CU46" s="19" t="n">
        <f aca="false">IF(AND(Projects!$G$37="Yes",CU$3&gt;=Projects!$C$37,CU$3&lt;Projects!$C$37+Projects!$D$37),Projects!$B$37*INDEX(Curves!$B$4:$AR$4,1,CU$3-Projects!$C$37+1),0)-IF(AND(Projects!$G$37="Yes",CU$3&gt;=Projects!$C$37,CU$3&lt;Projects!$C$37+Projects!$D$37),Projects!$B$37*(Assumptions!$B$10+Assumptions!$B$11+Assumptions!$B$12)/Projects!$D$37*0.95,0)-IF(AND(Projects!$G$37="Yes",CU$3=Projects!$C$37+Projects!$D$37-1),Projects!$B$37*(Assumptions!$B$10+Assumptions!$B$11+Assumptions!$B$12)*0.05,0)</f>
        <v>0</v>
      </c>
      <c r="CV46" s="19" t="n">
        <f aca="false">IF(AND(Projects!$G$37="Yes",CV$3&gt;=Projects!$C$37,CV$3&lt;Projects!$C$37+Projects!$D$37),Projects!$B$37*INDEX(Curves!$B$4:$AR$4,1,CV$3-Projects!$C$37+1),0)-IF(AND(Projects!$G$37="Yes",CV$3&gt;=Projects!$C$37,CV$3&lt;Projects!$C$37+Projects!$D$37),Projects!$B$37*(Assumptions!$B$10+Assumptions!$B$11+Assumptions!$B$12)/Projects!$D$37*0.95,0)-IF(AND(Projects!$G$37="Yes",CV$3=Projects!$C$37+Projects!$D$37-1),Projects!$B$37*(Assumptions!$B$10+Assumptions!$B$11+Assumptions!$B$12)*0.05,0)</f>
        <v>0</v>
      </c>
      <c r="CW46" s="19" t="n">
        <f aca="false">IF(AND(Projects!$G$37="Yes",CW$3&gt;=Projects!$C$37,CW$3&lt;Projects!$C$37+Projects!$D$37),Projects!$B$37*INDEX(Curves!$B$4:$AR$4,1,CW$3-Projects!$C$37+1),0)-IF(AND(Projects!$G$37="Yes",CW$3&gt;=Projects!$C$37,CW$3&lt;Projects!$C$37+Projects!$D$37),Projects!$B$37*(Assumptions!$B$10+Assumptions!$B$11+Assumptions!$B$12)/Projects!$D$37*0.95,0)-IF(AND(Projects!$G$37="Yes",CW$3=Projects!$C$37+Projects!$D$37-1),Projects!$B$37*(Assumptions!$B$10+Assumptions!$B$11+Assumptions!$B$12)*0.05,0)</f>
        <v>0</v>
      </c>
      <c r="CX46" s="19" t="n">
        <f aca="false">IF(AND(Projects!$G$37="Yes",CX$3&gt;=Projects!$C$37,CX$3&lt;Projects!$C$37+Projects!$D$37),Projects!$B$37*INDEX(Curves!$B$4:$AR$4,1,CX$3-Projects!$C$37+1),0)-IF(AND(Projects!$G$37="Yes",CX$3&gt;=Projects!$C$37,CX$3&lt;Projects!$C$37+Projects!$D$37),Projects!$B$37*(Assumptions!$B$10+Assumptions!$B$11+Assumptions!$B$12)/Projects!$D$37*0.95,0)-IF(AND(Projects!$G$37="Yes",CX$3=Projects!$C$37+Projects!$D$37-1),Projects!$B$37*(Assumptions!$B$10+Assumptions!$B$11+Assumptions!$B$12)*0.05,0)</f>
        <v>0</v>
      </c>
      <c r="CY46" s="19" t="n">
        <f aca="false">IF(AND(Projects!$G$37="Yes",CY$3&gt;=Projects!$C$37,CY$3&lt;Projects!$C$37+Projects!$D$37),Projects!$B$37*INDEX(Curves!$B$4:$AR$4,1,CY$3-Projects!$C$37+1),0)-IF(AND(Projects!$G$37="Yes",CY$3&gt;=Projects!$C$37,CY$3&lt;Projects!$C$37+Projects!$D$37),Projects!$B$37*(Assumptions!$B$10+Assumptions!$B$11+Assumptions!$B$12)/Projects!$D$37*0.95,0)-IF(AND(Projects!$G$37="Yes",CY$3=Projects!$C$37+Projects!$D$37-1),Projects!$B$37*(Assumptions!$B$10+Assumptions!$B$11+Assumptions!$B$12)*0.05,0)</f>
        <v>0</v>
      </c>
      <c r="CZ46" s="19" t="n">
        <f aca="false">IF(AND(Projects!$G$37="Yes",CZ$3&gt;=Projects!$C$37,CZ$3&lt;Projects!$C$37+Projects!$D$37),Projects!$B$37*INDEX(Curves!$B$4:$AR$4,1,CZ$3-Projects!$C$37+1),0)-IF(AND(Projects!$G$37="Yes",CZ$3&gt;=Projects!$C$37,CZ$3&lt;Projects!$C$37+Projects!$D$37),Projects!$B$37*(Assumptions!$B$10+Assumptions!$B$11+Assumptions!$B$12)/Projects!$D$37*0.95,0)-IF(AND(Projects!$G$37="Yes",CZ$3=Projects!$C$37+Projects!$D$37-1),Projects!$B$37*(Assumptions!$B$10+Assumptions!$B$11+Assumptions!$B$12)*0.05,0)</f>
        <v>0</v>
      </c>
      <c r="DA46" s="19" t="n">
        <f aca="false">IF(AND(Projects!$G$37="Yes",DA$3&gt;=Projects!$C$37,DA$3&lt;Projects!$C$37+Projects!$D$37),Projects!$B$37*INDEX(Curves!$B$4:$AR$4,1,DA$3-Projects!$C$37+1),0)-IF(AND(Projects!$G$37="Yes",DA$3&gt;=Projects!$C$37,DA$3&lt;Projects!$C$37+Projects!$D$37),Projects!$B$37*(Assumptions!$B$10+Assumptions!$B$11+Assumptions!$B$12)/Projects!$D$37*0.95,0)-IF(AND(Projects!$G$37="Yes",DA$3=Projects!$C$37+Projects!$D$37-1),Projects!$B$37*(Assumptions!$B$10+Assumptions!$B$11+Assumptions!$B$12)*0.05,0)</f>
        <v>0</v>
      </c>
      <c r="DB46" s="19" t="n">
        <f aca="false">IF(AND(Projects!$G$37="Yes",DB$3&gt;=Projects!$C$37,DB$3&lt;Projects!$C$37+Projects!$D$37),Projects!$B$37*INDEX(Curves!$B$4:$AR$4,1,DB$3-Projects!$C$37+1),0)-IF(AND(Projects!$G$37="Yes",DB$3&gt;=Projects!$C$37,DB$3&lt;Projects!$C$37+Projects!$D$37),Projects!$B$37*(Assumptions!$B$10+Assumptions!$B$11+Assumptions!$B$12)/Projects!$D$37*0.95,0)-IF(AND(Projects!$G$37="Yes",DB$3=Projects!$C$37+Projects!$D$37-1),Projects!$B$37*(Assumptions!$B$10+Assumptions!$B$11+Assumptions!$B$12)*0.05,0)</f>
        <v>0</v>
      </c>
      <c r="DC46" s="19" t="n">
        <f aca="false">IF(AND(Projects!$G$37="Yes",DC$3&gt;=Projects!$C$37,DC$3&lt;Projects!$C$37+Projects!$D$37),Projects!$B$37*INDEX(Curves!$B$4:$AR$4,1,DC$3-Projects!$C$37+1),0)-IF(AND(Projects!$G$37="Yes",DC$3&gt;=Projects!$C$37,DC$3&lt;Projects!$C$37+Projects!$D$37),Projects!$B$37*(Assumptions!$B$10+Assumptions!$B$11+Assumptions!$B$12)/Projects!$D$37*0.95,0)-IF(AND(Projects!$G$37="Yes",DC$3=Projects!$C$37+Projects!$D$37-1),Projects!$B$37*(Assumptions!$B$10+Assumptions!$B$11+Assumptions!$B$12)*0.05,0)</f>
        <v>0</v>
      </c>
      <c r="DD46" s="19" t="n">
        <f aca="false">IF(AND(Projects!$G$37="Yes",DD$3&gt;=Projects!$C$37,DD$3&lt;Projects!$C$37+Projects!$D$37),Projects!$B$37*INDEX(Curves!$B$4:$AR$4,1,DD$3-Projects!$C$37+1),0)-IF(AND(Projects!$G$37="Yes",DD$3&gt;=Projects!$C$37,DD$3&lt;Projects!$C$37+Projects!$D$37),Projects!$B$37*(Assumptions!$B$10+Assumptions!$B$11+Assumptions!$B$12)/Projects!$D$37*0.95,0)-IF(AND(Projects!$G$37="Yes",DD$3=Projects!$C$37+Projects!$D$37-1),Projects!$B$37*(Assumptions!$B$10+Assumptions!$B$11+Assumptions!$B$12)*0.05,0)</f>
        <v>0</v>
      </c>
      <c r="DE46" s="19" t="n">
        <f aca="false">IF(AND(Projects!$G$37="Yes",DE$3&gt;=Projects!$C$37,DE$3&lt;Projects!$C$37+Projects!$D$37),Projects!$B$37*INDEX(Curves!$B$4:$AR$4,1,DE$3-Projects!$C$37+1),0)-IF(AND(Projects!$G$37="Yes",DE$3&gt;=Projects!$C$37,DE$3&lt;Projects!$C$37+Projects!$D$37),Projects!$B$37*(Assumptions!$B$10+Assumptions!$B$11+Assumptions!$B$12)/Projects!$D$37*0.95,0)-IF(AND(Projects!$G$37="Yes",DE$3=Projects!$C$37+Projects!$D$37-1),Projects!$B$37*(Assumptions!$B$10+Assumptions!$B$11+Assumptions!$B$12)*0.05,0)</f>
        <v>0</v>
      </c>
    </row>
    <row r="47" customFormat="false" ht="15" hidden="true" customHeight="true" outlineLevel="1" collapsed="false">
      <c r="A47" s="28" t="s">
        <v>41</v>
      </c>
      <c r="B47" s="19" t="n">
        <v>0</v>
      </c>
      <c r="C47" s="19" t="n">
        <v>0</v>
      </c>
      <c r="D47" s="19" t="n">
        <v>0</v>
      </c>
      <c r="E47" s="19" t="n">
        <v>0</v>
      </c>
      <c r="F47" s="19" t="n">
        <f aca="false">IF(AND(Projects!$G$38="Yes",F$3&gt;=Projects!$C$38,F$3&lt;Projects!$C$38+Projects!$D$38),Projects!$B$38*INDEX(Curves!$B$4:$AR$4,1,F$3-Projects!$C$38+1),0)-IF(AND(Projects!$G$38="Yes",F$3&gt;=Projects!$C$38,F$3&lt;Projects!$C$38+Projects!$D$38),Projects!$B$38*(Assumptions!$B$10+Assumptions!$B$11+Assumptions!$B$12)/Projects!$D$38*0.95,0)-IF(AND(Projects!$G$38="Yes",F$3=Projects!$C$38+Projects!$D$38-1),Projects!$B$38*(Assumptions!$B$10+Assumptions!$B$11+Assumptions!$B$12)*0.05,0)</f>
        <v>0</v>
      </c>
      <c r="G47" s="19" t="n">
        <f aca="false">IF(AND(Projects!$G$38="Yes",G$3&gt;=Projects!$C$38,G$3&lt;Projects!$C$38+Projects!$D$38),Projects!$B$38*INDEX(Curves!$B$4:$AR$4,1,G$3-Projects!$C$38+1),0)-IF(AND(Projects!$G$38="Yes",G$3&gt;=Projects!$C$38,G$3&lt;Projects!$C$38+Projects!$D$38),Projects!$B$38*(Assumptions!$B$10+Assumptions!$B$11+Assumptions!$B$12)/Projects!$D$38*0.95,0)-IF(AND(Projects!$G$38="Yes",G$3=Projects!$C$38+Projects!$D$38-1),Projects!$B$38*(Assumptions!$B$10+Assumptions!$B$11+Assumptions!$B$12)*0.05,0)</f>
        <v>0</v>
      </c>
      <c r="H47" s="19" t="n">
        <f aca="false">IF(AND(Projects!$G$38="Yes",H$3&gt;=Projects!$C$38,H$3&lt;Projects!$C$38+Projects!$D$38),Projects!$B$38*INDEX(Curves!$B$4:$AR$4,1,H$3-Projects!$C$38+1),0)-IF(AND(Projects!$G$38="Yes",H$3&gt;=Projects!$C$38,H$3&lt;Projects!$C$38+Projects!$D$38),Projects!$B$38*(Assumptions!$B$10+Assumptions!$B$11+Assumptions!$B$12)/Projects!$D$38*0.95,0)-IF(AND(Projects!$G$38="Yes",H$3=Projects!$C$38+Projects!$D$38-1),Projects!$B$38*(Assumptions!$B$10+Assumptions!$B$11+Assumptions!$B$12)*0.05,0)</f>
        <v>0</v>
      </c>
      <c r="I47" s="19" t="n">
        <f aca="false">IF(AND(Projects!$G$38="Yes",I$3&gt;=Projects!$C$38,I$3&lt;Projects!$C$38+Projects!$D$38),Projects!$B$38*INDEX(Curves!$B$4:$AR$4,1,I$3-Projects!$C$38+1),0)-IF(AND(Projects!$G$38="Yes",I$3&gt;=Projects!$C$38,I$3&lt;Projects!$C$38+Projects!$D$38),Projects!$B$38*(Assumptions!$B$10+Assumptions!$B$11+Assumptions!$B$12)/Projects!$D$38*0.95,0)-IF(AND(Projects!$G$38="Yes",I$3=Projects!$C$38+Projects!$D$38-1),Projects!$B$38*(Assumptions!$B$10+Assumptions!$B$11+Assumptions!$B$12)*0.05,0)</f>
        <v>0</v>
      </c>
      <c r="J47" s="19" t="n">
        <f aca="false">IF(AND(Projects!$G$38="Yes",J$3&gt;=Projects!$C$38,J$3&lt;Projects!$C$38+Projects!$D$38),Projects!$B$38*INDEX(Curves!$B$4:$AR$4,1,J$3-Projects!$C$38+1),0)-IF(AND(Projects!$G$38="Yes",J$3&gt;=Projects!$C$38,J$3&lt;Projects!$C$38+Projects!$D$38),Projects!$B$38*(Assumptions!$B$10+Assumptions!$B$11+Assumptions!$B$12)/Projects!$D$38*0.95,0)-IF(AND(Projects!$G$38="Yes",J$3=Projects!$C$38+Projects!$D$38-1),Projects!$B$38*(Assumptions!$B$10+Assumptions!$B$11+Assumptions!$B$12)*0.05,0)</f>
        <v>0</v>
      </c>
      <c r="K47" s="19" t="n">
        <f aca="false">IF(AND(Projects!$G$38="Yes",K$3&gt;=Projects!$C$38,K$3&lt;Projects!$C$38+Projects!$D$38),Projects!$B$38*INDEX(Curves!$B$4:$AR$4,1,K$3-Projects!$C$38+1),0)-IF(AND(Projects!$G$38="Yes",K$3&gt;=Projects!$C$38,K$3&lt;Projects!$C$38+Projects!$D$38),Projects!$B$38*(Assumptions!$B$10+Assumptions!$B$11+Assumptions!$B$12)/Projects!$D$38*0.95,0)-IF(AND(Projects!$G$38="Yes",K$3=Projects!$C$38+Projects!$D$38-1),Projects!$B$38*(Assumptions!$B$10+Assumptions!$B$11+Assumptions!$B$12)*0.05,0)</f>
        <v>0</v>
      </c>
      <c r="L47" s="19" t="n">
        <f aca="false">IF(AND(Projects!$G$38="Yes",L$3&gt;=Projects!$C$38,L$3&lt;Projects!$C$38+Projects!$D$38),Projects!$B$38*INDEX(Curves!$B$4:$AR$4,1,L$3-Projects!$C$38+1),0)-IF(AND(Projects!$G$38="Yes",L$3&gt;=Projects!$C$38,L$3&lt;Projects!$C$38+Projects!$D$38),Projects!$B$38*(Assumptions!$B$10+Assumptions!$B$11+Assumptions!$B$12)/Projects!$D$38*0.95,0)-IF(AND(Projects!$G$38="Yes",L$3=Projects!$C$38+Projects!$D$38-1),Projects!$B$38*(Assumptions!$B$10+Assumptions!$B$11+Assumptions!$B$12)*0.05,0)</f>
        <v>0</v>
      </c>
      <c r="M47" s="19" t="n">
        <f aca="false">IF(AND(Projects!$G$38="Yes",M$3&gt;=Projects!$C$38,M$3&lt;Projects!$C$38+Projects!$D$38),Projects!$B$38*INDEX(Curves!$B$4:$AR$4,1,M$3-Projects!$C$38+1),0)-IF(AND(Projects!$G$38="Yes",M$3&gt;=Projects!$C$38,M$3&lt;Projects!$C$38+Projects!$D$38),Projects!$B$38*(Assumptions!$B$10+Assumptions!$B$11+Assumptions!$B$12)/Projects!$D$38*0.95,0)-IF(AND(Projects!$G$38="Yes",M$3=Projects!$C$38+Projects!$D$38-1),Projects!$B$38*(Assumptions!$B$10+Assumptions!$B$11+Assumptions!$B$12)*0.05,0)</f>
        <v>0</v>
      </c>
      <c r="N47" s="19" t="n">
        <f aca="false">IF(AND(Projects!$G$38="Yes",N$3&gt;=Projects!$C$38,N$3&lt;Projects!$C$38+Projects!$D$38),Projects!$B$38*INDEX(Curves!$B$4:$AR$4,1,N$3-Projects!$C$38+1),0)-IF(AND(Projects!$G$38="Yes",N$3&gt;=Projects!$C$38,N$3&lt;Projects!$C$38+Projects!$D$38),Projects!$B$38*(Assumptions!$B$10+Assumptions!$B$11+Assumptions!$B$12)/Projects!$D$38*0.95,0)-IF(AND(Projects!$G$38="Yes",N$3=Projects!$C$38+Projects!$D$38-1),Projects!$B$38*(Assumptions!$B$10+Assumptions!$B$11+Assumptions!$B$12)*0.05,0)</f>
        <v>0</v>
      </c>
      <c r="O47" s="19" t="n">
        <f aca="false">IF(AND(Projects!$G$38="Yes",O$3&gt;=Projects!$C$38,O$3&lt;Projects!$C$38+Projects!$D$38),Projects!$B$38*INDEX(Curves!$B$4:$AR$4,1,O$3-Projects!$C$38+1),0)-IF(AND(Projects!$G$38="Yes",O$3&gt;=Projects!$C$38,O$3&lt;Projects!$C$38+Projects!$D$38),Projects!$B$38*(Assumptions!$B$10+Assumptions!$B$11+Assumptions!$B$12)/Projects!$D$38*0.95,0)-IF(AND(Projects!$G$38="Yes",O$3=Projects!$C$38+Projects!$D$38-1),Projects!$B$38*(Assumptions!$B$10+Assumptions!$B$11+Assumptions!$B$12)*0.05,0)</f>
        <v>0</v>
      </c>
      <c r="P47" s="19" t="n">
        <f aca="false">IF(AND(Projects!$G$38="Yes",P$3&gt;=Projects!$C$38,P$3&lt;Projects!$C$38+Projects!$D$38),Projects!$B$38*INDEX(Curves!$B$4:$AR$4,1,P$3-Projects!$C$38+1),0)-IF(AND(Projects!$G$38="Yes",P$3&gt;=Projects!$C$38,P$3&lt;Projects!$C$38+Projects!$D$38),Projects!$B$38*(Assumptions!$B$10+Assumptions!$B$11+Assumptions!$B$12)/Projects!$D$38*0.95,0)-IF(AND(Projects!$G$38="Yes",P$3=Projects!$C$38+Projects!$D$38-1),Projects!$B$38*(Assumptions!$B$10+Assumptions!$B$11+Assumptions!$B$12)*0.05,0)</f>
        <v>0</v>
      </c>
      <c r="Q47" s="19" t="n">
        <f aca="false">IF(AND(Projects!$G$38="Yes",Q$3&gt;=Projects!$C$38,Q$3&lt;Projects!$C$38+Projects!$D$38),Projects!$B$38*INDEX(Curves!$B$4:$AR$4,1,Q$3-Projects!$C$38+1),0)-IF(AND(Projects!$G$38="Yes",Q$3&gt;=Projects!$C$38,Q$3&lt;Projects!$C$38+Projects!$D$38),Projects!$B$38*(Assumptions!$B$10+Assumptions!$B$11+Assumptions!$B$12)/Projects!$D$38*0.95,0)-IF(AND(Projects!$G$38="Yes",Q$3=Projects!$C$38+Projects!$D$38-1),Projects!$B$38*(Assumptions!$B$10+Assumptions!$B$11+Assumptions!$B$12)*0.05,0)</f>
        <v>0</v>
      </c>
      <c r="R47" s="19" t="n">
        <f aca="false">IF(AND(Projects!$G$38="Yes",R$3&gt;=Projects!$C$38,R$3&lt;Projects!$C$38+Projects!$D$38),Projects!$B$38*INDEX(Curves!$B$4:$AR$4,1,R$3-Projects!$C$38+1),0)-IF(AND(Projects!$G$38="Yes",R$3&gt;=Projects!$C$38,R$3&lt;Projects!$C$38+Projects!$D$38),Projects!$B$38*(Assumptions!$B$10+Assumptions!$B$11+Assumptions!$B$12)/Projects!$D$38*0.95,0)-IF(AND(Projects!$G$38="Yes",R$3=Projects!$C$38+Projects!$D$38-1),Projects!$B$38*(Assumptions!$B$10+Assumptions!$B$11+Assumptions!$B$12)*0.05,0)</f>
        <v>0</v>
      </c>
      <c r="S47" s="19" t="n">
        <f aca="false">IF(AND(Projects!$G$38="Yes",S$3&gt;=Projects!$C$38,S$3&lt;Projects!$C$38+Projects!$D$38),Projects!$B$38*INDEX(Curves!$B$4:$AR$4,1,S$3-Projects!$C$38+1),0)-IF(AND(Projects!$G$38="Yes",S$3&gt;=Projects!$C$38,S$3&lt;Projects!$C$38+Projects!$D$38),Projects!$B$38*(Assumptions!$B$10+Assumptions!$B$11+Assumptions!$B$12)/Projects!$D$38*0.95,0)-IF(AND(Projects!$G$38="Yes",S$3=Projects!$C$38+Projects!$D$38-1),Projects!$B$38*(Assumptions!$B$10+Assumptions!$B$11+Assumptions!$B$12)*0.05,0)</f>
        <v>0</v>
      </c>
      <c r="T47" s="19" t="n">
        <f aca="false">IF(AND(Projects!$G$38="Yes",T$3&gt;=Projects!$C$38,T$3&lt;Projects!$C$38+Projects!$D$38),Projects!$B$38*INDEX(Curves!$B$4:$AR$4,1,T$3-Projects!$C$38+1),0)-IF(AND(Projects!$G$38="Yes",T$3&gt;=Projects!$C$38,T$3&lt;Projects!$C$38+Projects!$D$38),Projects!$B$38*(Assumptions!$B$10+Assumptions!$B$11+Assumptions!$B$12)/Projects!$D$38*0.95,0)-IF(AND(Projects!$G$38="Yes",T$3=Projects!$C$38+Projects!$D$38-1),Projects!$B$38*(Assumptions!$B$10+Assumptions!$B$11+Assumptions!$B$12)*0.05,0)</f>
        <v>0</v>
      </c>
      <c r="U47" s="19" t="n">
        <f aca="false">IF(AND(Projects!$G$38="Yes",U$3&gt;=Projects!$C$38,U$3&lt;Projects!$C$38+Projects!$D$38),Projects!$B$38*INDEX(Curves!$B$4:$AR$4,1,U$3-Projects!$C$38+1),0)-IF(AND(Projects!$G$38="Yes",U$3&gt;=Projects!$C$38,U$3&lt;Projects!$C$38+Projects!$D$38),Projects!$B$38*(Assumptions!$B$10+Assumptions!$B$11+Assumptions!$B$12)/Projects!$D$38*0.95,0)-IF(AND(Projects!$G$38="Yes",U$3=Projects!$C$38+Projects!$D$38-1),Projects!$B$38*(Assumptions!$B$10+Assumptions!$B$11+Assumptions!$B$12)*0.05,0)</f>
        <v>0</v>
      </c>
      <c r="V47" s="19" t="n">
        <f aca="false">IF(AND(Projects!$G$38="Yes",V$3&gt;=Projects!$C$38,V$3&lt;Projects!$C$38+Projects!$D$38),Projects!$B$38*INDEX(Curves!$B$4:$AR$4,1,V$3-Projects!$C$38+1),0)-IF(AND(Projects!$G$38="Yes",V$3&gt;=Projects!$C$38,V$3&lt;Projects!$C$38+Projects!$D$38),Projects!$B$38*(Assumptions!$B$10+Assumptions!$B$11+Assumptions!$B$12)/Projects!$D$38*0.95,0)-IF(AND(Projects!$G$38="Yes",V$3=Projects!$C$38+Projects!$D$38-1),Projects!$B$38*(Assumptions!$B$10+Assumptions!$B$11+Assumptions!$B$12)*0.05,0)</f>
        <v>0</v>
      </c>
      <c r="W47" s="19" t="n">
        <f aca="false">IF(AND(Projects!$G$38="Yes",W$3&gt;=Projects!$C$38,W$3&lt;Projects!$C$38+Projects!$D$38),Projects!$B$38*INDEX(Curves!$B$4:$AR$4,1,W$3-Projects!$C$38+1),0)-IF(AND(Projects!$G$38="Yes",W$3&gt;=Projects!$C$38,W$3&lt;Projects!$C$38+Projects!$D$38),Projects!$B$38*(Assumptions!$B$10+Assumptions!$B$11+Assumptions!$B$12)/Projects!$D$38*0.95,0)-IF(AND(Projects!$G$38="Yes",W$3=Projects!$C$38+Projects!$D$38-1),Projects!$B$38*(Assumptions!$B$10+Assumptions!$B$11+Assumptions!$B$12)*0.05,0)</f>
        <v>0</v>
      </c>
      <c r="X47" s="19" t="n">
        <f aca="false">IF(AND(Projects!$G$38="Yes",X$3&gt;=Projects!$C$38,X$3&lt;Projects!$C$38+Projects!$D$38),Projects!$B$38*INDEX(Curves!$B$4:$AR$4,1,X$3-Projects!$C$38+1),0)-IF(AND(Projects!$G$38="Yes",X$3&gt;=Projects!$C$38,X$3&lt;Projects!$C$38+Projects!$D$38),Projects!$B$38*(Assumptions!$B$10+Assumptions!$B$11+Assumptions!$B$12)/Projects!$D$38*0.95,0)-IF(AND(Projects!$G$38="Yes",X$3=Projects!$C$38+Projects!$D$38-1),Projects!$B$38*(Assumptions!$B$10+Assumptions!$B$11+Assumptions!$B$12)*0.05,0)</f>
        <v>0</v>
      </c>
      <c r="Y47" s="19" t="n">
        <f aca="false">IF(AND(Projects!$G$38="Yes",Y$3&gt;=Projects!$C$38,Y$3&lt;Projects!$C$38+Projects!$D$38),Projects!$B$38*INDEX(Curves!$B$4:$AR$4,1,Y$3-Projects!$C$38+1),0)-IF(AND(Projects!$G$38="Yes",Y$3&gt;=Projects!$C$38,Y$3&lt;Projects!$C$38+Projects!$D$38),Projects!$B$38*(Assumptions!$B$10+Assumptions!$B$11+Assumptions!$B$12)/Projects!$D$38*0.95,0)-IF(AND(Projects!$G$38="Yes",Y$3=Projects!$C$38+Projects!$D$38-1),Projects!$B$38*(Assumptions!$B$10+Assumptions!$B$11+Assumptions!$B$12)*0.05,0)</f>
        <v>0</v>
      </c>
      <c r="Z47" s="19" t="n">
        <f aca="false">IF(AND(Projects!$G$38="Yes",Z$3&gt;=Projects!$C$38,Z$3&lt;Projects!$C$38+Projects!$D$38),Projects!$B$38*INDEX(Curves!$B$4:$AR$4,1,Z$3-Projects!$C$38+1),0)-IF(AND(Projects!$G$38="Yes",Z$3&gt;=Projects!$C$38,Z$3&lt;Projects!$C$38+Projects!$D$38),Projects!$B$38*(Assumptions!$B$10+Assumptions!$B$11+Assumptions!$B$12)/Projects!$D$38*0.95,0)-IF(AND(Projects!$G$38="Yes",Z$3=Projects!$C$38+Projects!$D$38-1),Projects!$B$38*(Assumptions!$B$10+Assumptions!$B$11+Assumptions!$B$12)*0.05,0)</f>
        <v>0</v>
      </c>
      <c r="AA47" s="19" t="n">
        <f aca="false">IF(AND(Projects!$G$38="Yes",AA$3&gt;=Projects!$C$38,AA$3&lt;Projects!$C$38+Projects!$D$38),Projects!$B$38*INDEX(Curves!$B$4:$AR$4,1,AA$3-Projects!$C$38+1),0)-IF(AND(Projects!$G$38="Yes",AA$3&gt;=Projects!$C$38,AA$3&lt;Projects!$C$38+Projects!$D$38),Projects!$B$38*(Assumptions!$B$10+Assumptions!$B$11+Assumptions!$B$12)/Projects!$D$38*0.95,0)-IF(AND(Projects!$G$38="Yes",AA$3=Projects!$C$38+Projects!$D$38-1),Projects!$B$38*(Assumptions!$B$10+Assumptions!$B$11+Assumptions!$B$12)*0.05,0)</f>
        <v>0</v>
      </c>
      <c r="AB47" s="19" t="n">
        <f aca="false">IF(AND(Projects!$G$38="Yes",AB$3&gt;=Projects!$C$38,AB$3&lt;Projects!$C$38+Projects!$D$38),Projects!$B$38*INDEX(Curves!$B$4:$AR$4,1,AB$3-Projects!$C$38+1),0)-IF(AND(Projects!$G$38="Yes",AB$3&gt;=Projects!$C$38,AB$3&lt;Projects!$C$38+Projects!$D$38),Projects!$B$38*(Assumptions!$B$10+Assumptions!$B$11+Assumptions!$B$12)/Projects!$D$38*0.95,0)-IF(AND(Projects!$G$38="Yes",AB$3=Projects!$C$38+Projects!$D$38-1),Projects!$B$38*(Assumptions!$B$10+Assumptions!$B$11+Assumptions!$B$12)*0.05,0)</f>
        <v>0</v>
      </c>
      <c r="AC47" s="19" t="n">
        <f aca="false">IF(AND(Projects!$G$38="Yes",AC$3&gt;=Projects!$C$38,AC$3&lt;Projects!$C$38+Projects!$D$38),Projects!$B$38*INDEX(Curves!$B$4:$AR$4,1,AC$3-Projects!$C$38+1),0)-IF(AND(Projects!$G$38="Yes",AC$3&gt;=Projects!$C$38,AC$3&lt;Projects!$C$38+Projects!$D$38),Projects!$B$38*(Assumptions!$B$10+Assumptions!$B$11+Assumptions!$B$12)/Projects!$D$38*0.95,0)-IF(AND(Projects!$G$38="Yes",AC$3=Projects!$C$38+Projects!$D$38-1),Projects!$B$38*(Assumptions!$B$10+Assumptions!$B$11+Assumptions!$B$12)*0.05,0)</f>
        <v>0</v>
      </c>
      <c r="AD47" s="19" t="n">
        <f aca="false">IF(AND(Projects!$G$38="Yes",AD$3&gt;=Projects!$C$38,AD$3&lt;Projects!$C$38+Projects!$D$38),Projects!$B$38*INDEX(Curves!$B$4:$AR$4,1,AD$3-Projects!$C$38+1),0)-IF(AND(Projects!$G$38="Yes",AD$3&gt;=Projects!$C$38,AD$3&lt;Projects!$C$38+Projects!$D$38),Projects!$B$38*(Assumptions!$B$10+Assumptions!$B$11+Assumptions!$B$12)/Projects!$D$38*0.95,0)-IF(AND(Projects!$G$38="Yes",AD$3=Projects!$C$38+Projects!$D$38-1),Projects!$B$38*(Assumptions!$B$10+Assumptions!$B$11+Assumptions!$B$12)*0.05,0)</f>
        <v>0</v>
      </c>
      <c r="AE47" s="19" t="n">
        <f aca="false">IF(AND(Projects!$G$38="Yes",AE$3&gt;=Projects!$C$38,AE$3&lt;Projects!$C$38+Projects!$D$38),Projects!$B$38*INDEX(Curves!$B$4:$AR$4,1,AE$3-Projects!$C$38+1),0)-IF(AND(Projects!$G$38="Yes",AE$3&gt;=Projects!$C$38,AE$3&lt;Projects!$C$38+Projects!$D$38),Projects!$B$38*(Assumptions!$B$10+Assumptions!$B$11+Assumptions!$B$12)/Projects!$D$38*0.95,0)-IF(AND(Projects!$G$38="Yes",AE$3=Projects!$C$38+Projects!$D$38-1),Projects!$B$38*(Assumptions!$B$10+Assumptions!$B$11+Assumptions!$B$12)*0.05,0)</f>
        <v>0</v>
      </c>
      <c r="AF47" s="19" t="n">
        <f aca="false">IF(AND(Projects!$G$38="Yes",AF$3&gt;=Projects!$C$38,AF$3&lt;Projects!$C$38+Projects!$D$38),Projects!$B$38*INDEX(Curves!$B$4:$AR$4,1,AF$3-Projects!$C$38+1),0)-IF(AND(Projects!$G$38="Yes",AF$3&gt;=Projects!$C$38,AF$3&lt;Projects!$C$38+Projects!$D$38),Projects!$B$38*(Assumptions!$B$10+Assumptions!$B$11+Assumptions!$B$12)/Projects!$D$38*0.95,0)-IF(AND(Projects!$G$38="Yes",AF$3=Projects!$C$38+Projects!$D$38-1),Projects!$B$38*(Assumptions!$B$10+Assumptions!$B$11+Assumptions!$B$12)*0.05,0)</f>
        <v>0</v>
      </c>
      <c r="AG47" s="19" t="n">
        <f aca="false">IF(AND(Projects!$G$38="Yes",AG$3&gt;=Projects!$C$38,AG$3&lt;Projects!$C$38+Projects!$D$38),Projects!$B$38*INDEX(Curves!$B$4:$AR$4,1,AG$3-Projects!$C$38+1),0)-IF(AND(Projects!$G$38="Yes",AG$3&gt;=Projects!$C$38,AG$3&lt;Projects!$C$38+Projects!$D$38),Projects!$B$38*(Assumptions!$B$10+Assumptions!$B$11+Assumptions!$B$12)/Projects!$D$38*0.95,0)-IF(AND(Projects!$G$38="Yes",AG$3=Projects!$C$38+Projects!$D$38-1),Projects!$B$38*(Assumptions!$B$10+Assumptions!$B$11+Assumptions!$B$12)*0.05,0)</f>
        <v>0</v>
      </c>
      <c r="AH47" s="19" t="n">
        <f aca="false">IF(AND(Projects!$G$38="Yes",AH$3&gt;=Projects!$C$38,AH$3&lt;Projects!$C$38+Projects!$D$38),Projects!$B$38*INDEX(Curves!$B$4:$AR$4,1,AH$3-Projects!$C$38+1),0)-IF(AND(Projects!$G$38="Yes",AH$3&gt;=Projects!$C$38,AH$3&lt;Projects!$C$38+Projects!$D$38),Projects!$B$38*(Assumptions!$B$10+Assumptions!$B$11+Assumptions!$B$12)/Projects!$D$38*0.95,0)-IF(AND(Projects!$G$38="Yes",AH$3=Projects!$C$38+Projects!$D$38-1),Projects!$B$38*(Assumptions!$B$10+Assumptions!$B$11+Assumptions!$B$12)*0.05,0)</f>
        <v>0</v>
      </c>
      <c r="AI47" s="19" t="n">
        <f aca="false">IF(AND(Projects!$G$38="Yes",AI$3&gt;=Projects!$C$38,AI$3&lt;Projects!$C$38+Projects!$D$38),Projects!$B$38*INDEX(Curves!$B$4:$AR$4,1,AI$3-Projects!$C$38+1),0)-IF(AND(Projects!$G$38="Yes",AI$3&gt;=Projects!$C$38,AI$3&lt;Projects!$C$38+Projects!$D$38),Projects!$B$38*(Assumptions!$B$10+Assumptions!$B$11+Assumptions!$B$12)/Projects!$D$38*0.95,0)-IF(AND(Projects!$G$38="Yes",AI$3=Projects!$C$38+Projects!$D$38-1),Projects!$B$38*(Assumptions!$B$10+Assumptions!$B$11+Assumptions!$B$12)*0.05,0)</f>
        <v>0</v>
      </c>
      <c r="AJ47" s="19" t="n">
        <f aca="false">IF(AND(Projects!$G$38="Yes",AJ$3&gt;=Projects!$C$38,AJ$3&lt;Projects!$C$38+Projects!$D$38),Projects!$B$38*INDEX(Curves!$B$4:$AR$4,1,AJ$3-Projects!$C$38+1),0)-IF(AND(Projects!$G$38="Yes",AJ$3&gt;=Projects!$C$38,AJ$3&lt;Projects!$C$38+Projects!$D$38),Projects!$B$38*(Assumptions!$B$10+Assumptions!$B$11+Assumptions!$B$12)/Projects!$D$38*0.95,0)-IF(AND(Projects!$G$38="Yes",AJ$3=Projects!$C$38+Projects!$D$38-1),Projects!$B$38*(Assumptions!$B$10+Assumptions!$B$11+Assumptions!$B$12)*0.05,0)</f>
        <v>0</v>
      </c>
      <c r="AK47" s="19" t="n">
        <f aca="false">IF(AND(Projects!$G$38="Yes",AK$3&gt;=Projects!$C$38,AK$3&lt;Projects!$C$38+Projects!$D$38),Projects!$B$38*INDEX(Curves!$B$4:$AR$4,1,AK$3-Projects!$C$38+1),0)-IF(AND(Projects!$G$38="Yes",AK$3&gt;=Projects!$C$38,AK$3&lt;Projects!$C$38+Projects!$D$38),Projects!$B$38*(Assumptions!$B$10+Assumptions!$B$11+Assumptions!$B$12)/Projects!$D$38*0.95,0)-IF(AND(Projects!$G$38="Yes",AK$3=Projects!$C$38+Projects!$D$38-1),Projects!$B$38*(Assumptions!$B$10+Assumptions!$B$11+Assumptions!$B$12)*0.05,0)</f>
        <v>0</v>
      </c>
      <c r="AL47" s="19" t="n">
        <f aca="false">IF(AND(Projects!$G$38="Yes",AL$3&gt;=Projects!$C$38,AL$3&lt;Projects!$C$38+Projects!$D$38),Projects!$B$38*INDEX(Curves!$B$4:$AR$4,1,AL$3-Projects!$C$38+1),0)-IF(AND(Projects!$G$38="Yes",AL$3&gt;=Projects!$C$38,AL$3&lt;Projects!$C$38+Projects!$D$38),Projects!$B$38*(Assumptions!$B$10+Assumptions!$B$11+Assumptions!$B$12)/Projects!$D$38*0.95,0)-IF(AND(Projects!$G$38="Yes",AL$3=Projects!$C$38+Projects!$D$38-1),Projects!$B$38*(Assumptions!$B$10+Assumptions!$B$11+Assumptions!$B$12)*0.05,0)</f>
        <v>0</v>
      </c>
      <c r="AM47" s="19" t="n">
        <f aca="false">IF(AND(Projects!$G$38="Yes",AM$3&gt;=Projects!$C$38,AM$3&lt;Projects!$C$38+Projects!$D$38),Projects!$B$38*INDEX(Curves!$B$4:$AR$4,1,AM$3-Projects!$C$38+1),0)-IF(AND(Projects!$G$38="Yes",AM$3&gt;=Projects!$C$38,AM$3&lt;Projects!$C$38+Projects!$D$38),Projects!$B$38*(Assumptions!$B$10+Assumptions!$B$11+Assumptions!$B$12)/Projects!$D$38*0.95,0)-IF(AND(Projects!$G$38="Yes",AM$3=Projects!$C$38+Projects!$D$38-1),Projects!$B$38*(Assumptions!$B$10+Assumptions!$B$11+Assumptions!$B$12)*0.05,0)</f>
        <v>0</v>
      </c>
      <c r="AN47" s="19" t="n">
        <f aca="false">IF(AND(Projects!$G$38="Yes",AN$3&gt;=Projects!$C$38,AN$3&lt;Projects!$C$38+Projects!$D$38),Projects!$B$38*INDEX(Curves!$B$4:$AR$4,1,AN$3-Projects!$C$38+1),0)-IF(AND(Projects!$G$38="Yes",AN$3&gt;=Projects!$C$38,AN$3&lt;Projects!$C$38+Projects!$D$38),Projects!$B$38*(Assumptions!$B$10+Assumptions!$B$11+Assumptions!$B$12)/Projects!$D$38*0.95,0)-IF(AND(Projects!$G$38="Yes",AN$3=Projects!$C$38+Projects!$D$38-1),Projects!$B$38*(Assumptions!$B$10+Assumptions!$B$11+Assumptions!$B$12)*0.05,0)</f>
        <v>0</v>
      </c>
      <c r="AO47" s="19" t="n">
        <f aca="false">IF(AND(Projects!$G$38="Yes",AO$3&gt;=Projects!$C$38,AO$3&lt;Projects!$C$38+Projects!$D$38),Projects!$B$38*INDEX(Curves!$B$4:$AR$4,1,AO$3-Projects!$C$38+1),0)-IF(AND(Projects!$G$38="Yes",AO$3&gt;=Projects!$C$38,AO$3&lt;Projects!$C$38+Projects!$D$38),Projects!$B$38*(Assumptions!$B$10+Assumptions!$B$11+Assumptions!$B$12)/Projects!$D$38*0.95,0)-IF(AND(Projects!$G$38="Yes",AO$3=Projects!$C$38+Projects!$D$38-1),Projects!$B$38*(Assumptions!$B$10+Assumptions!$B$11+Assumptions!$B$12)*0.05,0)</f>
        <v>0</v>
      </c>
      <c r="AP47" s="19" t="n">
        <f aca="false">IF(AND(Projects!$G$38="Yes",AP$3&gt;=Projects!$C$38,AP$3&lt;Projects!$C$38+Projects!$D$38),Projects!$B$38*INDEX(Curves!$B$4:$AR$4,1,AP$3-Projects!$C$38+1),0)-IF(AND(Projects!$G$38="Yes",AP$3&gt;=Projects!$C$38,AP$3&lt;Projects!$C$38+Projects!$D$38),Projects!$B$38*(Assumptions!$B$10+Assumptions!$B$11+Assumptions!$B$12)/Projects!$D$38*0.95,0)-IF(AND(Projects!$G$38="Yes",AP$3=Projects!$C$38+Projects!$D$38-1),Projects!$B$38*(Assumptions!$B$10+Assumptions!$B$11+Assumptions!$B$12)*0.05,0)</f>
        <v>0</v>
      </c>
      <c r="AQ47" s="19" t="n">
        <f aca="false">IF(AND(Projects!$G$38="Yes",AQ$3&gt;=Projects!$C$38,AQ$3&lt;Projects!$C$38+Projects!$D$38),Projects!$B$38*INDEX(Curves!$B$4:$AR$4,1,AQ$3-Projects!$C$38+1),0)-IF(AND(Projects!$G$38="Yes",AQ$3&gt;=Projects!$C$38,AQ$3&lt;Projects!$C$38+Projects!$D$38),Projects!$B$38*(Assumptions!$B$10+Assumptions!$B$11+Assumptions!$B$12)/Projects!$D$38*0.95,0)-IF(AND(Projects!$G$38="Yes",AQ$3=Projects!$C$38+Projects!$D$38-1),Projects!$B$38*(Assumptions!$B$10+Assumptions!$B$11+Assumptions!$B$12)*0.05,0)</f>
        <v>0</v>
      </c>
      <c r="AR47" s="19" t="n">
        <f aca="false">IF(AND(Projects!$G$38="Yes",AR$3&gt;=Projects!$C$38,AR$3&lt;Projects!$C$38+Projects!$D$38),Projects!$B$38*INDEX(Curves!$B$4:$AR$4,1,AR$3-Projects!$C$38+1),0)-IF(AND(Projects!$G$38="Yes",AR$3&gt;=Projects!$C$38,AR$3&lt;Projects!$C$38+Projects!$D$38),Projects!$B$38*(Assumptions!$B$10+Assumptions!$B$11+Assumptions!$B$12)/Projects!$D$38*0.95,0)-IF(AND(Projects!$G$38="Yes",AR$3=Projects!$C$38+Projects!$D$38-1),Projects!$B$38*(Assumptions!$B$10+Assumptions!$B$11+Assumptions!$B$12)*0.05,0)</f>
        <v>0</v>
      </c>
      <c r="AS47" s="19" t="n">
        <f aca="false">IF(AND(Projects!$G$38="Yes",AS$3&gt;=Projects!$C$38,AS$3&lt;Projects!$C$38+Projects!$D$38),Projects!$B$38*INDEX(Curves!$B$4:$AR$4,1,AS$3-Projects!$C$38+1),0)-IF(AND(Projects!$G$38="Yes",AS$3&gt;=Projects!$C$38,AS$3&lt;Projects!$C$38+Projects!$D$38),Projects!$B$38*(Assumptions!$B$10+Assumptions!$B$11+Assumptions!$B$12)/Projects!$D$38*0.95,0)-IF(AND(Projects!$G$38="Yes",AS$3=Projects!$C$38+Projects!$D$38-1),Projects!$B$38*(Assumptions!$B$10+Assumptions!$B$11+Assumptions!$B$12)*0.05,0)</f>
        <v>0</v>
      </c>
      <c r="AT47" s="19" t="n">
        <f aca="false">IF(AND(Projects!$G$38="Yes",AT$3&gt;=Projects!$C$38,AT$3&lt;Projects!$C$38+Projects!$D$38),Projects!$B$38*INDEX(Curves!$B$4:$AR$4,1,AT$3-Projects!$C$38+1),0)-IF(AND(Projects!$G$38="Yes",AT$3&gt;=Projects!$C$38,AT$3&lt;Projects!$C$38+Projects!$D$38),Projects!$B$38*(Assumptions!$B$10+Assumptions!$B$11+Assumptions!$B$12)/Projects!$D$38*0.95,0)-IF(AND(Projects!$G$38="Yes",AT$3=Projects!$C$38+Projects!$D$38-1),Projects!$B$38*(Assumptions!$B$10+Assumptions!$B$11+Assumptions!$B$12)*0.05,0)</f>
        <v>0</v>
      </c>
      <c r="AU47" s="19" t="n">
        <f aca="false">IF(AND(Projects!$G$38="Yes",AU$3&gt;=Projects!$C$38,AU$3&lt;Projects!$C$38+Projects!$D$38),Projects!$B$38*INDEX(Curves!$B$4:$AR$4,1,AU$3-Projects!$C$38+1),0)-IF(AND(Projects!$G$38="Yes",AU$3&gt;=Projects!$C$38,AU$3&lt;Projects!$C$38+Projects!$D$38),Projects!$B$38*(Assumptions!$B$10+Assumptions!$B$11+Assumptions!$B$12)/Projects!$D$38*0.95,0)-IF(AND(Projects!$G$38="Yes",AU$3=Projects!$C$38+Projects!$D$38-1),Projects!$B$38*(Assumptions!$B$10+Assumptions!$B$11+Assumptions!$B$12)*0.05,0)</f>
        <v>0</v>
      </c>
      <c r="AV47" s="19" t="n">
        <f aca="false">IF(AND(Projects!$G$38="Yes",AV$3&gt;=Projects!$C$38,AV$3&lt;Projects!$C$38+Projects!$D$38),Projects!$B$38*INDEX(Curves!$B$4:$AR$4,1,AV$3-Projects!$C$38+1),0)-IF(AND(Projects!$G$38="Yes",AV$3&gt;=Projects!$C$38,AV$3&lt;Projects!$C$38+Projects!$D$38),Projects!$B$38*(Assumptions!$B$10+Assumptions!$B$11+Assumptions!$B$12)/Projects!$D$38*0.95,0)-IF(AND(Projects!$G$38="Yes",AV$3=Projects!$C$38+Projects!$D$38-1),Projects!$B$38*(Assumptions!$B$10+Assumptions!$B$11+Assumptions!$B$12)*0.05,0)</f>
        <v>0</v>
      </c>
      <c r="AW47" s="19" t="n">
        <f aca="false">IF(AND(Projects!$G$38="Yes",AW$3&gt;=Projects!$C$38,AW$3&lt;Projects!$C$38+Projects!$D$38),Projects!$B$38*INDEX(Curves!$B$4:$AR$4,1,AW$3-Projects!$C$38+1),0)-IF(AND(Projects!$G$38="Yes",AW$3&gt;=Projects!$C$38,AW$3&lt;Projects!$C$38+Projects!$D$38),Projects!$B$38*(Assumptions!$B$10+Assumptions!$B$11+Assumptions!$B$12)/Projects!$D$38*0.95,0)-IF(AND(Projects!$G$38="Yes",AW$3=Projects!$C$38+Projects!$D$38-1),Projects!$B$38*(Assumptions!$B$10+Assumptions!$B$11+Assumptions!$B$12)*0.05,0)</f>
        <v>0</v>
      </c>
      <c r="AX47" s="19" t="n">
        <f aca="false">IF(AND(Projects!$G$38="Yes",AX$3&gt;=Projects!$C$38,AX$3&lt;Projects!$C$38+Projects!$D$38),Projects!$B$38*INDEX(Curves!$B$4:$AR$4,1,AX$3-Projects!$C$38+1),0)-IF(AND(Projects!$G$38="Yes",AX$3&gt;=Projects!$C$38,AX$3&lt;Projects!$C$38+Projects!$D$38),Projects!$B$38*(Assumptions!$B$10+Assumptions!$B$11+Assumptions!$B$12)/Projects!$D$38*0.95,0)-IF(AND(Projects!$G$38="Yes",AX$3=Projects!$C$38+Projects!$D$38-1),Projects!$B$38*(Assumptions!$B$10+Assumptions!$B$11+Assumptions!$B$12)*0.05,0)</f>
        <v>0</v>
      </c>
      <c r="AY47" s="19" t="n">
        <f aca="false">IF(AND(Projects!$G$38="Yes",AY$3&gt;=Projects!$C$38,AY$3&lt;Projects!$C$38+Projects!$D$38),Projects!$B$38*INDEX(Curves!$B$4:$AR$4,1,AY$3-Projects!$C$38+1),0)-IF(AND(Projects!$G$38="Yes",AY$3&gt;=Projects!$C$38,AY$3&lt;Projects!$C$38+Projects!$D$38),Projects!$B$38*(Assumptions!$B$10+Assumptions!$B$11+Assumptions!$B$12)/Projects!$D$38*0.95,0)-IF(AND(Projects!$G$38="Yes",AY$3=Projects!$C$38+Projects!$D$38-1),Projects!$B$38*(Assumptions!$B$10+Assumptions!$B$11+Assumptions!$B$12)*0.05,0)</f>
        <v>0</v>
      </c>
      <c r="AZ47" s="19" t="n">
        <f aca="false">IF(AND(Projects!$G$38="Yes",AZ$3&gt;=Projects!$C$38,AZ$3&lt;Projects!$C$38+Projects!$D$38),Projects!$B$38*INDEX(Curves!$B$4:$AR$4,1,AZ$3-Projects!$C$38+1),0)-IF(AND(Projects!$G$38="Yes",AZ$3&gt;=Projects!$C$38,AZ$3&lt;Projects!$C$38+Projects!$D$38),Projects!$B$38*(Assumptions!$B$10+Assumptions!$B$11+Assumptions!$B$12)/Projects!$D$38*0.95,0)-IF(AND(Projects!$G$38="Yes",AZ$3=Projects!$C$38+Projects!$D$38-1),Projects!$B$38*(Assumptions!$B$10+Assumptions!$B$11+Assumptions!$B$12)*0.05,0)</f>
        <v>307461.75</v>
      </c>
      <c r="BA47" s="19" t="n">
        <f aca="false">IF(AND(Projects!$G$38="Yes",BA$3&gt;=Projects!$C$38,BA$3&lt;Projects!$C$38+Projects!$D$38),Projects!$B$38*INDEX(Curves!$B$4:$AR$4,1,BA$3-Projects!$C$38+1),0)-IF(AND(Projects!$G$38="Yes",BA$3&gt;=Projects!$C$38,BA$3&lt;Projects!$C$38+Projects!$D$38),Projects!$B$38*(Assumptions!$B$10+Assumptions!$B$11+Assumptions!$B$12)/Projects!$D$38*0.95,0)-IF(AND(Projects!$G$38="Yes",BA$3=Projects!$C$38+Projects!$D$38-1),Projects!$B$38*(Assumptions!$B$10+Assumptions!$B$11+Assumptions!$B$12)*0.05,0)</f>
        <v>401121.75</v>
      </c>
      <c r="BB47" s="19" t="n">
        <f aca="false">IF(AND(Projects!$G$38="Yes",BB$3&gt;=Projects!$C$38,BB$3&lt;Projects!$C$38+Projects!$D$38),Projects!$B$38*INDEX(Curves!$B$4:$AR$4,1,BB$3-Projects!$C$38+1),0)-IF(AND(Projects!$G$38="Yes",BB$3&gt;=Projects!$C$38,BB$3&lt;Projects!$C$38+Projects!$D$38),Projects!$B$38*(Assumptions!$B$10+Assumptions!$B$11+Assumptions!$B$12)/Projects!$D$38*0.95,0)-IF(AND(Projects!$G$38="Yes",BB$3=Projects!$C$38+Projects!$D$38-1),Projects!$B$38*(Assumptions!$B$10+Assumptions!$B$11+Assumptions!$B$12)*0.05,0)</f>
        <v>501936.75</v>
      </c>
      <c r="BC47" s="19" t="n">
        <f aca="false">IF(AND(Projects!$G$38="Yes",BC$3&gt;=Projects!$C$38,BC$3&lt;Projects!$C$38+Projects!$D$38),Projects!$B$38*INDEX(Curves!$B$4:$AR$4,1,BC$3-Projects!$C$38+1),0)-IF(AND(Projects!$G$38="Yes",BC$3&gt;=Projects!$C$38,BC$3&lt;Projects!$C$38+Projects!$D$38),Projects!$B$38*(Assumptions!$B$10+Assumptions!$B$11+Assumptions!$B$12)/Projects!$D$38*0.95,0)-IF(AND(Projects!$G$38="Yes",BC$3=Projects!$C$38+Projects!$D$38-1),Projects!$B$38*(Assumptions!$B$10+Assumptions!$B$11+Assumptions!$B$12)*0.05,0)</f>
        <v>605886.75</v>
      </c>
      <c r="BD47" s="19" t="n">
        <f aca="false">IF(AND(Projects!$G$38="Yes",BD$3&gt;=Projects!$C$38,BD$3&lt;Projects!$C$38+Projects!$D$38),Projects!$B$38*INDEX(Curves!$B$4:$AR$4,1,BD$3-Projects!$C$38+1),0)-IF(AND(Projects!$G$38="Yes",BD$3&gt;=Projects!$C$38,BD$3&lt;Projects!$C$38+Projects!$D$38),Projects!$B$38*(Assumptions!$B$10+Assumptions!$B$11+Assumptions!$B$12)/Projects!$D$38*0.95,0)-IF(AND(Projects!$G$38="Yes",BD$3=Projects!$C$38+Projects!$D$38-1),Projects!$B$38*(Assumptions!$B$10+Assumptions!$B$11+Assumptions!$B$12)*0.05,0)</f>
        <v>707976.75</v>
      </c>
      <c r="BE47" s="19" t="n">
        <f aca="false">IF(AND(Projects!$G$38="Yes",BE$3&gt;=Projects!$C$38,BE$3&lt;Projects!$C$38+Projects!$D$38),Projects!$B$38*INDEX(Curves!$B$4:$AR$4,1,BE$3-Projects!$C$38+1),0)-IF(AND(Projects!$G$38="Yes",BE$3&gt;=Projects!$C$38,BE$3&lt;Projects!$C$38+Projects!$D$38),Projects!$B$38*(Assumptions!$B$10+Assumptions!$B$11+Assumptions!$B$12)/Projects!$D$38*0.95,0)-IF(AND(Projects!$G$38="Yes",BE$3=Projects!$C$38+Projects!$D$38-1),Projects!$B$38*(Assumptions!$B$10+Assumptions!$B$11+Assumptions!$B$12)*0.05,0)</f>
        <v>802536.75</v>
      </c>
      <c r="BF47" s="19" t="n">
        <f aca="false">IF(AND(Projects!$G$38="Yes",BF$3&gt;=Projects!$C$38,BF$3&lt;Projects!$C$38+Projects!$D$38),Projects!$B$38*INDEX(Curves!$B$4:$AR$4,1,BF$3-Projects!$C$38+1),0)-IF(AND(Projects!$G$38="Yes",BF$3&gt;=Projects!$C$38,BF$3&lt;Projects!$C$38+Projects!$D$38),Projects!$B$38*(Assumptions!$B$10+Assumptions!$B$11+Assumptions!$B$12)/Projects!$D$38*0.95,0)-IF(AND(Projects!$G$38="Yes",BF$3=Projects!$C$38+Projects!$D$38-1),Projects!$B$38*(Assumptions!$B$10+Assumptions!$B$11+Assumptions!$B$12)*0.05,0)</f>
        <v>883761.75</v>
      </c>
      <c r="BG47" s="19" t="n">
        <f aca="false">IF(AND(Projects!$G$38="Yes",BG$3&gt;=Projects!$C$38,BG$3&lt;Projects!$C$38+Projects!$D$38),Projects!$B$38*INDEX(Curves!$B$4:$AR$4,1,BG$3-Projects!$C$38+1),0)-IF(AND(Projects!$G$38="Yes",BG$3&gt;=Projects!$C$38,BG$3&lt;Projects!$C$38+Projects!$D$38),Projects!$B$38*(Assumptions!$B$10+Assumptions!$B$11+Assumptions!$B$12)/Projects!$D$38*0.95,0)-IF(AND(Projects!$G$38="Yes",BG$3=Projects!$C$38+Projects!$D$38-1),Projects!$B$38*(Assumptions!$B$10+Assumptions!$B$11+Assumptions!$B$12)*0.05,0)</f>
        <v>946266.75</v>
      </c>
      <c r="BH47" s="19" t="n">
        <f aca="false">IF(AND(Projects!$G$38="Yes",BH$3&gt;=Projects!$C$38,BH$3&lt;Projects!$C$38+Projects!$D$38),Projects!$B$38*INDEX(Curves!$B$4:$AR$4,1,BH$3-Projects!$C$38+1),0)-IF(AND(Projects!$G$38="Yes",BH$3&gt;=Projects!$C$38,BH$3&lt;Projects!$C$38+Projects!$D$38),Projects!$B$38*(Assumptions!$B$10+Assumptions!$B$11+Assumptions!$B$12)/Projects!$D$38*0.95,0)-IF(AND(Projects!$G$38="Yes",BH$3=Projects!$C$38+Projects!$D$38-1),Projects!$B$38*(Assumptions!$B$10+Assumptions!$B$11+Assumptions!$B$12)*0.05,0)</f>
        <v>985686.75</v>
      </c>
      <c r="BI47" s="19" t="n">
        <f aca="false">IF(AND(Projects!$G$38="Yes",BI$3&gt;=Projects!$C$38,BI$3&lt;Projects!$C$38+Projects!$D$38),Projects!$B$38*INDEX(Curves!$B$4:$AR$4,1,BI$3-Projects!$C$38+1),0)-IF(AND(Projects!$G$38="Yes",BI$3&gt;=Projects!$C$38,BI$3&lt;Projects!$C$38+Projects!$D$38),Projects!$B$38*(Assumptions!$B$10+Assumptions!$B$11+Assumptions!$B$12)/Projects!$D$38*0.95,0)-IF(AND(Projects!$G$38="Yes",BI$3=Projects!$C$38+Projects!$D$38-1),Projects!$B$38*(Assumptions!$B$10+Assumptions!$B$11+Assumptions!$B$12)*0.05,0)</f>
        <v>999156.75</v>
      </c>
      <c r="BJ47" s="19" t="n">
        <f aca="false">IF(AND(Projects!$G$38="Yes",BJ$3&gt;=Projects!$C$38,BJ$3&lt;Projects!$C$38+Projects!$D$38),Projects!$B$38*INDEX(Curves!$B$4:$AR$4,1,BJ$3-Projects!$C$38+1),0)-IF(AND(Projects!$G$38="Yes",BJ$3&gt;=Projects!$C$38,BJ$3&lt;Projects!$C$38+Projects!$D$38),Projects!$B$38*(Assumptions!$B$10+Assumptions!$B$11+Assumptions!$B$12)/Projects!$D$38*0.95,0)-IF(AND(Projects!$G$38="Yes",BJ$3=Projects!$C$38+Projects!$D$38-1),Projects!$B$38*(Assumptions!$B$10+Assumptions!$B$11+Assumptions!$B$12)*0.05,0)</f>
        <v>985686.75</v>
      </c>
      <c r="BK47" s="19" t="n">
        <f aca="false">IF(AND(Projects!$G$38="Yes",BK$3&gt;=Projects!$C$38,BK$3&lt;Projects!$C$38+Projects!$D$38),Projects!$B$38*INDEX(Curves!$B$4:$AR$4,1,BK$3-Projects!$C$38+1),0)-IF(AND(Projects!$G$38="Yes",BK$3&gt;=Projects!$C$38,BK$3&lt;Projects!$C$38+Projects!$D$38),Projects!$B$38*(Assumptions!$B$10+Assumptions!$B$11+Assumptions!$B$12)/Projects!$D$38*0.95,0)-IF(AND(Projects!$G$38="Yes",BK$3=Projects!$C$38+Projects!$D$38-1),Projects!$B$38*(Assumptions!$B$10+Assumptions!$B$11+Assumptions!$B$12)*0.05,0)</f>
        <v>946266.75</v>
      </c>
      <c r="BL47" s="19" t="n">
        <f aca="false">IF(AND(Projects!$G$38="Yes",BL$3&gt;=Projects!$C$38,BL$3&lt;Projects!$C$38+Projects!$D$38),Projects!$B$38*INDEX(Curves!$B$4:$AR$4,1,BL$3-Projects!$C$38+1),0)-IF(AND(Projects!$G$38="Yes",BL$3&gt;=Projects!$C$38,BL$3&lt;Projects!$C$38+Projects!$D$38),Projects!$B$38*(Assumptions!$B$10+Assumptions!$B$11+Assumptions!$B$12)/Projects!$D$38*0.95,0)-IF(AND(Projects!$G$38="Yes",BL$3=Projects!$C$38+Projects!$D$38-1),Projects!$B$38*(Assumptions!$B$10+Assumptions!$B$11+Assumptions!$B$12)*0.05,0)</f>
        <v>883761.75</v>
      </c>
      <c r="BM47" s="19" t="n">
        <f aca="false">IF(AND(Projects!$G$38="Yes",BM$3&gt;=Projects!$C$38,BM$3&lt;Projects!$C$38+Projects!$D$38),Projects!$B$38*INDEX(Curves!$B$4:$AR$4,1,BM$3-Projects!$C$38+1),0)-IF(AND(Projects!$G$38="Yes",BM$3&gt;=Projects!$C$38,BM$3&lt;Projects!$C$38+Projects!$D$38),Projects!$B$38*(Assumptions!$B$10+Assumptions!$B$11+Assumptions!$B$12)/Projects!$D$38*0.95,0)-IF(AND(Projects!$G$38="Yes",BM$3=Projects!$C$38+Projects!$D$38-1),Projects!$B$38*(Assumptions!$B$10+Assumptions!$B$11+Assumptions!$B$12)*0.05,0)</f>
        <v>802536.75</v>
      </c>
      <c r="BN47" s="19" t="n">
        <f aca="false">IF(AND(Projects!$G$38="Yes",BN$3&gt;=Projects!$C$38,BN$3&lt;Projects!$C$38+Projects!$D$38),Projects!$B$38*INDEX(Curves!$B$4:$AR$4,1,BN$3-Projects!$C$38+1),0)-IF(AND(Projects!$G$38="Yes",BN$3&gt;=Projects!$C$38,BN$3&lt;Projects!$C$38+Projects!$D$38),Projects!$B$38*(Assumptions!$B$10+Assumptions!$B$11+Assumptions!$B$12)/Projects!$D$38*0.95,0)-IF(AND(Projects!$G$38="Yes",BN$3=Projects!$C$38+Projects!$D$38-1),Projects!$B$38*(Assumptions!$B$10+Assumptions!$B$11+Assumptions!$B$12)*0.05,0)</f>
        <v>707976.75</v>
      </c>
      <c r="BO47" s="19" t="n">
        <f aca="false">IF(AND(Projects!$G$38="Yes",BO$3&gt;=Projects!$C$38,BO$3&lt;Projects!$C$38+Projects!$D$38),Projects!$B$38*INDEX(Curves!$B$4:$AR$4,1,BO$3-Projects!$C$38+1),0)-IF(AND(Projects!$G$38="Yes",BO$3&gt;=Projects!$C$38,BO$3&lt;Projects!$C$38+Projects!$D$38),Projects!$B$38*(Assumptions!$B$10+Assumptions!$B$11+Assumptions!$B$12)/Projects!$D$38*0.95,0)-IF(AND(Projects!$G$38="Yes",BO$3=Projects!$C$38+Projects!$D$38-1),Projects!$B$38*(Assumptions!$B$10+Assumptions!$B$11+Assumptions!$B$12)*0.05,0)</f>
        <v>605886.75</v>
      </c>
      <c r="BP47" s="19" t="n">
        <f aca="false">IF(AND(Projects!$G$38="Yes",BP$3&gt;=Projects!$C$38,BP$3&lt;Projects!$C$38+Projects!$D$38),Projects!$B$38*INDEX(Curves!$B$4:$AR$4,1,BP$3-Projects!$C$38+1),0)-IF(AND(Projects!$G$38="Yes",BP$3&gt;=Projects!$C$38,BP$3&lt;Projects!$C$38+Projects!$D$38),Projects!$B$38*(Assumptions!$B$10+Assumptions!$B$11+Assumptions!$B$12)/Projects!$D$38*0.95,0)-IF(AND(Projects!$G$38="Yes",BP$3=Projects!$C$38+Projects!$D$38-1),Projects!$B$38*(Assumptions!$B$10+Assumptions!$B$11+Assumptions!$B$12)*0.05,0)</f>
        <v>501936.75</v>
      </c>
      <c r="BQ47" s="19" t="n">
        <f aca="false">IF(AND(Projects!$G$38="Yes",BQ$3&gt;=Projects!$C$38,BQ$3&lt;Projects!$C$38+Projects!$D$38),Projects!$B$38*INDEX(Curves!$B$4:$AR$4,1,BQ$3-Projects!$C$38+1),0)-IF(AND(Projects!$G$38="Yes",BQ$3&gt;=Projects!$C$38,BQ$3&lt;Projects!$C$38+Projects!$D$38),Projects!$B$38*(Assumptions!$B$10+Assumptions!$B$11+Assumptions!$B$12)/Projects!$D$38*0.95,0)-IF(AND(Projects!$G$38="Yes",BQ$3=Projects!$C$38+Projects!$D$38-1),Projects!$B$38*(Assumptions!$B$10+Assumptions!$B$11+Assumptions!$B$12)*0.05,0)</f>
        <v>401121.75</v>
      </c>
      <c r="BR47" s="19" t="n">
        <f aca="false">IF(AND(Projects!$G$38="Yes",BR$3&gt;=Projects!$C$38,BR$3&lt;Projects!$C$38+Projects!$D$38),Projects!$B$38*INDEX(Curves!$B$4:$AR$4,1,BR$3-Projects!$C$38+1),0)-IF(AND(Projects!$G$38="Yes",BR$3&gt;=Projects!$C$38,BR$3&lt;Projects!$C$38+Projects!$D$38),Projects!$B$38*(Assumptions!$B$10+Assumptions!$B$11+Assumptions!$B$12)/Projects!$D$38*0.95,0)-IF(AND(Projects!$G$38="Yes",BR$3=Projects!$C$38+Projects!$D$38-1),Projects!$B$38*(Assumptions!$B$10+Assumptions!$B$11+Assumptions!$B$12)*0.05,0)</f>
        <v>217168.5</v>
      </c>
      <c r="BS47" s="19" t="n">
        <f aca="false">IF(AND(Projects!$G$38="Yes",BS$3&gt;=Projects!$C$38,BS$3&lt;Projects!$C$38+Projects!$D$38),Projects!$B$38*INDEX(Curves!$B$4:$AR$4,1,BS$3-Projects!$C$38+1),0)-IF(AND(Projects!$G$38="Yes",BS$3&gt;=Projects!$C$38,BS$3&lt;Projects!$C$38+Projects!$D$38),Projects!$B$38*(Assumptions!$B$10+Assumptions!$B$11+Assumptions!$B$12)/Projects!$D$38*0.95,0)-IF(AND(Projects!$G$38="Yes",BS$3=Projects!$C$38+Projects!$D$38-1),Projects!$B$38*(Assumptions!$B$10+Assumptions!$B$11+Assumptions!$B$12)*0.05,0)</f>
        <v>0</v>
      </c>
      <c r="BT47" s="19" t="n">
        <f aca="false">IF(AND(Projects!$G$38="Yes",BT$3&gt;=Projects!$C$38,BT$3&lt;Projects!$C$38+Projects!$D$38),Projects!$B$38*INDEX(Curves!$B$4:$AR$4,1,BT$3-Projects!$C$38+1),0)-IF(AND(Projects!$G$38="Yes",BT$3&gt;=Projects!$C$38,BT$3&lt;Projects!$C$38+Projects!$D$38),Projects!$B$38*(Assumptions!$B$10+Assumptions!$B$11+Assumptions!$B$12)/Projects!$D$38*0.95,0)-IF(AND(Projects!$G$38="Yes",BT$3=Projects!$C$38+Projects!$D$38-1),Projects!$B$38*(Assumptions!$B$10+Assumptions!$B$11+Assumptions!$B$12)*0.05,0)</f>
        <v>0</v>
      </c>
      <c r="BU47" s="19" t="n">
        <f aca="false">IF(AND(Projects!$G$38="Yes",BU$3&gt;=Projects!$C$38,BU$3&lt;Projects!$C$38+Projects!$D$38),Projects!$B$38*INDEX(Curves!$B$4:$AR$4,1,BU$3-Projects!$C$38+1),0)-IF(AND(Projects!$G$38="Yes",BU$3&gt;=Projects!$C$38,BU$3&lt;Projects!$C$38+Projects!$D$38),Projects!$B$38*(Assumptions!$B$10+Assumptions!$B$11+Assumptions!$B$12)/Projects!$D$38*0.95,0)-IF(AND(Projects!$G$38="Yes",BU$3=Projects!$C$38+Projects!$D$38-1),Projects!$B$38*(Assumptions!$B$10+Assumptions!$B$11+Assumptions!$B$12)*0.05,0)</f>
        <v>0</v>
      </c>
      <c r="BV47" s="19" t="n">
        <f aca="false">IF(AND(Projects!$G$38="Yes",BV$3&gt;=Projects!$C$38,BV$3&lt;Projects!$C$38+Projects!$D$38),Projects!$B$38*INDEX(Curves!$B$4:$AR$4,1,BV$3-Projects!$C$38+1),0)-IF(AND(Projects!$G$38="Yes",BV$3&gt;=Projects!$C$38,BV$3&lt;Projects!$C$38+Projects!$D$38),Projects!$B$38*(Assumptions!$B$10+Assumptions!$B$11+Assumptions!$B$12)/Projects!$D$38*0.95,0)-IF(AND(Projects!$G$38="Yes",BV$3=Projects!$C$38+Projects!$D$38-1),Projects!$B$38*(Assumptions!$B$10+Assumptions!$B$11+Assumptions!$B$12)*0.05,0)</f>
        <v>0</v>
      </c>
      <c r="BW47" s="19" t="n">
        <f aca="false">IF(AND(Projects!$G$38="Yes",BW$3&gt;=Projects!$C$38,BW$3&lt;Projects!$C$38+Projects!$D$38),Projects!$B$38*INDEX(Curves!$B$4:$AR$4,1,BW$3-Projects!$C$38+1),0)-IF(AND(Projects!$G$38="Yes",BW$3&gt;=Projects!$C$38,BW$3&lt;Projects!$C$38+Projects!$D$38),Projects!$B$38*(Assumptions!$B$10+Assumptions!$B$11+Assumptions!$B$12)/Projects!$D$38*0.95,0)-IF(AND(Projects!$G$38="Yes",BW$3=Projects!$C$38+Projects!$D$38-1),Projects!$B$38*(Assumptions!$B$10+Assumptions!$B$11+Assumptions!$B$12)*0.05,0)</f>
        <v>0</v>
      </c>
      <c r="BX47" s="19" t="n">
        <f aca="false">IF(AND(Projects!$G$38="Yes",BX$3&gt;=Projects!$C$38,BX$3&lt;Projects!$C$38+Projects!$D$38),Projects!$B$38*INDEX(Curves!$B$4:$AR$4,1,BX$3-Projects!$C$38+1),0)-IF(AND(Projects!$G$38="Yes",BX$3&gt;=Projects!$C$38,BX$3&lt;Projects!$C$38+Projects!$D$38),Projects!$B$38*(Assumptions!$B$10+Assumptions!$B$11+Assumptions!$B$12)/Projects!$D$38*0.95,0)-IF(AND(Projects!$G$38="Yes",BX$3=Projects!$C$38+Projects!$D$38-1),Projects!$B$38*(Assumptions!$B$10+Assumptions!$B$11+Assumptions!$B$12)*0.05,0)</f>
        <v>0</v>
      </c>
      <c r="BY47" s="19" t="n">
        <f aca="false">IF(AND(Projects!$G$38="Yes",BY$3&gt;=Projects!$C$38,BY$3&lt;Projects!$C$38+Projects!$D$38),Projects!$B$38*INDEX(Curves!$B$4:$AR$4,1,BY$3-Projects!$C$38+1),0)-IF(AND(Projects!$G$38="Yes",BY$3&gt;=Projects!$C$38,BY$3&lt;Projects!$C$38+Projects!$D$38),Projects!$B$38*(Assumptions!$B$10+Assumptions!$B$11+Assumptions!$B$12)/Projects!$D$38*0.95,0)-IF(AND(Projects!$G$38="Yes",BY$3=Projects!$C$38+Projects!$D$38-1),Projects!$B$38*(Assumptions!$B$10+Assumptions!$B$11+Assumptions!$B$12)*0.05,0)</f>
        <v>0</v>
      </c>
      <c r="BZ47" s="19" t="n">
        <f aca="false">IF(AND(Projects!$G$38="Yes",BZ$3&gt;=Projects!$C$38,BZ$3&lt;Projects!$C$38+Projects!$D$38),Projects!$B$38*INDEX(Curves!$B$4:$AR$4,1,BZ$3-Projects!$C$38+1),0)-IF(AND(Projects!$G$38="Yes",BZ$3&gt;=Projects!$C$38,BZ$3&lt;Projects!$C$38+Projects!$D$38),Projects!$B$38*(Assumptions!$B$10+Assumptions!$B$11+Assumptions!$B$12)/Projects!$D$38*0.95,0)-IF(AND(Projects!$G$38="Yes",BZ$3=Projects!$C$38+Projects!$D$38-1),Projects!$B$38*(Assumptions!$B$10+Assumptions!$B$11+Assumptions!$B$12)*0.05,0)</f>
        <v>0</v>
      </c>
      <c r="CA47" s="19" t="n">
        <f aca="false">IF(AND(Projects!$G$38="Yes",CA$3&gt;=Projects!$C$38,CA$3&lt;Projects!$C$38+Projects!$D$38),Projects!$B$38*INDEX(Curves!$B$4:$AR$4,1,CA$3-Projects!$C$38+1),0)-IF(AND(Projects!$G$38="Yes",CA$3&gt;=Projects!$C$38,CA$3&lt;Projects!$C$38+Projects!$D$38),Projects!$B$38*(Assumptions!$B$10+Assumptions!$B$11+Assumptions!$B$12)/Projects!$D$38*0.95,0)-IF(AND(Projects!$G$38="Yes",CA$3=Projects!$C$38+Projects!$D$38-1),Projects!$B$38*(Assumptions!$B$10+Assumptions!$B$11+Assumptions!$B$12)*0.05,0)</f>
        <v>0</v>
      </c>
      <c r="CB47" s="19" t="n">
        <f aca="false">IF(AND(Projects!$G$38="Yes",CB$3&gt;=Projects!$C$38,CB$3&lt;Projects!$C$38+Projects!$D$38),Projects!$B$38*INDEX(Curves!$B$4:$AR$4,1,CB$3-Projects!$C$38+1),0)-IF(AND(Projects!$G$38="Yes",CB$3&gt;=Projects!$C$38,CB$3&lt;Projects!$C$38+Projects!$D$38),Projects!$B$38*(Assumptions!$B$10+Assumptions!$B$11+Assumptions!$B$12)/Projects!$D$38*0.95,0)-IF(AND(Projects!$G$38="Yes",CB$3=Projects!$C$38+Projects!$D$38-1),Projects!$B$38*(Assumptions!$B$10+Assumptions!$B$11+Assumptions!$B$12)*0.05,0)</f>
        <v>0</v>
      </c>
      <c r="CC47" s="19" t="n">
        <f aca="false">IF(AND(Projects!$G$38="Yes",CC$3&gt;=Projects!$C$38,CC$3&lt;Projects!$C$38+Projects!$D$38),Projects!$B$38*INDEX(Curves!$B$4:$AR$4,1,CC$3-Projects!$C$38+1),0)-IF(AND(Projects!$G$38="Yes",CC$3&gt;=Projects!$C$38,CC$3&lt;Projects!$C$38+Projects!$D$38),Projects!$B$38*(Assumptions!$B$10+Assumptions!$B$11+Assumptions!$B$12)/Projects!$D$38*0.95,0)-IF(AND(Projects!$G$38="Yes",CC$3=Projects!$C$38+Projects!$D$38-1),Projects!$B$38*(Assumptions!$B$10+Assumptions!$B$11+Assumptions!$B$12)*0.05,0)</f>
        <v>0</v>
      </c>
      <c r="CD47" s="19" t="n">
        <f aca="false">IF(AND(Projects!$G$38="Yes",CD$3&gt;=Projects!$C$38,CD$3&lt;Projects!$C$38+Projects!$D$38),Projects!$B$38*INDEX(Curves!$B$4:$AR$4,1,CD$3-Projects!$C$38+1),0)-IF(AND(Projects!$G$38="Yes",CD$3&gt;=Projects!$C$38,CD$3&lt;Projects!$C$38+Projects!$D$38),Projects!$B$38*(Assumptions!$B$10+Assumptions!$B$11+Assumptions!$B$12)/Projects!$D$38*0.95,0)-IF(AND(Projects!$G$38="Yes",CD$3=Projects!$C$38+Projects!$D$38-1),Projects!$B$38*(Assumptions!$B$10+Assumptions!$B$11+Assumptions!$B$12)*0.05,0)</f>
        <v>0</v>
      </c>
      <c r="CE47" s="19" t="n">
        <f aca="false">IF(AND(Projects!$G$38="Yes",CE$3&gt;=Projects!$C$38,CE$3&lt;Projects!$C$38+Projects!$D$38),Projects!$B$38*INDEX(Curves!$B$4:$AR$4,1,CE$3-Projects!$C$38+1),0)-IF(AND(Projects!$G$38="Yes",CE$3&gt;=Projects!$C$38,CE$3&lt;Projects!$C$38+Projects!$D$38),Projects!$B$38*(Assumptions!$B$10+Assumptions!$B$11+Assumptions!$B$12)/Projects!$D$38*0.95,0)-IF(AND(Projects!$G$38="Yes",CE$3=Projects!$C$38+Projects!$D$38-1),Projects!$B$38*(Assumptions!$B$10+Assumptions!$B$11+Assumptions!$B$12)*0.05,0)</f>
        <v>0</v>
      </c>
      <c r="CF47" s="19" t="n">
        <f aca="false">IF(AND(Projects!$G$38="Yes",CF$3&gt;=Projects!$C$38,CF$3&lt;Projects!$C$38+Projects!$D$38),Projects!$B$38*INDEX(Curves!$B$4:$AR$4,1,CF$3-Projects!$C$38+1),0)-IF(AND(Projects!$G$38="Yes",CF$3&gt;=Projects!$C$38,CF$3&lt;Projects!$C$38+Projects!$D$38),Projects!$B$38*(Assumptions!$B$10+Assumptions!$B$11+Assumptions!$B$12)/Projects!$D$38*0.95,0)-IF(AND(Projects!$G$38="Yes",CF$3=Projects!$C$38+Projects!$D$38-1),Projects!$B$38*(Assumptions!$B$10+Assumptions!$B$11+Assumptions!$B$12)*0.05,0)</f>
        <v>0</v>
      </c>
      <c r="CG47" s="19" t="n">
        <f aca="false">IF(AND(Projects!$G$38="Yes",CG$3&gt;=Projects!$C$38,CG$3&lt;Projects!$C$38+Projects!$D$38),Projects!$B$38*INDEX(Curves!$B$4:$AR$4,1,CG$3-Projects!$C$38+1),0)-IF(AND(Projects!$G$38="Yes",CG$3&gt;=Projects!$C$38,CG$3&lt;Projects!$C$38+Projects!$D$38),Projects!$B$38*(Assumptions!$B$10+Assumptions!$B$11+Assumptions!$B$12)/Projects!$D$38*0.95,0)-IF(AND(Projects!$G$38="Yes",CG$3=Projects!$C$38+Projects!$D$38-1),Projects!$B$38*(Assumptions!$B$10+Assumptions!$B$11+Assumptions!$B$12)*0.05,0)</f>
        <v>0</v>
      </c>
      <c r="CH47" s="19" t="n">
        <f aca="false">IF(AND(Projects!$G$38="Yes",CH$3&gt;=Projects!$C$38,CH$3&lt;Projects!$C$38+Projects!$D$38),Projects!$B$38*INDEX(Curves!$B$4:$AR$4,1,CH$3-Projects!$C$38+1),0)-IF(AND(Projects!$G$38="Yes",CH$3&gt;=Projects!$C$38,CH$3&lt;Projects!$C$38+Projects!$D$38),Projects!$B$38*(Assumptions!$B$10+Assumptions!$B$11+Assumptions!$B$12)/Projects!$D$38*0.95,0)-IF(AND(Projects!$G$38="Yes",CH$3=Projects!$C$38+Projects!$D$38-1),Projects!$B$38*(Assumptions!$B$10+Assumptions!$B$11+Assumptions!$B$12)*0.05,0)</f>
        <v>0</v>
      </c>
      <c r="CI47" s="19" t="n">
        <f aca="false">IF(AND(Projects!$G$38="Yes",CI$3&gt;=Projects!$C$38,CI$3&lt;Projects!$C$38+Projects!$D$38),Projects!$B$38*INDEX(Curves!$B$4:$AR$4,1,CI$3-Projects!$C$38+1),0)-IF(AND(Projects!$G$38="Yes",CI$3&gt;=Projects!$C$38,CI$3&lt;Projects!$C$38+Projects!$D$38),Projects!$B$38*(Assumptions!$B$10+Assumptions!$B$11+Assumptions!$B$12)/Projects!$D$38*0.95,0)-IF(AND(Projects!$G$38="Yes",CI$3=Projects!$C$38+Projects!$D$38-1),Projects!$B$38*(Assumptions!$B$10+Assumptions!$B$11+Assumptions!$B$12)*0.05,0)</f>
        <v>0</v>
      </c>
      <c r="CJ47" s="19" t="n">
        <f aca="false">IF(AND(Projects!$G$38="Yes",CJ$3&gt;=Projects!$C$38,CJ$3&lt;Projects!$C$38+Projects!$D$38),Projects!$B$38*INDEX(Curves!$B$4:$AR$4,1,CJ$3-Projects!$C$38+1),0)-IF(AND(Projects!$G$38="Yes",CJ$3&gt;=Projects!$C$38,CJ$3&lt;Projects!$C$38+Projects!$D$38),Projects!$B$38*(Assumptions!$B$10+Assumptions!$B$11+Assumptions!$B$12)/Projects!$D$38*0.95,0)-IF(AND(Projects!$G$38="Yes",CJ$3=Projects!$C$38+Projects!$D$38-1),Projects!$B$38*(Assumptions!$B$10+Assumptions!$B$11+Assumptions!$B$12)*0.05,0)</f>
        <v>0</v>
      </c>
      <c r="CK47" s="19" t="n">
        <f aca="false">IF(AND(Projects!$G$38="Yes",CK$3&gt;=Projects!$C$38,CK$3&lt;Projects!$C$38+Projects!$D$38),Projects!$B$38*INDEX(Curves!$B$4:$AR$4,1,CK$3-Projects!$C$38+1),0)-IF(AND(Projects!$G$38="Yes",CK$3&gt;=Projects!$C$38,CK$3&lt;Projects!$C$38+Projects!$D$38),Projects!$B$38*(Assumptions!$B$10+Assumptions!$B$11+Assumptions!$B$12)/Projects!$D$38*0.95,0)-IF(AND(Projects!$G$38="Yes",CK$3=Projects!$C$38+Projects!$D$38-1),Projects!$B$38*(Assumptions!$B$10+Assumptions!$B$11+Assumptions!$B$12)*0.05,0)</f>
        <v>0</v>
      </c>
      <c r="CL47" s="19" t="n">
        <f aca="false">IF(AND(Projects!$G$38="Yes",CL$3&gt;=Projects!$C$38,CL$3&lt;Projects!$C$38+Projects!$D$38),Projects!$B$38*INDEX(Curves!$B$4:$AR$4,1,CL$3-Projects!$C$38+1),0)-IF(AND(Projects!$G$38="Yes",CL$3&gt;=Projects!$C$38,CL$3&lt;Projects!$C$38+Projects!$D$38),Projects!$B$38*(Assumptions!$B$10+Assumptions!$B$11+Assumptions!$B$12)/Projects!$D$38*0.95,0)-IF(AND(Projects!$G$38="Yes",CL$3=Projects!$C$38+Projects!$D$38-1),Projects!$B$38*(Assumptions!$B$10+Assumptions!$B$11+Assumptions!$B$12)*0.05,0)</f>
        <v>0</v>
      </c>
      <c r="CM47" s="19" t="n">
        <f aca="false">IF(AND(Projects!$G$38="Yes",CM$3&gt;=Projects!$C$38,CM$3&lt;Projects!$C$38+Projects!$D$38),Projects!$B$38*INDEX(Curves!$B$4:$AR$4,1,CM$3-Projects!$C$38+1),0)-IF(AND(Projects!$G$38="Yes",CM$3&gt;=Projects!$C$38,CM$3&lt;Projects!$C$38+Projects!$D$38),Projects!$B$38*(Assumptions!$B$10+Assumptions!$B$11+Assumptions!$B$12)/Projects!$D$38*0.95,0)-IF(AND(Projects!$G$38="Yes",CM$3=Projects!$C$38+Projects!$D$38-1),Projects!$B$38*(Assumptions!$B$10+Assumptions!$B$11+Assumptions!$B$12)*0.05,0)</f>
        <v>0</v>
      </c>
      <c r="CN47" s="19" t="n">
        <f aca="false">IF(AND(Projects!$G$38="Yes",CN$3&gt;=Projects!$C$38,CN$3&lt;Projects!$C$38+Projects!$D$38),Projects!$B$38*INDEX(Curves!$B$4:$AR$4,1,CN$3-Projects!$C$38+1),0)-IF(AND(Projects!$G$38="Yes",CN$3&gt;=Projects!$C$38,CN$3&lt;Projects!$C$38+Projects!$D$38),Projects!$B$38*(Assumptions!$B$10+Assumptions!$B$11+Assumptions!$B$12)/Projects!$D$38*0.95,0)-IF(AND(Projects!$G$38="Yes",CN$3=Projects!$C$38+Projects!$D$38-1),Projects!$B$38*(Assumptions!$B$10+Assumptions!$B$11+Assumptions!$B$12)*0.05,0)</f>
        <v>0</v>
      </c>
      <c r="CO47" s="19" t="n">
        <f aca="false">IF(AND(Projects!$G$38="Yes",CO$3&gt;=Projects!$C$38,CO$3&lt;Projects!$C$38+Projects!$D$38),Projects!$B$38*INDEX(Curves!$B$4:$AR$4,1,CO$3-Projects!$C$38+1),0)-IF(AND(Projects!$G$38="Yes",CO$3&gt;=Projects!$C$38,CO$3&lt;Projects!$C$38+Projects!$D$38),Projects!$B$38*(Assumptions!$B$10+Assumptions!$B$11+Assumptions!$B$12)/Projects!$D$38*0.95,0)-IF(AND(Projects!$G$38="Yes",CO$3=Projects!$C$38+Projects!$D$38-1),Projects!$B$38*(Assumptions!$B$10+Assumptions!$B$11+Assumptions!$B$12)*0.05,0)</f>
        <v>0</v>
      </c>
      <c r="CP47" s="19" t="n">
        <f aca="false">IF(AND(Projects!$G$38="Yes",CP$3&gt;=Projects!$C$38,CP$3&lt;Projects!$C$38+Projects!$D$38),Projects!$B$38*INDEX(Curves!$B$4:$AR$4,1,CP$3-Projects!$C$38+1),0)-IF(AND(Projects!$G$38="Yes",CP$3&gt;=Projects!$C$38,CP$3&lt;Projects!$C$38+Projects!$D$38),Projects!$B$38*(Assumptions!$B$10+Assumptions!$B$11+Assumptions!$B$12)/Projects!$D$38*0.95,0)-IF(AND(Projects!$G$38="Yes",CP$3=Projects!$C$38+Projects!$D$38-1),Projects!$B$38*(Assumptions!$B$10+Assumptions!$B$11+Assumptions!$B$12)*0.05,0)</f>
        <v>0</v>
      </c>
      <c r="CQ47" s="19" t="n">
        <f aca="false">IF(AND(Projects!$G$38="Yes",CQ$3&gt;=Projects!$C$38,CQ$3&lt;Projects!$C$38+Projects!$D$38),Projects!$B$38*INDEX(Curves!$B$4:$AR$4,1,CQ$3-Projects!$C$38+1),0)-IF(AND(Projects!$G$38="Yes",CQ$3&gt;=Projects!$C$38,CQ$3&lt;Projects!$C$38+Projects!$D$38),Projects!$B$38*(Assumptions!$B$10+Assumptions!$B$11+Assumptions!$B$12)/Projects!$D$38*0.95,0)-IF(AND(Projects!$G$38="Yes",CQ$3=Projects!$C$38+Projects!$D$38-1),Projects!$B$38*(Assumptions!$B$10+Assumptions!$B$11+Assumptions!$B$12)*0.05,0)</f>
        <v>0</v>
      </c>
      <c r="CR47" s="19" t="n">
        <f aca="false">IF(AND(Projects!$G$38="Yes",CR$3&gt;=Projects!$C$38,CR$3&lt;Projects!$C$38+Projects!$D$38),Projects!$B$38*INDEX(Curves!$B$4:$AR$4,1,CR$3-Projects!$C$38+1),0)-IF(AND(Projects!$G$38="Yes",CR$3&gt;=Projects!$C$38,CR$3&lt;Projects!$C$38+Projects!$D$38),Projects!$B$38*(Assumptions!$B$10+Assumptions!$B$11+Assumptions!$B$12)/Projects!$D$38*0.95,0)-IF(AND(Projects!$G$38="Yes",CR$3=Projects!$C$38+Projects!$D$38-1),Projects!$B$38*(Assumptions!$B$10+Assumptions!$B$11+Assumptions!$B$12)*0.05,0)</f>
        <v>0</v>
      </c>
      <c r="CS47" s="19" t="n">
        <f aca="false">IF(AND(Projects!$G$38="Yes",CS$3&gt;=Projects!$C$38,CS$3&lt;Projects!$C$38+Projects!$D$38),Projects!$B$38*INDEX(Curves!$B$4:$AR$4,1,CS$3-Projects!$C$38+1),0)-IF(AND(Projects!$G$38="Yes",CS$3&gt;=Projects!$C$38,CS$3&lt;Projects!$C$38+Projects!$D$38),Projects!$B$38*(Assumptions!$B$10+Assumptions!$B$11+Assumptions!$B$12)/Projects!$D$38*0.95,0)-IF(AND(Projects!$G$38="Yes",CS$3=Projects!$C$38+Projects!$D$38-1),Projects!$B$38*(Assumptions!$B$10+Assumptions!$B$11+Assumptions!$B$12)*0.05,0)</f>
        <v>0</v>
      </c>
      <c r="CT47" s="19" t="n">
        <f aca="false">IF(AND(Projects!$G$38="Yes",CT$3&gt;=Projects!$C$38,CT$3&lt;Projects!$C$38+Projects!$D$38),Projects!$B$38*INDEX(Curves!$B$4:$AR$4,1,CT$3-Projects!$C$38+1),0)-IF(AND(Projects!$G$38="Yes",CT$3&gt;=Projects!$C$38,CT$3&lt;Projects!$C$38+Projects!$D$38),Projects!$B$38*(Assumptions!$B$10+Assumptions!$B$11+Assumptions!$B$12)/Projects!$D$38*0.95,0)-IF(AND(Projects!$G$38="Yes",CT$3=Projects!$C$38+Projects!$D$38-1),Projects!$B$38*(Assumptions!$B$10+Assumptions!$B$11+Assumptions!$B$12)*0.05,0)</f>
        <v>0</v>
      </c>
      <c r="CU47" s="19" t="n">
        <f aca="false">IF(AND(Projects!$G$38="Yes",CU$3&gt;=Projects!$C$38,CU$3&lt;Projects!$C$38+Projects!$D$38),Projects!$B$38*INDEX(Curves!$B$4:$AR$4,1,CU$3-Projects!$C$38+1),0)-IF(AND(Projects!$G$38="Yes",CU$3&gt;=Projects!$C$38,CU$3&lt;Projects!$C$38+Projects!$D$38),Projects!$B$38*(Assumptions!$B$10+Assumptions!$B$11+Assumptions!$B$12)/Projects!$D$38*0.95,0)-IF(AND(Projects!$G$38="Yes",CU$3=Projects!$C$38+Projects!$D$38-1),Projects!$B$38*(Assumptions!$B$10+Assumptions!$B$11+Assumptions!$B$12)*0.05,0)</f>
        <v>0</v>
      </c>
      <c r="CV47" s="19" t="n">
        <f aca="false">IF(AND(Projects!$G$38="Yes",CV$3&gt;=Projects!$C$38,CV$3&lt;Projects!$C$38+Projects!$D$38),Projects!$B$38*INDEX(Curves!$B$4:$AR$4,1,CV$3-Projects!$C$38+1),0)-IF(AND(Projects!$G$38="Yes",CV$3&gt;=Projects!$C$38,CV$3&lt;Projects!$C$38+Projects!$D$38),Projects!$B$38*(Assumptions!$B$10+Assumptions!$B$11+Assumptions!$B$12)/Projects!$D$38*0.95,0)-IF(AND(Projects!$G$38="Yes",CV$3=Projects!$C$38+Projects!$D$38-1),Projects!$B$38*(Assumptions!$B$10+Assumptions!$B$11+Assumptions!$B$12)*0.05,0)</f>
        <v>0</v>
      </c>
      <c r="CW47" s="19" t="n">
        <f aca="false">IF(AND(Projects!$G$38="Yes",CW$3&gt;=Projects!$C$38,CW$3&lt;Projects!$C$38+Projects!$D$38),Projects!$B$38*INDEX(Curves!$B$4:$AR$4,1,CW$3-Projects!$C$38+1),0)-IF(AND(Projects!$G$38="Yes",CW$3&gt;=Projects!$C$38,CW$3&lt;Projects!$C$38+Projects!$D$38),Projects!$B$38*(Assumptions!$B$10+Assumptions!$B$11+Assumptions!$B$12)/Projects!$D$38*0.95,0)-IF(AND(Projects!$G$38="Yes",CW$3=Projects!$C$38+Projects!$D$38-1),Projects!$B$38*(Assumptions!$B$10+Assumptions!$B$11+Assumptions!$B$12)*0.05,0)</f>
        <v>0</v>
      </c>
      <c r="CX47" s="19" t="n">
        <f aca="false">IF(AND(Projects!$G$38="Yes",CX$3&gt;=Projects!$C$38,CX$3&lt;Projects!$C$38+Projects!$D$38),Projects!$B$38*INDEX(Curves!$B$4:$AR$4,1,CX$3-Projects!$C$38+1),0)-IF(AND(Projects!$G$38="Yes",CX$3&gt;=Projects!$C$38,CX$3&lt;Projects!$C$38+Projects!$D$38),Projects!$B$38*(Assumptions!$B$10+Assumptions!$B$11+Assumptions!$B$12)/Projects!$D$38*0.95,0)-IF(AND(Projects!$G$38="Yes",CX$3=Projects!$C$38+Projects!$D$38-1),Projects!$B$38*(Assumptions!$B$10+Assumptions!$B$11+Assumptions!$B$12)*0.05,0)</f>
        <v>0</v>
      </c>
      <c r="CY47" s="19" t="n">
        <f aca="false">IF(AND(Projects!$G$38="Yes",CY$3&gt;=Projects!$C$38,CY$3&lt;Projects!$C$38+Projects!$D$38),Projects!$B$38*INDEX(Curves!$B$4:$AR$4,1,CY$3-Projects!$C$38+1),0)-IF(AND(Projects!$G$38="Yes",CY$3&gt;=Projects!$C$38,CY$3&lt;Projects!$C$38+Projects!$D$38),Projects!$B$38*(Assumptions!$B$10+Assumptions!$B$11+Assumptions!$B$12)/Projects!$D$38*0.95,0)-IF(AND(Projects!$G$38="Yes",CY$3=Projects!$C$38+Projects!$D$38-1),Projects!$B$38*(Assumptions!$B$10+Assumptions!$B$11+Assumptions!$B$12)*0.05,0)</f>
        <v>0</v>
      </c>
      <c r="CZ47" s="19" t="n">
        <f aca="false">IF(AND(Projects!$G$38="Yes",CZ$3&gt;=Projects!$C$38,CZ$3&lt;Projects!$C$38+Projects!$D$38),Projects!$B$38*INDEX(Curves!$B$4:$AR$4,1,CZ$3-Projects!$C$38+1),0)-IF(AND(Projects!$G$38="Yes",CZ$3&gt;=Projects!$C$38,CZ$3&lt;Projects!$C$38+Projects!$D$38),Projects!$B$38*(Assumptions!$B$10+Assumptions!$B$11+Assumptions!$B$12)/Projects!$D$38*0.95,0)-IF(AND(Projects!$G$38="Yes",CZ$3=Projects!$C$38+Projects!$D$38-1),Projects!$B$38*(Assumptions!$B$10+Assumptions!$B$11+Assumptions!$B$12)*0.05,0)</f>
        <v>0</v>
      </c>
      <c r="DA47" s="19" t="n">
        <f aca="false">IF(AND(Projects!$G$38="Yes",DA$3&gt;=Projects!$C$38,DA$3&lt;Projects!$C$38+Projects!$D$38),Projects!$B$38*INDEX(Curves!$B$4:$AR$4,1,DA$3-Projects!$C$38+1),0)-IF(AND(Projects!$G$38="Yes",DA$3&gt;=Projects!$C$38,DA$3&lt;Projects!$C$38+Projects!$D$38),Projects!$B$38*(Assumptions!$B$10+Assumptions!$B$11+Assumptions!$B$12)/Projects!$D$38*0.95,0)-IF(AND(Projects!$G$38="Yes",DA$3=Projects!$C$38+Projects!$D$38-1),Projects!$B$38*(Assumptions!$B$10+Assumptions!$B$11+Assumptions!$B$12)*0.05,0)</f>
        <v>0</v>
      </c>
      <c r="DB47" s="19" t="n">
        <f aca="false">IF(AND(Projects!$G$38="Yes",DB$3&gt;=Projects!$C$38,DB$3&lt;Projects!$C$38+Projects!$D$38),Projects!$B$38*INDEX(Curves!$B$4:$AR$4,1,DB$3-Projects!$C$38+1),0)-IF(AND(Projects!$G$38="Yes",DB$3&gt;=Projects!$C$38,DB$3&lt;Projects!$C$38+Projects!$D$38),Projects!$B$38*(Assumptions!$B$10+Assumptions!$B$11+Assumptions!$B$12)/Projects!$D$38*0.95,0)-IF(AND(Projects!$G$38="Yes",DB$3=Projects!$C$38+Projects!$D$38-1),Projects!$B$38*(Assumptions!$B$10+Assumptions!$B$11+Assumptions!$B$12)*0.05,0)</f>
        <v>0</v>
      </c>
      <c r="DC47" s="19" t="n">
        <f aca="false">IF(AND(Projects!$G$38="Yes",DC$3&gt;=Projects!$C$38,DC$3&lt;Projects!$C$38+Projects!$D$38),Projects!$B$38*INDEX(Curves!$B$4:$AR$4,1,DC$3-Projects!$C$38+1),0)-IF(AND(Projects!$G$38="Yes",DC$3&gt;=Projects!$C$38,DC$3&lt;Projects!$C$38+Projects!$D$38),Projects!$B$38*(Assumptions!$B$10+Assumptions!$B$11+Assumptions!$B$12)/Projects!$D$38*0.95,0)-IF(AND(Projects!$G$38="Yes",DC$3=Projects!$C$38+Projects!$D$38-1),Projects!$B$38*(Assumptions!$B$10+Assumptions!$B$11+Assumptions!$B$12)*0.05,0)</f>
        <v>0</v>
      </c>
      <c r="DD47" s="19" t="n">
        <f aca="false">IF(AND(Projects!$G$38="Yes",DD$3&gt;=Projects!$C$38,DD$3&lt;Projects!$C$38+Projects!$D$38),Projects!$B$38*INDEX(Curves!$B$4:$AR$4,1,DD$3-Projects!$C$38+1),0)-IF(AND(Projects!$G$38="Yes",DD$3&gt;=Projects!$C$38,DD$3&lt;Projects!$C$38+Projects!$D$38),Projects!$B$38*(Assumptions!$B$10+Assumptions!$B$11+Assumptions!$B$12)/Projects!$D$38*0.95,0)-IF(AND(Projects!$G$38="Yes",DD$3=Projects!$C$38+Projects!$D$38-1),Projects!$B$38*(Assumptions!$B$10+Assumptions!$B$11+Assumptions!$B$12)*0.05,0)</f>
        <v>0</v>
      </c>
      <c r="DE47" s="19" t="n">
        <f aca="false">IF(AND(Projects!$G$38="Yes",DE$3&gt;=Projects!$C$38,DE$3&lt;Projects!$C$38+Projects!$D$38),Projects!$B$38*INDEX(Curves!$B$4:$AR$4,1,DE$3-Projects!$C$38+1),0)-IF(AND(Projects!$G$38="Yes",DE$3&gt;=Projects!$C$38,DE$3&lt;Projects!$C$38+Projects!$D$38),Projects!$B$38*(Assumptions!$B$10+Assumptions!$B$11+Assumptions!$B$12)/Projects!$D$38*0.95,0)-IF(AND(Projects!$G$38="Yes",DE$3=Projects!$C$38+Projects!$D$38-1),Projects!$B$38*(Assumptions!$B$10+Assumptions!$B$11+Assumptions!$B$12)*0.05,0)</f>
        <v>0</v>
      </c>
    </row>
    <row r="48" customFormat="false" ht="15" hidden="true" customHeight="true" outlineLevel="1" collapsed="false">
      <c r="A48" s="28" t="s">
        <v>42</v>
      </c>
      <c r="B48" s="19" t="n">
        <v>0</v>
      </c>
      <c r="C48" s="19" t="n">
        <v>0</v>
      </c>
      <c r="D48" s="19" t="n">
        <v>0</v>
      </c>
      <c r="E48" s="19" t="n">
        <v>0</v>
      </c>
      <c r="F48" s="19" t="n">
        <f aca="false">IF(AND(Projects!$G$39="Yes",F$3&gt;=Projects!$C$39,F$3&lt;Projects!$C$39+Projects!$D$39),Projects!$B$39*INDEX(Curves!$B$4:$AR$4,1,F$3-Projects!$C$39+1),0)-IF(AND(Projects!$G$39="Yes",F$3&gt;=Projects!$C$39,F$3&lt;Projects!$C$39+Projects!$D$39),Projects!$B$39*(Assumptions!$B$10+Assumptions!$B$11+Assumptions!$B$12)/Projects!$D$39*0.95,0)-IF(AND(Projects!$G$39="Yes",F$3=Projects!$C$39+Projects!$D$39-1),Projects!$B$39*(Assumptions!$B$10+Assumptions!$B$11+Assumptions!$B$12)*0.05,0)</f>
        <v>0</v>
      </c>
      <c r="G48" s="19" t="n">
        <f aca="false">IF(AND(Projects!$G$39="Yes",G$3&gt;=Projects!$C$39,G$3&lt;Projects!$C$39+Projects!$D$39),Projects!$B$39*INDEX(Curves!$B$4:$AR$4,1,G$3-Projects!$C$39+1),0)-IF(AND(Projects!$G$39="Yes",G$3&gt;=Projects!$C$39,G$3&lt;Projects!$C$39+Projects!$D$39),Projects!$B$39*(Assumptions!$B$10+Assumptions!$B$11+Assumptions!$B$12)/Projects!$D$39*0.95,0)-IF(AND(Projects!$G$39="Yes",G$3=Projects!$C$39+Projects!$D$39-1),Projects!$B$39*(Assumptions!$B$10+Assumptions!$B$11+Assumptions!$B$12)*0.05,0)</f>
        <v>0</v>
      </c>
      <c r="H48" s="19" t="n">
        <f aca="false">IF(AND(Projects!$G$39="Yes",H$3&gt;=Projects!$C$39,H$3&lt;Projects!$C$39+Projects!$D$39),Projects!$B$39*INDEX(Curves!$B$4:$AR$4,1,H$3-Projects!$C$39+1),0)-IF(AND(Projects!$G$39="Yes",H$3&gt;=Projects!$C$39,H$3&lt;Projects!$C$39+Projects!$D$39),Projects!$B$39*(Assumptions!$B$10+Assumptions!$B$11+Assumptions!$B$12)/Projects!$D$39*0.95,0)-IF(AND(Projects!$G$39="Yes",H$3=Projects!$C$39+Projects!$D$39-1),Projects!$B$39*(Assumptions!$B$10+Assumptions!$B$11+Assumptions!$B$12)*0.05,0)</f>
        <v>0</v>
      </c>
      <c r="I48" s="19" t="n">
        <f aca="false">IF(AND(Projects!$G$39="Yes",I$3&gt;=Projects!$C$39,I$3&lt;Projects!$C$39+Projects!$D$39),Projects!$B$39*INDEX(Curves!$B$4:$AR$4,1,I$3-Projects!$C$39+1),0)-IF(AND(Projects!$G$39="Yes",I$3&gt;=Projects!$C$39,I$3&lt;Projects!$C$39+Projects!$D$39),Projects!$B$39*(Assumptions!$B$10+Assumptions!$B$11+Assumptions!$B$12)/Projects!$D$39*0.95,0)-IF(AND(Projects!$G$39="Yes",I$3=Projects!$C$39+Projects!$D$39-1),Projects!$B$39*(Assumptions!$B$10+Assumptions!$B$11+Assumptions!$B$12)*0.05,0)</f>
        <v>0</v>
      </c>
      <c r="J48" s="19" t="n">
        <f aca="false">IF(AND(Projects!$G$39="Yes",J$3&gt;=Projects!$C$39,J$3&lt;Projects!$C$39+Projects!$D$39),Projects!$B$39*INDEX(Curves!$B$4:$AR$4,1,J$3-Projects!$C$39+1),0)-IF(AND(Projects!$G$39="Yes",J$3&gt;=Projects!$C$39,J$3&lt;Projects!$C$39+Projects!$D$39),Projects!$B$39*(Assumptions!$B$10+Assumptions!$B$11+Assumptions!$B$12)/Projects!$D$39*0.95,0)-IF(AND(Projects!$G$39="Yes",J$3=Projects!$C$39+Projects!$D$39-1),Projects!$B$39*(Assumptions!$B$10+Assumptions!$B$11+Assumptions!$B$12)*0.05,0)</f>
        <v>0</v>
      </c>
      <c r="K48" s="19" t="n">
        <f aca="false">IF(AND(Projects!$G$39="Yes",K$3&gt;=Projects!$C$39,K$3&lt;Projects!$C$39+Projects!$D$39),Projects!$B$39*INDEX(Curves!$B$4:$AR$4,1,K$3-Projects!$C$39+1),0)-IF(AND(Projects!$G$39="Yes",K$3&gt;=Projects!$C$39,K$3&lt;Projects!$C$39+Projects!$D$39),Projects!$B$39*(Assumptions!$B$10+Assumptions!$B$11+Assumptions!$B$12)/Projects!$D$39*0.95,0)-IF(AND(Projects!$G$39="Yes",K$3=Projects!$C$39+Projects!$D$39-1),Projects!$B$39*(Assumptions!$B$10+Assumptions!$B$11+Assumptions!$B$12)*0.05,0)</f>
        <v>0</v>
      </c>
      <c r="L48" s="19" t="n">
        <f aca="false">IF(AND(Projects!$G$39="Yes",L$3&gt;=Projects!$C$39,L$3&lt;Projects!$C$39+Projects!$D$39),Projects!$B$39*INDEX(Curves!$B$4:$AR$4,1,L$3-Projects!$C$39+1),0)-IF(AND(Projects!$G$39="Yes",L$3&gt;=Projects!$C$39,L$3&lt;Projects!$C$39+Projects!$D$39),Projects!$B$39*(Assumptions!$B$10+Assumptions!$B$11+Assumptions!$B$12)/Projects!$D$39*0.95,0)-IF(AND(Projects!$G$39="Yes",L$3=Projects!$C$39+Projects!$D$39-1),Projects!$B$39*(Assumptions!$B$10+Assumptions!$B$11+Assumptions!$B$12)*0.05,0)</f>
        <v>0</v>
      </c>
      <c r="M48" s="19" t="n">
        <f aca="false">IF(AND(Projects!$G$39="Yes",M$3&gt;=Projects!$C$39,M$3&lt;Projects!$C$39+Projects!$D$39),Projects!$B$39*INDEX(Curves!$B$4:$AR$4,1,M$3-Projects!$C$39+1),0)-IF(AND(Projects!$G$39="Yes",M$3&gt;=Projects!$C$39,M$3&lt;Projects!$C$39+Projects!$D$39),Projects!$B$39*(Assumptions!$B$10+Assumptions!$B$11+Assumptions!$B$12)/Projects!$D$39*0.95,0)-IF(AND(Projects!$G$39="Yes",M$3=Projects!$C$39+Projects!$D$39-1),Projects!$B$39*(Assumptions!$B$10+Assumptions!$B$11+Assumptions!$B$12)*0.05,0)</f>
        <v>0</v>
      </c>
      <c r="N48" s="19" t="n">
        <f aca="false">IF(AND(Projects!$G$39="Yes",N$3&gt;=Projects!$C$39,N$3&lt;Projects!$C$39+Projects!$D$39),Projects!$B$39*INDEX(Curves!$B$4:$AR$4,1,N$3-Projects!$C$39+1),0)-IF(AND(Projects!$G$39="Yes",N$3&gt;=Projects!$C$39,N$3&lt;Projects!$C$39+Projects!$D$39),Projects!$B$39*(Assumptions!$B$10+Assumptions!$B$11+Assumptions!$B$12)/Projects!$D$39*0.95,0)-IF(AND(Projects!$G$39="Yes",N$3=Projects!$C$39+Projects!$D$39-1),Projects!$B$39*(Assumptions!$B$10+Assumptions!$B$11+Assumptions!$B$12)*0.05,0)</f>
        <v>0</v>
      </c>
      <c r="O48" s="19" t="n">
        <f aca="false">IF(AND(Projects!$G$39="Yes",O$3&gt;=Projects!$C$39,O$3&lt;Projects!$C$39+Projects!$D$39),Projects!$B$39*INDEX(Curves!$B$4:$AR$4,1,O$3-Projects!$C$39+1),0)-IF(AND(Projects!$G$39="Yes",O$3&gt;=Projects!$C$39,O$3&lt;Projects!$C$39+Projects!$D$39),Projects!$B$39*(Assumptions!$B$10+Assumptions!$B$11+Assumptions!$B$12)/Projects!$D$39*0.95,0)-IF(AND(Projects!$G$39="Yes",O$3=Projects!$C$39+Projects!$D$39-1),Projects!$B$39*(Assumptions!$B$10+Assumptions!$B$11+Assumptions!$B$12)*0.05,0)</f>
        <v>0</v>
      </c>
      <c r="P48" s="19" t="n">
        <f aca="false">IF(AND(Projects!$G$39="Yes",P$3&gt;=Projects!$C$39,P$3&lt;Projects!$C$39+Projects!$D$39),Projects!$B$39*INDEX(Curves!$B$4:$AR$4,1,P$3-Projects!$C$39+1),0)-IF(AND(Projects!$G$39="Yes",P$3&gt;=Projects!$C$39,P$3&lt;Projects!$C$39+Projects!$D$39),Projects!$B$39*(Assumptions!$B$10+Assumptions!$B$11+Assumptions!$B$12)/Projects!$D$39*0.95,0)-IF(AND(Projects!$G$39="Yes",P$3=Projects!$C$39+Projects!$D$39-1),Projects!$B$39*(Assumptions!$B$10+Assumptions!$B$11+Assumptions!$B$12)*0.05,0)</f>
        <v>0</v>
      </c>
      <c r="Q48" s="19" t="n">
        <f aca="false">IF(AND(Projects!$G$39="Yes",Q$3&gt;=Projects!$C$39,Q$3&lt;Projects!$C$39+Projects!$D$39),Projects!$B$39*INDEX(Curves!$B$4:$AR$4,1,Q$3-Projects!$C$39+1),0)-IF(AND(Projects!$G$39="Yes",Q$3&gt;=Projects!$C$39,Q$3&lt;Projects!$C$39+Projects!$D$39),Projects!$B$39*(Assumptions!$B$10+Assumptions!$B$11+Assumptions!$B$12)/Projects!$D$39*0.95,0)-IF(AND(Projects!$G$39="Yes",Q$3=Projects!$C$39+Projects!$D$39-1),Projects!$B$39*(Assumptions!$B$10+Assumptions!$B$11+Assumptions!$B$12)*0.05,0)</f>
        <v>0</v>
      </c>
      <c r="R48" s="19" t="n">
        <f aca="false">IF(AND(Projects!$G$39="Yes",R$3&gt;=Projects!$C$39,R$3&lt;Projects!$C$39+Projects!$D$39),Projects!$B$39*INDEX(Curves!$B$4:$AR$4,1,R$3-Projects!$C$39+1),0)-IF(AND(Projects!$G$39="Yes",R$3&gt;=Projects!$C$39,R$3&lt;Projects!$C$39+Projects!$D$39),Projects!$B$39*(Assumptions!$B$10+Assumptions!$B$11+Assumptions!$B$12)/Projects!$D$39*0.95,0)-IF(AND(Projects!$G$39="Yes",R$3=Projects!$C$39+Projects!$D$39-1),Projects!$B$39*(Assumptions!$B$10+Assumptions!$B$11+Assumptions!$B$12)*0.05,0)</f>
        <v>0</v>
      </c>
      <c r="S48" s="19" t="n">
        <f aca="false">IF(AND(Projects!$G$39="Yes",S$3&gt;=Projects!$C$39,S$3&lt;Projects!$C$39+Projects!$D$39),Projects!$B$39*INDEX(Curves!$B$4:$AR$4,1,S$3-Projects!$C$39+1),0)-IF(AND(Projects!$G$39="Yes",S$3&gt;=Projects!$C$39,S$3&lt;Projects!$C$39+Projects!$D$39),Projects!$B$39*(Assumptions!$B$10+Assumptions!$B$11+Assumptions!$B$12)/Projects!$D$39*0.95,0)-IF(AND(Projects!$G$39="Yes",S$3=Projects!$C$39+Projects!$D$39-1),Projects!$B$39*(Assumptions!$B$10+Assumptions!$B$11+Assumptions!$B$12)*0.05,0)</f>
        <v>0</v>
      </c>
      <c r="T48" s="19" t="n">
        <f aca="false">IF(AND(Projects!$G$39="Yes",T$3&gt;=Projects!$C$39,T$3&lt;Projects!$C$39+Projects!$D$39),Projects!$B$39*INDEX(Curves!$B$4:$AR$4,1,T$3-Projects!$C$39+1),0)-IF(AND(Projects!$G$39="Yes",T$3&gt;=Projects!$C$39,T$3&lt;Projects!$C$39+Projects!$D$39),Projects!$B$39*(Assumptions!$B$10+Assumptions!$B$11+Assumptions!$B$12)/Projects!$D$39*0.95,0)-IF(AND(Projects!$G$39="Yes",T$3=Projects!$C$39+Projects!$D$39-1),Projects!$B$39*(Assumptions!$B$10+Assumptions!$B$11+Assumptions!$B$12)*0.05,0)</f>
        <v>0</v>
      </c>
      <c r="U48" s="19" t="n">
        <f aca="false">IF(AND(Projects!$G$39="Yes",U$3&gt;=Projects!$C$39,U$3&lt;Projects!$C$39+Projects!$D$39),Projects!$B$39*INDEX(Curves!$B$4:$AR$4,1,U$3-Projects!$C$39+1),0)-IF(AND(Projects!$G$39="Yes",U$3&gt;=Projects!$C$39,U$3&lt;Projects!$C$39+Projects!$D$39),Projects!$B$39*(Assumptions!$B$10+Assumptions!$B$11+Assumptions!$B$12)/Projects!$D$39*0.95,0)-IF(AND(Projects!$G$39="Yes",U$3=Projects!$C$39+Projects!$D$39-1),Projects!$B$39*(Assumptions!$B$10+Assumptions!$B$11+Assumptions!$B$12)*0.05,0)</f>
        <v>0</v>
      </c>
      <c r="V48" s="19" t="n">
        <f aca="false">IF(AND(Projects!$G$39="Yes",V$3&gt;=Projects!$C$39,V$3&lt;Projects!$C$39+Projects!$D$39),Projects!$B$39*INDEX(Curves!$B$4:$AR$4,1,V$3-Projects!$C$39+1),0)-IF(AND(Projects!$G$39="Yes",V$3&gt;=Projects!$C$39,V$3&lt;Projects!$C$39+Projects!$D$39),Projects!$B$39*(Assumptions!$B$10+Assumptions!$B$11+Assumptions!$B$12)/Projects!$D$39*0.95,0)-IF(AND(Projects!$G$39="Yes",V$3=Projects!$C$39+Projects!$D$39-1),Projects!$B$39*(Assumptions!$B$10+Assumptions!$B$11+Assumptions!$B$12)*0.05,0)</f>
        <v>0</v>
      </c>
      <c r="W48" s="19" t="n">
        <f aca="false">IF(AND(Projects!$G$39="Yes",W$3&gt;=Projects!$C$39,W$3&lt;Projects!$C$39+Projects!$D$39),Projects!$B$39*INDEX(Curves!$B$4:$AR$4,1,W$3-Projects!$C$39+1),0)-IF(AND(Projects!$G$39="Yes",W$3&gt;=Projects!$C$39,W$3&lt;Projects!$C$39+Projects!$D$39),Projects!$B$39*(Assumptions!$B$10+Assumptions!$B$11+Assumptions!$B$12)/Projects!$D$39*0.95,0)-IF(AND(Projects!$G$39="Yes",W$3=Projects!$C$39+Projects!$D$39-1),Projects!$B$39*(Assumptions!$B$10+Assumptions!$B$11+Assumptions!$B$12)*0.05,0)</f>
        <v>0</v>
      </c>
      <c r="X48" s="19" t="n">
        <f aca="false">IF(AND(Projects!$G$39="Yes",X$3&gt;=Projects!$C$39,X$3&lt;Projects!$C$39+Projects!$D$39),Projects!$B$39*INDEX(Curves!$B$4:$AR$4,1,X$3-Projects!$C$39+1),0)-IF(AND(Projects!$G$39="Yes",X$3&gt;=Projects!$C$39,X$3&lt;Projects!$C$39+Projects!$D$39),Projects!$B$39*(Assumptions!$B$10+Assumptions!$B$11+Assumptions!$B$12)/Projects!$D$39*0.95,0)-IF(AND(Projects!$G$39="Yes",X$3=Projects!$C$39+Projects!$D$39-1),Projects!$B$39*(Assumptions!$B$10+Assumptions!$B$11+Assumptions!$B$12)*0.05,0)</f>
        <v>0</v>
      </c>
      <c r="Y48" s="19" t="n">
        <f aca="false">IF(AND(Projects!$G$39="Yes",Y$3&gt;=Projects!$C$39,Y$3&lt;Projects!$C$39+Projects!$D$39),Projects!$B$39*INDEX(Curves!$B$4:$AR$4,1,Y$3-Projects!$C$39+1),0)-IF(AND(Projects!$G$39="Yes",Y$3&gt;=Projects!$C$39,Y$3&lt;Projects!$C$39+Projects!$D$39),Projects!$B$39*(Assumptions!$B$10+Assumptions!$B$11+Assumptions!$B$12)/Projects!$D$39*0.95,0)-IF(AND(Projects!$G$39="Yes",Y$3=Projects!$C$39+Projects!$D$39-1),Projects!$B$39*(Assumptions!$B$10+Assumptions!$B$11+Assumptions!$B$12)*0.05,0)</f>
        <v>0</v>
      </c>
      <c r="Z48" s="19" t="n">
        <f aca="false">IF(AND(Projects!$G$39="Yes",Z$3&gt;=Projects!$C$39,Z$3&lt;Projects!$C$39+Projects!$D$39),Projects!$B$39*INDEX(Curves!$B$4:$AR$4,1,Z$3-Projects!$C$39+1),0)-IF(AND(Projects!$G$39="Yes",Z$3&gt;=Projects!$C$39,Z$3&lt;Projects!$C$39+Projects!$D$39),Projects!$B$39*(Assumptions!$B$10+Assumptions!$B$11+Assumptions!$B$12)/Projects!$D$39*0.95,0)-IF(AND(Projects!$G$39="Yes",Z$3=Projects!$C$39+Projects!$D$39-1),Projects!$B$39*(Assumptions!$B$10+Assumptions!$B$11+Assumptions!$B$12)*0.05,0)</f>
        <v>0</v>
      </c>
      <c r="AA48" s="19" t="n">
        <f aca="false">IF(AND(Projects!$G$39="Yes",AA$3&gt;=Projects!$C$39,AA$3&lt;Projects!$C$39+Projects!$D$39),Projects!$B$39*INDEX(Curves!$B$4:$AR$4,1,AA$3-Projects!$C$39+1),0)-IF(AND(Projects!$G$39="Yes",AA$3&gt;=Projects!$C$39,AA$3&lt;Projects!$C$39+Projects!$D$39),Projects!$B$39*(Assumptions!$B$10+Assumptions!$B$11+Assumptions!$B$12)/Projects!$D$39*0.95,0)-IF(AND(Projects!$G$39="Yes",AA$3=Projects!$C$39+Projects!$D$39-1),Projects!$B$39*(Assumptions!$B$10+Assumptions!$B$11+Assumptions!$B$12)*0.05,0)</f>
        <v>0</v>
      </c>
      <c r="AB48" s="19" t="n">
        <f aca="false">IF(AND(Projects!$G$39="Yes",AB$3&gt;=Projects!$C$39,AB$3&lt;Projects!$C$39+Projects!$D$39),Projects!$B$39*INDEX(Curves!$B$4:$AR$4,1,AB$3-Projects!$C$39+1),0)-IF(AND(Projects!$G$39="Yes",AB$3&gt;=Projects!$C$39,AB$3&lt;Projects!$C$39+Projects!$D$39),Projects!$B$39*(Assumptions!$B$10+Assumptions!$B$11+Assumptions!$B$12)/Projects!$D$39*0.95,0)-IF(AND(Projects!$G$39="Yes",AB$3=Projects!$C$39+Projects!$D$39-1),Projects!$B$39*(Assumptions!$B$10+Assumptions!$B$11+Assumptions!$B$12)*0.05,0)</f>
        <v>0</v>
      </c>
      <c r="AC48" s="19" t="n">
        <f aca="false">IF(AND(Projects!$G$39="Yes",AC$3&gt;=Projects!$C$39,AC$3&lt;Projects!$C$39+Projects!$D$39),Projects!$B$39*INDEX(Curves!$B$4:$AR$4,1,AC$3-Projects!$C$39+1),0)-IF(AND(Projects!$G$39="Yes",AC$3&gt;=Projects!$C$39,AC$3&lt;Projects!$C$39+Projects!$D$39),Projects!$B$39*(Assumptions!$B$10+Assumptions!$B$11+Assumptions!$B$12)/Projects!$D$39*0.95,0)-IF(AND(Projects!$G$39="Yes",AC$3=Projects!$C$39+Projects!$D$39-1),Projects!$B$39*(Assumptions!$B$10+Assumptions!$B$11+Assumptions!$B$12)*0.05,0)</f>
        <v>0</v>
      </c>
      <c r="AD48" s="19" t="n">
        <f aca="false">IF(AND(Projects!$G$39="Yes",AD$3&gt;=Projects!$C$39,AD$3&lt;Projects!$C$39+Projects!$D$39),Projects!$B$39*INDEX(Curves!$B$4:$AR$4,1,AD$3-Projects!$C$39+1),0)-IF(AND(Projects!$G$39="Yes",AD$3&gt;=Projects!$C$39,AD$3&lt;Projects!$C$39+Projects!$D$39),Projects!$B$39*(Assumptions!$B$10+Assumptions!$B$11+Assumptions!$B$12)/Projects!$D$39*0.95,0)-IF(AND(Projects!$G$39="Yes",AD$3=Projects!$C$39+Projects!$D$39-1),Projects!$B$39*(Assumptions!$B$10+Assumptions!$B$11+Assumptions!$B$12)*0.05,0)</f>
        <v>0</v>
      </c>
      <c r="AE48" s="19" t="n">
        <f aca="false">IF(AND(Projects!$G$39="Yes",AE$3&gt;=Projects!$C$39,AE$3&lt;Projects!$C$39+Projects!$D$39),Projects!$B$39*INDEX(Curves!$B$4:$AR$4,1,AE$3-Projects!$C$39+1),0)-IF(AND(Projects!$G$39="Yes",AE$3&gt;=Projects!$C$39,AE$3&lt;Projects!$C$39+Projects!$D$39),Projects!$B$39*(Assumptions!$B$10+Assumptions!$B$11+Assumptions!$B$12)/Projects!$D$39*0.95,0)-IF(AND(Projects!$G$39="Yes",AE$3=Projects!$C$39+Projects!$D$39-1),Projects!$B$39*(Assumptions!$B$10+Assumptions!$B$11+Assumptions!$B$12)*0.05,0)</f>
        <v>0</v>
      </c>
      <c r="AF48" s="19" t="n">
        <f aca="false">IF(AND(Projects!$G$39="Yes",AF$3&gt;=Projects!$C$39,AF$3&lt;Projects!$C$39+Projects!$D$39),Projects!$B$39*INDEX(Curves!$B$4:$AR$4,1,AF$3-Projects!$C$39+1),0)-IF(AND(Projects!$G$39="Yes",AF$3&gt;=Projects!$C$39,AF$3&lt;Projects!$C$39+Projects!$D$39),Projects!$B$39*(Assumptions!$B$10+Assumptions!$B$11+Assumptions!$B$12)/Projects!$D$39*0.95,0)-IF(AND(Projects!$G$39="Yes",AF$3=Projects!$C$39+Projects!$D$39-1),Projects!$B$39*(Assumptions!$B$10+Assumptions!$B$11+Assumptions!$B$12)*0.05,0)</f>
        <v>0</v>
      </c>
      <c r="AG48" s="19" t="n">
        <f aca="false">IF(AND(Projects!$G$39="Yes",AG$3&gt;=Projects!$C$39,AG$3&lt;Projects!$C$39+Projects!$D$39),Projects!$B$39*INDEX(Curves!$B$4:$AR$4,1,AG$3-Projects!$C$39+1),0)-IF(AND(Projects!$G$39="Yes",AG$3&gt;=Projects!$C$39,AG$3&lt;Projects!$C$39+Projects!$D$39),Projects!$B$39*(Assumptions!$B$10+Assumptions!$B$11+Assumptions!$B$12)/Projects!$D$39*0.95,0)-IF(AND(Projects!$G$39="Yes",AG$3=Projects!$C$39+Projects!$D$39-1),Projects!$B$39*(Assumptions!$B$10+Assumptions!$B$11+Assumptions!$B$12)*0.05,0)</f>
        <v>0</v>
      </c>
      <c r="AH48" s="19" t="n">
        <f aca="false">IF(AND(Projects!$G$39="Yes",AH$3&gt;=Projects!$C$39,AH$3&lt;Projects!$C$39+Projects!$D$39),Projects!$B$39*INDEX(Curves!$B$4:$AR$4,1,AH$3-Projects!$C$39+1),0)-IF(AND(Projects!$G$39="Yes",AH$3&gt;=Projects!$C$39,AH$3&lt;Projects!$C$39+Projects!$D$39),Projects!$B$39*(Assumptions!$B$10+Assumptions!$B$11+Assumptions!$B$12)/Projects!$D$39*0.95,0)-IF(AND(Projects!$G$39="Yes",AH$3=Projects!$C$39+Projects!$D$39-1),Projects!$B$39*(Assumptions!$B$10+Assumptions!$B$11+Assumptions!$B$12)*0.05,0)</f>
        <v>0</v>
      </c>
      <c r="AI48" s="19" t="n">
        <f aca="false">IF(AND(Projects!$G$39="Yes",AI$3&gt;=Projects!$C$39,AI$3&lt;Projects!$C$39+Projects!$D$39),Projects!$B$39*INDEX(Curves!$B$4:$AR$4,1,AI$3-Projects!$C$39+1),0)-IF(AND(Projects!$G$39="Yes",AI$3&gt;=Projects!$C$39,AI$3&lt;Projects!$C$39+Projects!$D$39),Projects!$B$39*(Assumptions!$B$10+Assumptions!$B$11+Assumptions!$B$12)/Projects!$D$39*0.95,0)-IF(AND(Projects!$G$39="Yes",AI$3=Projects!$C$39+Projects!$D$39-1),Projects!$B$39*(Assumptions!$B$10+Assumptions!$B$11+Assumptions!$B$12)*0.05,0)</f>
        <v>0</v>
      </c>
      <c r="AJ48" s="19" t="n">
        <f aca="false">IF(AND(Projects!$G$39="Yes",AJ$3&gt;=Projects!$C$39,AJ$3&lt;Projects!$C$39+Projects!$D$39),Projects!$B$39*INDEX(Curves!$B$4:$AR$4,1,AJ$3-Projects!$C$39+1),0)-IF(AND(Projects!$G$39="Yes",AJ$3&gt;=Projects!$C$39,AJ$3&lt;Projects!$C$39+Projects!$D$39),Projects!$B$39*(Assumptions!$B$10+Assumptions!$B$11+Assumptions!$B$12)/Projects!$D$39*0.95,0)-IF(AND(Projects!$G$39="Yes",AJ$3=Projects!$C$39+Projects!$D$39-1),Projects!$B$39*(Assumptions!$B$10+Assumptions!$B$11+Assumptions!$B$12)*0.05,0)</f>
        <v>0</v>
      </c>
      <c r="AK48" s="19" t="n">
        <f aca="false">IF(AND(Projects!$G$39="Yes",AK$3&gt;=Projects!$C$39,AK$3&lt;Projects!$C$39+Projects!$D$39),Projects!$B$39*INDEX(Curves!$B$4:$AR$4,1,AK$3-Projects!$C$39+1),0)-IF(AND(Projects!$G$39="Yes",AK$3&gt;=Projects!$C$39,AK$3&lt;Projects!$C$39+Projects!$D$39),Projects!$B$39*(Assumptions!$B$10+Assumptions!$B$11+Assumptions!$B$12)/Projects!$D$39*0.95,0)-IF(AND(Projects!$G$39="Yes",AK$3=Projects!$C$39+Projects!$D$39-1),Projects!$B$39*(Assumptions!$B$10+Assumptions!$B$11+Assumptions!$B$12)*0.05,0)</f>
        <v>0</v>
      </c>
      <c r="AL48" s="19" t="n">
        <f aca="false">IF(AND(Projects!$G$39="Yes",AL$3&gt;=Projects!$C$39,AL$3&lt;Projects!$C$39+Projects!$D$39),Projects!$B$39*INDEX(Curves!$B$4:$AR$4,1,AL$3-Projects!$C$39+1),0)-IF(AND(Projects!$G$39="Yes",AL$3&gt;=Projects!$C$39,AL$3&lt;Projects!$C$39+Projects!$D$39),Projects!$B$39*(Assumptions!$B$10+Assumptions!$B$11+Assumptions!$B$12)/Projects!$D$39*0.95,0)-IF(AND(Projects!$G$39="Yes",AL$3=Projects!$C$39+Projects!$D$39-1),Projects!$B$39*(Assumptions!$B$10+Assumptions!$B$11+Assumptions!$B$12)*0.05,0)</f>
        <v>0</v>
      </c>
      <c r="AM48" s="19" t="n">
        <f aca="false">IF(AND(Projects!$G$39="Yes",AM$3&gt;=Projects!$C$39,AM$3&lt;Projects!$C$39+Projects!$D$39),Projects!$B$39*INDEX(Curves!$B$4:$AR$4,1,AM$3-Projects!$C$39+1),0)-IF(AND(Projects!$G$39="Yes",AM$3&gt;=Projects!$C$39,AM$3&lt;Projects!$C$39+Projects!$D$39),Projects!$B$39*(Assumptions!$B$10+Assumptions!$B$11+Assumptions!$B$12)/Projects!$D$39*0.95,0)-IF(AND(Projects!$G$39="Yes",AM$3=Projects!$C$39+Projects!$D$39-1),Projects!$B$39*(Assumptions!$B$10+Assumptions!$B$11+Assumptions!$B$12)*0.05,0)</f>
        <v>0</v>
      </c>
      <c r="AN48" s="19" t="n">
        <f aca="false">IF(AND(Projects!$G$39="Yes",AN$3&gt;=Projects!$C$39,AN$3&lt;Projects!$C$39+Projects!$D$39),Projects!$B$39*INDEX(Curves!$B$4:$AR$4,1,AN$3-Projects!$C$39+1),0)-IF(AND(Projects!$G$39="Yes",AN$3&gt;=Projects!$C$39,AN$3&lt;Projects!$C$39+Projects!$D$39),Projects!$B$39*(Assumptions!$B$10+Assumptions!$B$11+Assumptions!$B$12)/Projects!$D$39*0.95,0)-IF(AND(Projects!$G$39="Yes",AN$3=Projects!$C$39+Projects!$D$39-1),Projects!$B$39*(Assumptions!$B$10+Assumptions!$B$11+Assumptions!$B$12)*0.05,0)</f>
        <v>0</v>
      </c>
      <c r="AO48" s="19" t="n">
        <f aca="false">IF(AND(Projects!$G$39="Yes",AO$3&gt;=Projects!$C$39,AO$3&lt;Projects!$C$39+Projects!$D$39),Projects!$B$39*INDEX(Curves!$B$4:$AR$4,1,AO$3-Projects!$C$39+1),0)-IF(AND(Projects!$G$39="Yes",AO$3&gt;=Projects!$C$39,AO$3&lt;Projects!$C$39+Projects!$D$39),Projects!$B$39*(Assumptions!$B$10+Assumptions!$B$11+Assumptions!$B$12)/Projects!$D$39*0.95,0)-IF(AND(Projects!$G$39="Yes",AO$3=Projects!$C$39+Projects!$D$39-1),Projects!$B$39*(Assumptions!$B$10+Assumptions!$B$11+Assumptions!$B$12)*0.05,0)</f>
        <v>0</v>
      </c>
      <c r="AP48" s="19" t="n">
        <f aca="false">IF(AND(Projects!$G$39="Yes",AP$3&gt;=Projects!$C$39,AP$3&lt;Projects!$C$39+Projects!$D$39),Projects!$B$39*INDEX(Curves!$B$4:$AR$4,1,AP$3-Projects!$C$39+1),0)-IF(AND(Projects!$G$39="Yes",AP$3&gt;=Projects!$C$39,AP$3&lt;Projects!$C$39+Projects!$D$39),Projects!$B$39*(Assumptions!$B$10+Assumptions!$B$11+Assumptions!$B$12)/Projects!$D$39*0.95,0)-IF(AND(Projects!$G$39="Yes",AP$3=Projects!$C$39+Projects!$D$39-1),Projects!$B$39*(Assumptions!$B$10+Assumptions!$B$11+Assumptions!$B$12)*0.05,0)</f>
        <v>0</v>
      </c>
      <c r="AQ48" s="19" t="n">
        <f aca="false">IF(AND(Projects!$G$39="Yes",AQ$3&gt;=Projects!$C$39,AQ$3&lt;Projects!$C$39+Projects!$D$39),Projects!$B$39*INDEX(Curves!$B$4:$AR$4,1,AQ$3-Projects!$C$39+1),0)-IF(AND(Projects!$G$39="Yes",AQ$3&gt;=Projects!$C$39,AQ$3&lt;Projects!$C$39+Projects!$D$39),Projects!$B$39*(Assumptions!$B$10+Assumptions!$B$11+Assumptions!$B$12)/Projects!$D$39*0.95,0)-IF(AND(Projects!$G$39="Yes",AQ$3=Projects!$C$39+Projects!$D$39-1),Projects!$B$39*(Assumptions!$B$10+Assumptions!$B$11+Assumptions!$B$12)*0.05,0)</f>
        <v>0</v>
      </c>
      <c r="AR48" s="19" t="n">
        <f aca="false">IF(AND(Projects!$G$39="Yes",AR$3&gt;=Projects!$C$39,AR$3&lt;Projects!$C$39+Projects!$D$39),Projects!$B$39*INDEX(Curves!$B$4:$AR$4,1,AR$3-Projects!$C$39+1),0)-IF(AND(Projects!$G$39="Yes",AR$3&gt;=Projects!$C$39,AR$3&lt;Projects!$C$39+Projects!$D$39),Projects!$B$39*(Assumptions!$B$10+Assumptions!$B$11+Assumptions!$B$12)/Projects!$D$39*0.95,0)-IF(AND(Projects!$G$39="Yes",AR$3=Projects!$C$39+Projects!$D$39-1),Projects!$B$39*(Assumptions!$B$10+Assumptions!$B$11+Assumptions!$B$12)*0.05,0)</f>
        <v>0</v>
      </c>
      <c r="AS48" s="19" t="n">
        <f aca="false">IF(AND(Projects!$G$39="Yes",AS$3&gt;=Projects!$C$39,AS$3&lt;Projects!$C$39+Projects!$D$39),Projects!$B$39*INDEX(Curves!$B$4:$AR$4,1,AS$3-Projects!$C$39+1),0)-IF(AND(Projects!$G$39="Yes",AS$3&gt;=Projects!$C$39,AS$3&lt;Projects!$C$39+Projects!$D$39),Projects!$B$39*(Assumptions!$B$10+Assumptions!$B$11+Assumptions!$B$12)/Projects!$D$39*0.95,0)-IF(AND(Projects!$G$39="Yes",AS$3=Projects!$C$39+Projects!$D$39-1),Projects!$B$39*(Assumptions!$B$10+Assumptions!$B$11+Assumptions!$B$12)*0.05,0)</f>
        <v>0</v>
      </c>
      <c r="AT48" s="19" t="n">
        <f aca="false">IF(AND(Projects!$G$39="Yes",AT$3&gt;=Projects!$C$39,AT$3&lt;Projects!$C$39+Projects!$D$39),Projects!$B$39*INDEX(Curves!$B$4:$AR$4,1,AT$3-Projects!$C$39+1),0)-IF(AND(Projects!$G$39="Yes",AT$3&gt;=Projects!$C$39,AT$3&lt;Projects!$C$39+Projects!$D$39),Projects!$B$39*(Assumptions!$B$10+Assumptions!$B$11+Assumptions!$B$12)/Projects!$D$39*0.95,0)-IF(AND(Projects!$G$39="Yes",AT$3=Projects!$C$39+Projects!$D$39-1),Projects!$B$39*(Assumptions!$B$10+Assumptions!$B$11+Assumptions!$B$12)*0.05,0)</f>
        <v>0</v>
      </c>
      <c r="AU48" s="19" t="n">
        <f aca="false">IF(AND(Projects!$G$39="Yes",AU$3&gt;=Projects!$C$39,AU$3&lt;Projects!$C$39+Projects!$D$39),Projects!$B$39*INDEX(Curves!$B$4:$AR$4,1,AU$3-Projects!$C$39+1),0)-IF(AND(Projects!$G$39="Yes",AU$3&gt;=Projects!$C$39,AU$3&lt;Projects!$C$39+Projects!$D$39),Projects!$B$39*(Assumptions!$B$10+Assumptions!$B$11+Assumptions!$B$12)/Projects!$D$39*0.95,0)-IF(AND(Projects!$G$39="Yes",AU$3=Projects!$C$39+Projects!$D$39-1),Projects!$B$39*(Assumptions!$B$10+Assumptions!$B$11+Assumptions!$B$12)*0.05,0)</f>
        <v>0</v>
      </c>
      <c r="AV48" s="19" t="n">
        <f aca="false">IF(AND(Projects!$G$39="Yes",AV$3&gt;=Projects!$C$39,AV$3&lt;Projects!$C$39+Projects!$D$39),Projects!$B$39*INDEX(Curves!$B$4:$AR$4,1,AV$3-Projects!$C$39+1),0)-IF(AND(Projects!$G$39="Yes",AV$3&gt;=Projects!$C$39,AV$3&lt;Projects!$C$39+Projects!$D$39),Projects!$B$39*(Assumptions!$B$10+Assumptions!$B$11+Assumptions!$B$12)/Projects!$D$39*0.95,0)-IF(AND(Projects!$G$39="Yes",AV$3=Projects!$C$39+Projects!$D$39-1),Projects!$B$39*(Assumptions!$B$10+Assumptions!$B$11+Assumptions!$B$12)*0.05,0)</f>
        <v>0</v>
      </c>
      <c r="AW48" s="19" t="n">
        <f aca="false">IF(AND(Projects!$G$39="Yes",AW$3&gt;=Projects!$C$39,AW$3&lt;Projects!$C$39+Projects!$D$39),Projects!$B$39*INDEX(Curves!$B$4:$AR$4,1,AW$3-Projects!$C$39+1),0)-IF(AND(Projects!$G$39="Yes",AW$3&gt;=Projects!$C$39,AW$3&lt;Projects!$C$39+Projects!$D$39),Projects!$B$39*(Assumptions!$B$10+Assumptions!$B$11+Assumptions!$B$12)/Projects!$D$39*0.95,0)-IF(AND(Projects!$G$39="Yes",AW$3=Projects!$C$39+Projects!$D$39-1),Projects!$B$39*(Assumptions!$B$10+Assumptions!$B$11+Assumptions!$B$12)*0.05,0)</f>
        <v>0</v>
      </c>
      <c r="AX48" s="19" t="n">
        <f aca="false">IF(AND(Projects!$G$39="Yes",AX$3&gt;=Projects!$C$39,AX$3&lt;Projects!$C$39+Projects!$D$39),Projects!$B$39*INDEX(Curves!$B$4:$AR$4,1,AX$3-Projects!$C$39+1),0)-IF(AND(Projects!$G$39="Yes",AX$3&gt;=Projects!$C$39,AX$3&lt;Projects!$C$39+Projects!$D$39),Projects!$B$39*(Assumptions!$B$10+Assumptions!$B$11+Assumptions!$B$12)/Projects!$D$39*0.95,0)-IF(AND(Projects!$G$39="Yes",AX$3=Projects!$C$39+Projects!$D$39-1),Projects!$B$39*(Assumptions!$B$10+Assumptions!$B$11+Assumptions!$B$12)*0.05,0)</f>
        <v>0</v>
      </c>
      <c r="AY48" s="19" t="n">
        <f aca="false">IF(AND(Projects!$G$39="Yes",AY$3&gt;=Projects!$C$39,AY$3&lt;Projects!$C$39+Projects!$D$39),Projects!$B$39*INDEX(Curves!$B$4:$AR$4,1,AY$3-Projects!$C$39+1),0)-IF(AND(Projects!$G$39="Yes",AY$3&gt;=Projects!$C$39,AY$3&lt;Projects!$C$39+Projects!$D$39),Projects!$B$39*(Assumptions!$B$10+Assumptions!$B$11+Assumptions!$B$12)/Projects!$D$39*0.95,0)-IF(AND(Projects!$G$39="Yes",AY$3=Projects!$C$39+Projects!$D$39-1),Projects!$B$39*(Assumptions!$B$10+Assumptions!$B$11+Assumptions!$B$12)*0.05,0)</f>
        <v>0</v>
      </c>
      <c r="AZ48" s="19" t="n">
        <f aca="false">IF(AND(Projects!$G$39="Yes",AZ$3&gt;=Projects!$C$39,AZ$3&lt;Projects!$C$39+Projects!$D$39),Projects!$B$39*INDEX(Curves!$B$4:$AR$4,1,AZ$3-Projects!$C$39+1),0)-IF(AND(Projects!$G$39="Yes",AZ$3&gt;=Projects!$C$39,AZ$3&lt;Projects!$C$39+Projects!$D$39),Projects!$B$39*(Assumptions!$B$10+Assumptions!$B$11+Assumptions!$B$12)/Projects!$D$39*0.95,0)-IF(AND(Projects!$G$39="Yes",AZ$3=Projects!$C$39+Projects!$D$39-1),Projects!$B$39*(Assumptions!$B$10+Assumptions!$B$11+Assumptions!$B$12)*0.05,0)</f>
        <v>0</v>
      </c>
      <c r="BA48" s="19" t="n">
        <f aca="false">IF(AND(Projects!$G$39="Yes",BA$3&gt;=Projects!$C$39,BA$3&lt;Projects!$C$39+Projects!$D$39),Projects!$B$39*INDEX(Curves!$B$4:$AR$4,1,BA$3-Projects!$C$39+1),0)-IF(AND(Projects!$G$39="Yes",BA$3&gt;=Projects!$C$39,BA$3&lt;Projects!$C$39+Projects!$D$39),Projects!$B$39*(Assumptions!$B$10+Assumptions!$B$11+Assumptions!$B$12)/Projects!$D$39*0.95,0)-IF(AND(Projects!$G$39="Yes",BA$3=Projects!$C$39+Projects!$D$39-1),Projects!$B$39*(Assumptions!$B$10+Assumptions!$B$11+Assumptions!$B$12)*0.05,0)</f>
        <v>368954.1</v>
      </c>
      <c r="BB48" s="19" t="n">
        <f aca="false">IF(AND(Projects!$G$39="Yes",BB$3&gt;=Projects!$C$39,BB$3&lt;Projects!$C$39+Projects!$D$39),Projects!$B$39*INDEX(Curves!$B$4:$AR$4,1,BB$3-Projects!$C$39+1),0)-IF(AND(Projects!$G$39="Yes",BB$3&gt;=Projects!$C$39,BB$3&lt;Projects!$C$39+Projects!$D$39),Projects!$B$39*(Assumptions!$B$10+Assumptions!$B$11+Assumptions!$B$12)/Projects!$D$39*0.95,0)-IF(AND(Projects!$G$39="Yes",BB$3=Projects!$C$39+Projects!$D$39-1),Projects!$B$39*(Assumptions!$B$10+Assumptions!$B$11+Assumptions!$B$12)*0.05,0)</f>
        <v>481346.1</v>
      </c>
      <c r="BC48" s="19" t="n">
        <f aca="false">IF(AND(Projects!$G$39="Yes",BC$3&gt;=Projects!$C$39,BC$3&lt;Projects!$C$39+Projects!$D$39),Projects!$B$39*INDEX(Curves!$B$4:$AR$4,1,BC$3-Projects!$C$39+1),0)-IF(AND(Projects!$G$39="Yes",BC$3&gt;=Projects!$C$39,BC$3&lt;Projects!$C$39+Projects!$D$39),Projects!$B$39*(Assumptions!$B$10+Assumptions!$B$11+Assumptions!$B$12)/Projects!$D$39*0.95,0)-IF(AND(Projects!$G$39="Yes",BC$3=Projects!$C$39+Projects!$D$39-1),Projects!$B$39*(Assumptions!$B$10+Assumptions!$B$11+Assumptions!$B$12)*0.05,0)</f>
        <v>602324.1</v>
      </c>
      <c r="BD48" s="19" t="n">
        <f aca="false">IF(AND(Projects!$G$39="Yes",BD$3&gt;=Projects!$C$39,BD$3&lt;Projects!$C$39+Projects!$D$39),Projects!$B$39*INDEX(Curves!$B$4:$AR$4,1,BD$3-Projects!$C$39+1),0)-IF(AND(Projects!$G$39="Yes",BD$3&gt;=Projects!$C$39,BD$3&lt;Projects!$C$39+Projects!$D$39),Projects!$B$39*(Assumptions!$B$10+Assumptions!$B$11+Assumptions!$B$12)/Projects!$D$39*0.95,0)-IF(AND(Projects!$G$39="Yes",BD$3=Projects!$C$39+Projects!$D$39-1),Projects!$B$39*(Assumptions!$B$10+Assumptions!$B$11+Assumptions!$B$12)*0.05,0)</f>
        <v>727064.1</v>
      </c>
      <c r="BE48" s="19" t="n">
        <f aca="false">IF(AND(Projects!$G$39="Yes",BE$3&gt;=Projects!$C$39,BE$3&lt;Projects!$C$39+Projects!$D$39),Projects!$B$39*INDEX(Curves!$B$4:$AR$4,1,BE$3-Projects!$C$39+1),0)-IF(AND(Projects!$G$39="Yes",BE$3&gt;=Projects!$C$39,BE$3&lt;Projects!$C$39+Projects!$D$39),Projects!$B$39*(Assumptions!$B$10+Assumptions!$B$11+Assumptions!$B$12)/Projects!$D$39*0.95,0)-IF(AND(Projects!$G$39="Yes",BE$3=Projects!$C$39+Projects!$D$39-1),Projects!$B$39*(Assumptions!$B$10+Assumptions!$B$11+Assumptions!$B$12)*0.05,0)</f>
        <v>849572.1</v>
      </c>
      <c r="BF48" s="19" t="n">
        <f aca="false">IF(AND(Projects!$G$39="Yes",BF$3&gt;=Projects!$C$39,BF$3&lt;Projects!$C$39+Projects!$D$39),Projects!$B$39*INDEX(Curves!$B$4:$AR$4,1,BF$3-Projects!$C$39+1),0)-IF(AND(Projects!$G$39="Yes",BF$3&gt;=Projects!$C$39,BF$3&lt;Projects!$C$39+Projects!$D$39),Projects!$B$39*(Assumptions!$B$10+Assumptions!$B$11+Assumptions!$B$12)/Projects!$D$39*0.95,0)-IF(AND(Projects!$G$39="Yes",BF$3=Projects!$C$39+Projects!$D$39-1),Projects!$B$39*(Assumptions!$B$10+Assumptions!$B$11+Assumptions!$B$12)*0.05,0)</f>
        <v>963044.1</v>
      </c>
      <c r="BG48" s="19" t="n">
        <f aca="false">IF(AND(Projects!$G$39="Yes",BG$3&gt;=Projects!$C$39,BG$3&lt;Projects!$C$39+Projects!$D$39),Projects!$B$39*INDEX(Curves!$B$4:$AR$4,1,BG$3-Projects!$C$39+1),0)-IF(AND(Projects!$G$39="Yes",BG$3&gt;=Projects!$C$39,BG$3&lt;Projects!$C$39+Projects!$D$39),Projects!$B$39*(Assumptions!$B$10+Assumptions!$B$11+Assumptions!$B$12)/Projects!$D$39*0.95,0)-IF(AND(Projects!$G$39="Yes",BG$3=Projects!$C$39+Projects!$D$39-1),Projects!$B$39*(Assumptions!$B$10+Assumptions!$B$11+Assumptions!$B$12)*0.05,0)</f>
        <v>1060514.1</v>
      </c>
      <c r="BH48" s="19" t="n">
        <f aca="false">IF(AND(Projects!$G$39="Yes",BH$3&gt;=Projects!$C$39,BH$3&lt;Projects!$C$39+Projects!$D$39),Projects!$B$39*INDEX(Curves!$B$4:$AR$4,1,BH$3-Projects!$C$39+1),0)-IF(AND(Projects!$G$39="Yes",BH$3&gt;=Projects!$C$39,BH$3&lt;Projects!$C$39+Projects!$D$39),Projects!$B$39*(Assumptions!$B$10+Assumptions!$B$11+Assumptions!$B$12)/Projects!$D$39*0.95,0)-IF(AND(Projects!$G$39="Yes",BH$3=Projects!$C$39+Projects!$D$39-1),Projects!$B$39*(Assumptions!$B$10+Assumptions!$B$11+Assumptions!$B$12)*0.05,0)</f>
        <v>1135520.1</v>
      </c>
      <c r="BI48" s="19" t="n">
        <f aca="false">IF(AND(Projects!$G$39="Yes",BI$3&gt;=Projects!$C$39,BI$3&lt;Projects!$C$39+Projects!$D$39),Projects!$B$39*INDEX(Curves!$B$4:$AR$4,1,BI$3-Projects!$C$39+1),0)-IF(AND(Projects!$G$39="Yes",BI$3&gt;=Projects!$C$39,BI$3&lt;Projects!$C$39+Projects!$D$39),Projects!$B$39*(Assumptions!$B$10+Assumptions!$B$11+Assumptions!$B$12)/Projects!$D$39*0.95,0)-IF(AND(Projects!$G$39="Yes",BI$3=Projects!$C$39+Projects!$D$39-1),Projects!$B$39*(Assumptions!$B$10+Assumptions!$B$11+Assumptions!$B$12)*0.05,0)</f>
        <v>1182824.1</v>
      </c>
      <c r="BJ48" s="19" t="n">
        <f aca="false">IF(AND(Projects!$G$39="Yes",BJ$3&gt;=Projects!$C$39,BJ$3&lt;Projects!$C$39+Projects!$D$39),Projects!$B$39*INDEX(Curves!$B$4:$AR$4,1,BJ$3-Projects!$C$39+1),0)-IF(AND(Projects!$G$39="Yes",BJ$3&gt;=Projects!$C$39,BJ$3&lt;Projects!$C$39+Projects!$D$39),Projects!$B$39*(Assumptions!$B$10+Assumptions!$B$11+Assumptions!$B$12)/Projects!$D$39*0.95,0)-IF(AND(Projects!$G$39="Yes",BJ$3=Projects!$C$39+Projects!$D$39-1),Projects!$B$39*(Assumptions!$B$10+Assumptions!$B$11+Assumptions!$B$12)*0.05,0)</f>
        <v>1198988.1</v>
      </c>
      <c r="BK48" s="19" t="n">
        <f aca="false">IF(AND(Projects!$G$39="Yes",BK$3&gt;=Projects!$C$39,BK$3&lt;Projects!$C$39+Projects!$D$39),Projects!$B$39*INDEX(Curves!$B$4:$AR$4,1,BK$3-Projects!$C$39+1),0)-IF(AND(Projects!$G$39="Yes",BK$3&gt;=Projects!$C$39,BK$3&lt;Projects!$C$39+Projects!$D$39),Projects!$B$39*(Assumptions!$B$10+Assumptions!$B$11+Assumptions!$B$12)/Projects!$D$39*0.95,0)-IF(AND(Projects!$G$39="Yes",BK$3=Projects!$C$39+Projects!$D$39-1),Projects!$B$39*(Assumptions!$B$10+Assumptions!$B$11+Assumptions!$B$12)*0.05,0)</f>
        <v>1182824.1</v>
      </c>
      <c r="BL48" s="19" t="n">
        <f aca="false">IF(AND(Projects!$G$39="Yes",BL$3&gt;=Projects!$C$39,BL$3&lt;Projects!$C$39+Projects!$D$39),Projects!$B$39*INDEX(Curves!$B$4:$AR$4,1,BL$3-Projects!$C$39+1),0)-IF(AND(Projects!$G$39="Yes",BL$3&gt;=Projects!$C$39,BL$3&lt;Projects!$C$39+Projects!$D$39),Projects!$B$39*(Assumptions!$B$10+Assumptions!$B$11+Assumptions!$B$12)/Projects!$D$39*0.95,0)-IF(AND(Projects!$G$39="Yes",BL$3=Projects!$C$39+Projects!$D$39-1),Projects!$B$39*(Assumptions!$B$10+Assumptions!$B$11+Assumptions!$B$12)*0.05,0)</f>
        <v>1135520.1</v>
      </c>
      <c r="BM48" s="19" t="n">
        <f aca="false">IF(AND(Projects!$G$39="Yes",BM$3&gt;=Projects!$C$39,BM$3&lt;Projects!$C$39+Projects!$D$39),Projects!$B$39*INDEX(Curves!$B$4:$AR$4,1,BM$3-Projects!$C$39+1),0)-IF(AND(Projects!$G$39="Yes",BM$3&gt;=Projects!$C$39,BM$3&lt;Projects!$C$39+Projects!$D$39),Projects!$B$39*(Assumptions!$B$10+Assumptions!$B$11+Assumptions!$B$12)/Projects!$D$39*0.95,0)-IF(AND(Projects!$G$39="Yes",BM$3=Projects!$C$39+Projects!$D$39-1),Projects!$B$39*(Assumptions!$B$10+Assumptions!$B$11+Assumptions!$B$12)*0.05,0)</f>
        <v>1060514.1</v>
      </c>
      <c r="BN48" s="19" t="n">
        <f aca="false">IF(AND(Projects!$G$39="Yes",BN$3&gt;=Projects!$C$39,BN$3&lt;Projects!$C$39+Projects!$D$39),Projects!$B$39*INDEX(Curves!$B$4:$AR$4,1,BN$3-Projects!$C$39+1),0)-IF(AND(Projects!$G$39="Yes",BN$3&gt;=Projects!$C$39,BN$3&lt;Projects!$C$39+Projects!$D$39),Projects!$B$39*(Assumptions!$B$10+Assumptions!$B$11+Assumptions!$B$12)/Projects!$D$39*0.95,0)-IF(AND(Projects!$G$39="Yes",BN$3=Projects!$C$39+Projects!$D$39-1),Projects!$B$39*(Assumptions!$B$10+Assumptions!$B$11+Assumptions!$B$12)*0.05,0)</f>
        <v>963044.1</v>
      </c>
      <c r="BO48" s="19" t="n">
        <f aca="false">IF(AND(Projects!$G$39="Yes",BO$3&gt;=Projects!$C$39,BO$3&lt;Projects!$C$39+Projects!$D$39),Projects!$B$39*INDEX(Curves!$B$4:$AR$4,1,BO$3-Projects!$C$39+1),0)-IF(AND(Projects!$G$39="Yes",BO$3&gt;=Projects!$C$39,BO$3&lt;Projects!$C$39+Projects!$D$39),Projects!$B$39*(Assumptions!$B$10+Assumptions!$B$11+Assumptions!$B$12)/Projects!$D$39*0.95,0)-IF(AND(Projects!$G$39="Yes",BO$3=Projects!$C$39+Projects!$D$39-1),Projects!$B$39*(Assumptions!$B$10+Assumptions!$B$11+Assumptions!$B$12)*0.05,0)</f>
        <v>849572.1</v>
      </c>
      <c r="BP48" s="19" t="n">
        <f aca="false">IF(AND(Projects!$G$39="Yes",BP$3&gt;=Projects!$C$39,BP$3&lt;Projects!$C$39+Projects!$D$39),Projects!$B$39*INDEX(Curves!$B$4:$AR$4,1,BP$3-Projects!$C$39+1),0)-IF(AND(Projects!$G$39="Yes",BP$3&gt;=Projects!$C$39,BP$3&lt;Projects!$C$39+Projects!$D$39),Projects!$B$39*(Assumptions!$B$10+Assumptions!$B$11+Assumptions!$B$12)/Projects!$D$39*0.95,0)-IF(AND(Projects!$G$39="Yes",BP$3=Projects!$C$39+Projects!$D$39-1),Projects!$B$39*(Assumptions!$B$10+Assumptions!$B$11+Assumptions!$B$12)*0.05,0)</f>
        <v>727064.1</v>
      </c>
      <c r="BQ48" s="19" t="n">
        <f aca="false">IF(AND(Projects!$G$39="Yes",BQ$3&gt;=Projects!$C$39,BQ$3&lt;Projects!$C$39+Projects!$D$39),Projects!$B$39*INDEX(Curves!$B$4:$AR$4,1,BQ$3-Projects!$C$39+1),0)-IF(AND(Projects!$G$39="Yes",BQ$3&gt;=Projects!$C$39,BQ$3&lt;Projects!$C$39+Projects!$D$39),Projects!$B$39*(Assumptions!$B$10+Assumptions!$B$11+Assumptions!$B$12)/Projects!$D$39*0.95,0)-IF(AND(Projects!$G$39="Yes",BQ$3=Projects!$C$39+Projects!$D$39-1),Projects!$B$39*(Assumptions!$B$10+Assumptions!$B$11+Assumptions!$B$12)*0.05,0)</f>
        <v>602324.1</v>
      </c>
      <c r="BR48" s="19" t="n">
        <f aca="false">IF(AND(Projects!$G$39="Yes",BR$3&gt;=Projects!$C$39,BR$3&lt;Projects!$C$39+Projects!$D$39),Projects!$B$39*INDEX(Curves!$B$4:$AR$4,1,BR$3-Projects!$C$39+1),0)-IF(AND(Projects!$G$39="Yes",BR$3&gt;=Projects!$C$39,BR$3&lt;Projects!$C$39+Projects!$D$39),Projects!$B$39*(Assumptions!$B$10+Assumptions!$B$11+Assumptions!$B$12)/Projects!$D$39*0.95,0)-IF(AND(Projects!$G$39="Yes",BR$3=Projects!$C$39+Projects!$D$39-1),Projects!$B$39*(Assumptions!$B$10+Assumptions!$B$11+Assumptions!$B$12)*0.05,0)</f>
        <v>481346.1</v>
      </c>
      <c r="BS48" s="19" t="n">
        <f aca="false">IF(AND(Projects!$G$39="Yes",BS$3&gt;=Projects!$C$39,BS$3&lt;Projects!$C$39+Projects!$D$39),Projects!$B$39*INDEX(Curves!$B$4:$AR$4,1,BS$3-Projects!$C$39+1),0)-IF(AND(Projects!$G$39="Yes",BS$3&gt;=Projects!$C$39,BS$3&lt;Projects!$C$39+Projects!$D$39),Projects!$B$39*(Assumptions!$B$10+Assumptions!$B$11+Assumptions!$B$12)/Projects!$D$39*0.95,0)-IF(AND(Projects!$G$39="Yes",BS$3=Projects!$C$39+Projects!$D$39-1),Projects!$B$39*(Assumptions!$B$10+Assumptions!$B$11+Assumptions!$B$12)*0.05,0)</f>
        <v>260602.2</v>
      </c>
      <c r="BT48" s="19" t="n">
        <f aca="false">IF(AND(Projects!$G$39="Yes",BT$3&gt;=Projects!$C$39,BT$3&lt;Projects!$C$39+Projects!$D$39),Projects!$B$39*INDEX(Curves!$B$4:$AR$4,1,BT$3-Projects!$C$39+1),0)-IF(AND(Projects!$G$39="Yes",BT$3&gt;=Projects!$C$39,BT$3&lt;Projects!$C$39+Projects!$D$39),Projects!$B$39*(Assumptions!$B$10+Assumptions!$B$11+Assumptions!$B$12)/Projects!$D$39*0.95,0)-IF(AND(Projects!$G$39="Yes",BT$3=Projects!$C$39+Projects!$D$39-1),Projects!$B$39*(Assumptions!$B$10+Assumptions!$B$11+Assumptions!$B$12)*0.05,0)</f>
        <v>0</v>
      </c>
      <c r="BU48" s="19" t="n">
        <f aca="false">IF(AND(Projects!$G$39="Yes",BU$3&gt;=Projects!$C$39,BU$3&lt;Projects!$C$39+Projects!$D$39),Projects!$B$39*INDEX(Curves!$B$4:$AR$4,1,BU$3-Projects!$C$39+1),0)-IF(AND(Projects!$G$39="Yes",BU$3&gt;=Projects!$C$39,BU$3&lt;Projects!$C$39+Projects!$D$39),Projects!$B$39*(Assumptions!$B$10+Assumptions!$B$11+Assumptions!$B$12)/Projects!$D$39*0.95,0)-IF(AND(Projects!$G$39="Yes",BU$3=Projects!$C$39+Projects!$D$39-1),Projects!$B$39*(Assumptions!$B$10+Assumptions!$B$11+Assumptions!$B$12)*0.05,0)</f>
        <v>0</v>
      </c>
      <c r="BV48" s="19" t="n">
        <f aca="false">IF(AND(Projects!$G$39="Yes",BV$3&gt;=Projects!$C$39,BV$3&lt;Projects!$C$39+Projects!$D$39),Projects!$B$39*INDEX(Curves!$B$4:$AR$4,1,BV$3-Projects!$C$39+1),0)-IF(AND(Projects!$G$39="Yes",BV$3&gt;=Projects!$C$39,BV$3&lt;Projects!$C$39+Projects!$D$39),Projects!$B$39*(Assumptions!$B$10+Assumptions!$B$11+Assumptions!$B$12)/Projects!$D$39*0.95,0)-IF(AND(Projects!$G$39="Yes",BV$3=Projects!$C$39+Projects!$D$39-1),Projects!$B$39*(Assumptions!$B$10+Assumptions!$B$11+Assumptions!$B$12)*0.05,0)</f>
        <v>0</v>
      </c>
      <c r="BW48" s="19" t="n">
        <f aca="false">IF(AND(Projects!$G$39="Yes",BW$3&gt;=Projects!$C$39,BW$3&lt;Projects!$C$39+Projects!$D$39),Projects!$B$39*INDEX(Curves!$B$4:$AR$4,1,BW$3-Projects!$C$39+1),0)-IF(AND(Projects!$G$39="Yes",BW$3&gt;=Projects!$C$39,BW$3&lt;Projects!$C$39+Projects!$D$39),Projects!$B$39*(Assumptions!$B$10+Assumptions!$B$11+Assumptions!$B$12)/Projects!$D$39*0.95,0)-IF(AND(Projects!$G$39="Yes",BW$3=Projects!$C$39+Projects!$D$39-1),Projects!$B$39*(Assumptions!$B$10+Assumptions!$B$11+Assumptions!$B$12)*0.05,0)</f>
        <v>0</v>
      </c>
      <c r="BX48" s="19" t="n">
        <f aca="false">IF(AND(Projects!$G$39="Yes",BX$3&gt;=Projects!$C$39,BX$3&lt;Projects!$C$39+Projects!$D$39),Projects!$B$39*INDEX(Curves!$B$4:$AR$4,1,BX$3-Projects!$C$39+1),0)-IF(AND(Projects!$G$39="Yes",BX$3&gt;=Projects!$C$39,BX$3&lt;Projects!$C$39+Projects!$D$39),Projects!$B$39*(Assumptions!$B$10+Assumptions!$B$11+Assumptions!$B$12)/Projects!$D$39*0.95,0)-IF(AND(Projects!$G$39="Yes",BX$3=Projects!$C$39+Projects!$D$39-1),Projects!$B$39*(Assumptions!$B$10+Assumptions!$B$11+Assumptions!$B$12)*0.05,0)</f>
        <v>0</v>
      </c>
      <c r="BY48" s="19" t="n">
        <f aca="false">IF(AND(Projects!$G$39="Yes",BY$3&gt;=Projects!$C$39,BY$3&lt;Projects!$C$39+Projects!$D$39),Projects!$B$39*INDEX(Curves!$B$4:$AR$4,1,BY$3-Projects!$C$39+1),0)-IF(AND(Projects!$G$39="Yes",BY$3&gt;=Projects!$C$39,BY$3&lt;Projects!$C$39+Projects!$D$39),Projects!$B$39*(Assumptions!$B$10+Assumptions!$B$11+Assumptions!$B$12)/Projects!$D$39*0.95,0)-IF(AND(Projects!$G$39="Yes",BY$3=Projects!$C$39+Projects!$D$39-1),Projects!$B$39*(Assumptions!$B$10+Assumptions!$B$11+Assumptions!$B$12)*0.05,0)</f>
        <v>0</v>
      </c>
      <c r="BZ48" s="19" t="n">
        <f aca="false">IF(AND(Projects!$G$39="Yes",BZ$3&gt;=Projects!$C$39,BZ$3&lt;Projects!$C$39+Projects!$D$39),Projects!$B$39*INDEX(Curves!$B$4:$AR$4,1,BZ$3-Projects!$C$39+1),0)-IF(AND(Projects!$G$39="Yes",BZ$3&gt;=Projects!$C$39,BZ$3&lt;Projects!$C$39+Projects!$D$39),Projects!$B$39*(Assumptions!$B$10+Assumptions!$B$11+Assumptions!$B$12)/Projects!$D$39*0.95,0)-IF(AND(Projects!$G$39="Yes",BZ$3=Projects!$C$39+Projects!$D$39-1),Projects!$B$39*(Assumptions!$B$10+Assumptions!$B$11+Assumptions!$B$12)*0.05,0)</f>
        <v>0</v>
      </c>
      <c r="CA48" s="19" t="n">
        <f aca="false">IF(AND(Projects!$G$39="Yes",CA$3&gt;=Projects!$C$39,CA$3&lt;Projects!$C$39+Projects!$D$39),Projects!$B$39*INDEX(Curves!$B$4:$AR$4,1,CA$3-Projects!$C$39+1),0)-IF(AND(Projects!$G$39="Yes",CA$3&gt;=Projects!$C$39,CA$3&lt;Projects!$C$39+Projects!$D$39),Projects!$B$39*(Assumptions!$B$10+Assumptions!$B$11+Assumptions!$B$12)/Projects!$D$39*0.95,0)-IF(AND(Projects!$G$39="Yes",CA$3=Projects!$C$39+Projects!$D$39-1),Projects!$B$39*(Assumptions!$B$10+Assumptions!$B$11+Assumptions!$B$12)*0.05,0)</f>
        <v>0</v>
      </c>
      <c r="CB48" s="19" t="n">
        <f aca="false">IF(AND(Projects!$G$39="Yes",CB$3&gt;=Projects!$C$39,CB$3&lt;Projects!$C$39+Projects!$D$39),Projects!$B$39*INDEX(Curves!$B$4:$AR$4,1,CB$3-Projects!$C$39+1),0)-IF(AND(Projects!$G$39="Yes",CB$3&gt;=Projects!$C$39,CB$3&lt;Projects!$C$39+Projects!$D$39),Projects!$B$39*(Assumptions!$B$10+Assumptions!$B$11+Assumptions!$B$12)/Projects!$D$39*0.95,0)-IF(AND(Projects!$G$39="Yes",CB$3=Projects!$C$39+Projects!$D$39-1),Projects!$B$39*(Assumptions!$B$10+Assumptions!$B$11+Assumptions!$B$12)*0.05,0)</f>
        <v>0</v>
      </c>
      <c r="CC48" s="19" t="n">
        <f aca="false">IF(AND(Projects!$G$39="Yes",CC$3&gt;=Projects!$C$39,CC$3&lt;Projects!$C$39+Projects!$D$39),Projects!$B$39*INDEX(Curves!$B$4:$AR$4,1,CC$3-Projects!$C$39+1),0)-IF(AND(Projects!$G$39="Yes",CC$3&gt;=Projects!$C$39,CC$3&lt;Projects!$C$39+Projects!$D$39),Projects!$B$39*(Assumptions!$B$10+Assumptions!$B$11+Assumptions!$B$12)/Projects!$D$39*0.95,0)-IF(AND(Projects!$G$39="Yes",CC$3=Projects!$C$39+Projects!$D$39-1),Projects!$B$39*(Assumptions!$B$10+Assumptions!$B$11+Assumptions!$B$12)*0.05,0)</f>
        <v>0</v>
      </c>
      <c r="CD48" s="19" t="n">
        <f aca="false">IF(AND(Projects!$G$39="Yes",CD$3&gt;=Projects!$C$39,CD$3&lt;Projects!$C$39+Projects!$D$39),Projects!$B$39*INDEX(Curves!$B$4:$AR$4,1,CD$3-Projects!$C$39+1),0)-IF(AND(Projects!$G$39="Yes",CD$3&gt;=Projects!$C$39,CD$3&lt;Projects!$C$39+Projects!$D$39),Projects!$B$39*(Assumptions!$B$10+Assumptions!$B$11+Assumptions!$B$12)/Projects!$D$39*0.95,0)-IF(AND(Projects!$G$39="Yes",CD$3=Projects!$C$39+Projects!$D$39-1),Projects!$B$39*(Assumptions!$B$10+Assumptions!$B$11+Assumptions!$B$12)*0.05,0)</f>
        <v>0</v>
      </c>
      <c r="CE48" s="19" t="n">
        <f aca="false">IF(AND(Projects!$G$39="Yes",CE$3&gt;=Projects!$C$39,CE$3&lt;Projects!$C$39+Projects!$D$39),Projects!$B$39*INDEX(Curves!$B$4:$AR$4,1,CE$3-Projects!$C$39+1),0)-IF(AND(Projects!$G$39="Yes",CE$3&gt;=Projects!$C$39,CE$3&lt;Projects!$C$39+Projects!$D$39),Projects!$B$39*(Assumptions!$B$10+Assumptions!$B$11+Assumptions!$B$12)/Projects!$D$39*0.95,0)-IF(AND(Projects!$G$39="Yes",CE$3=Projects!$C$39+Projects!$D$39-1),Projects!$B$39*(Assumptions!$B$10+Assumptions!$B$11+Assumptions!$B$12)*0.05,0)</f>
        <v>0</v>
      </c>
      <c r="CF48" s="19" t="n">
        <f aca="false">IF(AND(Projects!$G$39="Yes",CF$3&gt;=Projects!$C$39,CF$3&lt;Projects!$C$39+Projects!$D$39),Projects!$B$39*INDEX(Curves!$B$4:$AR$4,1,CF$3-Projects!$C$39+1),0)-IF(AND(Projects!$G$39="Yes",CF$3&gt;=Projects!$C$39,CF$3&lt;Projects!$C$39+Projects!$D$39),Projects!$B$39*(Assumptions!$B$10+Assumptions!$B$11+Assumptions!$B$12)/Projects!$D$39*0.95,0)-IF(AND(Projects!$G$39="Yes",CF$3=Projects!$C$39+Projects!$D$39-1),Projects!$B$39*(Assumptions!$B$10+Assumptions!$B$11+Assumptions!$B$12)*0.05,0)</f>
        <v>0</v>
      </c>
      <c r="CG48" s="19" t="n">
        <f aca="false">IF(AND(Projects!$G$39="Yes",CG$3&gt;=Projects!$C$39,CG$3&lt;Projects!$C$39+Projects!$D$39),Projects!$B$39*INDEX(Curves!$B$4:$AR$4,1,CG$3-Projects!$C$39+1),0)-IF(AND(Projects!$G$39="Yes",CG$3&gt;=Projects!$C$39,CG$3&lt;Projects!$C$39+Projects!$D$39),Projects!$B$39*(Assumptions!$B$10+Assumptions!$B$11+Assumptions!$B$12)/Projects!$D$39*0.95,0)-IF(AND(Projects!$G$39="Yes",CG$3=Projects!$C$39+Projects!$D$39-1),Projects!$B$39*(Assumptions!$B$10+Assumptions!$B$11+Assumptions!$B$12)*0.05,0)</f>
        <v>0</v>
      </c>
      <c r="CH48" s="19" t="n">
        <f aca="false">IF(AND(Projects!$G$39="Yes",CH$3&gt;=Projects!$C$39,CH$3&lt;Projects!$C$39+Projects!$D$39),Projects!$B$39*INDEX(Curves!$B$4:$AR$4,1,CH$3-Projects!$C$39+1),0)-IF(AND(Projects!$G$39="Yes",CH$3&gt;=Projects!$C$39,CH$3&lt;Projects!$C$39+Projects!$D$39),Projects!$B$39*(Assumptions!$B$10+Assumptions!$B$11+Assumptions!$B$12)/Projects!$D$39*0.95,0)-IF(AND(Projects!$G$39="Yes",CH$3=Projects!$C$39+Projects!$D$39-1),Projects!$B$39*(Assumptions!$B$10+Assumptions!$B$11+Assumptions!$B$12)*0.05,0)</f>
        <v>0</v>
      </c>
      <c r="CI48" s="19" t="n">
        <f aca="false">IF(AND(Projects!$G$39="Yes",CI$3&gt;=Projects!$C$39,CI$3&lt;Projects!$C$39+Projects!$D$39),Projects!$B$39*INDEX(Curves!$B$4:$AR$4,1,CI$3-Projects!$C$39+1),0)-IF(AND(Projects!$G$39="Yes",CI$3&gt;=Projects!$C$39,CI$3&lt;Projects!$C$39+Projects!$D$39),Projects!$B$39*(Assumptions!$B$10+Assumptions!$B$11+Assumptions!$B$12)/Projects!$D$39*0.95,0)-IF(AND(Projects!$G$39="Yes",CI$3=Projects!$C$39+Projects!$D$39-1),Projects!$B$39*(Assumptions!$B$10+Assumptions!$B$11+Assumptions!$B$12)*0.05,0)</f>
        <v>0</v>
      </c>
      <c r="CJ48" s="19" t="n">
        <f aca="false">IF(AND(Projects!$G$39="Yes",CJ$3&gt;=Projects!$C$39,CJ$3&lt;Projects!$C$39+Projects!$D$39),Projects!$B$39*INDEX(Curves!$B$4:$AR$4,1,CJ$3-Projects!$C$39+1),0)-IF(AND(Projects!$G$39="Yes",CJ$3&gt;=Projects!$C$39,CJ$3&lt;Projects!$C$39+Projects!$D$39),Projects!$B$39*(Assumptions!$B$10+Assumptions!$B$11+Assumptions!$B$12)/Projects!$D$39*0.95,0)-IF(AND(Projects!$G$39="Yes",CJ$3=Projects!$C$39+Projects!$D$39-1),Projects!$B$39*(Assumptions!$B$10+Assumptions!$B$11+Assumptions!$B$12)*0.05,0)</f>
        <v>0</v>
      </c>
      <c r="CK48" s="19" t="n">
        <f aca="false">IF(AND(Projects!$G$39="Yes",CK$3&gt;=Projects!$C$39,CK$3&lt;Projects!$C$39+Projects!$D$39),Projects!$B$39*INDEX(Curves!$B$4:$AR$4,1,CK$3-Projects!$C$39+1),0)-IF(AND(Projects!$G$39="Yes",CK$3&gt;=Projects!$C$39,CK$3&lt;Projects!$C$39+Projects!$D$39),Projects!$B$39*(Assumptions!$B$10+Assumptions!$B$11+Assumptions!$B$12)/Projects!$D$39*0.95,0)-IF(AND(Projects!$G$39="Yes",CK$3=Projects!$C$39+Projects!$D$39-1),Projects!$B$39*(Assumptions!$B$10+Assumptions!$B$11+Assumptions!$B$12)*0.05,0)</f>
        <v>0</v>
      </c>
      <c r="CL48" s="19" t="n">
        <f aca="false">IF(AND(Projects!$G$39="Yes",CL$3&gt;=Projects!$C$39,CL$3&lt;Projects!$C$39+Projects!$D$39),Projects!$B$39*INDEX(Curves!$B$4:$AR$4,1,CL$3-Projects!$C$39+1),0)-IF(AND(Projects!$G$39="Yes",CL$3&gt;=Projects!$C$39,CL$3&lt;Projects!$C$39+Projects!$D$39),Projects!$B$39*(Assumptions!$B$10+Assumptions!$B$11+Assumptions!$B$12)/Projects!$D$39*0.95,0)-IF(AND(Projects!$G$39="Yes",CL$3=Projects!$C$39+Projects!$D$39-1),Projects!$B$39*(Assumptions!$B$10+Assumptions!$B$11+Assumptions!$B$12)*0.05,0)</f>
        <v>0</v>
      </c>
      <c r="CM48" s="19" t="n">
        <f aca="false">IF(AND(Projects!$G$39="Yes",CM$3&gt;=Projects!$C$39,CM$3&lt;Projects!$C$39+Projects!$D$39),Projects!$B$39*INDEX(Curves!$B$4:$AR$4,1,CM$3-Projects!$C$39+1),0)-IF(AND(Projects!$G$39="Yes",CM$3&gt;=Projects!$C$39,CM$3&lt;Projects!$C$39+Projects!$D$39),Projects!$B$39*(Assumptions!$B$10+Assumptions!$B$11+Assumptions!$B$12)/Projects!$D$39*0.95,0)-IF(AND(Projects!$G$39="Yes",CM$3=Projects!$C$39+Projects!$D$39-1),Projects!$B$39*(Assumptions!$B$10+Assumptions!$B$11+Assumptions!$B$12)*0.05,0)</f>
        <v>0</v>
      </c>
      <c r="CN48" s="19" t="n">
        <f aca="false">IF(AND(Projects!$G$39="Yes",CN$3&gt;=Projects!$C$39,CN$3&lt;Projects!$C$39+Projects!$D$39),Projects!$B$39*INDEX(Curves!$B$4:$AR$4,1,CN$3-Projects!$C$39+1),0)-IF(AND(Projects!$G$39="Yes",CN$3&gt;=Projects!$C$39,CN$3&lt;Projects!$C$39+Projects!$D$39),Projects!$B$39*(Assumptions!$B$10+Assumptions!$B$11+Assumptions!$B$12)/Projects!$D$39*0.95,0)-IF(AND(Projects!$G$39="Yes",CN$3=Projects!$C$39+Projects!$D$39-1),Projects!$B$39*(Assumptions!$B$10+Assumptions!$B$11+Assumptions!$B$12)*0.05,0)</f>
        <v>0</v>
      </c>
      <c r="CO48" s="19" t="n">
        <f aca="false">IF(AND(Projects!$G$39="Yes",CO$3&gt;=Projects!$C$39,CO$3&lt;Projects!$C$39+Projects!$D$39),Projects!$B$39*INDEX(Curves!$B$4:$AR$4,1,CO$3-Projects!$C$39+1),0)-IF(AND(Projects!$G$39="Yes",CO$3&gt;=Projects!$C$39,CO$3&lt;Projects!$C$39+Projects!$D$39),Projects!$B$39*(Assumptions!$B$10+Assumptions!$B$11+Assumptions!$B$12)/Projects!$D$39*0.95,0)-IF(AND(Projects!$G$39="Yes",CO$3=Projects!$C$39+Projects!$D$39-1),Projects!$B$39*(Assumptions!$B$10+Assumptions!$B$11+Assumptions!$B$12)*0.05,0)</f>
        <v>0</v>
      </c>
      <c r="CP48" s="19" t="n">
        <f aca="false">IF(AND(Projects!$G$39="Yes",CP$3&gt;=Projects!$C$39,CP$3&lt;Projects!$C$39+Projects!$D$39),Projects!$B$39*INDEX(Curves!$B$4:$AR$4,1,CP$3-Projects!$C$39+1),0)-IF(AND(Projects!$G$39="Yes",CP$3&gt;=Projects!$C$39,CP$3&lt;Projects!$C$39+Projects!$D$39),Projects!$B$39*(Assumptions!$B$10+Assumptions!$B$11+Assumptions!$B$12)/Projects!$D$39*0.95,0)-IF(AND(Projects!$G$39="Yes",CP$3=Projects!$C$39+Projects!$D$39-1),Projects!$B$39*(Assumptions!$B$10+Assumptions!$B$11+Assumptions!$B$12)*0.05,0)</f>
        <v>0</v>
      </c>
      <c r="CQ48" s="19" t="n">
        <f aca="false">IF(AND(Projects!$G$39="Yes",CQ$3&gt;=Projects!$C$39,CQ$3&lt;Projects!$C$39+Projects!$D$39),Projects!$B$39*INDEX(Curves!$B$4:$AR$4,1,CQ$3-Projects!$C$39+1),0)-IF(AND(Projects!$G$39="Yes",CQ$3&gt;=Projects!$C$39,CQ$3&lt;Projects!$C$39+Projects!$D$39),Projects!$B$39*(Assumptions!$B$10+Assumptions!$B$11+Assumptions!$B$12)/Projects!$D$39*0.95,0)-IF(AND(Projects!$G$39="Yes",CQ$3=Projects!$C$39+Projects!$D$39-1),Projects!$B$39*(Assumptions!$B$10+Assumptions!$B$11+Assumptions!$B$12)*0.05,0)</f>
        <v>0</v>
      </c>
      <c r="CR48" s="19" t="n">
        <f aca="false">IF(AND(Projects!$G$39="Yes",CR$3&gt;=Projects!$C$39,CR$3&lt;Projects!$C$39+Projects!$D$39),Projects!$B$39*INDEX(Curves!$B$4:$AR$4,1,CR$3-Projects!$C$39+1),0)-IF(AND(Projects!$G$39="Yes",CR$3&gt;=Projects!$C$39,CR$3&lt;Projects!$C$39+Projects!$D$39),Projects!$B$39*(Assumptions!$B$10+Assumptions!$B$11+Assumptions!$B$12)/Projects!$D$39*0.95,0)-IF(AND(Projects!$G$39="Yes",CR$3=Projects!$C$39+Projects!$D$39-1),Projects!$B$39*(Assumptions!$B$10+Assumptions!$B$11+Assumptions!$B$12)*0.05,0)</f>
        <v>0</v>
      </c>
      <c r="CS48" s="19" t="n">
        <f aca="false">IF(AND(Projects!$G$39="Yes",CS$3&gt;=Projects!$C$39,CS$3&lt;Projects!$C$39+Projects!$D$39),Projects!$B$39*INDEX(Curves!$B$4:$AR$4,1,CS$3-Projects!$C$39+1),0)-IF(AND(Projects!$G$39="Yes",CS$3&gt;=Projects!$C$39,CS$3&lt;Projects!$C$39+Projects!$D$39),Projects!$B$39*(Assumptions!$B$10+Assumptions!$B$11+Assumptions!$B$12)/Projects!$D$39*0.95,0)-IF(AND(Projects!$G$39="Yes",CS$3=Projects!$C$39+Projects!$D$39-1),Projects!$B$39*(Assumptions!$B$10+Assumptions!$B$11+Assumptions!$B$12)*0.05,0)</f>
        <v>0</v>
      </c>
      <c r="CT48" s="19" t="n">
        <f aca="false">IF(AND(Projects!$G$39="Yes",CT$3&gt;=Projects!$C$39,CT$3&lt;Projects!$C$39+Projects!$D$39),Projects!$B$39*INDEX(Curves!$B$4:$AR$4,1,CT$3-Projects!$C$39+1),0)-IF(AND(Projects!$G$39="Yes",CT$3&gt;=Projects!$C$39,CT$3&lt;Projects!$C$39+Projects!$D$39),Projects!$B$39*(Assumptions!$B$10+Assumptions!$B$11+Assumptions!$B$12)/Projects!$D$39*0.95,0)-IF(AND(Projects!$G$39="Yes",CT$3=Projects!$C$39+Projects!$D$39-1),Projects!$B$39*(Assumptions!$B$10+Assumptions!$B$11+Assumptions!$B$12)*0.05,0)</f>
        <v>0</v>
      </c>
      <c r="CU48" s="19" t="n">
        <f aca="false">IF(AND(Projects!$G$39="Yes",CU$3&gt;=Projects!$C$39,CU$3&lt;Projects!$C$39+Projects!$D$39),Projects!$B$39*INDEX(Curves!$B$4:$AR$4,1,CU$3-Projects!$C$39+1),0)-IF(AND(Projects!$G$39="Yes",CU$3&gt;=Projects!$C$39,CU$3&lt;Projects!$C$39+Projects!$D$39),Projects!$B$39*(Assumptions!$B$10+Assumptions!$B$11+Assumptions!$B$12)/Projects!$D$39*0.95,0)-IF(AND(Projects!$G$39="Yes",CU$3=Projects!$C$39+Projects!$D$39-1),Projects!$B$39*(Assumptions!$B$10+Assumptions!$B$11+Assumptions!$B$12)*0.05,0)</f>
        <v>0</v>
      </c>
      <c r="CV48" s="19" t="n">
        <f aca="false">IF(AND(Projects!$G$39="Yes",CV$3&gt;=Projects!$C$39,CV$3&lt;Projects!$C$39+Projects!$D$39),Projects!$B$39*INDEX(Curves!$B$4:$AR$4,1,CV$3-Projects!$C$39+1),0)-IF(AND(Projects!$G$39="Yes",CV$3&gt;=Projects!$C$39,CV$3&lt;Projects!$C$39+Projects!$D$39),Projects!$B$39*(Assumptions!$B$10+Assumptions!$B$11+Assumptions!$B$12)/Projects!$D$39*0.95,0)-IF(AND(Projects!$G$39="Yes",CV$3=Projects!$C$39+Projects!$D$39-1),Projects!$B$39*(Assumptions!$B$10+Assumptions!$B$11+Assumptions!$B$12)*0.05,0)</f>
        <v>0</v>
      </c>
      <c r="CW48" s="19" t="n">
        <f aca="false">IF(AND(Projects!$G$39="Yes",CW$3&gt;=Projects!$C$39,CW$3&lt;Projects!$C$39+Projects!$D$39),Projects!$B$39*INDEX(Curves!$B$4:$AR$4,1,CW$3-Projects!$C$39+1),0)-IF(AND(Projects!$G$39="Yes",CW$3&gt;=Projects!$C$39,CW$3&lt;Projects!$C$39+Projects!$D$39),Projects!$B$39*(Assumptions!$B$10+Assumptions!$B$11+Assumptions!$B$12)/Projects!$D$39*0.95,0)-IF(AND(Projects!$G$39="Yes",CW$3=Projects!$C$39+Projects!$D$39-1),Projects!$B$39*(Assumptions!$B$10+Assumptions!$B$11+Assumptions!$B$12)*0.05,0)</f>
        <v>0</v>
      </c>
      <c r="CX48" s="19" t="n">
        <f aca="false">IF(AND(Projects!$G$39="Yes",CX$3&gt;=Projects!$C$39,CX$3&lt;Projects!$C$39+Projects!$D$39),Projects!$B$39*INDEX(Curves!$B$4:$AR$4,1,CX$3-Projects!$C$39+1),0)-IF(AND(Projects!$G$39="Yes",CX$3&gt;=Projects!$C$39,CX$3&lt;Projects!$C$39+Projects!$D$39),Projects!$B$39*(Assumptions!$B$10+Assumptions!$B$11+Assumptions!$B$12)/Projects!$D$39*0.95,0)-IF(AND(Projects!$G$39="Yes",CX$3=Projects!$C$39+Projects!$D$39-1),Projects!$B$39*(Assumptions!$B$10+Assumptions!$B$11+Assumptions!$B$12)*0.05,0)</f>
        <v>0</v>
      </c>
      <c r="CY48" s="19" t="n">
        <f aca="false">IF(AND(Projects!$G$39="Yes",CY$3&gt;=Projects!$C$39,CY$3&lt;Projects!$C$39+Projects!$D$39),Projects!$B$39*INDEX(Curves!$B$4:$AR$4,1,CY$3-Projects!$C$39+1),0)-IF(AND(Projects!$G$39="Yes",CY$3&gt;=Projects!$C$39,CY$3&lt;Projects!$C$39+Projects!$D$39),Projects!$B$39*(Assumptions!$B$10+Assumptions!$B$11+Assumptions!$B$12)/Projects!$D$39*0.95,0)-IF(AND(Projects!$G$39="Yes",CY$3=Projects!$C$39+Projects!$D$39-1),Projects!$B$39*(Assumptions!$B$10+Assumptions!$B$11+Assumptions!$B$12)*0.05,0)</f>
        <v>0</v>
      </c>
      <c r="CZ48" s="19" t="n">
        <f aca="false">IF(AND(Projects!$G$39="Yes",CZ$3&gt;=Projects!$C$39,CZ$3&lt;Projects!$C$39+Projects!$D$39),Projects!$B$39*INDEX(Curves!$B$4:$AR$4,1,CZ$3-Projects!$C$39+1),0)-IF(AND(Projects!$G$39="Yes",CZ$3&gt;=Projects!$C$39,CZ$3&lt;Projects!$C$39+Projects!$D$39),Projects!$B$39*(Assumptions!$B$10+Assumptions!$B$11+Assumptions!$B$12)/Projects!$D$39*0.95,0)-IF(AND(Projects!$G$39="Yes",CZ$3=Projects!$C$39+Projects!$D$39-1),Projects!$B$39*(Assumptions!$B$10+Assumptions!$B$11+Assumptions!$B$12)*0.05,0)</f>
        <v>0</v>
      </c>
      <c r="DA48" s="19" t="n">
        <f aca="false">IF(AND(Projects!$G$39="Yes",DA$3&gt;=Projects!$C$39,DA$3&lt;Projects!$C$39+Projects!$D$39),Projects!$B$39*INDEX(Curves!$B$4:$AR$4,1,DA$3-Projects!$C$39+1),0)-IF(AND(Projects!$G$39="Yes",DA$3&gt;=Projects!$C$39,DA$3&lt;Projects!$C$39+Projects!$D$39),Projects!$B$39*(Assumptions!$B$10+Assumptions!$B$11+Assumptions!$B$12)/Projects!$D$39*0.95,0)-IF(AND(Projects!$G$39="Yes",DA$3=Projects!$C$39+Projects!$D$39-1),Projects!$B$39*(Assumptions!$B$10+Assumptions!$B$11+Assumptions!$B$12)*0.05,0)</f>
        <v>0</v>
      </c>
      <c r="DB48" s="19" t="n">
        <f aca="false">IF(AND(Projects!$G$39="Yes",DB$3&gt;=Projects!$C$39,DB$3&lt;Projects!$C$39+Projects!$D$39),Projects!$B$39*INDEX(Curves!$B$4:$AR$4,1,DB$3-Projects!$C$39+1),0)-IF(AND(Projects!$G$39="Yes",DB$3&gt;=Projects!$C$39,DB$3&lt;Projects!$C$39+Projects!$D$39),Projects!$B$39*(Assumptions!$B$10+Assumptions!$B$11+Assumptions!$B$12)/Projects!$D$39*0.95,0)-IF(AND(Projects!$G$39="Yes",DB$3=Projects!$C$39+Projects!$D$39-1),Projects!$B$39*(Assumptions!$B$10+Assumptions!$B$11+Assumptions!$B$12)*0.05,0)</f>
        <v>0</v>
      </c>
      <c r="DC48" s="19" t="n">
        <f aca="false">IF(AND(Projects!$G$39="Yes",DC$3&gt;=Projects!$C$39,DC$3&lt;Projects!$C$39+Projects!$D$39),Projects!$B$39*INDEX(Curves!$B$4:$AR$4,1,DC$3-Projects!$C$39+1),0)-IF(AND(Projects!$G$39="Yes",DC$3&gt;=Projects!$C$39,DC$3&lt;Projects!$C$39+Projects!$D$39),Projects!$B$39*(Assumptions!$B$10+Assumptions!$B$11+Assumptions!$B$12)/Projects!$D$39*0.95,0)-IF(AND(Projects!$G$39="Yes",DC$3=Projects!$C$39+Projects!$D$39-1),Projects!$B$39*(Assumptions!$B$10+Assumptions!$B$11+Assumptions!$B$12)*0.05,0)</f>
        <v>0</v>
      </c>
      <c r="DD48" s="19" t="n">
        <f aca="false">IF(AND(Projects!$G$39="Yes",DD$3&gt;=Projects!$C$39,DD$3&lt;Projects!$C$39+Projects!$D$39),Projects!$B$39*INDEX(Curves!$B$4:$AR$4,1,DD$3-Projects!$C$39+1),0)-IF(AND(Projects!$G$39="Yes",DD$3&gt;=Projects!$C$39,DD$3&lt;Projects!$C$39+Projects!$D$39),Projects!$B$39*(Assumptions!$B$10+Assumptions!$B$11+Assumptions!$B$12)/Projects!$D$39*0.95,0)-IF(AND(Projects!$G$39="Yes",DD$3=Projects!$C$39+Projects!$D$39-1),Projects!$B$39*(Assumptions!$B$10+Assumptions!$B$11+Assumptions!$B$12)*0.05,0)</f>
        <v>0</v>
      </c>
      <c r="DE48" s="19" t="n">
        <f aca="false">IF(AND(Projects!$G$39="Yes",DE$3&gt;=Projects!$C$39,DE$3&lt;Projects!$C$39+Projects!$D$39),Projects!$B$39*INDEX(Curves!$B$4:$AR$4,1,DE$3-Projects!$C$39+1),0)-IF(AND(Projects!$G$39="Yes",DE$3&gt;=Projects!$C$39,DE$3&lt;Projects!$C$39+Projects!$D$39),Projects!$B$39*(Assumptions!$B$10+Assumptions!$B$11+Assumptions!$B$12)/Projects!$D$39*0.95,0)-IF(AND(Projects!$G$39="Yes",DE$3=Projects!$C$39+Projects!$D$39-1),Projects!$B$39*(Assumptions!$B$10+Assumptions!$B$11+Assumptions!$B$12)*0.05,0)</f>
        <v>0</v>
      </c>
    </row>
    <row r="49" customFormat="false" ht="15" hidden="true" customHeight="true" outlineLevel="1" collapsed="false">
      <c r="A49" s="28" t="s">
        <v>43</v>
      </c>
      <c r="B49" s="19" t="n">
        <v>0</v>
      </c>
      <c r="C49" s="19" t="n">
        <v>0</v>
      </c>
      <c r="D49" s="19" t="n">
        <v>0</v>
      </c>
      <c r="E49" s="19" t="n">
        <v>0</v>
      </c>
      <c r="F49" s="19" t="n">
        <f aca="false">IF(AND(Projects!$G$40="Yes",F$3&gt;=Projects!$C$40,F$3&lt;Projects!$C$40+Projects!$D$40),Projects!$B$40*INDEX(Curves!$B$4:$AR$4,1,F$3-Projects!$C$40+1),0)-IF(AND(Projects!$G$40="Yes",F$3&gt;=Projects!$C$40,F$3&lt;Projects!$C$40+Projects!$D$40),Projects!$B$40*(Assumptions!$B$10+Assumptions!$B$11+Assumptions!$B$12)/Projects!$D$40*0.95,0)-IF(AND(Projects!$G$40="Yes",F$3=Projects!$C$40+Projects!$D$40-1),Projects!$B$40*(Assumptions!$B$10+Assumptions!$B$11+Assumptions!$B$12)*0.05,0)</f>
        <v>0</v>
      </c>
      <c r="G49" s="19" t="n">
        <f aca="false">IF(AND(Projects!$G$40="Yes",G$3&gt;=Projects!$C$40,G$3&lt;Projects!$C$40+Projects!$D$40),Projects!$B$40*INDEX(Curves!$B$4:$AR$4,1,G$3-Projects!$C$40+1),0)-IF(AND(Projects!$G$40="Yes",G$3&gt;=Projects!$C$40,G$3&lt;Projects!$C$40+Projects!$D$40),Projects!$B$40*(Assumptions!$B$10+Assumptions!$B$11+Assumptions!$B$12)/Projects!$D$40*0.95,0)-IF(AND(Projects!$G$40="Yes",G$3=Projects!$C$40+Projects!$D$40-1),Projects!$B$40*(Assumptions!$B$10+Assumptions!$B$11+Assumptions!$B$12)*0.05,0)</f>
        <v>0</v>
      </c>
      <c r="H49" s="19" t="n">
        <f aca="false">IF(AND(Projects!$G$40="Yes",H$3&gt;=Projects!$C$40,H$3&lt;Projects!$C$40+Projects!$D$40),Projects!$B$40*INDEX(Curves!$B$4:$AR$4,1,H$3-Projects!$C$40+1),0)-IF(AND(Projects!$G$40="Yes",H$3&gt;=Projects!$C$40,H$3&lt;Projects!$C$40+Projects!$D$40),Projects!$B$40*(Assumptions!$B$10+Assumptions!$B$11+Assumptions!$B$12)/Projects!$D$40*0.95,0)-IF(AND(Projects!$G$40="Yes",H$3=Projects!$C$40+Projects!$D$40-1),Projects!$B$40*(Assumptions!$B$10+Assumptions!$B$11+Assumptions!$B$12)*0.05,0)</f>
        <v>0</v>
      </c>
      <c r="I49" s="19" t="n">
        <f aca="false">IF(AND(Projects!$G$40="Yes",I$3&gt;=Projects!$C$40,I$3&lt;Projects!$C$40+Projects!$D$40),Projects!$B$40*INDEX(Curves!$B$4:$AR$4,1,I$3-Projects!$C$40+1),0)-IF(AND(Projects!$G$40="Yes",I$3&gt;=Projects!$C$40,I$3&lt;Projects!$C$40+Projects!$D$40),Projects!$B$40*(Assumptions!$B$10+Assumptions!$B$11+Assumptions!$B$12)/Projects!$D$40*0.95,0)-IF(AND(Projects!$G$40="Yes",I$3=Projects!$C$40+Projects!$D$40-1),Projects!$B$40*(Assumptions!$B$10+Assumptions!$B$11+Assumptions!$B$12)*0.05,0)</f>
        <v>0</v>
      </c>
      <c r="J49" s="19" t="n">
        <f aca="false">IF(AND(Projects!$G$40="Yes",J$3&gt;=Projects!$C$40,J$3&lt;Projects!$C$40+Projects!$D$40),Projects!$B$40*INDEX(Curves!$B$4:$AR$4,1,J$3-Projects!$C$40+1),0)-IF(AND(Projects!$G$40="Yes",J$3&gt;=Projects!$C$40,J$3&lt;Projects!$C$40+Projects!$D$40),Projects!$B$40*(Assumptions!$B$10+Assumptions!$B$11+Assumptions!$B$12)/Projects!$D$40*0.95,0)-IF(AND(Projects!$G$40="Yes",J$3=Projects!$C$40+Projects!$D$40-1),Projects!$B$40*(Assumptions!$B$10+Assumptions!$B$11+Assumptions!$B$12)*0.05,0)</f>
        <v>0</v>
      </c>
      <c r="K49" s="19" t="n">
        <f aca="false">IF(AND(Projects!$G$40="Yes",K$3&gt;=Projects!$C$40,K$3&lt;Projects!$C$40+Projects!$D$40),Projects!$B$40*INDEX(Curves!$B$4:$AR$4,1,K$3-Projects!$C$40+1),0)-IF(AND(Projects!$G$40="Yes",K$3&gt;=Projects!$C$40,K$3&lt;Projects!$C$40+Projects!$D$40),Projects!$B$40*(Assumptions!$B$10+Assumptions!$B$11+Assumptions!$B$12)/Projects!$D$40*0.95,0)-IF(AND(Projects!$G$40="Yes",K$3=Projects!$C$40+Projects!$D$40-1),Projects!$B$40*(Assumptions!$B$10+Assumptions!$B$11+Assumptions!$B$12)*0.05,0)</f>
        <v>0</v>
      </c>
      <c r="L49" s="19" t="n">
        <f aca="false">IF(AND(Projects!$G$40="Yes",L$3&gt;=Projects!$C$40,L$3&lt;Projects!$C$40+Projects!$D$40),Projects!$B$40*INDEX(Curves!$B$4:$AR$4,1,L$3-Projects!$C$40+1),0)-IF(AND(Projects!$G$40="Yes",L$3&gt;=Projects!$C$40,L$3&lt;Projects!$C$40+Projects!$D$40),Projects!$B$40*(Assumptions!$B$10+Assumptions!$B$11+Assumptions!$B$12)/Projects!$D$40*0.95,0)-IF(AND(Projects!$G$40="Yes",L$3=Projects!$C$40+Projects!$D$40-1),Projects!$B$40*(Assumptions!$B$10+Assumptions!$B$11+Assumptions!$B$12)*0.05,0)</f>
        <v>0</v>
      </c>
      <c r="M49" s="19" t="n">
        <f aca="false">IF(AND(Projects!$G$40="Yes",M$3&gt;=Projects!$C$40,M$3&lt;Projects!$C$40+Projects!$D$40),Projects!$B$40*INDEX(Curves!$B$4:$AR$4,1,M$3-Projects!$C$40+1),0)-IF(AND(Projects!$G$40="Yes",M$3&gt;=Projects!$C$40,M$3&lt;Projects!$C$40+Projects!$D$40),Projects!$B$40*(Assumptions!$B$10+Assumptions!$B$11+Assumptions!$B$12)/Projects!$D$40*0.95,0)-IF(AND(Projects!$G$40="Yes",M$3=Projects!$C$40+Projects!$D$40-1),Projects!$B$40*(Assumptions!$B$10+Assumptions!$B$11+Assumptions!$B$12)*0.05,0)</f>
        <v>0</v>
      </c>
      <c r="N49" s="19" t="n">
        <f aca="false">IF(AND(Projects!$G$40="Yes",N$3&gt;=Projects!$C$40,N$3&lt;Projects!$C$40+Projects!$D$40),Projects!$B$40*INDEX(Curves!$B$4:$AR$4,1,N$3-Projects!$C$40+1),0)-IF(AND(Projects!$G$40="Yes",N$3&gt;=Projects!$C$40,N$3&lt;Projects!$C$40+Projects!$D$40),Projects!$B$40*(Assumptions!$B$10+Assumptions!$B$11+Assumptions!$B$12)/Projects!$D$40*0.95,0)-IF(AND(Projects!$G$40="Yes",N$3=Projects!$C$40+Projects!$D$40-1),Projects!$B$40*(Assumptions!$B$10+Assumptions!$B$11+Assumptions!$B$12)*0.05,0)</f>
        <v>0</v>
      </c>
      <c r="O49" s="19" t="n">
        <f aca="false">IF(AND(Projects!$G$40="Yes",O$3&gt;=Projects!$C$40,O$3&lt;Projects!$C$40+Projects!$D$40),Projects!$B$40*INDEX(Curves!$B$4:$AR$4,1,O$3-Projects!$C$40+1),0)-IF(AND(Projects!$G$40="Yes",O$3&gt;=Projects!$C$40,O$3&lt;Projects!$C$40+Projects!$D$40),Projects!$B$40*(Assumptions!$B$10+Assumptions!$B$11+Assumptions!$B$12)/Projects!$D$40*0.95,0)-IF(AND(Projects!$G$40="Yes",O$3=Projects!$C$40+Projects!$D$40-1),Projects!$B$40*(Assumptions!$B$10+Assumptions!$B$11+Assumptions!$B$12)*0.05,0)</f>
        <v>0</v>
      </c>
      <c r="P49" s="19" t="n">
        <f aca="false">IF(AND(Projects!$G$40="Yes",P$3&gt;=Projects!$C$40,P$3&lt;Projects!$C$40+Projects!$D$40),Projects!$B$40*INDEX(Curves!$B$4:$AR$4,1,P$3-Projects!$C$40+1),0)-IF(AND(Projects!$G$40="Yes",P$3&gt;=Projects!$C$40,P$3&lt;Projects!$C$40+Projects!$D$40),Projects!$B$40*(Assumptions!$B$10+Assumptions!$B$11+Assumptions!$B$12)/Projects!$D$40*0.95,0)-IF(AND(Projects!$G$40="Yes",P$3=Projects!$C$40+Projects!$D$40-1),Projects!$B$40*(Assumptions!$B$10+Assumptions!$B$11+Assumptions!$B$12)*0.05,0)</f>
        <v>0</v>
      </c>
      <c r="Q49" s="19" t="n">
        <f aca="false">IF(AND(Projects!$G$40="Yes",Q$3&gt;=Projects!$C$40,Q$3&lt;Projects!$C$40+Projects!$D$40),Projects!$B$40*INDEX(Curves!$B$4:$AR$4,1,Q$3-Projects!$C$40+1),0)-IF(AND(Projects!$G$40="Yes",Q$3&gt;=Projects!$C$40,Q$3&lt;Projects!$C$40+Projects!$D$40),Projects!$B$40*(Assumptions!$B$10+Assumptions!$B$11+Assumptions!$B$12)/Projects!$D$40*0.95,0)-IF(AND(Projects!$G$40="Yes",Q$3=Projects!$C$40+Projects!$D$40-1),Projects!$B$40*(Assumptions!$B$10+Assumptions!$B$11+Assumptions!$B$12)*0.05,0)</f>
        <v>0</v>
      </c>
      <c r="R49" s="19" t="n">
        <f aca="false">IF(AND(Projects!$G$40="Yes",R$3&gt;=Projects!$C$40,R$3&lt;Projects!$C$40+Projects!$D$40),Projects!$B$40*INDEX(Curves!$B$4:$AR$4,1,R$3-Projects!$C$40+1),0)-IF(AND(Projects!$G$40="Yes",R$3&gt;=Projects!$C$40,R$3&lt;Projects!$C$40+Projects!$D$40),Projects!$B$40*(Assumptions!$B$10+Assumptions!$B$11+Assumptions!$B$12)/Projects!$D$40*0.95,0)-IF(AND(Projects!$G$40="Yes",R$3=Projects!$C$40+Projects!$D$40-1),Projects!$B$40*(Assumptions!$B$10+Assumptions!$B$11+Assumptions!$B$12)*0.05,0)</f>
        <v>0</v>
      </c>
      <c r="S49" s="19" t="n">
        <f aca="false">IF(AND(Projects!$G$40="Yes",S$3&gt;=Projects!$C$40,S$3&lt;Projects!$C$40+Projects!$D$40),Projects!$B$40*INDEX(Curves!$B$4:$AR$4,1,S$3-Projects!$C$40+1),0)-IF(AND(Projects!$G$40="Yes",S$3&gt;=Projects!$C$40,S$3&lt;Projects!$C$40+Projects!$D$40),Projects!$B$40*(Assumptions!$B$10+Assumptions!$B$11+Assumptions!$B$12)/Projects!$D$40*0.95,0)-IF(AND(Projects!$G$40="Yes",S$3=Projects!$C$40+Projects!$D$40-1),Projects!$B$40*(Assumptions!$B$10+Assumptions!$B$11+Assumptions!$B$12)*0.05,0)</f>
        <v>0</v>
      </c>
      <c r="T49" s="19" t="n">
        <f aca="false">IF(AND(Projects!$G$40="Yes",T$3&gt;=Projects!$C$40,T$3&lt;Projects!$C$40+Projects!$D$40),Projects!$B$40*INDEX(Curves!$B$4:$AR$4,1,T$3-Projects!$C$40+1),0)-IF(AND(Projects!$G$40="Yes",T$3&gt;=Projects!$C$40,T$3&lt;Projects!$C$40+Projects!$D$40),Projects!$B$40*(Assumptions!$B$10+Assumptions!$B$11+Assumptions!$B$12)/Projects!$D$40*0.95,0)-IF(AND(Projects!$G$40="Yes",T$3=Projects!$C$40+Projects!$D$40-1),Projects!$B$40*(Assumptions!$B$10+Assumptions!$B$11+Assumptions!$B$12)*0.05,0)</f>
        <v>0</v>
      </c>
      <c r="U49" s="19" t="n">
        <f aca="false">IF(AND(Projects!$G$40="Yes",U$3&gt;=Projects!$C$40,U$3&lt;Projects!$C$40+Projects!$D$40),Projects!$B$40*INDEX(Curves!$B$4:$AR$4,1,U$3-Projects!$C$40+1),0)-IF(AND(Projects!$G$40="Yes",U$3&gt;=Projects!$C$40,U$3&lt;Projects!$C$40+Projects!$D$40),Projects!$B$40*(Assumptions!$B$10+Assumptions!$B$11+Assumptions!$B$12)/Projects!$D$40*0.95,0)-IF(AND(Projects!$G$40="Yes",U$3=Projects!$C$40+Projects!$D$40-1),Projects!$B$40*(Assumptions!$B$10+Assumptions!$B$11+Assumptions!$B$12)*0.05,0)</f>
        <v>0</v>
      </c>
      <c r="V49" s="19" t="n">
        <f aca="false">IF(AND(Projects!$G$40="Yes",V$3&gt;=Projects!$C$40,V$3&lt;Projects!$C$40+Projects!$D$40),Projects!$B$40*INDEX(Curves!$B$4:$AR$4,1,V$3-Projects!$C$40+1),0)-IF(AND(Projects!$G$40="Yes",V$3&gt;=Projects!$C$40,V$3&lt;Projects!$C$40+Projects!$D$40),Projects!$B$40*(Assumptions!$B$10+Assumptions!$B$11+Assumptions!$B$12)/Projects!$D$40*0.95,0)-IF(AND(Projects!$G$40="Yes",V$3=Projects!$C$40+Projects!$D$40-1),Projects!$B$40*(Assumptions!$B$10+Assumptions!$B$11+Assumptions!$B$12)*0.05,0)</f>
        <v>0</v>
      </c>
      <c r="W49" s="19" t="n">
        <f aca="false">IF(AND(Projects!$G$40="Yes",W$3&gt;=Projects!$C$40,W$3&lt;Projects!$C$40+Projects!$D$40),Projects!$B$40*INDEX(Curves!$B$4:$AR$4,1,W$3-Projects!$C$40+1),0)-IF(AND(Projects!$G$40="Yes",W$3&gt;=Projects!$C$40,W$3&lt;Projects!$C$40+Projects!$D$40),Projects!$B$40*(Assumptions!$B$10+Assumptions!$B$11+Assumptions!$B$12)/Projects!$D$40*0.95,0)-IF(AND(Projects!$G$40="Yes",W$3=Projects!$C$40+Projects!$D$40-1),Projects!$B$40*(Assumptions!$B$10+Assumptions!$B$11+Assumptions!$B$12)*0.05,0)</f>
        <v>0</v>
      </c>
      <c r="X49" s="19" t="n">
        <f aca="false">IF(AND(Projects!$G$40="Yes",X$3&gt;=Projects!$C$40,X$3&lt;Projects!$C$40+Projects!$D$40),Projects!$B$40*INDEX(Curves!$B$4:$AR$4,1,X$3-Projects!$C$40+1),0)-IF(AND(Projects!$G$40="Yes",X$3&gt;=Projects!$C$40,X$3&lt;Projects!$C$40+Projects!$D$40),Projects!$B$40*(Assumptions!$B$10+Assumptions!$B$11+Assumptions!$B$12)/Projects!$D$40*0.95,0)-IF(AND(Projects!$G$40="Yes",X$3=Projects!$C$40+Projects!$D$40-1),Projects!$B$40*(Assumptions!$B$10+Assumptions!$B$11+Assumptions!$B$12)*0.05,0)</f>
        <v>0</v>
      </c>
      <c r="Y49" s="19" t="n">
        <f aca="false">IF(AND(Projects!$G$40="Yes",Y$3&gt;=Projects!$C$40,Y$3&lt;Projects!$C$40+Projects!$D$40),Projects!$B$40*INDEX(Curves!$B$4:$AR$4,1,Y$3-Projects!$C$40+1),0)-IF(AND(Projects!$G$40="Yes",Y$3&gt;=Projects!$C$40,Y$3&lt;Projects!$C$40+Projects!$D$40),Projects!$B$40*(Assumptions!$B$10+Assumptions!$B$11+Assumptions!$B$12)/Projects!$D$40*0.95,0)-IF(AND(Projects!$G$40="Yes",Y$3=Projects!$C$40+Projects!$D$40-1),Projects!$B$40*(Assumptions!$B$10+Assumptions!$B$11+Assumptions!$B$12)*0.05,0)</f>
        <v>0</v>
      </c>
      <c r="Z49" s="19" t="n">
        <f aca="false">IF(AND(Projects!$G$40="Yes",Z$3&gt;=Projects!$C$40,Z$3&lt;Projects!$C$40+Projects!$D$40),Projects!$B$40*INDEX(Curves!$B$4:$AR$4,1,Z$3-Projects!$C$40+1),0)-IF(AND(Projects!$G$40="Yes",Z$3&gt;=Projects!$C$40,Z$3&lt;Projects!$C$40+Projects!$D$40),Projects!$B$40*(Assumptions!$B$10+Assumptions!$B$11+Assumptions!$B$12)/Projects!$D$40*0.95,0)-IF(AND(Projects!$G$40="Yes",Z$3=Projects!$C$40+Projects!$D$40-1),Projects!$B$40*(Assumptions!$B$10+Assumptions!$B$11+Assumptions!$B$12)*0.05,0)</f>
        <v>0</v>
      </c>
      <c r="AA49" s="19" t="n">
        <f aca="false">IF(AND(Projects!$G$40="Yes",AA$3&gt;=Projects!$C$40,AA$3&lt;Projects!$C$40+Projects!$D$40),Projects!$B$40*INDEX(Curves!$B$4:$AR$4,1,AA$3-Projects!$C$40+1),0)-IF(AND(Projects!$G$40="Yes",AA$3&gt;=Projects!$C$40,AA$3&lt;Projects!$C$40+Projects!$D$40),Projects!$B$40*(Assumptions!$B$10+Assumptions!$B$11+Assumptions!$B$12)/Projects!$D$40*0.95,0)-IF(AND(Projects!$G$40="Yes",AA$3=Projects!$C$40+Projects!$D$40-1),Projects!$B$40*(Assumptions!$B$10+Assumptions!$B$11+Assumptions!$B$12)*0.05,0)</f>
        <v>0</v>
      </c>
      <c r="AB49" s="19" t="n">
        <f aca="false">IF(AND(Projects!$G$40="Yes",AB$3&gt;=Projects!$C$40,AB$3&lt;Projects!$C$40+Projects!$D$40),Projects!$B$40*INDEX(Curves!$B$4:$AR$4,1,AB$3-Projects!$C$40+1),0)-IF(AND(Projects!$G$40="Yes",AB$3&gt;=Projects!$C$40,AB$3&lt;Projects!$C$40+Projects!$D$40),Projects!$B$40*(Assumptions!$B$10+Assumptions!$B$11+Assumptions!$B$12)/Projects!$D$40*0.95,0)-IF(AND(Projects!$G$40="Yes",AB$3=Projects!$C$40+Projects!$D$40-1),Projects!$B$40*(Assumptions!$B$10+Assumptions!$B$11+Assumptions!$B$12)*0.05,0)</f>
        <v>0</v>
      </c>
      <c r="AC49" s="19" t="n">
        <f aca="false">IF(AND(Projects!$G$40="Yes",AC$3&gt;=Projects!$C$40,AC$3&lt;Projects!$C$40+Projects!$D$40),Projects!$B$40*INDEX(Curves!$B$4:$AR$4,1,AC$3-Projects!$C$40+1),0)-IF(AND(Projects!$G$40="Yes",AC$3&gt;=Projects!$C$40,AC$3&lt;Projects!$C$40+Projects!$D$40),Projects!$B$40*(Assumptions!$B$10+Assumptions!$B$11+Assumptions!$B$12)/Projects!$D$40*0.95,0)-IF(AND(Projects!$G$40="Yes",AC$3=Projects!$C$40+Projects!$D$40-1),Projects!$B$40*(Assumptions!$B$10+Assumptions!$B$11+Assumptions!$B$12)*0.05,0)</f>
        <v>0</v>
      </c>
      <c r="AD49" s="19" t="n">
        <f aca="false">IF(AND(Projects!$G$40="Yes",AD$3&gt;=Projects!$C$40,AD$3&lt;Projects!$C$40+Projects!$D$40),Projects!$B$40*INDEX(Curves!$B$4:$AR$4,1,AD$3-Projects!$C$40+1),0)-IF(AND(Projects!$G$40="Yes",AD$3&gt;=Projects!$C$40,AD$3&lt;Projects!$C$40+Projects!$D$40),Projects!$B$40*(Assumptions!$B$10+Assumptions!$B$11+Assumptions!$B$12)/Projects!$D$40*0.95,0)-IF(AND(Projects!$G$40="Yes",AD$3=Projects!$C$40+Projects!$D$40-1),Projects!$B$40*(Assumptions!$B$10+Assumptions!$B$11+Assumptions!$B$12)*0.05,0)</f>
        <v>0</v>
      </c>
      <c r="AE49" s="19" t="n">
        <f aca="false">IF(AND(Projects!$G$40="Yes",AE$3&gt;=Projects!$C$40,AE$3&lt;Projects!$C$40+Projects!$D$40),Projects!$B$40*INDEX(Curves!$B$4:$AR$4,1,AE$3-Projects!$C$40+1),0)-IF(AND(Projects!$G$40="Yes",AE$3&gt;=Projects!$C$40,AE$3&lt;Projects!$C$40+Projects!$D$40),Projects!$B$40*(Assumptions!$B$10+Assumptions!$B$11+Assumptions!$B$12)/Projects!$D$40*0.95,0)-IF(AND(Projects!$G$40="Yes",AE$3=Projects!$C$40+Projects!$D$40-1),Projects!$B$40*(Assumptions!$B$10+Assumptions!$B$11+Assumptions!$B$12)*0.05,0)</f>
        <v>0</v>
      </c>
      <c r="AF49" s="19" t="n">
        <f aca="false">IF(AND(Projects!$G$40="Yes",AF$3&gt;=Projects!$C$40,AF$3&lt;Projects!$C$40+Projects!$D$40),Projects!$B$40*INDEX(Curves!$B$4:$AR$4,1,AF$3-Projects!$C$40+1),0)-IF(AND(Projects!$G$40="Yes",AF$3&gt;=Projects!$C$40,AF$3&lt;Projects!$C$40+Projects!$D$40),Projects!$B$40*(Assumptions!$B$10+Assumptions!$B$11+Assumptions!$B$12)/Projects!$D$40*0.95,0)-IF(AND(Projects!$G$40="Yes",AF$3=Projects!$C$40+Projects!$D$40-1),Projects!$B$40*(Assumptions!$B$10+Assumptions!$B$11+Assumptions!$B$12)*0.05,0)</f>
        <v>0</v>
      </c>
      <c r="AG49" s="19" t="n">
        <f aca="false">IF(AND(Projects!$G$40="Yes",AG$3&gt;=Projects!$C$40,AG$3&lt;Projects!$C$40+Projects!$D$40),Projects!$B$40*INDEX(Curves!$B$4:$AR$4,1,AG$3-Projects!$C$40+1),0)-IF(AND(Projects!$G$40="Yes",AG$3&gt;=Projects!$C$40,AG$3&lt;Projects!$C$40+Projects!$D$40),Projects!$B$40*(Assumptions!$B$10+Assumptions!$B$11+Assumptions!$B$12)/Projects!$D$40*0.95,0)-IF(AND(Projects!$G$40="Yes",AG$3=Projects!$C$40+Projects!$D$40-1),Projects!$B$40*(Assumptions!$B$10+Assumptions!$B$11+Assumptions!$B$12)*0.05,0)</f>
        <v>0</v>
      </c>
      <c r="AH49" s="19" t="n">
        <f aca="false">IF(AND(Projects!$G$40="Yes",AH$3&gt;=Projects!$C$40,AH$3&lt;Projects!$C$40+Projects!$D$40),Projects!$B$40*INDEX(Curves!$B$4:$AR$4,1,AH$3-Projects!$C$40+1),0)-IF(AND(Projects!$G$40="Yes",AH$3&gt;=Projects!$C$40,AH$3&lt;Projects!$C$40+Projects!$D$40),Projects!$B$40*(Assumptions!$B$10+Assumptions!$B$11+Assumptions!$B$12)/Projects!$D$40*0.95,0)-IF(AND(Projects!$G$40="Yes",AH$3=Projects!$C$40+Projects!$D$40-1),Projects!$B$40*(Assumptions!$B$10+Assumptions!$B$11+Assumptions!$B$12)*0.05,0)</f>
        <v>0</v>
      </c>
      <c r="AI49" s="19" t="n">
        <f aca="false">IF(AND(Projects!$G$40="Yes",AI$3&gt;=Projects!$C$40,AI$3&lt;Projects!$C$40+Projects!$D$40),Projects!$B$40*INDEX(Curves!$B$4:$AR$4,1,AI$3-Projects!$C$40+1),0)-IF(AND(Projects!$G$40="Yes",AI$3&gt;=Projects!$C$40,AI$3&lt;Projects!$C$40+Projects!$D$40),Projects!$B$40*(Assumptions!$B$10+Assumptions!$B$11+Assumptions!$B$12)/Projects!$D$40*0.95,0)-IF(AND(Projects!$G$40="Yes",AI$3=Projects!$C$40+Projects!$D$40-1),Projects!$B$40*(Assumptions!$B$10+Assumptions!$B$11+Assumptions!$B$12)*0.05,0)</f>
        <v>0</v>
      </c>
      <c r="AJ49" s="19" t="n">
        <f aca="false">IF(AND(Projects!$G$40="Yes",AJ$3&gt;=Projects!$C$40,AJ$3&lt;Projects!$C$40+Projects!$D$40),Projects!$B$40*INDEX(Curves!$B$4:$AR$4,1,AJ$3-Projects!$C$40+1),0)-IF(AND(Projects!$G$40="Yes",AJ$3&gt;=Projects!$C$40,AJ$3&lt;Projects!$C$40+Projects!$D$40),Projects!$B$40*(Assumptions!$B$10+Assumptions!$B$11+Assumptions!$B$12)/Projects!$D$40*0.95,0)-IF(AND(Projects!$G$40="Yes",AJ$3=Projects!$C$40+Projects!$D$40-1),Projects!$B$40*(Assumptions!$B$10+Assumptions!$B$11+Assumptions!$B$12)*0.05,0)</f>
        <v>0</v>
      </c>
      <c r="AK49" s="19" t="n">
        <f aca="false">IF(AND(Projects!$G$40="Yes",AK$3&gt;=Projects!$C$40,AK$3&lt;Projects!$C$40+Projects!$D$40),Projects!$B$40*INDEX(Curves!$B$4:$AR$4,1,AK$3-Projects!$C$40+1),0)-IF(AND(Projects!$G$40="Yes",AK$3&gt;=Projects!$C$40,AK$3&lt;Projects!$C$40+Projects!$D$40),Projects!$B$40*(Assumptions!$B$10+Assumptions!$B$11+Assumptions!$B$12)/Projects!$D$40*0.95,0)-IF(AND(Projects!$G$40="Yes",AK$3=Projects!$C$40+Projects!$D$40-1),Projects!$B$40*(Assumptions!$B$10+Assumptions!$B$11+Assumptions!$B$12)*0.05,0)</f>
        <v>0</v>
      </c>
      <c r="AL49" s="19" t="n">
        <f aca="false">IF(AND(Projects!$G$40="Yes",AL$3&gt;=Projects!$C$40,AL$3&lt;Projects!$C$40+Projects!$D$40),Projects!$B$40*INDEX(Curves!$B$4:$AR$4,1,AL$3-Projects!$C$40+1),0)-IF(AND(Projects!$G$40="Yes",AL$3&gt;=Projects!$C$40,AL$3&lt;Projects!$C$40+Projects!$D$40),Projects!$B$40*(Assumptions!$B$10+Assumptions!$B$11+Assumptions!$B$12)/Projects!$D$40*0.95,0)-IF(AND(Projects!$G$40="Yes",AL$3=Projects!$C$40+Projects!$D$40-1),Projects!$B$40*(Assumptions!$B$10+Assumptions!$B$11+Assumptions!$B$12)*0.05,0)</f>
        <v>0</v>
      </c>
      <c r="AM49" s="19" t="n">
        <f aca="false">IF(AND(Projects!$G$40="Yes",AM$3&gt;=Projects!$C$40,AM$3&lt;Projects!$C$40+Projects!$D$40),Projects!$B$40*INDEX(Curves!$B$4:$AR$4,1,AM$3-Projects!$C$40+1),0)-IF(AND(Projects!$G$40="Yes",AM$3&gt;=Projects!$C$40,AM$3&lt;Projects!$C$40+Projects!$D$40),Projects!$B$40*(Assumptions!$B$10+Assumptions!$B$11+Assumptions!$B$12)/Projects!$D$40*0.95,0)-IF(AND(Projects!$G$40="Yes",AM$3=Projects!$C$40+Projects!$D$40-1),Projects!$B$40*(Assumptions!$B$10+Assumptions!$B$11+Assumptions!$B$12)*0.05,0)</f>
        <v>0</v>
      </c>
      <c r="AN49" s="19" t="n">
        <f aca="false">IF(AND(Projects!$G$40="Yes",AN$3&gt;=Projects!$C$40,AN$3&lt;Projects!$C$40+Projects!$D$40),Projects!$B$40*INDEX(Curves!$B$4:$AR$4,1,AN$3-Projects!$C$40+1),0)-IF(AND(Projects!$G$40="Yes",AN$3&gt;=Projects!$C$40,AN$3&lt;Projects!$C$40+Projects!$D$40),Projects!$B$40*(Assumptions!$B$10+Assumptions!$B$11+Assumptions!$B$12)/Projects!$D$40*0.95,0)-IF(AND(Projects!$G$40="Yes",AN$3=Projects!$C$40+Projects!$D$40-1),Projects!$B$40*(Assumptions!$B$10+Assumptions!$B$11+Assumptions!$B$12)*0.05,0)</f>
        <v>0</v>
      </c>
      <c r="AO49" s="19" t="n">
        <f aca="false">IF(AND(Projects!$G$40="Yes",AO$3&gt;=Projects!$C$40,AO$3&lt;Projects!$C$40+Projects!$D$40),Projects!$B$40*INDEX(Curves!$B$4:$AR$4,1,AO$3-Projects!$C$40+1),0)-IF(AND(Projects!$G$40="Yes",AO$3&gt;=Projects!$C$40,AO$3&lt;Projects!$C$40+Projects!$D$40),Projects!$B$40*(Assumptions!$B$10+Assumptions!$B$11+Assumptions!$B$12)/Projects!$D$40*0.95,0)-IF(AND(Projects!$G$40="Yes",AO$3=Projects!$C$40+Projects!$D$40-1),Projects!$B$40*(Assumptions!$B$10+Assumptions!$B$11+Assumptions!$B$12)*0.05,0)</f>
        <v>0</v>
      </c>
      <c r="AP49" s="19" t="n">
        <f aca="false">IF(AND(Projects!$G$40="Yes",AP$3&gt;=Projects!$C$40,AP$3&lt;Projects!$C$40+Projects!$D$40),Projects!$B$40*INDEX(Curves!$B$4:$AR$4,1,AP$3-Projects!$C$40+1),0)-IF(AND(Projects!$G$40="Yes",AP$3&gt;=Projects!$C$40,AP$3&lt;Projects!$C$40+Projects!$D$40),Projects!$B$40*(Assumptions!$B$10+Assumptions!$B$11+Assumptions!$B$12)/Projects!$D$40*0.95,0)-IF(AND(Projects!$G$40="Yes",AP$3=Projects!$C$40+Projects!$D$40-1),Projects!$B$40*(Assumptions!$B$10+Assumptions!$B$11+Assumptions!$B$12)*0.05,0)</f>
        <v>0</v>
      </c>
      <c r="AQ49" s="19" t="n">
        <f aca="false">IF(AND(Projects!$G$40="Yes",AQ$3&gt;=Projects!$C$40,AQ$3&lt;Projects!$C$40+Projects!$D$40),Projects!$B$40*INDEX(Curves!$B$4:$AR$4,1,AQ$3-Projects!$C$40+1),0)-IF(AND(Projects!$G$40="Yes",AQ$3&gt;=Projects!$C$40,AQ$3&lt;Projects!$C$40+Projects!$D$40),Projects!$B$40*(Assumptions!$B$10+Assumptions!$B$11+Assumptions!$B$12)/Projects!$D$40*0.95,0)-IF(AND(Projects!$G$40="Yes",AQ$3=Projects!$C$40+Projects!$D$40-1),Projects!$B$40*(Assumptions!$B$10+Assumptions!$B$11+Assumptions!$B$12)*0.05,0)</f>
        <v>0</v>
      </c>
      <c r="AR49" s="19" t="n">
        <f aca="false">IF(AND(Projects!$G$40="Yes",AR$3&gt;=Projects!$C$40,AR$3&lt;Projects!$C$40+Projects!$D$40),Projects!$B$40*INDEX(Curves!$B$4:$AR$4,1,AR$3-Projects!$C$40+1),0)-IF(AND(Projects!$G$40="Yes",AR$3&gt;=Projects!$C$40,AR$3&lt;Projects!$C$40+Projects!$D$40),Projects!$B$40*(Assumptions!$B$10+Assumptions!$B$11+Assumptions!$B$12)/Projects!$D$40*0.95,0)-IF(AND(Projects!$G$40="Yes",AR$3=Projects!$C$40+Projects!$D$40-1),Projects!$B$40*(Assumptions!$B$10+Assumptions!$B$11+Assumptions!$B$12)*0.05,0)</f>
        <v>0</v>
      </c>
      <c r="AS49" s="19" t="n">
        <f aca="false">IF(AND(Projects!$G$40="Yes",AS$3&gt;=Projects!$C$40,AS$3&lt;Projects!$C$40+Projects!$D$40),Projects!$B$40*INDEX(Curves!$B$4:$AR$4,1,AS$3-Projects!$C$40+1),0)-IF(AND(Projects!$G$40="Yes",AS$3&gt;=Projects!$C$40,AS$3&lt;Projects!$C$40+Projects!$D$40),Projects!$B$40*(Assumptions!$B$10+Assumptions!$B$11+Assumptions!$B$12)/Projects!$D$40*0.95,0)-IF(AND(Projects!$G$40="Yes",AS$3=Projects!$C$40+Projects!$D$40-1),Projects!$B$40*(Assumptions!$B$10+Assumptions!$B$11+Assumptions!$B$12)*0.05,0)</f>
        <v>0</v>
      </c>
      <c r="AT49" s="19" t="n">
        <f aca="false">IF(AND(Projects!$G$40="Yes",AT$3&gt;=Projects!$C$40,AT$3&lt;Projects!$C$40+Projects!$D$40),Projects!$B$40*INDEX(Curves!$B$4:$AR$4,1,AT$3-Projects!$C$40+1),0)-IF(AND(Projects!$G$40="Yes",AT$3&gt;=Projects!$C$40,AT$3&lt;Projects!$C$40+Projects!$D$40),Projects!$B$40*(Assumptions!$B$10+Assumptions!$B$11+Assumptions!$B$12)/Projects!$D$40*0.95,0)-IF(AND(Projects!$G$40="Yes",AT$3=Projects!$C$40+Projects!$D$40-1),Projects!$B$40*(Assumptions!$B$10+Assumptions!$B$11+Assumptions!$B$12)*0.05,0)</f>
        <v>0</v>
      </c>
      <c r="AU49" s="19" t="n">
        <f aca="false">IF(AND(Projects!$G$40="Yes",AU$3&gt;=Projects!$C$40,AU$3&lt;Projects!$C$40+Projects!$D$40),Projects!$B$40*INDEX(Curves!$B$4:$AR$4,1,AU$3-Projects!$C$40+1),0)-IF(AND(Projects!$G$40="Yes",AU$3&gt;=Projects!$C$40,AU$3&lt;Projects!$C$40+Projects!$D$40),Projects!$B$40*(Assumptions!$B$10+Assumptions!$B$11+Assumptions!$B$12)/Projects!$D$40*0.95,0)-IF(AND(Projects!$G$40="Yes",AU$3=Projects!$C$40+Projects!$D$40-1),Projects!$B$40*(Assumptions!$B$10+Assumptions!$B$11+Assumptions!$B$12)*0.05,0)</f>
        <v>0</v>
      </c>
      <c r="AV49" s="19" t="n">
        <f aca="false">IF(AND(Projects!$G$40="Yes",AV$3&gt;=Projects!$C$40,AV$3&lt;Projects!$C$40+Projects!$D$40),Projects!$B$40*INDEX(Curves!$B$4:$AR$4,1,AV$3-Projects!$C$40+1),0)-IF(AND(Projects!$G$40="Yes",AV$3&gt;=Projects!$C$40,AV$3&lt;Projects!$C$40+Projects!$D$40),Projects!$B$40*(Assumptions!$B$10+Assumptions!$B$11+Assumptions!$B$12)/Projects!$D$40*0.95,0)-IF(AND(Projects!$G$40="Yes",AV$3=Projects!$C$40+Projects!$D$40-1),Projects!$B$40*(Assumptions!$B$10+Assumptions!$B$11+Assumptions!$B$12)*0.05,0)</f>
        <v>0</v>
      </c>
      <c r="AW49" s="19" t="n">
        <f aca="false">IF(AND(Projects!$G$40="Yes",AW$3&gt;=Projects!$C$40,AW$3&lt;Projects!$C$40+Projects!$D$40),Projects!$B$40*INDEX(Curves!$B$4:$AR$4,1,AW$3-Projects!$C$40+1),0)-IF(AND(Projects!$G$40="Yes",AW$3&gt;=Projects!$C$40,AW$3&lt;Projects!$C$40+Projects!$D$40),Projects!$B$40*(Assumptions!$B$10+Assumptions!$B$11+Assumptions!$B$12)/Projects!$D$40*0.95,0)-IF(AND(Projects!$G$40="Yes",AW$3=Projects!$C$40+Projects!$D$40-1),Projects!$B$40*(Assumptions!$B$10+Assumptions!$B$11+Assumptions!$B$12)*0.05,0)</f>
        <v>0</v>
      </c>
      <c r="AX49" s="19" t="n">
        <f aca="false">IF(AND(Projects!$G$40="Yes",AX$3&gt;=Projects!$C$40,AX$3&lt;Projects!$C$40+Projects!$D$40),Projects!$B$40*INDEX(Curves!$B$4:$AR$4,1,AX$3-Projects!$C$40+1),0)-IF(AND(Projects!$G$40="Yes",AX$3&gt;=Projects!$C$40,AX$3&lt;Projects!$C$40+Projects!$D$40),Projects!$B$40*(Assumptions!$B$10+Assumptions!$B$11+Assumptions!$B$12)/Projects!$D$40*0.95,0)-IF(AND(Projects!$G$40="Yes",AX$3=Projects!$C$40+Projects!$D$40-1),Projects!$B$40*(Assumptions!$B$10+Assumptions!$B$11+Assumptions!$B$12)*0.05,0)</f>
        <v>0</v>
      </c>
      <c r="AY49" s="19" t="n">
        <f aca="false">IF(AND(Projects!$G$40="Yes",AY$3&gt;=Projects!$C$40,AY$3&lt;Projects!$C$40+Projects!$D$40),Projects!$B$40*INDEX(Curves!$B$4:$AR$4,1,AY$3-Projects!$C$40+1),0)-IF(AND(Projects!$G$40="Yes",AY$3&gt;=Projects!$C$40,AY$3&lt;Projects!$C$40+Projects!$D$40),Projects!$B$40*(Assumptions!$B$10+Assumptions!$B$11+Assumptions!$B$12)/Projects!$D$40*0.95,0)-IF(AND(Projects!$G$40="Yes",AY$3=Projects!$C$40+Projects!$D$40-1),Projects!$B$40*(Assumptions!$B$10+Assumptions!$B$11+Assumptions!$B$12)*0.05,0)</f>
        <v>0</v>
      </c>
      <c r="AZ49" s="19" t="n">
        <f aca="false">IF(AND(Projects!$G$40="Yes",AZ$3&gt;=Projects!$C$40,AZ$3&lt;Projects!$C$40+Projects!$D$40),Projects!$B$40*INDEX(Curves!$B$4:$AR$4,1,AZ$3-Projects!$C$40+1),0)-IF(AND(Projects!$G$40="Yes",AZ$3&gt;=Projects!$C$40,AZ$3&lt;Projects!$C$40+Projects!$D$40),Projects!$B$40*(Assumptions!$B$10+Assumptions!$B$11+Assumptions!$B$12)/Projects!$D$40*0.95,0)-IF(AND(Projects!$G$40="Yes",AZ$3=Projects!$C$40+Projects!$D$40-1),Projects!$B$40*(Assumptions!$B$10+Assumptions!$B$11+Assumptions!$B$12)*0.05,0)</f>
        <v>0</v>
      </c>
      <c r="BA49" s="19" t="n">
        <f aca="false">IF(AND(Projects!$G$40="Yes",BA$3&gt;=Projects!$C$40,BA$3&lt;Projects!$C$40+Projects!$D$40),Projects!$B$40*INDEX(Curves!$B$4:$AR$4,1,BA$3-Projects!$C$40+1),0)-IF(AND(Projects!$G$40="Yes",BA$3&gt;=Projects!$C$40,BA$3&lt;Projects!$C$40+Projects!$D$40),Projects!$B$40*(Assumptions!$B$10+Assumptions!$B$11+Assumptions!$B$12)/Projects!$D$40*0.95,0)-IF(AND(Projects!$G$40="Yes",BA$3=Projects!$C$40+Projects!$D$40-1),Projects!$B$40*(Assumptions!$B$10+Assumptions!$B$11+Assumptions!$B$12)*0.05,0)</f>
        <v>0</v>
      </c>
      <c r="BB49" s="19" t="n">
        <f aca="false">IF(AND(Projects!$G$40="Yes",BB$3&gt;=Projects!$C$40,BB$3&lt;Projects!$C$40+Projects!$D$40),Projects!$B$40*INDEX(Curves!$B$4:$AR$4,1,BB$3-Projects!$C$40+1),0)-IF(AND(Projects!$G$40="Yes",BB$3&gt;=Projects!$C$40,BB$3&lt;Projects!$C$40+Projects!$D$40),Projects!$B$40*(Assumptions!$B$10+Assumptions!$B$11+Assumptions!$B$12)/Projects!$D$40*0.95,0)-IF(AND(Projects!$G$40="Yes",BB$3=Projects!$C$40+Projects!$D$40-1),Projects!$B$40*(Assumptions!$B$10+Assumptions!$B$11+Assumptions!$B$12)*0.05,0)</f>
        <v>307461.75</v>
      </c>
      <c r="BC49" s="19" t="n">
        <f aca="false">IF(AND(Projects!$G$40="Yes",BC$3&gt;=Projects!$C$40,BC$3&lt;Projects!$C$40+Projects!$D$40),Projects!$B$40*INDEX(Curves!$B$4:$AR$4,1,BC$3-Projects!$C$40+1),0)-IF(AND(Projects!$G$40="Yes",BC$3&gt;=Projects!$C$40,BC$3&lt;Projects!$C$40+Projects!$D$40),Projects!$B$40*(Assumptions!$B$10+Assumptions!$B$11+Assumptions!$B$12)/Projects!$D$40*0.95,0)-IF(AND(Projects!$G$40="Yes",BC$3=Projects!$C$40+Projects!$D$40-1),Projects!$B$40*(Assumptions!$B$10+Assumptions!$B$11+Assumptions!$B$12)*0.05,0)</f>
        <v>401121.75</v>
      </c>
      <c r="BD49" s="19" t="n">
        <f aca="false">IF(AND(Projects!$G$40="Yes",BD$3&gt;=Projects!$C$40,BD$3&lt;Projects!$C$40+Projects!$D$40),Projects!$B$40*INDEX(Curves!$B$4:$AR$4,1,BD$3-Projects!$C$40+1),0)-IF(AND(Projects!$G$40="Yes",BD$3&gt;=Projects!$C$40,BD$3&lt;Projects!$C$40+Projects!$D$40),Projects!$B$40*(Assumptions!$B$10+Assumptions!$B$11+Assumptions!$B$12)/Projects!$D$40*0.95,0)-IF(AND(Projects!$G$40="Yes",BD$3=Projects!$C$40+Projects!$D$40-1),Projects!$B$40*(Assumptions!$B$10+Assumptions!$B$11+Assumptions!$B$12)*0.05,0)</f>
        <v>501936.75</v>
      </c>
      <c r="BE49" s="19" t="n">
        <f aca="false">IF(AND(Projects!$G$40="Yes",BE$3&gt;=Projects!$C$40,BE$3&lt;Projects!$C$40+Projects!$D$40),Projects!$B$40*INDEX(Curves!$B$4:$AR$4,1,BE$3-Projects!$C$40+1),0)-IF(AND(Projects!$G$40="Yes",BE$3&gt;=Projects!$C$40,BE$3&lt;Projects!$C$40+Projects!$D$40),Projects!$B$40*(Assumptions!$B$10+Assumptions!$B$11+Assumptions!$B$12)/Projects!$D$40*0.95,0)-IF(AND(Projects!$G$40="Yes",BE$3=Projects!$C$40+Projects!$D$40-1),Projects!$B$40*(Assumptions!$B$10+Assumptions!$B$11+Assumptions!$B$12)*0.05,0)</f>
        <v>605886.75</v>
      </c>
      <c r="BF49" s="19" t="n">
        <f aca="false">IF(AND(Projects!$G$40="Yes",BF$3&gt;=Projects!$C$40,BF$3&lt;Projects!$C$40+Projects!$D$40),Projects!$B$40*INDEX(Curves!$B$4:$AR$4,1,BF$3-Projects!$C$40+1),0)-IF(AND(Projects!$G$40="Yes",BF$3&gt;=Projects!$C$40,BF$3&lt;Projects!$C$40+Projects!$D$40),Projects!$B$40*(Assumptions!$B$10+Assumptions!$B$11+Assumptions!$B$12)/Projects!$D$40*0.95,0)-IF(AND(Projects!$G$40="Yes",BF$3=Projects!$C$40+Projects!$D$40-1),Projects!$B$40*(Assumptions!$B$10+Assumptions!$B$11+Assumptions!$B$12)*0.05,0)</f>
        <v>707976.75</v>
      </c>
      <c r="BG49" s="19" t="n">
        <f aca="false">IF(AND(Projects!$G$40="Yes",BG$3&gt;=Projects!$C$40,BG$3&lt;Projects!$C$40+Projects!$D$40),Projects!$B$40*INDEX(Curves!$B$4:$AR$4,1,BG$3-Projects!$C$40+1),0)-IF(AND(Projects!$G$40="Yes",BG$3&gt;=Projects!$C$40,BG$3&lt;Projects!$C$40+Projects!$D$40),Projects!$B$40*(Assumptions!$B$10+Assumptions!$B$11+Assumptions!$B$12)/Projects!$D$40*0.95,0)-IF(AND(Projects!$G$40="Yes",BG$3=Projects!$C$40+Projects!$D$40-1),Projects!$B$40*(Assumptions!$B$10+Assumptions!$B$11+Assumptions!$B$12)*0.05,0)</f>
        <v>802536.75</v>
      </c>
      <c r="BH49" s="19" t="n">
        <f aca="false">IF(AND(Projects!$G$40="Yes",BH$3&gt;=Projects!$C$40,BH$3&lt;Projects!$C$40+Projects!$D$40),Projects!$B$40*INDEX(Curves!$B$4:$AR$4,1,BH$3-Projects!$C$40+1),0)-IF(AND(Projects!$G$40="Yes",BH$3&gt;=Projects!$C$40,BH$3&lt;Projects!$C$40+Projects!$D$40),Projects!$B$40*(Assumptions!$B$10+Assumptions!$B$11+Assumptions!$B$12)/Projects!$D$40*0.95,0)-IF(AND(Projects!$G$40="Yes",BH$3=Projects!$C$40+Projects!$D$40-1),Projects!$B$40*(Assumptions!$B$10+Assumptions!$B$11+Assumptions!$B$12)*0.05,0)</f>
        <v>883761.75</v>
      </c>
      <c r="BI49" s="19" t="n">
        <f aca="false">IF(AND(Projects!$G$40="Yes",BI$3&gt;=Projects!$C$40,BI$3&lt;Projects!$C$40+Projects!$D$40),Projects!$B$40*INDEX(Curves!$B$4:$AR$4,1,BI$3-Projects!$C$40+1),0)-IF(AND(Projects!$G$40="Yes",BI$3&gt;=Projects!$C$40,BI$3&lt;Projects!$C$40+Projects!$D$40),Projects!$B$40*(Assumptions!$B$10+Assumptions!$B$11+Assumptions!$B$12)/Projects!$D$40*0.95,0)-IF(AND(Projects!$G$40="Yes",BI$3=Projects!$C$40+Projects!$D$40-1),Projects!$B$40*(Assumptions!$B$10+Assumptions!$B$11+Assumptions!$B$12)*0.05,0)</f>
        <v>946266.75</v>
      </c>
      <c r="BJ49" s="19" t="n">
        <f aca="false">IF(AND(Projects!$G$40="Yes",BJ$3&gt;=Projects!$C$40,BJ$3&lt;Projects!$C$40+Projects!$D$40),Projects!$B$40*INDEX(Curves!$B$4:$AR$4,1,BJ$3-Projects!$C$40+1),0)-IF(AND(Projects!$G$40="Yes",BJ$3&gt;=Projects!$C$40,BJ$3&lt;Projects!$C$40+Projects!$D$40),Projects!$B$40*(Assumptions!$B$10+Assumptions!$B$11+Assumptions!$B$12)/Projects!$D$40*0.95,0)-IF(AND(Projects!$G$40="Yes",BJ$3=Projects!$C$40+Projects!$D$40-1),Projects!$B$40*(Assumptions!$B$10+Assumptions!$B$11+Assumptions!$B$12)*0.05,0)</f>
        <v>985686.75</v>
      </c>
      <c r="BK49" s="19" t="n">
        <f aca="false">IF(AND(Projects!$G$40="Yes",BK$3&gt;=Projects!$C$40,BK$3&lt;Projects!$C$40+Projects!$D$40),Projects!$B$40*INDEX(Curves!$B$4:$AR$4,1,BK$3-Projects!$C$40+1),0)-IF(AND(Projects!$G$40="Yes",BK$3&gt;=Projects!$C$40,BK$3&lt;Projects!$C$40+Projects!$D$40),Projects!$B$40*(Assumptions!$B$10+Assumptions!$B$11+Assumptions!$B$12)/Projects!$D$40*0.95,0)-IF(AND(Projects!$G$40="Yes",BK$3=Projects!$C$40+Projects!$D$40-1),Projects!$B$40*(Assumptions!$B$10+Assumptions!$B$11+Assumptions!$B$12)*0.05,0)</f>
        <v>999156.75</v>
      </c>
      <c r="BL49" s="19" t="n">
        <f aca="false">IF(AND(Projects!$G$40="Yes",BL$3&gt;=Projects!$C$40,BL$3&lt;Projects!$C$40+Projects!$D$40),Projects!$B$40*INDEX(Curves!$B$4:$AR$4,1,BL$3-Projects!$C$40+1),0)-IF(AND(Projects!$G$40="Yes",BL$3&gt;=Projects!$C$40,BL$3&lt;Projects!$C$40+Projects!$D$40),Projects!$B$40*(Assumptions!$B$10+Assumptions!$B$11+Assumptions!$B$12)/Projects!$D$40*0.95,0)-IF(AND(Projects!$G$40="Yes",BL$3=Projects!$C$40+Projects!$D$40-1),Projects!$B$40*(Assumptions!$B$10+Assumptions!$B$11+Assumptions!$B$12)*0.05,0)</f>
        <v>985686.75</v>
      </c>
      <c r="BM49" s="19" t="n">
        <f aca="false">IF(AND(Projects!$G$40="Yes",BM$3&gt;=Projects!$C$40,BM$3&lt;Projects!$C$40+Projects!$D$40),Projects!$B$40*INDEX(Curves!$B$4:$AR$4,1,BM$3-Projects!$C$40+1),0)-IF(AND(Projects!$G$40="Yes",BM$3&gt;=Projects!$C$40,BM$3&lt;Projects!$C$40+Projects!$D$40),Projects!$B$40*(Assumptions!$B$10+Assumptions!$B$11+Assumptions!$B$12)/Projects!$D$40*0.95,0)-IF(AND(Projects!$G$40="Yes",BM$3=Projects!$C$40+Projects!$D$40-1),Projects!$B$40*(Assumptions!$B$10+Assumptions!$B$11+Assumptions!$B$12)*0.05,0)</f>
        <v>946266.75</v>
      </c>
      <c r="BN49" s="19" t="n">
        <f aca="false">IF(AND(Projects!$G$40="Yes",BN$3&gt;=Projects!$C$40,BN$3&lt;Projects!$C$40+Projects!$D$40),Projects!$B$40*INDEX(Curves!$B$4:$AR$4,1,BN$3-Projects!$C$40+1),0)-IF(AND(Projects!$G$40="Yes",BN$3&gt;=Projects!$C$40,BN$3&lt;Projects!$C$40+Projects!$D$40),Projects!$B$40*(Assumptions!$B$10+Assumptions!$B$11+Assumptions!$B$12)/Projects!$D$40*0.95,0)-IF(AND(Projects!$G$40="Yes",BN$3=Projects!$C$40+Projects!$D$40-1),Projects!$B$40*(Assumptions!$B$10+Assumptions!$B$11+Assumptions!$B$12)*0.05,0)</f>
        <v>883761.75</v>
      </c>
      <c r="BO49" s="19" t="n">
        <f aca="false">IF(AND(Projects!$G$40="Yes",BO$3&gt;=Projects!$C$40,BO$3&lt;Projects!$C$40+Projects!$D$40),Projects!$B$40*INDEX(Curves!$B$4:$AR$4,1,BO$3-Projects!$C$40+1),0)-IF(AND(Projects!$G$40="Yes",BO$3&gt;=Projects!$C$40,BO$3&lt;Projects!$C$40+Projects!$D$40),Projects!$B$40*(Assumptions!$B$10+Assumptions!$B$11+Assumptions!$B$12)/Projects!$D$40*0.95,0)-IF(AND(Projects!$G$40="Yes",BO$3=Projects!$C$40+Projects!$D$40-1),Projects!$B$40*(Assumptions!$B$10+Assumptions!$B$11+Assumptions!$B$12)*0.05,0)</f>
        <v>802536.75</v>
      </c>
      <c r="BP49" s="19" t="n">
        <f aca="false">IF(AND(Projects!$G$40="Yes",BP$3&gt;=Projects!$C$40,BP$3&lt;Projects!$C$40+Projects!$D$40),Projects!$B$40*INDEX(Curves!$B$4:$AR$4,1,BP$3-Projects!$C$40+1),0)-IF(AND(Projects!$G$40="Yes",BP$3&gt;=Projects!$C$40,BP$3&lt;Projects!$C$40+Projects!$D$40),Projects!$B$40*(Assumptions!$B$10+Assumptions!$B$11+Assumptions!$B$12)/Projects!$D$40*0.95,0)-IF(AND(Projects!$G$40="Yes",BP$3=Projects!$C$40+Projects!$D$40-1),Projects!$B$40*(Assumptions!$B$10+Assumptions!$B$11+Assumptions!$B$12)*0.05,0)</f>
        <v>707976.75</v>
      </c>
      <c r="BQ49" s="19" t="n">
        <f aca="false">IF(AND(Projects!$G$40="Yes",BQ$3&gt;=Projects!$C$40,BQ$3&lt;Projects!$C$40+Projects!$D$40),Projects!$B$40*INDEX(Curves!$B$4:$AR$4,1,BQ$3-Projects!$C$40+1),0)-IF(AND(Projects!$G$40="Yes",BQ$3&gt;=Projects!$C$40,BQ$3&lt;Projects!$C$40+Projects!$D$40),Projects!$B$40*(Assumptions!$B$10+Assumptions!$B$11+Assumptions!$B$12)/Projects!$D$40*0.95,0)-IF(AND(Projects!$G$40="Yes",BQ$3=Projects!$C$40+Projects!$D$40-1),Projects!$B$40*(Assumptions!$B$10+Assumptions!$B$11+Assumptions!$B$12)*0.05,0)</f>
        <v>605886.75</v>
      </c>
      <c r="BR49" s="19" t="n">
        <f aca="false">IF(AND(Projects!$G$40="Yes",BR$3&gt;=Projects!$C$40,BR$3&lt;Projects!$C$40+Projects!$D$40),Projects!$B$40*INDEX(Curves!$B$4:$AR$4,1,BR$3-Projects!$C$40+1),0)-IF(AND(Projects!$G$40="Yes",BR$3&gt;=Projects!$C$40,BR$3&lt;Projects!$C$40+Projects!$D$40),Projects!$B$40*(Assumptions!$B$10+Assumptions!$B$11+Assumptions!$B$12)/Projects!$D$40*0.95,0)-IF(AND(Projects!$G$40="Yes",BR$3=Projects!$C$40+Projects!$D$40-1),Projects!$B$40*(Assumptions!$B$10+Assumptions!$B$11+Assumptions!$B$12)*0.05,0)</f>
        <v>501936.75</v>
      </c>
      <c r="BS49" s="19" t="n">
        <f aca="false">IF(AND(Projects!$G$40="Yes",BS$3&gt;=Projects!$C$40,BS$3&lt;Projects!$C$40+Projects!$D$40),Projects!$B$40*INDEX(Curves!$B$4:$AR$4,1,BS$3-Projects!$C$40+1),0)-IF(AND(Projects!$G$40="Yes",BS$3&gt;=Projects!$C$40,BS$3&lt;Projects!$C$40+Projects!$D$40),Projects!$B$40*(Assumptions!$B$10+Assumptions!$B$11+Assumptions!$B$12)/Projects!$D$40*0.95,0)-IF(AND(Projects!$G$40="Yes",BS$3=Projects!$C$40+Projects!$D$40-1),Projects!$B$40*(Assumptions!$B$10+Assumptions!$B$11+Assumptions!$B$12)*0.05,0)</f>
        <v>401121.75</v>
      </c>
      <c r="BT49" s="19" t="n">
        <f aca="false">IF(AND(Projects!$G$40="Yes",BT$3&gt;=Projects!$C$40,BT$3&lt;Projects!$C$40+Projects!$D$40),Projects!$B$40*INDEX(Curves!$B$4:$AR$4,1,BT$3-Projects!$C$40+1),0)-IF(AND(Projects!$G$40="Yes",BT$3&gt;=Projects!$C$40,BT$3&lt;Projects!$C$40+Projects!$D$40),Projects!$B$40*(Assumptions!$B$10+Assumptions!$B$11+Assumptions!$B$12)/Projects!$D$40*0.95,0)-IF(AND(Projects!$G$40="Yes",BT$3=Projects!$C$40+Projects!$D$40-1),Projects!$B$40*(Assumptions!$B$10+Assumptions!$B$11+Assumptions!$B$12)*0.05,0)</f>
        <v>217168.5</v>
      </c>
      <c r="BU49" s="19" t="n">
        <f aca="false">IF(AND(Projects!$G$40="Yes",BU$3&gt;=Projects!$C$40,BU$3&lt;Projects!$C$40+Projects!$D$40),Projects!$B$40*INDEX(Curves!$B$4:$AR$4,1,BU$3-Projects!$C$40+1),0)-IF(AND(Projects!$G$40="Yes",BU$3&gt;=Projects!$C$40,BU$3&lt;Projects!$C$40+Projects!$D$40),Projects!$B$40*(Assumptions!$B$10+Assumptions!$B$11+Assumptions!$B$12)/Projects!$D$40*0.95,0)-IF(AND(Projects!$G$40="Yes",BU$3=Projects!$C$40+Projects!$D$40-1),Projects!$B$40*(Assumptions!$B$10+Assumptions!$B$11+Assumptions!$B$12)*0.05,0)</f>
        <v>0</v>
      </c>
      <c r="BV49" s="19" t="n">
        <f aca="false">IF(AND(Projects!$G$40="Yes",BV$3&gt;=Projects!$C$40,BV$3&lt;Projects!$C$40+Projects!$D$40),Projects!$B$40*INDEX(Curves!$B$4:$AR$4,1,BV$3-Projects!$C$40+1),0)-IF(AND(Projects!$G$40="Yes",BV$3&gt;=Projects!$C$40,BV$3&lt;Projects!$C$40+Projects!$D$40),Projects!$B$40*(Assumptions!$B$10+Assumptions!$B$11+Assumptions!$B$12)/Projects!$D$40*0.95,0)-IF(AND(Projects!$G$40="Yes",BV$3=Projects!$C$40+Projects!$D$40-1),Projects!$B$40*(Assumptions!$B$10+Assumptions!$B$11+Assumptions!$B$12)*0.05,0)</f>
        <v>0</v>
      </c>
      <c r="BW49" s="19" t="n">
        <f aca="false">IF(AND(Projects!$G$40="Yes",BW$3&gt;=Projects!$C$40,BW$3&lt;Projects!$C$40+Projects!$D$40),Projects!$B$40*INDEX(Curves!$B$4:$AR$4,1,BW$3-Projects!$C$40+1),0)-IF(AND(Projects!$G$40="Yes",BW$3&gt;=Projects!$C$40,BW$3&lt;Projects!$C$40+Projects!$D$40),Projects!$B$40*(Assumptions!$B$10+Assumptions!$B$11+Assumptions!$B$12)/Projects!$D$40*0.95,0)-IF(AND(Projects!$G$40="Yes",BW$3=Projects!$C$40+Projects!$D$40-1),Projects!$B$40*(Assumptions!$B$10+Assumptions!$B$11+Assumptions!$B$12)*0.05,0)</f>
        <v>0</v>
      </c>
      <c r="BX49" s="19" t="n">
        <f aca="false">IF(AND(Projects!$G$40="Yes",BX$3&gt;=Projects!$C$40,BX$3&lt;Projects!$C$40+Projects!$D$40),Projects!$B$40*INDEX(Curves!$B$4:$AR$4,1,BX$3-Projects!$C$40+1),0)-IF(AND(Projects!$G$40="Yes",BX$3&gt;=Projects!$C$40,BX$3&lt;Projects!$C$40+Projects!$D$40),Projects!$B$40*(Assumptions!$B$10+Assumptions!$B$11+Assumptions!$B$12)/Projects!$D$40*0.95,0)-IF(AND(Projects!$G$40="Yes",BX$3=Projects!$C$40+Projects!$D$40-1),Projects!$B$40*(Assumptions!$B$10+Assumptions!$B$11+Assumptions!$B$12)*0.05,0)</f>
        <v>0</v>
      </c>
      <c r="BY49" s="19" t="n">
        <f aca="false">IF(AND(Projects!$G$40="Yes",BY$3&gt;=Projects!$C$40,BY$3&lt;Projects!$C$40+Projects!$D$40),Projects!$B$40*INDEX(Curves!$B$4:$AR$4,1,BY$3-Projects!$C$40+1),0)-IF(AND(Projects!$G$40="Yes",BY$3&gt;=Projects!$C$40,BY$3&lt;Projects!$C$40+Projects!$D$40),Projects!$B$40*(Assumptions!$B$10+Assumptions!$B$11+Assumptions!$B$12)/Projects!$D$40*0.95,0)-IF(AND(Projects!$G$40="Yes",BY$3=Projects!$C$40+Projects!$D$40-1),Projects!$B$40*(Assumptions!$B$10+Assumptions!$B$11+Assumptions!$B$12)*0.05,0)</f>
        <v>0</v>
      </c>
      <c r="BZ49" s="19" t="n">
        <f aca="false">IF(AND(Projects!$G$40="Yes",BZ$3&gt;=Projects!$C$40,BZ$3&lt;Projects!$C$40+Projects!$D$40),Projects!$B$40*INDEX(Curves!$B$4:$AR$4,1,BZ$3-Projects!$C$40+1),0)-IF(AND(Projects!$G$40="Yes",BZ$3&gt;=Projects!$C$40,BZ$3&lt;Projects!$C$40+Projects!$D$40),Projects!$B$40*(Assumptions!$B$10+Assumptions!$B$11+Assumptions!$B$12)/Projects!$D$40*0.95,0)-IF(AND(Projects!$G$40="Yes",BZ$3=Projects!$C$40+Projects!$D$40-1),Projects!$B$40*(Assumptions!$B$10+Assumptions!$B$11+Assumptions!$B$12)*0.05,0)</f>
        <v>0</v>
      </c>
      <c r="CA49" s="19" t="n">
        <f aca="false">IF(AND(Projects!$G$40="Yes",CA$3&gt;=Projects!$C$40,CA$3&lt;Projects!$C$40+Projects!$D$40),Projects!$B$40*INDEX(Curves!$B$4:$AR$4,1,CA$3-Projects!$C$40+1),0)-IF(AND(Projects!$G$40="Yes",CA$3&gt;=Projects!$C$40,CA$3&lt;Projects!$C$40+Projects!$D$40),Projects!$B$40*(Assumptions!$B$10+Assumptions!$B$11+Assumptions!$B$12)/Projects!$D$40*0.95,0)-IF(AND(Projects!$G$40="Yes",CA$3=Projects!$C$40+Projects!$D$40-1),Projects!$B$40*(Assumptions!$B$10+Assumptions!$B$11+Assumptions!$B$12)*0.05,0)</f>
        <v>0</v>
      </c>
      <c r="CB49" s="19" t="n">
        <f aca="false">IF(AND(Projects!$G$40="Yes",CB$3&gt;=Projects!$C$40,CB$3&lt;Projects!$C$40+Projects!$D$40),Projects!$B$40*INDEX(Curves!$B$4:$AR$4,1,CB$3-Projects!$C$40+1),0)-IF(AND(Projects!$G$40="Yes",CB$3&gt;=Projects!$C$40,CB$3&lt;Projects!$C$40+Projects!$D$40),Projects!$B$40*(Assumptions!$B$10+Assumptions!$B$11+Assumptions!$B$12)/Projects!$D$40*0.95,0)-IF(AND(Projects!$G$40="Yes",CB$3=Projects!$C$40+Projects!$D$40-1),Projects!$B$40*(Assumptions!$B$10+Assumptions!$B$11+Assumptions!$B$12)*0.05,0)</f>
        <v>0</v>
      </c>
      <c r="CC49" s="19" t="n">
        <f aca="false">IF(AND(Projects!$G$40="Yes",CC$3&gt;=Projects!$C$40,CC$3&lt;Projects!$C$40+Projects!$D$40),Projects!$B$40*INDEX(Curves!$B$4:$AR$4,1,CC$3-Projects!$C$40+1),0)-IF(AND(Projects!$G$40="Yes",CC$3&gt;=Projects!$C$40,CC$3&lt;Projects!$C$40+Projects!$D$40),Projects!$B$40*(Assumptions!$B$10+Assumptions!$B$11+Assumptions!$B$12)/Projects!$D$40*0.95,0)-IF(AND(Projects!$G$40="Yes",CC$3=Projects!$C$40+Projects!$D$40-1),Projects!$B$40*(Assumptions!$B$10+Assumptions!$B$11+Assumptions!$B$12)*0.05,0)</f>
        <v>0</v>
      </c>
      <c r="CD49" s="19" t="n">
        <f aca="false">IF(AND(Projects!$G$40="Yes",CD$3&gt;=Projects!$C$40,CD$3&lt;Projects!$C$40+Projects!$D$40),Projects!$B$40*INDEX(Curves!$B$4:$AR$4,1,CD$3-Projects!$C$40+1),0)-IF(AND(Projects!$G$40="Yes",CD$3&gt;=Projects!$C$40,CD$3&lt;Projects!$C$40+Projects!$D$40),Projects!$B$40*(Assumptions!$B$10+Assumptions!$B$11+Assumptions!$B$12)/Projects!$D$40*0.95,0)-IF(AND(Projects!$G$40="Yes",CD$3=Projects!$C$40+Projects!$D$40-1),Projects!$B$40*(Assumptions!$B$10+Assumptions!$B$11+Assumptions!$B$12)*0.05,0)</f>
        <v>0</v>
      </c>
      <c r="CE49" s="19" t="n">
        <f aca="false">IF(AND(Projects!$G$40="Yes",CE$3&gt;=Projects!$C$40,CE$3&lt;Projects!$C$40+Projects!$D$40),Projects!$B$40*INDEX(Curves!$B$4:$AR$4,1,CE$3-Projects!$C$40+1),0)-IF(AND(Projects!$G$40="Yes",CE$3&gt;=Projects!$C$40,CE$3&lt;Projects!$C$40+Projects!$D$40),Projects!$B$40*(Assumptions!$B$10+Assumptions!$B$11+Assumptions!$B$12)/Projects!$D$40*0.95,0)-IF(AND(Projects!$G$40="Yes",CE$3=Projects!$C$40+Projects!$D$40-1),Projects!$B$40*(Assumptions!$B$10+Assumptions!$B$11+Assumptions!$B$12)*0.05,0)</f>
        <v>0</v>
      </c>
      <c r="CF49" s="19" t="n">
        <f aca="false">IF(AND(Projects!$G$40="Yes",CF$3&gt;=Projects!$C$40,CF$3&lt;Projects!$C$40+Projects!$D$40),Projects!$B$40*INDEX(Curves!$B$4:$AR$4,1,CF$3-Projects!$C$40+1),0)-IF(AND(Projects!$G$40="Yes",CF$3&gt;=Projects!$C$40,CF$3&lt;Projects!$C$40+Projects!$D$40),Projects!$B$40*(Assumptions!$B$10+Assumptions!$B$11+Assumptions!$B$12)/Projects!$D$40*0.95,0)-IF(AND(Projects!$G$40="Yes",CF$3=Projects!$C$40+Projects!$D$40-1),Projects!$B$40*(Assumptions!$B$10+Assumptions!$B$11+Assumptions!$B$12)*0.05,0)</f>
        <v>0</v>
      </c>
      <c r="CG49" s="19" t="n">
        <f aca="false">IF(AND(Projects!$G$40="Yes",CG$3&gt;=Projects!$C$40,CG$3&lt;Projects!$C$40+Projects!$D$40),Projects!$B$40*INDEX(Curves!$B$4:$AR$4,1,CG$3-Projects!$C$40+1),0)-IF(AND(Projects!$G$40="Yes",CG$3&gt;=Projects!$C$40,CG$3&lt;Projects!$C$40+Projects!$D$40),Projects!$B$40*(Assumptions!$B$10+Assumptions!$B$11+Assumptions!$B$12)/Projects!$D$40*0.95,0)-IF(AND(Projects!$G$40="Yes",CG$3=Projects!$C$40+Projects!$D$40-1),Projects!$B$40*(Assumptions!$B$10+Assumptions!$B$11+Assumptions!$B$12)*0.05,0)</f>
        <v>0</v>
      </c>
      <c r="CH49" s="19" t="n">
        <f aca="false">IF(AND(Projects!$G$40="Yes",CH$3&gt;=Projects!$C$40,CH$3&lt;Projects!$C$40+Projects!$D$40),Projects!$B$40*INDEX(Curves!$B$4:$AR$4,1,CH$3-Projects!$C$40+1),0)-IF(AND(Projects!$G$40="Yes",CH$3&gt;=Projects!$C$40,CH$3&lt;Projects!$C$40+Projects!$D$40),Projects!$B$40*(Assumptions!$B$10+Assumptions!$B$11+Assumptions!$B$12)/Projects!$D$40*0.95,0)-IF(AND(Projects!$G$40="Yes",CH$3=Projects!$C$40+Projects!$D$40-1),Projects!$B$40*(Assumptions!$B$10+Assumptions!$B$11+Assumptions!$B$12)*0.05,0)</f>
        <v>0</v>
      </c>
      <c r="CI49" s="19" t="n">
        <f aca="false">IF(AND(Projects!$G$40="Yes",CI$3&gt;=Projects!$C$40,CI$3&lt;Projects!$C$40+Projects!$D$40),Projects!$B$40*INDEX(Curves!$B$4:$AR$4,1,CI$3-Projects!$C$40+1),0)-IF(AND(Projects!$G$40="Yes",CI$3&gt;=Projects!$C$40,CI$3&lt;Projects!$C$40+Projects!$D$40),Projects!$B$40*(Assumptions!$B$10+Assumptions!$B$11+Assumptions!$B$12)/Projects!$D$40*0.95,0)-IF(AND(Projects!$G$40="Yes",CI$3=Projects!$C$40+Projects!$D$40-1),Projects!$B$40*(Assumptions!$B$10+Assumptions!$B$11+Assumptions!$B$12)*0.05,0)</f>
        <v>0</v>
      </c>
      <c r="CJ49" s="19" t="n">
        <f aca="false">IF(AND(Projects!$G$40="Yes",CJ$3&gt;=Projects!$C$40,CJ$3&lt;Projects!$C$40+Projects!$D$40),Projects!$B$40*INDEX(Curves!$B$4:$AR$4,1,CJ$3-Projects!$C$40+1),0)-IF(AND(Projects!$G$40="Yes",CJ$3&gt;=Projects!$C$40,CJ$3&lt;Projects!$C$40+Projects!$D$40),Projects!$B$40*(Assumptions!$B$10+Assumptions!$B$11+Assumptions!$B$12)/Projects!$D$40*0.95,0)-IF(AND(Projects!$G$40="Yes",CJ$3=Projects!$C$40+Projects!$D$40-1),Projects!$B$40*(Assumptions!$B$10+Assumptions!$B$11+Assumptions!$B$12)*0.05,0)</f>
        <v>0</v>
      </c>
      <c r="CK49" s="19" t="n">
        <f aca="false">IF(AND(Projects!$G$40="Yes",CK$3&gt;=Projects!$C$40,CK$3&lt;Projects!$C$40+Projects!$D$40),Projects!$B$40*INDEX(Curves!$B$4:$AR$4,1,CK$3-Projects!$C$40+1),0)-IF(AND(Projects!$G$40="Yes",CK$3&gt;=Projects!$C$40,CK$3&lt;Projects!$C$40+Projects!$D$40),Projects!$B$40*(Assumptions!$B$10+Assumptions!$B$11+Assumptions!$B$12)/Projects!$D$40*0.95,0)-IF(AND(Projects!$G$40="Yes",CK$3=Projects!$C$40+Projects!$D$40-1),Projects!$B$40*(Assumptions!$B$10+Assumptions!$B$11+Assumptions!$B$12)*0.05,0)</f>
        <v>0</v>
      </c>
      <c r="CL49" s="19" t="n">
        <f aca="false">IF(AND(Projects!$G$40="Yes",CL$3&gt;=Projects!$C$40,CL$3&lt;Projects!$C$40+Projects!$D$40),Projects!$B$40*INDEX(Curves!$B$4:$AR$4,1,CL$3-Projects!$C$40+1),0)-IF(AND(Projects!$G$40="Yes",CL$3&gt;=Projects!$C$40,CL$3&lt;Projects!$C$40+Projects!$D$40),Projects!$B$40*(Assumptions!$B$10+Assumptions!$B$11+Assumptions!$B$12)/Projects!$D$40*0.95,0)-IF(AND(Projects!$G$40="Yes",CL$3=Projects!$C$40+Projects!$D$40-1),Projects!$B$40*(Assumptions!$B$10+Assumptions!$B$11+Assumptions!$B$12)*0.05,0)</f>
        <v>0</v>
      </c>
      <c r="CM49" s="19" t="n">
        <f aca="false">IF(AND(Projects!$G$40="Yes",CM$3&gt;=Projects!$C$40,CM$3&lt;Projects!$C$40+Projects!$D$40),Projects!$B$40*INDEX(Curves!$B$4:$AR$4,1,CM$3-Projects!$C$40+1),0)-IF(AND(Projects!$G$40="Yes",CM$3&gt;=Projects!$C$40,CM$3&lt;Projects!$C$40+Projects!$D$40),Projects!$B$40*(Assumptions!$B$10+Assumptions!$B$11+Assumptions!$B$12)/Projects!$D$40*0.95,0)-IF(AND(Projects!$G$40="Yes",CM$3=Projects!$C$40+Projects!$D$40-1),Projects!$B$40*(Assumptions!$B$10+Assumptions!$B$11+Assumptions!$B$12)*0.05,0)</f>
        <v>0</v>
      </c>
      <c r="CN49" s="19" t="n">
        <f aca="false">IF(AND(Projects!$G$40="Yes",CN$3&gt;=Projects!$C$40,CN$3&lt;Projects!$C$40+Projects!$D$40),Projects!$B$40*INDEX(Curves!$B$4:$AR$4,1,CN$3-Projects!$C$40+1),0)-IF(AND(Projects!$G$40="Yes",CN$3&gt;=Projects!$C$40,CN$3&lt;Projects!$C$40+Projects!$D$40),Projects!$B$40*(Assumptions!$B$10+Assumptions!$B$11+Assumptions!$B$12)/Projects!$D$40*0.95,0)-IF(AND(Projects!$G$40="Yes",CN$3=Projects!$C$40+Projects!$D$40-1),Projects!$B$40*(Assumptions!$B$10+Assumptions!$B$11+Assumptions!$B$12)*0.05,0)</f>
        <v>0</v>
      </c>
      <c r="CO49" s="19" t="n">
        <f aca="false">IF(AND(Projects!$G$40="Yes",CO$3&gt;=Projects!$C$40,CO$3&lt;Projects!$C$40+Projects!$D$40),Projects!$B$40*INDEX(Curves!$B$4:$AR$4,1,CO$3-Projects!$C$40+1),0)-IF(AND(Projects!$G$40="Yes",CO$3&gt;=Projects!$C$40,CO$3&lt;Projects!$C$40+Projects!$D$40),Projects!$B$40*(Assumptions!$B$10+Assumptions!$B$11+Assumptions!$B$12)/Projects!$D$40*0.95,0)-IF(AND(Projects!$G$40="Yes",CO$3=Projects!$C$40+Projects!$D$40-1),Projects!$B$40*(Assumptions!$B$10+Assumptions!$B$11+Assumptions!$B$12)*0.05,0)</f>
        <v>0</v>
      </c>
      <c r="CP49" s="19" t="n">
        <f aca="false">IF(AND(Projects!$G$40="Yes",CP$3&gt;=Projects!$C$40,CP$3&lt;Projects!$C$40+Projects!$D$40),Projects!$B$40*INDEX(Curves!$B$4:$AR$4,1,CP$3-Projects!$C$40+1),0)-IF(AND(Projects!$G$40="Yes",CP$3&gt;=Projects!$C$40,CP$3&lt;Projects!$C$40+Projects!$D$40),Projects!$B$40*(Assumptions!$B$10+Assumptions!$B$11+Assumptions!$B$12)/Projects!$D$40*0.95,0)-IF(AND(Projects!$G$40="Yes",CP$3=Projects!$C$40+Projects!$D$40-1),Projects!$B$40*(Assumptions!$B$10+Assumptions!$B$11+Assumptions!$B$12)*0.05,0)</f>
        <v>0</v>
      </c>
      <c r="CQ49" s="19" t="n">
        <f aca="false">IF(AND(Projects!$G$40="Yes",CQ$3&gt;=Projects!$C$40,CQ$3&lt;Projects!$C$40+Projects!$D$40),Projects!$B$40*INDEX(Curves!$B$4:$AR$4,1,CQ$3-Projects!$C$40+1),0)-IF(AND(Projects!$G$40="Yes",CQ$3&gt;=Projects!$C$40,CQ$3&lt;Projects!$C$40+Projects!$D$40),Projects!$B$40*(Assumptions!$B$10+Assumptions!$B$11+Assumptions!$B$12)/Projects!$D$40*0.95,0)-IF(AND(Projects!$G$40="Yes",CQ$3=Projects!$C$40+Projects!$D$40-1),Projects!$B$40*(Assumptions!$B$10+Assumptions!$B$11+Assumptions!$B$12)*0.05,0)</f>
        <v>0</v>
      </c>
      <c r="CR49" s="19" t="n">
        <f aca="false">IF(AND(Projects!$G$40="Yes",CR$3&gt;=Projects!$C$40,CR$3&lt;Projects!$C$40+Projects!$D$40),Projects!$B$40*INDEX(Curves!$B$4:$AR$4,1,CR$3-Projects!$C$40+1),0)-IF(AND(Projects!$G$40="Yes",CR$3&gt;=Projects!$C$40,CR$3&lt;Projects!$C$40+Projects!$D$40),Projects!$B$40*(Assumptions!$B$10+Assumptions!$B$11+Assumptions!$B$12)/Projects!$D$40*0.95,0)-IF(AND(Projects!$G$40="Yes",CR$3=Projects!$C$40+Projects!$D$40-1),Projects!$B$40*(Assumptions!$B$10+Assumptions!$B$11+Assumptions!$B$12)*0.05,0)</f>
        <v>0</v>
      </c>
      <c r="CS49" s="19" t="n">
        <f aca="false">IF(AND(Projects!$G$40="Yes",CS$3&gt;=Projects!$C$40,CS$3&lt;Projects!$C$40+Projects!$D$40),Projects!$B$40*INDEX(Curves!$B$4:$AR$4,1,CS$3-Projects!$C$40+1),0)-IF(AND(Projects!$G$40="Yes",CS$3&gt;=Projects!$C$40,CS$3&lt;Projects!$C$40+Projects!$D$40),Projects!$B$40*(Assumptions!$B$10+Assumptions!$B$11+Assumptions!$B$12)/Projects!$D$40*0.95,0)-IF(AND(Projects!$G$40="Yes",CS$3=Projects!$C$40+Projects!$D$40-1),Projects!$B$40*(Assumptions!$B$10+Assumptions!$B$11+Assumptions!$B$12)*0.05,0)</f>
        <v>0</v>
      </c>
      <c r="CT49" s="19" t="n">
        <f aca="false">IF(AND(Projects!$G$40="Yes",CT$3&gt;=Projects!$C$40,CT$3&lt;Projects!$C$40+Projects!$D$40),Projects!$B$40*INDEX(Curves!$B$4:$AR$4,1,CT$3-Projects!$C$40+1),0)-IF(AND(Projects!$G$40="Yes",CT$3&gt;=Projects!$C$40,CT$3&lt;Projects!$C$40+Projects!$D$40),Projects!$B$40*(Assumptions!$B$10+Assumptions!$B$11+Assumptions!$B$12)/Projects!$D$40*0.95,0)-IF(AND(Projects!$G$40="Yes",CT$3=Projects!$C$40+Projects!$D$40-1),Projects!$B$40*(Assumptions!$B$10+Assumptions!$B$11+Assumptions!$B$12)*0.05,0)</f>
        <v>0</v>
      </c>
      <c r="CU49" s="19" t="n">
        <f aca="false">IF(AND(Projects!$G$40="Yes",CU$3&gt;=Projects!$C$40,CU$3&lt;Projects!$C$40+Projects!$D$40),Projects!$B$40*INDEX(Curves!$B$4:$AR$4,1,CU$3-Projects!$C$40+1),0)-IF(AND(Projects!$G$40="Yes",CU$3&gt;=Projects!$C$40,CU$3&lt;Projects!$C$40+Projects!$D$40),Projects!$B$40*(Assumptions!$B$10+Assumptions!$B$11+Assumptions!$B$12)/Projects!$D$40*0.95,0)-IF(AND(Projects!$G$40="Yes",CU$3=Projects!$C$40+Projects!$D$40-1),Projects!$B$40*(Assumptions!$B$10+Assumptions!$B$11+Assumptions!$B$12)*0.05,0)</f>
        <v>0</v>
      </c>
      <c r="CV49" s="19" t="n">
        <f aca="false">IF(AND(Projects!$G$40="Yes",CV$3&gt;=Projects!$C$40,CV$3&lt;Projects!$C$40+Projects!$D$40),Projects!$B$40*INDEX(Curves!$B$4:$AR$4,1,CV$3-Projects!$C$40+1),0)-IF(AND(Projects!$G$40="Yes",CV$3&gt;=Projects!$C$40,CV$3&lt;Projects!$C$40+Projects!$D$40),Projects!$B$40*(Assumptions!$B$10+Assumptions!$B$11+Assumptions!$B$12)/Projects!$D$40*0.95,0)-IF(AND(Projects!$G$40="Yes",CV$3=Projects!$C$40+Projects!$D$40-1),Projects!$B$40*(Assumptions!$B$10+Assumptions!$B$11+Assumptions!$B$12)*0.05,0)</f>
        <v>0</v>
      </c>
      <c r="CW49" s="19" t="n">
        <f aca="false">IF(AND(Projects!$G$40="Yes",CW$3&gt;=Projects!$C$40,CW$3&lt;Projects!$C$40+Projects!$D$40),Projects!$B$40*INDEX(Curves!$B$4:$AR$4,1,CW$3-Projects!$C$40+1),0)-IF(AND(Projects!$G$40="Yes",CW$3&gt;=Projects!$C$40,CW$3&lt;Projects!$C$40+Projects!$D$40),Projects!$B$40*(Assumptions!$B$10+Assumptions!$B$11+Assumptions!$B$12)/Projects!$D$40*0.95,0)-IF(AND(Projects!$G$40="Yes",CW$3=Projects!$C$40+Projects!$D$40-1),Projects!$B$40*(Assumptions!$B$10+Assumptions!$B$11+Assumptions!$B$12)*0.05,0)</f>
        <v>0</v>
      </c>
      <c r="CX49" s="19" t="n">
        <f aca="false">IF(AND(Projects!$G$40="Yes",CX$3&gt;=Projects!$C$40,CX$3&lt;Projects!$C$40+Projects!$D$40),Projects!$B$40*INDEX(Curves!$B$4:$AR$4,1,CX$3-Projects!$C$40+1),0)-IF(AND(Projects!$G$40="Yes",CX$3&gt;=Projects!$C$40,CX$3&lt;Projects!$C$40+Projects!$D$40),Projects!$B$40*(Assumptions!$B$10+Assumptions!$B$11+Assumptions!$B$12)/Projects!$D$40*0.95,0)-IF(AND(Projects!$G$40="Yes",CX$3=Projects!$C$40+Projects!$D$40-1),Projects!$B$40*(Assumptions!$B$10+Assumptions!$B$11+Assumptions!$B$12)*0.05,0)</f>
        <v>0</v>
      </c>
      <c r="CY49" s="19" t="n">
        <f aca="false">IF(AND(Projects!$G$40="Yes",CY$3&gt;=Projects!$C$40,CY$3&lt;Projects!$C$40+Projects!$D$40),Projects!$B$40*INDEX(Curves!$B$4:$AR$4,1,CY$3-Projects!$C$40+1),0)-IF(AND(Projects!$G$40="Yes",CY$3&gt;=Projects!$C$40,CY$3&lt;Projects!$C$40+Projects!$D$40),Projects!$B$40*(Assumptions!$B$10+Assumptions!$B$11+Assumptions!$B$12)/Projects!$D$40*0.95,0)-IF(AND(Projects!$G$40="Yes",CY$3=Projects!$C$40+Projects!$D$40-1),Projects!$B$40*(Assumptions!$B$10+Assumptions!$B$11+Assumptions!$B$12)*0.05,0)</f>
        <v>0</v>
      </c>
      <c r="CZ49" s="19" t="n">
        <f aca="false">IF(AND(Projects!$G$40="Yes",CZ$3&gt;=Projects!$C$40,CZ$3&lt;Projects!$C$40+Projects!$D$40),Projects!$B$40*INDEX(Curves!$B$4:$AR$4,1,CZ$3-Projects!$C$40+1),0)-IF(AND(Projects!$G$40="Yes",CZ$3&gt;=Projects!$C$40,CZ$3&lt;Projects!$C$40+Projects!$D$40),Projects!$B$40*(Assumptions!$B$10+Assumptions!$B$11+Assumptions!$B$12)/Projects!$D$40*0.95,0)-IF(AND(Projects!$G$40="Yes",CZ$3=Projects!$C$40+Projects!$D$40-1),Projects!$B$40*(Assumptions!$B$10+Assumptions!$B$11+Assumptions!$B$12)*0.05,0)</f>
        <v>0</v>
      </c>
      <c r="DA49" s="19" t="n">
        <f aca="false">IF(AND(Projects!$G$40="Yes",DA$3&gt;=Projects!$C$40,DA$3&lt;Projects!$C$40+Projects!$D$40),Projects!$B$40*INDEX(Curves!$B$4:$AR$4,1,DA$3-Projects!$C$40+1),0)-IF(AND(Projects!$G$40="Yes",DA$3&gt;=Projects!$C$40,DA$3&lt;Projects!$C$40+Projects!$D$40),Projects!$B$40*(Assumptions!$B$10+Assumptions!$B$11+Assumptions!$B$12)/Projects!$D$40*0.95,0)-IF(AND(Projects!$G$40="Yes",DA$3=Projects!$C$40+Projects!$D$40-1),Projects!$B$40*(Assumptions!$B$10+Assumptions!$B$11+Assumptions!$B$12)*0.05,0)</f>
        <v>0</v>
      </c>
      <c r="DB49" s="19" t="n">
        <f aca="false">IF(AND(Projects!$G$40="Yes",DB$3&gt;=Projects!$C$40,DB$3&lt;Projects!$C$40+Projects!$D$40),Projects!$B$40*INDEX(Curves!$B$4:$AR$4,1,DB$3-Projects!$C$40+1),0)-IF(AND(Projects!$G$40="Yes",DB$3&gt;=Projects!$C$40,DB$3&lt;Projects!$C$40+Projects!$D$40),Projects!$B$40*(Assumptions!$B$10+Assumptions!$B$11+Assumptions!$B$12)/Projects!$D$40*0.95,0)-IF(AND(Projects!$G$40="Yes",DB$3=Projects!$C$40+Projects!$D$40-1),Projects!$B$40*(Assumptions!$B$10+Assumptions!$B$11+Assumptions!$B$12)*0.05,0)</f>
        <v>0</v>
      </c>
      <c r="DC49" s="19" t="n">
        <f aca="false">IF(AND(Projects!$G$40="Yes",DC$3&gt;=Projects!$C$40,DC$3&lt;Projects!$C$40+Projects!$D$40),Projects!$B$40*INDEX(Curves!$B$4:$AR$4,1,DC$3-Projects!$C$40+1),0)-IF(AND(Projects!$G$40="Yes",DC$3&gt;=Projects!$C$40,DC$3&lt;Projects!$C$40+Projects!$D$40),Projects!$B$40*(Assumptions!$B$10+Assumptions!$B$11+Assumptions!$B$12)/Projects!$D$40*0.95,0)-IF(AND(Projects!$G$40="Yes",DC$3=Projects!$C$40+Projects!$D$40-1),Projects!$B$40*(Assumptions!$B$10+Assumptions!$B$11+Assumptions!$B$12)*0.05,0)</f>
        <v>0</v>
      </c>
      <c r="DD49" s="19" t="n">
        <f aca="false">IF(AND(Projects!$G$40="Yes",DD$3&gt;=Projects!$C$40,DD$3&lt;Projects!$C$40+Projects!$D$40),Projects!$B$40*INDEX(Curves!$B$4:$AR$4,1,DD$3-Projects!$C$40+1),0)-IF(AND(Projects!$G$40="Yes",DD$3&gt;=Projects!$C$40,DD$3&lt;Projects!$C$40+Projects!$D$40),Projects!$B$40*(Assumptions!$B$10+Assumptions!$B$11+Assumptions!$B$12)/Projects!$D$40*0.95,0)-IF(AND(Projects!$G$40="Yes",DD$3=Projects!$C$40+Projects!$D$40-1),Projects!$B$40*(Assumptions!$B$10+Assumptions!$B$11+Assumptions!$B$12)*0.05,0)</f>
        <v>0</v>
      </c>
      <c r="DE49" s="19" t="n">
        <f aca="false">IF(AND(Projects!$G$40="Yes",DE$3&gt;=Projects!$C$40,DE$3&lt;Projects!$C$40+Projects!$D$40),Projects!$B$40*INDEX(Curves!$B$4:$AR$4,1,DE$3-Projects!$C$40+1),0)-IF(AND(Projects!$G$40="Yes",DE$3&gt;=Projects!$C$40,DE$3&lt;Projects!$C$40+Projects!$D$40),Projects!$B$40*(Assumptions!$B$10+Assumptions!$B$11+Assumptions!$B$12)/Projects!$D$40*0.95,0)-IF(AND(Projects!$G$40="Yes",DE$3=Projects!$C$40+Projects!$D$40-1),Projects!$B$40*(Assumptions!$B$10+Assumptions!$B$11+Assumptions!$B$12)*0.05,0)</f>
        <v>0</v>
      </c>
    </row>
    <row r="50" customFormat="false" ht="15" hidden="true" customHeight="true" outlineLevel="1" collapsed="false">
      <c r="A50" s="28" t="s">
        <v>44</v>
      </c>
      <c r="B50" s="19" t="n">
        <v>0</v>
      </c>
      <c r="C50" s="19" t="n">
        <v>0</v>
      </c>
      <c r="D50" s="19" t="n">
        <v>0</v>
      </c>
      <c r="E50" s="19" t="n">
        <v>0</v>
      </c>
      <c r="F50" s="19" t="n">
        <f aca="false">IF(AND(Projects!$G$41="Yes",F$3&gt;=Projects!$C$41,F$3&lt;Projects!$C$41+Projects!$D$41),Projects!$B$41*INDEX(Curves!$B$4:$AR$4,1,F$3-Projects!$C$41+1),0)-IF(AND(Projects!$G$41="Yes",F$3&gt;=Projects!$C$41,F$3&lt;Projects!$C$41+Projects!$D$41),Projects!$B$41*(Assumptions!$B$10+Assumptions!$B$11+Assumptions!$B$12)/Projects!$D$41*0.95,0)-IF(AND(Projects!$G$41="Yes",F$3=Projects!$C$41+Projects!$D$41-1),Projects!$B$41*(Assumptions!$B$10+Assumptions!$B$11+Assumptions!$B$12)*0.05,0)</f>
        <v>0</v>
      </c>
      <c r="G50" s="19" t="n">
        <f aca="false">IF(AND(Projects!$G$41="Yes",G$3&gt;=Projects!$C$41,G$3&lt;Projects!$C$41+Projects!$D$41),Projects!$B$41*INDEX(Curves!$B$4:$AR$4,1,G$3-Projects!$C$41+1),0)-IF(AND(Projects!$G$41="Yes",G$3&gt;=Projects!$C$41,G$3&lt;Projects!$C$41+Projects!$D$41),Projects!$B$41*(Assumptions!$B$10+Assumptions!$B$11+Assumptions!$B$12)/Projects!$D$41*0.95,0)-IF(AND(Projects!$G$41="Yes",G$3=Projects!$C$41+Projects!$D$41-1),Projects!$B$41*(Assumptions!$B$10+Assumptions!$B$11+Assumptions!$B$12)*0.05,0)</f>
        <v>0</v>
      </c>
      <c r="H50" s="19" t="n">
        <f aca="false">IF(AND(Projects!$G$41="Yes",H$3&gt;=Projects!$C$41,H$3&lt;Projects!$C$41+Projects!$D$41),Projects!$B$41*INDEX(Curves!$B$4:$AR$4,1,H$3-Projects!$C$41+1),0)-IF(AND(Projects!$G$41="Yes",H$3&gt;=Projects!$C$41,H$3&lt;Projects!$C$41+Projects!$D$41),Projects!$B$41*(Assumptions!$B$10+Assumptions!$B$11+Assumptions!$B$12)/Projects!$D$41*0.95,0)-IF(AND(Projects!$G$41="Yes",H$3=Projects!$C$41+Projects!$D$41-1),Projects!$B$41*(Assumptions!$B$10+Assumptions!$B$11+Assumptions!$B$12)*0.05,0)</f>
        <v>0</v>
      </c>
      <c r="I50" s="19" t="n">
        <f aca="false">IF(AND(Projects!$G$41="Yes",I$3&gt;=Projects!$C$41,I$3&lt;Projects!$C$41+Projects!$D$41),Projects!$B$41*INDEX(Curves!$B$4:$AR$4,1,I$3-Projects!$C$41+1),0)-IF(AND(Projects!$G$41="Yes",I$3&gt;=Projects!$C$41,I$3&lt;Projects!$C$41+Projects!$D$41),Projects!$B$41*(Assumptions!$B$10+Assumptions!$B$11+Assumptions!$B$12)/Projects!$D$41*0.95,0)-IF(AND(Projects!$G$41="Yes",I$3=Projects!$C$41+Projects!$D$41-1),Projects!$B$41*(Assumptions!$B$10+Assumptions!$B$11+Assumptions!$B$12)*0.05,0)</f>
        <v>0</v>
      </c>
      <c r="J50" s="19" t="n">
        <f aca="false">IF(AND(Projects!$G$41="Yes",J$3&gt;=Projects!$C$41,J$3&lt;Projects!$C$41+Projects!$D$41),Projects!$B$41*INDEX(Curves!$B$4:$AR$4,1,J$3-Projects!$C$41+1),0)-IF(AND(Projects!$G$41="Yes",J$3&gt;=Projects!$C$41,J$3&lt;Projects!$C$41+Projects!$D$41),Projects!$B$41*(Assumptions!$B$10+Assumptions!$B$11+Assumptions!$B$12)/Projects!$D$41*0.95,0)-IF(AND(Projects!$G$41="Yes",J$3=Projects!$C$41+Projects!$D$41-1),Projects!$B$41*(Assumptions!$B$10+Assumptions!$B$11+Assumptions!$B$12)*0.05,0)</f>
        <v>0</v>
      </c>
      <c r="K50" s="19" t="n">
        <f aca="false">IF(AND(Projects!$G$41="Yes",K$3&gt;=Projects!$C$41,K$3&lt;Projects!$C$41+Projects!$D$41),Projects!$B$41*INDEX(Curves!$B$4:$AR$4,1,K$3-Projects!$C$41+1),0)-IF(AND(Projects!$G$41="Yes",K$3&gt;=Projects!$C$41,K$3&lt;Projects!$C$41+Projects!$D$41),Projects!$B$41*(Assumptions!$B$10+Assumptions!$B$11+Assumptions!$B$12)/Projects!$D$41*0.95,0)-IF(AND(Projects!$G$41="Yes",K$3=Projects!$C$41+Projects!$D$41-1),Projects!$B$41*(Assumptions!$B$10+Assumptions!$B$11+Assumptions!$B$12)*0.05,0)</f>
        <v>0</v>
      </c>
      <c r="L50" s="19" t="n">
        <f aca="false">IF(AND(Projects!$G$41="Yes",L$3&gt;=Projects!$C$41,L$3&lt;Projects!$C$41+Projects!$D$41),Projects!$B$41*INDEX(Curves!$B$4:$AR$4,1,L$3-Projects!$C$41+1),0)-IF(AND(Projects!$G$41="Yes",L$3&gt;=Projects!$C$41,L$3&lt;Projects!$C$41+Projects!$D$41),Projects!$B$41*(Assumptions!$B$10+Assumptions!$B$11+Assumptions!$B$12)/Projects!$D$41*0.95,0)-IF(AND(Projects!$G$41="Yes",L$3=Projects!$C$41+Projects!$D$41-1),Projects!$B$41*(Assumptions!$B$10+Assumptions!$B$11+Assumptions!$B$12)*0.05,0)</f>
        <v>0</v>
      </c>
      <c r="M50" s="19" t="n">
        <f aca="false">IF(AND(Projects!$G$41="Yes",M$3&gt;=Projects!$C$41,M$3&lt;Projects!$C$41+Projects!$D$41),Projects!$B$41*INDEX(Curves!$B$4:$AR$4,1,M$3-Projects!$C$41+1),0)-IF(AND(Projects!$G$41="Yes",M$3&gt;=Projects!$C$41,M$3&lt;Projects!$C$41+Projects!$D$41),Projects!$B$41*(Assumptions!$B$10+Assumptions!$B$11+Assumptions!$B$12)/Projects!$D$41*0.95,0)-IF(AND(Projects!$G$41="Yes",M$3=Projects!$C$41+Projects!$D$41-1),Projects!$B$41*(Assumptions!$B$10+Assumptions!$B$11+Assumptions!$B$12)*0.05,0)</f>
        <v>0</v>
      </c>
      <c r="N50" s="19" t="n">
        <f aca="false">IF(AND(Projects!$G$41="Yes",N$3&gt;=Projects!$C$41,N$3&lt;Projects!$C$41+Projects!$D$41),Projects!$B$41*INDEX(Curves!$B$4:$AR$4,1,N$3-Projects!$C$41+1),0)-IF(AND(Projects!$G$41="Yes",N$3&gt;=Projects!$C$41,N$3&lt;Projects!$C$41+Projects!$D$41),Projects!$B$41*(Assumptions!$B$10+Assumptions!$B$11+Assumptions!$B$12)/Projects!$D$41*0.95,0)-IF(AND(Projects!$G$41="Yes",N$3=Projects!$C$41+Projects!$D$41-1),Projects!$B$41*(Assumptions!$B$10+Assumptions!$B$11+Assumptions!$B$12)*0.05,0)</f>
        <v>0</v>
      </c>
      <c r="O50" s="19" t="n">
        <f aca="false">IF(AND(Projects!$G$41="Yes",O$3&gt;=Projects!$C$41,O$3&lt;Projects!$C$41+Projects!$D$41),Projects!$B$41*INDEX(Curves!$B$4:$AR$4,1,O$3-Projects!$C$41+1),0)-IF(AND(Projects!$G$41="Yes",O$3&gt;=Projects!$C$41,O$3&lt;Projects!$C$41+Projects!$D$41),Projects!$B$41*(Assumptions!$B$10+Assumptions!$B$11+Assumptions!$B$12)/Projects!$D$41*0.95,0)-IF(AND(Projects!$G$41="Yes",O$3=Projects!$C$41+Projects!$D$41-1),Projects!$B$41*(Assumptions!$B$10+Assumptions!$B$11+Assumptions!$B$12)*0.05,0)</f>
        <v>0</v>
      </c>
      <c r="P50" s="19" t="n">
        <f aca="false">IF(AND(Projects!$G$41="Yes",P$3&gt;=Projects!$C$41,P$3&lt;Projects!$C$41+Projects!$D$41),Projects!$B$41*INDEX(Curves!$B$4:$AR$4,1,P$3-Projects!$C$41+1),0)-IF(AND(Projects!$G$41="Yes",P$3&gt;=Projects!$C$41,P$3&lt;Projects!$C$41+Projects!$D$41),Projects!$B$41*(Assumptions!$B$10+Assumptions!$B$11+Assumptions!$B$12)/Projects!$D$41*0.95,0)-IF(AND(Projects!$G$41="Yes",P$3=Projects!$C$41+Projects!$D$41-1),Projects!$B$41*(Assumptions!$B$10+Assumptions!$B$11+Assumptions!$B$12)*0.05,0)</f>
        <v>0</v>
      </c>
      <c r="Q50" s="19" t="n">
        <f aca="false">IF(AND(Projects!$G$41="Yes",Q$3&gt;=Projects!$C$41,Q$3&lt;Projects!$C$41+Projects!$D$41),Projects!$B$41*INDEX(Curves!$B$4:$AR$4,1,Q$3-Projects!$C$41+1),0)-IF(AND(Projects!$G$41="Yes",Q$3&gt;=Projects!$C$41,Q$3&lt;Projects!$C$41+Projects!$D$41),Projects!$B$41*(Assumptions!$B$10+Assumptions!$B$11+Assumptions!$B$12)/Projects!$D$41*0.95,0)-IF(AND(Projects!$G$41="Yes",Q$3=Projects!$C$41+Projects!$D$41-1),Projects!$B$41*(Assumptions!$B$10+Assumptions!$B$11+Assumptions!$B$12)*0.05,0)</f>
        <v>0</v>
      </c>
      <c r="R50" s="19" t="n">
        <f aca="false">IF(AND(Projects!$G$41="Yes",R$3&gt;=Projects!$C$41,R$3&lt;Projects!$C$41+Projects!$D$41),Projects!$B$41*INDEX(Curves!$B$4:$AR$4,1,R$3-Projects!$C$41+1),0)-IF(AND(Projects!$G$41="Yes",R$3&gt;=Projects!$C$41,R$3&lt;Projects!$C$41+Projects!$D$41),Projects!$B$41*(Assumptions!$B$10+Assumptions!$B$11+Assumptions!$B$12)/Projects!$D$41*0.95,0)-IF(AND(Projects!$G$41="Yes",R$3=Projects!$C$41+Projects!$D$41-1),Projects!$B$41*(Assumptions!$B$10+Assumptions!$B$11+Assumptions!$B$12)*0.05,0)</f>
        <v>0</v>
      </c>
      <c r="S50" s="19" t="n">
        <f aca="false">IF(AND(Projects!$G$41="Yes",S$3&gt;=Projects!$C$41,S$3&lt;Projects!$C$41+Projects!$D$41),Projects!$B$41*INDEX(Curves!$B$4:$AR$4,1,S$3-Projects!$C$41+1),0)-IF(AND(Projects!$G$41="Yes",S$3&gt;=Projects!$C$41,S$3&lt;Projects!$C$41+Projects!$D$41),Projects!$B$41*(Assumptions!$B$10+Assumptions!$B$11+Assumptions!$B$12)/Projects!$D$41*0.95,0)-IF(AND(Projects!$G$41="Yes",S$3=Projects!$C$41+Projects!$D$41-1),Projects!$B$41*(Assumptions!$B$10+Assumptions!$B$11+Assumptions!$B$12)*0.05,0)</f>
        <v>0</v>
      </c>
      <c r="T50" s="19" t="n">
        <f aca="false">IF(AND(Projects!$G$41="Yes",T$3&gt;=Projects!$C$41,T$3&lt;Projects!$C$41+Projects!$D$41),Projects!$B$41*INDEX(Curves!$B$4:$AR$4,1,T$3-Projects!$C$41+1),0)-IF(AND(Projects!$G$41="Yes",T$3&gt;=Projects!$C$41,T$3&lt;Projects!$C$41+Projects!$D$41),Projects!$B$41*(Assumptions!$B$10+Assumptions!$B$11+Assumptions!$B$12)/Projects!$D$41*0.95,0)-IF(AND(Projects!$G$41="Yes",T$3=Projects!$C$41+Projects!$D$41-1),Projects!$B$41*(Assumptions!$B$10+Assumptions!$B$11+Assumptions!$B$12)*0.05,0)</f>
        <v>0</v>
      </c>
      <c r="U50" s="19" t="n">
        <f aca="false">IF(AND(Projects!$G$41="Yes",U$3&gt;=Projects!$C$41,U$3&lt;Projects!$C$41+Projects!$D$41),Projects!$B$41*INDEX(Curves!$B$4:$AR$4,1,U$3-Projects!$C$41+1),0)-IF(AND(Projects!$G$41="Yes",U$3&gt;=Projects!$C$41,U$3&lt;Projects!$C$41+Projects!$D$41),Projects!$B$41*(Assumptions!$B$10+Assumptions!$B$11+Assumptions!$B$12)/Projects!$D$41*0.95,0)-IF(AND(Projects!$G$41="Yes",U$3=Projects!$C$41+Projects!$D$41-1),Projects!$B$41*(Assumptions!$B$10+Assumptions!$B$11+Assumptions!$B$12)*0.05,0)</f>
        <v>0</v>
      </c>
      <c r="V50" s="19" t="n">
        <f aca="false">IF(AND(Projects!$G$41="Yes",V$3&gt;=Projects!$C$41,V$3&lt;Projects!$C$41+Projects!$D$41),Projects!$B$41*INDEX(Curves!$B$4:$AR$4,1,V$3-Projects!$C$41+1),0)-IF(AND(Projects!$G$41="Yes",V$3&gt;=Projects!$C$41,V$3&lt;Projects!$C$41+Projects!$D$41),Projects!$B$41*(Assumptions!$B$10+Assumptions!$B$11+Assumptions!$B$12)/Projects!$D$41*0.95,0)-IF(AND(Projects!$G$41="Yes",V$3=Projects!$C$41+Projects!$D$41-1),Projects!$B$41*(Assumptions!$B$10+Assumptions!$B$11+Assumptions!$B$12)*0.05,0)</f>
        <v>0</v>
      </c>
      <c r="W50" s="19" t="n">
        <f aca="false">IF(AND(Projects!$G$41="Yes",W$3&gt;=Projects!$C$41,W$3&lt;Projects!$C$41+Projects!$D$41),Projects!$B$41*INDEX(Curves!$B$4:$AR$4,1,W$3-Projects!$C$41+1),0)-IF(AND(Projects!$G$41="Yes",W$3&gt;=Projects!$C$41,W$3&lt;Projects!$C$41+Projects!$D$41),Projects!$B$41*(Assumptions!$B$10+Assumptions!$B$11+Assumptions!$B$12)/Projects!$D$41*0.95,0)-IF(AND(Projects!$G$41="Yes",W$3=Projects!$C$41+Projects!$D$41-1),Projects!$B$41*(Assumptions!$B$10+Assumptions!$B$11+Assumptions!$B$12)*0.05,0)</f>
        <v>0</v>
      </c>
      <c r="X50" s="19" t="n">
        <f aca="false">IF(AND(Projects!$G$41="Yes",X$3&gt;=Projects!$C$41,X$3&lt;Projects!$C$41+Projects!$D$41),Projects!$B$41*INDEX(Curves!$B$4:$AR$4,1,X$3-Projects!$C$41+1),0)-IF(AND(Projects!$G$41="Yes",X$3&gt;=Projects!$C$41,X$3&lt;Projects!$C$41+Projects!$D$41),Projects!$B$41*(Assumptions!$B$10+Assumptions!$B$11+Assumptions!$B$12)/Projects!$D$41*0.95,0)-IF(AND(Projects!$G$41="Yes",X$3=Projects!$C$41+Projects!$D$41-1),Projects!$B$41*(Assumptions!$B$10+Assumptions!$B$11+Assumptions!$B$12)*0.05,0)</f>
        <v>0</v>
      </c>
      <c r="Y50" s="19" t="n">
        <f aca="false">IF(AND(Projects!$G$41="Yes",Y$3&gt;=Projects!$C$41,Y$3&lt;Projects!$C$41+Projects!$D$41),Projects!$B$41*INDEX(Curves!$B$4:$AR$4,1,Y$3-Projects!$C$41+1),0)-IF(AND(Projects!$G$41="Yes",Y$3&gt;=Projects!$C$41,Y$3&lt;Projects!$C$41+Projects!$D$41),Projects!$B$41*(Assumptions!$B$10+Assumptions!$B$11+Assumptions!$B$12)/Projects!$D$41*0.95,0)-IF(AND(Projects!$G$41="Yes",Y$3=Projects!$C$41+Projects!$D$41-1),Projects!$B$41*(Assumptions!$B$10+Assumptions!$B$11+Assumptions!$B$12)*0.05,0)</f>
        <v>0</v>
      </c>
      <c r="Z50" s="19" t="n">
        <f aca="false">IF(AND(Projects!$G$41="Yes",Z$3&gt;=Projects!$C$41,Z$3&lt;Projects!$C$41+Projects!$D$41),Projects!$B$41*INDEX(Curves!$B$4:$AR$4,1,Z$3-Projects!$C$41+1),0)-IF(AND(Projects!$G$41="Yes",Z$3&gt;=Projects!$C$41,Z$3&lt;Projects!$C$41+Projects!$D$41),Projects!$B$41*(Assumptions!$B$10+Assumptions!$B$11+Assumptions!$B$12)/Projects!$D$41*0.95,0)-IF(AND(Projects!$G$41="Yes",Z$3=Projects!$C$41+Projects!$D$41-1),Projects!$B$41*(Assumptions!$B$10+Assumptions!$B$11+Assumptions!$B$12)*0.05,0)</f>
        <v>0</v>
      </c>
      <c r="AA50" s="19" t="n">
        <f aca="false">IF(AND(Projects!$G$41="Yes",AA$3&gt;=Projects!$C$41,AA$3&lt;Projects!$C$41+Projects!$D$41),Projects!$B$41*INDEX(Curves!$B$4:$AR$4,1,AA$3-Projects!$C$41+1),0)-IF(AND(Projects!$G$41="Yes",AA$3&gt;=Projects!$C$41,AA$3&lt;Projects!$C$41+Projects!$D$41),Projects!$B$41*(Assumptions!$B$10+Assumptions!$B$11+Assumptions!$B$12)/Projects!$D$41*0.95,0)-IF(AND(Projects!$G$41="Yes",AA$3=Projects!$C$41+Projects!$D$41-1),Projects!$B$41*(Assumptions!$B$10+Assumptions!$B$11+Assumptions!$B$12)*0.05,0)</f>
        <v>0</v>
      </c>
      <c r="AB50" s="19" t="n">
        <f aca="false">IF(AND(Projects!$G$41="Yes",AB$3&gt;=Projects!$C$41,AB$3&lt;Projects!$C$41+Projects!$D$41),Projects!$B$41*INDEX(Curves!$B$4:$AR$4,1,AB$3-Projects!$C$41+1),0)-IF(AND(Projects!$G$41="Yes",AB$3&gt;=Projects!$C$41,AB$3&lt;Projects!$C$41+Projects!$D$41),Projects!$B$41*(Assumptions!$B$10+Assumptions!$B$11+Assumptions!$B$12)/Projects!$D$41*0.95,0)-IF(AND(Projects!$G$41="Yes",AB$3=Projects!$C$41+Projects!$D$41-1),Projects!$B$41*(Assumptions!$B$10+Assumptions!$B$11+Assumptions!$B$12)*0.05,0)</f>
        <v>0</v>
      </c>
      <c r="AC50" s="19" t="n">
        <f aca="false">IF(AND(Projects!$G$41="Yes",AC$3&gt;=Projects!$C$41,AC$3&lt;Projects!$C$41+Projects!$D$41),Projects!$B$41*INDEX(Curves!$B$4:$AR$4,1,AC$3-Projects!$C$41+1),0)-IF(AND(Projects!$G$41="Yes",AC$3&gt;=Projects!$C$41,AC$3&lt;Projects!$C$41+Projects!$D$41),Projects!$B$41*(Assumptions!$B$10+Assumptions!$B$11+Assumptions!$B$12)/Projects!$D$41*0.95,0)-IF(AND(Projects!$G$41="Yes",AC$3=Projects!$C$41+Projects!$D$41-1),Projects!$B$41*(Assumptions!$B$10+Assumptions!$B$11+Assumptions!$B$12)*0.05,0)</f>
        <v>0</v>
      </c>
      <c r="AD50" s="19" t="n">
        <f aca="false">IF(AND(Projects!$G$41="Yes",AD$3&gt;=Projects!$C$41,AD$3&lt;Projects!$C$41+Projects!$D$41),Projects!$B$41*INDEX(Curves!$B$4:$AR$4,1,AD$3-Projects!$C$41+1),0)-IF(AND(Projects!$G$41="Yes",AD$3&gt;=Projects!$C$41,AD$3&lt;Projects!$C$41+Projects!$D$41),Projects!$B$41*(Assumptions!$B$10+Assumptions!$B$11+Assumptions!$B$12)/Projects!$D$41*0.95,0)-IF(AND(Projects!$G$41="Yes",AD$3=Projects!$C$41+Projects!$D$41-1),Projects!$B$41*(Assumptions!$B$10+Assumptions!$B$11+Assumptions!$B$12)*0.05,0)</f>
        <v>0</v>
      </c>
      <c r="AE50" s="19" t="n">
        <f aca="false">IF(AND(Projects!$G$41="Yes",AE$3&gt;=Projects!$C$41,AE$3&lt;Projects!$C$41+Projects!$D$41),Projects!$B$41*INDEX(Curves!$B$4:$AR$4,1,AE$3-Projects!$C$41+1),0)-IF(AND(Projects!$G$41="Yes",AE$3&gt;=Projects!$C$41,AE$3&lt;Projects!$C$41+Projects!$D$41),Projects!$B$41*(Assumptions!$B$10+Assumptions!$B$11+Assumptions!$B$12)/Projects!$D$41*0.95,0)-IF(AND(Projects!$G$41="Yes",AE$3=Projects!$C$41+Projects!$D$41-1),Projects!$B$41*(Assumptions!$B$10+Assumptions!$B$11+Assumptions!$B$12)*0.05,0)</f>
        <v>0</v>
      </c>
      <c r="AF50" s="19" t="n">
        <f aca="false">IF(AND(Projects!$G$41="Yes",AF$3&gt;=Projects!$C$41,AF$3&lt;Projects!$C$41+Projects!$D$41),Projects!$B$41*INDEX(Curves!$B$4:$AR$4,1,AF$3-Projects!$C$41+1),0)-IF(AND(Projects!$G$41="Yes",AF$3&gt;=Projects!$C$41,AF$3&lt;Projects!$C$41+Projects!$D$41),Projects!$B$41*(Assumptions!$B$10+Assumptions!$B$11+Assumptions!$B$12)/Projects!$D$41*0.95,0)-IF(AND(Projects!$G$41="Yes",AF$3=Projects!$C$41+Projects!$D$41-1),Projects!$B$41*(Assumptions!$B$10+Assumptions!$B$11+Assumptions!$B$12)*0.05,0)</f>
        <v>0</v>
      </c>
      <c r="AG50" s="19" t="n">
        <f aca="false">IF(AND(Projects!$G$41="Yes",AG$3&gt;=Projects!$C$41,AG$3&lt;Projects!$C$41+Projects!$D$41),Projects!$B$41*INDEX(Curves!$B$4:$AR$4,1,AG$3-Projects!$C$41+1),0)-IF(AND(Projects!$G$41="Yes",AG$3&gt;=Projects!$C$41,AG$3&lt;Projects!$C$41+Projects!$D$41),Projects!$B$41*(Assumptions!$B$10+Assumptions!$B$11+Assumptions!$B$12)/Projects!$D$41*0.95,0)-IF(AND(Projects!$G$41="Yes",AG$3=Projects!$C$41+Projects!$D$41-1),Projects!$B$41*(Assumptions!$B$10+Assumptions!$B$11+Assumptions!$B$12)*0.05,0)</f>
        <v>0</v>
      </c>
      <c r="AH50" s="19" t="n">
        <f aca="false">IF(AND(Projects!$G$41="Yes",AH$3&gt;=Projects!$C$41,AH$3&lt;Projects!$C$41+Projects!$D$41),Projects!$B$41*INDEX(Curves!$B$4:$AR$4,1,AH$3-Projects!$C$41+1),0)-IF(AND(Projects!$G$41="Yes",AH$3&gt;=Projects!$C$41,AH$3&lt;Projects!$C$41+Projects!$D$41),Projects!$B$41*(Assumptions!$B$10+Assumptions!$B$11+Assumptions!$B$12)/Projects!$D$41*0.95,0)-IF(AND(Projects!$G$41="Yes",AH$3=Projects!$C$41+Projects!$D$41-1),Projects!$B$41*(Assumptions!$B$10+Assumptions!$B$11+Assumptions!$B$12)*0.05,0)</f>
        <v>0</v>
      </c>
      <c r="AI50" s="19" t="n">
        <f aca="false">IF(AND(Projects!$G$41="Yes",AI$3&gt;=Projects!$C$41,AI$3&lt;Projects!$C$41+Projects!$D$41),Projects!$B$41*INDEX(Curves!$B$4:$AR$4,1,AI$3-Projects!$C$41+1),0)-IF(AND(Projects!$G$41="Yes",AI$3&gt;=Projects!$C$41,AI$3&lt;Projects!$C$41+Projects!$D$41),Projects!$B$41*(Assumptions!$B$10+Assumptions!$B$11+Assumptions!$B$12)/Projects!$D$41*0.95,0)-IF(AND(Projects!$G$41="Yes",AI$3=Projects!$C$41+Projects!$D$41-1),Projects!$B$41*(Assumptions!$B$10+Assumptions!$B$11+Assumptions!$B$12)*0.05,0)</f>
        <v>0</v>
      </c>
      <c r="AJ50" s="19" t="n">
        <f aca="false">IF(AND(Projects!$G$41="Yes",AJ$3&gt;=Projects!$C$41,AJ$3&lt;Projects!$C$41+Projects!$D$41),Projects!$B$41*INDEX(Curves!$B$4:$AR$4,1,AJ$3-Projects!$C$41+1),0)-IF(AND(Projects!$G$41="Yes",AJ$3&gt;=Projects!$C$41,AJ$3&lt;Projects!$C$41+Projects!$D$41),Projects!$B$41*(Assumptions!$B$10+Assumptions!$B$11+Assumptions!$B$12)/Projects!$D$41*0.95,0)-IF(AND(Projects!$G$41="Yes",AJ$3=Projects!$C$41+Projects!$D$41-1),Projects!$B$41*(Assumptions!$B$10+Assumptions!$B$11+Assumptions!$B$12)*0.05,0)</f>
        <v>0</v>
      </c>
      <c r="AK50" s="19" t="n">
        <f aca="false">IF(AND(Projects!$G$41="Yes",AK$3&gt;=Projects!$C$41,AK$3&lt;Projects!$C$41+Projects!$D$41),Projects!$B$41*INDEX(Curves!$B$4:$AR$4,1,AK$3-Projects!$C$41+1),0)-IF(AND(Projects!$G$41="Yes",AK$3&gt;=Projects!$C$41,AK$3&lt;Projects!$C$41+Projects!$D$41),Projects!$B$41*(Assumptions!$B$10+Assumptions!$B$11+Assumptions!$B$12)/Projects!$D$41*0.95,0)-IF(AND(Projects!$G$41="Yes",AK$3=Projects!$C$41+Projects!$D$41-1),Projects!$B$41*(Assumptions!$B$10+Assumptions!$B$11+Assumptions!$B$12)*0.05,0)</f>
        <v>0</v>
      </c>
      <c r="AL50" s="19" t="n">
        <f aca="false">IF(AND(Projects!$G$41="Yes",AL$3&gt;=Projects!$C$41,AL$3&lt;Projects!$C$41+Projects!$D$41),Projects!$B$41*INDEX(Curves!$B$4:$AR$4,1,AL$3-Projects!$C$41+1),0)-IF(AND(Projects!$G$41="Yes",AL$3&gt;=Projects!$C$41,AL$3&lt;Projects!$C$41+Projects!$D$41),Projects!$B$41*(Assumptions!$B$10+Assumptions!$B$11+Assumptions!$B$12)/Projects!$D$41*0.95,0)-IF(AND(Projects!$G$41="Yes",AL$3=Projects!$C$41+Projects!$D$41-1),Projects!$B$41*(Assumptions!$B$10+Assumptions!$B$11+Assumptions!$B$12)*0.05,0)</f>
        <v>0</v>
      </c>
      <c r="AM50" s="19" t="n">
        <f aca="false">IF(AND(Projects!$G$41="Yes",AM$3&gt;=Projects!$C$41,AM$3&lt;Projects!$C$41+Projects!$D$41),Projects!$B$41*INDEX(Curves!$B$4:$AR$4,1,AM$3-Projects!$C$41+1),0)-IF(AND(Projects!$G$41="Yes",AM$3&gt;=Projects!$C$41,AM$3&lt;Projects!$C$41+Projects!$D$41),Projects!$B$41*(Assumptions!$B$10+Assumptions!$B$11+Assumptions!$B$12)/Projects!$D$41*0.95,0)-IF(AND(Projects!$G$41="Yes",AM$3=Projects!$C$41+Projects!$D$41-1),Projects!$B$41*(Assumptions!$B$10+Assumptions!$B$11+Assumptions!$B$12)*0.05,0)</f>
        <v>0</v>
      </c>
      <c r="AN50" s="19" t="n">
        <f aca="false">IF(AND(Projects!$G$41="Yes",AN$3&gt;=Projects!$C$41,AN$3&lt;Projects!$C$41+Projects!$D$41),Projects!$B$41*INDEX(Curves!$B$4:$AR$4,1,AN$3-Projects!$C$41+1),0)-IF(AND(Projects!$G$41="Yes",AN$3&gt;=Projects!$C$41,AN$3&lt;Projects!$C$41+Projects!$D$41),Projects!$B$41*(Assumptions!$B$10+Assumptions!$B$11+Assumptions!$B$12)/Projects!$D$41*0.95,0)-IF(AND(Projects!$G$41="Yes",AN$3=Projects!$C$41+Projects!$D$41-1),Projects!$B$41*(Assumptions!$B$10+Assumptions!$B$11+Assumptions!$B$12)*0.05,0)</f>
        <v>0</v>
      </c>
      <c r="AO50" s="19" t="n">
        <f aca="false">IF(AND(Projects!$G$41="Yes",AO$3&gt;=Projects!$C$41,AO$3&lt;Projects!$C$41+Projects!$D$41),Projects!$B$41*INDEX(Curves!$B$4:$AR$4,1,AO$3-Projects!$C$41+1),0)-IF(AND(Projects!$G$41="Yes",AO$3&gt;=Projects!$C$41,AO$3&lt;Projects!$C$41+Projects!$D$41),Projects!$B$41*(Assumptions!$B$10+Assumptions!$B$11+Assumptions!$B$12)/Projects!$D$41*0.95,0)-IF(AND(Projects!$G$41="Yes",AO$3=Projects!$C$41+Projects!$D$41-1),Projects!$B$41*(Assumptions!$B$10+Assumptions!$B$11+Assumptions!$B$12)*0.05,0)</f>
        <v>0</v>
      </c>
      <c r="AP50" s="19" t="n">
        <f aca="false">IF(AND(Projects!$G$41="Yes",AP$3&gt;=Projects!$C$41,AP$3&lt;Projects!$C$41+Projects!$D$41),Projects!$B$41*INDEX(Curves!$B$4:$AR$4,1,AP$3-Projects!$C$41+1),0)-IF(AND(Projects!$G$41="Yes",AP$3&gt;=Projects!$C$41,AP$3&lt;Projects!$C$41+Projects!$D$41),Projects!$B$41*(Assumptions!$B$10+Assumptions!$B$11+Assumptions!$B$12)/Projects!$D$41*0.95,0)-IF(AND(Projects!$G$41="Yes",AP$3=Projects!$C$41+Projects!$D$41-1),Projects!$B$41*(Assumptions!$B$10+Assumptions!$B$11+Assumptions!$B$12)*0.05,0)</f>
        <v>0</v>
      </c>
      <c r="AQ50" s="19" t="n">
        <f aca="false">IF(AND(Projects!$G$41="Yes",AQ$3&gt;=Projects!$C$41,AQ$3&lt;Projects!$C$41+Projects!$D$41),Projects!$B$41*INDEX(Curves!$B$4:$AR$4,1,AQ$3-Projects!$C$41+1),0)-IF(AND(Projects!$G$41="Yes",AQ$3&gt;=Projects!$C$41,AQ$3&lt;Projects!$C$41+Projects!$D$41),Projects!$B$41*(Assumptions!$B$10+Assumptions!$B$11+Assumptions!$B$12)/Projects!$D$41*0.95,0)-IF(AND(Projects!$G$41="Yes",AQ$3=Projects!$C$41+Projects!$D$41-1),Projects!$B$41*(Assumptions!$B$10+Assumptions!$B$11+Assumptions!$B$12)*0.05,0)</f>
        <v>0</v>
      </c>
      <c r="AR50" s="19" t="n">
        <f aca="false">IF(AND(Projects!$G$41="Yes",AR$3&gt;=Projects!$C$41,AR$3&lt;Projects!$C$41+Projects!$D$41),Projects!$B$41*INDEX(Curves!$B$4:$AR$4,1,AR$3-Projects!$C$41+1),0)-IF(AND(Projects!$G$41="Yes",AR$3&gt;=Projects!$C$41,AR$3&lt;Projects!$C$41+Projects!$D$41),Projects!$B$41*(Assumptions!$B$10+Assumptions!$B$11+Assumptions!$B$12)/Projects!$D$41*0.95,0)-IF(AND(Projects!$G$41="Yes",AR$3=Projects!$C$41+Projects!$D$41-1),Projects!$B$41*(Assumptions!$B$10+Assumptions!$B$11+Assumptions!$B$12)*0.05,0)</f>
        <v>0</v>
      </c>
      <c r="AS50" s="19" t="n">
        <f aca="false">IF(AND(Projects!$G$41="Yes",AS$3&gt;=Projects!$C$41,AS$3&lt;Projects!$C$41+Projects!$D$41),Projects!$B$41*INDEX(Curves!$B$4:$AR$4,1,AS$3-Projects!$C$41+1),0)-IF(AND(Projects!$G$41="Yes",AS$3&gt;=Projects!$C$41,AS$3&lt;Projects!$C$41+Projects!$D$41),Projects!$B$41*(Assumptions!$B$10+Assumptions!$B$11+Assumptions!$B$12)/Projects!$D$41*0.95,0)-IF(AND(Projects!$G$41="Yes",AS$3=Projects!$C$41+Projects!$D$41-1),Projects!$B$41*(Assumptions!$B$10+Assumptions!$B$11+Assumptions!$B$12)*0.05,0)</f>
        <v>0</v>
      </c>
      <c r="AT50" s="19" t="n">
        <f aca="false">IF(AND(Projects!$G$41="Yes",AT$3&gt;=Projects!$C$41,AT$3&lt;Projects!$C$41+Projects!$D$41),Projects!$B$41*INDEX(Curves!$B$4:$AR$4,1,AT$3-Projects!$C$41+1),0)-IF(AND(Projects!$G$41="Yes",AT$3&gt;=Projects!$C$41,AT$3&lt;Projects!$C$41+Projects!$D$41),Projects!$B$41*(Assumptions!$B$10+Assumptions!$B$11+Assumptions!$B$12)/Projects!$D$41*0.95,0)-IF(AND(Projects!$G$41="Yes",AT$3=Projects!$C$41+Projects!$D$41-1),Projects!$B$41*(Assumptions!$B$10+Assumptions!$B$11+Assumptions!$B$12)*0.05,0)</f>
        <v>0</v>
      </c>
      <c r="AU50" s="19" t="n">
        <f aca="false">IF(AND(Projects!$G$41="Yes",AU$3&gt;=Projects!$C$41,AU$3&lt;Projects!$C$41+Projects!$D$41),Projects!$B$41*INDEX(Curves!$B$4:$AR$4,1,AU$3-Projects!$C$41+1),0)-IF(AND(Projects!$G$41="Yes",AU$3&gt;=Projects!$C$41,AU$3&lt;Projects!$C$41+Projects!$D$41),Projects!$B$41*(Assumptions!$B$10+Assumptions!$B$11+Assumptions!$B$12)/Projects!$D$41*0.95,0)-IF(AND(Projects!$G$41="Yes",AU$3=Projects!$C$41+Projects!$D$41-1),Projects!$B$41*(Assumptions!$B$10+Assumptions!$B$11+Assumptions!$B$12)*0.05,0)</f>
        <v>0</v>
      </c>
      <c r="AV50" s="19" t="n">
        <f aca="false">IF(AND(Projects!$G$41="Yes",AV$3&gt;=Projects!$C$41,AV$3&lt;Projects!$C$41+Projects!$D$41),Projects!$B$41*INDEX(Curves!$B$4:$AR$4,1,AV$3-Projects!$C$41+1),0)-IF(AND(Projects!$G$41="Yes",AV$3&gt;=Projects!$C$41,AV$3&lt;Projects!$C$41+Projects!$D$41),Projects!$B$41*(Assumptions!$B$10+Assumptions!$B$11+Assumptions!$B$12)/Projects!$D$41*0.95,0)-IF(AND(Projects!$G$41="Yes",AV$3=Projects!$C$41+Projects!$D$41-1),Projects!$B$41*(Assumptions!$B$10+Assumptions!$B$11+Assumptions!$B$12)*0.05,0)</f>
        <v>0</v>
      </c>
      <c r="AW50" s="19" t="n">
        <f aca="false">IF(AND(Projects!$G$41="Yes",AW$3&gt;=Projects!$C$41,AW$3&lt;Projects!$C$41+Projects!$D$41),Projects!$B$41*INDEX(Curves!$B$4:$AR$4,1,AW$3-Projects!$C$41+1),0)-IF(AND(Projects!$G$41="Yes",AW$3&gt;=Projects!$C$41,AW$3&lt;Projects!$C$41+Projects!$D$41),Projects!$B$41*(Assumptions!$B$10+Assumptions!$B$11+Assumptions!$B$12)/Projects!$D$41*0.95,0)-IF(AND(Projects!$G$41="Yes",AW$3=Projects!$C$41+Projects!$D$41-1),Projects!$B$41*(Assumptions!$B$10+Assumptions!$B$11+Assumptions!$B$12)*0.05,0)</f>
        <v>0</v>
      </c>
      <c r="AX50" s="19" t="n">
        <f aca="false">IF(AND(Projects!$G$41="Yes",AX$3&gt;=Projects!$C$41,AX$3&lt;Projects!$C$41+Projects!$D$41),Projects!$B$41*INDEX(Curves!$B$4:$AR$4,1,AX$3-Projects!$C$41+1),0)-IF(AND(Projects!$G$41="Yes",AX$3&gt;=Projects!$C$41,AX$3&lt;Projects!$C$41+Projects!$D$41),Projects!$B$41*(Assumptions!$B$10+Assumptions!$B$11+Assumptions!$B$12)/Projects!$D$41*0.95,0)-IF(AND(Projects!$G$41="Yes",AX$3=Projects!$C$41+Projects!$D$41-1),Projects!$B$41*(Assumptions!$B$10+Assumptions!$B$11+Assumptions!$B$12)*0.05,0)</f>
        <v>0</v>
      </c>
      <c r="AY50" s="19" t="n">
        <f aca="false">IF(AND(Projects!$G$41="Yes",AY$3&gt;=Projects!$C$41,AY$3&lt;Projects!$C$41+Projects!$D$41),Projects!$B$41*INDEX(Curves!$B$4:$AR$4,1,AY$3-Projects!$C$41+1),0)-IF(AND(Projects!$G$41="Yes",AY$3&gt;=Projects!$C$41,AY$3&lt;Projects!$C$41+Projects!$D$41),Projects!$B$41*(Assumptions!$B$10+Assumptions!$B$11+Assumptions!$B$12)/Projects!$D$41*0.95,0)-IF(AND(Projects!$G$41="Yes",AY$3=Projects!$C$41+Projects!$D$41-1),Projects!$B$41*(Assumptions!$B$10+Assumptions!$B$11+Assumptions!$B$12)*0.05,0)</f>
        <v>0</v>
      </c>
      <c r="AZ50" s="19" t="n">
        <f aca="false">IF(AND(Projects!$G$41="Yes",AZ$3&gt;=Projects!$C$41,AZ$3&lt;Projects!$C$41+Projects!$D$41),Projects!$B$41*INDEX(Curves!$B$4:$AR$4,1,AZ$3-Projects!$C$41+1),0)-IF(AND(Projects!$G$41="Yes",AZ$3&gt;=Projects!$C$41,AZ$3&lt;Projects!$C$41+Projects!$D$41),Projects!$B$41*(Assumptions!$B$10+Assumptions!$B$11+Assumptions!$B$12)/Projects!$D$41*0.95,0)-IF(AND(Projects!$G$41="Yes",AZ$3=Projects!$C$41+Projects!$D$41-1),Projects!$B$41*(Assumptions!$B$10+Assumptions!$B$11+Assumptions!$B$12)*0.05,0)</f>
        <v>0</v>
      </c>
      <c r="BA50" s="19" t="n">
        <f aca="false">IF(AND(Projects!$G$41="Yes",BA$3&gt;=Projects!$C$41,BA$3&lt;Projects!$C$41+Projects!$D$41),Projects!$B$41*INDEX(Curves!$B$4:$AR$4,1,BA$3-Projects!$C$41+1),0)-IF(AND(Projects!$G$41="Yes",BA$3&gt;=Projects!$C$41,BA$3&lt;Projects!$C$41+Projects!$D$41),Projects!$B$41*(Assumptions!$B$10+Assumptions!$B$11+Assumptions!$B$12)/Projects!$D$41*0.95,0)-IF(AND(Projects!$G$41="Yes",BA$3=Projects!$C$41+Projects!$D$41-1),Projects!$B$41*(Assumptions!$B$10+Assumptions!$B$11+Assumptions!$B$12)*0.05,0)</f>
        <v>0</v>
      </c>
      <c r="BB50" s="19" t="n">
        <f aca="false">IF(AND(Projects!$G$41="Yes",BB$3&gt;=Projects!$C$41,BB$3&lt;Projects!$C$41+Projects!$D$41),Projects!$B$41*INDEX(Curves!$B$4:$AR$4,1,BB$3-Projects!$C$41+1),0)-IF(AND(Projects!$G$41="Yes",BB$3&gt;=Projects!$C$41,BB$3&lt;Projects!$C$41+Projects!$D$41),Projects!$B$41*(Assumptions!$B$10+Assumptions!$B$11+Assumptions!$B$12)/Projects!$D$41*0.95,0)-IF(AND(Projects!$G$41="Yes",BB$3=Projects!$C$41+Projects!$D$41-1),Projects!$B$41*(Assumptions!$B$10+Assumptions!$B$11+Assumptions!$B$12)*0.05,0)</f>
        <v>0</v>
      </c>
      <c r="BC50" s="19" t="n">
        <f aca="false">IF(AND(Projects!$G$41="Yes",BC$3&gt;=Projects!$C$41,BC$3&lt;Projects!$C$41+Projects!$D$41),Projects!$B$41*INDEX(Curves!$B$4:$AR$4,1,BC$3-Projects!$C$41+1),0)-IF(AND(Projects!$G$41="Yes",BC$3&gt;=Projects!$C$41,BC$3&lt;Projects!$C$41+Projects!$D$41),Projects!$B$41*(Assumptions!$B$10+Assumptions!$B$11+Assumptions!$B$12)/Projects!$D$41*0.95,0)-IF(AND(Projects!$G$41="Yes",BC$3=Projects!$C$41+Projects!$D$41-1),Projects!$B$41*(Assumptions!$B$10+Assumptions!$B$11+Assumptions!$B$12)*0.05,0)</f>
        <v>307461.75</v>
      </c>
      <c r="BD50" s="19" t="n">
        <f aca="false">IF(AND(Projects!$G$41="Yes",BD$3&gt;=Projects!$C$41,BD$3&lt;Projects!$C$41+Projects!$D$41),Projects!$B$41*INDEX(Curves!$B$4:$AR$4,1,BD$3-Projects!$C$41+1),0)-IF(AND(Projects!$G$41="Yes",BD$3&gt;=Projects!$C$41,BD$3&lt;Projects!$C$41+Projects!$D$41),Projects!$B$41*(Assumptions!$B$10+Assumptions!$B$11+Assumptions!$B$12)/Projects!$D$41*0.95,0)-IF(AND(Projects!$G$41="Yes",BD$3=Projects!$C$41+Projects!$D$41-1),Projects!$B$41*(Assumptions!$B$10+Assumptions!$B$11+Assumptions!$B$12)*0.05,0)</f>
        <v>401121.75</v>
      </c>
      <c r="BE50" s="19" t="n">
        <f aca="false">IF(AND(Projects!$G$41="Yes",BE$3&gt;=Projects!$C$41,BE$3&lt;Projects!$C$41+Projects!$D$41),Projects!$B$41*INDEX(Curves!$B$4:$AR$4,1,BE$3-Projects!$C$41+1),0)-IF(AND(Projects!$G$41="Yes",BE$3&gt;=Projects!$C$41,BE$3&lt;Projects!$C$41+Projects!$D$41),Projects!$B$41*(Assumptions!$B$10+Assumptions!$B$11+Assumptions!$B$12)/Projects!$D$41*0.95,0)-IF(AND(Projects!$G$41="Yes",BE$3=Projects!$C$41+Projects!$D$41-1),Projects!$B$41*(Assumptions!$B$10+Assumptions!$B$11+Assumptions!$B$12)*0.05,0)</f>
        <v>501936.75</v>
      </c>
      <c r="BF50" s="19" t="n">
        <f aca="false">IF(AND(Projects!$G$41="Yes",BF$3&gt;=Projects!$C$41,BF$3&lt;Projects!$C$41+Projects!$D$41),Projects!$B$41*INDEX(Curves!$B$4:$AR$4,1,BF$3-Projects!$C$41+1),0)-IF(AND(Projects!$G$41="Yes",BF$3&gt;=Projects!$C$41,BF$3&lt;Projects!$C$41+Projects!$D$41),Projects!$B$41*(Assumptions!$B$10+Assumptions!$B$11+Assumptions!$B$12)/Projects!$D$41*0.95,0)-IF(AND(Projects!$G$41="Yes",BF$3=Projects!$C$41+Projects!$D$41-1),Projects!$B$41*(Assumptions!$B$10+Assumptions!$B$11+Assumptions!$B$12)*0.05,0)</f>
        <v>605886.75</v>
      </c>
      <c r="BG50" s="19" t="n">
        <f aca="false">IF(AND(Projects!$G$41="Yes",BG$3&gt;=Projects!$C$41,BG$3&lt;Projects!$C$41+Projects!$D$41),Projects!$B$41*INDEX(Curves!$B$4:$AR$4,1,BG$3-Projects!$C$41+1),0)-IF(AND(Projects!$G$41="Yes",BG$3&gt;=Projects!$C$41,BG$3&lt;Projects!$C$41+Projects!$D$41),Projects!$B$41*(Assumptions!$B$10+Assumptions!$B$11+Assumptions!$B$12)/Projects!$D$41*0.95,0)-IF(AND(Projects!$G$41="Yes",BG$3=Projects!$C$41+Projects!$D$41-1),Projects!$B$41*(Assumptions!$B$10+Assumptions!$B$11+Assumptions!$B$12)*0.05,0)</f>
        <v>707976.75</v>
      </c>
      <c r="BH50" s="19" t="n">
        <f aca="false">IF(AND(Projects!$G$41="Yes",BH$3&gt;=Projects!$C$41,BH$3&lt;Projects!$C$41+Projects!$D$41),Projects!$B$41*INDEX(Curves!$B$4:$AR$4,1,BH$3-Projects!$C$41+1),0)-IF(AND(Projects!$G$41="Yes",BH$3&gt;=Projects!$C$41,BH$3&lt;Projects!$C$41+Projects!$D$41),Projects!$B$41*(Assumptions!$B$10+Assumptions!$B$11+Assumptions!$B$12)/Projects!$D$41*0.95,0)-IF(AND(Projects!$G$41="Yes",BH$3=Projects!$C$41+Projects!$D$41-1),Projects!$B$41*(Assumptions!$B$10+Assumptions!$B$11+Assumptions!$B$12)*0.05,0)</f>
        <v>802536.75</v>
      </c>
      <c r="BI50" s="19" t="n">
        <f aca="false">IF(AND(Projects!$G$41="Yes",BI$3&gt;=Projects!$C$41,BI$3&lt;Projects!$C$41+Projects!$D$41),Projects!$B$41*INDEX(Curves!$B$4:$AR$4,1,BI$3-Projects!$C$41+1),0)-IF(AND(Projects!$G$41="Yes",BI$3&gt;=Projects!$C$41,BI$3&lt;Projects!$C$41+Projects!$D$41),Projects!$B$41*(Assumptions!$B$10+Assumptions!$B$11+Assumptions!$B$12)/Projects!$D$41*0.95,0)-IF(AND(Projects!$G$41="Yes",BI$3=Projects!$C$41+Projects!$D$41-1),Projects!$B$41*(Assumptions!$B$10+Assumptions!$B$11+Assumptions!$B$12)*0.05,0)</f>
        <v>883761.75</v>
      </c>
      <c r="BJ50" s="19" t="n">
        <f aca="false">IF(AND(Projects!$G$41="Yes",BJ$3&gt;=Projects!$C$41,BJ$3&lt;Projects!$C$41+Projects!$D$41),Projects!$B$41*INDEX(Curves!$B$4:$AR$4,1,BJ$3-Projects!$C$41+1),0)-IF(AND(Projects!$G$41="Yes",BJ$3&gt;=Projects!$C$41,BJ$3&lt;Projects!$C$41+Projects!$D$41),Projects!$B$41*(Assumptions!$B$10+Assumptions!$B$11+Assumptions!$B$12)/Projects!$D$41*0.95,0)-IF(AND(Projects!$G$41="Yes",BJ$3=Projects!$C$41+Projects!$D$41-1),Projects!$B$41*(Assumptions!$B$10+Assumptions!$B$11+Assumptions!$B$12)*0.05,0)</f>
        <v>946266.75</v>
      </c>
      <c r="BK50" s="19" t="n">
        <f aca="false">IF(AND(Projects!$G$41="Yes",BK$3&gt;=Projects!$C$41,BK$3&lt;Projects!$C$41+Projects!$D$41),Projects!$B$41*INDEX(Curves!$B$4:$AR$4,1,BK$3-Projects!$C$41+1),0)-IF(AND(Projects!$G$41="Yes",BK$3&gt;=Projects!$C$41,BK$3&lt;Projects!$C$41+Projects!$D$41),Projects!$B$41*(Assumptions!$B$10+Assumptions!$B$11+Assumptions!$B$12)/Projects!$D$41*0.95,0)-IF(AND(Projects!$G$41="Yes",BK$3=Projects!$C$41+Projects!$D$41-1),Projects!$B$41*(Assumptions!$B$10+Assumptions!$B$11+Assumptions!$B$12)*0.05,0)</f>
        <v>985686.75</v>
      </c>
      <c r="BL50" s="19" t="n">
        <f aca="false">IF(AND(Projects!$G$41="Yes",BL$3&gt;=Projects!$C$41,BL$3&lt;Projects!$C$41+Projects!$D$41),Projects!$B$41*INDEX(Curves!$B$4:$AR$4,1,BL$3-Projects!$C$41+1),0)-IF(AND(Projects!$G$41="Yes",BL$3&gt;=Projects!$C$41,BL$3&lt;Projects!$C$41+Projects!$D$41),Projects!$B$41*(Assumptions!$B$10+Assumptions!$B$11+Assumptions!$B$12)/Projects!$D$41*0.95,0)-IF(AND(Projects!$G$41="Yes",BL$3=Projects!$C$41+Projects!$D$41-1),Projects!$B$41*(Assumptions!$B$10+Assumptions!$B$11+Assumptions!$B$12)*0.05,0)</f>
        <v>999156.75</v>
      </c>
      <c r="BM50" s="19" t="n">
        <f aca="false">IF(AND(Projects!$G$41="Yes",BM$3&gt;=Projects!$C$41,BM$3&lt;Projects!$C$41+Projects!$D$41),Projects!$B$41*INDEX(Curves!$B$4:$AR$4,1,BM$3-Projects!$C$41+1),0)-IF(AND(Projects!$G$41="Yes",BM$3&gt;=Projects!$C$41,BM$3&lt;Projects!$C$41+Projects!$D$41),Projects!$B$41*(Assumptions!$B$10+Assumptions!$B$11+Assumptions!$B$12)/Projects!$D$41*0.95,0)-IF(AND(Projects!$G$41="Yes",BM$3=Projects!$C$41+Projects!$D$41-1),Projects!$B$41*(Assumptions!$B$10+Assumptions!$B$11+Assumptions!$B$12)*0.05,0)</f>
        <v>985686.75</v>
      </c>
      <c r="BN50" s="19" t="n">
        <f aca="false">IF(AND(Projects!$G$41="Yes",BN$3&gt;=Projects!$C$41,BN$3&lt;Projects!$C$41+Projects!$D$41),Projects!$B$41*INDEX(Curves!$B$4:$AR$4,1,BN$3-Projects!$C$41+1),0)-IF(AND(Projects!$G$41="Yes",BN$3&gt;=Projects!$C$41,BN$3&lt;Projects!$C$41+Projects!$D$41),Projects!$B$41*(Assumptions!$B$10+Assumptions!$B$11+Assumptions!$B$12)/Projects!$D$41*0.95,0)-IF(AND(Projects!$G$41="Yes",BN$3=Projects!$C$41+Projects!$D$41-1),Projects!$B$41*(Assumptions!$B$10+Assumptions!$B$11+Assumptions!$B$12)*0.05,0)</f>
        <v>946266.75</v>
      </c>
      <c r="BO50" s="19" t="n">
        <f aca="false">IF(AND(Projects!$G$41="Yes",BO$3&gt;=Projects!$C$41,BO$3&lt;Projects!$C$41+Projects!$D$41),Projects!$B$41*INDEX(Curves!$B$4:$AR$4,1,BO$3-Projects!$C$41+1),0)-IF(AND(Projects!$G$41="Yes",BO$3&gt;=Projects!$C$41,BO$3&lt;Projects!$C$41+Projects!$D$41),Projects!$B$41*(Assumptions!$B$10+Assumptions!$B$11+Assumptions!$B$12)/Projects!$D$41*0.95,0)-IF(AND(Projects!$G$41="Yes",BO$3=Projects!$C$41+Projects!$D$41-1),Projects!$B$41*(Assumptions!$B$10+Assumptions!$B$11+Assumptions!$B$12)*0.05,0)</f>
        <v>883761.75</v>
      </c>
      <c r="BP50" s="19" t="n">
        <f aca="false">IF(AND(Projects!$G$41="Yes",BP$3&gt;=Projects!$C$41,BP$3&lt;Projects!$C$41+Projects!$D$41),Projects!$B$41*INDEX(Curves!$B$4:$AR$4,1,BP$3-Projects!$C$41+1),0)-IF(AND(Projects!$G$41="Yes",BP$3&gt;=Projects!$C$41,BP$3&lt;Projects!$C$41+Projects!$D$41),Projects!$B$41*(Assumptions!$B$10+Assumptions!$B$11+Assumptions!$B$12)/Projects!$D$41*0.95,0)-IF(AND(Projects!$G$41="Yes",BP$3=Projects!$C$41+Projects!$D$41-1),Projects!$B$41*(Assumptions!$B$10+Assumptions!$B$11+Assumptions!$B$12)*0.05,0)</f>
        <v>802536.75</v>
      </c>
      <c r="BQ50" s="19" t="n">
        <f aca="false">IF(AND(Projects!$G$41="Yes",BQ$3&gt;=Projects!$C$41,BQ$3&lt;Projects!$C$41+Projects!$D$41),Projects!$B$41*INDEX(Curves!$B$4:$AR$4,1,BQ$3-Projects!$C$41+1),0)-IF(AND(Projects!$G$41="Yes",BQ$3&gt;=Projects!$C$41,BQ$3&lt;Projects!$C$41+Projects!$D$41),Projects!$B$41*(Assumptions!$B$10+Assumptions!$B$11+Assumptions!$B$12)/Projects!$D$41*0.95,0)-IF(AND(Projects!$G$41="Yes",BQ$3=Projects!$C$41+Projects!$D$41-1),Projects!$B$41*(Assumptions!$B$10+Assumptions!$B$11+Assumptions!$B$12)*0.05,0)</f>
        <v>707976.75</v>
      </c>
      <c r="BR50" s="19" t="n">
        <f aca="false">IF(AND(Projects!$G$41="Yes",BR$3&gt;=Projects!$C$41,BR$3&lt;Projects!$C$41+Projects!$D$41),Projects!$B$41*INDEX(Curves!$B$4:$AR$4,1,BR$3-Projects!$C$41+1),0)-IF(AND(Projects!$G$41="Yes",BR$3&gt;=Projects!$C$41,BR$3&lt;Projects!$C$41+Projects!$D$41),Projects!$B$41*(Assumptions!$B$10+Assumptions!$B$11+Assumptions!$B$12)/Projects!$D$41*0.95,0)-IF(AND(Projects!$G$41="Yes",BR$3=Projects!$C$41+Projects!$D$41-1),Projects!$B$41*(Assumptions!$B$10+Assumptions!$B$11+Assumptions!$B$12)*0.05,0)</f>
        <v>605886.75</v>
      </c>
      <c r="BS50" s="19" t="n">
        <f aca="false">IF(AND(Projects!$G$41="Yes",BS$3&gt;=Projects!$C$41,BS$3&lt;Projects!$C$41+Projects!$D$41),Projects!$B$41*INDEX(Curves!$B$4:$AR$4,1,BS$3-Projects!$C$41+1),0)-IF(AND(Projects!$G$41="Yes",BS$3&gt;=Projects!$C$41,BS$3&lt;Projects!$C$41+Projects!$D$41),Projects!$B$41*(Assumptions!$B$10+Assumptions!$B$11+Assumptions!$B$12)/Projects!$D$41*0.95,0)-IF(AND(Projects!$G$41="Yes",BS$3=Projects!$C$41+Projects!$D$41-1),Projects!$B$41*(Assumptions!$B$10+Assumptions!$B$11+Assumptions!$B$12)*0.05,0)</f>
        <v>501936.75</v>
      </c>
      <c r="BT50" s="19" t="n">
        <f aca="false">IF(AND(Projects!$G$41="Yes",BT$3&gt;=Projects!$C$41,BT$3&lt;Projects!$C$41+Projects!$D$41),Projects!$B$41*INDEX(Curves!$B$4:$AR$4,1,BT$3-Projects!$C$41+1),0)-IF(AND(Projects!$G$41="Yes",BT$3&gt;=Projects!$C$41,BT$3&lt;Projects!$C$41+Projects!$D$41),Projects!$B$41*(Assumptions!$B$10+Assumptions!$B$11+Assumptions!$B$12)/Projects!$D$41*0.95,0)-IF(AND(Projects!$G$41="Yes",BT$3=Projects!$C$41+Projects!$D$41-1),Projects!$B$41*(Assumptions!$B$10+Assumptions!$B$11+Assumptions!$B$12)*0.05,0)</f>
        <v>401121.75</v>
      </c>
      <c r="BU50" s="19" t="n">
        <f aca="false">IF(AND(Projects!$G$41="Yes",BU$3&gt;=Projects!$C$41,BU$3&lt;Projects!$C$41+Projects!$D$41),Projects!$B$41*INDEX(Curves!$B$4:$AR$4,1,BU$3-Projects!$C$41+1),0)-IF(AND(Projects!$G$41="Yes",BU$3&gt;=Projects!$C$41,BU$3&lt;Projects!$C$41+Projects!$D$41),Projects!$B$41*(Assumptions!$B$10+Assumptions!$B$11+Assumptions!$B$12)/Projects!$D$41*0.95,0)-IF(AND(Projects!$G$41="Yes",BU$3=Projects!$C$41+Projects!$D$41-1),Projects!$B$41*(Assumptions!$B$10+Assumptions!$B$11+Assumptions!$B$12)*0.05,0)</f>
        <v>217168.5</v>
      </c>
      <c r="BV50" s="19" t="n">
        <f aca="false">IF(AND(Projects!$G$41="Yes",BV$3&gt;=Projects!$C$41,BV$3&lt;Projects!$C$41+Projects!$D$41),Projects!$B$41*INDEX(Curves!$B$4:$AR$4,1,BV$3-Projects!$C$41+1),0)-IF(AND(Projects!$G$41="Yes",BV$3&gt;=Projects!$C$41,BV$3&lt;Projects!$C$41+Projects!$D$41),Projects!$B$41*(Assumptions!$B$10+Assumptions!$B$11+Assumptions!$B$12)/Projects!$D$41*0.95,0)-IF(AND(Projects!$G$41="Yes",BV$3=Projects!$C$41+Projects!$D$41-1),Projects!$B$41*(Assumptions!$B$10+Assumptions!$B$11+Assumptions!$B$12)*0.05,0)</f>
        <v>0</v>
      </c>
      <c r="BW50" s="19" t="n">
        <f aca="false">IF(AND(Projects!$G$41="Yes",BW$3&gt;=Projects!$C$41,BW$3&lt;Projects!$C$41+Projects!$D$41),Projects!$B$41*INDEX(Curves!$B$4:$AR$4,1,BW$3-Projects!$C$41+1),0)-IF(AND(Projects!$G$41="Yes",BW$3&gt;=Projects!$C$41,BW$3&lt;Projects!$C$41+Projects!$D$41),Projects!$B$41*(Assumptions!$B$10+Assumptions!$B$11+Assumptions!$B$12)/Projects!$D$41*0.95,0)-IF(AND(Projects!$G$41="Yes",BW$3=Projects!$C$41+Projects!$D$41-1),Projects!$B$41*(Assumptions!$B$10+Assumptions!$B$11+Assumptions!$B$12)*0.05,0)</f>
        <v>0</v>
      </c>
      <c r="BX50" s="19" t="n">
        <f aca="false">IF(AND(Projects!$G$41="Yes",BX$3&gt;=Projects!$C$41,BX$3&lt;Projects!$C$41+Projects!$D$41),Projects!$B$41*INDEX(Curves!$B$4:$AR$4,1,BX$3-Projects!$C$41+1),0)-IF(AND(Projects!$G$41="Yes",BX$3&gt;=Projects!$C$41,BX$3&lt;Projects!$C$41+Projects!$D$41),Projects!$B$41*(Assumptions!$B$10+Assumptions!$B$11+Assumptions!$B$12)/Projects!$D$41*0.95,0)-IF(AND(Projects!$G$41="Yes",BX$3=Projects!$C$41+Projects!$D$41-1),Projects!$B$41*(Assumptions!$B$10+Assumptions!$B$11+Assumptions!$B$12)*0.05,0)</f>
        <v>0</v>
      </c>
      <c r="BY50" s="19" t="n">
        <f aca="false">IF(AND(Projects!$G$41="Yes",BY$3&gt;=Projects!$C$41,BY$3&lt;Projects!$C$41+Projects!$D$41),Projects!$B$41*INDEX(Curves!$B$4:$AR$4,1,BY$3-Projects!$C$41+1),0)-IF(AND(Projects!$G$41="Yes",BY$3&gt;=Projects!$C$41,BY$3&lt;Projects!$C$41+Projects!$D$41),Projects!$B$41*(Assumptions!$B$10+Assumptions!$B$11+Assumptions!$B$12)/Projects!$D$41*0.95,0)-IF(AND(Projects!$G$41="Yes",BY$3=Projects!$C$41+Projects!$D$41-1),Projects!$B$41*(Assumptions!$B$10+Assumptions!$B$11+Assumptions!$B$12)*0.05,0)</f>
        <v>0</v>
      </c>
      <c r="BZ50" s="19" t="n">
        <f aca="false">IF(AND(Projects!$G$41="Yes",BZ$3&gt;=Projects!$C$41,BZ$3&lt;Projects!$C$41+Projects!$D$41),Projects!$B$41*INDEX(Curves!$B$4:$AR$4,1,BZ$3-Projects!$C$41+1),0)-IF(AND(Projects!$G$41="Yes",BZ$3&gt;=Projects!$C$41,BZ$3&lt;Projects!$C$41+Projects!$D$41),Projects!$B$41*(Assumptions!$B$10+Assumptions!$B$11+Assumptions!$B$12)/Projects!$D$41*0.95,0)-IF(AND(Projects!$G$41="Yes",BZ$3=Projects!$C$41+Projects!$D$41-1),Projects!$B$41*(Assumptions!$B$10+Assumptions!$B$11+Assumptions!$B$12)*0.05,0)</f>
        <v>0</v>
      </c>
      <c r="CA50" s="19" t="n">
        <f aca="false">IF(AND(Projects!$G$41="Yes",CA$3&gt;=Projects!$C$41,CA$3&lt;Projects!$C$41+Projects!$D$41),Projects!$B$41*INDEX(Curves!$B$4:$AR$4,1,CA$3-Projects!$C$41+1),0)-IF(AND(Projects!$G$41="Yes",CA$3&gt;=Projects!$C$41,CA$3&lt;Projects!$C$41+Projects!$D$41),Projects!$B$41*(Assumptions!$B$10+Assumptions!$B$11+Assumptions!$B$12)/Projects!$D$41*0.95,0)-IF(AND(Projects!$G$41="Yes",CA$3=Projects!$C$41+Projects!$D$41-1),Projects!$B$41*(Assumptions!$B$10+Assumptions!$B$11+Assumptions!$B$12)*0.05,0)</f>
        <v>0</v>
      </c>
      <c r="CB50" s="19" t="n">
        <f aca="false">IF(AND(Projects!$G$41="Yes",CB$3&gt;=Projects!$C$41,CB$3&lt;Projects!$C$41+Projects!$D$41),Projects!$B$41*INDEX(Curves!$B$4:$AR$4,1,CB$3-Projects!$C$41+1),0)-IF(AND(Projects!$G$41="Yes",CB$3&gt;=Projects!$C$41,CB$3&lt;Projects!$C$41+Projects!$D$41),Projects!$B$41*(Assumptions!$B$10+Assumptions!$B$11+Assumptions!$B$12)/Projects!$D$41*0.95,0)-IF(AND(Projects!$G$41="Yes",CB$3=Projects!$C$41+Projects!$D$41-1),Projects!$B$41*(Assumptions!$B$10+Assumptions!$B$11+Assumptions!$B$12)*0.05,0)</f>
        <v>0</v>
      </c>
      <c r="CC50" s="19" t="n">
        <f aca="false">IF(AND(Projects!$G$41="Yes",CC$3&gt;=Projects!$C$41,CC$3&lt;Projects!$C$41+Projects!$D$41),Projects!$B$41*INDEX(Curves!$B$4:$AR$4,1,CC$3-Projects!$C$41+1),0)-IF(AND(Projects!$G$41="Yes",CC$3&gt;=Projects!$C$41,CC$3&lt;Projects!$C$41+Projects!$D$41),Projects!$B$41*(Assumptions!$B$10+Assumptions!$B$11+Assumptions!$B$12)/Projects!$D$41*0.95,0)-IF(AND(Projects!$G$41="Yes",CC$3=Projects!$C$41+Projects!$D$41-1),Projects!$B$41*(Assumptions!$B$10+Assumptions!$B$11+Assumptions!$B$12)*0.05,0)</f>
        <v>0</v>
      </c>
      <c r="CD50" s="19" t="n">
        <f aca="false">IF(AND(Projects!$G$41="Yes",CD$3&gt;=Projects!$C$41,CD$3&lt;Projects!$C$41+Projects!$D$41),Projects!$B$41*INDEX(Curves!$B$4:$AR$4,1,CD$3-Projects!$C$41+1),0)-IF(AND(Projects!$G$41="Yes",CD$3&gt;=Projects!$C$41,CD$3&lt;Projects!$C$41+Projects!$D$41),Projects!$B$41*(Assumptions!$B$10+Assumptions!$B$11+Assumptions!$B$12)/Projects!$D$41*0.95,0)-IF(AND(Projects!$G$41="Yes",CD$3=Projects!$C$41+Projects!$D$41-1),Projects!$B$41*(Assumptions!$B$10+Assumptions!$B$11+Assumptions!$B$12)*0.05,0)</f>
        <v>0</v>
      </c>
      <c r="CE50" s="19" t="n">
        <f aca="false">IF(AND(Projects!$G$41="Yes",CE$3&gt;=Projects!$C$41,CE$3&lt;Projects!$C$41+Projects!$D$41),Projects!$B$41*INDEX(Curves!$B$4:$AR$4,1,CE$3-Projects!$C$41+1),0)-IF(AND(Projects!$G$41="Yes",CE$3&gt;=Projects!$C$41,CE$3&lt;Projects!$C$41+Projects!$D$41),Projects!$B$41*(Assumptions!$B$10+Assumptions!$B$11+Assumptions!$B$12)/Projects!$D$41*0.95,0)-IF(AND(Projects!$G$41="Yes",CE$3=Projects!$C$41+Projects!$D$41-1),Projects!$B$41*(Assumptions!$B$10+Assumptions!$B$11+Assumptions!$B$12)*0.05,0)</f>
        <v>0</v>
      </c>
      <c r="CF50" s="19" t="n">
        <f aca="false">IF(AND(Projects!$G$41="Yes",CF$3&gt;=Projects!$C$41,CF$3&lt;Projects!$C$41+Projects!$D$41),Projects!$B$41*INDEX(Curves!$B$4:$AR$4,1,CF$3-Projects!$C$41+1),0)-IF(AND(Projects!$G$41="Yes",CF$3&gt;=Projects!$C$41,CF$3&lt;Projects!$C$41+Projects!$D$41),Projects!$B$41*(Assumptions!$B$10+Assumptions!$B$11+Assumptions!$B$12)/Projects!$D$41*0.95,0)-IF(AND(Projects!$G$41="Yes",CF$3=Projects!$C$41+Projects!$D$41-1),Projects!$B$41*(Assumptions!$B$10+Assumptions!$B$11+Assumptions!$B$12)*0.05,0)</f>
        <v>0</v>
      </c>
      <c r="CG50" s="19" t="n">
        <f aca="false">IF(AND(Projects!$G$41="Yes",CG$3&gt;=Projects!$C$41,CG$3&lt;Projects!$C$41+Projects!$D$41),Projects!$B$41*INDEX(Curves!$B$4:$AR$4,1,CG$3-Projects!$C$41+1),0)-IF(AND(Projects!$G$41="Yes",CG$3&gt;=Projects!$C$41,CG$3&lt;Projects!$C$41+Projects!$D$41),Projects!$B$41*(Assumptions!$B$10+Assumptions!$B$11+Assumptions!$B$12)/Projects!$D$41*0.95,0)-IF(AND(Projects!$G$41="Yes",CG$3=Projects!$C$41+Projects!$D$41-1),Projects!$B$41*(Assumptions!$B$10+Assumptions!$B$11+Assumptions!$B$12)*0.05,0)</f>
        <v>0</v>
      </c>
      <c r="CH50" s="19" t="n">
        <f aca="false">IF(AND(Projects!$G$41="Yes",CH$3&gt;=Projects!$C$41,CH$3&lt;Projects!$C$41+Projects!$D$41),Projects!$B$41*INDEX(Curves!$B$4:$AR$4,1,CH$3-Projects!$C$41+1),0)-IF(AND(Projects!$G$41="Yes",CH$3&gt;=Projects!$C$41,CH$3&lt;Projects!$C$41+Projects!$D$41),Projects!$B$41*(Assumptions!$B$10+Assumptions!$B$11+Assumptions!$B$12)/Projects!$D$41*0.95,0)-IF(AND(Projects!$G$41="Yes",CH$3=Projects!$C$41+Projects!$D$41-1),Projects!$B$41*(Assumptions!$B$10+Assumptions!$B$11+Assumptions!$B$12)*0.05,0)</f>
        <v>0</v>
      </c>
      <c r="CI50" s="19" t="n">
        <f aca="false">IF(AND(Projects!$G$41="Yes",CI$3&gt;=Projects!$C$41,CI$3&lt;Projects!$C$41+Projects!$D$41),Projects!$B$41*INDEX(Curves!$B$4:$AR$4,1,CI$3-Projects!$C$41+1),0)-IF(AND(Projects!$G$41="Yes",CI$3&gt;=Projects!$C$41,CI$3&lt;Projects!$C$41+Projects!$D$41),Projects!$B$41*(Assumptions!$B$10+Assumptions!$B$11+Assumptions!$B$12)/Projects!$D$41*0.95,0)-IF(AND(Projects!$G$41="Yes",CI$3=Projects!$C$41+Projects!$D$41-1),Projects!$B$41*(Assumptions!$B$10+Assumptions!$B$11+Assumptions!$B$12)*0.05,0)</f>
        <v>0</v>
      </c>
      <c r="CJ50" s="19" t="n">
        <f aca="false">IF(AND(Projects!$G$41="Yes",CJ$3&gt;=Projects!$C$41,CJ$3&lt;Projects!$C$41+Projects!$D$41),Projects!$B$41*INDEX(Curves!$B$4:$AR$4,1,CJ$3-Projects!$C$41+1),0)-IF(AND(Projects!$G$41="Yes",CJ$3&gt;=Projects!$C$41,CJ$3&lt;Projects!$C$41+Projects!$D$41),Projects!$B$41*(Assumptions!$B$10+Assumptions!$B$11+Assumptions!$B$12)/Projects!$D$41*0.95,0)-IF(AND(Projects!$G$41="Yes",CJ$3=Projects!$C$41+Projects!$D$41-1),Projects!$B$41*(Assumptions!$B$10+Assumptions!$B$11+Assumptions!$B$12)*0.05,0)</f>
        <v>0</v>
      </c>
      <c r="CK50" s="19" t="n">
        <f aca="false">IF(AND(Projects!$G$41="Yes",CK$3&gt;=Projects!$C$41,CK$3&lt;Projects!$C$41+Projects!$D$41),Projects!$B$41*INDEX(Curves!$B$4:$AR$4,1,CK$3-Projects!$C$41+1),0)-IF(AND(Projects!$G$41="Yes",CK$3&gt;=Projects!$C$41,CK$3&lt;Projects!$C$41+Projects!$D$41),Projects!$B$41*(Assumptions!$B$10+Assumptions!$B$11+Assumptions!$B$12)/Projects!$D$41*0.95,0)-IF(AND(Projects!$G$41="Yes",CK$3=Projects!$C$41+Projects!$D$41-1),Projects!$B$41*(Assumptions!$B$10+Assumptions!$B$11+Assumptions!$B$12)*0.05,0)</f>
        <v>0</v>
      </c>
      <c r="CL50" s="19" t="n">
        <f aca="false">IF(AND(Projects!$G$41="Yes",CL$3&gt;=Projects!$C$41,CL$3&lt;Projects!$C$41+Projects!$D$41),Projects!$B$41*INDEX(Curves!$B$4:$AR$4,1,CL$3-Projects!$C$41+1),0)-IF(AND(Projects!$G$41="Yes",CL$3&gt;=Projects!$C$41,CL$3&lt;Projects!$C$41+Projects!$D$41),Projects!$B$41*(Assumptions!$B$10+Assumptions!$B$11+Assumptions!$B$12)/Projects!$D$41*0.95,0)-IF(AND(Projects!$G$41="Yes",CL$3=Projects!$C$41+Projects!$D$41-1),Projects!$B$41*(Assumptions!$B$10+Assumptions!$B$11+Assumptions!$B$12)*0.05,0)</f>
        <v>0</v>
      </c>
      <c r="CM50" s="19" t="n">
        <f aca="false">IF(AND(Projects!$G$41="Yes",CM$3&gt;=Projects!$C$41,CM$3&lt;Projects!$C$41+Projects!$D$41),Projects!$B$41*INDEX(Curves!$B$4:$AR$4,1,CM$3-Projects!$C$41+1),0)-IF(AND(Projects!$G$41="Yes",CM$3&gt;=Projects!$C$41,CM$3&lt;Projects!$C$41+Projects!$D$41),Projects!$B$41*(Assumptions!$B$10+Assumptions!$B$11+Assumptions!$B$12)/Projects!$D$41*0.95,0)-IF(AND(Projects!$G$41="Yes",CM$3=Projects!$C$41+Projects!$D$41-1),Projects!$B$41*(Assumptions!$B$10+Assumptions!$B$11+Assumptions!$B$12)*0.05,0)</f>
        <v>0</v>
      </c>
      <c r="CN50" s="19" t="n">
        <f aca="false">IF(AND(Projects!$G$41="Yes",CN$3&gt;=Projects!$C$41,CN$3&lt;Projects!$C$41+Projects!$D$41),Projects!$B$41*INDEX(Curves!$B$4:$AR$4,1,CN$3-Projects!$C$41+1),0)-IF(AND(Projects!$G$41="Yes",CN$3&gt;=Projects!$C$41,CN$3&lt;Projects!$C$41+Projects!$D$41),Projects!$B$41*(Assumptions!$B$10+Assumptions!$B$11+Assumptions!$B$12)/Projects!$D$41*0.95,0)-IF(AND(Projects!$G$41="Yes",CN$3=Projects!$C$41+Projects!$D$41-1),Projects!$B$41*(Assumptions!$B$10+Assumptions!$B$11+Assumptions!$B$12)*0.05,0)</f>
        <v>0</v>
      </c>
      <c r="CO50" s="19" t="n">
        <f aca="false">IF(AND(Projects!$G$41="Yes",CO$3&gt;=Projects!$C$41,CO$3&lt;Projects!$C$41+Projects!$D$41),Projects!$B$41*INDEX(Curves!$B$4:$AR$4,1,CO$3-Projects!$C$41+1),0)-IF(AND(Projects!$G$41="Yes",CO$3&gt;=Projects!$C$41,CO$3&lt;Projects!$C$41+Projects!$D$41),Projects!$B$41*(Assumptions!$B$10+Assumptions!$B$11+Assumptions!$B$12)/Projects!$D$41*0.95,0)-IF(AND(Projects!$G$41="Yes",CO$3=Projects!$C$41+Projects!$D$41-1),Projects!$B$41*(Assumptions!$B$10+Assumptions!$B$11+Assumptions!$B$12)*0.05,0)</f>
        <v>0</v>
      </c>
      <c r="CP50" s="19" t="n">
        <f aca="false">IF(AND(Projects!$G$41="Yes",CP$3&gt;=Projects!$C$41,CP$3&lt;Projects!$C$41+Projects!$D$41),Projects!$B$41*INDEX(Curves!$B$4:$AR$4,1,CP$3-Projects!$C$41+1),0)-IF(AND(Projects!$G$41="Yes",CP$3&gt;=Projects!$C$41,CP$3&lt;Projects!$C$41+Projects!$D$41),Projects!$B$41*(Assumptions!$B$10+Assumptions!$B$11+Assumptions!$B$12)/Projects!$D$41*0.95,0)-IF(AND(Projects!$G$41="Yes",CP$3=Projects!$C$41+Projects!$D$41-1),Projects!$B$41*(Assumptions!$B$10+Assumptions!$B$11+Assumptions!$B$12)*0.05,0)</f>
        <v>0</v>
      </c>
      <c r="CQ50" s="19" t="n">
        <f aca="false">IF(AND(Projects!$G$41="Yes",CQ$3&gt;=Projects!$C$41,CQ$3&lt;Projects!$C$41+Projects!$D$41),Projects!$B$41*INDEX(Curves!$B$4:$AR$4,1,CQ$3-Projects!$C$41+1),0)-IF(AND(Projects!$G$41="Yes",CQ$3&gt;=Projects!$C$41,CQ$3&lt;Projects!$C$41+Projects!$D$41),Projects!$B$41*(Assumptions!$B$10+Assumptions!$B$11+Assumptions!$B$12)/Projects!$D$41*0.95,0)-IF(AND(Projects!$G$41="Yes",CQ$3=Projects!$C$41+Projects!$D$41-1),Projects!$B$41*(Assumptions!$B$10+Assumptions!$B$11+Assumptions!$B$12)*0.05,0)</f>
        <v>0</v>
      </c>
      <c r="CR50" s="19" t="n">
        <f aca="false">IF(AND(Projects!$G$41="Yes",CR$3&gt;=Projects!$C$41,CR$3&lt;Projects!$C$41+Projects!$D$41),Projects!$B$41*INDEX(Curves!$B$4:$AR$4,1,CR$3-Projects!$C$41+1),0)-IF(AND(Projects!$G$41="Yes",CR$3&gt;=Projects!$C$41,CR$3&lt;Projects!$C$41+Projects!$D$41),Projects!$B$41*(Assumptions!$B$10+Assumptions!$B$11+Assumptions!$B$12)/Projects!$D$41*0.95,0)-IF(AND(Projects!$G$41="Yes",CR$3=Projects!$C$41+Projects!$D$41-1),Projects!$B$41*(Assumptions!$B$10+Assumptions!$B$11+Assumptions!$B$12)*0.05,0)</f>
        <v>0</v>
      </c>
      <c r="CS50" s="19" t="n">
        <f aca="false">IF(AND(Projects!$G$41="Yes",CS$3&gt;=Projects!$C$41,CS$3&lt;Projects!$C$41+Projects!$D$41),Projects!$B$41*INDEX(Curves!$B$4:$AR$4,1,CS$3-Projects!$C$41+1),0)-IF(AND(Projects!$G$41="Yes",CS$3&gt;=Projects!$C$41,CS$3&lt;Projects!$C$41+Projects!$D$41),Projects!$B$41*(Assumptions!$B$10+Assumptions!$B$11+Assumptions!$B$12)/Projects!$D$41*0.95,0)-IF(AND(Projects!$G$41="Yes",CS$3=Projects!$C$41+Projects!$D$41-1),Projects!$B$41*(Assumptions!$B$10+Assumptions!$B$11+Assumptions!$B$12)*0.05,0)</f>
        <v>0</v>
      </c>
      <c r="CT50" s="19" t="n">
        <f aca="false">IF(AND(Projects!$G$41="Yes",CT$3&gt;=Projects!$C$41,CT$3&lt;Projects!$C$41+Projects!$D$41),Projects!$B$41*INDEX(Curves!$B$4:$AR$4,1,CT$3-Projects!$C$41+1),0)-IF(AND(Projects!$G$41="Yes",CT$3&gt;=Projects!$C$41,CT$3&lt;Projects!$C$41+Projects!$D$41),Projects!$B$41*(Assumptions!$B$10+Assumptions!$B$11+Assumptions!$B$12)/Projects!$D$41*0.95,0)-IF(AND(Projects!$G$41="Yes",CT$3=Projects!$C$41+Projects!$D$41-1),Projects!$B$41*(Assumptions!$B$10+Assumptions!$B$11+Assumptions!$B$12)*0.05,0)</f>
        <v>0</v>
      </c>
      <c r="CU50" s="19" t="n">
        <f aca="false">IF(AND(Projects!$G$41="Yes",CU$3&gt;=Projects!$C$41,CU$3&lt;Projects!$C$41+Projects!$D$41),Projects!$B$41*INDEX(Curves!$B$4:$AR$4,1,CU$3-Projects!$C$41+1),0)-IF(AND(Projects!$G$41="Yes",CU$3&gt;=Projects!$C$41,CU$3&lt;Projects!$C$41+Projects!$D$41),Projects!$B$41*(Assumptions!$B$10+Assumptions!$B$11+Assumptions!$B$12)/Projects!$D$41*0.95,0)-IF(AND(Projects!$G$41="Yes",CU$3=Projects!$C$41+Projects!$D$41-1),Projects!$B$41*(Assumptions!$B$10+Assumptions!$B$11+Assumptions!$B$12)*0.05,0)</f>
        <v>0</v>
      </c>
      <c r="CV50" s="19" t="n">
        <f aca="false">IF(AND(Projects!$G$41="Yes",CV$3&gt;=Projects!$C$41,CV$3&lt;Projects!$C$41+Projects!$D$41),Projects!$B$41*INDEX(Curves!$B$4:$AR$4,1,CV$3-Projects!$C$41+1),0)-IF(AND(Projects!$G$41="Yes",CV$3&gt;=Projects!$C$41,CV$3&lt;Projects!$C$41+Projects!$D$41),Projects!$B$41*(Assumptions!$B$10+Assumptions!$B$11+Assumptions!$B$12)/Projects!$D$41*0.95,0)-IF(AND(Projects!$G$41="Yes",CV$3=Projects!$C$41+Projects!$D$41-1),Projects!$B$41*(Assumptions!$B$10+Assumptions!$B$11+Assumptions!$B$12)*0.05,0)</f>
        <v>0</v>
      </c>
      <c r="CW50" s="19" t="n">
        <f aca="false">IF(AND(Projects!$G$41="Yes",CW$3&gt;=Projects!$C$41,CW$3&lt;Projects!$C$41+Projects!$D$41),Projects!$B$41*INDEX(Curves!$B$4:$AR$4,1,CW$3-Projects!$C$41+1),0)-IF(AND(Projects!$G$41="Yes",CW$3&gt;=Projects!$C$41,CW$3&lt;Projects!$C$41+Projects!$D$41),Projects!$B$41*(Assumptions!$B$10+Assumptions!$B$11+Assumptions!$B$12)/Projects!$D$41*0.95,0)-IF(AND(Projects!$G$41="Yes",CW$3=Projects!$C$41+Projects!$D$41-1),Projects!$B$41*(Assumptions!$B$10+Assumptions!$B$11+Assumptions!$B$12)*0.05,0)</f>
        <v>0</v>
      </c>
      <c r="CX50" s="19" t="n">
        <f aca="false">IF(AND(Projects!$G$41="Yes",CX$3&gt;=Projects!$C$41,CX$3&lt;Projects!$C$41+Projects!$D$41),Projects!$B$41*INDEX(Curves!$B$4:$AR$4,1,CX$3-Projects!$C$41+1),0)-IF(AND(Projects!$G$41="Yes",CX$3&gt;=Projects!$C$41,CX$3&lt;Projects!$C$41+Projects!$D$41),Projects!$B$41*(Assumptions!$B$10+Assumptions!$B$11+Assumptions!$B$12)/Projects!$D$41*0.95,0)-IF(AND(Projects!$G$41="Yes",CX$3=Projects!$C$41+Projects!$D$41-1),Projects!$B$41*(Assumptions!$B$10+Assumptions!$B$11+Assumptions!$B$12)*0.05,0)</f>
        <v>0</v>
      </c>
      <c r="CY50" s="19" t="n">
        <f aca="false">IF(AND(Projects!$G$41="Yes",CY$3&gt;=Projects!$C$41,CY$3&lt;Projects!$C$41+Projects!$D$41),Projects!$B$41*INDEX(Curves!$B$4:$AR$4,1,CY$3-Projects!$C$41+1),0)-IF(AND(Projects!$G$41="Yes",CY$3&gt;=Projects!$C$41,CY$3&lt;Projects!$C$41+Projects!$D$41),Projects!$B$41*(Assumptions!$B$10+Assumptions!$B$11+Assumptions!$B$12)/Projects!$D$41*0.95,0)-IF(AND(Projects!$G$41="Yes",CY$3=Projects!$C$41+Projects!$D$41-1),Projects!$B$41*(Assumptions!$B$10+Assumptions!$B$11+Assumptions!$B$12)*0.05,0)</f>
        <v>0</v>
      </c>
      <c r="CZ50" s="19" t="n">
        <f aca="false">IF(AND(Projects!$G$41="Yes",CZ$3&gt;=Projects!$C$41,CZ$3&lt;Projects!$C$41+Projects!$D$41),Projects!$B$41*INDEX(Curves!$B$4:$AR$4,1,CZ$3-Projects!$C$41+1),0)-IF(AND(Projects!$G$41="Yes",CZ$3&gt;=Projects!$C$41,CZ$3&lt;Projects!$C$41+Projects!$D$41),Projects!$B$41*(Assumptions!$B$10+Assumptions!$B$11+Assumptions!$B$12)/Projects!$D$41*0.95,0)-IF(AND(Projects!$G$41="Yes",CZ$3=Projects!$C$41+Projects!$D$41-1),Projects!$B$41*(Assumptions!$B$10+Assumptions!$B$11+Assumptions!$B$12)*0.05,0)</f>
        <v>0</v>
      </c>
      <c r="DA50" s="19" t="n">
        <f aca="false">IF(AND(Projects!$G$41="Yes",DA$3&gt;=Projects!$C$41,DA$3&lt;Projects!$C$41+Projects!$D$41),Projects!$B$41*INDEX(Curves!$B$4:$AR$4,1,DA$3-Projects!$C$41+1),0)-IF(AND(Projects!$G$41="Yes",DA$3&gt;=Projects!$C$41,DA$3&lt;Projects!$C$41+Projects!$D$41),Projects!$B$41*(Assumptions!$B$10+Assumptions!$B$11+Assumptions!$B$12)/Projects!$D$41*0.95,0)-IF(AND(Projects!$G$41="Yes",DA$3=Projects!$C$41+Projects!$D$41-1),Projects!$B$41*(Assumptions!$B$10+Assumptions!$B$11+Assumptions!$B$12)*0.05,0)</f>
        <v>0</v>
      </c>
      <c r="DB50" s="19" t="n">
        <f aca="false">IF(AND(Projects!$G$41="Yes",DB$3&gt;=Projects!$C$41,DB$3&lt;Projects!$C$41+Projects!$D$41),Projects!$B$41*INDEX(Curves!$B$4:$AR$4,1,DB$3-Projects!$C$41+1),0)-IF(AND(Projects!$G$41="Yes",DB$3&gt;=Projects!$C$41,DB$3&lt;Projects!$C$41+Projects!$D$41),Projects!$B$41*(Assumptions!$B$10+Assumptions!$B$11+Assumptions!$B$12)/Projects!$D$41*0.95,0)-IF(AND(Projects!$G$41="Yes",DB$3=Projects!$C$41+Projects!$D$41-1),Projects!$B$41*(Assumptions!$B$10+Assumptions!$B$11+Assumptions!$B$12)*0.05,0)</f>
        <v>0</v>
      </c>
      <c r="DC50" s="19" t="n">
        <f aca="false">IF(AND(Projects!$G$41="Yes",DC$3&gt;=Projects!$C$41,DC$3&lt;Projects!$C$41+Projects!$D$41),Projects!$B$41*INDEX(Curves!$B$4:$AR$4,1,DC$3-Projects!$C$41+1),0)-IF(AND(Projects!$G$41="Yes",DC$3&gt;=Projects!$C$41,DC$3&lt;Projects!$C$41+Projects!$D$41),Projects!$B$41*(Assumptions!$B$10+Assumptions!$B$11+Assumptions!$B$12)/Projects!$D$41*0.95,0)-IF(AND(Projects!$G$41="Yes",DC$3=Projects!$C$41+Projects!$D$41-1),Projects!$B$41*(Assumptions!$B$10+Assumptions!$B$11+Assumptions!$B$12)*0.05,0)</f>
        <v>0</v>
      </c>
      <c r="DD50" s="19" t="n">
        <f aca="false">IF(AND(Projects!$G$41="Yes",DD$3&gt;=Projects!$C$41,DD$3&lt;Projects!$C$41+Projects!$D$41),Projects!$B$41*INDEX(Curves!$B$4:$AR$4,1,DD$3-Projects!$C$41+1),0)-IF(AND(Projects!$G$41="Yes",DD$3&gt;=Projects!$C$41,DD$3&lt;Projects!$C$41+Projects!$D$41),Projects!$B$41*(Assumptions!$B$10+Assumptions!$B$11+Assumptions!$B$12)/Projects!$D$41*0.95,0)-IF(AND(Projects!$G$41="Yes",DD$3=Projects!$C$41+Projects!$D$41-1),Projects!$B$41*(Assumptions!$B$10+Assumptions!$B$11+Assumptions!$B$12)*0.05,0)</f>
        <v>0</v>
      </c>
      <c r="DE50" s="19" t="n">
        <f aca="false">IF(AND(Projects!$G$41="Yes",DE$3&gt;=Projects!$C$41,DE$3&lt;Projects!$C$41+Projects!$D$41),Projects!$B$41*INDEX(Curves!$B$4:$AR$4,1,DE$3-Projects!$C$41+1),0)-IF(AND(Projects!$G$41="Yes",DE$3&gt;=Projects!$C$41,DE$3&lt;Projects!$C$41+Projects!$D$41),Projects!$B$41*(Assumptions!$B$10+Assumptions!$B$11+Assumptions!$B$12)/Projects!$D$41*0.95,0)-IF(AND(Projects!$G$41="Yes",DE$3=Projects!$C$41+Projects!$D$41-1),Projects!$B$41*(Assumptions!$B$10+Assumptions!$B$11+Assumptions!$B$12)*0.05,0)</f>
        <v>0</v>
      </c>
    </row>
    <row r="51" customFormat="false" ht="15" hidden="true" customHeight="true" outlineLevel="1" collapsed="false">
      <c r="A51" s="28" t="s">
        <v>45</v>
      </c>
      <c r="B51" s="19" t="n">
        <v>0</v>
      </c>
      <c r="C51" s="19" t="n">
        <v>0</v>
      </c>
      <c r="D51" s="19" t="n">
        <v>0</v>
      </c>
      <c r="E51" s="19" t="n">
        <v>0</v>
      </c>
      <c r="F51" s="19" t="n">
        <f aca="false">IF(AND(Projects!$G$42="Yes",F$3&gt;=Projects!$C$42,F$3&lt;Projects!$C$42+Projects!$D$42),Projects!$B$42*INDEX(Curves!$B$4:$AR$4,1,F$3-Projects!$C$42+1),0)-IF(AND(Projects!$G$42="Yes",F$3&gt;=Projects!$C$42,F$3&lt;Projects!$C$42+Projects!$D$42),Projects!$B$42*(Assumptions!$B$10+Assumptions!$B$11+Assumptions!$B$12)/Projects!$D$42*0.95,0)-IF(AND(Projects!$G$42="Yes",F$3=Projects!$C$42+Projects!$D$42-1),Projects!$B$42*(Assumptions!$B$10+Assumptions!$B$11+Assumptions!$B$12)*0.05,0)</f>
        <v>0</v>
      </c>
      <c r="G51" s="19" t="n">
        <f aca="false">IF(AND(Projects!$G$42="Yes",G$3&gt;=Projects!$C$42,G$3&lt;Projects!$C$42+Projects!$D$42),Projects!$B$42*INDEX(Curves!$B$4:$AR$4,1,G$3-Projects!$C$42+1),0)-IF(AND(Projects!$G$42="Yes",G$3&gt;=Projects!$C$42,G$3&lt;Projects!$C$42+Projects!$D$42),Projects!$B$42*(Assumptions!$B$10+Assumptions!$B$11+Assumptions!$B$12)/Projects!$D$42*0.95,0)-IF(AND(Projects!$G$42="Yes",G$3=Projects!$C$42+Projects!$D$42-1),Projects!$B$42*(Assumptions!$B$10+Assumptions!$B$11+Assumptions!$B$12)*0.05,0)</f>
        <v>0</v>
      </c>
      <c r="H51" s="19" t="n">
        <f aca="false">IF(AND(Projects!$G$42="Yes",H$3&gt;=Projects!$C$42,H$3&lt;Projects!$C$42+Projects!$D$42),Projects!$B$42*INDEX(Curves!$B$4:$AR$4,1,H$3-Projects!$C$42+1),0)-IF(AND(Projects!$G$42="Yes",H$3&gt;=Projects!$C$42,H$3&lt;Projects!$C$42+Projects!$D$42),Projects!$B$42*(Assumptions!$B$10+Assumptions!$B$11+Assumptions!$B$12)/Projects!$D$42*0.95,0)-IF(AND(Projects!$G$42="Yes",H$3=Projects!$C$42+Projects!$D$42-1),Projects!$B$42*(Assumptions!$B$10+Assumptions!$B$11+Assumptions!$B$12)*0.05,0)</f>
        <v>0</v>
      </c>
      <c r="I51" s="19" t="n">
        <f aca="false">IF(AND(Projects!$G$42="Yes",I$3&gt;=Projects!$C$42,I$3&lt;Projects!$C$42+Projects!$D$42),Projects!$B$42*INDEX(Curves!$B$4:$AR$4,1,I$3-Projects!$C$42+1),0)-IF(AND(Projects!$G$42="Yes",I$3&gt;=Projects!$C$42,I$3&lt;Projects!$C$42+Projects!$D$42),Projects!$B$42*(Assumptions!$B$10+Assumptions!$B$11+Assumptions!$B$12)/Projects!$D$42*0.95,0)-IF(AND(Projects!$G$42="Yes",I$3=Projects!$C$42+Projects!$D$42-1),Projects!$B$42*(Assumptions!$B$10+Assumptions!$B$11+Assumptions!$B$12)*0.05,0)</f>
        <v>0</v>
      </c>
      <c r="J51" s="19" t="n">
        <f aca="false">IF(AND(Projects!$G$42="Yes",J$3&gt;=Projects!$C$42,J$3&lt;Projects!$C$42+Projects!$D$42),Projects!$B$42*INDEX(Curves!$B$4:$AR$4,1,J$3-Projects!$C$42+1),0)-IF(AND(Projects!$G$42="Yes",J$3&gt;=Projects!$C$42,J$3&lt;Projects!$C$42+Projects!$D$42),Projects!$B$42*(Assumptions!$B$10+Assumptions!$B$11+Assumptions!$B$12)/Projects!$D$42*0.95,0)-IF(AND(Projects!$G$42="Yes",J$3=Projects!$C$42+Projects!$D$42-1),Projects!$B$42*(Assumptions!$B$10+Assumptions!$B$11+Assumptions!$B$12)*0.05,0)</f>
        <v>0</v>
      </c>
      <c r="K51" s="19" t="n">
        <f aca="false">IF(AND(Projects!$G$42="Yes",K$3&gt;=Projects!$C$42,K$3&lt;Projects!$C$42+Projects!$D$42),Projects!$B$42*INDEX(Curves!$B$4:$AR$4,1,K$3-Projects!$C$42+1),0)-IF(AND(Projects!$G$42="Yes",K$3&gt;=Projects!$C$42,K$3&lt;Projects!$C$42+Projects!$D$42),Projects!$B$42*(Assumptions!$B$10+Assumptions!$B$11+Assumptions!$B$12)/Projects!$D$42*0.95,0)-IF(AND(Projects!$G$42="Yes",K$3=Projects!$C$42+Projects!$D$42-1),Projects!$B$42*(Assumptions!$B$10+Assumptions!$B$11+Assumptions!$B$12)*0.05,0)</f>
        <v>0</v>
      </c>
      <c r="L51" s="19" t="n">
        <f aca="false">IF(AND(Projects!$G$42="Yes",L$3&gt;=Projects!$C$42,L$3&lt;Projects!$C$42+Projects!$D$42),Projects!$B$42*INDEX(Curves!$B$4:$AR$4,1,L$3-Projects!$C$42+1),0)-IF(AND(Projects!$G$42="Yes",L$3&gt;=Projects!$C$42,L$3&lt;Projects!$C$42+Projects!$D$42),Projects!$B$42*(Assumptions!$B$10+Assumptions!$B$11+Assumptions!$B$12)/Projects!$D$42*0.95,0)-IF(AND(Projects!$G$42="Yes",L$3=Projects!$C$42+Projects!$D$42-1),Projects!$B$42*(Assumptions!$B$10+Assumptions!$B$11+Assumptions!$B$12)*0.05,0)</f>
        <v>0</v>
      </c>
      <c r="M51" s="19" t="n">
        <f aca="false">IF(AND(Projects!$G$42="Yes",M$3&gt;=Projects!$C$42,M$3&lt;Projects!$C$42+Projects!$D$42),Projects!$B$42*INDEX(Curves!$B$4:$AR$4,1,M$3-Projects!$C$42+1),0)-IF(AND(Projects!$G$42="Yes",M$3&gt;=Projects!$C$42,M$3&lt;Projects!$C$42+Projects!$D$42),Projects!$B$42*(Assumptions!$B$10+Assumptions!$B$11+Assumptions!$B$12)/Projects!$D$42*0.95,0)-IF(AND(Projects!$G$42="Yes",M$3=Projects!$C$42+Projects!$D$42-1),Projects!$B$42*(Assumptions!$B$10+Assumptions!$B$11+Assumptions!$B$12)*0.05,0)</f>
        <v>0</v>
      </c>
      <c r="N51" s="19" t="n">
        <f aca="false">IF(AND(Projects!$G$42="Yes",N$3&gt;=Projects!$C$42,N$3&lt;Projects!$C$42+Projects!$D$42),Projects!$B$42*INDEX(Curves!$B$4:$AR$4,1,N$3-Projects!$C$42+1),0)-IF(AND(Projects!$G$42="Yes",N$3&gt;=Projects!$C$42,N$3&lt;Projects!$C$42+Projects!$D$42),Projects!$B$42*(Assumptions!$B$10+Assumptions!$B$11+Assumptions!$B$12)/Projects!$D$42*0.95,0)-IF(AND(Projects!$G$42="Yes",N$3=Projects!$C$42+Projects!$D$42-1),Projects!$B$42*(Assumptions!$B$10+Assumptions!$B$11+Assumptions!$B$12)*0.05,0)</f>
        <v>0</v>
      </c>
      <c r="O51" s="19" t="n">
        <f aca="false">IF(AND(Projects!$G$42="Yes",O$3&gt;=Projects!$C$42,O$3&lt;Projects!$C$42+Projects!$D$42),Projects!$B$42*INDEX(Curves!$B$4:$AR$4,1,O$3-Projects!$C$42+1),0)-IF(AND(Projects!$G$42="Yes",O$3&gt;=Projects!$C$42,O$3&lt;Projects!$C$42+Projects!$D$42),Projects!$B$42*(Assumptions!$B$10+Assumptions!$B$11+Assumptions!$B$12)/Projects!$D$42*0.95,0)-IF(AND(Projects!$G$42="Yes",O$3=Projects!$C$42+Projects!$D$42-1),Projects!$B$42*(Assumptions!$B$10+Assumptions!$B$11+Assumptions!$B$12)*0.05,0)</f>
        <v>0</v>
      </c>
      <c r="P51" s="19" t="n">
        <f aca="false">IF(AND(Projects!$G$42="Yes",P$3&gt;=Projects!$C$42,P$3&lt;Projects!$C$42+Projects!$D$42),Projects!$B$42*INDEX(Curves!$B$4:$AR$4,1,P$3-Projects!$C$42+1),0)-IF(AND(Projects!$G$42="Yes",P$3&gt;=Projects!$C$42,P$3&lt;Projects!$C$42+Projects!$D$42),Projects!$B$42*(Assumptions!$B$10+Assumptions!$B$11+Assumptions!$B$12)/Projects!$D$42*0.95,0)-IF(AND(Projects!$G$42="Yes",P$3=Projects!$C$42+Projects!$D$42-1),Projects!$B$42*(Assumptions!$B$10+Assumptions!$B$11+Assumptions!$B$12)*0.05,0)</f>
        <v>0</v>
      </c>
      <c r="Q51" s="19" t="n">
        <f aca="false">IF(AND(Projects!$G$42="Yes",Q$3&gt;=Projects!$C$42,Q$3&lt;Projects!$C$42+Projects!$D$42),Projects!$B$42*INDEX(Curves!$B$4:$AR$4,1,Q$3-Projects!$C$42+1),0)-IF(AND(Projects!$G$42="Yes",Q$3&gt;=Projects!$C$42,Q$3&lt;Projects!$C$42+Projects!$D$42),Projects!$B$42*(Assumptions!$B$10+Assumptions!$B$11+Assumptions!$B$12)/Projects!$D$42*0.95,0)-IF(AND(Projects!$G$42="Yes",Q$3=Projects!$C$42+Projects!$D$42-1),Projects!$B$42*(Assumptions!$B$10+Assumptions!$B$11+Assumptions!$B$12)*0.05,0)</f>
        <v>0</v>
      </c>
      <c r="R51" s="19" t="n">
        <f aca="false">IF(AND(Projects!$G$42="Yes",R$3&gt;=Projects!$C$42,R$3&lt;Projects!$C$42+Projects!$D$42),Projects!$B$42*INDEX(Curves!$B$4:$AR$4,1,R$3-Projects!$C$42+1),0)-IF(AND(Projects!$G$42="Yes",R$3&gt;=Projects!$C$42,R$3&lt;Projects!$C$42+Projects!$D$42),Projects!$B$42*(Assumptions!$B$10+Assumptions!$B$11+Assumptions!$B$12)/Projects!$D$42*0.95,0)-IF(AND(Projects!$G$42="Yes",R$3=Projects!$C$42+Projects!$D$42-1),Projects!$B$42*(Assumptions!$B$10+Assumptions!$B$11+Assumptions!$B$12)*0.05,0)</f>
        <v>0</v>
      </c>
      <c r="S51" s="19" t="n">
        <f aca="false">IF(AND(Projects!$G$42="Yes",S$3&gt;=Projects!$C$42,S$3&lt;Projects!$C$42+Projects!$D$42),Projects!$B$42*INDEX(Curves!$B$4:$AR$4,1,S$3-Projects!$C$42+1),0)-IF(AND(Projects!$G$42="Yes",S$3&gt;=Projects!$C$42,S$3&lt;Projects!$C$42+Projects!$D$42),Projects!$B$42*(Assumptions!$B$10+Assumptions!$B$11+Assumptions!$B$12)/Projects!$D$42*0.95,0)-IF(AND(Projects!$G$42="Yes",S$3=Projects!$C$42+Projects!$D$42-1),Projects!$B$42*(Assumptions!$B$10+Assumptions!$B$11+Assumptions!$B$12)*0.05,0)</f>
        <v>0</v>
      </c>
      <c r="T51" s="19" t="n">
        <f aca="false">IF(AND(Projects!$G$42="Yes",T$3&gt;=Projects!$C$42,T$3&lt;Projects!$C$42+Projects!$D$42),Projects!$B$42*INDEX(Curves!$B$4:$AR$4,1,T$3-Projects!$C$42+1),0)-IF(AND(Projects!$G$42="Yes",T$3&gt;=Projects!$C$42,T$3&lt;Projects!$C$42+Projects!$D$42),Projects!$B$42*(Assumptions!$B$10+Assumptions!$B$11+Assumptions!$B$12)/Projects!$D$42*0.95,0)-IF(AND(Projects!$G$42="Yes",T$3=Projects!$C$42+Projects!$D$42-1),Projects!$B$42*(Assumptions!$B$10+Assumptions!$B$11+Assumptions!$B$12)*0.05,0)</f>
        <v>0</v>
      </c>
      <c r="U51" s="19" t="n">
        <f aca="false">IF(AND(Projects!$G$42="Yes",U$3&gt;=Projects!$C$42,U$3&lt;Projects!$C$42+Projects!$D$42),Projects!$B$42*INDEX(Curves!$B$4:$AR$4,1,U$3-Projects!$C$42+1),0)-IF(AND(Projects!$G$42="Yes",U$3&gt;=Projects!$C$42,U$3&lt;Projects!$C$42+Projects!$D$42),Projects!$B$42*(Assumptions!$B$10+Assumptions!$B$11+Assumptions!$B$12)/Projects!$D$42*0.95,0)-IF(AND(Projects!$G$42="Yes",U$3=Projects!$C$42+Projects!$D$42-1),Projects!$B$42*(Assumptions!$B$10+Assumptions!$B$11+Assumptions!$B$12)*0.05,0)</f>
        <v>0</v>
      </c>
      <c r="V51" s="19" t="n">
        <f aca="false">IF(AND(Projects!$G$42="Yes",V$3&gt;=Projects!$C$42,V$3&lt;Projects!$C$42+Projects!$D$42),Projects!$B$42*INDEX(Curves!$B$4:$AR$4,1,V$3-Projects!$C$42+1),0)-IF(AND(Projects!$G$42="Yes",V$3&gt;=Projects!$C$42,V$3&lt;Projects!$C$42+Projects!$D$42),Projects!$B$42*(Assumptions!$B$10+Assumptions!$B$11+Assumptions!$B$12)/Projects!$D$42*0.95,0)-IF(AND(Projects!$G$42="Yes",V$3=Projects!$C$42+Projects!$D$42-1),Projects!$B$42*(Assumptions!$B$10+Assumptions!$B$11+Assumptions!$B$12)*0.05,0)</f>
        <v>0</v>
      </c>
      <c r="W51" s="19" t="n">
        <f aca="false">IF(AND(Projects!$G$42="Yes",W$3&gt;=Projects!$C$42,W$3&lt;Projects!$C$42+Projects!$D$42),Projects!$B$42*INDEX(Curves!$B$4:$AR$4,1,W$3-Projects!$C$42+1),0)-IF(AND(Projects!$G$42="Yes",W$3&gt;=Projects!$C$42,W$3&lt;Projects!$C$42+Projects!$D$42),Projects!$B$42*(Assumptions!$B$10+Assumptions!$B$11+Assumptions!$B$12)/Projects!$D$42*0.95,0)-IF(AND(Projects!$G$42="Yes",W$3=Projects!$C$42+Projects!$D$42-1),Projects!$B$42*(Assumptions!$B$10+Assumptions!$B$11+Assumptions!$B$12)*0.05,0)</f>
        <v>0</v>
      </c>
      <c r="X51" s="19" t="n">
        <f aca="false">IF(AND(Projects!$G$42="Yes",X$3&gt;=Projects!$C$42,X$3&lt;Projects!$C$42+Projects!$D$42),Projects!$B$42*INDEX(Curves!$B$4:$AR$4,1,X$3-Projects!$C$42+1),0)-IF(AND(Projects!$G$42="Yes",X$3&gt;=Projects!$C$42,X$3&lt;Projects!$C$42+Projects!$D$42),Projects!$B$42*(Assumptions!$B$10+Assumptions!$B$11+Assumptions!$B$12)/Projects!$D$42*0.95,0)-IF(AND(Projects!$G$42="Yes",X$3=Projects!$C$42+Projects!$D$42-1),Projects!$B$42*(Assumptions!$B$10+Assumptions!$B$11+Assumptions!$B$12)*0.05,0)</f>
        <v>0</v>
      </c>
      <c r="Y51" s="19" t="n">
        <f aca="false">IF(AND(Projects!$G$42="Yes",Y$3&gt;=Projects!$C$42,Y$3&lt;Projects!$C$42+Projects!$D$42),Projects!$B$42*INDEX(Curves!$B$4:$AR$4,1,Y$3-Projects!$C$42+1),0)-IF(AND(Projects!$G$42="Yes",Y$3&gt;=Projects!$C$42,Y$3&lt;Projects!$C$42+Projects!$D$42),Projects!$B$42*(Assumptions!$B$10+Assumptions!$B$11+Assumptions!$B$12)/Projects!$D$42*0.95,0)-IF(AND(Projects!$G$42="Yes",Y$3=Projects!$C$42+Projects!$D$42-1),Projects!$B$42*(Assumptions!$B$10+Assumptions!$B$11+Assumptions!$B$12)*0.05,0)</f>
        <v>0</v>
      </c>
      <c r="Z51" s="19" t="n">
        <f aca="false">IF(AND(Projects!$G$42="Yes",Z$3&gt;=Projects!$C$42,Z$3&lt;Projects!$C$42+Projects!$D$42),Projects!$B$42*INDEX(Curves!$B$4:$AR$4,1,Z$3-Projects!$C$42+1),0)-IF(AND(Projects!$G$42="Yes",Z$3&gt;=Projects!$C$42,Z$3&lt;Projects!$C$42+Projects!$D$42),Projects!$B$42*(Assumptions!$B$10+Assumptions!$B$11+Assumptions!$B$12)/Projects!$D$42*0.95,0)-IF(AND(Projects!$G$42="Yes",Z$3=Projects!$C$42+Projects!$D$42-1),Projects!$B$42*(Assumptions!$B$10+Assumptions!$B$11+Assumptions!$B$12)*0.05,0)</f>
        <v>0</v>
      </c>
      <c r="AA51" s="19" t="n">
        <f aca="false">IF(AND(Projects!$G$42="Yes",AA$3&gt;=Projects!$C$42,AA$3&lt;Projects!$C$42+Projects!$D$42),Projects!$B$42*INDEX(Curves!$B$4:$AR$4,1,AA$3-Projects!$C$42+1),0)-IF(AND(Projects!$G$42="Yes",AA$3&gt;=Projects!$C$42,AA$3&lt;Projects!$C$42+Projects!$D$42),Projects!$B$42*(Assumptions!$B$10+Assumptions!$B$11+Assumptions!$B$12)/Projects!$D$42*0.95,0)-IF(AND(Projects!$G$42="Yes",AA$3=Projects!$C$42+Projects!$D$42-1),Projects!$B$42*(Assumptions!$B$10+Assumptions!$B$11+Assumptions!$B$12)*0.05,0)</f>
        <v>0</v>
      </c>
      <c r="AB51" s="19" t="n">
        <f aca="false">IF(AND(Projects!$G$42="Yes",AB$3&gt;=Projects!$C$42,AB$3&lt;Projects!$C$42+Projects!$D$42),Projects!$B$42*INDEX(Curves!$B$4:$AR$4,1,AB$3-Projects!$C$42+1),0)-IF(AND(Projects!$G$42="Yes",AB$3&gt;=Projects!$C$42,AB$3&lt;Projects!$C$42+Projects!$D$42),Projects!$B$42*(Assumptions!$B$10+Assumptions!$B$11+Assumptions!$B$12)/Projects!$D$42*0.95,0)-IF(AND(Projects!$G$42="Yes",AB$3=Projects!$C$42+Projects!$D$42-1),Projects!$B$42*(Assumptions!$B$10+Assumptions!$B$11+Assumptions!$B$12)*0.05,0)</f>
        <v>0</v>
      </c>
      <c r="AC51" s="19" t="n">
        <f aca="false">IF(AND(Projects!$G$42="Yes",AC$3&gt;=Projects!$C$42,AC$3&lt;Projects!$C$42+Projects!$D$42),Projects!$B$42*INDEX(Curves!$B$4:$AR$4,1,AC$3-Projects!$C$42+1),0)-IF(AND(Projects!$G$42="Yes",AC$3&gt;=Projects!$C$42,AC$3&lt;Projects!$C$42+Projects!$D$42),Projects!$B$42*(Assumptions!$B$10+Assumptions!$B$11+Assumptions!$B$12)/Projects!$D$42*0.95,0)-IF(AND(Projects!$G$42="Yes",AC$3=Projects!$C$42+Projects!$D$42-1),Projects!$B$42*(Assumptions!$B$10+Assumptions!$B$11+Assumptions!$B$12)*0.05,0)</f>
        <v>0</v>
      </c>
      <c r="AD51" s="19" t="n">
        <f aca="false">IF(AND(Projects!$G$42="Yes",AD$3&gt;=Projects!$C$42,AD$3&lt;Projects!$C$42+Projects!$D$42),Projects!$B$42*INDEX(Curves!$B$4:$AR$4,1,AD$3-Projects!$C$42+1),0)-IF(AND(Projects!$G$42="Yes",AD$3&gt;=Projects!$C$42,AD$3&lt;Projects!$C$42+Projects!$D$42),Projects!$B$42*(Assumptions!$B$10+Assumptions!$B$11+Assumptions!$B$12)/Projects!$D$42*0.95,0)-IF(AND(Projects!$G$42="Yes",AD$3=Projects!$C$42+Projects!$D$42-1),Projects!$B$42*(Assumptions!$B$10+Assumptions!$B$11+Assumptions!$B$12)*0.05,0)</f>
        <v>0</v>
      </c>
      <c r="AE51" s="19" t="n">
        <f aca="false">IF(AND(Projects!$G$42="Yes",AE$3&gt;=Projects!$C$42,AE$3&lt;Projects!$C$42+Projects!$D$42),Projects!$B$42*INDEX(Curves!$B$4:$AR$4,1,AE$3-Projects!$C$42+1),0)-IF(AND(Projects!$G$42="Yes",AE$3&gt;=Projects!$C$42,AE$3&lt;Projects!$C$42+Projects!$D$42),Projects!$B$42*(Assumptions!$B$10+Assumptions!$B$11+Assumptions!$B$12)/Projects!$D$42*0.95,0)-IF(AND(Projects!$G$42="Yes",AE$3=Projects!$C$42+Projects!$D$42-1),Projects!$B$42*(Assumptions!$B$10+Assumptions!$B$11+Assumptions!$B$12)*0.05,0)</f>
        <v>0</v>
      </c>
      <c r="AF51" s="19" t="n">
        <f aca="false">IF(AND(Projects!$G$42="Yes",AF$3&gt;=Projects!$C$42,AF$3&lt;Projects!$C$42+Projects!$D$42),Projects!$B$42*INDEX(Curves!$B$4:$AR$4,1,AF$3-Projects!$C$42+1),0)-IF(AND(Projects!$G$42="Yes",AF$3&gt;=Projects!$C$42,AF$3&lt;Projects!$C$42+Projects!$D$42),Projects!$B$42*(Assumptions!$B$10+Assumptions!$B$11+Assumptions!$B$12)/Projects!$D$42*0.95,0)-IF(AND(Projects!$G$42="Yes",AF$3=Projects!$C$42+Projects!$D$42-1),Projects!$B$42*(Assumptions!$B$10+Assumptions!$B$11+Assumptions!$B$12)*0.05,0)</f>
        <v>0</v>
      </c>
      <c r="AG51" s="19" t="n">
        <f aca="false">IF(AND(Projects!$G$42="Yes",AG$3&gt;=Projects!$C$42,AG$3&lt;Projects!$C$42+Projects!$D$42),Projects!$B$42*INDEX(Curves!$B$4:$AR$4,1,AG$3-Projects!$C$42+1),0)-IF(AND(Projects!$G$42="Yes",AG$3&gt;=Projects!$C$42,AG$3&lt;Projects!$C$42+Projects!$D$42),Projects!$B$42*(Assumptions!$B$10+Assumptions!$B$11+Assumptions!$B$12)/Projects!$D$42*0.95,0)-IF(AND(Projects!$G$42="Yes",AG$3=Projects!$C$42+Projects!$D$42-1),Projects!$B$42*(Assumptions!$B$10+Assumptions!$B$11+Assumptions!$B$12)*0.05,0)</f>
        <v>0</v>
      </c>
      <c r="AH51" s="19" t="n">
        <f aca="false">IF(AND(Projects!$G$42="Yes",AH$3&gt;=Projects!$C$42,AH$3&lt;Projects!$C$42+Projects!$D$42),Projects!$B$42*INDEX(Curves!$B$4:$AR$4,1,AH$3-Projects!$C$42+1),0)-IF(AND(Projects!$G$42="Yes",AH$3&gt;=Projects!$C$42,AH$3&lt;Projects!$C$42+Projects!$D$42),Projects!$B$42*(Assumptions!$B$10+Assumptions!$B$11+Assumptions!$B$12)/Projects!$D$42*0.95,0)-IF(AND(Projects!$G$42="Yes",AH$3=Projects!$C$42+Projects!$D$42-1),Projects!$B$42*(Assumptions!$B$10+Assumptions!$B$11+Assumptions!$B$12)*0.05,0)</f>
        <v>0</v>
      </c>
      <c r="AI51" s="19" t="n">
        <f aca="false">IF(AND(Projects!$G$42="Yes",AI$3&gt;=Projects!$C$42,AI$3&lt;Projects!$C$42+Projects!$D$42),Projects!$B$42*INDEX(Curves!$B$4:$AR$4,1,AI$3-Projects!$C$42+1),0)-IF(AND(Projects!$G$42="Yes",AI$3&gt;=Projects!$C$42,AI$3&lt;Projects!$C$42+Projects!$D$42),Projects!$B$42*(Assumptions!$B$10+Assumptions!$B$11+Assumptions!$B$12)/Projects!$D$42*0.95,0)-IF(AND(Projects!$G$42="Yes",AI$3=Projects!$C$42+Projects!$D$42-1),Projects!$B$42*(Assumptions!$B$10+Assumptions!$B$11+Assumptions!$B$12)*0.05,0)</f>
        <v>0</v>
      </c>
      <c r="AJ51" s="19" t="n">
        <f aca="false">IF(AND(Projects!$G$42="Yes",AJ$3&gt;=Projects!$C$42,AJ$3&lt;Projects!$C$42+Projects!$D$42),Projects!$B$42*INDEX(Curves!$B$4:$AR$4,1,AJ$3-Projects!$C$42+1),0)-IF(AND(Projects!$G$42="Yes",AJ$3&gt;=Projects!$C$42,AJ$3&lt;Projects!$C$42+Projects!$D$42),Projects!$B$42*(Assumptions!$B$10+Assumptions!$B$11+Assumptions!$B$12)/Projects!$D$42*0.95,0)-IF(AND(Projects!$G$42="Yes",AJ$3=Projects!$C$42+Projects!$D$42-1),Projects!$B$42*(Assumptions!$B$10+Assumptions!$B$11+Assumptions!$B$12)*0.05,0)</f>
        <v>0</v>
      </c>
      <c r="AK51" s="19" t="n">
        <f aca="false">IF(AND(Projects!$G$42="Yes",AK$3&gt;=Projects!$C$42,AK$3&lt;Projects!$C$42+Projects!$D$42),Projects!$B$42*INDEX(Curves!$B$4:$AR$4,1,AK$3-Projects!$C$42+1),0)-IF(AND(Projects!$G$42="Yes",AK$3&gt;=Projects!$C$42,AK$3&lt;Projects!$C$42+Projects!$D$42),Projects!$B$42*(Assumptions!$B$10+Assumptions!$B$11+Assumptions!$B$12)/Projects!$D$42*0.95,0)-IF(AND(Projects!$G$42="Yes",AK$3=Projects!$C$42+Projects!$D$42-1),Projects!$B$42*(Assumptions!$B$10+Assumptions!$B$11+Assumptions!$B$12)*0.05,0)</f>
        <v>0</v>
      </c>
      <c r="AL51" s="19" t="n">
        <f aca="false">IF(AND(Projects!$G$42="Yes",AL$3&gt;=Projects!$C$42,AL$3&lt;Projects!$C$42+Projects!$D$42),Projects!$B$42*INDEX(Curves!$B$4:$AR$4,1,AL$3-Projects!$C$42+1),0)-IF(AND(Projects!$G$42="Yes",AL$3&gt;=Projects!$C$42,AL$3&lt;Projects!$C$42+Projects!$D$42),Projects!$B$42*(Assumptions!$B$10+Assumptions!$B$11+Assumptions!$B$12)/Projects!$D$42*0.95,0)-IF(AND(Projects!$G$42="Yes",AL$3=Projects!$C$42+Projects!$D$42-1),Projects!$B$42*(Assumptions!$B$10+Assumptions!$B$11+Assumptions!$B$12)*0.05,0)</f>
        <v>0</v>
      </c>
      <c r="AM51" s="19" t="n">
        <f aca="false">IF(AND(Projects!$G$42="Yes",AM$3&gt;=Projects!$C$42,AM$3&lt;Projects!$C$42+Projects!$D$42),Projects!$B$42*INDEX(Curves!$B$4:$AR$4,1,AM$3-Projects!$C$42+1),0)-IF(AND(Projects!$G$42="Yes",AM$3&gt;=Projects!$C$42,AM$3&lt;Projects!$C$42+Projects!$D$42),Projects!$B$42*(Assumptions!$B$10+Assumptions!$B$11+Assumptions!$B$12)/Projects!$D$42*0.95,0)-IF(AND(Projects!$G$42="Yes",AM$3=Projects!$C$42+Projects!$D$42-1),Projects!$B$42*(Assumptions!$B$10+Assumptions!$B$11+Assumptions!$B$12)*0.05,0)</f>
        <v>0</v>
      </c>
      <c r="AN51" s="19" t="n">
        <f aca="false">IF(AND(Projects!$G$42="Yes",AN$3&gt;=Projects!$C$42,AN$3&lt;Projects!$C$42+Projects!$D$42),Projects!$B$42*INDEX(Curves!$B$4:$AR$4,1,AN$3-Projects!$C$42+1),0)-IF(AND(Projects!$G$42="Yes",AN$3&gt;=Projects!$C$42,AN$3&lt;Projects!$C$42+Projects!$D$42),Projects!$B$42*(Assumptions!$B$10+Assumptions!$B$11+Assumptions!$B$12)/Projects!$D$42*0.95,0)-IF(AND(Projects!$G$42="Yes",AN$3=Projects!$C$42+Projects!$D$42-1),Projects!$B$42*(Assumptions!$B$10+Assumptions!$B$11+Assumptions!$B$12)*0.05,0)</f>
        <v>0</v>
      </c>
      <c r="AO51" s="19" t="n">
        <f aca="false">IF(AND(Projects!$G$42="Yes",AO$3&gt;=Projects!$C$42,AO$3&lt;Projects!$C$42+Projects!$D$42),Projects!$B$42*INDEX(Curves!$B$4:$AR$4,1,AO$3-Projects!$C$42+1),0)-IF(AND(Projects!$G$42="Yes",AO$3&gt;=Projects!$C$42,AO$3&lt;Projects!$C$42+Projects!$D$42),Projects!$B$42*(Assumptions!$B$10+Assumptions!$B$11+Assumptions!$B$12)/Projects!$D$42*0.95,0)-IF(AND(Projects!$G$42="Yes",AO$3=Projects!$C$42+Projects!$D$42-1),Projects!$B$42*(Assumptions!$B$10+Assumptions!$B$11+Assumptions!$B$12)*0.05,0)</f>
        <v>0</v>
      </c>
      <c r="AP51" s="19" t="n">
        <f aca="false">IF(AND(Projects!$G$42="Yes",AP$3&gt;=Projects!$C$42,AP$3&lt;Projects!$C$42+Projects!$D$42),Projects!$B$42*INDEX(Curves!$B$4:$AR$4,1,AP$3-Projects!$C$42+1),0)-IF(AND(Projects!$G$42="Yes",AP$3&gt;=Projects!$C$42,AP$3&lt;Projects!$C$42+Projects!$D$42),Projects!$B$42*(Assumptions!$B$10+Assumptions!$B$11+Assumptions!$B$12)/Projects!$D$42*0.95,0)-IF(AND(Projects!$G$42="Yes",AP$3=Projects!$C$42+Projects!$D$42-1),Projects!$B$42*(Assumptions!$B$10+Assumptions!$B$11+Assumptions!$B$12)*0.05,0)</f>
        <v>0</v>
      </c>
      <c r="AQ51" s="19" t="n">
        <f aca="false">IF(AND(Projects!$G$42="Yes",AQ$3&gt;=Projects!$C$42,AQ$3&lt;Projects!$C$42+Projects!$D$42),Projects!$B$42*INDEX(Curves!$B$4:$AR$4,1,AQ$3-Projects!$C$42+1),0)-IF(AND(Projects!$G$42="Yes",AQ$3&gt;=Projects!$C$42,AQ$3&lt;Projects!$C$42+Projects!$D$42),Projects!$B$42*(Assumptions!$B$10+Assumptions!$B$11+Assumptions!$B$12)/Projects!$D$42*0.95,0)-IF(AND(Projects!$G$42="Yes",AQ$3=Projects!$C$42+Projects!$D$42-1),Projects!$B$42*(Assumptions!$B$10+Assumptions!$B$11+Assumptions!$B$12)*0.05,0)</f>
        <v>0</v>
      </c>
      <c r="AR51" s="19" t="n">
        <f aca="false">IF(AND(Projects!$G$42="Yes",AR$3&gt;=Projects!$C$42,AR$3&lt;Projects!$C$42+Projects!$D$42),Projects!$B$42*INDEX(Curves!$B$4:$AR$4,1,AR$3-Projects!$C$42+1),0)-IF(AND(Projects!$G$42="Yes",AR$3&gt;=Projects!$C$42,AR$3&lt;Projects!$C$42+Projects!$D$42),Projects!$B$42*(Assumptions!$B$10+Assumptions!$B$11+Assumptions!$B$12)/Projects!$D$42*0.95,0)-IF(AND(Projects!$G$42="Yes",AR$3=Projects!$C$42+Projects!$D$42-1),Projects!$B$42*(Assumptions!$B$10+Assumptions!$B$11+Assumptions!$B$12)*0.05,0)</f>
        <v>0</v>
      </c>
      <c r="AS51" s="19" t="n">
        <f aca="false">IF(AND(Projects!$G$42="Yes",AS$3&gt;=Projects!$C$42,AS$3&lt;Projects!$C$42+Projects!$D$42),Projects!$B$42*INDEX(Curves!$B$4:$AR$4,1,AS$3-Projects!$C$42+1),0)-IF(AND(Projects!$G$42="Yes",AS$3&gt;=Projects!$C$42,AS$3&lt;Projects!$C$42+Projects!$D$42),Projects!$B$42*(Assumptions!$B$10+Assumptions!$B$11+Assumptions!$B$12)/Projects!$D$42*0.95,0)-IF(AND(Projects!$G$42="Yes",AS$3=Projects!$C$42+Projects!$D$42-1),Projects!$B$42*(Assumptions!$B$10+Assumptions!$B$11+Assumptions!$B$12)*0.05,0)</f>
        <v>0</v>
      </c>
      <c r="AT51" s="19" t="n">
        <f aca="false">IF(AND(Projects!$G$42="Yes",AT$3&gt;=Projects!$C$42,AT$3&lt;Projects!$C$42+Projects!$D$42),Projects!$B$42*INDEX(Curves!$B$4:$AR$4,1,AT$3-Projects!$C$42+1),0)-IF(AND(Projects!$G$42="Yes",AT$3&gt;=Projects!$C$42,AT$3&lt;Projects!$C$42+Projects!$D$42),Projects!$B$42*(Assumptions!$B$10+Assumptions!$B$11+Assumptions!$B$12)/Projects!$D$42*0.95,0)-IF(AND(Projects!$G$42="Yes",AT$3=Projects!$C$42+Projects!$D$42-1),Projects!$B$42*(Assumptions!$B$10+Assumptions!$B$11+Assumptions!$B$12)*0.05,0)</f>
        <v>0</v>
      </c>
      <c r="AU51" s="19" t="n">
        <f aca="false">IF(AND(Projects!$G$42="Yes",AU$3&gt;=Projects!$C$42,AU$3&lt;Projects!$C$42+Projects!$D$42),Projects!$B$42*INDEX(Curves!$B$4:$AR$4,1,AU$3-Projects!$C$42+1),0)-IF(AND(Projects!$G$42="Yes",AU$3&gt;=Projects!$C$42,AU$3&lt;Projects!$C$42+Projects!$D$42),Projects!$B$42*(Assumptions!$B$10+Assumptions!$B$11+Assumptions!$B$12)/Projects!$D$42*0.95,0)-IF(AND(Projects!$G$42="Yes",AU$3=Projects!$C$42+Projects!$D$42-1),Projects!$B$42*(Assumptions!$B$10+Assumptions!$B$11+Assumptions!$B$12)*0.05,0)</f>
        <v>0</v>
      </c>
      <c r="AV51" s="19" t="n">
        <f aca="false">IF(AND(Projects!$G$42="Yes",AV$3&gt;=Projects!$C$42,AV$3&lt;Projects!$C$42+Projects!$D$42),Projects!$B$42*INDEX(Curves!$B$4:$AR$4,1,AV$3-Projects!$C$42+1),0)-IF(AND(Projects!$G$42="Yes",AV$3&gt;=Projects!$C$42,AV$3&lt;Projects!$C$42+Projects!$D$42),Projects!$B$42*(Assumptions!$B$10+Assumptions!$B$11+Assumptions!$B$12)/Projects!$D$42*0.95,0)-IF(AND(Projects!$G$42="Yes",AV$3=Projects!$C$42+Projects!$D$42-1),Projects!$B$42*(Assumptions!$B$10+Assumptions!$B$11+Assumptions!$B$12)*0.05,0)</f>
        <v>0</v>
      </c>
      <c r="AW51" s="19" t="n">
        <f aca="false">IF(AND(Projects!$G$42="Yes",AW$3&gt;=Projects!$C$42,AW$3&lt;Projects!$C$42+Projects!$D$42),Projects!$B$42*INDEX(Curves!$B$4:$AR$4,1,AW$3-Projects!$C$42+1),0)-IF(AND(Projects!$G$42="Yes",AW$3&gt;=Projects!$C$42,AW$3&lt;Projects!$C$42+Projects!$D$42),Projects!$B$42*(Assumptions!$B$10+Assumptions!$B$11+Assumptions!$B$12)/Projects!$D$42*0.95,0)-IF(AND(Projects!$G$42="Yes",AW$3=Projects!$C$42+Projects!$D$42-1),Projects!$B$42*(Assumptions!$B$10+Assumptions!$B$11+Assumptions!$B$12)*0.05,0)</f>
        <v>0</v>
      </c>
      <c r="AX51" s="19" t="n">
        <f aca="false">IF(AND(Projects!$G$42="Yes",AX$3&gt;=Projects!$C$42,AX$3&lt;Projects!$C$42+Projects!$D$42),Projects!$B$42*INDEX(Curves!$B$4:$AR$4,1,AX$3-Projects!$C$42+1),0)-IF(AND(Projects!$G$42="Yes",AX$3&gt;=Projects!$C$42,AX$3&lt;Projects!$C$42+Projects!$D$42),Projects!$B$42*(Assumptions!$B$10+Assumptions!$B$11+Assumptions!$B$12)/Projects!$D$42*0.95,0)-IF(AND(Projects!$G$42="Yes",AX$3=Projects!$C$42+Projects!$D$42-1),Projects!$B$42*(Assumptions!$B$10+Assumptions!$B$11+Assumptions!$B$12)*0.05,0)</f>
        <v>0</v>
      </c>
      <c r="AY51" s="19" t="n">
        <f aca="false">IF(AND(Projects!$G$42="Yes",AY$3&gt;=Projects!$C$42,AY$3&lt;Projects!$C$42+Projects!$D$42),Projects!$B$42*INDEX(Curves!$B$4:$AR$4,1,AY$3-Projects!$C$42+1),0)-IF(AND(Projects!$G$42="Yes",AY$3&gt;=Projects!$C$42,AY$3&lt;Projects!$C$42+Projects!$D$42),Projects!$B$42*(Assumptions!$B$10+Assumptions!$B$11+Assumptions!$B$12)/Projects!$D$42*0.95,0)-IF(AND(Projects!$G$42="Yes",AY$3=Projects!$C$42+Projects!$D$42-1),Projects!$B$42*(Assumptions!$B$10+Assumptions!$B$11+Assumptions!$B$12)*0.05,0)</f>
        <v>0</v>
      </c>
      <c r="AZ51" s="19" t="n">
        <f aca="false">IF(AND(Projects!$G$42="Yes",AZ$3&gt;=Projects!$C$42,AZ$3&lt;Projects!$C$42+Projects!$D$42),Projects!$B$42*INDEX(Curves!$B$4:$AR$4,1,AZ$3-Projects!$C$42+1),0)-IF(AND(Projects!$G$42="Yes",AZ$3&gt;=Projects!$C$42,AZ$3&lt;Projects!$C$42+Projects!$D$42),Projects!$B$42*(Assumptions!$B$10+Assumptions!$B$11+Assumptions!$B$12)/Projects!$D$42*0.95,0)-IF(AND(Projects!$G$42="Yes",AZ$3=Projects!$C$42+Projects!$D$42-1),Projects!$B$42*(Assumptions!$B$10+Assumptions!$B$11+Assumptions!$B$12)*0.05,0)</f>
        <v>0</v>
      </c>
      <c r="BA51" s="19" t="n">
        <f aca="false">IF(AND(Projects!$G$42="Yes",BA$3&gt;=Projects!$C$42,BA$3&lt;Projects!$C$42+Projects!$D$42),Projects!$B$42*INDEX(Curves!$B$4:$AR$4,1,BA$3-Projects!$C$42+1),0)-IF(AND(Projects!$G$42="Yes",BA$3&gt;=Projects!$C$42,BA$3&lt;Projects!$C$42+Projects!$D$42),Projects!$B$42*(Assumptions!$B$10+Assumptions!$B$11+Assumptions!$B$12)/Projects!$D$42*0.95,0)-IF(AND(Projects!$G$42="Yes",BA$3=Projects!$C$42+Projects!$D$42-1),Projects!$B$42*(Assumptions!$B$10+Assumptions!$B$11+Assumptions!$B$12)*0.05,0)</f>
        <v>0</v>
      </c>
      <c r="BB51" s="19" t="n">
        <f aca="false">IF(AND(Projects!$G$42="Yes",BB$3&gt;=Projects!$C$42,BB$3&lt;Projects!$C$42+Projects!$D$42),Projects!$B$42*INDEX(Curves!$B$4:$AR$4,1,BB$3-Projects!$C$42+1),0)-IF(AND(Projects!$G$42="Yes",BB$3&gt;=Projects!$C$42,BB$3&lt;Projects!$C$42+Projects!$D$42),Projects!$B$42*(Assumptions!$B$10+Assumptions!$B$11+Assumptions!$B$12)/Projects!$D$42*0.95,0)-IF(AND(Projects!$G$42="Yes",BB$3=Projects!$C$42+Projects!$D$42-1),Projects!$B$42*(Assumptions!$B$10+Assumptions!$B$11+Assumptions!$B$12)*0.05,0)</f>
        <v>0</v>
      </c>
      <c r="BC51" s="19" t="n">
        <f aca="false">IF(AND(Projects!$G$42="Yes",BC$3&gt;=Projects!$C$42,BC$3&lt;Projects!$C$42+Projects!$D$42),Projects!$B$42*INDEX(Curves!$B$4:$AR$4,1,BC$3-Projects!$C$42+1),0)-IF(AND(Projects!$G$42="Yes",BC$3&gt;=Projects!$C$42,BC$3&lt;Projects!$C$42+Projects!$D$42),Projects!$B$42*(Assumptions!$B$10+Assumptions!$B$11+Assumptions!$B$12)/Projects!$D$42*0.95,0)-IF(AND(Projects!$G$42="Yes",BC$3=Projects!$C$42+Projects!$D$42-1),Projects!$B$42*(Assumptions!$B$10+Assumptions!$B$11+Assumptions!$B$12)*0.05,0)</f>
        <v>0</v>
      </c>
      <c r="BD51" s="19" t="n">
        <f aca="false">IF(AND(Projects!$G$42="Yes",BD$3&gt;=Projects!$C$42,BD$3&lt;Projects!$C$42+Projects!$D$42),Projects!$B$42*INDEX(Curves!$B$4:$AR$4,1,BD$3-Projects!$C$42+1),0)-IF(AND(Projects!$G$42="Yes",BD$3&gt;=Projects!$C$42,BD$3&lt;Projects!$C$42+Projects!$D$42),Projects!$B$42*(Assumptions!$B$10+Assumptions!$B$11+Assumptions!$B$12)/Projects!$D$42*0.95,0)-IF(AND(Projects!$G$42="Yes",BD$3=Projects!$C$42+Projects!$D$42-1),Projects!$B$42*(Assumptions!$B$10+Assumptions!$B$11+Assumptions!$B$12)*0.05,0)</f>
        <v>368954.1</v>
      </c>
      <c r="BE51" s="19" t="n">
        <f aca="false">IF(AND(Projects!$G$42="Yes",BE$3&gt;=Projects!$C$42,BE$3&lt;Projects!$C$42+Projects!$D$42),Projects!$B$42*INDEX(Curves!$B$4:$AR$4,1,BE$3-Projects!$C$42+1),0)-IF(AND(Projects!$G$42="Yes",BE$3&gt;=Projects!$C$42,BE$3&lt;Projects!$C$42+Projects!$D$42),Projects!$B$42*(Assumptions!$B$10+Assumptions!$B$11+Assumptions!$B$12)/Projects!$D$42*0.95,0)-IF(AND(Projects!$G$42="Yes",BE$3=Projects!$C$42+Projects!$D$42-1),Projects!$B$42*(Assumptions!$B$10+Assumptions!$B$11+Assumptions!$B$12)*0.05,0)</f>
        <v>481346.1</v>
      </c>
      <c r="BF51" s="19" t="n">
        <f aca="false">IF(AND(Projects!$G$42="Yes",BF$3&gt;=Projects!$C$42,BF$3&lt;Projects!$C$42+Projects!$D$42),Projects!$B$42*INDEX(Curves!$B$4:$AR$4,1,BF$3-Projects!$C$42+1),0)-IF(AND(Projects!$G$42="Yes",BF$3&gt;=Projects!$C$42,BF$3&lt;Projects!$C$42+Projects!$D$42),Projects!$B$42*(Assumptions!$B$10+Assumptions!$B$11+Assumptions!$B$12)/Projects!$D$42*0.95,0)-IF(AND(Projects!$G$42="Yes",BF$3=Projects!$C$42+Projects!$D$42-1),Projects!$B$42*(Assumptions!$B$10+Assumptions!$B$11+Assumptions!$B$12)*0.05,0)</f>
        <v>602324.1</v>
      </c>
      <c r="BG51" s="19" t="n">
        <f aca="false">IF(AND(Projects!$G$42="Yes",BG$3&gt;=Projects!$C$42,BG$3&lt;Projects!$C$42+Projects!$D$42),Projects!$B$42*INDEX(Curves!$B$4:$AR$4,1,BG$3-Projects!$C$42+1),0)-IF(AND(Projects!$G$42="Yes",BG$3&gt;=Projects!$C$42,BG$3&lt;Projects!$C$42+Projects!$D$42),Projects!$B$42*(Assumptions!$B$10+Assumptions!$B$11+Assumptions!$B$12)/Projects!$D$42*0.95,0)-IF(AND(Projects!$G$42="Yes",BG$3=Projects!$C$42+Projects!$D$42-1),Projects!$B$42*(Assumptions!$B$10+Assumptions!$B$11+Assumptions!$B$12)*0.05,0)</f>
        <v>727064.1</v>
      </c>
      <c r="BH51" s="19" t="n">
        <f aca="false">IF(AND(Projects!$G$42="Yes",BH$3&gt;=Projects!$C$42,BH$3&lt;Projects!$C$42+Projects!$D$42),Projects!$B$42*INDEX(Curves!$B$4:$AR$4,1,BH$3-Projects!$C$42+1),0)-IF(AND(Projects!$G$42="Yes",BH$3&gt;=Projects!$C$42,BH$3&lt;Projects!$C$42+Projects!$D$42),Projects!$B$42*(Assumptions!$B$10+Assumptions!$B$11+Assumptions!$B$12)/Projects!$D$42*0.95,0)-IF(AND(Projects!$G$42="Yes",BH$3=Projects!$C$42+Projects!$D$42-1),Projects!$B$42*(Assumptions!$B$10+Assumptions!$B$11+Assumptions!$B$12)*0.05,0)</f>
        <v>849572.1</v>
      </c>
      <c r="BI51" s="19" t="n">
        <f aca="false">IF(AND(Projects!$G$42="Yes",BI$3&gt;=Projects!$C$42,BI$3&lt;Projects!$C$42+Projects!$D$42),Projects!$B$42*INDEX(Curves!$B$4:$AR$4,1,BI$3-Projects!$C$42+1),0)-IF(AND(Projects!$G$42="Yes",BI$3&gt;=Projects!$C$42,BI$3&lt;Projects!$C$42+Projects!$D$42),Projects!$B$42*(Assumptions!$B$10+Assumptions!$B$11+Assumptions!$B$12)/Projects!$D$42*0.95,0)-IF(AND(Projects!$G$42="Yes",BI$3=Projects!$C$42+Projects!$D$42-1),Projects!$B$42*(Assumptions!$B$10+Assumptions!$B$11+Assumptions!$B$12)*0.05,0)</f>
        <v>963044.1</v>
      </c>
      <c r="BJ51" s="19" t="n">
        <f aca="false">IF(AND(Projects!$G$42="Yes",BJ$3&gt;=Projects!$C$42,BJ$3&lt;Projects!$C$42+Projects!$D$42),Projects!$B$42*INDEX(Curves!$B$4:$AR$4,1,BJ$3-Projects!$C$42+1),0)-IF(AND(Projects!$G$42="Yes",BJ$3&gt;=Projects!$C$42,BJ$3&lt;Projects!$C$42+Projects!$D$42),Projects!$B$42*(Assumptions!$B$10+Assumptions!$B$11+Assumptions!$B$12)/Projects!$D$42*0.95,0)-IF(AND(Projects!$G$42="Yes",BJ$3=Projects!$C$42+Projects!$D$42-1),Projects!$B$42*(Assumptions!$B$10+Assumptions!$B$11+Assumptions!$B$12)*0.05,0)</f>
        <v>1060514.1</v>
      </c>
      <c r="BK51" s="19" t="n">
        <f aca="false">IF(AND(Projects!$G$42="Yes",BK$3&gt;=Projects!$C$42,BK$3&lt;Projects!$C$42+Projects!$D$42),Projects!$B$42*INDEX(Curves!$B$4:$AR$4,1,BK$3-Projects!$C$42+1),0)-IF(AND(Projects!$G$42="Yes",BK$3&gt;=Projects!$C$42,BK$3&lt;Projects!$C$42+Projects!$D$42),Projects!$B$42*(Assumptions!$B$10+Assumptions!$B$11+Assumptions!$B$12)/Projects!$D$42*0.95,0)-IF(AND(Projects!$G$42="Yes",BK$3=Projects!$C$42+Projects!$D$42-1),Projects!$B$42*(Assumptions!$B$10+Assumptions!$B$11+Assumptions!$B$12)*0.05,0)</f>
        <v>1135520.1</v>
      </c>
      <c r="BL51" s="19" t="n">
        <f aca="false">IF(AND(Projects!$G$42="Yes",BL$3&gt;=Projects!$C$42,BL$3&lt;Projects!$C$42+Projects!$D$42),Projects!$B$42*INDEX(Curves!$B$4:$AR$4,1,BL$3-Projects!$C$42+1),0)-IF(AND(Projects!$G$42="Yes",BL$3&gt;=Projects!$C$42,BL$3&lt;Projects!$C$42+Projects!$D$42),Projects!$B$42*(Assumptions!$B$10+Assumptions!$B$11+Assumptions!$B$12)/Projects!$D$42*0.95,0)-IF(AND(Projects!$G$42="Yes",BL$3=Projects!$C$42+Projects!$D$42-1),Projects!$B$42*(Assumptions!$B$10+Assumptions!$B$11+Assumptions!$B$12)*0.05,0)</f>
        <v>1182824.1</v>
      </c>
      <c r="BM51" s="19" t="n">
        <f aca="false">IF(AND(Projects!$G$42="Yes",BM$3&gt;=Projects!$C$42,BM$3&lt;Projects!$C$42+Projects!$D$42),Projects!$B$42*INDEX(Curves!$B$4:$AR$4,1,BM$3-Projects!$C$42+1),0)-IF(AND(Projects!$G$42="Yes",BM$3&gt;=Projects!$C$42,BM$3&lt;Projects!$C$42+Projects!$D$42),Projects!$B$42*(Assumptions!$B$10+Assumptions!$B$11+Assumptions!$B$12)/Projects!$D$42*0.95,0)-IF(AND(Projects!$G$42="Yes",BM$3=Projects!$C$42+Projects!$D$42-1),Projects!$B$42*(Assumptions!$B$10+Assumptions!$B$11+Assumptions!$B$12)*0.05,0)</f>
        <v>1198988.1</v>
      </c>
      <c r="BN51" s="19" t="n">
        <f aca="false">IF(AND(Projects!$G$42="Yes",BN$3&gt;=Projects!$C$42,BN$3&lt;Projects!$C$42+Projects!$D$42),Projects!$B$42*INDEX(Curves!$B$4:$AR$4,1,BN$3-Projects!$C$42+1),0)-IF(AND(Projects!$G$42="Yes",BN$3&gt;=Projects!$C$42,BN$3&lt;Projects!$C$42+Projects!$D$42),Projects!$B$42*(Assumptions!$B$10+Assumptions!$B$11+Assumptions!$B$12)/Projects!$D$42*0.95,0)-IF(AND(Projects!$G$42="Yes",BN$3=Projects!$C$42+Projects!$D$42-1),Projects!$B$42*(Assumptions!$B$10+Assumptions!$B$11+Assumptions!$B$12)*0.05,0)</f>
        <v>1182824.1</v>
      </c>
      <c r="BO51" s="19" t="n">
        <f aca="false">IF(AND(Projects!$G$42="Yes",BO$3&gt;=Projects!$C$42,BO$3&lt;Projects!$C$42+Projects!$D$42),Projects!$B$42*INDEX(Curves!$B$4:$AR$4,1,BO$3-Projects!$C$42+1),0)-IF(AND(Projects!$G$42="Yes",BO$3&gt;=Projects!$C$42,BO$3&lt;Projects!$C$42+Projects!$D$42),Projects!$B$42*(Assumptions!$B$10+Assumptions!$B$11+Assumptions!$B$12)/Projects!$D$42*0.95,0)-IF(AND(Projects!$G$42="Yes",BO$3=Projects!$C$42+Projects!$D$42-1),Projects!$B$42*(Assumptions!$B$10+Assumptions!$B$11+Assumptions!$B$12)*0.05,0)</f>
        <v>1135520.1</v>
      </c>
      <c r="BP51" s="19" t="n">
        <f aca="false">IF(AND(Projects!$G$42="Yes",BP$3&gt;=Projects!$C$42,BP$3&lt;Projects!$C$42+Projects!$D$42),Projects!$B$42*INDEX(Curves!$B$4:$AR$4,1,BP$3-Projects!$C$42+1),0)-IF(AND(Projects!$G$42="Yes",BP$3&gt;=Projects!$C$42,BP$3&lt;Projects!$C$42+Projects!$D$42),Projects!$B$42*(Assumptions!$B$10+Assumptions!$B$11+Assumptions!$B$12)/Projects!$D$42*0.95,0)-IF(AND(Projects!$G$42="Yes",BP$3=Projects!$C$42+Projects!$D$42-1),Projects!$B$42*(Assumptions!$B$10+Assumptions!$B$11+Assumptions!$B$12)*0.05,0)</f>
        <v>1060514.1</v>
      </c>
      <c r="BQ51" s="19" t="n">
        <f aca="false">IF(AND(Projects!$G$42="Yes",BQ$3&gt;=Projects!$C$42,BQ$3&lt;Projects!$C$42+Projects!$D$42),Projects!$B$42*INDEX(Curves!$B$4:$AR$4,1,BQ$3-Projects!$C$42+1),0)-IF(AND(Projects!$G$42="Yes",BQ$3&gt;=Projects!$C$42,BQ$3&lt;Projects!$C$42+Projects!$D$42),Projects!$B$42*(Assumptions!$B$10+Assumptions!$B$11+Assumptions!$B$12)/Projects!$D$42*0.95,0)-IF(AND(Projects!$G$42="Yes",BQ$3=Projects!$C$42+Projects!$D$42-1),Projects!$B$42*(Assumptions!$B$10+Assumptions!$B$11+Assumptions!$B$12)*0.05,0)</f>
        <v>963044.1</v>
      </c>
      <c r="BR51" s="19" t="n">
        <f aca="false">IF(AND(Projects!$G$42="Yes",BR$3&gt;=Projects!$C$42,BR$3&lt;Projects!$C$42+Projects!$D$42),Projects!$B$42*INDEX(Curves!$B$4:$AR$4,1,BR$3-Projects!$C$42+1),0)-IF(AND(Projects!$G$42="Yes",BR$3&gt;=Projects!$C$42,BR$3&lt;Projects!$C$42+Projects!$D$42),Projects!$B$42*(Assumptions!$B$10+Assumptions!$B$11+Assumptions!$B$12)/Projects!$D$42*0.95,0)-IF(AND(Projects!$G$42="Yes",BR$3=Projects!$C$42+Projects!$D$42-1),Projects!$B$42*(Assumptions!$B$10+Assumptions!$B$11+Assumptions!$B$12)*0.05,0)</f>
        <v>849572.1</v>
      </c>
      <c r="BS51" s="19" t="n">
        <f aca="false">IF(AND(Projects!$G$42="Yes",BS$3&gt;=Projects!$C$42,BS$3&lt;Projects!$C$42+Projects!$D$42),Projects!$B$42*INDEX(Curves!$B$4:$AR$4,1,BS$3-Projects!$C$42+1),0)-IF(AND(Projects!$G$42="Yes",BS$3&gt;=Projects!$C$42,BS$3&lt;Projects!$C$42+Projects!$D$42),Projects!$B$42*(Assumptions!$B$10+Assumptions!$B$11+Assumptions!$B$12)/Projects!$D$42*0.95,0)-IF(AND(Projects!$G$42="Yes",BS$3=Projects!$C$42+Projects!$D$42-1),Projects!$B$42*(Assumptions!$B$10+Assumptions!$B$11+Assumptions!$B$12)*0.05,0)</f>
        <v>727064.1</v>
      </c>
      <c r="BT51" s="19" t="n">
        <f aca="false">IF(AND(Projects!$G$42="Yes",BT$3&gt;=Projects!$C$42,BT$3&lt;Projects!$C$42+Projects!$D$42),Projects!$B$42*INDEX(Curves!$B$4:$AR$4,1,BT$3-Projects!$C$42+1),0)-IF(AND(Projects!$G$42="Yes",BT$3&gt;=Projects!$C$42,BT$3&lt;Projects!$C$42+Projects!$D$42),Projects!$B$42*(Assumptions!$B$10+Assumptions!$B$11+Assumptions!$B$12)/Projects!$D$42*0.95,0)-IF(AND(Projects!$G$42="Yes",BT$3=Projects!$C$42+Projects!$D$42-1),Projects!$B$42*(Assumptions!$B$10+Assumptions!$B$11+Assumptions!$B$12)*0.05,0)</f>
        <v>602324.1</v>
      </c>
      <c r="BU51" s="19" t="n">
        <f aca="false">IF(AND(Projects!$G$42="Yes",BU$3&gt;=Projects!$C$42,BU$3&lt;Projects!$C$42+Projects!$D$42),Projects!$B$42*INDEX(Curves!$B$4:$AR$4,1,BU$3-Projects!$C$42+1),0)-IF(AND(Projects!$G$42="Yes",BU$3&gt;=Projects!$C$42,BU$3&lt;Projects!$C$42+Projects!$D$42),Projects!$B$42*(Assumptions!$B$10+Assumptions!$B$11+Assumptions!$B$12)/Projects!$D$42*0.95,0)-IF(AND(Projects!$G$42="Yes",BU$3=Projects!$C$42+Projects!$D$42-1),Projects!$B$42*(Assumptions!$B$10+Assumptions!$B$11+Assumptions!$B$12)*0.05,0)</f>
        <v>481346.1</v>
      </c>
      <c r="BV51" s="19" t="n">
        <f aca="false">IF(AND(Projects!$G$42="Yes",BV$3&gt;=Projects!$C$42,BV$3&lt;Projects!$C$42+Projects!$D$42),Projects!$B$42*INDEX(Curves!$B$4:$AR$4,1,BV$3-Projects!$C$42+1),0)-IF(AND(Projects!$G$42="Yes",BV$3&gt;=Projects!$C$42,BV$3&lt;Projects!$C$42+Projects!$D$42),Projects!$B$42*(Assumptions!$B$10+Assumptions!$B$11+Assumptions!$B$12)/Projects!$D$42*0.95,0)-IF(AND(Projects!$G$42="Yes",BV$3=Projects!$C$42+Projects!$D$42-1),Projects!$B$42*(Assumptions!$B$10+Assumptions!$B$11+Assumptions!$B$12)*0.05,0)</f>
        <v>260602.2</v>
      </c>
      <c r="BW51" s="19" t="n">
        <f aca="false">IF(AND(Projects!$G$42="Yes",BW$3&gt;=Projects!$C$42,BW$3&lt;Projects!$C$42+Projects!$D$42),Projects!$B$42*INDEX(Curves!$B$4:$AR$4,1,BW$3-Projects!$C$42+1),0)-IF(AND(Projects!$G$42="Yes",BW$3&gt;=Projects!$C$42,BW$3&lt;Projects!$C$42+Projects!$D$42),Projects!$B$42*(Assumptions!$B$10+Assumptions!$B$11+Assumptions!$B$12)/Projects!$D$42*0.95,0)-IF(AND(Projects!$G$42="Yes",BW$3=Projects!$C$42+Projects!$D$42-1),Projects!$B$42*(Assumptions!$B$10+Assumptions!$B$11+Assumptions!$B$12)*0.05,0)</f>
        <v>0</v>
      </c>
      <c r="BX51" s="19" t="n">
        <f aca="false">IF(AND(Projects!$G$42="Yes",BX$3&gt;=Projects!$C$42,BX$3&lt;Projects!$C$42+Projects!$D$42),Projects!$B$42*INDEX(Curves!$B$4:$AR$4,1,BX$3-Projects!$C$42+1),0)-IF(AND(Projects!$G$42="Yes",BX$3&gt;=Projects!$C$42,BX$3&lt;Projects!$C$42+Projects!$D$42),Projects!$B$42*(Assumptions!$B$10+Assumptions!$B$11+Assumptions!$B$12)/Projects!$D$42*0.95,0)-IF(AND(Projects!$G$42="Yes",BX$3=Projects!$C$42+Projects!$D$42-1),Projects!$B$42*(Assumptions!$B$10+Assumptions!$B$11+Assumptions!$B$12)*0.05,0)</f>
        <v>0</v>
      </c>
      <c r="BY51" s="19" t="n">
        <f aca="false">IF(AND(Projects!$G$42="Yes",BY$3&gt;=Projects!$C$42,BY$3&lt;Projects!$C$42+Projects!$D$42),Projects!$B$42*INDEX(Curves!$B$4:$AR$4,1,BY$3-Projects!$C$42+1),0)-IF(AND(Projects!$G$42="Yes",BY$3&gt;=Projects!$C$42,BY$3&lt;Projects!$C$42+Projects!$D$42),Projects!$B$42*(Assumptions!$B$10+Assumptions!$B$11+Assumptions!$B$12)/Projects!$D$42*0.95,0)-IF(AND(Projects!$G$42="Yes",BY$3=Projects!$C$42+Projects!$D$42-1),Projects!$B$42*(Assumptions!$B$10+Assumptions!$B$11+Assumptions!$B$12)*0.05,0)</f>
        <v>0</v>
      </c>
      <c r="BZ51" s="19" t="n">
        <f aca="false">IF(AND(Projects!$G$42="Yes",BZ$3&gt;=Projects!$C$42,BZ$3&lt;Projects!$C$42+Projects!$D$42),Projects!$B$42*INDEX(Curves!$B$4:$AR$4,1,BZ$3-Projects!$C$42+1),0)-IF(AND(Projects!$G$42="Yes",BZ$3&gt;=Projects!$C$42,BZ$3&lt;Projects!$C$42+Projects!$D$42),Projects!$B$42*(Assumptions!$B$10+Assumptions!$B$11+Assumptions!$B$12)/Projects!$D$42*0.95,0)-IF(AND(Projects!$G$42="Yes",BZ$3=Projects!$C$42+Projects!$D$42-1),Projects!$B$42*(Assumptions!$B$10+Assumptions!$B$11+Assumptions!$B$12)*0.05,0)</f>
        <v>0</v>
      </c>
      <c r="CA51" s="19" t="n">
        <f aca="false">IF(AND(Projects!$G$42="Yes",CA$3&gt;=Projects!$C$42,CA$3&lt;Projects!$C$42+Projects!$D$42),Projects!$B$42*INDEX(Curves!$B$4:$AR$4,1,CA$3-Projects!$C$42+1),0)-IF(AND(Projects!$G$42="Yes",CA$3&gt;=Projects!$C$42,CA$3&lt;Projects!$C$42+Projects!$D$42),Projects!$B$42*(Assumptions!$B$10+Assumptions!$B$11+Assumptions!$B$12)/Projects!$D$42*0.95,0)-IF(AND(Projects!$G$42="Yes",CA$3=Projects!$C$42+Projects!$D$42-1),Projects!$B$42*(Assumptions!$B$10+Assumptions!$B$11+Assumptions!$B$12)*0.05,0)</f>
        <v>0</v>
      </c>
      <c r="CB51" s="19" t="n">
        <f aca="false">IF(AND(Projects!$G$42="Yes",CB$3&gt;=Projects!$C$42,CB$3&lt;Projects!$C$42+Projects!$D$42),Projects!$B$42*INDEX(Curves!$B$4:$AR$4,1,CB$3-Projects!$C$42+1),0)-IF(AND(Projects!$G$42="Yes",CB$3&gt;=Projects!$C$42,CB$3&lt;Projects!$C$42+Projects!$D$42),Projects!$B$42*(Assumptions!$B$10+Assumptions!$B$11+Assumptions!$B$12)/Projects!$D$42*0.95,0)-IF(AND(Projects!$G$42="Yes",CB$3=Projects!$C$42+Projects!$D$42-1),Projects!$B$42*(Assumptions!$B$10+Assumptions!$B$11+Assumptions!$B$12)*0.05,0)</f>
        <v>0</v>
      </c>
      <c r="CC51" s="19" t="n">
        <f aca="false">IF(AND(Projects!$G$42="Yes",CC$3&gt;=Projects!$C$42,CC$3&lt;Projects!$C$42+Projects!$D$42),Projects!$B$42*INDEX(Curves!$B$4:$AR$4,1,CC$3-Projects!$C$42+1),0)-IF(AND(Projects!$G$42="Yes",CC$3&gt;=Projects!$C$42,CC$3&lt;Projects!$C$42+Projects!$D$42),Projects!$B$42*(Assumptions!$B$10+Assumptions!$B$11+Assumptions!$B$12)/Projects!$D$42*0.95,0)-IF(AND(Projects!$G$42="Yes",CC$3=Projects!$C$42+Projects!$D$42-1),Projects!$B$42*(Assumptions!$B$10+Assumptions!$B$11+Assumptions!$B$12)*0.05,0)</f>
        <v>0</v>
      </c>
      <c r="CD51" s="19" t="n">
        <f aca="false">IF(AND(Projects!$G$42="Yes",CD$3&gt;=Projects!$C$42,CD$3&lt;Projects!$C$42+Projects!$D$42),Projects!$B$42*INDEX(Curves!$B$4:$AR$4,1,CD$3-Projects!$C$42+1),0)-IF(AND(Projects!$G$42="Yes",CD$3&gt;=Projects!$C$42,CD$3&lt;Projects!$C$42+Projects!$D$42),Projects!$B$42*(Assumptions!$B$10+Assumptions!$B$11+Assumptions!$B$12)/Projects!$D$42*0.95,0)-IF(AND(Projects!$G$42="Yes",CD$3=Projects!$C$42+Projects!$D$42-1),Projects!$B$42*(Assumptions!$B$10+Assumptions!$B$11+Assumptions!$B$12)*0.05,0)</f>
        <v>0</v>
      </c>
      <c r="CE51" s="19" t="n">
        <f aca="false">IF(AND(Projects!$G$42="Yes",CE$3&gt;=Projects!$C$42,CE$3&lt;Projects!$C$42+Projects!$D$42),Projects!$B$42*INDEX(Curves!$B$4:$AR$4,1,CE$3-Projects!$C$42+1),0)-IF(AND(Projects!$G$42="Yes",CE$3&gt;=Projects!$C$42,CE$3&lt;Projects!$C$42+Projects!$D$42),Projects!$B$42*(Assumptions!$B$10+Assumptions!$B$11+Assumptions!$B$12)/Projects!$D$42*0.95,0)-IF(AND(Projects!$G$42="Yes",CE$3=Projects!$C$42+Projects!$D$42-1),Projects!$B$42*(Assumptions!$B$10+Assumptions!$B$11+Assumptions!$B$12)*0.05,0)</f>
        <v>0</v>
      </c>
      <c r="CF51" s="19" t="n">
        <f aca="false">IF(AND(Projects!$G$42="Yes",CF$3&gt;=Projects!$C$42,CF$3&lt;Projects!$C$42+Projects!$D$42),Projects!$B$42*INDEX(Curves!$B$4:$AR$4,1,CF$3-Projects!$C$42+1),0)-IF(AND(Projects!$G$42="Yes",CF$3&gt;=Projects!$C$42,CF$3&lt;Projects!$C$42+Projects!$D$42),Projects!$B$42*(Assumptions!$B$10+Assumptions!$B$11+Assumptions!$B$12)/Projects!$D$42*0.95,0)-IF(AND(Projects!$G$42="Yes",CF$3=Projects!$C$42+Projects!$D$42-1),Projects!$B$42*(Assumptions!$B$10+Assumptions!$B$11+Assumptions!$B$12)*0.05,0)</f>
        <v>0</v>
      </c>
      <c r="CG51" s="19" t="n">
        <f aca="false">IF(AND(Projects!$G$42="Yes",CG$3&gt;=Projects!$C$42,CG$3&lt;Projects!$C$42+Projects!$D$42),Projects!$B$42*INDEX(Curves!$B$4:$AR$4,1,CG$3-Projects!$C$42+1),0)-IF(AND(Projects!$G$42="Yes",CG$3&gt;=Projects!$C$42,CG$3&lt;Projects!$C$42+Projects!$D$42),Projects!$B$42*(Assumptions!$B$10+Assumptions!$B$11+Assumptions!$B$12)/Projects!$D$42*0.95,0)-IF(AND(Projects!$G$42="Yes",CG$3=Projects!$C$42+Projects!$D$42-1),Projects!$B$42*(Assumptions!$B$10+Assumptions!$B$11+Assumptions!$B$12)*0.05,0)</f>
        <v>0</v>
      </c>
      <c r="CH51" s="19" t="n">
        <f aca="false">IF(AND(Projects!$G$42="Yes",CH$3&gt;=Projects!$C$42,CH$3&lt;Projects!$C$42+Projects!$D$42),Projects!$B$42*INDEX(Curves!$B$4:$AR$4,1,CH$3-Projects!$C$42+1),0)-IF(AND(Projects!$G$42="Yes",CH$3&gt;=Projects!$C$42,CH$3&lt;Projects!$C$42+Projects!$D$42),Projects!$B$42*(Assumptions!$B$10+Assumptions!$B$11+Assumptions!$B$12)/Projects!$D$42*0.95,0)-IF(AND(Projects!$G$42="Yes",CH$3=Projects!$C$42+Projects!$D$42-1),Projects!$B$42*(Assumptions!$B$10+Assumptions!$B$11+Assumptions!$B$12)*0.05,0)</f>
        <v>0</v>
      </c>
      <c r="CI51" s="19" t="n">
        <f aca="false">IF(AND(Projects!$G$42="Yes",CI$3&gt;=Projects!$C$42,CI$3&lt;Projects!$C$42+Projects!$D$42),Projects!$B$42*INDEX(Curves!$B$4:$AR$4,1,CI$3-Projects!$C$42+1),0)-IF(AND(Projects!$G$42="Yes",CI$3&gt;=Projects!$C$42,CI$3&lt;Projects!$C$42+Projects!$D$42),Projects!$B$42*(Assumptions!$B$10+Assumptions!$B$11+Assumptions!$B$12)/Projects!$D$42*0.95,0)-IF(AND(Projects!$G$42="Yes",CI$3=Projects!$C$42+Projects!$D$42-1),Projects!$B$42*(Assumptions!$B$10+Assumptions!$B$11+Assumptions!$B$12)*0.05,0)</f>
        <v>0</v>
      </c>
      <c r="CJ51" s="19" t="n">
        <f aca="false">IF(AND(Projects!$G$42="Yes",CJ$3&gt;=Projects!$C$42,CJ$3&lt;Projects!$C$42+Projects!$D$42),Projects!$B$42*INDEX(Curves!$B$4:$AR$4,1,CJ$3-Projects!$C$42+1),0)-IF(AND(Projects!$G$42="Yes",CJ$3&gt;=Projects!$C$42,CJ$3&lt;Projects!$C$42+Projects!$D$42),Projects!$B$42*(Assumptions!$B$10+Assumptions!$B$11+Assumptions!$B$12)/Projects!$D$42*0.95,0)-IF(AND(Projects!$G$42="Yes",CJ$3=Projects!$C$42+Projects!$D$42-1),Projects!$B$42*(Assumptions!$B$10+Assumptions!$B$11+Assumptions!$B$12)*0.05,0)</f>
        <v>0</v>
      </c>
      <c r="CK51" s="19" t="n">
        <f aca="false">IF(AND(Projects!$G$42="Yes",CK$3&gt;=Projects!$C$42,CK$3&lt;Projects!$C$42+Projects!$D$42),Projects!$B$42*INDEX(Curves!$B$4:$AR$4,1,CK$3-Projects!$C$42+1),0)-IF(AND(Projects!$G$42="Yes",CK$3&gt;=Projects!$C$42,CK$3&lt;Projects!$C$42+Projects!$D$42),Projects!$B$42*(Assumptions!$B$10+Assumptions!$B$11+Assumptions!$B$12)/Projects!$D$42*0.95,0)-IF(AND(Projects!$G$42="Yes",CK$3=Projects!$C$42+Projects!$D$42-1),Projects!$B$42*(Assumptions!$B$10+Assumptions!$B$11+Assumptions!$B$12)*0.05,0)</f>
        <v>0</v>
      </c>
      <c r="CL51" s="19" t="n">
        <f aca="false">IF(AND(Projects!$G$42="Yes",CL$3&gt;=Projects!$C$42,CL$3&lt;Projects!$C$42+Projects!$D$42),Projects!$B$42*INDEX(Curves!$B$4:$AR$4,1,CL$3-Projects!$C$42+1),0)-IF(AND(Projects!$G$42="Yes",CL$3&gt;=Projects!$C$42,CL$3&lt;Projects!$C$42+Projects!$D$42),Projects!$B$42*(Assumptions!$B$10+Assumptions!$B$11+Assumptions!$B$12)/Projects!$D$42*0.95,0)-IF(AND(Projects!$G$42="Yes",CL$3=Projects!$C$42+Projects!$D$42-1),Projects!$B$42*(Assumptions!$B$10+Assumptions!$B$11+Assumptions!$B$12)*0.05,0)</f>
        <v>0</v>
      </c>
      <c r="CM51" s="19" t="n">
        <f aca="false">IF(AND(Projects!$G$42="Yes",CM$3&gt;=Projects!$C$42,CM$3&lt;Projects!$C$42+Projects!$D$42),Projects!$B$42*INDEX(Curves!$B$4:$AR$4,1,CM$3-Projects!$C$42+1),0)-IF(AND(Projects!$G$42="Yes",CM$3&gt;=Projects!$C$42,CM$3&lt;Projects!$C$42+Projects!$D$42),Projects!$B$42*(Assumptions!$B$10+Assumptions!$B$11+Assumptions!$B$12)/Projects!$D$42*0.95,0)-IF(AND(Projects!$G$42="Yes",CM$3=Projects!$C$42+Projects!$D$42-1),Projects!$B$42*(Assumptions!$B$10+Assumptions!$B$11+Assumptions!$B$12)*0.05,0)</f>
        <v>0</v>
      </c>
      <c r="CN51" s="19" t="n">
        <f aca="false">IF(AND(Projects!$G$42="Yes",CN$3&gt;=Projects!$C$42,CN$3&lt;Projects!$C$42+Projects!$D$42),Projects!$B$42*INDEX(Curves!$B$4:$AR$4,1,CN$3-Projects!$C$42+1),0)-IF(AND(Projects!$G$42="Yes",CN$3&gt;=Projects!$C$42,CN$3&lt;Projects!$C$42+Projects!$D$42),Projects!$B$42*(Assumptions!$B$10+Assumptions!$B$11+Assumptions!$B$12)/Projects!$D$42*0.95,0)-IF(AND(Projects!$G$42="Yes",CN$3=Projects!$C$42+Projects!$D$42-1),Projects!$B$42*(Assumptions!$B$10+Assumptions!$B$11+Assumptions!$B$12)*0.05,0)</f>
        <v>0</v>
      </c>
      <c r="CO51" s="19" t="n">
        <f aca="false">IF(AND(Projects!$G$42="Yes",CO$3&gt;=Projects!$C$42,CO$3&lt;Projects!$C$42+Projects!$D$42),Projects!$B$42*INDEX(Curves!$B$4:$AR$4,1,CO$3-Projects!$C$42+1),0)-IF(AND(Projects!$G$42="Yes",CO$3&gt;=Projects!$C$42,CO$3&lt;Projects!$C$42+Projects!$D$42),Projects!$B$42*(Assumptions!$B$10+Assumptions!$B$11+Assumptions!$B$12)/Projects!$D$42*0.95,0)-IF(AND(Projects!$G$42="Yes",CO$3=Projects!$C$42+Projects!$D$42-1),Projects!$B$42*(Assumptions!$B$10+Assumptions!$B$11+Assumptions!$B$12)*0.05,0)</f>
        <v>0</v>
      </c>
      <c r="CP51" s="19" t="n">
        <f aca="false">IF(AND(Projects!$G$42="Yes",CP$3&gt;=Projects!$C$42,CP$3&lt;Projects!$C$42+Projects!$D$42),Projects!$B$42*INDEX(Curves!$B$4:$AR$4,1,CP$3-Projects!$C$42+1),0)-IF(AND(Projects!$G$42="Yes",CP$3&gt;=Projects!$C$42,CP$3&lt;Projects!$C$42+Projects!$D$42),Projects!$B$42*(Assumptions!$B$10+Assumptions!$B$11+Assumptions!$B$12)/Projects!$D$42*0.95,0)-IF(AND(Projects!$G$42="Yes",CP$3=Projects!$C$42+Projects!$D$42-1),Projects!$B$42*(Assumptions!$B$10+Assumptions!$B$11+Assumptions!$B$12)*0.05,0)</f>
        <v>0</v>
      </c>
      <c r="CQ51" s="19" t="n">
        <f aca="false">IF(AND(Projects!$G$42="Yes",CQ$3&gt;=Projects!$C$42,CQ$3&lt;Projects!$C$42+Projects!$D$42),Projects!$B$42*INDEX(Curves!$B$4:$AR$4,1,CQ$3-Projects!$C$42+1),0)-IF(AND(Projects!$G$42="Yes",CQ$3&gt;=Projects!$C$42,CQ$3&lt;Projects!$C$42+Projects!$D$42),Projects!$B$42*(Assumptions!$B$10+Assumptions!$B$11+Assumptions!$B$12)/Projects!$D$42*0.95,0)-IF(AND(Projects!$G$42="Yes",CQ$3=Projects!$C$42+Projects!$D$42-1),Projects!$B$42*(Assumptions!$B$10+Assumptions!$B$11+Assumptions!$B$12)*0.05,0)</f>
        <v>0</v>
      </c>
      <c r="CR51" s="19" t="n">
        <f aca="false">IF(AND(Projects!$G$42="Yes",CR$3&gt;=Projects!$C$42,CR$3&lt;Projects!$C$42+Projects!$D$42),Projects!$B$42*INDEX(Curves!$B$4:$AR$4,1,CR$3-Projects!$C$42+1),0)-IF(AND(Projects!$G$42="Yes",CR$3&gt;=Projects!$C$42,CR$3&lt;Projects!$C$42+Projects!$D$42),Projects!$B$42*(Assumptions!$B$10+Assumptions!$B$11+Assumptions!$B$12)/Projects!$D$42*0.95,0)-IF(AND(Projects!$G$42="Yes",CR$3=Projects!$C$42+Projects!$D$42-1),Projects!$B$42*(Assumptions!$B$10+Assumptions!$B$11+Assumptions!$B$12)*0.05,0)</f>
        <v>0</v>
      </c>
      <c r="CS51" s="19" t="n">
        <f aca="false">IF(AND(Projects!$G$42="Yes",CS$3&gt;=Projects!$C$42,CS$3&lt;Projects!$C$42+Projects!$D$42),Projects!$B$42*INDEX(Curves!$B$4:$AR$4,1,CS$3-Projects!$C$42+1),0)-IF(AND(Projects!$G$42="Yes",CS$3&gt;=Projects!$C$42,CS$3&lt;Projects!$C$42+Projects!$D$42),Projects!$B$42*(Assumptions!$B$10+Assumptions!$B$11+Assumptions!$B$12)/Projects!$D$42*0.95,0)-IF(AND(Projects!$G$42="Yes",CS$3=Projects!$C$42+Projects!$D$42-1),Projects!$B$42*(Assumptions!$B$10+Assumptions!$B$11+Assumptions!$B$12)*0.05,0)</f>
        <v>0</v>
      </c>
      <c r="CT51" s="19" t="n">
        <f aca="false">IF(AND(Projects!$G$42="Yes",CT$3&gt;=Projects!$C$42,CT$3&lt;Projects!$C$42+Projects!$D$42),Projects!$B$42*INDEX(Curves!$B$4:$AR$4,1,CT$3-Projects!$C$42+1),0)-IF(AND(Projects!$G$42="Yes",CT$3&gt;=Projects!$C$42,CT$3&lt;Projects!$C$42+Projects!$D$42),Projects!$B$42*(Assumptions!$B$10+Assumptions!$B$11+Assumptions!$B$12)/Projects!$D$42*0.95,0)-IF(AND(Projects!$G$42="Yes",CT$3=Projects!$C$42+Projects!$D$42-1),Projects!$B$42*(Assumptions!$B$10+Assumptions!$B$11+Assumptions!$B$12)*0.05,0)</f>
        <v>0</v>
      </c>
      <c r="CU51" s="19" t="n">
        <f aca="false">IF(AND(Projects!$G$42="Yes",CU$3&gt;=Projects!$C$42,CU$3&lt;Projects!$C$42+Projects!$D$42),Projects!$B$42*INDEX(Curves!$B$4:$AR$4,1,CU$3-Projects!$C$42+1),0)-IF(AND(Projects!$G$42="Yes",CU$3&gt;=Projects!$C$42,CU$3&lt;Projects!$C$42+Projects!$D$42),Projects!$B$42*(Assumptions!$B$10+Assumptions!$B$11+Assumptions!$B$12)/Projects!$D$42*0.95,0)-IF(AND(Projects!$G$42="Yes",CU$3=Projects!$C$42+Projects!$D$42-1),Projects!$B$42*(Assumptions!$B$10+Assumptions!$B$11+Assumptions!$B$12)*0.05,0)</f>
        <v>0</v>
      </c>
      <c r="CV51" s="19" t="n">
        <f aca="false">IF(AND(Projects!$G$42="Yes",CV$3&gt;=Projects!$C$42,CV$3&lt;Projects!$C$42+Projects!$D$42),Projects!$B$42*INDEX(Curves!$B$4:$AR$4,1,CV$3-Projects!$C$42+1),0)-IF(AND(Projects!$G$42="Yes",CV$3&gt;=Projects!$C$42,CV$3&lt;Projects!$C$42+Projects!$D$42),Projects!$B$42*(Assumptions!$B$10+Assumptions!$B$11+Assumptions!$B$12)/Projects!$D$42*0.95,0)-IF(AND(Projects!$G$42="Yes",CV$3=Projects!$C$42+Projects!$D$42-1),Projects!$B$42*(Assumptions!$B$10+Assumptions!$B$11+Assumptions!$B$12)*0.05,0)</f>
        <v>0</v>
      </c>
      <c r="CW51" s="19" t="n">
        <f aca="false">IF(AND(Projects!$G$42="Yes",CW$3&gt;=Projects!$C$42,CW$3&lt;Projects!$C$42+Projects!$D$42),Projects!$B$42*INDEX(Curves!$B$4:$AR$4,1,CW$3-Projects!$C$42+1),0)-IF(AND(Projects!$G$42="Yes",CW$3&gt;=Projects!$C$42,CW$3&lt;Projects!$C$42+Projects!$D$42),Projects!$B$42*(Assumptions!$B$10+Assumptions!$B$11+Assumptions!$B$12)/Projects!$D$42*0.95,0)-IF(AND(Projects!$G$42="Yes",CW$3=Projects!$C$42+Projects!$D$42-1),Projects!$B$42*(Assumptions!$B$10+Assumptions!$B$11+Assumptions!$B$12)*0.05,0)</f>
        <v>0</v>
      </c>
      <c r="CX51" s="19" t="n">
        <f aca="false">IF(AND(Projects!$G$42="Yes",CX$3&gt;=Projects!$C$42,CX$3&lt;Projects!$C$42+Projects!$D$42),Projects!$B$42*INDEX(Curves!$B$4:$AR$4,1,CX$3-Projects!$C$42+1),0)-IF(AND(Projects!$G$42="Yes",CX$3&gt;=Projects!$C$42,CX$3&lt;Projects!$C$42+Projects!$D$42),Projects!$B$42*(Assumptions!$B$10+Assumptions!$B$11+Assumptions!$B$12)/Projects!$D$42*0.95,0)-IF(AND(Projects!$G$42="Yes",CX$3=Projects!$C$42+Projects!$D$42-1),Projects!$B$42*(Assumptions!$B$10+Assumptions!$B$11+Assumptions!$B$12)*0.05,0)</f>
        <v>0</v>
      </c>
      <c r="CY51" s="19" t="n">
        <f aca="false">IF(AND(Projects!$G$42="Yes",CY$3&gt;=Projects!$C$42,CY$3&lt;Projects!$C$42+Projects!$D$42),Projects!$B$42*INDEX(Curves!$B$4:$AR$4,1,CY$3-Projects!$C$42+1),0)-IF(AND(Projects!$G$42="Yes",CY$3&gt;=Projects!$C$42,CY$3&lt;Projects!$C$42+Projects!$D$42),Projects!$B$42*(Assumptions!$B$10+Assumptions!$B$11+Assumptions!$B$12)/Projects!$D$42*0.95,0)-IF(AND(Projects!$G$42="Yes",CY$3=Projects!$C$42+Projects!$D$42-1),Projects!$B$42*(Assumptions!$B$10+Assumptions!$B$11+Assumptions!$B$12)*0.05,0)</f>
        <v>0</v>
      </c>
      <c r="CZ51" s="19" t="n">
        <f aca="false">IF(AND(Projects!$G$42="Yes",CZ$3&gt;=Projects!$C$42,CZ$3&lt;Projects!$C$42+Projects!$D$42),Projects!$B$42*INDEX(Curves!$B$4:$AR$4,1,CZ$3-Projects!$C$42+1),0)-IF(AND(Projects!$G$42="Yes",CZ$3&gt;=Projects!$C$42,CZ$3&lt;Projects!$C$42+Projects!$D$42),Projects!$B$42*(Assumptions!$B$10+Assumptions!$B$11+Assumptions!$B$12)/Projects!$D$42*0.95,0)-IF(AND(Projects!$G$42="Yes",CZ$3=Projects!$C$42+Projects!$D$42-1),Projects!$B$42*(Assumptions!$B$10+Assumptions!$B$11+Assumptions!$B$12)*0.05,0)</f>
        <v>0</v>
      </c>
      <c r="DA51" s="19" t="n">
        <f aca="false">IF(AND(Projects!$G$42="Yes",DA$3&gt;=Projects!$C$42,DA$3&lt;Projects!$C$42+Projects!$D$42),Projects!$B$42*INDEX(Curves!$B$4:$AR$4,1,DA$3-Projects!$C$42+1),0)-IF(AND(Projects!$G$42="Yes",DA$3&gt;=Projects!$C$42,DA$3&lt;Projects!$C$42+Projects!$D$42),Projects!$B$42*(Assumptions!$B$10+Assumptions!$B$11+Assumptions!$B$12)/Projects!$D$42*0.95,0)-IF(AND(Projects!$G$42="Yes",DA$3=Projects!$C$42+Projects!$D$42-1),Projects!$B$42*(Assumptions!$B$10+Assumptions!$B$11+Assumptions!$B$12)*0.05,0)</f>
        <v>0</v>
      </c>
      <c r="DB51" s="19" t="n">
        <f aca="false">IF(AND(Projects!$G$42="Yes",DB$3&gt;=Projects!$C$42,DB$3&lt;Projects!$C$42+Projects!$D$42),Projects!$B$42*INDEX(Curves!$B$4:$AR$4,1,DB$3-Projects!$C$42+1),0)-IF(AND(Projects!$G$42="Yes",DB$3&gt;=Projects!$C$42,DB$3&lt;Projects!$C$42+Projects!$D$42),Projects!$B$42*(Assumptions!$B$10+Assumptions!$B$11+Assumptions!$B$12)/Projects!$D$42*0.95,0)-IF(AND(Projects!$G$42="Yes",DB$3=Projects!$C$42+Projects!$D$42-1),Projects!$B$42*(Assumptions!$B$10+Assumptions!$B$11+Assumptions!$B$12)*0.05,0)</f>
        <v>0</v>
      </c>
      <c r="DC51" s="19" t="n">
        <f aca="false">IF(AND(Projects!$G$42="Yes",DC$3&gt;=Projects!$C$42,DC$3&lt;Projects!$C$42+Projects!$D$42),Projects!$B$42*INDEX(Curves!$B$4:$AR$4,1,DC$3-Projects!$C$42+1),0)-IF(AND(Projects!$G$42="Yes",DC$3&gt;=Projects!$C$42,DC$3&lt;Projects!$C$42+Projects!$D$42),Projects!$B$42*(Assumptions!$B$10+Assumptions!$B$11+Assumptions!$B$12)/Projects!$D$42*0.95,0)-IF(AND(Projects!$G$42="Yes",DC$3=Projects!$C$42+Projects!$D$42-1),Projects!$B$42*(Assumptions!$B$10+Assumptions!$B$11+Assumptions!$B$12)*0.05,0)</f>
        <v>0</v>
      </c>
      <c r="DD51" s="19" t="n">
        <f aca="false">IF(AND(Projects!$G$42="Yes",DD$3&gt;=Projects!$C$42,DD$3&lt;Projects!$C$42+Projects!$D$42),Projects!$B$42*INDEX(Curves!$B$4:$AR$4,1,DD$3-Projects!$C$42+1),0)-IF(AND(Projects!$G$42="Yes",DD$3&gt;=Projects!$C$42,DD$3&lt;Projects!$C$42+Projects!$D$42),Projects!$B$42*(Assumptions!$B$10+Assumptions!$B$11+Assumptions!$B$12)/Projects!$D$42*0.95,0)-IF(AND(Projects!$G$42="Yes",DD$3=Projects!$C$42+Projects!$D$42-1),Projects!$B$42*(Assumptions!$B$10+Assumptions!$B$11+Assumptions!$B$12)*0.05,0)</f>
        <v>0</v>
      </c>
      <c r="DE51" s="19" t="n">
        <f aca="false">IF(AND(Projects!$G$42="Yes",DE$3&gt;=Projects!$C$42,DE$3&lt;Projects!$C$42+Projects!$D$42),Projects!$B$42*INDEX(Curves!$B$4:$AR$4,1,DE$3-Projects!$C$42+1),0)-IF(AND(Projects!$G$42="Yes",DE$3&gt;=Projects!$C$42,DE$3&lt;Projects!$C$42+Projects!$D$42),Projects!$B$42*(Assumptions!$B$10+Assumptions!$B$11+Assumptions!$B$12)/Projects!$D$42*0.95,0)-IF(AND(Projects!$G$42="Yes",DE$3=Projects!$C$42+Projects!$D$42-1),Projects!$B$42*(Assumptions!$B$10+Assumptions!$B$11+Assumptions!$B$12)*0.05,0)</f>
        <v>0</v>
      </c>
    </row>
    <row r="52" customFormat="false" ht="15" hidden="true" customHeight="true" outlineLevel="1" collapsed="false">
      <c r="A52" s="28" t="s">
        <v>46</v>
      </c>
      <c r="B52" s="19" t="n">
        <v>0</v>
      </c>
      <c r="C52" s="19" t="n">
        <v>0</v>
      </c>
      <c r="D52" s="19" t="n">
        <v>0</v>
      </c>
      <c r="E52" s="19" t="n">
        <v>0</v>
      </c>
      <c r="F52" s="19" t="n">
        <f aca="false">IF(AND(Projects!$G$43="Yes",F$3&gt;=Projects!$C$43,F$3&lt;Projects!$C$43+Projects!$D$43),Projects!$B$43*INDEX(Curves!$B$4:$AR$4,1,F$3-Projects!$C$43+1),0)-IF(AND(Projects!$G$43="Yes",F$3&gt;=Projects!$C$43,F$3&lt;Projects!$C$43+Projects!$D$43),Projects!$B$43*(Assumptions!$B$10+Assumptions!$B$11+Assumptions!$B$12)/Projects!$D$43*0.95,0)-IF(AND(Projects!$G$43="Yes",F$3=Projects!$C$43+Projects!$D$43-1),Projects!$B$43*(Assumptions!$B$10+Assumptions!$B$11+Assumptions!$B$12)*0.05,0)</f>
        <v>0</v>
      </c>
      <c r="G52" s="19" t="n">
        <f aca="false">IF(AND(Projects!$G$43="Yes",G$3&gt;=Projects!$C$43,G$3&lt;Projects!$C$43+Projects!$D$43),Projects!$B$43*INDEX(Curves!$B$4:$AR$4,1,G$3-Projects!$C$43+1),0)-IF(AND(Projects!$G$43="Yes",G$3&gt;=Projects!$C$43,G$3&lt;Projects!$C$43+Projects!$D$43),Projects!$B$43*(Assumptions!$B$10+Assumptions!$B$11+Assumptions!$B$12)/Projects!$D$43*0.95,0)-IF(AND(Projects!$G$43="Yes",G$3=Projects!$C$43+Projects!$D$43-1),Projects!$B$43*(Assumptions!$B$10+Assumptions!$B$11+Assumptions!$B$12)*0.05,0)</f>
        <v>0</v>
      </c>
      <c r="H52" s="19" t="n">
        <f aca="false">IF(AND(Projects!$G$43="Yes",H$3&gt;=Projects!$C$43,H$3&lt;Projects!$C$43+Projects!$D$43),Projects!$B$43*INDEX(Curves!$B$4:$AR$4,1,H$3-Projects!$C$43+1),0)-IF(AND(Projects!$G$43="Yes",H$3&gt;=Projects!$C$43,H$3&lt;Projects!$C$43+Projects!$D$43),Projects!$B$43*(Assumptions!$B$10+Assumptions!$B$11+Assumptions!$B$12)/Projects!$D$43*0.95,0)-IF(AND(Projects!$G$43="Yes",H$3=Projects!$C$43+Projects!$D$43-1),Projects!$B$43*(Assumptions!$B$10+Assumptions!$B$11+Assumptions!$B$12)*0.05,0)</f>
        <v>0</v>
      </c>
      <c r="I52" s="19" t="n">
        <f aca="false">IF(AND(Projects!$G$43="Yes",I$3&gt;=Projects!$C$43,I$3&lt;Projects!$C$43+Projects!$D$43),Projects!$B$43*INDEX(Curves!$B$4:$AR$4,1,I$3-Projects!$C$43+1),0)-IF(AND(Projects!$G$43="Yes",I$3&gt;=Projects!$C$43,I$3&lt;Projects!$C$43+Projects!$D$43),Projects!$B$43*(Assumptions!$B$10+Assumptions!$B$11+Assumptions!$B$12)/Projects!$D$43*0.95,0)-IF(AND(Projects!$G$43="Yes",I$3=Projects!$C$43+Projects!$D$43-1),Projects!$B$43*(Assumptions!$B$10+Assumptions!$B$11+Assumptions!$B$12)*0.05,0)</f>
        <v>0</v>
      </c>
      <c r="J52" s="19" t="n">
        <f aca="false">IF(AND(Projects!$G$43="Yes",J$3&gt;=Projects!$C$43,J$3&lt;Projects!$C$43+Projects!$D$43),Projects!$B$43*INDEX(Curves!$B$4:$AR$4,1,J$3-Projects!$C$43+1),0)-IF(AND(Projects!$G$43="Yes",J$3&gt;=Projects!$C$43,J$3&lt;Projects!$C$43+Projects!$D$43),Projects!$B$43*(Assumptions!$B$10+Assumptions!$B$11+Assumptions!$B$12)/Projects!$D$43*0.95,0)-IF(AND(Projects!$G$43="Yes",J$3=Projects!$C$43+Projects!$D$43-1),Projects!$B$43*(Assumptions!$B$10+Assumptions!$B$11+Assumptions!$B$12)*0.05,0)</f>
        <v>0</v>
      </c>
      <c r="K52" s="19" t="n">
        <f aca="false">IF(AND(Projects!$G$43="Yes",K$3&gt;=Projects!$C$43,K$3&lt;Projects!$C$43+Projects!$D$43),Projects!$B$43*INDEX(Curves!$B$4:$AR$4,1,K$3-Projects!$C$43+1),0)-IF(AND(Projects!$G$43="Yes",K$3&gt;=Projects!$C$43,K$3&lt;Projects!$C$43+Projects!$D$43),Projects!$B$43*(Assumptions!$B$10+Assumptions!$B$11+Assumptions!$B$12)/Projects!$D$43*0.95,0)-IF(AND(Projects!$G$43="Yes",K$3=Projects!$C$43+Projects!$D$43-1),Projects!$B$43*(Assumptions!$B$10+Assumptions!$B$11+Assumptions!$B$12)*0.05,0)</f>
        <v>0</v>
      </c>
      <c r="L52" s="19" t="n">
        <f aca="false">IF(AND(Projects!$G$43="Yes",L$3&gt;=Projects!$C$43,L$3&lt;Projects!$C$43+Projects!$D$43),Projects!$B$43*INDEX(Curves!$B$4:$AR$4,1,L$3-Projects!$C$43+1),0)-IF(AND(Projects!$G$43="Yes",L$3&gt;=Projects!$C$43,L$3&lt;Projects!$C$43+Projects!$D$43),Projects!$B$43*(Assumptions!$B$10+Assumptions!$B$11+Assumptions!$B$12)/Projects!$D$43*0.95,0)-IF(AND(Projects!$G$43="Yes",L$3=Projects!$C$43+Projects!$D$43-1),Projects!$B$43*(Assumptions!$B$10+Assumptions!$B$11+Assumptions!$B$12)*0.05,0)</f>
        <v>0</v>
      </c>
      <c r="M52" s="19" t="n">
        <f aca="false">IF(AND(Projects!$G$43="Yes",M$3&gt;=Projects!$C$43,M$3&lt;Projects!$C$43+Projects!$D$43),Projects!$B$43*INDEX(Curves!$B$4:$AR$4,1,M$3-Projects!$C$43+1),0)-IF(AND(Projects!$G$43="Yes",M$3&gt;=Projects!$C$43,M$3&lt;Projects!$C$43+Projects!$D$43),Projects!$B$43*(Assumptions!$B$10+Assumptions!$B$11+Assumptions!$B$12)/Projects!$D$43*0.95,0)-IF(AND(Projects!$G$43="Yes",M$3=Projects!$C$43+Projects!$D$43-1),Projects!$B$43*(Assumptions!$B$10+Assumptions!$B$11+Assumptions!$B$12)*0.05,0)</f>
        <v>0</v>
      </c>
      <c r="N52" s="19" t="n">
        <f aca="false">IF(AND(Projects!$G$43="Yes",N$3&gt;=Projects!$C$43,N$3&lt;Projects!$C$43+Projects!$D$43),Projects!$B$43*INDEX(Curves!$B$4:$AR$4,1,N$3-Projects!$C$43+1),0)-IF(AND(Projects!$G$43="Yes",N$3&gt;=Projects!$C$43,N$3&lt;Projects!$C$43+Projects!$D$43),Projects!$B$43*(Assumptions!$B$10+Assumptions!$B$11+Assumptions!$B$12)/Projects!$D$43*0.95,0)-IF(AND(Projects!$G$43="Yes",N$3=Projects!$C$43+Projects!$D$43-1),Projects!$B$43*(Assumptions!$B$10+Assumptions!$B$11+Assumptions!$B$12)*0.05,0)</f>
        <v>0</v>
      </c>
      <c r="O52" s="19" t="n">
        <f aca="false">IF(AND(Projects!$G$43="Yes",O$3&gt;=Projects!$C$43,O$3&lt;Projects!$C$43+Projects!$D$43),Projects!$B$43*INDEX(Curves!$B$4:$AR$4,1,O$3-Projects!$C$43+1),0)-IF(AND(Projects!$G$43="Yes",O$3&gt;=Projects!$C$43,O$3&lt;Projects!$C$43+Projects!$D$43),Projects!$B$43*(Assumptions!$B$10+Assumptions!$B$11+Assumptions!$B$12)/Projects!$D$43*0.95,0)-IF(AND(Projects!$G$43="Yes",O$3=Projects!$C$43+Projects!$D$43-1),Projects!$B$43*(Assumptions!$B$10+Assumptions!$B$11+Assumptions!$B$12)*0.05,0)</f>
        <v>0</v>
      </c>
      <c r="P52" s="19" t="n">
        <f aca="false">IF(AND(Projects!$G$43="Yes",P$3&gt;=Projects!$C$43,P$3&lt;Projects!$C$43+Projects!$D$43),Projects!$B$43*INDEX(Curves!$B$4:$AR$4,1,P$3-Projects!$C$43+1),0)-IF(AND(Projects!$G$43="Yes",P$3&gt;=Projects!$C$43,P$3&lt;Projects!$C$43+Projects!$D$43),Projects!$B$43*(Assumptions!$B$10+Assumptions!$B$11+Assumptions!$B$12)/Projects!$D$43*0.95,0)-IF(AND(Projects!$G$43="Yes",P$3=Projects!$C$43+Projects!$D$43-1),Projects!$B$43*(Assumptions!$B$10+Assumptions!$B$11+Assumptions!$B$12)*0.05,0)</f>
        <v>0</v>
      </c>
      <c r="Q52" s="19" t="n">
        <f aca="false">IF(AND(Projects!$G$43="Yes",Q$3&gt;=Projects!$C$43,Q$3&lt;Projects!$C$43+Projects!$D$43),Projects!$B$43*INDEX(Curves!$B$4:$AR$4,1,Q$3-Projects!$C$43+1),0)-IF(AND(Projects!$G$43="Yes",Q$3&gt;=Projects!$C$43,Q$3&lt;Projects!$C$43+Projects!$D$43),Projects!$B$43*(Assumptions!$B$10+Assumptions!$B$11+Assumptions!$B$12)/Projects!$D$43*0.95,0)-IF(AND(Projects!$G$43="Yes",Q$3=Projects!$C$43+Projects!$D$43-1),Projects!$B$43*(Assumptions!$B$10+Assumptions!$B$11+Assumptions!$B$12)*0.05,0)</f>
        <v>0</v>
      </c>
      <c r="R52" s="19" t="n">
        <f aca="false">IF(AND(Projects!$G$43="Yes",R$3&gt;=Projects!$C$43,R$3&lt;Projects!$C$43+Projects!$D$43),Projects!$B$43*INDEX(Curves!$B$4:$AR$4,1,R$3-Projects!$C$43+1),0)-IF(AND(Projects!$G$43="Yes",R$3&gt;=Projects!$C$43,R$3&lt;Projects!$C$43+Projects!$D$43),Projects!$B$43*(Assumptions!$B$10+Assumptions!$B$11+Assumptions!$B$12)/Projects!$D$43*0.95,0)-IF(AND(Projects!$G$43="Yes",R$3=Projects!$C$43+Projects!$D$43-1),Projects!$B$43*(Assumptions!$B$10+Assumptions!$B$11+Assumptions!$B$12)*0.05,0)</f>
        <v>0</v>
      </c>
      <c r="S52" s="19" t="n">
        <f aca="false">IF(AND(Projects!$G$43="Yes",S$3&gt;=Projects!$C$43,S$3&lt;Projects!$C$43+Projects!$D$43),Projects!$B$43*INDEX(Curves!$B$4:$AR$4,1,S$3-Projects!$C$43+1),0)-IF(AND(Projects!$G$43="Yes",S$3&gt;=Projects!$C$43,S$3&lt;Projects!$C$43+Projects!$D$43),Projects!$B$43*(Assumptions!$B$10+Assumptions!$B$11+Assumptions!$B$12)/Projects!$D$43*0.95,0)-IF(AND(Projects!$G$43="Yes",S$3=Projects!$C$43+Projects!$D$43-1),Projects!$B$43*(Assumptions!$B$10+Assumptions!$B$11+Assumptions!$B$12)*0.05,0)</f>
        <v>0</v>
      </c>
      <c r="T52" s="19" t="n">
        <f aca="false">IF(AND(Projects!$G$43="Yes",T$3&gt;=Projects!$C$43,T$3&lt;Projects!$C$43+Projects!$D$43),Projects!$B$43*INDEX(Curves!$B$4:$AR$4,1,T$3-Projects!$C$43+1),0)-IF(AND(Projects!$G$43="Yes",T$3&gt;=Projects!$C$43,T$3&lt;Projects!$C$43+Projects!$D$43),Projects!$B$43*(Assumptions!$B$10+Assumptions!$B$11+Assumptions!$B$12)/Projects!$D$43*0.95,0)-IF(AND(Projects!$G$43="Yes",T$3=Projects!$C$43+Projects!$D$43-1),Projects!$B$43*(Assumptions!$B$10+Assumptions!$B$11+Assumptions!$B$12)*0.05,0)</f>
        <v>0</v>
      </c>
      <c r="U52" s="19" t="n">
        <f aca="false">IF(AND(Projects!$G$43="Yes",U$3&gt;=Projects!$C$43,U$3&lt;Projects!$C$43+Projects!$D$43),Projects!$B$43*INDEX(Curves!$B$4:$AR$4,1,U$3-Projects!$C$43+1),0)-IF(AND(Projects!$G$43="Yes",U$3&gt;=Projects!$C$43,U$3&lt;Projects!$C$43+Projects!$D$43),Projects!$B$43*(Assumptions!$B$10+Assumptions!$B$11+Assumptions!$B$12)/Projects!$D$43*0.95,0)-IF(AND(Projects!$G$43="Yes",U$3=Projects!$C$43+Projects!$D$43-1),Projects!$B$43*(Assumptions!$B$10+Assumptions!$B$11+Assumptions!$B$12)*0.05,0)</f>
        <v>0</v>
      </c>
      <c r="V52" s="19" t="n">
        <f aca="false">IF(AND(Projects!$G$43="Yes",V$3&gt;=Projects!$C$43,V$3&lt;Projects!$C$43+Projects!$D$43),Projects!$B$43*INDEX(Curves!$B$4:$AR$4,1,V$3-Projects!$C$43+1),0)-IF(AND(Projects!$G$43="Yes",V$3&gt;=Projects!$C$43,V$3&lt;Projects!$C$43+Projects!$D$43),Projects!$B$43*(Assumptions!$B$10+Assumptions!$B$11+Assumptions!$B$12)/Projects!$D$43*0.95,0)-IF(AND(Projects!$G$43="Yes",V$3=Projects!$C$43+Projects!$D$43-1),Projects!$B$43*(Assumptions!$B$10+Assumptions!$B$11+Assumptions!$B$12)*0.05,0)</f>
        <v>0</v>
      </c>
      <c r="W52" s="19" t="n">
        <f aca="false">IF(AND(Projects!$G$43="Yes",W$3&gt;=Projects!$C$43,W$3&lt;Projects!$C$43+Projects!$D$43),Projects!$B$43*INDEX(Curves!$B$4:$AR$4,1,W$3-Projects!$C$43+1),0)-IF(AND(Projects!$G$43="Yes",W$3&gt;=Projects!$C$43,W$3&lt;Projects!$C$43+Projects!$D$43),Projects!$B$43*(Assumptions!$B$10+Assumptions!$B$11+Assumptions!$B$12)/Projects!$D$43*0.95,0)-IF(AND(Projects!$G$43="Yes",W$3=Projects!$C$43+Projects!$D$43-1),Projects!$B$43*(Assumptions!$B$10+Assumptions!$B$11+Assumptions!$B$12)*0.05,0)</f>
        <v>0</v>
      </c>
      <c r="X52" s="19" t="n">
        <f aca="false">IF(AND(Projects!$G$43="Yes",X$3&gt;=Projects!$C$43,X$3&lt;Projects!$C$43+Projects!$D$43),Projects!$B$43*INDEX(Curves!$B$4:$AR$4,1,X$3-Projects!$C$43+1),0)-IF(AND(Projects!$G$43="Yes",X$3&gt;=Projects!$C$43,X$3&lt;Projects!$C$43+Projects!$D$43),Projects!$B$43*(Assumptions!$B$10+Assumptions!$B$11+Assumptions!$B$12)/Projects!$D$43*0.95,0)-IF(AND(Projects!$G$43="Yes",X$3=Projects!$C$43+Projects!$D$43-1),Projects!$B$43*(Assumptions!$B$10+Assumptions!$B$11+Assumptions!$B$12)*0.05,0)</f>
        <v>0</v>
      </c>
      <c r="Y52" s="19" t="n">
        <f aca="false">IF(AND(Projects!$G$43="Yes",Y$3&gt;=Projects!$C$43,Y$3&lt;Projects!$C$43+Projects!$D$43),Projects!$B$43*INDEX(Curves!$B$4:$AR$4,1,Y$3-Projects!$C$43+1),0)-IF(AND(Projects!$G$43="Yes",Y$3&gt;=Projects!$C$43,Y$3&lt;Projects!$C$43+Projects!$D$43),Projects!$B$43*(Assumptions!$B$10+Assumptions!$B$11+Assumptions!$B$12)/Projects!$D$43*0.95,0)-IF(AND(Projects!$G$43="Yes",Y$3=Projects!$C$43+Projects!$D$43-1),Projects!$B$43*(Assumptions!$B$10+Assumptions!$B$11+Assumptions!$B$12)*0.05,0)</f>
        <v>0</v>
      </c>
      <c r="Z52" s="19" t="n">
        <f aca="false">IF(AND(Projects!$G$43="Yes",Z$3&gt;=Projects!$C$43,Z$3&lt;Projects!$C$43+Projects!$D$43),Projects!$B$43*INDEX(Curves!$B$4:$AR$4,1,Z$3-Projects!$C$43+1),0)-IF(AND(Projects!$G$43="Yes",Z$3&gt;=Projects!$C$43,Z$3&lt;Projects!$C$43+Projects!$D$43),Projects!$B$43*(Assumptions!$B$10+Assumptions!$B$11+Assumptions!$B$12)/Projects!$D$43*0.95,0)-IF(AND(Projects!$G$43="Yes",Z$3=Projects!$C$43+Projects!$D$43-1),Projects!$B$43*(Assumptions!$B$10+Assumptions!$B$11+Assumptions!$B$12)*0.05,0)</f>
        <v>0</v>
      </c>
      <c r="AA52" s="19" t="n">
        <f aca="false">IF(AND(Projects!$G$43="Yes",AA$3&gt;=Projects!$C$43,AA$3&lt;Projects!$C$43+Projects!$D$43),Projects!$B$43*INDEX(Curves!$B$4:$AR$4,1,AA$3-Projects!$C$43+1),0)-IF(AND(Projects!$G$43="Yes",AA$3&gt;=Projects!$C$43,AA$3&lt;Projects!$C$43+Projects!$D$43),Projects!$B$43*(Assumptions!$B$10+Assumptions!$B$11+Assumptions!$B$12)/Projects!$D$43*0.95,0)-IF(AND(Projects!$G$43="Yes",AA$3=Projects!$C$43+Projects!$D$43-1),Projects!$B$43*(Assumptions!$B$10+Assumptions!$B$11+Assumptions!$B$12)*0.05,0)</f>
        <v>0</v>
      </c>
      <c r="AB52" s="19" t="n">
        <f aca="false">IF(AND(Projects!$G$43="Yes",AB$3&gt;=Projects!$C$43,AB$3&lt;Projects!$C$43+Projects!$D$43),Projects!$B$43*INDEX(Curves!$B$4:$AR$4,1,AB$3-Projects!$C$43+1),0)-IF(AND(Projects!$G$43="Yes",AB$3&gt;=Projects!$C$43,AB$3&lt;Projects!$C$43+Projects!$D$43),Projects!$B$43*(Assumptions!$B$10+Assumptions!$B$11+Assumptions!$B$12)/Projects!$D$43*0.95,0)-IF(AND(Projects!$G$43="Yes",AB$3=Projects!$C$43+Projects!$D$43-1),Projects!$B$43*(Assumptions!$B$10+Assumptions!$B$11+Assumptions!$B$12)*0.05,0)</f>
        <v>0</v>
      </c>
      <c r="AC52" s="19" t="n">
        <f aca="false">IF(AND(Projects!$G$43="Yes",AC$3&gt;=Projects!$C$43,AC$3&lt;Projects!$C$43+Projects!$D$43),Projects!$B$43*INDEX(Curves!$B$4:$AR$4,1,AC$3-Projects!$C$43+1),0)-IF(AND(Projects!$G$43="Yes",AC$3&gt;=Projects!$C$43,AC$3&lt;Projects!$C$43+Projects!$D$43),Projects!$B$43*(Assumptions!$B$10+Assumptions!$B$11+Assumptions!$B$12)/Projects!$D$43*0.95,0)-IF(AND(Projects!$G$43="Yes",AC$3=Projects!$C$43+Projects!$D$43-1),Projects!$B$43*(Assumptions!$B$10+Assumptions!$B$11+Assumptions!$B$12)*0.05,0)</f>
        <v>0</v>
      </c>
      <c r="AD52" s="19" t="n">
        <f aca="false">IF(AND(Projects!$G$43="Yes",AD$3&gt;=Projects!$C$43,AD$3&lt;Projects!$C$43+Projects!$D$43),Projects!$B$43*INDEX(Curves!$B$4:$AR$4,1,AD$3-Projects!$C$43+1),0)-IF(AND(Projects!$G$43="Yes",AD$3&gt;=Projects!$C$43,AD$3&lt;Projects!$C$43+Projects!$D$43),Projects!$B$43*(Assumptions!$B$10+Assumptions!$B$11+Assumptions!$B$12)/Projects!$D$43*0.95,0)-IF(AND(Projects!$G$43="Yes",AD$3=Projects!$C$43+Projects!$D$43-1),Projects!$B$43*(Assumptions!$B$10+Assumptions!$B$11+Assumptions!$B$12)*0.05,0)</f>
        <v>0</v>
      </c>
      <c r="AE52" s="19" t="n">
        <f aca="false">IF(AND(Projects!$G$43="Yes",AE$3&gt;=Projects!$C$43,AE$3&lt;Projects!$C$43+Projects!$D$43),Projects!$B$43*INDEX(Curves!$B$4:$AR$4,1,AE$3-Projects!$C$43+1),0)-IF(AND(Projects!$G$43="Yes",AE$3&gt;=Projects!$C$43,AE$3&lt;Projects!$C$43+Projects!$D$43),Projects!$B$43*(Assumptions!$B$10+Assumptions!$B$11+Assumptions!$B$12)/Projects!$D$43*0.95,0)-IF(AND(Projects!$G$43="Yes",AE$3=Projects!$C$43+Projects!$D$43-1),Projects!$B$43*(Assumptions!$B$10+Assumptions!$B$11+Assumptions!$B$12)*0.05,0)</f>
        <v>0</v>
      </c>
      <c r="AF52" s="19" t="n">
        <f aca="false">IF(AND(Projects!$G$43="Yes",AF$3&gt;=Projects!$C$43,AF$3&lt;Projects!$C$43+Projects!$D$43),Projects!$B$43*INDEX(Curves!$B$4:$AR$4,1,AF$3-Projects!$C$43+1),0)-IF(AND(Projects!$G$43="Yes",AF$3&gt;=Projects!$C$43,AF$3&lt;Projects!$C$43+Projects!$D$43),Projects!$B$43*(Assumptions!$B$10+Assumptions!$B$11+Assumptions!$B$12)/Projects!$D$43*0.95,0)-IF(AND(Projects!$G$43="Yes",AF$3=Projects!$C$43+Projects!$D$43-1),Projects!$B$43*(Assumptions!$B$10+Assumptions!$B$11+Assumptions!$B$12)*0.05,0)</f>
        <v>0</v>
      </c>
      <c r="AG52" s="19" t="n">
        <f aca="false">IF(AND(Projects!$G$43="Yes",AG$3&gt;=Projects!$C$43,AG$3&lt;Projects!$C$43+Projects!$D$43),Projects!$B$43*INDEX(Curves!$B$4:$AR$4,1,AG$3-Projects!$C$43+1),0)-IF(AND(Projects!$G$43="Yes",AG$3&gt;=Projects!$C$43,AG$3&lt;Projects!$C$43+Projects!$D$43),Projects!$B$43*(Assumptions!$B$10+Assumptions!$B$11+Assumptions!$B$12)/Projects!$D$43*0.95,0)-IF(AND(Projects!$G$43="Yes",AG$3=Projects!$C$43+Projects!$D$43-1),Projects!$B$43*(Assumptions!$B$10+Assumptions!$B$11+Assumptions!$B$12)*0.05,0)</f>
        <v>0</v>
      </c>
      <c r="AH52" s="19" t="n">
        <f aca="false">IF(AND(Projects!$G$43="Yes",AH$3&gt;=Projects!$C$43,AH$3&lt;Projects!$C$43+Projects!$D$43),Projects!$B$43*INDEX(Curves!$B$4:$AR$4,1,AH$3-Projects!$C$43+1),0)-IF(AND(Projects!$G$43="Yes",AH$3&gt;=Projects!$C$43,AH$3&lt;Projects!$C$43+Projects!$D$43),Projects!$B$43*(Assumptions!$B$10+Assumptions!$B$11+Assumptions!$B$12)/Projects!$D$43*0.95,0)-IF(AND(Projects!$G$43="Yes",AH$3=Projects!$C$43+Projects!$D$43-1),Projects!$B$43*(Assumptions!$B$10+Assumptions!$B$11+Assumptions!$B$12)*0.05,0)</f>
        <v>0</v>
      </c>
      <c r="AI52" s="19" t="n">
        <f aca="false">IF(AND(Projects!$G$43="Yes",AI$3&gt;=Projects!$C$43,AI$3&lt;Projects!$C$43+Projects!$D$43),Projects!$B$43*INDEX(Curves!$B$4:$AR$4,1,AI$3-Projects!$C$43+1),0)-IF(AND(Projects!$G$43="Yes",AI$3&gt;=Projects!$C$43,AI$3&lt;Projects!$C$43+Projects!$D$43),Projects!$B$43*(Assumptions!$B$10+Assumptions!$B$11+Assumptions!$B$12)/Projects!$D$43*0.95,0)-IF(AND(Projects!$G$43="Yes",AI$3=Projects!$C$43+Projects!$D$43-1),Projects!$B$43*(Assumptions!$B$10+Assumptions!$B$11+Assumptions!$B$12)*0.05,0)</f>
        <v>0</v>
      </c>
      <c r="AJ52" s="19" t="n">
        <f aca="false">IF(AND(Projects!$G$43="Yes",AJ$3&gt;=Projects!$C$43,AJ$3&lt;Projects!$C$43+Projects!$D$43),Projects!$B$43*INDEX(Curves!$B$4:$AR$4,1,AJ$3-Projects!$C$43+1),0)-IF(AND(Projects!$G$43="Yes",AJ$3&gt;=Projects!$C$43,AJ$3&lt;Projects!$C$43+Projects!$D$43),Projects!$B$43*(Assumptions!$B$10+Assumptions!$B$11+Assumptions!$B$12)/Projects!$D$43*0.95,0)-IF(AND(Projects!$G$43="Yes",AJ$3=Projects!$C$43+Projects!$D$43-1),Projects!$B$43*(Assumptions!$B$10+Assumptions!$B$11+Assumptions!$B$12)*0.05,0)</f>
        <v>0</v>
      </c>
      <c r="AK52" s="19" t="n">
        <f aca="false">IF(AND(Projects!$G$43="Yes",AK$3&gt;=Projects!$C$43,AK$3&lt;Projects!$C$43+Projects!$D$43),Projects!$B$43*INDEX(Curves!$B$4:$AR$4,1,AK$3-Projects!$C$43+1),0)-IF(AND(Projects!$G$43="Yes",AK$3&gt;=Projects!$C$43,AK$3&lt;Projects!$C$43+Projects!$D$43),Projects!$B$43*(Assumptions!$B$10+Assumptions!$B$11+Assumptions!$B$12)/Projects!$D$43*0.95,0)-IF(AND(Projects!$G$43="Yes",AK$3=Projects!$C$43+Projects!$D$43-1),Projects!$B$43*(Assumptions!$B$10+Assumptions!$B$11+Assumptions!$B$12)*0.05,0)</f>
        <v>0</v>
      </c>
      <c r="AL52" s="19" t="n">
        <f aca="false">IF(AND(Projects!$G$43="Yes",AL$3&gt;=Projects!$C$43,AL$3&lt;Projects!$C$43+Projects!$D$43),Projects!$B$43*INDEX(Curves!$B$4:$AR$4,1,AL$3-Projects!$C$43+1),0)-IF(AND(Projects!$G$43="Yes",AL$3&gt;=Projects!$C$43,AL$3&lt;Projects!$C$43+Projects!$D$43),Projects!$B$43*(Assumptions!$B$10+Assumptions!$B$11+Assumptions!$B$12)/Projects!$D$43*0.95,0)-IF(AND(Projects!$G$43="Yes",AL$3=Projects!$C$43+Projects!$D$43-1),Projects!$B$43*(Assumptions!$B$10+Assumptions!$B$11+Assumptions!$B$12)*0.05,0)</f>
        <v>0</v>
      </c>
      <c r="AM52" s="19" t="n">
        <f aca="false">IF(AND(Projects!$G$43="Yes",AM$3&gt;=Projects!$C$43,AM$3&lt;Projects!$C$43+Projects!$D$43),Projects!$B$43*INDEX(Curves!$B$4:$AR$4,1,AM$3-Projects!$C$43+1),0)-IF(AND(Projects!$G$43="Yes",AM$3&gt;=Projects!$C$43,AM$3&lt;Projects!$C$43+Projects!$D$43),Projects!$B$43*(Assumptions!$B$10+Assumptions!$B$11+Assumptions!$B$12)/Projects!$D$43*0.95,0)-IF(AND(Projects!$G$43="Yes",AM$3=Projects!$C$43+Projects!$D$43-1),Projects!$B$43*(Assumptions!$B$10+Assumptions!$B$11+Assumptions!$B$12)*0.05,0)</f>
        <v>0</v>
      </c>
      <c r="AN52" s="19" t="n">
        <f aca="false">IF(AND(Projects!$G$43="Yes",AN$3&gt;=Projects!$C$43,AN$3&lt;Projects!$C$43+Projects!$D$43),Projects!$B$43*INDEX(Curves!$B$4:$AR$4,1,AN$3-Projects!$C$43+1),0)-IF(AND(Projects!$G$43="Yes",AN$3&gt;=Projects!$C$43,AN$3&lt;Projects!$C$43+Projects!$D$43),Projects!$B$43*(Assumptions!$B$10+Assumptions!$B$11+Assumptions!$B$12)/Projects!$D$43*0.95,0)-IF(AND(Projects!$G$43="Yes",AN$3=Projects!$C$43+Projects!$D$43-1),Projects!$B$43*(Assumptions!$B$10+Assumptions!$B$11+Assumptions!$B$12)*0.05,0)</f>
        <v>0</v>
      </c>
      <c r="AO52" s="19" t="n">
        <f aca="false">IF(AND(Projects!$G$43="Yes",AO$3&gt;=Projects!$C$43,AO$3&lt;Projects!$C$43+Projects!$D$43),Projects!$B$43*INDEX(Curves!$B$4:$AR$4,1,AO$3-Projects!$C$43+1),0)-IF(AND(Projects!$G$43="Yes",AO$3&gt;=Projects!$C$43,AO$3&lt;Projects!$C$43+Projects!$D$43),Projects!$B$43*(Assumptions!$B$10+Assumptions!$B$11+Assumptions!$B$12)/Projects!$D$43*0.95,0)-IF(AND(Projects!$G$43="Yes",AO$3=Projects!$C$43+Projects!$D$43-1),Projects!$B$43*(Assumptions!$B$10+Assumptions!$B$11+Assumptions!$B$12)*0.05,0)</f>
        <v>0</v>
      </c>
      <c r="AP52" s="19" t="n">
        <f aca="false">IF(AND(Projects!$G$43="Yes",AP$3&gt;=Projects!$C$43,AP$3&lt;Projects!$C$43+Projects!$D$43),Projects!$B$43*INDEX(Curves!$B$4:$AR$4,1,AP$3-Projects!$C$43+1),0)-IF(AND(Projects!$G$43="Yes",AP$3&gt;=Projects!$C$43,AP$3&lt;Projects!$C$43+Projects!$D$43),Projects!$B$43*(Assumptions!$B$10+Assumptions!$B$11+Assumptions!$B$12)/Projects!$D$43*0.95,0)-IF(AND(Projects!$G$43="Yes",AP$3=Projects!$C$43+Projects!$D$43-1),Projects!$B$43*(Assumptions!$B$10+Assumptions!$B$11+Assumptions!$B$12)*0.05,0)</f>
        <v>0</v>
      </c>
      <c r="AQ52" s="19" t="n">
        <f aca="false">IF(AND(Projects!$G$43="Yes",AQ$3&gt;=Projects!$C$43,AQ$3&lt;Projects!$C$43+Projects!$D$43),Projects!$B$43*INDEX(Curves!$B$4:$AR$4,1,AQ$3-Projects!$C$43+1),0)-IF(AND(Projects!$G$43="Yes",AQ$3&gt;=Projects!$C$43,AQ$3&lt;Projects!$C$43+Projects!$D$43),Projects!$B$43*(Assumptions!$B$10+Assumptions!$B$11+Assumptions!$B$12)/Projects!$D$43*0.95,0)-IF(AND(Projects!$G$43="Yes",AQ$3=Projects!$C$43+Projects!$D$43-1),Projects!$B$43*(Assumptions!$B$10+Assumptions!$B$11+Assumptions!$B$12)*0.05,0)</f>
        <v>0</v>
      </c>
      <c r="AR52" s="19" t="n">
        <f aca="false">IF(AND(Projects!$G$43="Yes",AR$3&gt;=Projects!$C$43,AR$3&lt;Projects!$C$43+Projects!$D$43),Projects!$B$43*INDEX(Curves!$B$4:$AR$4,1,AR$3-Projects!$C$43+1),0)-IF(AND(Projects!$G$43="Yes",AR$3&gt;=Projects!$C$43,AR$3&lt;Projects!$C$43+Projects!$D$43),Projects!$B$43*(Assumptions!$B$10+Assumptions!$B$11+Assumptions!$B$12)/Projects!$D$43*0.95,0)-IF(AND(Projects!$G$43="Yes",AR$3=Projects!$C$43+Projects!$D$43-1),Projects!$B$43*(Assumptions!$B$10+Assumptions!$B$11+Assumptions!$B$12)*0.05,0)</f>
        <v>0</v>
      </c>
      <c r="AS52" s="19" t="n">
        <f aca="false">IF(AND(Projects!$G$43="Yes",AS$3&gt;=Projects!$C$43,AS$3&lt;Projects!$C$43+Projects!$D$43),Projects!$B$43*INDEX(Curves!$B$4:$AR$4,1,AS$3-Projects!$C$43+1),0)-IF(AND(Projects!$G$43="Yes",AS$3&gt;=Projects!$C$43,AS$3&lt;Projects!$C$43+Projects!$D$43),Projects!$B$43*(Assumptions!$B$10+Assumptions!$B$11+Assumptions!$B$12)/Projects!$D$43*0.95,0)-IF(AND(Projects!$G$43="Yes",AS$3=Projects!$C$43+Projects!$D$43-1),Projects!$B$43*(Assumptions!$B$10+Assumptions!$B$11+Assumptions!$B$12)*0.05,0)</f>
        <v>0</v>
      </c>
      <c r="AT52" s="19" t="n">
        <f aca="false">IF(AND(Projects!$G$43="Yes",AT$3&gt;=Projects!$C$43,AT$3&lt;Projects!$C$43+Projects!$D$43),Projects!$B$43*INDEX(Curves!$B$4:$AR$4,1,AT$3-Projects!$C$43+1),0)-IF(AND(Projects!$G$43="Yes",AT$3&gt;=Projects!$C$43,AT$3&lt;Projects!$C$43+Projects!$D$43),Projects!$B$43*(Assumptions!$B$10+Assumptions!$B$11+Assumptions!$B$12)/Projects!$D$43*0.95,0)-IF(AND(Projects!$G$43="Yes",AT$3=Projects!$C$43+Projects!$D$43-1),Projects!$B$43*(Assumptions!$B$10+Assumptions!$B$11+Assumptions!$B$12)*0.05,0)</f>
        <v>0</v>
      </c>
      <c r="AU52" s="19" t="n">
        <f aca="false">IF(AND(Projects!$G$43="Yes",AU$3&gt;=Projects!$C$43,AU$3&lt;Projects!$C$43+Projects!$D$43),Projects!$B$43*INDEX(Curves!$B$4:$AR$4,1,AU$3-Projects!$C$43+1),0)-IF(AND(Projects!$G$43="Yes",AU$3&gt;=Projects!$C$43,AU$3&lt;Projects!$C$43+Projects!$D$43),Projects!$B$43*(Assumptions!$B$10+Assumptions!$B$11+Assumptions!$B$12)/Projects!$D$43*0.95,0)-IF(AND(Projects!$G$43="Yes",AU$3=Projects!$C$43+Projects!$D$43-1),Projects!$B$43*(Assumptions!$B$10+Assumptions!$B$11+Assumptions!$B$12)*0.05,0)</f>
        <v>0</v>
      </c>
      <c r="AV52" s="19" t="n">
        <f aca="false">IF(AND(Projects!$G$43="Yes",AV$3&gt;=Projects!$C$43,AV$3&lt;Projects!$C$43+Projects!$D$43),Projects!$B$43*INDEX(Curves!$B$4:$AR$4,1,AV$3-Projects!$C$43+1),0)-IF(AND(Projects!$G$43="Yes",AV$3&gt;=Projects!$C$43,AV$3&lt;Projects!$C$43+Projects!$D$43),Projects!$B$43*(Assumptions!$B$10+Assumptions!$B$11+Assumptions!$B$12)/Projects!$D$43*0.95,0)-IF(AND(Projects!$G$43="Yes",AV$3=Projects!$C$43+Projects!$D$43-1),Projects!$B$43*(Assumptions!$B$10+Assumptions!$B$11+Assumptions!$B$12)*0.05,0)</f>
        <v>0</v>
      </c>
      <c r="AW52" s="19" t="n">
        <f aca="false">IF(AND(Projects!$G$43="Yes",AW$3&gt;=Projects!$C$43,AW$3&lt;Projects!$C$43+Projects!$D$43),Projects!$B$43*INDEX(Curves!$B$4:$AR$4,1,AW$3-Projects!$C$43+1),0)-IF(AND(Projects!$G$43="Yes",AW$3&gt;=Projects!$C$43,AW$3&lt;Projects!$C$43+Projects!$D$43),Projects!$B$43*(Assumptions!$B$10+Assumptions!$B$11+Assumptions!$B$12)/Projects!$D$43*0.95,0)-IF(AND(Projects!$G$43="Yes",AW$3=Projects!$C$43+Projects!$D$43-1),Projects!$B$43*(Assumptions!$B$10+Assumptions!$B$11+Assumptions!$B$12)*0.05,0)</f>
        <v>0</v>
      </c>
      <c r="AX52" s="19" t="n">
        <f aca="false">IF(AND(Projects!$G$43="Yes",AX$3&gt;=Projects!$C$43,AX$3&lt;Projects!$C$43+Projects!$D$43),Projects!$B$43*INDEX(Curves!$B$4:$AR$4,1,AX$3-Projects!$C$43+1),0)-IF(AND(Projects!$G$43="Yes",AX$3&gt;=Projects!$C$43,AX$3&lt;Projects!$C$43+Projects!$D$43),Projects!$B$43*(Assumptions!$B$10+Assumptions!$B$11+Assumptions!$B$12)/Projects!$D$43*0.95,0)-IF(AND(Projects!$G$43="Yes",AX$3=Projects!$C$43+Projects!$D$43-1),Projects!$B$43*(Assumptions!$B$10+Assumptions!$B$11+Assumptions!$B$12)*0.05,0)</f>
        <v>0</v>
      </c>
      <c r="AY52" s="19" t="n">
        <f aca="false">IF(AND(Projects!$G$43="Yes",AY$3&gt;=Projects!$C$43,AY$3&lt;Projects!$C$43+Projects!$D$43),Projects!$B$43*INDEX(Curves!$B$4:$AR$4,1,AY$3-Projects!$C$43+1),0)-IF(AND(Projects!$G$43="Yes",AY$3&gt;=Projects!$C$43,AY$3&lt;Projects!$C$43+Projects!$D$43),Projects!$B$43*(Assumptions!$B$10+Assumptions!$B$11+Assumptions!$B$12)/Projects!$D$43*0.95,0)-IF(AND(Projects!$G$43="Yes",AY$3=Projects!$C$43+Projects!$D$43-1),Projects!$B$43*(Assumptions!$B$10+Assumptions!$B$11+Assumptions!$B$12)*0.05,0)</f>
        <v>0</v>
      </c>
      <c r="AZ52" s="19" t="n">
        <f aca="false">IF(AND(Projects!$G$43="Yes",AZ$3&gt;=Projects!$C$43,AZ$3&lt;Projects!$C$43+Projects!$D$43),Projects!$B$43*INDEX(Curves!$B$4:$AR$4,1,AZ$3-Projects!$C$43+1),0)-IF(AND(Projects!$G$43="Yes",AZ$3&gt;=Projects!$C$43,AZ$3&lt;Projects!$C$43+Projects!$D$43),Projects!$B$43*(Assumptions!$B$10+Assumptions!$B$11+Assumptions!$B$12)/Projects!$D$43*0.95,0)-IF(AND(Projects!$G$43="Yes",AZ$3=Projects!$C$43+Projects!$D$43-1),Projects!$B$43*(Assumptions!$B$10+Assumptions!$B$11+Assumptions!$B$12)*0.05,0)</f>
        <v>0</v>
      </c>
      <c r="BA52" s="19" t="n">
        <f aca="false">IF(AND(Projects!$G$43="Yes",BA$3&gt;=Projects!$C$43,BA$3&lt;Projects!$C$43+Projects!$D$43),Projects!$B$43*INDEX(Curves!$B$4:$AR$4,1,BA$3-Projects!$C$43+1),0)-IF(AND(Projects!$G$43="Yes",BA$3&gt;=Projects!$C$43,BA$3&lt;Projects!$C$43+Projects!$D$43),Projects!$B$43*(Assumptions!$B$10+Assumptions!$B$11+Assumptions!$B$12)/Projects!$D$43*0.95,0)-IF(AND(Projects!$G$43="Yes",BA$3=Projects!$C$43+Projects!$D$43-1),Projects!$B$43*(Assumptions!$B$10+Assumptions!$B$11+Assumptions!$B$12)*0.05,0)</f>
        <v>0</v>
      </c>
      <c r="BB52" s="19" t="n">
        <f aca="false">IF(AND(Projects!$G$43="Yes",BB$3&gt;=Projects!$C$43,BB$3&lt;Projects!$C$43+Projects!$D$43),Projects!$B$43*INDEX(Curves!$B$4:$AR$4,1,BB$3-Projects!$C$43+1),0)-IF(AND(Projects!$G$43="Yes",BB$3&gt;=Projects!$C$43,BB$3&lt;Projects!$C$43+Projects!$D$43),Projects!$B$43*(Assumptions!$B$10+Assumptions!$B$11+Assumptions!$B$12)/Projects!$D$43*0.95,0)-IF(AND(Projects!$G$43="Yes",BB$3=Projects!$C$43+Projects!$D$43-1),Projects!$B$43*(Assumptions!$B$10+Assumptions!$B$11+Assumptions!$B$12)*0.05,0)</f>
        <v>0</v>
      </c>
      <c r="BC52" s="19" t="n">
        <f aca="false">IF(AND(Projects!$G$43="Yes",BC$3&gt;=Projects!$C$43,BC$3&lt;Projects!$C$43+Projects!$D$43),Projects!$B$43*INDEX(Curves!$B$4:$AR$4,1,BC$3-Projects!$C$43+1),0)-IF(AND(Projects!$G$43="Yes",BC$3&gt;=Projects!$C$43,BC$3&lt;Projects!$C$43+Projects!$D$43),Projects!$B$43*(Assumptions!$B$10+Assumptions!$B$11+Assumptions!$B$12)/Projects!$D$43*0.95,0)-IF(AND(Projects!$G$43="Yes",BC$3=Projects!$C$43+Projects!$D$43-1),Projects!$B$43*(Assumptions!$B$10+Assumptions!$B$11+Assumptions!$B$12)*0.05,0)</f>
        <v>0</v>
      </c>
      <c r="BD52" s="19" t="n">
        <f aca="false">IF(AND(Projects!$G$43="Yes",BD$3&gt;=Projects!$C$43,BD$3&lt;Projects!$C$43+Projects!$D$43),Projects!$B$43*INDEX(Curves!$B$4:$AR$4,1,BD$3-Projects!$C$43+1),0)-IF(AND(Projects!$G$43="Yes",BD$3&gt;=Projects!$C$43,BD$3&lt;Projects!$C$43+Projects!$D$43),Projects!$B$43*(Assumptions!$B$10+Assumptions!$B$11+Assumptions!$B$12)/Projects!$D$43*0.95,0)-IF(AND(Projects!$G$43="Yes",BD$3=Projects!$C$43+Projects!$D$43-1),Projects!$B$43*(Assumptions!$B$10+Assumptions!$B$11+Assumptions!$B$12)*0.05,0)</f>
        <v>0</v>
      </c>
      <c r="BE52" s="19" t="n">
        <f aca="false">IF(AND(Projects!$G$43="Yes",BE$3&gt;=Projects!$C$43,BE$3&lt;Projects!$C$43+Projects!$D$43),Projects!$B$43*INDEX(Curves!$B$4:$AR$4,1,BE$3-Projects!$C$43+1),0)-IF(AND(Projects!$G$43="Yes",BE$3&gt;=Projects!$C$43,BE$3&lt;Projects!$C$43+Projects!$D$43),Projects!$B$43*(Assumptions!$B$10+Assumptions!$B$11+Assumptions!$B$12)/Projects!$D$43*0.95,0)-IF(AND(Projects!$G$43="Yes",BE$3=Projects!$C$43+Projects!$D$43-1),Projects!$B$43*(Assumptions!$B$10+Assumptions!$B$11+Assumptions!$B$12)*0.05,0)</f>
        <v>307461.75</v>
      </c>
      <c r="BF52" s="19" t="n">
        <f aca="false">IF(AND(Projects!$G$43="Yes",BF$3&gt;=Projects!$C$43,BF$3&lt;Projects!$C$43+Projects!$D$43),Projects!$B$43*INDEX(Curves!$B$4:$AR$4,1,BF$3-Projects!$C$43+1),0)-IF(AND(Projects!$G$43="Yes",BF$3&gt;=Projects!$C$43,BF$3&lt;Projects!$C$43+Projects!$D$43),Projects!$B$43*(Assumptions!$B$10+Assumptions!$B$11+Assumptions!$B$12)/Projects!$D$43*0.95,0)-IF(AND(Projects!$G$43="Yes",BF$3=Projects!$C$43+Projects!$D$43-1),Projects!$B$43*(Assumptions!$B$10+Assumptions!$B$11+Assumptions!$B$12)*0.05,0)</f>
        <v>401121.75</v>
      </c>
      <c r="BG52" s="19" t="n">
        <f aca="false">IF(AND(Projects!$G$43="Yes",BG$3&gt;=Projects!$C$43,BG$3&lt;Projects!$C$43+Projects!$D$43),Projects!$B$43*INDEX(Curves!$B$4:$AR$4,1,BG$3-Projects!$C$43+1),0)-IF(AND(Projects!$G$43="Yes",BG$3&gt;=Projects!$C$43,BG$3&lt;Projects!$C$43+Projects!$D$43),Projects!$B$43*(Assumptions!$B$10+Assumptions!$B$11+Assumptions!$B$12)/Projects!$D$43*0.95,0)-IF(AND(Projects!$G$43="Yes",BG$3=Projects!$C$43+Projects!$D$43-1),Projects!$B$43*(Assumptions!$B$10+Assumptions!$B$11+Assumptions!$B$12)*0.05,0)</f>
        <v>501936.75</v>
      </c>
      <c r="BH52" s="19" t="n">
        <f aca="false">IF(AND(Projects!$G$43="Yes",BH$3&gt;=Projects!$C$43,BH$3&lt;Projects!$C$43+Projects!$D$43),Projects!$B$43*INDEX(Curves!$B$4:$AR$4,1,BH$3-Projects!$C$43+1),0)-IF(AND(Projects!$G$43="Yes",BH$3&gt;=Projects!$C$43,BH$3&lt;Projects!$C$43+Projects!$D$43),Projects!$B$43*(Assumptions!$B$10+Assumptions!$B$11+Assumptions!$B$12)/Projects!$D$43*0.95,0)-IF(AND(Projects!$G$43="Yes",BH$3=Projects!$C$43+Projects!$D$43-1),Projects!$B$43*(Assumptions!$B$10+Assumptions!$B$11+Assumptions!$B$12)*0.05,0)</f>
        <v>605886.75</v>
      </c>
      <c r="BI52" s="19" t="n">
        <f aca="false">IF(AND(Projects!$G$43="Yes",BI$3&gt;=Projects!$C$43,BI$3&lt;Projects!$C$43+Projects!$D$43),Projects!$B$43*INDEX(Curves!$B$4:$AR$4,1,BI$3-Projects!$C$43+1),0)-IF(AND(Projects!$G$43="Yes",BI$3&gt;=Projects!$C$43,BI$3&lt;Projects!$C$43+Projects!$D$43),Projects!$B$43*(Assumptions!$B$10+Assumptions!$B$11+Assumptions!$B$12)/Projects!$D$43*0.95,0)-IF(AND(Projects!$G$43="Yes",BI$3=Projects!$C$43+Projects!$D$43-1),Projects!$B$43*(Assumptions!$B$10+Assumptions!$B$11+Assumptions!$B$12)*0.05,0)</f>
        <v>707976.75</v>
      </c>
      <c r="BJ52" s="19" t="n">
        <f aca="false">IF(AND(Projects!$G$43="Yes",BJ$3&gt;=Projects!$C$43,BJ$3&lt;Projects!$C$43+Projects!$D$43),Projects!$B$43*INDEX(Curves!$B$4:$AR$4,1,BJ$3-Projects!$C$43+1),0)-IF(AND(Projects!$G$43="Yes",BJ$3&gt;=Projects!$C$43,BJ$3&lt;Projects!$C$43+Projects!$D$43),Projects!$B$43*(Assumptions!$B$10+Assumptions!$B$11+Assumptions!$B$12)/Projects!$D$43*0.95,0)-IF(AND(Projects!$G$43="Yes",BJ$3=Projects!$C$43+Projects!$D$43-1),Projects!$B$43*(Assumptions!$B$10+Assumptions!$B$11+Assumptions!$B$12)*0.05,0)</f>
        <v>802536.75</v>
      </c>
      <c r="BK52" s="19" t="n">
        <f aca="false">IF(AND(Projects!$G$43="Yes",BK$3&gt;=Projects!$C$43,BK$3&lt;Projects!$C$43+Projects!$D$43),Projects!$B$43*INDEX(Curves!$B$4:$AR$4,1,BK$3-Projects!$C$43+1),0)-IF(AND(Projects!$G$43="Yes",BK$3&gt;=Projects!$C$43,BK$3&lt;Projects!$C$43+Projects!$D$43),Projects!$B$43*(Assumptions!$B$10+Assumptions!$B$11+Assumptions!$B$12)/Projects!$D$43*0.95,0)-IF(AND(Projects!$G$43="Yes",BK$3=Projects!$C$43+Projects!$D$43-1),Projects!$B$43*(Assumptions!$B$10+Assumptions!$B$11+Assumptions!$B$12)*0.05,0)</f>
        <v>883761.75</v>
      </c>
      <c r="BL52" s="19" t="n">
        <f aca="false">IF(AND(Projects!$G$43="Yes",BL$3&gt;=Projects!$C$43,BL$3&lt;Projects!$C$43+Projects!$D$43),Projects!$B$43*INDEX(Curves!$B$4:$AR$4,1,BL$3-Projects!$C$43+1),0)-IF(AND(Projects!$G$43="Yes",BL$3&gt;=Projects!$C$43,BL$3&lt;Projects!$C$43+Projects!$D$43),Projects!$B$43*(Assumptions!$B$10+Assumptions!$B$11+Assumptions!$B$12)/Projects!$D$43*0.95,0)-IF(AND(Projects!$G$43="Yes",BL$3=Projects!$C$43+Projects!$D$43-1),Projects!$B$43*(Assumptions!$B$10+Assumptions!$B$11+Assumptions!$B$12)*0.05,0)</f>
        <v>946266.75</v>
      </c>
      <c r="BM52" s="19" t="n">
        <f aca="false">IF(AND(Projects!$G$43="Yes",BM$3&gt;=Projects!$C$43,BM$3&lt;Projects!$C$43+Projects!$D$43),Projects!$B$43*INDEX(Curves!$B$4:$AR$4,1,BM$3-Projects!$C$43+1),0)-IF(AND(Projects!$G$43="Yes",BM$3&gt;=Projects!$C$43,BM$3&lt;Projects!$C$43+Projects!$D$43),Projects!$B$43*(Assumptions!$B$10+Assumptions!$B$11+Assumptions!$B$12)/Projects!$D$43*0.95,0)-IF(AND(Projects!$G$43="Yes",BM$3=Projects!$C$43+Projects!$D$43-1),Projects!$B$43*(Assumptions!$B$10+Assumptions!$B$11+Assumptions!$B$12)*0.05,0)</f>
        <v>985686.75</v>
      </c>
      <c r="BN52" s="19" t="n">
        <f aca="false">IF(AND(Projects!$G$43="Yes",BN$3&gt;=Projects!$C$43,BN$3&lt;Projects!$C$43+Projects!$D$43),Projects!$B$43*INDEX(Curves!$B$4:$AR$4,1,BN$3-Projects!$C$43+1),0)-IF(AND(Projects!$G$43="Yes",BN$3&gt;=Projects!$C$43,BN$3&lt;Projects!$C$43+Projects!$D$43),Projects!$B$43*(Assumptions!$B$10+Assumptions!$B$11+Assumptions!$B$12)/Projects!$D$43*0.95,0)-IF(AND(Projects!$G$43="Yes",BN$3=Projects!$C$43+Projects!$D$43-1),Projects!$B$43*(Assumptions!$B$10+Assumptions!$B$11+Assumptions!$B$12)*0.05,0)</f>
        <v>999156.75</v>
      </c>
      <c r="BO52" s="19" t="n">
        <f aca="false">IF(AND(Projects!$G$43="Yes",BO$3&gt;=Projects!$C$43,BO$3&lt;Projects!$C$43+Projects!$D$43),Projects!$B$43*INDEX(Curves!$B$4:$AR$4,1,BO$3-Projects!$C$43+1),0)-IF(AND(Projects!$G$43="Yes",BO$3&gt;=Projects!$C$43,BO$3&lt;Projects!$C$43+Projects!$D$43),Projects!$B$43*(Assumptions!$B$10+Assumptions!$B$11+Assumptions!$B$12)/Projects!$D$43*0.95,0)-IF(AND(Projects!$G$43="Yes",BO$3=Projects!$C$43+Projects!$D$43-1),Projects!$B$43*(Assumptions!$B$10+Assumptions!$B$11+Assumptions!$B$12)*0.05,0)</f>
        <v>985686.75</v>
      </c>
      <c r="BP52" s="19" t="n">
        <f aca="false">IF(AND(Projects!$G$43="Yes",BP$3&gt;=Projects!$C$43,BP$3&lt;Projects!$C$43+Projects!$D$43),Projects!$B$43*INDEX(Curves!$B$4:$AR$4,1,BP$3-Projects!$C$43+1),0)-IF(AND(Projects!$G$43="Yes",BP$3&gt;=Projects!$C$43,BP$3&lt;Projects!$C$43+Projects!$D$43),Projects!$B$43*(Assumptions!$B$10+Assumptions!$B$11+Assumptions!$B$12)/Projects!$D$43*0.95,0)-IF(AND(Projects!$G$43="Yes",BP$3=Projects!$C$43+Projects!$D$43-1),Projects!$B$43*(Assumptions!$B$10+Assumptions!$B$11+Assumptions!$B$12)*0.05,0)</f>
        <v>946266.75</v>
      </c>
      <c r="BQ52" s="19" t="n">
        <f aca="false">IF(AND(Projects!$G$43="Yes",BQ$3&gt;=Projects!$C$43,BQ$3&lt;Projects!$C$43+Projects!$D$43),Projects!$B$43*INDEX(Curves!$B$4:$AR$4,1,BQ$3-Projects!$C$43+1),0)-IF(AND(Projects!$G$43="Yes",BQ$3&gt;=Projects!$C$43,BQ$3&lt;Projects!$C$43+Projects!$D$43),Projects!$B$43*(Assumptions!$B$10+Assumptions!$B$11+Assumptions!$B$12)/Projects!$D$43*0.95,0)-IF(AND(Projects!$G$43="Yes",BQ$3=Projects!$C$43+Projects!$D$43-1),Projects!$B$43*(Assumptions!$B$10+Assumptions!$B$11+Assumptions!$B$12)*0.05,0)</f>
        <v>883761.75</v>
      </c>
      <c r="BR52" s="19" t="n">
        <f aca="false">IF(AND(Projects!$G$43="Yes",BR$3&gt;=Projects!$C$43,BR$3&lt;Projects!$C$43+Projects!$D$43),Projects!$B$43*INDEX(Curves!$B$4:$AR$4,1,BR$3-Projects!$C$43+1),0)-IF(AND(Projects!$G$43="Yes",BR$3&gt;=Projects!$C$43,BR$3&lt;Projects!$C$43+Projects!$D$43),Projects!$B$43*(Assumptions!$B$10+Assumptions!$B$11+Assumptions!$B$12)/Projects!$D$43*0.95,0)-IF(AND(Projects!$G$43="Yes",BR$3=Projects!$C$43+Projects!$D$43-1),Projects!$B$43*(Assumptions!$B$10+Assumptions!$B$11+Assumptions!$B$12)*0.05,0)</f>
        <v>802536.75</v>
      </c>
      <c r="BS52" s="19" t="n">
        <f aca="false">IF(AND(Projects!$G$43="Yes",BS$3&gt;=Projects!$C$43,BS$3&lt;Projects!$C$43+Projects!$D$43),Projects!$B$43*INDEX(Curves!$B$4:$AR$4,1,BS$3-Projects!$C$43+1),0)-IF(AND(Projects!$G$43="Yes",BS$3&gt;=Projects!$C$43,BS$3&lt;Projects!$C$43+Projects!$D$43),Projects!$B$43*(Assumptions!$B$10+Assumptions!$B$11+Assumptions!$B$12)/Projects!$D$43*0.95,0)-IF(AND(Projects!$G$43="Yes",BS$3=Projects!$C$43+Projects!$D$43-1),Projects!$B$43*(Assumptions!$B$10+Assumptions!$B$11+Assumptions!$B$12)*0.05,0)</f>
        <v>707976.75</v>
      </c>
      <c r="BT52" s="19" t="n">
        <f aca="false">IF(AND(Projects!$G$43="Yes",BT$3&gt;=Projects!$C$43,BT$3&lt;Projects!$C$43+Projects!$D$43),Projects!$B$43*INDEX(Curves!$B$4:$AR$4,1,BT$3-Projects!$C$43+1),0)-IF(AND(Projects!$G$43="Yes",BT$3&gt;=Projects!$C$43,BT$3&lt;Projects!$C$43+Projects!$D$43),Projects!$B$43*(Assumptions!$B$10+Assumptions!$B$11+Assumptions!$B$12)/Projects!$D$43*0.95,0)-IF(AND(Projects!$G$43="Yes",BT$3=Projects!$C$43+Projects!$D$43-1),Projects!$B$43*(Assumptions!$B$10+Assumptions!$B$11+Assumptions!$B$12)*0.05,0)</f>
        <v>605886.75</v>
      </c>
      <c r="BU52" s="19" t="n">
        <f aca="false">IF(AND(Projects!$G$43="Yes",BU$3&gt;=Projects!$C$43,BU$3&lt;Projects!$C$43+Projects!$D$43),Projects!$B$43*INDEX(Curves!$B$4:$AR$4,1,BU$3-Projects!$C$43+1),0)-IF(AND(Projects!$G$43="Yes",BU$3&gt;=Projects!$C$43,BU$3&lt;Projects!$C$43+Projects!$D$43),Projects!$B$43*(Assumptions!$B$10+Assumptions!$B$11+Assumptions!$B$12)/Projects!$D$43*0.95,0)-IF(AND(Projects!$G$43="Yes",BU$3=Projects!$C$43+Projects!$D$43-1),Projects!$B$43*(Assumptions!$B$10+Assumptions!$B$11+Assumptions!$B$12)*0.05,0)</f>
        <v>501936.75</v>
      </c>
      <c r="BV52" s="19" t="n">
        <f aca="false">IF(AND(Projects!$G$43="Yes",BV$3&gt;=Projects!$C$43,BV$3&lt;Projects!$C$43+Projects!$D$43),Projects!$B$43*INDEX(Curves!$B$4:$AR$4,1,BV$3-Projects!$C$43+1),0)-IF(AND(Projects!$G$43="Yes",BV$3&gt;=Projects!$C$43,BV$3&lt;Projects!$C$43+Projects!$D$43),Projects!$B$43*(Assumptions!$B$10+Assumptions!$B$11+Assumptions!$B$12)/Projects!$D$43*0.95,0)-IF(AND(Projects!$G$43="Yes",BV$3=Projects!$C$43+Projects!$D$43-1),Projects!$B$43*(Assumptions!$B$10+Assumptions!$B$11+Assumptions!$B$12)*0.05,0)</f>
        <v>401121.75</v>
      </c>
      <c r="BW52" s="19" t="n">
        <f aca="false">IF(AND(Projects!$G$43="Yes",BW$3&gt;=Projects!$C$43,BW$3&lt;Projects!$C$43+Projects!$D$43),Projects!$B$43*INDEX(Curves!$B$4:$AR$4,1,BW$3-Projects!$C$43+1),0)-IF(AND(Projects!$G$43="Yes",BW$3&gt;=Projects!$C$43,BW$3&lt;Projects!$C$43+Projects!$D$43),Projects!$B$43*(Assumptions!$B$10+Assumptions!$B$11+Assumptions!$B$12)/Projects!$D$43*0.95,0)-IF(AND(Projects!$G$43="Yes",BW$3=Projects!$C$43+Projects!$D$43-1),Projects!$B$43*(Assumptions!$B$10+Assumptions!$B$11+Assumptions!$B$12)*0.05,0)</f>
        <v>217168.5</v>
      </c>
      <c r="BX52" s="19" t="n">
        <f aca="false">IF(AND(Projects!$G$43="Yes",BX$3&gt;=Projects!$C$43,BX$3&lt;Projects!$C$43+Projects!$D$43),Projects!$B$43*INDEX(Curves!$B$4:$AR$4,1,BX$3-Projects!$C$43+1),0)-IF(AND(Projects!$G$43="Yes",BX$3&gt;=Projects!$C$43,BX$3&lt;Projects!$C$43+Projects!$D$43),Projects!$B$43*(Assumptions!$B$10+Assumptions!$B$11+Assumptions!$B$12)/Projects!$D$43*0.95,0)-IF(AND(Projects!$G$43="Yes",BX$3=Projects!$C$43+Projects!$D$43-1),Projects!$B$43*(Assumptions!$B$10+Assumptions!$B$11+Assumptions!$B$12)*0.05,0)</f>
        <v>0</v>
      </c>
      <c r="BY52" s="19" t="n">
        <f aca="false">IF(AND(Projects!$G$43="Yes",BY$3&gt;=Projects!$C$43,BY$3&lt;Projects!$C$43+Projects!$D$43),Projects!$B$43*INDEX(Curves!$B$4:$AR$4,1,BY$3-Projects!$C$43+1),0)-IF(AND(Projects!$G$43="Yes",BY$3&gt;=Projects!$C$43,BY$3&lt;Projects!$C$43+Projects!$D$43),Projects!$B$43*(Assumptions!$B$10+Assumptions!$B$11+Assumptions!$B$12)/Projects!$D$43*0.95,0)-IF(AND(Projects!$G$43="Yes",BY$3=Projects!$C$43+Projects!$D$43-1),Projects!$B$43*(Assumptions!$B$10+Assumptions!$B$11+Assumptions!$B$12)*0.05,0)</f>
        <v>0</v>
      </c>
      <c r="BZ52" s="19" t="n">
        <f aca="false">IF(AND(Projects!$G$43="Yes",BZ$3&gt;=Projects!$C$43,BZ$3&lt;Projects!$C$43+Projects!$D$43),Projects!$B$43*INDEX(Curves!$B$4:$AR$4,1,BZ$3-Projects!$C$43+1),0)-IF(AND(Projects!$G$43="Yes",BZ$3&gt;=Projects!$C$43,BZ$3&lt;Projects!$C$43+Projects!$D$43),Projects!$B$43*(Assumptions!$B$10+Assumptions!$B$11+Assumptions!$B$12)/Projects!$D$43*0.95,0)-IF(AND(Projects!$G$43="Yes",BZ$3=Projects!$C$43+Projects!$D$43-1),Projects!$B$43*(Assumptions!$B$10+Assumptions!$B$11+Assumptions!$B$12)*0.05,0)</f>
        <v>0</v>
      </c>
      <c r="CA52" s="19" t="n">
        <f aca="false">IF(AND(Projects!$G$43="Yes",CA$3&gt;=Projects!$C$43,CA$3&lt;Projects!$C$43+Projects!$D$43),Projects!$B$43*INDEX(Curves!$B$4:$AR$4,1,CA$3-Projects!$C$43+1),0)-IF(AND(Projects!$G$43="Yes",CA$3&gt;=Projects!$C$43,CA$3&lt;Projects!$C$43+Projects!$D$43),Projects!$B$43*(Assumptions!$B$10+Assumptions!$B$11+Assumptions!$B$12)/Projects!$D$43*0.95,0)-IF(AND(Projects!$G$43="Yes",CA$3=Projects!$C$43+Projects!$D$43-1),Projects!$B$43*(Assumptions!$B$10+Assumptions!$B$11+Assumptions!$B$12)*0.05,0)</f>
        <v>0</v>
      </c>
      <c r="CB52" s="19" t="n">
        <f aca="false">IF(AND(Projects!$G$43="Yes",CB$3&gt;=Projects!$C$43,CB$3&lt;Projects!$C$43+Projects!$D$43),Projects!$B$43*INDEX(Curves!$B$4:$AR$4,1,CB$3-Projects!$C$43+1),0)-IF(AND(Projects!$G$43="Yes",CB$3&gt;=Projects!$C$43,CB$3&lt;Projects!$C$43+Projects!$D$43),Projects!$B$43*(Assumptions!$B$10+Assumptions!$B$11+Assumptions!$B$12)/Projects!$D$43*0.95,0)-IF(AND(Projects!$G$43="Yes",CB$3=Projects!$C$43+Projects!$D$43-1),Projects!$B$43*(Assumptions!$B$10+Assumptions!$B$11+Assumptions!$B$12)*0.05,0)</f>
        <v>0</v>
      </c>
      <c r="CC52" s="19" t="n">
        <f aca="false">IF(AND(Projects!$G$43="Yes",CC$3&gt;=Projects!$C$43,CC$3&lt;Projects!$C$43+Projects!$D$43),Projects!$B$43*INDEX(Curves!$B$4:$AR$4,1,CC$3-Projects!$C$43+1),0)-IF(AND(Projects!$G$43="Yes",CC$3&gt;=Projects!$C$43,CC$3&lt;Projects!$C$43+Projects!$D$43),Projects!$B$43*(Assumptions!$B$10+Assumptions!$B$11+Assumptions!$B$12)/Projects!$D$43*0.95,0)-IF(AND(Projects!$G$43="Yes",CC$3=Projects!$C$43+Projects!$D$43-1),Projects!$B$43*(Assumptions!$B$10+Assumptions!$B$11+Assumptions!$B$12)*0.05,0)</f>
        <v>0</v>
      </c>
      <c r="CD52" s="19" t="n">
        <f aca="false">IF(AND(Projects!$G$43="Yes",CD$3&gt;=Projects!$C$43,CD$3&lt;Projects!$C$43+Projects!$D$43),Projects!$B$43*INDEX(Curves!$B$4:$AR$4,1,CD$3-Projects!$C$43+1),0)-IF(AND(Projects!$G$43="Yes",CD$3&gt;=Projects!$C$43,CD$3&lt;Projects!$C$43+Projects!$D$43),Projects!$B$43*(Assumptions!$B$10+Assumptions!$B$11+Assumptions!$B$12)/Projects!$D$43*0.95,0)-IF(AND(Projects!$G$43="Yes",CD$3=Projects!$C$43+Projects!$D$43-1),Projects!$B$43*(Assumptions!$B$10+Assumptions!$B$11+Assumptions!$B$12)*0.05,0)</f>
        <v>0</v>
      </c>
      <c r="CE52" s="19" t="n">
        <f aca="false">IF(AND(Projects!$G$43="Yes",CE$3&gt;=Projects!$C$43,CE$3&lt;Projects!$C$43+Projects!$D$43),Projects!$B$43*INDEX(Curves!$B$4:$AR$4,1,CE$3-Projects!$C$43+1),0)-IF(AND(Projects!$G$43="Yes",CE$3&gt;=Projects!$C$43,CE$3&lt;Projects!$C$43+Projects!$D$43),Projects!$B$43*(Assumptions!$B$10+Assumptions!$B$11+Assumptions!$B$12)/Projects!$D$43*0.95,0)-IF(AND(Projects!$G$43="Yes",CE$3=Projects!$C$43+Projects!$D$43-1),Projects!$B$43*(Assumptions!$B$10+Assumptions!$B$11+Assumptions!$B$12)*0.05,0)</f>
        <v>0</v>
      </c>
      <c r="CF52" s="19" t="n">
        <f aca="false">IF(AND(Projects!$G$43="Yes",CF$3&gt;=Projects!$C$43,CF$3&lt;Projects!$C$43+Projects!$D$43),Projects!$B$43*INDEX(Curves!$B$4:$AR$4,1,CF$3-Projects!$C$43+1),0)-IF(AND(Projects!$G$43="Yes",CF$3&gt;=Projects!$C$43,CF$3&lt;Projects!$C$43+Projects!$D$43),Projects!$B$43*(Assumptions!$B$10+Assumptions!$B$11+Assumptions!$B$12)/Projects!$D$43*0.95,0)-IF(AND(Projects!$G$43="Yes",CF$3=Projects!$C$43+Projects!$D$43-1),Projects!$B$43*(Assumptions!$B$10+Assumptions!$B$11+Assumptions!$B$12)*0.05,0)</f>
        <v>0</v>
      </c>
      <c r="CG52" s="19" t="n">
        <f aca="false">IF(AND(Projects!$G$43="Yes",CG$3&gt;=Projects!$C$43,CG$3&lt;Projects!$C$43+Projects!$D$43),Projects!$B$43*INDEX(Curves!$B$4:$AR$4,1,CG$3-Projects!$C$43+1),0)-IF(AND(Projects!$G$43="Yes",CG$3&gt;=Projects!$C$43,CG$3&lt;Projects!$C$43+Projects!$D$43),Projects!$B$43*(Assumptions!$B$10+Assumptions!$B$11+Assumptions!$B$12)/Projects!$D$43*0.95,0)-IF(AND(Projects!$G$43="Yes",CG$3=Projects!$C$43+Projects!$D$43-1),Projects!$B$43*(Assumptions!$B$10+Assumptions!$B$11+Assumptions!$B$12)*0.05,0)</f>
        <v>0</v>
      </c>
      <c r="CH52" s="19" t="n">
        <f aca="false">IF(AND(Projects!$G$43="Yes",CH$3&gt;=Projects!$C$43,CH$3&lt;Projects!$C$43+Projects!$D$43),Projects!$B$43*INDEX(Curves!$B$4:$AR$4,1,CH$3-Projects!$C$43+1),0)-IF(AND(Projects!$G$43="Yes",CH$3&gt;=Projects!$C$43,CH$3&lt;Projects!$C$43+Projects!$D$43),Projects!$B$43*(Assumptions!$B$10+Assumptions!$B$11+Assumptions!$B$12)/Projects!$D$43*0.95,0)-IF(AND(Projects!$G$43="Yes",CH$3=Projects!$C$43+Projects!$D$43-1),Projects!$B$43*(Assumptions!$B$10+Assumptions!$B$11+Assumptions!$B$12)*0.05,0)</f>
        <v>0</v>
      </c>
      <c r="CI52" s="19" t="n">
        <f aca="false">IF(AND(Projects!$G$43="Yes",CI$3&gt;=Projects!$C$43,CI$3&lt;Projects!$C$43+Projects!$D$43),Projects!$B$43*INDEX(Curves!$B$4:$AR$4,1,CI$3-Projects!$C$43+1),0)-IF(AND(Projects!$G$43="Yes",CI$3&gt;=Projects!$C$43,CI$3&lt;Projects!$C$43+Projects!$D$43),Projects!$B$43*(Assumptions!$B$10+Assumptions!$B$11+Assumptions!$B$12)/Projects!$D$43*0.95,0)-IF(AND(Projects!$G$43="Yes",CI$3=Projects!$C$43+Projects!$D$43-1),Projects!$B$43*(Assumptions!$B$10+Assumptions!$B$11+Assumptions!$B$12)*0.05,0)</f>
        <v>0</v>
      </c>
      <c r="CJ52" s="19" t="n">
        <f aca="false">IF(AND(Projects!$G$43="Yes",CJ$3&gt;=Projects!$C$43,CJ$3&lt;Projects!$C$43+Projects!$D$43),Projects!$B$43*INDEX(Curves!$B$4:$AR$4,1,CJ$3-Projects!$C$43+1),0)-IF(AND(Projects!$G$43="Yes",CJ$3&gt;=Projects!$C$43,CJ$3&lt;Projects!$C$43+Projects!$D$43),Projects!$B$43*(Assumptions!$B$10+Assumptions!$B$11+Assumptions!$B$12)/Projects!$D$43*0.95,0)-IF(AND(Projects!$G$43="Yes",CJ$3=Projects!$C$43+Projects!$D$43-1),Projects!$B$43*(Assumptions!$B$10+Assumptions!$B$11+Assumptions!$B$12)*0.05,0)</f>
        <v>0</v>
      </c>
      <c r="CK52" s="19" t="n">
        <f aca="false">IF(AND(Projects!$G$43="Yes",CK$3&gt;=Projects!$C$43,CK$3&lt;Projects!$C$43+Projects!$D$43),Projects!$B$43*INDEX(Curves!$B$4:$AR$4,1,CK$3-Projects!$C$43+1),0)-IF(AND(Projects!$G$43="Yes",CK$3&gt;=Projects!$C$43,CK$3&lt;Projects!$C$43+Projects!$D$43),Projects!$B$43*(Assumptions!$B$10+Assumptions!$B$11+Assumptions!$B$12)/Projects!$D$43*0.95,0)-IF(AND(Projects!$G$43="Yes",CK$3=Projects!$C$43+Projects!$D$43-1),Projects!$B$43*(Assumptions!$B$10+Assumptions!$B$11+Assumptions!$B$12)*0.05,0)</f>
        <v>0</v>
      </c>
      <c r="CL52" s="19" t="n">
        <f aca="false">IF(AND(Projects!$G$43="Yes",CL$3&gt;=Projects!$C$43,CL$3&lt;Projects!$C$43+Projects!$D$43),Projects!$B$43*INDEX(Curves!$B$4:$AR$4,1,CL$3-Projects!$C$43+1),0)-IF(AND(Projects!$G$43="Yes",CL$3&gt;=Projects!$C$43,CL$3&lt;Projects!$C$43+Projects!$D$43),Projects!$B$43*(Assumptions!$B$10+Assumptions!$B$11+Assumptions!$B$12)/Projects!$D$43*0.95,0)-IF(AND(Projects!$G$43="Yes",CL$3=Projects!$C$43+Projects!$D$43-1),Projects!$B$43*(Assumptions!$B$10+Assumptions!$B$11+Assumptions!$B$12)*0.05,0)</f>
        <v>0</v>
      </c>
      <c r="CM52" s="19" t="n">
        <f aca="false">IF(AND(Projects!$G$43="Yes",CM$3&gt;=Projects!$C$43,CM$3&lt;Projects!$C$43+Projects!$D$43),Projects!$B$43*INDEX(Curves!$B$4:$AR$4,1,CM$3-Projects!$C$43+1),0)-IF(AND(Projects!$G$43="Yes",CM$3&gt;=Projects!$C$43,CM$3&lt;Projects!$C$43+Projects!$D$43),Projects!$B$43*(Assumptions!$B$10+Assumptions!$B$11+Assumptions!$B$12)/Projects!$D$43*0.95,0)-IF(AND(Projects!$G$43="Yes",CM$3=Projects!$C$43+Projects!$D$43-1),Projects!$B$43*(Assumptions!$B$10+Assumptions!$B$11+Assumptions!$B$12)*0.05,0)</f>
        <v>0</v>
      </c>
      <c r="CN52" s="19" t="n">
        <f aca="false">IF(AND(Projects!$G$43="Yes",CN$3&gt;=Projects!$C$43,CN$3&lt;Projects!$C$43+Projects!$D$43),Projects!$B$43*INDEX(Curves!$B$4:$AR$4,1,CN$3-Projects!$C$43+1),0)-IF(AND(Projects!$G$43="Yes",CN$3&gt;=Projects!$C$43,CN$3&lt;Projects!$C$43+Projects!$D$43),Projects!$B$43*(Assumptions!$B$10+Assumptions!$B$11+Assumptions!$B$12)/Projects!$D$43*0.95,0)-IF(AND(Projects!$G$43="Yes",CN$3=Projects!$C$43+Projects!$D$43-1),Projects!$B$43*(Assumptions!$B$10+Assumptions!$B$11+Assumptions!$B$12)*0.05,0)</f>
        <v>0</v>
      </c>
      <c r="CO52" s="19" t="n">
        <f aca="false">IF(AND(Projects!$G$43="Yes",CO$3&gt;=Projects!$C$43,CO$3&lt;Projects!$C$43+Projects!$D$43),Projects!$B$43*INDEX(Curves!$B$4:$AR$4,1,CO$3-Projects!$C$43+1),0)-IF(AND(Projects!$G$43="Yes",CO$3&gt;=Projects!$C$43,CO$3&lt;Projects!$C$43+Projects!$D$43),Projects!$B$43*(Assumptions!$B$10+Assumptions!$B$11+Assumptions!$B$12)/Projects!$D$43*0.95,0)-IF(AND(Projects!$G$43="Yes",CO$3=Projects!$C$43+Projects!$D$43-1),Projects!$B$43*(Assumptions!$B$10+Assumptions!$B$11+Assumptions!$B$12)*0.05,0)</f>
        <v>0</v>
      </c>
      <c r="CP52" s="19" t="n">
        <f aca="false">IF(AND(Projects!$G$43="Yes",CP$3&gt;=Projects!$C$43,CP$3&lt;Projects!$C$43+Projects!$D$43),Projects!$B$43*INDEX(Curves!$B$4:$AR$4,1,CP$3-Projects!$C$43+1),0)-IF(AND(Projects!$G$43="Yes",CP$3&gt;=Projects!$C$43,CP$3&lt;Projects!$C$43+Projects!$D$43),Projects!$B$43*(Assumptions!$B$10+Assumptions!$B$11+Assumptions!$B$12)/Projects!$D$43*0.95,0)-IF(AND(Projects!$G$43="Yes",CP$3=Projects!$C$43+Projects!$D$43-1),Projects!$B$43*(Assumptions!$B$10+Assumptions!$B$11+Assumptions!$B$12)*0.05,0)</f>
        <v>0</v>
      </c>
      <c r="CQ52" s="19" t="n">
        <f aca="false">IF(AND(Projects!$G$43="Yes",CQ$3&gt;=Projects!$C$43,CQ$3&lt;Projects!$C$43+Projects!$D$43),Projects!$B$43*INDEX(Curves!$B$4:$AR$4,1,CQ$3-Projects!$C$43+1),0)-IF(AND(Projects!$G$43="Yes",CQ$3&gt;=Projects!$C$43,CQ$3&lt;Projects!$C$43+Projects!$D$43),Projects!$B$43*(Assumptions!$B$10+Assumptions!$B$11+Assumptions!$B$12)/Projects!$D$43*0.95,0)-IF(AND(Projects!$G$43="Yes",CQ$3=Projects!$C$43+Projects!$D$43-1),Projects!$B$43*(Assumptions!$B$10+Assumptions!$B$11+Assumptions!$B$12)*0.05,0)</f>
        <v>0</v>
      </c>
      <c r="CR52" s="19" t="n">
        <f aca="false">IF(AND(Projects!$G$43="Yes",CR$3&gt;=Projects!$C$43,CR$3&lt;Projects!$C$43+Projects!$D$43),Projects!$B$43*INDEX(Curves!$B$4:$AR$4,1,CR$3-Projects!$C$43+1),0)-IF(AND(Projects!$G$43="Yes",CR$3&gt;=Projects!$C$43,CR$3&lt;Projects!$C$43+Projects!$D$43),Projects!$B$43*(Assumptions!$B$10+Assumptions!$B$11+Assumptions!$B$12)/Projects!$D$43*0.95,0)-IF(AND(Projects!$G$43="Yes",CR$3=Projects!$C$43+Projects!$D$43-1),Projects!$B$43*(Assumptions!$B$10+Assumptions!$B$11+Assumptions!$B$12)*0.05,0)</f>
        <v>0</v>
      </c>
      <c r="CS52" s="19" t="n">
        <f aca="false">IF(AND(Projects!$G$43="Yes",CS$3&gt;=Projects!$C$43,CS$3&lt;Projects!$C$43+Projects!$D$43),Projects!$B$43*INDEX(Curves!$B$4:$AR$4,1,CS$3-Projects!$C$43+1),0)-IF(AND(Projects!$G$43="Yes",CS$3&gt;=Projects!$C$43,CS$3&lt;Projects!$C$43+Projects!$D$43),Projects!$B$43*(Assumptions!$B$10+Assumptions!$B$11+Assumptions!$B$12)/Projects!$D$43*0.95,0)-IF(AND(Projects!$G$43="Yes",CS$3=Projects!$C$43+Projects!$D$43-1),Projects!$B$43*(Assumptions!$B$10+Assumptions!$B$11+Assumptions!$B$12)*0.05,0)</f>
        <v>0</v>
      </c>
      <c r="CT52" s="19" t="n">
        <f aca="false">IF(AND(Projects!$G$43="Yes",CT$3&gt;=Projects!$C$43,CT$3&lt;Projects!$C$43+Projects!$D$43),Projects!$B$43*INDEX(Curves!$B$4:$AR$4,1,CT$3-Projects!$C$43+1),0)-IF(AND(Projects!$G$43="Yes",CT$3&gt;=Projects!$C$43,CT$3&lt;Projects!$C$43+Projects!$D$43),Projects!$B$43*(Assumptions!$B$10+Assumptions!$B$11+Assumptions!$B$12)/Projects!$D$43*0.95,0)-IF(AND(Projects!$G$43="Yes",CT$3=Projects!$C$43+Projects!$D$43-1),Projects!$B$43*(Assumptions!$B$10+Assumptions!$B$11+Assumptions!$B$12)*0.05,0)</f>
        <v>0</v>
      </c>
      <c r="CU52" s="19" t="n">
        <f aca="false">IF(AND(Projects!$G$43="Yes",CU$3&gt;=Projects!$C$43,CU$3&lt;Projects!$C$43+Projects!$D$43),Projects!$B$43*INDEX(Curves!$B$4:$AR$4,1,CU$3-Projects!$C$43+1),0)-IF(AND(Projects!$G$43="Yes",CU$3&gt;=Projects!$C$43,CU$3&lt;Projects!$C$43+Projects!$D$43),Projects!$B$43*(Assumptions!$B$10+Assumptions!$B$11+Assumptions!$B$12)/Projects!$D$43*0.95,0)-IF(AND(Projects!$G$43="Yes",CU$3=Projects!$C$43+Projects!$D$43-1),Projects!$B$43*(Assumptions!$B$10+Assumptions!$B$11+Assumptions!$B$12)*0.05,0)</f>
        <v>0</v>
      </c>
      <c r="CV52" s="19" t="n">
        <f aca="false">IF(AND(Projects!$G$43="Yes",CV$3&gt;=Projects!$C$43,CV$3&lt;Projects!$C$43+Projects!$D$43),Projects!$B$43*INDEX(Curves!$B$4:$AR$4,1,CV$3-Projects!$C$43+1),0)-IF(AND(Projects!$G$43="Yes",CV$3&gt;=Projects!$C$43,CV$3&lt;Projects!$C$43+Projects!$D$43),Projects!$B$43*(Assumptions!$B$10+Assumptions!$B$11+Assumptions!$B$12)/Projects!$D$43*0.95,0)-IF(AND(Projects!$G$43="Yes",CV$3=Projects!$C$43+Projects!$D$43-1),Projects!$B$43*(Assumptions!$B$10+Assumptions!$B$11+Assumptions!$B$12)*0.05,0)</f>
        <v>0</v>
      </c>
      <c r="CW52" s="19" t="n">
        <f aca="false">IF(AND(Projects!$G$43="Yes",CW$3&gt;=Projects!$C$43,CW$3&lt;Projects!$C$43+Projects!$D$43),Projects!$B$43*INDEX(Curves!$B$4:$AR$4,1,CW$3-Projects!$C$43+1),0)-IF(AND(Projects!$G$43="Yes",CW$3&gt;=Projects!$C$43,CW$3&lt;Projects!$C$43+Projects!$D$43),Projects!$B$43*(Assumptions!$B$10+Assumptions!$B$11+Assumptions!$B$12)/Projects!$D$43*0.95,0)-IF(AND(Projects!$G$43="Yes",CW$3=Projects!$C$43+Projects!$D$43-1),Projects!$B$43*(Assumptions!$B$10+Assumptions!$B$11+Assumptions!$B$12)*0.05,0)</f>
        <v>0</v>
      </c>
      <c r="CX52" s="19" t="n">
        <f aca="false">IF(AND(Projects!$G$43="Yes",CX$3&gt;=Projects!$C$43,CX$3&lt;Projects!$C$43+Projects!$D$43),Projects!$B$43*INDEX(Curves!$B$4:$AR$4,1,CX$3-Projects!$C$43+1),0)-IF(AND(Projects!$G$43="Yes",CX$3&gt;=Projects!$C$43,CX$3&lt;Projects!$C$43+Projects!$D$43),Projects!$B$43*(Assumptions!$B$10+Assumptions!$B$11+Assumptions!$B$12)/Projects!$D$43*0.95,0)-IF(AND(Projects!$G$43="Yes",CX$3=Projects!$C$43+Projects!$D$43-1),Projects!$B$43*(Assumptions!$B$10+Assumptions!$B$11+Assumptions!$B$12)*0.05,0)</f>
        <v>0</v>
      </c>
      <c r="CY52" s="19" t="n">
        <f aca="false">IF(AND(Projects!$G$43="Yes",CY$3&gt;=Projects!$C$43,CY$3&lt;Projects!$C$43+Projects!$D$43),Projects!$B$43*INDEX(Curves!$B$4:$AR$4,1,CY$3-Projects!$C$43+1),0)-IF(AND(Projects!$G$43="Yes",CY$3&gt;=Projects!$C$43,CY$3&lt;Projects!$C$43+Projects!$D$43),Projects!$B$43*(Assumptions!$B$10+Assumptions!$B$11+Assumptions!$B$12)/Projects!$D$43*0.95,0)-IF(AND(Projects!$G$43="Yes",CY$3=Projects!$C$43+Projects!$D$43-1),Projects!$B$43*(Assumptions!$B$10+Assumptions!$B$11+Assumptions!$B$12)*0.05,0)</f>
        <v>0</v>
      </c>
      <c r="CZ52" s="19" t="n">
        <f aca="false">IF(AND(Projects!$G$43="Yes",CZ$3&gt;=Projects!$C$43,CZ$3&lt;Projects!$C$43+Projects!$D$43),Projects!$B$43*INDEX(Curves!$B$4:$AR$4,1,CZ$3-Projects!$C$43+1),0)-IF(AND(Projects!$G$43="Yes",CZ$3&gt;=Projects!$C$43,CZ$3&lt;Projects!$C$43+Projects!$D$43),Projects!$B$43*(Assumptions!$B$10+Assumptions!$B$11+Assumptions!$B$12)/Projects!$D$43*0.95,0)-IF(AND(Projects!$G$43="Yes",CZ$3=Projects!$C$43+Projects!$D$43-1),Projects!$B$43*(Assumptions!$B$10+Assumptions!$B$11+Assumptions!$B$12)*0.05,0)</f>
        <v>0</v>
      </c>
      <c r="DA52" s="19" t="n">
        <f aca="false">IF(AND(Projects!$G$43="Yes",DA$3&gt;=Projects!$C$43,DA$3&lt;Projects!$C$43+Projects!$D$43),Projects!$B$43*INDEX(Curves!$B$4:$AR$4,1,DA$3-Projects!$C$43+1),0)-IF(AND(Projects!$G$43="Yes",DA$3&gt;=Projects!$C$43,DA$3&lt;Projects!$C$43+Projects!$D$43),Projects!$B$43*(Assumptions!$B$10+Assumptions!$B$11+Assumptions!$B$12)/Projects!$D$43*0.95,0)-IF(AND(Projects!$G$43="Yes",DA$3=Projects!$C$43+Projects!$D$43-1),Projects!$B$43*(Assumptions!$B$10+Assumptions!$B$11+Assumptions!$B$12)*0.05,0)</f>
        <v>0</v>
      </c>
      <c r="DB52" s="19" t="n">
        <f aca="false">IF(AND(Projects!$G$43="Yes",DB$3&gt;=Projects!$C$43,DB$3&lt;Projects!$C$43+Projects!$D$43),Projects!$B$43*INDEX(Curves!$B$4:$AR$4,1,DB$3-Projects!$C$43+1),0)-IF(AND(Projects!$G$43="Yes",DB$3&gt;=Projects!$C$43,DB$3&lt;Projects!$C$43+Projects!$D$43),Projects!$B$43*(Assumptions!$B$10+Assumptions!$B$11+Assumptions!$B$12)/Projects!$D$43*0.95,0)-IF(AND(Projects!$G$43="Yes",DB$3=Projects!$C$43+Projects!$D$43-1),Projects!$B$43*(Assumptions!$B$10+Assumptions!$B$11+Assumptions!$B$12)*0.05,0)</f>
        <v>0</v>
      </c>
      <c r="DC52" s="19" t="n">
        <f aca="false">IF(AND(Projects!$G$43="Yes",DC$3&gt;=Projects!$C$43,DC$3&lt;Projects!$C$43+Projects!$D$43),Projects!$B$43*INDEX(Curves!$B$4:$AR$4,1,DC$3-Projects!$C$43+1),0)-IF(AND(Projects!$G$43="Yes",DC$3&gt;=Projects!$C$43,DC$3&lt;Projects!$C$43+Projects!$D$43),Projects!$B$43*(Assumptions!$B$10+Assumptions!$B$11+Assumptions!$B$12)/Projects!$D$43*0.95,0)-IF(AND(Projects!$G$43="Yes",DC$3=Projects!$C$43+Projects!$D$43-1),Projects!$B$43*(Assumptions!$B$10+Assumptions!$B$11+Assumptions!$B$12)*0.05,0)</f>
        <v>0</v>
      </c>
      <c r="DD52" s="19" t="n">
        <f aca="false">IF(AND(Projects!$G$43="Yes",DD$3&gt;=Projects!$C$43,DD$3&lt;Projects!$C$43+Projects!$D$43),Projects!$B$43*INDEX(Curves!$B$4:$AR$4,1,DD$3-Projects!$C$43+1),0)-IF(AND(Projects!$G$43="Yes",DD$3&gt;=Projects!$C$43,DD$3&lt;Projects!$C$43+Projects!$D$43),Projects!$B$43*(Assumptions!$B$10+Assumptions!$B$11+Assumptions!$B$12)/Projects!$D$43*0.95,0)-IF(AND(Projects!$G$43="Yes",DD$3=Projects!$C$43+Projects!$D$43-1),Projects!$B$43*(Assumptions!$B$10+Assumptions!$B$11+Assumptions!$B$12)*0.05,0)</f>
        <v>0</v>
      </c>
      <c r="DE52" s="19" t="n">
        <f aca="false">IF(AND(Projects!$G$43="Yes",DE$3&gt;=Projects!$C$43,DE$3&lt;Projects!$C$43+Projects!$D$43),Projects!$B$43*INDEX(Curves!$B$4:$AR$4,1,DE$3-Projects!$C$43+1),0)-IF(AND(Projects!$G$43="Yes",DE$3&gt;=Projects!$C$43,DE$3&lt;Projects!$C$43+Projects!$D$43),Projects!$B$43*(Assumptions!$B$10+Assumptions!$B$11+Assumptions!$B$12)/Projects!$D$43*0.95,0)-IF(AND(Projects!$G$43="Yes",DE$3=Projects!$C$43+Projects!$D$43-1),Projects!$B$43*(Assumptions!$B$10+Assumptions!$B$11+Assumptions!$B$12)*0.05,0)</f>
        <v>0</v>
      </c>
    </row>
    <row r="53" customFormat="false" ht="15" hidden="true" customHeight="true" outlineLevel="1" collapsed="false">
      <c r="A53" s="28" t="s">
        <v>47</v>
      </c>
      <c r="B53" s="19" t="n">
        <v>0</v>
      </c>
      <c r="C53" s="19" t="n">
        <v>0</v>
      </c>
      <c r="D53" s="19" t="n">
        <v>0</v>
      </c>
      <c r="E53" s="19" t="n">
        <v>0</v>
      </c>
      <c r="F53" s="19" t="n">
        <f aca="false">IF(AND(Projects!$G$44="Yes",F$3&gt;=Projects!$C$44,F$3&lt;Projects!$C$44+Projects!$D$44),Projects!$B$44*INDEX(Curves!$B$4:$AR$4,1,F$3-Projects!$C$44+1),0)-IF(AND(Projects!$G$44="Yes",F$3&gt;=Projects!$C$44,F$3&lt;Projects!$C$44+Projects!$D$44),Projects!$B$44*(Assumptions!$B$10+Assumptions!$B$11+Assumptions!$B$12)/Projects!$D$44*0.95,0)-IF(AND(Projects!$G$44="Yes",F$3=Projects!$C$44+Projects!$D$44-1),Projects!$B$44*(Assumptions!$B$10+Assumptions!$B$11+Assumptions!$B$12)*0.05,0)</f>
        <v>0</v>
      </c>
      <c r="G53" s="19" t="n">
        <f aca="false">IF(AND(Projects!$G$44="Yes",G$3&gt;=Projects!$C$44,G$3&lt;Projects!$C$44+Projects!$D$44),Projects!$B$44*INDEX(Curves!$B$4:$AR$4,1,G$3-Projects!$C$44+1),0)-IF(AND(Projects!$G$44="Yes",G$3&gt;=Projects!$C$44,G$3&lt;Projects!$C$44+Projects!$D$44),Projects!$B$44*(Assumptions!$B$10+Assumptions!$B$11+Assumptions!$B$12)/Projects!$D$44*0.95,0)-IF(AND(Projects!$G$44="Yes",G$3=Projects!$C$44+Projects!$D$44-1),Projects!$B$44*(Assumptions!$B$10+Assumptions!$B$11+Assumptions!$B$12)*0.05,0)</f>
        <v>0</v>
      </c>
      <c r="H53" s="19" t="n">
        <f aca="false">IF(AND(Projects!$G$44="Yes",H$3&gt;=Projects!$C$44,H$3&lt;Projects!$C$44+Projects!$D$44),Projects!$B$44*INDEX(Curves!$B$4:$AR$4,1,H$3-Projects!$C$44+1),0)-IF(AND(Projects!$G$44="Yes",H$3&gt;=Projects!$C$44,H$3&lt;Projects!$C$44+Projects!$D$44),Projects!$B$44*(Assumptions!$B$10+Assumptions!$B$11+Assumptions!$B$12)/Projects!$D$44*0.95,0)-IF(AND(Projects!$G$44="Yes",H$3=Projects!$C$44+Projects!$D$44-1),Projects!$B$44*(Assumptions!$B$10+Assumptions!$B$11+Assumptions!$B$12)*0.05,0)</f>
        <v>0</v>
      </c>
      <c r="I53" s="19" t="n">
        <f aca="false">IF(AND(Projects!$G$44="Yes",I$3&gt;=Projects!$C$44,I$3&lt;Projects!$C$44+Projects!$D$44),Projects!$B$44*INDEX(Curves!$B$4:$AR$4,1,I$3-Projects!$C$44+1),0)-IF(AND(Projects!$G$44="Yes",I$3&gt;=Projects!$C$44,I$3&lt;Projects!$C$44+Projects!$D$44),Projects!$B$44*(Assumptions!$B$10+Assumptions!$B$11+Assumptions!$B$12)/Projects!$D$44*0.95,0)-IF(AND(Projects!$G$44="Yes",I$3=Projects!$C$44+Projects!$D$44-1),Projects!$B$44*(Assumptions!$B$10+Assumptions!$B$11+Assumptions!$B$12)*0.05,0)</f>
        <v>0</v>
      </c>
      <c r="J53" s="19" t="n">
        <f aca="false">IF(AND(Projects!$G$44="Yes",J$3&gt;=Projects!$C$44,J$3&lt;Projects!$C$44+Projects!$D$44),Projects!$B$44*INDEX(Curves!$B$4:$AR$4,1,J$3-Projects!$C$44+1),0)-IF(AND(Projects!$G$44="Yes",J$3&gt;=Projects!$C$44,J$3&lt;Projects!$C$44+Projects!$D$44),Projects!$B$44*(Assumptions!$B$10+Assumptions!$B$11+Assumptions!$B$12)/Projects!$D$44*0.95,0)-IF(AND(Projects!$G$44="Yes",J$3=Projects!$C$44+Projects!$D$44-1),Projects!$B$44*(Assumptions!$B$10+Assumptions!$B$11+Assumptions!$B$12)*0.05,0)</f>
        <v>0</v>
      </c>
      <c r="K53" s="19" t="n">
        <f aca="false">IF(AND(Projects!$G$44="Yes",K$3&gt;=Projects!$C$44,K$3&lt;Projects!$C$44+Projects!$D$44),Projects!$B$44*INDEX(Curves!$B$4:$AR$4,1,K$3-Projects!$C$44+1),0)-IF(AND(Projects!$G$44="Yes",K$3&gt;=Projects!$C$44,K$3&lt;Projects!$C$44+Projects!$D$44),Projects!$B$44*(Assumptions!$B$10+Assumptions!$B$11+Assumptions!$B$12)/Projects!$D$44*0.95,0)-IF(AND(Projects!$G$44="Yes",K$3=Projects!$C$44+Projects!$D$44-1),Projects!$B$44*(Assumptions!$B$10+Assumptions!$B$11+Assumptions!$B$12)*0.05,0)</f>
        <v>0</v>
      </c>
      <c r="L53" s="19" t="n">
        <f aca="false">IF(AND(Projects!$G$44="Yes",L$3&gt;=Projects!$C$44,L$3&lt;Projects!$C$44+Projects!$D$44),Projects!$B$44*INDEX(Curves!$B$4:$AR$4,1,L$3-Projects!$C$44+1),0)-IF(AND(Projects!$G$44="Yes",L$3&gt;=Projects!$C$44,L$3&lt;Projects!$C$44+Projects!$D$44),Projects!$B$44*(Assumptions!$B$10+Assumptions!$B$11+Assumptions!$B$12)/Projects!$D$44*0.95,0)-IF(AND(Projects!$G$44="Yes",L$3=Projects!$C$44+Projects!$D$44-1),Projects!$B$44*(Assumptions!$B$10+Assumptions!$B$11+Assumptions!$B$12)*0.05,0)</f>
        <v>0</v>
      </c>
      <c r="M53" s="19" t="n">
        <f aca="false">IF(AND(Projects!$G$44="Yes",M$3&gt;=Projects!$C$44,M$3&lt;Projects!$C$44+Projects!$D$44),Projects!$B$44*INDEX(Curves!$B$4:$AR$4,1,M$3-Projects!$C$44+1),0)-IF(AND(Projects!$G$44="Yes",M$3&gt;=Projects!$C$44,M$3&lt;Projects!$C$44+Projects!$D$44),Projects!$B$44*(Assumptions!$B$10+Assumptions!$B$11+Assumptions!$B$12)/Projects!$D$44*0.95,0)-IF(AND(Projects!$G$44="Yes",M$3=Projects!$C$44+Projects!$D$44-1),Projects!$B$44*(Assumptions!$B$10+Assumptions!$B$11+Assumptions!$B$12)*0.05,0)</f>
        <v>0</v>
      </c>
      <c r="N53" s="19" t="n">
        <f aca="false">IF(AND(Projects!$G$44="Yes",N$3&gt;=Projects!$C$44,N$3&lt;Projects!$C$44+Projects!$D$44),Projects!$B$44*INDEX(Curves!$B$4:$AR$4,1,N$3-Projects!$C$44+1),0)-IF(AND(Projects!$G$44="Yes",N$3&gt;=Projects!$C$44,N$3&lt;Projects!$C$44+Projects!$D$44),Projects!$B$44*(Assumptions!$B$10+Assumptions!$B$11+Assumptions!$B$12)/Projects!$D$44*0.95,0)-IF(AND(Projects!$G$44="Yes",N$3=Projects!$C$44+Projects!$D$44-1),Projects!$B$44*(Assumptions!$B$10+Assumptions!$B$11+Assumptions!$B$12)*0.05,0)</f>
        <v>0</v>
      </c>
      <c r="O53" s="19" t="n">
        <f aca="false">IF(AND(Projects!$G$44="Yes",O$3&gt;=Projects!$C$44,O$3&lt;Projects!$C$44+Projects!$D$44),Projects!$B$44*INDEX(Curves!$B$4:$AR$4,1,O$3-Projects!$C$44+1),0)-IF(AND(Projects!$G$44="Yes",O$3&gt;=Projects!$C$44,O$3&lt;Projects!$C$44+Projects!$D$44),Projects!$B$44*(Assumptions!$B$10+Assumptions!$B$11+Assumptions!$B$12)/Projects!$D$44*0.95,0)-IF(AND(Projects!$G$44="Yes",O$3=Projects!$C$44+Projects!$D$44-1),Projects!$B$44*(Assumptions!$B$10+Assumptions!$B$11+Assumptions!$B$12)*0.05,0)</f>
        <v>0</v>
      </c>
      <c r="P53" s="19" t="n">
        <f aca="false">IF(AND(Projects!$G$44="Yes",P$3&gt;=Projects!$C$44,P$3&lt;Projects!$C$44+Projects!$D$44),Projects!$B$44*INDEX(Curves!$B$4:$AR$4,1,P$3-Projects!$C$44+1),0)-IF(AND(Projects!$G$44="Yes",P$3&gt;=Projects!$C$44,P$3&lt;Projects!$C$44+Projects!$D$44),Projects!$B$44*(Assumptions!$B$10+Assumptions!$B$11+Assumptions!$B$12)/Projects!$D$44*0.95,0)-IF(AND(Projects!$G$44="Yes",P$3=Projects!$C$44+Projects!$D$44-1),Projects!$B$44*(Assumptions!$B$10+Assumptions!$B$11+Assumptions!$B$12)*0.05,0)</f>
        <v>0</v>
      </c>
      <c r="Q53" s="19" t="n">
        <f aca="false">IF(AND(Projects!$G$44="Yes",Q$3&gt;=Projects!$C$44,Q$3&lt;Projects!$C$44+Projects!$D$44),Projects!$B$44*INDEX(Curves!$B$4:$AR$4,1,Q$3-Projects!$C$44+1),0)-IF(AND(Projects!$G$44="Yes",Q$3&gt;=Projects!$C$44,Q$3&lt;Projects!$C$44+Projects!$D$44),Projects!$B$44*(Assumptions!$B$10+Assumptions!$B$11+Assumptions!$B$12)/Projects!$D$44*0.95,0)-IF(AND(Projects!$G$44="Yes",Q$3=Projects!$C$44+Projects!$D$44-1),Projects!$B$44*(Assumptions!$B$10+Assumptions!$B$11+Assumptions!$B$12)*0.05,0)</f>
        <v>0</v>
      </c>
      <c r="R53" s="19" t="n">
        <f aca="false">IF(AND(Projects!$G$44="Yes",R$3&gt;=Projects!$C$44,R$3&lt;Projects!$C$44+Projects!$D$44),Projects!$B$44*INDEX(Curves!$B$4:$AR$4,1,R$3-Projects!$C$44+1),0)-IF(AND(Projects!$G$44="Yes",R$3&gt;=Projects!$C$44,R$3&lt;Projects!$C$44+Projects!$D$44),Projects!$B$44*(Assumptions!$B$10+Assumptions!$B$11+Assumptions!$B$12)/Projects!$D$44*0.95,0)-IF(AND(Projects!$G$44="Yes",R$3=Projects!$C$44+Projects!$D$44-1),Projects!$B$44*(Assumptions!$B$10+Assumptions!$B$11+Assumptions!$B$12)*0.05,0)</f>
        <v>0</v>
      </c>
      <c r="S53" s="19" t="n">
        <f aca="false">IF(AND(Projects!$G$44="Yes",S$3&gt;=Projects!$C$44,S$3&lt;Projects!$C$44+Projects!$D$44),Projects!$B$44*INDEX(Curves!$B$4:$AR$4,1,S$3-Projects!$C$44+1),0)-IF(AND(Projects!$G$44="Yes",S$3&gt;=Projects!$C$44,S$3&lt;Projects!$C$44+Projects!$D$44),Projects!$B$44*(Assumptions!$B$10+Assumptions!$B$11+Assumptions!$B$12)/Projects!$D$44*0.95,0)-IF(AND(Projects!$G$44="Yes",S$3=Projects!$C$44+Projects!$D$44-1),Projects!$B$44*(Assumptions!$B$10+Assumptions!$B$11+Assumptions!$B$12)*0.05,0)</f>
        <v>0</v>
      </c>
      <c r="T53" s="19" t="n">
        <f aca="false">IF(AND(Projects!$G$44="Yes",T$3&gt;=Projects!$C$44,T$3&lt;Projects!$C$44+Projects!$D$44),Projects!$B$44*INDEX(Curves!$B$4:$AR$4,1,T$3-Projects!$C$44+1),0)-IF(AND(Projects!$G$44="Yes",T$3&gt;=Projects!$C$44,T$3&lt;Projects!$C$44+Projects!$D$44),Projects!$B$44*(Assumptions!$B$10+Assumptions!$B$11+Assumptions!$B$12)/Projects!$D$44*0.95,0)-IF(AND(Projects!$G$44="Yes",T$3=Projects!$C$44+Projects!$D$44-1),Projects!$B$44*(Assumptions!$B$10+Assumptions!$B$11+Assumptions!$B$12)*0.05,0)</f>
        <v>0</v>
      </c>
      <c r="U53" s="19" t="n">
        <f aca="false">IF(AND(Projects!$G$44="Yes",U$3&gt;=Projects!$C$44,U$3&lt;Projects!$C$44+Projects!$D$44),Projects!$B$44*INDEX(Curves!$B$4:$AR$4,1,U$3-Projects!$C$44+1),0)-IF(AND(Projects!$G$44="Yes",U$3&gt;=Projects!$C$44,U$3&lt;Projects!$C$44+Projects!$D$44),Projects!$B$44*(Assumptions!$B$10+Assumptions!$B$11+Assumptions!$B$12)/Projects!$D$44*0.95,0)-IF(AND(Projects!$G$44="Yes",U$3=Projects!$C$44+Projects!$D$44-1),Projects!$B$44*(Assumptions!$B$10+Assumptions!$B$11+Assumptions!$B$12)*0.05,0)</f>
        <v>0</v>
      </c>
      <c r="V53" s="19" t="n">
        <f aca="false">IF(AND(Projects!$G$44="Yes",V$3&gt;=Projects!$C$44,V$3&lt;Projects!$C$44+Projects!$D$44),Projects!$B$44*INDEX(Curves!$B$4:$AR$4,1,V$3-Projects!$C$44+1),0)-IF(AND(Projects!$G$44="Yes",V$3&gt;=Projects!$C$44,V$3&lt;Projects!$C$44+Projects!$D$44),Projects!$B$44*(Assumptions!$B$10+Assumptions!$B$11+Assumptions!$B$12)/Projects!$D$44*0.95,0)-IF(AND(Projects!$G$44="Yes",V$3=Projects!$C$44+Projects!$D$44-1),Projects!$B$44*(Assumptions!$B$10+Assumptions!$B$11+Assumptions!$B$12)*0.05,0)</f>
        <v>0</v>
      </c>
      <c r="W53" s="19" t="n">
        <f aca="false">IF(AND(Projects!$G$44="Yes",W$3&gt;=Projects!$C$44,W$3&lt;Projects!$C$44+Projects!$D$44),Projects!$B$44*INDEX(Curves!$B$4:$AR$4,1,W$3-Projects!$C$44+1),0)-IF(AND(Projects!$G$44="Yes",W$3&gt;=Projects!$C$44,W$3&lt;Projects!$C$44+Projects!$D$44),Projects!$B$44*(Assumptions!$B$10+Assumptions!$B$11+Assumptions!$B$12)/Projects!$D$44*0.95,0)-IF(AND(Projects!$G$44="Yes",W$3=Projects!$C$44+Projects!$D$44-1),Projects!$B$44*(Assumptions!$B$10+Assumptions!$B$11+Assumptions!$B$12)*0.05,0)</f>
        <v>0</v>
      </c>
      <c r="X53" s="19" t="n">
        <f aca="false">IF(AND(Projects!$G$44="Yes",X$3&gt;=Projects!$C$44,X$3&lt;Projects!$C$44+Projects!$D$44),Projects!$B$44*INDEX(Curves!$B$4:$AR$4,1,X$3-Projects!$C$44+1),0)-IF(AND(Projects!$G$44="Yes",X$3&gt;=Projects!$C$44,X$3&lt;Projects!$C$44+Projects!$D$44),Projects!$B$44*(Assumptions!$B$10+Assumptions!$B$11+Assumptions!$B$12)/Projects!$D$44*0.95,0)-IF(AND(Projects!$G$44="Yes",X$3=Projects!$C$44+Projects!$D$44-1),Projects!$B$44*(Assumptions!$B$10+Assumptions!$B$11+Assumptions!$B$12)*0.05,0)</f>
        <v>0</v>
      </c>
      <c r="Y53" s="19" t="n">
        <f aca="false">IF(AND(Projects!$G$44="Yes",Y$3&gt;=Projects!$C$44,Y$3&lt;Projects!$C$44+Projects!$D$44),Projects!$B$44*INDEX(Curves!$B$4:$AR$4,1,Y$3-Projects!$C$44+1),0)-IF(AND(Projects!$G$44="Yes",Y$3&gt;=Projects!$C$44,Y$3&lt;Projects!$C$44+Projects!$D$44),Projects!$B$44*(Assumptions!$B$10+Assumptions!$B$11+Assumptions!$B$12)/Projects!$D$44*0.95,0)-IF(AND(Projects!$G$44="Yes",Y$3=Projects!$C$44+Projects!$D$44-1),Projects!$B$44*(Assumptions!$B$10+Assumptions!$B$11+Assumptions!$B$12)*0.05,0)</f>
        <v>0</v>
      </c>
      <c r="Z53" s="19" t="n">
        <f aca="false">IF(AND(Projects!$G$44="Yes",Z$3&gt;=Projects!$C$44,Z$3&lt;Projects!$C$44+Projects!$D$44),Projects!$B$44*INDEX(Curves!$B$4:$AR$4,1,Z$3-Projects!$C$44+1),0)-IF(AND(Projects!$G$44="Yes",Z$3&gt;=Projects!$C$44,Z$3&lt;Projects!$C$44+Projects!$D$44),Projects!$B$44*(Assumptions!$B$10+Assumptions!$B$11+Assumptions!$B$12)/Projects!$D$44*0.95,0)-IF(AND(Projects!$G$44="Yes",Z$3=Projects!$C$44+Projects!$D$44-1),Projects!$B$44*(Assumptions!$B$10+Assumptions!$B$11+Assumptions!$B$12)*0.05,0)</f>
        <v>0</v>
      </c>
      <c r="AA53" s="19" t="n">
        <f aca="false">IF(AND(Projects!$G$44="Yes",AA$3&gt;=Projects!$C$44,AA$3&lt;Projects!$C$44+Projects!$D$44),Projects!$B$44*INDEX(Curves!$B$4:$AR$4,1,AA$3-Projects!$C$44+1),0)-IF(AND(Projects!$G$44="Yes",AA$3&gt;=Projects!$C$44,AA$3&lt;Projects!$C$44+Projects!$D$44),Projects!$B$44*(Assumptions!$B$10+Assumptions!$B$11+Assumptions!$B$12)/Projects!$D$44*0.95,0)-IF(AND(Projects!$G$44="Yes",AA$3=Projects!$C$44+Projects!$D$44-1),Projects!$B$44*(Assumptions!$B$10+Assumptions!$B$11+Assumptions!$B$12)*0.05,0)</f>
        <v>0</v>
      </c>
      <c r="AB53" s="19" t="n">
        <f aca="false">IF(AND(Projects!$G$44="Yes",AB$3&gt;=Projects!$C$44,AB$3&lt;Projects!$C$44+Projects!$D$44),Projects!$B$44*INDEX(Curves!$B$4:$AR$4,1,AB$3-Projects!$C$44+1),0)-IF(AND(Projects!$G$44="Yes",AB$3&gt;=Projects!$C$44,AB$3&lt;Projects!$C$44+Projects!$D$44),Projects!$B$44*(Assumptions!$B$10+Assumptions!$B$11+Assumptions!$B$12)/Projects!$D$44*0.95,0)-IF(AND(Projects!$G$44="Yes",AB$3=Projects!$C$44+Projects!$D$44-1),Projects!$B$44*(Assumptions!$B$10+Assumptions!$B$11+Assumptions!$B$12)*0.05,0)</f>
        <v>0</v>
      </c>
      <c r="AC53" s="19" t="n">
        <f aca="false">IF(AND(Projects!$G$44="Yes",AC$3&gt;=Projects!$C$44,AC$3&lt;Projects!$C$44+Projects!$D$44),Projects!$B$44*INDEX(Curves!$B$4:$AR$4,1,AC$3-Projects!$C$44+1),0)-IF(AND(Projects!$G$44="Yes",AC$3&gt;=Projects!$C$44,AC$3&lt;Projects!$C$44+Projects!$D$44),Projects!$B$44*(Assumptions!$B$10+Assumptions!$B$11+Assumptions!$B$12)/Projects!$D$44*0.95,0)-IF(AND(Projects!$G$44="Yes",AC$3=Projects!$C$44+Projects!$D$44-1),Projects!$B$44*(Assumptions!$B$10+Assumptions!$B$11+Assumptions!$B$12)*0.05,0)</f>
        <v>0</v>
      </c>
      <c r="AD53" s="19" t="n">
        <f aca="false">IF(AND(Projects!$G$44="Yes",AD$3&gt;=Projects!$C$44,AD$3&lt;Projects!$C$44+Projects!$D$44),Projects!$B$44*INDEX(Curves!$B$4:$AR$4,1,AD$3-Projects!$C$44+1),0)-IF(AND(Projects!$G$44="Yes",AD$3&gt;=Projects!$C$44,AD$3&lt;Projects!$C$44+Projects!$D$44),Projects!$B$44*(Assumptions!$B$10+Assumptions!$B$11+Assumptions!$B$12)/Projects!$D$44*0.95,0)-IF(AND(Projects!$G$44="Yes",AD$3=Projects!$C$44+Projects!$D$44-1),Projects!$B$44*(Assumptions!$B$10+Assumptions!$B$11+Assumptions!$B$12)*0.05,0)</f>
        <v>0</v>
      </c>
      <c r="AE53" s="19" t="n">
        <f aca="false">IF(AND(Projects!$G$44="Yes",AE$3&gt;=Projects!$C$44,AE$3&lt;Projects!$C$44+Projects!$D$44),Projects!$B$44*INDEX(Curves!$B$4:$AR$4,1,AE$3-Projects!$C$44+1),0)-IF(AND(Projects!$G$44="Yes",AE$3&gt;=Projects!$C$44,AE$3&lt;Projects!$C$44+Projects!$D$44),Projects!$B$44*(Assumptions!$B$10+Assumptions!$B$11+Assumptions!$B$12)/Projects!$D$44*0.95,0)-IF(AND(Projects!$G$44="Yes",AE$3=Projects!$C$44+Projects!$D$44-1),Projects!$B$44*(Assumptions!$B$10+Assumptions!$B$11+Assumptions!$B$12)*0.05,0)</f>
        <v>0</v>
      </c>
      <c r="AF53" s="19" t="n">
        <f aca="false">IF(AND(Projects!$G$44="Yes",AF$3&gt;=Projects!$C$44,AF$3&lt;Projects!$C$44+Projects!$D$44),Projects!$B$44*INDEX(Curves!$B$4:$AR$4,1,AF$3-Projects!$C$44+1),0)-IF(AND(Projects!$G$44="Yes",AF$3&gt;=Projects!$C$44,AF$3&lt;Projects!$C$44+Projects!$D$44),Projects!$B$44*(Assumptions!$B$10+Assumptions!$B$11+Assumptions!$B$12)/Projects!$D$44*0.95,0)-IF(AND(Projects!$G$44="Yes",AF$3=Projects!$C$44+Projects!$D$44-1),Projects!$B$44*(Assumptions!$B$10+Assumptions!$B$11+Assumptions!$B$12)*0.05,0)</f>
        <v>0</v>
      </c>
      <c r="AG53" s="19" t="n">
        <f aca="false">IF(AND(Projects!$G$44="Yes",AG$3&gt;=Projects!$C$44,AG$3&lt;Projects!$C$44+Projects!$D$44),Projects!$B$44*INDEX(Curves!$B$4:$AR$4,1,AG$3-Projects!$C$44+1),0)-IF(AND(Projects!$G$44="Yes",AG$3&gt;=Projects!$C$44,AG$3&lt;Projects!$C$44+Projects!$D$44),Projects!$B$44*(Assumptions!$B$10+Assumptions!$B$11+Assumptions!$B$12)/Projects!$D$44*0.95,0)-IF(AND(Projects!$G$44="Yes",AG$3=Projects!$C$44+Projects!$D$44-1),Projects!$B$44*(Assumptions!$B$10+Assumptions!$B$11+Assumptions!$B$12)*0.05,0)</f>
        <v>0</v>
      </c>
      <c r="AH53" s="19" t="n">
        <f aca="false">IF(AND(Projects!$G$44="Yes",AH$3&gt;=Projects!$C$44,AH$3&lt;Projects!$C$44+Projects!$D$44),Projects!$B$44*INDEX(Curves!$B$4:$AR$4,1,AH$3-Projects!$C$44+1),0)-IF(AND(Projects!$G$44="Yes",AH$3&gt;=Projects!$C$44,AH$3&lt;Projects!$C$44+Projects!$D$44),Projects!$B$44*(Assumptions!$B$10+Assumptions!$B$11+Assumptions!$B$12)/Projects!$D$44*0.95,0)-IF(AND(Projects!$G$44="Yes",AH$3=Projects!$C$44+Projects!$D$44-1),Projects!$B$44*(Assumptions!$B$10+Assumptions!$B$11+Assumptions!$B$12)*0.05,0)</f>
        <v>0</v>
      </c>
      <c r="AI53" s="19" t="n">
        <f aca="false">IF(AND(Projects!$G$44="Yes",AI$3&gt;=Projects!$C$44,AI$3&lt;Projects!$C$44+Projects!$D$44),Projects!$B$44*INDEX(Curves!$B$4:$AR$4,1,AI$3-Projects!$C$44+1),0)-IF(AND(Projects!$G$44="Yes",AI$3&gt;=Projects!$C$44,AI$3&lt;Projects!$C$44+Projects!$D$44),Projects!$B$44*(Assumptions!$B$10+Assumptions!$B$11+Assumptions!$B$12)/Projects!$D$44*0.95,0)-IF(AND(Projects!$G$44="Yes",AI$3=Projects!$C$44+Projects!$D$44-1),Projects!$B$44*(Assumptions!$B$10+Assumptions!$B$11+Assumptions!$B$12)*0.05,0)</f>
        <v>0</v>
      </c>
      <c r="AJ53" s="19" t="n">
        <f aca="false">IF(AND(Projects!$G$44="Yes",AJ$3&gt;=Projects!$C$44,AJ$3&lt;Projects!$C$44+Projects!$D$44),Projects!$B$44*INDEX(Curves!$B$4:$AR$4,1,AJ$3-Projects!$C$44+1),0)-IF(AND(Projects!$G$44="Yes",AJ$3&gt;=Projects!$C$44,AJ$3&lt;Projects!$C$44+Projects!$D$44),Projects!$B$44*(Assumptions!$B$10+Assumptions!$B$11+Assumptions!$B$12)/Projects!$D$44*0.95,0)-IF(AND(Projects!$G$44="Yes",AJ$3=Projects!$C$44+Projects!$D$44-1),Projects!$B$44*(Assumptions!$B$10+Assumptions!$B$11+Assumptions!$B$12)*0.05,0)</f>
        <v>0</v>
      </c>
      <c r="AK53" s="19" t="n">
        <f aca="false">IF(AND(Projects!$G$44="Yes",AK$3&gt;=Projects!$C$44,AK$3&lt;Projects!$C$44+Projects!$D$44),Projects!$B$44*INDEX(Curves!$B$4:$AR$4,1,AK$3-Projects!$C$44+1),0)-IF(AND(Projects!$G$44="Yes",AK$3&gt;=Projects!$C$44,AK$3&lt;Projects!$C$44+Projects!$D$44),Projects!$B$44*(Assumptions!$B$10+Assumptions!$B$11+Assumptions!$B$12)/Projects!$D$44*0.95,0)-IF(AND(Projects!$G$44="Yes",AK$3=Projects!$C$44+Projects!$D$44-1),Projects!$B$44*(Assumptions!$B$10+Assumptions!$B$11+Assumptions!$B$12)*0.05,0)</f>
        <v>0</v>
      </c>
      <c r="AL53" s="19" t="n">
        <f aca="false">IF(AND(Projects!$G$44="Yes",AL$3&gt;=Projects!$C$44,AL$3&lt;Projects!$C$44+Projects!$D$44),Projects!$B$44*INDEX(Curves!$B$4:$AR$4,1,AL$3-Projects!$C$44+1),0)-IF(AND(Projects!$G$44="Yes",AL$3&gt;=Projects!$C$44,AL$3&lt;Projects!$C$44+Projects!$D$44),Projects!$B$44*(Assumptions!$B$10+Assumptions!$B$11+Assumptions!$B$12)/Projects!$D$44*0.95,0)-IF(AND(Projects!$G$44="Yes",AL$3=Projects!$C$44+Projects!$D$44-1),Projects!$B$44*(Assumptions!$B$10+Assumptions!$B$11+Assumptions!$B$12)*0.05,0)</f>
        <v>0</v>
      </c>
      <c r="AM53" s="19" t="n">
        <f aca="false">IF(AND(Projects!$G$44="Yes",AM$3&gt;=Projects!$C$44,AM$3&lt;Projects!$C$44+Projects!$D$44),Projects!$B$44*INDEX(Curves!$B$4:$AR$4,1,AM$3-Projects!$C$44+1),0)-IF(AND(Projects!$G$44="Yes",AM$3&gt;=Projects!$C$44,AM$3&lt;Projects!$C$44+Projects!$D$44),Projects!$B$44*(Assumptions!$B$10+Assumptions!$B$11+Assumptions!$B$12)/Projects!$D$44*0.95,0)-IF(AND(Projects!$G$44="Yes",AM$3=Projects!$C$44+Projects!$D$44-1),Projects!$B$44*(Assumptions!$B$10+Assumptions!$B$11+Assumptions!$B$12)*0.05,0)</f>
        <v>0</v>
      </c>
      <c r="AN53" s="19" t="n">
        <f aca="false">IF(AND(Projects!$G$44="Yes",AN$3&gt;=Projects!$C$44,AN$3&lt;Projects!$C$44+Projects!$D$44),Projects!$B$44*INDEX(Curves!$B$4:$AR$4,1,AN$3-Projects!$C$44+1),0)-IF(AND(Projects!$G$44="Yes",AN$3&gt;=Projects!$C$44,AN$3&lt;Projects!$C$44+Projects!$D$44),Projects!$B$44*(Assumptions!$B$10+Assumptions!$B$11+Assumptions!$B$12)/Projects!$D$44*0.95,0)-IF(AND(Projects!$G$44="Yes",AN$3=Projects!$C$44+Projects!$D$44-1),Projects!$B$44*(Assumptions!$B$10+Assumptions!$B$11+Assumptions!$B$12)*0.05,0)</f>
        <v>0</v>
      </c>
      <c r="AO53" s="19" t="n">
        <f aca="false">IF(AND(Projects!$G$44="Yes",AO$3&gt;=Projects!$C$44,AO$3&lt;Projects!$C$44+Projects!$D$44),Projects!$B$44*INDEX(Curves!$B$4:$AR$4,1,AO$3-Projects!$C$44+1),0)-IF(AND(Projects!$G$44="Yes",AO$3&gt;=Projects!$C$44,AO$3&lt;Projects!$C$44+Projects!$D$44),Projects!$B$44*(Assumptions!$B$10+Assumptions!$B$11+Assumptions!$B$12)/Projects!$D$44*0.95,0)-IF(AND(Projects!$G$44="Yes",AO$3=Projects!$C$44+Projects!$D$44-1),Projects!$B$44*(Assumptions!$B$10+Assumptions!$B$11+Assumptions!$B$12)*0.05,0)</f>
        <v>0</v>
      </c>
      <c r="AP53" s="19" t="n">
        <f aca="false">IF(AND(Projects!$G$44="Yes",AP$3&gt;=Projects!$C$44,AP$3&lt;Projects!$C$44+Projects!$D$44),Projects!$B$44*INDEX(Curves!$B$4:$AR$4,1,AP$3-Projects!$C$44+1),0)-IF(AND(Projects!$G$44="Yes",AP$3&gt;=Projects!$C$44,AP$3&lt;Projects!$C$44+Projects!$D$44),Projects!$B$44*(Assumptions!$B$10+Assumptions!$B$11+Assumptions!$B$12)/Projects!$D$44*0.95,0)-IF(AND(Projects!$G$44="Yes",AP$3=Projects!$C$44+Projects!$D$44-1),Projects!$B$44*(Assumptions!$B$10+Assumptions!$B$11+Assumptions!$B$12)*0.05,0)</f>
        <v>0</v>
      </c>
      <c r="AQ53" s="19" t="n">
        <f aca="false">IF(AND(Projects!$G$44="Yes",AQ$3&gt;=Projects!$C$44,AQ$3&lt;Projects!$C$44+Projects!$D$44),Projects!$B$44*INDEX(Curves!$B$4:$AR$4,1,AQ$3-Projects!$C$44+1),0)-IF(AND(Projects!$G$44="Yes",AQ$3&gt;=Projects!$C$44,AQ$3&lt;Projects!$C$44+Projects!$D$44),Projects!$B$44*(Assumptions!$B$10+Assumptions!$B$11+Assumptions!$B$12)/Projects!$D$44*0.95,0)-IF(AND(Projects!$G$44="Yes",AQ$3=Projects!$C$44+Projects!$D$44-1),Projects!$B$44*(Assumptions!$B$10+Assumptions!$B$11+Assumptions!$B$12)*0.05,0)</f>
        <v>0</v>
      </c>
      <c r="AR53" s="19" t="n">
        <f aca="false">IF(AND(Projects!$G$44="Yes",AR$3&gt;=Projects!$C$44,AR$3&lt;Projects!$C$44+Projects!$D$44),Projects!$B$44*INDEX(Curves!$B$4:$AR$4,1,AR$3-Projects!$C$44+1),0)-IF(AND(Projects!$G$44="Yes",AR$3&gt;=Projects!$C$44,AR$3&lt;Projects!$C$44+Projects!$D$44),Projects!$B$44*(Assumptions!$B$10+Assumptions!$B$11+Assumptions!$B$12)/Projects!$D$44*0.95,0)-IF(AND(Projects!$G$44="Yes",AR$3=Projects!$C$44+Projects!$D$44-1),Projects!$B$44*(Assumptions!$B$10+Assumptions!$B$11+Assumptions!$B$12)*0.05,0)</f>
        <v>0</v>
      </c>
      <c r="AS53" s="19" t="n">
        <f aca="false">IF(AND(Projects!$G$44="Yes",AS$3&gt;=Projects!$C$44,AS$3&lt;Projects!$C$44+Projects!$D$44),Projects!$B$44*INDEX(Curves!$B$4:$AR$4,1,AS$3-Projects!$C$44+1),0)-IF(AND(Projects!$G$44="Yes",AS$3&gt;=Projects!$C$44,AS$3&lt;Projects!$C$44+Projects!$D$44),Projects!$B$44*(Assumptions!$B$10+Assumptions!$B$11+Assumptions!$B$12)/Projects!$D$44*0.95,0)-IF(AND(Projects!$G$44="Yes",AS$3=Projects!$C$44+Projects!$D$44-1),Projects!$B$44*(Assumptions!$B$10+Assumptions!$B$11+Assumptions!$B$12)*0.05,0)</f>
        <v>0</v>
      </c>
      <c r="AT53" s="19" t="n">
        <f aca="false">IF(AND(Projects!$G$44="Yes",AT$3&gt;=Projects!$C$44,AT$3&lt;Projects!$C$44+Projects!$D$44),Projects!$B$44*INDEX(Curves!$B$4:$AR$4,1,AT$3-Projects!$C$44+1),0)-IF(AND(Projects!$G$44="Yes",AT$3&gt;=Projects!$C$44,AT$3&lt;Projects!$C$44+Projects!$D$44),Projects!$B$44*(Assumptions!$B$10+Assumptions!$B$11+Assumptions!$B$12)/Projects!$D$44*0.95,0)-IF(AND(Projects!$G$44="Yes",AT$3=Projects!$C$44+Projects!$D$44-1),Projects!$B$44*(Assumptions!$B$10+Assumptions!$B$11+Assumptions!$B$12)*0.05,0)</f>
        <v>0</v>
      </c>
      <c r="AU53" s="19" t="n">
        <f aca="false">IF(AND(Projects!$G$44="Yes",AU$3&gt;=Projects!$C$44,AU$3&lt;Projects!$C$44+Projects!$D$44),Projects!$B$44*INDEX(Curves!$B$4:$AR$4,1,AU$3-Projects!$C$44+1),0)-IF(AND(Projects!$G$44="Yes",AU$3&gt;=Projects!$C$44,AU$3&lt;Projects!$C$44+Projects!$D$44),Projects!$B$44*(Assumptions!$B$10+Assumptions!$B$11+Assumptions!$B$12)/Projects!$D$44*0.95,0)-IF(AND(Projects!$G$44="Yes",AU$3=Projects!$C$44+Projects!$D$44-1),Projects!$B$44*(Assumptions!$B$10+Assumptions!$B$11+Assumptions!$B$12)*0.05,0)</f>
        <v>0</v>
      </c>
      <c r="AV53" s="19" t="n">
        <f aca="false">IF(AND(Projects!$G$44="Yes",AV$3&gt;=Projects!$C$44,AV$3&lt;Projects!$C$44+Projects!$D$44),Projects!$B$44*INDEX(Curves!$B$4:$AR$4,1,AV$3-Projects!$C$44+1),0)-IF(AND(Projects!$G$44="Yes",AV$3&gt;=Projects!$C$44,AV$3&lt;Projects!$C$44+Projects!$D$44),Projects!$B$44*(Assumptions!$B$10+Assumptions!$B$11+Assumptions!$B$12)/Projects!$D$44*0.95,0)-IF(AND(Projects!$G$44="Yes",AV$3=Projects!$C$44+Projects!$D$44-1),Projects!$B$44*(Assumptions!$B$10+Assumptions!$B$11+Assumptions!$B$12)*0.05,0)</f>
        <v>0</v>
      </c>
      <c r="AW53" s="19" t="n">
        <f aca="false">IF(AND(Projects!$G$44="Yes",AW$3&gt;=Projects!$C$44,AW$3&lt;Projects!$C$44+Projects!$D$44),Projects!$B$44*INDEX(Curves!$B$4:$AR$4,1,AW$3-Projects!$C$44+1),0)-IF(AND(Projects!$G$44="Yes",AW$3&gt;=Projects!$C$44,AW$3&lt;Projects!$C$44+Projects!$D$44),Projects!$B$44*(Assumptions!$B$10+Assumptions!$B$11+Assumptions!$B$12)/Projects!$D$44*0.95,0)-IF(AND(Projects!$G$44="Yes",AW$3=Projects!$C$44+Projects!$D$44-1),Projects!$B$44*(Assumptions!$B$10+Assumptions!$B$11+Assumptions!$B$12)*0.05,0)</f>
        <v>0</v>
      </c>
      <c r="AX53" s="19" t="n">
        <f aca="false">IF(AND(Projects!$G$44="Yes",AX$3&gt;=Projects!$C$44,AX$3&lt;Projects!$C$44+Projects!$D$44),Projects!$B$44*INDEX(Curves!$B$4:$AR$4,1,AX$3-Projects!$C$44+1),0)-IF(AND(Projects!$G$44="Yes",AX$3&gt;=Projects!$C$44,AX$3&lt;Projects!$C$44+Projects!$D$44),Projects!$B$44*(Assumptions!$B$10+Assumptions!$B$11+Assumptions!$B$12)/Projects!$D$44*0.95,0)-IF(AND(Projects!$G$44="Yes",AX$3=Projects!$C$44+Projects!$D$44-1),Projects!$B$44*(Assumptions!$B$10+Assumptions!$B$11+Assumptions!$B$12)*0.05,0)</f>
        <v>0</v>
      </c>
      <c r="AY53" s="19" t="n">
        <f aca="false">IF(AND(Projects!$G$44="Yes",AY$3&gt;=Projects!$C$44,AY$3&lt;Projects!$C$44+Projects!$D$44),Projects!$B$44*INDEX(Curves!$B$4:$AR$4,1,AY$3-Projects!$C$44+1),0)-IF(AND(Projects!$G$44="Yes",AY$3&gt;=Projects!$C$44,AY$3&lt;Projects!$C$44+Projects!$D$44),Projects!$B$44*(Assumptions!$B$10+Assumptions!$B$11+Assumptions!$B$12)/Projects!$D$44*0.95,0)-IF(AND(Projects!$G$44="Yes",AY$3=Projects!$C$44+Projects!$D$44-1),Projects!$B$44*(Assumptions!$B$10+Assumptions!$B$11+Assumptions!$B$12)*0.05,0)</f>
        <v>0</v>
      </c>
      <c r="AZ53" s="19" t="n">
        <f aca="false">IF(AND(Projects!$G$44="Yes",AZ$3&gt;=Projects!$C$44,AZ$3&lt;Projects!$C$44+Projects!$D$44),Projects!$B$44*INDEX(Curves!$B$4:$AR$4,1,AZ$3-Projects!$C$44+1),0)-IF(AND(Projects!$G$44="Yes",AZ$3&gt;=Projects!$C$44,AZ$3&lt;Projects!$C$44+Projects!$D$44),Projects!$B$44*(Assumptions!$B$10+Assumptions!$B$11+Assumptions!$B$12)/Projects!$D$44*0.95,0)-IF(AND(Projects!$G$44="Yes",AZ$3=Projects!$C$44+Projects!$D$44-1),Projects!$B$44*(Assumptions!$B$10+Assumptions!$B$11+Assumptions!$B$12)*0.05,0)</f>
        <v>0</v>
      </c>
      <c r="BA53" s="19" t="n">
        <f aca="false">IF(AND(Projects!$G$44="Yes",BA$3&gt;=Projects!$C$44,BA$3&lt;Projects!$C$44+Projects!$D$44),Projects!$B$44*INDEX(Curves!$B$4:$AR$4,1,BA$3-Projects!$C$44+1),0)-IF(AND(Projects!$G$44="Yes",BA$3&gt;=Projects!$C$44,BA$3&lt;Projects!$C$44+Projects!$D$44),Projects!$B$44*(Assumptions!$B$10+Assumptions!$B$11+Assumptions!$B$12)/Projects!$D$44*0.95,0)-IF(AND(Projects!$G$44="Yes",BA$3=Projects!$C$44+Projects!$D$44-1),Projects!$B$44*(Assumptions!$B$10+Assumptions!$B$11+Assumptions!$B$12)*0.05,0)</f>
        <v>0</v>
      </c>
      <c r="BB53" s="19" t="n">
        <f aca="false">IF(AND(Projects!$G$44="Yes",BB$3&gt;=Projects!$C$44,BB$3&lt;Projects!$C$44+Projects!$D$44),Projects!$B$44*INDEX(Curves!$B$4:$AR$4,1,BB$3-Projects!$C$44+1),0)-IF(AND(Projects!$G$44="Yes",BB$3&gt;=Projects!$C$44,BB$3&lt;Projects!$C$44+Projects!$D$44),Projects!$B$44*(Assumptions!$B$10+Assumptions!$B$11+Assumptions!$B$12)/Projects!$D$44*0.95,0)-IF(AND(Projects!$G$44="Yes",BB$3=Projects!$C$44+Projects!$D$44-1),Projects!$B$44*(Assumptions!$B$10+Assumptions!$B$11+Assumptions!$B$12)*0.05,0)</f>
        <v>0</v>
      </c>
      <c r="BC53" s="19" t="n">
        <f aca="false">IF(AND(Projects!$G$44="Yes",BC$3&gt;=Projects!$C$44,BC$3&lt;Projects!$C$44+Projects!$D$44),Projects!$B$44*INDEX(Curves!$B$4:$AR$4,1,BC$3-Projects!$C$44+1),0)-IF(AND(Projects!$G$44="Yes",BC$3&gt;=Projects!$C$44,BC$3&lt;Projects!$C$44+Projects!$D$44),Projects!$B$44*(Assumptions!$B$10+Assumptions!$B$11+Assumptions!$B$12)/Projects!$D$44*0.95,0)-IF(AND(Projects!$G$44="Yes",BC$3=Projects!$C$44+Projects!$D$44-1),Projects!$B$44*(Assumptions!$B$10+Assumptions!$B$11+Assumptions!$B$12)*0.05,0)</f>
        <v>0</v>
      </c>
      <c r="BD53" s="19" t="n">
        <f aca="false">IF(AND(Projects!$G$44="Yes",BD$3&gt;=Projects!$C$44,BD$3&lt;Projects!$C$44+Projects!$D$44),Projects!$B$44*INDEX(Curves!$B$4:$AR$4,1,BD$3-Projects!$C$44+1),0)-IF(AND(Projects!$G$44="Yes",BD$3&gt;=Projects!$C$44,BD$3&lt;Projects!$C$44+Projects!$D$44),Projects!$B$44*(Assumptions!$B$10+Assumptions!$B$11+Assumptions!$B$12)/Projects!$D$44*0.95,0)-IF(AND(Projects!$G$44="Yes",BD$3=Projects!$C$44+Projects!$D$44-1),Projects!$B$44*(Assumptions!$B$10+Assumptions!$B$11+Assumptions!$B$12)*0.05,0)</f>
        <v>0</v>
      </c>
      <c r="BE53" s="19" t="n">
        <f aca="false">IF(AND(Projects!$G$44="Yes",BE$3&gt;=Projects!$C$44,BE$3&lt;Projects!$C$44+Projects!$D$44),Projects!$B$44*INDEX(Curves!$B$4:$AR$4,1,BE$3-Projects!$C$44+1),0)-IF(AND(Projects!$G$44="Yes",BE$3&gt;=Projects!$C$44,BE$3&lt;Projects!$C$44+Projects!$D$44),Projects!$B$44*(Assumptions!$B$10+Assumptions!$B$11+Assumptions!$B$12)/Projects!$D$44*0.95,0)-IF(AND(Projects!$G$44="Yes",BE$3=Projects!$C$44+Projects!$D$44-1),Projects!$B$44*(Assumptions!$B$10+Assumptions!$B$11+Assumptions!$B$12)*0.05,0)</f>
        <v>0</v>
      </c>
      <c r="BF53" s="19" t="n">
        <f aca="false">IF(AND(Projects!$G$44="Yes",BF$3&gt;=Projects!$C$44,BF$3&lt;Projects!$C$44+Projects!$D$44),Projects!$B$44*INDEX(Curves!$B$4:$AR$4,1,BF$3-Projects!$C$44+1),0)-IF(AND(Projects!$G$44="Yes",BF$3&gt;=Projects!$C$44,BF$3&lt;Projects!$C$44+Projects!$D$44),Projects!$B$44*(Assumptions!$B$10+Assumptions!$B$11+Assumptions!$B$12)/Projects!$D$44*0.95,0)-IF(AND(Projects!$G$44="Yes",BF$3=Projects!$C$44+Projects!$D$44-1),Projects!$B$44*(Assumptions!$B$10+Assumptions!$B$11+Assumptions!$B$12)*0.05,0)</f>
        <v>307461.75</v>
      </c>
      <c r="BG53" s="19" t="n">
        <f aca="false">IF(AND(Projects!$G$44="Yes",BG$3&gt;=Projects!$C$44,BG$3&lt;Projects!$C$44+Projects!$D$44),Projects!$B$44*INDEX(Curves!$B$4:$AR$4,1,BG$3-Projects!$C$44+1),0)-IF(AND(Projects!$G$44="Yes",BG$3&gt;=Projects!$C$44,BG$3&lt;Projects!$C$44+Projects!$D$44),Projects!$B$44*(Assumptions!$B$10+Assumptions!$B$11+Assumptions!$B$12)/Projects!$D$44*0.95,0)-IF(AND(Projects!$G$44="Yes",BG$3=Projects!$C$44+Projects!$D$44-1),Projects!$B$44*(Assumptions!$B$10+Assumptions!$B$11+Assumptions!$B$12)*0.05,0)</f>
        <v>401121.75</v>
      </c>
      <c r="BH53" s="19" t="n">
        <f aca="false">IF(AND(Projects!$G$44="Yes",BH$3&gt;=Projects!$C$44,BH$3&lt;Projects!$C$44+Projects!$D$44),Projects!$B$44*INDEX(Curves!$B$4:$AR$4,1,BH$3-Projects!$C$44+1),0)-IF(AND(Projects!$G$44="Yes",BH$3&gt;=Projects!$C$44,BH$3&lt;Projects!$C$44+Projects!$D$44),Projects!$B$44*(Assumptions!$B$10+Assumptions!$B$11+Assumptions!$B$12)/Projects!$D$44*0.95,0)-IF(AND(Projects!$G$44="Yes",BH$3=Projects!$C$44+Projects!$D$44-1),Projects!$B$44*(Assumptions!$B$10+Assumptions!$B$11+Assumptions!$B$12)*0.05,0)</f>
        <v>501936.75</v>
      </c>
      <c r="BI53" s="19" t="n">
        <f aca="false">IF(AND(Projects!$G$44="Yes",BI$3&gt;=Projects!$C$44,BI$3&lt;Projects!$C$44+Projects!$D$44),Projects!$B$44*INDEX(Curves!$B$4:$AR$4,1,BI$3-Projects!$C$44+1),0)-IF(AND(Projects!$G$44="Yes",BI$3&gt;=Projects!$C$44,BI$3&lt;Projects!$C$44+Projects!$D$44),Projects!$B$44*(Assumptions!$B$10+Assumptions!$B$11+Assumptions!$B$12)/Projects!$D$44*0.95,0)-IF(AND(Projects!$G$44="Yes",BI$3=Projects!$C$44+Projects!$D$44-1),Projects!$B$44*(Assumptions!$B$10+Assumptions!$B$11+Assumptions!$B$12)*0.05,0)</f>
        <v>605886.75</v>
      </c>
      <c r="BJ53" s="19" t="n">
        <f aca="false">IF(AND(Projects!$G$44="Yes",BJ$3&gt;=Projects!$C$44,BJ$3&lt;Projects!$C$44+Projects!$D$44),Projects!$B$44*INDEX(Curves!$B$4:$AR$4,1,BJ$3-Projects!$C$44+1),0)-IF(AND(Projects!$G$44="Yes",BJ$3&gt;=Projects!$C$44,BJ$3&lt;Projects!$C$44+Projects!$D$44),Projects!$B$44*(Assumptions!$B$10+Assumptions!$B$11+Assumptions!$B$12)/Projects!$D$44*0.95,0)-IF(AND(Projects!$G$44="Yes",BJ$3=Projects!$C$44+Projects!$D$44-1),Projects!$B$44*(Assumptions!$B$10+Assumptions!$B$11+Assumptions!$B$12)*0.05,0)</f>
        <v>707976.75</v>
      </c>
      <c r="BK53" s="19" t="n">
        <f aca="false">IF(AND(Projects!$G$44="Yes",BK$3&gt;=Projects!$C$44,BK$3&lt;Projects!$C$44+Projects!$D$44),Projects!$B$44*INDEX(Curves!$B$4:$AR$4,1,BK$3-Projects!$C$44+1),0)-IF(AND(Projects!$G$44="Yes",BK$3&gt;=Projects!$C$44,BK$3&lt;Projects!$C$44+Projects!$D$44),Projects!$B$44*(Assumptions!$B$10+Assumptions!$B$11+Assumptions!$B$12)/Projects!$D$44*0.95,0)-IF(AND(Projects!$G$44="Yes",BK$3=Projects!$C$44+Projects!$D$44-1),Projects!$B$44*(Assumptions!$B$10+Assumptions!$B$11+Assumptions!$B$12)*0.05,0)</f>
        <v>802536.75</v>
      </c>
      <c r="BL53" s="19" t="n">
        <f aca="false">IF(AND(Projects!$G$44="Yes",BL$3&gt;=Projects!$C$44,BL$3&lt;Projects!$C$44+Projects!$D$44),Projects!$B$44*INDEX(Curves!$B$4:$AR$4,1,BL$3-Projects!$C$44+1),0)-IF(AND(Projects!$G$44="Yes",BL$3&gt;=Projects!$C$44,BL$3&lt;Projects!$C$44+Projects!$D$44),Projects!$B$44*(Assumptions!$B$10+Assumptions!$B$11+Assumptions!$B$12)/Projects!$D$44*0.95,0)-IF(AND(Projects!$G$44="Yes",BL$3=Projects!$C$44+Projects!$D$44-1),Projects!$B$44*(Assumptions!$B$10+Assumptions!$B$11+Assumptions!$B$12)*0.05,0)</f>
        <v>883761.75</v>
      </c>
      <c r="BM53" s="19" t="n">
        <f aca="false">IF(AND(Projects!$G$44="Yes",BM$3&gt;=Projects!$C$44,BM$3&lt;Projects!$C$44+Projects!$D$44),Projects!$B$44*INDEX(Curves!$B$4:$AR$4,1,BM$3-Projects!$C$44+1),0)-IF(AND(Projects!$G$44="Yes",BM$3&gt;=Projects!$C$44,BM$3&lt;Projects!$C$44+Projects!$D$44),Projects!$B$44*(Assumptions!$B$10+Assumptions!$B$11+Assumptions!$B$12)/Projects!$D$44*0.95,0)-IF(AND(Projects!$G$44="Yes",BM$3=Projects!$C$44+Projects!$D$44-1),Projects!$B$44*(Assumptions!$B$10+Assumptions!$B$11+Assumptions!$B$12)*0.05,0)</f>
        <v>946266.75</v>
      </c>
      <c r="BN53" s="19" t="n">
        <f aca="false">IF(AND(Projects!$G$44="Yes",BN$3&gt;=Projects!$C$44,BN$3&lt;Projects!$C$44+Projects!$D$44),Projects!$B$44*INDEX(Curves!$B$4:$AR$4,1,BN$3-Projects!$C$44+1),0)-IF(AND(Projects!$G$44="Yes",BN$3&gt;=Projects!$C$44,BN$3&lt;Projects!$C$44+Projects!$D$44),Projects!$B$44*(Assumptions!$B$10+Assumptions!$B$11+Assumptions!$B$12)/Projects!$D$44*0.95,0)-IF(AND(Projects!$G$44="Yes",BN$3=Projects!$C$44+Projects!$D$44-1),Projects!$B$44*(Assumptions!$B$10+Assumptions!$B$11+Assumptions!$B$12)*0.05,0)</f>
        <v>985686.75</v>
      </c>
      <c r="BO53" s="19" t="n">
        <f aca="false">IF(AND(Projects!$G$44="Yes",BO$3&gt;=Projects!$C$44,BO$3&lt;Projects!$C$44+Projects!$D$44),Projects!$B$44*INDEX(Curves!$B$4:$AR$4,1,BO$3-Projects!$C$44+1),0)-IF(AND(Projects!$G$44="Yes",BO$3&gt;=Projects!$C$44,BO$3&lt;Projects!$C$44+Projects!$D$44),Projects!$B$44*(Assumptions!$B$10+Assumptions!$B$11+Assumptions!$B$12)/Projects!$D$44*0.95,0)-IF(AND(Projects!$G$44="Yes",BO$3=Projects!$C$44+Projects!$D$44-1),Projects!$B$44*(Assumptions!$B$10+Assumptions!$B$11+Assumptions!$B$12)*0.05,0)</f>
        <v>999156.75</v>
      </c>
      <c r="BP53" s="19" t="n">
        <f aca="false">IF(AND(Projects!$G$44="Yes",BP$3&gt;=Projects!$C$44,BP$3&lt;Projects!$C$44+Projects!$D$44),Projects!$B$44*INDEX(Curves!$B$4:$AR$4,1,BP$3-Projects!$C$44+1),0)-IF(AND(Projects!$G$44="Yes",BP$3&gt;=Projects!$C$44,BP$3&lt;Projects!$C$44+Projects!$D$44),Projects!$B$44*(Assumptions!$B$10+Assumptions!$B$11+Assumptions!$B$12)/Projects!$D$44*0.95,0)-IF(AND(Projects!$G$44="Yes",BP$3=Projects!$C$44+Projects!$D$44-1),Projects!$B$44*(Assumptions!$B$10+Assumptions!$B$11+Assumptions!$B$12)*0.05,0)</f>
        <v>985686.75</v>
      </c>
      <c r="BQ53" s="19" t="n">
        <f aca="false">IF(AND(Projects!$G$44="Yes",BQ$3&gt;=Projects!$C$44,BQ$3&lt;Projects!$C$44+Projects!$D$44),Projects!$B$44*INDEX(Curves!$B$4:$AR$4,1,BQ$3-Projects!$C$44+1),0)-IF(AND(Projects!$G$44="Yes",BQ$3&gt;=Projects!$C$44,BQ$3&lt;Projects!$C$44+Projects!$D$44),Projects!$B$44*(Assumptions!$B$10+Assumptions!$B$11+Assumptions!$B$12)/Projects!$D$44*0.95,0)-IF(AND(Projects!$G$44="Yes",BQ$3=Projects!$C$44+Projects!$D$44-1),Projects!$B$44*(Assumptions!$B$10+Assumptions!$B$11+Assumptions!$B$12)*0.05,0)</f>
        <v>946266.75</v>
      </c>
      <c r="BR53" s="19" t="n">
        <f aca="false">IF(AND(Projects!$G$44="Yes",BR$3&gt;=Projects!$C$44,BR$3&lt;Projects!$C$44+Projects!$D$44),Projects!$B$44*INDEX(Curves!$B$4:$AR$4,1,BR$3-Projects!$C$44+1),0)-IF(AND(Projects!$G$44="Yes",BR$3&gt;=Projects!$C$44,BR$3&lt;Projects!$C$44+Projects!$D$44),Projects!$B$44*(Assumptions!$B$10+Assumptions!$B$11+Assumptions!$B$12)/Projects!$D$44*0.95,0)-IF(AND(Projects!$G$44="Yes",BR$3=Projects!$C$44+Projects!$D$44-1),Projects!$B$44*(Assumptions!$B$10+Assumptions!$B$11+Assumptions!$B$12)*0.05,0)</f>
        <v>883761.75</v>
      </c>
      <c r="BS53" s="19" t="n">
        <f aca="false">IF(AND(Projects!$G$44="Yes",BS$3&gt;=Projects!$C$44,BS$3&lt;Projects!$C$44+Projects!$D$44),Projects!$B$44*INDEX(Curves!$B$4:$AR$4,1,BS$3-Projects!$C$44+1),0)-IF(AND(Projects!$G$44="Yes",BS$3&gt;=Projects!$C$44,BS$3&lt;Projects!$C$44+Projects!$D$44),Projects!$B$44*(Assumptions!$B$10+Assumptions!$B$11+Assumptions!$B$12)/Projects!$D$44*0.95,0)-IF(AND(Projects!$G$44="Yes",BS$3=Projects!$C$44+Projects!$D$44-1),Projects!$B$44*(Assumptions!$B$10+Assumptions!$B$11+Assumptions!$B$12)*0.05,0)</f>
        <v>802536.75</v>
      </c>
      <c r="BT53" s="19" t="n">
        <f aca="false">IF(AND(Projects!$G$44="Yes",BT$3&gt;=Projects!$C$44,BT$3&lt;Projects!$C$44+Projects!$D$44),Projects!$B$44*INDEX(Curves!$B$4:$AR$4,1,BT$3-Projects!$C$44+1),0)-IF(AND(Projects!$G$44="Yes",BT$3&gt;=Projects!$C$44,BT$3&lt;Projects!$C$44+Projects!$D$44),Projects!$B$44*(Assumptions!$B$10+Assumptions!$B$11+Assumptions!$B$12)/Projects!$D$44*0.95,0)-IF(AND(Projects!$G$44="Yes",BT$3=Projects!$C$44+Projects!$D$44-1),Projects!$B$44*(Assumptions!$B$10+Assumptions!$B$11+Assumptions!$B$12)*0.05,0)</f>
        <v>707976.75</v>
      </c>
      <c r="BU53" s="19" t="n">
        <f aca="false">IF(AND(Projects!$G$44="Yes",BU$3&gt;=Projects!$C$44,BU$3&lt;Projects!$C$44+Projects!$D$44),Projects!$B$44*INDEX(Curves!$B$4:$AR$4,1,BU$3-Projects!$C$44+1),0)-IF(AND(Projects!$G$44="Yes",BU$3&gt;=Projects!$C$44,BU$3&lt;Projects!$C$44+Projects!$D$44),Projects!$B$44*(Assumptions!$B$10+Assumptions!$B$11+Assumptions!$B$12)/Projects!$D$44*0.95,0)-IF(AND(Projects!$G$44="Yes",BU$3=Projects!$C$44+Projects!$D$44-1),Projects!$B$44*(Assumptions!$B$10+Assumptions!$B$11+Assumptions!$B$12)*0.05,0)</f>
        <v>605886.75</v>
      </c>
      <c r="BV53" s="19" t="n">
        <f aca="false">IF(AND(Projects!$G$44="Yes",BV$3&gt;=Projects!$C$44,BV$3&lt;Projects!$C$44+Projects!$D$44),Projects!$B$44*INDEX(Curves!$B$4:$AR$4,1,BV$3-Projects!$C$44+1),0)-IF(AND(Projects!$G$44="Yes",BV$3&gt;=Projects!$C$44,BV$3&lt;Projects!$C$44+Projects!$D$44),Projects!$B$44*(Assumptions!$B$10+Assumptions!$B$11+Assumptions!$B$12)/Projects!$D$44*0.95,0)-IF(AND(Projects!$G$44="Yes",BV$3=Projects!$C$44+Projects!$D$44-1),Projects!$B$44*(Assumptions!$B$10+Assumptions!$B$11+Assumptions!$B$12)*0.05,0)</f>
        <v>501936.75</v>
      </c>
      <c r="BW53" s="19" t="n">
        <f aca="false">IF(AND(Projects!$G$44="Yes",BW$3&gt;=Projects!$C$44,BW$3&lt;Projects!$C$44+Projects!$D$44),Projects!$B$44*INDEX(Curves!$B$4:$AR$4,1,BW$3-Projects!$C$44+1),0)-IF(AND(Projects!$G$44="Yes",BW$3&gt;=Projects!$C$44,BW$3&lt;Projects!$C$44+Projects!$D$44),Projects!$B$44*(Assumptions!$B$10+Assumptions!$B$11+Assumptions!$B$12)/Projects!$D$44*0.95,0)-IF(AND(Projects!$G$44="Yes",BW$3=Projects!$C$44+Projects!$D$44-1),Projects!$B$44*(Assumptions!$B$10+Assumptions!$B$11+Assumptions!$B$12)*0.05,0)</f>
        <v>401121.75</v>
      </c>
      <c r="BX53" s="19" t="n">
        <f aca="false">IF(AND(Projects!$G$44="Yes",BX$3&gt;=Projects!$C$44,BX$3&lt;Projects!$C$44+Projects!$D$44),Projects!$B$44*INDEX(Curves!$B$4:$AR$4,1,BX$3-Projects!$C$44+1),0)-IF(AND(Projects!$G$44="Yes",BX$3&gt;=Projects!$C$44,BX$3&lt;Projects!$C$44+Projects!$D$44),Projects!$B$44*(Assumptions!$B$10+Assumptions!$B$11+Assumptions!$B$12)/Projects!$D$44*0.95,0)-IF(AND(Projects!$G$44="Yes",BX$3=Projects!$C$44+Projects!$D$44-1),Projects!$B$44*(Assumptions!$B$10+Assumptions!$B$11+Assumptions!$B$12)*0.05,0)</f>
        <v>217168.5</v>
      </c>
      <c r="BY53" s="19" t="n">
        <f aca="false">IF(AND(Projects!$G$44="Yes",BY$3&gt;=Projects!$C$44,BY$3&lt;Projects!$C$44+Projects!$D$44),Projects!$B$44*INDEX(Curves!$B$4:$AR$4,1,BY$3-Projects!$C$44+1),0)-IF(AND(Projects!$G$44="Yes",BY$3&gt;=Projects!$C$44,BY$3&lt;Projects!$C$44+Projects!$D$44),Projects!$B$44*(Assumptions!$B$10+Assumptions!$B$11+Assumptions!$B$12)/Projects!$D$44*0.95,0)-IF(AND(Projects!$G$44="Yes",BY$3=Projects!$C$44+Projects!$D$44-1),Projects!$B$44*(Assumptions!$B$10+Assumptions!$B$11+Assumptions!$B$12)*0.05,0)</f>
        <v>0</v>
      </c>
      <c r="BZ53" s="19" t="n">
        <f aca="false">IF(AND(Projects!$G$44="Yes",BZ$3&gt;=Projects!$C$44,BZ$3&lt;Projects!$C$44+Projects!$D$44),Projects!$B$44*INDEX(Curves!$B$4:$AR$4,1,BZ$3-Projects!$C$44+1),0)-IF(AND(Projects!$G$44="Yes",BZ$3&gt;=Projects!$C$44,BZ$3&lt;Projects!$C$44+Projects!$D$44),Projects!$B$44*(Assumptions!$B$10+Assumptions!$B$11+Assumptions!$B$12)/Projects!$D$44*0.95,0)-IF(AND(Projects!$G$44="Yes",BZ$3=Projects!$C$44+Projects!$D$44-1),Projects!$B$44*(Assumptions!$B$10+Assumptions!$B$11+Assumptions!$B$12)*0.05,0)</f>
        <v>0</v>
      </c>
      <c r="CA53" s="19" t="n">
        <f aca="false">IF(AND(Projects!$G$44="Yes",CA$3&gt;=Projects!$C$44,CA$3&lt;Projects!$C$44+Projects!$D$44),Projects!$B$44*INDEX(Curves!$B$4:$AR$4,1,CA$3-Projects!$C$44+1),0)-IF(AND(Projects!$G$44="Yes",CA$3&gt;=Projects!$C$44,CA$3&lt;Projects!$C$44+Projects!$D$44),Projects!$B$44*(Assumptions!$B$10+Assumptions!$B$11+Assumptions!$B$12)/Projects!$D$44*0.95,0)-IF(AND(Projects!$G$44="Yes",CA$3=Projects!$C$44+Projects!$D$44-1),Projects!$B$44*(Assumptions!$B$10+Assumptions!$B$11+Assumptions!$B$12)*0.05,0)</f>
        <v>0</v>
      </c>
      <c r="CB53" s="19" t="n">
        <f aca="false">IF(AND(Projects!$G$44="Yes",CB$3&gt;=Projects!$C$44,CB$3&lt;Projects!$C$44+Projects!$D$44),Projects!$B$44*INDEX(Curves!$B$4:$AR$4,1,CB$3-Projects!$C$44+1),0)-IF(AND(Projects!$G$44="Yes",CB$3&gt;=Projects!$C$44,CB$3&lt;Projects!$C$44+Projects!$D$44),Projects!$B$44*(Assumptions!$B$10+Assumptions!$B$11+Assumptions!$B$12)/Projects!$D$44*0.95,0)-IF(AND(Projects!$G$44="Yes",CB$3=Projects!$C$44+Projects!$D$44-1),Projects!$B$44*(Assumptions!$B$10+Assumptions!$B$11+Assumptions!$B$12)*0.05,0)</f>
        <v>0</v>
      </c>
      <c r="CC53" s="19" t="n">
        <f aca="false">IF(AND(Projects!$G$44="Yes",CC$3&gt;=Projects!$C$44,CC$3&lt;Projects!$C$44+Projects!$D$44),Projects!$B$44*INDEX(Curves!$B$4:$AR$4,1,CC$3-Projects!$C$44+1),0)-IF(AND(Projects!$G$44="Yes",CC$3&gt;=Projects!$C$44,CC$3&lt;Projects!$C$44+Projects!$D$44),Projects!$B$44*(Assumptions!$B$10+Assumptions!$B$11+Assumptions!$B$12)/Projects!$D$44*0.95,0)-IF(AND(Projects!$G$44="Yes",CC$3=Projects!$C$44+Projects!$D$44-1),Projects!$B$44*(Assumptions!$B$10+Assumptions!$B$11+Assumptions!$B$12)*0.05,0)</f>
        <v>0</v>
      </c>
      <c r="CD53" s="19" t="n">
        <f aca="false">IF(AND(Projects!$G$44="Yes",CD$3&gt;=Projects!$C$44,CD$3&lt;Projects!$C$44+Projects!$D$44),Projects!$B$44*INDEX(Curves!$B$4:$AR$4,1,CD$3-Projects!$C$44+1),0)-IF(AND(Projects!$G$44="Yes",CD$3&gt;=Projects!$C$44,CD$3&lt;Projects!$C$44+Projects!$D$44),Projects!$B$44*(Assumptions!$B$10+Assumptions!$B$11+Assumptions!$B$12)/Projects!$D$44*0.95,0)-IF(AND(Projects!$G$44="Yes",CD$3=Projects!$C$44+Projects!$D$44-1),Projects!$B$44*(Assumptions!$B$10+Assumptions!$B$11+Assumptions!$B$12)*0.05,0)</f>
        <v>0</v>
      </c>
      <c r="CE53" s="19" t="n">
        <f aca="false">IF(AND(Projects!$G$44="Yes",CE$3&gt;=Projects!$C$44,CE$3&lt;Projects!$C$44+Projects!$D$44),Projects!$B$44*INDEX(Curves!$B$4:$AR$4,1,CE$3-Projects!$C$44+1),0)-IF(AND(Projects!$G$44="Yes",CE$3&gt;=Projects!$C$44,CE$3&lt;Projects!$C$44+Projects!$D$44),Projects!$B$44*(Assumptions!$B$10+Assumptions!$B$11+Assumptions!$B$12)/Projects!$D$44*0.95,0)-IF(AND(Projects!$G$44="Yes",CE$3=Projects!$C$44+Projects!$D$44-1),Projects!$B$44*(Assumptions!$B$10+Assumptions!$B$11+Assumptions!$B$12)*0.05,0)</f>
        <v>0</v>
      </c>
      <c r="CF53" s="19" t="n">
        <f aca="false">IF(AND(Projects!$G$44="Yes",CF$3&gt;=Projects!$C$44,CF$3&lt;Projects!$C$44+Projects!$D$44),Projects!$B$44*INDEX(Curves!$B$4:$AR$4,1,CF$3-Projects!$C$44+1),0)-IF(AND(Projects!$G$44="Yes",CF$3&gt;=Projects!$C$44,CF$3&lt;Projects!$C$44+Projects!$D$44),Projects!$B$44*(Assumptions!$B$10+Assumptions!$B$11+Assumptions!$B$12)/Projects!$D$44*0.95,0)-IF(AND(Projects!$G$44="Yes",CF$3=Projects!$C$44+Projects!$D$44-1),Projects!$B$44*(Assumptions!$B$10+Assumptions!$B$11+Assumptions!$B$12)*0.05,0)</f>
        <v>0</v>
      </c>
      <c r="CG53" s="19" t="n">
        <f aca="false">IF(AND(Projects!$G$44="Yes",CG$3&gt;=Projects!$C$44,CG$3&lt;Projects!$C$44+Projects!$D$44),Projects!$B$44*INDEX(Curves!$B$4:$AR$4,1,CG$3-Projects!$C$44+1),0)-IF(AND(Projects!$G$44="Yes",CG$3&gt;=Projects!$C$44,CG$3&lt;Projects!$C$44+Projects!$D$44),Projects!$B$44*(Assumptions!$B$10+Assumptions!$B$11+Assumptions!$B$12)/Projects!$D$44*0.95,0)-IF(AND(Projects!$G$44="Yes",CG$3=Projects!$C$44+Projects!$D$44-1),Projects!$B$44*(Assumptions!$B$10+Assumptions!$B$11+Assumptions!$B$12)*0.05,0)</f>
        <v>0</v>
      </c>
      <c r="CH53" s="19" t="n">
        <f aca="false">IF(AND(Projects!$G$44="Yes",CH$3&gt;=Projects!$C$44,CH$3&lt;Projects!$C$44+Projects!$D$44),Projects!$B$44*INDEX(Curves!$B$4:$AR$4,1,CH$3-Projects!$C$44+1),0)-IF(AND(Projects!$G$44="Yes",CH$3&gt;=Projects!$C$44,CH$3&lt;Projects!$C$44+Projects!$D$44),Projects!$B$44*(Assumptions!$B$10+Assumptions!$B$11+Assumptions!$B$12)/Projects!$D$44*0.95,0)-IF(AND(Projects!$G$44="Yes",CH$3=Projects!$C$44+Projects!$D$44-1),Projects!$B$44*(Assumptions!$B$10+Assumptions!$B$11+Assumptions!$B$12)*0.05,0)</f>
        <v>0</v>
      </c>
      <c r="CI53" s="19" t="n">
        <f aca="false">IF(AND(Projects!$G$44="Yes",CI$3&gt;=Projects!$C$44,CI$3&lt;Projects!$C$44+Projects!$D$44),Projects!$B$44*INDEX(Curves!$B$4:$AR$4,1,CI$3-Projects!$C$44+1),0)-IF(AND(Projects!$G$44="Yes",CI$3&gt;=Projects!$C$44,CI$3&lt;Projects!$C$44+Projects!$D$44),Projects!$B$44*(Assumptions!$B$10+Assumptions!$B$11+Assumptions!$B$12)/Projects!$D$44*0.95,0)-IF(AND(Projects!$G$44="Yes",CI$3=Projects!$C$44+Projects!$D$44-1),Projects!$B$44*(Assumptions!$B$10+Assumptions!$B$11+Assumptions!$B$12)*0.05,0)</f>
        <v>0</v>
      </c>
      <c r="CJ53" s="19" t="n">
        <f aca="false">IF(AND(Projects!$G$44="Yes",CJ$3&gt;=Projects!$C$44,CJ$3&lt;Projects!$C$44+Projects!$D$44),Projects!$B$44*INDEX(Curves!$B$4:$AR$4,1,CJ$3-Projects!$C$44+1),0)-IF(AND(Projects!$G$44="Yes",CJ$3&gt;=Projects!$C$44,CJ$3&lt;Projects!$C$44+Projects!$D$44),Projects!$B$44*(Assumptions!$B$10+Assumptions!$B$11+Assumptions!$B$12)/Projects!$D$44*0.95,0)-IF(AND(Projects!$G$44="Yes",CJ$3=Projects!$C$44+Projects!$D$44-1),Projects!$B$44*(Assumptions!$B$10+Assumptions!$B$11+Assumptions!$B$12)*0.05,0)</f>
        <v>0</v>
      </c>
      <c r="CK53" s="19" t="n">
        <f aca="false">IF(AND(Projects!$G$44="Yes",CK$3&gt;=Projects!$C$44,CK$3&lt;Projects!$C$44+Projects!$D$44),Projects!$B$44*INDEX(Curves!$B$4:$AR$4,1,CK$3-Projects!$C$44+1),0)-IF(AND(Projects!$G$44="Yes",CK$3&gt;=Projects!$C$44,CK$3&lt;Projects!$C$44+Projects!$D$44),Projects!$B$44*(Assumptions!$B$10+Assumptions!$B$11+Assumptions!$B$12)/Projects!$D$44*0.95,0)-IF(AND(Projects!$G$44="Yes",CK$3=Projects!$C$44+Projects!$D$44-1),Projects!$B$44*(Assumptions!$B$10+Assumptions!$B$11+Assumptions!$B$12)*0.05,0)</f>
        <v>0</v>
      </c>
      <c r="CL53" s="19" t="n">
        <f aca="false">IF(AND(Projects!$G$44="Yes",CL$3&gt;=Projects!$C$44,CL$3&lt;Projects!$C$44+Projects!$D$44),Projects!$B$44*INDEX(Curves!$B$4:$AR$4,1,CL$3-Projects!$C$44+1),0)-IF(AND(Projects!$G$44="Yes",CL$3&gt;=Projects!$C$44,CL$3&lt;Projects!$C$44+Projects!$D$44),Projects!$B$44*(Assumptions!$B$10+Assumptions!$B$11+Assumptions!$B$12)/Projects!$D$44*0.95,0)-IF(AND(Projects!$G$44="Yes",CL$3=Projects!$C$44+Projects!$D$44-1),Projects!$B$44*(Assumptions!$B$10+Assumptions!$B$11+Assumptions!$B$12)*0.05,0)</f>
        <v>0</v>
      </c>
      <c r="CM53" s="19" t="n">
        <f aca="false">IF(AND(Projects!$G$44="Yes",CM$3&gt;=Projects!$C$44,CM$3&lt;Projects!$C$44+Projects!$D$44),Projects!$B$44*INDEX(Curves!$B$4:$AR$4,1,CM$3-Projects!$C$44+1),0)-IF(AND(Projects!$G$44="Yes",CM$3&gt;=Projects!$C$44,CM$3&lt;Projects!$C$44+Projects!$D$44),Projects!$B$44*(Assumptions!$B$10+Assumptions!$B$11+Assumptions!$B$12)/Projects!$D$44*0.95,0)-IF(AND(Projects!$G$44="Yes",CM$3=Projects!$C$44+Projects!$D$44-1),Projects!$B$44*(Assumptions!$B$10+Assumptions!$B$11+Assumptions!$B$12)*0.05,0)</f>
        <v>0</v>
      </c>
      <c r="CN53" s="19" t="n">
        <f aca="false">IF(AND(Projects!$G$44="Yes",CN$3&gt;=Projects!$C$44,CN$3&lt;Projects!$C$44+Projects!$D$44),Projects!$B$44*INDEX(Curves!$B$4:$AR$4,1,CN$3-Projects!$C$44+1),0)-IF(AND(Projects!$G$44="Yes",CN$3&gt;=Projects!$C$44,CN$3&lt;Projects!$C$44+Projects!$D$44),Projects!$B$44*(Assumptions!$B$10+Assumptions!$B$11+Assumptions!$B$12)/Projects!$D$44*0.95,0)-IF(AND(Projects!$G$44="Yes",CN$3=Projects!$C$44+Projects!$D$44-1),Projects!$B$44*(Assumptions!$B$10+Assumptions!$B$11+Assumptions!$B$12)*0.05,0)</f>
        <v>0</v>
      </c>
      <c r="CO53" s="19" t="n">
        <f aca="false">IF(AND(Projects!$G$44="Yes",CO$3&gt;=Projects!$C$44,CO$3&lt;Projects!$C$44+Projects!$D$44),Projects!$B$44*INDEX(Curves!$B$4:$AR$4,1,CO$3-Projects!$C$44+1),0)-IF(AND(Projects!$G$44="Yes",CO$3&gt;=Projects!$C$44,CO$3&lt;Projects!$C$44+Projects!$D$44),Projects!$B$44*(Assumptions!$B$10+Assumptions!$B$11+Assumptions!$B$12)/Projects!$D$44*0.95,0)-IF(AND(Projects!$G$44="Yes",CO$3=Projects!$C$44+Projects!$D$44-1),Projects!$B$44*(Assumptions!$B$10+Assumptions!$B$11+Assumptions!$B$12)*0.05,0)</f>
        <v>0</v>
      </c>
      <c r="CP53" s="19" t="n">
        <f aca="false">IF(AND(Projects!$G$44="Yes",CP$3&gt;=Projects!$C$44,CP$3&lt;Projects!$C$44+Projects!$D$44),Projects!$B$44*INDEX(Curves!$B$4:$AR$4,1,CP$3-Projects!$C$44+1),0)-IF(AND(Projects!$G$44="Yes",CP$3&gt;=Projects!$C$44,CP$3&lt;Projects!$C$44+Projects!$D$44),Projects!$B$44*(Assumptions!$B$10+Assumptions!$B$11+Assumptions!$B$12)/Projects!$D$44*0.95,0)-IF(AND(Projects!$G$44="Yes",CP$3=Projects!$C$44+Projects!$D$44-1),Projects!$B$44*(Assumptions!$B$10+Assumptions!$B$11+Assumptions!$B$12)*0.05,0)</f>
        <v>0</v>
      </c>
      <c r="CQ53" s="19" t="n">
        <f aca="false">IF(AND(Projects!$G$44="Yes",CQ$3&gt;=Projects!$C$44,CQ$3&lt;Projects!$C$44+Projects!$D$44),Projects!$B$44*INDEX(Curves!$B$4:$AR$4,1,CQ$3-Projects!$C$44+1),0)-IF(AND(Projects!$G$44="Yes",CQ$3&gt;=Projects!$C$44,CQ$3&lt;Projects!$C$44+Projects!$D$44),Projects!$B$44*(Assumptions!$B$10+Assumptions!$B$11+Assumptions!$B$12)/Projects!$D$44*0.95,0)-IF(AND(Projects!$G$44="Yes",CQ$3=Projects!$C$44+Projects!$D$44-1),Projects!$B$44*(Assumptions!$B$10+Assumptions!$B$11+Assumptions!$B$12)*0.05,0)</f>
        <v>0</v>
      </c>
      <c r="CR53" s="19" t="n">
        <f aca="false">IF(AND(Projects!$G$44="Yes",CR$3&gt;=Projects!$C$44,CR$3&lt;Projects!$C$44+Projects!$D$44),Projects!$B$44*INDEX(Curves!$B$4:$AR$4,1,CR$3-Projects!$C$44+1),0)-IF(AND(Projects!$G$44="Yes",CR$3&gt;=Projects!$C$44,CR$3&lt;Projects!$C$44+Projects!$D$44),Projects!$B$44*(Assumptions!$B$10+Assumptions!$B$11+Assumptions!$B$12)/Projects!$D$44*0.95,0)-IF(AND(Projects!$G$44="Yes",CR$3=Projects!$C$44+Projects!$D$44-1),Projects!$B$44*(Assumptions!$B$10+Assumptions!$B$11+Assumptions!$B$12)*0.05,0)</f>
        <v>0</v>
      </c>
      <c r="CS53" s="19" t="n">
        <f aca="false">IF(AND(Projects!$G$44="Yes",CS$3&gt;=Projects!$C$44,CS$3&lt;Projects!$C$44+Projects!$D$44),Projects!$B$44*INDEX(Curves!$B$4:$AR$4,1,CS$3-Projects!$C$44+1),0)-IF(AND(Projects!$G$44="Yes",CS$3&gt;=Projects!$C$44,CS$3&lt;Projects!$C$44+Projects!$D$44),Projects!$B$44*(Assumptions!$B$10+Assumptions!$B$11+Assumptions!$B$12)/Projects!$D$44*0.95,0)-IF(AND(Projects!$G$44="Yes",CS$3=Projects!$C$44+Projects!$D$44-1),Projects!$B$44*(Assumptions!$B$10+Assumptions!$B$11+Assumptions!$B$12)*0.05,0)</f>
        <v>0</v>
      </c>
      <c r="CT53" s="19" t="n">
        <f aca="false">IF(AND(Projects!$G$44="Yes",CT$3&gt;=Projects!$C$44,CT$3&lt;Projects!$C$44+Projects!$D$44),Projects!$B$44*INDEX(Curves!$B$4:$AR$4,1,CT$3-Projects!$C$44+1),0)-IF(AND(Projects!$G$44="Yes",CT$3&gt;=Projects!$C$44,CT$3&lt;Projects!$C$44+Projects!$D$44),Projects!$B$44*(Assumptions!$B$10+Assumptions!$B$11+Assumptions!$B$12)/Projects!$D$44*0.95,0)-IF(AND(Projects!$G$44="Yes",CT$3=Projects!$C$44+Projects!$D$44-1),Projects!$B$44*(Assumptions!$B$10+Assumptions!$B$11+Assumptions!$B$12)*0.05,0)</f>
        <v>0</v>
      </c>
      <c r="CU53" s="19" t="n">
        <f aca="false">IF(AND(Projects!$G$44="Yes",CU$3&gt;=Projects!$C$44,CU$3&lt;Projects!$C$44+Projects!$D$44),Projects!$B$44*INDEX(Curves!$B$4:$AR$4,1,CU$3-Projects!$C$44+1),0)-IF(AND(Projects!$G$44="Yes",CU$3&gt;=Projects!$C$44,CU$3&lt;Projects!$C$44+Projects!$D$44),Projects!$B$44*(Assumptions!$B$10+Assumptions!$B$11+Assumptions!$B$12)/Projects!$D$44*0.95,0)-IF(AND(Projects!$G$44="Yes",CU$3=Projects!$C$44+Projects!$D$44-1),Projects!$B$44*(Assumptions!$B$10+Assumptions!$B$11+Assumptions!$B$12)*0.05,0)</f>
        <v>0</v>
      </c>
      <c r="CV53" s="19" t="n">
        <f aca="false">IF(AND(Projects!$G$44="Yes",CV$3&gt;=Projects!$C$44,CV$3&lt;Projects!$C$44+Projects!$D$44),Projects!$B$44*INDEX(Curves!$B$4:$AR$4,1,CV$3-Projects!$C$44+1),0)-IF(AND(Projects!$G$44="Yes",CV$3&gt;=Projects!$C$44,CV$3&lt;Projects!$C$44+Projects!$D$44),Projects!$B$44*(Assumptions!$B$10+Assumptions!$B$11+Assumptions!$B$12)/Projects!$D$44*0.95,0)-IF(AND(Projects!$G$44="Yes",CV$3=Projects!$C$44+Projects!$D$44-1),Projects!$B$44*(Assumptions!$B$10+Assumptions!$B$11+Assumptions!$B$12)*0.05,0)</f>
        <v>0</v>
      </c>
      <c r="CW53" s="19" t="n">
        <f aca="false">IF(AND(Projects!$G$44="Yes",CW$3&gt;=Projects!$C$44,CW$3&lt;Projects!$C$44+Projects!$D$44),Projects!$B$44*INDEX(Curves!$B$4:$AR$4,1,CW$3-Projects!$C$44+1),0)-IF(AND(Projects!$G$44="Yes",CW$3&gt;=Projects!$C$44,CW$3&lt;Projects!$C$44+Projects!$D$44),Projects!$B$44*(Assumptions!$B$10+Assumptions!$B$11+Assumptions!$B$12)/Projects!$D$44*0.95,0)-IF(AND(Projects!$G$44="Yes",CW$3=Projects!$C$44+Projects!$D$44-1),Projects!$B$44*(Assumptions!$B$10+Assumptions!$B$11+Assumptions!$B$12)*0.05,0)</f>
        <v>0</v>
      </c>
      <c r="CX53" s="19" t="n">
        <f aca="false">IF(AND(Projects!$G$44="Yes",CX$3&gt;=Projects!$C$44,CX$3&lt;Projects!$C$44+Projects!$D$44),Projects!$B$44*INDEX(Curves!$B$4:$AR$4,1,CX$3-Projects!$C$44+1),0)-IF(AND(Projects!$G$44="Yes",CX$3&gt;=Projects!$C$44,CX$3&lt;Projects!$C$44+Projects!$D$44),Projects!$B$44*(Assumptions!$B$10+Assumptions!$B$11+Assumptions!$B$12)/Projects!$D$44*0.95,0)-IF(AND(Projects!$G$44="Yes",CX$3=Projects!$C$44+Projects!$D$44-1),Projects!$B$44*(Assumptions!$B$10+Assumptions!$B$11+Assumptions!$B$12)*0.05,0)</f>
        <v>0</v>
      </c>
      <c r="CY53" s="19" t="n">
        <f aca="false">IF(AND(Projects!$G$44="Yes",CY$3&gt;=Projects!$C$44,CY$3&lt;Projects!$C$44+Projects!$D$44),Projects!$B$44*INDEX(Curves!$B$4:$AR$4,1,CY$3-Projects!$C$44+1),0)-IF(AND(Projects!$G$44="Yes",CY$3&gt;=Projects!$C$44,CY$3&lt;Projects!$C$44+Projects!$D$44),Projects!$B$44*(Assumptions!$B$10+Assumptions!$B$11+Assumptions!$B$12)/Projects!$D$44*0.95,0)-IF(AND(Projects!$G$44="Yes",CY$3=Projects!$C$44+Projects!$D$44-1),Projects!$B$44*(Assumptions!$B$10+Assumptions!$B$11+Assumptions!$B$12)*0.05,0)</f>
        <v>0</v>
      </c>
      <c r="CZ53" s="19" t="n">
        <f aca="false">IF(AND(Projects!$G$44="Yes",CZ$3&gt;=Projects!$C$44,CZ$3&lt;Projects!$C$44+Projects!$D$44),Projects!$B$44*INDEX(Curves!$B$4:$AR$4,1,CZ$3-Projects!$C$44+1),0)-IF(AND(Projects!$G$44="Yes",CZ$3&gt;=Projects!$C$44,CZ$3&lt;Projects!$C$44+Projects!$D$44),Projects!$B$44*(Assumptions!$B$10+Assumptions!$B$11+Assumptions!$B$12)/Projects!$D$44*0.95,0)-IF(AND(Projects!$G$44="Yes",CZ$3=Projects!$C$44+Projects!$D$44-1),Projects!$B$44*(Assumptions!$B$10+Assumptions!$B$11+Assumptions!$B$12)*0.05,0)</f>
        <v>0</v>
      </c>
      <c r="DA53" s="19" t="n">
        <f aca="false">IF(AND(Projects!$G$44="Yes",DA$3&gt;=Projects!$C$44,DA$3&lt;Projects!$C$44+Projects!$D$44),Projects!$B$44*INDEX(Curves!$B$4:$AR$4,1,DA$3-Projects!$C$44+1),0)-IF(AND(Projects!$G$44="Yes",DA$3&gt;=Projects!$C$44,DA$3&lt;Projects!$C$44+Projects!$D$44),Projects!$B$44*(Assumptions!$B$10+Assumptions!$B$11+Assumptions!$B$12)/Projects!$D$44*0.95,0)-IF(AND(Projects!$G$44="Yes",DA$3=Projects!$C$44+Projects!$D$44-1),Projects!$B$44*(Assumptions!$B$10+Assumptions!$B$11+Assumptions!$B$12)*0.05,0)</f>
        <v>0</v>
      </c>
      <c r="DB53" s="19" t="n">
        <f aca="false">IF(AND(Projects!$G$44="Yes",DB$3&gt;=Projects!$C$44,DB$3&lt;Projects!$C$44+Projects!$D$44),Projects!$B$44*INDEX(Curves!$B$4:$AR$4,1,DB$3-Projects!$C$44+1),0)-IF(AND(Projects!$G$44="Yes",DB$3&gt;=Projects!$C$44,DB$3&lt;Projects!$C$44+Projects!$D$44),Projects!$B$44*(Assumptions!$B$10+Assumptions!$B$11+Assumptions!$B$12)/Projects!$D$44*0.95,0)-IF(AND(Projects!$G$44="Yes",DB$3=Projects!$C$44+Projects!$D$44-1),Projects!$B$44*(Assumptions!$B$10+Assumptions!$B$11+Assumptions!$B$12)*0.05,0)</f>
        <v>0</v>
      </c>
      <c r="DC53" s="19" t="n">
        <f aca="false">IF(AND(Projects!$G$44="Yes",DC$3&gt;=Projects!$C$44,DC$3&lt;Projects!$C$44+Projects!$D$44),Projects!$B$44*INDEX(Curves!$B$4:$AR$4,1,DC$3-Projects!$C$44+1),0)-IF(AND(Projects!$G$44="Yes",DC$3&gt;=Projects!$C$44,DC$3&lt;Projects!$C$44+Projects!$D$44),Projects!$B$44*(Assumptions!$B$10+Assumptions!$B$11+Assumptions!$B$12)/Projects!$D$44*0.95,0)-IF(AND(Projects!$G$44="Yes",DC$3=Projects!$C$44+Projects!$D$44-1),Projects!$B$44*(Assumptions!$B$10+Assumptions!$B$11+Assumptions!$B$12)*0.05,0)</f>
        <v>0</v>
      </c>
      <c r="DD53" s="19" t="n">
        <f aca="false">IF(AND(Projects!$G$44="Yes",DD$3&gt;=Projects!$C$44,DD$3&lt;Projects!$C$44+Projects!$D$44),Projects!$B$44*INDEX(Curves!$B$4:$AR$4,1,DD$3-Projects!$C$44+1),0)-IF(AND(Projects!$G$44="Yes",DD$3&gt;=Projects!$C$44,DD$3&lt;Projects!$C$44+Projects!$D$44),Projects!$B$44*(Assumptions!$B$10+Assumptions!$B$11+Assumptions!$B$12)/Projects!$D$44*0.95,0)-IF(AND(Projects!$G$44="Yes",DD$3=Projects!$C$44+Projects!$D$44-1),Projects!$B$44*(Assumptions!$B$10+Assumptions!$B$11+Assumptions!$B$12)*0.05,0)</f>
        <v>0</v>
      </c>
      <c r="DE53" s="19" t="n">
        <f aca="false">IF(AND(Projects!$G$44="Yes",DE$3&gt;=Projects!$C$44,DE$3&lt;Projects!$C$44+Projects!$D$44),Projects!$B$44*INDEX(Curves!$B$4:$AR$4,1,DE$3-Projects!$C$44+1),0)-IF(AND(Projects!$G$44="Yes",DE$3&gt;=Projects!$C$44,DE$3&lt;Projects!$C$44+Projects!$D$44),Projects!$B$44*(Assumptions!$B$10+Assumptions!$B$11+Assumptions!$B$12)/Projects!$D$44*0.95,0)-IF(AND(Projects!$G$44="Yes",DE$3=Projects!$C$44+Projects!$D$44-1),Projects!$B$44*(Assumptions!$B$10+Assumptions!$B$11+Assumptions!$B$12)*0.05,0)</f>
        <v>0</v>
      </c>
    </row>
    <row r="54" customFormat="false" ht="15" hidden="true" customHeight="true" outlineLevel="1" collapsed="false">
      <c r="A54" s="28" t="s">
        <v>48</v>
      </c>
      <c r="B54" s="19" t="n">
        <v>0</v>
      </c>
      <c r="C54" s="19" t="n">
        <v>0</v>
      </c>
      <c r="D54" s="19" t="n">
        <v>0</v>
      </c>
      <c r="E54" s="19" t="n">
        <v>0</v>
      </c>
      <c r="F54" s="19" t="n">
        <f aca="false">IF(AND(Projects!$G$45="Yes",F$3&gt;=Projects!$C$45,F$3&lt;Projects!$C$45+Projects!$D$45),Projects!$B$45*INDEX(Curves!$B$4:$AR$4,1,F$3-Projects!$C$45+1),0)-IF(AND(Projects!$G$45="Yes",F$3&gt;=Projects!$C$45,F$3&lt;Projects!$C$45+Projects!$D$45),Projects!$B$45*(Assumptions!$B$10+Assumptions!$B$11+Assumptions!$B$12)/Projects!$D$45*0.95,0)-IF(AND(Projects!$G$45="Yes",F$3=Projects!$C$45+Projects!$D$45-1),Projects!$B$45*(Assumptions!$B$10+Assumptions!$B$11+Assumptions!$B$12)*0.05,0)</f>
        <v>0</v>
      </c>
      <c r="G54" s="19" t="n">
        <f aca="false">IF(AND(Projects!$G$45="Yes",G$3&gt;=Projects!$C$45,G$3&lt;Projects!$C$45+Projects!$D$45),Projects!$B$45*INDEX(Curves!$B$4:$AR$4,1,G$3-Projects!$C$45+1),0)-IF(AND(Projects!$G$45="Yes",G$3&gt;=Projects!$C$45,G$3&lt;Projects!$C$45+Projects!$D$45),Projects!$B$45*(Assumptions!$B$10+Assumptions!$B$11+Assumptions!$B$12)/Projects!$D$45*0.95,0)-IF(AND(Projects!$G$45="Yes",G$3=Projects!$C$45+Projects!$D$45-1),Projects!$B$45*(Assumptions!$B$10+Assumptions!$B$11+Assumptions!$B$12)*0.05,0)</f>
        <v>0</v>
      </c>
      <c r="H54" s="19" t="n">
        <f aca="false">IF(AND(Projects!$G$45="Yes",H$3&gt;=Projects!$C$45,H$3&lt;Projects!$C$45+Projects!$D$45),Projects!$B$45*INDEX(Curves!$B$4:$AR$4,1,H$3-Projects!$C$45+1),0)-IF(AND(Projects!$G$45="Yes",H$3&gt;=Projects!$C$45,H$3&lt;Projects!$C$45+Projects!$D$45),Projects!$B$45*(Assumptions!$B$10+Assumptions!$B$11+Assumptions!$B$12)/Projects!$D$45*0.95,0)-IF(AND(Projects!$G$45="Yes",H$3=Projects!$C$45+Projects!$D$45-1),Projects!$B$45*(Assumptions!$B$10+Assumptions!$B$11+Assumptions!$B$12)*0.05,0)</f>
        <v>0</v>
      </c>
      <c r="I54" s="19" t="n">
        <f aca="false">IF(AND(Projects!$G$45="Yes",I$3&gt;=Projects!$C$45,I$3&lt;Projects!$C$45+Projects!$D$45),Projects!$B$45*INDEX(Curves!$B$4:$AR$4,1,I$3-Projects!$C$45+1),0)-IF(AND(Projects!$G$45="Yes",I$3&gt;=Projects!$C$45,I$3&lt;Projects!$C$45+Projects!$D$45),Projects!$B$45*(Assumptions!$B$10+Assumptions!$B$11+Assumptions!$B$12)/Projects!$D$45*0.95,0)-IF(AND(Projects!$G$45="Yes",I$3=Projects!$C$45+Projects!$D$45-1),Projects!$B$45*(Assumptions!$B$10+Assumptions!$B$11+Assumptions!$B$12)*0.05,0)</f>
        <v>0</v>
      </c>
      <c r="J54" s="19" t="n">
        <f aca="false">IF(AND(Projects!$G$45="Yes",J$3&gt;=Projects!$C$45,J$3&lt;Projects!$C$45+Projects!$D$45),Projects!$B$45*INDEX(Curves!$B$4:$AR$4,1,J$3-Projects!$C$45+1),0)-IF(AND(Projects!$G$45="Yes",J$3&gt;=Projects!$C$45,J$3&lt;Projects!$C$45+Projects!$D$45),Projects!$B$45*(Assumptions!$B$10+Assumptions!$B$11+Assumptions!$B$12)/Projects!$D$45*0.95,0)-IF(AND(Projects!$G$45="Yes",J$3=Projects!$C$45+Projects!$D$45-1),Projects!$B$45*(Assumptions!$B$10+Assumptions!$B$11+Assumptions!$B$12)*0.05,0)</f>
        <v>0</v>
      </c>
      <c r="K54" s="19" t="n">
        <f aca="false">IF(AND(Projects!$G$45="Yes",K$3&gt;=Projects!$C$45,K$3&lt;Projects!$C$45+Projects!$D$45),Projects!$B$45*INDEX(Curves!$B$4:$AR$4,1,K$3-Projects!$C$45+1),0)-IF(AND(Projects!$G$45="Yes",K$3&gt;=Projects!$C$45,K$3&lt;Projects!$C$45+Projects!$D$45),Projects!$B$45*(Assumptions!$B$10+Assumptions!$B$11+Assumptions!$B$12)/Projects!$D$45*0.95,0)-IF(AND(Projects!$G$45="Yes",K$3=Projects!$C$45+Projects!$D$45-1),Projects!$B$45*(Assumptions!$B$10+Assumptions!$B$11+Assumptions!$B$12)*0.05,0)</f>
        <v>0</v>
      </c>
      <c r="L54" s="19" t="n">
        <f aca="false">IF(AND(Projects!$G$45="Yes",L$3&gt;=Projects!$C$45,L$3&lt;Projects!$C$45+Projects!$D$45),Projects!$B$45*INDEX(Curves!$B$4:$AR$4,1,L$3-Projects!$C$45+1),0)-IF(AND(Projects!$G$45="Yes",L$3&gt;=Projects!$C$45,L$3&lt;Projects!$C$45+Projects!$D$45),Projects!$B$45*(Assumptions!$B$10+Assumptions!$B$11+Assumptions!$B$12)/Projects!$D$45*0.95,0)-IF(AND(Projects!$G$45="Yes",L$3=Projects!$C$45+Projects!$D$45-1),Projects!$B$45*(Assumptions!$B$10+Assumptions!$B$11+Assumptions!$B$12)*0.05,0)</f>
        <v>0</v>
      </c>
      <c r="M54" s="19" t="n">
        <f aca="false">IF(AND(Projects!$G$45="Yes",M$3&gt;=Projects!$C$45,M$3&lt;Projects!$C$45+Projects!$D$45),Projects!$B$45*INDEX(Curves!$B$4:$AR$4,1,M$3-Projects!$C$45+1),0)-IF(AND(Projects!$G$45="Yes",M$3&gt;=Projects!$C$45,M$3&lt;Projects!$C$45+Projects!$D$45),Projects!$B$45*(Assumptions!$B$10+Assumptions!$B$11+Assumptions!$B$12)/Projects!$D$45*0.95,0)-IF(AND(Projects!$G$45="Yes",M$3=Projects!$C$45+Projects!$D$45-1),Projects!$B$45*(Assumptions!$B$10+Assumptions!$B$11+Assumptions!$B$12)*0.05,0)</f>
        <v>0</v>
      </c>
      <c r="N54" s="19" t="n">
        <f aca="false">IF(AND(Projects!$G$45="Yes",N$3&gt;=Projects!$C$45,N$3&lt;Projects!$C$45+Projects!$D$45),Projects!$B$45*INDEX(Curves!$B$4:$AR$4,1,N$3-Projects!$C$45+1),0)-IF(AND(Projects!$G$45="Yes",N$3&gt;=Projects!$C$45,N$3&lt;Projects!$C$45+Projects!$D$45),Projects!$B$45*(Assumptions!$B$10+Assumptions!$B$11+Assumptions!$B$12)/Projects!$D$45*0.95,0)-IF(AND(Projects!$G$45="Yes",N$3=Projects!$C$45+Projects!$D$45-1),Projects!$B$45*(Assumptions!$B$10+Assumptions!$B$11+Assumptions!$B$12)*0.05,0)</f>
        <v>0</v>
      </c>
      <c r="O54" s="19" t="n">
        <f aca="false">IF(AND(Projects!$G$45="Yes",O$3&gt;=Projects!$C$45,O$3&lt;Projects!$C$45+Projects!$D$45),Projects!$B$45*INDEX(Curves!$B$4:$AR$4,1,O$3-Projects!$C$45+1),0)-IF(AND(Projects!$G$45="Yes",O$3&gt;=Projects!$C$45,O$3&lt;Projects!$C$45+Projects!$D$45),Projects!$B$45*(Assumptions!$B$10+Assumptions!$B$11+Assumptions!$B$12)/Projects!$D$45*0.95,0)-IF(AND(Projects!$G$45="Yes",O$3=Projects!$C$45+Projects!$D$45-1),Projects!$B$45*(Assumptions!$B$10+Assumptions!$B$11+Assumptions!$B$12)*0.05,0)</f>
        <v>0</v>
      </c>
      <c r="P54" s="19" t="n">
        <f aca="false">IF(AND(Projects!$G$45="Yes",P$3&gt;=Projects!$C$45,P$3&lt;Projects!$C$45+Projects!$D$45),Projects!$B$45*INDEX(Curves!$B$4:$AR$4,1,P$3-Projects!$C$45+1),0)-IF(AND(Projects!$G$45="Yes",P$3&gt;=Projects!$C$45,P$3&lt;Projects!$C$45+Projects!$D$45),Projects!$B$45*(Assumptions!$B$10+Assumptions!$B$11+Assumptions!$B$12)/Projects!$D$45*0.95,0)-IF(AND(Projects!$G$45="Yes",P$3=Projects!$C$45+Projects!$D$45-1),Projects!$B$45*(Assumptions!$B$10+Assumptions!$B$11+Assumptions!$B$12)*0.05,0)</f>
        <v>0</v>
      </c>
      <c r="Q54" s="19" t="n">
        <f aca="false">IF(AND(Projects!$G$45="Yes",Q$3&gt;=Projects!$C$45,Q$3&lt;Projects!$C$45+Projects!$D$45),Projects!$B$45*INDEX(Curves!$B$4:$AR$4,1,Q$3-Projects!$C$45+1),0)-IF(AND(Projects!$G$45="Yes",Q$3&gt;=Projects!$C$45,Q$3&lt;Projects!$C$45+Projects!$D$45),Projects!$B$45*(Assumptions!$B$10+Assumptions!$B$11+Assumptions!$B$12)/Projects!$D$45*0.95,0)-IF(AND(Projects!$G$45="Yes",Q$3=Projects!$C$45+Projects!$D$45-1),Projects!$B$45*(Assumptions!$B$10+Assumptions!$B$11+Assumptions!$B$12)*0.05,0)</f>
        <v>0</v>
      </c>
      <c r="R54" s="19" t="n">
        <f aca="false">IF(AND(Projects!$G$45="Yes",R$3&gt;=Projects!$C$45,R$3&lt;Projects!$C$45+Projects!$D$45),Projects!$B$45*INDEX(Curves!$B$4:$AR$4,1,R$3-Projects!$C$45+1),0)-IF(AND(Projects!$G$45="Yes",R$3&gt;=Projects!$C$45,R$3&lt;Projects!$C$45+Projects!$D$45),Projects!$B$45*(Assumptions!$B$10+Assumptions!$B$11+Assumptions!$B$12)/Projects!$D$45*0.95,0)-IF(AND(Projects!$G$45="Yes",R$3=Projects!$C$45+Projects!$D$45-1),Projects!$B$45*(Assumptions!$B$10+Assumptions!$B$11+Assumptions!$B$12)*0.05,0)</f>
        <v>0</v>
      </c>
      <c r="S54" s="19" t="n">
        <f aca="false">IF(AND(Projects!$G$45="Yes",S$3&gt;=Projects!$C$45,S$3&lt;Projects!$C$45+Projects!$D$45),Projects!$B$45*INDEX(Curves!$B$4:$AR$4,1,S$3-Projects!$C$45+1),0)-IF(AND(Projects!$G$45="Yes",S$3&gt;=Projects!$C$45,S$3&lt;Projects!$C$45+Projects!$D$45),Projects!$B$45*(Assumptions!$B$10+Assumptions!$B$11+Assumptions!$B$12)/Projects!$D$45*0.95,0)-IF(AND(Projects!$G$45="Yes",S$3=Projects!$C$45+Projects!$D$45-1),Projects!$B$45*(Assumptions!$B$10+Assumptions!$B$11+Assumptions!$B$12)*0.05,0)</f>
        <v>0</v>
      </c>
      <c r="T54" s="19" t="n">
        <f aca="false">IF(AND(Projects!$G$45="Yes",T$3&gt;=Projects!$C$45,T$3&lt;Projects!$C$45+Projects!$D$45),Projects!$B$45*INDEX(Curves!$B$4:$AR$4,1,T$3-Projects!$C$45+1),0)-IF(AND(Projects!$G$45="Yes",T$3&gt;=Projects!$C$45,T$3&lt;Projects!$C$45+Projects!$D$45),Projects!$B$45*(Assumptions!$B$10+Assumptions!$B$11+Assumptions!$B$12)/Projects!$D$45*0.95,0)-IF(AND(Projects!$G$45="Yes",T$3=Projects!$C$45+Projects!$D$45-1),Projects!$B$45*(Assumptions!$B$10+Assumptions!$B$11+Assumptions!$B$12)*0.05,0)</f>
        <v>0</v>
      </c>
      <c r="U54" s="19" t="n">
        <f aca="false">IF(AND(Projects!$G$45="Yes",U$3&gt;=Projects!$C$45,U$3&lt;Projects!$C$45+Projects!$D$45),Projects!$B$45*INDEX(Curves!$B$4:$AR$4,1,U$3-Projects!$C$45+1),0)-IF(AND(Projects!$G$45="Yes",U$3&gt;=Projects!$C$45,U$3&lt;Projects!$C$45+Projects!$D$45),Projects!$B$45*(Assumptions!$B$10+Assumptions!$B$11+Assumptions!$B$12)/Projects!$D$45*0.95,0)-IF(AND(Projects!$G$45="Yes",U$3=Projects!$C$45+Projects!$D$45-1),Projects!$B$45*(Assumptions!$B$10+Assumptions!$B$11+Assumptions!$B$12)*0.05,0)</f>
        <v>0</v>
      </c>
      <c r="V54" s="19" t="n">
        <f aca="false">IF(AND(Projects!$G$45="Yes",V$3&gt;=Projects!$C$45,V$3&lt;Projects!$C$45+Projects!$D$45),Projects!$B$45*INDEX(Curves!$B$4:$AR$4,1,V$3-Projects!$C$45+1),0)-IF(AND(Projects!$G$45="Yes",V$3&gt;=Projects!$C$45,V$3&lt;Projects!$C$45+Projects!$D$45),Projects!$B$45*(Assumptions!$B$10+Assumptions!$B$11+Assumptions!$B$12)/Projects!$D$45*0.95,0)-IF(AND(Projects!$G$45="Yes",V$3=Projects!$C$45+Projects!$D$45-1),Projects!$B$45*(Assumptions!$B$10+Assumptions!$B$11+Assumptions!$B$12)*0.05,0)</f>
        <v>0</v>
      </c>
      <c r="W54" s="19" t="n">
        <f aca="false">IF(AND(Projects!$G$45="Yes",W$3&gt;=Projects!$C$45,W$3&lt;Projects!$C$45+Projects!$D$45),Projects!$B$45*INDEX(Curves!$B$4:$AR$4,1,W$3-Projects!$C$45+1),0)-IF(AND(Projects!$G$45="Yes",W$3&gt;=Projects!$C$45,W$3&lt;Projects!$C$45+Projects!$D$45),Projects!$B$45*(Assumptions!$B$10+Assumptions!$B$11+Assumptions!$B$12)/Projects!$D$45*0.95,0)-IF(AND(Projects!$G$45="Yes",W$3=Projects!$C$45+Projects!$D$45-1),Projects!$B$45*(Assumptions!$B$10+Assumptions!$B$11+Assumptions!$B$12)*0.05,0)</f>
        <v>0</v>
      </c>
      <c r="X54" s="19" t="n">
        <f aca="false">IF(AND(Projects!$G$45="Yes",X$3&gt;=Projects!$C$45,X$3&lt;Projects!$C$45+Projects!$D$45),Projects!$B$45*INDEX(Curves!$B$4:$AR$4,1,X$3-Projects!$C$45+1),0)-IF(AND(Projects!$G$45="Yes",X$3&gt;=Projects!$C$45,X$3&lt;Projects!$C$45+Projects!$D$45),Projects!$B$45*(Assumptions!$B$10+Assumptions!$B$11+Assumptions!$B$12)/Projects!$D$45*0.95,0)-IF(AND(Projects!$G$45="Yes",X$3=Projects!$C$45+Projects!$D$45-1),Projects!$B$45*(Assumptions!$B$10+Assumptions!$B$11+Assumptions!$B$12)*0.05,0)</f>
        <v>0</v>
      </c>
      <c r="Y54" s="19" t="n">
        <f aca="false">IF(AND(Projects!$G$45="Yes",Y$3&gt;=Projects!$C$45,Y$3&lt;Projects!$C$45+Projects!$D$45),Projects!$B$45*INDEX(Curves!$B$4:$AR$4,1,Y$3-Projects!$C$45+1),0)-IF(AND(Projects!$G$45="Yes",Y$3&gt;=Projects!$C$45,Y$3&lt;Projects!$C$45+Projects!$D$45),Projects!$B$45*(Assumptions!$B$10+Assumptions!$B$11+Assumptions!$B$12)/Projects!$D$45*0.95,0)-IF(AND(Projects!$G$45="Yes",Y$3=Projects!$C$45+Projects!$D$45-1),Projects!$B$45*(Assumptions!$B$10+Assumptions!$B$11+Assumptions!$B$12)*0.05,0)</f>
        <v>0</v>
      </c>
      <c r="Z54" s="19" t="n">
        <f aca="false">IF(AND(Projects!$G$45="Yes",Z$3&gt;=Projects!$C$45,Z$3&lt;Projects!$C$45+Projects!$D$45),Projects!$B$45*INDEX(Curves!$B$4:$AR$4,1,Z$3-Projects!$C$45+1),0)-IF(AND(Projects!$G$45="Yes",Z$3&gt;=Projects!$C$45,Z$3&lt;Projects!$C$45+Projects!$D$45),Projects!$B$45*(Assumptions!$B$10+Assumptions!$B$11+Assumptions!$B$12)/Projects!$D$45*0.95,0)-IF(AND(Projects!$G$45="Yes",Z$3=Projects!$C$45+Projects!$D$45-1),Projects!$B$45*(Assumptions!$B$10+Assumptions!$B$11+Assumptions!$B$12)*0.05,0)</f>
        <v>0</v>
      </c>
      <c r="AA54" s="19" t="n">
        <f aca="false">IF(AND(Projects!$G$45="Yes",AA$3&gt;=Projects!$C$45,AA$3&lt;Projects!$C$45+Projects!$D$45),Projects!$B$45*INDEX(Curves!$B$4:$AR$4,1,AA$3-Projects!$C$45+1),0)-IF(AND(Projects!$G$45="Yes",AA$3&gt;=Projects!$C$45,AA$3&lt;Projects!$C$45+Projects!$D$45),Projects!$B$45*(Assumptions!$B$10+Assumptions!$B$11+Assumptions!$B$12)/Projects!$D$45*0.95,0)-IF(AND(Projects!$G$45="Yes",AA$3=Projects!$C$45+Projects!$D$45-1),Projects!$B$45*(Assumptions!$B$10+Assumptions!$B$11+Assumptions!$B$12)*0.05,0)</f>
        <v>0</v>
      </c>
      <c r="AB54" s="19" t="n">
        <f aca="false">IF(AND(Projects!$G$45="Yes",AB$3&gt;=Projects!$C$45,AB$3&lt;Projects!$C$45+Projects!$D$45),Projects!$B$45*INDEX(Curves!$B$4:$AR$4,1,AB$3-Projects!$C$45+1),0)-IF(AND(Projects!$G$45="Yes",AB$3&gt;=Projects!$C$45,AB$3&lt;Projects!$C$45+Projects!$D$45),Projects!$B$45*(Assumptions!$B$10+Assumptions!$B$11+Assumptions!$B$12)/Projects!$D$45*0.95,0)-IF(AND(Projects!$G$45="Yes",AB$3=Projects!$C$45+Projects!$D$45-1),Projects!$B$45*(Assumptions!$B$10+Assumptions!$B$11+Assumptions!$B$12)*0.05,0)</f>
        <v>0</v>
      </c>
      <c r="AC54" s="19" t="n">
        <f aca="false">IF(AND(Projects!$G$45="Yes",AC$3&gt;=Projects!$C$45,AC$3&lt;Projects!$C$45+Projects!$D$45),Projects!$B$45*INDEX(Curves!$B$4:$AR$4,1,AC$3-Projects!$C$45+1),0)-IF(AND(Projects!$G$45="Yes",AC$3&gt;=Projects!$C$45,AC$3&lt;Projects!$C$45+Projects!$D$45),Projects!$B$45*(Assumptions!$B$10+Assumptions!$B$11+Assumptions!$B$12)/Projects!$D$45*0.95,0)-IF(AND(Projects!$G$45="Yes",AC$3=Projects!$C$45+Projects!$D$45-1),Projects!$B$45*(Assumptions!$B$10+Assumptions!$B$11+Assumptions!$B$12)*0.05,0)</f>
        <v>0</v>
      </c>
      <c r="AD54" s="19" t="n">
        <f aca="false">IF(AND(Projects!$G$45="Yes",AD$3&gt;=Projects!$C$45,AD$3&lt;Projects!$C$45+Projects!$D$45),Projects!$B$45*INDEX(Curves!$B$4:$AR$4,1,AD$3-Projects!$C$45+1),0)-IF(AND(Projects!$G$45="Yes",AD$3&gt;=Projects!$C$45,AD$3&lt;Projects!$C$45+Projects!$D$45),Projects!$B$45*(Assumptions!$B$10+Assumptions!$B$11+Assumptions!$B$12)/Projects!$D$45*0.95,0)-IF(AND(Projects!$G$45="Yes",AD$3=Projects!$C$45+Projects!$D$45-1),Projects!$B$45*(Assumptions!$B$10+Assumptions!$B$11+Assumptions!$B$12)*0.05,0)</f>
        <v>0</v>
      </c>
      <c r="AE54" s="19" t="n">
        <f aca="false">IF(AND(Projects!$G$45="Yes",AE$3&gt;=Projects!$C$45,AE$3&lt;Projects!$C$45+Projects!$D$45),Projects!$B$45*INDEX(Curves!$B$4:$AR$4,1,AE$3-Projects!$C$45+1),0)-IF(AND(Projects!$G$45="Yes",AE$3&gt;=Projects!$C$45,AE$3&lt;Projects!$C$45+Projects!$D$45),Projects!$B$45*(Assumptions!$B$10+Assumptions!$B$11+Assumptions!$B$12)/Projects!$D$45*0.95,0)-IF(AND(Projects!$G$45="Yes",AE$3=Projects!$C$45+Projects!$D$45-1),Projects!$B$45*(Assumptions!$B$10+Assumptions!$B$11+Assumptions!$B$12)*0.05,0)</f>
        <v>0</v>
      </c>
      <c r="AF54" s="19" t="n">
        <f aca="false">IF(AND(Projects!$G$45="Yes",AF$3&gt;=Projects!$C$45,AF$3&lt;Projects!$C$45+Projects!$D$45),Projects!$B$45*INDEX(Curves!$B$4:$AR$4,1,AF$3-Projects!$C$45+1),0)-IF(AND(Projects!$G$45="Yes",AF$3&gt;=Projects!$C$45,AF$3&lt;Projects!$C$45+Projects!$D$45),Projects!$B$45*(Assumptions!$B$10+Assumptions!$B$11+Assumptions!$B$12)/Projects!$D$45*0.95,0)-IF(AND(Projects!$G$45="Yes",AF$3=Projects!$C$45+Projects!$D$45-1),Projects!$B$45*(Assumptions!$B$10+Assumptions!$B$11+Assumptions!$B$12)*0.05,0)</f>
        <v>0</v>
      </c>
      <c r="AG54" s="19" t="n">
        <f aca="false">IF(AND(Projects!$G$45="Yes",AG$3&gt;=Projects!$C$45,AG$3&lt;Projects!$C$45+Projects!$D$45),Projects!$B$45*INDEX(Curves!$B$4:$AR$4,1,AG$3-Projects!$C$45+1),0)-IF(AND(Projects!$G$45="Yes",AG$3&gt;=Projects!$C$45,AG$3&lt;Projects!$C$45+Projects!$D$45),Projects!$B$45*(Assumptions!$B$10+Assumptions!$B$11+Assumptions!$B$12)/Projects!$D$45*0.95,0)-IF(AND(Projects!$G$45="Yes",AG$3=Projects!$C$45+Projects!$D$45-1),Projects!$B$45*(Assumptions!$B$10+Assumptions!$B$11+Assumptions!$B$12)*0.05,0)</f>
        <v>0</v>
      </c>
      <c r="AH54" s="19" t="n">
        <f aca="false">IF(AND(Projects!$G$45="Yes",AH$3&gt;=Projects!$C$45,AH$3&lt;Projects!$C$45+Projects!$D$45),Projects!$B$45*INDEX(Curves!$B$4:$AR$4,1,AH$3-Projects!$C$45+1),0)-IF(AND(Projects!$G$45="Yes",AH$3&gt;=Projects!$C$45,AH$3&lt;Projects!$C$45+Projects!$D$45),Projects!$B$45*(Assumptions!$B$10+Assumptions!$B$11+Assumptions!$B$12)/Projects!$D$45*0.95,0)-IF(AND(Projects!$G$45="Yes",AH$3=Projects!$C$45+Projects!$D$45-1),Projects!$B$45*(Assumptions!$B$10+Assumptions!$B$11+Assumptions!$B$12)*0.05,0)</f>
        <v>0</v>
      </c>
      <c r="AI54" s="19" t="n">
        <f aca="false">IF(AND(Projects!$G$45="Yes",AI$3&gt;=Projects!$C$45,AI$3&lt;Projects!$C$45+Projects!$D$45),Projects!$B$45*INDEX(Curves!$B$4:$AR$4,1,AI$3-Projects!$C$45+1),0)-IF(AND(Projects!$G$45="Yes",AI$3&gt;=Projects!$C$45,AI$3&lt;Projects!$C$45+Projects!$D$45),Projects!$B$45*(Assumptions!$B$10+Assumptions!$B$11+Assumptions!$B$12)/Projects!$D$45*0.95,0)-IF(AND(Projects!$G$45="Yes",AI$3=Projects!$C$45+Projects!$D$45-1),Projects!$B$45*(Assumptions!$B$10+Assumptions!$B$11+Assumptions!$B$12)*0.05,0)</f>
        <v>0</v>
      </c>
      <c r="AJ54" s="19" t="n">
        <f aca="false">IF(AND(Projects!$G$45="Yes",AJ$3&gt;=Projects!$C$45,AJ$3&lt;Projects!$C$45+Projects!$D$45),Projects!$B$45*INDEX(Curves!$B$4:$AR$4,1,AJ$3-Projects!$C$45+1),0)-IF(AND(Projects!$G$45="Yes",AJ$3&gt;=Projects!$C$45,AJ$3&lt;Projects!$C$45+Projects!$D$45),Projects!$B$45*(Assumptions!$B$10+Assumptions!$B$11+Assumptions!$B$12)/Projects!$D$45*0.95,0)-IF(AND(Projects!$G$45="Yes",AJ$3=Projects!$C$45+Projects!$D$45-1),Projects!$B$45*(Assumptions!$B$10+Assumptions!$B$11+Assumptions!$B$12)*0.05,0)</f>
        <v>0</v>
      </c>
      <c r="AK54" s="19" t="n">
        <f aca="false">IF(AND(Projects!$G$45="Yes",AK$3&gt;=Projects!$C$45,AK$3&lt;Projects!$C$45+Projects!$D$45),Projects!$B$45*INDEX(Curves!$B$4:$AR$4,1,AK$3-Projects!$C$45+1),0)-IF(AND(Projects!$G$45="Yes",AK$3&gt;=Projects!$C$45,AK$3&lt;Projects!$C$45+Projects!$D$45),Projects!$B$45*(Assumptions!$B$10+Assumptions!$B$11+Assumptions!$B$12)/Projects!$D$45*0.95,0)-IF(AND(Projects!$G$45="Yes",AK$3=Projects!$C$45+Projects!$D$45-1),Projects!$B$45*(Assumptions!$B$10+Assumptions!$B$11+Assumptions!$B$12)*0.05,0)</f>
        <v>0</v>
      </c>
      <c r="AL54" s="19" t="n">
        <f aca="false">IF(AND(Projects!$G$45="Yes",AL$3&gt;=Projects!$C$45,AL$3&lt;Projects!$C$45+Projects!$D$45),Projects!$B$45*INDEX(Curves!$B$4:$AR$4,1,AL$3-Projects!$C$45+1),0)-IF(AND(Projects!$G$45="Yes",AL$3&gt;=Projects!$C$45,AL$3&lt;Projects!$C$45+Projects!$D$45),Projects!$B$45*(Assumptions!$B$10+Assumptions!$B$11+Assumptions!$B$12)/Projects!$D$45*0.95,0)-IF(AND(Projects!$G$45="Yes",AL$3=Projects!$C$45+Projects!$D$45-1),Projects!$B$45*(Assumptions!$B$10+Assumptions!$B$11+Assumptions!$B$12)*0.05,0)</f>
        <v>0</v>
      </c>
      <c r="AM54" s="19" t="n">
        <f aca="false">IF(AND(Projects!$G$45="Yes",AM$3&gt;=Projects!$C$45,AM$3&lt;Projects!$C$45+Projects!$D$45),Projects!$B$45*INDEX(Curves!$B$4:$AR$4,1,AM$3-Projects!$C$45+1),0)-IF(AND(Projects!$G$45="Yes",AM$3&gt;=Projects!$C$45,AM$3&lt;Projects!$C$45+Projects!$D$45),Projects!$B$45*(Assumptions!$B$10+Assumptions!$B$11+Assumptions!$B$12)/Projects!$D$45*0.95,0)-IF(AND(Projects!$G$45="Yes",AM$3=Projects!$C$45+Projects!$D$45-1),Projects!$B$45*(Assumptions!$B$10+Assumptions!$B$11+Assumptions!$B$12)*0.05,0)</f>
        <v>0</v>
      </c>
      <c r="AN54" s="19" t="n">
        <f aca="false">IF(AND(Projects!$G$45="Yes",AN$3&gt;=Projects!$C$45,AN$3&lt;Projects!$C$45+Projects!$D$45),Projects!$B$45*INDEX(Curves!$B$4:$AR$4,1,AN$3-Projects!$C$45+1),0)-IF(AND(Projects!$G$45="Yes",AN$3&gt;=Projects!$C$45,AN$3&lt;Projects!$C$45+Projects!$D$45),Projects!$B$45*(Assumptions!$B$10+Assumptions!$B$11+Assumptions!$B$12)/Projects!$D$45*0.95,0)-IF(AND(Projects!$G$45="Yes",AN$3=Projects!$C$45+Projects!$D$45-1),Projects!$B$45*(Assumptions!$B$10+Assumptions!$B$11+Assumptions!$B$12)*0.05,0)</f>
        <v>0</v>
      </c>
      <c r="AO54" s="19" t="n">
        <f aca="false">IF(AND(Projects!$G$45="Yes",AO$3&gt;=Projects!$C$45,AO$3&lt;Projects!$C$45+Projects!$D$45),Projects!$B$45*INDEX(Curves!$B$4:$AR$4,1,AO$3-Projects!$C$45+1),0)-IF(AND(Projects!$G$45="Yes",AO$3&gt;=Projects!$C$45,AO$3&lt;Projects!$C$45+Projects!$D$45),Projects!$B$45*(Assumptions!$B$10+Assumptions!$B$11+Assumptions!$B$12)/Projects!$D$45*0.95,0)-IF(AND(Projects!$G$45="Yes",AO$3=Projects!$C$45+Projects!$D$45-1),Projects!$B$45*(Assumptions!$B$10+Assumptions!$B$11+Assumptions!$B$12)*0.05,0)</f>
        <v>0</v>
      </c>
      <c r="AP54" s="19" t="n">
        <f aca="false">IF(AND(Projects!$G$45="Yes",AP$3&gt;=Projects!$C$45,AP$3&lt;Projects!$C$45+Projects!$D$45),Projects!$B$45*INDEX(Curves!$B$4:$AR$4,1,AP$3-Projects!$C$45+1),0)-IF(AND(Projects!$G$45="Yes",AP$3&gt;=Projects!$C$45,AP$3&lt;Projects!$C$45+Projects!$D$45),Projects!$B$45*(Assumptions!$B$10+Assumptions!$B$11+Assumptions!$B$12)/Projects!$D$45*0.95,0)-IF(AND(Projects!$G$45="Yes",AP$3=Projects!$C$45+Projects!$D$45-1),Projects!$B$45*(Assumptions!$B$10+Assumptions!$B$11+Assumptions!$B$12)*0.05,0)</f>
        <v>0</v>
      </c>
      <c r="AQ54" s="19" t="n">
        <f aca="false">IF(AND(Projects!$G$45="Yes",AQ$3&gt;=Projects!$C$45,AQ$3&lt;Projects!$C$45+Projects!$D$45),Projects!$B$45*INDEX(Curves!$B$4:$AR$4,1,AQ$3-Projects!$C$45+1),0)-IF(AND(Projects!$G$45="Yes",AQ$3&gt;=Projects!$C$45,AQ$3&lt;Projects!$C$45+Projects!$D$45),Projects!$B$45*(Assumptions!$B$10+Assumptions!$B$11+Assumptions!$B$12)/Projects!$D$45*0.95,0)-IF(AND(Projects!$G$45="Yes",AQ$3=Projects!$C$45+Projects!$D$45-1),Projects!$B$45*(Assumptions!$B$10+Assumptions!$B$11+Assumptions!$B$12)*0.05,0)</f>
        <v>0</v>
      </c>
      <c r="AR54" s="19" t="n">
        <f aca="false">IF(AND(Projects!$G$45="Yes",AR$3&gt;=Projects!$C$45,AR$3&lt;Projects!$C$45+Projects!$D$45),Projects!$B$45*INDEX(Curves!$B$4:$AR$4,1,AR$3-Projects!$C$45+1),0)-IF(AND(Projects!$G$45="Yes",AR$3&gt;=Projects!$C$45,AR$3&lt;Projects!$C$45+Projects!$D$45),Projects!$B$45*(Assumptions!$B$10+Assumptions!$B$11+Assumptions!$B$12)/Projects!$D$45*0.95,0)-IF(AND(Projects!$G$45="Yes",AR$3=Projects!$C$45+Projects!$D$45-1),Projects!$B$45*(Assumptions!$B$10+Assumptions!$B$11+Assumptions!$B$12)*0.05,0)</f>
        <v>0</v>
      </c>
      <c r="AS54" s="19" t="n">
        <f aca="false">IF(AND(Projects!$G$45="Yes",AS$3&gt;=Projects!$C$45,AS$3&lt;Projects!$C$45+Projects!$D$45),Projects!$B$45*INDEX(Curves!$B$4:$AR$4,1,AS$3-Projects!$C$45+1),0)-IF(AND(Projects!$G$45="Yes",AS$3&gt;=Projects!$C$45,AS$3&lt;Projects!$C$45+Projects!$D$45),Projects!$B$45*(Assumptions!$B$10+Assumptions!$B$11+Assumptions!$B$12)/Projects!$D$45*0.95,0)-IF(AND(Projects!$G$45="Yes",AS$3=Projects!$C$45+Projects!$D$45-1),Projects!$B$45*(Assumptions!$B$10+Assumptions!$B$11+Assumptions!$B$12)*0.05,0)</f>
        <v>0</v>
      </c>
      <c r="AT54" s="19" t="n">
        <f aca="false">IF(AND(Projects!$G$45="Yes",AT$3&gt;=Projects!$C$45,AT$3&lt;Projects!$C$45+Projects!$D$45),Projects!$B$45*INDEX(Curves!$B$4:$AR$4,1,AT$3-Projects!$C$45+1),0)-IF(AND(Projects!$G$45="Yes",AT$3&gt;=Projects!$C$45,AT$3&lt;Projects!$C$45+Projects!$D$45),Projects!$B$45*(Assumptions!$B$10+Assumptions!$B$11+Assumptions!$B$12)/Projects!$D$45*0.95,0)-IF(AND(Projects!$G$45="Yes",AT$3=Projects!$C$45+Projects!$D$45-1),Projects!$B$45*(Assumptions!$B$10+Assumptions!$B$11+Assumptions!$B$12)*0.05,0)</f>
        <v>0</v>
      </c>
      <c r="AU54" s="19" t="n">
        <f aca="false">IF(AND(Projects!$G$45="Yes",AU$3&gt;=Projects!$C$45,AU$3&lt;Projects!$C$45+Projects!$D$45),Projects!$B$45*INDEX(Curves!$B$4:$AR$4,1,AU$3-Projects!$C$45+1),0)-IF(AND(Projects!$G$45="Yes",AU$3&gt;=Projects!$C$45,AU$3&lt;Projects!$C$45+Projects!$D$45),Projects!$B$45*(Assumptions!$B$10+Assumptions!$B$11+Assumptions!$B$12)/Projects!$D$45*0.95,0)-IF(AND(Projects!$G$45="Yes",AU$3=Projects!$C$45+Projects!$D$45-1),Projects!$B$45*(Assumptions!$B$10+Assumptions!$B$11+Assumptions!$B$12)*0.05,0)</f>
        <v>0</v>
      </c>
      <c r="AV54" s="19" t="n">
        <f aca="false">IF(AND(Projects!$G$45="Yes",AV$3&gt;=Projects!$C$45,AV$3&lt;Projects!$C$45+Projects!$D$45),Projects!$B$45*INDEX(Curves!$B$4:$AR$4,1,AV$3-Projects!$C$45+1),0)-IF(AND(Projects!$G$45="Yes",AV$3&gt;=Projects!$C$45,AV$3&lt;Projects!$C$45+Projects!$D$45),Projects!$B$45*(Assumptions!$B$10+Assumptions!$B$11+Assumptions!$B$12)/Projects!$D$45*0.95,0)-IF(AND(Projects!$G$45="Yes",AV$3=Projects!$C$45+Projects!$D$45-1),Projects!$B$45*(Assumptions!$B$10+Assumptions!$B$11+Assumptions!$B$12)*0.05,0)</f>
        <v>0</v>
      </c>
      <c r="AW54" s="19" t="n">
        <f aca="false">IF(AND(Projects!$G$45="Yes",AW$3&gt;=Projects!$C$45,AW$3&lt;Projects!$C$45+Projects!$D$45),Projects!$B$45*INDEX(Curves!$B$4:$AR$4,1,AW$3-Projects!$C$45+1),0)-IF(AND(Projects!$G$45="Yes",AW$3&gt;=Projects!$C$45,AW$3&lt;Projects!$C$45+Projects!$D$45),Projects!$B$45*(Assumptions!$B$10+Assumptions!$B$11+Assumptions!$B$12)/Projects!$D$45*0.95,0)-IF(AND(Projects!$G$45="Yes",AW$3=Projects!$C$45+Projects!$D$45-1),Projects!$B$45*(Assumptions!$B$10+Assumptions!$B$11+Assumptions!$B$12)*0.05,0)</f>
        <v>0</v>
      </c>
      <c r="AX54" s="19" t="n">
        <f aca="false">IF(AND(Projects!$G$45="Yes",AX$3&gt;=Projects!$C$45,AX$3&lt;Projects!$C$45+Projects!$D$45),Projects!$B$45*INDEX(Curves!$B$4:$AR$4,1,AX$3-Projects!$C$45+1),0)-IF(AND(Projects!$G$45="Yes",AX$3&gt;=Projects!$C$45,AX$3&lt;Projects!$C$45+Projects!$D$45),Projects!$B$45*(Assumptions!$B$10+Assumptions!$B$11+Assumptions!$B$12)/Projects!$D$45*0.95,0)-IF(AND(Projects!$G$45="Yes",AX$3=Projects!$C$45+Projects!$D$45-1),Projects!$B$45*(Assumptions!$B$10+Assumptions!$B$11+Assumptions!$B$12)*0.05,0)</f>
        <v>0</v>
      </c>
      <c r="AY54" s="19" t="n">
        <f aca="false">IF(AND(Projects!$G$45="Yes",AY$3&gt;=Projects!$C$45,AY$3&lt;Projects!$C$45+Projects!$D$45),Projects!$B$45*INDEX(Curves!$B$4:$AR$4,1,AY$3-Projects!$C$45+1),0)-IF(AND(Projects!$G$45="Yes",AY$3&gt;=Projects!$C$45,AY$3&lt;Projects!$C$45+Projects!$D$45),Projects!$B$45*(Assumptions!$B$10+Assumptions!$B$11+Assumptions!$B$12)/Projects!$D$45*0.95,0)-IF(AND(Projects!$G$45="Yes",AY$3=Projects!$C$45+Projects!$D$45-1),Projects!$B$45*(Assumptions!$B$10+Assumptions!$B$11+Assumptions!$B$12)*0.05,0)</f>
        <v>0</v>
      </c>
      <c r="AZ54" s="19" t="n">
        <f aca="false">IF(AND(Projects!$G$45="Yes",AZ$3&gt;=Projects!$C$45,AZ$3&lt;Projects!$C$45+Projects!$D$45),Projects!$B$45*INDEX(Curves!$B$4:$AR$4,1,AZ$3-Projects!$C$45+1),0)-IF(AND(Projects!$G$45="Yes",AZ$3&gt;=Projects!$C$45,AZ$3&lt;Projects!$C$45+Projects!$D$45),Projects!$B$45*(Assumptions!$B$10+Assumptions!$B$11+Assumptions!$B$12)/Projects!$D$45*0.95,0)-IF(AND(Projects!$G$45="Yes",AZ$3=Projects!$C$45+Projects!$D$45-1),Projects!$B$45*(Assumptions!$B$10+Assumptions!$B$11+Assumptions!$B$12)*0.05,0)</f>
        <v>0</v>
      </c>
      <c r="BA54" s="19" t="n">
        <f aca="false">IF(AND(Projects!$G$45="Yes",BA$3&gt;=Projects!$C$45,BA$3&lt;Projects!$C$45+Projects!$D$45),Projects!$B$45*INDEX(Curves!$B$4:$AR$4,1,BA$3-Projects!$C$45+1),0)-IF(AND(Projects!$G$45="Yes",BA$3&gt;=Projects!$C$45,BA$3&lt;Projects!$C$45+Projects!$D$45),Projects!$B$45*(Assumptions!$B$10+Assumptions!$B$11+Assumptions!$B$12)/Projects!$D$45*0.95,0)-IF(AND(Projects!$G$45="Yes",BA$3=Projects!$C$45+Projects!$D$45-1),Projects!$B$45*(Assumptions!$B$10+Assumptions!$B$11+Assumptions!$B$12)*0.05,0)</f>
        <v>0</v>
      </c>
      <c r="BB54" s="19" t="n">
        <f aca="false">IF(AND(Projects!$G$45="Yes",BB$3&gt;=Projects!$C$45,BB$3&lt;Projects!$C$45+Projects!$D$45),Projects!$B$45*INDEX(Curves!$B$4:$AR$4,1,BB$3-Projects!$C$45+1),0)-IF(AND(Projects!$G$45="Yes",BB$3&gt;=Projects!$C$45,BB$3&lt;Projects!$C$45+Projects!$D$45),Projects!$B$45*(Assumptions!$B$10+Assumptions!$B$11+Assumptions!$B$12)/Projects!$D$45*0.95,0)-IF(AND(Projects!$G$45="Yes",BB$3=Projects!$C$45+Projects!$D$45-1),Projects!$B$45*(Assumptions!$B$10+Assumptions!$B$11+Assumptions!$B$12)*0.05,0)</f>
        <v>0</v>
      </c>
      <c r="BC54" s="19" t="n">
        <f aca="false">IF(AND(Projects!$G$45="Yes",BC$3&gt;=Projects!$C$45,BC$3&lt;Projects!$C$45+Projects!$D$45),Projects!$B$45*INDEX(Curves!$B$4:$AR$4,1,BC$3-Projects!$C$45+1),0)-IF(AND(Projects!$G$45="Yes",BC$3&gt;=Projects!$C$45,BC$3&lt;Projects!$C$45+Projects!$D$45),Projects!$B$45*(Assumptions!$B$10+Assumptions!$B$11+Assumptions!$B$12)/Projects!$D$45*0.95,0)-IF(AND(Projects!$G$45="Yes",BC$3=Projects!$C$45+Projects!$D$45-1),Projects!$B$45*(Assumptions!$B$10+Assumptions!$B$11+Assumptions!$B$12)*0.05,0)</f>
        <v>0</v>
      </c>
      <c r="BD54" s="19" t="n">
        <f aca="false">IF(AND(Projects!$G$45="Yes",BD$3&gt;=Projects!$C$45,BD$3&lt;Projects!$C$45+Projects!$D$45),Projects!$B$45*INDEX(Curves!$B$4:$AR$4,1,BD$3-Projects!$C$45+1),0)-IF(AND(Projects!$G$45="Yes",BD$3&gt;=Projects!$C$45,BD$3&lt;Projects!$C$45+Projects!$D$45),Projects!$B$45*(Assumptions!$B$10+Assumptions!$B$11+Assumptions!$B$12)/Projects!$D$45*0.95,0)-IF(AND(Projects!$G$45="Yes",BD$3=Projects!$C$45+Projects!$D$45-1),Projects!$B$45*(Assumptions!$B$10+Assumptions!$B$11+Assumptions!$B$12)*0.05,0)</f>
        <v>0</v>
      </c>
      <c r="BE54" s="19" t="n">
        <f aca="false">IF(AND(Projects!$G$45="Yes",BE$3&gt;=Projects!$C$45,BE$3&lt;Projects!$C$45+Projects!$D$45),Projects!$B$45*INDEX(Curves!$B$4:$AR$4,1,BE$3-Projects!$C$45+1),0)-IF(AND(Projects!$G$45="Yes",BE$3&gt;=Projects!$C$45,BE$3&lt;Projects!$C$45+Projects!$D$45),Projects!$B$45*(Assumptions!$B$10+Assumptions!$B$11+Assumptions!$B$12)/Projects!$D$45*0.95,0)-IF(AND(Projects!$G$45="Yes",BE$3=Projects!$C$45+Projects!$D$45-1),Projects!$B$45*(Assumptions!$B$10+Assumptions!$B$11+Assumptions!$B$12)*0.05,0)</f>
        <v>0</v>
      </c>
      <c r="BF54" s="19" t="n">
        <f aca="false">IF(AND(Projects!$G$45="Yes",BF$3&gt;=Projects!$C$45,BF$3&lt;Projects!$C$45+Projects!$D$45),Projects!$B$45*INDEX(Curves!$B$4:$AR$4,1,BF$3-Projects!$C$45+1),0)-IF(AND(Projects!$G$45="Yes",BF$3&gt;=Projects!$C$45,BF$3&lt;Projects!$C$45+Projects!$D$45),Projects!$B$45*(Assumptions!$B$10+Assumptions!$B$11+Assumptions!$B$12)/Projects!$D$45*0.95,0)-IF(AND(Projects!$G$45="Yes",BF$3=Projects!$C$45+Projects!$D$45-1),Projects!$B$45*(Assumptions!$B$10+Assumptions!$B$11+Assumptions!$B$12)*0.05,0)</f>
        <v>0</v>
      </c>
      <c r="BG54" s="19" t="n">
        <f aca="false">IF(AND(Projects!$G$45="Yes",BG$3&gt;=Projects!$C$45,BG$3&lt;Projects!$C$45+Projects!$D$45),Projects!$B$45*INDEX(Curves!$B$4:$AR$4,1,BG$3-Projects!$C$45+1),0)-IF(AND(Projects!$G$45="Yes",BG$3&gt;=Projects!$C$45,BG$3&lt;Projects!$C$45+Projects!$D$45),Projects!$B$45*(Assumptions!$B$10+Assumptions!$B$11+Assumptions!$B$12)/Projects!$D$45*0.95,0)-IF(AND(Projects!$G$45="Yes",BG$3=Projects!$C$45+Projects!$D$45-1),Projects!$B$45*(Assumptions!$B$10+Assumptions!$B$11+Assumptions!$B$12)*0.05,0)</f>
        <v>368954.1</v>
      </c>
      <c r="BH54" s="19" t="n">
        <f aca="false">IF(AND(Projects!$G$45="Yes",BH$3&gt;=Projects!$C$45,BH$3&lt;Projects!$C$45+Projects!$D$45),Projects!$B$45*INDEX(Curves!$B$4:$AR$4,1,BH$3-Projects!$C$45+1),0)-IF(AND(Projects!$G$45="Yes",BH$3&gt;=Projects!$C$45,BH$3&lt;Projects!$C$45+Projects!$D$45),Projects!$B$45*(Assumptions!$B$10+Assumptions!$B$11+Assumptions!$B$12)/Projects!$D$45*0.95,0)-IF(AND(Projects!$G$45="Yes",BH$3=Projects!$C$45+Projects!$D$45-1),Projects!$B$45*(Assumptions!$B$10+Assumptions!$B$11+Assumptions!$B$12)*0.05,0)</f>
        <v>481346.1</v>
      </c>
      <c r="BI54" s="19" t="n">
        <f aca="false">IF(AND(Projects!$G$45="Yes",BI$3&gt;=Projects!$C$45,BI$3&lt;Projects!$C$45+Projects!$D$45),Projects!$B$45*INDEX(Curves!$B$4:$AR$4,1,BI$3-Projects!$C$45+1),0)-IF(AND(Projects!$G$45="Yes",BI$3&gt;=Projects!$C$45,BI$3&lt;Projects!$C$45+Projects!$D$45),Projects!$B$45*(Assumptions!$B$10+Assumptions!$B$11+Assumptions!$B$12)/Projects!$D$45*0.95,0)-IF(AND(Projects!$G$45="Yes",BI$3=Projects!$C$45+Projects!$D$45-1),Projects!$B$45*(Assumptions!$B$10+Assumptions!$B$11+Assumptions!$B$12)*0.05,0)</f>
        <v>602324.1</v>
      </c>
      <c r="BJ54" s="19" t="n">
        <f aca="false">IF(AND(Projects!$G$45="Yes",BJ$3&gt;=Projects!$C$45,BJ$3&lt;Projects!$C$45+Projects!$D$45),Projects!$B$45*INDEX(Curves!$B$4:$AR$4,1,BJ$3-Projects!$C$45+1),0)-IF(AND(Projects!$G$45="Yes",BJ$3&gt;=Projects!$C$45,BJ$3&lt;Projects!$C$45+Projects!$D$45),Projects!$B$45*(Assumptions!$B$10+Assumptions!$B$11+Assumptions!$B$12)/Projects!$D$45*0.95,0)-IF(AND(Projects!$G$45="Yes",BJ$3=Projects!$C$45+Projects!$D$45-1),Projects!$B$45*(Assumptions!$B$10+Assumptions!$B$11+Assumptions!$B$12)*0.05,0)</f>
        <v>727064.1</v>
      </c>
      <c r="BK54" s="19" t="n">
        <f aca="false">IF(AND(Projects!$G$45="Yes",BK$3&gt;=Projects!$C$45,BK$3&lt;Projects!$C$45+Projects!$D$45),Projects!$B$45*INDEX(Curves!$B$4:$AR$4,1,BK$3-Projects!$C$45+1),0)-IF(AND(Projects!$G$45="Yes",BK$3&gt;=Projects!$C$45,BK$3&lt;Projects!$C$45+Projects!$D$45),Projects!$B$45*(Assumptions!$B$10+Assumptions!$B$11+Assumptions!$B$12)/Projects!$D$45*0.95,0)-IF(AND(Projects!$G$45="Yes",BK$3=Projects!$C$45+Projects!$D$45-1),Projects!$B$45*(Assumptions!$B$10+Assumptions!$B$11+Assumptions!$B$12)*0.05,0)</f>
        <v>849572.1</v>
      </c>
      <c r="BL54" s="19" t="n">
        <f aca="false">IF(AND(Projects!$G$45="Yes",BL$3&gt;=Projects!$C$45,BL$3&lt;Projects!$C$45+Projects!$D$45),Projects!$B$45*INDEX(Curves!$B$4:$AR$4,1,BL$3-Projects!$C$45+1),0)-IF(AND(Projects!$G$45="Yes",BL$3&gt;=Projects!$C$45,BL$3&lt;Projects!$C$45+Projects!$D$45),Projects!$B$45*(Assumptions!$B$10+Assumptions!$B$11+Assumptions!$B$12)/Projects!$D$45*0.95,0)-IF(AND(Projects!$G$45="Yes",BL$3=Projects!$C$45+Projects!$D$45-1),Projects!$B$45*(Assumptions!$B$10+Assumptions!$B$11+Assumptions!$B$12)*0.05,0)</f>
        <v>963044.1</v>
      </c>
      <c r="BM54" s="19" t="n">
        <f aca="false">IF(AND(Projects!$G$45="Yes",BM$3&gt;=Projects!$C$45,BM$3&lt;Projects!$C$45+Projects!$D$45),Projects!$B$45*INDEX(Curves!$B$4:$AR$4,1,BM$3-Projects!$C$45+1),0)-IF(AND(Projects!$G$45="Yes",BM$3&gt;=Projects!$C$45,BM$3&lt;Projects!$C$45+Projects!$D$45),Projects!$B$45*(Assumptions!$B$10+Assumptions!$B$11+Assumptions!$B$12)/Projects!$D$45*0.95,0)-IF(AND(Projects!$G$45="Yes",BM$3=Projects!$C$45+Projects!$D$45-1),Projects!$B$45*(Assumptions!$B$10+Assumptions!$B$11+Assumptions!$B$12)*0.05,0)</f>
        <v>1060514.1</v>
      </c>
      <c r="BN54" s="19" t="n">
        <f aca="false">IF(AND(Projects!$G$45="Yes",BN$3&gt;=Projects!$C$45,BN$3&lt;Projects!$C$45+Projects!$D$45),Projects!$B$45*INDEX(Curves!$B$4:$AR$4,1,BN$3-Projects!$C$45+1),0)-IF(AND(Projects!$G$45="Yes",BN$3&gt;=Projects!$C$45,BN$3&lt;Projects!$C$45+Projects!$D$45),Projects!$B$45*(Assumptions!$B$10+Assumptions!$B$11+Assumptions!$B$12)/Projects!$D$45*0.95,0)-IF(AND(Projects!$G$45="Yes",BN$3=Projects!$C$45+Projects!$D$45-1),Projects!$B$45*(Assumptions!$B$10+Assumptions!$B$11+Assumptions!$B$12)*0.05,0)</f>
        <v>1135520.1</v>
      </c>
      <c r="BO54" s="19" t="n">
        <f aca="false">IF(AND(Projects!$G$45="Yes",BO$3&gt;=Projects!$C$45,BO$3&lt;Projects!$C$45+Projects!$D$45),Projects!$B$45*INDEX(Curves!$B$4:$AR$4,1,BO$3-Projects!$C$45+1),0)-IF(AND(Projects!$G$45="Yes",BO$3&gt;=Projects!$C$45,BO$3&lt;Projects!$C$45+Projects!$D$45),Projects!$B$45*(Assumptions!$B$10+Assumptions!$B$11+Assumptions!$B$12)/Projects!$D$45*0.95,0)-IF(AND(Projects!$G$45="Yes",BO$3=Projects!$C$45+Projects!$D$45-1),Projects!$B$45*(Assumptions!$B$10+Assumptions!$B$11+Assumptions!$B$12)*0.05,0)</f>
        <v>1182824.1</v>
      </c>
      <c r="BP54" s="19" t="n">
        <f aca="false">IF(AND(Projects!$G$45="Yes",BP$3&gt;=Projects!$C$45,BP$3&lt;Projects!$C$45+Projects!$D$45),Projects!$B$45*INDEX(Curves!$B$4:$AR$4,1,BP$3-Projects!$C$45+1),0)-IF(AND(Projects!$G$45="Yes",BP$3&gt;=Projects!$C$45,BP$3&lt;Projects!$C$45+Projects!$D$45),Projects!$B$45*(Assumptions!$B$10+Assumptions!$B$11+Assumptions!$B$12)/Projects!$D$45*0.95,0)-IF(AND(Projects!$G$45="Yes",BP$3=Projects!$C$45+Projects!$D$45-1),Projects!$B$45*(Assumptions!$B$10+Assumptions!$B$11+Assumptions!$B$12)*0.05,0)</f>
        <v>1198988.1</v>
      </c>
      <c r="BQ54" s="19" t="n">
        <f aca="false">IF(AND(Projects!$G$45="Yes",BQ$3&gt;=Projects!$C$45,BQ$3&lt;Projects!$C$45+Projects!$D$45),Projects!$B$45*INDEX(Curves!$B$4:$AR$4,1,BQ$3-Projects!$C$45+1),0)-IF(AND(Projects!$G$45="Yes",BQ$3&gt;=Projects!$C$45,BQ$3&lt;Projects!$C$45+Projects!$D$45),Projects!$B$45*(Assumptions!$B$10+Assumptions!$B$11+Assumptions!$B$12)/Projects!$D$45*0.95,0)-IF(AND(Projects!$G$45="Yes",BQ$3=Projects!$C$45+Projects!$D$45-1),Projects!$B$45*(Assumptions!$B$10+Assumptions!$B$11+Assumptions!$B$12)*0.05,0)</f>
        <v>1182824.1</v>
      </c>
      <c r="BR54" s="19" t="n">
        <f aca="false">IF(AND(Projects!$G$45="Yes",BR$3&gt;=Projects!$C$45,BR$3&lt;Projects!$C$45+Projects!$D$45),Projects!$B$45*INDEX(Curves!$B$4:$AR$4,1,BR$3-Projects!$C$45+1),0)-IF(AND(Projects!$G$45="Yes",BR$3&gt;=Projects!$C$45,BR$3&lt;Projects!$C$45+Projects!$D$45),Projects!$B$45*(Assumptions!$B$10+Assumptions!$B$11+Assumptions!$B$12)/Projects!$D$45*0.95,0)-IF(AND(Projects!$G$45="Yes",BR$3=Projects!$C$45+Projects!$D$45-1),Projects!$B$45*(Assumptions!$B$10+Assumptions!$B$11+Assumptions!$B$12)*0.05,0)</f>
        <v>1135520.1</v>
      </c>
      <c r="BS54" s="19" t="n">
        <f aca="false">IF(AND(Projects!$G$45="Yes",BS$3&gt;=Projects!$C$45,BS$3&lt;Projects!$C$45+Projects!$D$45),Projects!$B$45*INDEX(Curves!$B$4:$AR$4,1,BS$3-Projects!$C$45+1),0)-IF(AND(Projects!$G$45="Yes",BS$3&gt;=Projects!$C$45,BS$3&lt;Projects!$C$45+Projects!$D$45),Projects!$B$45*(Assumptions!$B$10+Assumptions!$B$11+Assumptions!$B$12)/Projects!$D$45*0.95,0)-IF(AND(Projects!$G$45="Yes",BS$3=Projects!$C$45+Projects!$D$45-1),Projects!$B$45*(Assumptions!$B$10+Assumptions!$B$11+Assumptions!$B$12)*0.05,0)</f>
        <v>1060514.1</v>
      </c>
      <c r="BT54" s="19" t="n">
        <f aca="false">IF(AND(Projects!$G$45="Yes",BT$3&gt;=Projects!$C$45,BT$3&lt;Projects!$C$45+Projects!$D$45),Projects!$B$45*INDEX(Curves!$B$4:$AR$4,1,BT$3-Projects!$C$45+1),0)-IF(AND(Projects!$G$45="Yes",BT$3&gt;=Projects!$C$45,BT$3&lt;Projects!$C$45+Projects!$D$45),Projects!$B$45*(Assumptions!$B$10+Assumptions!$B$11+Assumptions!$B$12)/Projects!$D$45*0.95,0)-IF(AND(Projects!$G$45="Yes",BT$3=Projects!$C$45+Projects!$D$45-1),Projects!$B$45*(Assumptions!$B$10+Assumptions!$B$11+Assumptions!$B$12)*0.05,0)</f>
        <v>963044.1</v>
      </c>
      <c r="BU54" s="19" t="n">
        <f aca="false">IF(AND(Projects!$G$45="Yes",BU$3&gt;=Projects!$C$45,BU$3&lt;Projects!$C$45+Projects!$D$45),Projects!$B$45*INDEX(Curves!$B$4:$AR$4,1,BU$3-Projects!$C$45+1),0)-IF(AND(Projects!$G$45="Yes",BU$3&gt;=Projects!$C$45,BU$3&lt;Projects!$C$45+Projects!$D$45),Projects!$B$45*(Assumptions!$B$10+Assumptions!$B$11+Assumptions!$B$12)/Projects!$D$45*0.95,0)-IF(AND(Projects!$G$45="Yes",BU$3=Projects!$C$45+Projects!$D$45-1),Projects!$B$45*(Assumptions!$B$10+Assumptions!$B$11+Assumptions!$B$12)*0.05,0)</f>
        <v>849572.1</v>
      </c>
      <c r="BV54" s="19" t="n">
        <f aca="false">IF(AND(Projects!$G$45="Yes",BV$3&gt;=Projects!$C$45,BV$3&lt;Projects!$C$45+Projects!$D$45),Projects!$B$45*INDEX(Curves!$B$4:$AR$4,1,BV$3-Projects!$C$45+1),0)-IF(AND(Projects!$G$45="Yes",BV$3&gt;=Projects!$C$45,BV$3&lt;Projects!$C$45+Projects!$D$45),Projects!$B$45*(Assumptions!$B$10+Assumptions!$B$11+Assumptions!$B$12)/Projects!$D$45*0.95,0)-IF(AND(Projects!$G$45="Yes",BV$3=Projects!$C$45+Projects!$D$45-1),Projects!$B$45*(Assumptions!$B$10+Assumptions!$B$11+Assumptions!$B$12)*0.05,0)</f>
        <v>727064.1</v>
      </c>
      <c r="BW54" s="19" t="n">
        <f aca="false">IF(AND(Projects!$G$45="Yes",BW$3&gt;=Projects!$C$45,BW$3&lt;Projects!$C$45+Projects!$D$45),Projects!$B$45*INDEX(Curves!$B$4:$AR$4,1,BW$3-Projects!$C$45+1),0)-IF(AND(Projects!$G$45="Yes",BW$3&gt;=Projects!$C$45,BW$3&lt;Projects!$C$45+Projects!$D$45),Projects!$B$45*(Assumptions!$B$10+Assumptions!$B$11+Assumptions!$B$12)/Projects!$D$45*0.95,0)-IF(AND(Projects!$G$45="Yes",BW$3=Projects!$C$45+Projects!$D$45-1),Projects!$B$45*(Assumptions!$B$10+Assumptions!$B$11+Assumptions!$B$12)*0.05,0)</f>
        <v>602324.1</v>
      </c>
      <c r="BX54" s="19" t="n">
        <f aca="false">IF(AND(Projects!$G$45="Yes",BX$3&gt;=Projects!$C$45,BX$3&lt;Projects!$C$45+Projects!$D$45),Projects!$B$45*INDEX(Curves!$B$4:$AR$4,1,BX$3-Projects!$C$45+1),0)-IF(AND(Projects!$G$45="Yes",BX$3&gt;=Projects!$C$45,BX$3&lt;Projects!$C$45+Projects!$D$45),Projects!$B$45*(Assumptions!$B$10+Assumptions!$B$11+Assumptions!$B$12)/Projects!$D$45*0.95,0)-IF(AND(Projects!$G$45="Yes",BX$3=Projects!$C$45+Projects!$D$45-1),Projects!$B$45*(Assumptions!$B$10+Assumptions!$B$11+Assumptions!$B$12)*0.05,0)</f>
        <v>481346.1</v>
      </c>
      <c r="BY54" s="19" t="n">
        <f aca="false">IF(AND(Projects!$G$45="Yes",BY$3&gt;=Projects!$C$45,BY$3&lt;Projects!$C$45+Projects!$D$45),Projects!$B$45*INDEX(Curves!$B$4:$AR$4,1,BY$3-Projects!$C$45+1),0)-IF(AND(Projects!$G$45="Yes",BY$3&gt;=Projects!$C$45,BY$3&lt;Projects!$C$45+Projects!$D$45),Projects!$B$45*(Assumptions!$B$10+Assumptions!$B$11+Assumptions!$B$12)/Projects!$D$45*0.95,0)-IF(AND(Projects!$G$45="Yes",BY$3=Projects!$C$45+Projects!$D$45-1),Projects!$B$45*(Assumptions!$B$10+Assumptions!$B$11+Assumptions!$B$12)*0.05,0)</f>
        <v>260602.2</v>
      </c>
      <c r="BZ54" s="19" t="n">
        <f aca="false">IF(AND(Projects!$G$45="Yes",BZ$3&gt;=Projects!$C$45,BZ$3&lt;Projects!$C$45+Projects!$D$45),Projects!$B$45*INDEX(Curves!$B$4:$AR$4,1,BZ$3-Projects!$C$45+1),0)-IF(AND(Projects!$G$45="Yes",BZ$3&gt;=Projects!$C$45,BZ$3&lt;Projects!$C$45+Projects!$D$45),Projects!$B$45*(Assumptions!$B$10+Assumptions!$B$11+Assumptions!$B$12)/Projects!$D$45*0.95,0)-IF(AND(Projects!$G$45="Yes",BZ$3=Projects!$C$45+Projects!$D$45-1),Projects!$B$45*(Assumptions!$B$10+Assumptions!$B$11+Assumptions!$B$12)*0.05,0)</f>
        <v>0</v>
      </c>
      <c r="CA54" s="19" t="n">
        <f aca="false">IF(AND(Projects!$G$45="Yes",CA$3&gt;=Projects!$C$45,CA$3&lt;Projects!$C$45+Projects!$D$45),Projects!$B$45*INDEX(Curves!$B$4:$AR$4,1,CA$3-Projects!$C$45+1),0)-IF(AND(Projects!$G$45="Yes",CA$3&gt;=Projects!$C$45,CA$3&lt;Projects!$C$45+Projects!$D$45),Projects!$B$45*(Assumptions!$B$10+Assumptions!$B$11+Assumptions!$B$12)/Projects!$D$45*0.95,0)-IF(AND(Projects!$G$45="Yes",CA$3=Projects!$C$45+Projects!$D$45-1),Projects!$B$45*(Assumptions!$B$10+Assumptions!$B$11+Assumptions!$B$12)*0.05,0)</f>
        <v>0</v>
      </c>
      <c r="CB54" s="19" t="n">
        <f aca="false">IF(AND(Projects!$G$45="Yes",CB$3&gt;=Projects!$C$45,CB$3&lt;Projects!$C$45+Projects!$D$45),Projects!$B$45*INDEX(Curves!$B$4:$AR$4,1,CB$3-Projects!$C$45+1),0)-IF(AND(Projects!$G$45="Yes",CB$3&gt;=Projects!$C$45,CB$3&lt;Projects!$C$45+Projects!$D$45),Projects!$B$45*(Assumptions!$B$10+Assumptions!$B$11+Assumptions!$B$12)/Projects!$D$45*0.95,0)-IF(AND(Projects!$G$45="Yes",CB$3=Projects!$C$45+Projects!$D$45-1),Projects!$B$45*(Assumptions!$B$10+Assumptions!$B$11+Assumptions!$B$12)*0.05,0)</f>
        <v>0</v>
      </c>
      <c r="CC54" s="19" t="n">
        <f aca="false">IF(AND(Projects!$G$45="Yes",CC$3&gt;=Projects!$C$45,CC$3&lt;Projects!$C$45+Projects!$D$45),Projects!$B$45*INDEX(Curves!$B$4:$AR$4,1,CC$3-Projects!$C$45+1),0)-IF(AND(Projects!$G$45="Yes",CC$3&gt;=Projects!$C$45,CC$3&lt;Projects!$C$45+Projects!$D$45),Projects!$B$45*(Assumptions!$B$10+Assumptions!$B$11+Assumptions!$B$12)/Projects!$D$45*0.95,0)-IF(AND(Projects!$G$45="Yes",CC$3=Projects!$C$45+Projects!$D$45-1),Projects!$B$45*(Assumptions!$B$10+Assumptions!$B$11+Assumptions!$B$12)*0.05,0)</f>
        <v>0</v>
      </c>
      <c r="CD54" s="19" t="n">
        <f aca="false">IF(AND(Projects!$G$45="Yes",CD$3&gt;=Projects!$C$45,CD$3&lt;Projects!$C$45+Projects!$D$45),Projects!$B$45*INDEX(Curves!$B$4:$AR$4,1,CD$3-Projects!$C$45+1),0)-IF(AND(Projects!$G$45="Yes",CD$3&gt;=Projects!$C$45,CD$3&lt;Projects!$C$45+Projects!$D$45),Projects!$B$45*(Assumptions!$B$10+Assumptions!$B$11+Assumptions!$B$12)/Projects!$D$45*0.95,0)-IF(AND(Projects!$G$45="Yes",CD$3=Projects!$C$45+Projects!$D$45-1),Projects!$B$45*(Assumptions!$B$10+Assumptions!$B$11+Assumptions!$B$12)*0.05,0)</f>
        <v>0</v>
      </c>
      <c r="CE54" s="19" t="n">
        <f aca="false">IF(AND(Projects!$G$45="Yes",CE$3&gt;=Projects!$C$45,CE$3&lt;Projects!$C$45+Projects!$D$45),Projects!$B$45*INDEX(Curves!$B$4:$AR$4,1,CE$3-Projects!$C$45+1),0)-IF(AND(Projects!$G$45="Yes",CE$3&gt;=Projects!$C$45,CE$3&lt;Projects!$C$45+Projects!$D$45),Projects!$B$45*(Assumptions!$B$10+Assumptions!$B$11+Assumptions!$B$12)/Projects!$D$45*0.95,0)-IF(AND(Projects!$G$45="Yes",CE$3=Projects!$C$45+Projects!$D$45-1),Projects!$B$45*(Assumptions!$B$10+Assumptions!$B$11+Assumptions!$B$12)*0.05,0)</f>
        <v>0</v>
      </c>
      <c r="CF54" s="19" t="n">
        <f aca="false">IF(AND(Projects!$G$45="Yes",CF$3&gt;=Projects!$C$45,CF$3&lt;Projects!$C$45+Projects!$D$45),Projects!$B$45*INDEX(Curves!$B$4:$AR$4,1,CF$3-Projects!$C$45+1),0)-IF(AND(Projects!$G$45="Yes",CF$3&gt;=Projects!$C$45,CF$3&lt;Projects!$C$45+Projects!$D$45),Projects!$B$45*(Assumptions!$B$10+Assumptions!$B$11+Assumptions!$B$12)/Projects!$D$45*0.95,0)-IF(AND(Projects!$G$45="Yes",CF$3=Projects!$C$45+Projects!$D$45-1),Projects!$B$45*(Assumptions!$B$10+Assumptions!$B$11+Assumptions!$B$12)*0.05,0)</f>
        <v>0</v>
      </c>
      <c r="CG54" s="19" t="n">
        <f aca="false">IF(AND(Projects!$G$45="Yes",CG$3&gt;=Projects!$C$45,CG$3&lt;Projects!$C$45+Projects!$D$45),Projects!$B$45*INDEX(Curves!$B$4:$AR$4,1,CG$3-Projects!$C$45+1),0)-IF(AND(Projects!$G$45="Yes",CG$3&gt;=Projects!$C$45,CG$3&lt;Projects!$C$45+Projects!$D$45),Projects!$B$45*(Assumptions!$B$10+Assumptions!$B$11+Assumptions!$B$12)/Projects!$D$45*0.95,0)-IF(AND(Projects!$G$45="Yes",CG$3=Projects!$C$45+Projects!$D$45-1),Projects!$B$45*(Assumptions!$B$10+Assumptions!$B$11+Assumptions!$B$12)*0.05,0)</f>
        <v>0</v>
      </c>
      <c r="CH54" s="19" t="n">
        <f aca="false">IF(AND(Projects!$G$45="Yes",CH$3&gt;=Projects!$C$45,CH$3&lt;Projects!$C$45+Projects!$D$45),Projects!$B$45*INDEX(Curves!$B$4:$AR$4,1,CH$3-Projects!$C$45+1),0)-IF(AND(Projects!$G$45="Yes",CH$3&gt;=Projects!$C$45,CH$3&lt;Projects!$C$45+Projects!$D$45),Projects!$B$45*(Assumptions!$B$10+Assumptions!$B$11+Assumptions!$B$12)/Projects!$D$45*0.95,0)-IF(AND(Projects!$G$45="Yes",CH$3=Projects!$C$45+Projects!$D$45-1),Projects!$B$45*(Assumptions!$B$10+Assumptions!$B$11+Assumptions!$B$12)*0.05,0)</f>
        <v>0</v>
      </c>
      <c r="CI54" s="19" t="n">
        <f aca="false">IF(AND(Projects!$G$45="Yes",CI$3&gt;=Projects!$C$45,CI$3&lt;Projects!$C$45+Projects!$D$45),Projects!$B$45*INDEX(Curves!$B$4:$AR$4,1,CI$3-Projects!$C$45+1),0)-IF(AND(Projects!$G$45="Yes",CI$3&gt;=Projects!$C$45,CI$3&lt;Projects!$C$45+Projects!$D$45),Projects!$B$45*(Assumptions!$B$10+Assumptions!$B$11+Assumptions!$B$12)/Projects!$D$45*0.95,0)-IF(AND(Projects!$G$45="Yes",CI$3=Projects!$C$45+Projects!$D$45-1),Projects!$B$45*(Assumptions!$B$10+Assumptions!$B$11+Assumptions!$B$12)*0.05,0)</f>
        <v>0</v>
      </c>
      <c r="CJ54" s="19" t="n">
        <f aca="false">IF(AND(Projects!$G$45="Yes",CJ$3&gt;=Projects!$C$45,CJ$3&lt;Projects!$C$45+Projects!$D$45),Projects!$B$45*INDEX(Curves!$B$4:$AR$4,1,CJ$3-Projects!$C$45+1),0)-IF(AND(Projects!$G$45="Yes",CJ$3&gt;=Projects!$C$45,CJ$3&lt;Projects!$C$45+Projects!$D$45),Projects!$B$45*(Assumptions!$B$10+Assumptions!$B$11+Assumptions!$B$12)/Projects!$D$45*0.95,0)-IF(AND(Projects!$G$45="Yes",CJ$3=Projects!$C$45+Projects!$D$45-1),Projects!$B$45*(Assumptions!$B$10+Assumptions!$B$11+Assumptions!$B$12)*0.05,0)</f>
        <v>0</v>
      </c>
      <c r="CK54" s="19" t="n">
        <f aca="false">IF(AND(Projects!$G$45="Yes",CK$3&gt;=Projects!$C$45,CK$3&lt;Projects!$C$45+Projects!$D$45),Projects!$B$45*INDEX(Curves!$B$4:$AR$4,1,CK$3-Projects!$C$45+1),0)-IF(AND(Projects!$G$45="Yes",CK$3&gt;=Projects!$C$45,CK$3&lt;Projects!$C$45+Projects!$D$45),Projects!$B$45*(Assumptions!$B$10+Assumptions!$B$11+Assumptions!$B$12)/Projects!$D$45*0.95,0)-IF(AND(Projects!$G$45="Yes",CK$3=Projects!$C$45+Projects!$D$45-1),Projects!$B$45*(Assumptions!$B$10+Assumptions!$B$11+Assumptions!$B$12)*0.05,0)</f>
        <v>0</v>
      </c>
      <c r="CL54" s="19" t="n">
        <f aca="false">IF(AND(Projects!$G$45="Yes",CL$3&gt;=Projects!$C$45,CL$3&lt;Projects!$C$45+Projects!$D$45),Projects!$B$45*INDEX(Curves!$B$4:$AR$4,1,CL$3-Projects!$C$45+1),0)-IF(AND(Projects!$G$45="Yes",CL$3&gt;=Projects!$C$45,CL$3&lt;Projects!$C$45+Projects!$D$45),Projects!$B$45*(Assumptions!$B$10+Assumptions!$B$11+Assumptions!$B$12)/Projects!$D$45*0.95,0)-IF(AND(Projects!$G$45="Yes",CL$3=Projects!$C$45+Projects!$D$45-1),Projects!$B$45*(Assumptions!$B$10+Assumptions!$B$11+Assumptions!$B$12)*0.05,0)</f>
        <v>0</v>
      </c>
      <c r="CM54" s="19" t="n">
        <f aca="false">IF(AND(Projects!$G$45="Yes",CM$3&gt;=Projects!$C$45,CM$3&lt;Projects!$C$45+Projects!$D$45),Projects!$B$45*INDEX(Curves!$B$4:$AR$4,1,CM$3-Projects!$C$45+1),0)-IF(AND(Projects!$G$45="Yes",CM$3&gt;=Projects!$C$45,CM$3&lt;Projects!$C$45+Projects!$D$45),Projects!$B$45*(Assumptions!$B$10+Assumptions!$B$11+Assumptions!$B$12)/Projects!$D$45*0.95,0)-IF(AND(Projects!$G$45="Yes",CM$3=Projects!$C$45+Projects!$D$45-1),Projects!$B$45*(Assumptions!$B$10+Assumptions!$B$11+Assumptions!$B$12)*0.05,0)</f>
        <v>0</v>
      </c>
      <c r="CN54" s="19" t="n">
        <f aca="false">IF(AND(Projects!$G$45="Yes",CN$3&gt;=Projects!$C$45,CN$3&lt;Projects!$C$45+Projects!$D$45),Projects!$B$45*INDEX(Curves!$B$4:$AR$4,1,CN$3-Projects!$C$45+1),0)-IF(AND(Projects!$G$45="Yes",CN$3&gt;=Projects!$C$45,CN$3&lt;Projects!$C$45+Projects!$D$45),Projects!$B$45*(Assumptions!$B$10+Assumptions!$B$11+Assumptions!$B$12)/Projects!$D$45*0.95,0)-IF(AND(Projects!$G$45="Yes",CN$3=Projects!$C$45+Projects!$D$45-1),Projects!$B$45*(Assumptions!$B$10+Assumptions!$B$11+Assumptions!$B$12)*0.05,0)</f>
        <v>0</v>
      </c>
      <c r="CO54" s="19" t="n">
        <f aca="false">IF(AND(Projects!$G$45="Yes",CO$3&gt;=Projects!$C$45,CO$3&lt;Projects!$C$45+Projects!$D$45),Projects!$B$45*INDEX(Curves!$B$4:$AR$4,1,CO$3-Projects!$C$45+1),0)-IF(AND(Projects!$G$45="Yes",CO$3&gt;=Projects!$C$45,CO$3&lt;Projects!$C$45+Projects!$D$45),Projects!$B$45*(Assumptions!$B$10+Assumptions!$B$11+Assumptions!$B$12)/Projects!$D$45*0.95,0)-IF(AND(Projects!$G$45="Yes",CO$3=Projects!$C$45+Projects!$D$45-1),Projects!$B$45*(Assumptions!$B$10+Assumptions!$B$11+Assumptions!$B$12)*0.05,0)</f>
        <v>0</v>
      </c>
      <c r="CP54" s="19" t="n">
        <f aca="false">IF(AND(Projects!$G$45="Yes",CP$3&gt;=Projects!$C$45,CP$3&lt;Projects!$C$45+Projects!$D$45),Projects!$B$45*INDEX(Curves!$B$4:$AR$4,1,CP$3-Projects!$C$45+1),0)-IF(AND(Projects!$G$45="Yes",CP$3&gt;=Projects!$C$45,CP$3&lt;Projects!$C$45+Projects!$D$45),Projects!$B$45*(Assumptions!$B$10+Assumptions!$B$11+Assumptions!$B$12)/Projects!$D$45*0.95,0)-IF(AND(Projects!$G$45="Yes",CP$3=Projects!$C$45+Projects!$D$45-1),Projects!$B$45*(Assumptions!$B$10+Assumptions!$B$11+Assumptions!$B$12)*0.05,0)</f>
        <v>0</v>
      </c>
      <c r="CQ54" s="19" t="n">
        <f aca="false">IF(AND(Projects!$G$45="Yes",CQ$3&gt;=Projects!$C$45,CQ$3&lt;Projects!$C$45+Projects!$D$45),Projects!$B$45*INDEX(Curves!$B$4:$AR$4,1,CQ$3-Projects!$C$45+1),0)-IF(AND(Projects!$G$45="Yes",CQ$3&gt;=Projects!$C$45,CQ$3&lt;Projects!$C$45+Projects!$D$45),Projects!$B$45*(Assumptions!$B$10+Assumptions!$B$11+Assumptions!$B$12)/Projects!$D$45*0.95,0)-IF(AND(Projects!$G$45="Yes",CQ$3=Projects!$C$45+Projects!$D$45-1),Projects!$B$45*(Assumptions!$B$10+Assumptions!$B$11+Assumptions!$B$12)*0.05,0)</f>
        <v>0</v>
      </c>
      <c r="CR54" s="19" t="n">
        <f aca="false">IF(AND(Projects!$G$45="Yes",CR$3&gt;=Projects!$C$45,CR$3&lt;Projects!$C$45+Projects!$D$45),Projects!$B$45*INDEX(Curves!$B$4:$AR$4,1,CR$3-Projects!$C$45+1),0)-IF(AND(Projects!$G$45="Yes",CR$3&gt;=Projects!$C$45,CR$3&lt;Projects!$C$45+Projects!$D$45),Projects!$B$45*(Assumptions!$B$10+Assumptions!$B$11+Assumptions!$B$12)/Projects!$D$45*0.95,0)-IF(AND(Projects!$G$45="Yes",CR$3=Projects!$C$45+Projects!$D$45-1),Projects!$B$45*(Assumptions!$B$10+Assumptions!$B$11+Assumptions!$B$12)*0.05,0)</f>
        <v>0</v>
      </c>
      <c r="CS54" s="19" t="n">
        <f aca="false">IF(AND(Projects!$G$45="Yes",CS$3&gt;=Projects!$C$45,CS$3&lt;Projects!$C$45+Projects!$D$45),Projects!$B$45*INDEX(Curves!$B$4:$AR$4,1,CS$3-Projects!$C$45+1),0)-IF(AND(Projects!$G$45="Yes",CS$3&gt;=Projects!$C$45,CS$3&lt;Projects!$C$45+Projects!$D$45),Projects!$B$45*(Assumptions!$B$10+Assumptions!$B$11+Assumptions!$B$12)/Projects!$D$45*0.95,0)-IF(AND(Projects!$G$45="Yes",CS$3=Projects!$C$45+Projects!$D$45-1),Projects!$B$45*(Assumptions!$B$10+Assumptions!$B$11+Assumptions!$B$12)*0.05,0)</f>
        <v>0</v>
      </c>
      <c r="CT54" s="19" t="n">
        <f aca="false">IF(AND(Projects!$G$45="Yes",CT$3&gt;=Projects!$C$45,CT$3&lt;Projects!$C$45+Projects!$D$45),Projects!$B$45*INDEX(Curves!$B$4:$AR$4,1,CT$3-Projects!$C$45+1),0)-IF(AND(Projects!$G$45="Yes",CT$3&gt;=Projects!$C$45,CT$3&lt;Projects!$C$45+Projects!$D$45),Projects!$B$45*(Assumptions!$B$10+Assumptions!$B$11+Assumptions!$B$12)/Projects!$D$45*0.95,0)-IF(AND(Projects!$G$45="Yes",CT$3=Projects!$C$45+Projects!$D$45-1),Projects!$B$45*(Assumptions!$B$10+Assumptions!$B$11+Assumptions!$B$12)*0.05,0)</f>
        <v>0</v>
      </c>
      <c r="CU54" s="19" t="n">
        <f aca="false">IF(AND(Projects!$G$45="Yes",CU$3&gt;=Projects!$C$45,CU$3&lt;Projects!$C$45+Projects!$D$45),Projects!$B$45*INDEX(Curves!$B$4:$AR$4,1,CU$3-Projects!$C$45+1),0)-IF(AND(Projects!$G$45="Yes",CU$3&gt;=Projects!$C$45,CU$3&lt;Projects!$C$45+Projects!$D$45),Projects!$B$45*(Assumptions!$B$10+Assumptions!$B$11+Assumptions!$B$12)/Projects!$D$45*0.95,0)-IF(AND(Projects!$G$45="Yes",CU$3=Projects!$C$45+Projects!$D$45-1),Projects!$B$45*(Assumptions!$B$10+Assumptions!$B$11+Assumptions!$B$12)*0.05,0)</f>
        <v>0</v>
      </c>
      <c r="CV54" s="19" t="n">
        <f aca="false">IF(AND(Projects!$G$45="Yes",CV$3&gt;=Projects!$C$45,CV$3&lt;Projects!$C$45+Projects!$D$45),Projects!$B$45*INDEX(Curves!$B$4:$AR$4,1,CV$3-Projects!$C$45+1),0)-IF(AND(Projects!$G$45="Yes",CV$3&gt;=Projects!$C$45,CV$3&lt;Projects!$C$45+Projects!$D$45),Projects!$B$45*(Assumptions!$B$10+Assumptions!$B$11+Assumptions!$B$12)/Projects!$D$45*0.95,0)-IF(AND(Projects!$G$45="Yes",CV$3=Projects!$C$45+Projects!$D$45-1),Projects!$B$45*(Assumptions!$B$10+Assumptions!$B$11+Assumptions!$B$12)*0.05,0)</f>
        <v>0</v>
      </c>
      <c r="CW54" s="19" t="n">
        <f aca="false">IF(AND(Projects!$G$45="Yes",CW$3&gt;=Projects!$C$45,CW$3&lt;Projects!$C$45+Projects!$D$45),Projects!$B$45*INDEX(Curves!$B$4:$AR$4,1,CW$3-Projects!$C$45+1),0)-IF(AND(Projects!$G$45="Yes",CW$3&gt;=Projects!$C$45,CW$3&lt;Projects!$C$45+Projects!$D$45),Projects!$B$45*(Assumptions!$B$10+Assumptions!$B$11+Assumptions!$B$12)/Projects!$D$45*0.95,0)-IF(AND(Projects!$G$45="Yes",CW$3=Projects!$C$45+Projects!$D$45-1),Projects!$B$45*(Assumptions!$B$10+Assumptions!$B$11+Assumptions!$B$12)*0.05,0)</f>
        <v>0</v>
      </c>
      <c r="CX54" s="19" t="n">
        <f aca="false">IF(AND(Projects!$G$45="Yes",CX$3&gt;=Projects!$C$45,CX$3&lt;Projects!$C$45+Projects!$D$45),Projects!$B$45*INDEX(Curves!$B$4:$AR$4,1,CX$3-Projects!$C$45+1),0)-IF(AND(Projects!$G$45="Yes",CX$3&gt;=Projects!$C$45,CX$3&lt;Projects!$C$45+Projects!$D$45),Projects!$B$45*(Assumptions!$B$10+Assumptions!$B$11+Assumptions!$B$12)/Projects!$D$45*0.95,0)-IF(AND(Projects!$G$45="Yes",CX$3=Projects!$C$45+Projects!$D$45-1),Projects!$B$45*(Assumptions!$B$10+Assumptions!$B$11+Assumptions!$B$12)*0.05,0)</f>
        <v>0</v>
      </c>
      <c r="CY54" s="19" t="n">
        <f aca="false">IF(AND(Projects!$G$45="Yes",CY$3&gt;=Projects!$C$45,CY$3&lt;Projects!$C$45+Projects!$D$45),Projects!$B$45*INDEX(Curves!$B$4:$AR$4,1,CY$3-Projects!$C$45+1),0)-IF(AND(Projects!$G$45="Yes",CY$3&gt;=Projects!$C$45,CY$3&lt;Projects!$C$45+Projects!$D$45),Projects!$B$45*(Assumptions!$B$10+Assumptions!$B$11+Assumptions!$B$12)/Projects!$D$45*0.95,0)-IF(AND(Projects!$G$45="Yes",CY$3=Projects!$C$45+Projects!$D$45-1),Projects!$B$45*(Assumptions!$B$10+Assumptions!$B$11+Assumptions!$B$12)*0.05,0)</f>
        <v>0</v>
      </c>
      <c r="CZ54" s="19" t="n">
        <f aca="false">IF(AND(Projects!$G$45="Yes",CZ$3&gt;=Projects!$C$45,CZ$3&lt;Projects!$C$45+Projects!$D$45),Projects!$B$45*INDEX(Curves!$B$4:$AR$4,1,CZ$3-Projects!$C$45+1),0)-IF(AND(Projects!$G$45="Yes",CZ$3&gt;=Projects!$C$45,CZ$3&lt;Projects!$C$45+Projects!$D$45),Projects!$B$45*(Assumptions!$B$10+Assumptions!$B$11+Assumptions!$B$12)/Projects!$D$45*0.95,0)-IF(AND(Projects!$G$45="Yes",CZ$3=Projects!$C$45+Projects!$D$45-1),Projects!$B$45*(Assumptions!$B$10+Assumptions!$B$11+Assumptions!$B$12)*0.05,0)</f>
        <v>0</v>
      </c>
      <c r="DA54" s="19" t="n">
        <f aca="false">IF(AND(Projects!$G$45="Yes",DA$3&gt;=Projects!$C$45,DA$3&lt;Projects!$C$45+Projects!$D$45),Projects!$B$45*INDEX(Curves!$B$4:$AR$4,1,DA$3-Projects!$C$45+1),0)-IF(AND(Projects!$G$45="Yes",DA$3&gt;=Projects!$C$45,DA$3&lt;Projects!$C$45+Projects!$D$45),Projects!$B$45*(Assumptions!$B$10+Assumptions!$B$11+Assumptions!$B$12)/Projects!$D$45*0.95,0)-IF(AND(Projects!$G$45="Yes",DA$3=Projects!$C$45+Projects!$D$45-1),Projects!$B$45*(Assumptions!$B$10+Assumptions!$B$11+Assumptions!$B$12)*0.05,0)</f>
        <v>0</v>
      </c>
      <c r="DB54" s="19" t="n">
        <f aca="false">IF(AND(Projects!$G$45="Yes",DB$3&gt;=Projects!$C$45,DB$3&lt;Projects!$C$45+Projects!$D$45),Projects!$B$45*INDEX(Curves!$B$4:$AR$4,1,DB$3-Projects!$C$45+1),0)-IF(AND(Projects!$G$45="Yes",DB$3&gt;=Projects!$C$45,DB$3&lt;Projects!$C$45+Projects!$D$45),Projects!$B$45*(Assumptions!$B$10+Assumptions!$B$11+Assumptions!$B$12)/Projects!$D$45*0.95,0)-IF(AND(Projects!$G$45="Yes",DB$3=Projects!$C$45+Projects!$D$45-1),Projects!$B$45*(Assumptions!$B$10+Assumptions!$B$11+Assumptions!$B$12)*0.05,0)</f>
        <v>0</v>
      </c>
      <c r="DC54" s="19" t="n">
        <f aca="false">IF(AND(Projects!$G$45="Yes",DC$3&gt;=Projects!$C$45,DC$3&lt;Projects!$C$45+Projects!$D$45),Projects!$B$45*INDEX(Curves!$B$4:$AR$4,1,DC$3-Projects!$C$45+1),0)-IF(AND(Projects!$G$45="Yes",DC$3&gt;=Projects!$C$45,DC$3&lt;Projects!$C$45+Projects!$D$45),Projects!$B$45*(Assumptions!$B$10+Assumptions!$B$11+Assumptions!$B$12)/Projects!$D$45*0.95,0)-IF(AND(Projects!$G$45="Yes",DC$3=Projects!$C$45+Projects!$D$45-1),Projects!$B$45*(Assumptions!$B$10+Assumptions!$B$11+Assumptions!$B$12)*0.05,0)</f>
        <v>0</v>
      </c>
      <c r="DD54" s="19" t="n">
        <f aca="false">IF(AND(Projects!$G$45="Yes",DD$3&gt;=Projects!$C$45,DD$3&lt;Projects!$C$45+Projects!$D$45),Projects!$B$45*INDEX(Curves!$B$4:$AR$4,1,DD$3-Projects!$C$45+1),0)-IF(AND(Projects!$G$45="Yes",DD$3&gt;=Projects!$C$45,DD$3&lt;Projects!$C$45+Projects!$D$45),Projects!$B$45*(Assumptions!$B$10+Assumptions!$B$11+Assumptions!$B$12)/Projects!$D$45*0.95,0)-IF(AND(Projects!$G$45="Yes",DD$3=Projects!$C$45+Projects!$D$45-1),Projects!$B$45*(Assumptions!$B$10+Assumptions!$B$11+Assumptions!$B$12)*0.05,0)</f>
        <v>0</v>
      </c>
      <c r="DE54" s="19" t="n">
        <f aca="false">IF(AND(Projects!$G$45="Yes",DE$3&gt;=Projects!$C$45,DE$3&lt;Projects!$C$45+Projects!$D$45),Projects!$B$45*INDEX(Curves!$B$4:$AR$4,1,DE$3-Projects!$C$45+1),0)-IF(AND(Projects!$G$45="Yes",DE$3&gt;=Projects!$C$45,DE$3&lt;Projects!$C$45+Projects!$D$45),Projects!$B$45*(Assumptions!$B$10+Assumptions!$B$11+Assumptions!$B$12)/Projects!$D$45*0.95,0)-IF(AND(Projects!$G$45="Yes",DE$3=Projects!$C$45+Projects!$D$45-1),Projects!$B$45*(Assumptions!$B$10+Assumptions!$B$11+Assumptions!$B$12)*0.05,0)</f>
        <v>0</v>
      </c>
    </row>
    <row r="55" customFormat="false" ht="15" hidden="true" customHeight="true" outlineLevel="1" collapsed="false">
      <c r="A55" s="28" t="s">
        <v>49</v>
      </c>
      <c r="B55" s="19" t="n">
        <v>0</v>
      </c>
      <c r="C55" s="19" t="n">
        <v>0</v>
      </c>
      <c r="D55" s="19" t="n">
        <v>0</v>
      </c>
      <c r="E55" s="19" t="n">
        <v>0</v>
      </c>
      <c r="F55" s="19" t="n">
        <f aca="false">IF(AND(Projects!$G$46="Yes",F$3&gt;=Projects!$C$46,F$3&lt;Projects!$C$46+Projects!$D$46),Projects!$B$46*INDEX(Curves!$B$4:$AR$4,1,F$3-Projects!$C$46+1),0)-IF(AND(Projects!$G$46="Yes",F$3&gt;=Projects!$C$46,F$3&lt;Projects!$C$46+Projects!$D$46),Projects!$B$46*(Assumptions!$B$10+Assumptions!$B$11+Assumptions!$B$12)/Projects!$D$46*0.95,0)-IF(AND(Projects!$G$46="Yes",F$3=Projects!$C$46+Projects!$D$46-1),Projects!$B$46*(Assumptions!$B$10+Assumptions!$B$11+Assumptions!$B$12)*0.05,0)</f>
        <v>0</v>
      </c>
      <c r="G55" s="19" t="n">
        <f aca="false">IF(AND(Projects!$G$46="Yes",G$3&gt;=Projects!$C$46,G$3&lt;Projects!$C$46+Projects!$D$46),Projects!$B$46*INDEX(Curves!$B$4:$AR$4,1,G$3-Projects!$C$46+1),0)-IF(AND(Projects!$G$46="Yes",G$3&gt;=Projects!$C$46,G$3&lt;Projects!$C$46+Projects!$D$46),Projects!$B$46*(Assumptions!$B$10+Assumptions!$B$11+Assumptions!$B$12)/Projects!$D$46*0.95,0)-IF(AND(Projects!$G$46="Yes",G$3=Projects!$C$46+Projects!$D$46-1),Projects!$B$46*(Assumptions!$B$10+Assumptions!$B$11+Assumptions!$B$12)*0.05,0)</f>
        <v>0</v>
      </c>
      <c r="H55" s="19" t="n">
        <f aca="false">IF(AND(Projects!$G$46="Yes",H$3&gt;=Projects!$C$46,H$3&lt;Projects!$C$46+Projects!$D$46),Projects!$B$46*INDEX(Curves!$B$4:$AR$4,1,H$3-Projects!$C$46+1),0)-IF(AND(Projects!$G$46="Yes",H$3&gt;=Projects!$C$46,H$3&lt;Projects!$C$46+Projects!$D$46),Projects!$B$46*(Assumptions!$B$10+Assumptions!$B$11+Assumptions!$B$12)/Projects!$D$46*0.95,0)-IF(AND(Projects!$G$46="Yes",H$3=Projects!$C$46+Projects!$D$46-1),Projects!$B$46*(Assumptions!$B$10+Assumptions!$B$11+Assumptions!$B$12)*0.05,0)</f>
        <v>0</v>
      </c>
      <c r="I55" s="19" t="n">
        <f aca="false">IF(AND(Projects!$G$46="Yes",I$3&gt;=Projects!$C$46,I$3&lt;Projects!$C$46+Projects!$D$46),Projects!$B$46*INDEX(Curves!$B$4:$AR$4,1,I$3-Projects!$C$46+1),0)-IF(AND(Projects!$G$46="Yes",I$3&gt;=Projects!$C$46,I$3&lt;Projects!$C$46+Projects!$D$46),Projects!$B$46*(Assumptions!$B$10+Assumptions!$B$11+Assumptions!$B$12)/Projects!$D$46*0.95,0)-IF(AND(Projects!$G$46="Yes",I$3=Projects!$C$46+Projects!$D$46-1),Projects!$B$46*(Assumptions!$B$10+Assumptions!$B$11+Assumptions!$B$12)*0.05,0)</f>
        <v>0</v>
      </c>
      <c r="J55" s="19" t="n">
        <f aca="false">IF(AND(Projects!$G$46="Yes",J$3&gt;=Projects!$C$46,J$3&lt;Projects!$C$46+Projects!$D$46),Projects!$B$46*INDEX(Curves!$B$4:$AR$4,1,J$3-Projects!$C$46+1),0)-IF(AND(Projects!$G$46="Yes",J$3&gt;=Projects!$C$46,J$3&lt;Projects!$C$46+Projects!$D$46),Projects!$B$46*(Assumptions!$B$10+Assumptions!$B$11+Assumptions!$B$12)/Projects!$D$46*0.95,0)-IF(AND(Projects!$G$46="Yes",J$3=Projects!$C$46+Projects!$D$46-1),Projects!$B$46*(Assumptions!$B$10+Assumptions!$B$11+Assumptions!$B$12)*0.05,0)</f>
        <v>0</v>
      </c>
      <c r="K55" s="19" t="n">
        <f aca="false">IF(AND(Projects!$G$46="Yes",K$3&gt;=Projects!$C$46,K$3&lt;Projects!$C$46+Projects!$D$46),Projects!$B$46*INDEX(Curves!$B$4:$AR$4,1,K$3-Projects!$C$46+1),0)-IF(AND(Projects!$G$46="Yes",K$3&gt;=Projects!$C$46,K$3&lt;Projects!$C$46+Projects!$D$46),Projects!$B$46*(Assumptions!$B$10+Assumptions!$B$11+Assumptions!$B$12)/Projects!$D$46*0.95,0)-IF(AND(Projects!$G$46="Yes",K$3=Projects!$C$46+Projects!$D$46-1),Projects!$B$46*(Assumptions!$B$10+Assumptions!$B$11+Assumptions!$B$12)*0.05,0)</f>
        <v>0</v>
      </c>
      <c r="L55" s="19" t="n">
        <f aca="false">IF(AND(Projects!$G$46="Yes",L$3&gt;=Projects!$C$46,L$3&lt;Projects!$C$46+Projects!$D$46),Projects!$B$46*INDEX(Curves!$B$4:$AR$4,1,L$3-Projects!$C$46+1),0)-IF(AND(Projects!$G$46="Yes",L$3&gt;=Projects!$C$46,L$3&lt;Projects!$C$46+Projects!$D$46),Projects!$B$46*(Assumptions!$B$10+Assumptions!$B$11+Assumptions!$B$12)/Projects!$D$46*0.95,0)-IF(AND(Projects!$G$46="Yes",L$3=Projects!$C$46+Projects!$D$46-1),Projects!$B$46*(Assumptions!$B$10+Assumptions!$B$11+Assumptions!$B$12)*0.05,0)</f>
        <v>0</v>
      </c>
      <c r="M55" s="19" t="n">
        <f aca="false">IF(AND(Projects!$G$46="Yes",M$3&gt;=Projects!$C$46,M$3&lt;Projects!$C$46+Projects!$D$46),Projects!$B$46*INDEX(Curves!$B$4:$AR$4,1,M$3-Projects!$C$46+1),0)-IF(AND(Projects!$G$46="Yes",M$3&gt;=Projects!$C$46,M$3&lt;Projects!$C$46+Projects!$D$46),Projects!$B$46*(Assumptions!$B$10+Assumptions!$B$11+Assumptions!$B$12)/Projects!$D$46*0.95,0)-IF(AND(Projects!$G$46="Yes",M$3=Projects!$C$46+Projects!$D$46-1),Projects!$B$46*(Assumptions!$B$10+Assumptions!$B$11+Assumptions!$B$12)*0.05,0)</f>
        <v>0</v>
      </c>
      <c r="N55" s="19" t="n">
        <f aca="false">IF(AND(Projects!$G$46="Yes",N$3&gt;=Projects!$C$46,N$3&lt;Projects!$C$46+Projects!$D$46),Projects!$B$46*INDEX(Curves!$B$4:$AR$4,1,N$3-Projects!$C$46+1),0)-IF(AND(Projects!$G$46="Yes",N$3&gt;=Projects!$C$46,N$3&lt;Projects!$C$46+Projects!$D$46),Projects!$B$46*(Assumptions!$B$10+Assumptions!$B$11+Assumptions!$B$12)/Projects!$D$46*0.95,0)-IF(AND(Projects!$G$46="Yes",N$3=Projects!$C$46+Projects!$D$46-1),Projects!$B$46*(Assumptions!$B$10+Assumptions!$B$11+Assumptions!$B$12)*0.05,0)</f>
        <v>0</v>
      </c>
      <c r="O55" s="19" t="n">
        <f aca="false">IF(AND(Projects!$G$46="Yes",O$3&gt;=Projects!$C$46,O$3&lt;Projects!$C$46+Projects!$D$46),Projects!$B$46*INDEX(Curves!$B$4:$AR$4,1,O$3-Projects!$C$46+1),0)-IF(AND(Projects!$G$46="Yes",O$3&gt;=Projects!$C$46,O$3&lt;Projects!$C$46+Projects!$D$46),Projects!$B$46*(Assumptions!$B$10+Assumptions!$B$11+Assumptions!$B$12)/Projects!$D$46*0.95,0)-IF(AND(Projects!$G$46="Yes",O$3=Projects!$C$46+Projects!$D$46-1),Projects!$B$46*(Assumptions!$B$10+Assumptions!$B$11+Assumptions!$B$12)*0.05,0)</f>
        <v>0</v>
      </c>
      <c r="P55" s="19" t="n">
        <f aca="false">IF(AND(Projects!$G$46="Yes",P$3&gt;=Projects!$C$46,P$3&lt;Projects!$C$46+Projects!$D$46),Projects!$B$46*INDEX(Curves!$B$4:$AR$4,1,P$3-Projects!$C$46+1),0)-IF(AND(Projects!$G$46="Yes",P$3&gt;=Projects!$C$46,P$3&lt;Projects!$C$46+Projects!$D$46),Projects!$B$46*(Assumptions!$B$10+Assumptions!$B$11+Assumptions!$B$12)/Projects!$D$46*0.95,0)-IF(AND(Projects!$G$46="Yes",P$3=Projects!$C$46+Projects!$D$46-1),Projects!$B$46*(Assumptions!$B$10+Assumptions!$B$11+Assumptions!$B$12)*0.05,0)</f>
        <v>0</v>
      </c>
      <c r="Q55" s="19" t="n">
        <f aca="false">IF(AND(Projects!$G$46="Yes",Q$3&gt;=Projects!$C$46,Q$3&lt;Projects!$C$46+Projects!$D$46),Projects!$B$46*INDEX(Curves!$B$4:$AR$4,1,Q$3-Projects!$C$46+1),0)-IF(AND(Projects!$G$46="Yes",Q$3&gt;=Projects!$C$46,Q$3&lt;Projects!$C$46+Projects!$D$46),Projects!$B$46*(Assumptions!$B$10+Assumptions!$B$11+Assumptions!$B$12)/Projects!$D$46*0.95,0)-IF(AND(Projects!$G$46="Yes",Q$3=Projects!$C$46+Projects!$D$46-1),Projects!$B$46*(Assumptions!$B$10+Assumptions!$B$11+Assumptions!$B$12)*0.05,0)</f>
        <v>0</v>
      </c>
      <c r="R55" s="19" t="n">
        <f aca="false">IF(AND(Projects!$G$46="Yes",R$3&gt;=Projects!$C$46,R$3&lt;Projects!$C$46+Projects!$D$46),Projects!$B$46*INDEX(Curves!$B$4:$AR$4,1,R$3-Projects!$C$46+1),0)-IF(AND(Projects!$G$46="Yes",R$3&gt;=Projects!$C$46,R$3&lt;Projects!$C$46+Projects!$D$46),Projects!$B$46*(Assumptions!$B$10+Assumptions!$B$11+Assumptions!$B$12)/Projects!$D$46*0.95,0)-IF(AND(Projects!$G$46="Yes",R$3=Projects!$C$46+Projects!$D$46-1),Projects!$B$46*(Assumptions!$B$10+Assumptions!$B$11+Assumptions!$B$12)*0.05,0)</f>
        <v>0</v>
      </c>
      <c r="S55" s="19" t="n">
        <f aca="false">IF(AND(Projects!$G$46="Yes",S$3&gt;=Projects!$C$46,S$3&lt;Projects!$C$46+Projects!$D$46),Projects!$B$46*INDEX(Curves!$B$4:$AR$4,1,S$3-Projects!$C$46+1),0)-IF(AND(Projects!$G$46="Yes",S$3&gt;=Projects!$C$46,S$3&lt;Projects!$C$46+Projects!$D$46),Projects!$B$46*(Assumptions!$B$10+Assumptions!$B$11+Assumptions!$B$12)/Projects!$D$46*0.95,0)-IF(AND(Projects!$G$46="Yes",S$3=Projects!$C$46+Projects!$D$46-1),Projects!$B$46*(Assumptions!$B$10+Assumptions!$B$11+Assumptions!$B$12)*0.05,0)</f>
        <v>0</v>
      </c>
      <c r="T55" s="19" t="n">
        <f aca="false">IF(AND(Projects!$G$46="Yes",T$3&gt;=Projects!$C$46,T$3&lt;Projects!$C$46+Projects!$D$46),Projects!$B$46*INDEX(Curves!$B$4:$AR$4,1,T$3-Projects!$C$46+1),0)-IF(AND(Projects!$G$46="Yes",T$3&gt;=Projects!$C$46,T$3&lt;Projects!$C$46+Projects!$D$46),Projects!$B$46*(Assumptions!$B$10+Assumptions!$B$11+Assumptions!$B$12)/Projects!$D$46*0.95,0)-IF(AND(Projects!$G$46="Yes",T$3=Projects!$C$46+Projects!$D$46-1),Projects!$B$46*(Assumptions!$B$10+Assumptions!$B$11+Assumptions!$B$12)*0.05,0)</f>
        <v>0</v>
      </c>
      <c r="U55" s="19" t="n">
        <f aca="false">IF(AND(Projects!$G$46="Yes",U$3&gt;=Projects!$C$46,U$3&lt;Projects!$C$46+Projects!$D$46),Projects!$B$46*INDEX(Curves!$B$4:$AR$4,1,U$3-Projects!$C$46+1),0)-IF(AND(Projects!$G$46="Yes",U$3&gt;=Projects!$C$46,U$3&lt;Projects!$C$46+Projects!$D$46),Projects!$B$46*(Assumptions!$B$10+Assumptions!$B$11+Assumptions!$B$12)/Projects!$D$46*0.95,0)-IF(AND(Projects!$G$46="Yes",U$3=Projects!$C$46+Projects!$D$46-1),Projects!$B$46*(Assumptions!$B$10+Assumptions!$B$11+Assumptions!$B$12)*0.05,0)</f>
        <v>0</v>
      </c>
      <c r="V55" s="19" t="n">
        <f aca="false">IF(AND(Projects!$G$46="Yes",V$3&gt;=Projects!$C$46,V$3&lt;Projects!$C$46+Projects!$D$46),Projects!$B$46*INDEX(Curves!$B$4:$AR$4,1,V$3-Projects!$C$46+1),0)-IF(AND(Projects!$G$46="Yes",V$3&gt;=Projects!$C$46,V$3&lt;Projects!$C$46+Projects!$D$46),Projects!$B$46*(Assumptions!$B$10+Assumptions!$B$11+Assumptions!$B$12)/Projects!$D$46*0.95,0)-IF(AND(Projects!$G$46="Yes",V$3=Projects!$C$46+Projects!$D$46-1),Projects!$B$46*(Assumptions!$B$10+Assumptions!$B$11+Assumptions!$B$12)*0.05,0)</f>
        <v>0</v>
      </c>
      <c r="W55" s="19" t="n">
        <f aca="false">IF(AND(Projects!$G$46="Yes",W$3&gt;=Projects!$C$46,W$3&lt;Projects!$C$46+Projects!$D$46),Projects!$B$46*INDEX(Curves!$B$4:$AR$4,1,W$3-Projects!$C$46+1),0)-IF(AND(Projects!$G$46="Yes",W$3&gt;=Projects!$C$46,W$3&lt;Projects!$C$46+Projects!$D$46),Projects!$B$46*(Assumptions!$B$10+Assumptions!$B$11+Assumptions!$B$12)/Projects!$D$46*0.95,0)-IF(AND(Projects!$G$46="Yes",W$3=Projects!$C$46+Projects!$D$46-1),Projects!$B$46*(Assumptions!$B$10+Assumptions!$B$11+Assumptions!$B$12)*0.05,0)</f>
        <v>0</v>
      </c>
      <c r="X55" s="19" t="n">
        <f aca="false">IF(AND(Projects!$G$46="Yes",X$3&gt;=Projects!$C$46,X$3&lt;Projects!$C$46+Projects!$D$46),Projects!$B$46*INDEX(Curves!$B$4:$AR$4,1,X$3-Projects!$C$46+1),0)-IF(AND(Projects!$G$46="Yes",X$3&gt;=Projects!$C$46,X$3&lt;Projects!$C$46+Projects!$D$46),Projects!$B$46*(Assumptions!$B$10+Assumptions!$B$11+Assumptions!$B$12)/Projects!$D$46*0.95,0)-IF(AND(Projects!$G$46="Yes",X$3=Projects!$C$46+Projects!$D$46-1),Projects!$B$46*(Assumptions!$B$10+Assumptions!$B$11+Assumptions!$B$12)*0.05,0)</f>
        <v>0</v>
      </c>
      <c r="Y55" s="19" t="n">
        <f aca="false">IF(AND(Projects!$G$46="Yes",Y$3&gt;=Projects!$C$46,Y$3&lt;Projects!$C$46+Projects!$D$46),Projects!$B$46*INDEX(Curves!$B$4:$AR$4,1,Y$3-Projects!$C$46+1),0)-IF(AND(Projects!$G$46="Yes",Y$3&gt;=Projects!$C$46,Y$3&lt;Projects!$C$46+Projects!$D$46),Projects!$B$46*(Assumptions!$B$10+Assumptions!$B$11+Assumptions!$B$12)/Projects!$D$46*0.95,0)-IF(AND(Projects!$G$46="Yes",Y$3=Projects!$C$46+Projects!$D$46-1),Projects!$B$46*(Assumptions!$B$10+Assumptions!$B$11+Assumptions!$B$12)*0.05,0)</f>
        <v>0</v>
      </c>
      <c r="Z55" s="19" t="n">
        <f aca="false">IF(AND(Projects!$G$46="Yes",Z$3&gt;=Projects!$C$46,Z$3&lt;Projects!$C$46+Projects!$D$46),Projects!$B$46*INDEX(Curves!$B$4:$AR$4,1,Z$3-Projects!$C$46+1),0)-IF(AND(Projects!$G$46="Yes",Z$3&gt;=Projects!$C$46,Z$3&lt;Projects!$C$46+Projects!$D$46),Projects!$B$46*(Assumptions!$B$10+Assumptions!$B$11+Assumptions!$B$12)/Projects!$D$46*0.95,0)-IF(AND(Projects!$G$46="Yes",Z$3=Projects!$C$46+Projects!$D$46-1),Projects!$B$46*(Assumptions!$B$10+Assumptions!$B$11+Assumptions!$B$12)*0.05,0)</f>
        <v>0</v>
      </c>
      <c r="AA55" s="19" t="n">
        <f aca="false">IF(AND(Projects!$G$46="Yes",AA$3&gt;=Projects!$C$46,AA$3&lt;Projects!$C$46+Projects!$D$46),Projects!$B$46*INDEX(Curves!$B$4:$AR$4,1,AA$3-Projects!$C$46+1),0)-IF(AND(Projects!$G$46="Yes",AA$3&gt;=Projects!$C$46,AA$3&lt;Projects!$C$46+Projects!$D$46),Projects!$B$46*(Assumptions!$B$10+Assumptions!$B$11+Assumptions!$B$12)/Projects!$D$46*0.95,0)-IF(AND(Projects!$G$46="Yes",AA$3=Projects!$C$46+Projects!$D$46-1),Projects!$B$46*(Assumptions!$B$10+Assumptions!$B$11+Assumptions!$B$12)*0.05,0)</f>
        <v>0</v>
      </c>
      <c r="AB55" s="19" t="n">
        <f aca="false">IF(AND(Projects!$G$46="Yes",AB$3&gt;=Projects!$C$46,AB$3&lt;Projects!$C$46+Projects!$D$46),Projects!$B$46*INDEX(Curves!$B$4:$AR$4,1,AB$3-Projects!$C$46+1),0)-IF(AND(Projects!$G$46="Yes",AB$3&gt;=Projects!$C$46,AB$3&lt;Projects!$C$46+Projects!$D$46),Projects!$B$46*(Assumptions!$B$10+Assumptions!$B$11+Assumptions!$B$12)/Projects!$D$46*0.95,0)-IF(AND(Projects!$G$46="Yes",AB$3=Projects!$C$46+Projects!$D$46-1),Projects!$B$46*(Assumptions!$B$10+Assumptions!$B$11+Assumptions!$B$12)*0.05,0)</f>
        <v>0</v>
      </c>
      <c r="AC55" s="19" t="n">
        <f aca="false">IF(AND(Projects!$G$46="Yes",AC$3&gt;=Projects!$C$46,AC$3&lt;Projects!$C$46+Projects!$D$46),Projects!$B$46*INDEX(Curves!$B$4:$AR$4,1,AC$3-Projects!$C$46+1),0)-IF(AND(Projects!$G$46="Yes",AC$3&gt;=Projects!$C$46,AC$3&lt;Projects!$C$46+Projects!$D$46),Projects!$B$46*(Assumptions!$B$10+Assumptions!$B$11+Assumptions!$B$12)/Projects!$D$46*0.95,0)-IF(AND(Projects!$G$46="Yes",AC$3=Projects!$C$46+Projects!$D$46-1),Projects!$B$46*(Assumptions!$B$10+Assumptions!$B$11+Assumptions!$B$12)*0.05,0)</f>
        <v>0</v>
      </c>
      <c r="AD55" s="19" t="n">
        <f aca="false">IF(AND(Projects!$G$46="Yes",AD$3&gt;=Projects!$C$46,AD$3&lt;Projects!$C$46+Projects!$D$46),Projects!$B$46*INDEX(Curves!$B$4:$AR$4,1,AD$3-Projects!$C$46+1),0)-IF(AND(Projects!$G$46="Yes",AD$3&gt;=Projects!$C$46,AD$3&lt;Projects!$C$46+Projects!$D$46),Projects!$B$46*(Assumptions!$B$10+Assumptions!$B$11+Assumptions!$B$12)/Projects!$D$46*0.95,0)-IF(AND(Projects!$G$46="Yes",AD$3=Projects!$C$46+Projects!$D$46-1),Projects!$B$46*(Assumptions!$B$10+Assumptions!$B$11+Assumptions!$B$12)*0.05,0)</f>
        <v>0</v>
      </c>
      <c r="AE55" s="19" t="n">
        <f aca="false">IF(AND(Projects!$G$46="Yes",AE$3&gt;=Projects!$C$46,AE$3&lt;Projects!$C$46+Projects!$D$46),Projects!$B$46*INDEX(Curves!$B$4:$AR$4,1,AE$3-Projects!$C$46+1),0)-IF(AND(Projects!$G$46="Yes",AE$3&gt;=Projects!$C$46,AE$3&lt;Projects!$C$46+Projects!$D$46),Projects!$B$46*(Assumptions!$B$10+Assumptions!$B$11+Assumptions!$B$12)/Projects!$D$46*0.95,0)-IF(AND(Projects!$G$46="Yes",AE$3=Projects!$C$46+Projects!$D$46-1),Projects!$B$46*(Assumptions!$B$10+Assumptions!$B$11+Assumptions!$B$12)*0.05,0)</f>
        <v>0</v>
      </c>
      <c r="AF55" s="19" t="n">
        <f aca="false">IF(AND(Projects!$G$46="Yes",AF$3&gt;=Projects!$C$46,AF$3&lt;Projects!$C$46+Projects!$D$46),Projects!$B$46*INDEX(Curves!$B$4:$AR$4,1,AF$3-Projects!$C$46+1),0)-IF(AND(Projects!$G$46="Yes",AF$3&gt;=Projects!$C$46,AF$3&lt;Projects!$C$46+Projects!$D$46),Projects!$B$46*(Assumptions!$B$10+Assumptions!$B$11+Assumptions!$B$12)/Projects!$D$46*0.95,0)-IF(AND(Projects!$G$46="Yes",AF$3=Projects!$C$46+Projects!$D$46-1),Projects!$B$46*(Assumptions!$B$10+Assumptions!$B$11+Assumptions!$B$12)*0.05,0)</f>
        <v>0</v>
      </c>
      <c r="AG55" s="19" t="n">
        <f aca="false">IF(AND(Projects!$G$46="Yes",AG$3&gt;=Projects!$C$46,AG$3&lt;Projects!$C$46+Projects!$D$46),Projects!$B$46*INDEX(Curves!$B$4:$AR$4,1,AG$3-Projects!$C$46+1),0)-IF(AND(Projects!$G$46="Yes",AG$3&gt;=Projects!$C$46,AG$3&lt;Projects!$C$46+Projects!$D$46),Projects!$B$46*(Assumptions!$B$10+Assumptions!$B$11+Assumptions!$B$12)/Projects!$D$46*0.95,0)-IF(AND(Projects!$G$46="Yes",AG$3=Projects!$C$46+Projects!$D$46-1),Projects!$B$46*(Assumptions!$B$10+Assumptions!$B$11+Assumptions!$B$12)*0.05,0)</f>
        <v>0</v>
      </c>
      <c r="AH55" s="19" t="n">
        <f aca="false">IF(AND(Projects!$G$46="Yes",AH$3&gt;=Projects!$C$46,AH$3&lt;Projects!$C$46+Projects!$D$46),Projects!$B$46*INDEX(Curves!$B$4:$AR$4,1,AH$3-Projects!$C$46+1),0)-IF(AND(Projects!$G$46="Yes",AH$3&gt;=Projects!$C$46,AH$3&lt;Projects!$C$46+Projects!$D$46),Projects!$B$46*(Assumptions!$B$10+Assumptions!$B$11+Assumptions!$B$12)/Projects!$D$46*0.95,0)-IF(AND(Projects!$G$46="Yes",AH$3=Projects!$C$46+Projects!$D$46-1),Projects!$B$46*(Assumptions!$B$10+Assumptions!$B$11+Assumptions!$B$12)*0.05,0)</f>
        <v>0</v>
      </c>
      <c r="AI55" s="19" t="n">
        <f aca="false">IF(AND(Projects!$G$46="Yes",AI$3&gt;=Projects!$C$46,AI$3&lt;Projects!$C$46+Projects!$D$46),Projects!$B$46*INDEX(Curves!$B$4:$AR$4,1,AI$3-Projects!$C$46+1),0)-IF(AND(Projects!$G$46="Yes",AI$3&gt;=Projects!$C$46,AI$3&lt;Projects!$C$46+Projects!$D$46),Projects!$B$46*(Assumptions!$B$10+Assumptions!$B$11+Assumptions!$B$12)/Projects!$D$46*0.95,0)-IF(AND(Projects!$G$46="Yes",AI$3=Projects!$C$46+Projects!$D$46-1),Projects!$B$46*(Assumptions!$B$10+Assumptions!$B$11+Assumptions!$B$12)*0.05,0)</f>
        <v>0</v>
      </c>
      <c r="AJ55" s="19" t="n">
        <f aca="false">IF(AND(Projects!$G$46="Yes",AJ$3&gt;=Projects!$C$46,AJ$3&lt;Projects!$C$46+Projects!$D$46),Projects!$B$46*INDEX(Curves!$B$4:$AR$4,1,AJ$3-Projects!$C$46+1),0)-IF(AND(Projects!$G$46="Yes",AJ$3&gt;=Projects!$C$46,AJ$3&lt;Projects!$C$46+Projects!$D$46),Projects!$B$46*(Assumptions!$B$10+Assumptions!$B$11+Assumptions!$B$12)/Projects!$D$46*0.95,0)-IF(AND(Projects!$G$46="Yes",AJ$3=Projects!$C$46+Projects!$D$46-1),Projects!$B$46*(Assumptions!$B$10+Assumptions!$B$11+Assumptions!$B$12)*0.05,0)</f>
        <v>0</v>
      </c>
      <c r="AK55" s="19" t="n">
        <f aca="false">IF(AND(Projects!$G$46="Yes",AK$3&gt;=Projects!$C$46,AK$3&lt;Projects!$C$46+Projects!$D$46),Projects!$B$46*INDEX(Curves!$B$4:$AR$4,1,AK$3-Projects!$C$46+1),0)-IF(AND(Projects!$G$46="Yes",AK$3&gt;=Projects!$C$46,AK$3&lt;Projects!$C$46+Projects!$D$46),Projects!$B$46*(Assumptions!$B$10+Assumptions!$B$11+Assumptions!$B$12)/Projects!$D$46*0.95,0)-IF(AND(Projects!$G$46="Yes",AK$3=Projects!$C$46+Projects!$D$46-1),Projects!$B$46*(Assumptions!$B$10+Assumptions!$B$11+Assumptions!$B$12)*0.05,0)</f>
        <v>0</v>
      </c>
      <c r="AL55" s="19" t="n">
        <f aca="false">IF(AND(Projects!$G$46="Yes",AL$3&gt;=Projects!$C$46,AL$3&lt;Projects!$C$46+Projects!$D$46),Projects!$B$46*INDEX(Curves!$B$4:$AR$4,1,AL$3-Projects!$C$46+1),0)-IF(AND(Projects!$G$46="Yes",AL$3&gt;=Projects!$C$46,AL$3&lt;Projects!$C$46+Projects!$D$46),Projects!$B$46*(Assumptions!$B$10+Assumptions!$B$11+Assumptions!$B$12)/Projects!$D$46*0.95,0)-IF(AND(Projects!$G$46="Yes",AL$3=Projects!$C$46+Projects!$D$46-1),Projects!$B$46*(Assumptions!$B$10+Assumptions!$B$11+Assumptions!$B$12)*0.05,0)</f>
        <v>0</v>
      </c>
      <c r="AM55" s="19" t="n">
        <f aca="false">IF(AND(Projects!$G$46="Yes",AM$3&gt;=Projects!$C$46,AM$3&lt;Projects!$C$46+Projects!$D$46),Projects!$B$46*INDEX(Curves!$B$4:$AR$4,1,AM$3-Projects!$C$46+1),0)-IF(AND(Projects!$G$46="Yes",AM$3&gt;=Projects!$C$46,AM$3&lt;Projects!$C$46+Projects!$D$46),Projects!$B$46*(Assumptions!$B$10+Assumptions!$B$11+Assumptions!$B$12)/Projects!$D$46*0.95,0)-IF(AND(Projects!$G$46="Yes",AM$3=Projects!$C$46+Projects!$D$46-1),Projects!$B$46*(Assumptions!$B$10+Assumptions!$B$11+Assumptions!$B$12)*0.05,0)</f>
        <v>0</v>
      </c>
      <c r="AN55" s="19" t="n">
        <f aca="false">IF(AND(Projects!$G$46="Yes",AN$3&gt;=Projects!$C$46,AN$3&lt;Projects!$C$46+Projects!$D$46),Projects!$B$46*INDEX(Curves!$B$4:$AR$4,1,AN$3-Projects!$C$46+1),0)-IF(AND(Projects!$G$46="Yes",AN$3&gt;=Projects!$C$46,AN$3&lt;Projects!$C$46+Projects!$D$46),Projects!$B$46*(Assumptions!$B$10+Assumptions!$B$11+Assumptions!$B$12)/Projects!$D$46*0.95,0)-IF(AND(Projects!$G$46="Yes",AN$3=Projects!$C$46+Projects!$D$46-1),Projects!$B$46*(Assumptions!$B$10+Assumptions!$B$11+Assumptions!$B$12)*0.05,0)</f>
        <v>0</v>
      </c>
      <c r="AO55" s="19" t="n">
        <f aca="false">IF(AND(Projects!$G$46="Yes",AO$3&gt;=Projects!$C$46,AO$3&lt;Projects!$C$46+Projects!$D$46),Projects!$B$46*INDEX(Curves!$B$4:$AR$4,1,AO$3-Projects!$C$46+1),0)-IF(AND(Projects!$G$46="Yes",AO$3&gt;=Projects!$C$46,AO$3&lt;Projects!$C$46+Projects!$D$46),Projects!$B$46*(Assumptions!$B$10+Assumptions!$B$11+Assumptions!$B$12)/Projects!$D$46*0.95,0)-IF(AND(Projects!$G$46="Yes",AO$3=Projects!$C$46+Projects!$D$46-1),Projects!$B$46*(Assumptions!$B$10+Assumptions!$B$11+Assumptions!$B$12)*0.05,0)</f>
        <v>0</v>
      </c>
      <c r="AP55" s="19" t="n">
        <f aca="false">IF(AND(Projects!$G$46="Yes",AP$3&gt;=Projects!$C$46,AP$3&lt;Projects!$C$46+Projects!$D$46),Projects!$B$46*INDEX(Curves!$B$4:$AR$4,1,AP$3-Projects!$C$46+1),0)-IF(AND(Projects!$G$46="Yes",AP$3&gt;=Projects!$C$46,AP$3&lt;Projects!$C$46+Projects!$D$46),Projects!$B$46*(Assumptions!$B$10+Assumptions!$B$11+Assumptions!$B$12)/Projects!$D$46*0.95,0)-IF(AND(Projects!$G$46="Yes",AP$3=Projects!$C$46+Projects!$D$46-1),Projects!$B$46*(Assumptions!$B$10+Assumptions!$B$11+Assumptions!$B$12)*0.05,0)</f>
        <v>0</v>
      </c>
      <c r="AQ55" s="19" t="n">
        <f aca="false">IF(AND(Projects!$G$46="Yes",AQ$3&gt;=Projects!$C$46,AQ$3&lt;Projects!$C$46+Projects!$D$46),Projects!$B$46*INDEX(Curves!$B$4:$AR$4,1,AQ$3-Projects!$C$46+1),0)-IF(AND(Projects!$G$46="Yes",AQ$3&gt;=Projects!$C$46,AQ$3&lt;Projects!$C$46+Projects!$D$46),Projects!$B$46*(Assumptions!$B$10+Assumptions!$B$11+Assumptions!$B$12)/Projects!$D$46*0.95,0)-IF(AND(Projects!$G$46="Yes",AQ$3=Projects!$C$46+Projects!$D$46-1),Projects!$B$46*(Assumptions!$B$10+Assumptions!$B$11+Assumptions!$B$12)*0.05,0)</f>
        <v>0</v>
      </c>
      <c r="AR55" s="19" t="n">
        <f aca="false">IF(AND(Projects!$G$46="Yes",AR$3&gt;=Projects!$C$46,AR$3&lt;Projects!$C$46+Projects!$D$46),Projects!$B$46*INDEX(Curves!$B$4:$AR$4,1,AR$3-Projects!$C$46+1),0)-IF(AND(Projects!$G$46="Yes",AR$3&gt;=Projects!$C$46,AR$3&lt;Projects!$C$46+Projects!$D$46),Projects!$B$46*(Assumptions!$B$10+Assumptions!$B$11+Assumptions!$B$12)/Projects!$D$46*0.95,0)-IF(AND(Projects!$G$46="Yes",AR$3=Projects!$C$46+Projects!$D$46-1),Projects!$B$46*(Assumptions!$B$10+Assumptions!$B$11+Assumptions!$B$12)*0.05,0)</f>
        <v>0</v>
      </c>
      <c r="AS55" s="19" t="n">
        <f aca="false">IF(AND(Projects!$G$46="Yes",AS$3&gt;=Projects!$C$46,AS$3&lt;Projects!$C$46+Projects!$D$46),Projects!$B$46*INDEX(Curves!$B$4:$AR$4,1,AS$3-Projects!$C$46+1),0)-IF(AND(Projects!$G$46="Yes",AS$3&gt;=Projects!$C$46,AS$3&lt;Projects!$C$46+Projects!$D$46),Projects!$B$46*(Assumptions!$B$10+Assumptions!$B$11+Assumptions!$B$12)/Projects!$D$46*0.95,0)-IF(AND(Projects!$G$46="Yes",AS$3=Projects!$C$46+Projects!$D$46-1),Projects!$B$46*(Assumptions!$B$10+Assumptions!$B$11+Assumptions!$B$12)*0.05,0)</f>
        <v>0</v>
      </c>
      <c r="AT55" s="19" t="n">
        <f aca="false">IF(AND(Projects!$G$46="Yes",AT$3&gt;=Projects!$C$46,AT$3&lt;Projects!$C$46+Projects!$D$46),Projects!$B$46*INDEX(Curves!$B$4:$AR$4,1,AT$3-Projects!$C$46+1),0)-IF(AND(Projects!$G$46="Yes",AT$3&gt;=Projects!$C$46,AT$3&lt;Projects!$C$46+Projects!$D$46),Projects!$B$46*(Assumptions!$B$10+Assumptions!$B$11+Assumptions!$B$12)/Projects!$D$46*0.95,0)-IF(AND(Projects!$G$46="Yes",AT$3=Projects!$C$46+Projects!$D$46-1),Projects!$B$46*(Assumptions!$B$10+Assumptions!$B$11+Assumptions!$B$12)*0.05,0)</f>
        <v>0</v>
      </c>
      <c r="AU55" s="19" t="n">
        <f aca="false">IF(AND(Projects!$G$46="Yes",AU$3&gt;=Projects!$C$46,AU$3&lt;Projects!$C$46+Projects!$D$46),Projects!$B$46*INDEX(Curves!$B$4:$AR$4,1,AU$3-Projects!$C$46+1),0)-IF(AND(Projects!$G$46="Yes",AU$3&gt;=Projects!$C$46,AU$3&lt;Projects!$C$46+Projects!$D$46),Projects!$B$46*(Assumptions!$B$10+Assumptions!$B$11+Assumptions!$B$12)/Projects!$D$46*0.95,0)-IF(AND(Projects!$G$46="Yes",AU$3=Projects!$C$46+Projects!$D$46-1),Projects!$B$46*(Assumptions!$B$10+Assumptions!$B$11+Assumptions!$B$12)*0.05,0)</f>
        <v>0</v>
      </c>
      <c r="AV55" s="19" t="n">
        <f aca="false">IF(AND(Projects!$G$46="Yes",AV$3&gt;=Projects!$C$46,AV$3&lt;Projects!$C$46+Projects!$D$46),Projects!$B$46*INDEX(Curves!$B$4:$AR$4,1,AV$3-Projects!$C$46+1),0)-IF(AND(Projects!$G$46="Yes",AV$3&gt;=Projects!$C$46,AV$3&lt;Projects!$C$46+Projects!$D$46),Projects!$B$46*(Assumptions!$B$10+Assumptions!$B$11+Assumptions!$B$12)/Projects!$D$46*0.95,0)-IF(AND(Projects!$G$46="Yes",AV$3=Projects!$C$46+Projects!$D$46-1),Projects!$B$46*(Assumptions!$B$10+Assumptions!$B$11+Assumptions!$B$12)*0.05,0)</f>
        <v>0</v>
      </c>
      <c r="AW55" s="19" t="n">
        <f aca="false">IF(AND(Projects!$G$46="Yes",AW$3&gt;=Projects!$C$46,AW$3&lt;Projects!$C$46+Projects!$D$46),Projects!$B$46*INDEX(Curves!$B$4:$AR$4,1,AW$3-Projects!$C$46+1),0)-IF(AND(Projects!$G$46="Yes",AW$3&gt;=Projects!$C$46,AW$3&lt;Projects!$C$46+Projects!$D$46),Projects!$B$46*(Assumptions!$B$10+Assumptions!$B$11+Assumptions!$B$12)/Projects!$D$46*0.95,0)-IF(AND(Projects!$G$46="Yes",AW$3=Projects!$C$46+Projects!$D$46-1),Projects!$B$46*(Assumptions!$B$10+Assumptions!$B$11+Assumptions!$B$12)*0.05,0)</f>
        <v>0</v>
      </c>
      <c r="AX55" s="19" t="n">
        <f aca="false">IF(AND(Projects!$G$46="Yes",AX$3&gt;=Projects!$C$46,AX$3&lt;Projects!$C$46+Projects!$D$46),Projects!$B$46*INDEX(Curves!$B$4:$AR$4,1,AX$3-Projects!$C$46+1),0)-IF(AND(Projects!$G$46="Yes",AX$3&gt;=Projects!$C$46,AX$3&lt;Projects!$C$46+Projects!$D$46),Projects!$B$46*(Assumptions!$B$10+Assumptions!$B$11+Assumptions!$B$12)/Projects!$D$46*0.95,0)-IF(AND(Projects!$G$46="Yes",AX$3=Projects!$C$46+Projects!$D$46-1),Projects!$B$46*(Assumptions!$B$10+Assumptions!$B$11+Assumptions!$B$12)*0.05,0)</f>
        <v>0</v>
      </c>
      <c r="AY55" s="19" t="n">
        <f aca="false">IF(AND(Projects!$G$46="Yes",AY$3&gt;=Projects!$C$46,AY$3&lt;Projects!$C$46+Projects!$D$46),Projects!$B$46*INDEX(Curves!$B$4:$AR$4,1,AY$3-Projects!$C$46+1),0)-IF(AND(Projects!$G$46="Yes",AY$3&gt;=Projects!$C$46,AY$3&lt;Projects!$C$46+Projects!$D$46),Projects!$B$46*(Assumptions!$B$10+Assumptions!$B$11+Assumptions!$B$12)/Projects!$D$46*0.95,0)-IF(AND(Projects!$G$46="Yes",AY$3=Projects!$C$46+Projects!$D$46-1),Projects!$B$46*(Assumptions!$B$10+Assumptions!$B$11+Assumptions!$B$12)*0.05,0)</f>
        <v>0</v>
      </c>
      <c r="AZ55" s="19" t="n">
        <f aca="false">IF(AND(Projects!$G$46="Yes",AZ$3&gt;=Projects!$C$46,AZ$3&lt;Projects!$C$46+Projects!$D$46),Projects!$B$46*INDEX(Curves!$B$4:$AR$4,1,AZ$3-Projects!$C$46+1),0)-IF(AND(Projects!$G$46="Yes",AZ$3&gt;=Projects!$C$46,AZ$3&lt;Projects!$C$46+Projects!$D$46),Projects!$B$46*(Assumptions!$B$10+Assumptions!$B$11+Assumptions!$B$12)/Projects!$D$46*0.95,0)-IF(AND(Projects!$G$46="Yes",AZ$3=Projects!$C$46+Projects!$D$46-1),Projects!$B$46*(Assumptions!$B$10+Assumptions!$B$11+Assumptions!$B$12)*0.05,0)</f>
        <v>0</v>
      </c>
      <c r="BA55" s="19" t="n">
        <f aca="false">IF(AND(Projects!$G$46="Yes",BA$3&gt;=Projects!$C$46,BA$3&lt;Projects!$C$46+Projects!$D$46),Projects!$B$46*INDEX(Curves!$B$4:$AR$4,1,BA$3-Projects!$C$46+1),0)-IF(AND(Projects!$G$46="Yes",BA$3&gt;=Projects!$C$46,BA$3&lt;Projects!$C$46+Projects!$D$46),Projects!$B$46*(Assumptions!$B$10+Assumptions!$B$11+Assumptions!$B$12)/Projects!$D$46*0.95,0)-IF(AND(Projects!$G$46="Yes",BA$3=Projects!$C$46+Projects!$D$46-1),Projects!$B$46*(Assumptions!$B$10+Assumptions!$B$11+Assumptions!$B$12)*0.05,0)</f>
        <v>0</v>
      </c>
      <c r="BB55" s="19" t="n">
        <f aca="false">IF(AND(Projects!$G$46="Yes",BB$3&gt;=Projects!$C$46,BB$3&lt;Projects!$C$46+Projects!$D$46),Projects!$B$46*INDEX(Curves!$B$4:$AR$4,1,BB$3-Projects!$C$46+1),0)-IF(AND(Projects!$G$46="Yes",BB$3&gt;=Projects!$C$46,BB$3&lt;Projects!$C$46+Projects!$D$46),Projects!$B$46*(Assumptions!$B$10+Assumptions!$B$11+Assumptions!$B$12)/Projects!$D$46*0.95,0)-IF(AND(Projects!$G$46="Yes",BB$3=Projects!$C$46+Projects!$D$46-1),Projects!$B$46*(Assumptions!$B$10+Assumptions!$B$11+Assumptions!$B$12)*0.05,0)</f>
        <v>0</v>
      </c>
      <c r="BC55" s="19" t="n">
        <f aca="false">IF(AND(Projects!$G$46="Yes",BC$3&gt;=Projects!$C$46,BC$3&lt;Projects!$C$46+Projects!$D$46),Projects!$B$46*INDEX(Curves!$B$4:$AR$4,1,BC$3-Projects!$C$46+1),0)-IF(AND(Projects!$G$46="Yes",BC$3&gt;=Projects!$C$46,BC$3&lt;Projects!$C$46+Projects!$D$46),Projects!$B$46*(Assumptions!$B$10+Assumptions!$B$11+Assumptions!$B$12)/Projects!$D$46*0.95,0)-IF(AND(Projects!$G$46="Yes",BC$3=Projects!$C$46+Projects!$D$46-1),Projects!$B$46*(Assumptions!$B$10+Assumptions!$B$11+Assumptions!$B$12)*0.05,0)</f>
        <v>0</v>
      </c>
      <c r="BD55" s="19" t="n">
        <f aca="false">IF(AND(Projects!$G$46="Yes",BD$3&gt;=Projects!$C$46,BD$3&lt;Projects!$C$46+Projects!$D$46),Projects!$B$46*INDEX(Curves!$B$4:$AR$4,1,BD$3-Projects!$C$46+1),0)-IF(AND(Projects!$G$46="Yes",BD$3&gt;=Projects!$C$46,BD$3&lt;Projects!$C$46+Projects!$D$46),Projects!$B$46*(Assumptions!$B$10+Assumptions!$B$11+Assumptions!$B$12)/Projects!$D$46*0.95,0)-IF(AND(Projects!$G$46="Yes",BD$3=Projects!$C$46+Projects!$D$46-1),Projects!$B$46*(Assumptions!$B$10+Assumptions!$B$11+Assumptions!$B$12)*0.05,0)</f>
        <v>0</v>
      </c>
      <c r="BE55" s="19" t="n">
        <f aca="false">IF(AND(Projects!$G$46="Yes",BE$3&gt;=Projects!$C$46,BE$3&lt;Projects!$C$46+Projects!$D$46),Projects!$B$46*INDEX(Curves!$B$4:$AR$4,1,BE$3-Projects!$C$46+1),0)-IF(AND(Projects!$G$46="Yes",BE$3&gt;=Projects!$C$46,BE$3&lt;Projects!$C$46+Projects!$D$46),Projects!$B$46*(Assumptions!$B$10+Assumptions!$B$11+Assumptions!$B$12)/Projects!$D$46*0.95,0)-IF(AND(Projects!$G$46="Yes",BE$3=Projects!$C$46+Projects!$D$46-1),Projects!$B$46*(Assumptions!$B$10+Assumptions!$B$11+Assumptions!$B$12)*0.05,0)</f>
        <v>0</v>
      </c>
      <c r="BF55" s="19" t="n">
        <f aca="false">IF(AND(Projects!$G$46="Yes",BF$3&gt;=Projects!$C$46,BF$3&lt;Projects!$C$46+Projects!$D$46),Projects!$B$46*INDEX(Curves!$B$4:$AR$4,1,BF$3-Projects!$C$46+1),0)-IF(AND(Projects!$G$46="Yes",BF$3&gt;=Projects!$C$46,BF$3&lt;Projects!$C$46+Projects!$D$46),Projects!$B$46*(Assumptions!$B$10+Assumptions!$B$11+Assumptions!$B$12)/Projects!$D$46*0.95,0)-IF(AND(Projects!$G$46="Yes",BF$3=Projects!$C$46+Projects!$D$46-1),Projects!$B$46*(Assumptions!$B$10+Assumptions!$B$11+Assumptions!$B$12)*0.05,0)</f>
        <v>0</v>
      </c>
      <c r="BG55" s="19" t="n">
        <f aca="false">IF(AND(Projects!$G$46="Yes",BG$3&gt;=Projects!$C$46,BG$3&lt;Projects!$C$46+Projects!$D$46),Projects!$B$46*INDEX(Curves!$B$4:$AR$4,1,BG$3-Projects!$C$46+1),0)-IF(AND(Projects!$G$46="Yes",BG$3&gt;=Projects!$C$46,BG$3&lt;Projects!$C$46+Projects!$D$46),Projects!$B$46*(Assumptions!$B$10+Assumptions!$B$11+Assumptions!$B$12)/Projects!$D$46*0.95,0)-IF(AND(Projects!$G$46="Yes",BG$3=Projects!$C$46+Projects!$D$46-1),Projects!$B$46*(Assumptions!$B$10+Assumptions!$B$11+Assumptions!$B$12)*0.05,0)</f>
        <v>0</v>
      </c>
      <c r="BH55" s="19" t="n">
        <f aca="false">IF(AND(Projects!$G$46="Yes",BH$3&gt;=Projects!$C$46,BH$3&lt;Projects!$C$46+Projects!$D$46),Projects!$B$46*INDEX(Curves!$B$4:$AR$4,1,BH$3-Projects!$C$46+1),0)-IF(AND(Projects!$G$46="Yes",BH$3&gt;=Projects!$C$46,BH$3&lt;Projects!$C$46+Projects!$D$46),Projects!$B$46*(Assumptions!$B$10+Assumptions!$B$11+Assumptions!$B$12)/Projects!$D$46*0.95,0)-IF(AND(Projects!$G$46="Yes",BH$3=Projects!$C$46+Projects!$D$46-1),Projects!$B$46*(Assumptions!$B$10+Assumptions!$B$11+Assumptions!$B$12)*0.05,0)</f>
        <v>307461.75</v>
      </c>
      <c r="BI55" s="19" t="n">
        <f aca="false">IF(AND(Projects!$G$46="Yes",BI$3&gt;=Projects!$C$46,BI$3&lt;Projects!$C$46+Projects!$D$46),Projects!$B$46*INDEX(Curves!$B$4:$AR$4,1,BI$3-Projects!$C$46+1),0)-IF(AND(Projects!$G$46="Yes",BI$3&gt;=Projects!$C$46,BI$3&lt;Projects!$C$46+Projects!$D$46),Projects!$B$46*(Assumptions!$B$10+Assumptions!$B$11+Assumptions!$B$12)/Projects!$D$46*0.95,0)-IF(AND(Projects!$G$46="Yes",BI$3=Projects!$C$46+Projects!$D$46-1),Projects!$B$46*(Assumptions!$B$10+Assumptions!$B$11+Assumptions!$B$12)*0.05,0)</f>
        <v>401121.75</v>
      </c>
      <c r="BJ55" s="19" t="n">
        <f aca="false">IF(AND(Projects!$G$46="Yes",BJ$3&gt;=Projects!$C$46,BJ$3&lt;Projects!$C$46+Projects!$D$46),Projects!$B$46*INDEX(Curves!$B$4:$AR$4,1,BJ$3-Projects!$C$46+1),0)-IF(AND(Projects!$G$46="Yes",BJ$3&gt;=Projects!$C$46,BJ$3&lt;Projects!$C$46+Projects!$D$46),Projects!$B$46*(Assumptions!$B$10+Assumptions!$B$11+Assumptions!$B$12)/Projects!$D$46*0.95,0)-IF(AND(Projects!$G$46="Yes",BJ$3=Projects!$C$46+Projects!$D$46-1),Projects!$B$46*(Assumptions!$B$10+Assumptions!$B$11+Assumptions!$B$12)*0.05,0)</f>
        <v>501936.75</v>
      </c>
      <c r="BK55" s="19" t="n">
        <f aca="false">IF(AND(Projects!$G$46="Yes",BK$3&gt;=Projects!$C$46,BK$3&lt;Projects!$C$46+Projects!$D$46),Projects!$B$46*INDEX(Curves!$B$4:$AR$4,1,BK$3-Projects!$C$46+1),0)-IF(AND(Projects!$G$46="Yes",BK$3&gt;=Projects!$C$46,BK$3&lt;Projects!$C$46+Projects!$D$46),Projects!$B$46*(Assumptions!$B$10+Assumptions!$B$11+Assumptions!$B$12)/Projects!$D$46*0.95,0)-IF(AND(Projects!$G$46="Yes",BK$3=Projects!$C$46+Projects!$D$46-1),Projects!$B$46*(Assumptions!$B$10+Assumptions!$B$11+Assumptions!$B$12)*0.05,0)</f>
        <v>605886.75</v>
      </c>
      <c r="BL55" s="19" t="n">
        <f aca="false">IF(AND(Projects!$G$46="Yes",BL$3&gt;=Projects!$C$46,BL$3&lt;Projects!$C$46+Projects!$D$46),Projects!$B$46*INDEX(Curves!$B$4:$AR$4,1,BL$3-Projects!$C$46+1),0)-IF(AND(Projects!$G$46="Yes",BL$3&gt;=Projects!$C$46,BL$3&lt;Projects!$C$46+Projects!$D$46),Projects!$B$46*(Assumptions!$B$10+Assumptions!$B$11+Assumptions!$B$12)/Projects!$D$46*0.95,0)-IF(AND(Projects!$G$46="Yes",BL$3=Projects!$C$46+Projects!$D$46-1),Projects!$B$46*(Assumptions!$B$10+Assumptions!$B$11+Assumptions!$B$12)*0.05,0)</f>
        <v>707976.75</v>
      </c>
      <c r="BM55" s="19" t="n">
        <f aca="false">IF(AND(Projects!$G$46="Yes",BM$3&gt;=Projects!$C$46,BM$3&lt;Projects!$C$46+Projects!$D$46),Projects!$B$46*INDEX(Curves!$B$4:$AR$4,1,BM$3-Projects!$C$46+1),0)-IF(AND(Projects!$G$46="Yes",BM$3&gt;=Projects!$C$46,BM$3&lt;Projects!$C$46+Projects!$D$46),Projects!$B$46*(Assumptions!$B$10+Assumptions!$B$11+Assumptions!$B$12)/Projects!$D$46*0.95,0)-IF(AND(Projects!$G$46="Yes",BM$3=Projects!$C$46+Projects!$D$46-1),Projects!$B$46*(Assumptions!$B$10+Assumptions!$B$11+Assumptions!$B$12)*0.05,0)</f>
        <v>802536.75</v>
      </c>
      <c r="BN55" s="19" t="n">
        <f aca="false">IF(AND(Projects!$G$46="Yes",BN$3&gt;=Projects!$C$46,BN$3&lt;Projects!$C$46+Projects!$D$46),Projects!$B$46*INDEX(Curves!$B$4:$AR$4,1,BN$3-Projects!$C$46+1),0)-IF(AND(Projects!$G$46="Yes",BN$3&gt;=Projects!$C$46,BN$3&lt;Projects!$C$46+Projects!$D$46),Projects!$B$46*(Assumptions!$B$10+Assumptions!$B$11+Assumptions!$B$12)/Projects!$D$46*0.95,0)-IF(AND(Projects!$G$46="Yes",BN$3=Projects!$C$46+Projects!$D$46-1),Projects!$B$46*(Assumptions!$B$10+Assumptions!$B$11+Assumptions!$B$12)*0.05,0)</f>
        <v>883761.75</v>
      </c>
      <c r="BO55" s="19" t="n">
        <f aca="false">IF(AND(Projects!$G$46="Yes",BO$3&gt;=Projects!$C$46,BO$3&lt;Projects!$C$46+Projects!$D$46),Projects!$B$46*INDEX(Curves!$B$4:$AR$4,1,BO$3-Projects!$C$46+1),0)-IF(AND(Projects!$G$46="Yes",BO$3&gt;=Projects!$C$46,BO$3&lt;Projects!$C$46+Projects!$D$46),Projects!$B$46*(Assumptions!$B$10+Assumptions!$B$11+Assumptions!$B$12)/Projects!$D$46*0.95,0)-IF(AND(Projects!$G$46="Yes",BO$3=Projects!$C$46+Projects!$D$46-1),Projects!$B$46*(Assumptions!$B$10+Assumptions!$B$11+Assumptions!$B$12)*0.05,0)</f>
        <v>946266.75</v>
      </c>
      <c r="BP55" s="19" t="n">
        <f aca="false">IF(AND(Projects!$G$46="Yes",BP$3&gt;=Projects!$C$46,BP$3&lt;Projects!$C$46+Projects!$D$46),Projects!$B$46*INDEX(Curves!$B$4:$AR$4,1,BP$3-Projects!$C$46+1),0)-IF(AND(Projects!$G$46="Yes",BP$3&gt;=Projects!$C$46,BP$3&lt;Projects!$C$46+Projects!$D$46),Projects!$B$46*(Assumptions!$B$10+Assumptions!$B$11+Assumptions!$B$12)/Projects!$D$46*0.95,0)-IF(AND(Projects!$G$46="Yes",BP$3=Projects!$C$46+Projects!$D$46-1),Projects!$B$46*(Assumptions!$B$10+Assumptions!$B$11+Assumptions!$B$12)*0.05,0)</f>
        <v>985686.75</v>
      </c>
      <c r="BQ55" s="19" t="n">
        <f aca="false">IF(AND(Projects!$G$46="Yes",BQ$3&gt;=Projects!$C$46,BQ$3&lt;Projects!$C$46+Projects!$D$46),Projects!$B$46*INDEX(Curves!$B$4:$AR$4,1,BQ$3-Projects!$C$46+1),0)-IF(AND(Projects!$G$46="Yes",BQ$3&gt;=Projects!$C$46,BQ$3&lt;Projects!$C$46+Projects!$D$46),Projects!$B$46*(Assumptions!$B$10+Assumptions!$B$11+Assumptions!$B$12)/Projects!$D$46*0.95,0)-IF(AND(Projects!$G$46="Yes",BQ$3=Projects!$C$46+Projects!$D$46-1),Projects!$B$46*(Assumptions!$B$10+Assumptions!$B$11+Assumptions!$B$12)*0.05,0)</f>
        <v>999156.75</v>
      </c>
      <c r="BR55" s="19" t="n">
        <f aca="false">IF(AND(Projects!$G$46="Yes",BR$3&gt;=Projects!$C$46,BR$3&lt;Projects!$C$46+Projects!$D$46),Projects!$B$46*INDEX(Curves!$B$4:$AR$4,1,BR$3-Projects!$C$46+1),0)-IF(AND(Projects!$G$46="Yes",BR$3&gt;=Projects!$C$46,BR$3&lt;Projects!$C$46+Projects!$D$46),Projects!$B$46*(Assumptions!$B$10+Assumptions!$B$11+Assumptions!$B$12)/Projects!$D$46*0.95,0)-IF(AND(Projects!$G$46="Yes",BR$3=Projects!$C$46+Projects!$D$46-1),Projects!$B$46*(Assumptions!$B$10+Assumptions!$B$11+Assumptions!$B$12)*0.05,0)</f>
        <v>985686.75</v>
      </c>
      <c r="BS55" s="19" t="n">
        <f aca="false">IF(AND(Projects!$G$46="Yes",BS$3&gt;=Projects!$C$46,BS$3&lt;Projects!$C$46+Projects!$D$46),Projects!$B$46*INDEX(Curves!$B$4:$AR$4,1,BS$3-Projects!$C$46+1),0)-IF(AND(Projects!$G$46="Yes",BS$3&gt;=Projects!$C$46,BS$3&lt;Projects!$C$46+Projects!$D$46),Projects!$B$46*(Assumptions!$B$10+Assumptions!$B$11+Assumptions!$B$12)/Projects!$D$46*0.95,0)-IF(AND(Projects!$G$46="Yes",BS$3=Projects!$C$46+Projects!$D$46-1),Projects!$B$46*(Assumptions!$B$10+Assumptions!$B$11+Assumptions!$B$12)*0.05,0)</f>
        <v>946266.75</v>
      </c>
      <c r="BT55" s="19" t="n">
        <f aca="false">IF(AND(Projects!$G$46="Yes",BT$3&gt;=Projects!$C$46,BT$3&lt;Projects!$C$46+Projects!$D$46),Projects!$B$46*INDEX(Curves!$B$4:$AR$4,1,BT$3-Projects!$C$46+1),0)-IF(AND(Projects!$G$46="Yes",BT$3&gt;=Projects!$C$46,BT$3&lt;Projects!$C$46+Projects!$D$46),Projects!$B$46*(Assumptions!$B$10+Assumptions!$B$11+Assumptions!$B$12)/Projects!$D$46*0.95,0)-IF(AND(Projects!$G$46="Yes",BT$3=Projects!$C$46+Projects!$D$46-1),Projects!$B$46*(Assumptions!$B$10+Assumptions!$B$11+Assumptions!$B$12)*0.05,0)</f>
        <v>883761.75</v>
      </c>
      <c r="BU55" s="19" t="n">
        <f aca="false">IF(AND(Projects!$G$46="Yes",BU$3&gt;=Projects!$C$46,BU$3&lt;Projects!$C$46+Projects!$D$46),Projects!$B$46*INDEX(Curves!$B$4:$AR$4,1,BU$3-Projects!$C$46+1),0)-IF(AND(Projects!$G$46="Yes",BU$3&gt;=Projects!$C$46,BU$3&lt;Projects!$C$46+Projects!$D$46),Projects!$B$46*(Assumptions!$B$10+Assumptions!$B$11+Assumptions!$B$12)/Projects!$D$46*0.95,0)-IF(AND(Projects!$G$46="Yes",BU$3=Projects!$C$46+Projects!$D$46-1),Projects!$B$46*(Assumptions!$B$10+Assumptions!$B$11+Assumptions!$B$12)*0.05,0)</f>
        <v>802536.75</v>
      </c>
      <c r="BV55" s="19" t="n">
        <f aca="false">IF(AND(Projects!$G$46="Yes",BV$3&gt;=Projects!$C$46,BV$3&lt;Projects!$C$46+Projects!$D$46),Projects!$B$46*INDEX(Curves!$B$4:$AR$4,1,BV$3-Projects!$C$46+1),0)-IF(AND(Projects!$G$46="Yes",BV$3&gt;=Projects!$C$46,BV$3&lt;Projects!$C$46+Projects!$D$46),Projects!$B$46*(Assumptions!$B$10+Assumptions!$B$11+Assumptions!$B$12)/Projects!$D$46*0.95,0)-IF(AND(Projects!$G$46="Yes",BV$3=Projects!$C$46+Projects!$D$46-1),Projects!$B$46*(Assumptions!$B$10+Assumptions!$B$11+Assumptions!$B$12)*0.05,0)</f>
        <v>707976.75</v>
      </c>
      <c r="BW55" s="19" t="n">
        <f aca="false">IF(AND(Projects!$G$46="Yes",BW$3&gt;=Projects!$C$46,BW$3&lt;Projects!$C$46+Projects!$D$46),Projects!$B$46*INDEX(Curves!$B$4:$AR$4,1,BW$3-Projects!$C$46+1),0)-IF(AND(Projects!$G$46="Yes",BW$3&gt;=Projects!$C$46,BW$3&lt;Projects!$C$46+Projects!$D$46),Projects!$B$46*(Assumptions!$B$10+Assumptions!$B$11+Assumptions!$B$12)/Projects!$D$46*0.95,0)-IF(AND(Projects!$G$46="Yes",BW$3=Projects!$C$46+Projects!$D$46-1),Projects!$B$46*(Assumptions!$B$10+Assumptions!$B$11+Assumptions!$B$12)*0.05,0)</f>
        <v>605886.75</v>
      </c>
      <c r="BX55" s="19" t="n">
        <f aca="false">IF(AND(Projects!$G$46="Yes",BX$3&gt;=Projects!$C$46,BX$3&lt;Projects!$C$46+Projects!$D$46),Projects!$B$46*INDEX(Curves!$B$4:$AR$4,1,BX$3-Projects!$C$46+1),0)-IF(AND(Projects!$G$46="Yes",BX$3&gt;=Projects!$C$46,BX$3&lt;Projects!$C$46+Projects!$D$46),Projects!$B$46*(Assumptions!$B$10+Assumptions!$B$11+Assumptions!$B$12)/Projects!$D$46*0.95,0)-IF(AND(Projects!$G$46="Yes",BX$3=Projects!$C$46+Projects!$D$46-1),Projects!$B$46*(Assumptions!$B$10+Assumptions!$B$11+Assumptions!$B$12)*0.05,0)</f>
        <v>501936.75</v>
      </c>
      <c r="BY55" s="19" t="n">
        <f aca="false">IF(AND(Projects!$G$46="Yes",BY$3&gt;=Projects!$C$46,BY$3&lt;Projects!$C$46+Projects!$D$46),Projects!$B$46*INDEX(Curves!$B$4:$AR$4,1,BY$3-Projects!$C$46+1),0)-IF(AND(Projects!$G$46="Yes",BY$3&gt;=Projects!$C$46,BY$3&lt;Projects!$C$46+Projects!$D$46),Projects!$B$46*(Assumptions!$B$10+Assumptions!$B$11+Assumptions!$B$12)/Projects!$D$46*0.95,0)-IF(AND(Projects!$G$46="Yes",BY$3=Projects!$C$46+Projects!$D$46-1),Projects!$B$46*(Assumptions!$B$10+Assumptions!$B$11+Assumptions!$B$12)*0.05,0)</f>
        <v>401121.75</v>
      </c>
      <c r="BZ55" s="19" t="n">
        <f aca="false">IF(AND(Projects!$G$46="Yes",BZ$3&gt;=Projects!$C$46,BZ$3&lt;Projects!$C$46+Projects!$D$46),Projects!$B$46*INDEX(Curves!$B$4:$AR$4,1,BZ$3-Projects!$C$46+1),0)-IF(AND(Projects!$G$46="Yes",BZ$3&gt;=Projects!$C$46,BZ$3&lt;Projects!$C$46+Projects!$D$46),Projects!$B$46*(Assumptions!$B$10+Assumptions!$B$11+Assumptions!$B$12)/Projects!$D$46*0.95,0)-IF(AND(Projects!$G$46="Yes",BZ$3=Projects!$C$46+Projects!$D$46-1),Projects!$B$46*(Assumptions!$B$10+Assumptions!$B$11+Assumptions!$B$12)*0.05,0)</f>
        <v>217168.5</v>
      </c>
      <c r="CA55" s="19" t="n">
        <f aca="false">IF(AND(Projects!$G$46="Yes",CA$3&gt;=Projects!$C$46,CA$3&lt;Projects!$C$46+Projects!$D$46),Projects!$B$46*INDEX(Curves!$B$4:$AR$4,1,CA$3-Projects!$C$46+1),0)-IF(AND(Projects!$G$46="Yes",CA$3&gt;=Projects!$C$46,CA$3&lt;Projects!$C$46+Projects!$D$46),Projects!$B$46*(Assumptions!$B$10+Assumptions!$B$11+Assumptions!$B$12)/Projects!$D$46*0.95,0)-IF(AND(Projects!$G$46="Yes",CA$3=Projects!$C$46+Projects!$D$46-1),Projects!$B$46*(Assumptions!$B$10+Assumptions!$B$11+Assumptions!$B$12)*0.05,0)</f>
        <v>0</v>
      </c>
      <c r="CB55" s="19" t="n">
        <f aca="false">IF(AND(Projects!$G$46="Yes",CB$3&gt;=Projects!$C$46,CB$3&lt;Projects!$C$46+Projects!$D$46),Projects!$B$46*INDEX(Curves!$B$4:$AR$4,1,CB$3-Projects!$C$46+1),0)-IF(AND(Projects!$G$46="Yes",CB$3&gt;=Projects!$C$46,CB$3&lt;Projects!$C$46+Projects!$D$46),Projects!$B$46*(Assumptions!$B$10+Assumptions!$B$11+Assumptions!$B$12)/Projects!$D$46*0.95,0)-IF(AND(Projects!$G$46="Yes",CB$3=Projects!$C$46+Projects!$D$46-1),Projects!$B$46*(Assumptions!$B$10+Assumptions!$B$11+Assumptions!$B$12)*0.05,0)</f>
        <v>0</v>
      </c>
      <c r="CC55" s="19" t="n">
        <f aca="false">IF(AND(Projects!$G$46="Yes",CC$3&gt;=Projects!$C$46,CC$3&lt;Projects!$C$46+Projects!$D$46),Projects!$B$46*INDEX(Curves!$B$4:$AR$4,1,CC$3-Projects!$C$46+1),0)-IF(AND(Projects!$G$46="Yes",CC$3&gt;=Projects!$C$46,CC$3&lt;Projects!$C$46+Projects!$D$46),Projects!$B$46*(Assumptions!$B$10+Assumptions!$B$11+Assumptions!$B$12)/Projects!$D$46*0.95,0)-IF(AND(Projects!$G$46="Yes",CC$3=Projects!$C$46+Projects!$D$46-1),Projects!$B$46*(Assumptions!$B$10+Assumptions!$B$11+Assumptions!$B$12)*0.05,0)</f>
        <v>0</v>
      </c>
      <c r="CD55" s="19" t="n">
        <f aca="false">IF(AND(Projects!$G$46="Yes",CD$3&gt;=Projects!$C$46,CD$3&lt;Projects!$C$46+Projects!$D$46),Projects!$B$46*INDEX(Curves!$B$4:$AR$4,1,CD$3-Projects!$C$46+1),0)-IF(AND(Projects!$G$46="Yes",CD$3&gt;=Projects!$C$46,CD$3&lt;Projects!$C$46+Projects!$D$46),Projects!$B$46*(Assumptions!$B$10+Assumptions!$B$11+Assumptions!$B$12)/Projects!$D$46*0.95,0)-IF(AND(Projects!$G$46="Yes",CD$3=Projects!$C$46+Projects!$D$46-1),Projects!$B$46*(Assumptions!$B$10+Assumptions!$B$11+Assumptions!$B$12)*0.05,0)</f>
        <v>0</v>
      </c>
      <c r="CE55" s="19" t="n">
        <f aca="false">IF(AND(Projects!$G$46="Yes",CE$3&gt;=Projects!$C$46,CE$3&lt;Projects!$C$46+Projects!$D$46),Projects!$B$46*INDEX(Curves!$B$4:$AR$4,1,CE$3-Projects!$C$46+1),0)-IF(AND(Projects!$G$46="Yes",CE$3&gt;=Projects!$C$46,CE$3&lt;Projects!$C$46+Projects!$D$46),Projects!$B$46*(Assumptions!$B$10+Assumptions!$B$11+Assumptions!$B$12)/Projects!$D$46*0.95,0)-IF(AND(Projects!$G$46="Yes",CE$3=Projects!$C$46+Projects!$D$46-1),Projects!$B$46*(Assumptions!$B$10+Assumptions!$B$11+Assumptions!$B$12)*0.05,0)</f>
        <v>0</v>
      </c>
      <c r="CF55" s="19" t="n">
        <f aca="false">IF(AND(Projects!$G$46="Yes",CF$3&gt;=Projects!$C$46,CF$3&lt;Projects!$C$46+Projects!$D$46),Projects!$B$46*INDEX(Curves!$B$4:$AR$4,1,CF$3-Projects!$C$46+1),0)-IF(AND(Projects!$G$46="Yes",CF$3&gt;=Projects!$C$46,CF$3&lt;Projects!$C$46+Projects!$D$46),Projects!$B$46*(Assumptions!$B$10+Assumptions!$B$11+Assumptions!$B$12)/Projects!$D$46*0.95,0)-IF(AND(Projects!$G$46="Yes",CF$3=Projects!$C$46+Projects!$D$46-1),Projects!$B$46*(Assumptions!$B$10+Assumptions!$B$11+Assumptions!$B$12)*0.05,0)</f>
        <v>0</v>
      </c>
      <c r="CG55" s="19" t="n">
        <f aca="false">IF(AND(Projects!$G$46="Yes",CG$3&gt;=Projects!$C$46,CG$3&lt;Projects!$C$46+Projects!$D$46),Projects!$B$46*INDEX(Curves!$B$4:$AR$4,1,CG$3-Projects!$C$46+1),0)-IF(AND(Projects!$G$46="Yes",CG$3&gt;=Projects!$C$46,CG$3&lt;Projects!$C$46+Projects!$D$46),Projects!$B$46*(Assumptions!$B$10+Assumptions!$B$11+Assumptions!$B$12)/Projects!$D$46*0.95,0)-IF(AND(Projects!$G$46="Yes",CG$3=Projects!$C$46+Projects!$D$46-1),Projects!$B$46*(Assumptions!$B$10+Assumptions!$B$11+Assumptions!$B$12)*0.05,0)</f>
        <v>0</v>
      </c>
      <c r="CH55" s="19" t="n">
        <f aca="false">IF(AND(Projects!$G$46="Yes",CH$3&gt;=Projects!$C$46,CH$3&lt;Projects!$C$46+Projects!$D$46),Projects!$B$46*INDEX(Curves!$B$4:$AR$4,1,CH$3-Projects!$C$46+1),0)-IF(AND(Projects!$G$46="Yes",CH$3&gt;=Projects!$C$46,CH$3&lt;Projects!$C$46+Projects!$D$46),Projects!$B$46*(Assumptions!$B$10+Assumptions!$B$11+Assumptions!$B$12)/Projects!$D$46*0.95,0)-IF(AND(Projects!$G$46="Yes",CH$3=Projects!$C$46+Projects!$D$46-1),Projects!$B$46*(Assumptions!$B$10+Assumptions!$B$11+Assumptions!$B$12)*0.05,0)</f>
        <v>0</v>
      </c>
      <c r="CI55" s="19" t="n">
        <f aca="false">IF(AND(Projects!$G$46="Yes",CI$3&gt;=Projects!$C$46,CI$3&lt;Projects!$C$46+Projects!$D$46),Projects!$B$46*INDEX(Curves!$B$4:$AR$4,1,CI$3-Projects!$C$46+1),0)-IF(AND(Projects!$G$46="Yes",CI$3&gt;=Projects!$C$46,CI$3&lt;Projects!$C$46+Projects!$D$46),Projects!$B$46*(Assumptions!$B$10+Assumptions!$B$11+Assumptions!$B$12)/Projects!$D$46*0.95,0)-IF(AND(Projects!$G$46="Yes",CI$3=Projects!$C$46+Projects!$D$46-1),Projects!$B$46*(Assumptions!$B$10+Assumptions!$B$11+Assumptions!$B$12)*0.05,0)</f>
        <v>0</v>
      </c>
      <c r="CJ55" s="19" t="n">
        <f aca="false">IF(AND(Projects!$G$46="Yes",CJ$3&gt;=Projects!$C$46,CJ$3&lt;Projects!$C$46+Projects!$D$46),Projects!$B$46*INDEX(Curves!$B$4:$AR$4,1,CJ$3-Projects!$C$46+1),0)-IF(AND(Projects!$G$46="Yes",CJ$3&gt;=Projects!$C$46,CJ$3&lt;Projects!$C$46+Projects!$D$46),Projects!$B$46*(Assumptions!$B$10+Assumptions!$B$11+Assumptions!$B$12)/Projects!$D$46*0.95,0)-IF(AND(Projects!$G$46="Yes",CJ$3=Projects!$C$46+Projects!$D$46-1),Projects!$B$46*(Assumptions!$B$10+Assumptions!$B$11+Assumptions!$B$12)*0.05,0)</f>
        <v>0</v>
      </c>
      <c r="CK55" s="19" t="n">
        <f aca="false">IF(AND(Projects!$G$46="Yes",CK$3&gt;=Projects!$C$46,CK$3&lt;Projects!$C$46+Projects!$D$46),Projects!$B$46*INDEX(Curves!$B$4:$AR$4,1,CK$3-Projects!$C$46+1),0)-IF(AND(Projects!$G$46="Yes",CK$3&gt;=Projects!$C$46,CK$3&lt;Projects!$C$46+Projects!$D$46),Projects!$B$46*(Assumptions!$B$10+Assumptions!$B$11+Assumptions!$B$12)/Projects!$D$46*0.95,0)-IF(AND(Projects!$G$46="Yes",CK$3=Projects!$C$46+Projects!$D$46-1),Projects!$B$46*(Assumptions!$B$10+Assumptions!$B$11+Assumptions!$B$12)*0.05,0)</f>
        <v>0</v>
      </c>
      <c r="CL55" s="19" t="n">
        <f aca="false">IF(AND(Projects!$G$46="Yes",CL$3&gt;=Projects!$C$46,CL$3&lt;Projects!$C$46+Projects!$D$46),Projects!$B$46*INDEX(Curves!$B$4:$AR$4,1,CL$3-Projects!$C$46+1),0)-IF(AND(Projects!$G$46="Yes",CL$3&gt;=Projects!$C$46,CL$3&lt;Projects!$C$46+Projects!$D$46),Projects!$B$46*(Assumptions!$B$10+Assumptions!$B$11+Assumptions!$B$12)/Projects!$D$46*0.95,0)-IF(AND(Projects!$G$46="Yes",CL$3=Projects!$C$46+Projects!$D$46-1),Projects!$B$46*(Assumptions!$B$10+Assumptions!$B$11+Assumptions!$B$12)*0.05,0)</f>
        <v>0</v>
      </c>
      <c r="CM55" s="19" t="n">
        <f aca="false">IF(AND(Projects!$G$46="Yes",CM$3&gt;=Projects!$C$46,CM$3&lt;Projects!$C$46+Projects!$D$46),Projects!$B$46*INDEX(Curves!$B$4:$AR$4,1,CM$3-Projects!$C$46+1),0)-IF(AND(Projects!$G$46="Yes",CM$3&gt;=Projects!$C$46,CM$3&lt;Projects!$C$46+Projects!$D$46),Projects!$B$46*(Assumptions!$B$10+Assumptions!$B$11+Assumptions!$B$12)/Projects!$D$46*0.95,0)-IF(AND(Projects!$G$46="Yes",CM$3=Projects!$C$46+Projects!$D$46-1),Projects!$B$46*(Assumptions!$B$10+Assumptions!$B$11+Assumptions!$B$12)*0.05,0)</f>
        <v>0</v>
      </c>
      <c r="CN55" s="19" t="n">
        <f aca="false">IF(AND(Projects!$G$46="Yes",CN$3&gt;=Projects!$C$46,CN$3&lt;Projects!$C$46+Projects!$D$46),Projects!$B$46*INDEX(Curves!$B$4:$AR$4,1,CN$3-Projects!$C$46+1),0)-IF(AND(Projects!$G$46="Yes",CN$3&gt;=Projects!$C$46,CN$3&lt;Projects!$C$46+Projects!$D$46),Projects!$B$46*(Assumptions!$B$10+Assumptions!$B$11+Assumptions!$B$12)/Projects!$D$46*0.95,0)-IF(AND(Projects!$G$46="Yes",CN$3=Projects!$C$46+Projects!$D$46-1),Projects!$B$46*(Assumptions!$B$10+Assumptions!$B$11+Assumptions!$B$12)*0.05,0)</f>
        <v>0</v>
      </c>
      <c r="CO55" s="19" t="n">
        <f aca="false">IF(AND(Projects!$G$46="Yes",CO$3&gt;=Projects!$C$46,CO$3&lt;Projects!$C$46+Projects!$D$46),Projects!$B$46*INDEX(Curves!$B$4:$AR$4,1,CO$3-Projects!$C$46+1),0)-IF(AND(Projects!$G$46="Yes",CO$3&gt;=Projects!$C$46,CO$3&lt;Projects!$C$46+Projects!$D$46),Projects!$B$46*(Assumptions!$B$10+Assumptions!$B$11+Assumptions!$B$12)/Projects!$D$46*0.95,0)-IF(AND(Projects!$G$46="Yes",CO$3=Projects!$C$46+Projects!$D$46-1),Projects!$B$46*(Assumptions!$B$10+Assumptions!$B$11+Assumptions!$B$12)*0.05,0)</f>
        <v>0</v>
      </c>
      <c r="CP55" s="19" t="n">
        <f aca="false">IF(AND(Projects!$G$46="Yes",CP$3&gt;=Projects!$C$46,CP$3&lt;Projects!$C$46+Projects!$D$46),Projects!$B$46*INDEX(Curves!$B$4:$AR$4,1,CP$3-Projects!$C$46+1),0)-IF(AND(Projects!$G$46="Yes",CP$3&gt;=Projects!$C$46,CP$3&lt;Projects!$C$46+Projects!$D$46),Projects!$B$46*(Assumptions!$B$10+Assumptions!$B$11+Assumptions!$B$12)/Projects!$D$46*0.95,0)-IF(AND(Projects!$G$46="Yes",CP$3=Projects!$C$46+Projects!$D$46-1),Projects!$B$46*(Assumptions!$B$10+Assumptions!$B$11+Assumptions!$B$12)*0.05,0)</f>
        <v>0</v>
      </c>
      <c r="CQ55" s="19" t="n">
        <f aca="false">IF(AND(Projects!$G$46="Yes",CQ$3&gt;=Projects!$C$46,CQ$3&lt;Projects!$C$46+Projects!$D$46),Projects!$B$46*INDEX(Curves!$B$4:$AR$4,1,CQ$3-Projects!$C$46+1),0)-IF(AND(Projects!$G$46="Yes",CQ$3&gt;=Projects!$C$46,CQ$3&lt;Projects!$C$46+Projects!$D$46),Projects!$B$46*(Assumptions!$B$10+Assumptions!$B$11+Assumptions!$B$12)/Projects!$D$46*0.95,0)-IF(AND(Projects!$G$46="Yes",CQ$3=Projects!$C$46+Projects!$D$46-1),Projects!$B$46*(Assumptions!$B$10+Assumptions!$B$11+Assumptions!$B$12)*0.05,0)</f>
        <v>0</v>
      </c>
      <c r="CR55" s="19" t="n">
        <f aca="false">IF(AND(Projects!$G$46="Yes",CR$3&gt;=Projects!$C$46,CR$3&lt;Projects!$C$46+Projects!$D$46),Projects!$B$46*INDEX(Curves!$B$4:$AR$4,1,CR$3-Projects!$C$46+1),0)-IF(AND(Projects!$G$46="Yes",CR$3&gt;=Projects!$C$46,CR$3&lt;Projects!$C$46+Projects!$D$46),Projects!$B$46*(Assumptions!$B$10+Assumptions!$B$11+Assumptions!$B$12)/Projects!$D$46*0.95,0)-IF(AND(Projects!$G$46="Yes",CR$3=Projects!$C$46+Projects!$D$46-1),Projects!$B$46*(Assumptions!$B$10+Assumptions!$B$11+Assumptions!$B$12)*0.05,0)</f>
        <v>0</v>
      </c>
      <c r="CS55" s="19" t="n">
        <f aca="false">IF(AND(Projects!$G$46="Yes",CS$3&gt;=Projects!$C$46,CS$3&lt;Projects!$C$46+Projects!$D$46),Projects!$B$46*INDEX(Curves!$B$4:$AR$4,1,CS$3-Projects!$C$46+1),0)-IF(AND(Projects!$G$46="Yes",CS$3&gt;=Projects!$C$46,CS$3&lt;Projects!$C$46+Projects!$D$46),Projects!$B$46*(Assumptions!$B$10+Assumptions!$B$11+Assumptions!$B$12)/Projects!$D$46*0.95,0)-IF(AND(Projects!$G$46="Yes",CS$3=Projects!$C$46+Projects!$D$46-1),Projects!$B$46*(Assumptions!$B$10+Assumptions!$B$11+Assumptions!$B$12)*0.05,0)</f>
        <v>0</v>
      </c>
      <c r="CT55" s="19" t="n">
        <f aca="false">IF(AND(Projects!$G$46="Yes",CT$3&gt;=Projects!$C$46,CT$3&lt;Projects!$C$46+Projects!$D$46),Projects!$B$46*INDEX(Curves!$B$4:$AR$4,1,CT$3-Projects!$C$46+1),0)-IF(AND(Projects!$G$46="Yes",CT$3&gt;=Projects!$C$46,CT$3&lt;Projects!$C$46+Projects!$D$46),Projects!$B$46*(Assumptions!$B$10+Assumptions!$B$11+Assumptions!$B$12)/Projects!$D$46*0.95,0)-IF(AND(Projects!$G$46="Yes",CT$3=Projects!$C$46+Projects!$D$46-1),Projects!$B$46*(Assumptions!$B$10+Assumptions!$B$11+Assumptions!$B$12)*0.05,0)</f>
        <v>0</v>
      </c>
      <c r="CU55" s="19" t="n">
        <f aca="false">IF(AND(Projects!$G$46="Yes",CU$3&gt;=Projects!$C$46,CU$3&lt;Projects!$C$46+Projects!$D$46),Projects!$B$46*INDEX(Curves!$B$4:$AR$4,1,CU$3-Projects!$C$46+1),0)-IF(AND(Projects!$G$46="Yes",CU$3&gt;=Projects!$C$46,CU$3&lt;Projects!$C$46+Projects!$D$46),Projects!$B$46*(Assumptions!$B$10+Assumptions!$B$11+Assumptions!$B$12)/Projects!$D$46*0.95,0)-IF(AND(Projects!$G$46="Yes",CU$3=Projects!$C$46+Projects!$D$46-1),Projects!$B$46*(Assumptions!$B$10+Assumptions!$B$11+Assumptions!$B$12)*0.05,0)</f>
        <v>0</v>
      </c>
      <c r="CV55" s="19" t="n">
        <f aca="false">IF(AND(Projects!$G$46="Yes",CV$3&gt;=Projects!$C$46,CV$3&lt;Projects!$C$46+Projects!$D$46),Projects!$B$46*INDEX(Curves!$B$4:$AR$4,1,CV$3-Projects!$C$46+1),0)-IF(AND(Projects!$G$46="Yes",CV$3&gt;=Projects!$C$46,CV$3&lt;Projects!$C$46+Projects!$D$46),Projects!$B$46*(Assumptions!$B$10+Assumptions!$B$11+Assumptions!$B$12)/Projects!$D$46*0.95,0)-IF(AND(Projects!$G$46="Yes",CV$3=Projects!$C$46+Projects!$D$46-1),Projects!$B$46*(Assumptions!$B$10+Assumptions!$B$11+Assumptions!$B$12)*0.05,0)</f>
        <v>0</v>
      </c>
      <c r="CW55" s="19" t="n">
        <f aca="false">IF(AND(Projects!$G$46="Yes",CW$3&gt;=Projects!$C$46,CW$3&lt;Projects!$C$46+Projects!$D$46),Projects!$B$46*INDEX(Curves!$B$4:$AR$4,1,CW$3-Projects!$C$46+1),0)-IF(AND(Projects!$G$46="Yes",CW$3&gt;=Projects!$C$46,CW$3&lt;Projects!$C$46+Projects!$D$46),Projects!$B$46*(Assumptions!$B$10+Assumptions!$B$11+Assumptions!$B$12)/Projects!$D$46*0.95,0)-IF(AND(Projects!$G$46="Yes",CW$3=Projects!$C$46+Projects!$D$46-1),Projects!$B$46*(Assumptions!$B$10+Assumptions!$B$11+Assumptions!$B$12)*0.05,0)</f>
        <v>0</v>
      </c>
      <c r="CX55" s="19" t="n">
        <f aca="false">IF(AND(Projects!$G$46="Yes",CX$3&gt;=Projects!$C$46,CX$3&lt;Projects!$C$46+Projects!$D$46),Projects!$B$46*INDEX(Curves!$B$4:$AR$4,1,CX$3-Projects!$C$46+1),0)-IF(AND(Projects!$G$46="Yes",CX$3&gt;=Projects!$C$46,CX$3&lt;Projects!$C$46+Projects!$D$46),Projects!$B$46*(Assumptions!$B$10+Assumptions!$B$11+Assumptions!$B$12)/Projects!$D$46*0.95,0)-IF(AND(Projects!$G$46="Yes",CX$3=Projects!$C$46+Projects!$D$46-1),Projects!$B$46*(Assumptions!$B$10+Assumptions!$B$11+Assumptions!$B$12)*0.05,0)</f>
        <v>0</v>
      </c>
      <c r="CY55" s="19" t="n">
        <f aca="false">IF(AND(Projects!$G$46="Yes",CY$3&gt;=Projects!$C$46,CY$3&lt;Projects!$C$46+Projects!$D$46),Projects!$B$46*INDEX(Curves!$B$4:$AR$4,1,CY$3-Projects!$C$46+1),0)-IF(AND(Projects!$G$46="Yes",CY$3&gt;=Projects!$C$46,CY$3&lt;Projects!$C$46+Projects!$D$46),Projects!$B$46*(Assumptions!$B$10+Assumptions!$B$11+Assumptions!$B$12)/Projects!$D$46*0.95,0)-IF(AND(Projects!$G$46="Yes",CY$3=Projects!$C$46+Projects!$D$46-1),Projects!$B$46*(Assumptions!$B$10+Assumptions!$B$11+Assumptions!$B$12)*0.05,0)</f>
        <v>0</v>
      </c>
      <c r="CZ55" s="19" t="n">
        <f aca="false">IF(AND(Projects!$G$46="Yes",CZ$3&gt;=Projects!$C$46,CZ$3&lt;Projects!$C$46+Projects!$D$46),Projects!$B$46*INDEX(Curves!$B$4:$AR$4,1,CZ$3-Projects!$C$46+1),0)-IF(AND(Projects!$G$46="Yes",CZ$3&gt;=Projects!$C$46,CZ$3&lt;Projects!$C$46+Projects!$D$46),Projects!$B$46*(Assumptions!$B$10+Assumptions!$B$11+Assumptions!$B$12)/Projects!$D$46*0.95,0)-IF(AND(Projects!$G$46="Yes",CZ$3=Projects!$C$46+Projects!$D$46-1),Projects!$B$46*(Assumptions!$B$10+Assumptions!$B$11+Assumptions!$B$12)*0.05,0)</f>
        <v>0</v>
      </c>
      <c r="DA55" s="19" t="n">
        <f aca="false">IF(AND(Projects!$G$46="Yes",DA$3&gt;=Projects!$C$46,DA$3&lt;Projects!$C$46+Projects!$D$46),Projects!$B$46*INDEX(Curves!$B$4:$AR$4,1,DA$3-Projects!$C$46+1),0)-IF(AND(Projects!$G$46="Yes",DA$3&gt;=Projects!$C$46,DA$3&lt;Projects!$C$46+Projects!$D$46),Projects!$B$46*(Assumptions!$B$10+Assumptions!$B$11+Assumptions!$B$12)/Projects!$D$46*0.95,0)-IF(AND(Projects!$G$46="Yes",DA$3=Projects!$C$46+Projects!$D$46-1),Projects!$B$46*(Assumptions!$B$10+Assumptions!$B$11+Assumptions!$B$12)*0.05,0)</f>
        <v>0</v>
      </c>
      <c r="DB55" s="19" t="n">
        <f aca="false">IF(AND(Projects!$G$46="Yes",DB$3&gt;=Projects!$C$46,DB$3&lt;Projects!$C$46+Projects!$D$46),Projects!$B$46*INDEX(Curves!$B$4:$AR$4,1,DB$3-Projects!$C$46+1),0)-IF(AND(Projects!$G$46="Yes",DB$3&gt;=Projects!$C$46,DB$3&lt;Projects!$C$46+Projects!$D$46),Projects!$B$46*(Assumptions!$B$10+Assumptions!$B$11+Assumptions!$B$12)/Projects!$D$46*0.95,0)-IF(AND(Projects!$G$46="Yes",DB$3=Projects!$C$46+Projects!$D$46-1),Projects!$B$46*(Assumptions!$B$10+Assumptions!$B$11+Assumptions!$B$12)*0.05,0)</f>
        <v>0</v>
      </c>
      <c r="DC55" s="19" t="n">
        <f aca="false">IF(AND(Projects!$G$46="Yes",DC$3&gt;=Projects!$C$46,DC$3&lt;Projects!$C$46+Projects!$D$46),Projects!$B$46*INDEX(Curves!$B$4:$AR$4,1,DC$3-Projects!$C$46+1),0)-IF(AND(Projects!$G$46="Yes",DC$3&gt;=Projects!$C$46,DC$3&lt;Projects!$C$46+Projects!$D$46),Projects!$B$46*(Assumptions!$B$10+Assumptions!$B$11+Assumptions!$B$12)/Projects!$D$46*0.95,0)-IF(AND(Projects!$G$46="Yes",DC$3=Projects!$C$46+Projects!$D$46-1),Projects!$B$46*(Assumptions!$B$10+Assumptions!$B$11+Assumptions!$B$12)*0.05,0)</f>
        <v>0</v>
      </c>
      <c r="DD55" s="19" t="n">
        <f aca="false">IF(AND(Projects!$G$46="Yes",DD$3&gt;=Projects!$C$46,DD$3&lt;Projects!$C$46+Projects!$D$46),Projects!$B$46*INDEX(Curves!$B$4:$AR$4,1,DD$3-Projects!$C$46+1),0)-IF(AND(Projects!$G$46="Yes",DD$3&gt;=Projects!$C$46,DD$3&lt;Projects!$C$46+Projects!$D$46),Projects!$B$46*(Assumptions!$B$10+Assumptions!$B$11+Assumptions!$B$12)/Projects!$D$46*0.95,0)-IF(AND(Projects!$G$46="Yes",DD$3=Projects!$C$46+Projects!$D$46-1),Projects!$B$46*(Assumptions!$B$10+Assumptions!$B$11+Assumptions!$B$12)*0.05,0)</f>
        <v>0</v>
      </c>
      <c r="DE55" s="19" t="n">
        <f aca="false">IF(AND(Projects!$G$46="Yes",DE$3&gt;=Projects!$C$46,DE$3&lt;Projects!$C$46+Projects!$D$46),Projects!$B$46*INDEX(Curves!$B$4:$AR$4,1,DE$3-Projects!$C$46+1),0)-IF(AND(Projects!$G$46="Yes",DE$3&gt;=Projects!$C$46,DE$3&lt;Projects!$C$46+Projects!$D$46),Projects!$B$46*(Assumptions!$B$10+Assumptions!$B$11+Assumptions!$B$12)/Projects!$D$46*0.95,0)-IF(AND(Projects!$G$46="Yes",DE$3=Projects!$C$46+Projects!$D$46-1),Projects!$B$46*(Assumptions!$B$10+Assumptions!$B$11+Assumptions!$B$12)*0.05,0)</f>
        <v>0</v>
      </c>
    </row>
    <row r="56" customFormat="false" ht="15" hidden="true" customHeight="true" outlineLevel="1" collapsed="false">
      <c r="A56" s="28" t="s">
        <v>50</v>
      </c>
      <c r="B56" s="19" t="n">
        <v>0</v>
      </c>
      <c r="C56" s="19" t="n">
        <v>0</v>
      </c>
      <c r="D56" s="19" t="n">
        <v>0</v>
      </c>
      <c r="E56" s="19" t="n">
        <v>0</v>
      </c>
      <c r="F56" s="19" t="n">
        <v>0</v>
      </c>
      <c r="G56" s="19" t="n">
        <v>0</v>
      </c>
      <c r="H56" s="19" t="n">
        <v>0</v>
      </c>
      <c r="I56" s="19" t="n">
        <v>0</v>
      </c>
      <c r="J56" s="19" t="n">
        <v>0</v>
      </c>
      <c r="K56" s="19" t="n">
        <v>0</v>
      </c>
      <c r="L56" s="19" t="n">
        <v>0</v>
      </c>
      <c r="M56" s="19" t="n">
        <v>0</v>
      </c>
      <c r="N56" s="19" t="n">
        <v>0</v>
      </c>
      <c r="O56" s="19" t="n">
        <v>0</v>
      </c>
      <c r="P56" s="19" t="n">
        <v>0</v>
      </c>
      <c r="Q56" s="19" t="n">
        <v>0</v>
      </c>
      <c r="R56" s="19" t="n">
        <v>0</v>
      </c>
      <c r="S56" s="19" t="n">
        <v>0</v>
      </c>
      <c r="T56" s="19" t="n">
        <v>0</v>
      </c>
      <c r="U56" s="19" t="n">
        <v>0</v>
      </c>
      <c r="V56" s="19" t="n">
        <v>0</v>
      </c>
      <c r="W56" s="19" t="n">
        <v>0</v>
      </c>
      <c r="X56" s="19" t="n">
        <v>0</v>
      </c>
      <c r="Y56" s="19" t="n">
        <v>0</v>
      </c>
      <c r="Z56" s="19" t="n">
        <v>0</v>
      </c>
      <c r="AA56" s="19" t="n">
        <v>0</v>
      </c>
      <c r="AB56" s="19" t="n">
        <v>0</v>
      </c>
      <c r="AC56" s="19" t="n">
        <v>0</v>
      </c>
      <c r="AD56" s="19" t="n">
        <v>0</v>
      </c>
      <c r="AE56" s="19" t="n">
        <v>0</v>
      </c>
      <c r="AF56" s="19" t="n">
        <v>0</v>
      </c>
      <c r="AG56" s="19" t="n">
        <v>0</v>
      </c>
      <c r="AH56" s="19" t="n">
        <v>0</v>
      </c>
      <c r="AI56" s="19" t="n">
        <v>0</v>
      </c>
      <c r="AJ56" s="19" t="n">
        <v>0</v>
      </c>
      <c r="AK56" s="19" t="n">
        <v>0</v>
      </c>
      <c r="AL56" s="19" t="n">
        <v>0</v>
      </c>
      <c r="AM56" s="19" t="n">
        <v>0</v>
      </c>
      <c r="AN56" s="19" t="n">
        <v>0</v>
      </c>
      <c r="AO56" s="19" t="n">
        <v>0</v>
      </c>
      <c r="AP56" s="19" t="n">
        <v>0</v>
      </c>
      <c r="AQ56" s="19" t="n">
        <v>0</v>
      </c>
      <c r="AR56" s="19" t="n">
        <v>0</v>
      </c>
      <c r="AS56" s="19" t="n">
        <v>0</v>
      </c>
      <c r="AT56" s="19" t="n">
        <v>0</v>
      </c>
      <c r="AU56" s="19" t="n">
        <v>0</v>
      </c>
      <c r="AV56" s="19" t="n">
        <v>0</v>
      </c>
      <c r="AW56" s="19" t="n">
        <v>0</v>
      </c>
      <c r="AX56" s="19" t="n">
        <v>0</v>
      </c>
      <c r="AY56" s="19" t="n">
        <v>0</v>
      </c>
      <c r="AZ56" s="19" t="n">
        <v>0</v>
      </c>
      <c r="BA56" s="19" t="n">
        <v>0</v>
      </c>
      <c r="BB56" s="19" t="n">
        <v>0</v>
      </c>
      <c r="BC56" s="19" t="n">
        <v>0</v>
      </c>
      <c r="BD56" s="19" t="n">
        <v>0</v>
      </c>
      <c r="BE56" s="19" t="n">
        <v>0</v>
      </c>
      <c r="BF56" s="19" t="n">
        <v>0</v>
      </c>
      <c r="BG56" s="19" t="n">
        <v>0</v>
      </c>
      <c r="BH56" s="19" t="n">
        <v>0</v>
      </c>
      <c r="BI56" s="19" t="n">
        <v>0</v>
      </c>
      <c r="BJ56" s="19" t="n">
        <v>0</v>
      </c>
      <c r="BK56" s="19" t="n">
        <v>0</v>
      </c>
      <c r="BL56" s="19" t="n">
        <v>0</v>
      </c>
      <c r="BM56" s="19" t="n">
        <v>0</v>
      </c>
      <c r="BN56" s="19" t="n">
        <v>0</v>
      </c>
      <c r="BO56" s="19" t="n">
        <v>0</v>
      </c>
      <c r="BP56" s="19" t="n">
        <v>0</v>
      </c>
      <c r="BQ56" s="19" t="n">
        <v>0</v>
      </c>
      <c r="BR56" s="19" t="n">
        <v>0</v>
      </c>
      <c r="BS56" s="19" t="n">
        <v>0</v>
      </c>
      <c r="BT56" s="19" t="n">
        <v>0</v>
      </c>
      <c r="BU56" s="19" t="n">
        <v>0</v>
      </c>
      <c r="BV56" s="19" t="n">
        <v>0</v>
      </c>
      <c r="BW56" s="19" t="n">
        <v>0</v>
      </c>
      <c r="BX56" s="19" t="n">
        <v>0</v>
      </c>
      <c r="BY56" s="19" t="n">
        <v>0</v>
      </c>
      <c r="BZ56" s="19" t="n">
        <v>0</v>
      </c>
      <c r="CA56" s="19" t="n">
        <v>0</v>
      </c>
      <c r="CB56" s="19" t="n">
        <v>0</v>
      </c>
      <c r="CC56" s="19" t="n">
        <v>0</v>
      </c>
      <c r="CD56" s="19" t="n">
        <v>0</v>
      </c>
      <c r="CE56" s="19" t="n">
        <v>0</v>
      </c>
      <c r="CF56" s="19" t="n">
        <v>0</v>
      </c>
      <c r="CG56" s="19" t="n">
        <v>0</v>
      </c>
      <c r="CH56" s="19" t="n">
        <v>0</v>
      </c>
      <c r="CI56" s="19" t="n">
        <v>0</v>
      </c>
      <c r="CJ56" s="19" t="n">
        <v>0</v>
      </c>
      <c r="CK56" s="19" t="n">
        <v>0</v>
      </c>
      <c r="CL56" s="19" t="n">
        <v>0</v>
      </c>
      <c r="CM56" s="19" t="n">
        <v>0</v>
      </c>
      <c r="CN56" s="19" t="n">
        <v>0</v>
      </c>
      <c r="CO56" s="19" t="n">
        <v>0</v>
      </c>
      <c r="CP56" s="19" t="n">
        <v>0</v>
      </c>
      <c r="CQ56" s="19" t="n">
        <v>0</v>
      </c>
      <c r="CR56" s="19" t="n">
        <v>0</v>
      </c>
      <c r="CS56" s="19" t="n">
        <v>0</v>
      </c>
      <c r="CT56" s="19" t="n">
        <v>0</v>
      </c>
      <c r="CU56" s="19" t="n">
        <v>0</v>
      </c>
      <c r="CV56" s="19" t="n">
        <v>0</v>
      </c>
      <c r="CW56" s="19" t="n">
        <v>0</v>
      </c>
      <c r="CX56" s="19" t="n">
        <v>0</v>
      </c>
      <c r="CY56" s="19" t="n">
        <v>0</v>
      </c>
      <c r="CZ56" s="19" t="n">
        <v>0</v>
      </c>
      <c r="DA56" s="19" t="n">
        <v>0</v>
      </c>
      <c r="DB56" s="19" t="n">
        <v>0</v>
      </c>
      <c r="DC56" s="19" t="n">
        <v>0</v>
      </c>
      <c r="DD56" s="19" t="n">
        <v>0</v>
      </c>
      <c r="DE56" s="19" t="n">
        <v>0</v>
      </c>
    </row>
    <row r="57" customFormat="false" ht="15" hidden="false" customHeight="true" outlineLevel="0" collapsed="true">
      <c r="A57" s="29" t="s">
        <v>51</v>
      </c>
      <c r="B57" s="30" t="n">
        <f aca="false">SUM(B13:B56)</f>
        <v>1242053.19</v>
      </c>
      <c r="C57" s="30" t="n">
        <f aca="false">SUM(C13:C56)</f>
        <v>2710434.48</v>
      </c>
      <c r="D57" s="30" t="n">
        <f aca="false">SUM(D13:D56)</f>
        <v>2402410.43</v>
      </c>
      <c r="E57" s="30" t="n">
        <f aca="false">SUM(E13:E56)</f>
        <v>3312759.91</v>
      </c>
      <c r="F57" s="30" t="n">
        <f aca="false">SUM(F13:F56)</f>
        <v>3939278.23</v>
      </c>
      <c r="G57" s="30" t="n">
        <f aca="false">SUM(G13:G56)</f>
        <v>5584522.73</v>
      </c>
      <c r="H57" s="30" t="n">
        <f aca="false">SUM(H13:H56)</f>
        <v>6409057.07</v>
      </c>
      <c r="I57" s="30" t="n">
        <f aca="false">SUM(I13:I56)</f>
        <v>5304128.59</v>
      </c>
      <c r="J57" s="30" t="n">
        <f aca="false">SUM(J13:J56)</f>
        <v>5120266.58613186</v>
      </c>
      <c r="K57" s="30" t="n">
        <f aca="false">SUM(K13:K56)</f>
        <v>5314638.36576529</v>
      </c>
      <c r="L57" s="30" t="n">
        <f aca="false">SUM(L13:L56)</f>
        <v>4584134.97988837</v>
      </c>
      <c r="M57" s="30" t="n">
        <f aca="false">SUM(M13:M56)</f>
        <v>4551163.93984795</v>
      </c>
      <c r="N57" s="30" t="n">
        <f aca="false">SUM(N13:N56)</f>
        <v>5652213.83488249</v>
      </c>
      <c r="O57" s="30" t="n">
        <f aca="false">SUM(O13:O56)</f>
        <v>5678924.56676773</v>
      </c>
      <c r="P57" s="30" t="n">
        <f aca="false">SUM(P13:P56)</f>
        <v>6369213.91179984</v>
      </c>
      <c r="Q57" s="30" t="n">
        <f aca="false">SUM(Q13:Q56)</f>
        <v>6926644.90127187</v>
      </c>
      <c r="R57" s="30" t="n">
        <f aca="false">SUM(R13:R56)</f>
        <v>7328656.83552692</v>
      </c>
      <c r="S57" s="30" t="n">
        <f aca="false">SUM(S13:S56)</f>
        <v>8086686.66470567</v>
      </c>
      <c r="T57" s="30" t="n">
        <f aca="false">SUM(T13:T56)</f>
        <v>9702571.30793667</v>
      </c>
      <c r="U57" s="30" t="n">
        <f aca="false">SUM(U13:U56)</f>
        <v>9488891.93990192</v>
      </c>
      <c r="V57" s="30" t="n">
        <f aca="false">SUM(V13:V56)</f>
        <v>10375072.7581756</v>
      </c>
      <c r="W57" s="30" t="n">
        <f aca="false">SUM(W13:W56)</f>
        <v>9469764.02134012</v>
      </c>
      <c r="X57" s="30" t="n">
        <f aca="false">SUM(X13:X56)</f>
        <v>11471758.8425016</v>
      </c>
      <c r="Y57" s="30" t="n">
        <f aca="false">SUM(Y13:Y56)</f>
        <v>10579776.7097878</v>
      </c>
      <c r="Z57" s="30" t="n">
        <f aca="false">SUM(Z13:Z56)</f>
        <v>11610500.2428034</v>
      </c>
      <c r="AA57" s="30" t="n">
        <f aca="false">SUM(AA13:AA56)</f>
        <v>11128162.3447432</v>
      </c>
      <c r="AB57" s="30" t="n">
        <f aca="false">SUM(AB13:AB56)</f>
        <v>10521549.1312114</v>
      </c>
      <c r="AC57" s="30" t="n">
        <f aca="false">SUM(AC13:AC56)</f>
        <v>9834222.70245888</v>
      </c>
      <c r="AD57" s="30" t="n">
        <f aca="false">SUM(AD13:AD56)</f>
        <v>9883012.57959108</v>
      </c>
      <c r="AE57" s="30" t="n">
        <f aca="false">SUM(AE13:AE56)</f>
        <v>10092531.6431776</v>
      </c>
      <c r="AF57" s="30" t="n">
        <f aca="false">SUM(AF13:AF56)</f>
        <v>9944297.31805217</v>
      </c>
      <c r="AG57" s="30" t="n">
        <f aca="false">SUM(AG13:AG56)</f>
        <v>10614993.6344837</v>
      </c>
      <c r="AH57" s="30" t="n">
        <f aca="false">SUM(AH13:AH56)</f>
        <v>10560618.4922978</v>
      </c>
      <c r="AI57" s="30" t="n">
        <f aca="false">SUM(AI13:AI56)</f>
        <v>10727242.4344336</v>
      </c>
      <c r="AJ57" s="30" t="n">
        <f aca="false">SUM(AJ13:AJ56)</f>
        <v>9884485.4061317</v>
      </c>
      <c r="AK57" s="30" t="n">
        <f aca="false">SUM(AK13:AK56)</f>
        <v>9668271.12862863</v>
      </c>
      <c r="AL57" s="30" t="n">
        <f aca="false">SUM(AL13:AL56)</f>
        <v>10053854.8087209</v>
      </c>
      <c r="AM57" s="30" t="n">
        <f aca="false">SUM(AM13:AM56)</f>
        <v>10624053.9961423</v>
      </c>
      <c r="AN57" s="30" t="n">
        <f aca="false">SUM(AN13:AN56)</f>
        <v>10574244.9668189</v>
      </c>
      <c r="AO57" s="30" t="n">
        <f aca="false">SUM(AO13:AO56)</f>
        <v>11010518.0996247</v>
      </c>
      <c r="AP57" s="30" t="n">
        <f aca="false">SUM(AP13:AP56)</f>
        <v>11776732.4925952</v>
      </c>
      <c r="AQ57" s="30" t="n">
        <f aca="false">SUM(AQ13:AQ56)</f>
        <v>11944916.6208413</v>
      </c>
      <c r="AR57" s="30" t="n">
        <f aca="false">SUM(AR13:AR56)</f>
        <v>12403111.2454213</v>
      </c>
      <c r="AS57" s="30" t="n">
        <f aca="false">SUM(AS13:AS56)</f>
        <v>12684031.9801153</v>
      </c>
      <c r="AT57" s="30" t="n">
        <f aca="false">SUM(AT13:AT56)</f>
        <v>12386165.7116718</v>
      </c>
      <c r="AU57" s="30" t="n">
        <f aca="false">SUM(AU13:AU56)</f>
        <v>12134919.8222457</v>
      </c>
      <c r="AV57" s="30" t="n">
        <f aca="false">SUM(AV13:AV56)</f>
        <v>12664983.0565475</v>
      </c>
      <c r="AW57" s="30" t="n">
        <f aca="false">SUM(AW13:AW56)</f>
        <v>12493114.6515715</v>
      </c>
      <c r="AX57" s="30" t="n">
        <f aca="false">SUM(AX13:AX56)</f>
        <v>12124939.1956995</v>
      </c>
      <c r="AY57" s="30" t="n">
        <f aca="false">SUM(AY13:AY56)</f>
        <v>11471712.4566355</v>
      </c>
      <c r="AZ57" s="30" t="n">
        <f aca="false">SUM(AZ13:AZ56)</f>
        <v>10814646.3891395</v>
      </c>
      <c r="BA57" s="30" t="n">
        <f aca="false">SUM(BA13:BA56)</f>
        <v>10295814.4303955</v>
      </c>
      <c r="BB57" s="30" t="n">
        <f aca="false">SUM(BB13:BB56)</f>
        <v>9843691.56295545</v>
      </c>
      <c r="BC57" s="30" t="n">
        <f aca="false">SUM(BC13:BC56)</f>
        <v>9482151.13326745</v>
      </c>
      <c r="BD57" s="30" t="n">
        <f aca="false">SUM(BD13:BD56)</f>
        <v>9289860.76925145</v>
      </c>
      <c r="BE57" s="30" t="n">
        <f aca="false">SUM(BE13:BE56)</f>
        <v>9154886.62566745</v>
      </c>
      <c r="BF57" s="30" t="n">
        <f aca="false">SUM(BF13:BF56)</f>
        <v>9133670.38411545</v>
      </c>
      <c r="BG57" s="30" t="n">
        <f aca="false">SUM(BG13:BG56)</f>
        <v>9331748.68450745</v>
      </c>
      <c r="BH57" s="30" t="n">
        <f aca="false">SUM(BH13:BH56)</f>
        <v>9321493.61390785</v>
      </c>
      <c r="BI57" s="30" t="n">
        <f aca="false">SUM(BI13:BI56)</f>
        <v>9161640.15</v>
      </c>
      <c r="BJ57" s="30" t="n">
        <f aca="false">SUM(BJ13:BJ56)</f>
        <v>9351697.65</v>
      </c>
      <c r="BK57" s="30" t="n">
        <f aca="false">SUM(BK13:BK56)</f>
        <v>9599422.65</v>
      </c>
      <c r="BL57" s="30" t="n">
        <f aca="false">SUM(BL13:BL56)</f>
        <v>9671281.65</v>
      </c>
      <c r="BM57" s="30" t="n">
        <f aca="false">SUM(BM13:BM56)</f>
        <v>9450720.75</v>
      </c>
      <c r="BN57" s="30" t="n">
        <f aca="false">SUM(BN13:BN56)</f>
        <v>8905167.3</v>
      </c>
      <c r="BO57" s="30" t="n">
        <f aca="false">SUM(BO13:BO56)</f>
        <v>8391211.8</v>
      </c>
      <c r="BP57" s="30" t="n">
        <f aca="false">SUM(BP13:BP56)</f>
        <v>7916656.8</v>
      </c>
      <c r="BQ57" s="30" t="n">
        <f aca="false">SUM(BQ13:BQ56)</f>
        <v>7292362.8</v>
      </c>
      <c r="BR57" s="30" t="n">
        <f aca="false">SUM(BR13:BR56)</f>
        <v>6463415.55</v>
      </c>
      <c r="BS57" s="30" t="n">
        <f aca="false">SUM(BS13:BS56)</f>
        <v>5408019.15</v>
      </c>
      <c r="BT57" s="30" t="n">
        <f aca="false">SUM(BT13:BT56)</f>
        <v>4381283.7</v>
      </c>
      <c r="BU57" s="30" t="n">
        <f aca="false">SUM(BU13:BU56)</f>
        <v>3458446.95</v>
      </c>
      <c r="BV57" s="30" t="n">
        <f aca="false">SUM(BV13:BV56)</f>
        <v>2598701.55</v>
      </c>
      <c r="BW57" s="30" t="n">
        <f aca="false">SUM(BW13:BW56)</f>
        <v>1826501.1</v>
      </c>
      <c r="BX57" s="30" t="n">
        <f aca="false">SUM(BX13:BX56)</f>
        <v>1200451.35</v>
      </c>
      <c r="BY57" s="30" t="n">
        <f aca="false">SUM(BY13:BY56)</f>
        <v>661723.95</v>
      </c>
      <c r="BZ57" s="30" t="n">
        <f aca="false">SUM(BZ13:BZ56)</f>
        <v>217168.5</v>
      </c>
      <c r="CA57" s="30" t="n">
        <f aca="false">SUM(CA13:CA56)</f>
        <v>0</v>
      </c>
      <c r="CB57" s="30" t="n">
        <f aca="false">SUM(CB13:CB56)</f>
        <v>0</v>
      </c>
      <c r="CC57" s="30" t="n">
        <f aca="false">SUM(CC13:CC56)</f>
        <v>0</v>
      </c>
      <c r="CD57" s="30" t="n">
        <f aca="false">SUM(CD13:CD56)</f>
        <v>0</v>
      </c>
      <c r="CE57" s="30" t="n">
        <f aca="false">SUM(CE13:CE56)</f>
        <v>0</v>
      </c>
      <c r="CF57" s="30" t="n">
        <f aca="false">SUM(CF13:CF56)</f>
        <v>0</v>
      </c>
      <c r="CG57" s="30" t="n">
        <f aca="false">SUM(CG13:CG56)</f>
        <v>0</v>
      </c>
      <c r="CH57" s="30" t="n">
        <f aca="false">SUM(CH13:CH56)</f>
        <v>0</v>
      </c>
      <c r="CI57" s="30" t="n">
        <f aca="false">SUM(CI13:CI56)</f>
        <v>0</v>
      </c>
      <c r="CJ57" s="30" t="n">
        <f aca="false">SUM(CJ13:CJ56)</f>
        <v>0</v>
      </c>
      <c r="CK57" s="30" t="n">
        <f aca="false">SUM(CK13:CK56)</f>
        <v>0</v>
      </c>
      <c r="CL57" s="30" t="n">
        <f aca="false">SUM(CL13:CL56)</f>
        <v>0</v>
      </c>
      <c r="CM57" s="30" t="n">
        <f aca="false">SUM(CM13:CM56)</f>
        <v>0</v>
      </c>
      <c r="CN57" s="30" t="n">
        <f aca="false">SUM(CN13:CN56)</f>
        <v>0</v>
      </c>
      <c r="CO57" s="30" t="n">
        <f aca="false">SUM(CO13:CO56)</f>
        <v>0</v>
      </c>
      <c r="CP57" s="30" t="n">
        <f aca="false">SUM(CP13:CP56)</f>
        <v>0</v>
      </c>
      <c r="CQ57" s="30" t="n">
        <f aca="false">SUM(CQ13:CQ56)</f>
        <v>0</v>
      </c>
      <c r="CR57" s="30" t="n">
        <f aca="false">SUM(CR13:CR56)</f>
        <v>0</v>
      </c>
      <c r="CS57" s="30" t="n">
        <f aca="false">SUM(CS13:CS56)</f>
        <v>0</v>
      </c>
      <c r="CT57" s="30" t="n">
        <f aca="false">SUM(CT13:CT56)</f>
        <v>0</v>
      </c>
      <c r="CU57" s="30" t="n">
        <f aca="false">SUM(CU13:CU56)</f>
        <v>0</v>
      </c>
      <c r="CV57" s="30" t="n">
        <f aca="false">SUM(CV13:CV56)</f>
        <v>0</v>
      </c>
      <c r="CW57" s="30" t="n">
        <f aca="false">SUM(CW13:CW56)</f>
        <v>0</v>
      </c>
      <c r="CX57" s="30" t="n">
        <f aca="false">SUM(CX13:CX56)</f>
        <v>0</v>
      </c>
      <c r="CY57" s="30" t="n">
        <f aca="false">SUM(CY13:CY56)</f>
        <v>0</v>
      </c>
      <c r="CZ57" s="30" t="n">
        <f aca="false">SUM(CZ13:CZ56)</f>
        <v>0</v>
      </c>
      <c r="DA57" s="30" t="n">
        <f aca="false">SUM(DA13:DA56)</f>
        <v>0</v>
      </c>
      <c r="DB57" s="30" t="n">
        <f aca="false">SUM(DB13:DB56)</f>
        <v>0</v>
      </c>
      <c r="DC57" s="30" t="n">
        <f aca="false">SUM(DC13:DC56)</f>
        <v>0</v>
      </c>
      <c r="DD57" s="30" t="n">
        <f aca="false">SUM(DD13:DD56)</f>
        <v>0</v>
      </c>
      <c r="DE57" s="30" t="n">
        <f aca="false">SUM(DE13:DE56)</f>
        <v>0</v>
      </c>
    </row>
    <row r="58" customFormat="false" ht="15" hidden="false" customHeight="true" outlineLevel="0" collapsed="false">
      <c r="A58" s="29" t="s">
        <v>52</v>
      </c>
      <c r="B58" s="30" t="n">
        <f aca="false">B10+B11+B57</f>
        <v>1453790.79</v>
      </c>
      <c r="C58" s="30" t="n">
        <f aca="false">C10+C11+C57</f>
        <v>3022521.59</v>
      </c>
      <c r="D58" s="30" t="n">
        <f aca="false">D10+D11+D57</f>
        <v>2672216.16</v>
      </c>
      <c r="E58" s="30" t="n">
        <f aca="false">E10+E11+E57</f>
        <v>3692357.9</v>
      </c>
      <c r="F58" s="30" t="n">
        <f aca="false">F10+F11+F57</f>
        <v>4416061.63</v>
      </c>
      <c r="G58" s="30" t="n">
        <f aca="false">G10+G11+G57</f>
        <v>6252262.98</v>
      </c>
      <c r="H58" s="30" t="n">
        <f aca="false">H10+H11+H57</f>
        <v>7025595.65</v>
      </c>
      <c r="I58" s="30" t="n">
        <f aca="false">I10+I11+I57</f>
        <v>6064732.98</v>
      </c>
      <c r="J58" s="30" t="n">
        <f aca="false">J10+J11+J57</f>
        <v>5842178.10798445</v>
      </c>
      <c r="K58" s="30" t="n">
        <f aca="false">K10+K11+K57</f>
        <v>6074750.12847776</v>
      </c>
      <c r="L58" s="30" t="n">
        <f aca="false">L10+L11+L57</f>
        <v>5223190.74034752</v>
      </c>
      <c r="M58" s="30" t="n">
        <f aca="false">M10+M11+M57</f>
        <v>5225267.037072</v>
      </c>
      <c r="N58" s="30" t="n">
        <f aca="false">N10+N11+N57</f>
        <v>6498594.46622125</v>
      </c>
      <c r="O58" s="30" t="n">
        <f aca="false">O10+O11+O57</f>
        <v>6520121.54458745</v>
      </c>
      <c r="P58" s="30" t="n">
        <f aca="false">P10+P11+P57</f>
        <v>7237808.46961955</v>
      </c>
      <c r="Q58" s="30" t="n">
        <f aca="false">Q10+Q11+Q57</f>
        <v>7916353.2931488</v>
      </c>
      <c r="R58" s="30" t="n">
        <f aca="false">R10+R11+R57</f>
        <v>8367241.4754971</v>
      </c>
      <c r="S58" s="30" t="n">
        <f aca="false">S10+S11+S57</f>
        <v>9205779.4595526</v>
      </c>
      <c r="T58" s="30" t="n">
        <f aca="false">T10+T11+T57</f>
        <v>11026756.0729175</v>
      </c>
      <c r="U58" s="30" t="n">
        <f aca="false">U10+U11+U57</f>
        <v>10704635.7348828</v>
      </c>
      <c r="V58" s="30" t="n">
        <f aca="false">V10+V11+V57</f>
        <v>11665103.9231565</v>
      </c>
      <c r="W58" s="30" t="n">
        <f aca="false">W10+W11+W57</f>
        <v>10580737.616321</v>
      </c>
      <c r="X58" s="30" t="n">
        <f aca="false">X10+X11+X57</f>
        <v>12876610.3823414</v>
      </c>
      <c r="Y58" s="30" t="n">
        <f aca="false">Y10+Y11+Y57</f>
        <v>11822867.4296276</v>
      </c>
      <c r="Z58" s="30" t="n">
        <f aca="false">Z10+Z11+Z57</f>
        <v>12979937.1426432</v>
      </c>
      <c r="AA58" s="30" t="n">
        <f aca="false">AA10+AA11+AA57</f>
        <v>12526837.8979441</v>
      </c>
      <c r="AB58" s="30" t="n">
        <f aca="false">AB10+AB11+AB57</f>
        <v>11842244.8623118</v>
      </c>
      <c r="AC58" s="30" t="n">
        <f aca="false">AC10+AC11+AC57</f>
        <v>10926192.9643158</v>
      </c>
      <c r="AD58" s="30" t="n">
        <f aca="false">AD10+AD11+AD57</f>
        <v>10997932.751448</v>
      </c>
      <c r="AE58" s="30" t="n">
        <f aca="false">AE10+AE11+AE57</f>
        <v>11356043.4659031</v>
      </c>
      <c r="AF58" s="30" t="n">
        <f aca="false">AF10+AF11+AF57</f>
        <v>11377428.9548923</v>
      </c>
      <c r="AG58" s="30" t="n">
        <f aca="false">AG10+AG11+AG57</f>
        <v>12066574.2595754</v>
      </c>
      <c r="AH58" s="30" t="n">
        <f aca="false">AH10+AH11+AH57</f>
        <v>11983857.6944276</v>
      </c>
      <c r="AI58" s="30" t="n">
        <f aca="false">AI10+AI11+AI57</f>
        <v>12234608.0165633</v>
      </c>
      <c r="AJ58" s="30" t="n">
        <f aca="false">AJ10+AJ11+AJ57</f>
        <v>11579710.8559225</v>
      </c>
      <c r="AK58" s="30" t="n">
        <f aca="false">AK10+AK11+AK57</f>
        <v>11083189.9383008</v>
      </c>
      <c r="AL58" s="30" t="n">
        <f aca="false">AL10+AL11+AL57</f>
        <v>11548142.9787734</v>
      </c>
      <c r="AM58" s="30" t="n">
        <f aca="false">AM10+AM11+AM57</f>
        <v>12016541.505927</v>
      </c>
      <c r="AN58" s="30" t="n">
        <f aca="false">AN10+AN11+AN57</f>
        <v>11948543.6766036</v>
      </c>
      <c r="AO58" s="30" t="n">
        <f aca="false">AO10+AO11+AO57</f>
        <v>12435181.4494094</v>
      </c>
      <c r="AP58" s="30" t="n">
        <f aca="false">AP10+AP11+AP57</f>
        <v>13309747.7423799</v>
      </c>
      <c r="AQ58" s="30" t="n">
        <f aca="false">AQ10+AQ11+AQ57</f>
        <v>13568225.120626</v>
      </c>
      <c r="AR58" s="30" t="n">
        <f aca="false">AR10+AR11+AR57</f>
        <v>14026419.745206</v>
      </c>
      <c r="AS58" s="30" t="n">
        <f aca="false">AS10+AS11+AS57</f>
        <v>14307340.4799</v>
      </c>
      <c r="AT58" s="30" t="n">
        <f aca="false">AT10+AT11+AT57</f>
        <v>14390311.69681</v>
      </c>
      <c r="AU58" s="30" t="n">
        <f aca="false">AU10+AU11+AU57</f>
        <v>13736301.366216</v>
      </c>
      <c r="AV58" s="30" t="n">
        <f aca="false">AV10+AV11+AV57</f>
        <v>14086748.197416</v>
      </c>
      <c r="AW58" s="30" t="n">
        <f aca="false">AW10+AW11+AW57</f>
        <v>13914879.79244</v>
      </c>
      <c r="AX58" s="30" t="n">
        <f aca="false">AX10+AX11+AX57</f>
        <v>13546704.336568</v>
      </c>
      <c r="AY58" s="30" t="n">
        <f aca="false">AY10+AY11+AY57</f>
        <v>13001829.497504</v>
      </c>
      <c r="AZ58" s="30" t="n">
        <f aca="false">AZ10+AZ11+AZ57</f>
        <v>12326704.780008</v>
      </c>
      <c r="BA58" s="30" t="n">
        <f aca="false">BA10+BA11+BA57</f>
        <v>11789814.171264</v>
      </c>
      <c r="BB58" s="30" t="n">
        <f aca="false">BB10+BB11+BB57</f>
        <v>11337691.303824</v>
      </c>
      <c r="BC58" s="30" t="n">
        <f aca="false">BC10+BC11+BC57</f>
        <v>10976150.874136</v>
      </c>
      <c r="BD58" s="30" t="n">
        <f aca="false">BD10+BD11+BD57</f>
        <v>10801919.16012</v>
      </c>
      <c r="BE58" s="30" t="n">
        <f aca="false">BE10+BE11+BE57</f>
        <v>10685003.666536</v>
      </c>
      <c r="BF58" s="30" t="n">
        <f aca="false">BF10+BF11+BF57</f>
        <v>10627670.124984</v>
      </c>
      <c r="BG58" s="30" t="n">
        <f aca="false">BG10+BG11+BG57</f>
        <v>10843807.075376</v>
      </c>
      <c r="BH58" s="30" t="n">
        <f aca="false">BH10+BH11+BH57</f>
        <v>11100546.929832</v>
      </c>
      <c r="BI58" s="30" t="n">
        <f aca="false">BI10+BI11+BI57</f>
        <v>10407687</v>
      </c>
      <c r="BJ58" s="30" t="n">
        <f aca="false">BJ10+BJ11+BJ57</f>
        <v>10417158</v>
      </c>
      <c r="BK58" s="30" t="n">
        <f aca="false">BK10+BK11+BK57</f>
        <v>10664883</v>
      </c>
      <c r="BL58" s="30" t="n">
        <f aca="false">BL10+BL11+BL57</f>
        <v>10736742</v>
      </c>
      <c r="BM58" s="30" t="n">
        <f aca="false">BM10+BM11+BM57</f>
        <v>10624533</v>
      </c>
      <c r="BN58" s="30" t="n">
        <f aca="false">BN10+BN11+BN57</f>
        <v>9952569</v>
      </c>
      <c r="BO58" s="30" t="n">
        <f aca="false">BO10+BO11+BO57</f>
        <v>9258027</v>
      </c>
      <c r="BP58" s="30" t="n">
        <f aca="false">BP10+BP11+BP57</f>
        <v>8783472</v>
      </c>
      <c r="BQ58" s="30" t="n">
        <f aca="false">BQ10+BQ11+BQ57</f>
        <v>8159178</v>
      </c>
      <c r="BR58" s="30" t="n">
        <f aca="false">BR10+BR11+BR57</f>
        <v>7420524</v>
      </c>
      <c r="BS58" s="30" t="n">
        <f aca="false">BS10+BS11+BS57</f>
        <v>6292893</v>
      </c>
      <c r="BT58" s="30" t="n">
        <f aca="false">BT10+BT11+BT57</f>
        <v>5139747</v>
      </c>
      <c r="BU58" s="30" t="n">
        <f aca="false">BU10+BU11+BU57</f>
        <v>4126617</v>
      </c>
      <c r="BV58" s="30" t="n">
        <f aca="false">BV10+BV11+BV57</f>
        <v>3194637</v>
      </c>
      <c r="BW58" s="30" t="n">
        <f aca="false">BW10+BW11+BW57</f>
        <v>2296026</v>
      </c>
      <c r="BX58" s="30" t="n">
        <f aca="false">BX10+BX11+BX57</f>
        <v>1579683</v>
      </c>
      <c r="BY58" s="30" t="n">
        <f aca="false">BY10+BY11+BY57</f>
        <v>968721</v>
      </c>
      <c r="BZ58" s="30" t="n">
        <f aca="false">BZ10+BZ11+BZ57</f>
        <v>397755</v>
      </c>
      <c r="CA58" s="30" t="n">
        <f aca="false">CA10+CA11+CA57</f>
        <v>0</v>
      </c>
      <c r="CB58" s="30" t="n">
        <f aca="false">CB10+CB11+CB57</f>
        <v>0</v>
      </c>
      <c r="CC58" s="30" t="n">
        <f aca="false">CC10+CC11+CC57</f>
        <v>0</v>
      </c>
      <c r="CD58" s="30" t="n">
        <f aca="false">CD10+CD11+CD57</f>
        <v>0</v>
      </c>
      <c r="CE58" s="30" t="n">
        <f aca="false">CE10+CE11+CE57</f>
        <v>0</v>
      </c>
      <c r="CF58" s="30" t="n">
        <f aca="false">CF10+CF11+CF57</f>
        <v>0</v>
      </c>
      <c r="CG58" s="30" t="n">
        <f aca="false">CG10+CG11+CG57</f>
        <v>0</v>
      </c>
      <c r="CH58" s="30" t="n">
        <f aca="false">CH10+CH11+CH57</f>
        <v>0</v>
      </c>
      <c r="CI58" s="30" t="n">
        <f aca="false">CI10+CI11+CI57</f>
        <v>0</v>
      </c>
      <c r="CJ58" s="30" t="n">
        <f aca="false">CJ10+CJ11+CJ57</f>
        <v>0</v>
      </c>
      <c r="CK58" s="30" t="n">
        <f aca="false">CK10+CK11+CK57</f>
        <v>0</v>
      </c>
      <c r="CL58" s="30" t="n">
        <f aca="false">CL10+CL11+CL57</f>
        <v>0</v>
      </c>
      <c r="CM58" s="30" t="n">
        <f aca="false">CM10+CM11+CM57</f>
        <v>0</v>
      </c>
      <c r="CN58" s="30" t="n">
        <f aca="false">CN10+CN11+CN57</f>
        <v>0</v>
      </c>
      <c r="CO58" s="30" t="n">
        <f aca="false">CO10+CO11+CO57</f>
        <v>0</v>
      </c>
      <c r="CP58" s="30" t="n">
        <f aca="false">CP10+CP11+CP57</f>
        <v>0</v>
      </c>
      <c r="CQ58" s="30" t="n">
        <f aca="false">CQ10+CQ11+CQ57</f>
        <v>0</v>
      </c>
      <c r="CR58" s="30" t="n">
        <f aca="false">CR10+CR11+CR57</f>
        <v>0</v>
      </c>
      <c r="CS58" s="30" t="n">
        <f aca="false">CS10+CS11+CS57</f>
        <v>0</v>
      </c>
      <c r="CT58" s="30" t="n">
        <f aca="false">CT10+CT11+CT57</f>
        <v>0</v>
      </c>
      <c r="CU58" s="30" t="n">
        <f aca="false">CU10+CU11+CU57</f>
        <v>0</v>
      </c>
      <c r="CV58" s="30" t="n">
        <f aca="false">CV10+CV11+CV57</f>
        <v>0</v>
      </c>
      <c r="CW58" s="30" t="n">
        <f aca="false">CW10+CW11+CW57</f>
        <v>0</v>
      </c>
      <c r="CX58" s="30" t="n">
        <f aca="false">CX10+CX11+CX57</f>
        <v>0</v>
      </c>
      <c r="CY58" s="30" t="n">
        <f aca="false">CY10+CY11+CY57</f>
        <v>0</v>
      </c>
      <c r="CZ58" s="30" t="n">
        <f aca="false">CZ10+CZ11+CZ57</f>
        <v>0</v>
      </c>
      <c r="DA58" s="30" t="n">
        <f aca="false">DA10+DA11+DA57</f>
        <v>0</v>
      </c>
      <c r="DB58" s="30" t="n">
        <f aca="false">DB10+DB11+DB57</f>
        <v>0</v>
      </c>
      <c r="DC58" s="30" t="n">
        <f aca="false">DC10+DC11+DC57</f>
        <v>0</v>
      </c>
      <c r="DD58" s="30" t="n">
        <f aca="false">DD10+DD11+DD57</f>
        <v>0</v>
      </c>
      <c r="DE58" s="30" t="n">
        <f aca="false">DE10+DE11+DE57</f>
        <v>0</v>
      </c>
    </row>
    <row r="59" customFormat="false" ht="15" hidden="false" customHeight="true" outlineLevel="0" collapsed="false">
      <c r="A59" s="27" t="s">
        <v>53</v>
      </c>
      <c r="B59" s="19"/>
      <c r="C59" s="19"/>
      <c r="D59" s="19"/>
      <c r="E59" s="19"/>
      <c r="F59" s="19"/>
      <c r="G59" s="19"/>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c r="BA59" s="19"/>
      <c r="BB59" s="19"/>
      <c r="BC59" s="19"/>
      <c r="BD59" s="19"/>
      <c r="BE59" s="19"/>
      <c r="BF59" s="19"/>
      <c r="BG59" s="19"/>
      <c r="BH59" s="19"/>
      <c r="BI59" s="19"/>
      <c r="BJ59" s="19"/>
      <c r="BK59" s="19"/>
      <c r="BL59" s="19"/>
      <c r="BM59" s="19"/>
      <c r="BN59" s="19"/>
      <c r="BO59" s="19"/>
      <c r="BP59" s="19"/>
      <c r="BQ59" s="19"/>
      <c r="BR59" s="19"/>
      <c r="BS59" s="19"/>
      <c r="BT59" s="19"/>
      <c r="BU59" s="19"/>
      <c r="BV59" s="19"/>
      <c r="BW59" s="19"/>
      <c r="BX59" s="19"/>
      <c r="BY59" s="19"/>
      <c r="BZ59" s="19"/>
      <c r="CA59" s="19"/>
      <c r="CB59" s="19"/>
      <c r="CC59" s="19"/>
      <c r="CD59" s="19"/>
      <c r="CE59" s="19"/>
      <c r="CF59" s="19"/>
      <c r="CG59" s="19"/>
      <c r="CH59" s="19"/>
      <c r="CI59" s="19"/>
      <c r="CJ59" s="19"/>
      <c r="CK59" s="19"/>
      <c r="CL59" s="19"/>
      <c r="CM59" s="19"/>
      <c r="CN59" s="19"/>
      <c r="CO59" s="19"/>
      <c r="CP59" s="19"/>
      <c r="CQ59" s="19"/>
      <c r="CR59" s="19"/>
      <c r="CS59" s="19"/>
      <c r="CT59" s="19"/>
      <c r="CU59" s="19"/>
      <c r="CV59" s="19"/>
      <c r="CW59" s="19"/>
      <c r="CX59" s="19"/>
      <c r="CY59" s="19"/>
      <c r="CZ59" s="19"/>
      <c r="DA59" s="19"/>
      <c r="DB59" s="19"/>
      <c r="DC59" s="19"/>
      <c r="DD59" s="19"/>
      <c r="DE59" s="19"/>
    </row>
    <row r="60" customFormat="false" ht="15" hidden="true" customHeight="true" outlineLevel="1" collapsed="false">
      <c r="A60" s="28" t="s">
        <v>7</v>
      </c>
      <c r="B60" s="19" t="n">
        <v>-392121.92</v>
      </c>
      <c r="C60" s="19" t="n">
        <v>-637382.47</v>
      </c>
      <c r="D60" s="19" t="n">
        <v>-648049.66</v>
      </c>
      <c r="E60" s="19" t="n">
        <v>-703827.85</v>
      </c>
      <c r="F60" s="19" t="n">
        <v>-721750.22</v>
      </c>
      <c r="G60" s="19" t="n">
        <v>-887674.09</v>
      </c>
      <c r="H60" s="19" t="n">
        <v>-1071089</v>
      </c>
      <c r="I60" s="19" t="n">
        <v>-677962.44</v>
      </c>
      <c r="J60" s="19" t="n">
        <f aca="false">-4180193.67*Curves!G$6/SUM(Curves!$E$6:$I$6)</f>
        <v>-830926.687233755</v>
      </c>
      <c r="K60" s="19" t="n">
        <f aca="false">-4180193.67*Curves!H$6/SUM(Curves!$E$6:$I$6)</f>
        <v>-710895.829162263</v>
      </c>
      <c r="L60" s="19" t="n">
        <f aca="false">-4180193.67*Curves!I$6/SUM(Curves!$E$6:$I$6)</f>
        <v>-598752.128958699</v>
      </c>
      <c r="M60" s="19" t="n">
        <f aca="false">-M13</f>
        <v>-0</v>
      </c>
      <c r="N60" s="19" t="n">
        <f aca="false">-N13</f>
        <v>-0</v>
      </c>
      <c r="O60" s="19" t="n">
        <f aca="false">-O13</f>
        <v>-0</v>
      </c>
      <c r="P60" s="19" t="n">
        <f aca="false">-P13</f>
        <v>-0</v>
      </c>
      <c r="Q60" s="19" t="n">
        <f aca="false">-Q13</f>
        <v>-0</v>
      </c>
      <c r="R60" s="19" t="n">
        <f aca="false">-R13</f>
        <v>-0</v>
      </c>
      <c r="S60" s="19" t="n">
        <f aca="false">-S13</f>
        <v>-0</v>
      </c>
      <c r="T60" s="19" t="n">
        <f aca="false">-T13</f>
        <v>-0</v>
      </c>
      <c r="U60" s="19" t="n">
        <f aca="false">-U13</f>
        <v>-0</v>
      </c>
      <c r="V60" s="19" t="n">
        <f aca="false">-V13</f>
        <v>-0</v>
      </c>
      <c r="W60" s="19" t="n">
        <f aca="false">-W13</f>
        <v>-0</v>
      </c>
      <c r="X60" s="19" t="n">
        <f aca="false">-X13</f>
        <v>-0</v>
      </c>
      <c r="Y60" s="19" t="n">
        <f aca="false">-Y13</f>
        <v>-0</v>
      </c>
      <c r="Z60" s="19" t="n">
        <f aca="false">-Z13</f>
        <v>-0</v>
      </c>
      <c r="AA60" s="19" t="n">
        <f aca="false">-AA13</f>
        <v>-0</v>
      </c>
      <c r="AB60" s="19" t="n">
        <f aca="false">-AB13</f>
        <v>-0</v>
      </c>
      <c r="AC60" s="19" t="n">
        <f aca="false">-AC13</f>
        <v>-0</v>
      </c>
      <c r="AD60" s="19" t="n">
        <f aca="false">-AD13</f>
        <v>-0</v>
      </c>
      <c r="AE60" s="19" t="n">
        <f aca="false">-AE13</f>
        <v>-0</v>
      </c>
      <c r="AF60" s="19" t="n">
        <f aca="false">-AF13</f>
        <v>-0</v>
      </c>
      <c r="AG60" s="19" t="n">
        <f aca="false">-AG13</f>
        <v>-0</v>
      </c>
      <c r="AH60" s="19" t="n">
        <f aca="false">-AH13</f>
        <v>-0</v>
      </c>
      <c r="AI60" s="19" t="n">
        <f aca="false">-AI13</f>
        <v>-0</v>
      </c>
      <c r="AJ60" s="19" t="n">
        <f aca="false">-AJ13</f>
        <v>-0</v>
      </c>
      <c r="AK60" s="19" t="n">
        <f aca="false">-AK13</f>
        <v>-0</v>
      </c>
      <c r="AL60" s="19" t="n">
        <f aca="false">-AL13</f>
        <v>-0</v>
      </c>
      <c r="AM60" s="19" t="n">
        <f aca="false">-AM13</f>
        <v>-0</v>
      </c>
      <c r="AN60" s="19" t="n">
        <f aca="false">-AN13</f>
        <v>-0</v>
      </c>
      <c r="AO60" s="19" t="n">
        <f aca="false">-AO13</f>
        <v>-0</v>
      </c>
      <c r="AP60" s="19" t="n">
        <f aca="false">-AP13</f>
        <v>-0</v>
      </c>
      <c r="AQ60" s="19" t="n">
        <f aca="false">-AQ13</f>
        <v>-0</v>
      </c>
      <c r="AR60" s="19" t="n">
        <f aca="false">-AR13</f>
        <v>-0</v>
      </c>
      <c r="AS60" s="19" t="n">
        <f aca="false">-AS13</f>
        <v>-0</v>
      </c>
      <c r="AT60" s="19" t="n">
        <f aca="false">-AT13</f>
        <v>-0</v>
      </c>
      <c r="AU60" s="19" t="n">
        <f aca="false">-AU13</f>
        <v>-0</v>
      </c>
      <c r="AV60" s="19" t="n">
        <f aca="false">-AV13</f>
        <v>-0</v>
      </c>
      <c r="AW60" s="19" t="n">
        <f aca="false">-AW13</f>
        <v>-0</v>
      </c>
      <c r="AX60" s="19" t="n">
        <f aca="false">-AX13</f>
        <v>-0</v>
      </c>
      <c r="AY60" s="19" t="n">
        <f aca="false">-AY13</f>
        <v>-0</v>
      </c>
      <c r="AZ60" s="19" t="n">
        <f aca="false">-AZ13</f>
        <v>-0</v>
      </c>
      <c r="BA60" s="19" t="n">
        <f aca="false">-BA13</f>
        <v>-0</v>
      </c>
      <c r="BB60" s="19" t="n">
        <f aca="false">-BB13</f>
        <v>-0</v>
      </c>
      <c r="BC60" s="19" t="n">
        <f aca="false">-BC13</f>
        <v>-0</v>
      </c>
      <c r="BD60" s="19" t="n">
        <f aca="false">-BD13</f>
        <v>-0</v>
      </c>
      <c r="BE60" s="19" t="n">
        <f aca="false">-BE13</f>
        <v>-0</v>
      </c>
      <c r="BF60" s="19" t="n">
        <f aca="false">-BF13</f>
        <v>-0</v>
      </c>
      <c r="BG60" s="19" t="n">
        <f aca="false">-BG13</f>
        <v>-0</v>
      </c>
      <c r="BH60" s="19" t="n">
        <f aca="false">-BH13</f>
        <v>-0</v>
      </c>
      <c r="BI60" s="19" t="n">
        <f aca="false">-BI13</f>
        <v>-0</v>
      </c>
      <c r="BJ60" s="19" t="n">
        <f aca="false">-BJ13</f>
        <v>-0</v>
      </c>
      <c r="BK60" s="19" t="n">
        <f aca="false">-BK13</f>
        <v>-0</v>
      </c>
      <c r="BL60" s="19" t="n">
        <f aca="false">-BL13</f>
        <v>-0</v>
      </c>
      <c r="BM60" s="19" t="n">
        <f aca="false">-BM13</f>
        <v>-0</v>
      </c>
      <c r="BN60" s="19" t="n">
        <f aca="false">-BN13</f>
        <v>-0</v>
      </c>
      <c r="BO60" s="19" t="n">
        <f aca="false">-BO13</f>
        <v>-0</v>
      </c>
      <c r="BP60" s="19" t="n">
        <f aca="false">-BP13</f>
        <v>-0</v>
      </c>
      <c r="BQ60" s="19" t="n">
        <f aca="false">-BQ13</f>
        <v>-0</v>
      </c>
      <c r="BR60" s="19" t="n">
        <f aca="false">-BR13</f>
        <v>-0</v>
      </c>
      <c r="BS60" s="19" t="n">
        <f aca="false">-BS13</f>
        <v>-0</v>
      </c>
      <c r="BT60" s="19" t="n">
        <f aca="false">-BT13</f>
        <v>-0</v>
      </c>
      <c r="BU60" s="19" t="n">
        <f aca="false">-BU13</f>
        <v>-0</v>
      </c>
      <c r="BV60" s="19" t="n">
        <f aca="false">-BV13</f>
        <v>-0</v>
      </c>
      <c r="BW60" s="19" t="n">
        <f aca="false">-BW13</f>
        <v>-0</v>
      </c>
      <c r="BX60" s="19" t="n">
        <f aca="false">-BX13</f>
        <v>-0</v>
      </c>
      <c r="BY60" s="19" t="n">
        <f aca="false">-BY13</f>
        <v>-0</v>
      </c>
      <c r="BZ60" s="19" t="n">
        <f aca="false">-BZ13</f>
        <v>-0</v>
      </c>
      <c r="CA60" s="19" t="n">
        <f aca="false">-CA13</f>
        <v>-0</v>
      </c>
      <c r="CB60" s="19" t="n">
        <f aca="false">-CB13</f>
        <v>-0</v>
      </c>
      <c r="CC60" s="19" t="n">
        <f aca="false">-CC13</f>
        <v>-0</v>
      </c>
      <c r="CD60" s="19" t="n">
        <f aca="false">-CD13</f>
        <v>-0</v>
      </c>
      <c r="CE60" s="19" t="n">
        <f aca="false">-CE13</f>
        <v>-0</v>
      </c>
      <c r="CF60" s="19" t="n">
        <f aca="false">-CF13</f>
        <v>-0</v>
      </c>
      <c r="CG60" s="19" t="n">
        <f aca="false">-CG13</f>
        <v>-0</v>
      </c>
      <c r="CH60" s="19" t="n">
        <f aca="false">-CH13</f>
        <v>-0</v>
      </c>
      <c r="CI60" s="19" t="n">
        <f aca="false">-CI13</f>
        <v>-0</v>
      </c>
      <c r="CJ60" s="19" t="n">
        <f aca="false">-CJ13</f>
        <v>-0</v>
      </c>
      <c r="CK60" s="19" t="n">
        <f aca="false">-CK13</f>
        <v>-0</v>
      </c>
      <c r="CL60" s="19" t="n">
        <f aca="false">-CL13</f>
        <v>-0</v>
      </c>
      <c r="CM60" s="19" t="n">
        <f aca="false">-CM13</f>
        <v>-0</v>
      </c>
      <c r="CN60" s="19" t="n">
        <f aca="false">-CN13</f>
        <v>-0</v>
      </c>
      <c r="CO60" s="19" t="n">
        <f aca="false">-CO13</f>
        <v>-0</v>
      </c>
      <c r="CP60" s="19" t="n">
        <f aca="false">-CP13</f>
        <v>-0</v>
      </c>
      <c r="CQ60" s="19" t="n">
        <f aca="false">-CQ13</f>
        <v>-0</v>
      </c>
      <c r="CR60" s="19" t="n">
        <f aca="false">-CR13</f>
        <v>-0</v>
      </c>
      <c r="CS60" s="19" t="n">
        <f aca="false">-CS13</f>
        <v>-0</v>
      </c>
      <c r="CT60" s="19" t="n">
        <f aca="false">-CT13</f>
        <v>-0</v>
      </c>
      <c r="CU60" s="19" t="n">
        <f aca="false">-CU13</f>
        <v>-0</v>
      </c>
      <c r="CV60" s="19" t="n">
        <f aca="false">-CV13</f>
        <v>-0</v>
      </c>
      <c r="CW60" s="19" t="n">
        <f aca="false">-CW13</f>
        <v>-0</v>
      </c>
      <c r="CX60" s="19" t="n">
        <f aca="false">-CX13</f>
        <v>-0</v>
      </c>
      <c r="CY60" s="19" t="n">
        <f aca="false">-CY13</f>
        <v>-0</v>
      </c>
      <c r="CZ60" s="19" t="n">
        <f aca="false">-CZ13</f>
        <v>-0</v>
      </c>
      <c r="DA60" s="19" t="n">
        <f aca="false">-DA13</f>
        <v>-0</v>
      </c>
      <c r="DB60" s="19" t="n">
        <f aca="false">-DB13</f>
        <v>-0</v>
      </c>
      <c r="DC60" s="19" t="n">
        <f aca="false">-DC13</f>
        <v>-0</v>
      </c>
      <c r="DD60" s="19" t="n">
        <f aca="false">-DD13</f>
        <v>-0</v>
      </c>
      <c r="DE60" s="19" t="n">
        <f aca="false">-DE13</f>
        <v>-0</v>
      </c>
    </row>
    <row r="61" customFormat="false" ht="15" hidden="true" customHeight="true" outlineLevel="1" collapsed="false">
      <c r="A61" s="28" t="s">
        <v>8</v>
      </c>
      <c r="B61" s="19" t="n">
        <v>-595869.4</v>
      </c>
      <c r="C61" s="19" t="n">
        <v>-1621243.4</v>
      </c>
      <c r="D61" s="19" t="n">
        <v>-632087.3</v>
      </c>
      <c r="E61" s="19" t="n">
        <v>-1167810.54</v>
      </c>
      <c r="F61" s="19" t="n">
        <v>-1117245.99</v>
      </c>
      <c r="G61" s="19" t="n">
        <v>-1865720.31</v>
      </c>
      <c r="H61" s="19" t="n">
        <v>-1954473</v>
      </c>
      <c r="I61" s="19" t="n">
        <v>-1396698.21</v>
      </c>
      <c r="J61" s="19" t="n">
        <v>-1102256.07</v>
      </c>
      <c r="K61" s="19" t="n">
        <v>-898872.99</v>
      </c>
      <c r="L61" s="19" t="n">
        <v>-835432.15</v>
      </c>
      <c r="M61" s="19" t="n">
        <v>-857062.77</v>
      </c>
      <c r="N61" s="19" t="n">
        <v>-1066670.73</v>
      </c>
      <c r="O61" s="19" t="n">
        <v>-840881.51</v>
      </c>
      <c r="P61" s="19" t="n">
        <v>-1127710.87</v>
      </c>
      <c r="Q61" s="19" t="n">
        <v>-899066.21</v>
      </c>
      <c r="R61" s="19" t="n">
        <v>-684120.16</v>
      </c>
      <c r="S61" s="19" t="n">
        <v>-622681.27</v>
      </c>
      <c r="T61" s="19" t="n">
        <v>-841415.12</v>
      </c>
      <c r="U61" s="19" t="n">
        <v>-850101.75</v>
      </c>
      <c r="V61" s="19" t="n">
        <v>-275300.65</v>
      </c>
      <c r="W61" s="19" t="n">
        <v>0</v>
      </c>
      <c r="X61" s="19" t="n">
        <v>0</v>
      </c>
      <c r="Y61" s="19" t="n">
        <v>0</v>
      </c>
      <c r="Z61" s="19" t="n">
        <v>0</v>
      </c>
      <c r="AA61" s="19" t="n">
        <v>0</v>
      </c>
      <c r="AB61" s="19" t="n">
        <v>0</v>
      </c>
      <c r="AC61" s="19" t="n">
        <v>0</v>
      </c>
      <c r="AD61" s="19" t="n">
        <v>0</v>
      </c>
      <c r="AE61" s="19" t="n">
        <v>0</v>
      </c>
      <c r="AF61" s="19" t="n">
        <v>0</v>
      </c>
      <c r="AG61" s="19" t="n">
        <v>0</v>
      </c>
      <c r="AH61" s="19" t="n">
        <v>0</v>
      </c>
      <c r="AI61" s="19" t="n">
        <v>0</v>
      </c>
      <c r="AJ61" s="19" t="n">
        <v>0</v>
      </c>
      <c r="AK61" s="19" t="n">
        <v>0</v>
      </c>
      <c r="AL61" s="19" t="n">
        <v>0</v>
      </c>
      <c r="AM61" s="19" t="n">
        <v>0</v>
      </c>
      <c r="AN61" s="19" t="n">
        <v>0</v>
      </c>
      <c r="AO61" s="19" t="n">
        <v>0</v>
      </c>
      <c r="AP61" s="19" t="n">
        <v>0</v>
      </c>
      <c r="AQ61" s="19" t="n">
        <v>0</v>
      </c>
      <c r="AR61" s="19" t="n">
        <v>0</v>
      </c>
      <c r="AS61" s="19" t="n">
        <v>0</v>
      </c>
      <c r="AT61" s="19" t="n">
        <v>0</v>
      </c>
      <c r="AU61" s="19" t="n">
        <v>0</v>
      </c>
      <c r="AV61" s="19" t="n">
        <v>0</v>
      </c>
      <c r="AW61" s="19" t="n">
        <v>0</v>
      </c>
      <c r="AX61" s="19" t="n">
        <v>0</v>
      </c>
      <c r="AY61" s="19" t="n">
        <v>0</v>
      </c>
      <c r="AZ61" s="19" t="n">
        <v>0</v>
      </c>
      <c r="BA61" s="19" t="n">
        <v>0</v>
      </c>
      <c r="BB61" s="19" t="n">
        <v>0</v>
      </c>
      <c r="BC61" s="19" t="n">
        <v>0</v>
      </c>
      <c r="BD61" s="19" t="n">
        <v>0</v>
      </c>
      <c r="BE61" s="19" t="n">
        <v>0</v>
      </c>
      <c r="BF61" s="19" t="n">
        <v>0</v>
      </c>
      <c r="BG61" s="19" t="n">
        <v>0</v>
      </c>
      <c r="BH61" s="19" t="n">
        <v>0</v>
      </c>
      <c r="BI61" s="19" t="n">
        <v>0</v>
      </c>
      <c r="BJ61" s="19" t="n">
        <v>0</v>
      </c>
      <c r="BK61" s="19" t="n">
        <v>0</v>
      </c>
      <c r="BL61" s="19" t="n">
        <v>0</v>
      </c>
      <c r="BM61" s="19" t="n">
        <v>0</v>
      </c>
      <c r="BN61" s="19" t="n">
        <v>0</v>
      </c>
      <c r="BO61" s="19" t="n">
        <v>0</v>
      </c>
      <c r="BP61" s="19" t="n">
        <v>0</v>
      </c>
      <c r="BQ61" s="19" t="n">
        <v>0</v>
      </c>
      <c r="BR61" s="19" t="n">
        <v>0</v>
      </c>
      <c r="BS61" s="19" t="n">
        <v>0</v>
      </c>
      <c r="BT61" s="19" t="n">
        <v>0</v>
      </c>
      <c r="BU61" s="19" t="n">
        <v>0</v>
      </c>
      <c r="BV61" s="19" t="n">
        <v>0</v>
      </c>
      <c r="BW61" s="19" t="n">
        <v>0</v>
      </c>
      <c r="BX61" s="19" t="n">
        <v>0</v>
      </c>
      <c r="BY61" s="19" t="n">
        <v>0</v>
      </c>
      <c r="BZ61" s="19" t="n">
        <v>0</v>
      </c>
      <c r="CA61" s="19" t="n">
        <v>0</v>
      </c>
      <c r="CB61" s="19" t="n">
        <v>0</v>
      </c>
      <c r="CC61" s="19" t="n">
        <v>0</v>
      </c>
      <c r="CD61" s="19" t="n">
        <v>0</v>
      </c>
      <c r="CE61" s="19" t="n">
        <v>0</v>
      </c>
      <c r="CF61" s="19" t="n">
        <v>0</v>
      </c>
      <c r="CG61" s="19" t="n">
        <v>0</v>
      </c>
      <c r="CH61" s="19" t="n">
        <v>0</v>
      </c>
      <c r="CI61" s="19" t="n">
        <v>0</v>
      </c>
      <c r="CJ61" s="19" t="n">
        <v>0</v>
      </c>
      <c r="CK61" s="19" t="n">
        <v>0</v>
      </c>
      <c r="CL61" s="19" t="n">
        <v>0</v>
      </c>
      <c r="CM61" s="19" t="n">
        <v>0</v>
      </c>
      <c r="CN61" s="19" t="n">
        <v>0</v>
      </c>
      <c r="CO61" s="19" t="n">
        <v>0</v>
      </c>
      <c r="CP61" s="19" t="n">
        <v>0</v>
      </c>
      <c r="CQ61" s="19" t="n">
        <v>0</v>
      </c>
      <c r="CR61" s="19" t="n">
        <v>0</v>
      </c>
      <c r="CS61" s="19" t="n">
        <v>0</v>
      </c>
      <c r="CT61" s="19" t="n">
        <v>0</v>
      </c>
      <c r="CU61" s="19" t="n">
        <v>0</v>
      </c>
      <c r="CV61" s="19" t="n">
        <v>0</v>
      </c>
      <c r="CW61" s="19" t="n">
        <v>0</v>
      </c>
      <c r="CX61" s="19" t="n">
        <v>0</v>
      </c>
      <c r="CY61" s="19" t="n">
        <v>0</v>
      </c>
      <c r="CZ61" s="19" t="n">
        <v>0</v>
      </c>
      <c r="DA61" s="19" t="n">
        <v>0</v>
      </c>
      <c r="DB61" s="19" t="n">
        <v>0</v>
      </c>
      <c r="DC61" s="19" t="n">
        <v>0</v>
      </c>
      <c r="DD61" s="19" t="n">
        <v>0</v>
      </c>
      <c r="DE61" s="19" t="n">
        <v>0</v>
      </c>
    </row>
    <row r="62" customFormat="false" ht="15" hidden="true" customHeight="true" outlineLevel="1" collapsed="false">
      <c r="A62" s="28" t="s">
        <v>9</v>
      </c>
      <c r="B62" s="19" t="n">
        <v>-145589.08</v>
      </c>
      <c r="C62" s="19" t="n">
        <v>-548956.42</v>
      </c>
      <c r="D62" s="19" t="n">
        <v>-286493.58</v>
      </c>
      <c r="E62" s="19" t="n">
        <v>-571051.7</v>
      </c>
      <c r="F62" s="19" t="n">
        <v>-1099379.66</v>
      </c>
      <c r="G62" s="19" t="n">
        <v>-1322858.63</v>
      </c>
      <c r="H62" s="19" t="n">
        <v>-593261</v>
      </c>
      <c r="I62" s="19" t="n">
        <v>-738137.17</v>
      </c>
      <c r="J62" s="19" t="n">
        <v>-582688.69</v>
      </c>
      <c r="K62" s="19" t="n">
        <v>-536170.97</v>
      </c>
      <c r="L62" s="19" t="n">
        <v>-611869.93</v>
      </c>
      <c r="M62" s="19" t="n">
        <v>-750438.98</v>
      </c>
      <c r="N62" s="19" t="n">
        <v>-680375.29</v>
      </c>
      <c r="O62" s="19" t="n">
        <v>-611450.91</v>
      </c>
      <c r="P62" s="19" t="n">
        <v>-696726.3</v>
      </c>
      <c r="Q62" s="19" t="n">
        <v>-715728.35</v>
      </c>
      <c r="R62" s="19" t="n">
        <v>-576870.58</v>
      </c>
      <c r="S62" s="19" t="n">
        <v>-356282.42</v>
      </c>
      <c r="T62" s="19" t="n">
        <v>-168048.13</v>
      </c>
      <c r="U62" s="19" t="n">
        <v>-123576.83</v>
      </c>
      <c r="V62" s="19" t="n">
        <v>0</v>
      </c>
      <c r="W62" s="19" t="n">
        <v>0</v>
      </c>
      <c r="X62" s="19" t="n">
        <v>0</v>
      </c>
      <c r="Y62" s="19" t="n">
        <v>0</v>
      </c>
      <c r="Z62" s="19" t="n">
        <v>0</v>
      </c>
      <c r="AA62" s="19" t="n">
        <v>0</v>
      </c>
      <c r="AB62" s="19" t="n">
        <v>0</v>
      </c>
      <c r="AC62" s="19" t="n">
        <v>0</v>
      </c>
      <c r="AD62" s="19" t="n">
        <v>0</v>
      </c>
      <c r="AE62" s="19" t="n">
        <v>0</v>
      </c>
      <c r="AF62" s="19" t="n">
        <v>0</v>
      </c>
      <c r="AG62" s="19" t="n">
        <v>0</v>
      </c>
      <c r="AH62" s="19" t="n">
        <v>0</v>
      </c>
      <c r="AI62" s="19" t="n">
        <v>0</v>
      </c>
      <c r="AJ62" s="19" t="n">
        <v>0</v>
      </c>
      <c r="AK62" s="19" t="n">
        <v>0</v>
      </c>
      <c r="AL62" s="19" t="n">
        <v>0</v>
      </c>
      <c r="AM62" s="19" t="n">
        <v>0</v>
      </c>
      <c r="AN62" s="19" t="n">
        <v>0</v>
      </c>
      <c r="AO62" s="19" t="n">
        <v>0</v>
      </c>
      <c r="AP62" s="19" t="n">
        <v>0</v>
      </c>
      <c r="AQ62" s="19" t="n">
        <v>0</v>
      </c>
      <c r="AR62" s="19" t="n">
        <v>0</v>
      </c>
      <c r="AS62" s="19" t="n">
        <v>0</v>
      </c>
      <c r="AT62" s="19" t="n">
        <v>0</v>
      </c>
      <c r="AU62" s="19" t="n">
        <v>0</v>
      </c>
      <c r="AV62" s="19" t="n">
        <v>0</v>
      </c>
      <c r="AW62" s="19" t="n">
        <v>0</v>
      </c>
      <c r="AX62" s="19" t="n">
        <v>0</v>
      </c>
      <c r="AY62" s="19" t="n">
        <v>0</v>
      </c>
      <c r="AZ62" s="19" t="n">
        <v>0</v>
      </c>
      <c r="BA62" s="19" t="n">
        <v>0</v>
      </c>
      <c r="BB62" s="19" t="n">
        <v>0</v>
      </c>
      <c r="BC62" s="19" t="n">
        <v>0</v>
      </c>
      <c r="BD62" s="19" t="n">
        <v>0</v>
      </c>
      <c r="BE62" s="19" t="n">
        <v>0</v>
      </c>
      <c r="BF62" s="19" t="n">
        <v>0</v>
      </c>
      <c r="BG62" s="19" t="n">
        <v>0</v>
      </c>
      <c r="BH62" s="19" t="n">
        <v>0</v>
      </c>
      <c r="BI62" s="19" t="n">
        <v>0</v>
      </c>
      <c r="BJ62" s="19" t="n">
        <v>0</v>
      </c>
      <c r="BK62" s="19" t="n">
        <v>0</v>
      </c>
      <c r="BL62" s="19" t="n">
        <v>0</v>
      </c>
      <c r="BM62" s="19" t="n">
        <v>0</v>
      </c>
      <c r="BN62" s="19" t="n">
        <v>0</v>
      </c>
      <c r="BO62" s="19" t="n">
        <v>0</v>
      </c>
      <c r="BP62" s="19" t="n">
        <v>0</v>
      </c>
      <c r="BQ62" s="19" t="n">
        <v>0</v>
      </c>
      <c r="BR62" s="19" t="n">
        <v>0</v>
      </c>
      <c r="BS62" s="19" t="n">
        <v>0</v>
      </c>
      <c r="BT62" s="19" t="n">
        <v>0</v>
      </c>
      <c r="BU62" s="19" t="n">
        <v>0</v>
      </c>
      <c r="BV62" s="19" t="n">
        <v>0</v>
      </c>
      <c r="BW62" s="19" t="n">
        <v>0</v>
      </c>
      <c r="BX62" s="19" t="n">
        <v>0</v>
      </c>
      <c r="BY62" s="19" t="n">
        <v>0</v>
      </c>
      <c r="BZ62" s="19" t="n">
        <v>0</v>
      </c>
      <c r="CA62" s="19" t="n">
        <v>0</v>
      </c>
      <c r="CB62" s="19" t="n">
        <v>0</v>
      </c>
      <c r="CC62" s="19" t="n">
        <v>0</v>
      </c>
      <c r="CD62" s="19" t="n">
        <v>0</v>
      </c>
      <c r="CE62" s="19" t="n">
        <v>0</v>
      </c>
      <c r="CF62" s="19" t="n">
        <v>0</v>
      </c>
      <c r="CG62" s="19" t="n">
        <v>0</v>
      </c>
      <c r="CH62" s="19" t="n">
        <v>0</v>
      </c>
      <c r="CI62" s="19" t="n">
        <v>0</v>
      </c>
      <c r="CJ62" s="19" t="n">
        <v>0</v>
      </c>
      <c r="CK62" s="19" t="n">
        <v>0</v>
      </c>
      <c r="CL62" s="19" t="n">
        <v>0</v>
      </c>
      <c r="CM62" s="19" t="n">
        <v>0</v>
      </c>
      <c r="CN62" s="19" t="n">
        <v>0</v>
      </c>
      <c r="CO62" s="19" t="n">
        <v>0</v>
      </c>
      <c r="CP62" s="19" t="n">
        <v>0</v>
      </c>
      <c r="CQ62" s="19" t="n">
        <v>0</v>
      </c>
      <c r="CR62" s="19" t="n">
        <v>0</v>
      </c>
      <c r="CS62" s="19" t="n">
        <v>0</v>
      </c>
      <c r="CT62" s="19" t="n">
        <v>0</v>
      </c>
      <c r="CU62" s="19" t="n">
        <v>0</v>
      </c>
      <c r="CV62" s="19" t="n">
        <v>0</v>
      </c>
      <c r="CW62" s="19" t="n">
        <v>0</v>
      </c>
      <c r="CX62" s="19" t="n">
        <v>0</v>
      </c>
      <c r="CY62" s="19" t="n">
        <v>0</v>
      </c>
      <c r="CZ62" s="19" t="n">
        <v>0</v>
      </c>
      <c r="DA62" s="19" t="n">
        <v>0</v>
      </c>
      <c r="DB62" s="19" t="n">
        <v>0</v>
      </c>
      <c r="DC62" s="19" t="n">
        <v>0</v>
      </c>
      <c r="DD62" s="19" t="n">
        <v>0</v>
      </c>
      <c r="DE62" s="19" t="n">
        <v>0</v>
      </c>
    </row>
    <row r="63" customFormat="false" ht="15" hidden="true" customHeight="true" outlineLevel="1" collapsed="false">
      <c r="A63" s="28" t="s">
        <v>10</v>
      </c>
      <c r="B63" s="19" t="n">
        <v>-97487.03</v>
      </c>
      <c r="C63" s="19" t="n">
        <v>-107086.64</v>
      </c>
      <c r="D63" s="19" t="n">
        <v>-228526.73</v>
      </c>
      <c r="E63" s="19" t="n">
        <v>-578098.32</v>
      </c>
      <c r="F63" s="19" t="n">
        <v>-786162.51</v>
      </c>
      <c r="G63" s="19" t="n">
        <v>-1199341.45</v>
      </c>
      <c r="H63" s="19" t="n">
        <v>-1171798</v>
      </c>
      <c r="I63" s="19" t="n">
        <v>-1568872.53</v>
      </c>
      <c r="J63" s="19" t="n">
        <v>-721548.58</v>
      </c>
      <c r="K63" s="19" t="n">
        <v>-825542.52</v>
      </c>
      <c r="L63" s="19" t="n">
        <v>-633490.51</v>
      </c>
      <c r="M63" s="19" t="n">
        <v>-715834.34</v>
      </c>
      <c r="N63" s="19" t="n">
        <v>-638902.78</v>
      </c>
      <c r="O63" s="19" t="n">
        <v>-609070.51</v>
      </c>
      <c r="P63" s="19" t="n">
        <v>-550131.88</v>
      </c>
      <c r="Q63" s="19" t="n">
        <v>-434388.25</v>
      </c>
      <c r="R63" s="19" t="n">
        <v>-385862.25</v>
      </c>
      <c r="S63" s="19" t="n">
        <v>-834956.42</v>
      </c>
      <c r="T63" s="19" t="n">
        <v>-1044595.7</v>
      </c>
      <c r="U63" s="19" t="n">
        <v>-698877.24</v>
      </c>
      <c r="V63" s="19" t="n">
        <v>-432918.86</v>
      </c>
      <c r="W63" s="19" t="n">
        <v>-152852.61</v>
      </c>
      <c r="X63" s="19" t="n">
        <v>0</v>
      </c>
      <c r="Y63" s="19" t="n">
        <v>0</v>
      </c>
      <c r="Z63" s="19" t="n">
        <v>0</v>
      </c>
      <c r="AA63" s="19" t="n">
        <v>0</v>
      </c>
      <c r="AB63" s="19" t="n">
        <v>0</v>
      </c>
      <c r="AC63" s="19" t="n">
        <v>0</v>
      </c>
      <c r="AD63" s="19" t="n">
        <v>0</v>
      </c>
      <c r="AE63" s="19" t="n">
        <v>0</v>
      </c>
      <c r="AF63" s="19" t="n">
        <v>0</v>
      </c>
      <c r="AG63" s="19" t="n">
        <v>0</v>
      </c>
      <c r="AH63" s="19" t="n">
        <v>0</v>
      </c>
      <c r="AI63" s="19" t="n">
        <v>0</v>
      </c>
      <c r="AJ63" s="19" t="n">
        <v>0</v>
      </c>
      <c r="AK63" s="19" t="n">
        <v>0</v>
      </c>
      <c r="AL63" s="19" t="n">
        <v>0</v>
      </c>
      <c r="AM63" s="19" t="n">
        <v>0</v>
      </c>
      <c r="AN63" s="19" t="n">
        <v>0</v>
      </c>
      <c r="AO63" s="19" t="n">
        <v>0</v>
      </c>
      <c r="AP63" s="19" t="n">
        <v>0</v>
      </c>
      <c r="AQ63" s="19" t="n">
        <v>0</v>
      </c>
      <c r="AR63" s="19" t="n">
        <v>0</v>
      </c>
      <c r="AS63" s="19" t="n">
        <v>0</v>
      </c>
      <c r="AT63" s="19" t="n">
        <v>0</v>
      </c>
      <c r="AU63" s="19" t="n">
        <v>0</v>
      </c>
      <c r="AV63" s="19" t="n">
        <v>0</v>
      </c>
      <c r="AW63" s="19" t="n">
        <v>0</v>
      </c>
      <c r="AX63" s="19" t="n">
        <v>0</v>
      </c>
      <c r="AY63" s="19" t="n">
        <v>0</v>
      </c>
      <c r="AZ63" s="19" t="n">
        <v>0</v>
      </c>
      <c r="BA63" s="19" t="n">
        <v>0</v>
      </c>
      <c r="BB63" s="19" t="n">
        <v>0</v>
      </c>
      <c r="BC63" s="19" t="n">
        <v>0</v>
      </c>
      <c r="BD63" s="19" t="n">
        <v>0</v>
      </c>
      <c r="BE63" s="19" t="n">
        <v>0</v>
      </c>
      <c r="BF63" s="19" t="n">
        <v>0</v>
      </c>
      <c r="BG63" s="19" t="n">
        <v>0</v>
      </c>
      <c r="BH63" s="19" t="n">
        <v>0</v>
      </c>
      <c r="BI63" s="19" t="n">
        <v>0</v>
      </c>
      <c r="BJ63" s="19" t="n">
        <v>0</v>
      </c>
      <c r="BK63" s="19" t="n">
        <v>0</v>
      </c>
      <c r="BL63" s="19" t="n">
        <v>0</v>
      </c>
      <c r="BM63" s="19" t="n">
        <v>0</v>
      </c>
      <c r="BN63" s="19" t="n">
        <v>0</v>
      </c>
      <c r="BO63" s="19" t="n">
        <v>0</v>
      </c>
      <c r="BP63" s="19" t="n">
        <v>0</v>
      </c>
      <c r="BQ63" s="19" t="n">
        <v>0</v>
      </c>
      <c r="BR63" s="19" t="n">
        <v>0</v>
      </c>
      <c r="BS63" s="19" t="n">
        <v>0</v>
      </c>
      <c r="BT63" s="19" t="n">
        <v>0</v>
      </c>
      <c r="BU63" s="19" t="n">
        <v>0</v>
      </c>
      <c r="BV63" s="19" t="n">
        <v>0</v>
      </c>
      <c r="BW63" s="19" t="n">
        <v>0</v>
      </c>
      <c r="BX63" s="19" t="n">
        <v>0</v>
      </c>
      <c r="BY63" s="19" t="n">
        <v>0</v>
      </c>
      <c r="BZ63" s="19" t="n">
        <v>0</v>
      </c>
      <c r="CA63" s="19" t="n">
        <v>0</v>
      </c>
      <c r="CB63" s="19" t="n">
        <v>0</v>
      </c>
      <c r="CC63" s="19" t="n">
        <v>0</v>
      </c>
      <c r="CD63" s="19" t="n">
        <v>0</v>
      </c>
      <c r="CE63" s="19" t="n">
        <v>0</v>
      </c>
      <c r="CF63" s="19" t="n">
        <v>0</v>
      </c>
      <c r="CG63" s="19" t="n">
        <v>0</v>
      </c>
      <c r="CH63" s="19" t="n">
        <v>0</v>
      </c>
      <c r="CI63" s="19" t="n">
        <v>0</v>
      </c>
      <c r="CJ63" s="19" t="n">
        <v>0</v>
      </c>
      <c r="CK63" s="19" t="n">
        <v>0</v>
      </c>
      <c r="CL63" s="19" t="n">
        <v>0</v>
      </c>
      <c r="CM63" s="19" t="n">
        <v>0</v>
      </c>
      <c r="CN63" s="19" t="n">
        <v>0</v>
      </c>
      <c r="CO63" s="19" t="n">
        <v>0</v>
      </c>
      <c r="CP63" s="19" t="n">
        <v>0</v>
      </c>
      <c r="CQ63" s="19" t="n">
        <v>0</v>
      </c>
      <c r="CR63" s="19" t="n">
        <v>0</v>
      </c>
      <c r="CS63" s="19" t="n">
        <v>0</v>
      </c>
      <c r="CT63" s="19" t="n">
        <v>0</v>
      </c>
      <c r="CU63" s="19" t="n">
        <v>0</v>
      </c>
      <c r="CV63" s="19" t="n">
        <v>0</v>
      </c>
      <c r="CW63" s="19" t="n">
        <v>0</v>
      </c>
      <c r="CX63" s="19" t="n">
        <v>0</v>
      </c>
      <c r="CY63" s="19" t="n">
        <v>0</v>
      </c>
      <c r="CZ63" s="19" t="n">
        <v>0</v>
      </c>
      <c r="DA63" s="19" t="n">
        <v>0</v>
      </c>
      <c r="DB63" s="19" t="n">
        <v>0</v>
      </c>
      <c r="DC63" s="19" t="n">
        <v>0</v>
      </c>
      <c r="DD63" s="19" t="n">
        <v>0</v>
      </c>
      <c r="DE63" s="19" t="n">
        <v>0</v>
      </c>
    </row>
    <row r="64" customFormat="false" ht="15" hidden="true" customHeight="true" outlineLevel="1" collapsed="false">
      <c r="A64" s="28" t="s">
        <v>11</v>
      </c>
      <c r="B64" s="19" t="n">
        <v>0</v>
      </c>
      <c r="C64" s="19" t="n">
        <v>-158853.43</v>
      </c>
      <c r="D64" s="19" t="n">
        <v>-282874.37</v>
      </c>
      <c r="E64" s="19" t="n">
        <v>-223950.71</v>
      </c>
      <c r="F64" s="19" t="n">
        <v>-217736.55</v>
      </c>
      <c r="G64" s="19" t="n">
        <v>-325023.37</v>
      </c>
      <c r="H64" s="19" t="n">
        <v>-246996</v>
      </c>
      <c r="I64" s="19" t="n">
        <v>-444334.82</v>
      </c>
      <c r="J64" s="19" t="n">
        <v>-292519.05</v>
      </c>
      <c r="K64" s="19" t="n">
        <v>-450328.06</v>
      </c>
      <c r="L64" s="19" t="n">
        <v>-246565.55</v>
      </c>
      <c r="M64" s="19" t="n">
        <v>-208840.6</v>
      </c>
      <c r="N64" s="19" t="n">
        <v>-279911.11</v>
      </c>
      <c r="O64" s="19" t="n">
        <v>-246649.63</v>
      </c>
      <c r="P64" s="19" t="n">
        <v>-95976.7</v>
      </c>
      <c r="Q64" s="19" t="n">
        <v>-110015.5</v>
      </c>
      <c r="R64" s="19" t="n">
        <v>-53831.42</v>
      </c>
      <c r="S64" s="19" t="n">
        <v>-15804.6</v>
      </c>
      <c r="T64" s="19" t="n">
        <v>0</v>
      </c>
      <c r="U64" s="19" t="n">
        <v>0</v>
      </c>
      <c r="V64" s="19" t="n">
        <v>0</v>
      </c>
      <c r="W64" s="19" t="n">
        <v>0</v>
      </c>
      <c r="X64" s="19" t="n">
        <v>0</v>
      </c>
      <c r="Y64" s="19" t="n">
        <v>0</v>
      </c>
      <c r="Z64" s="19" t="n">
        <v>0</v>
      </c>
      <c r="AA64" s="19" t="n">
        <v>0</v>
      </c>
      <c r="AB64" s="19" t="n">
        <v>0</v>
      </c>
      <c r="AC64" s="19" t="n">
        <v>0</v>
      </c>
      <c r="AD64" s="19" t="n">
        <v>0</v>
      </c>
      <c r="AE64" s="19" t="n">
        <v>0</v>
      </c>
      <c r="AF64" s="19" t="n">
        <v>0</v>
      </c>
      <c r="AG64" s="19" t="n">
        <v>0</v>
      </c>
      <c r="AH64" s="19" t="n">
        <v>0</v>
      </c>
      <c r="AI64" s="19" t="n">
        <v>0</v>
      </c>
      <c r="AJ64" s="19" t="n">
        <v>0</v>
      </c>
      <c r="AK64" s="19" t="n">
        <v>0</v>
      </c>
      <c r="AL64" s="19" t="n">
        <v>0</v>
      </c>
      <c r="AM64" s="19" t="n">
        <v>0</v>
      </c>
      <c r="AN64" s="19" t="n">
        <v>0</v>
      </c>
      <c r="AO64" s="19" t="n">
        <v>0</v>
      </c>
      <c r="AP64" s="19" t="n">
        <v>0</v>
      </c>
      <c r="AQ64" s="19" t="n">
        <v>0</v>
      </c>
      <c r="AR64" s="19" t="n">
        <v>0</v>
      </c>
      <c r="AS64" s="19" t="n">
        <v>0</v>
      </c>
      <c r="AT64" s="19" t="n">
        <v>0</v>
      </c>
      <c r="AU64" s="19" t="n">
        <v>0</v>
      </c>
      <c r="AV64" s="19" t="n">
        <v>0</v>
      </c>
      <c r="AW64" s="19" t="n">
        <v>0</v>
      </c>
      <c r="AX64" s="19" t="n">
        <v>0</v>
      </c>
      <c r="AY64" s="19" t="n">
        <v>0</v>
      </c>
      <c r="AZ64" s="19" t="n">
        <v>0</v>
      </c>
      <c r="BA64" s="19" t="n">
        <v>0</v>
      </c>
      <c r="BB64" s="19" t="n">
        <v>0</v>
      </c>
      <c r="BC64" s="19" t="n">
        <v>0</v>
      </c>
      <c r="BD64" s="19" t="n">
        <v>0</v>
      </c>
      <c r="BE64" s="19" t="n">
        <v>0</v>
      </c>
      <c r="BF64" s="19" t="n">
        <v>0</v>
      </c>
      <c r="BG64" s="19" t="n">
        <v>0</v>
      </c>
      <c r="BH64" s="19" t="n">
        <v>0</v>
      </c>
      <c r="BI64" s="19" t="n">
        <v>0</v>
      </c>
      <c r="BJ64" s="19" t="n">
        <v>0</v>
      </c>
      <c r="BK64" s="19" t="n">
        <v>0</v>
      </c>
      <c r="BL64" s="19" t="n">
        <v>0</v>
      </c>
      <c r="BM64" s="19" t="n">
        <v>0</v>
      </c>
      <c r="BN64" s="19" t="n">
        <v>0</v>
      </c>
      <c r="BO64" s="19" t="n">
        <v>0</v>
      </c>
      <c r="BP64" s="19" t="n">
        <v>0</v>
      </c>
      <c r="BQ64" s="19" t="n">
        <v>0</v>
      </c>
      <c r="BR64" s="19" t="n">
        <v>0</v>
      </c>
      <c r="BS64" s="19" t="n">
        <v>0</v>
      </c>
      <c r="BT64" s="19" t="n">
        <v>0</v>
      </c>
      <c r="BU64" s="19" t="n">
        <v>0</v>
      </c>
      <c r="BV64" s="19" t="n">
        <v>0</v>
      </c>
      <c r="BW64" s="19" t="n">
        <v>0</v>
      </c>
      <c r="BX64" s="19" t="n">
        <v>0</v>
      </c>
      <c r="BY64" s="19" t="n">
        <v>0</v>
      </c>
      <c r="BZ64" s="19" t="n">
        <v>0</v>
      </c>
      <c r="CA64" s="19" t="n">
        <v>0</v>
      </c>
      <c r="CB64" s="19" t="n">
        <v>0</v>
      </c>
      <c r="CC64" s="19" t="n">
        <v>0</v>
      </c>
      <c r="CD64" s="19" t="n">
        <v>0</v>
      </c>
      <c r="CE64" s="19" t="n">
        <v>0</v>
      </c>
      <c r="CF64" s="19" t="n">
        <v>0</v>
      </c>
      <c r="CG64" s="19" t="n">
        <v>0</v>
      </c>
      <c r="CH64" s="19" t="n">
        <v>0</v>
      </c>
      <c r="CI64" s="19" t="n">
        <v>0</v>
      </c>
      <c r="CJ64" s="19" t="n">
        <v>0</v>
      </c>
      <c r="CK64" s="19" t="n">
        <v>0</v>
      </c>
      <c r="CL64" s="19" t="n">
        <v>0</v>
      </c>
      <c r="CM64" s="19" t="n">
        <v>0</v>
      </c>
      <c r="CN64" s="19" t="n">
        <v>0</v>
      </c>
      <c r="CO64" s="19" t="n">
        <v>0</v>
      </c>
      <c r="CP64" s="19" t="n">
        <v>0</v>
      </c>
      <c r="CQ64" s="19" t="n">
        <v>0</v>
      </c>
      <c r="CR64" s="19" t="n">
        <v>0</v>
      </c>
      <c r="CS64" s="19" t="n">
        <v>0</v>
      </c>
      <c r="CT64" s="19" t="n">
        <v>0</v>
      </c>
      <c r="CU64" s="19" t="n">
        <v>0</v>
      </c>
      <c r="CV64" s="19" t="n">
        <v>0</v>
      </c>
      <c r="CW64" s="19" t="n">
        <v>0</v>
      </c>
      <c r="CX64" s="19" t="n">
        <v>0</v>
      </c>
      <c r="CY64" s="19" t="n">
        <v>0</v>
      </c>
      <c r="CZ64" s="19" t="n">
        <v>0</v>
      </c>
      <c r="DA64" s="19" t="n">
        <v>0</v>
      </c>
      <c r="DB64" s="19" t="n">
        <v>0</v>
      </c>
      <c r="DC64" s="19" t="n">
        <v>0</v>
      </c>
      <c r="DD64" s="19" t="n">
        <v>0</v>
      </c>
      <c r="DE64" s="19" t="n">
        <v>0</v>
      </c>
    </row>
    <row r="65" customFormat="false" ht="15" hidden="true" customHeight="true" outlineLevel="1" collapsed="false">
      <c r="A65" s="28" t="s">
        <v>12</v>
      </c>
      <c r="B65" s="19" t="n">
        <v>-2000</v>
      </c>
      <c r="C65" s="19" t="n">
        <v>0</v>
      </c>
      <c r="D65" s="19" t="n">
        <v>0</v>
      </c>
      <c r="E65" s="19" t="n">
        <v>0</v>
      </c>
      <c r="F65" s="19" t="n">
        <v>-8000</v>
      </c>
      <c r="G65" s="19" t="n">
        <v>-5130</v>
      </c>
      <c r="H65" s="19" t="n">
        <v>-7159</v>
      </c>
      <c r="I65" s="19" t="n">
        <v>-488133.15</v>
      </c>
      <c r="J65" s="19" t="n">
        <v>-734627.75</v>
      </c>
      <c r="K65" s="19" t="n">
        <v>-1031862.26</v>
      </c>
      <c r="L65" s="19" t="n">
        <v>-670762.14</v>
      </c>
      <c r="M65" s="19" t="n">
        <v>-502701.41</v>
      </c>
      <c r="N65" s="19" t="n">
        <v>-640423.23</v>
      </c>
      <c r="O65" s="19" t="n">
        <v>-518087.99</v>
      </c>
      <c r="P65" s="19" t="n">
        <v>-625083.61</v>
      </c>
      <c r="Q65" s="19" t="n">
        <v>-527941.35</v>
      </c>
      <c r="R65" s="19" t="n">
        <v>-648842.42</v>
      </c>
      <c r="S65" s="19" t="n">
        <v>-609836.71</v>
      </c>
      <c r="T65" s="19" t="n">
        <v>-1093856.58</v>
      </c>
      <c r="U65" s="19" t="n">
        <v>-699027.38</v>
      </c>
      <c r="V65" s="19" t="n">
        <v>-2084550.48</v>
      </c>
      <c r="W65" s="19" t="n">
        <v>-1316830.2</v>
      </c>
      <c r="X65" s="19" t="n">
        <v>-2704840.19</v>
      </c>
      <c r="Y65" s="19" t="n">
        <v>-1557426.69</v>
      </c>
      <c r="Z65" s="19" t="n">
        <v>-2453634.53</v>
      </c>
      <c r="AA65" s="19" t="n">
        <v>-2048866.16</v>
      </c>
      <c r="AB65" s="19" t="n">
        <v>-1396684.5</v>
      </c>
      <c r="AC65" s="19" t="n">
        <v>-883896.92</v>
      </c>
      <c r="AD65" s="19" t="n">
        <v>-1046686.92</v>
      </c>
      <c r="AE65" s="19" t="n">
        <v>-982365.21</v>
      </c>
      <c r="AF65" s="19" t="n">
        <v>-1214791.02</v>
      </c>
      <c r="AG65" s="19" t="n">
        <v>-2109626.22</v>
      </c>
      <c r="AH65" s="19" t="n">
        <v>-1957875.93</v>
      </c>
      <c r="AI65" s="19" t="n">
        <v>-1914132.66</v>
      </c>
      <c r="AJ65" s="19" t="n">
        <v>-1044319.92</v>
      </c>
      <c r="AK65" s="19" t="n">
        <v>-866931.3</v>
      </c>
      <c r="AL65" s="19" t="n">
        <v>-968436.51</v>
      </c>
      <c r="AM65" s="19" t="n">
        <v>-1052717.22</v>
      </c>
      <c r="AN65" s="19" t="n">
        <v>-283224.47</v>
      </c>
      <c r="AO65" s="19" t="n">
        <v>0</v>
      </c>
      <c r="AP65" s="19" t="n">
        <v>0</v>
      </c>
      <c r="AQ65" s="19" t="n">
        <v>0</v>
      </c>
      <c r="AR65" s="19" t="n">
        <v>0</v>
      </c>
      <c r="AS65" s="19" t="n">
        <v>0</v>
      </c>
      <c r="AT65" s="19" t="n">
        <v>0</v>
      </c>
      <c r="AU65" s="19" t="n">
        <v>0</v>
      </c>
      <c r="AV65" s="19" t="n">
        <v>0</v>
      </c>
      <c r="AW65" s="19" t="n">
        <v>0</v>
      </c>
      <c r="AX65" s="19" t="n">
        <v>0</v>
      </c>
      <c r="AY65" s="19" t="n">
        <v>0</v>
      </c>
      <c r="AZ65" s="19" t="n">
        <v>0</v>
      </c>
      <c r="BA65" s="19" t="n">
        <v>0</v>
      </c>
      <c r="BB65" s="19" t="n">
        <v>0</v>
      </c>
      <c r="BC65" s="19" t="n">
        <v>0</v>
      </c>
      <c r="BD65" s="19" t="n">
        <v>0</v>
      </c>
      <c r="BE65" s="19" t="n">
        <v>0</v>
      </c>
      <c r="BF65" s="19" t="n">
        <v>0</v>
      </c>
      <c r="BG65" s="19" t="n">
        <v>0</v>
      </c>
      <c r="BH65" s="19" t="n">
        <v>0</v>
      </c>
      <c r="BI65" s="19" t="n">
        <v>0</v>
      </c>
      <c r="BJ65" s="19" t="n">
        <v>0</v>
      </c>
      <c r="BK65" s="19" t="n">
        <v>0</v>
      </c>
      <c r="BL65" s="19" t="n">
        <v>0</v>
      </c>
      <c r="BM65" s="19" t="n">
        <v>0</v>
      </c>
      <c r="BN65" s="19" t="n">
        <v>0</v>
      </c>
      <c r="BO65" s="19" t="n">
        <v>0</v>
      </c>
      <c r="BP65" s="19" t="n">
        <v>0</v>
      </c>
      <c r="BQ65" s="19" t="n">
        <v>0</v>
      </c>
      <c r="BR65" s="19" t="n">
        <v>0</v>
      </c>
      <c r="BS65" s="19" t="n">
        <v>0</v>
      </c>
      <c r="BT65" s="19" t="n">
        <v>0</v>
      </c>
      <c r="BU65" s="19" t="n">
        <v>0</v>
      </c>
      <c r="BV65" s="19" t="n">
        <v>0</v>
      </c>
      <c r="BW65" s="19" t="n">
        <v>0</v>
      </c>
      <c r="BX65" s="19" t="n">
        <v>0</v>
      </c>
      <c r="BY65" s="19" t="n">
        <v>0</v>
      </c>
      <c r="BZ65" s="19" t="n">
        <v>0</v>
      </c>
      <c r="CA65" s="19" t="n">
        <v>0</v>
      </c>
      <c r="CB65" s="19" t="n">
        <v>0</v>
      </c>
      <c r="CC65" s="19" t="n">
        <v>0</v>
      </c>
      <c r="CD65" s="19" t="n">
        <v>0</v>
      </c>
      <c r="CE65" s="19" t="n">
        <v>0</v>
      </c>
      <c r="CF65" s="19" t="n">
        <v>0</v>
      </c>
      <c r="CG65" s="19" t="n">
        <v>0</v>
      </c>
      <c r="CH65" s="19" t="n">
        <v>0</v>
      </c>
      <c r="CI65" s="19" t="n">
        <v>0</v>
      </c>
      <c r="CJ65" s="19" t="n">
        <v>0</v>
      </c>
      <c r="CK65" s="19" t="n">
        <v>0</v>
      </c>
      <c r="CL65" s="19" t="n">
        <v>0</v>
      </c>
      <c r="CM65" s="19" t="n">
        <v>0</v>
      </c>
      <c r="CN65" s="19" t="n">
        <v>0</v>
      </c>
      <c r="CO65" s="19" t="n">
        <v>0</v>
      </c>
      <c r="CP65" s="19" t="n">
        <v>0</v>
      </c>
      <c r="CQ65" s="19" t="n">
        <v>0</v>
      </c>
      <c r="CR65" s="19" t="n">
        <v>0</v>
      </c>
      <c r="CS65" s="19" t="n">
        <v>0</v>
      </c>
      <c r="CT65" s="19" t="n">
        <v>0</v>
      </c>
      <c r="CU65" s="19" t="n">
        <v>0</v>
      </c>
      <c r="CV65" s="19" t="n">
        <v>0</v>
      </c>
      <c r="CW65" s="19" t="n">
        <v>0</v>
      </c>
      <c r="CX65" s="19" t="n">
        <v>0</v>
      </c>
      <c r="CY65" s="19" t="n">
        <v>0</v>
      </c>
      <c r="CZ65" s="19" t="n">
        <v>0</v>
      </c>
      <c r="DA65" s="19" t="n">
        <v>0</v>
      </c>
      <c r="DB65" s="19" t="n">
        <v>0</v>
      </c>
      <c r="DC65" s="19" t="n">
        <v>0</v>
      </c>
      <c r="DD65" s="19" t="n">
        <v>0</v>
      </c>
      <c r="DE65" s="19" t="n">
        <v>0</v>
      </c>
    </row>
    <row r="66" customFormat="false" ht="15" hidden="true" customHeight="true" outlineLevel="1" collapsed="false">
      <c r="A66" s="28" t="s">
        <v>13</v>
      </c>
      <c r="B66" s="19" t="n">
        <v>0</v>
      </c>
      <c r="C66" s="19" t="n">
        <v>0</v>
      </c>
      <c r="D66" s="19" t="n">
        <v>0</v>
      </c>
      <c r="E66" s="19" t="n">
        <v>0</v>
      </c>
      <c r="F66" s="19" t="n">
        <f aca="false">-F19</f>
        <v>-0</v>
      </c>
      <c r="G66" s="19" t="n">
        <f aca="false">-G19</f>
        <v>-0</v>
      </c>
      <c r="H66" s="19" t="n">
        <f aca="false">-H19</f>
        <v>-0</v>
      </c>
      <c r="I66" s="19" t="n">
        <v>-95034</v>
      </c>
      <c r="J66" s="19" t="n">
        <f aca="false">-J19</f>
        <v>-266339.274896073</v>
      </c>
      <c r="K66" s="19" t="n">
        <f aca="false">-K19</f>
        <v>-347472.412552273</v>
      </c>
      <c r="L66" s="19" t="n">
        <f aca="false">-L19</f>
        <v>-434803.581384323</v>
      </c>
      <c r="M66" s="19" t="n">
        <f aca="false">-M19</f>
        <v>-524850.449410823</v>
      </c>
      <c r="N66" s="19" t="n">
        <f aca="false">-N19</f>
        <v>-613286.089207123</v>
      </c>
      <c r="O66" s="19" t="n">
        <f aca="false">-O19</f>
        <v>-695198.853426323</v>
      </c>
      <c r="P66" s="19" t="n">
        <f aca="false">-P19</f>
        <v>-765560.150737073</v>
      </c>
      <c r="Q66" s="19" t="n">
        <f aca="false">-Q19</f>
        <v>-819705.215537423</v>
      </c>
      <c r="R66" s="19" t="n">
        <f aca="false">-R19</f>
        <v>-853852.858996823</v>
      </c>
      <c r="S66" s="19" t="n">
        <f aca="false">-S19</f>
        <v>-865521.269889723</v>
      </c>
      <c r="T66" s="19" t="n">
        <f aca="false">-T19</f>
        <v>-853852.858996823</v>
      </c>
      <c r="U66" s="19" t="n">
        <f aca="false">-U19</f>
        <v>-819705.215537423</v>
      </c>
      <c r="V66" s="19" t="n">
        <f aca="false">-V19</f>
        <v>-765560.150737073</v>
      </c>
      <c r="W66" s="19" t="n">
        <f aca="false">-W19</f>
        <v>-695198.853426323</v>
      </c>
      <c r="X66" s="19" t="n">
        <f aca="false">-X19</f>
        <v>-613286.089207123</v>
      </c>
      <c r="Y66" s="19" t="n">
        <f aca="false">-Y19</f>
        <v>-524850.449410823</v>
      </c>
      <c r="Z66" s="19" t="n">
        <f aca="false">-Z19</f>
        <v>-434803.581384323</v>
      </c>
      <c r="AA66" s="19" t="n">
        <f aca="false">-AA19</f>
        <v>-347472.412552273</v>
      </c>
      <c r="AB66" s="19" t="n">
        <f aca="false">-AB19</f>
        <v>-188122.590274295</v>
      </c>
      <c r="AC66" s="19" t="n">
        <f aca="false">-AC19</f>
        <v>-0</v>
      </c>
      <c r="AD66" s="19" t="n">
        <f aca="false">-AD19</f>
        <v>-0</v>
      </c>
      <c r="AE66" s="19" t="n">
        <f aca="false">-AE19</f>
        <v>-0</v>
      </c>
      <c r="AF66" s="19" t="n">
        <f aca="false">-AF19</f>
        <v>-0</v>
      </c>
      <c r="AG66" s="19" t="n">
        <f aca="false">-AG19</f>
        <v>-0</v>
      </c>
      <c r="AH66" s="19" t="n">
        <f aca="false">-AH19</f>
        <v>-0</v>
      </c>
      <c r="AI66" s="19" t="n">
        <f aca="false">-AI19</f>
        <v>-0</v>
      </c>
      <c r="AJ66" s="19" t="n">
        <f aca="false">-AJ19</f>
        <v>-0</v>
      </c>
      <c r="AK66" s="19" t="n">
        <f aca="false">-AK19</f>
        <v>-0</v>
      </c>
      <c r="AL66" s="19" t="n">
        <f aca="false">-AL19</f>
        <v>-0</v>
      </c>
      <c r="AM66" s="19" t="n">
        <f aca="false">-AM19</f>
        <v>-0</v>
      </c>
      <c r="AN66" s="19" t="n">
        <f aca="false">-AN19</f>
        <v>-0</v>
      </c>
      <c r="AO66" s="19" t="n">
        <f aca="false">-AO19</f>
        <v>-0</v>
      </c>
      <c r="AP66" s="19" t="n">
        <f aca="false">-AP19</f>
        <v>-0</v>
      </c>
      <c r="AQ66" s="19" t="n">
        <f aca="false">-AQ19</f>
        <v>-0</v>
      </c>
      <c r="AR66" s="19" t="n">
        <f aca="false">-AR19</f>
        <v>-0</v>
      </c>
      <c r="AS66" s="19" t="n">
        <f aca="false">-AS19</f>
        <v>-0</v>
      </c>
      <c r="AT66" s="19" t="n">
        <f aca="false">-AT19</f>
        <v>-0</v>
      </c>
      <c r="AU66" s="19" t="n">
        <f aca="false">-AU19</f>
        <v>-0</v>
      </c>
      <c r="AV66" s="19" t="n">
        <f aca="false">-AV19</f>
        <v>-0</v>
      </c>
      <c r="AW66" s="19" t="n">
        <f aca="false">-AW19</f>
        <v>-0</v>
      </c>
      <c r="AX66" s="19" t="n">
        <f aca="false">-AX19</f>
        <v>-0</v>
      </c>
      <c r="AY66" s="19" t="n">
        <f aca="false">-AY19</f>
        <v>-0</v>
      </c>
      <c r="AZ66" s="19" t="n">
        <f aca="false">-AZ19</f>
        <v>-0</v>
      </c>
      <c r="BA66" s="19" t="n">
        <f aca="false">-BA19</f>
        <v>-0</v>
      </c>
      <c r="BB66" s="19" t="n">
        <f aca="false">-BB19</f>
        <v>-0</v>
      </c>
      <c r="BC66" s="19" t="n">
        <f aca="false">-BC19</f>
        <v>-0</v>
      </c>
      <c r="BD66" s="19" t="n">
        <f aca="false">-BD19</f>
        <v>-0</v>
      </c>
      <c r="BE66" s="19" t="n">
        <f aca="false">-BE19</f>
        <v>-0</v>
      </c>
      <c r="BF66" s="19" t="n">
        <f aca="false">-BF19</f>
        <v>-0</v>
      </c>
      <c r="BG66" s="19" t="n">
        <f aca="false">-BG19</f>
        <v>-0</v>
      </c>
      <c r="BH66" s="19" t="n">
        <f aca="false">-BH19</f>
        <v>-0</v>
      </c>
      <c r="BI66" s="19" t="n">
        <f aca="false">-BI19</f>
        <v>-0</v>
      </c>
      <c r="BJ66" s="19" t="n">
        <f aca="false">-BJ19</f>
        <v>-0</v>
      </c>
      <c r="BK66" s="19" t="n">
        <f aca="false">-BK19</f>
        <v>-0</v>
      </c>
      <c r="BL66" s="19" t="n">
        <f aca="false">-BL19</f>
        <v>-0</v>
      </c>
      <c r="BM66" s="19" t="n">
        <f aca="false">-BM19</f>
        <v>-0</v>
      </c>
      <c r="BN66" s="19" t="n">
        <f aca="false">-BN19</f>
        <v>-0</v>
      </c>
      <c r="BO66" s="19" t="n">
        <f aca="false">-BO19</f>
        <v>-0</v>
      </c>
      <c r="BP66" s="19" t="n">
        <f aca="false">-BP19</f>
        <v>-0</v>
      </c>
      <c r="BQ66" s="19" t="n">
        <f aca="false">-BQ19</f>
        <v>-0</v>
      </c>
      <c r="BR66" s="19" t="n">
        <f aca="false">-BR19</f>
        <v>-0</v>
      </c>
      <c r="BS66" s="19" t="n">
        <f aca="false">-BS19</f>
        <v>-0</v>
      </c>
      <c r="BT66" s="19" t="n">
        <f aca="false">-BT19</f>
        <v>-0</v>
      </c>
      <c r="BU66" s="19" t="n">
        <f aca="false">-BU19</f>
        <v>-0</v>
      </c>
      <c r="BV66" s="19" t="n">
        <f aca="false">-BV19</f>
        <v>-0</v>
      </c>
      <c r="BW66" s="19" t="n">
        <f aca="false">-BW19</f>
        <v>-0</v>
      </c>
      <c r="BX66" s="19" t="n">
        <f aca="false">-BX19</f>
        <v>-0</v>
      </c>
      <c r="BY66" s="19" t="n">
        <f aca="false">-BY19</f>
        <v>-0</v>
      </c>
      <c r="BZ66" s="19" t="n">
        <f aca="false">-BZ19</f>
        <v>-0</v>
      </c>
      <c r="CA66" s="19" t="n">
        <f aca="false">-CA19</f>
        <v>-0</v>
      </c>
      <c r="CB66" s="19" t="n">
        <f aca="false">-CB19</f>
        <v>-0</v>
      </c>
      <c r="CC66" s="19" t="n">
        <f aca="false">-CC19</f>
        <v>-0</v>
      </c>
      <c r="CD66" s="19" t="n">
        <f aca="false">-CD19</f>
        <v>-0</v>
      </c>
      <c r="CE66" s="19" t="n">
        <f aca="false">-CE19</f>
        <v>-0</v>
      </c>
      <c r="CF66" s="19" t="n">
        <f aca="false">-CF19</f>
        <v>-0</v>
      </c>
      <c r="CG66" s="19" t="n">
        <f aca="false">-CG19</f>
        <v>-0</v>
      </c>
      <c r="CH66" s="19" t="n">
        <f aca="false">-CH19</f>
        <v>-0</v>
      </c>
      <c r="CI66" s="19" t="n">
        <f aca="false">-CI19</f>
        <v>-0</v>
      </c>
      <c r="CJ66" s="19" t="n">
        <f aca="false">-CJ19</f>
        <v>-0</v>
      </c>
      <c r="CK66" s="19" t="n">
        <f aca="false">-CK19</f>
        <v>-0</v>
      </c>
      <c r="CL66" s="19" t="n">
        <f aca="false">-CL19</f>
        <v>-0</v>
      </c>
      <c r="CM66" s="19" t="n">
        <f aca="false">-CM19</f>
        <v>-0</v>
      </c>
      <c r="CN66" s="19" t="n">
        <f aca="false">-CN19</f>
        <v>-0</v>
      </c>
      <c r="CO66" s="19" t="n">
        <f aca="false">-CO19</f>
        <v>-0</v>
      </c>
      <c r="CP66" s="19" t="n">
        <f aca="false">-CP19</f>
        <v>-0</v>
      </c>
      <c r="CQ66" s="19" t="n">
        <f aca="false">-CQ19</f>
        <v>-0</v>
      </c>
      <c r="CR66" s="19" t="n">
        <f aca="false">-CR19</f>
        <v>-0</v>
      </c>
      <c r="CS66" s="19" t="n">
        <f aca="false">-CS19</f>
        <v>-0</v>
      </c>
      <c r="CT66" s="19" t="n">
        <f aca="false">-CT19</f>
        <v>-0</v>
      </c>
      <c r="CU66" s="19" t="n">
        <f aca="false">-CU19</f>
        <v>-0</v>
      </c>
      <c r="CV66" s="19" t="n">
        <f aca="false">-CV19</f>
        <v>-0</v>
      </c>
      <c r="CW66" s="19" t="n">
        <f aca="false">-CW19</f>
        <v>-0</v>
      </c>
      <c r="CX66" s="19" t="n">
        <f aca="false">-CX19</f>
        <v>-0</v>
      </c>
      <c r="CY66" s="19" t="n">
        <f aca="false">-CY19</f>
        <v>-0</v>
      </c>
      <c r="CZ66" s="19" t="n">
        <f aca="false">-CZ19</f>
        <v>-0</v>
      </c>
      <c r="DA66" s="19" t="n">
        <f aca="false">-DA19</f>
        <v>-0</v>
      </c>
      <c r="DB66" s="19" t="n">
        <f aca="false">-DB19</f>
        <v>-0</v>
      </c>
      <c r="DC66" s="19" t="n">
        <f aca="false">-DC19</f>
        <v>-0</v>
      </c>
      <c r="DD66" s="19" t="n">
        <f aca="false">-DD19</f>
        <v>-0</v>
      </c>
      <c r="DE66" s="19" t="n">
        <f aca="false">-DE19</f>
        <v>-0</v>
      </c>
    </row>
    <row r="67" customFormat="false" ht="15" hidden="true" customHeight="true" outlineLevel="1" collapsed="false">
      <c r="A67" s="28" t="s">
        <v>14</v>
      </c>
      <c r="B67" s="19" t="n">
        <v>0</v>
      </c>
      <c r="C67" s="19" t="n">
        <v>0</v>
      </c>
      <c r="D67" s="19" t="n">
        <v>0</v>
      </c>
      <c r="E67" s="19" t="n">
        <v>0</v>
      </c>
      <c r="F67" s="19" t="n">
        <f aca="false">-F20</f>
        <v>-0</v>
      </c>
      <c r="G67" s="19" t="n">
        <f aca="false">-G20</f>
        <v>-0</v>
      </c>
      <c r="H67" s="19" t="n">
        <v>-219283</v>
      </c>
      <c r="I67" s="19" t="n">
        <v>-94825.27</v>
      </c>
      <c r="J67" s="19" t="n">
        <f aca="false">-J20</f>
        <v>-383392.45745766</v>
      </c>
      <c r="K67" s="19" t="n">
        <f aca="false">-K20</f>
        <v>-479751.50704446</v>
      </c>
      <c r="L67" s="19" t="n">
        <f aca="false">-L20</f>
        <v>-579106.99188846</v>
      </c>
      <c r="M67" s="19" t="n">
        <f aca="false">-M20</f>
        <v>-676684.68739326</v>
      </c>
      <c r="N67" s="19" t="n">
        <f aca="false">-N20</f>
        <v>-767065.20347646</v>
      </c>
      <c r="O67" s="19" t="n">
        <f aca="false">-O20</f>
        <v>-844700.11695846</v>
      </c>
      <c r="P67" s="19" t="n">
        <f aca="false">-P20</f>
        <v>-904442.44096206</v>
      </c>
      <c r="Q67" s="19" t="n">
        <f aca="false">-Q20</f>
        <v>-942120.10534446</v>
      </c>
      <c r="R67" s="19" t="n">
        <f aca="false">-R20</f>
        <v>-954994.74104286</v>
      </c>
      <c r="S67" s="19" t="n">
        <f aca="false">-S20</f>
        <v>-942120.10534446</v>
      </c>
      <c r="T67" s="19" t="n">
        <f aca="false">-T20</f>
        <v>-904442.44096206</v>
      </c>
      <c r="U67" s="19" t="n">
        <f aca="false">-U20</f>
        <v>-844700.11695846</v>
      </c>
      <c r="V67" s="19" t="n">
        <f aca="false">-V20</f>
        <v>-767065.20347646</v>
      </c>
      <c r="W67" s="19" t="n">
        <f aca="false">-W20</f>
        <v>-676684.68739326</v>
      </c>
      <c r="X67" s="19" t="n">
        <f aca="false">-X20</f>
        <v>-579106.99188846</v>
      </c>
      <c r="Y67" s="19" t="n">
        <f aca="false">-Y20</f>
        <v>-479751.50704446</v>
      </c>
      <c r="Z67" s="19" t="n">
        <f aca="false">-Z20</f>
        <v>-383392.45745766</v>
      </c>
      <c r="AA67" s="19" t="n">
        <f aca="false">-AA20</f>
        <v>-207569.80866132</v>
      </c>
      <c r="AB67" s="19" t="n">
        <f aca="false">-AB20</f>
        <v>-0</v>
      </c>
      <c r="AC67" s="19" t="n">
        <f aca="false">-AC20</f>
        <v>-0</v>
      </c>
      <c r="AD67" s="19" t="n">
        <f aca="false">-AD20</f>
        <v>-0</v>
      </c>
      <c r="AE67" s="19" t="n">
        <f aca="false">-AE20</f>
        <v>-0</v>
      </c>
      <c r="AF67" s="19" t="n">
        <f aca="false">-AF20</f>
        <v>-0</v>
      </c>
      <c r="AG67" s="19" t="n">
        <f aca="false">-AG20</f>
        <v>-0</v>
      </c>
      <c r="AH67" s="19" t="n">
        <f aca="false">-AH20</f>
        <v>-0</v>
      </c>
      <c r="AI67" s="19" t="n">
        <f aca="false">-AI20</f>
        <v>-0</v>
      </c>
      <c r="AJ67" s="19" t="n">
        <f aca="false">-AJ20</f>
        <v>-0</v>
      </c>
      <c r="AK67" s="19" t="n">
        <f aca="false">-AK20</f>
        <v>-0</v>
      </c>
      <c r="AL67" s="19" t="n">
        <f aca="false">-AL20</f>
        <v>-0</v>
      </c>
      <c r="AM67" s="19" t="n">
        <f aca="false">-AM20</f>
        <v>-0</v>
      </c>
      <c r="AN67" s="19" t="n">
        <f aca="false">-AN20</f>
        <v>-0</v>
      </c>
      <c r="AO67" s="19" t="n">
        <f aca="false">-AO20</f>
        <v>-0</v>
      </c>
      <c r="AP67" s="19" t="n">
        <f aca="false">-AP20</f>
        <v>-0</v>
      </c>
      <c r="AQ67" s="19" t="n">
        <f aca="false">-AQ20</f>
        <v>-0</v>
      </c>
      <c r="AR67" s="19" t="n">
        <f aca="false">-AR20</f>
        <v>-0</v>
      </c>
      <c r="AS67" s="19" t="n">
        <f aca="false">-AS20</f>
        <v>-0</v>
      </c>
      <c r="AT67" s="19" t="n">
        <f aca="false">-AT20</f>
        <v>-0</v>
      </c>
      <c r="AU67" s="19" t="n">
        <f aca="false">-AU20</f>
        <v>-0</v>
      </c>
      <c r="AV67" s="19" t="n">
        <f aca="false">-AV20</f>
        <v>-0</v>
      </c>
      <c r="AW67" s="19" t="n">
        <f aca="false">-AW20</f>
        <v>-0</v>
      </c>
      <c r="AX67" s="19" t="n">
        <f aca="false">-AX20</f>
        <v>-0</v>
      </c>
      <c r="AY67" s="19" t="n">
        <f aca="false">-AY20</f>
        <v>-0</v>
      </c>
      <c r="AZ67" s="19" t="n">
        <f aca="false">-AZ20</f>
        <v>-0</v>
      </c>
      <c r="BA67" s="19" t="n">
        <f aca="false">-BA20</f>
        <v>-0</v>
      </c>
      <c r="BB67" s="19" t="n">
        <f aca="false">-BB20</f>
        <v>-0</v>
      </c>
      <c r="BC67" s="19" t="n">
        <f aca="false">-BC20</f>
        <v>-0</v>
      </c>
      <c r="BD67" s="19" t="n">
        <f aca="false">-BD20</f>
        <v>-0</v>
      </c>
      <c r="BE67" s="19" t="n">
        <f aca="false">-BE20</f>
        <v>-0</v>
      </c>
      <c r="BF67" s="19" t="n">
        <f aca="false">-BF20</f>
        <v>-0</v>
      </c>
      <c r="BG67" s="19" t="n">
        <f aca="false">-BG20</f>
        <v>-0</v>
      </c>
      <c r="BH67" s="19" t="n">
        <f aca="false">-BH20</f>
        <v>-0</v>
      </c>
      <c r="BI67" s="19" t="n">
        <f aca="false">-BI20</f>
        <v>-0</v>
      </c>
      <c r="BJ67" s="19" t="n">
        <f aca="false">-BJ20</f>
        <v>-0</v>
      </c>
      <c r="BK67" s="19" t="n">
        <f aca="false">-BK20</f>
        <v>-0</v>
      </c>
      <c r="BL67" s="19" t="n">
        <f aca="false">-BL20</f>
        <v>-0</v>
      </c>
      <c r="BM67" s="19" t="n">
        <f aca="false">-BM20</f>
        <v>-0</v>
      </c>
      <c r="BN67" s="19" t="n">
        <f aca="false">-BN20</f>
        <v>-0</v>
      </c>
      <c r="BO67" s="19" t="n">
        <f aca="false">-BO20</f>
        <v>-0</v>
      </c>
      <c r="BP67" s="19" t="n">
        <f aca="false">-BP20</f>
        <v>-0</v>
      </c>
      <c r="BQ67" s="19" t="n">
        <f aca="false">-BQ20</f>
        <v>-0</v>
      </c>
      <c r="BR67" s="19" t="n">
        <f aca="false">-BR20</f>
        <v>-0</v>
      </c>
      <c r="BS67" s="19" t="n">
        <f aca="false">-BS20</f>
        <v>-0</v>
      </c>
      <c r="BT67" s="19" t="n">
        <f aca="false">-BT20</f>
        <v>-0</v>
      </c>
      <c r="BU67" s="19" t="n">
        <f aca="false">-BU20</f>
        <v>-0</v>
      </c>
      <c r="BV67" s="19" t="n">
        <f aca="false">-BV20</f>
        <v>-0</v>
      </c>
      <c r="BW67" s="19" t="n">
        <f aca="false">-BW20</f>
        <v>-0</v>
      </c>
      <c r="BX67" s="19" t="n">
        <f aca="false">-BX20</f>
        <v>-0</v>
      </c>
      <c r="BY67" s="19" t="n">
        <f aca="false">-BY20</f>
        <v>-0</v>
      </c>
      <c r="BZ67" s="19" t="n">
        <f aca="false">-BZ20</f>
        <v>-0</v>
      </c>
      <c r="CA67" s="19" t="n">
        <f aca="false">-CA20</f>
        <v>-0</v>
      </c>
      <c r="CB67" s="19" t="n">
        <f aca="false">-CB20</f>
        <v>-0</v>
      </c>
      <c r="CC67" s="19" t="n">
        <f aca="false">-CC20</f>
        <v>-0</v>
      </c>
      <c r="CD67" s="19" t="n">
        <f aca="false">-CD20</f>
        <v>-0</v>
      </c>
      <c r="CE67" s="19" t="n">
        <f aca="false">-CE20</f>
        <v>-0</v>
      </c>
      <c r="CF67" s="19" t="n">
        <f aca="false">-CF20</f>
        <v>-0</v>
      </c>
      <c r="CG67" s="19" t="n">
        <f aca="false">-CG20</f>
        <v>-0</v>
      </c>
      <c r="CH67" s="19" t="n">
        <f aca="false">-CH20</f>
        <v>-0</v>
      </c>
      <c r="CI67" s="19" t="n">
        <f aca="false">-CI20</f>
        <v>-0</v>
      </c>
      <c r="CJ67" s="19" t="n">
        <f aca="false">-CJ20</f>
        <v>-0</v>
      </c>
      <c r="CK67" s="19" t="n">
        <f aca="false">-CK20</f>
        <v>-0</v>
      </c>
      <c r="CL67" s="19" t="n">
        <f aca="false">-CL20</f>
        <v>-0</v>
      </c>
      <c r="CM67" s="19" t="n">
        <f aca="false">-CM20</f>
        <v>-0</v>
      </c>
      <c r="CN67" s="19" t="n">
        <f aca="false">-CN20</f>
        <v>-0</v>
      </c>
      <c r="CO67" s="19" t="n">
        <f aca="false">-CO20</f>
        <v>-0</v>
      </c>
      <c r="CP67" s="19" t="n">
        <f aca="false">-CP20</f>
        <v>-0</v>
      </c>
      <c r="CQ67" s="19" t="n">
        <f aca="false">-CQ20</f>
        <v>-0</v>
      </c>
      <c r="CR67" s="19" t="n">
        <f aca="false">-CR20</f>
        <v>-0</v>
      </c>
      <c r="CS67" s="19" t="n">
        <f aca="false">-CS20</f>
        <v>-0</v>
      </c>
      <c r="CT67" s="19" t="n">
        <f aca="false">-CT20</f>
        <v>-0</v>
      </c>
      <c r="CU67" s="19" t="n">
        <f aca="false">-CU20</f>
        <v>-0</v>
      </c>
      <c r="CV67" s="19" t="n">
        <f aca="false">-CV20</f>
        <v>-0</v>
      </c>
      <c r="CW67" s="19" t="n">
        <f aca="false">-CW20</f>
        <v>-0</v>
      </c>
      <c r="CX67" s="19" t="n">
        <f aca="false">-CX20</f>
        <v>-0</v>
      </c>
      <c r="CY67" s="19" t="n">
        <f aca="false">-CY20</f>
        <v>-0</v>
      </c>
      <c r="CZ67" s="19" t="n">
        <f aca="false">-CZ20</f>
        <v>-0</v>
      </c>
      <c r="DA67" s="19" t="n">
        <f aca="false">-DA20</f>
        <v>-0</v>
      </c>
      <c r="DB67" s="19" t="n">
        <f aca="false">-DB20</f>
        <v>-0</v>
      </c>
      <c r="DC67" s="19" t="n">
        <f aca="false">-DC20</f>
        <v>-0</v>
      </c>
      <c r="DD67" s="19" t="n">
        <f aca="false">-DD20</f>
        <v>-0</v>
      </c>
      <c r="DE67" s="19" t="n">
        <f aca="false">-DE20</f>
        <v>-0</v>
      </c>
    </row>
    <row r="68" customFormat="false" ht="15" hidden="true" customHeight="true" outlineLevel="1" collapsed="false">
      <c r="A68" s="28" t="s">
        <v>15</v>
      </c>
      <c r="B68" s="19" t="n">
        <v>0</v>
      </c>
      <c r="C68" s="19" t="n">
        <v>0</v>
      </c>
      <c r="D68" s="19" t="n">
        <v>0</v>
      </c>
      <c r="E68" s="19" t="n">
        <v>0</v>
      </c>
      <c r="F68" s="19" t="n">
        <v>-50</v>
      </c>
      <c r="G68" s="19" t="n">
        <v>-5164</v>
      </c>
      <c r="H68" s="19" t="n">
        <v>5164</v>
      </c>
      <c r="I68" s="19" t="n">
        <v>0</v>
      </c>
      <c r="J68" s="19" t="n">
        <f aca="false">-J21</f>
        <v>-0</v>
      </c>
      <c r="K68" s="19" t="n">
        <f aca="false">-K21</f>
        <v>-0</v>
      </c>
      <c r="L68" s="19" t="n">
        <f aca="false">-L21</f>
        <v>-0</v>
      </c>
      <c r="M68" s="19" t="n">
        <f aca="false">-M21</f>
        <v>-334505.743043865</v>
      </c>
      <c r="N68" s="19" t="n">
        <f aca="false">-N21</f>
        <v>-416135.954838865</v>
      </c>
      <c r="O68" s="19" t="n">
        <f aca="false">-O21</f>
        <v>-503507.285983865</v>
      </c>
      <c r="P68" s="19" t="n">
        <f aca="false">-P21</f>
        <v>-594727.293433865</v>
      </c>
      <c r="Q68" s="19" t="n">
        <f aca="false">-Q21</f>
        <v>-687265.631993865</v>
      </c>
      <c r="R68" s="19" t="n">
        <f aca="false">-R21</f>
        <v>-778294.268798865</v>
      </c>
      <c r="S68" s="19" t="n">
        <f aca="false">-S21</f>
        <v>-864623.693098865</v>
      </c>
      <c r="T68" s="19" t="n">
        <f aca="false">-T21</f>
        <v>-943000.603928865</v>
      </c>
      <c r="U68" s="19" t="n">
        <f aca="false">-U21</f>
        <v>-1010278.01734886</v>
      </c>
      <c r="V68" s="19" t="n">
        <f aca="false">-V21</f>
        <v>-1063542.84687386</v>
      </c>
      <c r="W68" s="19" t="n">
        <f aca="false">-W21</f>
        <v>-1100477.38135886</v>
      </c>
      <c r="X68" s="19" t="n">
        <f aca="false">-X21</f>
        <v>-1119380.54840386</v>
      </c>
      <c r="Y68" s="19" t="n">
        <f aca="false">-Y21</f>
        <v>-1119380.54840386</v>
      </c>
      <c r="Z68" s="19" t="n">
        <f aca="false">-Z21</f>
        <v>-1100477.38135886</v>
      </c>
      <c r="AA68" s="19" t="n">
        <f aca="false">-AA21</f>
        <v>-1063542.84687386</v>
      </c>
      <c r="AB68" s="19" t="n">
        <f aca="false">-AB21</f>
        <v>-1010278.01734886</v>
      </c>
      <c r="AC68" s="19" t="n">
        <f aca="false">-AC21</f>
        <v>-943000.603928865</v>
      </c>
      <c r="AD68" s="19" t="n">
        <f aca="false">-AD21</f>
        <v>-864623.693098865</v>
      </c>
      <c r="AE68" s="19" t="n">
        <f aca="false">-AE21</f>
        <v>-778294.268798865</v>
      </c>
      <c r="AF68" s="19" t="n">
        <f aca="false">-AF21</f>
        <v>-687265.631993865</v>
      </c>
      <c r="AG68" s="19" t="n">
        <f aca="false">-AG21</f>
        <v>-594727.293433865</v>
      </c>
      <c r="AH68" s="19" t="n">
        <f aca="false">-AH21</f>
        <v>-503507.285983865</v>
      </c>
      <c r="AI68" s="19" t="n">
        <f aca="false">-AI21</f>
        <v>-416135.954838865</v>
      </c>
      <c r="AJ68" s="19" t="n">
        <f aca="false">-AJ21</f>
        <v>-206509.613476115</v>
      </c>
      <c r="AK68" s="19" t="n">
        <f aca="false">-AK21</f>
        <v>-0</v>
      </c>
      <c r="AL68" s="19" t="n">
        <f aca="false">-AL21</f>
        <v>-0</v>
      </c>
      <c r="AM68" s="19" t="n">
        <f aca="false">-AM21</f>
        <v>-0</v>
      </c>
      <c r="AN68" s="19" t="n">
        <f aca="false">-AN21</f>
        <v>-0</v>
      </c>
      <c r="AO68" s="19" t="n">
        <f aca="false">-AO21</f>
        <v>-0</v>
      </c>
      <c r="AP68" s="19" t="n">
        <f aca="false">-AP21</f>
        <v>-0</v>
      </c>
      <c r="AQ68" s="19" t="n">
        <f aca="false">-AQ21</f>
        <v>-0</v>
      </c>
      <c r="AR68" s="19" t="n">
        <f aca="false">-AR21</f>
        <v>-0</v>
      </c>
      <c r="AS68" s="19" t="n">
        <f aca="false">-AS21</f>
        <v>-0</v>
      </c>
      <c r="AT68" s="19" t="n">
        <f aca="false">-AT21</f>
        <v>-0</v>
      </c>
      <c r="AU68" s="19" t="n">
        <f aca="false">-AU21</f>
        <v>-0</v>
      </c>
      <c r="AV68" s="19" t="n">
        <f aca="false">-AV21</f>
        <v>-0</v>
      </c>
      <c r="AW68" s="19" t="n">
        <f aca="false">-AW21</f>
        <v>-0</v>
      </c>
      <c r="AX68" s="19" t="n">
        <f aca="false">-AX21</f>
        <v>-0</v>
      </c>
      <c r="AY68" s="19" t="n">
        <f aca="false">-AY21</f>
        <v>-0</v>
      </c>
      <c r="AZ68" s="19" t="n">
        <f aca="false">-AZ21</f>
        <v>-0</v>
      </c>
      <c r="BA68" s="19" t="n">
        <f aca="false">-BA21</f>
        <v>-0</v>
      </c>
      <c r="BB68" s="19" t="n">
        <f aca="false">-BB21</f>
        <v>-0</v>
      </c>
      <c r="BC68" s="19" t="n">
        <f aca="false">-BC21</f>
        <v>-0</v>
      </c>
      <c r="BD68" s="19" t="n">
        <f aca="false">-BD21</f>
        <v>-0</v>
      </c>
      <c r="BE68" s="19" t="n">
        <f aca="false">-BE21</f>
        <v>-0</v>
      </c>
      <c r="BF68" s="19" t="n">
        <f aca="false">-BF21</f>
        <v>-0</v>
      </c>
      <c r="BG68" s="19" t="n">
        <f aca="false">-BG21</f>
        <v>-0</v>
      </c>
      <c r="BH68" s="19" t="n">
        <f aca="false">-BH21</f>
        <v>-0</v>
      </c>
      <c r="BI68" s="19" t="n">
        <f aca="false">-BI21</f>
        <v>-0</v>
      </c>
      <c r="BJ68" s="19" t="n">
        <f aca="false">-BJ21</f>
        <v>-0</v>
      </c>
      <c r="BK68" s="19" t="n">
        <f aca="false">-BK21</f>
        <v>-0</v>
      </c>
      <c r="BL68" s="19" t="n">
        <f aca="false">-BL21</f>
        <v>-0</v>
      </c>
      <c r="BM68" s="19" t="n">
        <f aca="false">-BM21</f>
        <v>-0</v>
      </c>
      <c r="BN68" s="19" t="n">
        <f aca="false">-BN21</f>
        <v>-0</v>
      </c>
      <c r="BO68" s="19" t="n">
        <f aca="false">-BO21</f>
        <v>-0</v>
      </c>
      <c r="BP68" s="19" t="n">
        <f aca="false">-BP21</f>
        <v>-0</v>
      </c>
      <c r="BQ68" s="19" t="n">
        <f aca="false">-BQ21</f>
        <v>-0</v>
      </c>
      <c r="BR68" s="19" t="n">
        <f aca="false">-BR21</f>
        <v>-0</v>
      </c>
      <c r="BS68" s="19" t="n">
        <f aca="false">-BS21</f>
        <v>-0</v>
      </c>
      <c r="BT68" s="19" t="n">
        <f aca="false">-BT21</f>
        <v>-0</v>
      </c>
      <c r="BU68" s="19" t="n">
        <f aca="false">-BU21</f>
        <v>-0</v>
      </c>
      <c r="BV68" s="19" t="n">
        <f aca="false">-BV21</f>
        <v>-0</v>
      </c>
      <c r="BW68" s="19" t="n">
        <f aca="false">-BW21</f>
        <v>-0</v>
      </c>
      <c r="BX68" s="19" t="n">
        <f aca="false">-BX21</f>
        <v>-0</v>
      </c>
      <c r="BY68" s="19" t="n">
        <f aca="false">-BY21</f>
        <v>-0</v>
      </c>
      <c r="BZ68" s="19" t="n">
        <f aca="false">-BZ21</f>
        <v>-0</v>
      </c>
      <c r="CA68" s="19" t="n">
        <f aca="false">-CA21</f>
        <v>-0</v>
      </c>
      <c r="CB68" s="19" t="n">
        <f aca="false">-CB21</f>
        <v>-0</v>
      </c>
      <c r="CC68" s="19" t="n">
        <f aca="false">-CC21</f>
        <v>-0</v>
      </c>
      <c r="CD68" s="19" t="n">
        <f aca="false">-CD21</f>
        <v>-0</v>
      </c>
      <c r="CE68" s="19" t="n">
        <f aca="false">-CE21</f>
        <v>-0</v>
      </c>
      <c r="CF68" s="19" t="n">
        <f aca="false">-CF21</f>
        <v>-0</v>
      </c>
      <c r="CG68" s="19" t="n">
        <f aca="false">-CG21</f>
        <v>-0</v>
      </c>
      <c r="CH68" s="19" t="n">
        <f aca="false">-CH21</f>
        <v>-0</v>
      </c>
      <c r="CI68" s="19" t="n">
        <f aca="false">-CI21</f>
        <v>-0</v>
      </c>
      <c r="CJ68" s="19" t="n">
        <f aca="false">-CJ21</f>
        <v>-0</v>
      </c>
      <c r="CK68" s="19" t="n">
        <f aca="false">-CK21</f>
        <v>-0</v>
      </c>
      <c r="CL68" s="19" t="n">
        <f aca="false">-CL21</f>
        <v>-0</v>
      </c>
      <c r="CM68" s="19" t="n">
        <f aca="false">-CM21</f>
        <v>-0</v>
      </c>
      <c r="CN68" s="19" t="n">
        <f aca="false">-CN21</f>
        <v>-0</v>
      </c>
      <c r="CO68" s="19" t="n">
        <f aca="false">-CO21</f>
        <v>-0</v>
      </c>
      <c r="CP68" s="19" t="n">
        <f aca="false">-CP21</f>
        <v>-0</v>
      </c>
      <c r="CQ68" s="19" t="n">
        <f aca="false">-CQ21</f>
        <v>-0</v>
      </c>
      <c r="CR68" s="19" t="n">
        <f aca="false">-CR21</f>
        <v>-0</v>
      </c>
      <c r="CS68" s="19" t="n">
        <f aca="false">-CS21</f>
        <v>-0</v>
      </c>
      <c r="CT68" s="19" t="n">
        <f aca="false">-CT21</f>
        <v>-0</v>
      </c>
      <c r="CU68" s="19" t="n">
        <f aca="false">-CU21</f>
        <v>-0</v>
      </c>
      <c r="CV68" s="19" t="n">
        <f aca="false">-CV21</f>
        <v>-0</v>
      </c>
      <c r="CW68" s="19" t="n">
        <f aca="false">-CW21</f>
        <v>-0</v>
      </c>
      <c r="CX68" s="19" t="n">
        <f aca="false">-CX21</f>
        <v>-0</v>
      </c>
      <c r="CY68" s="19" t="n">
        <f aca="false">-CY21</f>
        <v>-0</v>
      </c>
      <c r="CZ68" s="19" t="n">
        <f aca="false">-CZ21</f>
        <v>-0</v>
      </c>
      <c r="DA68" s="19" t="n">
        <f aca="false">-DA21</f>
        <v>-0</v>
      </c>
      <c r="DB68" s="19" t="n">
        <f aca="false">-DB21</f>
        <v>-0</v>
      </c>
      <c r="DC68" s="19" t="n">
        <f aca="false">-DC21</f>
        <v>-0</v>
      </c>
      <c r="DD68" s="19" t="n">
        <f aca="false">-DD21</f>
        <v>-0</v>
      </c>
      <c r="DE68" s="19" t="n">
        <f aca="false">-DE21</f>
        <v>-0</v>
      </c>
    </row>
    <row r="69" customFormat="false" ht="15" hidden="true" customHeight="true" outlineLevel="1" collapsed="false">
      <c r="A69" s="28" t="s">
        <v>16</v>
      </c>
      <c r="B69" s="19" t="n">
        <v>0</v>
      </c>
      <c r="C69" s="19" t="n">
        <v>0</v>
      </c>
      <c r="D69" s="19" t="n">
        <v>0</v>
      </c>
      <c r="E69" s="19" t="n">
        <v>0</v>
      </c>
      <c r="F69" s="19" t="n">
        <f aca="false">-F22</f>
        <v>-0</v>
      </c>
      <c r="G69" s="19" t="n">
        <f aca="false">-G22</f>
        <v>-0</v>
      </c>
      <c r="H69" s="19" t="n">
        <f aca="false">-H22</f>
        <v>-0</v>
      </c>
      <c r="I69" s="19" t="n">
        <v>0</v>
      </c>
      <c r="J69" s="19" t="n">
        <f aca="false">-J22</f>
        <v>-0</v>
      </c>
      <c r="K69" s="19" t="n">
        <f aca="false">-K22</f>
        <v>-0</v>
      </c>
      <c r="L69" s="19" t="n">
        <f aca="false">-L22</f>
        <v>-0</v>
      </c>
      <c r="M69" s="19" t="n">
        <f aca="false">-M22</f>
        <v>-0</v>
      </c>
      <c r="N69" s="19" t="n">
        <f aca="false">-N22</f>
        <v>-0</v>
      </c>
      <c r="O69" s="19" t="n">
        <f aca="false">-O22</f>
        <v>-196306.31287205</v>
      </c>
      <c r="P69" s="19" t="n">
        <f aca="false">-P22</f>
        <v>-256105.78146805</v>
      </c>
      <c r="Q69" s="19" t="n">
        <f aca="false">-Q22</f>
        <v>-320473.53105705</v>
      </c>
      <c r="R69" s="19" t="n">
        <f aca="false">-R22</f>
        <v>-386842.89642705</v>
      </c>
      <c r="S69" s="19" t="n">
        <f aca="false">-S22</f>
        <v>-452024.70028105</v>
      </c>
      <c r="T69" s="19" t="n">
        <f aca="false">-T22</f>
        <v>-512398.79541705</v>
      </c>
      <c r="U69" s="19" t="n">
        <f aca="false">-U22</f>
        <v>-564258.84065205</v>
      </c>
      <c r="V69" s="19" t="n">
        <f aca="false">-V22</f>
        <v>-604166.65385505</v>
      </c>
      <c r="W69" s="19" t="n">
        <f aca="false">-W22</f>
        <v>-629335.29630705</v>
      </c>
      <c r="X69" s="19" t="n">
        <f aca="false">-X22</f>
        <v>-637935.54018905</v>
      </c>
      <c r="Y69" s="19" t="n">
        <f aca="false">-Y22</f>
        <v>-629335.29630705</v>
      </c>
      <c r="Z69" s="19" t="n">
        <f aca="false">-Z22</f>
        <v>-604166.65385505</v>
      </c>
      <c r="AA69" s="19" t="n">
        <f aca="false">-AA22</f>
        <v>-564258.84065205</v>
      </c>
      <c r="AB69" s="19" t="n">
        <f aca="false">-AB22</f>
        <v>-512398.79541705</v>
      </c>
      <c r="AC69" s="19" t="n">
        <f aca="false">-AC22</f>
        <v>-452024.70028105</v>
      </c>
      <c r="AD69" s="19" t="n">
        <f aca="false">-AD22</f>
        <v>-386842.89642705</v>
      </c>
      <c r="AE69" s="19" t="n">
        <f aca="false">-AE22</f>
        <v>-320473.53105705</v>
      </c>
      <c r="AF69" s="19" t="n">
        <f aca="false">-AF22</f>
        <v>-256105.78146805</v>
      </c>
      <c r="AG69" s="19" t="n">
        <f aca="false">-AG22</f>
        <v>-138656.4263911</v>
      </c>
      <c r="AH69" s="19" t="n">
        <f aca="false">-AH22</f>
        <v>-0</v>
      </c>
      <c r="AI69" s="19" t="n">
        <f aca="false">-AI22</f>
        <v>-0</v>
      </c>
      <c r="AJ69" s="19" t="n">
        <f aca="false">-AJ22</f>
        <v>-0</v>
      </c>
      <c r="AK69" s="19" t="n">
        <f aca="false">-AK22</f>
        <v>-0</v>
      </c>
      <c r="AL69" s="19" t="n">
        <f aca="false">-AL22</f>
        <v>-0</v>
      </c>
      <c r="AM69" s="19" t="n">
        <f aca="false">-AM22</f>
        <v>-0</v>
      </c>
      <c r="AN69" s="19" t="n">
        <f aca="false">-AN22</f>
        <v>-0</v>
      </c>
      <c r="AO69" s="19" t="n">
        <f aca="false">-AO22</f>
        <v>-0</v>
      </c>
      <c r="AP69" s="19" t="n">
        <f aca="false">-AP22</f>
        <v>-0</v>
      </c>
      <c r="AQ69" s="19" t="n">
        <f aca="false">-AQ22</f>
        <v>-0</v>
      </c>
      <c r="AR69" s="19" t="n">
        <f aca="false">-AR22</f>
        <v>-0</v>
      </c>
      <c r="AS69" s="19" t="n">
        <f aca="false">-AS22</f>
        <v>-0</v>
      </c>
      <c r="AT69" s="19" t="n">
        <f aca="false">-AT22</f>
        <v>-0</v>
      </c>
      <c r="AU69" s="19" t="n">
        <f aca="false">-AU22</f>
        <v>-0</v>
      </c>
      <c r="AV69" s="19" t="n">
        <f aca="false">-AV22</f>
        <v>-0</v>
      </c>
      <c r="AW69" s="19" t="n">
        <f aca="false">-AW22</f>
        <v>-0</v>
      </c>
      <c r="AX69" s="19" t="n">
        <f aca="false">-AX22</f>
        <v>-0</v>
      </c>
      <c r="AY69" s="19" t="n">
        <f aca="false">-AY22</f>
        <v>-0</v>
      </c>
      <c r="AZ69" s="19" t="n">
        <f aca="false">-AZ22</f>
        <v>-0</v>
      </c>
      <c r="BA69" s="19" t="n">
        <f aca="false">-BA22</f>
        <v>-0</v>
      </c>
      <c r="BB69" s="19" t="n">
        <f aca="false">-BB22</f>
        <v>-0</v>
      </c>
      <c r="BC69" s="19" t="n">
        <f aca="false">-BC22</f>
        <v>-0</v>
      </c>
      <c r="BD69" s="19" t="n">
        <f aca="false">-BD22</f>
        <v>-0</v>
      </c>
      <c r="BE69" s="19" t="n">
        <f aca="false">-BE22</f>
        <v>-0</v>
      </c>
      <c r="BF69" s="19" t="n">
        <f aca="false">-BF22</f>
        <v>-0</v>
      </c>
      <c r="BG69" s="19" t="n">
        <f aca="false">-BG22</f>
        <v>-0</v>
      </c>
      <c r="BH69" s="19" t="n">
        <f aca="false">-BH22</f>
        <v>-0</v>
      </c>
      <c r="BI69" s="19" t="n">
        <f aca="false">-BI22</f>
        <v>-0</v>
      </c>
      <c r="BJ69" s="19" t="n">
        <f aca="false">-BJ22</f>
        <v>-0</v>
      </c>
      <c r="BK69" s="19" t="n">
        <f aca="false">-BK22</f>
        <v>-0</v>
      </c>
      <c r="BL69" s="19" t="n">
        <f aca="false">-BL22</f>
        <v>-0</v>
      </c>
      <c r="BM69" s="19" t="n">
        <f aca="false">-BM22</f>
        <v>-0</v>
      </c>
      <c r="BN69" s="19" t="n">
        <f aca="false">-BN22</f>
        <v>-0</v>
      </c>
      <c r="BO69" s="19" t="n">
        <f aca="false">-BO22</f>
        <v>-0</v>
      </c>
      <c r="BP69" s="19" t="n">
        <f aca="false">-BP22</f>
        <v>-0</v>
      </c>
      <c r="BQ69" s="19" t="n">
        <f aca="false">-BQ22</f>
        <v>-0</v>
      </c>
      <c r="BR69" s="19" t="n">
        <f aca="false">-BR22</f>
        <v>-0</v>
      </c>
      <c r="BS69" s="19" t="n">
        <f aca="false">-BS22</f>
        <v>-0</v>
      </c>
      <c r="BT69" s="19" t="n">
        <f aca="false">-BT22</f>
        <v>-0</v>
      </c>
      <c r="BU69" s="19" t="n">
        <f aca="false">-BU22</f>
        <v>-0</v>
      </c>
      <c r="BV69" s="19" t="n">
        <f aca="false">-BV22</f>
        <v>-0</v>
      </c>
      <c r="BW69" s="19" t="n">
        <f aca="false">-BW22</f>
        <v>-0</v>
      </c>
      <c r="BX69" s="19" t="n">
        <f aca="false">-BX22</f>
        <v>-0</v>
      </c>
      <c r="BY69" s="19" t="n">
        <f aca="false">-BY22</f>
        <v>-0</v>
      </c>
      <c r="BZ69" s="19" t="n">
        <f aca="false">-BZ22</f>
        <v>-0</v>
      </c>
      <c r="CA69" s="19" t="n">
        <f aca="false">-CA22</f>
        <v>-0</v>
      </c>
      <c r="CB69" s="19" t="n">
        <f aca="false">-CB22</f>
        <v>-0</v>
      </c>
      <c r="CC69" s="19" t="n">
        <f aca="false">-CC22</f>
        <v>-0</v>
      </c>
      <c r="CD69" s="19" t="n">
        <f aca="false">-CD22</f>
        <v>-0</v>
      </c>
      <c r="CE69" s="19" t="n">
        <f aca="false">-CE22</f>
        <v>-0</v>
      </c>
      <c r="CF69" s="19" t="n">
        <f aca="false">-CF22</f>
        <v>-0</v>
      </c>
      <c r="CG69" s="19" t="n">
        <f aca="false">-CG22</f>
        <v>-0</v>
      </c>
      <c r="CH69" s="19" t="n">
        <f aca="false">-CH22</f>
        <v>-0</v>
      </c>
      <c r="CI69" s="19" t="n">
        <f aca="false">-CI22</f>
        <v>-0</v>
      </c>
      <c r="CJ69" s="19" t="n">
        <f aca="false">-CJ22</f>
        <v>-0</v>
      </c>
      <c r="CK69" s="19" t="n">
        <f aca="false">-CK22</f>
        <v>-0</v>
      </c>
      <c r="CL69" s="19" t="n">
        <f aca="false">-CL22</f>
        <v>-0</v>
      </c>
      <c r="CM69" s="19" t="n">
        <f aca="false">-CM22</f>
        <v>-0</v>
      </c>
      <c r="CN69" s="19" t="n">
        <f aca="false">-CN22</f>
        <v>-0</v>
      </c>
      <c r="CO69" s="19" t="n">
        <f aca="false">-CO22</f>
        <v>-0</v>
      </c>
      <c r="CP69" s="19" t="n">
        <f aca="false">-CP22</f>
        <v>-0</v>
      </c>
      <c r="CQ69" s="19" t="n">
        <f aca="false">-CQ22</f>
        <v>-0</v>
      </c>
      <c r="CR69" s="19" t="n">
        <f aca="false">-CR22</f>
        <v>-0</v>
      </c>
      <c r="CS69" s="19" t="n">
        <f aca="false">-CS22</f>
        <v>-0</v>
      </c>
      <c r="CT69" s="19" t="n">
        <f aca="false">-CT22</f>
        <v>-0</v>
      </c>
      <c r="CU69" s="19" t="n">
        <f aca="false">-CU22</f>
        <v>-0</v>
      </c>
      <c r="CV69" s="19" t="n">
        <f aca="false">-CV22</f>
        <v>-0</v>
      </c>
      <c r="CW69" s="19" t="n">
        <f aca="false">-CW22</f>
        <v>-0</v>
      </c>
      <c r="CX69" s="19" t="n">
        <f aca="false">-CX22</f>
        <v>-0</v>
      </c>
      <c r="CY69" s="19" t="n">
        <f aca="false">-CY22</f>
        <v>-0</v>
      </c>
      <c r="CZ69" s="19" t="n">
        <f aca="false">-CZ22</f>
        <v>-0</v>
      </c>
      <c r="DA69" s="19" t="n">
        <f aca="false">-DA22</f>
        <v>-0</v>
      </c>
      <c r="DB69" s="19" t="n">
        <f aca="false">-DB22</f>
        <v>-0</v>
      </c>
      <c r="DC69" s="19" t="n">
        <f aca="false">-DC22</f>
        <v>-0</v>
      </c>
      <c r="DD69" s="19" t="n">
        <f aca="false">-DD22</f>
        <v>-0</v>
      </c>
      <c r="DE69" s="19" t="n">
        <f aca="false">-DE22</f>
        <v>-0</v>
      </c>
    </row>
    <row r="70" customFormat="false" ht="15" hidden="true" customHeight="true" outlineLevel="1" collapsed="false">
      <c r="A70" s="28" t="s">
        <v>17</v>
      </c>
      <c r="B70" s="19" t="n">
        <v>0</v>
      </c>
      <c r="C70" s="19" t="n">
        <v>0</v>
      </c>
      <c r="D70" s="19" t="n">
        <v>0</v>
      </c>
      <c r="E70" s="19" t="n">
        <v>0</v>
      </c>
      <c r="F70" s="19" t="n">
        <f aca="false">-F23</f>
        <v>-0</v>
      </c>
      <c r="G70" s="19" t="n">
        <f aca="false">-G23</f>
        <v>-0</v>
      </c>
      <c r="H70" s="19" t="n">
        <f aca="false">-H23</f>
        <v>-0</v>
      </c>
      <c r="I70" s="19" t="n">
        <v>0</v>
      </c>
      <c r="J70" s="19" t="n">
        <f aca="false">-J23</f>
        <v>-0</v>
      </c>
      <c r="K70" s="19" t="n">
        <f aca="false">-K23</f>
        <v>-0</v>
      </c>
      <c r="L70" s="19" t="n">
        <f aca="false">-L23</f>
        <v>-0</v>
      </c>
      <c r="M70" s="19" t="n">
        <f aca="false">-M23</f>
        <v>-0</v>
      </c>
      <c r="N70" s="19" t="n">
        <f aca="false">-N23</f>
        <v>-154657.42123235</v>
      </c>
      <c r="O70" s="19" t="n">
        <f aca="false">-O23</f>
        <v>-201769.66876435</v>
      </c>
      <c r="P70" s="19" t="n">
        <f aca="false">-P23</f>
        <v>-252480.97812735</v>
      </c>
      <c r="Q70" s="19" t="n">
        <f aca="false">-Q23</f>
        <v>-304769.23491735</v>
      </c>
      <c r="R70" s="19" t="n">
        <f aca="false">-R23</f>
        <v>-356121.88653535</v>
      </c>
      <c r="S70" s="19" t="n">
        <f aca="false">-S23</f>
        <v>-403686.84624735</v>
      </c>
      <c r="T70" s="19" t="n">
        <f aca="false">-T23</f>
        <v>-444544.12049235</v>
      </c>
      <c r="U70" s="19" t="n">
        <f aca="false">-U23</f>
        <v>-475984.98139335</v>
      </c>
      <c r="V70" s="19" t="n">
        <f aca="false">-V23</f>
        <v>-495813.77487735</v>
      </c>
      <c r="W70" s="19" t="n">
        <f aca="false">-W23</f>
        <v>-502589.36717135</v>
      </c>
      <c r="X70" s="19" t="n">
        <f aca="false">-X23</f>
        <v>-495813.77487735</v>
      </c>
      <c r="Y70" s="19" t="n">
        <f aca="false">-Y23</f>
        <v>-475984.98139335</v>
      </c>
      <c r="Z70" s="19" t="n">
        <f aca="false">-Z23</f>
        <v>-444544.12049235</v>
      </c>
      <c r="AA70" s="19" t="n">
        <f aca="false">-AA23</f>
        <v>-403686.84624735</v>
      </c>
      <c r="AB70" s="19" t="n">
        <f aca="false">-AB23</f>
        <v>-356121.88653535</v>
      </c>
      <c r="AC70" s="19" t="n">
        <f aca="false">-AC23</f>
        <v>-304769.23491735</v>
      </c>
      <c r="AD70" s="19" t="n">
        <f aca="false">-AD23</f>
        <v>-252480.97812735</v>
      </c>
      <c r="AE70" s="19" t="n">
        <f aca="false">-AE23</f>
        <v>-201769.66876435</v>
      </c>
      <c r="AF70" s="19" t="n">
        <f aca="false">-AF23</f>
        <v>-109238.6945137</v>
      </c>
      <c r="AG70" s="19" t="n">
        <f aca="false">-AG23</f>
        <v>-0</v>
      </c>
      <c r="AH70" s="19" t="n">
        <f aca="false">-AH23</f>
        <v>-0</v>
      </c>
      <c r="AI70" s="19" t="n">
        <f aca="false">-AI23</f>
        <v>-0</v>
      </c>
      <c r="AJ70" s="19" t="n">
        <f aca="false">-AJ23</f>
        <v>-0</v>
      </c>
      <c r="AK70" s="19" t="n">
        <f aca="false">-AK23</f>
        <v>-0</v>
      </c>
      <c r="AL70" s="19" t="n">
        <f aca="false">-AL23</f>
        <v>-0</v>
      </c>
      <c r="AM70" s="19" t="n">
        <f aca="false">-AM23</f>
        <v>-0</v>
      </c>
      <c r="AN70" s="19" t="n">
        <f aca="false">-AN23</f>
        <v>-0</v>
      </c>
      <c r="AO70" s="19" t="n">
        <f aca="false">-AO23</f>
        <v>-0</v>
      </c>
      <c r="AP70" s="19" t="n">
        <f aca="false">-AP23</f>
        <v>-0</v>
      </c>
      <c r="AQ70" s="19" t="n">
        <f aca="false">-AQ23</f>
        <v>-0</v>
      </c>
      <c r="AR70" s="19" t="n">
        <f aca="false">-AR23</f>
        <v>-0</v>
      </c>
      <c r="AS70" s="19" t="n">
        <f aca="false">-AS23</f>
        <v>-0</v>
      </c>
      <c r="AT70" s="19" t="n">
        <f aca="false">-AT23</f>
        <v>-0</v>
      </c>
      <c r="AU70" s="19" t="n">
        <f aca="false">-AU23</f>
        <v>-0</v>
      </c>
      <c r="AV70" s="19" t="n">
        <f aca="false">-AV23</f>
        <v>-0</v>
      </c>
      <c r="AW70" s="19" t="n">
        <f aca="false">-AW23</f>
        <v>-0</v>
      </c>
      <c r="AX70" s="19" t="n">
        <f aca="false">-AX23</f>
        <v>-0</v>
      </c>
      <c r="AY70" s="19" t="n">
        <f aca="false">-AY23</f>
        <v>-0</v>
      </c>
      <c r="AZ70" s="19" t="n">
        <f aca="false">-AZ23</f>
        <v>-0</v>
      </c>
      <c r="BA70" s="19" t="n">
        <f aca="false">-BA23</f>
        <v>-0</v>
      </c>
      <c r="BB70" s="19" t="n">
        <f aca="false">-BB23</f>
        <v>-0</v>
      </c>
      <c r="BC70" s="19" t="n">
        <f aca="false">-BC23</f>
        <v>-0</v>
      </c>
      <c r="BD70" s="19" t="n">
        <f aca="false">-BD23</f>
        <v>-0</v>
      </c>
      <c r="BE70" s="19" t="n">
        <f aca="false">-BE23</f>
        <v>-0</v>
      </c>
      <c r="BF70" s="19" t="n">
        <f aca="false">-BF23</f>
        <v>-0</v>
      </c>
      <c r="BG70" s="19" t="n">
        <f aca="false">-BG23</f>
        <v>-0</v>
      </c>
      <c r="BH70" s="19" t="n">
        <f aca="false">-BH23</f>
        <v>-0</v>
      </c>
      <c r="BI70" s="19" t="n">
        <f aca="false">-BI23</f>
        <v>-0</v>
      </c>
      <c r="BJ70" s="19" t="n">
        <f aca="false">-BJ23</f>
        <v>-0</v>
      </c>
      <c r="BK70" s="19" t="n">
        <f aca="false">-BK23</f>
        <v>-0</v>
      </c>
      <c r="BL70" s="19" t="n">
        <f aca="false">-BL23</f>
        <v>-0</v>
      </c>
      <c r="BM70" s="19" t="n">
        <f aca="false">-BM23</f>
        <v>-0</v>
      </c>
      <c r="BN70" s="19" t="n">
        <f aca="false">-BN23</f>
        <v>-0</v>
      </c>
      <c r="BO70" s="19" t="n">
        <f aca="false">-BO23</f>
        <v>-0</v>
      </c>
      <c r="BP70" s="19" t="n">
        <f aca="false">-BP23</f>
        <v>-0</v>
      </c>
      <c r="BQ70" s="19" t="n">
        <f aca="false">-BQ23</f>
        <v>-0</v>
      </c>
      <c r="BR70" s="19" t="n">
        <f aca="false">-BR23</f>
        <v>-0</v>
      </c>
      <c r="BS70" s="19" t="n">
        <f aca="false">-BS23</f>
        <v>-0</v>
      </c>
      <c r="BT70" s="19" t="n">
        <f aca="false">-BT23</f>
        <v>-0</v>
      </c>
      <c r="BU70" s="19" t="n">
        <f aca="false">-BU23</f>
        <v>-0</v>
      </c>
      <c r="BV70" s="19" t="n">
        <f aca="false">-BV23</f>
        <v>-0</v>
      </c>
      <c r="BW70" s="19" t="n">
        <f aca="false">-BW23</f>
        <v>-0</v>
      </c>
      <c r="BX70" s="19" t="n">
        <f aca="false">-BX23</f>
        <v>-0</v>
      </c>
      <c r="BY70" s="19" t="n">
        <f aca="false">-BY23</f>
        <v>-0</v>
      </c>
      <c r="BZ70" s="19" t="n">
        <f aca="false">-BZ23</f>
        <v>-0</v>
      </c>
      <c r="CA70" s="19" t="n">
        <f aca="false">-CA23</f>
        <v>-0</v>
      </c>
      <c r="CB70" s="19" t="n">
        <f aca="false">-CB23</f>
        <v>-0</v>
      </c>
      <c r="CC70" s="19" t="n">
        <f aca="false">-CC23</f>
        <v>-0</v>
      </c>
      <c r="CD70" s="19" t="n">
        <f aca="false">-CD23</f>
        <v>-0</v>
      </c>
      <c r="CE70" s="19" t="n">
        <f aca="false">-CE23</f>
        <v>-0</v>
      </c>
      <c r="CF70" s="19" t="n">
        <f aca="false">-CF23</f>
        <v>-0</v>
      </c>
      <c r="CG70" s="19" t="n">
        <f aca="false">-CG23</f>
        <v>-0</v>
      </c>
      <c r="CH70" s="19" t="n">
        <f aca="false">-CH23</f>
        <v>-0</v>
      </c>
      <c r="CI70" s="19" t="n">
        <f aca="false">-CI23</f>
        <v>-0</v>
      </c>
      <c r="CJ70" s="19" t="n">
        <f aca="false">-CJ23</f>
        <v>-0</v>
      </c>
      <c r="CK70" s="19" t="n">
        <f aca="false">-CK23</f>
        <v>-0</v>
      </c>
      <c r="CL70" s="19" t="n">
        <f aca="false">-CL23</f>
        <v>-0</v>
      </c>
      <c r="CM70" s="19" t="n">
        <f aca="false">-CM23</f>
        <v>-0</v>
      </c>
      <c r="CN70" s="19" t="n">
        <f aca="false">-CN23</f>
        <v>-0</v>
      </c>
      <c r="CO70" s="19" t="n">
        <f aca="false">-CO23</f>
        <v>-0</v>
      </c>
      <c r="CP70" s="19" t="n">
        <f aca="false">-CP23</f>
        <v>-0</v>
      </c>
      <c r="CQ70" s="19" t="n">
        <f aca="false">-CQ23</f>
        <v>-0</v>
      </c>
      <c r="CR70" s="19" t="n">
        <f aca="false">-CR23</f>
        <v>-0</v>
      </c>
      <c r="CS70" s="19" t="n">
        <f aca="false">-CS23</f>
        <v>-0</v>
      </c>
      <c r="CT70" s="19" t="n">
        <f aca="false">-CT23</f>
        <v>-0</v>
      </c>
      <c r="CU70" s="19" t="n">
        <f aca="false">-CU23</f>
        <v>-0</v>
      </c>
      <c r="CV70" s="19" t="n">
        <f aca="false">-CV23</f>
        <v>-0</v>
      </c>
      <c r="CW70" s="19" t="n">
        <f aca="false">-CW23</f>
        <v>-0</v>
      </c>
      <c r="CX70" s="19" t="n">
        <f aca="false">-CX23</f>
        <v>-0</v>
      </c>
      <c r="CY70" s="19" t="n">
        <f aca="false">-CY23</f>
        <v>-0</v>
      </c>
      <c r="CZ70" s="19" t="n">
        <f aca="false">-CZ23</f>
        <v>-0</v>
      </c>
      <c r="DA70" s="19" t="n">
        <f aca="false">-DA23</f>
        <v>-0</v>
      </c>
      <c r="DB70" s="19" t="n">
        <f aca="false">-DB23</f>
        <v>-0</v>
      </c>
      <c r="DC70" s="19" t="n">
        <f aca="false">-DC23</f>
        <v>-0</v>
      </c>
      <c r="DD70" s="19" t="n">
        <f aca="false">-DD23</f>
        <v>-0</v>
      </c>
      <c r="DE70" s="19" t="n">
        <f aca="false">-DE23</f>
        <v>-0</v>
      </c>
    </row>
    <row r="71" customFormat="false" ht="15" hidden="true" customHeight="true" outlineLevel="1" collapsed="false">
      <c r="A71" s="28" t="s">
        <v>18</v>
      </c>
      <c r="B71" s="19" t="n">
        <v>0</v>
      </c>
      <c r="C71" s="19" t="n">
        <v>0</v>
      </c>
      <c r="D71" s="19" t="n">
        <v>0</v>
      </c>
      <c r="E71" s="19" t="n">
        <v>0</v>
      </c>
      <c r="F71" s="19" t="n">
        <f aca="false">-F24</f>
        <v>-0</v>
      </c>
      <c r="G71" s="19" t="n">
        <f aca="false">-G24</f>
        <v>-0</v>
      </c>
      <c r="H71" s="19" t="n">
        <f aca="false">-H24</f>
        <v>-0</v>
      </c>
      <c r="I71" s="19" t="n">
        <f aca="false">-I24</f>
        <v>-0</v>
      </c>
      <c r="J71" s="19" t="n">
        <f aca="false">-J24</f>
        <v>-0</v>
      </c>
      <c r="K71" s="19" t="n">
        <f aca="false">-K24</f>
        <v>-0</v>
      </c>
      <c r="L71" s="19" t="n">
        <f aca="false">-L24</f>
        <v>-0</v>
      </c>
      <c r="M71" s="19" t="n">
        <f aca="false">-M24</f>
        <v>-0</v>
      </c>
      <c r="N71" s="19" t="n">
        <f aca="false">-N24</f>
        <v>-0</v>
      </c>
      <c r="O71" s="19" t="n">
        <f aca="false">-O24</f>
        <v>-0</v>
      </c>
      <c r="P71" s="19" t="n">
        <f aca="false">-P24</f>
        <v>-0</v>
      </c>
      <c r="Q71" s="19" t="n">
        <f aca="false">-Q24</f>
        <v>-556266.059712783</v>
      </c>
      <c r="R71" s="19" t="n">
        <f aca="false">-R24</f>
        <v>-665675.842802783</v>
      </c>
      <c r="S71" s="19" t="n">
        <f aca="false">-S24</f>
        <v>-781966.174932784</v>
      </c>
      <c r="T71" s="19" t="n">
        <f aca="false">-T24</f>
        <v>-903552.719152783</v>
      </c>
      <c r="U71" s="19" t="n">
        <f aca="false">-U24</f>
        <v>-1028579.53789278</v>
      </c>
      <c r="V71" s="19" t="n">
        <f aca="false">-V24</f>
        <v>-1154783.29265278</v>
      </c>
      <c r="W71" s="19" t="n">
        <f aca="false">-W24</f>
        <v>-1279674.31108278</v>
      </c>
      <c r="X71" s="19" t="n">
        <f aca="false">-X24</f>
        <v>-1400536.58698278</v>
      </c>
      <c r="Y71" s="19" t="n">
        <f aca="false">-Y24</f>
        <v>-1514473.04707278</v>
      </c>
      <c r="Z71" s="19" t="n">
        <f aca="false">-Z24</f>
        <v>-1618722.41838278</v>
      </c>
      <c r="AA71" s="19" t="n">
        <f aca="false">-AA24</f>
        <v>-1710478.16117278</v>
      </c>
      <c r="AB71" s="19" t="n">
        <f aca="false">-AB24</f>
        <v>-1787250.60309278</v>
      </c>
      <c r="AC71" s="19" t="n">
        <f aca="false">-AC24</f>
        <v>-1846912.20595278</v>
      </c>
      <c r="AD71" s="19" t="n">
        <f aca="false">-AD24</f>
        <v>-1887652.29895278</v>
      </c>
      <c r="AE71" s="19" t="n">
        <f aca="false">-AE24</f>
        <v>-1908339.21284278</v>
      </c>
      <c r="AF71" s="19" t="n">
        <f aca="false">-AF24</f>
        <v>-1908339.21284278</v>
      </c>
      <c r="AG71" s="19" t="n">
        <f aca="false">-AG24</f>
        <v>-1887652.29895278</v>
      </c>
      <c r="AH71" s="19" t="n">
        <f aca="false">-AH24</f>
        <v>-1846912.20595278</v>
      </c>
      <c r="AI71" s="19" t="n">
        <f aca="false">-AI24</f>
        <v>-1787250.60309278</v>
      </c>
      <c r="AJ71" s="19" t="n">
        <f aca="false">-AJ24</f>
        <v>-1710478.16117278</v>
      </c>
      <c r="AK71" s="19" t="n">
        <f aca="false">-AK24</f>
        <v>-1618722.41838278</v>
      </c>
      <c r="AL71" s="19" t="n">
        <f aca="false">-AL24</f>
        <v>-1514473.04707278</v>
      </c>
      <c r="AM71" s="19" t="n">
        <f aca="false">-AM24</f>
        <v>-1400536.58698278</v>
      </c>
      <c r="AN71" s="19" t="n">
        <f aca="false">-AN24</f>
        <v>-1279674.31108278</v>
      </c>
      <c r="AO71" s="19" t="n">
        <f aca="false">-AO24</f>
        <v>-1154783.29265278</v>
      </c>
      <c r="AP71" s="19" t="n">
        <f aca="false">-AP24</f>
        <v>-1028579.53789278</v>
      </c>
      <c r="AQ71" s="19" t="n">
        <f aca="false">-AQ24</f>
        <v>-903552.719152783</v>
      </c>
      <c r="AR71" s="19" t="n">
        <f aca="false">-AR24</f>
        <v>-781966.174932784</v>
      </c>
      <c r="AS71" s="19" t="n">
        <f aca="false">-AS24</f>
        <v>-665675.842802783</v>
      </c>
      <c r="AT71" s="19" t="n">
        <f aca="false">-AT24</f>
        <v>-283780.474359283</v>
      </c>
      <c r="AU71" s="19" t="n">
        <f aca="false">-AU24</f>
        <v>-0</v>
      </c>
      <c r="AV71" s="19" t="n">
        <f aca="false">-AV24</f>
        <v>-0</v>
      </c>
      <c r="AW71" s="19" t="n">
        <f aca="false">-AW24</f>
        <v>-0</v>
      </c>
      <c r="AX71" s="19" t="n">
        <f aca="false">-AX24</f>
        <v>-0</v>
      </c>
      <c r="AY71" s="19" t="n">
        <f aca="false">-AY24</f>
        <v>-0</v>
      </c>
      <c r="AZ71" s="19" t="n">
        <f aca="false">-AZ24</f>
        <v>-0</v>
      </c>
      <c r="BA71" s="19" t="n">
        <f aca="false">-BA24</f>
        <v>-0</v>
      </c>
      <c r="BB71" s="19" t="n">
        <f aca="false">-BB24</f>
        <v>-0</v>
      </c>
      <c r="BC71" s="19" t="n">
        <f aca="false">-BC24</f>
        <v>-0</v>
      </c>
      <c r="BD71" s="19" t="n">
        <f aca="false">-BD24</f>
        <v>-0</v>
      </c>
      <c r="BE71" s="19" t="n">
        <f aca="false">-BE24</f>
        <v>-0</v>
      </c>
      <c r="BF71" s="19" t="n">
        <f aca="false">-BF24</f>
        <v>-0</v>
      </c>
      <c r="BG71" s="19" t="n">
        <f aca="false">-BG24</f>
        <v>-0</v>
      </c>
      <c r="BH71" s="19" t="n">
        <f aca="false">-BH24</f>
        <v>-0</v>
      </c>
      <c r="BI71" s="19" t="n">
        <f aca="false">-BI24</f>
        <v>-0</v>
      </c>
      <c r="BJ71" s="19" t="n">
        <f aca="false">-BJ24</f>
        <v>-0</v>
      </c>
      <c r="BK71" s="19" t="n">
        <f aca="false">-BK24</f>
        <v>-0</v>
      </c>
      <c r="BL71" s="19" t="n">
        <f aca="false">-BL24</f>
        <v>-0</v>
      </c>
      <c r="BM71" s="19" t="n">
        <f aca="false">-BM24</f>
        <v>-0</v>
      </c>
      <c r="BN71" s="19" t="n">
        <f aca="false">-BN24</f>
        <v>-0</v>
      </c>
      <c r="BO71" s="19" t="n">
        <f aca="false">-BO24</f>
        <v>-0</v>
      </c>
      <c r="BP71" s="19" t="n">
        <f aca="false">-BP24</f>
        <v>-0</v>
      </c>
      <c r="BQ71" s="19" t="n">
        <f aca="false">-BQ24</f>
        <v>-0</v>
      </c>
      <c r="BR71" s="19" t="n">
        <f aca="false">-BR24</f>
        <v>-0</v>
      </c>
      <c r="BS71" s="19" t="n">
        <f aca="false">-BS24</f>
        <v>-0</v>
      </c>
      <c r="BT71" s="19" t="n">
        <f aca="false">-BT24</f>
        <v>-0</v>
      </c>
      <c r="BU71" s="19" t="n">
        <f aca="false">-BU24</f>
        <v>-0</v>
      </c>
      <c r="BV71" s="19" t="n">
        <f aca="false">-BV24</f>
        <v>-0</v>
      </c>
      <c r="BW71" s="19" t="n">
        <f aca="false">-BW24</f>
        <v>-0</v>
      </c>
      <c r="BX71" s="19" t="n">
        <f aca="false">-BX24</f>
        <v>-0</v>
      </c>
      <c r="BY71" s="19" t="n">
        <f aca="false">-BY24</f>
        <v>-0</v>
      </c>
      <c r="BZ71" s="19" t="n">
        <f aca="false">-BZ24</f>
        <v>-0</v>
      </c>
      <c r="CA71" s="19" t="n">
        <f aca="false">-CA24</f>
        <v>-0</v>
      </c>
      <c r="CB71" s="19" t="n">
        <f aca="false">-CB24</f>
        <v>-0</v>
      </c>
      <c r="CC71" s="19" t="n">
        <f aca="false">-CC24</f>
        <v>-0</v>
      </c>
      <c r="CD71" s="19" t="n">
        <f aca="false">-CD24</f>
        <v>-0</v>
      </c>
      <c r="CE71" s="19" t="n">
        <f aca="false">-CE24</f>
        <v>-0</v>
      </c>
      <c r="CF71" s="19" t="n">
        <f aca="false">-CF24</f>
        <v>-0</v>
      </c>
      <c r="CG71" s="19" t="n">
        <f aca="false">-CG24</f>
        <v>-0</v>
      </c>
      <c r="CH71" s="19" t="n">
        <f aca="false">-CH24</f>
        <v>-0</v>
      </c>
      <c r="CI71" s="19" t="n">
        <f aca="false">-CI24</f>
        <v>-0</v>
      </c>
      <c r="CJ71" s="19" t="n">
        <f aca="false">-CJ24</f>
        <v>-0</v>
      </c>
      <c r="CK71" s="19" t="n">
        <f aca="false">-CK24</f>
        <v>-0</v>
      </c>
      <c r="CL71" s="19" t="n">
        <f aca="false">-CL24</f>
        <v>-0</v>
      </c>
      <c r="CM71" s="19" t="n">
        <f aca="false">-CM24</f>
        <v>-0</v>
      </c>
      <c r="CN71" s="19" t="n">
        <f aca="false">-CN24</f>
        <v>-0</v>
      </c>
      <c r="CO71" s="19" t="n">
        <f aca="false">-CO24</f>
        <v>-0</v>
      </c>
      <c r="CP71" s="19" t="n">
        <f aca="false">-CP24</f>
        <v>-0</v>
      </c>
      <c r="CQ71" s="19" t="n">
        <f aca="false">-CQ24</f>
        <v>-0</v>
      </c>
      <c r="CR71" s="19" t="n">
        <f aca="false">-CR24</f>
        <v>-0</v>
      </c>
      <c r="CS71" s="19" t="n">
        <f aca="false">-CS24</f>
        <v>-0</v>
      </c>
      <c r="CT71" s="19" t="n">
        <f aca="false">-CT24</f>
        <v>-0</v>
      </c>
      <c r="CU71" s="19" t="n">
        <f aca="false">-CU24</f>
        <v>-0</v>
      </c>
      <c r="CV71" s="19" t="n">
        <f aca="false">-CV24</f>
        <v>-0</v>
      </c>
      <c r="CW71" s="19" t="n">
        <f aca="false">-CW24</f>
        <v>-0</v>
      </c>
      <c r="CX71" s="19" t="n">
        <f aca="false">-CX24</f>
        <v>-0</v>
      </c>
      <c r="CY71" s="19" t="n">
        <f aca="false">-CY24</f>
        <v>-0</v>
      </c>
      <c r="CZ71" s="19" t="n">
        <f aca="false">-CZ24</f>
        <v>-0</v>
      </c>
      <c r="DA71" s="19" t="n">
        <f aca="false">-DA24</f>
        <v>-0</v>
      </c>
      <c r="DB71" s="19" t="n">
        <f aca="false">-DB24</f>
        <v>-0</v>
      </c>
      <c r="DC71" s="19" t="n">
        <f aca="false">-DC24</f>
        <v>-0</v>
      </c>
      <c r="DD71" s="19" t="n">
        <f aca="false">-DD24</f>
        <v>-0</v>
      </c>
      <c r="DE71" s="19" t="n">
        <f aca="false">-DE24</f>
        <v>-0</v>
      </c>
    </row>
    <row r="72" customFormat="false" ht="15" hidden="true" customHeight="true" outlineLevel="1" collapsed="false">
      <c r="A72" s="28" t="s">
        <v>19</v>
      </c>
      <c r="B72" s="19" t="n">
        <v>0</v>
      </c>
      <c r="C72" s="19" t="n">
        <v>0</v>
      </c>
      <c r="D72" s="19" t="n">
        <v>0</v>
      </c>
      <c r="E72" s="19" t="n">
        <v>0</v>
      </c>
      <c r="F72" s="19" t="n">
        <f aca="false">-F25</f>
        <v>-0</v>
      </c>
      <c r="G72" s="19" t="n">
        <f aca="false">-G25</f>
        <v>-0</v>
      </c>
      <c r="H72" s="19" t="n">
        <f aca="false">-H25</f>
        <v>-0</v>
      </c>
      <c r="I72" s="19" t="n">
        <f aca="false">-I25</f>
        <v>-0</v>
      </c>
      <c r="J72" s="19" t="n">
        <f aca="false">-J25</f>
        <v>-0</v>
      </c>
      <c r="K72" s="19" t="n">
        <f aca="false">-K25</f>
        <v>-0</v>
      </c>
      <c r="L72" s="19" t="n">
        <f aca="false">-L25</f>
        <v>-0</v>
      </c>
      <c r="M72" s="19" t="n">
        <f aca="false">-M25</f>
        <v>-0</v>
      </c>
      <c r="N72" s="19" t="n">
        <f aca="false">-N25</f>
        <v>-0</v>
      </c>
      <c r="O72" s="19" t="n">
        <f aca="false">-O25</f>
        <v>-0</v>
      </c>
      <c r="P72" s="19" t="n">
        <f aca="false">-P25</f>
        <v>-0</v>
      </c>
      <c r="Q72" s="19" t="n">
        <f aca="false">-Q25</f>
        <v>-0</v>
      </c>
      <c r="R72" s="19" t="n">
        <f aca="false">-R25</f>
        <v>-0</v>
      </c>
      <c r="S72" s="19" t="n">
        <f aca="false">-S25</f>
        <v>-0</v>
      </c>
      <c r="T72" s="19" t="n">
        <f aca="false">-T25</f>
        <v>-0</v>
      </c>
      <c r="U72" s="19" t="n">
        <f aca="false">-U25</f>
        <v>-0</v>
      </c>
      <c r="V72" s="19" t="n">
        <f aca="false">-V25</f>
        <v>-0</v>
      </c>
      <c r="W72" s="19" t="n">
        <f aca="false">-W25</f>
        <v>-0</v>
      </c>
      <c r="X72" s="19" t="n">
        <f aca="false">-X25</f>
        <v>-0</v>
      </c>
      <c r="Y72" s="19" t="n">
        <f aca="false">-Y25</f>
        <v>-0</v>
      </c>
      <c r="Z72" s="19" t="n">
        <f aca="false">-Z25</f>
        <v>-0</v>
      </c>
      <c r="AA72" s="19" t="n">
        <f aca="false">-AA25</f>
        <v>-0</v>
      </c>
      <c r="AB72" s="19" t="n">
        <f aca="false">-AB25</f>
        <v>-0</v>
      </c>
      <c r="AC72" s="19" t="n">
        <f aca="false">-AC25</f>
        <v>-0</v>
      </c>
      <c r="AD72" s="19" t="n">
        <f aca="false">-AD25</f>
        <v>-0</v>
      </c>
      <c r="AE72" s="19" t="n">
        <f aca="false">-AE25</f>
        <v>-508191.288963453</v>
      </c>
      <c r="AF72" s="19" t="n">
        <f aca="false">-AF25</f>
        <v>-608145.434507453</v>
      </c>
      <c r="AG72" s="19" t="n">
        <f aca="false">-AG25</f>
        <v>-714385.484115453</v>
      </c>
      <c r="AH72" s="19" t="n">
        <f aca="false">-AH25</f>
        <v>-825464.025667453</v>
      </c>
      <c r="AI72" s="19" t="n">
        <f aca="false">-AI25</f>
        <v>-939685.519251453</v>
      </c>
      <c r="AJ72" s="19" t="n">
        <f aca="false">-AJ25</f>
        <v>-1054982.23326745</v>
      </c>
      <c r="AK72" s="19" t="n">
        <f aca="false">-AK25</f>
        <v>-1169079.66295545</v>
      </c>
      <c r="AL72" s="19" t="n">
        <f aca="false">-AL25</f>
        <v>-1279496.53039545</v>
      </c>
      <c r="AM72" s="19" t="n">
        <f aca="false">-AM25</f>
        <v>-1383586.13913945</v>
      </c>
      <c r="AN72" s="19" t="n">
        <f aca="false">-AN25</f>
        <v>-1478825.85663545</v>
      </c>
      <c r="AO72" s="19" t="n">
        <f aca="false">-AO25</f>
        <v>-1562651.69569945</v>
      </c>
      <c r="AP72" s="19" t="n">
        <f aca="false">-AP25</f>
        <v>-1632789.15157145</v>
      </c>
      <c r="AQ72" s="19" t="n">
        <f aca="false">-AQ25</f>
        <v>-1687294.55654745</v>
      </c>
      <c r="AR72" s="19" t="n">
        <f aca="false">-AR25</f>
        <v>-1724513.72534745</v>
      </c>
      <c r="AS72" s="19" t="n">
        <f aca="false">-AS25</f>
        <v>-1743412.79217145</v>
      </c>
      <c r="AT72" s="19" t="n">
        <f aca="false">-AT25</f>
        <v>-1743412.79217145</v>
      </c>
      <c r="AU72" s="19" t="n">
        <f aca="false">-AU25</f>
        <v>-1724513.72534745</v>
      </c>
      <c r="AV72" s="19" t="n">
        <f aca="false">-AV25</f>
        <v>-1687294.55654745</v>
      </c>
      <c r="AW72" s="19" t="n">
        <f aca="false">-AW25</f>
        <v>-1632789.15157145</v>
      </c>
      <c r="AX72" s="19" t="n">
        <f aca="false">-AX25</f>
        <v>-1562651.69569945</v>
      </c>
      <c r="AY72" s="19" t="n">
        <f aca="false">-AY25</f>
        <v>-1478825.85663545</v>
      </c>
      <c r="AZ72" s="19" t="n">
        <f aca="false">-AZ25</f>
        <v>-1383586.13913945</v>
      </c>
      <c r="BA72" s="19" t="n">
        <f aca="false">-BA25</f>
        <v>-1279496.53039545</v>
      </c>
      <c r="BB72" s="19" t="n">
        <f aca="false">-BB25</f>
        <v>-1169079.66295545</v>
      </c>
      <c r="BC72" s="19" t="n">
        <f aca="false">-BC25</f>
        <v>-1054982.23326745</v>
      </c>
      <c r="BD72" s="19" t="n">
        <f aca="false">-BD25</f>
        <v>-939685.519251453</v>
      </c>
      <c r="BE72" s="19" t="n">
        <f aca="false">-BE25</f>
        <v>-825464.025667453</v>
      </c>
      <c r="BF72" s="19" t="n">
        <f aca="false">-BF25</f>
        <v>-714385.484115453</v>
      </c>
      <c r="BG72" s="19" t="n">
        <f aca="false">-BG25</f>
        <v>-608145.434507453</v>
      </c>
      <c r="BH72" s="19" t="n">
        <f aca="false">-BH25</f>
        <v>-259255.013907853</v>
      </c>
      <c r="BI72" s="19" t="n">
        <f aca="false">-BI25</f>
        <v>-0</v>
      </c>
      <c r="BJ72" s="19" t="n">
        <f aca="false">-BJ25</f>
        <v>-0</v>
      </c>
      <c r="BK72" s="19" t="n">
        <f aca="false">-BK25</f>
        <v>-0</v>
      </c>
      <c r="BL72" s="19" t="n">
        <f aca="false">-BL25</f>
        <v>-0</v>
      </c>
      <c r="BM72" s="19" t="n">
        <f aca="false">-BM25</f>
        <v>-0</v>
      </c>
      <c r="BN72" s="19" t="n">
        <f aca="false">-BN25</f>
        <v>-0</v>
      </c>
      <c r="BO72" s="19" t="n">
        <f aca="false">-BO25</f>
        <v>-0</v>
      </c>
      <c r="BP72" s="19" t="n">
        <f aca="false">-BP25</f>
        <v>-0</v>
      </c>
      <c r="BQ72" s="19" t="n">
        <f aca="false">-BQ25</f>
        <v>-0</v>
      </c>
      <c r="BR72" s="19" t="n">
        <f aca="false">-BR25</f>
        <v>-0</v>
      </c>
      <c r="BS72" s="19" t="n">
        <f aca="false">-BS25</f>
        <v>-0</v>
      </c>
      <c r="BT72" s="19" t="n">
        <f aca="false">-BT25</f>
        <v>-0</v>
      </c>
      <c r="BU72" s="19" t="n">
        <f aca="false">-BU25</f>
        <v>-0</v>
      </c>
      <c r="BV72" s="19" t="n">
        <f aca="false">-BV25</f>
        <v>-0</v>
      </c>
      <c r="BW72" s="19" t="n">
        <f aca="false">-BW25</f>
        <v>-0</v>
      </c>
      <c r="BX72" s="19" t="n">
        <f aca="false">-BX25</f>
        <v>-0</v>
      </c>
      <c r="BY72" s="19" t="n">
        <f aca="false">-BY25</f>
        <v>-0</v>
      </c>
      <c r="BZ72" s="19" t="n">
        <f aca="false">-BZ25</f>
        <v>-0</v>
      </c>
      <c r="CA72" s="19" t="n">
        <f aca="false">-CA25</f>
        <v>-0</v>
      </c>
      <c r="CB72" s="19" t="n">
        <f aca="false">-CB25</f>
        <v>-0</v>
      </c>
      <c r="CC72" s="19" t="n">
        <f aca="false">-CC25</f>
        <v>-0</v>
      </c>
      <c r="CD72" s="19" t="n">
        <f aca="false">-CD25</f>
        <v>-0</v>
      </c>
      <c r="CE72" s="19" t="n">
        <f aca="false">-CE25</f>
        <v>-0</v>
      </c>
      <c r="CF72" s="19" t="n">
        <f aca="false">-CF25</f>
        <v>-0</v>
      </c>
      <c r="CG72" s="19" t="n">
        <f aca="false">-CG25</f>
        <v>-0</v>
      </c>
      <c r="CH72" s="19" t="n">
        <f aca="false">-CH25</f>
        <v>-0</v>
      </c>
      <c r="CI72" s="19" t="n">
        <f aca="false">-CI25</f>
        <v>-0</v>
      </c>
      <c r="CJ72" s="19" t="n">
        <f aca="false">-CJ25</f>
        <v>-0</v>
      </c>
      <c r="CK72" s="19" t="n">
        <f aca="false">-CK25</f>
        <v>-0</v>
      </c>
      <c r="CL72" s="19" t="n">
        <f aca="false">-CL25</f>
        <v>-0</v>
      </c>
      <c r="CM72" s="19" t="n">
        <f aca="false">-CM25</f>
        <v>-0</v>
      </c>
      <c r="CN72" s="19" t="n">
        <f aca="false">-CN25</f>
        <v>-0</v>
      </c>
      <c r="CO72" s="19" t="n">
        <f aca="false">-CO25</f>
        <v>-0</v>
      </c>
      <c r="CP72" s="19" t="n">
        <f aca="false">-CP25</f>
        <v>-0</v>
      </c>
      <c r="CQ72" s="19" t="n">
        <f aca="false">-CQ25</f>
        <v>-0</v>
      </c>
      <c r="CR72" s="19" t="n">
        <f aca="false">-CR25</f>
        <v>-0</v>
      </c>
      <c r="CS72" s="19" t="n">
        <f aca="false">-CS25</f>
        <v>-0</v>
      </c>
      <c r="CT72" s="19" t="n">
        <f aca="false">-CT25</f>
        <v>-0</v>
      </c>
      <c r="CU72" s="19" t="n">
        <f aca="false">-CU25</f>
        <v>-0</v>
      </c>
      <c r="CV72" s="19" t="n">
        <f aca="false">-CV25</f>
        <v>-0</v>
      </c>
      <c r="CW72" s="19" t="n">
        <f aca="false">-CW25</f>
        <v>-0</v>
      </c>
      <c r="CX72" s="19" t="n">
        <f aca="false">-CX25</f>
        <v>-0</v>
      </c>
      <c r="CY72" s="19" t="n">
        <f aca="false">-CY25</f>
        <v>-0</v>
      </c>
      <c r="CZ72" s="19" t="n">
        <f aca="false">-CZ25</f>
        <v>-0</v>
      </c>
      <c r="DA72" s="19" t="n">
        <f aca="false">-DA25</f>
        <v>-0</v>
      </c>
      <c r="DB72" s="19" t="n">
        <f aca="false">-DB25</f>
        <v>-0</v>
      </c>
      <c r="DC72" s="19" t="n">
        <f aca="false">-DC25</f>
        <v>-0</v>
      </c>
      <c r="DD72" s="19" t="n">
        <f aca="false">-DD25</f>
        <v>-0</v>
      </c>
      <c r="DE72" s="19" t="n">
        <f aca="false">-DE25</f>
        <v>-0</v>
      </c>
    </row>
    <row r="73" customFormat="false" ht="15" hidden="true" customHeight="true" outlineLevel="1" collapsed="false">
      <c r="A73" s="28" t="s">
        <v>20</v>
      </c>
      <c r="B73" s="19" t="n">
        <v>0</v>
      </c>
      <c r="C73" s="19" t="n">
        <v>0</v>
      </c>
      <c r="D73" s="19" t="n">
        <v>0</v>
      </c>
      <c r="E73" s="19" t="n">
        <v>0</v>
      </c>
      <c r="F73" s="19" t="n">
        <f aca="false">-F26</f>
        <v>-0</v>
      </c>
      <c r="G73" s="19" t="n">
        <f aca="false">-G26</f>
        <v>-0</v>
      </c>
      <c r="H73" s="19" t="n">
        <f aca="false">-H26</f>
        <v>-0</v>
      </c>
      <c r="I73" s="19" t="n">
        <f aca="false">-I26</f>
        <v>-0</v>
      </c>
      <c r="J73" s="19" t="n">
        <f aca="false">-J26</f>
        <v>-0</v>
      </c>
      <c r="K73" s="19" t="n">
        <f aca="false">-K26</f>
        <v>-0</v>
      </c>
      <c r="L73" s="19" t="n">
        <f aca="false">-L26</f>
        <v>-0</v>
      </c>
      <c r="M73" s="19" t="n">
        <f aca="false">-M26</f>
        <v>-0</v>
      </c>
      <c r="N73" s="19" t="n">
        <f aca="false">-N26</f>
        <v>-0</v>
      </c>
      <c r="O73" s="19" t="n">
        <f aca="false">-O26</f>
        <v>-0</v>
      </c>
      <c r="P73" s="19" t="n">
        <f aca="false">-P26</f>
        <v>-0</v>
      </c>
      <c r="Q73" s="19" t="n">
        <f aca="false">-Q26</f>
        <v>-0</v>
      </c>
      <c r="R73" s="19" t="n">
        <f aca="false">-R26</f>
        <v>-313939.25166175</v>
      </c>
      <c r="S73" s="19" t="n">
        <f aca="false">-S26</f>
        <v>-409572.44932175</v>
      </c>
      <c r="T73" s="19" t="n">
        <f aca="false">-T26</f>
        <v>-512511.38613675</v>
      </c>
      <c r="U73" s="19" t="n">
        <f aca="false">-U26</f>
        <v>-618651.37008675</v>
      </c>
      <c r="V73" s="19" t="n">
        <f aca="false">-V26</f>
        <v>-722892.16817675</v>
      </c>
      <c r="W73" s="19" t="n">
        <f aca="false">-W26</f>
        <v>-819444.32673675</v>
      </c>
      <c r="X73" s="19" t="n">
        <f aca="false">-X26</f>
        <v>-902380.54796175</v>
      </c>
      <c r="Y73" s="19" t="n">
        <f aca="false">-Y26</f>
        <v>-966202.38246675</v>
      </c>
      <c r="Z73" s="19" t="n">
        <f aca="false">-Z26</f>
        <v>-1006452.86988675</v>
      </c>
      <c r="AA73" s="19" t="n">
        <f aca="false">-AA26</f>
        <v>-1020206.65135675</v>
      </c>
      <c r="AB73" s="19" t="n">
        <f aca="false">-AB26</f>
        <v>-1006452.86988675</v>
      </c>
      <c r="AC73" s="19" t="n">
        <f aca="false">-AC26</f>
        <v>-966202.38246675</v>
      </c>
      <c r="AD73" s="19" t="n">
        <f aca="false">-AD26</f>
        <v>-902380.54796175</v>
      </c>
      <c r="AE73" s="19" t="n">
        <f aca="false">-AE26</f>
        <v>-819444.32673675</v>
      </c>
      <c r="AF73" s="19" t="n">
        <f aca="false">-AF26</f>
        <v>-722892.16817675</v>
      </c>
      <c r="AG73" s="19" t="n">
        <f aca="false">-AG26</f>
        <v>-618651.37008675</v>
      </c>
      <c r="AH73" s="19" t="n">
        <f aca="false">-AH26</f>
        <v>-512511.38613675</v>
      </c>
      <c r="AI73" s="19" t="n">
        <f aca="false">-AI26</f>
        <v>-409572.44932175</v>
      </c>
      <c r="AJ73" s="19" t="n">
        <f aca="false">-AJ26</f>
        <v>-221743.7335685</v>
      </c>
      <c r="AK73" s="19" t="n">
        <f aca="false">-AK26</f>
        <v>-0</v>
      </c>
      <c r="AL73" s="19" t="n">
        <f aca="false">-AL26</f>
        <v>-0</v>
      </c>
      <c r="AM73" s="19" t="n">
        <f aca="false">-AM26</f>
        <v>-0</v>
      </c>
      <c r="AN73" s="19" t="n">
        <f aca="false">-AN26</f>
        <v>-0</v>
      </c>
      <c r="AO73" s="19" t="n">
        <f aca="false">-AO26</f>
        <v>-0</v>
      </c>
      <c r="AP73" s="19" t="n">
        <f aca="false">-AP26</f>
        <v>-0</v>
      </c>
      <c r="AQ73" s="19" t="n">
        <f aca="false">-AQ26</f>
        <v>-0</v>
      </c>
      <c r="AR73" s="19" t="n">
        <f aca="false">-AR26</f>
        <v>-0</v>
      </c>
      <c r="AS73" s="19" t="n">
        <f aca="false">-AS26</f>
        <v>-0</v>
      </c>
      <c r="AT73" s="19" t="n">
        <f aca="false">-AT26</f>
        <v>-0</v>
      </c>
      <c r="AU73" s="19" t="n">
        <f aca="false">-AU26</f>
        <v>-0</v>
      </c>
      <c r="AV73" s="19" t="n">
        <f aca="false">-AV26</f>
        <v>-0</v>
      </c>
      <c r="AW73" s="19" t="n">
        <f aca="false">-AW26</f>
        <v>-0</v>
      </c>
      <c r="AX73" s="19" t="n">
        <f aca="false">-AX26</f>
        <v>-0</v>
      </c>
      <c r="AY73" s="19" t="n">
        <f aca="false">-AY26</f>
        <v>-0</v>
      </c>
      <c r="AZ73" s="19" t="n">
        <f aca="false">-AZ26</f>
        <v>-0</v>
      </c>
      <c r="BA73" s="19" t="n">
        <f aca="false">-BA26</f>
        <v>-0</v>
      </c>
      <c r="BB73" s="19" t="n">
        <f aca="false">-BB26</f>
        <v>-0</v>
      </c>
      <c r="BC73" s="19" t="n">
        <f aca="false">-BC26</f>
        <v>-0</v>
      </c>
      <c r="BD73" s="19" t="n">
        <f aca="false">-BD26</f>
        <v>-0</v>
      </c>
      <c r="BE73" s="19" t="n">
        <f aca="false">-BE26</f>
        <v>-0</v>
      </c>
      <c r="BF73" s="19" t="n">
        <f aca="false">-BF26</f>
        <v>-0</v>
      </c>
      <c r="BG73" s="19" t="n">
        <f aca="false">-BG26</f>
        <v>-0</v>
      </c>
      <c r="BH73" s="19" t="n">
        <f aca="false">-BH26</f>
        <v>-0</v>
      </c>
      <c r="BI73" s="19" t="n">
        <f aca="false">-BI26</f>
        <v>-0</v>
      </c>
      <c r="BJ73" s="19" t="n">
        <f aca="false">-BJ26</f>
        <v>-0</v>
      </c>
      <c r="BK73" s="19" t="n">
        <f aca="false">-BK26</f>
        <v>-0</v>
      </c>
      <c r="BL73" s="19" t="n">
        <f aca="false">-BL26</f>
        <v>-0</v>
      </c>
      <c r="BM73" s="19" t="n">
        <f aca="false">-BM26</f>
        <v>-0</v>
      </c>
      <c r="BN73" s="19" t="n">
        <f aca="false">-BN26</f>
        <v>-0</v>
      </c>
      <c r="BO73" s="19" t="n">
        <f aca="false">-BO26</f>
        <v>-0</v>
      </c>
      <c r="BP73" s="19" t="n">
        <f aca="false">-BP26</f>
        <v>-0</v>
      </c>
      <c r="BQ73" s="19" t="n">
        <f aca="false">-BQ26</f>
        <v>-0</v>
      </c>
      <c r="BR73" s="19" t="n">
        <f aca="false">-BR26</f>
        <v>-0</v>
      </c>
      <c r="BS73" s="19" t="n">
        <f aca="false">-BS26</f>
        <v>-0</v>
      </c>
      <c r="BT73" s="19" t="n">
        <f aca="false">-BT26</f>
        <v>-0</v>
      </c>
      <c r="BU73" s="19" t="n">
        <f aca="false">-BU26</f>
        <v>-0</v>
      </c>
      <c r="BV73" s="19" t="n">
        <f aca="false">-BV26</f>
        <v>-0</v>
      </c>
      <c r="BW73" s="19" t="n">
        <f aca="false">-BW26</f>
        <v>-0</v>
      </c>
      <c r="BX73" s="19" t="n">
        <f aca="false">-BX26</f>
        <v>-0</v>
      </c>
      <c r="BY73" s="19" t="n">
        <f aca="false">-BY26</f>
        <v>-0</v>
      </c>
      <c r="BZ73" s="19" t="n">
        <f aca="false">-BZ26</f>
        <v>-0</v>
      </c>
      <c r="CA73" s="19" t="n">
        <f aca="false">-CA26</f>
        <v>-0</v>
      </c>
      <c r="CB73" s="19" t="n">
        <f aca="false">-CB26</f>
        <v>-0</v>
      </c>
      <c r="CC73" s="19" t="n">
        <f aca="false">-CC26</f>
        <v>-0</v>
      </c>
      <c r="CD73" s="19" t="n">
        <f aca="false">-CD26</f>
        <v>-0</v>
      </c>
      <c r="CE73" s="19" t="n">
        <f aca="false">-CE26</f>
        <v>-0</v>
      </c>
      <c r="CF73" s="19" t="n">
        <f aca="false">-CF26</f>
        <v>-0</v>
      </c>
      <c r="CG73" s="19" t="n">
        <f aca="false">-CG26</f>
        <v>-0</v>
      </c>
      <c r="CH73" s="19" t="n">
        <f aca="false">-CH26</f>
        <v>-0</v>
      </c>
      <c r="CI73" s="19" t="n">
        <f aca="false">-CI26</f>
        <v>-0</v>
      </c>
      <c r="CJ73" s="19" t="n">
        <f aca="false">-CJ26</f>
        <v>-0</v>
      </c>
      <c r="CK73" s="19" t="n">
        <f aca="false">-CK26</f>
        <v>-0</v>
      </c>
      <c r="CL73" s="19" t="n">
        <f aca="false">-CL26</f>
        <v>-0</v>
      </c>
      <c r="CM73" s="19" t="n">
        <f aca="false">-CM26</f>
        <v>-0</v>
      </c>
      <c r="CN73" s="19" t="n">
        <f aca="false">-CN26</f>
        <v>-0</v>
      </c>
      <c r="CO73" s="19" t="n">
        <f aca="false">-CO26</f>
        <v>-0</v>
      </c>
      <c r="CP73" s="19" t="n">
        <f aca="false">-CP26</f>
        <v>-0</v>
      </c>
      <c r="CQ73" s="19" t="n">
        <f aca="false">-CQ26</f>
        <v>-0</v>
      </c>
      <c r="CR73" s="19" t="n">
        <f aca="false">-CR26</f>
        <v>-0</v>
      </c>
      <c r="CS73" s="19" t="n">
        <f aca="false">-CS26</f>
        <v>-0</v>
      </c>
      <c r="CT73" s="19" t="n">
        <f aca="false">-CT26</f>
        <v>-0</v>
      </c>
      <c r="CU73" s="19" t="n">
        <f aca="false">-CU26</f>
        <v>-0</v>
      </c>
      <c r="CV73" s="19" t="n">
        <f aca="false">-CV26</f>
        <v>-0</v>
      </c>
      <c r="CW73" s="19" t="n">
        <f aca="false">-CW26</f>
        <v>-0</v>
      </c>
      <c r="CX73" s="19" t="n">
        <f aca="false">-CX26</f>
        <v>-0</v>
      </c>
      <c r="CY73" s="19" t="n">
        <f aca="false">-CY26</f>
        <v>-0</v>
      </c>
      <c r="CZ73" s="19" t="n">
        <f aca="false">-CZ26</f>
        <v>-0</v>
      </c>
      <c r="DA73" s="19" t="n">
        <f aca="false">-DA26</f>
        <v>-0</v>
      </c>
      <c r="DB73" s="19" t="n">
        <f aca="false">-DB26</f>
        <v>-0</v>
      </c>
      <c r="DC73" s="19" t="n">
        <f aca="false">-DC26</f>
        <v>-0</v>
      </c>
      <c r="DD73" s="19" t="n">
        <f aca="false">-DD26</f>
        <v>-0</v>
      </c>
      <c r="DE73" s="19" t="n">
        <f aca="false">-DE26</f>
        <v>-0</v>
      </c>
    </row>
    <row r="74" customFormat="false" ht="15" hidden="true" customHeight="true" outlineLevel="1" collapsed="false">
      <c r="A74" s="28" t="s">
        <v>21</v>
      </c>
      <c r="B74" s="19" t="n">
        <v>0</v>
      </c>
      <c r="C74" s="19" t="n">
        <v>0</v>
      </c>
      <c r="D74" s="19" t="n">
        <v>0</v>
      </c>
      <c r="E74" s="19" t="n">
        <v>0</v>
      </c>
      <c r="F74" s="19" t="n">
        <f aca="false">-F27</f>
        <v>-0</v>
      </c>
      <c r="G74" s="19" t="n">
        <f aca="false">-G27</f>
        <v>-0</v>
      </c>
      <c r="H74" s="19" t="n">
        <v>0</v>
      </c>
      <c r="I74" s="19" t="n">
        <f aca="false">-I27</f>
        <v>-0</v>
      </c>
      <c r="J74" s="19" t="n">
        <f aca="false">-J27</f>
        <v>-0</v>
      </c>
      <c r="K74" s="19" t="n">
        <f aca="false">-K27</f>
        <v>-0</v>
      </c>
      <c r="L74" s="19" t="n">
        <f aca="false">-L27</f>
        <v>-0</v>
      </c>
      <c r="M74" s="19" t="n">
        <f aca="false">-M27</f>
        <v>-0</v>
      </c>
      <c r="N74" s="19" t="n">
        <f aca="false">-N27</f>
        <v>-0</v>
      </c>
      <c r="O74" s="19" t="n">
        <f aca="false">-O27</f>
        <v>-0</v>
      </c>
      <c r="P74" s="19" t="n">
        <f aca="false">-P27</f>
        <v>-0</v>
      </c>
      <c r="Q74" s="19" t="n">
        <f aca="false">-Q27</f>
        <v>-0</v>
      </c>
      <c r="R74" s="19" t="n">
        <f aca="false">-R27</f>
        <v>-0</v>
      </c>
      <c r="S74" s="19" t="n">
        <f aca="false">-S27</f>
        <v>-231977.53316825</v>
      </c>
      <c r="T74" s="19" t="n">
        <f aca="false">-T27</f>
        <v>-302643.28510825</v>
      </c>
      <c r="U74" s="19" t="n">
        <f aca="false">-U27</f>
        <v>-378707.42969325</v>
      </c>
      <c r="V74" s="19" t="n">
        <f aca="false">-V27</f>
        <v>-457136.90774325</v>
      </c>
      <c r="W74" s="19" t="n">
        <f aca="false">-W27</f>
        <v>-534163.03005325</v>
      </c>
      <c r="X74" s="19" t="n">
        <f aca="false">-X27</f>
        <v>-605507.82509325</v>
      </c>
      <c r="Y74" s="19" t="n">
        <f aca="false">-Y27</f>
        <v>-666791.46486825</v>
      </c>
      <c r="Z74" s="19" t="n">
        <f aca="false">-Z27</f>
        <v>-713951.00816325</v>
      </c>
      <c r="AA74" s="19" t="n">
        <f aca="false">-AA27</f>
        <v>-743693.09594325</v>
      </c>
      <c r="AB74" s="19" t="n">
        <f aca="false">-AB27</f>
        <v>-753856.10767325</v>
      </c>
      <c r="AC74" s="19" t="n">
        <f aca="false">-AC27</f>
        <v>-743693.09594325</v>
      </c>
      <c r="AD74" s="19" t="n">
        <f aca="false">-AD27</f>
        <v>-713951.00816325</v>
      </c>
      <c r="AE74" s="19" t="n">
        <f aca="false">-AE27</f>
        <v>-666791.46486825</v>
      </c>
      <c r="AF74" s="19" t="n">
        <f aca="false">-AF27</f>
        <v>-605507.82509325</v>
      </c>
      <c r="AG74" s="19" t="n">
        <f aca="false">-AG27</f>
        <v>-534163.03005325</v>
      </c>
      <c r="AH74" s="19" t="n">
        <f aca="false">-AH27</f>
        <v>-457136.90774325</v>
      </c>
      <c r="AI74" s="19" t="n">
        <f aca="false">-AI27</f>
        <v>-378707.42969325</v>
      </c>
      <c r="AJ74" s="19" t="n">
        <f aca="false">-AJ27</f>
        <v>-302643.28510825</v>
      </c>
      <c r="AK74" s="19" t="n">
        <f aca="false">-AK27</f>
        <v>-163851.9682915</v>
      </c>
      <c r="AL74" s="19" t="n">
        <f aca="false">-AL27</f>
        <v>-0</v>
      </c>
      <c r="AM74" s="19" t="n">
        <f aca="false">-AM27</f>
        <v>-0</v>
      </c>
      <c r="AN74" s="19" t="n">
        <f aca="false">-AN27</f>
        <v>-0</v>
      </c>
      <c r="AO74" s="19" t="n">
        <f aca="false">-AO27</f>
        <v>-0</v>
      </c>
      <c r="AP74" s="19" t="n">
        <f aca="false">-AP27</f>
        <v>-0</v>
      </c>
      <c r="AQ74" s="19" t="n">
        <f aca="false">-AQ27</f>
        <v>-0</v>
      </c>
      <c r="AR74" s="19" t="n">
        <f aca="false">-AR27</f>
        <v>-0</v>
      </c>
      <c r="AS74" s="19" t="n">
        <f aca="false">-AS27</f>
        <v>-0</v>
      </c>
      <c r="AT74" s="19" t="n">
        <f aca="false">-AT27</f>
        <v>-0</v>
      </c>
      <c r="AU74" s="19" t="n">
        <f aca="false">-AU27</f>
        <v>-0</v>
      </c>
      <c r="AV74" s="19" t="n">
        <f aca="false">-AV27</f>
        <v>-0</v>
      </c>
      <c r="AW74" s="19" t="n">
        <f aca="false">-AW27</f>
        <v>-0</v>
      </c>
      <c r="AX74" s="19" t="n">
        <f aca="false">-AX27</f>
        <v>-0</v>
      </c>
      <c r="AY74" s="19" t="n">
        <f aca="false">-AY27</f>
        <v>-0</v>
      </c>
      <c r="AZ74" s="19" t="n">
        <f aca="false">-AZ27</f>
        <v>-0</v>
      </c>
      <c r="BA74" s="19" t="n">
        <f aca="false">-BA27</f>
        <v>-0</v>
      </c>
      <c r="BB74" s="19" t="n">
        <f aca="false">-BB27</f>
        <v>-0</v>
      </c>
      <c r="BC74" s="19" t="n">
        <f aca="false">-BC27</f>
        <v>-0</v>
      </c>
      <c r="BD74" s="19" t="n">
        <f aca="false">-BD27</f>
        <v>-0</v>
      </c>
      <c r="BE74" s="19" t="n">
        <f aca="false">-BE27</f>
        <v>-0</v>
      </c>
      <c r="BF74" s="19" t="n">
        <f aca="false">-BF27</f>
        <v>-0</v>
      </c>
      <c r="BG74" s="19" t="n">
        <f aca="false">-BG27</f>
        <v>-0</v>
      </c>
      <c r="BH74" s="19" t="n">
        <f aca="false">-BH27</f>
        <v>-0</v>
      </c>
      <c r="BI74" s="19" t="n">
        <f aca="false">-BI27</f>
        <v>-0</v>
      </c>
      <c r="BJ74" s="19" t="n">
        <f aca="false">-BJ27</f>
        <v>-0</v>
      </c>
      <c r="BK74" s="19" t="n">
        <f aca="false">-BK27</f>
        <v>-0</v>
      </c>
      <c r="BL74" s="19" t="n">
        <f aca="false">-BL27</f>
        <v>-0</v>
      </c>
      <c r="BM74" s="19" t="n">
        <f aca="false">-BM27</f>
        <v>-0</v>
      </c>
      <c r="BN74" s="19" t="n">
        <f aca="false">-BN27</f>
        <v>-0</v>
      </c>
      <c r="BO74" s="19" t="n">
        <f aca="false">-BO27</f>
        <v>-0</v>
      </c>
      <c r="BP74" s="19" t="n">
        <f aca="false">-BP27</f>
        <v>-0</v>
      </c>
      <c r="BQ74" s="19" t="n">
        <f aca="false">-BQ27</f>
        <v>-0</v>
      </c>
      <c r="BR74" s="19" t="n">
        <f aca="false">-BR27</f>
        <v>-0</v>
      </c>
      <c r="BS74" s="19" t="n">
        <f aca="false">-BS27</f>
        <v>-0</v>
      </c>
      <c r="BT74" s="19" t="n">
        <f aca="false">-BT27</f>
        <v>-0</v>
      </c>
      <c r="BU74" s="19" t="n">
        <f aca="false">-BU27</f>
        <v>-0</v>
      </c>
      <c r="BV74" s="19" t="n">
        <f aca="false">-BV27</f>
        <v>-0</v>
      </c>
      <c r="BW74" s="19" t="n">
        <f aca="false">-BW27</f>
        <v>-0</v>
      </c>
      <c r="BX74" s="19" t="n">
        <f aca="false">-BX27</f>
        <v>-0</v>
      </c>
      <c r="BY74" s="19" t="n">
        <f aca="false">-BY27</f>
        <v>-0</v>
      </c>
      <c r="BZ74" s="19" t="n">
        <f aca="false">-BZ27</f>
        <v>-0</v>
      </c>
      <c r="CA74" s="19" t="n">
        <f aca="false">-CA27</f>
        <v>-0</v>
      </c>
      <c r="CB74" s="19" t="n">
        <f aca="false">-CB27</f>
        <v>-0</v>
      </c>
      <c r="CC74" s="19" t="n">
        <f aca="false">-CC27</f>
        <v>-0</v>
      </c>
      <c r="CD74" s="19" t="n">
        <f aca="false">-CD27</f>
        <v>-0</v>
      </c>
      <c r="CE74" s="19" t="n">
        <f aca="false">-CE27</f>
        <v>-0</v>
      </c>
      <c r="CF74" s="19" t="n">
        <f aca="false">-CF27</f>
        <v>-0</v>
      </c>
      <c r="CG74" s="19" t="n">
        <f aca="false">-CG27</f>
        <v>-0</v>
      </c>
      <c r="CH74" s="19" t="n">
        <f aca="false">-CH27</f>
        <v>-0</v>
      </c>
      <c r="CI74" s="19" t="n">
        <f aca="false">-CI27</f>
        <v>-0</v>
      </c>
      <c r="CJ74" s="19" t="n">
        <f aca="false">-CJ27</f>
        <v>-0</v>
      </c>
      <c r="CK74" s="19" t="n">
        <f aca="false">-CK27</f>
        <v>-0</v>
      </c>
      <c r="CL74" s="19" t="n">
        <f aca="false">-CL27</f>
        <v>-0</v>
      </c>
      <c r="CM74" s="19" t="n">
        <f aca="false">-CM27</f>
        <v>-0</v>
      </c>
      <c r="CN74" s="19" t="n">
        <f aca="false">-CN27</f>
        <v>-0</v>
      </c>
      <c r="CO74" s="19" t="n">
        <f aca="false">-CO27</f>
        <v>-0</v>
      </c>
      <c r="CP74" s="19" t="n">
        <f aca="false">-CP27</f>
        <v>-0</v>
      </c>
      <c r="CQ74" s="19" t="n">
        <f aca="false">-CQ27</f>
        <v>-0</v>
      </c>
      <c r="CR74" s="19" t="n">
        <f aca="false">-CR27</f>
        <v>-0</v>
      </c>
      <c r="CS74" s="19" t="n">
        <f aca="false">-CS27</f>
        <v>-0</v>
      </c>
      <c r="CT74" s="19" t="n">
        <f aca="false">-CT27</f>
        <v>-0</v>
      </c>
      <c r="CU74" s="19" t="n">
        <f aca="false">-CU27</f>
        <v>-0</v>
      </c>
      <c r="CV74" s="19" t="n">
        <f aca="false">-CV27</f>
        <v>-0</v>
      </c>
      <c r="CW74" s="19" t="n">
        <f aca="false">-CW27</f>
        <v>-0</v>
      </c>
      <c r="CX74" s="19" t="n">
        <f aca="false">-CX27</f>
        <v>-0</v>
      </c>
      <c r="CY74" s="19" t="n">
        <f aca="false">-CY27</f>
        <v>-0</v>
      </c>
      <c r="CZ74" s="19" t="n">
        <f aca="false">-CZ27</f>
        <v>-0</v>
      </c>
      <c r="DA74" s="19" t="n">
        <f aca="false">-DA27</f>
        <v>-0</v>
      </c>
      <c r="DB74" s="19" t="n">
        <f aca="false">-DB27</f>
        <v>-0</v>
      </c>
      <c r="DC74" s="19" t="n">
        <f aca="false">-DC27</f>
        <v>-0</v>
      </c>
      <c r="DD74" s="19" t="n">
        <f aca="false">-DD27</f>
        <v>-0</v>
      </c>
      <c r="DE74" s="19" t="n">
        <f aca="false">-DE27</f>
        <v>-0</v>
      </c>
    </row>
    <row r="75" customFormat="false" ht="15" hidden="true" customHeight="true" outlineLevel="1" collapsed="false">
      <c r="A75" s="28" t="s">
        <v>22</v>
      </c>
      <c r="B75" s="19" t="n">
        <v>0</v>
      </c>
      <c r="C75" s="19" t="n">
        <v>0</v>
      </c>
      <c r="D75" s="19" t="n">
        <v>0</v>
      </c>
      <c r="E75" s="19" t="n">
        <v>0</v>
      </c>
      <c r="F75" s="19" t="n">
        <f aca="false">-F28</f>
        <v>-0</v>
      </c>
      <c r="G75" s="19" t="n">
        <f aca="false">-G28</f>
        <v>-0</v>
      </c>
      <c r="H75" s="19" t="n">
        <f aca="false">-H28</f>
        <v>-0</v>
      </c>
      <c r="I75" s="19" t="n">
        <f aca="false">-I28</f>
        <v>-0</v>
      </c>
      <c r="J75" s="19" t="n">
        <f aca="false">-J28</f>
        <v>-0</v>
      </c>
      <c r="K75" s="19" t="n">
        <f aca="false">-K28</f>
        <v>-0</v>
      </c>
      <c r="L75" s="19" t="n">
        <f aca="false">-L28</f>
        <v>-0</v>
      </c>
      <c r="M75" s="19" t="n">
        <f aca="false">-M28</f>
        <v>-0</v>
      </c>
      <c r="N75" s="19" t="n">
        <f aca="false">-N28</f>
        <v>-0</v>
      </c>
      <c r="O75" s="19" t="n">
        <f aca="false">-O28</f>
        <v>-0</v>
      </c>
      <c r="P75" s="19" t="n">
        <f aca="false">-P28</f>
        <v>-0</v>
      </c>
      <c r="Q75" s="19" t="n">
        <f aca="false">-Q28</f>
        <v>-0</v>
      </c>
      <c r="R75" s="19" t="n">
        <f aca="false">-R28</f>
        <v>-0</v>
      </c>
      <c r="S75" s="19" t="n">
        <f aca="false">-S28</f>
        <v>-0</v>
      </c>
      <c r="T75" s="19" t="n">
        <f aca="false">-T28</f>
        <v>-378029.73543905</v>
      </c>
      <c r="U75" s="19" t="n">
        <f aca="false">-U28</f>
        <v>-493186.38507505</v>
      </c>
      <c r="V75" s="19" t="n">
        <f aca="false">-V28</f>
        <v>-617140.23552405</v>
      </c>
      <c r="W75" s="19" t="n">
        <f aca="false">-W28</f>
        <v>-744948.62469405</v>
      </c>
      <c r="X75" s="19" t="n">
        <f aca="false">-X28</f>
        <v>-870470.11050805</v>
      </c>
      <c r="Y75" s="19" t="n">
        <f aca="false">-Y28</f>
        <v>-986733.32628405</v>
      </c>
      <c r="Z75" s="19" t="n">
        <f aca="false">-Z28</f>
        <v>-1086600.92041905</v>
      </c>
      <c r="AA75" s="19" t="n">
        <f aca="false">-AA28</f>
        <v>-1163451.93884205</v>
      </c>
      <c r="AB75" s="19" t="n">
        <f aca="false">-AB28</f>
        <v>-1211919.53577405</v>
      </c>
      <c r="AC75" s="19" t="n">
        <f aca="false">-AC28</f>
        <v>-1228481.14233605</v>
      </c>
      <c r="AD75" s="19" t="n">
        <f aca="false">-AD28</f>
        <v>-1211919.53577405</v>
      </c>
      <c r="AE75" s="19" t="n">
        <f aca="false">-AE28</f>
        <v>-1163451.93884205</v>
      </c>
      <c r="AF75" s="19" t="n">
        <f aca="false">-AF28</f>
        <v>-1086600.92041905</v>
      </c>
      <c r="AG75" s="19" t="n">
        <f aca="false">-AG28</f>
        <v>-986733.32628405</v>
      </c>
      <c r="AH75" s="19" t="n">
        <f aca="false">-AH28</f>
        <v>-870470.11050805</v>
      </c>
      <c r="AI75" s="19" t="n">
        <f aca="false">-AI28</f>
        <v>-744948.62469405</v>
      </c>
      <c r="AJ75" s="19" t="n">
        <f aca="false">-AJ28</f>
        <v>-617140.23552405</v>
      </c>
      <c r="AK75" s="19" t="n">
        <f aca="false">-AK28</f>
        <v>-493186.38507505</v>
      </c>
      <c r="AL75" s="19" t="n">
        <f aca="false">-AL28</f>
        <v>-267012.5653051</v>
      </c>
      <c r="AM75" s="19" t="n">
        <f aca="false">-AM28</f>
        <v>-0</v>
      </c>
      <c r="AN75" s="19" t="n">
        <f aca="false">-AN28</f>
        <v>-0</v>
      </c>
      <c r="AO75" s="19" t="n">
        <f aca="false">-AO28</f>
        <v>-0</v>
      </c>
      <c r="AP75" s="19" t="n">
        <f aca="false">-AP28</f>
        <v>-0</v>
      </c>
      <c r="AQ75" s="19" t="n">
        <f aca="false">-AQ28</f>
        <v>-0</v>
      </c>
      <c r="AR75" s="19" t="n">
        <f aca="false">-AR28</f>
        <v>-0</v>
      </c>
      <c r="AS75" s="19" t="n">
        <f aca="false">-AS28</f>
        <v>-0</v>
      </c>
      <c r="AT75" s="19" t="n">
        <f aca="false">-AT28</f>
        <v>-0</v>
      </c>
      <c r="AU75" s="19" t="n">
        <f aca="false">-AU28</f>
        <v>-0</v>
      </c>
      <c r="AV75" s="19" t="n">
        <f aca="false">-AV28</f>
        <v>-0</v>
      </c>
      <c r="AW75" s="19" t="n">
        <f aca="false">-AW28</f>
        <v>-0</v>
      </c>
      <c r="AX75" s="19" t="n">
        <f aca="false">-AX28</f>
        <v>-0</v>
      </c>
      <c r="AY75" s="19" t="n">
        <f aca="false">-AY28</f>
        <v>-0</v>
      </c>
      <c r="AZ75" s="19" t="n">
        <f aca="false">-AZ28</f>
        <v>-0</v>
      </c>
      <c r="BA75" s="19" t="n">
        <f aca="false">-BA28</f>
        <v>-0</v>
      </c>
      <c r="BB75" s="19" t="n">
        <f aca="false">-BB28</f>
        <v>-0</v>
      </c>
      <c r="BC75" s="19" t="n">
        <f aca="false">-BC28</f>
        <v>-0</v>
      </c>
      <c r="BD75" s="19" t="n">
        <f aca="false">-BD28</f>
        <v>-0</v>
      </c>
      <c r="BE75" s="19" t="n">
        <f aca="false">-BE28</f>
        <v>-0</v>
      </c>
      <c r="BF75" s="19" t="n">
        <f aca="false">-BF28</f>
        <v>-0</v>
      </c>
      <c r="BG75" s="19" t="n">
        <f aca="false">-BG28</f>
        <v>-0</v>
      </c>
      <c r="BH75" s="19" t="n">
        <f aca="false">-BH28</f>
        <v>-0</v>
      </c>
      <c r="BI75" s="19" t="n">
        <f aca="false">-BI28</f>
        <v>-0</v>
      </c>
      <c r="BJ75" s="19" t="n">
        <f aca="false">-BJ28</f>
        <v>-0</v>
      </c>
      <c r="BK75" s="19" t="n">
        <f aca="false">-BK28</f>
        <v>-0</v>
      </c>
      <c r="BL75" s="19" t="n">
        <f aca="false">-BL28</f>
        <v>-0</v>
      </c>
      <c r="BM75" s="19" t="n">
        <f aca="false">-BM28</f>
        <v>-0</v>
      </c>
      <c r="BN75" s="19" t="n">
        <f aca="false">-BN28</f>
        <v>-0</v>
      </c>
      <c r="BO75" s="19" t="n">
        <f aca="false">-BO28</f>
        <v>-0</v>
      </c>
      <c r="BP75" s="19" t="n">
        <f aca="false">-BP28</f>
        <v>-0</v>
      </c>
      <c r="BQ75" s="19" t="n">
        <f aca="false">-BQ28</f>
        <v>-0</v>
      </c>
      <c r="BR75" s="19" t="n">
        <f aca="false">-BR28</f>
        <v>-0</v>
      </c>
      <c r="BS75" s="19" t="n">
        <f aca="false">-BS28</f>
        <v>-0</v>
      </c>
      <c r="BT75" s="19" t="n">
        <f aca="false">-BT28</f>
        <v>-0</v>
      </c>
      <c r="BU75" s="19" t="n">
        <f aca="false">-BU28</f>
        <v>-0</v>
      </c>
      <c r="BV75" s="19" t="n">
        <f aca="false">-BV28</f>
        <v>-0</v>
      </c>
      <c r="BW75" s="19" t="n">
        <f aca="false">-BW28</f>
        <v>-0</v>
      </c>
      <c r="BX75" s="19" t="n">
        <f aca="false">-BX28</f>
        <v>-0</v>
      </c>
      <c r="BY75" s="19" t="n">
        <f aca="false">-BY28</f>
        <v>-0</v>
      </c>
      <c r="BZ75" s="19" t="n">
        <f aca="false">-BZ28</f>
        <v>-0</v>
      </c>
      <c r="CA75" s="19" t="n">
        <f aca="false">-CA28</f>
        <v>-0</v>
      </c>
      <c r="CB75" s="19" t="n">
        <f aca="false">-CB28</f>
        <v>-0</v>
      </c>
      <c r="CC75" s="19" t="n">
        <f aca="false">-CC28</f>
        <v>-0</v>
      </c>
      <c r="CD75" s="19" t="n">
        <f aca="false">-CD28</f>
        <v>-0</v>
      </c>
      <c r="CE75" s="19" t="n">
        <f aca="false">-CE28</f>
        <v>-0</v>
      </c>
      <c r="CF75" s="19" t="n">
        <f aca="false">-CF28</f>
        <v>-0</v>
      </c>
      <c r="CG75" s="19" t="n">
        <f aca="false">-CG28</f>
        <v>-0</v>
      </c>
      <c r="CH75" s="19" t="n">
        <f aca="false">-CH28</f>
        <v>-0</v>
      </c>
      <c r="CI75" s="19" t="n">
        <f aca="false">-CI28</f>
        <v>-0</v>
      </c>
      <c r="CJ75" s="19" t="n">
        <f aca="false">-CJ28</f>
        <v>-0</v>
      </c>
      <c r="CK75" s="19" t="n">
        <f aca="false">-CK28</f>
        <v>-0</v>
      </c>
      <c r="CL75" s="19" t="n">
        <f aca="false">-CL28</f>
        <v>-0</v>
      </c>
      <c r="CM75" s="19" t="n">
        <f aca="false">-CM28</f>
        <v>-0</v>
      </c>
      <c r="CN75" s="19" t="n">
        <f aca="false">-CN28</f>
        <v>-0</v>
      </c>
      <c r="CO75" s="19" t="n">
        <f aca="false">-CO28</f>
        <v>-0</v>
      </c>
      <c r="CP75" s="19" t="n">
        <f aca="false">-CP28</f>
        <v>-0</v>
      </c>
      <c r="CQ75" s="19" t="n">
        <f aca="false">-CQ28</f>
        <v>-0</v>
      </c>
      <c r="CR75" s="19" t="n">
        <f aca="false">-CR28</f>
        <v>-0</v>
      </c>
      <c r="CS75" s="19" t="n">
        <f aca="false">-CS28</f>
        <v>-0</v>
      </c>
      <c r="CT75" s="19" t="n">
        <f aca="false">-CT28</f>
        <v>-0</v>
      </c>
      <c r="CU75" s="19" t="n">
        <f aca="false">-CU28</f>
        <v>-0</v>
      </c>
      <c r="CV75" s="19" t="n">
        <f aca="false">-CV28</f>
        <v>-0</v>
      </c>
      <c r="CW75" s="19" t="n">
        <f aca="false">-CW28</f>
        <v>-0</v>
      </c>
      <c r="CX75" s="19" t="n">
        <f aca="false">-CX28</f>
        <v>-0</v>
      </c>
      <c r="CY75" s="19" t="n">
        <f aca="false">-CY28</f>
        <v>-0</v>
      </c>
      <c r="CZ75" s="19" t="n">
        <f aca="false">-CZ28</f>
        <v>-0</v>
      </c>
      <c r="DA75" s="19" t="n">
        <f aca="false">-DA28</f>
        <v>-0</v>
      </c>
      <c r="DB75" s="19" t="n">
        <f aca="false">-DB28</f>
        <v>-0</v>
      </c>
      <c r="DC75" s="19" t="n">
        <f aca="false">-DC28</f>
        <v>-0</v>
      </c>
      <c r="DD75" s="19" t="n">
        <f aca="false">-DD28</f>
        <v>-0</v>
      </c>
      <c r="DE75" s="19" t="n">
        <f aca="false">-DE28</f>
        <v>-0</v>
      </c>
    </row>
    <row r="76" customFormat="false" ht="15" hidden="true" customHeight="true" outlineLevel="1" collapsed="false">
      <c r="A76" s="28" t="s">
        <v>23</v>
      </c>
      <c r="B76" s="19" t="n">
        <v>0</v>
      </c>
      <c r="C76" s="19" t="n">
        <v>0</v>
      </c>
      <c r="D76" s="19" t="n">
        <v>0</v>
      </c>
      <c r="E76" s="19" t="n">
        <v>0</v>
      </c>
      <c r="F76" s="19" t="n">
        <f aca="false">-F29</f>
        <v>-0</v>
      </c>
      <c r="G76" s="19" t="n">
        <f aca="false">-G29</f>
        <v>-0</v>
      </c>
      <c r="H76" s="19" t="n">
        <f aca="false">-H29</f>
        <v>-0</v>
      </c>
      <c r="I76" s="19" t="n">
        <f aca="false">-I29</f>
        <v>-0</v>
      </c>
      <c r="J76" s="19" t="n">
        <f aca="false">-J29</f>
        <v>-0</v>
      </c>
      <c r="K76" s="19" t="n">
        <f aca="false">-K29</f>
        <v>-0</v>
      </c>
      <c r="L76" s="19" t="n">
        <f aca="false">-L29</f>
        <v>-0</v>
      </c>
      <c r="M76" s="19" t="n">
        <f aca="false">-M29</f>
        <v>-0</v>
      </c>
      <c r="N76" s="19" t="n">
        <f aca="false">-N29</f>
        <v>-0</v>
      </c>
      <c r="O76" s="19" t="n">
        <f aca="false">-O29</f>
        <v>-0</v>
      </c>
      <c r="P76" s="19" t="n">
        <f aca="false">-P29</f>
        <v>-0</v>
      </c>
      <c r="Q76" s="19" t="n">
        <f aca="false">-Q29</f>
        <v>-0</v>
      </c>
      <c r="R76" s="19" t="n">
        <f aca="false">-R29</f>
        <v>-0</v>
      </c>
      <c r="S76" s="19" t="n">
        <f aca="false">-S29</f>
        <v>-0</v>
      </c>
      <c r="T76" s="19" t="n">
        <f aca="false">-T29</f>
        <v>-0</v>
      </c>
      <c r="U76" s="19" t="n">
        <f aca="false">-U29</f>
        <v>-0</v>
      </c>
      <c r="V76" s="19" t="n">
        <f aca="false">-V29</f>
        <v>-0</v>
      </c>
      <c r="W76" s="19" t="n">
        <f aca="false">-W29</f>
        <v>-0</v>
      </c>
      <c r="X76" s="19" t="n">
        <f aca="false">-X29</f>
        <v>-544360.803130946</v>
      </c>
      <c r="Y76" s="19" t="n">
        <f aca="false">-Y29</f>
        <v>-700625.211272466</v>
      </c>
      <c r="Z76" s="19" t="n">
        <f aca="false">-Z29</f>
        <v>-868827.179100646</v>
      </c>
      <c r="AA76" s="19" t="n">
        <f aca="false">-AA29</f>
        <v>-1042259.65002005</v>
      </c>
      <c r="AB76" s="19" t="n">
        <f aca="false">-AB29</f>
        <v>-1212588.85594753</v>
      </c>
      <c r="AC76" s="19" t="n">
        <f aca="false">-AC29</f>
        <v>-1370354.84392385</v>
      </c>
      <c r="AD76" s="19" t="n">
        <f aca="false">-AD29</f>
        <v>-1505872.42401455</v>
      </c>
      <c r="AE76" s="19" t="n">
        <f aca="false">-AE29</f>
        <v>-1610157.14354141</v>
      </c>
      <c r="AF76" s="19" t="n">
        <f aca="false">-AF29</f>
        <v>-1675926.34030565</v>
      </c>
      <c r="AG76" s="19" t="n">
        <f aca="false">-AG29</f>
        <v>-1698399.98516649</v>
      </c>
      <c r="AH76" s="19" t="n">
        <f aca="false">-AH29</f>
        <v>-1675926.34030565</v>
      </c>
      <c r="AI76" s="19" t="n">
        <f aca="false">-AI29</f>
        <v>-1610157.14354141</v>
      </c>
      <c r="AJ76" s="19" t="n">
        <f aca="false">-AJ29</f>
        <v>-1505872.42401455</v>
      </c>
      <c r="AK76" s="19" t="n">
        <f aca="false">-AK29</f>
        <v>-1370354.84392385</v>
      </c>
      <c r="AL76" s="19" t="n">
        <f aca="false">-AL29</f>
        <v>-1212588.85594753</v>
      </c>
      <c r="AM76" s="19" t="n">
        <f aca="false">-AM29</f>
        <v>-1042259.65002005</v>
      </c>
      <c r="AN76" s="19" t="n">
        <f aca="false">-AN29</f>
        <v>-868827.179100646</v>
      </c>
      <c r="AO76" s="19" t="n">
        <f aca="false">-AO29</f>
        <v>-700625.211272466</v>
      </c>
      <c r="AP76" s="19" t="n">
        <f aca="false">-AP29</f>
        <v>-544360.803130946</v>
      </c>
      <c r="AQ76" s="19" t="n">
        <f aca="false">-AQ29</f>
        <v>119262.404858914</v>
      </c>
      <c r="AR76" s="19" t="n">
        <f aca="false">-AR29</f>
        <v>119262.404858914</v>
      </c>
      <c r="AS76" s="19" t="n">
        <f aca="false">-AS29</f>
        <v>119262.404858914</v>
      </c>
      <c r="AT76" s="19" t="n">
        <f aca="false">-AT29</f>
        <v>119262.404858914</v>
      </c>
      <c r="AU76" s="19" t="n">
        <f aca="false">-AU29</f>
        <v>269909.653101753</v>
      </c>
      <c r="AV76" s="19" t="n">
        <f aca="false">-AV29</f>
        <v>-0</v>
      </c>
      <c r="AW76" s="19" t="n">
        <f aca="false">-AW29</f>
        <v>-0</v>
      </c>
      <c r="AX76" s="19" t="n">
        <f aca="false">-AX29</f>
        <v>-0</v>
      </c>
      <c r="AY76" s="19" t="n">
        <f aca="false">-AY29</f>
        <v>-0</v>
      </c>
      <c r="AZ76" s="19" t="n">
        <f aca="false">-AZ29</f>
        <v>-0</v>
      </c>
      <c r="BA76" s="19" t="n">
        <f aca="false">-BA29</f>
        <v>-0</v>
      </c>
      <c r="BB76" s="19" t="n">
        <f aca="false">-BB29</f>
        <v>-0</v>
      </c>
      <c r="BC76" s="19" t="n">
        <f aca="false">-BC29</f>
        <v>-0</v>
      </c>
      <c r="BD76" s="19" t="n">
        <f aca="false">-BD29</f>
        <v>-0</v>
      </c>
      <c r="BE76" s="19" t="n">
        <f aca="false">-BE29</f>
        <v>-0</v>
      </c>
      <c r="BF76" s="19" t="n">
        <f aca="false">-BF29</f>
        <v>-0</v>
      </c>
      <c r="BG76" s="19" t="n">
        <f aca="false">-BG29</f>
        <v>-0</v>
      </c>
      <c r="BH76" s="19" t="n">
        <f aca="false">-BH29</f>
        <v>-0</v>
      </c>
      <c r="BI76" s="19" t="n">
        <f aca="false">-BI29</f>
        <v>-0</v>
      </c>
      <c r="BJ76" s="19" t="n">
        <f aca="false">-BJ29</f>
        <v>-0</v>
      </c>
      <c r="BK76" s="19" t="n">
        <f aca="false">-BK29</f>
        <v>-0</v>
      </c>
      <c r="BL76" s="19" t="n">
        <f aca="false">-BL29</f>
        <v>-0</v>
      </c>
      <c r="BM76" s="19" t="n">
        <f aca="false">-BM29</f>
        <v>-0</v>
      </c>
      <c r="BN76" s="19" t="n">
        <f aca="false">-BN29</f>
        <v>-0</v>
      </c>
      <c r="BO76" s="19" t="n">
        <f aca="false">-BO29</f>
        <v>-0</v>
      </c>
      <c r="BP76" s="19" t="n">
        <f aca="false">-BP29</f>
        <v>-0</v>
      </c>
      <c r="BQ76" s="19" t="n">
        <f aca="false">-BQ29</f>
        <v>-0</v>
      </c>
      <c r="BR76" s="19" t="n">
        <f aca="false">-BR29</f>
        <v>-0</v>
      </c>
      <c r="BS76" s="19" t="n">
        <f aca="false">-BS29</f>
        <v>-0</v>
      </c>
      <c r="BT76" s="19" t="n">
        <f aca="false">-BT29</f>
        <v>-0</v>
      </c>
      <c r="BU76" s="19" t="n">
        <f aca="false">-BU29</f>
        <v>-0</v>
      </c>
      <c r="BV76" s="19" t="n">
        <f aca="false">-BV29</f>
        <v>-0</v>
      </c>
      <c r="BW76" s="19" t="n">
        <f aca="false">-BW29</f>
        <v>-0</v>
      </c>
      <c r="BX76" s="19" t="n">
        <f aca="false">-BX29</f>
        <v>-0</v>
      </c>
      <c r="BY76" s="19" t="n">
        <f aca="false">-BY29</f>
        <v>-0</v>
      </c>
      <c r="BZ76" s="19" t="n">
        <f aca="false">-BZ29</f>
        <v>-0</v>
      </c>
      <c r="CA76" s="19" t="n">
        <f aca="false">-CA29</f>
        <v>-0</v>
      </c>
      <c r="CB76" s="19" t="n">
        <f aca="false">-CB29</f>
        <v>-0</v>
      </c>
      <c r="CC76" s="19" t="n">
        <f aca="false">-CC29</f>
        <v>-0</v>
      </c>
      <c r="CD76" s="19" t="n">
        <f aca="false">-CD29</f>
        <v>-0</v>
      </c>
      <c r="CE76" s="19" t="n">
        <f aca="false">-CE29</f>
        <v>-0</v>
      </c>
      <c r="CF76" s="19" t="n">
        <f aca="false">-CF29</f>
        <v>-0</v>
      </c>
      <c r="CG76" s="19" t="n">
        <f aca="false">-CG29</f>
        <v>-0</v>
      </c>
      <c r="CH76" s="19" t="n">
        <f aca="false">-CH29</f>
        <v>-0</v>
      </c>
      <c r="CI76" s="19" t="n">
        <f aca="false">-CI29</f>
        <v>-0</v>
      </c>
      <c r="CJ76" s="19" t="n">
        <f aca="false">-CJ29</f>
        <v>-0</v>
      </c>
      <c r="CK76" s="19" t="n">
        <f aca="false">-CK29</f>
        <v>-0</v>
      </c>
      <c r="CL76" s="19" t="n">
        <f aca="false">-CL29</f>
        <v>-0</v>
      </c>
      <c r="CM76" s="19" t="n">
        <f aca="false">-CM29</f>
        <v>-0</v>
      </c>
      <c r="CN76" s="19" t="n">
        <f aca="false">-CN29</f>
        <v>-0</v>
      </c>
      <c r="CO76" s="19" t="n">
        <f aca="false">-CO29</f>
        <v>-0</v>
      </c>
      <c r="CP76" s="19" t="n">
        <f aca="false">-CP29</f>
        <v>-0</v>
      </c>
      <c r="CQ76" s="19" t="n">
        <f aca="false">-CQ29</f>
        <v>-0</v>
      </c>
      <c r="CR76" s="19" t="n">
        <f aca="false">-CR29</f>
        <v>-0</v>
      </c>
      <c r="CS76" s="19" t="n">
        <f aca="false">-CS29</f>
        <v>-0</v>
      </c>
      <c r="CT76" s="19" t="n">
        <f aca="false">-CT29</f>
        <v>-0</v>
      </c>
      <c r="CU76" s="19" t="n">
        <f aca="false">-CU29</f>
        <v>-0</v>
      </c>
      <c r="CV76" s="19" t="n">
        <f aca="false">-CV29</f>
        <v>-0</v>
      </c>
      <c r="CW76" s="19" t="n">
        <f aca="false">-CW29</f>
        <v>-0</v>
      </c>
      <c r="CX76" s="19" t="n">
        <f aca="false">-CX29</f>
        <v>-0</v>
      </c>
      <c r="CY76" s="19" t="n">
        <f aca="false">-CY29</f>
        <v>-0</v>
      </c>
      <c r="CZ76" s="19" t="n">
        <f aca="false">-CZ29</f>
        <v>-0</v>
      </c>
      <c r="DA76" s="19" t="n">
        <f aca="false">-DA29</f>
        <v>-0</v>
      </c>
      <c r="DB76" s="19" t="n">
        <f aca="false">-DB29</f>
        <v>-0</v>
      </c>
      <c r="DC76" s="19" t="n">
        <f aca="false">-DC29</f>
        <v>-0</v>
      </c>
      <c r="DD76" s="19" t="n">
        <f aca="false">-DD29</f>
        <v>-0</v>
      </c>
      <c r="DE76" s="19" t="n">
        <f aca="false">-DE29</f>
        <v>-0</v>
      </c>
    </row>
    <row r="77" customFormat="false" ht="15" hidden="true" customHeight="true" outlineLevel="1" collapsed="false">
      <c r="A77" s="28" t="s">
        <v>24</v>
      </c>
      <c r="B77" s="19" t="n">
        <v>0</v>
      </c>
      <c r="C77" s="19" t="n">
        <v>0</v>
      </c>
      <c r="D77" s="19" t="n">
        <v>0</v>
      </c>
      <c r="E77" s="19" t="n">
        <v>0</v>
      </c>
      <c r="F77" s="19" t="n">
        <f aca="false">-F30</f>
        <v>-0</v>
      </c>
      <c r="G77" s="19" t="n">
        <f aca="false">-G30</f>
        <v>-0</v>
      </c>
      <c r="H77" s="19" t="n">
        <f aca="false">-H30</f>
        <v>-0</v>
      </c>
      <c r="I77" s="19" t="n">
        <f aca="false">-I30</f>
        <v>-0</v>
      </c>
      <c r="J77" s="19" t="n">
        <f aca="false">-J30</f>
        <v>-0</v>
      </c>
      <c r="K77" s="19" t="n">
        <f aca="false">-K30</f>
        <v>-0</v>
      </c>
      <c r="L77" s="19" t="n">
        <f aca="false">-L30</f>
        <v>-0</v>
      </c>
      <c r="M77" s="19" t="n">
        <f aca="false">-M30</f>
        <v>-0</v>
      </c>
      <c r="N77" s="19" t="n">
        <f aca="false">-N30</f>
        <v>-311346.196127688</v>
      </c>
      <c r="O77" s="19" t="n">
        <f aca="false">-O30</f>
        <v>-406189.488762688</v>
      </c>
      <c r="P77" s="19" t="n">
        <f aca="false">-P30</f>
        <v>-508278.177071438</v>
      </c>
      <c r="Q77" s="19" t="n">
        <f aca="false">-Q30</f>
        <v>-613541.472708938</v>
      </c>
      <c r="R77" s="19" t="n">
        <f aca="false">-R30</f>
        <v>-716921.269261438</v>
      </c>
      <c r="S77" s="19" t="n">
        <f aca="false">-S30</f>
        <v>-812675.932421438</v>
      </c>
      <c r="T77" s="19" t="n">
        <f aca="false">-T30</f>
        <v>-894927.122302687</v>
      </c>
      <c r="U77" s="19" t="n">
        <f aca="false">-U30</f>
        <v>-958221.805263938</v>
      </c>
      <c r="V77" s="19" t="n">
        <f aca="false">-V30</f>
        <v>-998139.834258938</v>
      </c>
      <c r="W77" s="19" t="n">
        <f aca="false">-W30</f>
        <v>-1011780.01311644</v>
      </c>
      <c r="X77" s="19" t="n">
        <f aca="false">-X30</f>
        <v>-998139.834258938</v>
      </c>
      <c r="Y77" s="19" t="n">
        <f aca="false">-Y30</f>
        <v>-958221.805263938</v>
      </c>
      <c r="Z77" s="19" t="n">
        <f aca="false">-Z30</f>
        <v>-894927.122302687</v>
      </c>
      <c r="AA77" s="19" t="n">
        <f aca="false">-AA30</f>
        <v>-812675.932421438</v>
      </c>
      <c r="AB77" s="19" t="n">
        <f aca="false">-AB30</f>
        <v>-716921.269261438</v>
      </c>
      <c r="AC77" s="19" t="n">
        <f aca="false">-AC30</f>
        <v>-613541.472708938</v>
      </c>
      <c r="AD77" s="19" t="n">
        <f aca="false">-AD30</f>
        <v>-508278.177071438</v>
      </c>
      <c r="AE77" s="19" t="n">
        <f aca="false">-AE30</f>
        <v>-406189.488762688</v>
      </c>
      <c r="AF77" s="19" t="n">
        <f aca="false">-AF30</f>
        <v>-219912.188731625</v>
      </c>
      <c r="AG77" s="19" t="n">
        <f aca="false">-AG30</f>
        <v>-0</v>
      </c>
      <c r="AH77" s="19" t="n">
        <f aca="false">-AH30</f>
        <v>-0</v>
      </c>
      <c r="AI77" s="19" t="n">
        <f aca="false">-AI30</f>
        <v>-0</v>
      </c>
      <c r="AJ77" s="19" t="n">
        <f aca="false">-AJ30</f>
        <v>-0</v>
      </c>
      <c r="AK77" s="19" t="n">
        <f aca="false">-AK30</f>
        <v>-0</v>
      </c>
      <c r="AL77" s="19" t="n">
        <f aca="false">-AL30</f>
        <v>-0</v>
      </c>
      <c r="AM77" s="19" t="n">
        <f aca="false">-AM30</f>
        <v>-0</v>
      </c>
      <c r="AN77" s="19" t="n">
        <f aca="false">-AN30</f>
        <v>-0</v>
      </c>
      <c r="AO77" s="19" t="n">
        <f aca="false">-AO30</f>
        <v>-0</v>
      </c>
      <c r="AP77" s="19" t="n">
        <f aca="false">-AP30</f>
        <v>-0</v>
      </c>
      <c r="AQ77" s="19" t="n">
        <f aca="false">-AQ30</f>
        <v>-0</v>
      </c>
      <c r="AR77" s="19" t="n">
        <f aca="false">-AR30</f>
        <v>-0</v>
      </c>
      <c r="AS77" s="19" t="n">
        <f aca="false">-AS30</f>
        <v>-0</v>
      </c>
      <c r="AT77" s="19" t="n">
        <f aca="false">-AT30</f>
        <v>-0</v>
      </c>
      <c r="AU77" s="19" t="n">
        <f aca="false">-AU30</f>
        <v>-0</v>
      </c>
      <c r="AV77" s="19" t="n">
        <f aca="false">-AV30</f>
        <v>-0</v>
      </c>
      <c r="AW77" s="19" t="n">
        <f aca="false">-AW30</f>
        <v>-0</v>
      </c>
      <c r="AX77" s="19" t="n">
        <f aca="false">-AX30</f>
        <v>-0</v>
      </c>
      <c r="AY77" s="19" t="n">
        <f aca="false">-AY30</f>
        <v>-0</v>
      </c>
      <c r="AZ77" s="19" t="n">
        <f aca="false">-AZ30</f>
        <v>-0</v>
      </c>
      <c r="BA77" s="19" t="n">
        <f aca="false">-BA30</f>
        <v>-0</v>
      </c>
      <c r="BB77" s="19" t="n">
        <f aca="false">-BB30</f>
        <v>-0</v>
      </c>
      <c r="BC77" s="19" t="n">
        <f aca="false">-BC30</f>
        <v>-0</v>
      </c>
      <c r="BD77" s="19" t="n">
        <f aca="false">-BD30</f>
        <v>-0</v>
      </c>
      <c r="BE77" s="19" t="n">
        <f aca="false">-BE30</f>
        <v>-0</v>
      </c>
      <c r="BF77" s="19" t="n">
        <f aca="false">-BF30</f>
        <v>-0</v>
      </c>
      <c r="BG77" s="19" t="n">
        <f aca="false">-BG30</f>
        <v>-0</v>
      </c>
      <c r="BH77" s="19" t="n">
        <f aca="false">-BH30</f>
        <v>-0</v>
      </c>
      <c r="BI77" s="19" t="n">
        <f aca="false">-BI30</f>
        <v>-0</v>
      </c>
      <c r="BJ77" s="19" t="n">
        <f aca="false">-BJ30</f>
        <v>-0</v>
      </c>
      <c r="BK77" s="19" t="n">
        <f aca="false">-BK30</f>
        <v>-0</v>
      </c>
      <c r="BL77" s="19" t="n">
        <f aca="false">-BL30</f>
        <v>-0</v>
      </c>
      <c r="BM77" s="19" t="n">
        <f aca="false">-BM30</f>
        <v>-0</v>
      </c>
      <c r="BN77" s="19" t="n">
        <f aca="false">-BN30</f>
        <v>-0</v>
      </c>
      <c r="BO77" s="19" t="n">
        <f aca="false">-BO30</f>
        <v>-0</v>
      </c>
      <c r="BP77" s="19" t="n">
        <f aca="false">-BP30</f>
        <v>-0</v>
      </c>
      <c r="BQ77" s="19" t="n">
        <f aca="false">-BQ30</f>
        <v>-0</v>
      </c>
      <c r="BR77" s="19" t="n">
        <f aca="false">-BR30</f>
        <v>-0</v>
      </c>
      <c r="BS77" s="19" t="n">
        <f aca="false">-BS30</f>
        <v>-0</v>
      </c>
      <c r="BT77" s="19" t="n">
        <f aca="false">-BT30</f>
        <v>-0</v>
      </c>
      <c r="BU77" s="19" t="n">
        <f aca="false">-BU30</f>
        <v>-0</v>
      </c>
      <c r="BV77" s="19" t="n">
        <f aca="false">-BV30</f>
        <v>-0</v>
      </c>
      <c r="BW77" s="19" t="n">
        <f aca="false">-BW30</f>
        <v>-0</v>
      </c>
      <c r="BX77" s="19" t="n">
        <f aca="false">-BX30</f>
        <v>-0</v>
      </c>
      <c r="BY77" s="19" t="n">
        <f aca="false">-BY30</f>
        <v>-0</v>
      </c>
      <c r="BZ77" s="19" t="n">
        <f aca="false">-BZ30</f>
        <v>-0</v>
      </c>
      <c r="CA77" s="19" t="n">
        <f aca="false">-CA30</f>
        <v>-0</v>
      </c>
      <c r="CB77" s="19" t="n">
        <f aca="false">-CB30</f>
        <v>-0</v>
      </c>
      <c r="CC77" s="19" t="n">
        <f aca="false">-CC30</f>
        <v>-0</v>
      </c>
      <c r="CD77" s="19" t="n">
        <f aca="false">-CD30</f>
        <v>-0</v>
      </c>
      <c r="CE77" s="19" t="n">
        <f aca="false">-CE30</f>
        <v>-0</v>
      </c>
      <c r="CF77" s="19" t="n">
        <f aca="false">-CF30</f>
        <v>-0</v>
      </c>
      <c r="CG77" s="19" t="n">
        <f aca="false">-CG30</f>
        <v>-0</v>
      </c>
      <c r="CH77" s="19" t="n">
        <f aca="false">-CH30</f>
        <v>-0</v>
      </c>
      <c r="CI77" s="19" t="n">
        <f aca="false">-CI30</f>
        <v>-0</v>
      </c>
      <c r="CJ77" s="19" t="n">
        <f aca="false">-CJ30</f>
        <v>-0</v>
      </c>
      <c r="CK77" s="19" t="n">
        <f aca="false">-CK30</f>
        <v>-0</v>
      </c>
      <c r="CL77" s="19" t="n">
        <f aca="false">-CL30</f>
        <v>-0</v>
      </c>
      <c r="CM77" s="19" t="n">
        <f aca="false">-CM30</f>
        <v>-0</v>
      </c>
      <c r="CN77" s="19" t="n">
        <f aca="false">-CN30</f>
        <v>-0</v>
      </c>
      <c r="CO77" s="19" t="n">
        <f aca="false">-CO30</f>
        <v>-0</v>
      </c>
      <c r="CP77" s="19" t="n">
        <f aca="false">-CP30</f>
        <v>-0</v>
      </c>
      <c r="CQ77" s="19" t="n">
        <f aca="false">-CQ30</f>
        <v>-0</v>
      </c>
      <c r="CR77" s="19" t="n">
        <f aca="false">-CR30</f>
        <v>-0</v>
      </c>
      <c r="CS77" s="19" t="n">
        <f aca="false">-CS30</f>
        <v>-0</v>
      </c>
      <c r="CT77" s="19" t="n">
        <f aca="false">-CT30</f>
        <v>-0</v>
      </c>
      <c r="CU77" s="19" t="n">
        <f aca="false">-CU30</f>
        <v>-0</v>
      </c>
      <c r="CV77" s="19" t="n">
        <f aca="false">-CV30</f>
        <v>-0</v>
      </c>
      <c r="CW77" s="19" t="n">
        <f aca="false">-CW30</f>
        <v>-0</v>
      </c>
      <c r="CX77" s="19" t="n">
        <f aca="false">-CX30</f>
        <v>-0</v>
      </c>
      <c r="CY77" s="19" t="n">
        <f aca="false">-CY30</f>
        <v>-0</v>
      </c>
      <c r="CZ77" s="19" t="n">
        <f aca="false">-CZ30</f>
        <v>-0</v>
      </c>
      <c r="DA77" s="19" t="n">
        <f aca="false">-DA30</f>
        <v>-0</v>
      </c>
      <c r="DB77" s="19" t="n">
        <f aca="false">-DB30</f>
        <v>-0</v>
      </c>
      <c r="DC77" s="19" t="n">
        <f aca="false">-DC30</f>
        <v>-0</v>
      </c>
      <c r="DD77" s="19" t="n">
        <f aca="false">-DD30</f>
        <v>-0</v>
      </c>
      <c r="DE77" s="19" t="n">
        <f aca="false">-DE30</f>
        <v>-0</v>
      </c>
    </row>
    <row r="78" customFormat="false" ht="15" hidden="true" customHeight="true" outlineLevel="1" collapsed="false">
      <c r="A78" s="28" t="s">
        <v>25</v>
      </c>
      <c r="B78" s="19" t="n">
        <v>0</v>
      </c>
      <c r="C78" s="19" t="n">
        <v>0</v>
      </c>
      <c r="D78" s="19" t="n">
        <v>0</v>
      </c>
      <c r="E78" s="19" t="n">
        <v>0</v>
      </c>
      <c r="F78" s="19" t="n">
        <f aca="false">-F31</f>
        <v>-0</v>
      </c>
      <c r="G78" s="19" t="n">
        <f aca="false">-G31</f>
        <v>-0</v>
      </c>
      <c r="H78" s="19" t="n">
        <f aca="false">-H31</f>
        <v>-0</v>
      </c>
      <c r="I78" s="19" t="n">
        <f aca="false">-I31</f>
        <v>-0</v>
      </c>
      <c r="J78" s="19" t="n">
        <f aca="false">-J31</f>
        <v>-0</v>
      </c>
      <c r="K78" s="19" t="n">
        <f aca="false">-K31</f>
        <v>-0</v>
      </c>
      <c r="L78" s="19" t="n">
        <f aca="false">-L31</f>
        <v>-0</v>
      </c>
      <c r="M78" s="19" t="n">
        <f aca="false">-M31</f>
        <v>-0</v>
      </c>
      <c r="N78" s="19" t="n">
        <f aca="false">-N31</f>
        <v>-0</v>
      </c>
      <c r="O78" s="19" t="n">
        <f aca="false">-O31</f>
        <v>-0</v>
      </c>
      <c r="P78" s="19" t="n">
        <f aca="false">-P31</f>
        <v>-0</v>
      </c>
      <c r="Q78" s="19" t="n">
        <f aca="false">-Q31</f>
        <v>-0</v>
      </c>
      <c r="R78" s="19" t="n">
        <f aca="false">-R31</f>
        <v>-0</v>
      </c>
      <c r="S78" s="19" t="n">
        <f aca="false">-S31</f>
        <v>-0</v>
      </c>
      <c r="T78" s="19" t="n">
        <f aca="false">-T31</f>
        <v>-0</v>
      </c>
      <c r="U78" s="19" t="n">
        <f aca="false">-U31</f>
        <v>-0</v>
      </c>
      <c r="V78" s="19" t="n">
        <f aca="false">-V31</f>
        <v>-0</v>
      </c>
      <c r="W78" s="19" t="n">
        <f aca="false">-W31</f>
        <v>-0</v>
      </c>
      <c r="X78" s="19" t="n">
        <f aca="false">-X31</f>
        <v>-0</v>
      </c>
      <c r="Y78" s="19" t="n">
        <f aca="false">-Y31</f>
        <v>-0</v>
      </c>
      <c r="Z78" s="19" t="n">
        <f aca="false">-Z31</f>
        <v>-0</v>
      </c>
      <c r="AA78" s="19" t="n">
        <f aca="false">-AA31</f>
        <v>-0</v>
      </c>
      <c r="AB78" s="19" t="n">
        <f aca="false">-AB31</f>
        <v>-0</v>
      </c>
      <c r="AC78" s="19" t="n">
        <f aca="false">-AC31</f>
        <v>-0</v>
      </c>
      <c r="AD78" s="19" t="n">
        <f aca="false">-AD31</f>
        <v>-0</v>
      </c>
      <c r="AE78" s="19" t="n">
        <f aca="false">-AE31</f>
        <v>-0</v>
      </c>
      <c r="AF78" s="19" t="n">
        <f aca="false">-AF31</f>
        <v>-0</v>
      </c>
      <c r="AG78" s="19" t="n">
        <f aca="false">-AG31</f>
        <v>-0</v>
      </c>
      <c r="AH78" s="19" t="n">
        <f aca="false">-AH31</f>
        <v>-0</v>
      </c>
      <c r="AI78" s="19" t="n">
        <f aca="false">-AI31</f>
        <v>-0</v>
      </c>
      <c r="AJ78" s="19" t="n">
        <f aca="false">-AJ31</f>
        <v>-0</v>
      </c>
      <c r="AK78" s="19" t="n">
        <f aca="false">-AK31</f>
        <v>-0</v>
      </c>
      <c r="AL78" s="19" t="n">
        <f aca="false">-AL31</f>
        <v>-0</v>
      </c>
      <c r="AM78" s="19" t="n">
        <f aca="false">-AM31</f>
        <v>-0</v>
      </c>
      <c r="AN78" s="19" t="n">
        <f aca="false">-AN31</f>
        <v>-0</v>
      </c>
      <c r="AO78" s="19" t="n">
        <f aca="false">-AO31</f>
        <v>-0</v>
      </c>
      <c r="AP78" s="19" t="n">
        <f aca="false">-AP31</f>
        <v>-0</v>
      </c>
      <c r="AQ78" s="19" t="n">
        <f aca="false">-AQ31</f>
        <v>-0</v>
      </c>
      <c r="AR78" s="19" t="n">
        <f aca="false">-AR31</f>
        <v>-0</v>
      </c>
      <c r="AS78" s="19" t="n">
        <f aca="false">-AS31</f>
        <v>-0</v>
      </c>
      <c r="AT78" s="19" t="n">
        <f aca="false">-AT31</f>
        <v>-0</v>
      </c>
      <c r="AU78" s="19" t="n">
        <f aca="false">-AU31</f>
        <v>-0</v>
      </c>
      <c r="AV78" s="19" t="n">
        <f aca="false">-AV31</f>
        <v>-0</v>
      </c>
      <c r="AW78" s="19" t="n">
        <f aca="false">-AW31</f>
        <v>-0</v>
      </c>
      <c r="AX78" s="19" t="n">
        <f aca="false">-AX31</f>
        <v>-0</v>
      </c>
      <c r="AY78" s="19" t="n">
        <f aca="false">-AY31</f>
        <v>-0</v>
      </c>
      <c r="AZ78" s="19" t="n">
        <f aca="false">-AZ31</f>
        <v>-0</v>
      </c>
      <c r="BA78" s="19" t="n">
        <f aca="false">-BA31</f>
        <v>-0</v>
      </c>
      <c r="BB78" s="19" t="n">
        <f aca="false">-BB31</f>
        <v>-0</v>
      </c>
      <c r="BC78" s="19" t="n">
        <f aca="false">-BC31</f>
        <v>-0</v>
      </c>
      <c r="BD78" s="19" t="n">
        <f aca="false">-BD31</f>
        <v>-0</v>
      </c>
      <c r="BE78" s="19" t="n">
        <f aca="false">-BE31</f>
        <v>-0</v>
      </c>
      <c r="BF78" s="19" t="n">
        <f aca="false">-BF31</f>
        <v>-0</v>
      </c>
      <c r="BG78" s="19" t="n">
        <f aca="false">-BG31</f>
        <v>-0</v>
      </c>
      <c r="BH78" s="19" t="n">
        <f aca="false">-BH31</f>
        <v>-0</v>
      </c>
      <c r="BI78" s="19" t="n">
        <f aca="false">-BI31</f>
        <v>-0</v>
      </c>
      <c r="BJ78" s="19" t="n">
        <f aca="false">-BJ31</f>
        <v>-0</v>
      </c>
      <c r="BK78" s="19" t="n">
        <f aca="false">-BK31</f>
        <v>-0</v>
      </c>
      <c r="BL78" s="19" t="n">
        <f aca="false">-BL31</f>
        <v>-0</v>
      </c>
      <c r="BM78" s="19" t="n">
        <f aca="false">-BM31</f>
        <v>-0</v>
      </c>
      <c r="BN78" s="19" t="n">
        <f aca="false">-BN31</f>
        <v>-0</v>
      </c>
      <c r="BO78" s="19" t="n">
        <f aca="false">-BO31</f>
        <v>-0</v>
      </c>
      <c r="BP78" s="19" t="n">
        <f aca="false">-BP31</f>
        <v>-0</v>
      </c>
      <c r="BQ78" s="19" t="n">
        <f aca="false">-BQ31</f>
        <v>-0</v>
      </c>
      <c r="BR78" s="19" t="n">
        <f aca="false">-BR31</f>
        <v>-0</v>
      </c>
      <c r="BS78" s="19" t="n">
        <f aca="false">-BS31</f>
        <v>-0</v>
      </c>
      <c r="BT78" s="19" t="n">
        <f aca="false">-BT31</f>
        <v>-0</v>
      </c>
      <c r="BU78" s="19" t="n">
        <f aca="false">-BU31</f>
        <v>-0</v>
      </c>
      <c r="BV78" s="19" t="n">
        <f aca="false">-BV31</f>
        <v>-0</v>
      </c>
      <c r="BW78" s="19" t="n">
        <f aca="false">-BW31</f>
        <v>-0</v>
      </c>
      <c r="BX78" s="19" t="n">
        <f aca="false">-BX31</f>
        <v>-0</v>
      </c>
      <c r="BY78" s="19" t="n">
        <f aca="false">-BY31</f>
        <v>-0</v>
      </c>
      <c r="BZ78" s="19" t="n">
        <f aca="false">-BZ31</f>
        <v>-0</v>
      </c>
      <c r="CA78" s="19" t="n">
        <f aca="false">-CA31</f>
        <v>-0</v>
      </c>
      <c r="CB78" s="19" t="n">
        <f aca="false">-CB31</f>
        <v>-0</v>
      </c>
      <c r="CC78" s="19" t="n">
        <f aca="false">-CC31</f>
        <v>-0</v>
      </c>
      <c r="CD78" s="19" t="n">
        <f aca="false">-CD31</f>
        <v>-0</v>
      </c>
      <c r="CE78" s="19" t="n">
        <f aca="false">-CE31</f>
        <v>-0</v>
      </c>
      <c r="CF78" s="19" t="n">
        <f aca="false">-CF31</f>
        <v>-0</v>
      </c>
      <c r="CG78" s="19" t="n">
        <f aca="false">-CG31</f>
        <v>-0</v>
      </c>
      <c r="CH78" s="19" t="n">
        <f aca="false">-CH31</f>
        <v>-0</v>
      </c>
      <c r="CI78" s="19" t="n">
        <f aca="false">-CI31</f>
        <v>-0</v>
      </c>
      <c r="CJ78" s="19" t="n">
        <f aca="false">-CJ31</f>
        <v>-0</v>
      </c>
      <c r="CK78" s="19" t="n">
        <f aca="false">-CK31</f>
        <v>-0</v>
      </c>
      <c r="CL78" s="19" t="n">
        <f aca="false">-CL31</f>
        <v>-0</v>
      </c>
      <c r="CM78" s="19" t="n">
        <f aca="false">-CM31</f>
        <v>-0</v>
      </c>
      <c r="CN78" s="19" t="n">
        <f aca="false">-CN31</f>
        <v>-0</v>
      </c>
      <c r="CO78" s="19" t="n">
        <f aca="false">-CO31</f>
        <v>-0</v>
      </c>
      <c r="CP78" s="19" t="n">
        <f aca="false">-CP31</f>
        <v>-0</v>
      </c>
      <c r="CQ78" s="19" t="n">
        <f aca="false">-CQ31</f>
        <v>-0</v>
      </c>
      <c r="CR78" s="19" t="n">
        <f aca="false">-CR31</f>
        <v>-0</v>
      </c>
      <c r="CS78" s="19" t="n">
        <f aca="false">-CS31</f>
        <v>-0</v>
      </c>
      <c r="CT78" s="19" t="n">
        <f aca="false">-CT31</f>
        <v>-0</v>
      </c>
      <c r="CU78" s="19" t="n">
        <f aca="false">-CU31</f>
        <v>-0</v>
      </c>
      <c r="CV78" s="19" t="n">
        <f aca="false">-CV31</f>
        <v>-0</v>
      </c>
      <c r="CW78" s="19" t="n">
        <f aca="false">-CW31</f>
        <v>-0</v>
      </c>
      <c r="CX78" s="19" t="n">
        <f aca="false">-CX31</f>
        <v>-0</v>
      </c>
      <c r="CY78" s="19" t="n">
        <f aca="false">-CY31</f>
        <v>-0</v>
      </c>
      <c r="CZ78" s="19" t="n">
        <f aca="false">-CZ31</f>
        <v>-0</v>
      </c>
      <c r="DA78" s="19" t="n">
        <f aca="false">-DA31</f>
        <v>-0</v>
      </c>
      <c r="DB78" s="19" t="n">
        <f aca="false">-DB31</f>
        <v>-0</v>
      </c>
      <c r="DC78" s="19" t="n">
        <f aca="false">-DC31</f>
        <v>-0</v>
      </c>
      <c r="DD78" s="19" t="n">
        <f aca="false">-DD31</f>
        <v>-0</v>
      </c>
      <c r="DE78" s="19" t="n">
        <f aca="false">-DE31</f>
        <v>-0</v>
      </c>
    </row>
    <row r="79" customFormat="false" ht="15" hidden="true" customHeight="true" outlineLevel="1" collapsed="false">
      <c r="A79" s="28" t="s">
        <v>26</v>
      </c>
      <c r="B79" s="19" t="n">
        <v>0</v>
      </c>
      <c r="C79" s="19" t="n">
        <v>0</v>
      </c>
      <c r="D79" s="19" t="n">
        <v>0</v>
      </c>
      <c r="E79" s="19" t="n">
        <v>0</v>
      </c>
      <c r="F79" s="19" t="n">
        <f aca="false">-F32</f>
        <v>-0</v>
      </c>
      <c r="G79" s="19" t="n">
        <f aca="false">-G32</f>
        <v>-0</v>
      </c>
      <c r="H79" s="19" t="n">
        <f aca="false">-H32</f>
        <v>-0</v>
      </c>
      <c r="I79" s="19" t="n">
        <f aca="false">-I32</f>
        <v>-0</v>
      </c>
      <c r="J79" s="19" t="n">
        <f aca="false">-J32</f>
        <v>-0</v>
      </c>
      <c r="K79" s="19" t="n">
        <f aca="false">-K32</f>
        <v>-0</v>
      </c>
      <c r="L79" s="19" t="n">
        <f aca="false">-L32</f>
        <v>-0</v>
      </c>
      <c r="M79" s="19" t="n">
        <f aca="false">-M32</f>
        <v>-0</v>
      </c>
      <c r="N79" s="19" t="n">
        <f aca="false">-N32</f>
        <v>-0</v>
      </c>
      <c r="O79" s="19" t="n">
        <f aca="false">-O32</f>
        <v>-0</v>
      </c>
      <c r="P79" s="19" t="n">
        <f aca="false">-P32</f>
        <v>-0</v>
      </c>
      <c r="Q79" s="19" t="n">
        <f aca="false">-Q32</f>
        <v>-0</v>
      </c>
      <c r="R79" s="19" t="n">
        <f aca="false">-R32</f>
        <v>-0</v>
      </c>
      <c r="S79" s="19" t="n">
        <f aca="false">-S32</f>
        <v>-0</v>
      </c>
      <c r="T79" s="19" t="n">
        <f aca="false">-T32</f>
        <v>-0</v>
      </c>
      <c r="U79" s="19" t="n">
        <f aca="false">-U32</f>
        <v>-0</v>
      </c>
      <c r="V79" s="19" t="n">
        <f aca="false">-V32</f>
        <v>-0</v>
      </c>
      <c r="W79" s="19" t="n">
        <f aca="false">-W32</f>
        <v>-0</v>
      </c>
      <c r="X79" s="19" t="n">
        <f aca="false">-X32</f>
        <v>-0</v>
      </c>
      <c r="Y79" s="19" t="n">
        <f aca="false">-Y32</f>
        <v>-0</v>
      </c>
      <c r="Z79" s="19" t="n">
        <f aca="false">-Z32</f>
        <v>-0</v>
      </c>
      <c r="AA79" s="19" t="n">
        <f aca="false">-AA32</f>
        <v>-0</v>
      </c>
      <c r="AB79" s="19" t="n">
        <f aca="false">-AB32</f>
        <v>-0</v>
      </c>
      <c r="AC79" s="19" t="n">
        <f aca="false">-AC32</f>
        <v>-0</v>
      </c>
      <c r="AD79" s="19" t="n">
        <f aca="false">-AD32</f>
        <v>-0</v>
      </c>
      <c r="AE79" s="19" t="n">
        <f aca="false">-AE32</f>
        <v>-0</v>
      </c>
      <c r="AF79" s="19" t="n">
        <f aca="false">-AF32</f>
        <v>-0</v>
      </c>
      <c r="AG79" s="19" t="n">
        <f aca="false">-AG32</f>
        <v>-0</v>
      </c>
      <c r="AH79" s="19" t="n">
        <f aca="false">-AH32</f>
        <v>-0</v>
      </c>
      <c r="AI79" s="19" t="n">
        <f aca="false">-AI32</f>
        <v>-0</v>
      </c>
      <c r="AJ79" s="19" t="n">
        <f aca="false">-AJ32</f>
        <v>-0</v>
      </c>
      <c r="AK79" s="19" t="n">
        <f aca="false">-AK32</f>
        <v>-0</v>
      </c>
      <c r="AL79" s="19" t="n">
        <f aca="false">-AL32</f>
        <v>-0</v>
      </c>
      <c r="AM79" s="19" t="n">
        <f aca="false">-AM32</f>
        <v>-0</v>
      </c>
      <c r="AN79" s="19" t="n">
        <f aca="false">-AN32</f>
        <v>-0</v>
      </c>
      <c r="AO79" s="19" t="n">
        <f aca="false">-AO32</f>
        <v>-0</v>
      </c>
      <c r="AP79" s="19" t="n">
        <f aca="false">-AP32</f>
        <v>-0</v>
      </c>
      <c r="AQ79" s="19" t="n">
        <f aca="false">-AQ32</f>
        <v>-0</v>
      </c>
      <c r="AR79" s="19" t="n">
        <f aca="false">-AR32</f>
        <v>-0</v>
      </c>
      <c r="AS79" s="19" t="n">
        <f aca="false">-AS32</f>
        <v>-0</v>
      </c>
      <c r="AT79" s="19" t="n">
        <f aca="false">-AT32</f>
        <v>-0</v>
      </c>
      <c r="AU79" s="19" t="n">
        <f aca="false">-AU32</f>
        <v>-0</v>
      </c>
      <c r="AV79" s="19" t="n">
        <f aca="false">-AV32</f>
        <v>-0</v>
      </c>
      <c r="AW79" s="19" t="n">
        <f aca="false">-AW32</f>
        <v>-0</v>
      </c>
      <c r="AX79" s="19" t="n">
        <f aca="false">-AX32</f>
        <v>-0</v>
      </c>
      <c r="AY79" s="19" t="n">
        <f aca="false">-AY32</f>
        <v>-0</v>
      </c>
      <c r="AZ79" s="19" t="n">
        <f aca="false">-AZ32</f>
        <v>-0</v>
      </c>
      <c r="BA79" s="19" t="n">
        <f aca="false">-BA32</f>
        <v>-0</v>
      </c>
      <c r="BB79" s="19" t="n">
        <f aca="false">-BB32</f>
        <v>-0</v>
      </c>
      <c r="BC79" s="19" t="n">
        <f aca="false">-BC32</f>
        <v>-0</v>
      </c>
      <c r="BD79" s="19" t="n">
        <f aca="false">-BD32</f>
        <v>-0</v>
      </c>
      <c r="BE79" s="19" t="n">
        <f aca="false">-BE32</f>
        <v>-0</v>
      </c>
      <c r="BF79" s="19" t="n">
        <f aca="false">-BF32</f>
        <v>-0</v>
      </c>
      <c r="BG79" s="19" t="n">
        <f aca="false">-BG32</f>
        <v>-0</v>
      </c>
      <c r="BH79" s="19" t="n">
        <f aca="false">-BH32</f>
        <v>-0</v>
      </c>
      <c r="BI79" s="19" t="n">
        <f aca="false">-BI32</f>
        <v>-0</v>
      </c>
      <c r="BJ79" s="19" t="n">
        <f aca="false">-BJ32</f>
        <v>-0</v>
      </c>
      <c r="BK79" s="19" t="n">
        <f aca="false">-BK32</f>
        <v>-0</v>
      </c>
      <c r="BL79" s="19" t="n">
        <f aca="false">-BL32</f>
        <v>-0</v>
      </c>
      <c r="BM79" s="19" t="n">
        <f aca="false">-BM32</f>
        <v>-0</v>
      </c>
      <c r="BN79" s="19" t="n">
        <f aca="false">-BN32</f>
        <v>-0</v>
      </c>
      <c r="BO79" s="19" t="n">
        <f aca="false">-BO32</f>
        <v>-0</v>
      </c>
      <c r="BP79" s="19" t="n">
        <f aca="false">-BP32</f>
        <v>-0</v>
      </c>
      <c r="BQ79" s="19" t="n">
        <f aca="false">-BQ32</f>
        <v>-0</v>
      </c>
      <c r="BR79" s="19" t="n">
        <f aca="false">-BR32</f>
        <v>-0</v>
      </c>
      <c r="BS79" s="19" t="n">
        <f aca="false">-BS32</f>
        <v>-0</v>
      </c>
      <c r="BT79" s="19" t="n">
        <f aca="false">-BT32</f>
        <v>-0</v>
      </c>
      <c r="BU79" s="19" t="n">
        <f aca="false">-BU32</f>
        <v>-0</v>
      </c>
      <c r="BV79" s="19" t="n">
        <f aca="false">-BV32</f>
        <v>-0</v>
      </c>
      <c r="BW79" s="19" t="n">
        <f aca="false">-BW32</f>
        <v>-0</v>
      </c>
      <c r="BX79" s="19" t="n">
        <f aca="false">-BX32</f>
        <v>-0</v>
      </c>
      <c r="BY79" s="19" t="n">
        <f aca="false">-BY32</f>
        <v>-0</v>
      </c>
      <c r="BZ79" s="19" t="n">
        <f aca="false">-BZ32</f>
        <v>-0</v>
      </c>
      <c r="CA79" s="19" t="n">
        <f aca="false">-CA32</f>
        <v>-0</v>
      </c>
      <c r="CB79" s="19" t="n">
        <f aca="false">-CB32</f>
        <v>-0</v>
      </c>
      <c r="CC79" s="19" t="n">
        <f aca="false">-CC32</f>
        <v>-0</v>
      </c>
      <c r="CD79" s="19" t="n">
        <f aca="false">-CD32</f>
        <v>-0</v>
      </c>
      <c r="CE79" s="19" t="n">
        <f aca="false">-CE32</f>
        <v>-0</v>
      </c>
      <c r="CF79" s="19" t="n">
        <f aca="false">-CF32</f>
        <v>-0</v>
      </c>
      <c r="CG79" s="19" t="n">
        <f aca="false">-CG32</f>
        <v>-0</v>
      </c>
      <c r="CH79" s="19" t="n">
        <f aca="false">-CH32</f>
        <v>-0</v>
      </c>
      <c r="CI79" s="19" t="n">
        <f aca="false">-CI32</f>
        <v>-0</v>
      </c>
      <c r="CJ79" s="19" t="n">
        <f aca="false">-CJ32</f>
        <v>-0</v>
      </c>
      <c r="CK79" s="19" t="n">
        <f aca="false">-CK32</f>
        <v>-0</v>
      </c>
      <c r="CL79" s="19" t="n">
        <f aca="false">-CL32</f>
        <v>-0</v>
      </c>
      <c r="CM79" s="19" t="n">
        <f aca="false">-CM32</f>
        <v>-0</v>
      </c>
      <c r="CN79" s="19" t="n">
        <f aca="false">-CN32</f>
        <v>-0</v>
      </c>
      <c r="CO79" s="19" t="n">
        <f aca="false">-CO32</f>
        <v>-0</v>
      </c>
      <c r="CP79" s="19" t="n">
        <f aca="false">-CP32</f>
        <v>-0</v>
      </c>
      <c r="CQ79" s="19" t="n">
        <f aca="false">-CQ32</f>
        <v>-0</v>
      </c>
      <c r="CR79" s="19" t="n">
        <f aca="false">-CR32</f>
        <v>-0</v>
      </c>
      <c r="CS79" s="19" t="n">
        <f aca="false">-CS32</f>
        <v>-0</v>
      </c>
      <c r="CT79" s="19" t="n">
        <f aca="false">-CT32</f>
        <v>-0</v>
      </c>
      <c r="CU79" s="19" t="n">
        <f aca="false">-CU32</f>
        <v>-0</v>
      </c>
      <c r="CV79" s="19" t="n">
        <f aca="false">-CV32</f>
        <v>-0</v>
      </c>
      <c r="CW79" s="19" t="n">
        <f aca="false">-CW32</f>
        <v>-0</v>
      </c>
      <c r="CX79" s="19" t="n">
        <f aca="false">-CX32</f>
        <v>-0</v>
      </c>
      <c r="CY79" s="19" t="n">
        <f aca="false">-CY32</f>
        <v>-0</v>
      </c>
      <c r="CZ79" s="19" t="n">
        <f aca="false">-CZ32</f>
        <v>-0</v>
      </c>
      <c r="DA79" s="19" t="n">
        <f aca="false">-DA32</f>
        <v>-0</v>
      </c>
      <c r="DB79" s="19" t="n">
        <f aca="false">-DB32</f>
        <v>-0</v>
      </c>
      <c r="DC79" s="19" t="n">
        <f aca="false">-DC32</f>
        <v>-0</v>
      </c>
      <c r="DD79" s="19" t="n">
        <f aca="false">-DD32</f>
        <v>-0</v>
      </c>
      <c r="DE79" s="19" t="n">
        <f aca="false">-DE32</f>
        <v>-0</v>
      </c>
    </row>
    <row r="80" customFormat="false" ht="15" hidden="true" customHeight="true" outlineLevel="1" collapsed="false">
      <c r="A80" s="28" t="s">
        <v>27</v>
      </c>
      <c r="B80" s="19" t="n">
        <v>0</v>
      </c>
      <c r="C80" s="19" t="n">
        <v>0</v>
      </c>
      <c r="D80" s="19" t="n">
        <v>0</v>
      </c>
      <c r="E80" s="19" t="n">
        <v>0</v>
      </c>
      <c r="F80" s="19" t="n">
        <f aca="false">-F33</f>
        <v>-0</v>
      </c>
      <c r="G80" s="19" t="n">
        <f aca="false">-G33</f>
        <v>-0</v>
      </c>
      <c r="H80" s="19" t="n">
        <f aca="false">-H33</f>
        <v>-0</v>
      </c>
      <c r="I80" s="19" t="n">
        <f aca="false">-I33</f>
        <v>-0</v>
      </c>
      <c r="J80" s="19" t="n">
        <f aca="false">-J33</f>
        <v>-0</v>
      </c>
      <c r="K80" s="19" t="n">
        <f aca="false">-K33</f>
        <v>-0</v>
      </c>
      <c r="L80" s="19" t="n">
        <f aca="false">-L33</f>
        <v>-0</v>
      </c>
      <c r="M80" s="19" t="n">
        <f aca="false">-M33</f>
        <v>-0</v>
      </c>
      <c r="N80" s="19" t="n">
        <f aca="false">-N33</f>
        <v>-0</v>
      </c>
      <c r="O80" s="19" t="n">
        <f aca="false">-O33</f>
        <v>-0</v>
      </c>
      <c r="P80" s="19" t="n">
        <f aca="false">-P33</f>
        <v>-0</v>
      </c>
      <c r="Q80" s="19" t="n">
        <f aca="false">-Q33</f>
        <v>-0</v>
      </c>
      <c r="R80" s="19" t="n">
        <f aca="false">-R33</f>
        <v>-0</v>
      </c>
      <c r="S80" s="19" t="n">
        <f aca="false">-S33</f>
        <v>-0</v>
      </c>
      <c r="T80" s="19" t="n">
        <f aca="false">-T33</f>
        <v>-0</v>
      </c>
      <c r="U80" s="19" t="n">
        <f aca="false">-U33</f>
        <v>-0</v>
      </c>
      <c r="V80" s="19" t="n">
        <f aca="false">-V33</f>
        <v>-0</v>
      </c>
      <c r="W80" s="19" t="n">
        <f aca="false">-W33</f>
        <v>-0</v>
      </c>
      <c r="X80" s="19" t="n">
        <f aca="false">-X33</f>
        <v>-0</v>
      </c>
      <c r="Y80" s="19" t="n">
        <f aca="false">-Y33</f>
        <v>-0</v>
      </c>
      <c r="Z80" s="19" t="n">
        <f aca="false">-Z33</f>
        <v>-0</v>
      </c>
      <c r="AA80" s="19" t="n">
        <f aca="false">-AA33</f>
        <v>-0</v>
      </c>
      <c r="AB80" s="19" t="n">
        <f aca="false">-AB33</f>
        <v>-368954.1</v>
      </c>
      <c r="AC80" s="19" t="n">
        <f aca="false">-AC33</f>
        <v>-481346.1</v>
      </c>
      <c r="AD80" s="19" t="n">
        <f aca="false">-AD33</f>
        <v>-602324.1</v>
      </c>
      <c r="AE80" s="19" t="n">
        <f aca="false">-AE33</f>
        <v>-727064.1</v>
      </c>
      <c r="AF80" s="19" t="n">
        <f aca="false">-AF33</f>
        <v>-849572.1</v>
      </c>
      <c r="AG80" s="19" t="n">
        <f aca="false">-AG33</f>
        <v>-963044.1</v>
      </c>
      <c r="AH80" s="19" t="n">
        <f aca="false">-AH33</f>
        <v>-1060514.1</v>
      </c>
      <c r="AI80" s="19" t="n">
        <f aca="false">-AI33</f>
        <v>-1135520.1</v>
      </c>
      <c r="AJ80" s="19" t="n">
        <f aca="false">-AJ33</f>
        <v>-1182824.1</v>
      </c>
      <c r="AK80" s="19" t="n">
        <f aca="false">-AK33</f>
        <v>-1198988.1</v>
      </c>
      <c r="AL80" s="19" t="n">
        <f aca="false">-AL33</f>
        <v>-1182824.1</v>
      </c>
      <c r="AM80" s="19" t="n">
        <f aca="false">-AM33</f>
        <v>-1135520.1</v>
      </c>
      <c r="AN80" s="19" t="n">
        <f aca="false">-AN33</f>
        <v>-1060514.1</v>
      </c>
      <c r="AO80" s="19" t="n">
        <f aca="false">-AO33</f>
        <v>-963044.1</v>
      </c>
      <c r="AP80" s="19" t="n">
        <f aca="false">-AP33</f>
        <v>-849572.1</v>
      </c>
      <c r="AQ80" s="19" t="n">
        <f aca="false">-AQ33</f>
        <v>-727064.1</v>
      </c>
      <c r="AR80" s="19" t="n">
        <f aca="false">-AR33</f>
        <v>-602324.1</v>
      </c>
      <c r="AS80" s="19" t="n">
        <f aca="false">-AS33</f>
        <v>-481346.1</v>
      </c>
      <c r="AT80" s="19" t="n">
        <f aca="false">-AT33</f>
        <v>-260602.2</v>
      </c>
      <c r="AU80" s="19" t="n">
        <f aca="false">-AU33</f>
        <v>-0</v>
      </c>
      <c r="AV80" s="19" t="n">
        <f aca="false">-AV33</f>
        <v>-0</v>
      </c>
      <c r="AW80" s="19" t="n">
        <f aca="false">-AW33</f>
        <v>-0</v>
      </c>
      <c r="AX80" s="19" t="n">
        <f aca="false">-AX33</f>
        <v>-0</v>
      </c>
      <c r="AY80" s="19" t="n">
        <f aca="false">-AY33</f>
        <v>-0</v>
      </c>
      <c r="AZ80" s="19" t="n">
        <f aca="false">-AZ33</f>
        <v>-0</v>
      </c>
      <c r="BA80" s="19" t="n">
        <f aca="false">-BA33</f>
        <v>-0</v>
      </c>
      <c r="BB80" s="19" t="n">
        <f aca="false">-BB33</f>
        <v>-0</v>
      </c>
      <c r="BC80" s="19" t="n">
        <f aca="false">-BC33</f>
        <v>-0</v>
      </c>
      <c r="BD80" s="19" t="n">
        <f aca="false">-BD33</f>
        <v>-0</v>
      </c>
      <c r="BE80" s="19" t="n">
        <f aca="false">-BE33</f>
        <v>-0</v>
      </c>
      <c r="BF80" s="19" t="n">
        <f aca="false">-BF33</f>
        <v>-0</v>
      </c>
      <c r="BG80" s="19" t="n">
        <f aca="false">-BG33</f>
        <v>-0</v>
      </c>
      <c r="BH80" s="19" t="n">
        <f aca="false">-BH33</f>
        <v>-0</v>
      </c>
      <c r="BI80" s="19" t="n">
        <f aca="false">-BI33</f>
        <v>-0</v>
      </c>
      <c r="BJ80" s="19" t="n">
        <f aca="false">-BJ33</f>
        <v>-0</v>
      </c>
      <c r="BK80" s="19" t="n">
        <f aca="false">-BK33</f>
        <v>-0</v>
      </c>
      <c r="BL80" s="19" t="n">
        <f aca="false">-BL33</f>
        <v>-0</v>
      </c>
      <c r="BM80" s="19" t="n">
        <f aca="false">-BM33</f>
        <v>-0</v>
      </c>
      <c r="BN80" s="19" t="n">
        <f aca="false">-BN33</f>
        <v>-0</v>
      </c>
      <c r="BO80" s="19" t="n">
        <f aca="false">-BO33</f>
        <v>-0</v>
      </c>
      <c r="BP80" s="19" t="n">
        <f aca="false">-BP33</f>
        <v>-0</v>
      </c>
      <c r="BQ80" s="19" t="n">
        <f aca="false">-BQ33</f>
        <v>-0</v>
      </c>
      <c r="BR80" s="19" t="n">
        <f aca="false">-BR33</f>
        <v>-0</v>
      </c>
      <c r="BS80" s="19" t="n">
        <f aca="false">-BS33</f>
        <v>-0</v>
      </c>
      <c r="BT80" s="19" t="n">
        <f aca="false">-BT33</f>
        <v>-0</v>
      </c>
      <c r="BU80" s="19" t="n">
        <f aca="false">-BU33</f>
        <v>-0</v>
      </c>
      <c r="BV80" s="19" t="n">
        <f aca="false">-BV33</f>
        <v>-0</v>
      </c>
      <c r="BW80" s="19" t="n">
        <f aca="false">-BW33</f>
        <v>-0</v>
      </c>
      <c r="BX80" s="19" t="n">
        <f aca="false">-BX33</f>
        <v>-0</v>
      </c>
      <c r="BY80" s="19" t="n">
        <f aca="false">-BY33</f>
        <v>-0</v>
      </c>
      <c r="BZ80" s="19" t="n">
        <f aca="false">-BZ33</f>
        <v>-0</v>
      </c>
      <c r="CA80" s="19" t="n">
        <f aca="false">-CA33</f>
        <v>-0</v>
      </c>
      <c r="CB80" s="19" t="n">
        <f aca="false">-CB33</f>
        <v>-0</v>
      </c>
      <c r="CC80" s="19" t="n">
        <f aca="false">-CC33</f>
        <v>-0</v>
      </c>
      <c r="CD80" s="19" t="n">
        <f aca="false">-CD33</f>
        <v>-0</v>
      </c>
      <c r="CE80" s="19" t="n">
        <f aca="false">-CE33</f>
        <v>-0</v>
      </c>
      <c r="CF80" s="19" t="n">
        <f aca="false">-CF33</f>
        <v>-0</v>
      </c>
      <c r="CG80" s="19" t="n">
        <f aca="false">-CG33</f>
        <v>-0</v>
      </c>
      <c r="CH80" s="19" t="n">
        <f aca="false">-CH33</f>
        <v>-0</v>
      </c>
      <c r="CI80" s="19" t="n">
        <f aca="false">-CI33</f>
        <v>-0</v>
      </c>
      <c r="CJ80" s="19" t="n">
        <f aca="false">-CJ33</f>
        <v>-0</v>
      </c>
      <c r="CK80" s="19" t="n">
        <f aca="false">-CK33</f>
        <v>-0</v>
      </c>
      <c r="CL80" s="19" t="n">
        <f aca="false">-CL33</f>
        <v>-0</v>
      </c>
      <c r="CM80" s="19" t="n">
        <f aca="false">-CM33</f>
        <v>-0</v>
      </c>
      <c r="CN80" s="19" t="n">
        <f aca="false">-CN33</f>
        <v>-0</v>
      </c>
      <c r="CO80" s="19" t="n">
        <f aca="false">-CO33</f>
        <v>-0</v>
      </c>
      <c r="CP80" s="19" t="n">
        <f aca="false">-CP33</f>
        <v>-0</v>
      </c>
      <c r="CQ80" s="19" t="n">
        <f aca="false">-CQ33</f>
        <v>-0</v>
      </c>
      <c r="CR80" s="19" t="n">
        <f aca="false">-CR33</f>
        <v>-0</v>
      </c>
      <c r="CS80" s="19" t="n">
        <f aca="false">-CS33</f>
        <v>-0</v>
      </c>
      <c r="CT80" s="19" t="n">
        <f aca="false">-CT33</f>
        <v>-0</v>
      </c>
      <c r="CU80" s="19" t="n">
        <f aca="false">-CU33</f>
        <v>-0</v>
      </c>
      <c r="CV80" s="19" t="n">
        <f aca="false">-CV33</f>
        <v>-0</v>
      </c>
      <c r="CW80" s="19" t="n">
        <f aca="false">-CW33</f>
        <v>-0</v>
      </c>
      <c r="CX80" s="19" t="n">
        <f aca="false">-CX33</f>
        <v>-0</v>
      </c>
      <c r="CY80" s="19" t="n">
        <f aca="false">-CY33</f>
        <v>-0</v>
      </c>
      <c r="CZ80" s="19" t="n">
        <f aca="false">-CZ33</f>
        <v>-0</v>
      </c>
      <c r="DA80" s="19" t="n">
        <f aca="false">-DA33</f>
        <v>-0</v>
      </c>
      <c r="DB80" s="19" t="n">
        <f aca="false">-DB33</f>
        <v>-0</v>
      </c>
      <c r="DC80" s="19" t="n">
        <f aca="false">-DC33</f>
        <v>-0</v>
      </c>
      <c r="DD80" s="19" t="n">
        <f aca="false">-DD33</f>
        <v>-0</v>
      </c>
      <c r="DE80" s="19" t="n">
        <f aca="false">-DE33</f>
        <v>-0</v>
      </c>
    </row>
    <row r="81" customFormat="false" ht="15" hidden="true" customHeight="true" outlineLevel="1" collapsed="false">
      <c r="A81" s="28" t="s">
        <v>28</v>
      </c>
      <c r="B81" s="19" t="n">
        <v>0</v>
      </c>
      <c r="C81" s="19" t="n">
        <v>0</v>
      </c>
      <c r="D81" s="19" t="n">
        <v>0</v>
      </c>
      <c r="E81" s="19" t="n">
        <v>0</v>
      </c>
      <c r="F81" s="19" t="n">
        <f aca="false">-F34</f>
        <v>-0</v>
      </c>
      <c r="G81" s="19" t="n">
        <f aca="false">-G34</f>
        <v>-0</v>
      </c>
      <c r="H81" s="19" t="n">
        <f aca="false">-H34</f>
        <v>-0</v>
      </c>
      <c r="I81" s="19" t="n">
        <f aca="false">-I34</f>
        <v>-0</v>
      </c>
      <c r="J81" s="19" t="n">
        <f aca="false">-J34</f>
        <v>-0</v>
      </c>
      <c r="K81" s="19" t="n">
        <f aca="false">-K34</f>
        <v>-0</v>
      </c>
      <c r="L81" s="19" t="n">
        <f aca="false">-L34</f>
        <v>-0</v>
      </c>
      <c r="M81" s="19" t="n">
        <f aca="false">-M34</f>
        <v>-0</v>
      </c>
      <c r="N81" s="19" t="n">
        <f aca="false">-N34</f>
        <v>-0</v>
      </c>
      <c r="O81" s="19" t="n">
        <f aca="false">-O34</f>
        <v>-0</v>
      </c>
      <c r="P81" s="19" t="n">
        <f aca="false">-P34</f>
        <v>-0</v>
      </c>
      <c r="Q81" s="19" t="n">
        <f aca="false">-Q34</f>
        <v>-0</v>
      </c>
      <c r="R81" s="19" t="n">
        <f aca="false">-R34</f>
        <v>-0</v>
      </c>
      <c r="S81" s="19" t="n">
        <f aca="false">-S34</f>
        <v>-0</v>
      </c>
      <c r="T81" s="19" t="n">
        <f aca="false">-T34</f>
        <v>-0</v>
      </c>
      <c r="U81" s="19" t="n">
        <f aca="false">-U34</f>
        <v>-0</v>
      </c>
      <c r="V81" s="19" t="n">
        <f aca="false">-V34</f>
        <v>-0</v>
      </c>
      <c r="W81" s="19" t="n">
        <f aca="false">-W34</f>
        <v>-0</v>
      </c>
      <c r="X81" s="19" t="n">
        <f aca="false">-X34</f>
        <v>-0</v>
      </c>
      <c r="Y81" s="19" t="n">
        <f aca="false">-Y34</f>
        <v>-0</v>
      </c>
      <c r="Z81" s="19" t="n">
        <f aca="false">-Z34</f>
        <v>-0</v>
      </c>
      <c r="AA81" s="19" t="n">
        <f aca="false">-AA34</f>
        <v>-0</v>
      </c>
      <c r="AB81" s="19" t="n">
        <f aca="false">-AB34</f>
        <v>-0</v>
      </c>
      <c r="AC81" s="19" t="n">
        <f aca="false">-AC34</f>
        <v>-0</v>
      </c>
      <c r="AD81" s="19" t="n">
        <f aca="false">-AD34</f>
        <v>-0</v>
      </c>
      <c r="AE81" s="19" t="n">
        <f aca="false">-AE34</f>
        <v>-0</v>
      </c>
      <c r="AF81" s="19" t="n">
        <f aca="false">-AF34</f>
        <v>-0</v>
      </c>
      <c r="AG81" s="19" t="n">
        <f aca="false">-AG34</f>
        <v>-368954.1</v>
      </c>
      <c r="AH81" s="19" t="n">
        <f aca="false">-AH34</f>
        <v>-481346.1</v>
      </c>
      <c r="AI81" s="19" t="n">
        <f aca="false">-AI34</f>
        <v>-602324.1</v>
      </c>
      <c r="AJ81" s="19" t="n">
        <f aca="false">-AJ34</f>
        <v>-727064.1</v>
      </c>
      <c r="AK81" s="19" t="n">
        <f aca="false">-AK34</f>
        <v>-849572.1</v>
      </c>
      <c r="AL81" s="19" t="n">
        <f aca="false">-AL34</f>
        <v>-963044.1</v>
      </c>
      <c r="AM81" s="19" t="n">
        <f aca="false">-AM34</f>
        <v>-1060514.1</v>
      </c>
      <c r="AN81" s="19" t="n">
        <f aca="false">-AN34</f>
        <v>-1135520.1</v>
      </c>
      <c r="AO81" s="19" t="n">
        <f aca="false">-AO34</f>
        <v>-1182824.1</v>
      </c>
      <c r="AP81" s="19" t="n">
        <f aca="false">-AP34</f>
        <v>-1198988.1</v>
      </c>
      <c r="AQ81" s="19" t="n">
        <f aca="false">-AQ34</f>
        <v>-1182824.1</v>
      </c>
      <c r="AR81" s="19" t="n">
        <f aca="false">-AR34</f>
        <v>-1135520.1</v>
      </c>
      <c r="AS81" s="19" t="n">
        <f aca="false">-AS34</f>
        <v>-1060514.1</v>
      </c>
      <c r="AT81" s="19" t="n">
        <f aca="false">-AT34</f>
        <v>-963044.1</v>
      </c>
      <c r="AU81" s="19" t="n">
        <f aca="false">-AU34</f>
        <v>-849572.1</v>
      </c>
      <c r="AV81" s="19" t="n">
        <f aca="false">-AV34</f>
        <v>-727064.1</v>
      </c>
      <c r="AW81" s="19" t="n">
        <f aca="false">-AW34</f>
        <v>-602324.1</v>
      </c>
      <c r="AX81" s="19" t="n">
        <f aca="false">-AX34</f>
        <v>-481346.1</v>
      </c>
      <c r="AY81" s="19" t="n">
        <f aca="false">-AY34</f>
        <v>-260602.2</v>
      </c>
      <c r="AZ81" s="19" t="n">
        <f aca="false">-AZ34</f>
        <v>-0</v>
      </c>
      <c r="BA81" s="19" t="n">
        <f aca="false">-BA34</f>
        <v>-0</v>
      </c>
      <c r="BB81" s="19" t="n">
        <f aca="false">-BB34</f>
        <v>-0</v>
      </c>
      <c r="BC81" s="19" t="n">
        <f aca="false">-BC34</f>
        <v>-0</v>
      </c>
      <c r="BD81" s="19" t="n">
        <f aca="false">-BD34</f>
        <v>-0</v>
      </c>
      <c r="BE81" s="19" t="n">
        <f aca="false">-BE34</f>
        <v>-0</v>
      </c>
      <c r="BF81" s="19" t="n">
        <f aca="false">-BF34</f>
        <v>-0</v>
      </c>
      <c r="BG81" s="19" t="n">
        <f aca="false">-BG34</f>
        <v>-0</v>
      </c>
      <c r="BH81" s="19" t="n">
        <f aca="false">-BH34</f>
        <v>-0</v>
      </c>
      <c r="BI81" s="19" t="n">
        <f aca="false">-BI34</f>
        <v>-0</v>
      </c>
      <c r="BJ81" s="19" t="n">
        <f aca="false">-BJ34</f>
        <v>-0</v>
      </c>
      <c r="BK81" s="19" t="n">
        <f aca="false">-BK34</f>
        <v>-0</v>
      </c>
      <c r="BL81" s="19" t="n">
        <f aca="false">-BL34</f>
        <v>-0</v>
      </c>
      <c r="BM81" s="19" t="n">
        <f aca="false">-BM34</f>
        <v>-0</v>
      </c>
      <c r="BN81" s="19" t="n">
        <f aca="false">-BN34</f>
        <v>-0</v>
      </c>
      <c r="BO81" s="19" t="n">
        <f aca="false">-BO34</f>
        <v>-0</v>
      </c>
      <c r="BP81" s="19" t="n">
        <f aca="false">-BP34</f>
        <v>-0</v>
      </c>
      <c r="BQ81" s="19" t="n">
        <f aca="false">-BQ34</f>
        <v>-0</v>
      </c>
      <c r="BR81" s="19" t="n">
        <f aca="false">-BR34</f>
        <v>-0</v>
      </c>
      <c r="BS81" s="19" t="n">
        <f aca="false">-BS34</f>
        <v>-0</v>
      </c>
      <c r="BT81" s="19" t="n">
        <f aca="false">-BT34</f>
        <v>-0</v>
      </c>
      <c r="BU81" s="19" t="n">
        <f aca="false">-BU34</f>
        <v>-0</v>
      </c>
      <c r="BV81" s="19" t="n">
        <f aca="false">-BV34</f>
        <v>-0</v>
      </c>
      <c r="BW81" s="19" t="n">
        <f aca="false">-BW34</f>
        <v>-0</v>
      </c>
      <c r="BX81" s="19" t="n">
        <f aca="false">-BX34</f>
        <v>-0</v>
      </c>
      <c r="BY81" s="19" t="n">
        <f aca="false">-BY34</f>
        <v>-0</v>
      </c>
      <c r="BZ81" s="19" t="n">
        <f aca="false">-BZ34</f>
        <v>-0</v>
      </c>
      <c r="CA81" s="19" t="n">
        <f aca="false">-CA34</f>
        <v>-0</v>
      </c>
      <c r="CB81" s="19" t="n">
        <f aca="false">-CB34</f>
        <v>-0</v>
      </c>
      <c r="CC81" s="19" t="n">
        <f aca="false">-CC34</f>
        <v>-0</v>
      </c>
      <c r="CD81" s="19" t="n">
        <f aca="false">-CD34</f>
        <v>-0</v>
      </c>
      <c r="CE81" s="19" t="n">
        <f aca="false">-CE34</f>
        <v>-0</v>
      </c>
      <c r="CF81" s="19" t="n">
        <f aca="false">-CF34</f>
        <v>-0</v>
      </c>
      <c r="CG81" s="19" t="n">
        <f aca="false">-CG34</f>
        <v>-0</v>
      </c>
      <c r="CH81" s="19" t="n">
        <f aca="false">-CH34</f>
        <v>-0</v>
      </c>
      <c r="CI81" s="19" t="n">
        <f aca="false">-CI34</f>
        <v>-0</v>
      </c>
      <c r="CJ81" s="19" t="n">
        <f aca="false">-CJ34</f>
        <v>-0</v>
      </c>
      <c r="CK81" s="19" t="n">
        <f aca="false">-CK34</f>
        <v>-0</v>
      </c>
      <c r="CL81" s="19" t="n">
        <f aca="false">-CL34</f>
        <v>-0</v>
      </c>
      <c r="CM81" s="19" t="n">
        <f aca="false">-CM34</f>
        <v>-0</v>
      </c>
      <c r="CN81" s="19" t="n">
        <f aca="false">-CN34</f>
        <v>-0</v>
      </c>
      <c r="CO81" s="19" t="n">
        <f aca="false">-CO34</f>
        <v>-0</v>
      </c>
      <c r="CP81" s="19" t="n">
        <f aca="false">-CP34</f>
        <v>-0</v>
      </c>
      <c r="CQ81" s="19" t="n">
        <f aca="false">-CQ34</f>
        <v>-0</v>
      </c>
      <c r="CR81" s="19" t="n">
        <f aca="false">-CR34</f>
        <v>-0</v>
      </c>
      <c r="CS81" s="19" t="n">
        <f aca="false">-CS34</f>
        <v>-0</v>
      </c>
      <c r="CT81" s="19" t="n">
        <f aca="false">-CT34</f>
        <v>-0</v>
      </c>
      <c r="CU81" s="19" t="n">
        <f aca="false">-CU34</f>
        <v>-0</v>
      </c>
      <c r="CV81" s="19" t="n">
        <f aca="false">-CV34</f>
        <v>-0</v>
      </c>
      <c r="CW81" s="19" t="n">
        <f aca="false">-CW34</f>
        <v>-0</v>
      </c>
      <c r="CX81" s="19" t="n">
        <f aca="false">-CX34</f>
        <v>-0</v>
      </c>
      <c r="CY81" s="19" t="n">
        <f aca="false">-CY34</f>
        <v>-0</v>
      </c>
      <c r="CZ81" s="19" t="n">
        <f aca="false">-CZ34</f>
        <v>-0</v>
      </c>
      <c r="DA81" s="19" t="n">
        <f aca="false">-DA34</f>
        <v>-0</v>
      </c>
      <c r="DB81" s="19" t="n">
        <f aca="false">-DB34</f>
        <v>-0</v>
      </c>
      <c r="DC81" s="19" t="n">
        <f aca="false">-DC34</f>
        <v>-0</v>
      </c>
      <c r="DD81" s="19" t="n">
        <f aca="false">-DD34</f>
        <v>-0</v>
      </c>
      <c r="DE81" s="19" t="n">
        <f aca="false">-DE34</f>
        <v>-0</v>
      </c>
    </row>
    <row r="82" customFormat="false" ht="15" hidden="true" customHeight="true" outlineLevel="1" collapsed="false">
      <c r="A82" s="28" t="s">
        <v>29</v>
      </c>
      <c r="B82" s="19" t="n">
        <v>0</v>
      </c>
      <c r="C82" s="19" t="n">
        <v>0</v>
      </c>
      <c r="D82" s="19" t="n">
        <v>0</v>
      </c>
      <c r="E82" s="19" t="n">
        <v>0</v>
      </c>
      <c r="F82" s="19" t="n">
        <f aca="false">-F35</f>
        <v>-0</v>
      </c>
      <c r="G82" s="19" t="n">
        <f aca="false">-G35</f>
        <v>-0</v>
      </c>
      <c r="H82" s="19" t="n">
        <f aca="false">-H35</f>
        <v>-0</v>
      </c>
      <c r="I82" s="19" t="n">
        <f aca="false">-I35</f>
        <v>-0</v>
      </c>
      <c r="J82" s="19" t="n">
        <f aca="false">-J35</f>
        <v>-0</v>
      </c>
      <c r="K82" s="19" t="n">
        <f aca="false">-K35</f>
        <v>-0</v>
      </c>
      <c r="L82" s="19" t="n">
        <f aca="false">-L35</f>
        <v>-0</v>
      </c>
      <c r="M82" s="19" t="n">
        <f aca="false">-M35</f>
        <v>-0</v>
      </c>
      <c r="N82" s="19" t="n">
        <f aca="false">-N35</f>
        <v>-0</v>
      </c>
      <c r="O82" s="19" t="n">
        <f aca="false">-O35</f>
        <v>-0</v>
      </c>
      <c r="P82" s="19" t="n">
        <f aca="false">-P35</f>
        <v>-0</v>
      </c>
      <c r="Q82" s="19" t="n">
        <f aca="false">-Q35</f>
        <v>-0</v>
      </c>
      <c r="R82" s="19" t="n">
        <f aca="false">-R35</f>
        <v>-0</v>
      </c>
      <c r="S82" s="19" t="n">
        <f aca="false">-S35</f>
        <v>-0</v>
      </c>
      <c r="T82" s="19" t="n">
        <f aca="false">-T35</f>
        <v>-0</v>
      </c>
      <c r="U82" s="19" t="n">
        <f aca="false">-U35</f>
        <v>-0</v>
      </c>
      <c r="V82" s="19" t="n">
        <f aca="false">-V35</f>
        <v>-0</v>
      </c>
      <c r="W82" s="19" t="n">
        <f aca="false">-W35</f>
        <v>-0</v>
      </c>
      <c r="X82" s="19" t="n">
        <f aca="false">-X35</f>
        <v>-0</v>
      </c>
      <c r="Y82" s="19" t="n">
        <f aca="false">-Y35</f>
        <v>-0</v>
      </c>
      <c r="Z82" s="19" t="n">
        <f aca="false">-Z35</f>
        <v>-0</v>
      </c>
      <c r="AA82" s="19" t="n">
        <f aca="false">-AA35</f>
        <v>-0</v>
      </c>
      <c r="AB82" s="19" t="n">
        <f aca="false">-AB35</f>
        <v>-0</v>
      </c>
      <c r="AC82" s="19" t="n">
        <f aca="false">-AC35</f>
        <v>-0</v>
      </c>
      <c r="AD82" s="19" t="n">
        <f aca="false">-AD35</f>
        <v>-0</v>
      </c>
      <c r="AE82" s="19" t="n">
        <f aca="false">-AE35</f>
        <v>-0</v>
      </c>
      <c r="AF82" s="19" t="n">
        <f aca="false">-AF35</f>
        <v>-0</v>
      </c>
      <c r="AG82" s="19" t="n">
        <f aca="false">-AG35</f>
        <v>-0</v>
      </c>
      <c r="AH82" s="19" t="n">
        <f aca="false">-AH35</f>
        <v>-368954.1</v>
      </c>
      <c r="AI82" s="19" t="n">
        <f aca="false">-AI35</f>
        <v>-481346.1</v>
      </c>
      <c r="AJ82" s="19" t="n">
        <f aca="false">-AJ35</f>
        <v>-602324.1</v>
      </c>
      <c r="AK82" s="19" t="n">
        <f aca="false">-AK35</f>
        <v>-727064.1</v>
      </c>
      <c r="AL82" s="19" t="n">
        <f aca="false">-AL35</f>
        <v>-849572.1</v>
      </c>
      <c r="AM82" s="19" t="n">
        <f aca="false">-AM35</f>
        <v>-963044.1</v>
      </c>
      <c r="AN82" s="19" t="n">
        <f aca="false">-AN35</f>
        <v>-1060514.1</v>
      </c>
      <c r="AO82" s="19" t="n">
        <f aca="false">-AO35</f>
        <v>-1135520.1</v>
      </c>
      <c r="AP82" s="19" t="n">
        <f aca="false">-AP35</f>
        <v>-1182824.1</v>
      </c>
      <c r="AQ82" s="19" t="n">
        <f aca="false">-AQ35</f>
        <v>-1198988.1</v>
      </c>
      <c r="AR82" s="19" t="n">
        <f aca="false">-AR35</f>
        <v>-1182824.1</v>
      </c>
      <c r="AS82" s="19" t="n">
        <f aca="false">-AS35</f>
        <v>-1135520.1</v>
      </c>
      <c r="AT82" s="19" t="n">
        <f aca="false">-AT35</f>
        <v>-1060514.1</v>
      </c>
      <c r="AU82" s="19" t="n">
        <f aca="false">-AU35</f>
        <v>-963044.1</v>
      </c>
      <c r="AV82" s="19" t="n">
        <f aca="false">-AV35</f>
        <v>-849572.1</v>
      </c>
      <c r="AW82" s="19" t="n">
        <f aca="false">-AW35</f>
        <v>-727064.1</v>
      </c>
      <c r="AX82" s="19" t="n">
        <f aca="false">-AX35</f>
        <v>-602324.1</v>
      </c>
      <c r="AY82" s="19" t="n">
        <f aca="false">-AY35</f>
        <v>-481346.1</v>
      </c>
      <c r="AZ82" s="19" t="n">
        <f aca="false">-AZ35</f>
        <v>-260602.2</v>
      </c>
      <c r="BA82" s="19" t="n">
        <f aca="false">-BA35</f>
        <v>-0</v>
      </c>
      <c r="BB82" s="19" t="n">
        <f aca="false">-BB35</f>
        <v>-0</v>
      </c>
      <c r="BC82" s="19" t="n">
        <f aca="false">-BC35</f>
        <v>-0</v>
      </c>
      <c r="BD82" s="19" t="n">
        <f aca="false">-BD35</f>
        <v>-0</v>
      </c>
      <c r="BE82" s="19" t="n">
        <f aca="false">-BE35</f>
        <v>-0</v>
      </c>
      <c r="BF82" s="19" t="n">
        <f aca="false">-BF35</f>
        <v>-0</v>
      </c>
      <c r="BG82" s="19" t="n">
        <f aca="false">-BG35</f>
        <v>-0</v>
      </c>
      <c r="BH82" s="19" t="n">
        <f aca="false">-BH35</f>
        <v>-0</v>
      </c>
      <c r="BI82" s="19" t="n">
        <f aca="false">-BI35</f>
        <v>-0</v>
      </c>
      <c r="BJ82" s="19" t="n">
        <f aca="false">-BJ35</f>
        <v>-0</v>
      </c>
      <c r="BK82" s="19" t="n">
        <f aca="false">-BK35</f>
        <v>-0</v>
      </c>
      <c r="BL82" s="19" t="n">
        <f aca="false">-BL35</f>
        <v>-0</v>
      </c>
      <c r="BM82" s="19" t="n">
        <f aca="false">-BM35</f>
        <v>-0</v>
      </c>
      <c r="BN82" s="19" t="n">
        <f aca="false">-BN35</f>
        <v>-0</v>
      </c>
      <c r="BO82" s="19" t="n">
        <f aca="false">-BO35</f>
        <v>-0</v>
      </c>
      <c r="BP82" s="19" t="n">
        <f aca="false">-BP35</f>
        <v>-0</v>
      </c>
      <c r="BQ82" s="19" t="n">
        <f aca="false">-BQ35</f>
        <v>-0</v>
      </c>
      <c r="BR82" s="19" t="n">
        <f aca="false">-BR35</f>
        <v>-0</v>
      </c>
      <c r="BS82" s="19" t="n">
        <f aca="false">-BS35</f>
        <v>-0</v>
      </c>
      <c r="BT82" s="19" t="n">
        <f aca="false">-BT35</f>
        <v>-0</v>
      </c>
      <c r="BU82" s="19" t="n">
        <f aca="false">-BU35</f>
        <v>-0</v>
      </c>
      <c r="BV82" s="19" t="n">
        <f aca="false">-BV35</f>
        <v>-0</v>
      </c>
      <c r="BW82" s="19" t="n">
        <f aca="false">-BW35</f>
        <v>-0</v>
      </c>
      <c r="BX82" s="19" t="n">
        <f aca="false">-BX35</f>
        <v>-0</v>
      </c>
      <c r="BY82" s="19" t="n">
        <f aca="false">-BY35</f>
        <v>-0</v>
      </c>
      <c r="BZ82" s="19" t="n">
        <f aca="false">-BZ35</f>
        <v>-0</v>
      </c>
      <c r="CA82" s="19" t="n">
        <f aca="false">-CA35</f>
        <v>-0</v>
      </c>
      <c r="CB82" s="19" t="n">
        <f aca="false">-CB35</f>
        <v>-0</v>
      </c>
      <c r="CC82" s="19" t="n">
        <f aca="false">-CC35</f>
        <v>-0</v>
      </c>
      <c r="CD82" s="19" t="n">
        <f aca="false">-CD35</f>
        <v>-0</v>
      </c>
      <c r="CE82" s="19" t="n">
        <f aca="false">-CE35</f>
        <v>-0</v>
      </c>
      <c r="CF82" s="19" t="n">
        <f aca="false">-CF35</f>
        <v>-0</v>
      </c>
      <c r="CG82" s="19" t="n">
        <f aca="false">-CG35</f>
        <v>-0</v>
      </c>
      <c r="CH82" s="19" t="n">
        <f aca="false">-CH35</f>
        <v>-0</v>
      </c>
      <c r="CI82" s="19" t="n">
        <f aca="false">-CI35</f>
        <v>-0</v>
      </c>
      <c r="CJ82" s="19" t="n">
        <f aca="false">-CJ35</f>
        <v>-0</v>
      </c>
      <c r="CK82" s="19" t="n">
        <f aca="false">-CK35</f>
        <v>-0</v>
      </c>
      <c r="CL82" s="19" t="n">
        <f aca="false">-CL35</f>
        <v>-0</v>
      </c>
      <c r="CM82" s="19" t="n">
        <f aca="false">-CM35</f>
        <v>-0</v>
      </c>
      <c r="CN82" s="19" t="n">
        <f aca="false">-CN35</f>
        <v>-0</v>
      </c>
      <c r="CO82" s="19" t="n">
        <f aca="false">-CO35</f>
        <v>-0</v>
      </c>
      <c r="CP82" s="19" t="n">
        <f aca="false">-CP35</f>
        <v>-0</v>
      </c>
      <c r="CQ82" s="19" t="n">
        <f aca="false">-CQ35</f>
        <v>-0</v>
      </c>
      <c r="CR82" s="19" t="n">
        <f aca="false">-CR35</f>
        <v>-0</v>
      </c>
      <c r="CS82" s="19" t="n">
        <f aca="false">-CS35</f>
        <v>-0</v>
      </c>
      <c r="CT82" s="19" t="n">
        <f aca="false">-CT35</f>
        <v>-0</v>
      </c>
      <c r="CU82" s="19" t="n">
        <f aca="false">-CU35</f>
        <v>-0</v>
      </c>
      <c r="CV82" s="19" t="n">
        <f aca="false">-CV35</f>
        <v>-0</v>
      </c>
      <c r="CW82" s="19" t="n">
        <f aca="false">-CW35</f>
        <v>-0</v>
      </c>
      <c r="CX82" s="19" t="n">
        <f aca="false">-CX35</f>
        <v>-0</v>
      </c>
      <c r="CY82" s="19" t="n">
        <f aca="false">-CY35</f>
        <v>-0</v>
      </c>
      <c r="CZ82" s="19" t="n">
        <f aca="false">-CZ35</f>
        <v>-0</v>
      </c>
      <c r="DA82" s="19" t="n">
        <f aca="false">-DA35</f>
        <v>-0</v>
      </c>
      <c r="DB82" s="19" t="n">
        <f aca="false">-DB35</f>
        <v>-0</v>
      </c>
      <c r="DC82" s="19" t="n">
        <f aca="false">-DC35</f>
        <v>-0</v>
      </c>
      <c r="DD82" s="19" t="n">
        <f aca="false">-DD35</f>
        <v>-0</v>
      </c>
      <c r="DE82" s="19" t="n">
        <f aca="false">-DE35</f>
        <v>-0</v>
      </c>
    </row>
    <row r="83" customFormat="false" ht="15" hidden="true" customHeight="true" outlineLevel="1" collapsed="false">
      <c r="A83" s="28" t="s">
        <v>30</v>
      </c>
      <c r="B83" s="19" t="n">
        <v>0</v>
      </c>
      <c r="C83" s="19" t="n">
        <v>0</v>
      </c>
      <c r="D83" s="19" t="n">
        <v>0</v>
      </c>
      <c r="E83" s="19" t="n">
        <v>0</v>
      </c>
      <c r="F83" s="19" t="n">
        <f aca="false">-F36</f>
        <v>-0</v>
      </c>
      <c r="G83" s="19" t="n">
        <f aca="false">-G36</f>
        <v>-0</v>
      </c>
      <c r="H83" s="19" t="n">
        <f aca="false">-H36</f>
        <v>-0</v>
      </c>
      <c r="I83" s="19" t="n">
        <f aca="false">-I36</f>
        <v>-0</v>
      </c>
      <c r="J83" s="19" t="n">
        <f aca="false">-J36</f>
        <v>-0</v>
      </c>
      <c r="K83" s="19" t="n">
        <f aca="false">-K36</f>
        <v>-0</v>
      </c>
      <c r="L83" s="19" t="n">
        <f aca="false">-L36</f>
        <v>-0</v>
      </c>
      <c r="M83" s="19" t="n">
        <f aca="false">-M36</f>
        <v>-0</v>
      </c>
      <c r="N83" s="19" t="n">
        <f aca="false">-N36</f>
        <v>-0</v>
      </c>
      <c r="O83" s="19" t="n">
        <f aca="false">-O36</f>
        <v>-0</v>
      </c>
      <c r="P83" s="19" t="n">
        <f aca="false">-P36</f>
        <v>-0</v>
      </c>
      <c r="Q83" s="19" t="n">
        <f aca="false">-Q36</f>
        <v>-0</v>
      </c>
      <c r="R83" s="19" t="n">
        <f aca="false">-R36</f>
        <v>-0</v>
      </c>
      <c r="S83" s="19" t="n">
        <f aca="false">-S36</f>
        <v>-0</v>
      </c>
      <c r="T83" s="19" t="n">
        <f aca="false">-T36</f>
        <v>-0</v>
      </c>
      <c r="U83" s="19" t="n">
        <f aca="false">-U36</f>
        <v>-0</v>
      </c>
      <c r="V83" s="19" t="n">
        <f aca="false">-V36</f>
        <v>-0</v>
      </c>
      <c r="W83" s="19" t="n">
        <f aca="false">-W36</f>
        <v>-0</v>
      </c>
      <c r="X83" s="19" t="n">
        <f aca="false">-X36</f>
        <v>-0</v>
      </c>
      <c r="Y83" s="19" t="n">
        <f aca="false">-Y36</f>
        <v>-0</v>
      </c>
      <c r="Z83" s="19" t="n">
        <f aca="false">-Z36</f>
        <v>-0</v>
      </c>
      <c r="AA83" s="19" t="n">
        <f aca="false">-AA36</f>
        <v>-0</v>
      </c>
      <c r="AB83" s="19" t="n">
        <f aca="false">-AB36</f>
        <v>-0</v>
      </c>
      <c r="AC83" s="19" t="n">
        <f aca="false">-AC36</f>
        <v>-0</v>
      </c>
      <c r="AD83" s="19" t="n">
        <f aca="false">-AD36</f>
        <v>-0</v>
      </c>
      <c r="AE83" s="19" t="n">
        <f aca="false">-AE36</f>
        <v>-0</v>
      </c>
      <c r="AF83" s="19" t="n">
        <f aca="false">-AF36</f>
        <v>-0</v>
      </c>
      <c r="AG83" s="19" t="n">
        <f aca="false">-AG36</f>
        <v>-0</v>
      </c>
      <c r="AH83" s="19" t="n">
        <f aca="false">-AH36</f>
        <v>-0</v>
      </c>
      <c r="AI83" s="19" t="n">
        <f aca="false">-AI36</f>
        <v>-307461.75</v>
      </c>
      <c r="AJ83" s="19" t="n">
        <f aca="false">-AJ36</f>
        <v>-401121.75</v>
      </c>
      <c r="AK83" s="19" t="n">
        <f aca="false">-AK36</f>
        <v>-501936.75</v>
      </c>
      <c r="AL83" s="19" t="n">
        <f aca="false">-AL36</f>
        <v>-605886.75</v>
      </c>
      <c r="AM83" s="19" t="n">
        <f aca="false">-AM36</f>
        <v>-707976.75</v>
      </c>
      <c r="AN83" s="19" t="n">
        <f aca="false">-AN36</f>
        <v>-802536.75</v>
      </c>
      <c r="AO83" s="19" t="n">
        <f aca="false">-AO36</f>
        <v>-883761.75</v>
      </c>
      <c r="AP83" s="19" t="n">
        <f aca="false">-AP36</f>
        <v>-946266.75</v>
      </c>
      <c r="AQ83" s="19" t="n">
        <f aca="false">-AQ36</f>
        <v>-985686.75</v>
      </c>
      <c r="AR83" s="19" t="n">
        <f aca="false">-AR36</f>
        <v>-999156.75</v>
      </c>
      <c r="AS83" s="19" t="n">
        <f aca="false">-AS36</f>
        <v>-985686.75</v>
      </c>
      <c r="AT83" s="19" t="n">
        <f aca="false">-AT36</f>
        <v>-946266.75</v>
      </c>
      <c r="AU83" s="19" t="n">
        <f aca="false">-AU36</f>
        <v>-883761.75</v>
      </c>
      <c r="AV83" s="19" t="n">
        <f aca="false">-AV36</f>
        <v>-802536.75</v>
      </c>
      <c r="AW83" s="19" t="n">
        <f aca="false">-AW36</f>
        <v>-707976.75</v>
      </c>
      <c r="AX83" s="19" t="n">
        <f aca="false">-AX36</f>
        <v>-605886.75</v>
      </c>
      <c r="AY83" s="19" t="n">
        <f aca="false">-AY36</f>
        <v>-501936.75</v>
      </c>
      <c r="AZ83" s="19" t="n">
        <f aca="false">-AZ36</f>
        <v>-401121.75</v>
      </c>
      <c r="BA83" s="19" t="n">
        <f aca="false">-BA36</f>
        <v>-217168.5</v>
      </c>
      <c r="BB83" s="19" t="n">
        <f aca="false">-BB36</f>
        <v>-0</v>
      </c>
      <c r="BC83" s="19" t="n">
        <f aca="false">-BC36</f>
        <v>-0</v>
      </c>
      <c r="BD83" s="19" t="n">
        <f aca="false">-BD36</f>
        <v>-0</v>
      </c>
      <c r="BE83" s="19" t="n">
        <f aca="false">-BE36</f>
        <v>-0</v>
      </c>
      <c r="BF83" s="19" t="n">
        <f aca="false">-BF36</f>
        <v>-0</v>
      </c>
      <c r="BG83" s="19" t="n">
        <f aca="false">-BG36</f>
        <v>-0</v>
      </c>
      <c r="BH83" s="19" t="n">
        <f aca="false">-BH36</f>
        <v>-0</v>
      </c>
      <c r="BI83" s="19" t="n">
        <f aca="false">-BI36</f>
        <v>-0</v>
      </c>
      <c r="BJ83" s="19" t="n">
        <f aca="false">-BJ36</f>
        <v>-0</v>
      </c>
      <c r="BK83" s="19" t="n">
        <f aca="false">-BK36</f>
        <v>-0</v>
      </c>
      <c r="BL83" s="19" t="n">
        <f aca="false">-BL36</f>
        <v>-0</v>
      </c>
      <c r="BM83" s="19" t="n">
        <f aca="false">-BM36</f>
        <v>-0</v>
      </c>
      <c r="BN83" s="19" t="n">
        <f aca="false">-BN36</f>
        <v>-0</v>
      </c>
      <c r="BO83" s="19" t="n">
        <f aca="false">-BO36</f>
        <v>-0</v>
      </c>
      <c r="BP83" s="19" t="n">
        <f aca="false">-BP36</f>
        <v>-0</v>
      </c>
      <c r="BQ83" s="19" t="n">
        <f aca="false">-BQ36</f>
        <v>-0</v>
      </c>
      <c r="BR83" s="19" t="n">
        <f aca="false">-BR36</f>
        <v>-0</v>
      </c>
      <c r="BS83" s="19" t="n">
        <f aca="false">-BS36</f>
        <v>-0</v>
      </c>
      <c r="BT83" s="19" t="n">
        <f aca="false">-BT36</f>
        <v>-0</v>
      </c>
      <c r="BU83" s="19" t="n">
        <f aca="false">-BU36</f>
        <v>-0</v>
      </c>
      <c r="BV83" s="19" t="n">
        <f aca="false">-BV36</f>
        <v>-0</v>
      </c>
      <c r="BW83" s="19" t="n">
        <f aca="false">-BW36</f>
        <v>-0</v>
      </c>
      <c r="BX83" s="19" t="n">
        <f aca="false">-BX36</f>
        <v>-0</v>
      </c>
      <c r="BY83" s="19" t="n">
        <f aca="false">-BY36</f>
        <v>-0</v>
      </c>
      <c r="BZ83" s="19" t="n">
        <f aca="false">-BZ36</f>
        <v>-0</v>
      </c>
      <c r="CA83" s="19" t="n">
        <f aca="false">-CA36</f>
        <v>-0</v>
      </c>
      <c r="CB83" s="19" t="n">
        <f aca="false">-CB36</f>
        <v>-0</v>
      </c>
      <c r="CC83" s="19" t="n">
        <f aca="false">-CC36</f>
        <v>-0</v>
      </c>
      <c r="CD83" s="19" t="n">
        <f aca="false">-CD36</f>
        <v>-0</v>
      </c>
      <c r="CE83" s="19" t="n">
        <f aca="false">-CE36</f>
        <v>-0</v>
      </c>
      <c r="CF83" s="19" t="n">
        <f aca="false">-CF36</f>
        <v>-0</v>
      </c>
      <c r="CG83" s="19" t="n">
        <f aca="false">-CG36</f>
        <v>-0</v>
      </c>
      <c r="CH83" s="19" t="n">
        <f aca="false">-CH36</f>
        <v>-0</v>
      </c>
      <c r="CI83" s="19" t="n">
        <f aca="false">-CI36</f>
        <v>-0</v>
      </c>
      <c r="CJ83" s="19" t="n">
        <f aca="false">-CJ36</f>
        <v>-0</v>
      </c>
      <c r="CK83" s="19" t="n">
        <f aca="false">-CK36</f>
        <v>-0</v>
      </c>
      <c r="CL83" s="19" t="n">
        <f aca="false">-CL36</f>
        <v>-0</v>
      </c>
      <c r="CM83" s="19" t="n">
        <f aca="false">-CM36</f>
        <v>-0</v>
      </c>
      <c r="CN83" s="19" t="n">
        <f aca="false">-CN36</f>
        <v>-0</v>
      </c>
      <c r="CO83" s="19" t="n">
        <f aca="false">-CO36</f>
        <v>-0</v>
      </c>
      <c r="CP83" s="19" t="n">
        <f aca="false">-CP36</f>
        <v>-0</v>
      </c>
      <c r="CQ83" s="19" t="n">
        <f aca="false">-CQ36</f>
        <v>-0</v>
      </c>
      <c r="CR83" s="19" t="n">
        <f aca="false">-CR36</f>
        <v>-0</v>
      </c>
      <c r="CS83" s="19" t="n">
        <f aca="false">-CS36</f>
        <v>-0</v>
      </c>
      <c r="CT83" s="19" t="n">
        <f aca="false">-CT36</f>
        <v>-0</v>
      </c>
      <c r="CU83" s="19" t="n">
        <f aca="false">-CU36</f>
        <v>-0</v>
      </c>
      <c r="CV83" s="19" t="n">
        <f aca="false">-CV36</f>
        <v>-0</v>
      </c>
      <c r="CW83" s="19" t="n">
        <f aca="false">-CW36</f>
        <v>-0</v>
      </c>
      <c r="CX83" s="19" t="n">
        <f aca="false">-CX36</f>
        <v>-0</v>
      </c>
      <c r="CY83" s="19" t="n">
        <f aca="false">-CY36</f>
        <v>-0</v>
      </c>
      <c r="CZ83" s="19" t="n">
        <f aca="false">-CZ36</f>
        <v>-0</v>
      </c>
      <c r="DA83" s="19" t="n">
        <f aca="false">-DA36</f>
        <v>-0</v>
      </c>
      <c r="DB83" s="19" t="n">
        <f aca="false">-DB36</f>
        <v>-0</v>
      </c>
      <c r="DC83" s="19" t="n">
        <f aca="false">-DC36</f>
        <v>-0</v>
      </c>
      <c r="DD83" s="19" t="n">
        <f aca="false">-DD36</f>
        <v>-0</v>
      </c>
      <c r="DE83" s="19" t="n">
        <f aca="false">-DE36</f>
        <v>-0</v>
      </c>
    </row>
    <row r="84" customFormat="false" ht="15" hidden="true" customHeight="true" outlineLevel="1" collapsed="false">
      <c r="A84" s="28" t="s">
        <v>31</v>
      </c>
      <c r="B84" s="19" t="n">
        <v>0</v>
      </c>
      <c r="C84" s="19" t="n">
        <v>0</v>
      </c>
      <c r="D84" s="19" t="n">
        <v>0</v>
      </c>
      <c r="E84" s="19" t="n">
        <v>0</v>
      </c>
      <c r="F84" s="19" t="n">
        <f aca="false">-F37</f>
        <v>-0</v>
      </c>
      <c r="G84" s="19" t="n">
        <f aca="false">-G37</f>
        <v>-0</v>
      </c>
      <c r="H84" s="19" t="n">
        <f aca="false">-H37</f>
        <v>-0</v>
      </c>
      <c r="I84" s="19" t="n">
        <f aca="false">-I37</f>
        <v>-0</v>
      </c>
      <c r="J84" s="19" t="n">
        <f aca="false">-J37</f>
        <v>-0</v>
      </c>
      <c r="K84" s="19" t="n">
        <f aca="false">-K37</f>
        <v>-0</v>
      </c>
      <c r="L84" s="19" t="n">
        <f aca="false">-L37</f>
        <v>-0</v>
      </c>
      <c r="M84" s="19" t="n">
        <f aca="false">-M37</f>
        <v>-0</v>
      </c>
      <c r="N84" s="19" t="n">
        <f aca="false">-N37</f>
        <v>-0</v>
      </c>
      <c r="O84" s="19" t="n">
        <f aca="false">-O37</f>
        <v>-0</v>
      </c>
      <c r="P84" s="19" t="n">
        <f aca="false">-P37</f>
        <v>-0</v>
      </c>
      <c r="Q84" s="19" t="n">
        <f aca="false">-Q37</f>
        <v>-0</v>
      </c>
      <c r="R84" s="19" t="n">
        <f aca="false">-R37</f>
        <v>-0</v>
      </c>
      <c r="S84" s="19" t="n">
        <f aca="false">-S37</f>
        <v>-0</v>
      </c>
      <c r="T84" s="19" t="n">
        <f aca="false">-T37</f>
        <v>-0</v>
      </c>
      <c r="U84" s="19" t="n">
        <f aca="false">-U37</f>
        <v>-0</v>
      </c>
      <c r="V84" s="19" t="n">
        <f aca="false">-V37</f>
        <v>-0</v>
      </c>
      <c r="W84" s="19" t="n">
        <f aca="false">-W37</f>
        <v>-0</v>
      </c>
      <c r="X84" s="19" t="n">
        <f aca="false">-X37</f>
        <v>-0</v>
      </c>
      <c r="Y84" s="19" t="n">
        <f aca="false">-Y37</f>
        <v>-0</v>
      </c>
      <c r="Z84" s="19" t="n">
        <f aca="false">-Z37</f>
        <v>-0</v>
      </c>
      <c r="AA84" s="19" t="n">
        <f aca="false">-AA37</f>
        <v>-0</v>
      </c>
      <c r="AB84" s="19" t="n">
        <f aca="false">-AB37</f>
        <v>-0</v>
      </c>
      <c r="AC84" s="19" t="n">
        <f aca="false">-AC37</f>
        <v>-0</v>
      </c>
      <c r="AD84" s="19" t="n">
        <f aca="false">-AD37</f>
        <v>-0</v>
      </c>
      <c r="AE84" s="19" t="n">
        <f aca="false">-AE37</f>
        <v>-0</v>
      </c>
      <c r="AF84" s="19" t="n">
        <f aca="false">-AF37</f>
        <v>-0</v>
      </c>
      <c r="AG84" s="19" t="n">
        <f aca="false">-AG37</f>
        <v>-0</v>
      </c>
      <c r="AH84" s="19" t="n">
        <f aca="false">-AH37</f>
        <v>-0</v>
      </c>
      <c r="AI84" s="19" t="n">
        <f aca="false">-AI37</f>
        <v>-0</v>
      </c>
      <c r="AJ84" s="19" t="n">
        <f aca="false">-AJ37</f>
        <v>-307461.75</v>
      </c>
      <c r="AK84" s="19" t="n">
        <f aca="false">-AK37</f>
        <v>-401121.75</v>
      </c>
      <c r="AL84" s="19" t="n">
        <f aca="false">-AL37</f>
        <v>-501936.75</v>
      </c>
      <c r="AM84" s="19" t="n">
        <f aca="false">-AM37</f>
        <v>-605886.75</v>
      </c>
      <c r="AN84" s="19" t="n">
        <f aca="false">-AN37</f>
        <v>-707976.75</v>
      </c>
      <c r="AO84" s="19" t="n">
        <f aca="false">-AO37</f>
        <v>-802536.75</v>
      </c>
      <c r="AP84" s="19" t="n">
        <f aca="false">-AP37</f>
        <v>-883761.75</v>
      </c>
      <c r="AQ84" s="19" t="n">
        <f aca="false">-AQ37</f>
        <v>-946266.75</v>
      </c>
      <c r="AR84" s="19" t="n">
        <f aca="false">-AR37</f>
        <v>-985686.75</v>
      </c>
      <c r="AS84" s="19" t="n">
        <f aca="false">-AS37</f>
        <v>-999156.75</v>
      </c>
      <c r="AT84" s="19" t="n">
        <f aca="false">-AT37</f>
        <v>-985686.75</v>
      </c>
      <c r="AU84" s="19" t="n">
        <f aca="false">-AU37</f>
        <v>-946266.75</v>
      </c>
      <c r="AV84" s="19" t="n">
        <f aca="false">-AV37</f>
        <v>-883761.75</v>
      </c>
      <c r="AW84" s="19" t="n">
        <f aca="false">-AW37</f>
        <v>-802536.75</v>
      </c>
      <c r="AX84" s="19" t="n">
        <f aca="false">-AX37</f>
        <v>-707976.75</v>
      </c>
      <c r="AY84" s="19" t="n">
        <f aca="false">-AY37</f>
        <v>-605886.75</v>
      </c>
      <c r="AZ84" s="19" t="n">
        <f aca="false">-AZ37</f>
        <v>-501936.75</v>
      </c>
      <c r="BA84" s="19" t="n">
        <f aca="false">-BA37</f>
        <v>-401121.75</v>
      </c>
      <c r="BB84" s="19" t="n">
        <f aca="false">-BB37</f>
        <v>-217168.5</v>
      </c>
      <c r="BC84" s="19" t="n">
        <f aca="false">-BC37</f>
        <v>-0</v>
      </c>
      <c r="BD84" s="19" t="n">
        <f aca="false">-BD37</f>
        <v>-0</v>
      </c>
      <c r="BE84" s="19" t="n">
        <f aca="false">-BE37</f>
        <v>-0</v>
      </c>
      <c r="BF84" s="19" t="n">
        <f aca="false">-BF37</f>
        <v>-0</v>
      </c>
      <c r="BG84" s="19" t="n">
        <f aca="false">-BG37</f>
        <v>-0</v>
      </c>
      <c r="BH84" s="19" t="n">
        <f aca="false">-BH37</f>
        <v>-0</v>
      </c>
      <c r="BI84" s="19" t="n">
        <f aca="false">-BI37</f>
        <v>-0</v>
      </c>
      <c r="BJ84" s="19" t="n">
        <f aca="false">-BJ37</f>
        <v>-0</v>
      </c>
      <c r="BK84" s="19" t="n">
        <f aca="false">-BK37</f>
        <v>-0</v>
      </c>
      <c r="BL84" s="19" t="n">
        <f aca="false">-BL37</f>
        <v>-0</v>
      </c>
      <c r="BM84" s="19" t="n">
        <f aca="false">-BM37</f>
        <v>-0</v>
      </c>
      <c r="BN84" s="19" t="n">
        <f aca="false">-BN37</f>
        <v>-0</v>
      </c>
      <c r="BO84" s="19" t="n">
        <f aca="false">-BO37</f>
        <v>-0</v>
      </c>
      <c r="BP84" s="19" t="n">
        <f aca="false">-BP37</f>
        <v>-0</v>
      </c>
      <c r="BQ84" s="19" t="n">
        <f aca="false">-BQ37</f>
        <v>-0</v>
      </c>
      <c r="BR84" s="19" t="n">
        <f aca="false">-BR37</f>
        <v>-0</v>
      </c>
      <c r="BS84" s="19" t="n">
        <f aca="false">-BS37</f>
        <v>-0</v>
      </c>
      <c r="BT84" s="19" t="n">
        <f aca="false">-BT37</f>
        <v>-0</v>
      </c>
      <c r="BU84" s="19" t="n">
        <f aca="false">-BU37</f>
        <v>-0</v>
      </c>
      <c r="BV84" s="19" t="n">
        <f aca="false">-BV37</f>
        <v>-0</v>
      </c>
      <c r="BW84" s="19" t="n">
        <f aca="false">-BW37</f>
        <v>-0</v>
      </c>
      <c r="BX84" s="19" t="n">
        <f aca="false">-BX37</f>
        <v>-0</v>
      </c>
      <c r="BY84" s="19" t="n">
        <f aca="false">-BY37</f>
        <v>-0</v>
      </c>
      <c r="BZ84" s="19" t="n">
        <f aca="false">-BZ37</f>
        <v>-0</v>
      </c>
      <c r="CA84" s="19" t="n">
        <f aca="false">-CA37</f>
        <v>-0</v>
      </c>
      <c r="CB84" s="19" t="n">
        <f aca="false">-CB37</f>
        <v>-0</v>
      </c>
      <c r="CC84" s="19" t="n">
        <f aca="false">-CC37</f>
        <v>-0</v>
      </c>
      <c r="CD84" s="19" t="n">
        <f aca="false">-CD37</f>
        <v>-0</v>
      </c>
      <c r="CE84" s="19" t="n">
        <f aca="false">-CE37</f>
        <v>-0</v>
      </c>
      <c r="CF84" s="19" t="n">
        <f aca="false">-CF37</f>
        <v>-0</v>
      </c>
      <c r="CG84" s="19" t="n">
        <f aca="false">-CG37</f>
        <v>-0</v>
      </c>
      <c r="CH84" s="19" t="n">
        <f aca="false">-CH37</f>
        <v>-0</v>
      </c>
      <c r="CI84" s="19" t="n">
        <f aca="false">-CI37</f>
        <v>-0</v>
      </c>
      <c r="CJ84" s="19" t="n">
        <f aca="false">-CJ37</f>
        <v>-0</v>
      </c>
      <c r="CK84" s="19" t="n">
        <f aca="false">-CK37</f>
        <v>-0</v>
      </c>
      <c r="CL84" s="19" t="n">
        <f aca="false">-CL37</f>
        <v>-0</v>
      </c>
      <c r="CM84" s="19" t="n">
        <f aca="false">-CM37</f>
        <v>-0</v>
      </c>
      <c r="CN84" s="19" t="n">
        <f aca="false">-CN37</f>
        <v>-0</v>
      </c>
      <c r="CO84" s="19" t="n">
        <f aca="false">-CO37</f>
        <v>-0</v>
      </c>
      <c r="CP84" s="19" t="n">
        <f aca="false">-CP37</f>
        <v>-0</v>
      </c>
      <c r="CQ84" s="19" t="n">
        <f aca="false">-CQ37</f>
        <v>-0</v>
      </c>
      <c r="CR84" s="19" t="n">
        <f aca="false">-CR37</f>
        <v>-0</v>
      </c>
      <c r="CS84" s="19" t="n">
        <f aca="false">-CS37</f>
        <v>-0</v>
      </c>
      <c r="CT84" s="19" t="n">
        <f aca="false">-CT37</f>
        <v>-0</v>
      </c>
      <c r="CU84" s="19" t="n">
        <f aca="false">-CU37</f>
        <v>-0</v>
      </c>
      <c r="CV84" s="19" t="n">
        <f aca="false">-CV37</f>
        <v>-0</v>
      </c>
      <c r="CW84" s="19" t="n">
        <f aca="false">-CW37</f>
        <v>-0</v>
      </c>
      <c r="CX84" s="19" t="n">
        <f aca="false">-CX37</f>
        <v>-0</v>
      </c>
      <c r="CY84" s="19" t="n">
        <f aca="false">-CY37</f>
        <v>-0</v>
      </c>
      <c r="CZ84" s="19" t="n">
        <f aca="false">-CZ37</f>
        <v>-0</v>
      </c>
      <c r="DA84" s="19" t="n">
        <f aca="false">-DA37</f>
        <v>-0</v>
      </c>
      <c r="DB84" s="19" t="n">
        <f aca="false">-DB37</f>
        <v>-0</v>
      </c>
      <c r="DC84" s="19" t="n">
        <f aca="false">-DC37</f>
        <v>-0</v>
      </c>
      <c r="DD84" s="19" t="n">
        <f aca="false">-DD37</f>
        <v>-0</v>
      </c>
      <c r="DE84" s="19" t="n">
        <f aca="false">-DE37</f>
        <v>-0</v>
      </c>
    </row>
    <row r="85" customFormat="false" ht="15" hidden="true" customHeight="true" outlineLevel="1" collapsed="false">
      <c r="A85" s="28" t="s">
        <v>32</v>
      </c>
      <c r="B85" s="19" t="n">
        <v>0</v>
      </c>
      <c r="C85" s="19" t="n">
        <v>0</v>
      </c>
      <c r="D85" s="19" t="n">
        <v>0</v>
      </c>
      <c r="E85" s="19" t="n">
        <v>0</v>
      </c>
      <c r="F85" s="19" t="n">
        <f aca="false">-F38</f>
        <v>-0</v>
      </c>
      <c r="G85" s="19" t="n">
        <f aca="false">-G38</f>
        <v>-0</v>
      </c>
      <c r="H85" s="19" t="n">
        <f aca="false">-H38</f>
        <v>-0</v>
      </c>
      <c r="I85" s="19" t="n">
        <f aca="false">-I38</f>
        <v>-0</v>
      </c>
      <c r="J85" s="19" t="n">
        <f aca="false">-J38</f>
        <v>-0</v>
      </c>
      <c r="K85" s="19" t="n">
        <f aca="false">-K38</f>
        <v>-0</v>
      </c>
      <c r="L85" s="19" t="n">
        <f aca="false">-L38</f>
        <v>-0</v>
      </c>
      <c r="M85" s="19" t="n">
        <f aca="false">-M38</f>
        <v>-0</v>
      </c>
      <c r="N85" s="19" t="n">
        <f aca="false">-N38</f>
        <v>-0</v>
      </c>
      <c r="O85" s="19" t="n">
        <f aca="false">-O38</f>
        <v>-0</v>
      </c>
      <c r="P85" s="19" t="n">
        <f aca="false">-P38</f>
        <v>-0</v>
      </c>
      <c r="Q85" s="19" t="n">
        <f aca="false">-Q38</f>
        <v>-0</v>
      </c>
      <c r="R85" s="19" t="n">
        <f aca="false">-R38</f>
        <v>-0</v>
      </c>
      <c r="S85" s="19" t="n">
        <f aca="false">-S38</f>
        <v>-0</v>
      </c>
      <c r="T85" s="19" t="n">
        <f aca="false">-T38</f>
        <v>-0</v>
      </c>
      <c r="U85" s="19" t="n">
        <f aca="false">-U38</f>
        <v>-0</v>
      </c>
      <c r="V85" s="19" t="n">
        <f aca="false">-V38</f>
        <v>-0</v>
      </c>
      <c r="W85" s="19" t="n">
        <f aca="false">-W38</f>
        <v>-0</v>
      </c>
      <c r="X85" s="19" t="n">
        <f aca="false">-X38</f>
        <v>-0</v>
      </c>
      <c r="Y85" s="19" t="n">
        <f aca="false">-Y38</f>
        <v>-0</v>
      </c>
      <c r="Z85" s="19" t="n">
        <f aca="false">-Z38</f>
        <v>-0</v>
      </c>
      <c r="AA85" s="19" t="n">
        <f aca="false">-AA38</f>
        <v>-0</v>
      </c>
      <c r="AB85" s="19" t="n">
        <f aca="false">-AB38</f>
        <v>-0</v>
      </c>
      <c r="AC85" s="19" t="n">
        <f aca="false">-AC38</f>
        <v>-0</v>
      </c>
      <c r="AD85" s="19" t="n">
        <f aca="false">-AD38</f>
        <v>-0</v>
      </c>
      <c r="AE85" s="19" t="n">
        <f aca="false">-AE38</f>
        <v>-0</v>
      </c>
      <c r="AF85" s="19" t="n">
        <f aca="false">-AF38</f>
        <v>-0</v>
      </c>
      <c r="AG85" s="19" t="n">
        <f aca="false">-AG38</f>
        <v>-0</v>
      </c>
      <c r="AH85" s="19" t="n">
        <f aca="false">-AH38</f>
        <v>-0</v>
      </c>
      <c r="AI85" s="19" t="n">
        <f aca="false">-AI38</f>
        <v>-0</v>
      </c>
      <c r="AJ85" s="19" t="n">
        <f aca="false">-AJ38</f>
        <v>-0</v>
      </c>
      <c r="AK85" s="19" t="n">
        <f aca="false">-AK38</f>
        <v>-307461.75</v>
      </c>
      <c r="AL85" s="19" t="n">
        <f aca="false">-AL38</f>
        <v>-401121.75</v>
      </c>
      <c r="AM85" s="19" t="n">
        <f aca="false">-AM38</f>
        <v>-501936.75</v>
      </c>
      <c r="AN85" s="19" t="n">
        <f aca="false">-AN38</f>
        <v>-605886.75</v>
      </c>
      <c r="AO85" s="19" t="n">
        <f aca="false">-AO38</f>
        <v>-707976.75</v>
      </c>
      <c r="AP85" s="19" t="n">
        <f aca="false">-AP38</f>
        <v>-802536.75</v>
      </c>
      <c r="AQ85" s="19" t="n">
        <f aca="false">-AQ38</f>
        <v>-883761.75</v>
      </c>
      <c r="AR85" s="19" t="n">
        <f aca="false">-AR38</f>
        <v>-946266.75</v>
      </c>
      <c r="AS85" s="19" t="n">
        <f aca="false">-AS38</f>
        <v>-985686.75</v>
      </c>
      <c r="AT85" s="19" t="n">
        <f aca="false">-AT38</f>
        <v>-999156.75</v>
      </c>
      <c r="AU85" s="19" t="n">
        <f aca="false">-AU38</f>
        <v>-985686.75</v>
      </c>
      <c r="AV85" s="19" t="n">
        <f aca="false">-AV38</f>
        <v>-946266.75</v>
      </c>
      <c r="AW85" s="19" t="n">
        <f aca="false">-AW38</f>
        <v>-883761.75</v>
      </c>
      <c r="AX85" s="19" t="n">
        <f aca="false">-AX38</f>
        <v>-802536.75</v>
      </c>
      <c r="AY85" s="19" t="n">
        <f aca="false">-AY38</f>
        <v>-707976.75</v>
      </c>
      <c r="AZ85" s="19" t="n">
        <f aca="false">-AZ38</f>
        <v>-605886.75</v>
      </c>
      <c r="BA85" s="19" t="n">
        <f aca="false">-BA38</f>
        <v>-501936.75</v>
      </c>
      <c r="BB85" s="19" t="n">
        <f aca="false">-BB38</f>
        <v>-401121.75</v>
      </c>
      <c r="BC85" s="19" t="n">
        <f aca="false">-BC38</f>
        <v>-217168.5</v>
      </c>
      <c r="BD85" s="19" t="n">
        <f aca="false">-BD38</f>
        <v>-0</v>
      </c>
      <c r="BE85" s="19" t="n">
        <f aca="false">-BE38</f>
        <v>-0</v>
      </c>
      <c r="BF85" s="19" t="n">
        <f aca="false">-BF38</f>
        <v>-0</v>
      </c>
      <c r="BG85" s="19" t="n">
        <f aca="false">-BG38</f>
        <v>-0</v>
      </c>
      <c r="BH85" s="19" t="n">
        <f aca="false">-BH38</f>
        <v>-0</v>
      </c>
      <c r="BI85" s="19" t="n">
        <f aca="false">-BI38</f>
        <v>-0</v>
      </c>
      <c r="BJ85" s="19" t="n">
        <f aca="false">-BJ38</f>
        <v>-0</v>
      </c>
      <c r="BK85" s="19" t="n">
        <f aca="false">-BK38</f>
        <v>-0</v>
      </c>
      <c r="BL85" s="19" t="n">
        <f aca="false">-BL38</f>
        <v>-0</v>
      </c>
      <c r="BM85" s="19" t="n">
        <f aca="false">-BM38</f>
        <v>-0</v>
      </c>
      <c r="BN85" s="19" t="n">
        <f aca="false">-BN38</f>
        <v>-0</v>
      </c>
      <c r="BO85" s="19" t="n">
        <f aca="false">-BO38</f>
        <v>-0</v>
      </c>
      <c r="BP85" s="19" t="n">
        <f aca="false">-BP38</f>
        <v>-0</v>
      </c>
      <c r="BQ85" s="19" t="n">
        <f aca="false">-BQ38</f>
        <v>-0</v>
      </c>
      <c r="BR85" s="19" t="n">
        <f aca="false">-BR38</f>
        <v>-0</v>
      </c>
      <c r="BS85" s="19" t="n">
        <f aca="false">-BS38</f>
        <v>-0</v>
      </c>
      <c r="BT85" s="19" t="n">
        <f aca="false">-BT38</f>
        <v>-0</v>
      </c>
      <c r="BU85" s="19" t="n">
        <f aca="false">-BU38</f>
        <v>-0</v>
      </c>
      <c r="BV85" s="19" t="n">
        <f aca="false">-BV38</f>
        <v>-0</v>
      </c>
      <c r="BW85" s="19" t="n">
        <f aca="false">-BW38</f>
        <v>-0</v>
      </c>
      <c r="BX85" s="19" t="n">
        <f aca="false">-BX38</f>
        <v>-0</v>
      </c>
      <c r="BY85" s="19" t="n">
        <f aca="false">-BY38</f>
        <v>-0</v>
      </c>
      <c r="BZ85" s="19" t="n">
        <f aca="false">-BZ38</f>
        <v>-0</v>
      </c>
      <c r="CA85" s="19" t="n">
        <f aca="false">-CA38</f>
        <v>-0</v>
      </c>
      <c r="CB85" s="19" t="n">
        <f aca="false">-CB38</f>
        <v>-0</v>
      </c>
      <c r="CC85" s="19" t="n">
        <f aca="false">-CC38</f>
        <v>-0</v>
      </c>
      <c r="CD85" s="19" t="n">
        <f aca="false">-CD38</f>
        <v>-0</v>
      </c>
      <c r="CE85" s="19" t="n">
        <f aca="false">-CE38</f>
        <v>-0</v>
      </c>
      <c r="CF85" s="19" t="n">
        <f aca="false">-CF38</f>
        <v>-0</v>
      </c>
      <c r="CG85" s="19" t="n">
        <f aca="false">-CG38</f>
        <v>-0</v>
      </c>
      <c r="CH85" s="19" t="n">
        <f aca="false">-CH38</f>
        <v>-0</v>
      </c>
      <c r="CI85" s="19" t="n">
        <f aca="false">-CI38</f>
        <v>-0</v>
      </c>
      <c r="CJ85" s="19" t="n">
        <f aca="false">-CJ38</f>
        <v>-0</v>
      </c>
      <c r="CK85" s="19" t="n">
        <f aca="false">-CK38</f>
        <v>-0</v>
      </c>
      <c r="CL85" s="19" t="n">
        <f aca="false">-CL38</f>
        <v>-0</v>
      </c>
      <c r="CM85" s="19" t="n">
        <f aca="false">-CM38</f>
        <v>-0</v>
      </c>
      <c r="CN85" s="19" t="n">
        <f aca="false">-CN38</f>
        <v>-0</v>
      </c>
      <c r="CO85" s="19" t="n">
        <f aca="false">-CO38</f>
        <v>-0</v>
      </c>
      <c r="CP85" s="19" t="n">
        <f aca="false">-CP38</f>
        <v>-0</v>
      </c>
      <c r="CQ85" s="19" t="n">
        <f aca="false">-CQ38</f>
        <v>-0</v>
      </c>
      <c r="CR85" s="19" t="n">
        <f aca="false">-CR38</f>
        <v>-0</v>
      </c>
      <c r="CS85" s="19" t="n">
        <f aca="false">-CS38</f>
        <v>-0</v>
      </c>
      <c r="CT85" s="19" t="n">
        <f aca="false">-CT38</f>
        <v>-0</v>
      </c>
      <c r="CU85" s="19" t="n">
        <f aca="false">-CU38</f>
        <v>-0</v>
      </c>
      <c r="CV85" s="19" t="n">
        <f aca="false">-CV38</f>
        <v>-0</v>
      </c>
      <c r="CW85" s="19" t="n">
        <f aca="false">-CW38</f>
        <v>-0</v>
      </c>
      <c r="CX85" s="19" t="n">
        <f aca="false">-CX38</f>
        <v>-0</v>
      </c>
      <c r="CY85" s="19" t="n">
        <f aca="false">-CY38</f>
        <v>-0</v>
      </c>
      <c r="CZ85" s="19" t="n">
        <f aca="false">-CZ38</f>
        <v>-0</v>
      </c>
      <c r="DA85" s="19" t="n">
        <f aca="false">-DA38</f>
        <v>-0</v>
      </c>
      <c r="DB85" s="19" t="n">
        <f aca="false">-DB38</f>
        <v>-0</v>
      </c>
      <c r="DC85" s="19" t="n">
        <f aca="false">-DC38</f>
        <v>-0</v>
      </c>
      <c r="DD85" s="19" t="n">
        <f aca="false">-DD38</f>
        <v>-0</v>
      </c>
      <c r="DE85" s="19" t="n">
        <f aca="false">-DE38</f>
        <v>-0</v>
      </c>
    </row>
    <row r="86" customFormat="false" ht="15" hidden="true" customHeight="true" outlineLevel="1" collapsed="false">
      <c r="A86" s="28" t="s">
        <v>33</v>
      </c>
      <c r="B86" s="19" t="n">
        <v>0</v>
      </c>
      <c r="C86" s="19" t="n">
        <v>0</v>
      </c>
      <c r="D86" s="19" t="n">
        <v>0</v>
      </c>
      <c r="E86" s="19" t="n">
        <v>0</v>
      </c>
      <c r="F86" s="19" t="n">
        <f aca="false">-F39</f>
        <v>-0</v>
      </c>
      <c r="G86" s="19" t="n">
        <f aca="false">-G39</f>
        <v>-0</v>
      </c>
      <c r="H86" s="19" t="n">
        <f aca="false">-H39</f>
        <v>-0</v>
      </c>
      <c r="I86" s="19" t="n">
        <f aca="false">-I39</f>
        <v>-0</v>
      </c>
      <c r="J86" s="19" t="n">
        <f aca="false">-J39</f>
        <v>-0</v>
      </c>
      <c r="K86" s="19" t="n">
        <f aca="false">-K39</f>
        <v>-0</v>
      </c>
      <c r="L86" s="19" t="n">
        <f aca="false">-L39</f>
        <v>-0</v>
      </c>
      <c r="M86" s="19" t="n">
        <f aca="false">-M39</f>
        <v>-0</v>
      </c>
      <c r="N86" s="19" t="n">
        <f aca="false">-N39</f>
        <v>-0</v>
      </c>
      <c r="O86" s="19" t="n">
        <f aca="false">-O39</f>
        <v>-0</v>
      </c>
      <c r="P86" s="19" t="n">
        <f aca="false">-P39</f>
        <v>-0</v>
      </c>
      <c r="Q86" s="19" t="n">
        <f aca="false">-Q39</f>
        <v>-0</v>
      </c>
      <c r="R86" s="19" t="n">
        <f aca="false">-R39</f>
        <v>-0</v>
      </c>
      <c r="S86" s="19" t="n">
        <f aca="false">-S39</f>
        <v>-0</v>
      </c>
      <c r="T86" s="19" t="n">
        <f aca="false">-T39</f>
        <v>-0</v>
      </c>
      <c r="U86" s="19" t="n">
        <f aca="false">-U39</f>
        <v>-0</v>
      </c>
      <c r="V86" s="19" t="n">
        <f aca="false">-V39</f>
        <v>-0</v>
      </c>
      <c r="W86" s="19" t="n">
        <f aca="false">-W39</f>
        <v>-0</v>
      </c>
      <c r="X86" s="19" t="n">
        <f aca="false">-X39</f>
        <v>-0</v>
      </c>
      <c r="Y86" s="19" t="n">
        <f aca="false">-Y39</f>
        <v>-0</v>
      </c>
      <c r="Z86" s="19" t="n">
        <f aca="false">-Z39</f>
        <v>-0</v>
      </c>
      <c r="AA86" s="19" t="n">
        <f aca="false">-AA39</f>
        <v>-0</v>
      </c>
      <c r="AB86" s="19" t="n">
        <f aca="false">-AB39</f>
        <v>-0</v>
      </c>
      <c r="AC86" s="19" t="n">
        <f aca="false">-AC39</f>
        <v>-0</v>
      </c>
      <c r="AD86" s="19" t="n">
        <f aca="false">-AD39</f>
        <v>-0</v>
      </c>
      <c r="AE86" s="19" t="n">
        <f aca="false">-AE39</f>
        <v>-0</v>
      </c>
      <c r="AF86" s="19" t="n">
        <f aca="false">-AF39</f>
        <v>-0</v>
      </c>
      <c r="AG86" s="19" t="n">
        <f aca="false">-AG39</f>
        <v>-0</v>
      </c>
      <c r="AH86" s="19" t="n">
        <f aca="false">-AH39</f>
        <v>-0</v>
      </c>
      <c r="AI86" s="19" t="n">
        <f aca="false">-AI39</f>
        <v>-0</v>
      </c>
      <c r="AJ86" s="19" t="n">
        <f aca="false">-AJ39</f>
        <v>-0</v>
      </c>
      <c r="AK86" s="19" t="n">
        <f aca="false">-AK39</f>
        <v>-0</v>
      </c>
      <c r="AL86" s="19" t="n">
        <f aca="false">-AL39</f>
        <v>-307461.75</v>
      </c>
      <c r="AM86" s="19" t="n">
        <f aca="false">-AM39</f>
        <v>-401121.75</v>
      </c>
      <c r="AN86" s="19" t="n">
        <f aca="false">-AN39</f>
        <v>-501936.75</v>
      </c>
      <c r="AO86" s="19" t="n">
        <f aca="false">-AO39</f>
        <v>-605886.75</v>
      </c>
      <c r="AP86" s="19" t="n">
        <f aca="false">-AP39</f>
        <v>-707976.75</v>
      </c>
      <c r="AQ86" s="19" t="n">
        <f aca="false">-AQ39</f>
        <v>-802536.75</v>
      </c>
      <c r="AR86" s="19" t="n">
        <f aca="false">-AR39</f>
        <v>-883761.75</v>
      </c>
      <c r="AS86" s="19" t="n">
        <f aca="false">-AS39</f>
        <v>-946266.75</v>
      </c>
      <c r="AT86" s="19" t="n">
        <f aca="false">-AT39</f>
        <v>-985686.75</v>
      </c>
      <c r="AU86" s="19" t="n">
        <f aca="false">-AU39</f>
        <v>-999156.75</v>
      </c>
      <c r="AV86" s="19" t="n">
        <f aca="false">-AV39</f>
        <v>-985686.75</v>
      </c>
      <c r="AW86" s="19" t="n">
        <f aca="false">-AW39</f>
        <v>-946266.75</v>
      </c>
      <c r="AX86" s="19" t="n">
        <f aca="false">-AX39</f>
        <v>-883761.75</v>
      </c>
      <c r="AY86" s="19" t="n">
        <f aca="false">-AY39</f>
        <v>-802536.75</v>
      </c>
      <c r="AZ86" s="19" t="n">
        <f aca="false">-AZ39</f>
        <v>-707976.75</v>
      </c>
      <c r="BA86" s="19" t="n">
        <f aca="false">-BA39</f>
        <v>-605886.75</v>
      </c>
      <c r="BB86" s="19" t="n">
        <f aca="false">-BB39</f>
        <v>-501936.75</v>
      </c>
      <c r="BC86" s="19" t="n">
        <f aca="false">-BC39</f>
        <v>-401121.75</v>
      </c>
      <c r="BD86" s="19" t="n">
        <f aca="false">-BD39</f>
        <v>-217168.5</v>
      </c>
      <c r="BE86" s="19" t="n">
        <f aca="false">-BE39</f>
        <v>-0</v>
      </c>
      <c r="BF86" s="19" t="n">
        <f aca="false">-BF39</f>
        <v>-0</v>
      </c>
      <c r="BG86" s="19" t="n">
        <f aca="false">-BG39</f>
        <v>-0</v>
      </c>
      <c r="BH86" s="19" t="n">
        <f aca="false">-BH39</f>
        <v>-0</v>
      </c>
      <c r="BI86" s="19" t="n">
        <f aca="false">-BI39</f>
        <v>-0</v>
      </c>
      <c r="BJ86" s="19" t="n">
        <f aca="false">-BJ39</f>
        <v>-0</v>
      </c>
      <c r="BK86" s="19" t="n">
        <f aca="false">-BK39</f>
        <v>-0</v>
      </c>
      <c r="BL86" s="19" t="n">
        <f aca="false">-BL39</f>
        <v>-0</v>
      </c>
      <c r="BM86" s="19" t="n">
        <f aca="false">-BM39</f>
        <v>-0</v>
      </c>
      <c r="BN86" s="19" t="n">
        <f aca="false">-BN39</f>
        <v>-0</v>
      </c>
      <c r="BO86" s="19" t="n">
        <f aca="false">-BO39</f>
        <v>-0</v>
      </c>
      <c r="BP86" s="19" t="n">
        <f aca="false">-BP39</f>
        <v>-0</v>
      </c>
      <c r="BQ86" s="19" t="n">
        <f aca="false">-BQ39</f>
        <v>-0</v>
      </c>
      <c r="BR86" s="19" t="n">
        <f aca="false">-BR39</f>
        <v>-0</v>
      </c>
      <c r="BS86" s="19" t="n">
        <f aca="false">-BS39</f>
        <v>-0</v>
      </c>
      <c r="BT86" s="19" t="n">
        <f aca="false">-BT39</f>
        <v>-0</v>
      </c>
      <c r="BU86" s="19" t="n">
        <f aca="false">-BU39</f>
        <v>-0</v>
      </c>
      <c r="BV86" s="19" t="n">
        <f aca="false">-BV39</f>
        <v>-0</v>
      </c>
      <c r="BW86" s="19" t="n">
        <f aca="false">-BW39</f>
        <v>-0</v>
      </c>
      <c r="BX86" s="19" t="n">
        <f aca="false">-BX39</f>
        <v>-0</v>
      </c>
      <c r="BY86" s="19" t="n">
        <f aca="false">-BY39</f>
        <v>-0</v>
      </c>
      <c r="BZ86" s="19" t="n">
        <f aca="false">-BZ39</f>
        <v>-0</v>
      </c>
      <c r="CA86" s="19" t="n">
        <f aca="false">-CA39</f>
        <v>-0</v>
      </c>
      <c r="CB86" s="19" t="n">
        <f aca="false">-CB39</f>
        <v>-0</v>
      </c>
      <c r="CC86" s="19" t="n">
        <f aca="false">-CC39</f>
        <v>-0</v>
      </c>
      <c r="CD86" s="19" t="n">
        <f aca="false">-CD39</f>
        <v>-0</v>
      </c>
      <c r="CE86" s="19" t="n">
        <f aca="false">-CE39</f>
        <v>-0</v>
      </c>
      <c r="CF86" s="19" t="n">
        <f aca="false">-CF39</f>
        <v>-0</v>
      </c>
      <c r="CG86" s="19" t="n">
        <f aca="false">-CG39</f>
        <v>-0</v>
      </c>
      <c r="CH86" s="19" t="n">
        <f aca="false">-CH39</f>
        <v>-0</v>
      </c>
      <c r="CI86" s="19" t="n">
        <f aca="false">-CI39</f>
        <v>-0</v>
      </c>
      <c r="CJ86" s="19" t="n">
        <f aca="false">-CJ39</f>
        <v>-0</v>
      </c>
      <c r="CK86" s="19" t="n">
        <f aca="false">-CK39</f>
        <v>-0</v>
      </c>
      <c r="CL86" s="19" t="n">
        <f aca="false">-CL39</f>
        <v>-0</v>
      </c>
      <c r="CM86" s="19" t="n">
        <f aca="false">-CM39</f>
        <v>-0</v>
      </c>
      <c r="CN86" s="19" t="n">
        <f aca="false">-CN39</f>
        <v>-0</v>
      </c>
      <c r="CO86" s="19" t="n">
        <f aca="false">-CO39</f>
        <v>-0</v>
      </c>
      <c r="CP86" s="19" t="n">
        <f aca="false">-CP39</f>
        <v>-0</v>
      </c>
      <c r="CQ86" s="19" t="n">
        <f aca="false">-CQ39</f>
        <v>-0</v>
      </c>
      <c r="CR86" s="19" t="n">
        <f aca="false">-CR39</f>
        <v>-0</v>
      </c>
      <c r="CS86" s="19" t="n">
        <f aca="false">-CS39</f>
        <v>-0</v>
      </c>
      <c r="CT86" s="19" t="n">
        <f aca="false">-CT39</f>
        <v>-0</v>
      </c>
      <c r="CU86" s="19" t="n">
        <f aca="false">-CU39</f>
        <v>-0</v>
      </c>
      <c r="CV86" s="19" t="n">
        <f aca="false">-CV39</f>
        <v>-0</v>
      </c>
      <c r="CW86" s="19" t="n">
        <f aca="false">-CW39</f>
        <v>-0</v>
      </c>
      <c r="CX86" s="19" t="n">
        <f aca="false">-CX39</f>
        <v>-0</v>
      </c>
      <c r="CY86" s="19" t="n">
        <f aca="false">-CY39</f>
        <v>-0</v>
      </c>
      <c r="CZ86" s="19" t="n">
        <f aca="false">-CZ39</f>
        <v>-0</v>
      </c>
      <c r="DA86" s="19" t="n">
        <f aca="false">-DA39</f>
        <v>-0</v>
      </c>
      <c r="DB86" s="19" t="n">
        <f aca="false">-DB39</f>
        <v>-0</v>
      </c>
      <c r="DC86" s="19" t="n">
        <f aca="false">-DC39</f>
        <v>-0</v>
      </c>
      <c r="DD86" s="19" t="n">
        <f aca="false">-DD39</f>
        <v>-0</v>
      </c>
      <c r="DE86" s="19" t="n">
        <f aca="false">-DE39</f>
        <v>-0</v>
      </c>
    </row>
    <row r="87" customFormat="false" ht="15" hidden="true" customHeight="true" outlineLevel="1" collapsed="false">
      <c r="A87" s="28" t="s">
        <v>34</v>
      </c>
      <c r="B87" s="19" t="n">
        <v>0</v>
      </c>
      <c r="C87" s="19" t="n">
        <v>0</v>
      </c>
      <c r="D87" s="19" t="n">
        <v>0</v>
      </c>
      <c r="E87" s="19" t="n">
        <v>0</v>
      </c>
      <c r="F87" s="19" t="n">
        <f aca="false">-F40</f>
        <v>-0</v>
      </c>
      <c r="G87" s="19" t="n">
        <f aca="false">-G40</f>
        <v>-0</v>
      </c>
      <c r="H87" s="19" t="n">
        <f aca="false">-H40</f>
        <v>-0</v>
      </c>
      <c r="I87" s="19" t="n">
        <f aca="false">-I40</f>
        <v>-0</v>
      </c>
      <c r="J87" s="19" t="n">
        <f aca="false">-J40</f>
        <v>-0</v>
      </c>
      <c r="K87" s="19" t="n">
        <f aca="false">-K40</f>
        <v>-0</v>
      </c>
      <c r="L87" s="19" t="n">
        <f aca="false">-L40</f>
        <v>-0</v>
      </c>
      <c r="M87" s="19" t="n">
        <f aca="false">-M40</f>
        <v>-0</v>
      </c>
      <c r="N87" s="19" t="n">
        <f aca="false">-N40</f>
        <v>-0</v>
      </c>
      <c r="O87" s="19" t="n">
        <f aca="false">-O40</f>
        <v>-0</v>
      </c>
      <c r="P87" s="19" t="n">
        <f aca="false">-P40</f>
        <v>-0</v>
      </c>
      <c r="Q87" s="19" t="n">
        <f aca="false">-Q40</f>
        <v>-0</v>
      </c>
      <c r="R87" s="19" t="n">
        <f aca="false">-R40</f>
        <v>-0</v>
      </c>
      <c r="S87" s="19" t="n">
        <f aca="false">-S40</f>
        <v>-0</v>
      </c>
      <c r="T87" s="19" t="n">
        <f aca="false">-T40</f>
        <v>-0</v>
      </c>
      <c r="U87" s="19" t="n">
        <f aca="false">-U40</f>
        <v>-0</v>
      </c>
      <c r="V87" s="19" t="n">
        <f aca="false">-V40</f>
        <v>-0</v>
      </c>
      <c r="W87" s="19" t="n">
        <f aca="false">-W40</f>
        <v>-0</v>
      </c>
      <c r="X87" s="19" t="n">
        <f aca="false">-X40</f>
        <v>-0</v>
      </c>
      <c r="Y87" s="19" t="n">
        <f aca="false">-Y40</f>
        <v>-0</v>
      </c>
      <c r="Z87" s="19" t="n">
        <f aca="false">-Z40</f>
        <v>-0</v>
      </c>
      <c r="AA87" s="19" t="n">
        <f aca="false">-AA40</f>
        <v>-0</v>
      </c>
      <c r="AB87" s="19" t="n">
        <f aca="false">-AB40</f>
        <v>-0</v>
      </c>
      <c r="AC87" s="19" t="n">
        <f aca="false">-AC40</f>
        <v>-0</v>
      </c>
      <c r="AD87" s="19" t="n">
        <f aca="false">-AD40</f>
        <v>-0</v>
      </c>
      <c r="AE87" s="19" t="n">
        <f aca="false">-AE40</f>
        <v>-0</v>
      </c>
      <c r="AF87" s="19" t="n">
        <f aca="false">-AF40</f>
        <v>-0</v>
      </c>
      <c r="AG87" s="19" t="n">
        <f aca="false">-AG40</f>
        <v>-0</v>
      </c>
      <c r="AH87" s="19" t="n">
        <f aca="false">-AH40</f>
        <v>-0</v>
      </c>
      <c r="AI87" s="19" t="n">
        <f aca="false">-AI40</f>
        <v>-0</v>
      </c>
      <c r="AJ87" s="19" t="n">
        <f aca="false">-AJ40</f>
        <v>-0</v>
      </c>
      <c r="AK87" s="19" t="n">
        <f aca="false">-AK40</f>
        <v>-0</v>
      </c>
      <c r="AL87" s="19" t="n">
        <f aca="false">-AL40</f>
        <v>-0</v>
      </c>
      <c r="AM87" s="19" t="n">
        <f aca="false">-AM40</f>
        <v>-368954.1</v>
      </c>
      <c r="AN87" s="19" t="n">
        <f aca="false">-AN40</f>
        <v>-481346.1</v>
      </c>
      <c r="AO87" s="19" t="n">
        <f aca="false">-AO40</f>
        <v>-602324.1</v>
      </c>
      <c r="AP87" s="19" t="n">
        <f aca="false">-AP40</f>
        <v>-727064.1</v>
      </c>
      <c r="AQ87" s="19" t="n">
        <f aca="false">-AQ40</f>
        <v>-849572.1</v>
      </c>
      <c r="AR87" s="19" t="n">
        <f aca="false">-AR40</f>
        <v>-963044.1</v>
      </c>
      <c r="AS87" s="19" t="n">
        <f aca="false">-AS40</f>
        <v>-1060514.1</v>
      </c>
      <c r="AT87" s="19" t="n">
        <f aca="false">-AT40</f>
        <v>-1135520.1</v>
      </c>
      <c r="AU87" s="19" t="n">
        <f aca="false">-AU40</f>
        <v>-1182824.1</v>
      </c>
      <c r="AV87" s="19" t="n">
        <f aca="false">-AV40</f>
        <v>-1198988.1</v>
      </c>
      <c r="AW87" s="19" t="n">
        <f aca="false">-AW40</f>
        <v>-1182824.1</v>
      </c>
      <c r="AX87" s="19" t="n">
        <f aca="false">-AX40</f>
        <v>-1135520.1</v>
      </c>
      <c r="AY87" s="19" t="n">
        <f aca="false">-AY40</f>
        <v>-1060514.1</v>
      </c>
      <c r="AZ87" s="19" t="n">
        <f aca="false">-AZ40</f>
        <v>-963044.1</v>
      </c>
      <c r="BA87" s="19" t="n">
        <f aca="false">-BA40</f>
        <v>-849572.1</v>
      </c>
      <c r="BB87" s="19" t="n">
        <f aca="false">-BB40</f>
        <v>-727064.1</v>
      </c>
      <c r="BC87" s="19" t="n">
        <f aca="false">-BC40</f>
        <v>-602324.1</v>
      </c>
      <c r="BD87" s="19" t="n">
        <f aca="false">-BD40</f>
        <v>-481346.1</v>
      </c>
      <c r="BE87" s="19" t="n">
        <f aca="false">-BE40</f>
        <v>-260602.2</v>
      </c>
      <c r="BF87" s="19" t="n">
        <f aca="false">-BF40</f>
        <v>-0</v>
      </c>
      <c r="BG87" s="19" t="n">
        <f aca="false">-BG40</f>
        <v>-0</v>
      </c>
      <c r="BH87" s="19" t="n">
        <f aca="false">-BH40</f>
        <v>-0</v>
      </c>
      <c r="BI87" s="19" t="n">
        <f aca="false">-BI40</f>
        <v>-0</v>
      </c>
      <c r="BJ87" s="19" t="n">
        <f aca="false">-BJ40</f>
        <v>-0</v>
      </c>
      <c r="BK87" s="19" t="n">
        <f aca="false">-BK40</f>
        <v>-0</v>
      </c>
      <c r="BL87" s="19" t="n">
        <f aca="false">-BL40</f>
        <v>-0</v>
      </c>
      <c r="BM87" s="19" t="n">
        <f aca="false">-BM40</f>
        <v>-0</v>
      </c>
      <c r="BN87" s="19" t="n">
        <f aca="false">-BN40</f>
        <v>-0</v>
      </c>
      <c r="BO87" s="19" t="n">
        <f aca="false">-BO40</f>
        <v>-0</v>
      </c>
      <c r="BP87" s="19" t="n">
        <f aca="false">-BP40</f>
        <v>-0</v>
      </c>
      <c r="BQ87" s="19" t="n">
        <f aca="false">-BQ40</f>
        <v>-0</v>
      </c>
      <c r="BR87" s="19" t="n">
        <f aca="false">-BR40</f>
        <v>-0</v>
      </c>
      <c r="BS87" s="19" t="n">
        <f aca="false">-BS40</f>
        <v>-0</v>
      </c>
      <c r="BT87" s="19" t="n">
        <f aca="false">-BT40</f>
        <v>-0</v>
      </c>
      <c r="BU87" s="19" t="n">
        <f aca="false">-BU40</f>
        <v>-0</v>
      </c>
      <c r="BV87" s="19" t="n">
        <f aca="false">-BV40</f>
        <v>-0</v>
      </c>
      <c r="BW87" s="19" t="n">
        <f aca="false">-BW40</f>
        <v>-0</v>
      </c>
      <c r="BX87" s="19" t="n">
        <f aca="false">-BX40</f>
        <v>-0</v>
      </c>
      <c r="BY87" s="19" t="n">
        <f aca="false">-BY40</f>
        <v>-0</v>
      </c>
      <c r="BZ87" s="19" t="n">
        <f aca="false">-BZ40</f>
        <v>-0</v>
      </c>
      <c r="CA87" s="19" t="n">
        <f aca="false">-CA40</f>
        <v>-0</v>
      </c>
      <c r="CB87" s="19" t="n">
        <f aca="false">-CB40</f>
        <v>-0</v>
      </c>
      <c r="CC87" s="19" t="n">
        <f aca="false">-CC40</f>
        <v>-0</v>
      </c>
      <c r="CD87" s="19" t="n">
        <f aca="false">-CD40</f>
        <v>-0</v>
      </c>
      <c r="CE87" s="19" t="n">
        <f aca="false">-CE40</f>
        <v>-0</v>
      </c>
      <c r="CF87" s="19" t="n">
        <f aca="false">-CF40</f>
        <v>-0</v>
      </c>
      <c r="CG87" s="19" t="n">
        <f aca="false">-CG40</f>
        <v>-0</v>
      </c>
      <c r="CH87" s="19" t="n">
        <f aca="false">-CH40</f>
        <v>-0</v>
      </c>
      <c r="CI87" s="19" t="n">
        <f aca="false">-CI40</f>
        <v>-0</v>
      </c>
      <c r="CJ87" s="19" t="n">
        <f aca="false">-CJ40</f>
        <v>-0</v>
      </c>
      <c r="CK87" s="19" t="n">
        <f aca="false">-CK40</f>
        <v>-0</v>
      </c>
      <c r="CL87" s="19" t="n">
        <f aca="false">-CL40</f>
        <v>-0</v>
      </c>
      <c r="CM87" s="19" t="n">
        <f aca="false">-CM40</f>
        <v>-0</v>
      </c>
      <c r="CN87" s="19" t="n">
        <f aca="false">-CN40</f>
        <v>-0</v>
      </c>
      <c r="CO87" s="19" t="n">
        <f aca="false">-CO40</f>
        <v>-0</v>
      </c>
      <c r="CP87" s="19" t="n">
        <f aca="false">-CP40</f>
        <v>-0</v>
      </c>
      <c r="CQ87" s="19" t="n">
        <f aca="false">-CQ40</f>
        <v>-0</v>
      </c>
      <c r="CR87" s="19" t="n">
        <f aca="false">-CR40</f>
        <v>-0</v>
      </c>
      <c r="CS87" s="19" t="n">
        <f aca="false">-CS40</f>
        <v>-0</v>
      </c>
      <c r="CT87" s="19" t="n">
        <f aca="false">-CT40</f>
        <v>-0</v>
      </c>
      <c r="CU87" s="19" t="n">
        <f aca="false">-CU40</f>
        <v>-0</v>
      </c>
      <c r="CV87" s="19" t="n">
        <f aca="false">-CV40</f>
        <v>-0</v>
      </c>
      <c r="CW87" s="19" t="n">
        <f aca="false">-CW40</f>
        <v>-0</v>
      </c>
      <c r="CX87" s="19" t="n">
        <f aca="false">-CX40</f>
        <v>-0</v>
      </c>
      <c r="CY87" s="19" t="n">
        <f aca="false">-CY40</f>
        <v>-0</v>
      </c>
      <c r="CZ87" s="19" t="n">
        <f aca="false">-CZ40</f>
        <v>-0</v>
      </c>
      <c r="DA87" s="19" t="n">
        <f aca="false">-DA40</f>
        <v>-0</v>
      </c>
      <c r="DB87" s="19" t="n">
        <f aca="false">-DB40</f>
        <v>-0</v>
      </c>
      <c r="DC87" s="19" t="n">
        <f aca="false">-DC40</f>
        <v>-0</v>
      </c>
      <c r="DD87" s="19" t="n">
        <f aca="false">-DD40</f>
        <v>-0</v>
      </c>
      <c r="DE87" s="19" t="n">
        <f aca="false">-DE40</f>
        <v>-0</v>
      </c>
    </row>
    <row r="88" customFormat="false" ht="15" hidden="true" customHeight="true" outlineLevel="1" collapsed="false">
      <c r="A88" s="28" t="s">
        <v>35</v>
      </c>
      <c r="B88" s="19" t="n">
        <v>0</v>
      </c>
      <c r="C88" s="19" t="n">
        <v>0</v>
      </c>
      <c r="D88" s="19" t="n">
        <v>0</v>
      </c>
      <c r="E88" s="19" t="n">
        <v>0</v>
      </c>
      <c r="F88" s="19" t="n">
        <f aca="false">-F41</f>
        <v>-0</v>
      </c>
      <c r="G88" s="19" t="n">
        <f aca="false">-G41</f>
        <v>-0</v>
      </c>
      <c r="H88" s="19" t="n">
        <f aca="false">-H41</f>
        <v>-0</v>
      </c>
      <c r="I88" s="19" t="n">
        <f aca="false">-I41</f>
        <v>-0</v>
      </c>
      <c r="J88" s="19" t="n">
        <f aca="false">-J41</f>
        <v>-0</v>
      </c>
      <c r="K88" s="19" t="n">
        <f aca="false">-K41</f>
        <v>-0</v>
      </c>
      <c r="L88" s="19" t="n">
        <f aca="false">-L41</f>
        <v>-0</v>
      </c>
      <c r="M88" s="19" t="n">
        <f aca="false">-M41</f>
        <v>-0</v>
      </c>
      <c r="N88" s="19" t="n">
        <f aca="false">-N41</f>
        <v>-0</v>
      </c>
      <c r="O88" s="19" t="n">
        <f aca="false">-O41</f>
        <v>-0</v>
      </c>
      <c r="P88" s="19" t="n">
        <f aca="false">-P41</f>
        <v>-0</v>
      </c>
      <c r="Q88" s="19" t="n">
        <f aca="false">-Q41</f>
        <v>-0</v>
      </c>
      <c r="R88" s="19" t="n">
        <f aca="false">-R41</f>
        <v>-0</v>
      </c>
      <c r="S88" s="19" t="n">
        <f aca="false">-S41</f>
        <v>-0</v>
      </c>
      <c r="T88" s="19" t="n">
        <f aca="false">-T41</f>
        <v>-0</v>
      </c>
      <c r="U88" s="19" t="n">
        <f aca="false">-U41</f>
        <v>-0</v>
      </c>
      <c r="V88" s="19" t="n">
        <f aca="false">-V41</f>
        <v>-0</v>
      </c>
      <c r="W88" s="19" t="n">
        <f aca="false">-W41</f>
        <v>-0</v>
      </c>
      <c r="X88" s="19" t="n">
        <f aca="false">-X41</f>
        <v>-0</v>
      </c>
      <c r="Y88" s="19" t="n">
        <f aca="false">-Y41</f>
        <v>-0</v>
      </c>
      <c r="Z88" s="19" t="n">
        <f aca="false">-Z41</f>
        <v>-0</v>
      </c>
      <c r="AA88" s="19" t="n">
        <f aca="false">-AA41</f>
        <v>-0</v>
      </c>
      <c r="AB88" s="19" t="n">
        <f aca="false">-AB41</f>
        <v>-0</v>
      </c>
      <c r="AC88" s="19" t="n">
        <f aca="false">-AC41</f>
        <v>-0</v>
      </c>
      <c r="AD88" s="19" t="n">
        <f aca="false">-AD41</f>
        <v>-0</v>
      </c>
      <c r="AE88" s="19" t="n">
        <f aca="false">-AE41</f>
        <v>-0</v>
      </c>
      <c r="AF88" s="19" t="n">
        <f aca="false">-AF41</f>
        <v>-0</v>
      </c>
      <c r="AG88" s="19" t="n">
        <f aca="false">-AG41</f>
        <v>-0</v>
      </c>
      <c r="AH88" s="19" t="n">
        <f aca="false">-AH41</f>
        <v>-0</v>
      </c>
      <c r="AI88" s="19" t="n">
        <f aca="false">-AI41</f>
        <v>-0</v>
      </c>
      <c r="AJ88" s="19" t="n">
        <f aca="false">-AJ41</f>
        <v>-0</v>
      </c>
      <c r="AK88" s="19" t="n">
        <f aca="false">-AK41</f>
        <v>-0</v>
      </c>
      <c r="AL88" s="19" t="n">
        <f aca="false">-AL41</f>
        <v>-0</v>
      </c>
      <c r="AM88" s="19" t="n">
        <f aca="false">-AM41</f>
        <v>-0</v>
      </c>
      <c r="AN88" s="19" t="n">
        <f aca="false">-AN41</f>
        <v>-307461.75</v>
      </c>
      <c r="AO88" s="19" t="n">
        <f aca="false">-AO41</f>
        <v>-401121.75</v>
      </c>
      <c r="AP88" s="19" t="n">
        <f aca="false">-AP41</f>
        <v>-501936.75</v>
      </c>
      <c r="AQ88" s="19" t="n">
        <f aca="false">-AQ41</f>
        <v>-605886.75</v>
      </c>
      <c r="AR88" s="19" t="n">
        <f aca="false">-AR41</f>
        <v>-707976.75</v>
      </c>
      <c r="AS88" s="19" t="n">
        <f aca="false">-AS41</f>
        <v>-802536.75</v>
      </c>
      <c r="AT88" s="19" t="n">
        <f aca="false">-AT41</f>
        <v>-883761.75</v>
      </c>
      <c r="AU88" s="19" t="n">
        <f aca="false">-AU41</f>
        <v>-946266.75</v>
      </c>
      <c r="AV88" s="19" t="n">
        <f aca="false">-AV41</f>
        <v>-985686.75</v>
      </c>
      <c r="AW88" s="19" t="n">
        <f aca="false">-AW41</f>
        <v>-999156.75</v>
      </c>
      <c r="AX88" s="19" t="n">
        <f aca="false">-AX41</f>
        <v>-985686.75</v>
      </c>
      <c r="AY88" s="19" t="n">
        <f aca="false">-AY41</f>
        <v>-946266.75</v>
      </c>
      <c r="AZ88" s="19" t="n">
        <f aca="false">-AZ41</f>
        <v>-883761.75</v>
      </c>
      <c r="BA88" s="19" t="n">
        <f aca="false">-BA41</f>
        <v>-802536.75</v>
      </c>
      <c r="BB88" s="19" t="n">
        <f aca="false">-BB41</f>
        <v>-707976.75</v>
      </c>
      <c r="BC88" s="19" t="n">
        <f aca="false">-BC41</f>
        <v>-605886.75</v>
      </c>
      <c r="BD88" s="19" t="n">
        <f aca="false">-BD41</f>
        <v>-501936.75</v>
      </c>
      <c r="BE88" s="19" t="n">
        <f aca="false">-BE41</f>
        <v>-401121.75</v>
      </c>
      <c r="BF88" s="19" t="n">
        <f aca="false">-BF41</f>
        <v>-217168.5</v>
      </c>
      <c r="BG88" s="19" t="n">
        <f aca="false">-BG41</f>
        <v>-0</v>
      </c>
      <c r="BH88" s="19" t="n">
        <f aca="false">-BH41</f>
        <v>-0</v>
      </c>
      <c r="BI88" s="19" t="n">
        <f aca="false">-BI41</f>
        <v>-0</v>
      </c>
      <c r="BJ88" s="19" t="n">
        <f aca="false">-BJ41</f>
        <v>-0</v>
      </c>
      <c r="BK88" s="19" t="n">
        <f aca="false">-BK41</f>
        <v>-0</v>
      </c>
      <c r="BL88" s="19" t="n">
        <f aca="false">-BL41</f>
        <v>-0</v>
      </c>
      <c r="BM88" s="19" t="n">
        <f aca="false">-BM41</f>
        <v>-0</v>
      </c>
      <c r="BN88" s="19" t="n">
        <f aca="false">-BN41</f>
        <v>-0</v>
      </c>
      <c r="BO88" s="19" t="n">
        <f aca="false">-BO41</f>
        <v>-0</v>
      </c>
      <c r="BP88" s="19" t="n">
        <f aca="false">-BP41</f>
        <v>-0</v>
      </c>
      <c r="BQ88" s="19" t="n">
        <f aca="false">-BQ41</f>
        <v>-0</v>
      </c>
      <c r="BR88" s="19" t="n">
        <f aca="false">-BR41</f>
        <v>-0</v>
      </c>
      <c r="BS88" s="19" t="n">
        <f aca="false">-BS41</f>
        <v>-0</v>
      </c>
      <c r="BT88" s="19" t="n">
        <f aca="false">-BT41</f>
        <v>-0</v>
      </c>
      <c r="BU88" s="19" t="n">
        <f aca="false">-BU41</f>
        <v>-0</v>
      </c>
      <c r="BV88" s="19" t="n">
        <f aca="false">-BV41</f>
        <v>-0</v>
      </c>
      <c r="BW88" s="19" t="n">
        <f aca="false">-BW41</f>
        <v>-0</v>
      </c>
      <c r="BX88" s="19" t="n">
        <f aca="false">-BX41</f>
        <v>-0</v>
      </c>
      <c r="BY88" s="19" t="n">
        <f aca="false">-BY41</f>
        <v>-0</v>
      </c>
      <c r="BZ88" s="19" t="n">
        <f aca="false">-BZ41</f>
        <v>-0</v>
      </c>
      <c r="CA88" s="19" t="n">
        <f aca="false">-CA41</f>
        <v>-0</v>
      </c>
      <c r="CB88" s="19" t="n">
        <f aca="false">-CB41</f>
        <v>-0</v>
      </c>
      <c r="CC88" s="19" t="n">
        <f aca="false">-CC41</f>
        <v>-0</v>
      </c>
      <c r="CD88" s="19" t="n">
        <f aca="false">-CD41</f>
        <v>-0</v>
      </c>
      <c r="CE88" s="19" t="n">
        <f aca="false">-CE41</f>
        <v>-0</v>
      </c>
      <c r="CF88" s="19" t="n">
        <f aca="false">-CF41</f>
        <v>-0</v>
      </c>
      <c r="CG88" s="19" t="n">
        <f aca="false">-CG41</f>
        <v>-0</v>
      </c>
      <c r="CH88" s="19" t="n">
        <f aca="false">-CH41</f>
        <v>-0</v>
      </c>
      <c r="CI88" s="19" t="n">
        <f aca="false">-CI41</f>
        <v>-0</v>
      </c>
      <c r="CJ88" s="19" t="n">
        <f aca="false">-CJ41</f>
        <v>-0</v>
      </c>
      <c r="CK88" s="19" t="n">
        <f aca="false">-CK41</f>
        <v>-0</v>
      </c>
      <c r="CL88" s="19" t="n">
        <f aca="false">-CL41</f>
        <v>-0</v>
      </c>
      <c r="CM88" s="19" t="n">
        <f aca="false">-CM41</f>
        <v>-0</v>
      </c>
      <c r="CN88" s="19" t="n">
        <f aca="false">-CN41</f>
        <v>-0</v>
      </c>
      <c r="CO88" s="19" t="n">
        <f aca="false">-CO41</f>
        <v>-0</v>
      </c>
      <c r="CP88" s="19" t="n">
        <f aca="false">-CP41</f>
        <v>-0</v>
      </c>
      <c r="CQ88" s="19" t="n">
        <f aca="false">-CQ41</f>
        <v>-0</v>
      </c>
      <c r="CR88" s="19" t="n">
        <f aca="false">-CR41</f>
        <v>-0</v>
      </c>
      <c r="CS88" s="19" t="n">
        <f aca="false">-CS41</f>
        <v>-0</v>
      </c>
      <c r="CT88" s="19" t="n">
        <f aca="false">-CT41</f>
        <v>-0</v>
      </c>
      <c r="CU88" s="19" t="n">
        <f aca="false">-CU41</f>
        <v>-0</v>
      </c>
      <c r="CV88" s="19" t="n">
        <f aca="false">-CV41</f>
        <v>-0</v>
      </c>
      <c r="CW88" s="19" t="n">
        <f aca="false">-CW41</f>
        <v>-0</v>
      </c>
      <c r="CX88" s="19" t="n">
        <f aca="false">-CX41</f>
        <v>-0</v>
      </c>
      <c r="CY88" s="19" t="n">
        <f aca="false">-CY41</f>
        <v>-0</v>
      </c>
      <c r="CZ88" s="19" t="n">
        <f aca="false">-CZ41</f>
        <v>-0</v>
      </c>
      <c r="DA88" s="19" t="n">
        <f aca="false">-DA41</f>
        <v>-0</v>
      </c>
      <c r="DB88" s="19" t="n">
        <f aca="false">-DB41</f>
        <v>-0</v>
      </c>
      <c r="DC88" s="19" t="n">
        <f aca="false">-DC41</f>
        <v>-0</v>
      </c>
      <c r="DD88" s="19" t="n">
        <f aca="false">-DD41</f>
        <v>-0</v>
      </c>
      <c r="DE88" s="19" t="n">
        <f aca="false">-DE41</f>
        <v>-0</v>
      </c>
    </row>
    <row r="89" customFormat="false" ht="15" hidden="true" customHeight="true" outlineLevel="1" collapsed="false">
      <c r="A89" s="28" t="s">
        <v>36</v>
      </c>
      <c r="B89" s="19" t="n">
        <v>0</v>
      </c>
      <c r="C89" s="19" t="n">
        <v>0</v>
      </c>
      <c r="D89" s="19" t="n">
        <v>0</v>
      </c>
      <c r="E89" s="19" t="n">
        <v>0</v>
      </c>
      <c r="F89" s="19" t="n">
        <f aca="false">-F42</f>
        <v>-0</v>
      </c>
      <c r="G89" s="19" t="n">
        <f aca="false">-G42</f>
        <v>-0</v>
      </c>
      <c r="H89" s="19" t="n">
        <f aca="false">-H42</f>
        <v>-0</v>
      </c>
      <c r="I89" s="19" t="n">
        <f aca="false">-I42</f>
        <v>-0</v>
      </c>
      <c r="J89" s="19" t="n">
        <f aca="false">-J42</f>
        <v>-0</v>
      </c>
      <c r="K89" s="19" t="n">
        <f aca="false">-K42</f>
        <v>-0</v>
      </c>
      <c r="L89" s="19" t="n">
        <f aca="false">-L42</f>
        <v>-0</v>
      </c>
      <c r="M89" s="19" t="n">
        <f aca="false">-M42</f>
        <v>-0</v>
      </c>
      <c r="N89" s="19" t="n">
        <f aca="false">-N42</f>
        <v>-0</v>
      </c>
      <c r="O89" s="19" t="n">
        <f aca="false">-O42</f>
        <v>-0</v>
      </c>
      <c r="P89" s="19" t="n">
        <f aca="false">-P42</f>
        <v>-0</v>
      </c>
      <c r="Q89" s="19" t="n">
        <f aca="false">-Q42</f>
        <v>-0</v>
      </c>
      <c r="R89" s="19" t="n">
        <f aca="false">-R42</f>
        <v>-0</v>
      </c>
      <c r="S89" s="19" t="n">
        <f aca="false">-S42</f>
        <v>-0</v>
      </c>
      <c r="T89" s="19" t="n">
        <f aca="false">-T42</f>
        <v>-0</v>
      </c>
      <c r="U89" s="19" t="n">
        <f aca="false">-U42</f>
        <v>-0</v>
      </c>
      <c r="V89" s="19" t="n">
        <f aca="false">-V42</f>
        <v>-0</v>
      </c>
      <c r="W89" s="19" t="n">
        <f aca="false">-W42</f>
        <v>-0</v>
      </c>
      <c r="X89" s="19" t="n">
        <f aca="false">-X42</f>
        <v>-0</v>
      </c>
      <c r="Y89" s="19" t="n">
        <f aca="false">-Y42</f>
        <v>-0</v>
      </c>
      <c r="Z89" s="19" t="n">
        <f aca="false">-Z42</f>
        <v>-0</v>
      </c>
      <c r="AA89" s="19" t="n">
        <f aca="false">-AA42</f>
        <v>-0</v>
      </c>
      <c r="AB89" s="19" t="n">
        <f aca="false">-AB42</f>
        <v>-0</v>
      </c>
      <c r="AC89" s="19" t="n">
        <f aca="false">-AC42</f>
        <v>-0</v>
      </c>
      <c r="AD89" s="19" t="n">
        <f aca="false">-AD42</f>
        <v>-0</v>
      </c>
      <c r="AE89" s="19" t="n">
        <f aca="false">-AE42</f>
        <v>-0</v>
      </c>
      <c r="AF89" s="19" t="n">
        <f aca="false">-AF42</f>
        <v>-0</v>
      </c>
      <c r="AG89" s="19" t="n">
        <f aca="false">-AG42</f>
        <v>-0</v>
      </c>
      <c r="AH89" s="19" t="n">
        <f aca="false">-AH42</f>
        <v>-0</v>
      </c>
      <c r="AI89" s="19" t="n">
        <f aca="false">-AI42</f>
        <v>-0</v>
      </c>
      <c r="AJ89" s="19" t="n">
        <f aca="false">-AJ42</f>
        <v>-0</v>
      </c>
      <c r="AK89" s="19" t="n">
        <f aca="false">-AK42</f>
        <v>-0</v>
      </c>
      <c r="AL89" s="19" t="n">
        <f aca="false">-AL42</f>
        <v>-0</v>
      </c>
      <c r="AM89" s="19" t="n">
        <f aca="false">-AM42</f>
        <v>-0</v>
      </c>
      <c r="AN89" s="19" t="n">
        <f aca="false">-AN42</f>
        <v>-0</v>
      </c>
      <c r="AO89" s="19" t="n">
        <f aca="false">-AO42</f>
        <v>-307461.75</v>
      </c>
      <c r="AP89" s="19" t="n">
        <f aca="false">-AP42</f>
        <v>-401121.75</v>
      </c>
      <c r="AQ89" s="19" t="n">
        <f aca="false">-AQ42</f>
        <v>-501936.75</v>
      </c>
      <c r="AR89" s="19" t="n">
        <f aca="false">-AR42</f>
        <v>-605886.75</v>
      </c>
      <c r="AS89" s="19" t="n">
        <f aca="false">-AS42</f>
        <v>-707976.75</v>
      </c>
      <c r="AT89" s="19" t="n">
        <f aca="false">-AT42</f>
        <v>-802536.75</v>
      </c>
      <c r="AU89" s="19" t="n">
        <f aca="false">-AU42</f>
        <v>-883761.75</v>
      </c>
      <c r="AV89" s="19" t="n">
        <f aca="false">-AV42</f>
        <v>-946266.75</v>
      </c>
      <c r="AW89" s="19" t="n">
        <f aca="false">-AW42</f>
        <v>-985686.75</v>
      </c>
      <c r="AX89" s="19" t="n">
        <f aca="false">-AX42</f>
        <v>-999156.75</v>
      </c>
      <c r="AY89" s="19" t="n">
        <f aca="false">-AY42</f>
        <v>-985686.75</v>
      </c>
      <c r="AZ89" s="19" t="n">
        <f aca="false">-AZ42</f>
        <v>-946266.75</v>
      </c>
      <c r="BA89" s="19" t="n">
        <f aca="false">-BA42</f>
        <v>-883761.75</v>
      </c>
      <c r="BB89" s="19" t="n">
        <f aca="false">-BB42</f>
        <v>-802536.75</v>
      </c>
      <c r="BC89" s="19" t="n">
        <f aca="false">-BC42</f>
        <v>-707976.75</v>
      </c>
      <c r="BD89" s="19" t="n">
        <f aca="false">-BD42</f>
        <v>-605886.75</v>
      </c>
      <c r="BE89" s="19" t="n">
        <f aca="false">-BE42</f>
        <v>-501936.75</v>
      </c>
      <c r="BF89" s="19" t="n">
        <f aca="false">-BF42</f>
        <v>-401121.75</v>
      </c>
      <c r="BG89" s="19" t="n">
        <f aca="false">-BG42</f>
        <v>-217168.5</v>
      </c>
      <c r="BH89" s="19" t="n">
        <f aca="false">-BH42</f>
        <v>-0</v>
      </c>
      <c r="BI89" s="19" t="n">
        <f aca="false">-BI42</f>
        <v>-0</v>
      </c>
      <c r="BJ89" s="19" t="n">
        <f aca="false">-BJ42</f>
        <v>-0</v>
      </c>
      <c r="BK89" s="19" t="n">
        <f aca="false">-BK42</f>
        <v>-0</v>
      </c>
      <c r="BL89" s="19" t="n">
        <f aca="false">-BL42</f>
        <v>-0</v>
      </c>
      <c r="BM89" s="19" t="n">
        <f aca="false">-BM42</f>
        <v>-0</v>
      </c>
      <c r="BN89" s="19" t="n">
        <f aca="false">-BN42</f>
        <v>-0</v>
      </c>
      <c r="BO89" s="19" t="n">
        <f aca="false">-BO42</f>
        <v>-0</v>
      </c>
      <c r="BP89" s="19" t="n">
        <f aca="false">-BP42</f>
        <v>-0</v>
      </c>
      <c r="BQ89" s="19" t="n">
        <f aca="false">-BQ42</f>
        <v>-0</v>
      </c>
      <c r="BR89" s="19" t="n">
        <f aca="false">-BR42</f>
        <v>-0</v>
      </c>
      <c r="BS89" s="19" t="n">
        <f aca="false">-BS42</f>
        <v>-0</v>
      </c>
      <c r="BT89" s="19" t="n">
        <f aca="false">-BT42</f>
        <v>-0</v>
      </c>
      <c r="BU89" s="19" t="n">
        <f aca="false">-BU42</f>
        <v>-0</v>
      </c>
      <c r="BV89" s="19" t="n">
        <f aca="false">-BV42</f>
        <v>-0</v>
      </c>
      <c r="BW89" s="19" t="n">
        <f aca="false">-BW42</f>
        <v>-0</v>
      </c>
      <c r="BX89" s="19" t="n">
        <f aca="false">-BX42</f>
        <v>-0</v>
      </c>
      <c r="BY89" s="19" t="n">
        <f aca="false">-BY42</f>
        <v>-0</v>
      </c>
      <c r="BZ89" s="19" t="n">
        <f aca="false">-BZ42</f>
        <v>-0</v>
      </c>
      <c r="CA89" s="19" t="n">
        <f aca="false">-CA42</f>
        <v>-0</v>
      </c>
      <c r="CB89" s="19" t="n">
        <f aca="false">-CB42</f>
        <v>-0</v>
      </c>
      <c r="CC89" s="19" t="n">
        <f aca="false">-CC42</f>
        <v>-0</v>
      </c>
      <c r="CD89" s="19" t="n">
        <f aca="false">-CD42</f>
        <v>-0</v>
      </c>
      <c r="CE89" s="19" t="n">
        <f aca="false">-CE42</f>
        <v>-0</v>
      </c>
      <c r="CF89" s="19" t="n">
        <f aca="false">-CF42</f>
        <v>-0</v>
      </c>
      <c r="CG89" s="19" t="n">
        <f aca="false">-CG42</f>
        <v>-0</v>
      </c>
      <c r="CH89" s="19" t="n">
        <f aca="false">-CH42</f>
        <v>-0</v>
      </c>
      <c r="CI89" s="19" t="n">
        <f aca="false">-CI42</f>
        <v>-0</v>
      </c>
      <c r="CJ89" s="19" t="n">
        <f aca="false">-CJ42</f>
        <v>-0</v>
      </c>
      <c r="CK89" s="19" t="n">
        <f aca="false">-CK42</f>
        <v>-0</v>
      </c>
      <c r="CL89" s="19" t="n">
        <f aca="false">-CL42</f>
        <v>-0</v>
      </c>
      <c r="CM89" s="19" t="n">
        <f aca="false">-CM42</f>
        <v>-0</v>
      </c>
      <c r="CN89" s="19" t="n">
        <f aca="false">-CN42</f>
        <v>-0</v>
      </c>
      <c r="CO89" s="19" t="n">
        <f aca="false">-CO42</f>
        <v>-0</v>
      </c>
      <c r="CP89" s="19" t="n">
        <f aca="false">-CP42</f>
        <v>-0</v>
      </c>
      <c r="CQ89" s="19" t="n">
        <f aca="false">-CQ42</f>
        <v>-0</v>
      </c>
      <c r="CR89" s="19" t="n">
        <f aca="false">-CR42</f>
        <v>-0</v>
      </c>
      <c r="CS89" s="19" t="n">
        <f aca="false">-CS42</f>
        <v>-0</v>
      </c>
      <c r="CT89" s="19" t="n">
        <f aca="false">-CT42</f>
        <v>-0</v>
      </c>
      <c r="CU89" s="19" t="n">
        <f aca="false">-CU42</f>
        <v>-0</v>
      </c>
      <c r="CV89" s="19" t="n">
        <f aca="false">-CV42</f>
        <v>-0</v>
      </c>
      <c r="CW89" s="19" t="n">
        <f aca="false">-CW42</f>
        <v>-0</v>
      </c>
      <c r="CX89" s="19" t="n">
        <f aca="false">-CX42</f>
        <v>-0</v>
      </c>
      <c r="CY89" s="19" t="n">
        <f aca="false">-CY42</f>
        <v>-0</v>
      </c>
      <c r="CZ89" s="19" t="n">
        <f aca="false">-CZ42</f>
        <v>-0</v>
      </c>
      <c r="DA89" s="19" t="n">
        <f aca="false">-DA42</f>
        <v>-0</v>
      </c>
      <c r="DB89" s="19" t="n">
        <f aca="false">-DB42</f>
        <v>-0</v>
      </c>
      <c r="DC89" s="19" t="n">
        <f aca="false">-DC42</f>
        <v>-0</v>
      </c>
      <c r="DD89" s="19" t="n">
        <f aca="false">-DD42</f>
        <v>-0</v>
      </c>
      <c r="DE89" s="19" t="n">
        <f aca="false">-DE42</f>
        <v>-0</v>
      </c>
    </row>
    <row r="90" customFormat="false" ht="15" hidden="true" customHeight="true" outlineLevel="1" collapsed="false">
      <c r="A90" s="28" t="s">
        <v>37</v>
      </c>
      <c r="B90" s="19" t="n">
        <v>0</v>
      </c>
      <c r="C90" s="19" t="n">
        <v>0</v>
      </c>
      <c r="D90" s="19" t="n">
        <v>0</v>
      </c>
      <c r="E90" s="19" t="n">
        <v>0</v>
      </c>
      <c r="F90" s="19" t="n">
        <f aca="false">-F43</f>
        <v>-0</v>
      </c>
      <c r="G90" s="19" t="n">
        <f aca="false">-G43</f>
        <v>-0</v>
      </c>
      <c r="H90" s="19" t="n">
        <f aca="false">-H43</f>
        <v>-0</v>
      </c>
      <c r="I90" s="19" t="n">
        <f aca="false">-I43</f>
        <v>-0</v>
      </c>
      <c r="J90" s="19" t="n">
        <f aca="false">-J43</f>
        <v>-0</v>
      </c>
      <c r="K90" s="19" t="n">
        <f aca="false">-K43</f>
        <v>-0</v>
      </c>
      <c r="L90" s="19" t="n">
        <f aca="false">-L43</f>
        <v>-0</v>
      </c>
      <c r="M90" s="19" t="n">
        <f aca="false">-M43</f>
        <v>-0</v>
      </c>
      <c r="N90" s="19" t="n">
        <f aca="false">-N43</f>
        <v>-0</v>
      </c>
      <c r="O90" s="19" t="n">
        <f aca="false">-O43</f>
        <v>-0</v>
      </c>
      <c r="P90" s="19" t="n">
        <f aca="false">-P43</f>
        <v>-0</v>
      </c>
      <c r="Q90" s="19" t="n">
        <f aca="false">-Q43</f>
        <v>-0</v>
      </c>
      <c r="R90" s="19" t="n">
        <f aca="false">-R43</f>
        <v>-0</v>
      </c>
      <c r="S90" s="19" t="n">
        <f aca="false">-S43</f>
        <v>-0</v>
      </c>
      <c r="T90" s="19" t="n">
        <f aca="false">-T43</f>
        <v>-0</v>
      </c>
      <c r="U90" s="19" t="n">
        <f aca="false">-U43</f>
        <v>-0</v>
      </c>
      <c r="V90" s="19" t="n">
        <f aca="false">-V43</f>
        <v>-0</v>
      </c>
      <c r="W90" s="19" t="n">
        <f aca="false">-W43</f>
        <v>-0</v>
      </c>
      <c r="X90" s="19" t="n">
        <f aca="false">-X43</f>
        <v>-0</v>
      </c>
      <c r="Y90" s="19" t="n">
        <f aca="false">-Y43</f>
        <v>-0</v>
      </c>
      <c r="Z90" s="19" t="n">
        <f aca="false">-Z43</f>
        <v>-0</v>
      </c>
      <c r="AA90" s="19" t="n">
        <f aca="false">-AA43</f>
        <v>-0</v>
      </c>
      <c r="AB90" s="19" t="n">
        <f aca="false">-AB43</f>
        <v>-0</v>
      </c>
      <c r="AC90" s="19" t="n">
        <f aca="false">-AC43</f>
        <v>-0</v>
      </c>
      <c r="AD90" s="19" t="n">
        <f aca="false">-AD43</f>
        <v>-0</v>
      </c>
      <c r="AE90" s="19" t="n">
        <f aca="false">-AE43</f>
        <v>-0</v>
      </c>
      <c r="AF90" s="19" t="n">
        <f aca="false">-AF43</f>
        <v>-0</v>
      </c>
      <c r="AG90" s="19" t="n">
        <f aca="false">-AG43</f>
        <v>-0</v>
      </c>
      <c r="AH90" s="19" t="n">
        <f aca="false">-AH43</f>
        <v>-0</v>
      </c>
      <c r="AI90" s="19" t="n">
        <f aca="false">-AI43</f>
        <v>-0</v>
      </c>
      <c r="AJ90" s="19" t="n">
        <f aca="false">-AJ43</f>
        <v>-0</v>
      </c>
      <c r="AK90" s="19" t="n">
        <f aca="false">-AK43</f>
        <v>-0</v>
      </c>
      <c r="AL90" s="19" t="n">
        <f aca="false">-AL43</f>
        <v>-0</v>
      </c>
      <c r="AM90" s="19" t="n">
        <f aca="false">-AM43</f>
        <v>-0</v>
      </c>
      <c r="AN90" s="19" t="n">
        <f aca="false">-AN43</f>
        <v>-0</v>
      </c>
      <c r="AO90" s="19" t="n">
        <f aca="false">-AO43</f>
        <v>-0</v>
      </c>
      <c r="AP90" s="19" t="n">
        <f aca="false">-AP43</f>
        <v>-368954.1</v>
      </c>
      <c r="AQ90" s="19" t="n">
        <f aca="false">-AQ43</f>
        <v>-481346.1</v>
      </c>
      <c r="AR90" s="19" t="n">
        <f aca="false">-AR43</f>
        <v>-602324.1</v>
      </c>
      <c r="AS90" s="19" t="n">
        <f aca="false">-AS43</f>
        <v>-727064.1</v>
      </c>
      <c r="AT90" s="19" t="n">
        <f aca="false">-AT43</f>
        <v>-849572.1</v>
      </c>
      <c r="AU90" s="19" t="n">
        <f aca="false">-AU43</f>
        <v>-963044.1</v>
      </c>
      <c r="AV90" s="19" t="n">
        <f aca="false">-AV43</f>
        <v>-1060514.1</v>
      </c>
      <c r="AW90" s="19" t="n">
        <f aca="false">-AW43</f>
        <v>-1135520.1</v>
      </c>
      <c r="AX90" s="19" t="n">
        <f aca="false">-AX43</f>
        <v>-1182824.1</v>
      </c>
      <c r="AY90" s="19" t="n">
        <f aca="false">-AY43</f>
        <v>-1198988.1</v>
      </c>
      <c r="AZ90" s="19" t="n">
        <f aca="false">-AZ43</f>
        <v>-1182824.1</v>
      </c>
      <c r="BA90" s="19" t="n">
        <f aca="false">-BA43</f>
        <v>-1135520.1</v>
      </c>
      <c r="BB90" s="19" t="n">
        <f aca="false">-BB43</f>
        <v>-1060514.1</v>
      </c>
      <c r="BC90" s="19" t="n">
        <f aca="false">-BC43</f>
        <v>-963044.1</v>
      </c>
      <c r="BD90" s="19" t="n">
        <f aca="false">-BD43</f>
        <v>-849572.1</v>
      </c>
      <c r="BE90" s="19" t="n">
        <f aca="false">-BE43</f>
        <v>-727064.1</v>
      </c>
      <c r="BF90" s="19" t="n">
        <f aca="false">-BF43</f>
        <v>-602324.1</v>
      </c>
      <c r="BG90" s="19" t="n">
        <f aca="false">-BG43</f>
        <v>-481346.1</v>
      </c>
      <c r="BH90" s="19" t="n">
        <f aca="false">-BH43</f>
        <v>-260602.2</v>
      </c>
      <c r="BI90" s="19" t="n">
        <f aca="false">-BI43</f>
        <v>-0</v>
      </c>
      <c r="BJ90" s="19" t="n">
        <f aca="false">-BJ43</f>
        <v>-0</v>
      </c>
      <c r="BK90" s="19" t="n">
        <f aca="false">-BK43</f>
        <v>-0</v>
      </c>
      <c r="BL90" s="19" t="n">
        <f aca="false">-BL43</f>
        <v>-0</v>
      </c>
      <c r="BM90" s="19" t="n">
        <f aca="false">-BM43</f>
        <v>-0</v>
      </c>
      <c r="BN90" s="19" t="n">
        <f aca="false">-BN43</f>
        <v>-0</v>
      </c>
      <c r="BO90" s="19" t="n">
        <f aca="false">-BO43</f>
        <v>-0</v>
      </c>
      <c r="BP90" s="19" t="n">
        <f aca="false">-BP43</f>
        <v>-0</v>
      </c>
      <c r="BQ90" s="19" t="n">
        <f aca="false">-BQ43</f>
        <v>-0</v>
      </c>
      <c r="BR90" s="19" t="n">
        <f aca="false">-BR43</f>
        <v>-0</v>
      </c>
      <c r="BS90" s="19" t="n">
        <f aca="false">-BS43</f>
        <v>-0</v>
      </c>
      <c r="BT90" s="19" t="n">
        <f aca="false">-BT43</f>
        <v>-0</v>
      </c>
      <c r="BU90" s="19" t="n">
        <f aca="false">-BU43</f>
        <v>-0</v>
      </c>
      <c r="BV90" s="19" t="n">
        <f aca="false">-BV43</f>
        <v>-0</v>
      </c>
      <c r="BW90" s="19" t="n">
        <f aca="false">-BW43</f>
        <v>-0</v>
      </c>
      <c r="BX90" s="19" t="n">
        <f aca="false">-BX43</f>
        <v>-0</v>
      </c>
      <c r="BY90" s="19" t="n">
        <f aca="false">-BY43</f>
        <v>-0</v>
      </c>
      <c r="BZ90" s="19" t="n">
        <f aca="false">-BZ43</f>
        <v>-0</v>
      </c>
      <c r="CA90" s="19" t="n">
        <f aca="false">-CA43</f>
        <v>-0</v>
      </c>
      <c r="CB90" s="19" t="n">
        <f aca="false">-CB43</f>
        <v>-0</v>
      </c>
      <c r="CC90" s="19" t="n">
        <f aca="false">-CC43</f>
        <v>-0</v>
      </c>
      <c r="CD90" s="19" t="n">
        <f aca="false">-CD43</f>
        <v>-0</v>
      </c>
      <c r="CE90" s="19" t="n">
        <f aca="false">-CE43</f>
        <v>-0</v>
      </c>
      <c r="CF90" s="19" t="n">
        <f aca="false">-CF43</f>
        <v>-0</v>
      </c>
      <c r="CG90" s="19" t="n">
        <f aca="false">-CG43</f>
        <v>-0</v>
      </c>
      <c r="CH90" s="19" t="n">
        <f aca="false">-CH43</f>
        <v>-0</v>
      </c>
      <c r="CI90" s="19" t="n">
        <f aca="false">-CI43</f>
        <v>-0</v>
      </c>
      <c r="CJ90" s="19" t="n">
        <f aca="false">-CJ43</f>
        <v>-0</v>
      </c>
      <c r="CK90" s="19" t="n">
        <f aca="false">-CK43</f>
        <v>-0</v>
      </c>
      <c r="CL90" s="19" t="n">
        <f aca="false">-CL43</f>
        <v>-0</v>
      </c>
      <c r="CM90" s="19" t="n">
        <f aca="false">-CM43</f>
        <v>-0</v>
      </c>
      <c r="CN90" s="19" t="n">
        <f aca="false">-CN43</f>
        <v>-0</v>
      </c>
      <c r="CO90" s="19" t="n">
        <f aca="false">-CO43</f>
        <v>-0</v>
      </c>
      <c r="CP90" s="19" t="n">
        <f aca="false">-CP43</f>
        <v>-0</v>
      </c>
      <c r="CQ90" s="19" t="n">
        <f aca="false">-CQ43</f>
        <v>-0</v>
      </c>
      <c r="CR90" s="19" t="n">
        <f aca="false">-CR43</f>
        <v>-0</v>
      </c>
      <c r="CS90" s="19" t="n">
        <f aca="false">-CS43</f>
        <v>-0</v>
      </c>
      <c r="CT90" s="19" t="n">
        <f aca="false">-CT43</f>
        <v>-0</v>
      </c>
      <c r="CU90" s="19" t="n">
        <f aca="false">-CU43</f>
        <v>-0</v>
      </c>
      <c r="CV90" s="19" t="n">
        <f aca="false">-CV43</f>
        <v>-0</v>
      </c>
      <c r="CW90" s="19" t="n">
        <f aca="false">-CW43</f>
        <v>-0</v>
      </c>
      <c r="CX90" s="19" t="n">
        <f aca="false">-CX43</f>
        <v>-0</v>
      </c>
      <c r="CY90" s="19" t="n">
        <f aca="false">-CY43</f>
        <v>-0</v>
      </c>
      <c r="CZ90" s="19" t="n">
        <f aca="false">-CZ43</f>
        <v>-0</v>
      </c>
      <c r="DA90" s="19" t="n">
        <f aca="false">-DA43</f>
        <v>-0</v>
      </c>
      <c r="DB90" s="19" t="n">
        <f aca="false">-DB43</f>
        <v>-0</v>
      </c>
      <c r="DC90" s="19" t="n">
        <f aca="false">-DC43</f>
        <v>-0</v>
      </c>
      <c r="DD90" s="19" t="n">
        <f aca="false">-DD43</f>
        <v>-0</v>
      </c>
      <c r="DE90" s="19" t="n">
        <f aca="false">-DE43</f>
        <v>-0</v>
      </c>
    </row>
    <row r="91" customFormat="false" ht="15" hidden="true" customHeight="true" outlineLevel="1" collapsed="false">
      <c r="A91" s="28" t="s">
        <v>38</v>
      </c>
      <c r="B91" s="19" t="n">
        <v>0</v>
      </c>
      <c r="C91" s="19" t="n">
        <v>0</v>
      </c>
      <c r="D91" s="19" t="n">
        <v>0</v>
      </c>
      <c r="E91" s="19" t="n">
        <v>0</v>
      </c>
      <c r="F91" s="19" t="n">
        <f aca="false">-F44</f>
        <v>-0</v>
      </c>
      <c r="G91" s="19" t="n">
        <f aca="false">-G44</f>
        <v>-0</v>
      </c>
      <c r="H91" s="19" t="n">
        <f aca="false">-H44</f>
        <v>-0</v>
      </c>
      <c r="I91" s="19" t="n">
        <f aca="false">-I44</f>
        <v>-0</v>
      </c>
      <c r="J91" s="19" t="n">
        <f aca="false">-J44</f>
        <v>-0</v>
      </c>
      <c r="K91" s="19" t="n">
        <f aca="false">-K44</f>
        <v>-0</v>
      </c>
      <c r="L91" s="19" t="n">
        <f aca="false">-L44</f>
        <v>-0</v>
      </c>
      <c r="M91" s="19" t="n">
        <f aca="false">-M44</f>
        <v>-0</v>
      </c>
      <c r="N91" s="19" t="n">
        <f aca="false">-N44</f>
        <v>-0</v>
      </c>
      <c r="O91" s="19" t="n">
        <f aca="false">-O44</f>
        <v>-0</v>
      </c>
      <c r="P91" s="19" t="n">
        <f aca="false">-P44</f>
        <v>-0</v>
      </c>
      <c r="Q91" s="19" t="n">
        <f aca="false">-Q44</f>
        <v>-0</v>
      </c>
      <c r="R91" s="19" t="n">
        <f aca="false">-R44</f>
        <v>-0</v>
      </c>
      <c r="S91" s="19" t="n">
        <f aca="false">-S44</f>
        <v>-0</v>
      </c>
      <c r="T91" s="19" t="n">
        <f aca="false">-T44</f>
        <v>-0</v>
      </c>
      <c r="U91" s="19" t="n">
        <f aca="false">-U44</f>
        <v>-0</v>
      </c>
      <c r="V91" s="19" t="n">
        <f aca="false">-V44</f>
        <v>-0</v>
      </c>
      <c r="W91" s="19" t="n">
        <f aca="false">-W44</f>
        <v>-0</v>
      </c>
      <c r="X91" s="19" t="n">
        <f aca="false">-X44</f>
        <v>-0</v>
      </c>
      <c r="Y91" s="19" t="n">
        <f aca="false">-Y44</f>
        <v>-0</v>
      </c>
      <c r="Z91" s="19" t="n">
        <f aca="false">-Z44</f>
        <v>-0</v>
      </c>
      <c r="AA91" s="19" t="n">
        <f aca="false">-AA44</f>
        <v>-0</v>
      </c>
      <c r="AB91" s="19" t="n">
        <f aca="false">-AB44</f>
        <v>-0</v>
      </c>
      <c r="AC91" s="19" t="n">
        <f aca="false">-AC44</f>
        <v>-0</v>
      </c>
      <c r="AD91" s="19" t="n">
        <f aca="false">-AD44</f>
        <v>-0</v>
      </c>
      <c r="AE91" s="19" t="n">
        <f aca="false">-AE44</f>
        <v>-0</v>
      </c>
      <c r="AF91" s="19" t="n">
        <f aca="false">-AF44</f>
        <v>-0</v>
      </c>
      <c r="AG91" s="19" t="n">
        <f aca="false">-AG44</f>
        <v>-0</v>
      </c>
      <c r="AH91" s="19" t="n">
        <f aca="false">-AH44</f>
        <v>-0</v>
      </c>
      <c r="AI91" s="19" t="n">
        <f aca="false">-AI44</f>
        <v>-0</v>
      </c>
      <c r="AJ91" s="19" t="n">
        <f aca="false">-AJ44</f>
        <v>-0</v>
      </c>
      <c r="AK91" s="19" t="n">
        <f aca="false">-AK44</f>
        <v>-0</v>
      </c>
      <c r="AL91" s="19" t="n">
        <f aca="false">-AL44</f>
        <v>-0</v>
      </c>
      <c r="AM91" s="19" t="n">
        <f aca="false">-AM44</f>
        <v>-0</v>
      </c>
      <c r="AN91" s="19" t="n">
        <f aca="false">-AN44</f>
        <v>-0</v>
      </c>
      <c r="AO91" s="19" t="n">
        <f aca="false">-AO44</f>
        <v>-0</v>
      </c>
      <c r="AP91" s="19" t="n">
        <f aca="false">-AP44</f>
        <v>-0</v>
      </c>
      <c r="AQ91" s="19" t="n">
        <f aca="false">-AQ44</f>
        <v>-307461.75</v>
      </c>
      <c r="AR91" s="19" t="n">
        <f aca="false">-AR44</f>
        <v>-401121.75</v>
      </c>
      <c r="AS91" s="19" t="n">
        <f aca="false">-AS44</f>
        <v>-501936.75</v>
      </c>
      <c r="AT91" s="19" t="n">
        <f aca="false">-AT44</f>
        <v>-605886.75</v>
      </c>
      <c r="AU91" s="19" t="n">
        <f aca="false">-AU44</f>
        <v>-707976.75</v>
      </c>
      <c r="AV91" s="19" t="n">
        <f aca="false">-AV44</f>
        <v>-802536.75</v>
      </c>
      <c r="AW91" s="19" t="n">
        <f aca="false">-AW44</f>
        <v>-883761.75</v>
      </c>
      <c r="AX91" s="19" t="n">
        <f aca="false">-AX44</f>
        <v>-946266.75</v>
      </c>
      <c r="AY91" s="19" t="n">
        <f aca="false">-AY44</f>
        <v>-985686.75</v>
      </c>
      <c r="AZ91" s="19" t="n">
        <f aca="false">-AZ44</f>
        <v>-999156.75</v>
      </c>
      <c r="BA91" s="19" t="n">
        <f aca="false">-BA44</f>
        <v>-985686.75</v>
      </c>
      <c r="BB91" s="19" t="n">
        <f aca="false">-BB44</f>
        <v>-946266.75</v>
      </c>
      <c r="BC91" s="19" t="n">
        <f aca="false">-BC44</f>
        <v>-883761.75</v>
      </c>
      <c r="BD91" s="19" t="n">
        <f aca="false">-BD44</f>
        <v>-802536.75</v>
      </c>
      <c r="BE91" s="19" t="n">
        <f aca="false">-BE44</f>
        <v>-707976.75</v>
      </c>
      <c r="BF91" s="19" t="n">
        <f aca="false">-BF44</f>
        <v>-605886.75</v>
      </c>
      <c r="BG91" s="19" t="n">
        <f aca="false">-BG44</f>
        <v>-501936.75</v>
      </c>
      <c r="BH91" s="19" t="n">
        <f aca="false">-BH44</f>
        <v>-401121.75</v>
      </c>
      <c r="BI91" s="19" t="n">
        <f aca="false">-BI44</f>
        <v>-217168.5</v>
      </c>
      <c r="BJ91" s="19" t="n">
        <f aca="false">-BJ44</f>
        <v>-0</v>
      </c>
      <c r="BK91" s="19" t="n">
        <f aca="false">-BK44</f>
        <v>-0</v>
      </c>
      <c r="BL91" s="19" t="n">
        <f aca="false">-BL44</f>
        <v>-0</v>
      </c>
      <c r="BM91" s="19" t="n">
        <f aca="false">-BM44</f>
        <v>-0</v>
      </c>
      <c r="BN91" s="19" t="n">
        <f aca="false">-BN44</f>
        <v>-0</v>
      </c>
      <c r="BO91" s="19" t="n">
        <f aca="false">-BO44</f>
        <v>-0</v>
      </c>
      <c r="BP91" s="19" t="n">
        <f aca="false">-BP44</f>
        <v>-0</v>
      </c>
      <c r="BQ91" s="19" t="n">
        <f aca="false">-BQ44</f>
        <v>-0</v>
      </c>
      <c r="BR91" s="19" t="n">
        <f aca="false">-BR44</f>
        <v>-0</v>
      </c>
      <c r="BS91" s="19" t="n">
        <f aca="false">-BS44</f>
        <v>-0</v>
      </c>
      <c r="BT91" s="19" t="n">
        <f aca="false">-BT44</f>
        <v>-0</v>
      </c>
      <c r="BU91" s="19" t="n">
        <f aca="false">-BU44</f>
        <v>-0</v>
      </c>
      <c r="BV91" s="19" t="n">
        <f aca="false">-BV44</f>
        <v>-0</v>
      </c>
      <c r="BW91" s="19" t="n">
        <f aca="false">-BW44</f>
        <v>-0</v>
      </c>
      <c r="BX91" s="19" t="n">
        <f aca="false">-BX44</f>
        <v>-0</v>
      </c>
      <c r="BY91" s="19" t="n">
        <f aca="false">-BY44</f>
        <v>-0</v>
      </c>
      <c r="BZ91" s="19" t="n">
        <f aca="false">-BZ44</f>
        <v>-0</v>
      </c>
      <c r="CA91" s="19" t="n">
        <f aca="false">-CA44</f>
        <v>-0</v>
      </c>
      <c r="CB91" s="19" t="n">
        <f aca="false">-CB44</f>
        <v>-0</v>
      </c>
      <c r="CC91" s="19" t="n">
        <f aca="false">-CC44</f>
        <v>-0</v>
      </c>
      <c r="CD91" s="19" t="n">
        <f aca="false">-CD44</f>
        <v>-0</v>
      </c>
      <c r="CE91" s="19" t="n">
        <f aca="false">-CE44</f>
        <v>-0</v>
      </c>
      <c r="CF91" s="19" t="n">
        <f aca="false">-CF44</f>
        <v>-0</v>
      </c>
      <c r="CG91" s="19" t="n">
        <f aca="false">-CG44</f>
        <v>-0</v>
      </c>
      <c r="CH91" s="19" t="n">
        <f aca="false">-CH44</f>
        <v>-0</v>
      </c>
      <c r="CI91" s="19" t="n">
        <f aca="false">-CI44</f>
        <v>-0</v>
      </c>
      <c r="CJ91" s="19" t="n">
        <f aca="false">-CJ44</f>
        <v>-0</v>
      </c>
      <c r="CK91" s="19" t="n">
        <f aca="false">-CK44</f>
        <v>-0</v>
      </c>
      <c r="CL91" s="19" t="n">
        <f aca="false">-CL44</f>
        <v>-0</v>
      </c>
      <c r="CM91" s="19" t="n">
        <f aca="false">-CM44</f>
        <v>-0</v>
      </c>
      <c r="CN91" s="19" t="n">
        <f aca="false">-CN44</f>
        <v>-0</v>
      </c>
      <c r="CO91" s="19" t="n">
        <f aca="false">-CO44</f>
        <v>-0</v>
      </c>
      <c r="CP91" s="19" t="n">
        <f aca="false">-CP44</f>
        <v>-0</v>
      </c>
      <c r="CQ91" s="19" t="n">
        <f aca="false">-CQ44</f>
        <v>-0</v>
      </c>
      <c r="CR91" s="19" t="n">
        <f aca="false">-CR44</f>
        <v>-0</v>
      </c>
      <c r="CS91" s="19" t="n">
        <f aca="false">-CS44</f>
        <v>-0</v>
      </c>
      <c r="CT91" s="19" t="n">
        <f aca="false">-CT44</f>
        <v>-0</v>
      </c>
      <c r="CU91" s="19" t="n">
        <f aca="false">-CU44</f>
        <v>-0</v>
      </c>
      <c r="CV91" s="19" t="n">
        <f aca="false">-CV44</f>
        <v>-0</v>
      </c>
      <c r="CW91" s="19" t="n">
        <f aca="false">-CW44</f>
        <v>-0</v>
      </c>
      <c r="CX91" s="19" t="n">
        <f aca="false">-CX44</f>
        <v>-0</v>
      </c>
      <c r="CY91" s="19" t="n">
        <f aca="false">-CY44</f>
        <v>-0</v>
      </c>
      <c r="CZ91" s="19" t="n">
        <f aca="false">-CZ44</f>
        <v>-0</v>
      </c>
      <c r="DA91" s="19" t="n">
        <f aca="false">-DA44</f>
        <v>-0</v>
      </c>
      <c r="DB91" s="19" t="n">
        <f aca="false">-DB44</f>
        <v>-0</v>
      </c>
      <c r="DC91" s="19" t="n">
        <f aca="false">-DC44</f>
        <v>-0</v>
      </c>
      <c r="DD91" s="19" t="n">
        <f aca="false">-DD44</f>
        <v>-0</v>
      </c>
      <c r="DE91" s="19" t="n">
        <f aca="false">-DE44</f>
        <v>-0</v>
      </c>
    </row>
    <row r="92" customFormat="false" ht="15" hidden="true" customHeight="true" outlineLevel="1" collapsed="false">
      <c r="A92" s="28" t="s">
        <v>39</v>
      </c>
      <c r="B92" s="19" t="n">
        <v>0</v>
      </c>
      <c r="C92" s="19" t="n">
        <v>0</v>
      </c>
      <c r="D92" s="19" t="n">
        <v>0</v>
      </c>
      <c r="E92" s="19" t="n">
        <v>0</v>
      </c>
      <c r="F92" s="19" t="n">
        <f aca="false">-F45</f>
        <v>-0</v>
      </c>
      <c r="G92" s="19" t="n">
        <f aca="false">-G45</f>
        <v>-0</v>
      </c>
      <c r="H92" s="19" t="n">
        <f aca="false">-H45</f>
        <v>-0</v>
      </c>
      <c r="I92" s="19" t="n">
        <f aca="false">-I45</f>
        <v>-0</v>
      </c>
      <c r="J92" s="19" t="n">
        <f aca="false">-J45</f>
        <v>-0</v>
      </c>
      <c r="K92" s="19" t="n">
        <f aca="false">-K45</f>
        <v>-0</v>
      </c>
      <c r="L92" s="19" t="n">
        <f aca="false">-L45</f>
        <v>-0</v>
      </c>
      <c r="M92" s="19" t="n">
        <f aca="false">-M45</f>
        <v>-0</v>
      </c>
      <c r="N92" s="19" t="n">
        <f aca="false">-N45</f>
        <v>-0</v>
      </c>
      <c r="O92" s="19" t="n">
        <f aca="false">-O45</f>
        <v>-0</v>
      </c>
      <c r="P92" s="19" t="n">
        <f aca="false">-P45</f>
        <v>-0</v>
      </c>
      <c r="Q92" s="19" t="n">
        <f aca="false">-Q45</f>
        <v>-0</v>
      </c>
      <c r="R92" s="19" t="n">
        <f aca="false">-R45</f>
        <v>-0</v>
      </c>
      <c r="S92" s="19" t="n">
        <f aca="false">-S45</f>
        <v>-0</v>
      </c>
      <c r="T92" s="19" t="n">
        <f aca="false">-T45</f>
        <v>-0</v>
      </c>
      <c r="U92" s="19" t="n">
        <f aca="false">-U45</f>
        <v>-0</v>
      </c>
      <c r="V92" s="19" t="n">
        <f aca="false">-V45</f>
        <v>-0</v>
      </c>
      <c r="W92" s="19" t="n">
        <f aca="false">-W45</f>
        <v>-0</v>
      </c>
      <c r="X92" s="19" t="n">
        <f aca="false">-X45</f>
        <v>-0</v>
      </c>
      <c r="Y92" s="19" t="n">
        <f aca="false">-Y45</f>
        <v>-0</v>
      </c>
      <c r="Z92" s="19" t="n">
        <f aca="false">-Z45</f>
        <v>-0</v>
      </c>
      <c r="AA92" s="19" t="n">
        <f aca="false">-AA45</f>
        <v>-0</v>
      </c>
      <c r="AB92" s="19" t="n">
        <f aca="false">-AB45</f>
        <v>-0</v>
      </c>
      <c r="AC92" s="19" t="n">
        <f aca="false">-AC45</f>
        <v>-0</v>
      </c>
      <c r="AD92" s="19" t="n">
        <f aca="false">-AD45</f>
        <v>-0</v>
      </c>
      <c r="AE92" s="19" t="n">
        <f aca="false">-AE45</f>
        <v>-0</v>
      </c>
      <c r="AF92" s="19" t="n">
        <f aca="false">-AF45</f>
        <v>-0</v>
      </c>
      <c r="AG92" s="19" t="n">
        <f aca="false">-AG45</f>
        <v>-0</v>
      </c>
      <c r="AH92" s="19" t="n">
        <f aca="false">-AH45</f>
        <v>-0</v>
      </c>
      <c r="AI92" s="19" t="n">
        <f aca="false">-AI45</f>
        <v>-0</v>
      </c>
      <c r="AJ92" s="19" t="n">
        <f aca="false">-AJ45</f>
        <v>-0</v>
      </c>
      <c r="AK92" s="19" t="n">
        <f aca="false">-AK45</f>
        <v>-0</v>
      </c>
      <c r="AL92" s="19" t="n">
        <f aca="false">-AL45</f>
        <v>-0</v>
      </c>
      <c r="AM92" s="19" t="n">
        <f aca="false">-AM45</f>
        <v>-0</v>
      </c>
      <c r="AN92" s="19" t="n">
        <f aca="false">-AN45</f>
        <v>-0</v>
      </c>
      <c r="AO92" s="19" t="n">
        <f aca="false">-AO45</f>
        <v>-0</v>
      </c>
      <c r="AP92" s="19" t="n">
        <f aca="false">-AP45</f>
        <v>-0</v>
      </c>
      <c r="AQ92" s="19" t="n">
        <f aca="false">-AQ45</f>
        <v>-0</v>
      </c>
      <c r="AR92" s="19" t="n">
        <f aca="false">-AR45</f>
        <v>-0</v>
      </c>
      <c r="AS92" s="19" t="n">
        <f aca="false">-AS45</f>
        <v>-0</v>
      </c>
      <c r="AT92" s="19" t="n">
        <f aca="false">-AT45</f>
        <v>-0</v>
      </c>
      <c r="AU92" s="19" t="n">
        <f aca="false">-AU45</f>
        <v>-368954.1</v>
      </c>
      <c r="AV92" s="19" t="n">
        <f aca="false">-AV45</f>
        <v>-481346.1</v>
      </c>
      <c r="AW92" s="19" t="n">
        <f aca="false">-AW45</f>
        <v>-602324.1</v>
      </c>
      <c r="AX92" s="19" t="n">
        <f aca="false">-AX45</f>
        <v>-727064.1</v>
      </c>
      <c r="AY92" s="19" t="n">
        <f aca="false">-AY45</f>
        <v>-849572.1</v>
      </c>
      <c r="AZ92" s="19" t="n">
        <f aca="false">-AZ45</f>
        <v>-963044.1</v>
      </c>
      <c r="BA92" s="19" t="n">
        <f aca="false">-BA45</f>
        <v>-1060514.1</v>
      </c>
      <c r="BB92" s="19" t="n">
        <f aca="false">-BB45</f>
        <v>-1135520.1</v>
      </c>
      <c r="BC92" s="19" t="n">
        <f aca="false">-BC45</f>
        <v>-1182824.1</v>
      </c>
      <c r="BD92" s="19" t="n">
        <f aca="false">-BD45</f>
        <v>-1198988.1</v>
      </c>
      <c r="BE92" s="19" t="n">
        <f aca="false">-BE45</f>
        <v>-1182824.1</v>
      </c>
      <c r="BF92" s="19" t="n">
        <f aca="false">-BF45</f>
        <v>-1135520.1</v>
      </c>
      <c r="BG92" s="19" t="n">
        <f aca="false">-BG45</f>
        <v>-1060514.1</v>
      </c>
      <c r="BH92" s="19" t="n">
        <f aca="false">-BH45</f>
        <v>-963044.1</v>
      </c>
      <c r="BI92" s="19" t="n">
        <f aca="false">-BI45</f>
        <v>-849572.1</v>
      </c>
      <c r="BJ92" s="19" t="n">
        <f aca="false">-BJ45</f>
        <v>-727064.1</v>
      </c>
      <c r="BK92" s="19" t="n">
        <f aca="false">-BK45</f>
        <v>-602324.1</v>
      </c>
      <c r="BL92" s="19" t="n">
        <f aca="false">-BL45</f>
        <v>-481346.1</v>
      </c>
      <c r="BM92" s="19" t="n">
        <f aca="false">-BM45</f>
        <v>-260602.2</v>
      </c>
      <c r="BN92" s="19" t="n">
        <f aca="false">-BN45</f>
        <v>-0</v>
      </c>
      <c r="BO92" s="19" t="n">
        <f aca="false">-BO45</f>
        <v>-0</v>
      </c>
      <c r="BP92" s="19" t="n">
        <f aca="false">-BP45</f>
        <v>-0</v>
      </c>
      <c r="BQ92" s="19" t="n">
        <f aca="false">-BQ45</f>
        <v>-0</v>
      </c>
      <c r="BR92" s="19" t="n">
        <f aca="false">-BR45</f>
        <v>-0</v>
      </c>
      <c r="BS92" s="19" t="n">
        <f aca="false">-BS45</f>
        <v>-0</v>
      </c>
      <c r="BT92" s="19" t="n">
        <f aca="false">-BT45</f>
        <v>-0</v>
      </c>
      <c r="BU92" s="19" t="n">
        <f aca="false">-BU45</f>
        <v>-0</v>
      </c>
      <c r="BV92" s="19" t="n">
        <f aca="false">-BV45</f>
        <v>-0</v>
      </c>
      <c r="BW92" s="19" t="n">
        <f aca="false">-BW45</f>
        <v>-0</v>
      </c>
      <c r="BX92" s="19" t="n">
        <f aca="false">-BX45</f>
        <v>-0</v>
      </c>
      <c r="BY92" s="19" t="n">
        <f aca="false">-BY45</f>
        <v>-0</v>
      </c>
      <c r="BZ92" s="19" t="n">
        <f aca="false">-BZ45</f>
        <v>-0</v>
      </c>
      <c r="CA92" s="19" t="n">
        <f aca="false">-CA45</f>
        <v>-0</v>
      </c>
      <c r="CB92" s="19" t="n">
        <f aca="false">-CB45</f>
        <v>-0</v>
      </c>
      <c r="CC92" s="19" t="n">
        <f aca="false">-CC45</f>
        <v>-0</v>
      </c>
      <c r="CD92" s="19" t="n">
        <f aca="false">-CD45</f>
        <v>-0</v>
      </c>
      <c r="CE92" s="19" t="n">
        <f aca="false">-CE45</f>
        <v>-0</v>
      </c>
      <c r="CF92" s="19" t="n">
        <f aca="false">-CF45</f>
        <v>-0</v>
      </c>
      <c r="CG92" s="19" t="n">
        <f aca="false">-CG45</f>
        <v>-0</v>
      </c>
      <c r="CH92" s="19" t="n">
        <f aca="false">-CH45</f>
        <v>-0</v>
      </c>
      <c r="CI92" s="19" t="n">
        <f aca="false">-CI45</f>
        <v>-0</v>
      </c>
      <c r="CJ92" s="19" t="n">
        <f aca="false">-CJ45</f>
        <v>-0</v>
      </c>
      <c r="CK92" s="19" t="n">
        <f aca="false">-CK45</f>
        <v>-0</v>
      </c>
      <c r="CL92" s="19" t="n">
        <f aca="false">-CL45</f>
        <v>-0</v>
      </c>
      <c r="CM92" s="19" t="n">
        <f aca="false">-CM45</f>
        <v>-0</v>
      </c>
      <c r="CN92" s="19" t="n">
        <f aca="false">-CN45</f>
        <v>-0</v>
      </c>
      <c r="CO92" s="19" t="n">
        <f aca="false">-CO45</f>
        <v>-0</v>
      </c>
      <c r="CP92" s="19" t="n">
        <f aca="false">-CP45</f>
        <v>-0</v>
      </c>
      <c r="CQ92" s="19" t="n">
        <f aca="false">-CQ45</f>
        <v>-0</v>
      </c>
      <c r="CR92" s="19" t="n">
        <f aca="false">-CR45</f>
        <v>-0</v>
      </c>
      <c r="CS92" s="19" t="n">
        <f aca="false">-CS45</f>
        <v>-0</v>
      </c>
      <c r="CT92" s="19" t="n">
        <f aca="false">-CT45</f>
        <v>-0</v>
      </c>
      <c r="CU92" s="19" t="n">
        <f aca="false">-CU45</f>
        <v>-0</v>
      </c>
      <c r="CV92" s="19" t="n">
        <f aca="false">-CV45</f>
        <v>-0</v>
      </c>
      <c r="CW92" s="19" t="n">
        <f aca="false">-CW45</f>
        <v>-0</v>
      </c>
      <c r="CX92" s="19" t="n">
        <f aca="false">-CX45</f>
        <v>-0</v>
      </c>
      <c r="CY92" s="19" t="n">
        <f aca="false">-CY45</f>
        <v>-0</v>
      </c>
      <c r="CZ92" s="19" t="n">
        <f aca="false">-CZ45</f>
        <v>-0</v>
      </c>
      <c r="DA92" s="19" t="n">
        <f aca="false">-DA45</f>
        <v>-0</v>
      </c>
      <c r="DB92" s="19" t="n">
        <f aca="false">-DB45</f>
        <v>-0</v>
      </c>
      <c r="DC92" s="19" t="n">
        <f aca="false">-DC45</f>
        <v>-0</v>
      </c>
      <c r="DD92" s="19" t="n">
        <f aca="false">-DD45</f>
        <v>-0</v>
      </c>
      <c r="DE92" s="19" t="n">
        <f aca="false">-DE45</f>
        <v>-0</v>
      </c>
    </row>
    <row r="93" customFormat="false" ht="15" hidden="true" customHeight="true" outlineLevel="1" collapsed="false">
      <c r="A93" s="28" t="s">
        <v>40</v>
      </c>
      <c r="B93" s="19" t="n">
        <v>0</v>
      </c>
      <c r="C93" s="19" t="n">
        <v>0</v>
      </c>
      <c r="D93" s="19" t="n">
        <v>0</v>
      </c>
      <c r="E93" s="19" t="n">
        <v>0</v>
      </c>
      <c r="F93" s="19" t="n">
        <f aca="false">-F46</f>
        <v>-0</v>
      </c>
      <c r="G93" s="19" t="n">
        <f aca="false">-G46</f>
        <v>-0</v>
      </c>
      <c r="H93" s="19" t="n">
        <f aca="false">-H46</f>
        <v>-0</v>
      </c>
      <c r="I93" s="19" t="n">
        <f aca="false">-I46</f>
        <v>-0</v>
      </c>
      <c r="J93" s="19" t="n">
        <f aca="false">-J46</f>
        <v>-0</v>
      </c>
      <c r="K93" s="19" t="n">
        <f aca="false">-K46</f>
        <v>-0</v>
      </c>
      <c r="L93" s="19" t="n">
        <f aca="false">-L46</f>
        <v>-0</v>
      </c>
      <c r="M93" s="19" t="n">
        <f aca="false">-M46</f>
        <v>-0</v>
      </c>
      <c r="N93" s="19" t="n">
        <f aca="false">-N46</f>
        <v>-0</v>
      </c>
      <c r="O93" s="19" t="n">
        <f aca="false">-O46</f>
        <v>-0</v>
      </c>
      <c r="P93" s="19" t="n">
        <f aca="false">-P46</f>
        <v>-0</v>
      </c>
      <c r="Q93" s="19" t="n">
        <f aca="false">-Q46</f>
        <v>-0</v>
      </c>
      <c r="R93" s="19" t="n">
        <f aca="false">-R46</f>
        <v>-0</v>
      </c>
      <c r="S93" s="19" t="n">
        <f aca="false">-S46</f>
        <v>-0</v>
      </c>
      <c r="T93" s="19" t="n">
        <f aca="false">-T46</f>
        <v>-0</v>
      </c>
      <c r="U93" s="19" t="n">
        <f aca="false">-U46</f>
        <v>-0</v>
      </c>
      <c r="V93" s="19" t="n">
        <f aca="false">-V46</f>
        <v>-0</v>
      </c>
      <c r="W93" s="19" t="n">
        <f aca="false">-W46</f>
        <v>-0</v>
      </c>
      <c r="X93" s="19" t="n">
        <f aca="false">-X46</f>
        <v>-0</v>
      </c>
      <c r="Y93" s="19" t="n">
        <f aca="false">-Y46</f>
        <v>-0</v>
      </c>
      <c r="Z93" s="19" t="n">
        <f aca="false">-Z46</f>
        <v>-0</v>
      </c>
      <c r="AA93" s="19" t="n">
        <f aca="false">-AA46</f>
        <v>-0</v>
      </c>
      <c r="AB93" s="19" t="n">
        <f aca="false">-AB46</f>
        <v>-0</v>
      </c>
      <c r="AC93" s="19" t="n">
        <f aca="false">-AC46</f>
        <v>-0</v>
      </c>
      <c r="AD93" s="19" t="n">
        <f aca="false">-AD46</f>
        <v>-0</v>
      </c>
      <c r="AE93" s="19" t="n">
        <f aca="false">-AE46</f>
        <v>-0</v>
      </c>
      <c r="AF93" s="19" t="n">
        <f aca="false">-AF46</f>
        <v>-0</v>
      </c>
      <c r="AG93" s="19" t="n">
        <f aca="false">-AG46</f>
        <v>-0</v>
      </c>
      <c r="AH93" s="19" t="n">
        <f aca="false">-AH46</f>
        <v>-0</v>
      </c>
      <c r="AI93" s="19" t="n">
        <f aca="false">-AI46</f>
        <v>-0</v>
      </c>
      <c r="AJ93" s="19" t="n">
        <f aca="false">-AJ46</f>
        <v>-0</v>
      </c>
      <c r="AK93" s="19" t="n">
        <f aca="false">-AK46</f>
        <v>-0</v>
      </c>
      <c r="AL93" s="19" t="n">
        <f aca="false">-AL46</f>
        <v>-0</v>
      </c>
      <c r="AM93" s="19" t="n">
        <f aca="false">-AM46</f>
        <v>-0</v>
      </c>
      <c r="AN93" s="19" t="n">
        <f aca="false">-AN46</f>
        <v>-0</v>
      </c>
      <c r="AO93" s="19" t="n">
        <f aca="false">-AO46</f>
        <v>-0</v>
      </c>
      <c r="AP93" s="19" t="n">
        <f aca="false">-AP46</f>
        <v>-0</v>
      </c>
      <c r="AQ93" s="19" t="n">
        <f aca="false">-AQ46</f>
        <v>-0</v>
      </c>
      <c r="AR93" s="19" t="n">
        <f aca="false">-AR46</f>
        <v>-0</v>
      </c>
      <c r="AS93" s="19" t="n">
        <f aca="false">-AS46</f>
        <v>-0</v>
      </c>
      <c r="AT93" s="19" t="n">
        <f aca="false">-AT46</f>
        <v>-0</v>
      </c>
      <c r="AU93" s="19" t="n">
        <f aca="false">-AU46</f>
        <v>-0</v>
      </c>
      <c r="AV93" s="19" t="n">
        <f aca="false">-AV46</f>
        <v>-307461.75</v>
      </c>
      <c r="AW93" s="19" t="n">
        <f aca="false">-AW46</f>
        <v>-401121.75</v>
      </c>
      <c r="AX93" s="19" t="n">
        <f aca="false">-AX46</f>
        <v>-501936.75</v>
      </c>
      <c r="AY93" s="19" t="n">
        <f aca="false">-AY46</f>
        <v>-605886.75</v>
      </c>
      <c r="AZ93" s="19" t="n">
        <f aca="false">-AZ46</f>
        <v>-707976.75</v>
      </c>
      <c r="BA93" s="19" t="n">
        <f aca="false">-BA46</f>
        <v>-802536.75</v>
      </c>
      <c r="BB93" s="19" t="n">
        <f aca="false">-BB46</f>
        <v>-883761.75</v>
      </c>
      <c r="BC93" s="19" t="n">
        <f aca="false">-BC46</f>
        <v>-946266.75</v>
      </c>
      <c r="BD93" s="19" t="n">
        <f aca="false">-BD46</f>
        <v>-985686.75</v>
      </c>
      <c r="BE93" s="19" t="n">
        <f aca="false">-BE46</f>
        <v>-999156.75</v>
      </c>
      <c r="BF93" s="19" t="n">
        <f aca="false">-BF46</f>
        <v>-985686.75</v>
      </c>
      <c r="BG93" s="19" t="n">
        <f aca="false">-BG46</f>
        <v>-946266.75</v>
      </c>
      <c r="BH93" s="19" t="n">
        <f aca="false">-BH46</f>
        <v>-883761.75</v>
      </c>
      <c r="BI93" s="19" t="n">
        <f aca="false">-BI46</f>
        <v>-802536.75</v>
      </c>
      <c r="BJ93" s="19" t="n">
        <f aca="false">-BJ46</f>
        <v>-707976.75</v>
      </c>
      <c r="BK93" s="19" t="n">
        <f aca="false">-BK46</f>
        <v>-605886.75</v>
      </c>
      <c r="BL93" s="19" t="n">
        <f aca="false">-BL46</f>
        <v>-501936.75</v>
      </c>
      <c r="BM93" s="19" t="n">
        <f aca="false">-BM46</f>
        <v>-401121.75</v>
      </c>
      <c r="BN93" s="19" t="n">
        <f aca="false">-BN46</f>
        <v>-217168.5</v>
      </c>
      <c r="BO93" s="19" t="n">
        <f aca="false">-BO46</f>
        <v>-0</v>
      </c>
      <c r="BP93" s="19" t="n">
        <f aca="false">-BP46</f>
        <v>-0</v>
      </c>
      <c r="BQ93" s="19" t="n">
        <f aca="false">-BQ46</f>
        <v>-0</v>
      </c>
      <c r="BR93" s="19" t="n">
        <f aca="false">-BR46</f>
        <v>-0</v>
      </c>
      <c r="BS93" s="19" t="n">
        <f aca="false">-BS46</f>
        <v>-0</v>
      </c>
      <c r="BT93" s="19" t="n">
        <f aca="false">-BT46</f>
        <v>-0</v>
      </c>
      <c r="BU93" s="19" t="n">
        <f aca="false">-BU46</f>
        <v>-0</v>
      </c>
      <c r="BV93" s="19" t="n">
        <f aca="false">-BV46</f>
        <v>-0</v>
      </c>
      <c r="BW93" s="19" t="n">
        <f aca="false">-BW46</f>
        <v>-0</v>
      </c>
      <c r="BX93" s="19" t="n">
        <f aca="false">-BX46</f>
        <v>-0</v>
      </c>
      <c r="BY93" s="19" t="n">
        <f aca="false">-BY46</f>
        <v>-0</v>
      </c>
      <c r="BZ93" s="19" t="n">
        <f aca="false">-BZ46</f>
        <v>-0</v>
      </c>
      <c r="CA93" s="19" t="n">
        <f aca="false">-CA46</f>
        <v>-0</v>
      </c>
      <c r="CB93" s="19" t="n">
        <f aca="false">-CB46</f>
        <v>-0</v>
      </c>
      <c r="CC93" s="19" t="n">
        <f aca="false">-CC46</f>
        <v>-0</v>
      </c>
      <c r="CD93" s="19" t="n">
        <f aca="false">-CD46</f>
        <v>-0</v>
      </c>
      <c r="CE93" s="19" t="n">
        <f aca="false">-CE46</f>
        <v>-0</v>
      </c>
      <c r="CF93" s="19" t="n">
        <f aca="false">-CF46</f>
        <v>-0</v>
      </c>
      <c r="CG93" s="19" t="n">
        <f aca="false">-CG46</f>
        <v>-0</v>
      </c>
      <c r="CH93" s="19" t="n">
        <f aca="false">-CH46</f>
        <v>-0</v>
      </c>
      <c r="CI93" s="19" t="n">
        <f aca="false">-CI46</f>
        <v>-0</v>
      </c>
      <c r="CJ93" s="19" t="n">
        <f aca="false">-CJ46</f>
        <v>-0</v>
      </c>
      <c r="CK93" s="19" t="n">
        <f aca="false">-CK46</f>
        <v>-0</v>
      </c>
      <c r="CL93" s="19" t="n">
        <f aca="false">-CL46</f>
        <v>-0</v>
      </c>
      <c r="CM93" s="19" t="n">
        <f aca="false">-CM46</f>
        <v>-0</v>
      </c>
      <c r="CN93" s="19" t="n">
        <f aca="false">-CN46</f>
        <v>-0</v>
      </c>
      <c r="CO93" s="19" t="n">
        <f aca="false">-CO46</f>
        <v>-0</v>
      </c>
      <c r="CP93" s="19" t="n">
        <f aca="false">-CP46</f>
        <v>-0</v>
      </c>
      <c r="CQ93" s="19" t="n">
        <f aca="false">-CQ46</f>
        <v>-0</v>
      </c>
      <c r="CR93" s="19" t="n">
        <f aca="false">-CR46</f>
        <v>-0</v>
      </c>
      <c r="CS93" s="19" t="n">
        <f aca="false">-CS46</f>
        <v>-0</v>
      </c>
      <c r="CT93" s="19" t="n">
        <f aca="false">-CT46</f>
        <v>-0</v>
      </c>
      <c r="CU93" s="19" t="n">
        <f aca="false">-CU46</f>
        <v>-0</v>
      </c>
      <c r="CV93" s="19" t="n">
        <f aca="false">-CV46</f>
        <v>-0</v>
      </c>
      <c r="CW93" s="19" t="n">
        <f aca="false">-CW46</f>
        <v>-0</v>
      </c>
      <c r="CX93" s="19" t="n">
        <f aca="false">-CX46</f>
        <v>-0</v>
      </c>
      <c r="CY93" s="19" t="n">
        <f aca="false">-CY46</f>
        <v>-0</v>
      </c>
      <c r="CZ93" s="19" t="n">
        <f aca="false">-CZ46</f>
        <v>-0</v>
      </c>
      <c r="DA93" s="19" t="n">
        <f aca="false">-DA46</f>
        <v>-0</v>
      </c>
      <c r="DB93" s="19" t="n">
        <f aca="false">-DB46</f>
        <v>-0</v>
      </c>
      <c r="DC93" s="19" t="n">
        <f aca="false">-DC46</f>
        <v>-0</v>
      </c>
      <c r="DD93" s="19" t="n">
        <f aca="false">-DD46</f>
        <v>-0</v>
      </c>
      <c r="DE93" s="19" t="n">
        <f aca="false">-DE46</f>
        <v>-0</v>
      </c>
    </row>
    <row r="94" customFormat="false" ht="15" hidden="true" customHeight="true" outlineLevel="1" collapsed="false">
      <c r="A94" s="28" t="s">
        <v>41</v>
      </c>
      <c r="B94" s="19" t="n">
        <v>0</v>
      </c>
      <c r="C94" s="19" t="n">
        <v>0</v>
      </c>
      <c r="D94" s="19" t="n">
        <v>0</v>
      </c>
      <c r="E94" s="19" t="n">
        <v>0</v>
      </c>
      <c r="F94" s="19" t="n">
        <f aca="false">-F47</f>
        <v>-0</v>
      </c>
      <c r="G94" s="19" t="n">
        <f aca="false">-G47</f>
        <v>-0</v>
      </c>
      <c r="H94" s="19" t="n">
        <f aca="false">-H47</f>
        <v>-0</v>
      </c>
      <c r="I94" s="19" t="n">
        <f aca="false">-I47</f>
        <v>-0</v>
      </c>
      <c r="J94" s="19" t="n">
        <f aca="false">-J47</f>
        <v>-0</v>
      </c>
      <c r="K94" s="19" t="n">
        <f aca="false">-K47</f>
        <v>-0</v>
      </c>
      <c r="L94" s="19" t="n">
        <f aca="false">-L47</f>
        <v>-0</v>
      </c>
      <c r="M94" s="19" t="n">
        <f aca="false">-M47</f>
        <v>-0</v>
      </c>
      <c r="N94" s="19" t="n">
        <f aca="false">-N47</f>
        <v>-0</v>
      </c>
      <c r="O94" s="19" t="n">
        <f aca="false">-O47</f>
        <v>-0</v>
      </c>
      <c r="P94" s="19" t="n">
        <f aca="false">-P47</f>
        <v>-0</v>
      </c>
      <c r="Q94" s="19" t="n">
        <f aca="false">-Q47</f>
        <v>-0</v>
      </c>
      <c r="R94" s="19" t="n">
        <f aca="false">-R47</f>
        <v>-0</v>
      </c>
      <c r="S94" s="19" t="n">
        <f aca="false">-S47</f>
        <v>-0</v>
      </c>
      <c r="T94" s="19" t="n">
        <f aca="false">-T47</f>
        <v>-0</v>
      </c>
      <c r="U94" s="19" t="n">
        <f aca="false">-U47</f>
        <v>-0</v>
      </c>
      <c r="V94" s="19" t="n">
        <f aca="false">-V47</f>
        <v>-0</v>
      </c>
      <c r="W94" s="19" t="n">
        <f aca="false">-W47</f>
        <v>-0</v>
      </c>
      <c r="X94" s="19" t="n">
        <f aca="false">-X47</f>
        <v>-0</v>
      </c>
      <c r="Y94" s="19" t="n">
        <f aca="false">-Y47</f>
        <v>-0</v>
      </c>
      <c r="Z94" s="19" t="n">
        <f aca="false">-Z47</f>
        <v>-0</v>
      </c>
      <c r="AA94" s="19" t="n">
        <f aca="false">-AA47</f>
        <v>-0</v>
      </c>
      <c r="AB94" s="19" t="n">
        <f aca="false">-AB47</f>
        <v>-0</v>
      </c>
      <c r="AC94" s="19" t="n">
        <f aca="false">-AC47</f>
        <v>-0</v>
      </c>
      <c r="AD94" s="19" t="n">
        <f aca="false">-AD47</f>
        <v>-0</v>
      </c>
      <c r="AE94" s="19" t="n">
        <f aca="false">-AE47</f>
        <v>-0</v>
      </c>
      <c r="AF94" s="19" t="n">
        <f aca="false">-AF47</f>
        <v>-0</v>
      </c>
      <c r="AG94" s="19" t="n">
        <f aca="false">-AG47</f>
        <v>-0</v>
      </c>
      <c r="AH94" s="19" t="n">
        <f aca="false">-AH47</f>
        <v>-0</v>
      </c>
      <c r="AI94" s="19" t="n">
        <f aca="false">-AI47</f>
        <v>-0</v>
      </c>
      <c r="AJ94" s="19" t="n">
        <f aca="false">-AJ47</f>
        <v>-0</v>
      </c>
      <c r="AK94" s="19" t="n">
        <f aca="false">-AK47</f>
        <v>-0</v>
      </c>
      <c r="AL94" s="19" t="n">
        <f aca="false">-AL47</f>
        <v>-0</v>
      </c>
      <c r="AM94" s="19" t="n">
        <f aca="false">-AM47</f>
        <v>-0</v>
      </c>
      <c r="AN94" s="19" t="n">
        <f aca="false">-AN47</f>
        <v>-0</v>
      </c>
      <c r="AO94" s="19" t="n">
        <f aca="false">-AO47</f>
        <v>-0</v>
      </c>
      <c r="AP94" s="19" t="n">
        <f aca="false">-AP47</f>
        <v>-0</v>
      </c>
      <c r="AQ94" s="19" t="n">
        <f aca="false">-AQ47</f>
        <v>-0</v>
      </c>
      <c r="AR94" s="19" t="n">
        <f aca="false">-AR47</f>
        <v>-0</v>
      </c>
      <c r="AS94" s="19" t="n">
        <f aca="false">-AS47</f>
        <v>-0</v>
      </c>
      <c r="AT94" s="19" t="n">
        <f aca="false">-AT47</f>
        <v>-0</v>
      </c>
      <c r="AU94" s="19" t="n">
        <f aca="false">-AU47</f>
        <v>-0</v>
      </c>
      <c r="AV94" s="19" t="n">
        <f aca="false">-AV47</f>
        <v>-0</v>
      </c>
      <c r="AW94" s="19" t="n">
        <f aca="false">-AW47</f>
        <v>-0</v>
      </c>
      <c r="AX94" s="19" t="n">
        <f aca="false">-AX47</f>
        <v>-0</v>
      </c>
      <c r="AY94" s="19" t="n">
        <f aca="false">-AY47</f>
        <v>-0</v>
      </c>
      <c r="AZ94" s="19" t="n">
        <f aca="false">-AZ47</f>
        <v>-307461.75</v>
      </c>
      <c r="BA94" s="19" t="n">
        <f aca="false">-BA47</f>
        <v>-401121.75</v>
      </c>
      <c r="BB94" s="19" t="n">
        <f aca="false">-BB47</f>
        <v>-501936.75</v>
      </c>
      <c r="BC94" s="19" t="n">
        <f aca="false">-BC47</f>
        <v>-605886.75</v>
      </c>
      <c r="BD94" s="19" t="n">
        <f aca="false">-BD47</f>
        <v>-707976.75</v>
      </c>
      <c r="BE94" s="19" t="n">
        <f aca="false">-BE47</f>
        <v>-802536.75</v>
      </c>
      <c r="BF94" s="19" t="n">
        <f aca="false">-BF47</f>
        <v>-883761.75</v>
      </c>
      <c r="BG94" s="19" t="n">
        <f aca="false">-BG47</f>
        <v>-946266.75</v>
      </c>
      <c r="BH94" s="19" t="n">
        <f aca="false">-BH47</f>
        <v>-985686.75</v>
      </c>
      <c r="BI94" s="19" t="n">
        <f aca="false">-BI47</f>
        <v>-999156.75</v>
      </c>
      <c r="BJ94" s="19" t="n">
        <f aca="false">-BJ47</f>
        <v>-985686.75</v>
      </c>
      <c r="BK94" s="19" t="n">
        <f aca="false">-BK47</f>
        <v>-946266.75</v>
      </c>
      <c r="BL94" s="19" t="n">
        <f aca="false">-BL47</f>
        <v>-883761.75</v>
      </c>
      <c r="BM94" s="19" t="n">
        <f aca="false">-BM47</f>
        <v>-802536.75</v>
      </c>
      <c r="BN94" s="19" t="n">
        <f aca="false">-BN47</f>
        <v>-707976.75</v>
      </c>
      <c r="BO94" s="19" t="n">
        <f aca="false">-BO47</f>
        <v>-605886.75</v>
      </c>
      <c r="BP94" s="19" t="n">
        <f aca="false">-BP47</f>
        <v>-501936.75</v>
      </c>
      <c r="BQ94" s="19" t="n">
        <f aca="false">-BQ47</f>
        <v>-401121.75</v>
      </c>
      <c r="BR94" s="19" t="n">
        <f aca="false">-BR47</f>
        <v>-217168.5</v>
      </c>
      <c r="BS94" s="19" t="n">
        <f aca="false">-BS47</f>
        <v>-0</v>
      </c>
      <c r="BT94" s="19" t="n">
        <f aca="false">-BT47</f>
        <v>-0</v>
      </c>
      <c r="BU94" s="19" t="n">
        <f aca="false">-BU47</f>
        <v>-0</v>
      </c>
      <c r="BV94" s="19" t="n">
        <f aca="false">-BV47</f>
        <v>-0</v>
      </c>
      <c r="BW94" s="19" t="n">
        <f aca="false">-BW47</f>
        <v>-0</v>
      </c>
      <c r="BX94" s="19" t="n">
        <f aca="false">-BX47</f>
        <v>-0</v>
      </c>
      <c r="BY94" s="19" t="n">
        <f aca="false">-BY47</f>
        <v>-0</v>
      </c>
      <c r="BZ94" s="19" t="n">
        <f aca="false">-BZ47</f>
        <v>-0</v>
      </c>
      <c r="CA94" s="19" t="n">
        <f aca="false">-CA47</f>
        <v>-0</v>
      </c>
      <c r="CB94" s="19" t="n">
        <f aca="false">-CB47</f>
        <v>-0</v>
      </c>
      <c r="CC94" s="19" t="n">
        <f aca="false">-CC47</f>
        <v>-0</v>
      </c>
      <c r="CD94" s="19" t="n">
        <f aca="false">-CD47</f>
        <v>-0</v>
      </c>
      <c r="CE94" s="19" t="n">
        <f aca="false">-CE47</f>
        <v>-0</v>
      </c>
      <c r="CF94" s="19" t="n">
        <f aca="false">-CF47</f>
        <v>-0</v>
      </c>
      <c r="CG94" s="19" t="n">
        <f aca="false">-CG47</f>
        <v>-0</v>
      </c>
      <c r="CH94" s="19" t="n">
        <f aca="false">-CH47</f>
        <v>-0</v>
      </c>
      <c r="CI94" s="19" t="n">
        <f aca="false">-CI47</f>
        <v>-0</v>
      </c>
      <c r="CJ94" s="19" t="n">
        <f aca="false">-CJ47</f>
        <v>-0</v>
      </c>
      <c r="CK94" s="19" t="n">
        <f aca="false">-CK47</f>
        <v>-0</v>
      </c>
      <c r="CL94" s="19" t="n">
        <f aca="false">-CL47</f>
        <v>-0</v>
      </c>
      <c r="CM94" s="19" t="n">
        <f aca="false">-CM47</f>
        <v>-0</v>
      </c>
      <c r="CN94" s="19" t="n">
        <f aca="false">-CN47</f>
        <v>-0</v>
      </c>
      <c r="CO94" s="19" t="n">
        <f aca="false">-CO47</f>
        <v>-0</v>
      </c>
      <c r="CP94" s="19" t="n">
        <f aca="false">-CP47</f>
        <v>-0</v>
      </c>
      <c r="CQ94" s="19" t="n">
        <f aca="false">-CQ47</f>
        <v>-0</v>
      </c>
      <c r="CR94" s="19" t="n">
        <f aca="false">-CR47</f>
        <v>-0</v>
      </c>
      <c r="CS94" s="19" t="n">
        <f aca="false">-CS47</f>
        <v>-0</v>
      </c>
      <c r="CT94" s="19" t="n">
        <f aca="false">-CT47</f>
        <v>-0</v>
      </c>
      <c r="CU94" s="19" t="n">
        <f aca="false">-CU47</f>
        <v>-0</v>
      </c>
      <c r="CV94" s="19" t="n">
        <f aca="false">-CV47</f>
        <v>-0</v>
      </c>
      <c r="CW94" s="19" t="n">
        <f aca="false">-CW47</f>
        <v>-0</v>
      </c>
      <c r="CX94" s="19" t="n">
        <f aca="false">-CX47</f>
        <v>-0</v>
      </c>
      <c r="CY94" s="19" t="n">
        <f aca="false">-CY47</f>
        <v>-0</v>
      </c>
      <c r="CZ94" s="19" t="n">
        <f aca="false">-CZ47</f>
        <v>-0</v>
      </c>
      <c r="DA94" s="19" t="n">
        <f aca="false">-DA47</f>
        <v>-0</v>
      </c>
      <c r="DB94" s="19" t="n">
        <f aca="false">-DB47</f>
        <v>-0</v>
      </c>
      <c r="DC94" s="19" t="n">
        <f aca="false">-DC47</f>
        <v>-0</v>
      </c>
      <c r="DD94" s="19" t="n">
        <f aca="false">-DD47</f>
        <v>-0</v>
      </c>
      <c r="DE94" s="19" t="n">
        <f aca="false">-DE47</f>
        <v>-0</v>
      </c>
    </row>
    <row r="95" customFormat="false" ht="15" hidden="true" customHeight="true" outlineLevel="1" collapsed="false">
      <c r="A95" s="28" t="s">
        <v>42</v>
      </c>
      <c r="B95" s="19" t="n">
        <v>0</v>
      </c>
      <c r="C95" s="19" t="n">
        <v>0</v>
      </c>
      <c r="D95" s="19" t="n">
        <v>0</v>
      </c>
      <c r="E95" s="19" t="n">
        <v>0</v>
      </c>
      <c r="F95" s="19" t="n">
        <f aca="false">-F48</f>
        <v>-0</v>
      </c>
      <c r="G95" s="19" t="n">
        <f aca="false">-G48</f>
        <v>-0</v>
      </c>
      <c r="H95" s="19" t="n">
        <f aca="false">-H48</f>
        <v>-0</v>
      </c>
      <c r="I95" s="19" t="n">
        <f aca="false">-I48</f>
        <v>-0</v>
      </c>
      <c r="J95" s="19" t="n">
        <f aca="false">-J48</f>
        <v>-0</v>
      </c>
      <c r="K95" s="19" t="n">
        <f aca="false">-K48</f>
        <v>-0</v>
      </c>
      <c r="L95" s="19" t="n">
        <f aca="false">-L48</f>
        <v>-0</v>
      </c>
      <c r="M95" s="19" t="n">
        <f aca="false">-M48</f>
        <v>-0</v>
      </c>
      <c r="N95" s="19" t="n">
        <f aca="false">-N48</f>
        <v>-0</v>
      </c>
      <c r="O95" s="19" t="n">
        <f aca="false">-O48</f>
        <v>-0</v>
      </c>
      <c r="P95" s="19" t="n">
        <f aca="false">-P48</f>
        <v>-0</v>
      </c>
      <c r="Q95" s="19" t="n">
        <f aca="false">-Q48</f>
        <v>-0</v>
      </c>
      <c r="R95" s="19" t="n">
        <f aca="false">-R48</f>
        <v>-0</v>
      </c>
      <c r="S95" s="19" t="n">
        <f aca="false">-S48</f>
        <v>-0</v>
      </c>
      <c r="T95" s="19" t="n">
        <f aca="false">-T48</f>
        <v>-0</v>
      </c>
      <c r="U95" s="19" t="n">
        <f aca="false">-U48</f>
        <v>-0</v>
      </c>
      <c r="V95" s="19" t="n">
        <f aca="false">-V48</f>
        <v>-0</v>
      </c>
      <c r="W95" s="19" t="n">
        <f aca="false">-W48</f>
        <v>-0</v>
      </c>
      <c r="X95" s="19" t="n">
        <f aca="false">-X48</f>
        <v>-0</v>
      </c>
      <c r="Y95" s="19" t="n">
        <f aca="false">-Y48</f>
        <v>-0</v>
      </c>
      <c r="Z95" s="19" t="n">
        <f aca="false">-Z48</f>
        <v>-0</v>
      </c>
      <c r="AA95" s="19" t="n">
        <f aca="false">-AA48</f>
        <v>-0</v>
      </c>
      <c r="AB95" s="19" t="n">
        <f aca="false">-AB48</f>
        <v>-0</v>
      </c>
      <c r="AC95" s="19" t="n">
        <f aca="false">-AC48</f>
        <v>-0</v>
      </c>
      <c r="AD95" s="19" t="n">
        <f aca="false">-AD48</f>
        <v>-0</v>
      </c>
      <c r="AE95" s="19" t="n">
        <f aca="false">-AE48</f>
        <v>-0</v>
      </c>
      <c r="AF95" s="19" t="n">
        <f aca="false">-AF48</f>
        <v>-0</v>
      </c>
      <c r="AG95" s="19" t="n">
        <f aca="false">-AG48</f>
        <v>-0</v>
      </c>
      <c r="AH95" s="19" t="n">
        <f aca="false">-AH48</f>
        <v>-0</v>
      </c>
      <c r="AI95" s="19" t="n">
        <f aca="false">-AI48</f>
        <v>-0</v>
      </c>
      <c r="AJ95" s="19" t="n">
        <f aca="false">-AJ48</f>
        <v>-0</v>
      </c>
      <c r="AK95" s="19" t="n">
        <f aca="false">-AK48</f>
        <v>-0</v>
      </c>
      <c r="AL95" s="19" t="n">
        <f aca="false">-AL48</f>
        <v>-0</v>
      </c>
      <c r="AM95" s="19" t="n">
        <f aca="false">-AM48</f>
        <v>-0</v>
      </c>
      <c r="AN95" s="19" t="n">
        <f aca="false">-AN48</f>
        <v>-0</v>
      </c>
      <c r="AO95" s="19" t="n">
        <f aca="false">-AO48</f>
        <v>-0</v>
      </c>
      <c r="AP95" s="19" t="n">
        <f aca="false">-AP48</f>
        <v>-0</v>
      </c>
      <c r="AQ95" s="19" t="n">
        <f aca="false">-AQ48</f>
        <v>-0</v>
      </c>
      <c r="AR95" s="19" t="n">
        <f aca="false">-AR48</f>
        <v>-0</v>
      </c>
      <c r="AS95" s="19" t="n">
        <f aca="false">-AS48</f>
        <v>-0</v>
      </c>
      <c r="AT95" s="19" t="n">
        <f aca="false">-AT48</f>
        <v>-0</v>
      </c>
      <c r="AU95" s="19" t="n">
        <f aca="false">-AU48</f>
        <v>-0</v>
      </c>
      <c r="AV95" s="19" t="n">
        <f aca="false">-AV48</f>
        <v>-0</v>
      </c>
      <c r="AW95" s="19" t="n">
        <f aca="false">-AW48</f>
        <v>-0</v>
      </c>
      <c r="AX95" s="19" t="n">
        <f aca="false">-AX48</f>
        <v>-0</v>
      </c>
      <c r="AY95" s="19" t="n">
        <f aca="false">-AY48</f>
        <v>-0</v>
      </c>
      <c r="AZ95" s="19" t="n">
        <f aca="false">-AZ48</f>
        <v>-0</v>
      </c>
      <c r="BA95" s="19" t="n">
        <f aca="false">-BA48</f>
        <v>-368954.1</v>
      </c>
      <c r="BB95" s="19" t="n">
        <f aca="false">-BB48</f>
        <v>-481346.1</v>
      </c>
      <c r="BC95" s="19" t="n">
        <f aca="false">-BC48</f>
        <v>-602324.1</v>
      </c>
      <c r="BD95" s="19" t="n">
        <f aca="false">-BD48</f>
        <v>-727064.1</v>
      </c>
      <c r="BE95" s="19" t="n">
        <f aca="false">-BE48</f>
        <v>-849572.1</v>
      </c>
      <c r="BF95" s="19" t="n">
        <f aca="false">-BF48</f>
        <v>-963044.1</v>
      </c>
      <c r="BG95" s="19" t="n">
        <f aca="false">-BG48</f>
        <v>-1060514.1</v>
      </c>
      <c r="BH95" s="19" t="n">
        <f aca="false">-BH48</f>
        <v>-1135520.1</v>
      </c>
      <c r="BI95" s="19" t="n">
        <f aca="false">-BI48</f>
        <v>-1182824.1</v>
      </c>
      <c r="BJ95" s="19" t="n">
        <f aca="false">-BJ48</f>
        <v>-1198988.1</v>
      </c>
      <c r="BK95" s="19" t="n">
        <f aca="false">-BK48</f>
        <v>-1182824.1</v>
      </c>
      <c r="BL95" s="19" t="n">
        <f aca="false">-BL48</f>
        <v>-1135520.1</v>
      </c>
      <c r="BM95" s="19" t="n">
        <f aca="false">-BM48</f>
        <v>-1060514.1</v>
      </c>
      <c r="BN95" s="19" t="n">
        <f aca="false">-BN48</f>
        <v>-963044.1</v>
      </c>
      <c r="BO95" s="19" t="n">
        <f aca="false">-BO48</f>
        <v>-849572.1</v>
      </c>
      <c r="BP95" s="19" t="n">
        <f aca="false">-BP48</f>
        <v>-727064.1</v>
      </c>
      <c r="BQ95" s="19" t="n">
        <f aca="false">-BQ48</f>
        <v>-602324.1</v>
      </c>
      <c r="BR95" s="19" t="n">
        <f aca="false">-BR48</f>
        <v>-481346.1</v>
      </c>
      <c r="BS95" s="19" t="n">
        <f aca="false">-BS48</f>
        <v>-260602.2</v>
      </c>
      <c r="BT95" s="19" t="n">
        <f aca="false">-BT48</f>
        <v>-0</v>
      </c>
      <c r="BU95" s="19" t="n">
        <f aca="false">-BU48</f>
        <v>-0</v>
      </c>
      <c r="BV95" s="19" t="n">
        <f aca="false">-BV48</f>
        <v>-0</v>
      </c>
      <c r="BW95" s="19" t="n">
        <f aca="false">-BW48</f>
        <v>-0</v>
      </c>
      <c r="BX95" s="19" t="n">
        <f aca="false">-BX48</f>
        <v>-0</v>
      </c>
      <c r="BY95" s="19" t="n">
        <f aca="false">-BY48</f>
        <v>-0</v>
      </c>
      <c r="BZ95" s="19" t="n">
        <f aca="false">-BZ48</f>
        <v>-0</v>
      </c>
      <c r="CA95" s="19" t="n">
        <f aca="false">-CA48</f>
        <v>-0</v>
      </c>
      <c r="CB95" s="19" t="n">
        <f aca="false">-CB48</f>
        <v>-0</v>
      </c>
      <c r="CC95" s="19" t="n">
        <f aca="false">-CC48</f>
        <v>-0</v>
      </c>
      <c r="CD95" s="19" t="n">
        <f aca="false">-CD48</f>
        <v>-0</v>
      </c>
      <c r="CE95" s="19" t="n">
        <f aca="false">-CE48</f>
        <v>-0</v>
      </c>
      <c r="CF95" s="19" t="n">
        <f aca="false">-CF48</f>
        <v>-0</v>
      </c>
      <c r="CG95" s="19" t="n">
        <f aca="false">-CG48</f>
        <v>-0</v>
      </c>
      <c r="CH95" s="19" t="n">
        <f aca="false">-CH48</f>
        <v>-0</v>
      </c>
      <c r="CI95" s="19" t="n">
        <f aca="false">-CI48</f>
        <v>-0</v>
      </c>
      <c r="CJ95" s="19" t="n">
        <f aca="false">-CJ48</f>
        <v>-0</v>
      </c>
      <c r="CK95" s="19" t="n">
        <f aca="false">-CK48</f>
        <v>-0</v>
      </c>
      <c r="CL95" s="19" t="n">
        <f aca="false">-CL48</f>
        <v>-0</v>
      </c>
      <c r="CM95" s="19" t="n">
        <f aca="false">-CM48</f>
        <v>-0</v>
      </c>
      <c r="CN95" s="19" t="n">
        <f aca="false">-CN48</f>
        <v>-0</v>
      </c>
      <c r="CO95" s="19" t="n">
        <f aca="false">-CO48</f>
        <v>-0</v>
      </c>
      <c r="CP95" s="19" t="n">
        <f aca="false">-CP48</f>
        <v>-0</v>
      </c>
      <c r="CQ95" s="19" t="n">
        <f aca="false">-CQ48</f>
        <v>-0</v>
      </c>
      <c r="CR95" s="19" t="n">
        <f aca="false">-CR48</f>
        <v>-0</v>
      </c>
      <c r="CS95" s="19" t="n">
        <f aca="false">-CS48</f>
        <v>-0</v>
      </c>
      <c r="CT95" s="19" t="n">
        <f aca="false">-CT48</f>
        <v>-0</v>
      </c>
      <c r="CU95" s="19" t="n">
        <f aca="false">-CU48</f>
        <v>-0</v>
      </c>
      <c r="CV95" s="19" t="n">
        <f aca="false">-CV48</f>
        <v>-0</v>
      </c>
      <c r="CW95" s="19" t="n">
        <f aca="false">-CW48</f>
        <v>-0</v>
      </c>
      <c r="CX95" s="19" t="n">
        <f aca="false">-CX48</f>
        <v>-0</v>
      </c>
      <c r="CY95" s="19" t="n">
        <f aca="false">-CY48</f>
        <v>-0</v>
      </c>
      <c r="CZ95" s="19" t="n">
        <f aca="false">-CZ48</f>
        <v>-0</v>
      </c>
      <c r="DA95" s="19" t="n">
        <f aca="false">-DA48</f>
        <v>-0</v>
      </c>
      <c r="DB95" s="19" t="n">
        <f aca="false">-DB48</f>
        <v>-0</v>
      </c>
      <c r="DC95" s="19" t="n">
        <f aca="false">-DC48</f>
        <v>-0</v>
      </c>
      <c r="DD95" s="19" t="n">
        <f aca="false">-DD48</f>
        <v>-0</v>
      </c>
      <c r="DE95" s="19" t="n">
        <f aca="false">-DE48</f>
        <v>-0</v>
      </c>
    </row>
    <row r="96" customFormat="false" ht="15" hidden="true" customHeight="true" outlineLevel="1" collapsed="false">
      <c r="A96" s="28" t="s">
        <v>43</v>
      </c>
      <c r="B96" s="19" t="n">
        <v>0</v>
      </c>
      <c r="C96" s="19" t="n">
        <v>0</v>
      </c>
      <c r="D96" s="19" t="n">
        <v>0</v>
      </c>
      <c r="E96" s="19" t="n">
        <v>0</v>
      </c>
      <c r="F96" s="19" t="n">
        <f aca="false">-F49</f>
        <v>-0</v>
      </c>
      <c r="G96" s="19" t="n">
        <f aca="false">-G49</f>
        <v>-0</v>
      </c>
      <c r="H96" s="19" t="n">
        <f aca="false">-H49</f>
        <v>-0</v>
      </c>
      <c r="I96" s="19" t="n">
        <f aca="false">-I49</f>
        <v>-0</v>
      </c>
      <c r="J96" s="19" t="n">
        <f aca="false">-J49</f>
        <v>-0</v>
      </c>
      <c r="K96" s="19" t="n">
        <f aca="false">-K49</f>
        <v>-0</v>
      </c>
      <c r="L96" s="19" t="n">
        <f aca="false">-L49</f>
        <v>-0</v>
      </c>
      <c r="M96" s="19" t="n">
        <f aca="false">-M49</f>
        <v>-0</v>
      </c>
      <c r="N96" s="19" t="n">
        <f aca="false">-N49</f>
        <v>-0</v>
      </c>
      <c r="O96" s="19" t="n">
        <f aca="false">-O49</f>
        <v>-0</v>
      </c>
      <c r="P96" s="19" t="n">
        <f aca="false">-P49</f>
        <v>-0</v>
      </c>
      <c r="Q96" s="19" t="n">
        <f aca="false">-Q49</f>
        <v>-0</v>
      </c>
      <c r="R96" s="19" t="n">
        <f aca="false">-R49</f>
        <v>-0</v>
      </c>
      <c r="S96" s="19" t="n">
        <f aca="false">-S49</f>
        <v>-0</v>
      </c>
      <c r="T96" s="19" t="n">
        <f aca="false">-T49</f>
        <v>-0</v>
      </c>
      <c r="U96" s="19" t="n">
        <f aca="false">-U49</f>
        <v>-0</v>
      </c>
      <c r="V96" s="19" t="n">
        <f aca="false">-V49</f>
        <v>-0</v>
      </c>
      <c r="W96" s="19" t="n">
        <f aca="false">-W49</f>
        <v>-0</v>
      </c>
      <c r="X96" s="19" t="n">
        <f aca="false">-X49</f>
        <v>-0</v>
      </c>
      <c r="Y96" s="19" t="n">
        <f aca="false">-Y49</f>
        <v>-0</v>
      </c>
      <c r="Z96" s="19" t="n">
        <f aca="false">-Z49</f>
        <v>-0</v>
      </c>
      <c r="AA96" s="19" t="n">
        <f aca="false">-AA49</f>
        <v>-0</v>
      </c>
      <c r="AB96" s="19" t="n">
        <f aca="false">-AB49</f>
        <v>-0</v>
      </c>
      <c r="AC96" s="19" t="n">
        <f aca="false">-AC49</f>
        <v>-0</v>
      </c>
      <c r="AD96" s="19" t="n">
        <f aca="false">-AD49</f>
        <v>-0</v>
      </c>
      <c r="AE96" s="19" t="n">
        <f aca="false">-AE49</f>
        <v>-0</v>
      </c>
      <c r="AF96" s="19" t="n">
        <f aca="false">-AF49</f>
        <v>-0</v>
      </c>
      <c r="AG96" s="19" t="n">
        <f aca="false">-AG49</f>
        <v>-0</v>
      </c>
      <c r="AH96" s="19" t="n">
        <f aca="false">-AH49</f>
        <v>-0</v>
      </c>
      <c r="AI96" s="19" t="n">
        <f aca="false">-AI49</f>
        <v>-0</v>
      </c>
      <c r="AJ96" s="19" t="n">
        <f aca="false">-AJ49</f>
        <v>-0</v>
      </c>
      <c r="AK96" s="19" t="n">
        <f aca="false">-AK49</f>
        <v>-0</v>
      </c>
      <c r="AL96" s="19" t="n">
        <f aca="false">-AL49</f>
        <v>-0</v>
      </c>
      <c r="AM96" s="19" t="n">
        <f aca="false">-AM49</f>
        <v>-0</v>
      </c>
      <c r="AN96" s="19" t="n">
        <f aca="false">-AN49</f>
        <v>-0</v>
      </c>
      <c r="AO96" s="19" t="n">
        <f aca="false">-AO49</f>
        <v>-0</v>
      </c>
      <c r="AP96" s="19" t="n">
        <f aca="false">-AP49</f>
        <v>-0</v>
      </c>
      <c r="AQ96" s="19" t="n">
        <f aca="false">-AQ49</f>
        <v>-0</v>
      </c>
      <c r="AR96" s="19" t="n">
        <f aca="false">-AR49</f>
        <v>-0</v>
      </c>
      <c r="AS96" s="19" t="n">
        <f aca="false">-AS49</f>
        <v>-0</v>
      </c>
      <c r="AT96" s="19" t="n">
        <f aca="false">-AT49</f>
        <v>-0</v>
      </c>
      <c r="AU96" s="19" t="n">
        <f aca="false">-AU49</f>
        <v>-0</v>
      </c>
      <c r="AV96" s="19" t="n">
        <f aca="false">-AV49</f>
        <v>-0</v>
      </c>
      <c r="AW96" s="19" t="n">
        <f aca="false">-AW49</f>
        <v>-0</v>
      </c>
      <c r="AX96" s="19" t="n">
        <f aca="false">-AX49</f>
        <v>-0</v>
      </c>
      <c r="AY96" s="19" t="n">
        <f aca="false">-AY49</f>
        <v>-0</v>
      </c>
      <c r="AZ96" s="19" t="n">
        <f aca="false">-AZ49</f>
        <v>-0</v>
      </c>
      <c r="BA96" s="19" t="n">
        <f aca="false">-BA49</f>
        <v>-0</v>
      </c>
      <c r="BB96" s="19" t="n">
        <f aca="false">-BB49</f>
        <v>-307461.75</v>
      </c>
      <c r="BC96" s="19" t="n">
        <f aca="false">-BC49</f>
        <v>-401121.75</v>
      </c>
      <c r="BD96" s="19" t="n">
        <f aca="false">-BD49</f>
        <v>-501936.75</v>
      </c>
      <c r="BE96" s="19" t="n">
        <f aca="false">-BE49</f>
        <v>-605886.75</v>
      </c>
      <c r="BF96" s="19" t="n">
        <f aca="false">-BF49</f>
        <v>-707976.75</v>
      </c>
      <c r="BG96" s="19" t="n">
        <f aca="false">-BG49</f>
        <v>-802536.75</v>
      </c>
      <c r="BH96" s="19" t="n">
        <f aca="false">-BH49</f>
        <v>-883761.75</v>
      </c>
      <c r="BI96" s="19" t="n">
        <f aca="false">-BI49</f>
        <v>-946266.75</v>
      </c>
      <c r="BJ96" s="19" t="n">
        <f aca="false">-BJ49</f>
        <v>-985686.75</v>
      </c>
      <c r="BK96" s="19" t="n">
        <f aca="false">-BK49</f>
        <v>-999156.75</v>
      </c>
      <c r="BL96" s="19" t="n">
        <f aca="false">-BL49</f>
        <v>-985686.75</v>
      </c>
      <c r="BM96" s="19" t="n">
        <f aca="false">-BM49</f>
        <v>-946266.75</v>
      </c>
      <c r="BN96" s="19" t="n">
        <f aca="false">-BN49</f>
        <v>-883761.75</v>
      </c>
      <c r="BO96" s="19" t="n">
        <f aca="false">-BO49</f>
        <v>-802536.75</v>
      </c>
      <c r="BP96" s="19" t="n">
        <f aca="false">-BP49</f>
        <v>-707976.75</v>
      </c>
      <c r="BQ96" s="19" t="n">
        <f aca="false">-BQ49</f>
        <v>-605886.75</v>
      </c>
      <c r="BR96" s="19" t="n">
        <f aca="false">-BR49</f>
        <v>-501936.75</v>
      </c>
      <c r="BS96" s="19" t="n">
        <f aca="false">-BS49</f>
        <v>-401121.75</v>
      </c>
      <c r="BT96" s="19" t="n">
        <f aca="false">-BT49</f>
        <v>-217168.5</v>
      </c>
      <c r="BU96" s="19" t="n">
        <f aca="false">-BU49</f>
        <v>-0</v>
      </c>
      <c r="BV96" s="19" t="n">
        <f aca="false">-BV49</f>
        <v>-0</v>
      </c>
      <c r="BW96" s="19" t="n">
        <f aca="false">-BW49</f>
        <v>-0</v>
      </c>
      <c r="BX96" s="19" t="n">
        <f aca="false">-BX49</f>
        <v>-0</v>
      </c>
      <c r="BY96" s="19" t="n">
        <f aca="false">-BY49</f>
        <v>-0</v>
      </c>
      <c r="BZ96" s="19" t="n">
        <f aca="false">-BZ49</f>
        <v>-0</v>
      </c>
      <c r="CA96" s="19" t="n">
        <f aca="false">-CA49</f>
        <v>-0</v>
      </c>
      <c r="CB96" s="19" t="n">
        <f aca="false">-CB49</f>
        <v>-0</v>
      </c>
      <c r="CC96" s="19" t="n">
        <f aca="false">-CC49</f>
        <v>-0</v>
      </c>
      <c r="CD96" s="19" t="n">
        <f aca="false">-CD49</f>
        <v>-0</v>
      </c>
      <c r="CE96" s="19" t="n">
        <f aca="false">-CE49</f>
        <v>-0</v>
      </c>
      <c r="CF96" s="19" t="n">
        <f aca="false">-CF49</f>
        <v>-0</v>
      </c>
      <c r="CG96" s="19" t="n">
        <f aca="false">-CG49</f>
        <v>-0</v>
      </c>
      <c r="CH96" s="19" t="n">
        <f aca="false">-CH49</f>
        <v>-0</v>
      </c>
      <c r="CI96" s="19" t="n">
        <f aca="false">-CI49</f>
        <v>-0</v>
      </c>
      <c r="CJ96" s="19" t="n">
        <f aca="false">-CJ49</f>
        <v>-0</v>
      </c>
      <c r="CK96" s="19" t="n">
        <f aca="false">-CK49</f>
        <v>-0</v>
      </c>
      <c r="CL96" s="19" t="n">
        <f aca="false">-CL49</f>
        <v>-0</v>
      </c>
      <c r="CM96" s="19" t="n">
        <f aca="false">-CM49</f>
        <v>-0</v>
      </c>
      <c r="CN96" s="19" t="n">
        <f aca="false">-CN49</f>
        <v>-0</v>
      </c>
      <c r="CO96" s="19" t="n">
        <f aca="false">-CO49</f>
        <v>-0</v>
      </c>
      <c r="CP96" s="19" t="n">
        <f aca="false">-CP49</f>
        <v>-0</v>
      </c>
      <c r="CQ96" s="19" t="n">
        <f aca="false">-CQ49</f>
        <v>-0</v>
      </c>
      <c r="CR96" s="19" t="n">
        <f aca="false">-CR49</f>
        <v>-0</v>
      </c>
      <c r="CS96" s="19" t="n">
        <f aca="false">-CS49</f>
        <v>-0</v>
      </c>
      <c r="CT96" s="19" t="n">
        <f aca="false">-CT49</f>
        <v>-0</v>
      </c>
      <c r="CU96" s="19" t="n">
        <f aca="false">-CU49</f>
        <v>-0</v>
      </c>
      <c r="CV96" s="19" t="n">
        <f aca="false">-CV49</f>
        <v>-0</v>
      </c>
      <c r="CW96" s="19" t="n">
        <f aca="false">-CW49</f>
        <v>-0</v>
      </c>
      <c r="CX96" s="19" t="n">
        <f aca="false">-CX49</f>
        <v>-0</v>
      </c>
      <c r="CY96" s="19" t="n">
        <f aca="false">-CY49</f>
        <v>-0</v>
      </c>
      <c r="CZ96" s="19" t="n">
        <f aca="false">-CZ49</f>
        <v>-0</v>
      </c>
      <c r="DA96" s="19" t="n">
        <f aca="false">-DA49</f>
        <v>-0</v>
      </c>
      <c r="DB96" s="19" t="n">
        <f aca="false">-DB49</f>
        <v>-0</v>
      </c>
      <c r="DC96" s="19" t="n">
        <f aca="false">-DC49</f>
        <v>-0</v>
      </c>
      <c r="DD96" s="19" t="n">
        <f aca="false">-DD49</f>
        <v>-0</v>
      </c>
      <c r="DE96" s="19" t="n">
        <f aca="false">-DE49</f>
        <v>-0</v>
      </c>
    </row>
    <row r="97" customFormat="false" ht="15" hidden="true" customHeight="true" outlineLevel="1" collapsed="false">
      <c r="A97" s="28" t="s">
        <v>44</v>
      </c>
      <c r="B97" s="19" t="n">
        <v>0</v>
      </c>
      <c r="C97" s="19" t="n">
        <v>0</v>
      </c>
      <c r="D97" s="19" t="n">
        <v>0</v>
      </c>
      <c r="E97" s="19" t="n">
        <v>0</v>
      </c>
      <c r="F97" s="19" t="n">
        <f aca="false">-F50</f>
        <v>-0</v>
      </c>
      <c r="G97" s="19" t="n">
        <f aca="false">-G50</f>
        <v>-0</v>
      </c>
      <c r="H97" s="19" t="n">
        <f aca="false">-H50</f>
        <v>-0</v>
      </c>
      <c r="I97" s="19" t="n">
        <f aca="false">-I50</f>
        <v>-0</v>
      </c>
      <c r="J97" s="19" t="n">
        <f aca="false">-J50</f>
        <v>-0</v>
      </c>
      <c r="K97" s="19" t="n">
        <f aca="false">-K50</f>
        <v>-0</v>
      </c>
      <c r="L97" s="19" t="n">
        <f aca="false">-L50</f>
        <v>-0</v>
      </c>
      <c r="M97" s="19" t="n">
        <f aca="false">-M50</f>
        <v>-0</v>
      </c>
      <c r="N97" s="19" t="n">
        <f aca="false">-N50</f>
        <v>-0</v>
      </c>
      <c r="O97" s="19" t="n">
        <f aca="false">-O50</f>
        <v>-0</v>
      </c>
      <c r="P97" s="19" t="n">
        <f aca="false">-P50</f>
        <v>-0</v>
      </c>
      <c r="Q97" s="19" t="n">
        <f aca="false">-Q50</f>
        <v>-0</v>
      </c>
      <c r="R97" s="19" t="n">
        <f aca="false">-R50</f>
        <v>-0</v>
      </c>
      <c r="S97" s="19" t="n">
        <f aca="false">-S50</f>
        <v>-0</v>
      </c>
      <c r="T97" s="19" t="n">
        <f aca="false">-T50</f>
        <v>-0</v>
      </c>
      <c r="U97" s="19" t="n">
        <f aca="false">-U50</f>
        <v>-0</v>
      </c>
      <c r="V97" s="19" t="n">
        <f aca="false">-V50</f>
        <v>-0</v>
      </c>
      <c r="W97" s="19" t="n">
        <f aca="false">-W50</f>
        <v>-0</v>
      </c>
      <c r="X97" s="19" t="n">
        <f aca="false">-X50</f>
        <v>-0</v>
      </c>
      <c r="Y97" s="19" t="n">
        <f aca="false">-Y50</f>
        <v>-0</v>
      </c>
      <c r="Z97" s="19" t="n">
        <f aca="false">-Z50</f>
        <v>-0</v>
      </c>
      <c r="AA97" s="19" t="n">
        <f aca="false">-AA50</f>
        <v>-0</v>
      </c>
      <c r="AB97" s="19" t="n">
        <f aca="false">-AB50</f>
        <v>-0</v>
      </c>
      <c r="AC97" s="19" t="n">
        <f aca="false">-AC50</f>
        <v>-0</v>
      </c>
      <c r="AD97" s="19" t="n">
        <f aca="false">-AD50</f>
        <v>-0</v>
      </c>
      <c r="AE97" s="19" t="n">
        <f aca="false">-AE50</f>
        <v>-0</v>
      </c>
      <c r="AF97" s="19" t="n">
        <f aca="false">-AF50</f>
        <v>-0</v>
      </c>
      <c r="AG97" s="19" t="n">
        <f aca="false">-AG50</f>
        <v>-0</v>
      </c>
      <c r="AH97" s="19" t="n">
        <f aca="false">-AH50</f>
        <v>-0</v>
      </c>
      <c r="AI97" s="19" t="n">
        <f aca="false">-AI50</f>
        <v>-0</v>
      </c>
      <c r="AJ97" s="19" t="n">
        <f aca="false">-AJ50</f>
        <v>-0</v>
      </c>
      <c r="AK97" s="19" t="n">
        <f aca="false">-AK50</f>
        <v>-0</v>
      </c>
      <c r="AL97" s="19" t="n">
        <f aca="false">-AL50</f>
        <v>-0</v>
      </c>
      <c r="AM97" s="19" t="n">
        <f aca="false">-AM50</f>
        <v>-0</v>
      </c>
      <c r="AN97" s="19" t="n">
        <f aca="false">-AN50</f>
        <v>-0</v>
      </c>
      <c r="AO97" s="19" t="n">
        <f aca="false">-AO50</f>
        <v>-0</v>
      </c>
      <c r="AP97" s="19" t="n">
        <f aca="false">-AP50</f>
        <v>-0</v>
      </c>
      <c r="AQ97" s="19" t="n">
        <f aca="false">-AQ50</f>
        <v>-0</v>
      </c>
      <c r="AR97" s="19" t="n">
        <f aca="false">-AR50</f>
        <v>-0</v>
      </c>
      <c r="AS97" s="19" t="n">
        <f aca="false">-AS50</f>
        <v>-0</v>
      </c>
      <c r="AT97" s="19" t="n">
        <f aca="false">-AT50</f>
        <v>-0</v>
      </c>
      <c r="AU97" s="19" t="n">
        <f aca="false">-AU50</f>
        <v>-0</v>
      </c>
      <c r="AV97" s="19" t="n">
        <f aca="false">-AV50</f>
        <v>-0</v>
      </c>
      <c r="AW97" s="19" t="n">
        <f aca="false">-AW50</f>
        <v>-0</v>
      </c>
      <c r="AX97" s="19" t="n">
        <f aca="false">-AX50</f>
        <v>-0</v>
      </c>
      <c r="AY97" s="19" t="n">
        <f aca="false">-AY50</f>
        <v>-0</v>
      </c>
      <c r="AZ97" s="19" t="n">
        <f aca="false">-AZ50</f>
        <v>-0</v>
      </c>
      <c r="BA97" s="19" t="n">
        <f aca="false">-BA50</f>
        <v>-0</v>
      </c>
      <c r="BB97" s="19" t="n">
        <f aca="false">-BB50</f>
        <v>-0</v>
      </c>
      <c r="BC97" s="19" t="n">
        <f aca="false">-BC50</f>
        <v>-307461.75</v>
      </c>
      <c r="BD97" s="19" t="n">
        <f aca="false">-BD50</f>
        <v>-401121.75</v>
      </c>
      <c r="BE97" s="19" t="n">
        <f aca="false">-BE50</f>
        <v>-501936.75</v>
      </c>
      <c r="BF97" s="19" t="n">
        <f aca="false">-BF50</f>
        <v>-605886.75</v>
      </c>
      <c r="BG97" s="19" t="n">
        <f aca="false">-BG50</f>
        <v>-707976.75</v>
      </c>
      <c r="BH97" s="19" t="n">
        <f aca="false">-BH50</f>
        <v>-802536.75</v>
      </c>
      <c r="BI97" s="19" t="n">
        <f aca="false">-BI50</f>
        <v>-883761.75</v>
      </c>
      <c r="BJ97" s="19" t="n">
        <f aca="false">-BJ50</f>
        <v>-946266.75</v>
      </c>
      <c r="BK97" s="19" t="n">
        <f aca="false">-BK50</f>
        <v>-985686.75</v>
      </c>
      <c r="BL97" s="19" t="n">
        <f aca="false">-BL50</f>
        <v>-999156.75</v>
      </c>
      <c r="BM97" s="19" t="n">
        <f aca="false">-BM50</f>
        <v>-985686.75</v>
      </c>
      <c r="BN97" s="19" t="n">
        <f aca="false">-BN50</f>
        <v>-946266.75</v>
      </c>
      <c r="BO97" s="19" t="n">
        <f aca="false">-BO50</f>
        <v>-883761.75</v>
      </c>
      <c r="BP97" s="19" t="n">
        <f aca="false">-BP50</f>
        <v>-802536.75</v>
      </c>
      <c r="BQ97" s="19" t="n">
        <f aca="false">-BQ50</f>
        <v>-707976.75</v>
      </c>
      <c r="BR97" s="19" t="n">
        <f aca="false">-BR50</f>
        <v>-605886.75</v>
      </c>
      <c r="BS97" s="19" t="n">
        <f aca="false">-BS50</f>
        <v>-501936.75</v>
      </c>
      <c r="BT97" s="19" t="n">
        <f aca="false">-BT50</f>
        <v>-401121.75</v>
      </c>
      <c r="BU97" s="19" t="n">
        <f aca="false">-BU50</f>
        <v>-217168.5</v>
      </c>
      <c r="BV97" s="19" t="n">
        <f aca="false">-BV50</f>
        <v>-0</v>
      </c>
      <c r="BW97" s="19" t="n">
        <f aca="false">-BW50</f>
        <v>-0</v>
      </c>
      <c r="BX97" s="19" t="n">
        <f aca="false">-BX50</f>
        <v>-0</v>
      </c>
      <c r="BY97" s="19" t="n">
        <f aca="false">-BY50</f>
        <v>-0</v>
      </c>
      <c r="BZ97" s="19" t="n">
        <f aca="false">-BZ50</f>
        <v>-0</v>
      </c>
      <c r="CA97" s="19" t="n">
        <f aca="false">-CA50</f>
        <v>-0</v>
      </c>
      <c r="CB97" s="19" t="n">
        <f aca="false">-CB50</f>
        <v>-0</v>
      </c>
      <c r="CC97" s="19" t="n">
        <f aca="false">-CC50</f>
        <v>-0</v>
      </c>
      <c r="CD97" s="19" t="n">
        <f aca="false">-CD50</f>
        <v>-0</v>
      </c>
      <c r="CE97" s="19" t="n">
        <f aca="false">-CE50</f>
        <v>-0</v>
      </c>
      <c r="CF97" s="19" t="n">
        <f aca="false">-CF50</f>
        <v>-0</v>
      </c>
      <c r="CG97" s="19" t="n">
        <f aca="false">-CG50</f>
        <v>-0</v>
      </c>
      <c r="CH97" s="19" t="n">
        <f aca="false">-CH50</f>
        <v>-0</v>
      </c>
      <c r="CI97" s="19" t="n">
        <f aca="false">-CI50</f>
        <v>-0</v>
      </c>
      <c r="CJ97" s="19" t="n">
        <f aca="false">-CJ50</f>
        <v>-0</v>
      </c>
      <c r="CK97" s="19" t="n">
        <f aca="false">-CK50</f>
        <v>-0</v>
      </c>
      <c r="CL97" s="19" t="n">
        <f aca="false">-CL50</f>
        <v>-0</v>
      </c>
      <c r="CM97" s="19" t="n">
        <f aca="false">-CM50</f>
        <v>-0</v>
      </c>
      <c r="CN97" s="19" t="n">
        <f aca="false">-CN50</f>
        <v>-0</v>
      </c>
      <c r="CO97" s="19" t="n">
        <f aca="false">-CO50</f>
        <v>-0</v>
      </c>
      <c r="CP97" s="19" t="n">
        <f aca="false">-CP50</f>
        <v>-0</v>
      </c>
      <c r="CQ97" s="19" t="n">
        <f aca="false">-CQ50</f>
        <v>-0</v>
      </c>
      <c r="CR97" s="19" t="n">
        <f aca="false">-CR50</f>
        <v>-0</v>
      </c>
      <c r="CS97" s="19" t="n">
        <f aca="false">-CS50</f>
        <v>-0</v>
      </c>
      <c r="CT97" s="19" t="n">
        <f aca="false">-CT50</f>
        <v>-0</v>
      </c>
      <c r="CU97" s="19" t="n">
        <f aca="false">-CU50</f>
        <v>-0</v>
      </c>
      <c r="CV97" s="19" t="n">
        <f aca="false">-CV50</f>
        <v>-0</v>
      </c>
      <c r="CW97" s="19" t="n">
        <f aca="false">-CW50</f>
        <v>-0</v>
      </c>
      <c r="CX97" s="19" t="n">
        <f aca="false">-CX50</f>
        <v>-0</v>
      </c>
      <c r="CY97" s="19" t="n">
        <f aca="false">-CY50</f>
        <v>-0</v>
      </c>
      <c r="CZ97" s="19" t="n">
        <f aca="false">-CZ50</f>
        <v>-0</v>
      </c>
      <c r="DA97" s="19" t="n">
        <f aca="false">-DA50</f>
        <v>-0</v>
      </c>
      <c r="DB97" s="19" t="n">
        <f aca="false">-DB50</f>
        <v>-0</v>
      </c>
      <c r="DC97" s="19" t="n">
        <f aca="false">-DC50</f>
        <v>-0</v>
      </c>
      <c r="DD97" s="19" t="n">
        <f aca="false">-DD50</f>
        <v>-0</v>
      </c>
      <c r="DE97" s="19" t="n">
        <f aca="false">-DE50</f>
        <v>-0</v>
      </c>
    </row>
    <row r="98" customFormat="false" ht="15" hidden="true" customHeight="true" outlineLevel="1" collapsed="false">
      <c r="A98" s="28" t="s">
        <v>45</v>
      </c>
      <c r="B98" s="19" t="n">
        <v>0</v>
      </c>
      <c r="C98" s="19" t="n">
        <v>0</v>
      </c>
      <c r="D98" s="19" t="n">
        <v>0</v>
      </c>
      <c r="E98" s="19" t="n">
        <v>0</v>
      </c>
      <c r="F98" s="19" t="n">
        <f aca="false">-F51</f>
        <v>-0</v>
      </c>
      <c r="G98" s="19" t="n">
        <f aca="false">-G51</f>
        <v>-0</v>
      </c>
      <c r="H98" s="19" t="n">
        <f aca="false">-H51</f>
        <v>-0</v>
      </c>
      <c r="I98" s="19" t="n">
        <f aca="false">-I51</f>
        <v>-0</v>
      </c>
      <c r="J98" s="19" t="n">
        <f aca="false">-J51</f>
        <v>-0</v>
      </c>
      <c r="K98" s="19" t="n">
        <f aca="false">-K51</f>
        <v>-0</v>
      </c>
      <c r="L98" s="19" t="n">
        <f aca="false">-L51</f>
        <v>-0</v>
      </c>
      <c r="M98" s="19" t="n">
        <f aca="false">-M51</f>
        <v>-0</v>
      </c>
      <c r="N98" s="19" t="n">
        <f aca="false">-N51</f>
        <v>-0</v>
      </c>
      <c r="O98" s="19" t="n">
        <f aca="false">-O51</f>
        <v>-0</v>
      </c>
      <c r="P98" s="19" t="n">
        <f aca="false">-P51</f>
        <v>-0</v>
      </c>
      <c r="Q98" s="19" t="n">
        <f aca="false">-Q51</f>
        <v>-0</v>
      </c>
      <c r="R98" s="19" t="n">
        <f aca="false">-R51</f>
        <v>-0</v>
      </c>
      <c r="S98" s="19" t="n">
        <f aca="false">-S51</f>
        <v>-0</v>
      </c>
      <c r="T98" s="19" t="n">
        <f aca="false">-T51</f>
        <v>-0</v>
      </c>
      <c r="U98" s="19" t="n">
        <f aca="false">-U51</f>
        <v>-0</v>
      </c>
      <c r="V98" s="19" t="n">
        <f aca="false">-V51</f>
        <v>-0</v>
      </c>
      <c r="W98" s="19" t="n">
        <f aca="false">-W51</f>
        <v>-0</v>
      </c>
      <c r="X98" s="19" t="n">
        <f aca="false">-X51</f>
        <v>-0</v>
      </c>
      <c r="Y98" s="19" t="n">
        <f aca="false">-Y51</f>
        <v>-0</v>
      </c>
      <c r="Z98" s="19" t="n">
        <f aca="false">-Z51</f>
        <v>-0</v>
      </c>
      <c r="AA98" s="19" t="n">
        <f aca="false">-AA51</f>
        <v>-0</v>
      </c>
      <c r="AB98" s="19" t="n">
        <f aca="false">-AB51</f>
        <v>-0</v>
      </c>
      <c r="AC98" s="19" t="n">
        <f aca="false">-AC51</f>
        <v>-0</v>
      </c>
      <c r="AD98" s="19" t="n">
        <f aca="false">-AD51</f>
        <v>-0</v>
      </c>
      <c r="AE98" s="19" t="n">
        <f aca="false">-AE51</f>
        <v>-0</v>
      </c>
      <c r="AF98" s="19" t="n">
        <f aca="false">-AF51</f>
        <v>-0</v>
      </c>
      <c r="AG98" s="19" t="n">
        <f aca="false">-AG51</f>
        <v>-0</v>
      </c>
      <c r="AH98" s="19" t="n">
        <f aca="false">-AH51</f>
        <v>-0</v>
      </c>
      <c r="AI98" s="19" t="n">
        <f aca="false">-AI51</f>
        <v>-0</v>
      </c>
      <c r="AJ98" s="19" t="n">
        <f aca="false">-AJ51</f>
        <v>-0</v>
      </c>
      <c r="AK98" s="19" t="n">
        <f aca="false">-AK51</f>
        <v>-0</v>
      </c>
      <c r="AL98" s="19" t="n">
        <f aca="false">-AL51</f>
        <v>-0</v>
      </c>
      <c r="AM98" s="19" t="n">
        <f aca="false">-AM51</f>
        <v>-0</v>
      </c>
      <c r="AN98" s="19" t="n">
        <f aca="false">-AN51</f>
        <v>-0</v>
      </c>
      <c r="AO98" s="19" t="n">
        <f aca="false">-AO51</f>
        <v>-0</v>
      </c>
      <c r="AP98" s="19" t="n">
        <f aca="false">-AP51</f>
        <v>-0</v>
      </c>
      <c r="AQ98" s="19" t="n">
        <f aca="false">-AQ51</f>
        <v>-0</v>
      </c>
      <c r="AR98" s="19" t="n">
        <f aca="false">-AR51</f>
        <v>-0</v>
      </c>
      <c r="AS98" s="19" t="n">
        <f aca="false">-AS51</f>
        <v>-0</v>
      </c>
      <c r="AT98" s="19" t="n">
        <f aca="false">-AT51</f>
        <v>-0</v>
      </c>
      <c r="AU98" s="19" t="n">
        <f aca="false">-AU51</f>
        <v>-0</v>
      </c>
      <c r="AV98" s="19" t="n">
        <f aca="false">-AV51</f>
        <v>-0</v>
      </c>
      <c r="AW98" s="19" t="n">
        <f aca="false">-AW51</f>
        <v>-0</v>
      </c>
      <c r="AX98" s="19" t="n">
        <f aca="false">-AX51</f>
        <v>-0</v>
      </c>
      <c r="AY98" s="19" t="n">
        <f aca="false">-AY51</f>
        <v>-0</v>
      </c>
      <c r="AZ98" s="19" t="n">
        <f aca="false">-AZ51</f>
        <v>-0</v>
      </c>
      <c r="BA98" s="19" t="n">
        <f aca="false">-BA51</f>
        <v>-0</v>
      </c>
      <c r="BB98" s="19" t="n">
        <f aca="false">-BB51</f>
        <v>-0</v>
      </c>
      <c r="BC98" s="19" t="n">
        <f aca="false">-BC51</f>
        <v>-0</v>
      </c>
      <c r="BD98" s="19" t="n">
        <f aca="false">-BD51</f>
        <v>-368954.1</v>
      </c>
      <c r="BE98" s="19" t="n">
        <f aca="false">-BE51</f>
        <v>-481346.1</v>
      </c>
      <c r="BF98" s="19" t="n">
        <f aca="false">-BF51</f>
        <v>-602324.1</v>
      </c>
      <c r="BG98" s="19" t="n">
        <f aca="false">-BG51</f>
        <v>-727064.1</v>
      </c>
      <c r="BH98" s="19" t="n">
        <f aca="false">-BH51</f>
        <v>-849572.1</v>
      </c>
      <c r="BI98" s="19" t="n">
        <f aca="false">-BI51</f>
        <v>-963044.1</v>
      </c>
      <c r="BJ98" s="19" t="n">
        <f aca="false">-BJ51</f>
        <v>-1060514.1</v>
      </c>
      <c r="BK98" s="19" t="n">
        <f aca="false">-BK51</f>
        <v>-1135520.1</v>
      </c>
      <c r="BL98" s="19" t="n">
        <f aca="false">-BL51</f>
        <v>-1182824.1</v>
      </c>
      <c r="BM98" s="19" t="n">
        <f aca="false">-BM51</f>
        <v>-1198988.1</v>
      </c>
      <c r="BN98" s="19" t="n">
        <f aca="false">-BN51</f>
        <v>-1182824.1</v>
      </c>
      <c r="BO98" s="19" t="n">
        <f aca="false">-BO51</f>
        <v>-1135520.1</v>
      </c>
      <c r="BP98" s="19" t="n">
        <f aca="false">-BP51</f>
        <v>-1060514.1</v>
      </c>
      <c r="BQ98" s="19" t="n">
        <f aca="false">-BQ51</f>
        <v>-963044.1</v>
      </c>
      <c r="BR98" s="19" t="n">
        <f aca="false">-BR51</f>
        <v>-849572.1</v>
      </c>
      <c r="BS98" s="19" t="n">
        <f aca="false">-BS51</f>
        <v>-727064.1</v>
      </c>
      <c r="BT98" s="19" t="n">
        <f aca="false">-BT51</f>
        <v>-602324.1</v>
      </c>
      <c r="BU98" s="19" t="n">
        <f aca="false">-BU51</f>
        <v>-481346.1</v>
      </c>
      <c r="BV98" s="19" t="n">
        <f aca="false">-BV51</f>
        <v>-260602.2</v>
      </c>
      <c r="BW98" s="19" t="n">
        <f aca="false">-BW51</f>
        <v>-0</v>
      </c>
      <c r="BX98" s="19" t="n">
        <f aca="false">-BX51</f>
        <v>-0</v>
      </c>
      <c r="BY98" s="19" t="n">
        <f aca="false">-BY51</f>
        <v>-0</v>
      </c>
      <c r="BZ98" s="19" t="n">
        <f aca="false">-BZ51</f>
        <v>-0</v>
      </c>
      <c r="CA98" s="19" t="n">
        <f aca="false">-CA51</f>
        <v>-0</v>
      </c>
      <c r="CB98" s="19" t="n">
        <f aca="false">-CB51</f>
        <v>-0</v>
      </c>
      <c r="CC98" s="19" t="n">
        <f aca="false">-CC51</f>
        <v>-0</v>
      </c>
      <c r="CD98" s="19" t="n">
        <f aca="false">-CD51</f>
        <v>-0</v>
      </c>
      <c r="CE98" s="19" t="n">
        <f aca="false">-CE51</f>
        <v>-0</v>
      </c>
      <c r="CF98" s="19" t="n">
        <f aca="false">-CF51</f>
        <v>-0</v>
      </c>
      <c r="CG98" s="19" t="n">
        <f aca="false">-CG51</f>
        <v>-0</v>
      </c>
      <c r="CH98" s="19" t="n">
        <f aca="false">-CH51</f>
        <v>-0</v>
      </c>
      <c r="CI98" s="19" t="n">
        <f aca="false">-CI51</f>
        <v>-0</v>
      </c>
      <c r="CJ98" s="19" t="n">
        <f aca="false">-CJ51</f>
        <v>-0</v>
      </c>
      <c r="CK98" s="19" t="n">
        <f aca="false">-CK51</f>
        <v>-0</v>
      </c>
      <c r="CL98" s="19" t="n">
        <f aca="false">-CL51</f>
        <v>-0</v>
      </c>
      <c r="CM98" s="19" t="n">
        <f aca="false">-CM51</f>
        <v>-0</v>
      </c>
      <c r="CN98" s="19" t="n">
        <f aca="false">-CN51</f>
        <v>-0</v>
      </c>
      <c r="CO98" s="19" t="n">
        <f aca="false">-CO51</f>
        <v>-0</v>
      </c>
      <c r="CP98" s="19" t="n">
        <f aca="false">-CP51</f>
        <v>-0</v>
      </c>
      <c r="CQ98" s="19" t="n">
        <f aca="false">-CQ51</f>
        <v>-0</v>
      </c>
      <c r="CR98" s="19" t="n">
        <f aca="false">-CR51</f>
        <v>-0</v>
      </c>
      <c r="CS98" s="19" t="n">
        <f aca="false">-CS51</f>
        <v>-0</v>
      </c>
      <c r="CT98" s="19" t="n">
        <f aca="false">-CT51</f>
        <v>-0</v>
      </c>
      <c r="CU98" s="19" t="n">
        <f aca="false">-CU51</f>
        <v>-0</v>
      </c>
      <c r="CV98" s="19" t="n">
        <f aca="false">-CV51</f>
        <v>-0</v>
      </c>
      <c r="CW98" s="19" t="n">
        <f aca="false">-CW51</f>
        <v>-0</v>
      </c>
      <c r="CX98" s="19" t="n">
        <f aca="false">-CX51</f>
        <v>-0</v>
      </c>
      <c r="CY98" s="19" t="n">
        <f aca="false">-CY51</f>
        <v>-0</v>
      </c>
      <c r="CZ98" s="19" t="n">
        <f aca="false">-CZ51</f>
        <v>-0</v>
      </c>
      <c r="DA98" s="19" t="n">
        <f aca="false">-DA51</f>
        <v>-0</v>
      </c>
      <c r="DB98" s="19" t="n">
        <f aca="false">-DB51</f>
        <v>-0</v>
      </c>
      <c r="DC98" s="19" t="n">
        <f aca="false">-DC51</f>
        <v>-0</v>
      </c>
      <c r="DD98" s="19" t="n">
        <f aca="false">-DD51</f>
        <v>-0</v>
      </c>
      <c r="DE98" s="19" t="n">
        <f aca="false">-DE51</f>
        <v>-0</v>
      </c>
    </row>
    <row r="99" customFormat="false" ht="15" hidden="true" customHeight="true" outlineLevel="1" collapsed="false">
      <c r="A99" s="28" t="s">
        <v>46</v>
      </c>
      <c r="B99" s="19" t="n">
        <v>0</v>
      </c>
      <c r="C99" s="19" t="n">
        <v>0</v>
      </c>
      <c r="D99" s="19" t="n">
        <v>0</v>
      </c>
      <c r="E99" s="19" t="n">
        <v>0</v>
      </c>
      <c r="F99" s="19" t="n">
        <f aca="false">-F52</f>
        <v>-0</v>
      </c>
      <c r="G99" s="19" t="n">
        <f aca="false">-G52</f>
        <v>-0</v>
      </c>
      <c r="H99" s="19" t="n">
        <f aca="false">-H52</f>
        <v>-0</v>
      </c>
      <c r="I99" s="19" t="n">
        <f aca="false">-I52</f>
        <v>-0</v>
      </c>
      <c r="J99" s="19" t="n">
        <f aca="false">-J52</f>
        <v>-0</v>
      </c>
      <c r="K99" s="19" t="n">
        <f aca="false">-K52</f>
        <v>-0</v>
      </c>
      <c r="L99" s="19" t="n">
        <f aca="false">-L52</f>
        <v>-0</v>
      </c>
      <c r="M99" s="19" t="n">
        <f aca="false">-M52</f>
        <v>-0</v>
      </c>
      <c r="N99" s="19" t="n">
        <f aca="false">-N52</f>
        <v>-0</v>
      </c>
      <c r="O99" s="19" t="n">
        <f aca="false">-O52</f>
        <v>-0</v>
      </c>
      <c r="P99" s="19" t="n">
        <f aca="false">-P52</f>
        <v>-0</v>
      </c>
      <c r="Q99" s="19" t="n">
        <f aca="false">-Q52</f>
        <v>-0</v>
      </c>
      <c r="R99" s="19" t="n">
        <f aca="false">-R52</f>
        <v>-0</v>
      </c>
      <c r="S99" s="19" t="n">
        <f aca="false">-S52</f>
        <v>-0</v>
      </c>
      <c r="T99" s="19" t="n">
        <f aca="false">-T52</f>
        <v>-0</v>
      </c>
      <c r="U99" s="19" t="n">
        <f aca="false">-U52</f>
        <v>-0</v>
      </c>
      <c r="V99" s="19" t="n">
        <f aca="false">-V52</f>
        <v>-0</v>
      </c>
      <c r="W99" s="19" t="n">
        <f aca="false">-W52</f>
        <v>-0</v>
      </c>
      <c r="X99" s="19" t="n">
        <f aca="false">-X52</f>
        <v>-0</v>
      </c>
      <c r="Y99" s="19" t="n">
        <f aca="false">-Y52</f>
        <v>-0</v>
      </c>
      <c r="Z99" s="19" t="n">
        <f aca="false">-Z52</f>
        <v>-0</v>
      </c>
      <c r="AA99" s="19" t="n">
        <f aca="false">-AA52</f>
        <v>-0</v>
      </c>
      <c r="AB99" s="19" t="n">
        <f aca="false">-AB52</f>
        <v>-0</v>
      </c>
      <c r="AC99" s="19" t="n">
        <f aca="false">-AC52</f>
        <v>-0</v>
      </c>
      <c r="AD99" s="19" t="n">
        <f aca="false">-AD52</f>
        <v>-0</v>
      </c>
      <c r="AE99" s="19" t="n">
        <f aca="false">-AE52</f>
        <v>-0</v>
      </c>
      <c r="AF99" s="19" t="n">
        <f aca="false">-AF52</f>
        <v>-0</v>
      </c>
      <c r="AG99" s="19" t="n">
        <f aca="false">-AG52</f>
        <v>-0</v>
      </c>
      <c r="AH99" s="19" t="n">
        <f aca="false">-AH52</f>
        <v>-0</v>
      </c>
      <c r="AI99" s="19" t="n">
        <f aca="false">-AI52</f>
        <v>-0</v>
      </c>
      <c r="AJ99" s="19" t="n">
        <f aca="false">-AJ52</f>
        <v>-0</v>
      </c>
      <c r="AK99" s="19" t="n">
        <f aca="false">-AK52</f>
        <v>-0</v>
      </c>
      <c r="AL99" s="19" t="n">
        <f aca="false">-AL52</f>
        <v>-0</v>
      </c>
      <c r="AM99" s="19" t="n">
        <f aca="false">-AM52</f>
        <v>-0</v>
      </c>
      <c r="AN99" s="19" t="n">
        <f aca="false">-AN52</f>
        <v>-0</v>
      </c>
      <c r="AO99" s="19" t="n">
        <f aca="false">-AO52</f>
        <v>-0</v>
      </c>
      <c r="AP99" s="19" t="n">
        <f aca="false">-AP52</f>
        <v>-0</v>
      </c>
      <c r="AQ99" s="19" t="n">
        <f aca="false">-AQ52</f>
        <v>-0</v>
      </c>
      <c r="AR99" s="19" t="n">
        <f aca="false">-AR52</f>
        <v>-0</v>
      </c>
      <c r="AS99" s="19" t="n">
        <f aca="false">-AS52</f>
        <v>-0</v>
      </c>
      <c r="AT99" s="19" t="n">
        <f aca="false">-AT52</f>
        <v>-0</v>
      </c>
      <c r="AU99" s="19" t="n">
        <f aca="false">-AU52</f>
        <v>-0</v>
      </c>
      <c r="AV99" s="19" t="n">
        <f aca="false">-AV52</f>
        <v>-0</v>
      </c>
      <c r="AW99" s="19" t="n">
        <f aca="false">-AW52</f>
        <v>-0</v>
      </c>
      <c r="AX99" s="19" t="n">
        <f aca="false">-AX52</f>
        <v>-0</v>
      </c>
      <c r="AY99" s="19" t="n">
        <f aca="false">-AY52</f>
        <v>-0</v>
      </c>
      <c r="AZ99" s="19" t="n">
        <f aca="false">-AZ52</f>
        <v>-0</v>
      </c>
      <c r="BA99" s="19" t="n">
        <f aca="false">-BA52</f>
        <v>-0</v>
      </c>
      <c r="BB99" s="19" t="n">
        <f aca="false">-BB52</f>
        <v>-0</v>
      </c>
      <c r="BC99" s="19" t="n">
        <f aca="false">-BC52</f>
        <v>-0</v>
      </c>
      <c r="BD99" s="19" t="n">
        <f aca="false">-BD52</f>
        <v>-0</v>
      </c>
      <c r="BE99" s="19" t="n">
        <f aca="false">-BE52</f>
        <v>-307461.75</v>
      </c>
      <c r="BF99" s="19" t="n">
        <f aca="false">-BF52</f>
        <v>-401121.75</v>
      </c>
      <c r="BG99" s="19" t="n">
        <f aca="false">-BG52</f>
        <v>-501936.75</v>
      </c>
      <c r="BH99" s="19" t="n">
        <f aca="false">-BH52</f>
        <v>-605886.75</v>
      </c>
      <c r="BI99" s="19" t="n">
        <f aca="false">-BI52</f>
        <v>-707976.75</v>
      </c>
      <c r="BJ99" s="19" t="n">
        <f aca="false">-BJ52</f>
        <v>-802536.75</v>
      </c>
      <c r="BK99" s="19" t="n">
        <f aca="false">-BK52</f>
        <v>-883761.75</v>
      </c>
      <c r="BL99" s="19" t="n">
        <f aca="false">-BL52</f>
        <v>-946266.75</v>
      </c>
      <c r="BM99" s="19" t="n">
        <f aca="false">-BM52</f>
        <v>-985686.75</v>
      </c>
      <c r="BN99" s="19" t="n">
        <f aca="false">-BN52</f>
        <v>-999156.75</v>
      </c>
      <c r="BO99" s="19" t="n">
        <f aca="false">-BO52</f>
        <v>-985686.75</v>
      </c>
      <c r="BP99" s="19" t="n">
        <f aca="false">-BP52</f>
        <v>-946266.75</v>
      </c>
      <c r="BQ99" s="19" t="n">
        <f aca="false">-BQ52</f>
        <v>-883761.75</v>
      </c>
      <c r="BR99" s="19" t="n">
        <f aca="false">-BR52</f>
        <v>-802536.75</v>
      </c>
      <c r="BS99" s="19" t="n">
        <f aca="false">-BS52</f>
        <v>-707976.75</v>
      </c>
      <c r="BT99" s="19" t="n">
        <f aca="false">-BT52</f>
        <v>-605886.75</v>
      </c>
      <c r="BU99" s="19" t="n">
        <f aca="false">-BU52</f>
        <v>-501936.75</v>
      </c>
      <c r="BV99" s="19" t="n">
        <f aca="false">-BV52</f>
        <v>-401121.75</v>
      </c>
      <c r="BW99" s="19" t="n">
        <f aca="false">-BW52</f>
        <v>-217168.5</v>
      </c>
      <c r="BX99" s="19" t="n">
        <f aca="false">-BX52</f>
        <v>-0</v>
      </c>
      <c r="BY99" s="19" t="n">
        <f aca="false">-BY52</f>
        <v>-0</v>
      </c>
      <c r="BZ99" s="19" t="n">
        <f aca="false">-BZ52</f>
        <v>-0</v>
      </c>
      <c r="CA99" s="19" t="n">
        <f aca="false">-CA52</f>
        <v>-0</v>
      </c>
      <c r="CB99" s="19" t="n">
        <f aca="false">-CB52</f>
        <v>-0</v>
      </c>
      <c r="CC99" s="19" t="n">
        <f aca="false">-CC52</f>
        <v>-0</v>
      </c>
      <c r="CD99" s="19" t="n">
        <f aca="false">-CD52</f>
        <v>-0</v>
      </c>
      <c r="CE99" s="19" t="n">
        <f aca="false">-CE52</f>
        <v>-0</v>
      </c>
      <c r="CF99" s="19" t="n">
        <f aca="false">-CF52</f>
        <v>-0</v>
      </c>
      <c r="CG99" s="19" t="n">
        <f aca="false">-CG52</f>
        <v>-0</v>
      </c>
      <c r="CH99" s="19" t="n">
        <f aca="false">-CH52</f>
        <v>-0</v>
      </c>
      <c r="CI99" s="19" t="n">
        <f aca="false">-CI52</f>
        <v>-0</v>
      </c>
      <c r="CJ99" s="19" t="n">
        <f aca="false">-CJ52</f>
        <v>-0</v>
      </c>
      <c r="CK99" s="19" t="n">
        <f aca="false">-CK52</f>
        <v>-0</v>
      </c>
      <c r="CL99" s="19" t="n">
        <f aca="false">-CL52</f>
        <v>-0</v>
      </c>
      <c r="CM99" s="19" t="n">
        <f aca="false">-CM52</f>
        <v>-0</v>
      </c>
      <c r="CN99" s="19" t="n">
        <f aca="false">-CN52</f>
        <v>-0</v>
      </c>
      <c r="CO99" s="19" t="n">
        <f aca="false">-CO52</f>
        <v>-0</v>
      </c>
      <c r="CP99" s="19" t="n">
        <f aca="false">-CP52</f>
        <v>-0</v>
      </c>
      <c r="CQ99" s="19" t="n">
        <f aca="false">-CQ52</f>
        <v>-0</v>
      </c>
      <c r="CR99" s="19" t="n">
        <f aca="false">-CR52</f>
        <v>-0</v>
      </c>
      <c r="CS99" s="19" t="n">
        <f aca="false">-CS52</f>
        <v>-0</v>
      </c>
      <c r="CT99" s="19" t="n">
        <f aca="false">-CT52</f>
        <v>-0</v>
      </c>
      <c r="CU99" s="19" t="n">
        <f aca="false">-CU52</f>
        <v>-0</v>
      </c>
      <c r="CV99" s="19" t="n">
        <f aca="false">-CV52</f>
        <v>-0</v>
      </c>
      <c r="CW99" s="19" t="n">
        <f aca="false">-CW52</f>
        <v>-0</v>
      </c>
      <c r="CX99" s="19" t="n">
        <f aca="false">-CX52</f>
        <v>-0</v>
      </c>
      <c r="CY99" s="19" t="n">
        <f aca="false">-CY52</f>
        <v>-0</v>
      </c>
      <c r="CZ99" s="19" t="n">
        <f aca="false">-CZ52</f>
        <v>-0</v>
      </c>
      <c r="DA99" s="19" t="n">
        <f aca="false">-DA52</f>
        <v>-0</v>
      </c>
      <c r="DB99" s="19" t="n">
        <f aca="false">-DB52</f>
        <v>-0</v>
      </c>
      <c r="DC99" s="19" t="n">
        <f aca="false">-DC52</f>
        <v>-0</v>
      </c>
      <c r="DD99" s="19" t="n">
        <f aca="false">-DD52</f>
        <v>-0</v>
      </c>
      <c r="DE99" s="19" t="n">
        <f aca="false">-DE52</f>
        <v>-0</v>
      </c>
    </row>
    <row r="100" customFormat="false" ht="15" hidden="true" customHeight="true" outlineLevel="1" collapsed="false">
      <c r="A100" s="28" t="s">
        <v>47</v>
      </c>
      <c r="B100" s="19" t="n">
        <v>0</v>
      </c>
      <c r="C100" s="19" t="n">
        <v>0</v>
      </c>
      <c r="D100" s="19" t="n">
        <v>0</v>
      </c>
      <c r="E100" s="19" t="n">
        <v>0</v>
      </c>
      <c r="F100" s="19" t="n">
        <f aca="false">-F53</f>
        <v>-0</v>
      </c>
      <c r="G100" s="19" t="n">
        <f aca="false">-G53</f>
        <v>-0</v>
      </c>
      <c r="H100" s="19" t="n">
        <f aca="false">-H53</f>
        <v>-0</v>
      </c>
      <c r="I100" s="19" t="n">
        <f aca="false">-I53</f>
        <v>-0</v>
      </c>
      <c r="J100" s="19" t="n">
        <f aca="false">-J53</f>
        <v>-0</v>
      </c>
      <c r="K100" s="19" t="n">
        <f aca="false">-K53</f>
        <v>-0</v>
      </c>
      <c r="L100" s="19" t="n">
        <f aca="false">-L53</f>
        <v>-0</v>
      </c>
      <c r="M100" s="19" t="n">
        <f aca="false">-M53</f>
        <v>-0</v>
      </c>
      <c r="N100" s="19" t="n">
        <f aca="false">-N53</f>
        <v>-0</v>
      </c>
      <c r="O100" s="19" t="n">
        <f aca="false">-O53</f>
        <v>-0</v>
      </c>
      <c r="P100" s="19" t="n">
        <f aca="false">-P53</f>
        <v>-0</v>
      </c>
      <c r="Q100" s="19" t="n">
        <f aca="false">-Q53</f>
        <v>-0</v>
      </c>
      <c r="R100" s="19" t="n">
        <f aca="false">-R53</f>
        <v>-0</v>
      </c>
      <c r="S100" s="19" t="n">
        <f aca="false">-S53</f>
        <v>-0</v>
      </c>
      <c r="T100" s="19" t="n">
        <f aca="false">-T53</f>
        <v>-0</v>
      </c>
      <c r="U100" s="19" t="n">
        <f aca="false">-U53</f>
        <v>-0</v>
      </c>
      <c r="V100" s="19" t="n">
        <f aca="false">-V53</f>
        <v>-0</v>
      </c>
      <c r="W100" s="19" t="n">
        <f aca="false">-W53</f>
        <v>-0</v>
      </c>
      <c r="X100" s="19" t="n">
        <f aca="false">-X53</f>
        <v>-0</v>
      </c>
      <c r="Y100" s="19" t="n">
        <f aca="false">-Y53</f>
        <v>-0</v>
      </c>
      <c r="Z100" s="19" t="n">
        <f aca="false">-Z53</f>
        <v>-0</v>
      </c>
      <c r="AA100" s="19" t="n">
        <f aca="false">-AA53</f>
        <v>-0</v>
      </c>
      <c r="AB100" s="19" t="n">
        <f aca="false">-AB53</f>
        <v>-0</v>
      </c>
      <c r="AC100" s="19" t="n">
        <f aca="false">-AC53</f>
        <v>-0</v>
      </c>
      <c r="AD100" s="19" t="n">
        <f aca="false">-AD53</f>
        <v>-0</v>
      </c>
      <c r="AE100" s="19" t="n">
        <f aca="false">-AE53</f>
        <v>-0</v>
      </c>
      <c r="AF100" s="19" t="n">
        <f aca="false">-AF53</f>
        <v>-0</v>
      </c>
      <c r="AG100" s="19" t="n">
        <f aca="false">-AG53</f>
        <v>-0</v>
      </c>
      <c r="AH100" s="19" t="n">
        <f aca="false">-AH53</f>
        <v>-0</v>
      </c>
      <c r="AI100" s="19" t="n">
        <f aca="false">-AI53</f>
        <v>-0</v>
      </c>
      <c r="AJ100" s="19" t="n">
        <f aca="false">-AJ53</f>
        <v>-0</v>
      </c>
      <c r="AK100" s="19" t="n">
        <f aca="false">-AK53</f>
        <v>-0</v>
      </c>
      <c r="AL100" s="19" t="n">
        <f aca="false">-AL53</f>
        <v>-0</v>
      </c>
      <c r="AM100" s="19" t="n">
        <f aca="false">-AM53</f>
        <v>-0</v>
      </c>
      <c r="AN100" s="19" t="n">
        <f aca="false">-AN53</f>
        <v>-0</v>
      </c>
      <c r="AO100" s="19" t="n">
        <f aca="false">-AO53</f>
        <v>-0</v>
      </c>
      <c r="AP100" s="19" t="n">
        <f aca="false">-AP53</f>
        <v>-0</v>
      </c>
      <c r="AQ100" s="19" t="n">
        <f aca="false">-AQ53</f>
        <v>-0</v>
      </c>
      <c r="AR100" s="19" t="n">
        <f aca="false">-AR53</f>
        <v>-0</v>
      </c>
      <c r="AS100" s="19" t="n">
        <f aca="false">-AS53</f>
        <v>-0</v>
      </c>
      <c r="AT100" s="19" t="n">
        <f aca="false">-AT53</f>
        <v>-0</v>
      </c>
      <c r="AU100" s="19" t="n">
        <f aca="false">-AU53</f>
        <v>-0</v>
      </c>
      <c r="AV100" s="19" t="n">
        <f aca="false">-AV53</f>
        <v>-0</v>
      </c>
      <c r="AW100" s="19" t="n">
        <f aca="false">-AW53</f>
        <v>-0</v>
      </c>
      <c r="AX100" s="19" t="n">
        <f aca="false">-AX53</f>
        <v>-0</v>
      </c>
      <c r="AY100" s="19" t="n">
        <f aca="false">-AY53</f>
        <v>-0</v>
      </c>
      <c r="AZ100" s="19" t="n">
        <f aca="false">-AZ53</f>
        <v>-0</v>
      </c>
      <c r="BA100" s="19" t="n">
        <f aca="false">-BA53</f>
        <v>-0</v>
      </c>
      <c r="BB100" s="19" t="n">
        <f aca="false">-BB53</f>
        <v>-0</v>
      </c>
      <c r="BC100" s="19" t="n">
        <f aca="false">-BC53</f>
        <v>-0</v>
      </c>
      <c r="BD100" s="19" t="n">
        <f aca="false">-BD53</f>
        <v>-0</v>
      </c>
      <c r="BE100" s="19" t="n">
        <f aca="false">-BE53</f>
        <v>-0</v>
      </c>
      <c r="BF100" s="19" t="n">
        <f aca="false">-BF53</f>
        <v>-307461.75</v>
      </c>
      <c r="BG100" s="19" t="n">
        <f aca="false">-BG53</f>
        <v>-401121.75</v>
      </c>
      <c r="BH100" s="19" t="n">
        <f aca="false">-BH53</f>
        <v>-501936.75</v>
      </c>
      <c r="BI100" s="19" t="n">
        <f aca="false">-BI53</f>
        <v>-605886.75</v>
      </c>
      <c r="BJ100" s="19" t="n">
        <f aca="false">-BJ53</f>
        <v>-707976.75</v>
      </c>
      <c r="BK100" s="19" t="n">
        <f aca="false">-BK53</f>
        <v>-802536.75</v>
      </c>
      <c r="BL100" s="19" t="n">
        <f aca="false">-BL53</f>
        <v>-883761.75</v>
      </c>
      <c r="BM100" s="19" t="n">
        <f aca="false">-BM53</f>
        <v>-946266.75</v>
      </c>
      <c r="BN100" s="19" t="n">
        <f aca="false">-BN53</f>
        <v>-985686.75</v>
      </c>
      <c r="BO100" s="19" t="n">
        <f aca="false">-BO53</f>
        <v>-999156.75</v>
      </c>
      <c r="BP100" s="19" t="n">
        <f aca="false">-BP53</f>
        <v>-985686.75</v>
      </c>
      <c r="BQ100" s="19" t="n">
        <f aca="false">-BQ53</f>
        <v>-946266.75</v>
      </c>
      <c r="BR100" s="19" t="n">
        <f aca="false">-BR53</f>
        <v>-883761.75</v>
      </c>
      <c r="BS100" s="19" t="n">
        <f aca="false">-BS53</f>
        <v>-802536.75</v>
      </c>
      <c r="BT100" s="19" t="n">
        <f aca="false">-BT53</f>
        <v>-707976.75</v>
      </c>
      <c r="BU100" s="19" t="n">
        <f aca="false">-BU53</f>
        <v>-605886.75</v>
      </c>
      <c r="BV100" s="19" t="n">
        <f aca="false">-BV53</f>
        <v>-501936.75</v>
      </c>
      <c r="BW100" s="19" t="n">
        <f aca="false">-BW53</f>
        <v>-401121.75</v>
      </c>
      <c r="BX100" s="19" t="n">
        <f aca="false">-BX53</f>
        <v>-217168.5</v>
      </c>
      <c r="BY100" s="19" t="n">
        <f aca="false">-BY53</f>
        <v>-0</v>
      </c>
      <c r="BZ100" s="19" t="n">
        <f aca="false">-BZ53</f>
        <v>-0</v>
      </c>
      <c r="CA100" s="19" t="n">
        <f aca="false">-CA53</f>
        <v>-0</v>
      </c>
      <c r="CB100" s="19" t="n">
        <f aca="false">-CB53</f>
        <v>-0</v>
      </c>
      <c r="CC100" s="19" t="n">
        <f aca="false">-CC53</f>
        <v>-0</v>
      </c>
      <c r="CD100" s="19" t="n">
        <f aca="false">-CD53</f>
        <v>-0</v>
      </c>
      <c r="CE100" s="19" t="n">
        <f aca="false">-CE53</f>
        <v>-0</v>
      </c>
      <c r="CF100" s="19" t="n">
        <f aca="false">-CF53</f>
        <v>-0</v>
      </c>
      <c r="CG100" s="19" t="n">
        <f aca="false">-CG53</f>
        <v>-0</v>
      </c>
      <c r="CH100" s="19" t="n">
        <f aca="false">-CH53</f>
        <v>-0</v>
      </c>
      <c r="CI100" s="19" t="n">
        <f aca="false">-CI53</f>
        <v>-0</v>
      </c>
      <c r="CJ100" s="19" t="n">
        <f aca="false">-CJ53</f>
        <v>-0</v>
      </c>
      <c r="CK100" s="19" t="n">
        <f aca="false">-CK53</f>
        <v>-0</v>
      </c>
      <c r="CL100" s="19" t="n">
        <f aca="false">-CL53</f>
        <v>-0</v>
      </c>
      <c r="CM100" s="19" t="n">
        <f aca="false">-CM53</f>
        <v>-0</v>
      </c>
      <c r="CN100" s="19" t="n">
        <f aca="false">-CN53</f>
        <v>-0</v>
      </c>
      <c r="CO100" s="19" t="n">
        <f aca="false">-CO53</f>
        <v>-0</v>
      </c>
      <c r="CP100" s="19" t="n">
        <f aca="false">-CP53</f>
        <v>-0</v>
      </c>
      <c r="CQ100" s="19" t="n">
        <f aca="false">-CQ53</f>
        <v>-0</v>
      </c>
      <c r="CR100" s="19" t="n">
        <f aca="false">-CR53</f>
        <v>-0</v>
      </c>
      <c r="CS100" s="19" t="n">
        <f aca="false">-CS53</f>
        <v>-0</v>
      </c>
      <c r="CT100" s="19" t="n">
        <f aca="false">-CT53</f>
        <v>-0</v>
      </c>
      <c r="CU100" s="19" t="n">
        <f aca="false">-CU53</f>
        <v>-0</v>
      </c>
      <c r="CV100" s="19" t="n">
        <f aca="false">-CV53</f>
        <v>-0</v>
      </c>
      <c r="CW100" s="19" t="n">
        <f aca="false">-CW53</f>
        <v>-0</v>
      </c>
      <c r="CX100" s="19" t="n">
        <f aca="false">-CX53</f>
        <v>-0</v>
      </c>
      <c r="CY100" s="19" t="n">
        <f aca="false">-CY53</f>
        <v>-0</v>
      </c>
      <c r="CZ100" s="19" t="n">
        <f aca="false">-CZ53</f>
        <v>-0</v>
      </c>
      <c r="DA100" s="19" t="n">
        <f aca="false">-DA53</f>
        <v>-0</v>
      </c>
      <c r="DB100" s="19" t="n">
        <f aca="false">-DB53</f>
        <v>-0</v>
      </c>
      <c r="DC100" s="19" t="n">
        <f aca="false">-DC53</f>
        <v>-0</v>
      </c>
      <c r="DD100" s="19" t="n">
        <f aca="false">-DD53</f>
        <v>-0</v>
      </c>
      <c r="DE100" s="19" t="n">
        <f aca="false">-DE53</f>
        <v>-0</v>
      </c>
    </row>
    <row r="101" customFormat="false" ht="15" hidden="true" customHeight="true" outlineLevel="1" collapsed="false">
      <c r="A101" s="28" t="s">
        <v>48</v>
      </c>
      <c r="B101" s="19" t="n">
        <v>0</v>
      </c>
      <c r="C101" s="19" t="n">
        <v>0</v>
      </c>
      <c r="D101" s="19" t="n">
        <v>0</v>
      </c>
      <c r="E101" s="19" t="n">
        <v>0</v>
      </c>
      <c r="F101" s="19" t="n">
        <f aca="false">-F54</f>
        <v>-0</v>
      </c>
      <c r="G101" s="19" t="n">
        <f aca="false">-G54</f>
        <v>-0</v>
      </c>
      <c r="H101" s="19" t="n">
        <f aca="false">-H54</f>
        <v>-0</v>
      </c>
      <c r="I101" s="19" t="n">
        <f aca="false">-I54</f>
        <v>-0</v>
      </c>
      <c r="J101" s="19" t="n">
        <f aca="false">-J54</f>
        <v>-0</v>
      </c>
      <c r="K101" s="19" t="n">
        <f aca="false">-K54</f>
        <v>-0</v>
      </c>
      <c r="L101" s="19" t="n">
        <f aca="false">-L54</f>
        <v>-0</v>
      </c>
      <c r="M101" s="19" t="n">
        <f aca="false">-M54</f>
        <v>-0</v>
      </c>
      <c r="N101" s="19" t="n">
        <f aca="false">-N54</f>
        <v>-0</v>
      </c>
      <c r="O101" s="19" t="n">
        <f aca="false">-O54</f>
        <v>-0</v>
      </c>
      <c r="P101" s="19" t="n">
        <f aca="false">-P54</f>
        <v>-0</v>
      </c>
      <c r="Q101" s="19" t="n">
        <f aca="false">-Q54</f>
        <v>-0</v>
      </c>
      <c r="R101" s="19" t="n">
        <f aca="false">-R54</f>
        <v>-0</v>
      </c>
      <c r="S101" s="19" t="n">
        <f aca="false">-S54</f>
        <v>-0</v>
      </c>
      <c r="T101" s="19" t="n">
        <f aca="false">-T54</f>
        <v>-0</v>
      </c>
      <c r="U101" s="19" t="n">
        <f aca="false">-U54</f>
        <v>-0</v>
      </c>
      <c r="V101" s="19" t="n">
        <f aca="false">-V54</f>
        <v>-0</v>
      </c>
      <c r="W101" s="19" t="n">
        <f aca="false">-W54</f>
        <v>-0</v>
      </c>
      <c r="X101" s="19" t="n">
        <f aca="false">-X54</f>
        <v>-0</v>
      </c>
      <c r="Y101" s="19" t="n">
        <f aca="false">-Y54</f>
        <v>-0</v>
      </c>
      <c r="Z101" s="19" t="n">
        <f aca="false">-Z54</f>
        <v>-0</v>
      </c>
      <c r="AA101" s="19" t="n">
        <f aca="false">-AA54</f>
        <v>-0</v>
      </c>
      <c r="AB101" s="19" t="n">
        <f aca="false">-AB54</f>
        <v>-0</v>
      </c>
      <c r="AC101" s="19" t="n">
        <f aca="false">-AC54</f>
        <v>-0</v>
      </c>
      <c r="AD101" s="19" t="n">
        <f aca="false">-AD54</f>
        <v>-0</v>
      </c>
      <c r="AE101" s="19" t="n">
        <f aca="false">-AE54</f>
        <v>-0</v>
      </c>
      <c r="AF101" s="19" t="n">
        <f aca="false">-AF54</f>
        <v>-0</v>
      </c>
      <c r="AG101" s="19" t="n">
        <f aca="false">-AG54</f>
        <v>-0</v>
      </c>
      <c r="AH101" s="19" t="n">
        <f aca="false">-AH54</f>
        <v>-0</v>
      </c>
      <c r="AI101" s="19" t="n">
        <f aca="false">-AI54</f>
        <v>-0</v>
      </c>
      <c r="AJ101" s="19" t="n">
        <f aca="false">-AJ54</f>
        <v>-0</v>
      </c>
      <c r="AK101" s="19" t="n">
        <f aca="false">-AK54</f>
        <v>-0</v>
      </c>
      <c r="AL101" s="19" t="n">
        <f aca="false">-AL54</f>
        <v>-0</v>
      </c>
      <c r="AM101" s="19" t="n">
        <f aca="false">-AM54</f>
        <v>-0</v>
      </c>
      <c r="AN101" s="19" t="n">
        <f aca="false">-AN54</f>
        <v>-0</v>
      </c>
      <c r="AO101" s="19" t="n">
        <f aca="false">-AO54</f>
        <v>-0</v>
      </c>
      <c r="AP101" s="19" t="n">
        <f aca="false">-AP54</f>
        <v>-0</v>
      </c>
      <c r="AQ101" s="19" t="n">
        <f aca="false">-AQ54</f>
        <v>-0</v>
      </c>
      <c r="AR101" s="19" t="n">
        <f aca="false">-AR54</f>
        <v>-0</v>
      </c>
      <c r="AS101" s="19" t="n">
        <f aca="false">-AS54</f>
        <v>-0</v>
      </c>
      <c r="AT101" s="19" t="n">
        <f aca="false">-AT54</f>
        <v>-0</v>
      </c>
      <c r="AU101" s="19" t="n">
        <f aca="false">-AU54</f>
        <v>-0</v>
      </c>
      <c r="AV101" s="19" t="n">
        <f aca="false">-AV54</f>
        <v>-0</v>
      </c>
      <c r="AW101" s="19" t="n">
        <f aca="false">-AW54</f>
        <v>-0</v>
      </c>
      <c r="AX101" s="19" t="n">
        <f aca="false">-AX54</f>
        <v>-0</v>
      </c>
      <c r="AY101" s="19" t="n">
        <f aca="false">-AY54</f>
        <v>-0</v>
      </c>
      <c r="AZ101" s="19" t="n">
        <f aca="false">-AZ54</f>
        <v>-0</v>
      </c>
      <c r="BA101" s="19" t="n">
        <f aca="false">-BA54</f>
        <v>-0</v>
      </c>
      <c r="BB101" s="19" t="n">
        <f aca="false">-BB54</f>
        <v>-0</v>
      </c>
      <c r="BC101" s="19" t="n">
        <f aca="false">-BC54</f>
        <v>-0</v>
      </c>
      <c r="BD101" s="19" t="n">
        <f aca="false">-BD54</f>
        <v>-0</v>
      </c>
      <c r="BE101" s="19" t="n">
        <f aca="false">-BE54</f>
        <v>-0</v>
      </c>
      <c r="BF101" s="19" t="n">
        <f aca="false">-BF54</f>
        <v>-0</v>
      </c>
      <c r="BG101" s="19" t="n">
        <f aca="false">-BG54</f>
        <v>-368954.1</v>
      </c>
      <c r="BH101" s="19" t="n">
        <f aca="false">-BH54</f>
        <v>-481346.1</v>
      </c>
      <c r="BI101" s="19" t="n">
        <f aca="false">-BI54</f>
        <v>-602324.1</v>
      </c>
      <c r="BJ101" s="19" t="n">
        <f aca="false">-BJ54</f>
        <v>-727064.1</v>
      </c>
      <c r="BK101" s="19" t="n">
        <f aca="false">-BK54</f>
        <v>-849572.1</v>
      </c>
      <c r="BL101" s="19" t="n">
        <f aca="false">-BL54</f>
        <v>-963044.1</v>
      </c>
      <c r="BM101" s="19" t="n">
        <f aca="false">-BM54</f>
        <v>-1060514.1</v>
      </c>
      <c r="BN101" s="19" t="n">
        <f aca="false">-BN54</f>
        <v>-1135520.1</v>
      </c>
      <c r="BO101" s="19" t="n">
        <f aca="false">-BO54</f>
        <v>-1182824.1</v>
      </c>
      <c r="BP101" s="19" t="n">
        <f aca="false">-BP54</f>
        <v>-1198988.1</v>
      </c>
      <c r="BQ101" s="19" t="n">
        <f aca="false">-BQ54</f>
        <v>-1182824.1</v>
      </c>
      <c r="BR101" s="19" t="n">
        <f aca="false">-BR54</f>
        <v>-1135520.1</v>
      </c>
      <c r="BS101" s="19" t="n">
        <f aca="false">-BS54</f>
        <v>-1060514.1</v>
      </c>
      <c r="BT101" s="19" t="n">
        <f aca="false">-BT54</f>
        <v>-963044.1</v>
      </c>
      <c r="BU101" s="19" t="n">
        <f aca="false">-BU54</f>
        <v>-849572.1</v>
      </c>
      <c r="BV101" s="19" t="n">
        <f aca="false">-BV54</f>
        <v>-727064.1</v>
      </c>
      <c r="BW101" s="19" t="n">
        <f aca="false">-BW54</f>
        <v>-602324.1</v>
      </c>
      <c r="BX101" s="19" t="n">
        <f aca="false">-BX54</f>
        <v>-481346.1</v>
      </c>
      <c r="BY101" s="19" t="n">
        <f aca="false">-BY54</f>
        <v>-260602.2</v>
      </c>
      <c r="BZ101" s="19" t="n">
        <f aca="false">-BZ54</f>
        <v>-0</v>
      </c>
      <c r="CA101" s="19" t="n">
        <f aca="false">-CA54</f>
        <v>-0</v>
      </c>
      <c r="CB101" s="19" t="n">
        <f aca="false">-CB54</f>
        <v>-0</v>
      </c>
      <c r="CC101" s="19" t="n">
        <f aca="false">-CC54</f>
        <v>-0</v>
      </c>
      <c r="CD101" s="19" t="n">
        <f aca="false">-CD54</f>
        <v>-0</v>
      </c>
      <c r="CE101" s="19" t="n">
        <f aca="false">-CE54</f>
        <v>-0</v>
      </c>
      <c r="CF101" s="19" t="n">
        <f aca="false">-CF54</f>
        <v>-0</v>
      </c>
      <c r="CG101" s="19" t="n">
        <f aca="false">-CG54</f>
        <v>-0</v>
      </c>
      <c r="CH101" s="19" t="n">
        <f aca="false">-CH54</f>
        <v>-0</v>
      </c>
      <c r="CI101" s="19" t="n">
        <f aca="false">-CI54</f>
        <v>-0</v>
      </c>
      <c r="CJ101" s="19" t="n">
        <f aca="false">-CJ54</f>
        <v>-0</v>
      </c>
      <c r="CK101" s="19" t="n">
        <f aca="false">-CK54</f>
        <v>-0</v>
      </c>
      <c r="CL101" s="19" t="n">
        <f aca="false">-CL54</f>
        <v>-0</v>
      </c>
      <c r="CM101" s="19" t="n">
        <f aca="false">-CM54</f>
        <v>-0</v>
      </c>
      <c r="CN101" s="19" t="n">
        <f aca="false">-CN54</f>
        <v>-0</v>
      </c>
      <c r="CO101" s="19" t="n">
        <f aca="false">-CO54</f>
        <v>-0</v>
      </c>
      <c r="CP101" s="19" t="n">
        <f aca="false">-CP54</f>
        <v>-0</v>
      </c>
      <c r="CQ101" s="19" t="n">
        <f aca="false">-CQ54</f>
        <v>-0</v>
      </c>
      <c r="CR101" s="19" t="n">
        <f aca="false">-CR54</f>
        <v>-0</v>
      </c>
      <c r="CS101" s="19" t="n">
        <f aca="false">-CS54</f>
        <v>-0</v>
      </c>
      <c r="CT101" s="19" t="n">
        <f aca="false">-CT54</f>
        <v>-0</v>
      </c>
      <c r="CU101" s="19" t="n">
        <f aca="false">-CU54</f>
        <v>-0</v>
      </c>
      <c r="CV101" s="19" t="n">
        <f aca="false">-CV54</f>
        <v>-0</v>
      </c>
      <c r="CW101" s="19" t="n">
        <f aca="false">-CW54</f>
        <v>-0</v>
      </c>
      <c r="CX101" s="19" t="n">
        <f aca="false">-CX54</f>
        <v>-0</v>
      </c>
      <c r="CY101" s="19" t="n">
        <f aca="false">-CY54</f>
        <v>-0</v>
      </c>
      <c r="CZ101" s="19" t="n">
        <f aca="false">-CZ54</f>
        <v>-0</v>
      </c>
      <c r="DA101" s="19" t="n">
        <f aca="false">-DA54</f>
        <v>-0</v>
      </c>
      <c r="DB101" s="19" t="n">
        <f aca="false">-DB54</f>
        <v>-0</v>
      </c>
      <c r="DC101" s="19" t="n">
        <f aca="false">-DC54</f>
        <v>-0</v>
      </c>
      <c r="DD101" s="19" t="n">
        <f aca="false">-DD54</f>
        <v>-0</v>
      </c>
      <c r="DE101" s="19" t="n">
        <f aca="false">-DE54</f>
        <v>-0</v>
      </c>
    </row>
    <row r="102" customFormat="false" ht="15" hidden="true" customHeight="true" outlineLevel="1" collapsed="false">
      <c r="A102" s="28" t="s">
        <v>49</v>
      </c>
      <c r="B102" s="19" t="n">
        <v>0</v>
      </c>
      <c r="C102" s="19" t="n">
        <v>0</v>
      </c>
      <c r="D102" s="19" t="n">
        <v>0</v>
      </c>
      <c r="E102" s="19" t="n">
        <v>0</v>
      </c>
      <c r="F102" s="19" t="n">
        <f aca="false">-F55</f>
        <v>-0</v>
      </c>
      <c r="G102" s="19" t="n">
        <f aca="false">-G55</f>
        <v>-0</v>
      </c>
      <c r="H102" s="19" t="n">
        <f aca="false">-H55</f>
        <v>-0</v>
      </c>
      <c r="I102" s="19" t="n">
        <f aca="false">-I55</f>
        <v>-0</v>
      </c>
      <c r="J102" s="19" t="n">
        <f aca="false">-J55</f>
        <v>-0</v>
      </c>
      <c r="K102" s="19" t="n">
        <f aca="false">-K55</f>
        <v>-0</v>
      </c>
      <c r="L102" s="19" t="n">
        <f aca="false">-L55</f>
        <v>-0</v>
      </c>
      <c r="M102" s="19" t="n">
        <f aca="false">-M55</f>
        <v>-0</v>
      </c>
      <c r="N102" s="19" t="n">
        <f aca="false">-N55</f>
        <v>-0</v>
      </c>
      <c r="O102" s="19" t="n">
        <f aca="false">-O55</f>
        <v>-0</v>
      </c>
      <c r="P102" s="19" t="n">
        <f aca="false">-P55</f>
        <v>-0</v>
      </c>
      <c r="Q102" s="19" t="n">
        <f aca="false">-Q55</f>
        <v>-0</v>
      </c>
      <c r="R102" s="19" t="n">
        <f aca="false">-R55</f>
        <v>-0</v>
      </c>
      <c r="S102" s="19" t="n">
        <f aca="false">-S55</f>
        <v>-0</v>
      </c>
      <c r="T102" s="19" t="n">
        <f aca="false">-T55</f>
        <v>-0</v>
      </c>
      <c r="U102" s="19" t="n">
        <f aca="false">-U55</f>
        <v>-0</v>
      </c>
      <c r="V102" s="19" t="n">
        <f aca="false">-V55</f>
        <v>-0</v>
      </c>
      <c r="W102" s="19" t="n">
        <f aca="false">-W55</f>
        <v>-0</v>
      </c>
      <c r="X102" s="19" t="n">
        <f aca="false">-X55</f>
        <v>-0</v>
      </c>
      <c r="Y102" s="19" t="n">
        <f aca="false">-Y55</f>
        <v>-0</v>
      </c>
      <c r="Z102" s="19" t="n">
        <f aca="false">-Z55</f>
        <v>-0</v>
      </c>
      <c r="AA102" s="19" t="n">
        <f aca="false">-AA55</f>
        <v>-0</v>
      </c>
      <c r="AB102" s="19" t="n">
        <f aca="false">-AB55</f>
        <v>-0</v>
      </c>
      <c r="AC102" s="19" t="n">
        <f aca="false">-AC55</f>
        <v>-0</v>
      </c>
      <c r="AD102" s="19" t="n">
        <f aca="false">-AD55</f>
        <v>-0</v>
      </c>
      <c r="AE102" s="19" t="n">
        <f aca="false">-AE55</f>
        <v>-0</v>
      </c>
      <c r="AF102" s="19" t="n">
        <f aca="false">-AF55</f>
        <v>-0</v>
      </c>
      <c r="AG102" s="19" t="n">
        <f aca="false">-AG55</f>
        <v>-0</v>
      </c>
      <c r="AH102" s="19" t="n">
        <f aca="false">-AH55</f>
        <v>-0</v>
      </c>
      <c r="AI102" s="19" t="n">
        <f aca="false">-AI55</f>
        <v>-0</v>
      </c>
      <c r="AJ102" s="19" t="n">
        <f aca="false">-AJ55</f>
        <v>-0</v>
      </c>
      <c r="AK102" s="19" t="n">
        <f aca="false">-AK55</f>
        <v>-0</v>
      </c>
      <c r="AL102" s="19" t="n">
        <f aca="false">-AL55</f>
        <v>-0</v>
      </c>
      <c r="AM102" s="19" t="n">
        <f aca="false">-AM55</f>
        <v>-0</v>
      </c>
      <c r="AN102" s="19" t="n">
        <f aca="false">-AN55</f>
        <v>-0</v>
      </c>
      <c r="AO102" s="19" t="n">
        <f aca="false">-AO55</f>
        <v>-0</v>
      </c>
      <c r="AP102" s="19" t="n">
        <f aca="false">-AP55</f>
        <v>-0</v>
      </c>
      <c r="AQ102" s="19" t="n">
        <f aca="false">-AQ55</f>
        <v>-0</v>
      </c>
      <c r="AR102" s="19" t="n">
        <f aca="false">-AR55</f>
        <v>-0</v>
      </c>
      <c r="AS102" s="19" t="n">
        <f aca="false">-AS55</f>
        <v>-0</v>
      </c>
      <c r="AT102" s="19" t="n">
        <f aca="false">-AT55</f>
        <v>-0</v>
      </c>
      <c r="AU102" s="19" t="n">
        <f aca="false">-AU55</f>
        <v>-0</v>
      </c>
      <c r="AV102" s="19" t="n">
        <f aca="false">-AV55</f>
        <v>-0</v>
      </c>
      <c r="AW102" s="19" t="n">
        <f aca="false">-AW55</f>
        <v>-0</v>
      </c>
      <c r="AX102" s="19" t="n">
        <f aca="false">-AX55</f>
        <v>-0</v>
      </c>
      <c r="AY102" s="19" t="n">
        <f aca="false">-AY55</f>
        <v>-0</v>
      </c>
      <c r="AZ102" s="19" t="n">
        <f aca="false">-AZ55</f>
        <v>-0</v>
      </c>
      <c r="BA102" s="19" t="n">
        <f aca="false">-BA55</f>
        <v>-0</v>
      </c>
      <c r="BB102" s="19" t="n">
        <f aca="false">-BB55</f>
        <v>-0</v>
      </c>
      <c r="BC102" s="19" t="n">
        <f aca="false">-BC55</f>
        <v>-0</v>
      </c>
      <c r="BD102" s="19" t="n">
        <f aca="false">-BD55</f>
        <v>-0</v>
      </c>
      <c r="BE102" s="19" t="n">
        <f aca="false">-BE55</f>
        <v>-0</v>
      </c>
      <c r="BF102" s="19" t="n">
        <f aca="false">-BF55</f>
        <v>-0</v>
      </c>
      <c r="BG102" s="19" t="n">
        <f aca="false">-BG55</f>
        <v>-0</v>
      </c>
      <c r="BH102" s="19" t="n">
        <f aca="false">-BH55</f>
        <v>-307461.75</v>
      </c>
      <c r="BI102" s="19" t="n">
        <f aca="false">-BI55</f>
        <v>-401121.75</v>
      </c>
      <c r="BJ102" s="19" t="n">
        <f aca="false">-BJ55</f>
        <v>-501936.75</v>
      </c>
      <c r="BK102" s="19" t="n">
        <f aca="false">-BK55</f>
        <v>-605886.75</v>
      </c>
      <c r="BL102" s="19" t="n">
        <f aca="false">-BL55</f>
        <v>-707976.75</v>
      </c>
      <c r="BM102" s="19" t="n">
        <f aca="false">-BM55</f>
        <v>-802536.75</v>
      </c>
      <c r="BN102" s="19" t="n">
        <f aca="false">-BN55</f>
        <v>-883761.75</v>
      </c>
      <c r="BO102" s="19" t="n">
        <f aca="false">-BO55</f>
        <v>-946266.75</v>
      </c>
      <c r="BP102" s="19" t="n">
        <f aca="false">-BP55</f>
        <v>-985686.75</v>
      </c>
      <c r="BQ102" s="19" t="n">
        <f aca="false">-BQ55</f>
        <v>-999156.75</v>
      </c>
      <c r="BR102" s="19" t="n">
        <f aca="false">-BR55</f>
        <v>-985686.75</v>
      </c>
      <c r="BS102" s="19" t="n">
        <f aca="false">-BS55</f>
        <v>-946266.75</v>
      </c>
      <c r="BT102" s="19" t="n">
        <f aca="false">-BT55</f>
        <v>-883761.75</v>
      </c>
      <c r="BU102" s="19" t="n">
        <f aca="false">-BU55</f>
        <v>-802536.75</v>
      </c>
      <c r="BV102" s="19" t="n">
        <f aca="false">-BV55</f>
        <v>-707976.75</v>
      </c>
      <c r="BW102" s="19" t="n">
        <f aca="false">-BW55</f>
        <v>-605886.75</v>
      </c>
      <c r="BX102" s="19" t="n">
        <f aca="false">-BX55</f>
        <v>-501936.75</v>
      </c>
      <c r="BY102" s="19" t="n">
        <f aca="false">-BY55</f>
        <v>-401121.75</v>
      </c>
      <c r="BZ102" s="19" t="n">
        <f aca="false">-BZ55</f>
        <v>-217168.5</v>
      </c>
      <c r="CA102" s="19" t="n">
        <f aca="false">-CA55</f>
        <v>-0</v>
      </c>
      <c r="CB102" s="19" t="n">
        <f aca="false">-CB55</f>
        <v>-0</v>
      </c>
      <c r="CC102" s="19" t="n">
        <f aca="false">-CC55</f>
        <v>-0</v>
      </c>
      <c r="CD102" s="19" t="n">
        <f aca="false">-CD55</f>
        <v>-0</v>
      </c>
      <c r="CE102" s="19" t="n">
        <f aca="false">-CE55</f>
        <v>-0</v>
      </c>
      <c r="CF102" s="19" t="n">
        <f aca="false">-CF55</f>
        <v>-0</v>
      </c>
      <c r="CG102" s="19" t="n">
        <f aca="false">-CG55</f>
        <v>-0</v>
      </c>
      <c r="CH102" s="19" t="n">
        <f aca="false">-CH55</f>
        <v>-0</v>
      </c>
      <c r="CI102" s="19" t="n">
        <f aca="false">-CI55</f>
        <v>-0</v>
      </c>
      <c r="CJ102" s="19" t="n">
        <f aca="false">-CJ55</f>
        <v>-0</v>
      </c>
      <c r="CK102" s="19" t="n">
        <f aca="false">-CK55</f>
        <v>-0</v>
      </c>
      <c r="CL102" s="19" t="n">
        <f aca="false">-CL55</f>
        <v>-0</v>
      </c>
      <c r="CM102" s="19" t="n">
        <f aca="false">-CM55</f>
        <v>-0</v>
      </c>
      <c r="CN102" s="19" t="n">
        <f aca="false">-CN55</f>
        <v>-0</v>
      </c>
      <c r="CO102" s="19" t="n">
        <f aca="false">-CO55</f>
        <v>-0</v>
      </c>
      <c r="CP102" s="19" t="n">
        <f aca="false">-CP55</f>
        <v>-0</v>
      </c>
      <c r="CQ102" s="19" t="n">
        <f aca="false">-CQ55</f>
        <v>-0</v>
      </c>
      <c r="CR102" s="19" t="n">
        <f aca="false">-CR55</f>
        <v>-0</v>
      </c>
      <c r="CS102" s="19" t="n">
        <f aca="false">-CS55</f>
        <v>-0</v>
      </c>
      <c r="CT102" s="19" t="n">
        <f aca="false">-CT55</f>
        <v>-0</v>
      </c>
      <c r="CU102" s="19" t="n">
        <f aca="false">-CU55</f>
        <v>-0</v>
      </c>
      <c r="CV102" s="19" t="n">
        <f aca="false">-CV55</f>
        <v>-0</v>
      </c>
      <c r="CW102" s="19" t="n">
        <f aca="false">-CW55</f>
        <v>-0</v>
      </c>
      <c r="CX102" s="19" t="n">
        <f aca="false">-CX55</f>
        <v>-0</v>
      </c>
      <c r="CY102" s="19" t="n">
        <f aca="false">-CY55</f>
        <v>-0</v>
      </c>
      <c r="CZ102" s="19" t="n">
        <f aca="false">-CZ55</f>
        <v>-0</v>
      </c>
      <c r="DA102" s="19" t="n">
        <f aca="false">-DA55</f>
        <v>-0</v>
      </c>
      <c r="DB102" s="19" t="n">
        <f aca="false">-DB55</f>
        <v>-0</v>
      </c>
      <c r="DC102" s="19" t="n">
        <f aca="false">-DC55</f>
        <v>-0</v>
      </c>
      <c r="DD102" s="19" t="n">
        <f aca="false">-DD55</f>
        <v>-0</v>
      </c>
      <c r="DE102" s="19" t="n">
        <f aca="false">-DE55</f>
        <v>-0</v>
      </c>
    </row>
    <row r="103" customFormat="false" ht="15" hidden="true" customHeight="true" outlineLevel="1" collapsed="false">
      <c r="A103" s="28" t="s">
        <v>50</v>
      </c>
      <c r="B103" s="19" t="n">
        <v>-1966.5</v>
      </c>
      <c r="C103" s="19" t="n">
        <v>0</v>
      </c>
      <c r="D103" s="19" t="n">
        <v>0</v>
      </c>
      <c r="E103" s="19" t="n">
        <v>-260.53</v>
      </c>
      <c r="F103" s="19" t="n">
        <v>-200</v>
      </c>
      <c r="G103" s="19" t="n">
        <v>0</v>
      </c>
      <c r="H103" s="19" t="n">
        <v>-51.14</v>
      </c>
      <c r="I103" s="19" t="n">
        <v>0</v>
      </c>
      <c r="J103" s="19" t="n">
        <v>0</v>
      </c>
      <c r="K103" s="19" t="n">
        <v>0</v>
      </c>
      <c r="L103" s="19" t="n">
        <v>0</v>
      </c>
      <c r="M103" s="19" t="n">
        <v>0</v>
      </c>
      <c r="N103" s="19" t="n">
        <v>0</v>
      </c>
      <c r="O103" s="19" t="n">
        <v>0</v>
      </c>
      <c r="P103" s="19" t="n">
        <v>0</v>
      </c>
      <c r="Q103" s="19" t="n">
        <v>0</v>
      </c>
      <c r="R103" s="19" t="n">
        <v>0</v>
      </c>
      <c r="S103" s="19" t="n">
        <v>0</v>
      </c>
      <c r="T103" s="19" t="n">
        <v>0</v>
      </c>
      <c r="U103" s="19" t="n">
        <v>0</v>
      </c>
      <c r="V103" s="19" t="n">
        <v>0</v>
      </c>
      <c r="W103" s="19" t="n">
        <v>0</v>
      </c>
      <c r="X103" s="19" t="n">
        <v>0</v>
      </c>
      <c r="Y103" s="19" t="n">
        <v>0</v>
      </c>
      <c r="Z103" s="19" t="n">
        <v>0</v>
      </c>
      <c r="AA103" s="19" t="n">
        <v>0</v>
      </c>
      <c r="AB103" s="19" t="n">
        <v>0</v>
      </c>
      <c r="AC103" s="19" t="n">
        <v>0</v>
      </c>
      <c r="AD103" s="19" t="n">
        <v>0</v>
      </c>
      <c r="AE103" s="19" t="n">
        <v>0</v>
      </c>
      <c r="AF103" s="19" t="n">
        <v>0</v>
      </c>
      <c r="AG103" s="19" t="n">
        <v>0</v>
      </c>
      <c r="AH103" s="19" t="n">
        <v>0</v>
      </c>
      <c r="AI103" s="19" t="n">
        <v>0</v>
      </c>
      <c r="AJ103" s="19" t="n">
        <v>0</v>
      </c>
      <c r="AK103" s="19" t="n">
        <v>0</v>
      </c>
      <c r="AL103" s="19" t="n">
        <v>0</v>
      </c>
      <c r="AM103" s="19" t="n">
        <v>0</v>
      </c>
      <c r="AN103" s="19" t="n">
        <v>0</v>
      </c>
      <c r="AO103" s="19" t="n">
        <v>0</v>
      </c>
      <c r="AP103" s="19" t="n">
        <v>0</v>
      </c>
      <c r="AQ103" s="19" t="n">
        <v>0</v>
      </c>
      <c r="AR103" s="19" t="n">
        <v>0</v>
      </c>
      <c r="AS103" s="19" t="n">
        <v>0</v>
      </c>
      <c r="AT103" s="19" t="n">
        <v>0</v>
      </c>
      <c r="AU103" s="19" t="n">
        <v>0</v>
      </c>
      <c r="AV103" s="19" t="n">
        <v>0</v>
      </c>
      <c r="AW103" s="19" t="n">
        <v>0</v>
      </c>
      <c r="AX103" s="19" t="n">
        <v>0</v>
      </c>
      <c r="AY103" s="19" t="n">
        <v>0</v>
      </c>
      <c r="AZ103" s="19" t="n">
        <v>0</v>
      </c>
      <c r="BA103" s="19" t="n">
        <v>0</v>
      </c>
      <c r="BB103" s="19" t="n">
        <v>0</v>
      </c>
      <c r="BC103" s="19" t="n">
        <v>0</v>
      </c>
      <c r="BD103" s="19" t="n">
        <v>0</v>
      </c>
      <c r="BE103" s="19" t="n">
        <v>0</v>
      </c>
      <c r="BF103" s="19" t="n">
        <v>0</v>
      </c>
      <c r="BG103" s="19" t="n">
        <v>0</v>
      </c>
      <c r="BH103" s="19" t="n">
        <v>0</v>
      </c>
      <c r="BI103" s="19" t="n">
        <v>0</v>
      </c>
      <c r="BJ103" s="19" t="n">
        <v>0</v>
      </c>
      <c r="BK103" s="19" t="n">
        <v>0</v>
      </c>
      <c r="BL103" s="19" t="n">
        <v>0</v>
      </c>
      <c r="BM103" s="19" t="n">
        <v>0</v>
      </c>
      <c r="BN103" s="19" t="n">
        <v>0</v>
      </c>
      <c r="BO103" s="19" t="n">
        <v>0</v>
      </c>
      <c r="BP103" s="19" t="n">
        <v>0</v>
      </c>
      <c r="BQ103" s="19" t="n">
        <v>0</v>
      </c>
      <c r="BR103" s="19" t="n">
        <v>0</v>
      </c>
      <c r="BS103" s="19" t="n">
        <v>0</v>
      </c>
      <c r="BT103" s="19" t="n">
        <v>0</v>
      </c>
      <c r="BU103" s="19" t="n">
        <v>0</v>
      </c>
      <c r="BV103" s="19" t="n">
        <v>0</v>
      </c>
      <c r="BW103" s="19" t="n">
        <v>0</v>
      </c>
      <c r="BX103" s="19" t="n">
        <v>0</v>
      </c>
      <c r="BY103" s="19" t="n">
        <v>0</v>
      </c>
      <c r="BZ103" s="19" t="n">
        <v>0</v>
      </c>
      <c r="CA103" s="19" t="n">
        <v>0</v>
      </c>
      <c r="CB103" s="19" t="n">
        <v>0</v>
      </c>
      <c r="CC103" s="19" t="n">
        <v>0</v>
      </c>
      <c r="CD103" s="19" t="n">
        <v>0</v>
      </c>
      <c r="CE103" s="19" t="n">
        <v>0</v>
      </c>
      <c r="CF103" s="19" t="n">
        <v>0</v>
      </c>
      <c r="CG103" s="19" t="n">
        <v>0</v>
      </c>
      <c r="CH103" s="19" t="n">
        <v>0</v>
      </c>
      <c r="CI103" s="19" t="n">
        <v>0</v>
      </c>
      <c r="CJ103" s="19" t="n">
        <v>0</v>
      </c>
      <c r="CK103" s="19" t="n">
        <v>0</v>
      </c>
      <c r="CL103" s="19" t="n">
        <v>0</v>
      </c>
      <c r="CM103" s="19" t="n">
        <v>0</v>
      </c>
      <c r="CN103" s="19" t="n">
        <v>0</v>
      </c>
      <c r="CO103" s="19" t="n">
        <v>0</v>
      </c>
      <c r="CP103" s="19" t="n">
        <v>0</v>
      </c>
      <c r="CQ103" s="19" t="n">
        <v>0</v>
      </c>
      <c r="CR103" s="19" t="n">
        <v>0</v>
      </c>
      <c r="CS103" s="19" t="n">
        <v>0</v>
      </c>
      <c r="CT103" s="19" t="n">
        <v>0</v>
      </c>
      <c r="CU103" s="19" t="n">
        <v>0</v>
      </c>
      <c r="CV103" s="19" t="n">
        <v>0</v>
      </c>
      <c r="CW103" s="19" t="n">
        <v>0</v>
      </c>
      <c r="CX103" s="19" t="n">
        <v>0</v>
      </c>
      <c r="CY103" s="19" t="n">
        <v>0</v>
      </c>
      <c r="CZ103" s="19" t="n">
        <v>0</v>
      </c>
      <c r="DA103" s="19" t="n">
        <v>0</v>
      </c>
      <c r="DB103" s="19" t="n">
        <v>0</v>
      </c>
      <c r="DC103" s="19" t="n">
        <v>0</v>
      </c>
      <c r="DD103" s="19" t="n">
        <v>0</v>
      </c>
      <c r="DE103" s="19" t="n">
        <v>0</v>
      </c>
    </row>
    <row r="104" customFormat="false" ht="15" hidden="false" customHeight="true" outlineLevel="0" collapsed="true">
      <c r="A104" s="29" t="s">
        <v>54</v>
      </c>
      <c r="B104" s="30" t="n">
        <f aca="false">SUM(B60:B103)</f>
        <v>-1235033.93</v>
      </c>
      <c r="C104" s="30" t="n">
        <f aca="false">SUM(C60:C103)</f>
        <v>-3073522.36</v>
      </c>
      <c r="D104" s="30" t="n">
        <f aca="false">SUM(D60:D103)</f>
        <v>-2078031.64</v>
      </c>
      <c r="E104" s="30" t="n">
        <f aca="false">SUM(E60:E103)</f>
        <v>-3244999.65</v>
      </c>
      <c r="F104" s="30" t="n">
        <f aca="false">SUM(F60:F103)</f>
        <v>-3950524.93</v>
      </c>
      <c r="G104" s="30" t="n">
        <f aca="false">SUM(G60:G103)</f>
        <v>-5610911.85</v>
      </c>
      <c r="H104" s="30" t="n">
        <f aca="false">SUM(H60:H103)</f>
        <v>-5258946.14</v>
      </c>
      <c r="I104" s="30" t="n">
        <f aca="false">SUM(I60:I103)</f>
        <v>-5503997.59</v>
      </c>
      <c r="J104" s="30" t="n">
        <f aca="false">SUM(J60:J103)</f>
        <v>-4914298.55958749</v>
      </c>
      <c r="K104" s="30" t="n">
        <f aca="false">SUM(K60:K103)</f>
        <v>-5280896.548759</v>
      </c>
      <c r="L104" s="30" t="n">
        <f aca="false">SUM(L60:L103)</f>
        <v>-4610782.98223148</v>
      </c>
      <c r="M104" s="30" t="n">
        <f aca="false">SUM(M60:M103)</f>
        <v>-4570918.97984795</v>
      </c>
      <c r="N104" s="30" t="n">
        <f aca="false">SUM(N60:N103)</f>
        <v>-5568774.00488249</v>
      </c>
      <c r="O104" s="30" t="n">
        <f aca="false">SUM(O60:O103)</f>
        <v>-5673812.27676773</v>
      </c>
      <c r="P104" s="30" t="n">
        <f aca="false">SUM(P60:P103)</f>
        <v>-6377224.18179984</v>
      </c>
      <c r="Q104" s="30" t="n">
        <f aca="false">SUM(Q60:Q103)</f>
        <v>-6931280.91127187</v>
      </c>
      <c r="R104" s="30" t="n">
        <f aca="false">SUM(R60:R103)</f>
        <v>-7376169.84552692</v>
      </c>
      <c r="S104" s="30" t="n">
        <f aca="false">SUM(S60:S103)</f>
        <v>-8203730.12470567</v>
      </c>
      <c r="T104" s="30" t="n">
        <f aca="false">SUM(T60:T103)</f>
        <v>-9797818.59793667</v>
      </c>
      <c r="U104" s="30" t="n">
        <f aca="false">SUM(U60:U103)</f>
        <v>-9563856.89990192</v>
      </c>
      <c r="V104" s="30" t="n">
        <f aca="false">SUM(V60:V103)</f>
        <v>-10439011.0581756</v>
      </c>
      <c r="W104" s="30" t="n">
        <f aca="false">SUM(W60:W103)</f>
        <v>-9463978.70134012</v>
      </c>
      <c r="X104" s="30" t="n">
        <f aca="false">SUM(X60:X103)</f>
        <v>-11471758.8425016</v>
      </c>
      <c r="Y104" s="30" t="n">
        <f aca="false">SUM(Y60:Y103)</f>
        <v>-10579776.7097878</v>
      </c>
      <c r="Z104" s="30" t="n">
        <f aca="false">SUM(Z60:Z103)</f>
        <v>-11610500.2428034</v>
      </c>
      <c r="AA104" s="30" t="n">
        <f aca="false">SUM(AA60:AA103)</f>
        <v>-11128162.3447432</v>
      </c>
      <c r="AB104" s="30" t="n">
        <f aca="false">SUM(AB60:AB103)</f>
        <v>-10521549.1312114</v>
      </c>
      <c r="AC104" s="30" t="n">
        <f aca="false">SUM(AC60:AC103)</f>
        <v>-9834222.70245888</v>
      </c>
      <c r="AD104" s="30" t="n">
        <f aca="false">SUM(AD60:AD103)</f>
        <v>-9883012.57959108</v>
      </c>
      <c r="AE104" s="30" t="n">
        <f aca="false">SUM(AE60:AE103)</f>
        <v>-10092531.6431776</v>
      </c>
      <c r="AF104" s="30" t="n">
        <f aca="false">SUM(AF60:AF103)</f>
        <v>-9944297.31805217</v>
      </c>
      <c r="AG104" s="30" t="n">
        <f aca="false">SUM(AG60:AG103)</f>
        <v>-10614993.6344837</v>
      </c>
      <c r="AH104" s="30" t="n">
        <f aca="false">SUM(AH60:AH103)</f>
        <v>-10560618.4922978</v>
      </c>
      <c r="AI104" s="30" t="n">
        <f aca="false">SUM(AI60:AI103)</f>
        <v>-10727242.4344336</v>
      </c>
      <c r="AJ104" s="30" t="n">
        <f aca="false">SUM(AJ60:AJ103)</f>
        <v>-9884485.4061317</v>
      </c>
      <c r="AK104" s="30" t="n">
        <f aca="false">SUM(AK60:AK103)</f>
        <v>-9668271.12862863</v>
      </c>
      <c r="AL104" s="30" t="n">
        <f aca="false">SUM(AL60:AL103)</f>
        <v>-10053854.8087209</v>
      </c>
      <c r="AM104" s="30" t="n">
        <f aca="false">SUM(AM60:AM103)</f>
        <v>-10624053.9961423</v>
      </c>
      <c r="AN104" s="30" t="n">
        <f aca="false">SUM(AN60:AN103)</f>
        <v>-10574244.9668189</v>
      </c>
      <c r="AO104" s="30" t="n">
        <f aca="false">SUM(AO60:AO103)</f>
        <v>-11010518.0996247</v>
      </c>
      <c r="AP104" s="30" t="n">
        <f aca="false">SUM(AP60:AP103)</f>
        <v>-11776732.4925952</v>
      </c>
      <c r="AQ104" s="30" t="n">
        <f aca="false">SUM(AQ60:AQ103)</f>
        <v>-11944916.6208413</v>
      </c>
      <c r="AR104" s="30" t="n">
        <f aca="false">SUM(AR60:AR103)</f>
        <v>-12403111.2454213</v>
      </c>
      <c r="AS104" s="30" t="n">
        <f aca="false">SUM(AS60:AS103)</f>
        <v>-12684031.9801153</v>
      </c>
      <c r="AT104" s="30" t="n">
        <f aca="false">SUM(AT60:AT103)</f>
        <v>-12386165.7116718</v>
      </c>
      <c r="AU104" s="30" t="n">
        <f aca="false">SUM(AU60:AU103)</f>
        <v>-12134919.8222457</v>
      </c>
      <c r="AV104" s="30" t="n">
        <f aca="false">SUM(AV60:AV103)</f>
        <v>-12664983.0565475</v>
      </c>
      <c r="AW104" s="30" t="n">
        <f aca="false">SUM(AW60:AW103)</f>
        <v>-12493114.6515715</v>
      </c>
      <c r="AX104" s="30" t="n">
        <f aca="false">SUM(AX60:AX103)</f>
        <v>-12124939.1956995</v>
      </c>
      <c r="AY104" s="30" t="n">
        <f aca="false">SUM(AY60:AY103)</f>
        <v>-11471712.4566355</v>
      </c>
      <c r="AZ104" s="30" t="n">
        <f aca="false">SUM(AZ60:AZ103)</f>
        <v>-10814646.3891395</v>
      </c>
      <c r="BA104" s="30" t="n">
        <f aca="false">SUM(BA60:BA103)</f>
        <v>-10295814.4303955</v>
      </c>
      <c r="BB104" s="30" t="n">
        <f aca="false">SUM(BB60:BB103)</f>
        <v>-9843691.56295545</v>
      </c>
      <c r="BC104" s="30" t="n">
        <f aca="false">SUM(BC60:BC103)</f>
        <v>-9482151.13326745</v>
      </c>
      <c r="BD104" s="30" t="n">
        <f aca="false">SUM(BD60:BD103)</f>
        <v>-9289860.76925145</v>
      </c>
      <c r="BE104" s="30" t="n">
        <f aca="false">SUM(BE60:BE103)</f>
        <v>-9154886.62566745</v>
      </c>
      <c r="BF104" s="30" t="n">
        <f aca="false">SUM(BF60:BF103)</f>
        <v>-9133670.38411545</v>
      </c>
      <c r="BG104" s="30" t="n">
        <f aca="false">SUM(BG60:BG103)</f>
        <v>-9331748.68450745</v>
      </c>
      <c r="BH104" s="30" t="n">
        <f aca="false">SUM(BH60:BH103)</f>
        <v>-9321493.61390785</v>
      </c>
      <c r="BI104" s="30" t="n">
        <f aca="false">SUM(BI60:BI103)</f>
        <v>-9161640.15</v>
      </c>
      <c r="BJ104" s="30" t="n">
        <f aca="false">SUM(BJ60:BJ103)</f>
        <v>-9351697.65</v>
      </c>
      <c r="BK104" s="30" t="n">
        <f aca="false">SUM(BK60:BK103)</f>
        <v>-9599422.65</v>
      </c>
      <c r="BL104" s="30" t="n">
        <f aca="false">SUM(BL60:BL103)</f>
        <v>-9671281.65</v>
      </c>
      <c r="BM104" s="30" t="n">
        <f aca="false">SUM(BM60:BM103)</f>
        <v>-9450720.75</v>
      </c>
      <c r="BN104" s="30" t="n">
        <f aca="false">SUM(BN60:BN103)</f>
        <v>-8905167.3</v>
      </c>
      <c r="BO104" s="30" t="n">
        <f aca="false">SUM(BO60:BO103)</f>
        <v>-8391211.8</v>
      </c>
      <c r="BP104" s="30" t="n">
        <f aca="false">SUM(BP60:BP103)</f>
        <v>-7916656.8</v>
      </c>
      <c r="BQ104" s="30" t="n">
        <f aca="false">SUM(BQ60:BQ103)</f>
        <v>-7292362.8</v>
      </c>
      <c r="BR104" s="30" t="n">
        <f aca="false">SUM(BR60:BR103)</f>
        <v>-6463415.55</v>
      </c>
      <c r="BS104" s="30" t="n">
        <f aca="false">SUM(BS60:BS103)</f>
        <v>-5408019.15</v>
      </c>
      <c r="BT104" s="30" t="n">
        <f aca="false">SUM(BT60:BT103)</f>
        <v>-4381283.7</v>
      </c>
      <c r="BU104" s="30" t="n">
        <f aca="false">SUM(BU60:BU103)</f>
        <v>-3458446.95</v>
      </c>
      <c r="BV104" s="30" t="n">
        <f aca="false">SUM(BV60:BV103)</f>
        <v>-2598701.55</v>
      </c>
      <c r="BW104" s="30" t="n">
        <f aca="false">SUM(BW60:BW103)</f>
        <v>-1826501.1</v>
      </c>
      <c r="BX104" s="30" t="n">
        <f aca="false">SUM(BX60:BX103)</f>
        <v>-1200451.35</v>
      </c>
      <c r="BY104" s="30" t="n">
        <f aca="false">SUM(BY60:BY103)</f>
        <v>-661723.95</v>
      </c>
      <c r="BZ104" s="30" t="n">
        <f aca="false">SUM(BZ60:BZ103)</f>
        <v>-217168.5</v>
      </c>
      <c r="CA104" s="30" t="n">
        <f aca="false">SUM(CA60:CA103)</f>
        <v>0</v>
      </c>
      <c r="CB104" s="30" t="n">
        <f aca="false">SUM(CB60:CB103)</f>
        <v>0</v>
      </c>
      <c r="CC104" s="30" t="n">
        <f aca="false">SUM(CC60:CC103)</f>
        <v>0</v>
      </c>
      <c r="CD104" s="30" t="n">
        <f aca="false">SUM(CD60:CD103)</f>
        <v>0</v>
      </c>
      <c r="CE104" s="30" t="n">
        <f aca="false">SUM(CE60:CE103)</f>
        <v>0</v>
      </c>
      <c r="CF104" s="30" t="n">
        <f aca="false">SUM(CF60:CF103)</f>
        <v>0</v>
      </c>
      <c r="CG104" s="30" t="n">
        <f aca="false">SUM(CG60:CG103)</f>
        <v>0</v>
      </c>
      <c r="CH104" s="30" t="n">
        <f aca="false">SUM(CH60:CH103)</f>
        <v>0</v>
      </c>
      <c r="CI104" s="30" t="n">
        <f aca="false">SUM(CI60:CI103)</f>
        <v>0</v>
      </c>
      <c r="CJ104" s="30" t="n">
        <f aca="false">SUM(CJ60:CJ103)</f>
        <v>0</v>
      </c>
      <c r="CK104" s="30" t="n">
        <f aca="false">SUM(CK60:CK103)</f>
        <v>0</v>
      </c>
      <c r="CL104" s="30" t="n">
        <f aca="false">SUM(CL60:CL103)</f>
        <v>0</v>
      </c>
      <c r="CM104" s="30" t="n">
        <f aca="false">SUM(CM60:CM103)</f>
        <v>0</v>
      </c>
      <c r="CN104" s="30" t="n">
        <f aca="false">SUM(CN60:CN103)</f>
        <v>0</v>
      </c>
      <c r="CO104" s="30" t="n">
        <f aca="false">SUM(CO60:CO103)</f>
        <v>0</v>
      </c>
      <c r="CP104" s="30" t="n">
        <f aca="false">SUM(CP60:CP103)</f>
        <v>0</v>
      </c>
      <c r="CQ104" s="30" t="n">
        <f aca="false">SUM(CQ60:CQ103)</f>
        <v>0</v>
      </c>
      <c r="CR104" s="30" t="n">
        <f aca="false">SUM(CR60:CR103)</f>
        <v>0</v>
      </c>
      <c r="CS104" s="30" t="n">
        <f aca="false">SUM(CS60:CS103)</f>
        <v>0</v>
      </c>
      <c r="CT104" s="30" t="n">
        <f aca="false">SUM(CT60:CT103)</f>
        <v>0</v>
      </c>
      <c r="CU104" s="30" t="n">
        <f aca="false">SUM(CU60:CU103)</f>
        <v>0</v>
      </c>
      <c r="CV104" s="30" t="n">
        <f aca="false">SUM(CV60:CV103)</f>
        <v>0</v>
      </c>
      <c r="CW104" s="30" t="n">
        <f aca="false">SUM(CW60:CW103)</f>
        <v>0</v>
      </c>
      <c r="CX104" s="30" t="n">
        <f aca="false">SUM(CX60:CX103)</f>
        <v>0</v>
      </c>
      <c r="CY104" s="30" t="n">
        <f aca="false">SUM(CY60:CY103)</f>
        <v>0</v>
      </c>
      <c r="CZ104" s="30" t="n">
        <f aca="false">SUM(CZ60:CZ103)</f>
        <v>0</v>
      </c>
      <c r="DA104" s="30" t="n">
        <f aca="false">SUM(DA60:DA103)</f>
        <v>0</v>
      </c>
      <c r="DB104" s="30" t="n">
        <f aca="false">SUM(DB60:DB103)</f>
        <v>0</v>
      </c>
      <c r="DC104" s="30" t="n">
        <f aca="false">SUM(DC60:DC103)</f>
        <v>0</v>
      </c>
      <c r="DD104" s="30" t="n">
        <f aca="false">SUM(DD60:DD103)</f>
        <v>0</v>
      </c>
      <c r="DE104" s="30" t="n">
        <f aca="false">SUM(DE60:DE103)</f>
        <v>0</v>
      </c>
    </row>
    <row r="105" customFormat="false" ht="15" hidden="false" customHeight="true" outlineLevel="0" collapsed="false">
      <c r="A105" s="27" t="s">
        <v>55</v>
      </c>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c r="AD105" s="19"/>
      <c r="AE105" s="19"/>
      <c r="AF105" s="19"/>
      <c r="AG105" s="19"/>
      <c r="AH105" s="19"/>
      <c r="AI105" s="19"/>
      <c r="AJ105" s="19"/>
      <c r="AK105" s="19"/>
      <c r="AL105" s="19"/>
      <c r="AM105" s="19"/>
      <c r="AN105" s="19"/>
      <c r="AO105" s="19"/>
      <c r="AP105" s="19"/>
      <c r="AQ105" s="19"/>
      <c r="AR105" s="19"/>
      <c r="AS105" s="19"/>
      <c r="AT105" s="19"/>
      <c r="AU105" s="19"/>
      <c r="AV105" s="19"/>
      <c r="AW105" s="19"/>
      <c r="AX105" s="19"/>
      <c r="AY105" s="19"/>
      <c r="AZ105" s="19"/>
      <c r="BA105" s="19"/>
      <c r="BB105" s="19"/>
      <c r="BC105" s="19"/>
      <c r="BD105" s="19"/>
      <c r="BE105" s="19"/>
      <c r="BF105" s="19"/>
      <c r="BG105" s="19"/>
      <c r="BH105" s="19"/>
      <c r="BI105" s="19"/>
      <c r="BJ105" s="19"/>
      <c r="BK105" s="19"/>
      <c r="BL105" s="19"/>
      <c r="BM105" s="19"/>
      <c r="BN105" s="19"/>
      <c r="BO105" s="19"/>
      <c r="BP105" s="19"/>
      <c r="BQ105" s="19"/>
      <c r="BR105" s="19"/>
      <c r="BS105" s="19"/>
      <c r="BT105" s="19"/>
      <c r="BU105" s="19"/>
      <c r="BV105" s="19"/>
      <c r="BW105" s="19"/>
      <c r="BX105" s="19"/>
      <c r="BY105" s="19"/>
      <c r="BZ105" s="19"/>
      <c r="CA105" s="19"/>
      <c r="CB105" s="19"/>
      <c r="CC105" s="19"/>
      <c r="CD105" s="19"/>
      <c r="CE105" s="19"/>
      <c r="CF105" s="19"/>
      <c r="CG105" s="19"/>
      <c r="CH105" s="19"/>
      <c r="CI105" s="19"/>
      <c r="CJ105" s="19"/>
      <c r="CK105" s="19"/>
      <c r="CL105" s="19"/>
      <c r="CM105" s="19"/>
      <c r="CN105" s="19"/>
      <c r="CO105" s="19"/>
      <c r="CP105" s="19"/>
      <c r="CQ105" s="19"/>
      <c r="CR105" s="19"/>
      <c r="CS105" s="19"/>
      <c r="CT105" s="19"/>
      <c r="CU105" s="19"/>
      <c r="CV105" s="19"/>
      <c r="CW105" s="19"/>
      <c r="CX105" s="19"/>
      <c r="CY105" s="19"/>
      <c r="CZ105" s="19"/>
      <c r="DA105" s="19"/>
      <c r="DB105" s="19"/>
      <c r="DC105" s="19"/>
      <c r="DD105" s="19"/>
      <c r="DE105" s="19"/>
    </row>
    <row r="106" customFormat="false" ht="15" hidden="false" customHeight="true" outlineLevel="1" collapsed="false">
      <c r="A106" s="28" t="s">
        <v>7</v>
      </c>
      <c r="B106" s="19" t="n">
        <f aca="false">IF(AND('Bonding Program'!$S$11=1,B$3='Bonding Program'!$H$11),'Bonding Program'!$T$11,0)</f>
        <v>0</v>
      </c>
      <c r="C106" s="19" t="n">
        <f aca="false">IF(AND('Bonding Program'!$S$11=1,C$3='Bonding Program'!$H$11),'Bonding Program'!$T$11,0)</f>
        <v>0</v>
      </c>
      <c r="D106" s="19" t="n">
        <f aca="false">IF(AND('Bonding Program'!$S$11=1,D$3='Bonding Program'!$H$11),'Bonding Program'!$T$11,0)</f>
        <v>0</v>
      </c>
      <c r="E106" s="19" t="n">
        <f aca="false">IF(AND('Bonding Program'!$S$11=1,E$3='Bonding Program'!$H$11),'Bonding Program'!$T$11,0)</f>
        <v>0</v>
      </c>
      <c r="F106" s="19" t="n">
        <f aca="false">IF(AND('Bonding Program'!$S$11=1,F$3='Bonding Program'!$H$11),'Bonding Program'!$T$11,0)</f>
        <v>0</v>
      </c>
      <c r="G106" s="19" t="n">
        <f aca="false">IF(AND('Bonding Program'!$S$11=1,G$3='Bonding Program'!$H$11),'Bonding Program'!$T$11,0)</f>
        <v>0</v>
      </c>
      <c r="H106" s="19" t="n">
        <f aca="false">IF(AND('Bonding Program'!$S$11=1,H$3='Bonding Program'!$H$11),'Bonding Program'!$T$11,0)</f>
        <v>0</v>
      </c>
      <c r="I106" s="19" t="n">
        <f aca="false">IF(AND('Bonding Program'!$S$11=1,I$3='Bonding Program'!$H$11),'Bonding Program'!$T$11,0)</f>
        <v>0</v>
      </c>
      <c r="J106" s="19" t="n">
        <f aca="false">IF(AND('Bonding Program'!$S$11=1,J$3='Bonding Program'!$H$11),'Bonding Program'!$T$11,0)</f>
        <v>0</v>
      </c>
      <c r="K106" s="19" t="n">
        <f aca="false">IF(AND('Bonding Program'!$S$11=1,K$3='Bonding Program'!$H$11),'Bonding Program'!$T$11,0)</f>
        <v>0</v>
      </c>
      <c r="L106" s="19" t="n">
        <f aca="false">IF(AND('Bonding Program'!$S$11=1,L$3='Bonding Program'!$H$11),'Bonding Program'!$T$11,0)</f>
        <v>0</v>
      </c>
      <c r="M106" s="19" t="n">
        <f aca="false">IF(AND('Bonding Program'!$S$11=1,M$3='Bonding Program'!$H$11),'Bonding Program'!$T$11,0)</f>
        <v>0</v>
      </c>
      <c r="N106" s="19" t="n">
        <f aca="false">IF(AND('Bonding Program'!$S$11=1,N$3='Bonding Program'!$H$11),'Bonding Program'!$T$11,0)</f>
        <v>0</v>
      </c>
      <c r="O106" s="19" t="n">
        <f aca="false">IF(AND('Bonding Program'!$S$11=1,O$3='Bonding Program'!$H$11),'Bonding Program'!$T$11,0)</f>
        <v>0</v>
      </c>
      <c r="P106" s="19" t="n">
        <f aca="false">IF(AND('Bonding Program'!$S$11=1,P$3='Bonding Program'!$H$11),'Bonding Program'!$T$11,0)</f>
        <v>0</v>
      </c>
      <c r="Q106" s="19" t="n">
        <f aca="false">IF(AND('Bonding Program'!$S$11=1,Q$3='Bonding Program'!$H$11),'Bonding Program'!$T$11,0)</f>
        <v>0</v>
      </c>
      <c r="R106" s="19" t="n">
        <f aca="false">IF(AND('Bonding Program'!$S$11=1,R$3='Bonding Program'!$H$11),'Bonding Program'!$T$11,0)</f>
        <v>0</v>
      </c>
      <c r="S106" s="19" t="n">
        <f aca="false">IF(AND('Bonding Program'!$S$11=1,S$3='Bonding Program'!$H$11),'Bonding Program'!$T$11,0)</f>
        <v>0</v>
      </c>
      <c r="T106" s="19" t="n">
        <f aca="false">IF(AND('Bonding Program'!$S$11=1,T$3='Bonding Program'!$H$11),'Bonding Program'!$T$11,0)</f>
        <v>0</v>
      </c>
      <c r="U106" s="19" t="n">
        <f aca="false">IF(AND('Bonding Program'!$S$11=1,U$3='Bonding Program'!$H$11),'Bonding Program'!$T$11,0)</f>
        <v>0</v>
      </c>
      <c r="V106" s="19" t="n">
        <f aca="false">IF(AND('Bonding Program'!$S$11=1,V$3='Bonding Program'!$H$11),'Bonding Program'!$T$11,0)</f>
        <v>0</v>
      </c>
      <c r="W106" s="19" t="n">
        <f aca="false">IF(AND('Bonding Program'!$S$11=1,W$3='Bonding Program'!$H$11),'Bonding Program'!$T$11,0)</f>
        <v>0</v>
      </c>
      <c r="X106" s="19" t="n">
        <f aca="false">IF(AND('Bonding Program'!$S$11=1,X$3='Bonding Program'!$H$11),'Bonding Program'!$T$11,0)</f>
        <v>0</v>
      </c>
      <c r="Y106" s="19" t="n">
        <f aca="false">IF(AND('Bonding Program'!$S$11=1,Y$3='Bonding Program'!$H$11),'Bonding Program'!$T$11,0)</f>
        <v>0</v>
      </c>
      <c r="Z106" s="19" t="n">
        <f aca="false">IF(AND('Bonding Program'!$S$11=1,Z$3='Bonding Program'!$H$11),'Bonding Program'!$T$11,0)</f>
        <v>0</v>
      </c>
      <c r="AA106" s="19" t="n">
        <f aca="false">IF(AND('Bonding Program'!$S$11=1,AA$3='Bonding Program'!$H$11),'Bonding Program'!$T$11,0)</f>
        <v>0</v>
      </c>
      <c r="AB106" s="19" t="n">
        <f aca="false">IF(AND('Bonding Program'!$S$11=1,AB$3='Bonding Program'!$H$11),'Bonding Program'!$T$11,0)</f>
        <v>0</v>
      </c>
      <c r="AC106" s="19" t="n">
        <f aca="false">IF(AND('Bonding Program'!$S$11=1,AC$3='Bonding Program'!$H$11),'Bonding Program'!$T$11,0)</f>
        <v>0</v>
      </c>
      <c r="AD106" s="19" t="n">
        <f aca="false">IF(AND('Bonding Program'!$S$11=1,AD$3='Bonding Program'!$H$11),'Bonding Program'!$T$11,0)</f>
        <v>0</v>
      </c>
      <c r="AE106" s="19" t="n">
        <f aca="false">IF(AND('Bonding Program'!$S$11=1,AE$3='Bonding Program'!$H$11),'Bonding Program'!$T$11,0)</f>
        <v>0</v>
      </c>
      <c r="AF106" s="19" t="n">
        <f aca="false">IF(AND('Bonding Program'!$S$11=1,AF$3='Bonding Program'!$H$11),'Bonding Program'!$T$11,0)</f>
        <v>0</v>
      </c>
      <c r="AG106" s="19" t="n">
        <f aca="false">IF(AND('Bonding Program'!$S$11=1,AG$3='Bonding Program'!$H$11),'Bonding Program'!$T$11,0)</f>
        <v>0</v>
      </c>
      <c r="AH106" s="19" t="n">
        <f aca="false">IF(AND('Bonding Program'!$S$11=1,AH$3='Bonding Program'!$H$11),'Bonding Program'!$T$11,0)</f>
        <v>0</v>
      </c>
      <c r="AI106" s="19" t="n">
        <f aca="false">IF(AND('Bonding Program'!$S$11=1,AI$3='Bonding Program'!$H$11),'Bonding Program'!$T$11,0)</f>
        <v>0</v>
      </c>
      <c r="AJ106" s="19" t="n">
        <f aca="false">IF(AND('Bonding Program'!$S$11=1,AJ$3='Bonding Program'!$H$11),'Bonding Program'!$T$11,0)</f>
        <v>0</v>
      </c>
      <c r="AK106" s="19" t="n">
        <f aca="false">IF(AND('Bonding Program'!$S$11=1,AK$3='Bonding Program'!$H$11),'Bonding Program'!$T$11,0)</f>
        <v>0</v>
      </c>
      <c r="AL106" s="19" t="n">
        <f aca="false">IF(AND('Bonding Program'!$S$11=1,AL$3='Bonding Program'!$H$11),'Bonding Program'!$T$11,0)</f>
        <v>0</v>
      </c>
      <c r="AM106" s="19" t="n">
        <f aca="false">IF(AND('Bonding Program'!$S$11=1,AM$3='Bonding Program'!$H$11),'Bonding Program'!$T$11,0)</f>
        <v>0</v>
      </c>
      <c r="AN106" s="19" t="n">
        <f aca="false">IF(AND('Bonding Program'!$S$11=1,AN$3='Bonding Program'!$H$11),'Bonding Program'!$T$11,0)</f>
        <v>0</v>
      </c>
      <c r="AO106" s="19" t="n">
        <f aca="false">IF(AND('Bonding Program'!$S$11=1,AO$3='Bonding Program'!$H$11),'Bonding Program'!$T$11,0)</f>
        <v>0</v>
      </c>
      <c r="AP106" s="19" t="n">
        <f aca="false">IF(AND('Bonding Program'!$S$11=1,AP$3='Bonding Program'!$H$11),'Bonding Program'!$T$11,0)</f>
        <v>0</v>
      </c>
      <c r="AQ106" s="19" t="n">
        <f aca="false">IF(AND('Bonding Program'!$S$11=1,AQ$3='Bonding Program'!$H$11),'Bonding Program'!$T$11,0)</f>
        <v>0</v>
      </c>
      <c r="AR106" s="19" t="n">
        <f aca="false">IF(AND('Bonding Program'!$S$11=1,AR$3='Bonding Program'!$H$11),'Bonding Program'!$T$11,0)</f>
        <v>0</v>
      </c>
      <c r="AS106" s="19" t="n">
        <f aca="false">IF(AND('Bonding Program'!$S$11=1,AS$3='Bonding Program'!$H$11),'Bonding Program'!$T$11,0)</f>
        <v>0</v>
      </c>
      <c r="AT106" s="19" t="n">
        <f aca="false">IF(AND('Bonding Program'!$S$11=1,AT$3='Bonding Program'!$H$11),'Bonding Program'!$T$11,0)</f>
        <v>0</v>
      </c>
      <c r="AU106" s="19" t="n">
        <f aca="false">IF(AND('Bonding Program'!$S$11=1,AU$3='Bonding Program'!$H$11),'Bonding Program'!$T$11,0)</f>
        <v>0</v>
      </c>
      <c r="AV106" s="19" t="n">
        <f aca="false">IF(AND('Bonding Program'!$S$11=1,AV$3='Bonding Program'!$H$11),'Bonding Program'!$T$11,0)</f>
        <v>0</v>
      </c>
      <c r="AW106" s="19" t="n">
        <f aca="false">IF(AND('Bonding Program'!$S$11=1,AW$3='Bonding Program'!$H$11),'Bonding Program'!$T$11,0)</f>
        <v>0</v>
      </c>
      <c r="AX106" s="19" t="n">
        <f aca="false">IF(AND('Bonding Program'!$S$11=1,AX$3='Bonding Program'!$H$11),'Bonding Program'!$T$11,0)</f>
        <v>0</v>
      </c>
      <c r="AY106" s="19" t="n">
        <f aca="false">IF(AND('Bonding Program'!$S$11=1,AY$3='Bonding Program'!$H$11),'Bonding Program'!$T$11,0)</f>
        <v>0</v>
      </c>
      <c r="AZ106" s="19" t="n">
        <f aca="false">IF(AND('Bonding Program'!$S$11=1,AZ$3='Bonding Program'!$H$11),'Bonding Program'!$T$11,0)</f>
        <v>0</v>
      </c>
      <c r="BA106" s="19" t="n">
        <f aca="false">IF(AND('Bonding Program'!$S$11=1,BA$3='Bonding Program'!$H$11),'Bonding Program'!$T$11,0)</f>
        <v>0</v>
      </c>
      <c r="BB106" s="19" t="n">
        <f aca="false">IF(AND('Bonding Program'!$S$11=1,BB$3='Bonding Program'!$H$11),'Bonding Program'!$T$11,0)</f>
        <v>0</v>
      </c>
      <c r="BC106" s="19" t="n">
        <f aca="false">IF(AND('Bonding Program'!$S$11=1,BC$3='Bonding Program'!$H$11),'Bonding Program'!$T$11,0)</f>
        <v>0</v>
      </c>
      <c r="BD106" s="19" t="n">
        <f aca="false">IF(AND('Bonding Program'!$S$11=1,BD$3='Bonding Program'!$H$11),'Bonding Program'!$T$11,0)</f>
        <v>0</v>
      </c>
      <c r="BE106" s="19" t="n">
        <f aca="false">IF(AND('Bonding Program'!$S$11=1,BE$3='Bonding Program'!$H$11),'Bonding Program'!$T$11,0)</f>
        <v>0</v>
      </c>
      <c r="BF106" s="19" t="n">
        <f aca="false">IF(AND('Bonding Program'!$S$11=1,BF$3='Bonding Program'!$H$11),'Bonding Program'!$T$11,0)</f>
        <v>0</v>
      </c>
      <c r="BG106" s="19" t="n">
        <f aca="false">IF(AND('Bonding Program'!$S$11=1,BG$3='Bonding Program'!$H$11),'Bonding Program'!$T$11,0)</f>
        <v>0</v>
      </c>
      <c r="BH106" s="19" t="n">
        <f aca="false">IF(AND('Bonding Program'!$S$11=1,BH$3='Bonding Program'!$H$11),'Bonding Program'!$T$11,0)</f>
        <v>0</v>
      </c>
      <c r="BI106" s="19" t="n">
        <f aca="false">IF(AND('Bonding Program'!$S$11=1,BI$3='Bonding Program'!$H$11),'Bonding Program'!$T$11,0)</f>
        <v>0</v>
      </c>
      <c r="BJ106" s="19" t="n">
        <f aca="false">IF(AND('Bonding Program'!$S$11=1,BJ$3='Bonding Program'!$H$11),'Bonding Program'!$T$11,0)</f>
        <v>0</v>
      </c>
      <c r="BK106" s="19" t="n">
        <f aca="false">IF(AND('Bonding Program'!$S$11=1,BK$3='Bonding Program'!$H$11),'Bonding Program'!$T$11,0)</f>
        <v>0</v>
      </c>
      <c r="BL106" s="19" t="n">
        <f aca="false">IF(AND('Bonding Program'!$S$11=1,BL$3='Bonding Program'!$H$11),'Bonding Program'!$T$11,0)</f>
        <v>0</v>
      </c>
      <c r="BM106" s="19" t="n">
        <f aca="false">IF(AND('Bonding Program'!$S$11=1,BM$3='Bonding Program'!$H$11),'Bonding Program'!$T$11,0)</f>
        <v>0</v>
      </c>
      <c r="BN106" s="19" t="n">
        <f aca="false">IF(AND('Bonding Program'!$S$11=1,BN$3='Bonding Program'!$H$11),'Bonding Program'!$T$11,0)</f>
        <v>0</v>
      </c>
      <c r="BO106" s="19" t="n">
        <f aca="false">IF(AND('Bonding Program'!$S$11=1,BO$3='Bonding Program'!$H$11),'Bonding Program'!$T$11,0)</f>
        <v>0</v>
      </c>
      <c r="BP106" s="19" t="n">
        <f aca="false">IF(AND('Bonding Program'!$S$11=1,BP$3='Bonding Program'!$H$11),'Bonding Program'!$T$11,0)</f>
        <v>0</v>
      </c>
      <c r="BQ106" s="19" t="n">
        <f aca="false">IF(AND('Bonding Program'!$S$11=1,BQ$3='Bonding Program'!$H$11),'Bonding Program'!$T$11,0)</f>
        <v>0</v>
      </c>
      <c r="BR106" s="19" t="n">
        <f aca="false">IF(AND('Bonding Program'!$S$11=1,BR$3='Bonding Program'!$H$11),'Bonding Program'!$T$11,0)</f>
        <v>0</v>
      </c>
      <c r="BS106" s="19" t="n">
        <f aca="false">IF(AND('Bonding Program'!$S$11=1,BS$3='Bonding Program'!$H$11),'Bonding Program'!$T$11,0)</f>
        <v>0</v>
      </c>
      <c r="BT106" s="19" t="n">
        <f aca="false">IF(AND('Bonding Program'!$S$11=1,BT$3='Bonding Program'!$H$11),'Bonding Program'!$T$11,0)</f>
        <v>0</v>
      </c>
      <c r="BU106" s="19" t="n">
        <f aca="false">IF(AND('Bonding Program'!$S$11=1,BU$3='Bonding Program'!$H$11),'Bonding Program'!$T$11,0)</f>
        <v>0</v>
      </c>
      <c r="BV106" s="19" t="n">
        <f aca="false">IF(AND('Bonding Program'!$S$11=1,BV$3='Bonding Program'!$H$11),'Bonding Program'!$T$11,0)</f>
        <v>0</v>
      </c>
      <c r="BW106" s="19" t="n">
        <f aca="false">IF(AND('Bonding Program'!$S$11=1,BW$3='Bonding Program'!$H$11),'Bonding Program'!$T$11,0)</f>
        <v>0</v>
      </c>
      <c r="BX106" s="19" t="n">
        <f aca="false">IF(AND('Bonding Program'!$S$11=1,BX$3='Bonding Program'!$H$11),'Bonding Program'!$T$11,0)</f>
        <v>0</v>
      </c>
      <c r="BY106" s="19" t="n">
        <f aca="false">IF(AND('Bonding Program'!$S$11=1,BY$3='Bonding Program'!$H$11),'Bonding Program'!$T$11,0)</f>
        <v>0</v>
      </c>
      <c r="BZ106" s="19" t="n">
        <f aca="false">IF(AND('Bonding Program'!$S$11=1,BZ$3='Bonding Program'!$H$11),'Bonding Program'!$T$11,0)</f>
        <v>0</v>
      </c>
      <c r="CA106" s="19" t="n">
        <f aca="false">IF(AND('Bonding Program'!$S$11=1,CA$3='Bonding Program'!$H$11),'Bonding Program'!$T$11,0)</f>
        <v>0</v>
      </c>
      <c r="CB106" s="19" t="n">
        <f aca="false">IF(AND('Bonding Program'!$S$11=1,CB$3='Bonding Program'!$H$11),'Bonding Program'!$T$11,0)</f>
        <v>0</v>
      </c>
      <c r="CC106" s="19" t="n">
        <f aca="false">IF(AND('Bonding Program'!$S$11=1,CC$3='Bonding Program'!$H$11),'Bonding Program'!$T$11,0)</f>
        <v>0</v>
      </c>
      <c r="CD106" s="19" t="n">
        <f aca="false">IF(AND('Bonding Program'!$S$11=1,CD$3='Bonding Program'!$H$11),'Bonding Program'!$T$11,0)</f>
        <v>0</v>
      </c>
      <c r="CE106" s="19" t="n">
        <f aca="false">IF(AND('Bonding Program'!$S$11=1,CE$3='Bonding Program'!$H$11),'Bonding Program'!$T$11,0)</f>
        <v>0</v>
      </c>
      <c r="CF106" s="19" t="n">
        <f aca="false">IF(AND('Bonding Program'!$S$11=1,CF$3='Bonding Program'!$H$11),'Bonding Program'!$T$11,0)</f>
        <v>0</v>
      </c>
      <c r="CG106" s="19" t="n">
        <f aca="false">IF(AND('Bonding Program'!$S$11=1,CG$3='Bonding Program'!$H$11),'Bonding Program'!$T$11,0)</f>
        <v>0</v>
      </c>
      <c r="CH106" s="19" t="n">
        <f aca="false">IF(AND('Bonding Program'!$S$11=1,CH$3='Bonding Program'!$H$11),'Bonding Program'!$T$11,0)</f>
        <v>0</v>
      </c>
      <c r="CI106" s="19" t="n">
        <f aca="false">IF(AND('Bonding Program'!$S$11=1,CI$3='Bonding Program'!$H$11),'Bonding Program'!$T$11,0)</f>
        <v>0</v>
      </c>
      <c r="CJ106" s="19" t="n">
        <f aca="false">IF(AND('Bonding Program'!$S$11=1,CJ$3='Bonding Program'!$H$11),'Bonding Program'!$T$11,0)</f>
        <v>0</v>
      </c>
      <c r="CK106" s="19" t="n">
        <f aca="false">IF(AND('Bonding Program'!$S$11=1,CK$3='Bonding Program'!$H$11),'Bonding Program'!$T$11,0)</f>
        <v>0</v>
      </c>
      <c r="CL106" s="19" t="n">
        <f aca="false">IF(AND('Bonding Program'!$S$11=1,CL$3='Bonding Program'!$H$11),'Bonding Program'!$T$11,0)</f>
        <v>0</v>
      </c>
      <c r="CM106" s="19" t="n">
        <f aca="false">IF(AND('Bonding Program'!$S$11=1,CM$3='Bonding Program'!$H$11),'Bonding Program'!$T$11,0)</f>
        <v>0</v>
      </c>
      <c r="CN106" s="19" t="n">
        <f aca="false">IF(AND('Bonding Program'!$S$11=1,CN$3='Bonding Program'!$H$11),'Bonding Program'!$T$11,0)</f>
        <v>0</v>
      </c>
      <c r="CO106" s="19" t="n">
        <f aca="false">IF(AND('Bonding Program'!$S$11=1,CO$3='Bonding Program'!$H$11),'Bonding Program'!$T$11,0)</f>
        <v>0</v>
      </c>
      <c r="CP106" s="19" t="n">
        <f aca="false">IF(AND('Bonding Program'!$S$11=1,CP$3='Bonding Program'!$H$11),'Bonding Program'!$T$11,0)</f>
        <v>0</v>
      </c>
      <c r="CQ106" s="19" t="n">
        <f aca="false">IF(AND('Bonding Program'!$S$11=1,CQ$3='Bonding Program'!$H$11),'Bonding Program'!$T$11,0)</f>
        <v>0</v>
      </c>
      <c r="CR106" s="19" t="n">
        <f aca="false">IF(AND('Bonding Program'!$S$11=1,CR$3='Bonding Program'!$H$11),'Bonding Program'!$T$11,0)</f>
        <v>0</v>
      </c>
      <c r="CS106" s="19" t="n">
        <f aca="false">IF(AND('Bonding Program'!$S$11=1,CS$3='Bonding Program'!$H$11),'Bonding Program'!$T$11,0)</f>
        <v>0</v>
      </c>
      <c r="CT106" s="19" t="n">
        <f aca="false">IF(AND('Bonding Program'!$S$11=1,CT$3='Bonding Program'!$H$11),'Bonding Program'!$T$11,0)</f>
        <v>0</v>
      </c>
      <c r="CU106" s="19" t="n">
        <f aca="false">IF(AND('Bonding Program'!$S$11=1,CU$3='Bonding Program'!$H$11),'Bonding Program'!$T$11,0)</f>
        <v>0</v>
      </c>
      <c r="CV106" s="19" t="n">
        <f aca="false">IF(AND('Bonding Program'!$S$11=1,CV$3='Bonding Program'!$H$11),'Bonding Program'!$T$11,0)</f>
        <v>0</v>
      </c>
      <c r="CW106" s="19" t="n">
        <f aca="false">IF(AND('Bonding Program'!$S$11=1,CW$3='Bonding Program'!$H$11),'Bonding Program'!$T$11,0)</f>
        <v>0</v>
      </c>
      <c r="CX106" s="19" t="n">
        <f aca="false">IF(AND('Bonding Program'!$S$11=1,CX$3='Bonding Program'!$H$11),'Bonding Program'!$T$11,0)</f>
        <v>0</v>
      </c>
      <c r="CY106" s="19" t="n">
        <f aca="false">IF(AND('Bonding Program'!$S$11=1,CY$3='Bonding Program'!$H$11),'Bonding Program'!$T$11,0)</f>
        <v>0</v>
      </c>
      <c r="CZ106" s="19" t="n">
        <f aca="false">IF(AND('Bonding Program'!$S$11=1,CZ$3='Bonding Program'!$H$11),'Bonding Program'!$T$11,0)</f>
        <v>0</v>
      </c>
      <c r="DA106" s="19" t="n">
        <f aca="false">IF(AND('Bonding Program'!$S$11=1,DA$3='Bonding Program'!$H$11),'Bonding Program'!$T$11,0)</f>
        <v>0</v>
      </c>
      <c r="DB106" s="19" t="n">
        <f aca="false">IF(AND('Bonding Program'!$S$11=1,DB$3='Bonding Program'!$H$11),'Bonding Program'!$T$11,0)</f>
        <v>0</v>
      </c>
      <c r="DC106" s="19" t="n">
        <f aca="false">IF(AND('Bonding Program'!$S$11=1,DC$3='Bonding Program'!$H$11),'Bonding Program'!$T$11,0)</f>
        <v>0</v>
      </c>
      <c r="DD106" s="19" t="n">
        <f aca="false">IF(AND('Bonding Program'!$S$11=1,DD$3='Bonding Program'!$H$11),'Bonding Program'!$T$11,0)</f>
        <v>0</v>
      </c>
      <c r="DE106" s="19" t="n">
        <f aca="false">IF(AND('Bonding Program'!$S$11=1,DE$3='Bonding Program'!$H$11),'Bonding Program'!$T$11,0)</f>
        <v>0</v>
      </c>
    </row>
    <row r="107" customFormat="false" ht="15" hidden="false" customHeight="true" outlineLevel="1" collapsed="false">
      <c r="A107" s="28" t="s">
        <v>8</v>
      </c>
      <c r="B107" s="19" t="n">
        <f aca="false">IF(AND('Bonding Program'!$S$12=1,B$3='Bonding Program'!$H$12),'Bonding Program'!$T$12,0)</f>
        <v>0</v>
      </c>
      <c r="C107" s="19" t="n">
        <f aca="false">IF(AND('Bonding Program'!$S$12=1,C$3='Bonding Program'!$H$12),'Bonding Program'!$T$12,0)</f>
        <v>0</v>
      </c>
      <c r="D107" s="19" t="n">
        <f aca="false">IF(AND('Bonding Program'!$S$12=1,D$3='Bonding Program'!$H$12),'Bonding Program'!$T$12,0)</f>
        <v>0</v>
      </c>
      <c r="E107" s="19" t="n">
        <f aca="false">IF(AND('Bonding Program'!$S$12=1,E$3='Bonding Program'!$H$12),'Bonding Program'!$T$12,0)</f>
        <v>0</v>
      </c>
      <c r="F107" s="19" t="n">
        <f aca="false">IF(AND('Bonding Program'!$S$12=1,F$3='Bonding Program'!$H$12),'Bonding Program'!$T$12,0)</f>
        <v>0</v>
      </c>
      <c r="G107" s="19" t="n">
        <f aca="false">IF(AND('Bonding Program'!$S$12=1,G$3='Bonding Program'!$H$12),'Bonding Program'!$T$12,0)</f>
        <v>0</v>
      </c>
      <c r="H107" s="19" t="n">
        <f aca="false">IF(AND('Bonding Program'!$S$12=1,H$3='Bonding Program'!$H$12),'Bonding Program'!$T$12,0)</f>
        <v>0</v>
      </c>
      <c r="I107" s="19" t="n">
        <f aca="false">IF(AND('Bonding Program'!$S$12=1,I$3='Bonding Program'!$H$12),'Bonding Program'!$T$12,0)</f>
        <v>0</v>
      </c>
      <c r="J107" s="19" t="n">
        <f aca="false">IF(AND('Bonding Program'!$S$12=1,J$3='Bonding Program'!$H$12),'Bonding Program'!$T$12,0)</f>
        <v>0</v>
      </c>
      <c r="K107" s="19" t="n">
        <f aca="false">IF(AND('Bonding Program'!$S$12=1,K$3='Bonding Program'!$H$12),'Bonding Program'!$T$12,0)</f>
        <v>0</v>
      </c>
      <c r="L107" s="19" t="n">
        <f aca="false">IF(AND('Bonding Program'!$S$12=1,L$3='Bonding Program'!$H$12),'Bonding Program'!$T$12,0)</f>
        <v>0</v>
      </c>
      <c r="M107" s="19" t="n">
        <f aca="false">IF(AND('Bonding Program'!$S$12=1,M$3='Bonding Program'!$H$12),'Bonding Program'!$T$12,0)</f>
        <v>0</v>
      </c>
      <c r="N107" s="19" t="n">
        <f aca="false">IF(AND('Bonding Program'!$S$12=1,N$3='Bonding Program'!$H$12),'Bonding Program'!$T$12,0)</f>
        <v>0</v>
      </c>
      <c r="O107" s="19" t="n">
        <f aca="false">IF(AND('Bonding Program'!$S$12=1,O$3='Bonding Program'!$H$12),'Bonding Program'!$T$12,0)</f>
        <v>0</v>
      </c>
      <c r="P107" s="19" t="n">
        <f aca="false">IF(AND('Bonding Program'!$S$12=1,P$3='Bonding Program'!$H$12),'Bonding Program'!$T$12,0)</f>
        <v>0</v>
      </c>
      <c r="Q107" s="19" t="n">
        <f aca="false">IF(AND('Bonding Program'!$S$12=1,Q$3='Bonding Program'!$H$12),'Bonding Program'!$T$12,0)</f>
        <v>0</v>
      </c>
      <c r="R107" s="19" t="n">
        <f aca="false">IF(AND('Bonding Program'!$S$12=1,R$3='Bonding Program'!$H$12),'Bonding Program'!$T$12,0)</f>
        <v>0</v>
      </c>
      <c r="S107" s="19" t="n">
        <f aca="false">IF(AND('Bonding Program'!$S$12=1,S$3='Bonding Program'!$H$12),'Bonding Program'!$T$12,0)</f>
        <v>0</v>
      </c>
      <c r="T107" s="19" t="n">
        <f aca="false">IF(AND('Bonding Program'!$S$12=1,T$3='Bonding Program'!$H$12),'Bonding Program'!$T$12,0)</f>
        <v>0</v>
      </c>
      <c r="U107" s="19" t="n">
        <f aca="false">IF(AND('Bonding Program'!$S$12=1,U$3='Bonding Program'!$H$12),'Bonding Program'!$T$12,0)</f>
        <v>0</v>
      </c>
      <c r="V107" s="19" t="n">
        <f aca="false">IF(AND('Bonding Program'!$S$12=1,V$3='Bonding Program'!$H$12),'Bonding Program'!$T$12,0)</f>
        <v>0</v>
      </c>
      <c r="W107" s="19" t="n">
        <f aca="false">IF(AND('Bonding Program'!$S$12=1,W$3='Bonding Program'!$H$12),'Bonding Program'!$T$12,0)</f>
        <v>0</v>
      </c>
      <c r="X107" s="19" t="n">
        <f aca="false">IF(AND('Bonding Program'!$S$12=1,X$3='Bonding Program'!$H$12),'Bonding Program'!$T$12,0)</f>
        <v>0</v>
      </c>
      <c r="Y107" s="19" t="n">
        <f aca="false">IF(AND('Bonding Program'!$S$12=1,Y$3='Bonding Program'!$H$12),'Bonding Program'!$T$12,0)</f>
        <v>0</v>
      </c>
      <c r="Z107" s="19" t="n">
        <f aca="false">IF(AND('Bonding Program'!$S$12=1,Z$3='Bonding Program'!$H$12),'Bonding Program'!$T$12,0)</f>
        <v>0</v>
      </c>
      <c r="AA107" s="19" t="n">
        <f aca="false">IF(AND('Bonding Program'!$S$12=1,AA$3='Bonding Program'!$H$12),'Bonding Program'!$T$12,0)</f>
        <v>0</v>
      </c>
      <c r="AB107" s="19" t="n">
        <f aca="false">IF(AND('Bonding Program'!$S$12=1,AB$3='Bonding Program'!$H$12),'Bonding Program'!$T$12,0)</f>
        <v>0</v>
      </c>
      <c r="AC107" s="19" t="n">
        <f aca="false">IF(AND('Bonding Program'!$S$12=1,AC$3='Bonding Program'!$H$12),'Bonding Program'!$T$12,0)</f>
        <v>0</v>
      </c>
      <c r="AD107" s="19" t="n">
        <f aca="false">IF(AND('Bonding Program'!$S$12=1,AD$3='Bonding Program'!$H$12),'Bonding Program'!$T$12,0)</f>
        <v>0</v>
      </c>
      <c r="AE107" s="19" t="n">
        <f aca="false">IF(AND('Bonding Program'!$S$12=1,AE$3='Bonding Program'!$H$12),'Bonding Program'!$T$12,0)</f>
        <v>0</v>
      </c>
      <c r="AF107" s="19" t="n">
        <f aca="false">IF(AND('Bonding Program'!$S$12=1,AF$3='Bonding Program'!$H$12),'Bonding Program'!$T$12,0)</f>
        <v>0</v>
      </c>
      <c r="AG107" s="19" t="n">
        <f aca="false">IF(AND('Bonding Program'!$S$12=1,AG$3='Bonding Program'!$H$12),'Bonding Program'!$T$12,0)</f>
        <v>0</v>
      </c>
      <c r="AH107" s="19" t="n">
        <f aca="false">IF(AND('Bonding Program'!$S$12=1,AH$3='Bonding Program'!$H$12),'Bonding Program'!$T$12,0)</f>
        <v>0</v>
      </c>
      <c r="AI107" s="19" t="n">
        <f aca="false">IF(AND('Bonding Program'!$S$12=1,AI$3='Bonding Program'!$H$12),'Bonding Program'!$T$12,0)</f>
        <v>0</v>
      </c>
      <c r="AJ107" s="19" t="n">
        <f aca="false">IF(AND('Bonding Program'!$S$12=1,AJ$3='Bonding Program'!$H$12),'Bonding Program'!$T$12,0)</f>
        <v>0</v>
      </c>
      <c r="AK107" s="19" t="n">
        <f aca="false">IF(AND('Bonding Program'!$S$12=1,AK$3='Bonding Program'!$H$12),'Bonding Program'!$T$12,0)</f>
        <v>0</v>
      </c>
      <c r="AL107" s="19" t="n">
        <f aca="false">IF(AND('Bonding Program'!$S$12=1,AL$3='Bonding Program'!$H$12),'Bonding Program'!$T$12,0)</f>
        <v>0</v>
      </c>
      <c r="AM107" s="19" t="n">
        <f aca="false">IF(AND('Bonding Program'!$S$12=1,AM$3='Bonding Program'!$H$12),'Bonding Program'!$T$12,0)</f>
        <v>0</v>
      </c>
      <c r="AN107" s="19" t="n">
        <f aca="false">IF(AND('Bonding Program'!$S$12=1,AN$3='Bonding Program'!$H$12),'Bonding Program'!$T$12,0)</f>
        <v>0</v>
      </c>
      <c r="AO107" s="19" t="n">
        <f aca="false">IF(AND('Bonding Program'!$S$12=1,AO$3='Bonding Program'!$H$12),'Bonding Program'!$T$12,0)</f>
        <v>0</v>
      </c>
      <c r="AP107" s="19" t="n">
        <f aca="false">IF(AND('Bonding Program'!$S$12=1,AP$3='Bonding Program'!$H$12),'Bonding Program'!$T$12,0)</f>
        <v>0</v>
      </c>
      <c r="AQ107" s="19" t="n">
        <f aca="false">IF(AND('Bonding Program'!$S$12=1,AQ$3='Bonding Program'!$H$12),'Bonding Program'!$T$12,0)</f>
        <v>0</v>
      </c>
      <c r="AR107" s="19" t="n">
        <f aca="false">IF(AND('Bonding Program'!$S$12=1,AR$3='Bonding Program'!$H$12),'Bonding Program'!$T$12,0)</f>
        <v>0</v>
      </c>
      <c r="AS107" s="19" t="n">
        <f aca="false">IF(AND('Bonding Program'!$S$12=1,AS$3='Bonding Program'!$H$12),'Bonding Program'!$T$12,0)</f>
        <v>0</v>
      </c>
      <c r="AT107" s="19" t="n">
        <f aca="false">IF(AND('Bonding Program'!$S$12=1,AT$3='Bonding Program'!$H$12),'Bonding Program'!$T$12,0)</f>
        <v>0</v>
      </c>
      <c r="AU107" s="19" t="n">
        <f aca="false">IF(AND('Bonding Program'!$S$12=1,AU$3='Bonding Program'!$H$12),'Bonding Program'!$T$12,0)</f>
        <v>0</v>
      </c>
      <c r="AV107" s="19" t="n">
        <f aca="false">IF(AND('Bonding Program'!$S$12=1,AV$3='Bonding Program'!$H$12),'Bonding Program'!$T$12,0)</f>
        <v>0</v>
      </c>
      <c r="AW107" s="19" t="n">
        <f aca="false">IF(AND('Bonding Program'!$S$12=1,AW$3='Bonding Program'!$H$12),'Bonding Program'!$T$12,0)</f>
        <v>0</v>
      </c>
      <c r="AX107" s="19" t="n">
        <f aca="false">IF(AND('Bonding Program'!$S$12=1,AX$3='Bonding Program'!$H$12),'Bonding Program'!$T$12,0)</f>
        <v>0</v>
      </c>
      <c r="AY107" s="19" t="n">
        <f aca="false">IF(AND('Bonding Program'!$S$12=1,AY$3='Bonding Program'!$H$12),'Bonding Program'!$T$12,0)</f>
        <v>0</v>
      </c>
      <c r="AZ107" s="19" t="n">
        <f aca="false">IF(AND('Bonding Program'!$S$12=1,AZ$3='Bonding Program'!$H$12),'Bonding Program'!$T$12,0)</f>
        <v>0</v>
      </c>
      <c r="BA107" s="19" t="n">
        <f aca="false">IF(AND('Bonding Program'!$S$12=1,BA$3='Bonding Program'!$H$12),'Bonding Program'!$T$12,0)</f>
        <v>0</v>
      </c>
      <c r="BB107" s="19" t="n">
        <f aca="false">IF(AND('Bonding Program'!$S$12=1,BB$3='Bonding Program'!$H$12),'Bonding Program'!$T$12,0)</f>
        <v>0</v>
      </c>
      <c r="BC107" s="19" t="n">
        <f aca="false">IF(AND('Bonding Program'!$S$12=1,BC$3='Bonding Program'!$H$12),'Bonding Program'!$T$12,0)</f>
        <v>0</v>
      </c>
      <c r="BD107" s="19" t="n">
        <f aca="false">IF(AND('Bonding Program'!$S$12=1,BD$3='Bonding Program'!$H$12),'Bonding Program'!$T$12,0)</f>
        <v>0</v>
      </c>
      <c r="BE107" s="19" t="n">
        <f aca="false">IF(AND('Bonding Program'!$S$12=1,BE$3='Bonding Program'!$H$12),'Bonding Program'!$T$12,0)</f>
        <v>0</v>
      </c>
      <c r="BF107" s="19" t="n">
        <f aca="false">IF(AND('Bonding Program'!$S$12=1,BF$3='Bonding Program'!$H$12),'Bonding Program'!$T$12,0)</f>
        <v>0</v>
      </c>
      <c r="BG107" s="19" t="n">
        <f aca="false">IF(AND('Bonding Program'!$S$12=1,BG$3='Bonding Program'!$H$12),'Bonding Program'!$T$12,0)</f>
        <v>0</v>
      </c>
      <c r="BH107" s="19" t="n">
        <f aca="false">IF(AND('Bonding Program'!$S$12=1,BH$3='Bonding Program'!$H$12),'Bonding Program'!$T$12,0)</f>
        <v>0</v>
      </c>
      <c r="BI107" s="19" t="n">
        <f aca="false">IF(AND('Bonding Program'!$S$12=1,BI$3='Bonding Program'!$H$12),'Bonding Program'!$T$12,0)</f>
        <v>0</v>
      </c>
      <c r="BJ107" s="19" t="n">
        <f aca="false">IF(AND('Bonding Program'!$S$12=1,BJ$3='Bonding Program'!$H$12),'Bonding Program'!$T$12,0)</f>
        <v>0</v>
      </c>
      <c r="BK107" s="19" t="n">
        <f aca="false">IF(AND('Bonding Program'!$S$12=1,BK$3='Bonding Program'!$H$12),'Bonding Program'!$T$12,0)</f>
        <v>0</v>
      </c>
      <c r="BL107" s="19" t="n">
        <f aca="false">IF(AND('Bonding Program'!$S$12=1,BL$3='Bonding Program'!$H$12),'Bonding Program'!$T$12,0)</f>
        <v>0</v>
      </c>
      <c r="BM107" s="19" t="n">
        <f aca="false">IF(AND('Bonding Program'!$S$12=1,BM$3='Bonding Program'!$H$12),'Bonding Program'!$T$12,0)</f>
        <v>0</v>
      </c>
      <c r="BN107" s="19" t="n">
        <f aca="false">IF(AND('Bonding Program'!$S$12=1,BN$3='Bonding Program'!$H$12),'Bonding Program'!$T$12,0)</f>
        <v>0</v>
      </c>
      <c r="BO107" s="19" t="n">
        <f aca="false">IF(AND('Bonding Program'!$S$12=1,BO$3='Bonding Program'!$H$12),'Bonding Program'!$T$12,0)</f>
        <v>0</v>
      </c>
      <c r="BP107" s="19" t="n">
        <f aca="false">IF(AND('Bonding Program'!$S$12=1,BP$3='Bonding Program'!$H$12),'Bonding Program'!$T$12,0)</f>
        <v>0</v>
      </c>
      <c r="BQ107" s="19" t="n">
        <f aca="false">IF(AND('Bonding Program'!$S$12=1,BQ$3='Bonding Program'!$H$12),'Bonding Program'!$T$12,0)</f>
        <v>0</v>
      </c>
      <c r="BR107" s="19" t="n">
        <f aca="false">IF(AND('Bonding Program'!$S$12=1,BR$3='Bonding Program'!$H$12),'Bonding Program'!$T$12,0)</f>
        <v>0</v>
      </c>
      <c r="BS107" s="19" t="n">
        <f aca="false">IF(AND('Bonding Program'!$S$12=1,BS$3='Bonding Program'!$H$12),'Bonding Program'!$T$12,0)</f>
        <v>0</v>
      </c>
      <c r="BT107" s="19" t="n">
        <f aca="false">IF(AND('Bonding Program'!$S$12=1,BT$3='Bonding Program'!$H$12),'Bonding Program'!$T$12,0)</f>
        <v>0</v>
      </c>
      <c r="BU107" s="19" t="n">
        <f aca="false">IF(AND('Bonding Program'!$S$12=1,BU$3='Bonding Program'!$H$12),'Bonding Program'!$T$12,0)</f>
        <v>0</v>
      </c>
      <c r="BV107" s="19" t="n">
        <f aca="false">IF(AND('Bonding Program'!$S$12=1,BV$3='Bonding Program'!$H$12),'Bonding Program'!$T$12,0)</f>
        <v>0</v>
      </c>
      <c r="BW107" s="19" t="n">
        <f aca="false">IF(AND('Bonding Program'!$S$12=1,BW$3='Bonding Program'!$H$12),'Bonding Program'!$T$12,0)</f>
        <v>0</v>
      </c>
      <c r="BX107" s="19" t="n">
        <f aca="false">IF(AND('Bonding Program'!$S$12=1,BX$3='Bonding Program'!$H$12),'Bonding Program'!$T$12,0)</f>
        <v>0</v>
      </c>
      <c r="BY107" s="19" t="n">
        <f aca="false">IF(AND('Bonding Program'!$S$12=1,BY$3='Bonding Program'!$H$12),'Bonding Program'!$T$12,0)</f>
        <v>0</v>
      </c>
      <c r="BZ107" s="19" t="n">
        <f aca="false">IF(AND('Bonding Program'!$S$12=1,BZ$3='Bonding Program'!$H$12),'Bonding Program'!$T$12,0)</f>
        <v>0</v>
      </c>
      <c r="CA107" s="19" t="n">
        <f aca="false">IF(AND('Bonding Program'!$S$12=1,CA$3='Bonding Program'!$H$12),'Bonding Program'!$T$12,0)</f>
        <v>0</v>
      </c>
      <c r="CB107" s="19" t="n">
        <f aca="false">IF(AND('Bonding Program'!$S$12=1,CB$3='Bonding Program'!$H$12),'Bonding Program'!$T$12,0)</f>
        <v>0</v>
      </c>
      <c r="CC107" s="19" t="n">
        <f aca="false">IF(AND('Bonding Program'!$S$12=1,CC$3='Bonding Program'!$H$12),'Bonding Program'!$T$12,0)</f>
        <v>0</v>
      </c>
      <c r="CD107" s="19" t="n">
        <f aca="false">IF(AND('Bonding Program'!$S$12=1,CD$3='Bonding Program'!$H$12),'Bonding Program'!$T$12,0)</f>
        <v>0</v>
      </c>
      <c r="CE107" s="19" t="n">
        <f aca="false">IF(AND('Bonding Program'!$S$12=1,CE$3='Bonding Program'!$H$12),'Bonding Program'!$T$12,0)</f>
        <v>0</v>
      </c>
      <c r="CF107" s="19" t="n">
        <f aca="false">IF(AND('Bonding Program'!$S$12=1,CF$3='Bonding Program'!$H$12),'Bonding Program'!$T$12,0)</f>
        <v>0</v>
      </c>
      <c r="CG107" s="19" t="n">
        <f aca="false">IF(AND('Bonding Program'!$S$12=1,CG$3='Bonding Program'!$H$12),'Bonding Program'!$T$12,0)</f>
        <v>0</v>
      </c>
      <c r="CH107" s="19" t="n">
        <f aca="false">IF(AND('Bonding Program'!$S$12=1,CH$3='Bonding Program'!$H$12),'Bonding Program'!$T$12,0)</f>
        <v>0</v>
      </c>
      <c r="CI107" s="19" t="n">
        <f aca="false">IF(AND('Bonding Program'!$S$12=1,CI$3='Bonding Program'!$H$12),'Bonding Program'!$T$12,0)</f>
        <v>0</v>
      </c>
      <c r="CJ107" s="19" t="n">
        <f aca="false">IF(AND('Bonding Program'!$S$12=1,CJ$3='Bonding Program'!$H$12),'Bonding Program'!$T$12,0)</f>
        <v>0</v>
      </c>
      <c r="CK107" s="19" t="n">
        <f aca="false">IF(AND('Bonding Program'!$S$12=1,CK$3='Bonding Program'!$H$12),'Bonding Program'!$T$12,0)</f>
        <v>0</v>
      </c>
      <c r="CL107" s="19" t="n">
        <f aca="false">IF(AND('Bonding Program'!$S$12=1,CL$3='Bonding Program'!$H$12),'Bonding Program'!$T$12,0)</f>
        <v>0</v>
      </c>
      <c r="CM107" s="19" t="n">
        <f aca="false">IF(AND('Bonding Program'!$S$12=1,CM$3='Bonding Program'!$H$12),'Bonding Program'!$T$12,0)</f>
        <v>0</v>
      </c>
      <c r="CN107" s="19" t="n">
        <f aca="false">IF(AND('Bonding Program'!$S$12=1,CN$3='Bonding Program'!$H$12),'Bonding Program'!$T$12,0)</f>
        <v>0</v>
      </c>
      <c r="CO107" s="19" t="n">
        <f aca="false">IF(AND('Bonding Program'!$S$12=1,CO$3='Bonding Program'!$H$12),'Bonding Program'!$T$12,0)</f>
        <v>0</v>
      </c>
      <c r="CP107" s="19" t="n">
        <f aca="false">IF(AND('Bonding Program'!$S$12=1,CP$3='Bonding Program'!$H$12),'Bonding Program'!$T$12,0)</f>
        <v>0</v>
      </c>
      <c r="CQ107" s="19" t="n">
        <f aca="false">IF(AND('Bonding Program'!$S$12=1,CQ$3='Bonding Program'!$H$12),'Bonding Program'!$T$12,0)</f>
        <v>0</v>
      </c>
      <c r="CR107" s="19" t="n">
        <f aca="false">IF(AND('Bonding Program'!$S$12=1,CR$3='Bonding Program'!$H$12),'Bonding Program'!$T$12,0)</f>
        <v>0</v>
      </c>
      <c r="CS107" s="19" t="n">
        <f aca="false">IF(AND('Bonding Program'!$S$12=1,CS$3='Bonding Program'!$H$12),'Bonding Program'!$T$12,0)</f>
        <v>0</v>
      </c>
      <c r="CT107" s="19" t="n">
        <f aca="false">IF(AND('Bonding Program'!$S$12=1,CT$3='Bonding Program'!$H$12),'Bonding Program'!$T$12,0)</f>
        <v>0</v>
      </c>
      <c r="CU107" s="19" t="n">
        <f aca="false">IF(AND('Bonding Program'!$S$12=1,CU$3='Bonding Program'!$H$12),'Bonding Program'!$T$12,0)</f>
        <v>0</v>
      </c>
      <c r="CV107" s="19" t="n">
        <f aca="false">IF(AND('Bonding Program'!$S$12=1,CV$3='Bonding Program'!$H$12),'Bonding Program'!$T$12,0)</f>
        <v>0</v>
      </c>
      <c r="CW107" s="19" t="n">
        <f aca="false">IF(AND('Bonding Program'!$S$12=1,CW$3='Bonding Program'!$H$12),'Bonding Program'!$T$12,0)</f>
        <v>0</v>
      </c>
      <c r="CX107" s="19" t="n">
        <f aca="false">IF(AND('Bonding Program'!$S$12=1,CX$3='Bonding Program'!$H$12),'Bonding Program'!$T$12,0)</f>
        <v>0</v>
      </c>
      <c r="CY107" s="19" t="n">
        <f aca="false">IF(AND('Bonding Program'!$S$12=1,CY$3='Bonding Program'!$H$12),'Bonding Program'!$T$12,0)</f>
        <v>0</v>
      </c>
      <c r="CZ107" s="19" t="n">
        <f aca="false">IF(AND('Bonding Program'!$S$12=1,CZ$3='Bonding Program'!$H$12),'Bonding Program'!$T$12,0)</f>
        <v>0</v>
      </c>
      <c r="DA107" s="19" t="n">
        <f aca="false">IF(AND('Bonding Program'!$S$12=1,DA$3='Bonding Program'!$H$12),'Bonding Program'!$T$12,0)</f>
        <v>0</v>
      </c>
      <c r="DB107" s="19" t="n">
        <f aca="false">IF(AND('Bonding Program'!$S$12=1,DB$3='Bonding Program'!$H$12),'Bonding Program'!$T$12,0)</f>
        <v>0</v>
      </c>
      <c r="DC107" s="19" t="n">
        <f aca="false">IF(AND('Bonding Program'!$S$12=1,DC$3='Bonding Program'!$H$12),'Bonding Program'!$T$12,0)</f>
        <v>0</v>
      </c>
      <c r="DD107" s="19" t="n">
        <f aca="false">IF(AND('Bonding Program'!$S$12=1,DD$3='Bonding Program'!$H$12),'Bonding Program'!$T$12,0)</f>
        <v>0</v>
      </c>
      <c r="DE107" s="19" t="n">
        <f aca="false">IF(AND('Bonding Program'!$S$12=1,DE$3='Bonding Program'!$H$12),'Bonding Program'!$T$12,0)</f>
        <v>0</v>
      </c>
    </row>
    <row r="108" customFormat="false" ht="15" hidden="false" customHeight="true" outlineLevel="1" collapsed="false">
      <c r="A108" s="28" t="s">
        <v>9</v>
      </c>
      <c r="B108" s="19" t="n">
        <f aca="false">IF(AND('Bonding Program'!$S$13=1,B$3='Bonding Program'!$H$13),'Bonding Program'!$T$13,0)</f>
        <v>0</v>
      </c>
      <c r="C108" s="19" t="n">
        <f aca="false">IF(AND('Bonding Program'!$S$13=1,C$3='Bonding Program'!$H$13),'Bonding Program'!$T$13,0)</f>
        <v>0</v>
      </c>
      <c r="D108" s="19" t="n">
        <f aca="false">IF(AND('Bonding Program'!$S$13=1,D$3='Bonding Program'!$H$13),'Bonding Program'!$T$13,0)</f>
        <v>0</v>
      </c>
      <c r="E108" s="19" t="n">
        <f aca="false">IF(AND('Bonding Program'!$S$13=1,E$3='Bonding Program'!$H$13),'Bonding Program'!$T$13,0)</f>
        <v>0</v>
      </c>
      <c r="F108" s="19" t="n">
        <f aca="false">IF(AND('Bonding Program'!$S$13=1,F$3='Bonding Program'!$H$13),'Bonding Program'!$T$13,0)</f>
        <v>0</v>
      </c>
      <c r="G108" s="19" t="n">
        <f aca="false">IF(AND('Bonding Program'!$S$13=1,G$3='Bonding Program'!$H$13),'Bonding Program'!$T$13,0)</f>
        <v>0</v>
      </c>
      <c r="H108" s="19" t="n">
        <f aca="false">IF(AND('Bonding Program'!$S$13=1,H$3='Bonding Program'!$H$13),'Bonding Program'!$T$13,0)</f>
        <v>0</v>
      </c>
      <c r="I108" s="19" t="n">
        <f aca="false">IF(AND('Bonding Program'!$S$13=1,I$3='Bonding Program'!$H$13),'Bonding Program'!$T$13,0)</f>
        <v>0</v>
      </c>
      <c r="J108" s="19" t="n">
        <f aca="false">IF(AND('Bonding Program'!$S$13=1,J$3='Bonding Program'!$H$13),'Bonding Program'!$T$13,0)</f>
        <v>0</v>
      </c>
      <c r="K108" s="19" t="n">
        <f aca="false">IF(AND('Bonding Program'!$S$13=1,K$3='Bonding Program'!$H$13),'Bonding Program'!$T$13,0)</f>
        <v>0</v>
      </c>
      <c r="L108" s="19" t="n">
        <f aca="false">IF(AND('Bonding Program'!$S$13=1,L$3='Bonding Program'!$H$13),'Bonding Program'!$T$13,0)</f>
        <v>0</v>
      </c>
      <c r="M108" s="19" t="n">
        <f aca="false">IF(AND('Bonding Program'!$S$13=1,M$3='Bonding Program'!$H$13),'Bonding Program'!$T$13,0)</f>
        <v>0</v>
      </c>
      <c r="N108" s="19" t="n">
        <f aca="false">IF(AND('Bonding Program'!$S$13=1,N$3='Bonding Program'!$H$13),'Bonding Program'!$T$13,0)</f>
        <v>0</v>
      </c>
      <c r="O108" s="19" t="n">
        <f aca="false">IF(AND('Bonding Program'!$S$13=1,O$3='Bonding Program'!$H$13),'Bonding Program'!$T$13,0)</f>
        <v>0</v>
      </c>
      <c r="P108" s="19" t="n">
        <f aca="false">IF(AND('Bonding Program'!$S$13=1,P$3='Bonding Program'!$H$13),'Bonding Program'!$T$13,0)</f>
        <v>0</v>
      </c>
      <c r="Q108" s="19" t="n">
        <f aca="false">IF(AND('Bonding Program'!$S$13=1,Q$3='Bonding Program'!$H$13),'Bonding Program'!$T$13,0)</f>
        <v>0</v>
      </c>
      <c r="R108" s="19" t="n">
        <f aca="false">IF(AND('Bonding Program'!$S$13=1,R$3='Bonding Program'!$H$13),'Bonding Program'!$T$13,0)</f>
        <v>0</v>
      </c>
      <c r="S108" s="19" t="n">
        <f aca="false">IF(AND('Bonding Program'!$S$13=1,S$3='Bonding Program'!$H$13),'Bonding Program'!$T$13,0)</f>
        <v>0</v>
      </c>
      <c r="T108" s="19" t="n">
        <f aca="false">IF(AND('Bonding Program'!$S$13=1,T$3='Bonding Program'!$H$13),'Bonding Program'!$T$13,0)</f>
        <v>0</v>
      </c>
      <c r="U108" s="19" t="n">
        <f aca="false">IF(AND('Bonding Program'!$S$13=1,U$3='Bonding Program'!$H$13),'Bonding Program'!$T$13,0)</f>
        <v>0</v>
      </c>
      <c r="V108" s="19" t="n">
        <f aca="false">IF(AND('Bonding Program'!$S$13=1,V$3='Bonding Program'!$H$13),'Bonding Program'!$T$13,0)</f>
        <v>0</v>
      </c>
      <c r="W108" s="19" t="n">
        <f aca="false">IF(AND('Bonding Program'!$S$13=1,W$3='Bonding Program'!$H$13),'Bonding Program'!$T$13,0)</f>
        <v>0</v>
      </c>
      <c r="X108" s="19" t="n">
        <f aca="false">IF(AND('Bonding Program'!$S$13=1,X$3='Bonding Program'!$H$13),'Bonding Program'!$T$13,0)</f>
        <v>0</v>
      </c>
      <c r="Y108" s="19" t="n">
        <f aca="false">IF(AND('Bonding Program'!$S$13=1,Y$3='Bonding Program'!$H$13),'Bonding Program'!$T$13,0)</f>
        <v>0</v>
      </c>
      <c r="Z108" s="19" t="n">
        <f aca="false">IF(AND('Bonding Program'!$S$13=1,Z$3='Bonding Program'!$H$13),'Bonding Program'!$T$13,0)</f>
        <v>0</v>
      </c>
      <c r="AA108" s="19" t="n">
        <f aca="false">IF(AND('Bonding Program'!$S$13=1,AA$3='Bonding Program'!$H$13),'Bonding Program'!$T$13,0)</f>
        <v>0</v>
      </c>
      <c r="AB108" s="19" t="n">
        <f aca="false">IF(AND('Bonding Program'!$S$13=1,AB$3='Bonding Program'!$H$13),'Bonding Program'!$T$13,0)</f>
        <v>0</v>
      </c>
      <c r="AC108" s="19" t="n">
        <f aca="false">IF(AND('Bonding Program'!$S$13=1,AC$3='Bonding Program'!$H$13),'Bonding Program'!$T$13,0)</f>
        <v>0</v>
      </c>
      <c r="AD108" s="19" t="n">
        <f aca="false">IF(AND('Bonding Program'!$S$13=1,AD$3='Bonding Program'!$H$13),'Bonding Program'!$T$13,0)</f>
        <v>0</v>
      </c>
      <c r="AE108" s="19" t="n">
        <f aca="false">IF(AND('Bonding Program'!$S$13=1,AE$3='Bonding Program'!$H$13),'Bonding Program'!$T$13,0)</f>
        <v>0</v>
      </c>
      <c r="AF108" s="19" t="n">
        <f aca="false">IF(AND('Bonding Program'!$S$13=1,AF$3='Bonding Program'!$H$13),'Bonding Program'!$T$13,0)</f>
        <v>0</v>
      </c>
      <c r="AG108" s="19" t="n">
        <f aca="false">IF(AND('Bonding Program'!$S$13=1,AG$3='Bonding Program'!$H$13),'Bonding Program'!$T$13,0)</f>
        <v>0</v>
      </c>
      <c r="AH108" s="19" t="n">
        <f aca="false">IF(AND('Bonding Program'!$S$13=1,AH$3='Bonding Program'!$H$13),'Bonding Program'!$T$13,0)</f>
        <v>0</v>
      </c>
      <c r="AI108" s="19" t="n">
        <f aca="false">IF(AND('Bonding Program'!$S$13=1,AI$3='Bonding Program'!$H$13),'Bonding Program'!$T$13,0)</f>
        <v>0</v>
      </c>
      <c r="AJ108" s="19" t="n">
        <f aca="false">IF(AND('Bonding Program'!$S$13=1,AJ$3='Bonding Program'!$H$13),'Bonding Program'!$T$13,0)</f>
        <v>0</v>
      </c>
      <c r="AK108" s="19" t="n">
        <f aca="false">IF(AND('Bonding Program'!$S$13=1,AK$3='Bonding Program'!$H$13),'Bonding Program'!$T$13,0)</f>
        <v>0</v>
      </c>
      <c r="AL108" s="19" t="n">
        <f aca="false">IF(AND('Bonding Program'!$S$13=1,AL$3='Bonding Program'!$H$13),'Bonding Program'!$T$13,0)</f>
        <v>0</v>
      </c>
      <c r="AM108" s="19" t="n">
        <f aca="false">IF(AND('Bonding Program'!$S$13=1,AM$3='Bonding Program'!$H$13),'Bonding Program'!$T$13,0)</f>
        <v>0</v>
      </c>
      <c r="AN108" s="19" t="n">
        <f aca="false">IF(AND('Bonding Program'!$S$13=1,AN$3='Bonding Program'!$H$13),'Bonding Program'!$T$13,0)</f>
        <v>0</v>
      </c>
      <c r="AO108" s="19" t="n">
        <f aca="false">IF(AND('Bonding Program'!$S$13=1,AO$3='Bonding Program'!$H$13),'Bonding Program'!$T$13,0)</f>
        <v>0</v>
      </c>
      <c r="AP108" s="19" t="n">
        <f aca="false">IF(AND('Bonding Program'!$S$13=1,AP$3='Bonding Program'!$H$13),'Bonding Program'!$T$13,0)</f>
        <v>0</v>
      </c>
      <c r="AQ108" s="19" t="n">
        <f aca="false">IF(AND('Bonding Program'!$S$13=1,AQ$3='Bonding Program'!$H$13),'Bonding Program'!$T$13,0)</f>
        <v>0</v>
      </c>
      <c r="AR108" s="19" t="n">
        <f aca="false">IF(AND('Bonding Program'!$S$13=1,AR$3='Bonding Program'!$H$13),'Bonding Program'!$T$13,0)</f>
        <v>0</v>
      </c>
      <c r="AS108" s="19" t="n">
        <f aca="false">IF(AND('Bonding Program'!$S$13=1,AS$3='Bonding Program'!$H$13),'Bonding Program'!$T$13,0)</f>
        <v>0</v>
      </c>
      <c r="AT108" s="19" t="n">
        <f aca="false">IF(AND('Bonding Program'!$S$13=1,AT$3='Bonding Program'!$H$13),'Bonding Program'!$T$13,0)</f>
        <v>0</v>
      </c>
      <c r="AU108" s="19" t="n">
        <f aca="false">IF(AND('Bonding Program'!$S$13=1,AU$3='Bonding Program'!$H$13),'Bonding Program'!$T$13,0)</f>
        <v>0</v>
      </c>
      <c r="AV108" s="19" t="n">
        <f aca="false">IF(AND('Bonding Program'!$S$13=1,AV$3='Bonding Program'!$H$13),'Bonding Program'!$T$13,0)</f>
        <v>0</v>
      </c>
      <c r="AW108" s="19" t="n">
        <f aca="false">IF(AND('Bonding Program'!$S$13=1,AW$3='Bonding Program'!$H$13),'Bonding Program'!$T$13,0)</f>
        <v>0</v>
      </c>
      <c r="AX108" s="19" t="n">
        <f aca="false">IF(AND('Bonding Program'!$S$13=1,AX$3='Bonding Program'!$H$13),'Bonding Program'!$T$13,0)</f>
        <v>0</v>
      </c>
      <c r="AY108" s="19" t="n">
        <f aca="false">IF(AND('Bonding Program'!$S$13=1,AY$3='Bonding Program'!$H$13),'Bonding Program'!$T$13,0)</f>
        <v>0</v>
      </c>
      <c r="AZ108" s="19" t="n">
        <f aca="false">IF(AND('Bonding Program'!$S$13=1,AZ$3='Bonding Program'!$H$13),'Bonding Program'!$T$13,0)</f>
        <v>0</v>
      </c>
      <c r="BA108" s="19" t="n">
        <f aca="false">IF(AND('Bonding Program'!$S$13=1,BA$3='Bonding Program'!$H$13),'Bonding Program'!$T$13,0)</f>
        <v>0</v>
      </c>
      <c r="BB108" s="19" t="n">
        <f aca="false">IF(AND('Bonding Program'!$S$13=1,BB$3='Bonding Program'!$H$13),'Bonding Program'!$T$13,0)</f>
        <v>0</v>
      </c>
      <c r="BC108" s="19" t="n">
        <f aca="false">IF(AND('Bonding Program'!$S$13=1,BC$3='Bonding Program'!$H$13),'Bonding Program'!$T$13,0)</f>
        <v>0</v>
      </c>
      <c r="BD108" s="19" t="n">
        <f aca="false">IF(AND('Bonding Program'!$S$13=1,BD$3='Bonding Program'!$H$13),'Bonding Program'!$T$13,0)</f>
        <v>0</v>
      </c>
      <c r="BE108" s="19" t="n">
        <f aca="false">IF(AND('Bonding Program'!$S$13=1,BE$3='Bonding Program'!$H$13),'Bonding Program'!$T$13,0)</f>
        <v>0</v>
      </c>
      <c r="BF108" s="19" t="n">
        <f aca="false">IF(AND('Bonding Program'!$S$13=1,BF$3='Bonding Program'!$H$13),'Bonding Program'!$T$13,0)</f>
        <v>0</v>
      </c>
      <c r="BG108" s="19" t="n">
        <f aca="false">IF(AND('Bonding Program'!$S$13=1,BG$3='Bonding Program'!$H$13),'Bonding Program'!$T$13,0)</f>
        <v>0</v>
      </c>
      <c r="BH108" s="19" t="n">
        <f aca="false">IF(AND('Bonding Program'!$S$13=1,BH$3='Bonding Program'!$H$13),'Bonding Program'!$T$13,0)</f>
        <v>0</v>
      </c>
      <c r="BI108" s="19" t="n">
        <f aca="false">IF(AND('Bonding Program'!$S$13=1,BI$3='Bonding Program'!$H$13),'Bonding Program'!$T$13,0)</f>
        <v>0</v>
      </c>
      <c r="BJ108" s="19" t="n">
        <f aca="false">IF(AND('Bonding Program'!$S$13=1,BJ$3='Bonding Program'!$H$13),'Bonding Program'!$T$13,0)</f>
        <v>0</v>
      </c>
      <c r="BK108" s="19" t="n">
        <f aca="false">IF(AND('Bonding Program'!$S$13=1,BK$3='Bonding Program'!$H$13),'Bonding Program'!$T$13,0)</f>
        <v>0</v>
      </c>
      <c r="BL108" s="19" t="n">
        <f aca="false">IF(AND('Bonding Program'!$S$13=1,BL$3='Bonding Program'!$H$13),'Bonding Program'!$T$13,0)</f>
        <v>0</v>
      </c>
      <c r="BM108" s="19" t="n">
        <f aca="false">IF(AND('Bonding Program'!$S$13=1,BM$3='Bonding Program'!$H$13),'Bonding Program'!$T$13,0)</f>
        <v>0</v>
      </c>
      <c r="BN108" s="19" t="n">
        <f aca="false">IF(AND('Bonding Program'!$S$13=1,BN$3='Bonding Program'!$H$13),'Bonding Program'!$T$13,0)</f>
        <v>0</v>
      </c>
      <c r="BO108" s="19" t="n">
        <f aca="false">IF(AND('Bonding Program'!$S$13=1,BO$3='Bonding Program'!$H$13),'Bonding Program'!$T$13,0)</f>
        <v>0</v>
      </c>
      <c r="BP108" s="19" t="n">
        <f aca="false">IF(AND('Bonding Program'!$S$13=1,BP$3='Bonding Program'!$H$13),'Bonding Program'!$T$13,0)</f>
        <v>0</v>
      </c>
      <c r="BQ108" s="19" t="n">
        <f aca="false">IF(AND('Bonding Program'!$S$13=1,BQ$3='Bonding Program'!$H$13),'Bonding Program'!$T$13,0)</f>
        <v>0</v>
      </c>
      <c r="BR108" s="19" t="n">
        <f aca="false">IF(AND('Bonding Program'!$S$13=1,BR$3='Bonding Program'!$H$13),'Bonding Program'!$T$13,0)</f>
        <v>0</v>
      </c>
      <c r="BS108" s="19" t="n">
        <f aca="false">IF(AND('Bonding Program'!$S$13=1,BS$3='Bonding Program'!$H$13),'Bonding Program'!$T$13,0)</f>
        <v>0</v>
      </c>
      <c r="BT108" s="19" t="n">
        <f aca="false">IF(AND('Bonding Program'!$S$13=1,BT$3='Bonding Program'!$H$13),'Bonding Program'!$T$13,0)</f>
        <v>0</v>
      </c>
      <c r="BU108" s="19" t="n">
        <f aca="false">IF(AND('Bonding Program'!$S$13=1,BU$3='Bonding Program'!$H$13),'Bonding Program'!$T$13,0)</f>
        <v>0</v>
      </c>
      <c r="BV108" s="19" t="n">
        <f aca="false">IF(AND('Bonding Program'!$S$13=1,BV$3='Bonding Program'!$H$13),'Bonding Program'!$T$13,0)</f>
        <v>0</v>
      </c>
      <c r="BW108" s="19" t="n">
        <f aca="false">IF(AND('Bonding Program'!$S$13=1,BW$3='Bonding Program'!$H$13),'Bonding Program'!$T$13,0)</f>
        <v>0</v>
      </c>
      <c r="BX108" s="19" t="n">
        <f aca="false">IF(AND('Bonding Program'!$S$13=1,BX$3='Bonding Program'!$H$13),'Bonding Program'!$T$13,0)</f>
        <v>0</v>
      </c>
      <c r="BY108" s="19" t="n">
        <f aca="false">IF(AND('Bonding Program'!$S$13=1,BY$3='Bonding Program'!$H$13),'Bonding Program'!$T$13,0)</f>
        <v>0</v>
      </c>
      <c r="BZ108" s="19" t="n">
        <f aca="false">IF(AND('Bonding Program'!$S$13=1,BZ$3='Bonding Program'!$H$13),'Bonding Program'!$T$13,0)</f>
        <v>0</v>
      </c>
      <c r="CA108" s="19" t="n">
        <f aca="false">IF(AND('Bonding Program'!$S$13=1,CA$3='Bonding Program'!$H$13),'Bonding Program'!$T$13,0)</f>
        <v>0</v>
      </c>
      <c r="CB108" s="19" t="n">
        <f aca="false">IF(AND('Bonding Program'!$S$13=1,CB$3='Bonding Program'!$H$13),'Bonding Program'!$T$13,0)</f>
        <v>0</v>
      </c>
      <c r="CC108" s="19" t="n">
        <f aca="false">IF(AND('Bonding Program'!$S$13=1,CC$3='Bonding Program'!$H$13),'Bonding Program'!$T$13,0)</f>
        <v>0</v>
      </c>
      <c r="CD108" s="19" t="n">
        <f aca="false">IF(AND('Bonding Program'!$S$13=1,CD$3='Bonding Program'!$H$13),'Bonding Program'!$T$13,0)</f>
        <v>0</v>
      </c>
      <c r="CE108" s="19" t="n">
        <f aca="false">IF(AND('Bonding Program'!$S$13=1,CE$3='Bonding Program'!$H$13),'Bonding Program'!$T$13,0)</f>
        <v>0</v>
      </c>
      <c r="CF108" s="19" t="n">
        <f aca="false">IF(AND('Bonding Program'!$S$13=1,CF$3='Bonding Program'!$H$13),'Bonding Program'!$T$13,0)</f>
        <v>0</v>
      </c>
      <c r="CG108" s="19" t="n">
        <f aca="false">IF(AND('Bonding Program'!$S$13=1,CG$3='Bonding Program'!$H$13),'Bonding Program'!$T$13,0)</f>
        <v>0</v>
      </c>
      <c r="CH108" s="19" t="n">
        <f aca="false">IF(AND('Bonding Program'!$S$13=1,CH$3='Bonding Program'!$H$13),'Bonding Program'!$T$13,0)</f>
        <v>0</v>
      </c>
      <c r="CI108" s="19" t="n">
        <f aca="false">IF(AND('Bonding Program'!$S$13=1,CI$3='Bonding Program'!$H$13),'Bonding Program'!$T$13,0)</f>
        <v>0</v>
      </c>
      <c r="CJ108" s="19" t="n">
        <f aca="false">IF(AND('Bonding Program'!$S$13=1,CJ$3='Bonding Program'!$H$13),'Bonding Program'!$T$13,0)</f>
        <v>0</v>
      </c>
      <c r="CK108" s="19" t="n">
        <f aca="false">IF(AND('Bonding Program'!$S$13=1,CK$3='Bonding Program'!$H$13),'Bonding Program'!$T$13,0)</f>
        <v>0</v>
      </c>
      <c r="CL108" s="19" t="n">
        <f aca="false">IF(AND('Bonding Program'!$S$13=1,CL$3='Bonding Program'!$H$13),'Bonding Program'!$T$13,0)</f>
        <v>0</v>
      </c>
      <c r="CM108" s="19" t="n">
        <f aca="false">IF(AND('Bonding Program'!$S$13=1,CM$3='Bonding Program'!$H$13),'Bonding Program'!$T$13,0)</f>
        <v>0</v>
      </c>
      <c r="CN108" s="19" t="n">
        <f aca="false">IF(AND('Bonding Program'!$S$13=1,CN$3='Bonding Program'!$H$13),'Bonding Program'!$T$13,0)</f>
        <v>0</v>
      </c>
      <c r="CO108" s="19" t="n">
        <f aca="false">IF(AND('Bonding Program'!$S$13=1,CO$3='Bonding Program'!$H$13),'Bonding Program'!$T$13,0)</f>
        <v>0</v>
      </c>
      <c r="CP108" s="19" t="n">
        <f aca="false">IF(AND('Bonding Program'!$S$13=1,CP$3='Bonding Program'!$H$13),'Bonding Program'!$T$13,0)</f>
        <v>0</v>
      </c>
      <c r="CQ108" s="19" t="n">
        <f aca="false">IF(AND('Bonding Program'!$S$13=1,CQ$3='Bonding Program'!$H$13),'Bonding Program'!$T$13,0)</f>
        <v>0</v>
      </c>
      <c r="CR108" s="19" t="n">
        <f aca="false">IF(AND('Bonding Program'!$S$13=1,CR$3='Bonding Program'!$H$13),'Bonding Program'!$T$13,0)</f>
        <v>0</v>
      </c>
      <c r="CS108" s="19" t="n">
        <f aca="false">IF(AND('Bonding Program'!$S$13=1,CS$3='Bonding Program'!$H$13),'Bonding Program'!$T$13,0)</f>
        <v>0</v>
      </c>
      <c r="CT108" s="19" t="n">
        <f aca="false">IF(AND('Bonding Program'!$S$13=1,CT$3='Bonding Program'!$H$13),'Bonding Program'!$T$13,0)</f>
        <v>0</v>
      </c>
      <c r="CU108" s="19" t="n">
        <f aca="false">IF(AND('Bonding Program'!$S$13=1,CU$3='Bonding Program'!$H$13),'Bonding Program'!$T$13,0)</f>
        <v>0</v>
      </c>
      <c r="CV108" s="19" t="n">
        <f aca="false">IF(AND('Bonding Program'!$S$13=1,CV$3='Bonding Program'!$H$13),'Bonding Program'!$T$13,0)</f>
        <v>0</v>
      </c>
      <c r="CW108" s="19" t="n">
        <f aca="false">IF(AND('Bonding Program'!$S$13=1,CW$3='Bonding Program'!$H$13),'Bonding Program'!$T$13,0)</f>
        <v>0</v>
      </c>
      <c r="CX108" s="19" t="n">
        <f aca="false">IF(AND('Bonding Program'!$S$13=1,CX$3='Bonding Program'!$H$13),'Bonding Program'!$T$13,0)</f>
        <v>0</v>
      </c>
      <c r="CY108" s="19" t="n">
        <f aca="false">IF(AND('Bonding Program'!$S$13=1,CY$3='Bonding Program'!$H$13),'Bonding Program'!$T$13,0)</f>
        <v>0</v>
      </c>
      <c r="CZ108" s="19" t="n">
        <f aca="false">IF(AND('Bonding Program'!$S$13=1,CZ$3='Bonding Program'!$H$13),'Bonding Program'!$T$13,0)</f>
        <v>0</v>
      </c>
      <c r="DA108" s="19" t="n">
        <f aca="false">IF(AND('Bonding Program'!$S$13=1,DA$3='Bonding Program'!$H$13),'Bonding Program'!$T$13,0)</f>
        <v>0</v>
      </c>
      <c r="DB108" s="19" t="n">
        <f aca="false">IF(AND('Bonding Program'!$S$13=1,DB$3='Bonding Program'!$H$13),'Bonding Program'!$T$13,0)</f>
        <v>0</v>
      </c>
      <c r="DC108" s="19" t="n">
        <f aca="false">IF(AND('Bonding Program'!$S$13=1,DC$3='Bonding Program'!$H$13),'Bonding Program'!$T$13,0)</f>
        <v>0</v>
      </c>
      <c r="DD108" s="19" t="n">
        <f aca="false">IF(AND('Bonding Program'!$S$13=1,DD$3='Bonding Program'!$H$13),'Bonding Program'!$T$13,0)</f>
        <v>0</v>
      </c>
      <c r="DE108" s="19" t="n">
        <f aca="false">IF(AND('Bonding Program'!$S$13=1,DE$3='Bonding Program'!$H$13),'Bonding Program'!$T$13,0)</f>
        <v>0</v>
      </c>
    </row>
    <row r="109" customFormat="false" ht="15" hidden="false" customHeight="true" outlineLevel="1" collapsed="false">
      <c r="A109" s="28" t="s">
        <v>10</v>
      </c>
      <c r="B109" s="19" t="n">
        <f aca="false">IF(AND('Bonding Program'!$S$14=1,B$3='Bonding Program'!$H$14),'Bonding Program'!$T$14,0)</f>
        <v>0</v>
      </c>
      <c r="C109" s="19" t="n">
        <f aca="false">IF(AND('Bonding Program'!$S$14=1,C$3='Bonding Program'!$H$14),'Bonding Program'!$T$14,0)</f>
        <v>0</v>
      </c>
      <c r="D109" s="19" t="n">
        <f aca="false">IF(AND('Bonding Program'!$S$14=1,D$3='Bonding Program'!$H$14),'Bonding Program'!$T$14,0)</f>
        <v>0</v>
      </c>
      <c r="E109" s="19" t="n">
        <f aca="false">IF(AND('Bonding Program'!$S$14=1,E$3='Bonding Program'!$H$14),'Bonding Program'!$T$14,0)</f>
        <v>0</v>
      </c>
      <c r="F109" s="19" t="n">
        <f aca="false">IF(AND('Bonding Program'!$S$14=1,F$3='Bonding Program'!$H$14),'Bonding Program'!$T$14,0)</f>
        <v>0</v>
      </c>
      <c r="G109" s="19" t="n">
        <f aca="false">IF(AND('Bonding Program'!$S$14=1,G$3='Bonding Program'!$H$14),'Bonding Program'!$T$14,0)</f>
        <v>0</v>
      </c>
      <c r="H109" s="19" t="n">
        <f aca="false">IF(AND('Bonding Program'!$S$14=1,H$3='Bonding Program'!$H$14),'Bonding Program'!$T$14,0)</f>
        <v>0</v>
      </c>
      <c r="I109" s="19" t="n">
        <f aca="false">IF(AND('Bonding Program'!$S$14=1,I$3='Bonding Program'!$H$14),'Bonding Program'!$T$14,0)</f>
        <v>0</v>
      </c>
      <c r="J109" s="19" t="n">
        <f aca="false">IF(AND('Bonding Program'!$S$14=1,J$3='Bonding Program'!$H$14),'Bonding Program'!$T$14,0)</f>
        <v>0</v>
      </c>
      <c r="K109" s="19" t="n">
        <f aca="false">IF(AND('Bonding Program'!$S$14=1,K$3='Bonding Program'!$H$14),'Bonding Program'!$T$14,0)</f>
        <v>0</v>
      </c>
      <c r="L109" s="19" t="n">
        <f aca="false">IF(AND('Bonding Program'!$S$14=1,L$3='Bonding Program'!$H$14),'Bonding Program'!$T$14,0)</f>
        <v>0</v>
      </c>
      <c r="M109" s="19" t="n">
        <f aca="false">IF(AND('Bonding Program'!$S$14=1,M$3='Bonding Program'!$H$14),'Bonding Program'!$T$14,0)</f>
        <v>0</v>
      </c>
      <c r="N109" s="19" t="n">
        <f aca="false">IF(AND('Bonding Program'!$S$14=1,N$3='Bonding Program'!$H$14),'Bonding Program'!$T$14,0)</f>
        <v>0</v>
      </c>
      <c r="O109" s="19" t="n">
        <f aca="false">IF(AND('Bonding Program'!$S$14=1,O$3='Bonding Program'!$H$14),'Bonding Program'!$T$14,0)</f>
        <v>0</v>
      </c>
      <c r="P109" s="19" t="n">
        <f aca="false">IF(AND('Bonding Program'!$S$14=1,P$3='Bonding Program'!$H$14),'Bonding Program'!$T$14,0)</f>
        <v>0</v>
      </c>
      <c r="Q109" s="19" t="n">
        <f aca="false">IF(AND('Bonding Program'!$S$14=1,Q$3='Bonding Program'!$H$14),'Bonding Program'!$T$14,0)</f>
        <v>0</v>
      </c>
      <c r="R109" s="19" t="n">
        <f aca="false">IF(AND('Bonding Program'!$S$14=1,R$3='Bonding Program'!$H$14),'Bonding Program'!$T$14,0)</f>
        <v>0</v>
      </c>
      <c r="S109" s="19" t="n">
        <f aca="false">IF(AND('Bonding Program'!$S$14=1,S$3='Bonding Program'!$H$14),'Bonding Program'!$T$14,0)</f>
        <v>0</v>
      </c>
      <c r="T109" s="19" t="n">
        <f aca="false">IF(AND('Bonding Program'!$S$14=1,T$3='Bonding Program'!$H$14),'Bonding Program'!$T$14,0)</f>
        <v>0</v>
      </c>
      <c r="U109" s="19" t="n">
        <f aca="false">IF(AND('Bonding Program'!$S$14=1,U$3='Bonding Program'!$H$14),'Bonding Program'!$T$14,0)</f>
        <v>0</v>
      </c>
      <c r="V109" s="19" t="n">
        <f aca="false">IF(AND('Bonding Program'!$S$14=1,V$3='Bonding Program'!$H$14),'Bonding Program'!$T$14,0)</f>
        <v>0</v>
      </c>
      <c r="W109" s="19" t="n">
        <f aca="false">IF(AND('Bonding Program'!$S$14=1,W$3='Bonding Program'!$H$14),'Bonding Program'!$T$14,0)</f>
        <v>0</v>
      </c>
      <c r="X109" s="19" t="n">
        <f aca="false">IF(AND('Bonding Program'!$S$14=1,X$3='Bonding Program'!$H$14),'Bonding Program'!$T$14,0)</f>
        <v>0</v>
      </c>
      <c r="Y109" s="19" t="n">
        <f aca="false">IF(AND('Bonding Program'!$S$14=1,Y$3='Bonding Program'!$H$14),'Bonding Program'!$T$14,0)</f>
        <v>0</v>
      </c>
      <c r="Z109" s="19" t="n">
        <f aca="false">IF(AND('Bonding Program'!$S$14=1,Z$3='Bonding Program'!$H$14),'Bonding Program'!$T$14,0)</f>
        <v>0</v>
      </c>
      <c r="AA109" s="19" t="n">
        <f aca="false">IF(AND('Bonding Program'!$S$14=1,AA$3='Bonding Program'!$H$14),'Bonding Program'!$T$14,0)</f>
        <v>0</v>
      </c>
      <c r="AB109" s="19" t="n">
        <f aca="false">IF(AND('Bonding Program'!$S$14=1,AB$3='Bonding Program'!$H$14),'Bonding Program'!$T$14,0)</f>
        <v>0</v>
      </c>
      <c r="AC109" s="19" t="n">
        <f aca="false">IF(AND('Bonding Program'!$S$14=1,AC$3='Bonding Program'!$H$14),'Bonding Program'!$T$14,0)</f>
        <v>0</v>
      </c>
      <c r="AD109" s="19" t="n">
        <f aca="false">IF(AND('Bonding Program'!$S$14=1,AD$3='Bonding Program'!$H$14),'Bonding Program'!$T$14,0)</f>
        <v>0</v>
      </c>
      <c r="AE109" s="19" t="n">
        <f aca="false">IF(AND('Bonding Program'!$S$14=1,AE$3='Bonding Program'!$H$14),'Bonding Program'!$T$14,0)</f>
        <v>0</v>
      </c>
      <c r="AF109" s="19" t="n">
        <f aca="false">IF(AND('Bonding Program'!$S$14=1,AF$3='Bonding Program'!$H$14),'Bonding Program'!$T$14,0)</f>
        <v>0</v>
      </c>
      <c r="AG109" s="19" t="n">
        <f aca="false">IF(AND('Bonding Program'!$S$14=1,AG$3='Bonding Program'!$H$14),'Bonding Program'!$T$14,0)</f>
        <v>0</v>
      </c>
      <c r="AH109" s="19" t="n">
        <f aca="false">IF(AND('Bonding Program'!$S$14=1,AH$3='Bonding Program'!$H$14),'Bonding Program'!$T$14,0)</f>
        <v>0</v>
      </c>
      <c r="AI109" s="19" t="n">
        <f aca="false">IF(AND('Bonding Program'!$S$14=1,AI$3='Bonding Program'!$H$14),'Bonding Program'!$T$14,0)</f>
        <v>0</v>
      </c>
      <c r="AJ109" s="19" t="n">
        <f aca="false">IF(AND('Bonding Program'!$S$14=1,AJ$3='Bonding Program'!$H$14),'Bonding Program'!$T$14,0)</f>
        <v>0</v>
      </c>
      <c r="AK109" s="19" t="n">
        <f aca="false">IF(AND('Bonding Program'!$S$14=1,AK$3='Bonding Program'!$H$14),'Bonding Program'!$T$14,0)</f>
        <v>0</v>
      </c>
      <c r="AL109" s="19" t="n">
        <f aca="false">IF(AND('Bonding Program'!$S$14=1,AL$3='Bonding Program'!$H$14),'Bonding Program'!$T$14,0)</f>
        <v>0</v>
      </c>
      <c r="AM109" s="19" t="n">
        <f aca="false">IF(AND('Bonding Program'!$S$14=1,AM$3='Bonding Program'!$H$14),'Bonding Program'!$T$14,0)</f>
        <v>0</v>
      </c>
      <c r="AN109" s="19" t="n">
        <f aca="false">IF(AND('Bonding Program'!$S$14=1,AN$3='Bonding Program'!$H$14),'Bonding Program'!$T$14,0)</f>
        <v>0</v>
      </c>
      <c r="AO109" s="19" t="n">
        <f aca="false">IF(AND('Bonding Program'!$S$14=1,AO$3='Bonding Program'!$H$14),'Bonding Program'!$T$14,0)</f>
        <v>0</v>
      </c>
      <c r="AP109" s="19" t="n">
        <f aca="false">IF(AND('Bonding Program'!$S$14=1,AP$3='Bonding Program'!$H$14),'Bonding Program'!$T$14,0)</f>
        <v>0</v>
      </c>
      <c r="AQ109" s="19" t="n">
        <f aca="false">IF(AND('Bonding Program'!$S$14=1,AQ$3='Bonding Program'!$H$14),'Bonding Program'!$T$14,0)</f>
        <v>0</v>
      </c>
      <c r="AR109" s="19" t="n">
        <f aca="false">IF(AND('Bonding Program'!$S$14=1,AR$3='Bonding Program'!$H$14),'Bonding Program'!$T$14,0)</f>
        <v>0</v>
      </c>
      <c r="AS109" s="19" t="n">
        <f aca="false">IF(AND('Bonding Program'!$S$14=1,AS$3='Bonding Program'!$H$14),'Bonding Program'!$T$14,0)</f>
        <v>0</v>
      </c>
      <c r="AT109" s="19" t="n">
        <f aca="false">IF(AND('Bonding Program'!$S$14=1,AT$3='Bonding Program'!$H$14),'Bonding Program'!$T$14,0)</f>
        <v>0</v>
      </c>
      <c r="AU109" s="19" t="n">
        <f aca="false">IF(AND('Bonding Program'!$S$14=1,AU$3='Bonding Program'!$H$14),'Bonding Program'!$T$14,0)</f>
        <v>0</v>
      </c>
      <c r="AV109" s="19" t="n">
        <f aca="false">IF(AND('Bonding Program'!$S$14=1,AV$3='Bonding Program'!$H$14),'Bonding Program'!$T$14,0)</f>
        <v>0</v>
      </c>
      <c r="AW109" s="19" t="n">
        <f aca="false">IF(AND('Bonding Program'!$S$14=1,AW$3='Bonding Program'!$H$14),'Bonding Program'!$T$14,0)</f>
        <v>0</v>
      </c>
      <c r="AX109" s="19" t="n">
        <f aca="false">IF(AND('Bonding Program'!$S$14=1,AX$3='Bonding Program'!$H$14),'Bonding Program'!$T$14,0)</f>
        <v>0</v>
      </c>
      <c r="AY109" s="19" t="n">
        <f aca="false">IF(AND('Bonding Program'!$S$14=1,AY$3='Bonding Program'!$H$14),'Bonding Program'!$T$14,0)</f>
        <v>0</v>
      </c>
      <c r="AZ109" s="19" t="n">
        <f aca="false">IF(AND('Bonding Program'!$S$14=1,AZ$3='Bonding Program'!$H$14),'Bonding Program'!$T$14,0)</f>
        <v>0</v>
      </c>
      <c r="BA109" s="19" t="n">
        <f aca="false">IF(AND('Bonding Program'!$S$14=1,BA$3='Bonding Program'!$H$14),'Bonding Program'!$T$14,0)</f>
        <v>0</v>
      </c>
      <c r="BB109" s="19" t="n">
        <f aca="false">IF(AND('Bonding Program'!$S$14=1,BB$3='Bonding Program'!$H$14),'Bonding Program'!$T$14,0)</f>
        <v>0</v>
      </c>
      <c r="BC109" s="19" t="n">
        <f aca="false">IF(AND('Bonding Program'!$S$14=1,BC$3='Bonding Program'!$H$14),'Bonding Program'!$T$14,0)</f>
        <v>0</v>
      </c>
      <c r="BD109" s="19" t="n">
        <f aca="false">IF(AND('Bonding Program'!$S$14=1,BD$3='Bonding Program'!$H$14),'Bonding Program'!$T$14,0)</f>
        <v>0</v>
      </c>
      <c r="BE109" s="19" t="n">
        <f aca="false">IF(AND('Bonding Program'!$S$14=1,BE$3='Bonding Program'!$H$14),'Bonding Program'!$T$14,0)</f>
        <v>0</v>
      </c>
      <c r="BF109" s="19" t="n">
        <f aca="false">IF(AND('Bonding Program'!$S$14=1,BF$3='Bonding Program'!$H$14),'Bonding Program'!$T$14,0)</f>
        <v>0</v>
      </c>
      <c r="BG109" s="19" t="n">
        <f aca="false">IF(AND('Bonding Program'!$S$14=1,BG$3='Bonding Program'!$H$14),'Bonding Program'!$T$14,0)</f>
        <v>0</v>
      </c>
      <c r="BH109" s="19" t="n">
        <f aca="false">IF(AND('Bonding Program'!$S$14=1,BH$3='Bonding Program'!$H$14),'Bonding Program'!$T$14,0)</f>
        <v>0</v>
      </c>
      <c r="BI109" s="19" t="n">
        <f aca="false">IF(AND('Bonding Program'!$S$14=1,BI$3='Bonding Program'!$H$14),'Bonding Program'!$T$14,0)</f>
        <v>0</v>
      </c>
      <c r="BJ109" s="19" t="n">
        <f aca="false">IF(AND('Bonding Program'!$S$14=1,BJ$3='Bonding Program'!$H$14),'Bonding Program'!$T$14,0)</f>
        <v>0</v>
      </c>
      <c r="BK109" s="19" t="n">
        <f aca="false">IF(AND('Bonding Program'!$S$14=1,BK$3='Bonding Program'!$H$14),'Bonding Program'!$T$14,0)</f>
        <v>0</v>
      </c>
      <c r="BL109" s="19" t="n">
        <f aca="false">IF(AND('Bonding Program'!$S$14=1,BL$3='Bonding Program'!$H$14),'Bonding Program'!$T$14,0)</f>
        <v>0</v>
      </c>
      <c r="BM109" s="19" t="n">
        <f aca="false">IF(AND('Bonding Program'!$S$14=1,BM$3='Bonding Program'!$H$14),'Bonding Program'!$T$14,0)</f>
        <v>0</v>
      </c>
      <c r="BN109" s="19" t="n">
        <f aca="false">IF(AND('Bonding Program'!$S$14=1,BN$3='Bonding Program'!$H$14),'Bonding Program'!$T$14,0)</f>
        <v>0</v>
      </c>
      <c r="BO109" s="19" t="n">
        <f aca="false">IF(AND('Bonding Program'!$S$14=1,BO$3='Bonding Program'!$H$14),'Bonding Program'!$T$14,0)</f>
        <v>0</v>
      </c>
      <c r="BP109" s="19" t="n">
        <f aca="false">IF(AND('Bonding Program'!$S$14=1,BP$3='Bonding Program'!$H$14),'Bonding Program'!$T$14,0)</f>
        <v>0</v>
      </c>
      <c r="BQ109" s="19" t="n">
        <f aca="false">IF(AND('Bonding Program'!$S$14=1,BQ$3='Bonding Program'!$H$14),'Bonding Program'!$T$14,0)</f>
        <v>0</v>
      </c>
      <c r="BR109" s="19" t="n">
        <f aca="false">IF(AND('Bonding Program'!$S$14=1,BR$3='Bonding Program'!$H$14),'Bonding Program'!$T$14,0)</f>
        <v>0</v>
      </c>
      <c r="BS109" s="19" t="n">
        <f aca="false">IF(AND('Bonding Program'!$S$14=1,BS$3='Bonding Program'!$H$14),'Bonding Program'!$T$14,0)</f>
        <v>0</v>
      </c>
      <c r="BT109" s="19" t="n">
        <f aca="false">IF(AND('Bonding Program'!$S$14=1,BT$3='Bonding Program'!$H$14),'Bonding Program'!$T$14,0)</f>
        <v>0</v>
      </c>
      <c r="BU109" s="19" t="n">
        <f aca="false">IF(AND('Bonding Program'!$S$14=1,BU$3='Bonding Program'!$H$14),'Bonding Program'!$T$14,0)</f>
        <v>0</v>
      </c>
      <c r="BV109" s="19" t="n">
        <f aca="false">IF(AND('Bonding Program'!$S$14=1,BV$3='Bonding Program'!$H$14),'Bonding Program'!$T$14,0)</f>
        <v>0</v>
      </c>
      <c r="BW109" s="19" t="n">
        <f aca="false">IF(AND('Bonding Program'!$S$14=1,BW$3='Bonding Program'!$H$14),'Bonding Program'!$T$14,0)</f>
        <v>0</v>
      </c>
      <c r="BX109" s="19" t="n">
        <f aca="false">IF(AND('Bonding Program'!$S$14=1,BX$3='Bonding Program'!$H$14),'Bonding Program'!$T$14,0)</f>
        <v>0</v>
      </c>
      <c r="BY109" s="19" t="n">
        <f aca="false">IF(AND('Bonding Program'!$S$14=1,BY$3='Bonding Program'!$H$14),'Bonding Program'!$T$14,0)</f>
        <v>0</v>
      </c>
      <c r="BZ109" s="19" t="n">
        <f aca="false">IF(AND('Bonding Program'!$S$14=1,BZ$3='Bonding Program'!$H$14),'Bonding Program'!$T$14,0)</f>
        <v>0</v>
      </c>
      <c r="CA109" s="19" t="n">
        <f aca="false">IF(AND('Bonding Program'!$S$14=1,CA$3='Bonding Program'!$H$14),'Bonding Program'!$T$14,0)</f>
        <v>0</v>
      </c>
      <c r="CB109" s="19" t="n">
        <f aca="false">IF(AND('Bonding Program'!$S$14=1,CB$3='Bonding Program'!$H$14),'Bonding Program'!$T$14,0)</f>
        <v>0</v>
      </c>
      <c r="CC109" s="19" t="n">
        <f aca="false">IF(AND('Bonding Program'!$S$14=1,CC$3='Bonding Program'!$H$14),'Bonding Program'!$T$14,0)</f>
        <v>0</v>
      </c>
      <c r="CD109" s="19" t="n">
        <f aca="false">IF(AND('Bonding Program'!$S$14=1,CD$3='Bonding Program'!$H$14),'Bonding Program'!$T$14,0)</f>
        <v>0</v>
      </c>
      <c r="CE109" s="19" t="n">
        <f aca="false">IF(AND('Bonding Program'!$S$14=1,CE$3='Bonding Program'!$H$14),'Bonding Program'!$T$14,0)</f>
        <v>0</v>
      </c>
      <c r="CF109" s="19" t="n">
        <f aca="false">IF(AND('Bonding Program'!$S$14=1,CF$3='Bonding Program'!$H$14),'Bonding Program'!$T$14,0)</f>
        <v>0</v>
      </c>
      <c r="CG109" s="19" t="n">
        <f aca="false">IF(AND('Bonding Program'!$S$14=1,CG$3='Bonding Program'!$H$14),'Bonding Program'!$T$14,0)</f>
        <v>0</v>
      </c>
      <c r="CH109" s="19" t="n">
        <f aca="false">IF(AND('Bonding Program'!$S$14=1,CH$3='Bonding Program'!$H$14),'Bonding Program'!$T$14,0)</f>
        <v>0</v>
      </c>
      <c r="CI109" s="19" t="n">
        <f aca="false">IF(AND('Bonding Program'!$S$14=1,CI$3='Bonding Program'!$H$14),'Bonding Program'!$T$14,0)</f>
        <v>0</v>
      </c>
      <c r="CJ109" s="19" t="n">
        <f aca="false">IF(AND('Bonding Program'!$S$14=1,CJ$3='Bonding Program'!$H$14),'Bonding Program'!$T$14,0)</f>
        <v>0</v>
      </c>
      <c r="CK109" s="19" t="n">
        <f aca="false">IF(AND('Bonding Program'!$S$14=1,CK$3='Bonding Program'!$H$14),'Bonding Program'!$T$14,0)</f>
        <v>0</v>
      </c>
      <c r="CL109" s="19" t="n">
        <f aca="false">IF(AND('Bonding Program'!$S$14=1,CL$3='Bonding Program'!$H$14),'Bonding Program'!$T$14,0)</f>
        <v>0</v>
      </c>
      <c r="CM109" s="19" t="n">
        <f aca="false">IF(AND('Bonding Program'!$S$14=1,CM$3='Bonding Program'!$H$14),'Bonding Program'!$T$14,0)</f>
        <v>0</v>
      </c>
      <c r="CN109" s="19" t="n">
        <f aca="false">IF(AND('Bonding Program'!$S$14=1,CN$3='Bonding Program'!$H$14),'Bonding Program'!$T$14,0)</f>
        <v>0</v>
      </c>
      <c r="CO109" s="19" t="n">
        <f aca="false">IF(AND('Bonding Program'!$S$14=1,CO$3='Bonding Program'!$H$14),'Bonding Program'!$T$14,0)</f>
        <v>0</v>
      </c>
      <c r="CP109" s="19" t="n">
        <f aca="false">IF(AND('Bonding Program'!$S$14=1,CP$3='Bonding Program'!$H$14),'Bonding Program'!$T$14,0)</f>
        <v>0</v>
      </c>
      <c r="CQ109" s="19" t="n">
        <f aca="false">IF(AND('Bonding Program'!$S$14=1,CQ$3='Bonding Program'!$H$14),'Bonding Program'!$T$14,0)</f>
        <v>0</v>
      </c>
      <c r="CR109" s="19" t="n">
        <f aca="false">IF(AND('Bonding Program'!$S$14=1,CR$3='Bonding Program'!$H$14),'Bonding Program'!$T$14,0)</f>
        <v>0</v>
      </c>
      <c r="CS109" s="19" t="n">
        <f aca="false">IF(AND('Bonding Program'!$S$14=1,CS$3='Bonding Program'!$H$14),'Bonding Program'!$T$14,0)</f>
        <v>0</v>
      </c>
      <c r="CT109" s="19" t="n">
        <f aca="false">IF(AND('Bonding Program'!$S$14=1,CT$3='Bonding Program'!$H$14),'Bonding Program'!$T$14,0)</f>
        <v>0</v>
      </c>
      <c r="CU109" s="19" t="n">
        <f aca="false">IF(AND('Bonding Program'!$S$14=1,CU$3='Bonding Program'!$H$14),'Bonding Program'!$T$14,0)</f>
        <v>0</v>
      </c>
      <c r="CV109" s="19" t="n">
        <f aca="false">IF(AND('Bonding Program'!$S$14=1,CV$3='Bonding Program'!$H$14),'Bonding Program'!$T$14,0)</f>
        <v>0</v>
      </c>
      <c r="CW109" s="19" t="n">
        <f aca="false">IF(AND('Bonding Program'!$S$14=1,CW$3='Bonding Program'!$H$14),'Bonding Program'!$T$14,0)</f>
        <v>0</v>
      </c>
      <c r="CX109" s="19" t="n">
        <f aca="false">IF(AND('Bonding Program'!$S$14=1,CX$3='Bonding Program'!$H$14),'Bonding Program'!$T$14,0)</f>
        <v>0</v>
      </c>
      <c r="CY109" s="19" t="n">
        <f aca="false">IF(AND('Bonding Program'!$S$14=1,CY$3='Bonding Program'!$H$14),'Bonding Program'!$T$14,0)</f>
        <v>0</v>
      </c>
      <c r="CZ109" s="19" t="n">
        <f aca="false">IF(AND('Bonding Program'!$S$14=1,CZ$3='Bonding Program'!$H$14),'Bonding Program'!$T$14,0)</f>
        <v>0</v>
      </c>
      <c r="DA109" s="19" t="n">
        <f aca="false">IF(AND('Bonding Program'!$S$14=1,DA$3='Bonding Program'!$H$14),'Bonding Program'!$T$14,0)</f>
        <v>0</v>
      </c>
      <c r="DB109" s="19" t="n">
        <f aca="false">IF(AND('Bonding Program'!$S$14=1,DB$3='Bonding Program'!$H$14),'Bonding Program'!$T$14,0)</f>
        <v>0</v>
      </c>
      <c r="DC109" s="19" t="n">
        <f aca="false">IF(AND('Bonding Program'!$S$14=1,DC$3='Bonding Program'!$H$14),'Bonding Program'!$T$14,0)</f>
        <v>0</v>
      </c>
      <c r="DD109" s="19" t="n">
        <f aca="false">IF(AND('Bonding Program'!$S$14=1,DD$3='Bonding Program'!$H$14),'Bonding Program'!$T$14,0)</f>
        <v>0</v>
      </c>
      <c r="DE109" s="19" t="n">
        <f aca="false">IF(AND('Bonding Program'!$S$14=1,DE$3='Bonding Program'!$H$14),'Bonding Program'!$T$14,0)</f>
        <v>0</v>
      </c>
    </row>
    <row r="110" customFormat="false" ht="15" hidden="false" customHeight="true" outlineLevel="1" collapsed="false">
      <c r="A110" s="28" t="s">
        <v>11</v>
      </c>
      <c r="B110" s="19" t="n">
        <f aca="false">IF(AND('Bonding Program'!$S$15=1,B$3='Bonding Program'!$H$15),'Bonding Program'!$T$15,0)</f>
        <v>0</v>
      </c>
      <c r="C110" s="19" t="n">
        <f aca="false">IF(AND('Bonding Program'!$S$15=1,C$3='Bonding Program'!$H$15),'Bonding Program'!$T$15,0)</f>
        <v>0</v>
      </c>
      <c r="D110" s="19" t="n">
        <f aca="false">IF(AND('Bonding Program'!$S$15=1,D$3='Bonding Program'!$H$15),'Bonding Program'!$T$15,0)</f>
        <v>0</v>
      </c>
      <c r="E110" s="19" t="n">
        <f aca="false">IF(AND('Bonding Program'!$S$15=1,E$3='Bonding Program'!$H$15),'Bonding Program'!$T$15,0)</f>
        <v>0</v>
      </c>
      <c r="F110" s="19" t="n">
        <f aca="false">IF(AND('Bonding Program'!$S$15=1,F$3='Bonding Program'!$H$15),'Bonding Program'!$T$15,0)</f>
        <v>0</v>
      </c>
      <c r="G110" s="19" t="n">
        <f aca="false">IF(AND('Bonding Program'!$S$15=1,G$3='Bonding Program'!$H$15),'Bonding Program'!$T$15,0)</f>
        <v>0</v>
      </c>
      <c r="H110" s="19" t="n">
        <f aca="false">IF(AND('Bonding Program'!$S$15=1,H$3='Bonding Program'!$H$15),'Bonding Program'!$T$15,0)</f>
        <v>0</v>
      </c>
      <c r="I110" s="19" t="n">
        <f aca="false">IF(AND('Bonding Program'!$S$15=1,I$3='Bonding Program'!$H$15),'Bonding Program'!$T$15,0)</f>
        <v>0</v>
      </c>
      <c r="J110" s="19" t="n">
        <f aca="false">IF(AND('Bonding Program'!$S$15=1,J$3='Bonding Program'!$H$15),'Bonding Program'!$T$15,0)</f>
        <v>0</v>
      </c>
      <c r="K110" s="19" t="n">
        <f aca="false">IF(AND('Bonding Program'!$S$15=1,K$3='Bonding Program'!$H$15),'Bonding Program'!$T$15,0)</f>
        <v>0</v>
      </c>
      <c r="L110" s="19" t="n">
        <f aca="false">IF(AND('Bonding Program'!$S$15=1,L$3='Bonding Program'!$H$15),'Bonding Program'!$T$15,0)</f>
        <v>0</v>
      </c>
      <c r="M110" s="19" t="n">
        <f aca="false">IF(AND('Bonding Program'!$S$15=1,M$3='Bonding Program'!$H$15),'Bonding Program'!$T$15,0)</f>
        <v>0</v>
      </c>
      <c r="N110" s="19" t="n">
        <f aca="false">IF(AND('Bonding Program'!$S$15=1,N$3='Bonding Program'!$H$15),'Bonding Program'!$T$15,0)</f>
        <v>0</v>
      </c>
      <c r="O110" s="19" t="n">
        <f aca="false">IF(AND('Bonding Program'!$S$15=1,O$3='Bonding Program'!$H$15),'Bonding Program'!$T$15,0)</f>
        <v>0</v>
      </c>
      <c r="P110" s="19" t="n">
        <f aca="false">IF(AND('Bonding Program'!$S$15=1,P$3='Bonding Program'!$H$15),'Bonding Program'!$T$15,0)</f>
        <v>0</v>
      </c>
      <c r="Q110" s="19" t="n">
        <f aca="false">IF(AND('Bonding Program'!$S$15=1,Q$3='Bonding Program'!$H$15),'Bonding Program'!$T$15,0)</f>
        <v>0</v>
      </c>
      <c r="R110" s="19" t="n">
        <f aca="false">IF(AND('Bonding Program'!$S$15=1,R$3='Bonding Program'!$H$15),'Bonding Program'!$T$15,0)</f>
        <v>0</v>
      </c>
      <c r="S110" s="19" t="n">
        <f aca="false">IF(AND('Bonding Program'!$S$15=1,S$3='Bonding Program'!$H$15),'Bonding Program'!$T$15,0)</f>
        <v>0</v>
      </c>
      <c r="T110" s="19" t="n">
        <f aca="false">IF(AND('Bonding Program'!$S$15=1,T$3='Bonding Program'!$H$15),'Bonding Program'!$T$15,0)</f>
        <v>0</v>
      </c>
      <c r="U110" s="19" t="n">
        <f aca="false">IF(AND('Bonding Program'!$S$15=1,U$3='Bonding Program'!$H$15),'Bonding Program'!$T$15,0)</f>
        <v>0</v>
      </c>
      <c r="V110" s="19" t="n">
        <f aca="false">IF(AND('Bonding Program'!$S$15=1,V$3='Bonding Program'!$H$15),'Bonding Program'!$T$15,0)</f>
        <v>0</v>
      </c>
      <c r="W110" s="19" t="n">
        <f aca="false">IF(AND('Bonding Program'!$S$15=1,W$3='Bonding Program'!$H$15),'Bonding Program'!$T$15,0)</f>
        <v>0</v>
      </c>
      <c r="X110" s="19" t="n">
        <f aca="false">IF(AND('Bonding Program'!$S$15=1,X$3='Bonding Program'!$H$15),'Bonding Program'!$T$15,0)</f>
        <v>0</v>
      </c>
      <c r="Y110" s="19" t="n">
        <f aca="false">IF(AND('Bonding Program'!$S$15=1,Y$3='Bonding Program'!$H$15),'Bonding Program'!$T$15,0)</f>
        <v>0</v>
      </c>
      <c r="Z110" s="19" t="n">
        <f aca="false">IF(AND('Bonding Program'!$S$15=1,Z$3='Bonding Program'!$H$15),'Bonding Program'!$T$15,0)</f>
        <v>0</v>
      </c>
      <c r="AA110" s="19" t="n">
        <f aca="false">IF(AND('Bonding Program'!$S$15=1,AA$3='Bonding Program'!$H$15),'Bonding Program'!$T$15,0)</f>
        <v>0</v>
      </c>
      <c r="AB110" s="19" t="n">
        <f aca="false">IF(AND('Bonding Program'!$S$15=1,AB$3='Bonding Program'!$H$15),'Bonding Program'!$T$15,0)</f>
        <v>0</v>
      </c>
      <c r="AC110" s="19" t="n">
        <f aca="false">IF(AND('Bonding Program'!$S$15=1,AC$3='Bonding Program'!$H$15),'Bonding Program'!$T$15,0)</f>
        <v>0</v>
      </c>
      <c r="AD110" s="19" t="n">
        <f aca="false">IF(AND('Bonding Program'!$S$15=1,AD$3='Bonding Program'!$H$15),'Bonding Program'!$T$15,0)</f>
        <v>0</v>
      </c>
      <c r="AE110" s="19" t="n">
        <f aca="false">IF(AND('Bonding Program'!$S$15=1,AE$3='Bonding Program'!$H$15),'Bonding Program'!$T$15,0)</f>
        <v>0</v>
      </c>
      <c r="AF110" s="19" t="n">
        <f aca="false">IF(AND('Bonding Program'!$S$15=1,AF$3='Bonding Program'!$H$15),'Bonding Program'!$T$15,0)</f>
        <v>0</v>
      </c>
      <c r="AG110" s="19" t="n">
        <f aca="false">IF(AND('Bonding Program'!$S$15=1,AG$3='Bonding Program'!$H$15),'Bonding Program'!$T$15,0)</f>
        <v>0</v>
      </c>
      <c r="AH110" s="19" t="n">
        <f aca="false">IF(AND('Bonding Program'!$S$15=1,AH$3='Bonding Program'!$H$15),'Bonding Program'!$T$15,0)</f>
        <v>0</v>
      </c>
      <c r="AI110" s="19" t="n">
        <f aca="false">IF(AND('Bonding Program'!$S$15=1,AI$3='Bonding Program'!$H$15),'Bonding Program'!$T$15,0)</f>
        <v>0</v>
      </c>
      <c r="AJ110" s="19" t="n">
        <f aca="false">IF(AND('Bonding Program'!$S$15=1,AJ$3='Bonding Program'!$H$15),'Bonding Program'!$T$15,0)</f>
        <v>0</v>
      </c>
      <c r="AK110" s="19" t="n">
        <f aca="false">IF(AND('Bonding Program'!$S$15=1,AK$3='Bonding Program'!$H$15),'Bonding Program'!$T$15,0)</f>
        <v>0</v>
      </c>
      <c r="AL110" s="19" t="n">
        <f aca="false">IF(AND('Bonding Program'!$S$15=1,AL$3='Bonding Program'!$H$15),'Bonding Program'!$T$15,0)</f>
        <v>0</v>
      </c>
      <c r="AM110" s="19" t="n">
        <f aca="false">IF(AND('Bonding Program'!$S$15=1,AM$3='Bonding Program'!$H$15),'Bonding Program'!$T$15,0)</f>
        <v>0</v>
      </c>
      <c r="AN110" s="19" t="n">
        <f aca="false">IF(AND('Bonding Program'!$S$15=1,AN$3='Bonding Program'!$H$15),'Bonding Program'!$T$15,0)</f>
        <v>0</v>
      </c>
      <c r="AO110" s="19" t="n">
        <f aca="false">IF(AND('Bonding Program'!$S$15=1,AO$3='Bonding Program'!$H$15),'Bonding Program'!$T$15,0)</f>
        <v>0</v>
      </c>
      <c r="AP110" s="19" t="n">
        <f aca="false">IF(AND('Bonding Program'!$S$15=1,AP$3='Bonding Program'!$H$15),'Bonding Program'!$T$15,0)</f>
        <v>0</v>
      </c>
      <c r="AQ110" s="19" t="n">
        <f aca="false">IF(AND('Bonding Program'!$S$15=1,AQ$3='Bonding Program'!$H$15),'Bonding Program'!$T$15,0)</f>
        <v>0</v>
      </c>
      <c r="AR110" s="19" t="n">
        <f aca="false">IF(AND('Bonding Program'!$S$15=1,AR$3='Bonding Program'!$H$15),'Bonding Program'!$T$15,0)</f>
        <v>0</v>
      </c>
      <c r="AS110" s="19" t="n">
        <f aca="false">IF(AND('Bonding Program'!$S$15=1,AS$3='Bonding Program'!$H$15),'Bonding Program'!$T$15,0)</f>
        <v>0</v>
      </c>
      <c r="AT110" s="19" t="n">
        <f aca="false">IF(AND('Bonding Program'!$S$15=1,AT$3='Bonding Program'!$H$15),'Bonding Program'!$T$15,0)</f>
        <v>0</v>
      </c>
      <c r="AU110" s="19" t="n">
        <f aca="false">IF(AND('Bonding Program'!$S$15=1,AU$3='Bonding Program'!$H$15),'Bonding Program'!$T$15,0)</f>
        <v>0</v>
      </c>
      <c r="AV110" s="19" t="n">
        <f aca="false">IF(AND('Bonding Program'!$S$15=1,AV$3='Bonding Program'!$H$15),'Bonding Program'!$T$15,0)</f>
        <v>0</v>
      </c>
      <c r="AW110" s="19" t="n">
        <f aca="false">IF(AND('Bonding Program'!$S$15=1,AW$3='Bonding Program'!$H$15),'Bonding Program'!$T$15,0)</f>
        <v>0</v>
      </c>
      <c r="AX110" s="19" t="n">
        <f aca="false">IF(AND('Bonding Program'!$S$15=1,AX$3='Bonding Program'!$H$15),'Bonding Program'!$T$15,0)</f>
        <v>0</v>
      </c>
      <c r="AY110" s="19" t="n">
        <f aca="false">IF(AND('Bonding Program'!$S$15=1,AY$3='Bonding Program'!$H$15),'Bonding Program'!$T$15,0)</f>
        <v>0</v>
      </c>
      <c r="AZ110" s="19" t="n">
        <f aca="false">IF(AND('Bonding Program'!$S$15=1,AZ$3='Bonding Program'!$H$15),'Bonding Program'!$T$15,0)</f>
        <v>0</v>
      </c>
      <c r="BA110" s="19" t="n">
        <f aca="false">IF(AND('Bonding Program'!$S$15=1,BA$3='Bonding Program'!$H$15),'Bonding Program'!$T$15,0)</f>
        <v>0</v>
      </c>
      <c r="BB110" s="19" t="n">
        <f aca="false">IF(AND('Bonding Program'!$S$15=1,BB$3='Bonding Program'!$H$15),'Bonding Program'!$T$15,0)</f>
        <v>0</v>
      </c>
      <c r="BC110" s="19" t="n">
        <f aca="false">IF(AND('Bonding Program'!$S$15=1,BC$3='Bonding Program'!$H$15),'Bonding Program'!$T$15,0)</f>
        <v>0</v>
      </c>
      <c r="BD110" s="19" t="n">
        <f aca="false">IF(AND('Bonding Program'!$S$15=1,BD$3='Bonding Program'!$H$15),'Bonding Program'!$T$15,0)</f>
        <v>0</v>
      </c>
      <c r="BE110" s="19" t="n">
        <f aca="false">IF(AND('Bonding Program'!$S$15=1,BE$3='Bonding Program'!$H$15),'Bonding Program'!$T$15,0)</f>
        <v>0</v>
      </c>
      <c r="BF110" s="19" t="n">
        <f aca="false">IF(AND('Bonding Program'!$S$15=1,BF$3='Bonding Program'!$H$15),'Bonding Program'!$T$15,0)</f>
        <v>0</v>
      </c>
      <c r="BG110" s="19" t="n">
        <f aca="false">IF(AND('Bonding Program'!$S$15=1,BG$3='Bonding Program'!$H$15),'Bonding Program'!$T$15,0)</f>
        <v>0</v>
      </c>
      <c r="BH110" s="19" t="n">
        <f aca="false">IF(AND('Bonding Program'!$S$15=1,BH$3='Bonding Program'!$H$15),'Bonding Program'!$T$15,0)</f>
        <v>0</v>
      </c>
      <c r="BI110" s="19" t="n">
        <f aca="false">IF(AND('Bonding Program'!$S$15=1,BI$3='Bonding Program'!$H$15),'Bonding Program'!$T$15,0)</f>
        <v>0</v>
      </c>
      <c r="BJ110" s="19" t="n">
        <f aca="false">IF(AND('Bonding Program'!$S$15=1,BJ$3='Bonding Program'!$H$15),'Bonding Program'!$T$15,0)</f>
        <v>0</v>
      </c>
      <c r="BK110" s="19" t="n">
        <f aca="false">IF(AND('Bonding Program'!$S$15=1,BK$3='Bonding Program'!$H$15),'Bonding Program'!$T$15,0)</f>
        <v>0</v>
      </c>
      <c r="BL110" s="19" t="n">
        <f aca="false">IF(AND('Bonding Program'!$S$15=1,BL$3='Bonding Program'!$H$15),'Bonding Program'!$T$15,0)</f>
        <v>0</v>
      </c>
      <c r="BM110" s="19" t="n">
        <f aca="false">IF(AND('Bonding Program'!$S$15=1,BM$3='Bonding Program'!$H$15),'Bonding Program'!$T$15,0)</f>
        <v>0</v>
      </c>
      <c r="BN110" s="19" t="n">
        <f aca="false">IF(AND('Bonding Program'!$S$15=1,BN$3='Bonding Program'!$H$15),'Bonding Program'!$T$15,0)</f>
        <v>0</v>
      </c>
      <c r="BO110" s="19" t="n">
        <f aca="false">IF(AND('Bonding Program'!$S$15=1,BO$3='Bonding Program'!$H$15),'Bonding Program'!$T$15,0)</f>
        <v>0</v>
      </c>
      <c r="BP110" s="19" t="n">
        <f aca="false">IF(AND('Bonding Program'!$S$15=1,BP$3='Bonding Program'!$H$15),'Bonding Program'!$T$15,0)</f>
        <v>0</v>
      </c>
      <c r="BQ110" s="19" t="n">
        <f aca="false">IF(AND('Bonding Program'!$S$15=1,BQ$3='Bonding Program'!$H$15),'Bonding Program'!$T$15,0)</f>
        <v>0</v>
      </c>
      <c r="BR110" s="19" t="n">
        <f aca="false">IF(AND('Bonding Program'!$S$15=1,BR$3='Bonding Program'!$H$15),'Bonding Program'!$T$15,0)</f>
        <v>0</v>
      </c>
      <c r="BS110" s="19" t="n">
        <f aca="false">IF(AND('Bonding Program'!$S$15=1,BS$3='Bonding Program'!$H$15),'Bonding Program'!$T$15,0)</f>
        <v>0</v>
      </c>
      <c r="BT110" s="19" t="n">
        <f aca="false">IF(AND('Bonding Program'!$S$15=1,BT$3='Bonding Program'!$H$15),'Bonding Program'!$T$15,0)</f>
        <v>0</v>
      </c>
      <c r="BU110" s="19" t="n">
        <f aca="false">IF(AND('Bonding Program'!$S$15=1,BU$3='Bonding Program'!$H$15),'Bonding Program'!$T$15,0)</f>
        <v>0</v>
      </c>
      <c r="BV110" s="19" t="n">
        <f aca="false">IF(AND('Bonding Program'!$S$15=1,BV$3='Bonding Program'!$H$15),'Bonding Program'!$T$15,0)</f>
        <v>0</v>
      </c>
      <c r="BW110" s="19" t="n">
        <f aca="false">IF(AND('Bonding Program'!$S$15=1,BW$3='Bonding Program'!$H$15),'Bonding Program'!$T$15,0)</f>
        <v>0</v>
      </c>
      <c r="BX110" s="19" t="n">
        <f aca="false">IF(AND('Bonding Program'!$S$15=1,BX$3='Bonding Program'!$H$15),'Bonding Program'!$T$15,0)</f>
        <v>0</v>
      </c>
      <c r="BY110" s="19" t="n">
        <f aca="false">IF(AND('Bonding Program'!$S$15=1,BY$3='Bonding Program'!$H$15),'Bonding Program'!$T$15,0)</f>
        <v>0</v>
      </c>
      <c r="BZ110" s="19" t="n">
        <f aca="false">IF(AND('Bonding Program'!$S$15=1,BZ$3='Bonding Program'!$H$15),'Bonding Program'!$T$15,0)</f>
        <v>0</v>
      </c>
      <c r="CA110" s="19" t="n">
        <f aca="false">IF(AND('Bonding Program'!$S$15=1,CA$3='Bonding Program'!$H$15),'Bonding Program'!$T$15,0)</f>
        <v>0</v>
      </c>
      <c r="CB110" s="19" t="n">
        <f aca="false">IF(AND('Bonding Program'!$S$15=1,CB$3='Bonding Program'!$H$15),'Bonding Program'!$T$15,0)</f>
        <v>0</v>
      </c>
      <c r="CC110" s="19" t="n">
        <f aca="false">IF(AND('Bonding Program'!$S$15=1,CC$3='Bonding Program'!$H$15),'Bonding Program'!$T$15,0)</f>
        <v>0</v>
      </c>
      <c r="CD110" s="19" t="n">
        <f aca="false">IF(AND('Bonding Program'!$S$15=1,CD$3='Bonding Program'!$H$15),'Bonding Program'!$T$15,0)</f>
        <v>0</v>
      </c>
      <c r="CE110" s="19" t="n">
        <f aca="false">IF(AND('Bonding Program'!$S$15=1,CE$3='Bonding Program'!$H$15),'Bonding Program'!$T$15,0)</f>
        <v>0</v>
      </c>
      <c r="CF110" s="19" t="n">
        <f aca="false">IF(AND('Bonding Program'!$S$15=1,CF$3='Bonding Program'!$H$15),'Bonding Program'!$T$15,0)</f>
        <v>0</v>
      </c>
      <c r="CG110" s="19" t="n">
        <f aca="false">IF(AND('Bonding Program'!$S$15=1,CG$3='Bonding Program'!$H$15),'Bonding Program'!$T$15,0)</f>
        <v>0</v>
      </c>
      <c r="CH110" s="19" t="n">
        <f aca="false">IF(AND('Bonding Program'!$S$15=1,CH$3='Bonding Program'!$H$15),'Bonding Program'!$T$15,0)</f>
        <v>0</v>
      </c>
      <c r="CI110" s="19" t="n">
        <f aca="false">IF(AND('Bonding Program'!$S$15=1,CI$3='Bonding Program'!$H$15),'Bonding Program'!$T$15,0)</f>
        <v>0</v>
      </c>
      <c r="CJ110" s="19" t="n">
        <f aca="false">IF(AND('Bonding Program'!$S$15=1,CJ$3='Bonding Program'!$H$15),'Bonding Program'!$T$15,0)</f>
        <v>0</v>
      </c>
      <c r="CK110" s="19" t="n">
        <f aca="false">IF(AND('Bonding Program'!$S$15=1,CK$3='Bonding Program'!$H$15),'Bonding Program'!$T$15,0)</f>
        <v>0</v>
      </c>
      <c r="CL110" s="19" t="n">
        <f aca="false">IF(AND('Bonding Program'!$S$15=1,CL$3='Bonding Program'!$H$15),'Bonding Program'!$T$15,0)</f>
        <v>0</v>
      </c>
      <c r="CM110" s="19" t="n">
        <f aca="false">IF(AND('Bonding Program'!$S$15=1,CM$3='Bonding Program'!$H$15),'Bonding Program'!$T$15,0)</f>
        <v>0</v>
      </c>
      <c r="CN110" s="19" t="n">
        <f aca="false">IF(AND('Bonding Program'!$S$15=1,CN$3='Bonding Program'!$H$15),'Bonding Program'!$T$15,0)</f>
        <v>0</v>
      </c>
      <c r="CO110" s="19" t="n">
        <f aca="false">IF(AND('Bonding Program'!$S$15=1,CO$3='Bonding Program'!$H$15),'Bonding Program'!$T$15,0)</f>
        <v>0</v>
      </c>
      <c r="CP110" s="19" t="n">
        <f aca="false">IF(AND('Bonding Program'!$S$15=1,CP$3='Bonding Program'!$H$15),'Bonding Program'!$T$15,0)</f>
        <v>0</v>
      </c>
      <c r="CQ110" s="19" t="n">
        <f aca="false">IF(AND('Bonding Program'!$S$15=1,CQ$3='Bonding Program'!$H$15),'Bonding Program'!$T$15,0)</f>
        <v>0</v>
      </c>
      <c r="CR110" s="19" t="n">
        <f aca="false">IF(AND('Bonding Program'!$S$15=1,CR$3='Bonding Program'!$H$15),'Bonding Program'!$T$15,0)</f>
        <v>0</v>
      </c>
      <c r="CS110" s="19" t="n">
        <f aca="false">IF(AND('Bonding Program'!$S$15=1,CS$3='Bonding Program'!$H$15),'Bonding Program'!$T$15,0)</f>
        <v>0</v>
      </c>
      <c r="CT110" s="19" t="n">
        <f aca="false">IF(AND('Bonding Program'!$S$15=1,CT$3='Bonding Program'!$H$15),'Bonding Program'!$T$15,0)</f>
        <v>0</v>
      </c>
      <c r="CU110" s="19" t="n">
        <f aca="false">IF(AND('Bonding Program'!$S$15=1,CU$3='Bonding Program'!$H$15),'Bonding Program'!$T$15,0)</f>
        <v>0</v>
      </c>
      <c r="CV110" s="19" t="n">
        <f aca="false">IF(AND('Bonding Program'!$S$15=1,CV$3='Bonding Program'!$H$15),'Bonding Program'!$T$15,0)</f>
        <v>0</v>
      </c>
      <c r="CW110" s="19" t="n">
        <f aca="false">IF(AND('Bonding Program'!$S$15=1,CW$3='Bonding Program'!$H$15),'Bonding Program'!$T$15,0)</f>
        <v>0</v>
      </c>
      <c r="CX110" s="19" t="n">
        <f aca="false">IF(AND('Bonding Program'!$S$15=1,CX$3='Bonding Program'!$H$15),'Bonding Program'!$T$15,0)</f>
        <v>0</v>
      </c>
      <c r="CY110" s="19" t="n">
        <f aca="false">IF(AND('Bonding Program'!$S$15=1,CY$3='Bonding Program'!$H$15),'Bonding Program'!$T$15,0)</f>
        <v>0</v>
      </c>
      <c r="CZ110" s="19" t="n">
        <f aca="false">IF(AND('Bonding Program'!$S$15=1,CZ$3='Bonding Program'!$H$15),'Bonding Program'!$T$15,0)</f>
        <v>0</v>
      </c>
      <c r="DA110" s="19" t="n">
        <f aca="false">IF(AND('Bonding Program'!$S$15=1,DA$3='Bonding Program'!$H$15),'Bonding Program'!$T$15,0)</f>
        <v>0</v>
      </c>
      <c r="DB110" s="19" t="n">
        <f aca="false">IF(AND('Bonding Program'!$S$15=1,DB$3='Bonding Program'!$H$15),'Bonding Program'!$T$15,0)</f>
        <v>0</v>
      </c>
      <c r="DC110" s="19" t="n">
        <f aca="false">IF(AND('Bonding Program'!$S$15=1,DC$3='Bonding Program'!$H$15),'Bonding Program'!$T$15,0)</f>
        <v>0</v>
      </c>
      <c r="DD110" s="19" t="n">
        <f aca="false">IF(AND('Bonding Program'!$S$15=1,DD$3='Bonding Program'!$H$15),'Bonding Program'!$T$15,0)</f>
        <v>0</v>
      </c>
      <c r="DE110" s="19" t="n">
        <f aca="false">IF(AND('Bonding Program'!$S$15=1,DE$3='Bonding Program'!$H$15),'Bonding Program'!$T$15,0)</f>
        <v>0</v>
      </c>
    </row>
    <row r="111" customFormat="false" ht="15" hidden="false" customHeight="true" outlineLevel="1" collapsed="false">
      <c r="A111" s="28" t="s">
        <v>12</v>
      </c>
      <c r="B111" s="19" t="n">
        <f aca="false">IF(AND('Bonding Program'!$S$16=1,B$3='Bonding Program'!$H$16),'Bonding Program'!$T$16,0)</f>
        <v>0</v>
      </c>
      <c r="C111" s="19" t="n">
        <f aca="false">IF(AND('Bonding Program'!$S$16=1,C$3='Bonding Program'!$H$16),'Bonding Program'!$T$16,0)</f>
        <v>0</v>
      </c>
      <c r="D111" s="19" t="n">
        <f aca="false">IF(AND('Bonding Program'!$S$16=1,D$3='Bonding Program'!$H$16),'Bonding Program'!$T$16,0)</f>
        <v>0</v>
      </c>
      <c r="E111" s="19" t="n">
        <f aca="false">IF(AND('Bonding Program'!$S$16=1,E$3='Bonding Program'!$H$16),'Bonding Program'!$T$16,0)</f>
        <v>0</v>
      </c>
      <c r="F111" s="19" t="n">
        <f aca="false">IF(AND('Bonding Program'!$S$16=1,F$3='Bonding Program'!$H$16),'Bonding Program'!$T$16,0)</f>
        <v>0</v>
      </c>
      <c r="G111" s="19" t="n">
        <f aca="false">IF(AND('Bonding Program'!$S$16=1,G$3='Bonding Program'!$H$16),'Bonding Program'!$T$16,0)</f>
        <v>0</v>
      </c>
      <c r="H111" s="19" t="n">
        <f aca="false">IF(AND('Bonding Program'!$S$16=1,H$3='Bonding Program'!$H$16),'Bonding Program'!$T$16,0)</f>
        <v>839113</v>
      </c>
      <c r="I111" s="19" t="n">
        <f aca="false">IF(AND('Bonding Program'!$S$16=1,I$3='Bonding Program'!$H$16),'Bonding Program'!$T$16,0)</f>
        <v>0</v>
      </c>
      <c r="J111" s="19" t="n">
        <f aca="false">IF(AND('Bonding Program'!$S$16=1,J$3='Bonding Program'!$H$16),'Bonding Program'!$T$16,0)</f>
        <v>0</v>
      </c>
      <c r="K111" s="19" t="n">
        <f aca="false">IF(AND('Bonding Program'!$S$16=1,K$3='Bonding Program'!$H$16),'Bonding Program'!$T$16,0)</f>
        <v>0</v>
      </c>
      <c r="L111" s="19" t="n">
        <f aca="false">IF(AND('Bonding Program'!$S$16=1,L$3='Bonding Program'!$H$16),'Bonding Program'!$T$16,0)</f>
        <v>0</v>
      </c>
      <c r="M111" s="19" t="n">
        <f aca="false">IF(AND('Bonding Program'!$S$16=1,M$3='Bonding Program'!$H$16),'Bonding Program'!$T$16,0)</f>
        <v>0</v>
      </c>
      <c r="N111" s="19" t="n">
        <f aca="false">IF(AND('Bonding Program'!$S$16=1,N$3='Bonding Program'!$H$16),'Bonding Program'!$T$16,0)</f>
        <v>0</v>
      </c>
      <c r="O111" s="19" t="n">
        <f aca="false">IF(AND('Bonding Program'!$S$16=1,O$3='Bonding Program'!$H$16),'Bonding Program'!$T$16,0)</f>
        <v>0</v>
      </c>
      <c r="P111" s="19" t="n">
        <f aca="false">IF(AND('Bonding Program'!$S$16=1,P$3='Bonding Program'!$H$16),'Bonding Program'!$T$16,0)</f>
        <v>0</v>
      </c>
      <c r="Q111" s="19" t="n">
        <f aca="false">IF(AND('Bonding Program'!$S$16=1,Q$3='Bonding Program'!$H$16),'Bonding Program'!$T$16,0)</f>
        <v>0</v>
      </c>
      <c r="R111" s="19" t="n">
        <f aca="false">IF(AND('Bonding Program'!$S$16=1,R$3='Bonding Program'!$H$16),'Bonding Program'!$T$16,0)</f>
        <v>0</v>
      </c>
      <c r="S111" s="19" t="n">
        <f aca="false">IF(AND('Bonding Program'!$S$16=1,S$3='Bonding Program'!$H$16),'Bonding Program'!$T$16,0)</f>
        <v>0</v>
      </c>
      <c r="T111" s="19" t="n">
        <f aca="false">IF(AND('Bonding Program'!$S$16=1,T$3='Bonding Program'!$H$16),'Bonding Program'!$T$16,0)</f>
        <v>0</v>
      </c>
      <c r="U111" s="19" t="n">
        <f aca="false">IF(AND('Bonding Program'!$S$16=1,U$3='Bonding Program'!$H$16),'Bonding Program'!$T$16,0)</f>
        <v>0</v>
      </c>
      <c r="V111" s="19" t="n">
        <f aca="false">IF(AND('Bonding Program'!$S$16=1,V$3='Bonding Program'!$H$16),'Bonding Program'!$T$16,0)</f>
        <v>0</v>
      </c>
      <c r="W111" s="19" t="n">
        <f aca="false">IF(AND('Bonding Program'!$S$16=1,W$3='Bonding Program'!$H$16),'Bonding Program'!$T$16,0)</f>
        <v>0</v>
      </c>
      <c r="X111" s="19" t="n">
        <f aca="false">IF(AND('Bonding Program'!$S$16=1,X$3='Bonding Program'!$H$16),'Bonding Program'!$T$16,0)</f>
        <v>0</v>
      </c>
      <c r="Y111" s="19" t="n">
        <f aca="false">IF(AND('Bonding Program'!$S$16=1,Y$3='Bonding Program'!$H$16),'Bonding Program'!$T$16,0)</f>
        <v>0</v>
      </c>
      <c r="Z111" s="19" t="n">
        <f aca="false">IF(AND('Bonding Program'!$S$16=1,Z$3='Bonding Program'!$H$16),'Bonding Program'!$T$16,0)</f>
        <v>0</v>
      </c>
      <c r="AA111" s="19" t="n">
        <f aca="false">IF(AND('Bonding Program'!$S$16=1,AA$3='Bonding Program'!$H$16),'Bonding Program'!$T$16,0)</f>
        <v>0</v>
      </c>
      <c r="AB111" s="19" t="n">
        <f aca="false">IF(AND('Bonding Program'!$S$16=1,AB$3='Bonding Program'!$H$16),'Bonding Program'!$T$16,0)</f>
        <v>0</v>
      </c>
      <c r="AC111" s="19" t="n">
        <f aca="false">IF(AND('Bonding Program'!$S$16=1,AC$3='Bonding Program'!$H$16),'Bonding Program'!$T$16,0)</f>
        <v>0</v>
      </c>
      <c r="AD111" s="19" t="n">
        <f aca="false">IF(AND('Bonding Program'!$S$16=1,AD$3='Bonding Program'!$H$16),'Bonding Program'!$T$16,0)</f>
        <v>0</v>
      </c>
      <c r="AE111" s="19" t="n">
        <f aca="false">IF(AND('Bonding Program'!$S$16=1,AE$3='Bonding Program'!$H$16),'Bonding Program'!$T$16,0)</f>
        <v>0</v>
      </c>
      <c r="AF111" s="19" t="n">
        <f aca="false">IF(AND('Bonding Program'!$S$16=1,AF$3='Bonding Program'!$H$16),'Bonding Program'!$T$16,0)</f>
        <v>0</v>
      </c>
      <c r="AG111" s="19" t="n">
        <f aca="false">IF(AND('Bonding Program'!$S$16=1,AG$3='Bonding Program'!$H$16),'Bonding Program'!$T$16,0)</f>
        <v>0</v>
      </c>
      <c r="AH111" s="19" t="n">
        <f aca="false">IF(AND('Bonding Program'!$S$16=1,AH$3='Bonding Program'!$H$16),'Bonding Program'!$T$16,0)</f>
        <v>0</v>
      </c>
      <c r="AI111" s="19" t="n">
        <f aca="false">IF(AND('Bonding Program'!$S$16=1,AI$3='Bonding Program'!$H$16),'Bonding Program'!$T$16,0)</f>
        <v>0</v>
      </c>
      <c r="AJ111" s="19" t="n">
        <f aca="false">IF(AND('Bonding Program'!$S$16=1,AJ$3='Bonding Program'!$H$16),'Bonding Program'!$T$16,0)</f>
        <v>0</v>
      </c>
      <c r="AK111" s="19" t="n">
        <f aca="false">IF(AND('Bonding Program'!$S$16=1,AK$3='Bonding Program'!$H$16),'Bonding Program'!$T$16,0)</f>
        <v>0</v>
      </c>
      <c r="AL111" s="19" t="n">
        <f aca="false">IF(AND('Bonding Program'!$S$16=1,AL$3='Bonding Program'!$H$16),'Bonding Program'!$T$16,0)</f>
        <v>0</v>
      </c>
      <c r="AM111" s="19" t="n">
        <f aca="false">IF(AND('Bonding Program'!$S$16=1,AM$3='Bonding Program'!$H$16),'Bonding Program'!$T$16,0)</f>
        <v>0</v>
      </c>
      <c r="AN111" s="19" t="n">
        <f aca="false">IF(AND('Bonding Program'!$S$16=1,AN$3='Bonding Program'!$H$16),'Bonding Program'!$T$16,0)</f>
        <v>0</v>
      </c>
      <c r="AO111" s="19" t="n">
        <f aca="false">IF(AND('Bonding Program'!$S$16=1,AO$3='Bonding Program'!$H$16),'Bonding Program'!$T$16,0)</f>
        <v>0</v>
      </c>
      <c r="AP111" s="19" t="n">
        <f aca="false">IF(AND('Bonding Program'!$S$16=1,AP$3='Bonding Program'!$H$16),'Bonding Program'!$T$16,0)</f>
        <v>0</v>
      </c>
      <c r="AQ111" s="19" t="n">
        <f aca="false">IF(AND('Bonding Program'!$S$16=1,AQ$3='Bonding Program'!$H$16),'Bonding Program'!$T$16,0)</f>
        <v>0</v>
      </c>
      <c r="AR111" s="19" t="n">
        <f aca="false">IF(AND('Bonding Program'!$S$16=1,AR$3='Bonding Program'!$H$16),'Bonding Program'!$T$16,0)</f>
        <v>0</v>
      </c>
      <c r="AS111" s="19" t="n">
        <f aca="false">IF(AND('Bonding Program'!$S$16=1,AS$3='Bonding Program'!$H$16),'Bonding Program'!$T$16,0)</f>
        <v>0</v>
      </c>
      <c r="AT111" s="19" t="n">
        <f aca="false">IF(AND('Bonding Program'!$S$16=1,AT$3='Bonding Program'!$H$16),'Bonding Program'!$T$16,0)</f>
        <v>0</v>
      </c>
      <c r="AU111" s="19" t="n">
        <f aca="false">IF(AND('Bonding Program'!$S$16=1,AU$3='Bonding Program'!$H$16),'Bonding Program'!$T$16,0)</f>
        <v>0</v>
      </c>
      <c r="AV111" s="19" t="n">
        <f aca="false">IF(AND('Bonding Program'!$S$16=1,AV$3='Bonding Program'!$H$16),'Bonding Program'!$T$16,0)</f>
        <v>0</v>
      </c>
      <c r="AW111" s="19" t="n">
        <f aca="false">IF(AND('Bonding Program'!$S$16=1,AW$3='Bonding Program'!$H$16),'Bonding Program'!$T$16,0)</f>
        <v>0</v>
      </c>
      <c r="AX111" s="19" t="n">
        <f aca="false">IF(AND('Bonding Program'!$S$16=1,AX$3='Bonding Program'!$H$16),'Bonding Program'!$T$16,0)</f>
        <v>0</v>
      </c>
      <c r="AY111" s="19" t="n">
        <f aca="false">IF(AND('Bonding Program'!$S$16=1,AY$3='Bonding Program'!$H$16),'Bonding Program'!$T$16,0)</f>
        <v>0</v>
      </c>
      <c r="AZ111" s="19" t="n">
        <f aca="false">IF(AND('Bonding Program'!$S$16=1,AZ$3='Bonding Program'!$H$16),'Bonding Program'!$T$16,0)</f>
        <v>0</v>
      </c>
      <c r="BA111" s="19" t="n">
        <f aca="false">IF(AND('Bonding Program'!$S$16=1,BA$3='Bonding Program'!$H$16),'Bonding Program'!$T$16,0)</f>
        <v>0</v>
      </c>
      <c r="BB111" s="19" t="n">
        <f aca="false">IF(AND('Bonding Program'!$S$16=1,BB$3='Bonding Program'!$H$16),'Bonding Program'!$T$16,0)</f>
        <v>0</v>
      </c>
      <c r="BC111" s="19" t="n">
        <f aca="false">IF(AND('Bonding Program'!$S$16=1,BC$3='Bonding Program'!$H$16),'Bonding Program'!$T$16,0)</f>
        <v>0</v>
      </c>
      <c r="BD111" s="19" t="n">
        <f aca="false">IF(AND('Bonding Program'!$S$16=1,BD$3='Bonding Program'!$H$16),'Bonding Program'!$T$16,0)</f>
        <v>0</v>
      </c>
      <c r="BE111" s="19" t="n">
        <f aca="false">IF(AND('Bonding Program'!$S$16=1,BE$3='Bonding Program'!$H$16),'Bonding Program'!$T$16,0)</f>
        <v>0</v>
      </c>
      <c r="BF111" s="19" t="n">
        <f aca="false">IF(AND('Bonding Program'!$S$16=1,BF$3='Bonding Program'!$H$16),'Bonding Program'!$T$16,0)</f>
        <v>0</v>
      </c>
      <c r="BG111" s="19" t="n">
        <f aca="false">IF(AND('Bonding Program'!$S$16=1,BG$3='Bonding Program'!$H$16),'Bonding Program'!$T$16,0)</f>
        <v>0</v>
      </c>
      <c r="BH111" s="19" t="n">
        <f aca="false">IF(AND('Bonding Program'!$S$16=1,BH$3='Bonding Program'!$H$16),'Bonding Program'!$T$16,0)</f>
        <v>0</v>
      </c>
      <c r="BI111" s="19" t="n">
        <f aca="false">IF(AND('Bonding Program'!$S$16=1,BI$3='Bonding Program'!$H$16),'Bonding Program'!$T$16,0)</f>
        <v>0</v>
      </c>
      <c r="BJ111" s="19" t="n">
        <f aca="false">IF(AND('Bonding Program'!$S$16=1,BJ$3='Bonding Program'!$H$16),'Bonding Program'!$T$16,0)</f>
        <v>0</v>
      </c>
      <c r="BK111" s="19" t="n">
        <f aca="false">IF(AND('Bonding Program'!$S$16=1,BK$3='Bonding Program'!$H$16),'Bonding Program'!$T$16,0)</f>
        <v>0</v>
      </c>
      <c r="BL111" s="19" t="n">
        <f aca="false">IF(AND('Bonding Program'!$S$16=1,BL$3='Bonding Program'!$H$16),'Bonding Program'!$T$16,0)</f>
        <v>0</v>
      </c>
      <c r="BM111" s="19" t="n">
        <f aca="false">IF(AND('Bonding Program'!$S$16=1,BM$3='Bonding Program'!$H$16),'Bonding Program'!$T$16,0)</f>
        <v>0</v>
      </c>
      <c r="BN111" s="19" t="n">
        <f aca="false">IF(AND('Bonding Program'!$S$16=1,BN$3='Bonding Program'!$H$16),'Bonding Program'!$T$16,0)</f>
        <v>0</v>
      </c>
      <c r="BO111" s="19" t="n">
        <f aca="false">IF(AND('Bonding Program'!$S$16=1,BO$3='Bonding Program'!$H$16),'Bonding Program'!$T$16,0)</f>
        <v>0</v>
      </c>
      <c r="BP111" s="19" t="n">
        <f aca="false">IF(AND('Bonding Program'!$S$16=1,BP$3='Bonding Program'!$H$16),'Bonding Program'!$T$16,0)</f>
        <v>0</v>
      </c>
      <c r="BQ111" s="19" t="n">
        <f aca="false">IF(AND('Bonding Program'!$S$16=1,BQ$3='Bonding Program'!$H$16),'Bonding Program'!$T$16,0)</f>
        <v>0</v>
      </c>
      <c r="BR111" s="19" t="n">
        <f aca="false">IF(AND('Bonding Program'!$S$16=1,BR$3='Bonding Program'!$H$16),'Bonding Program'!$T$16,0)</f>
        <v>0</v>
      </c>
      <c r="BS111" s="19" t="n">
        <f aca="false">IF(AND('Bonding Program'!$S$16=1,BS$3='Bonding Program'!$H$16),'Bonding Program'!$T$16,0)</f>
        <v>0</v>
      </c>
      <c r="BT111" s="19" t="n">
        <f aca="false">IF(AND('Bonding Program'!$S$16=1,BT$3='Bonding Program'!$H$16),'Bonding Program'!$T$16,0)</f>
        <v>0</v>
      </c>
      <c r="BU111" s="19" t="n">
        <f aca="false">IF(AND('Bonding Program'!$S$16=1,BU$3='Bonding Program'!$H$16),'Bonding Program'!$T$16,0)</f>
        <v>0</v>
      </c>
      <c r="BV111" s="19" t="n">
        <f aca="false">IF(AND('Bonding Program'!$S$16=1,BV$3='Bonding Program'!$H$16),'Bonding Program'!$T$16,0)</f>
        <v>0</v>
      </c>
      <c r="BW111" s="19" t="n">
        <f aca="false">IF(AND('Bonding Program'!$S$16=1,BW$3='Bonding Program'!$H$16),'Bonding Program'!$T$16,0)</f>
        <v>0</v>
      </c>
      <c r="BX111" s="19" t="n">
        <f aca="false">IF(AND('Bonding Program'!$S$16=1,BX$3='Bonding Program'!$H$16),'Bonding Program'!$T$16,0)</f>
        <v>0</v>
      </c>
      <c r="BY111" s="19" t="n">
        <f aca="false">IF(AND('Bonding Program'!$S$16=1,BY$3='Bonding Program'!$H$16),'Bonding Program'!$T$16,0)</f>
        <v>0</v>
      </c>
      <c r="BZ111" s="19" t="n">
        <f aca="false">IF(AND('Bonding Program'!$S$16=1,BZ$3='Bonding Program'!$H$16),'Bonding Program'!$T$16,0)</f>
        <v>0</v>
      </c>
      <c r="CA111" s="19" t="n">
        <f aca="false">IF(AND('Bonding Program'!$S$16=1,CA$3='Bonding Program'!$H$16),'Bonding Program'!$T$16,0)</f>
        <v>0</v>
      </c>
      <c r="CB111" s="19" t="n">
        <f aca="false">IF(AND('Bonding Program'!$S$16=1,CB$3='Bonding Program'!$H$16),'Bonding Program'!$T$16,0)</f>
        <v>0</v>
      </c>
      <c r="CC111" s="19" t="n">
        <f aca="false">IF(AND('Bonding Program'!$S$16=1,CC$3='Bonding Program'!$H$16),'Bonding Program'!$T$16,0)</f>
        <v>0</v>
      </c>
      <c r="CD111" s="19" t="n">
        <f aca="false">IF(AND('Bonding Program'!$S$16=1,CD$3='Bonding Program'!$H$16),'Bonding Program'!$T$16,0)</f>
        <v>0</v>
      </c>
      <c r="CE111" s="19" t="n">
        <f aca="false">IF(AND('Bonding Program'!$S$16=1,CE$3='Bonding Program'!$H$16),'Bonding Program'!$T$16,0)</f>
        <v>0</v>
      </c>
      <c r="CF111" s="19" t="n">
        <f aca="false">IF(AND('Bonding Program'!$S$16=1,CF$3='Bonding Program'!$H$16),'Bonding Program'!$T$16,0)</f>
        <v>0</v>
      </c>
      <c r="CG111" s="19" t="n">
        <f aca="false">IF(AND('Bonding Program'!$S$16=1,CG$3='Bonding Program'!$H$16),'Bonding Program'!$T$16,0)</f>
        <v>0</v>
      </c>
      <c r="CH111" s="19" t="n">
        <f aca="false">IF(AND('Bonding Program'!$S$16=1,CH$3='Bonding Program'!$H$16),'Bonding Program'!$T$16,0)</f>
        <v>0</v>
      </c>
      <c r="CI111" s="19" t="n">
        <f aca="false">IF(AND('Bonding Program'!$S$16=1,CI$3='Bonding Program'!$H$16),'Bonding Program'!$T$16,0)</f>
        <v>0</v>
      </c>
      <c r="CJ111" s="19" t="n">
        <f aca="false">IF(AND('Bonding Program'!$S$16=1,CJ$3='Bonding Program'!$H$16),'Bonding Program'!$T$16,0)</f>
        <v>0</v>
      </c>
      <c r="CK111" s="19" t="n">
        <f aca="false">IF(AND('Bonding Program'!$S$16=1,CK$3='Bonding Program'!$H$16),'Bonding Program'!$T$16,0)</f>
        <v>0</v>
      </c>
      <c r="CL111" s="19" t="n">
        <f aca="false">IF(AND('Bonding Program'!$S$16=1,CL$3='Bonding Program'!$H$16),'Bonding Program'!$T$16,0)</f>
        <v>0</v>
      </c>
      <c r="CM111" s="19" t="n">
        <f aca="false">IF(AND('Bonding Program'!$S$16=1,CM$3='Bonding Program'!$H$16),'Bonding Program'!$T$16,0)</f>
        <v>0</v>
      </c>
      <c r="CN111" s="19" t="n">
        <f aca="false">IF(AND('Bonding Program'!$S$16=1,CN$3='Bonding Program'!$H$16),'Bonding Program'!$T$16,0)</f>
        <v>0</v>
      </c>
      <c r="CO111" s="19" t="n">
        <f aca="false">IF(AND('Bonding Program'!$S$16=1,CO$3='Bonding Program'!$H$16),'Bonding Program'!$T$16,0)</f>
        <v>0</v>
      </c>
      <c r="CP111" s="19" t="n">
        <f aca="false">IF(AND('Bonding Program'!$S$16=1,CP$3='Bonding Program'!$H$16),'Bonding Program'!$T$16,0)</f>
        <v>0</v>
      </c>
      <c r="CQ111" s="19" t="n">
        <f aca="false">IF(AND('Bonding Program'!$S$16=1,CQ$3='Bonding Program'!$H$16),'Bonding Program'!$T$16,0)</f>
        <v>0</v>
      </c>
      <c r="CR111" s="19" t="n">
        <f aca="false">IF(AND('Bonding Program'!$S$16=1,CR$3='Bonding Program'!$H$16),'Bonding Program'!$T$16,0)</f>
        <v>0</v>
      </c>
      <c r="CS111" s="19" t="n">
        <f aca="false">IF(AND('Bonding Program'!$S$16=1,CS$3='Bonding Program'!$H$16),'Bonding Program'!$T$16,0)</f>
        <v>0</v>
      </c>
      <c r="CT111" s="19" t="n">
        <f aca="false">IF(AND('Bonding Program'!$S$16=1,CT$3='Bonding Program'!$H$16),'Bonding Program'!$T$16,0)</f>
        <v>0</v>
      </c>
      <c r="CU111" s="19" t="n">
        <f aca="false">IF(AND('Bonding Program'!$S$16=1,CU$3='Bonding Program'!$H$16),'Bonding Program'!$T$16,0)</f>
        <v>0</v>
      </c>
      <c r="CV111" s="19" t="n">
        <f aca="false">IF(AND('Bonding Program'!$S$16=1,CV$3='Bonding Program'!$H$16),'Bonding Program'!$T$16,0)</f>
        <v>0</v>
      </c>
      <c r="CW111" s="19" t="n">
        <f aca="false">IF(AND('Bonding Program'!$S$16=1,CW$3='Bonding Program'!$H$16),'Bonding Program'!$T$16,0)</f>
        <v>0</v>
      </c>
      <c r="CX111" s="19" t="n">
        <f aca="false">IF(AND('Bonding Program'!$S$16=1,CX$3='Bonding Program'!$H$16),'Bonding Program'!$T$16,0)</f>
        <v>0</v>
      </c>
      <c r="CY111" s="19" t="n">
        <f aca="false">IF(AND('Bonding Program'!$S$16=1,CY$3='Bonding Program'!$H$16),'Bonding Program'!$T$16,0)</f>
        <v>0</v>
      </c>
      <c r="CZ111" s="19" t="n">
        <f aca="false">IF(AND('Bonding Program'!$S$16=1,CZ$3='Bonding Program'!$H$16),'Bonding Program'!$T$16,0)</f>
        <v>0</v>
      </c>
      <c r="DA111" s="19" t="n">
        <f aca="false">IF(AND('Bonding Program'!$S$16=1,DA$3='Bonding Program'!$H$16),'Bonding Program'!$T$16,0)</f>
        <v>0</v>
      </c>
      <c r="DB111" s="19" t="n">
        <f aca="false">IF(AND('Bonding Program'!$S$16=1,DB$3='Bonding Program'!$H$16),'Bonding Program'!$T$16,0)</f>
        <v>0</v>
      </c>
      <c r="DC111" s="19" t="n">
        <f aca="false">IF(AND('Bonding Program'!$S$16=1,DC$3='Bonding Program'!$H$16),'Bonding Program'!$T$16,0)</f>
        <v>0</v>
      </c>
      <c r="DD111" s="19" t="n">
        <f aca="false">IF(AND('Bonding Program'!$S$16=1,DD$3='Bonding Program'!$H$16),'Bonding Program'!$T$16,0)</f>
        <v>0</v>
      </c>
      <c r="DE111" s="19" t="n">
        <f aca="false">IF(AND('Bonding Program'!$S$16=1,DE$3='Bonding Program'!$H$16),'Bonding Program'!$T$16,0)</f>
        <v>0</v>
      </c>
    </row>
    <row r="112" customFormat="false" ht="15" hidden="false" customHeight="true" outlineLevel="1" collapsed="false">
      <c r="A112" s="28" t="s">
        <v>13</v>
      </c>
      <c r="B112" s="19" t="n">
        <f aca="false">IF(AND('Bonding Program'!$S$17=1,B$3='Bonding Program'!$H$17),'Bonding Program'!$T$17,0)</f>
        <v>0</v>
      </c>
      <c r="C112" s="19" t="n">
        <f aca="false">IF(AND('Bonding Program'!$S$17=1,C$3='Bonding Program'!$H$17),'Bonding Program'!$T$17,0)</f>
        <v>0</v>
      </c>
      <c r="D112" s="19" t="n">
        <f aca="false">IF(AND('Bonding Program'!$S$17=1,D$3='Bonding Program'!$H$17),'Bonding Program'!$T$17,0)</f>
        <v>0</v>
      </c>
      <c r="E112" s="19" t="n">
        <f aca="false">IF(AND('Bonding Program'!$S$17=1,E$3='Bonding Program'!$H$17),'Bonding Program'!$T$17,0)</f>
        <v>0</v>
      </c>
      <c r="F112" s="19" t="n">
        <f aca="false">IF(AND('Bonding Program'!$S$17=1,F$3='Bonding Program'!$H$17),'Bonding Program'!$T$17,0)</f>
        <v>0</v>
      </c>
      <c r="G112" s="19" t="n">
        <f aca="false">IF(AND('Bonding Program'!$S$17=1,G$3='Bonding Program'!$H$17),'Bonding Program'!$T$17,0)</f>
        <v>0</v>
      </c>
      <c r="H112" s="19" t="n">
        <f aca="false">IF(AND('Bonding Program'!$S$17=1,H$3='Bonding Program'!$H$17),'Bonding Program'!$T$17,0)</f>
        <v>0</v>
      </c>
      <c r="I112" s="19" t="n">
        <f aca="false">IF(AND('Bonding Program'!$S$17=1,I$3='Bonding Program'!$H$17),'Bonding Program'!$T$17,0)</f>
        <v>192026.25</v>
      </c>
      <c r="J112" s="19" t="n">
        <f aca="false">IF(AND('Bonding Program'!$S$17=1,J$3='Bonding Program'!$H$17),'Bonding Program'!$T$17,0)</f>
        <v>0</v>
      </c>
      <c r="K112" s="19" t="n">
        <f aca="false">IF(AND('Bonding Program'!$S$17=1,K$3='Bonding Program'!$H$17),'Bonding Program'!$T$17,0)</f>
        <v>0</v>
      </c>
      <c r="L112" s="19" t="n">
        <f aca="false">IF(AND('Bonding Program'!$S$17=1,L$3='Bonding Program'!$H$17),'Bonding Program'!$T$17,0)</f>
        <v>0</v>
      </c>
      <c r="M112" s="19" t="n">
        <f aca="false">IF(AND('Bonding Program'!$S$17=1,M$3='Bonding Program'!$H$17),'Bonding Program'!$T$17,0)</f>
        <v>0</v>
      </c>
      <c r="N112" s="19" t="n">
        <f aca="false">IF(AND('Bonding Program'!$S$17=1,N$3='Bonding Program'!$H$17),'Bonding Program'!$T$17,0)</f>
        <v>0</v>
      </c>
      <c r="O112" s="19" t="n">
        <f aca="false">IF(AND('Bonding Program'!$S$17=1,O$3='Bonding Program'!$H$17),'Bonding Program'!$T$17,0)</f>
        <v>0</v>
      </c>
      <c r="P112" s="19" t="n">
        <f aca="false">IF(AND('Bonding Program'!$S$17=1,P$3='Bonding Program'!$H$17),'Bonding Program'!$T$17,0)</f>
        <v>0</v>
      </c>
      <c r="Q112" s="19" t="n">
        <f aca="false">IF(AND('Bonding Program'!$S$17=1,Q$3='Bonding Program'!$H$17),'Bonding Program'!$T$17,0)</f>
        <v>0</v>
      </c>
      <c r="R112" s="19" t="n">
        <f aca="false">IF(AND('Bonding Program'!$S$17=1,R$3='Bonding Program'!$H$17),'Bonding Program'!$T$17,0)</f>
        <v>0</v>
      </c>
      <c r="S112" s="19" t="n">
        <f aca="false">IF(AND('Bonding Program'!$S$17=1,S$3='Bonding Program'!$H$17),'Bonding Program'!$T$17,0)</f>
        <v>0</v>
      </c>
      <c r="T112" s="19" t="n">
        <f aca="false">IF(AND('Bonding Program'!$S$17=1,T$3='Bonding Program'!$H$17),'Bonding Program'!$T$17,0)</f>
        <v>0</v>
      </c>
      <c r="U112" s="19" t="n">
        <f aca="false">IF(AND('Bonding Program'!$S$17=1,U$3='Bonding Program'!$H$17),'Bonding Program'!$T$17,0)</f>
        <v>0</v>
      </c>
      <c r="V112" s="19" t="n">
        <f aca="false">IF(AND('Bonding Program'!$S$17=1,V$3='Bonding Program'!$H$17),'Bonding Program'!$T$17,0)</f>
        <v>0</v>
      </c>
      <c r="W112" s="19" t="n">
        <f aca="false">IF(AND('Bonding Program'!$S$17=1,W$3='Bonding Program'!$H$17),'Bonding Program'!$T$17,0)</f>
        <v>0</v>
      </c>
      <c r="X112" s="19" t="n">
        <f aca="false">IF(AND('Bonding Program'!$S$17=1,X$3='Bonding Program'!$H$17),'Bonding Program'!$T$17,0)</f>
        <v>0</v>
      </c>
      <c r="Y112" s="19" t="n">
        <f aca="false">IF(AND('Bonding Program'!$S$17=1,Y$3='Bonding Program'!$H$17),'Bonding Program'!$T$17,0)</f>
        <v>0</v>
      </c>
      <c r="Z112" s="19" t="n">
        <f aca="false">IF(AND('Bonding Program'!$S$17=1,Z$3='Bonding Program'!$H$17),'Bonding Program'!$T$17,0)</f>
        <v>0</v>
      </c>
      <c r="AA112" s="19" t="n">
        <f aca="false">IF(AND('Bonding Program'!$S$17=1,AA$3='Bonding Program'!$H$17),'Bonding Program'!$T$17,0)</f>
        <v>0</v>
      </c>
      <c r="AB112" s="19" t="n">
        <f aca="false">IF(AND('Bonding Program'!$S$17=1,AB$3='Bonding Program'!$H$17),'Bonding Program'!$T$17,0)</f>
        <v>0</v>
      </c>
      <c r="AC112" s="19" t="n">
        <f aca="false">IF(AND('Bonding Program'!$S$17=1,AC$3='Bonding Program'!$H$17),'Bonding Program'!$T$17,0)</f>
        <v>0</v>
      </c>
      <c r="AD112" s="19" t="n">
        <f aca="false">IF(AND('Bonding Program'!$S$17=1,AD$3='Bonding Program'!$H$17),'Bonding Program'!$T$17,0)</f>
        <v>0</v>
      </c>
      <c r="AE112" s="19" t="n">
        <f aca="false">IF(AND('Bonding Program'!$S$17=1,AE$3='Bonding Program'!$H$17),'Bonding Program'!$T$17,0)</f>
        <v>0</v>
      </c>
      <c r="AF112" s="19" t="n">
        <f aca="false">IF(AND('Bonding Program'!$S$17=1,AF$3='Bonding Program'!$H$17),'Bonding Program'!$T$17,0)</f>
        <v>0</v>
      </c>
      <c r="AG112" s="19" t="n">
        <f aca="false">IF(AND('Bonding Program'!$S$17=1,AG$3='Bonding Program'!$H$17),'Bonding Program'!$T$17,0)</f>
        <v>0</v>
      </c>
      <c r="AH112" s="19" t="n">
        <f aca="false">IF(AND('Bonding Program'!$S$17=1,AH$3='Bonding Program'!$H$17),'Bonding Program'!$T$17,0)</f>
        <v>0</v>
      </c>
      <c r="AI112" s="19" t="n">
        <f aca="false">IF(AND('Bonding Program'!$S$17=1,AI$3='Bonding Program'!$H$17),'Bonding Program'!$T$17,0)</f>
        <v>0</v>
      </c>
      <c r="AJ112" s="19" t="n">
        <f aca="false">IF(AND('Bonding Program'!$S$17=1,AJ$3='Bonding Program'!$H$17),'Bonding Program'!$T$17,0)</f>
        <v>0</v>
      </c>
      <c r="AK112" s="19" t="n">
        <f aca="false">IF(AND('Bonding Program'!$S$17=1,AK$3='Bonding Program'!$H$17),'Bonding Program'!$T$17,0)</f>
        <v>0</v>
      </c>
      <c r="AL112" s="19" t="n">
        <f aca="false">IF(AND('Bonding Program'!$S$17=1,AL$3='Bonding Program'!$H$17),'Bonding Program'!$T$17,0)</f>
        <v>0</v>
      </c>
      <c r="AM112" s="19" t="n">
        <f aca="false">IF(AND('Bonding Program'!$S$17=1,AM$3='Bonding Program'!$H$17),'Bonding Program'!$T$17,0)</f>
        <v>0</v>
      </c>
      <c r="AN112" s="19" t="n">
        <f aca="false">IF(AND('Bonding Program'!$S$17=1,AN$3='Bonding Program'!$H$17),'Bonding Program'!$T$17,0)</f>
        <v>0</v>
      </c>
      <c r="AO112" s="19" t="n">
        <f aca="false">IF(AND('Bonding Program'!$S$17=1,AO$3='Bonding Program'!$H$17),'Bonding Program'!$T$17,0)</f>
        <v>0</v>
      </c>
      <c r="AP112" s="19" t="n">
        <f aca="false">IF(AND('Bonding Program'!$S$17=1,AP$3='Bonding Program'!$H$17),'Bonding Program'!$T$17,0)</f>
        <v>0</v>
      </c>
      <c r="AQ112" s="19" t="n">
        <f aca="false">IF(AND('Bonding Program'!$S$17=1,AQ$3='Bonding Program'!$H$17),'Bonding Program'!$T$17,0)</f>
        <v>0</v>
      </c>
      <c r="AR112" s="19" t="n">
        <f aca="false">IF(AND('Bonding Program'!$S$17=1,AR$3='Bonding Program'!$H$17),'Bonding Program'!$T$17,0)</f>
        <v>0</v>
      </c>
      <c r="AS112" s="19" t="n">
        <f aca="false">IF(AND('Bonding Program'!$S$17=1,AS$3='Bonding Program'!$H$17),'Bonding Program'!$T$17,0)</f>
        <v>0</v>
      </c>
      <c r="AT112" s="19" t="n">
        <f aca="false">IF(AND('Bonding Program'!$S$17=1,AT$3='Bonding Program'!$H$17),'Bonding Program'!$T$17,0)</f>
        <v>0</v>
      </c>
      <c r="AU112" s="19" t="n">
        <f aca="false">IF(AND('Bonding Program'!$S$17=1,AU$3='Bonding Program'!$H$17),'Bonding Program'!$T$17,0)</f>
        <v>0</v>
      </c>
      <c r="AV112" s="19" t="n">
        <f aca="false">IF(AND('Bonding Program'!$S$17=1,AV$3='Bonding Program'!$H$17),'Bonding Program'!$T$17,0)</f>
        <v>0</v>
      </c>
      <c r="AW112" s="19" t="n">
        <f aca="false">IF(AND('Bonding Program'!$S$17=1,AW$3='Bonding Program'!$H$17),'Bonding Program'!$T$17,0)</f>
        <v>0</v>
      </c>
      <c r="AX112" s="19" t="n">
        <f aca="false">IF(AND('Bonding Program'!$S$17=1,AX$3='Bonding Program'!$H$17),'Bonding Program'!$T$17,0)</f>
        <v>0</v>
      </c>
      <c r="AY112" s="19" t="n">
        <f aca="false">IF(AND('Bonding Program'!$S$17=1,AY$3='Bonding Program'!$H$17),'Bonding Program'!$T$17,0)</f>
        <v>0</v>
      </c>
      <c r="AZ112" s="19" t="n">
        <f aca="false">IF(AND('Bonding Program'!$S$17=1,AZ$3='Bonding Program'!$H$17),'Bonding Program'!$T$17,0)</f>
        <v>0</v>
      </c>
      <c r="BA112" s="19" t="n">
        <f aca="false">IF(AND('Bonding Program'!$S$17=1,BA$3='Bonding Program'!$H$17),'Bonding Program'!$T$17,0)</f>
        <v>0</v>
      </c>
      <c r="BB112" s="19" t="n">
        <f aca="false">IF(AND('Bonding Program'!$S$17=1,BB$3='Bonding Program'!$H$17),'Bonding Program'!$T$17,0)</f>
        <v>0</v>
      </c>
      <c r="BC112" s="19" t="n">
        <f aca="false">IF(AND('Bonding Program'!$S$17=1,BC$3='Bonding Program'!$H$17),'Bonding Program'!$T$17,0)</f>
        <v>0</v>
      </c>
      <c r="BD112" s="19" t="n">
        <f aca="false">IF(AND('Bonding Program'!$S$17=1,BD$3='Bonding Program'!$H$17),'Bonding Program'!$T$17,0)</f>
        <v>0</v>
      </c>
      <c r="BE112" s="19" t="n">
        <f aca="false">IF(AND('Bonding Program'!$S$17=1,BE$3='Bonding Program'!$H$17),'Bonding Program'!$T$17,0)</f>
        <v>0</v>
      </c>
      <c r="BF112" s="19" t="n">
        <f aca="false">IF(AND('Bonding Program'!$S$17=1,BF$3='Bonding Program'!$H$17),'Bonding Program'!$T$17,0)</f>
        <v>0</v>
      </c>
      <c r="BG112" s="19" t="n">
        <f aca="false">IF(AND('Bonding Program'!$S$17=1,BG$3='Bonding Program'!$H$17),'Bonding Program'!$T$17,0)</f>
        <v>0</v>
      </c>
      <c r="BH112" s="19" t="n">
        <f aca="false">IF(AND('Bonding Program'!$S$17=1,BH$3='Bonding Program'!$H$17),'Bonding Program'!$T$17,0)</f>
        <v>0</v>
      </c>
      <c r="BI112" s="19" t="n">
        <f aca="false">IF(AND('Bonding Program'!$S$17=1,BI$3='Bonding Program'!$H$17),'Bonding Program'!$T$17,0)</f>
        <v>0</v>
      </c>
      <c r="BJ112" s="19" t="n">
        <f aca="false">IF(AND('Bonding Program'!$S$17=1,BJ$3='Bonding Program'!$H$17),'Bonding Program'!$T$17,0)</f>
        <v>0</v>
      </c>
      <c r="BK112" s="19" t="n">
        <f aca="false">IF(AND('Bonding Program'!$S$17=1,BK$3='Bonding Program'!$H$17),'Bonding Program'!$T$17,0)</f>
        <v>0</v>
      </c>
      <c r="BL112" s="19" t="n">
        <f aca="false">IF(AND('Bonding Program'!$S$17=1,BL$3='Bonding Program'!$H$17),'Bonding Program'!$T$17,0)</f>
        <v>0</v>
      </c>
      <c r="BM112" s="19" t="n">
        <f aca="false">IF(AND('Bonding Program'!$S$17=1,BM$3='Bonding Program'!$H$17),'Bonding Program'!$T$17,0)</f>
        <v>0</v>
      </c>
      <c r="BN112" s="19" t="n">
        <f aca="false">IF(AND('Bonding Program'!$S$17=1,BN$3='Bonding Program'!$H$17),'Bonding Program'!$T$17,0)</f>
        <v>0</v>
      </c>
      <c r="BO112" s="19" t="n">
        <f aca="false">IF(AND('Bonding Program'!$S$17=1,BO$3='Bonding Program'!$H$17),'Bonding Program'!$T$17,0)</f>
        <v>0</v>
      </c>
      <c r="BP112" s="19" t="n">
        <f aca="false">IF(AND('Bonding Program'!$S$17=1,BP$3='Bonding Program'!$H$17),'Bonding Program'!$T$17,0)</f>
        <v>0</v>
      </c>
      <c r="BQ112" s="19" t="n">
        <f aca="false">IF(AND('Bonding Program'!$S$17=1,BQ$3='Bonding Program'!$H$17),'Bonding Program'!$T$17,0)</f>
        <v>0</v>
      </c>
      <c r="BR112" s="19" t="n">
        <f aca="false">IF(AND('Bonding Program'!$S$17=1,BR$3='Bonding Program'!$H$17),'Bonding Program'!$T$17,0)</f>
        <v>0</v>
      </c>
      <c r="BS112" s="19" t="n">
        <f aca="false">IF(AND('Bonding Program'!$S$17=1,BS$3='Bonding Program'!$H$17),'Bonding Program'!$T$17,0)</f>
        <v>0</v>
      </c>
      <c r="BT112" s="19" t="n">
        <f aca="false">IF(AND('Bonding Program'!$S$17=1,BT$3='Bonding Program'!$H$17),'Bonding Program'!$T$17,0)</f>
        <v>0</v>
      </c>
      <c r="BU112" s="19" t="n">
        <f aca="false">IF(AND('Bonding Program'!$S$17=1,BU$3='Bonding Program'!$H$17),'Bonding Program'!$T$17,0)</f>
        <v>0</v>
      </c>
      <c r="BV112" s="19" t="n">
        <f aca="false">IF(AND('Bonding Program'!$S$17=1,BV$3='Bonding Program'!$H$17),'Bonding Program'!$T$17,0)</f>
        <v>0</v>
      </c>
      <c r="BW112" s="19" t="n">
        <f aca="false">IF(AND('Bonding Program'!$S$17=1,BW$3='Bonding Program'!$H$17),'Bonding Program'!$T$17,0)</f>
        <v>0</v>
      </c>
      <c r="BX112" s="19" t="n">
        <f aca="false">IF(AND('Bonding Program'!$S$17=1,BX$3='Bonding Program'!$H$17),'Bonding Program'!$T$17,0)</f>
        <v>0</v>
      </c>
      <c r="BY112" s="19" t="n">
        <f aca="false">IF(AND('Bonding Program'!$S$17=1,BY$3='Bonding Program'!$H$17),'Bonding Program'!$T$17,0)</f>
        <v>0</v>
      </c>
      <c r="BZ112" s="19" t="n">
        <f aca="false">IF(AND('Bonding Program'!$S$17=1,BZ$3='Bonding Program'!$H$17),'Bonding Program'!$T$17,0)</f>
        <v>0</v>
      </c>
      <c r="CA112" s="19" t="n">
        <f aca="false">IF(AND('Bonding Program'!$S$17=1,CA$3='Bonding Program'!$H$17),'Bonding Program'!$T$17,0)</f>
        <v>0</v>
      </c>
      <c r="CB112" s="19" t="n">
        <f aca="false">IF(AND('Bonding Program'!$S$17=1,CB$3='Bonding Program'!$H$17),'Bonding Program'!$T$17,0)</f>
        <v>0</v>
      </c>
      <c r="CC112" s="19" t="n">
        <f aca="false">IF(AND('Bonding Program'!$S$17=1,CC$3='Bonding Program'!$H$17),'Bonding Program'!$T$17,0)</f>
        <v>0</v>
      </c>
      <c r="CD112" s="19" t="n">
        <f aca="false">IF(AND('Bonding Program'!$S$17=1,CD$3='Bonding Program'!$H$17),'Bonding Program'!$T$17,0)</f>
        <v>0</v>
      </c>
      <c r="CE112" s="19" t="n">
        <f aca="false">IF(AND('Bonding Program'!$S$17=1,CE$3='Bonding Program'!$H$17),'Bonding Program'!$T$17,0)</f>
        <v>0</v>
      </c>
      <c r="CF112" s="19" t="n">
        <f aca="false">IF(AND('Bonding Program'!$S$17=1,CF$3='Bonding Program'!$H$17),'Bonding Program'!$T$17,0)</f>
        <v>0</v>
      </c>
      <c r="CG112" s="19" t="n">
        <f aca="false">IF(AND('Bonding Program'!$S$17=1,CG$3='Bonding Program'!$H$17),'Bonding Program'!$T$17,0)</f>
        <v>0</v>
      </c>
      <c r="CH112" s="19" t="n">
        <f aca="false">IF(AND('Bonding Program'!$S$17=1,CH$3='Bonding Program'!$H$17),'Bonding Program'!$T$17,0)</f>
        <v>0</v>
      </c>
      <c r="CI112" s="19" t="n">
        <f aca="false">IF(AND('Bonding Program'!$S$17=1,CI$3='Bonding Program'!$H$17),'Bonding Program'!$T$17,0)</f>
        <v>0</v>
      </c>
      <c r="CJ112" s="19" t="n">
        <f aca="false">IF(AND('Bonding Program'!$S$17=1,CJ$3='Bonding Program'!$H$17),'Bonding Program'!$T$17,0)</f>
        <v>0</v>
      </c>
      <c r="CK112" s="19" t="n">
        <f aca="false">IF(AND('Bonding Program'!$S$17=1,CK$3='Bonding Program'!$H$17),'Bonding Program'!$T$17,0)</f>
        <v>0</v>
      </c>
      <c r="CL112" s="19" t="n">
        <f aca="false">IF(AND('Bonding Program'!$S$17=1,CL$3='Bonding Program'!$H$17),'Bonding Program'!$T$17,0)</f>
        <v>0</v>
      </c>
      <c r="CM112" s="19" t="n">
        <f aca="false">IF(AND('Bonding Program'!$S$17=1,CM$3='Bonding Program'!$H$17),'Bonding Program'!$T$17,0)</f>
        <v>0</v>
      </c>
      <c r="CN112" s="19" t="n">
        <f aca="false">IF(AND('Bonding Program'!$S$17=1,CN$3='Bonding Program'!$H$17),'Bonding Program'!$T$17,0)</f>
        <v>0</v>
      </c>
      <c r="CO112" s="19" t="n">
        <f aca="false">IF(AND('Bonding Program'!$S$17=1,CO$3='Bonding Program'!$H$17),'Bonding Program'!$T$17,0)</f>
        <v>0</v>
      </c>
      <c r="CP112" s="19" t="n">
        <f aca="false">IF(AND('Bonding Program'!$S$17=1,CP$3='Bonding Program'!$H$17),'Bonding Program'!$T$17,0)</f>
        <v>0</v>
      </c>
      <c r="CQ112" s="19" t="n">
        <f aca="false">IF(AND('Bonding Program'!$S$17=1,CQ$3='Bonding Program'!$H$17),'Bonding Program'!$T$17,0)</f>
        <v>0</v>
      </c>
      <c r="CR112" s="19" t="n">
        <f aca="false">IF(AND('Bonding Program'!$S$17=1,CR$3='Bonding Program'!$H$17),'Bonding Program'!$T$17,0)</f>
        <v>0</v>
      </c>
      <c r="CS112" s="19" t="n">
        <f aca="false">IF(AND('Bonding Program'!$S$17=1,CS$3='Bonding Program'!$H$17),'Bonding Program'!$T$17,0)</f>
        <v>0</v>
      </c>
      <c r="CT112" s="19" t="n">
        <f aca="false">IF(AND('Bonding Program'!$S$17=1,CT$3='Bonding Program'!$H$17),'Bonding Program'!$T$17,0)</f>
        <v>0</v>
      </c>
      <c r="CU112" s="19" t="n">
        <f aca="false">IF(AND('Bonding Program'!$S$17=1,CU$3='Bonding Program'!$H$17),'Bonding Program'!$T$17,0)</f>
        <v>0</v>
      </c>
      <c r="CV112" s="19" t="n">
        <f aca="false">IF(AND('Bonding Program'!$S$17=1,CV$3='Bonding Program'!$H$17),'Bonding Program'!$T$17,0)</f>
        <v>0</v>
      </c>
      <c r="CW112" s="19" t="n">
        <f aca="false">IF(AND('Bonding Program'!$S$17=1,CW$3='Bonding Program'!$H$17),'Bonding Program'!$T$17,0)</f>
        <v>0</v>
      </c>
      <c r="CX112" s="19" t="n">
        <f aca="false">IF(AND('Bonding Program'!$S$17=1,CX$3='Bonding Program'!$H$17),'Bonding Program'!$T$17,0)</f>
        <v>0</v>
      </c>
      <c r="CY112" s="19" t="n">
        <f aca="false">IF(AND('Bonding Program'!$S$17=1,CY$3='Bonding Program'!$H$17),'Bonding Program'!$T$17,0)</f>
        <v>0</v>
      </c>
      <c r="CZ112" s="19" t="n">
        <f aca="false">IF(AND('Bonding Program'!$S$17=1,CZ$3='Bonding Program'!$H$17),'Bonding Program'!$T$17,0)</f>
        <v>0</v>
      </c>
      <c r="DA112" s="19" t="n">
        <f aca="false">IF(AND('Bonding Program'!$S$17=1,DA$3='Bonding Program'!$H$17),'Bonding Program'!$T$17,0)</f>
        <v>0</v>
      </c>
      <c r="DB112" s="19" t="n">
        <f aca="false">IF(AND('Bonding Program'!$S$17=1,DB$3='Bonding Program'!$H$17),'Bonding Program'!$T$17,0)</f>
        <v>0</v>
      </c>
      <c r="DC112" s="19" t="n">
        <f aca="false">IF(AND('Bonding Program'!$S$17=1,DC$3='Bonding Program'!$H$17),'Bonding Program'!$T$17,0)</f>
        <v>0</v>
      </c>
      <c r="DD112" s="19" t="n">
        <f aca="false">IF(AND('Bonding Program'!$S$17=1,DD$3='Bonding Program'!$H$17),'Bonding Program'!$T$17,0)</f>
        <v>0</v>
      </c>
      <c r="DE112" s="19" t="n">
        <f aca="false">IF(AND('Bonding Program'!$S$17=1,DE$3='Bonding Program'!$H$17),'Bonding Program'!$T$17,0)</f>
        <v>0</v>
      </c>
    </row>
    <row r="113" customFormat="false" ht="15" hidden="false" customHeight="true" outlineLevel="1" collapsed="false">
      <c r="A113" s="28" t="s">
        <v>14</v>
      </c>
      <c r="B113" s="19" t="n">
        <f aca="false">IF(AND('Bonding Program'!$S$18=1,B$3='Bonding Program'!$H$18),'Bonding Program'!$T$18,0)</f>
        <v>0</v>
      </c>
      <c r="C113" s="19" t="n">
        <f aca="false">IF(AND('Bonding Program'!$S$18=1,C$3='Bonding Program'!$H$18),'Bonding Program'!$T$18,0)</f>
        <v>0</v>
      </c>
      <c r="D113" s="19" t="n">
        <f aca="false">IF(AND('Bonding Program'!$S$18=1,D$3='Bonding Program'!$H$18),'Bonding Program'!$T$18,0)</f>
        <v>0</v>
      </c>
      <c r="E113" s="19" t="n">
        <f aca="false">IF(AND('Bonding Program'!$S$18=1,E$3='Bonding Program'!$H$18),'Bonding Program'!$T$18,0)</f>
        <v>0</v>
      </c>
      <c r="F113" s="19" t="n">
        <f aca="false">IF(AND('Bonding Program'!$S$18=1,F$3='Bonding Program'!$H$18),'Bonding Program'!$T$18,0)</f>
        <v>0</v>
      </c>
      <c r="G113" s="19" t="n">
        <f aca="false">IF(AND('Bonding Program'!$S$18=1,G$3='Bonding Program'!$H$18),'Bonding Program'!$T$18,0)</f>
        <v>0</v>
      </c>
      <c r="H113" s="19" t="n">
        <f aca="false">IF(AND('Bonding Program'!$S$18=1,H$3='Bonding Program'!$H$18),'Bonding Program'!$T$18,0)</f>
        <v>211877</v>
      </c>
      <c r="I113" s="19" t="n">
        <f aca="false">IF(AND('Bonding Program'!$S$18=1,I$3='Bonding Program'!$H$18),'Bonding Program'!$T$18,0)</f>
        <v>0</v>
      </c>
      <c r="J113" s="19" t="n">
        <f aca="false">IF(AND('Bonding Program'!$S$18=1,J$3='Bonding Program'!$H$18),'Bonding Program'!$T$18,0)</f>
        <v>0</v>
      </c>
      <c r="K113" s="19" t="n">
        <f aca="false">IF(AND('Bonding Program'!$S$18=1,K$3='Bonding Program'!$H$18),'Bonding Program'!$T$18,0)</f>
        <v>0</v>
      </c>
      <c r="L113" s="19" t="n">
        <f aca="false">IF(AND('Bonding Program'!$S$18=1,L$3='Bonding Program'!$H$18),'Bonding Program'!$T$18,0)</f>
        <v>0</v>
      </c>
      <c r="M113" s="19" t="n">
        <f aca="false">IF(AND('Bonding Program'!$S$18=1,M$3='Bonding Program'!$H$18),'Bonding Program'!$T$18,0)</f>
        <v>0</v>
      </c>
      <c r="N113" s="19" t="n">
        <f aca="false">IF(AND('Bonding Program'!$S$18=1,N$3='Bonding Program'!$H$18),'Bonding Program'!$T$18,0)</f>
        <v>0</v>
      </c>
      <c r="O113" s="19" t="n">
        <f aca="false">IF(AND('Bonding Program'!$S$18=1,O$3='Bonding Program'!$H$18),'Bonding Program'!$T$18,0)</f>
        <v>0</v>
      </c>
      <c r="P113" s="19" t="n">
        <f aca="false">IF(AND('Bonding Program'!$S$18=1,P$3='Bonding Program'!$H$18),'Bonding Program'!$T$18,0)</f>
        <v>0</v>
      </c>
      <c r="Q113" s="19" t="n">
        <f aca="false">IF(AND('Bonding Program'!$S$18=1,Q$3='Bonding Program'!$H$18),'Bonding Program'!$T$18,0)</f>
        <v>0</v>
      </c>
      <c r="R113" s="19" t="n">
        <f aca="false">IF(AND('Bonding Program'!$S$18=1,R$3='Bonding Program'!$H$18),'Bonding Program'!$T$18,0)</f>
        <v>0</v>
      </c>
      <c r="S113" s="19" t="n">
        <f aca="false">IF(AND('Bonding Program'!$S$18=1,S$3='Bonding Program'!$H$18),'Bonding Program'!$T$18,0)</f>
        <v>0</v>
      </c>
      <c r="T113" s="19" t="n">
        <f aca="false">IF(AND('Bonding Program'!$S$18=1,T$3='Bonding Program'!$H$18),'Bonding Program'!$T$18,0)</f>
        <v>0</v>
      </c>
      <c r="U113" s="19" t="n">
        <f aca="false">IF(AND('Bonding Program'!$S$18=1,U$3='Bonding Program'!$H$18),'Bonding Program'!$T$18,0)</f>
        <v>0</v>
      </c>
      <c r="V113" s="19" t="n">
        <f aca="false">IF(AND('Bonding Program'!$S$18=1,V$3='Bonding Program'!$H$18),'Bonding Program'!$T$18,0)</f>
        <v>0</v>
      </c>
      <c r="W113" s="19" t="n">
        <f aca="false">IF(AND('Bonding Program'!$S$18=1,W$3='Bonding Program'!$H$18),'Bonding Program'!$T$18,0)</f>
        <v>0</v>
      </c>
      <c r="X113" s="19" t="n">
        <f aca="false">IF(AND('Bonding Program'!$S$18=1,X$3='Bonding Program'!$H$18),'Bonding Program'!$T$18,0)</f>
        <v>0</v>
      </c>
      <c r="Y113" s="19" t="n">
        <f aca="false">IF(AND('Bonding Program'!$S$18=1,Y$3='Bonding Program'!$H$18),'Bonding Program'!$T$18,0)</f>
        <v>0</v>
      </c>
      <c r="Z113" s="19" t="n">
        <f aca="false">IF(AND('Bonding Program'!$S$18=1,Z$3='Bonding Program'!$H$18),'Bonding Program'!$T$18,0)</f>
        <v>0</v>
      </c>
      <c r="AA113" s="19" t="n">
        <f aca="false">IF(AND('Bonding Program'!$S$18=1,AA$3='Bonding Program'!$H$18),'Bonding Program'!$T$18,0)</f>
        <v>0</v>
      </c>
      <c r="AB113" s="19" t="n">
        <f aca="false">IF(AND('Bonding Program'!$S$18=1,AB$3='Bonding Program'!$H$18),'Bonding Program'!$T$18,0)</f>
        <v>0</v>
      </c>
      <c r="AC113" s="19" t="n">
        <f aca="false">IF(AND('Bonding Program'!$S$18=1,AC$3='Bonding Program'!$H$18),'Bonding Program'!$T$18,0)</f>
        <v>0</v>
      </c>
      <c r="AD113" s="19" t="n">
        <f aca="false">IF(AND('Bonding Program'!$S$18=1,AD$3='Bonding Program'!$H$18),'Bonding Program'!$T$18,0)</f>
        <v>0</v>
      </c>
      <c r="AE113" s="19" t="n">
        <f aca="false">IF(AND('Bonding Program'!$S$18=1,AE$3='Bonding Program'!$H$18),'Bonding Program'!$T$18,0)</f>
        <v>0</v>
      </c>
      <c r="AF113" s="19" t="n">
        <f aca="false">IF(AND('Bonding Program'!$S$18=1,AF$3='Bonding Program'!$H$18),'Bonding Program'!$T$18,0)</f>
        <v>0</v>
      </c>
      <c r="AG113" s="19" t="n">
        <f aca="false">IF(AND('Bonding Program'!$S$18=1,AG$3='Bonding Program'!$H$18),'Bonding Program'!$T$18,0)</f>
        <v>0</v>
      </c>
      <c r="AH113" s="19" t="n">
        <f aca="false">IF(AND('Bonding Program'!$S$18=1,AH$3='Bonding Program'!$H$18),'Bonding Program'!$T$18,0)</f>
        <v>0</v>
      </c>
      <c r="AI113" s="19" t="n">
        <f aca="false">IF(AND('Bonding Program'!$S$18=1,AI$3='Bonding Program'!$H$18),'Bonding Program'!$T$18,0)</f>
        <v>0</v>
      </c>
      <c r="AJ113" s="19" t="n">
        <f aca="false">IF(AND('Bonding Program'!$S$18=1,AJ$3='Bonding Program'!$H$18),'Bonding Program'!$T$18,0)</f>
        <v>0</v>
      </c>
      <c r="AK113" s="19" t="n">
        <f aca="false">IF(AND('Bonding Program'!$S$18=1,AK$3='Bonding Program'!$H$18),'Bonding Program'!$T$18,0)</f>
        <v>0</v>
      </c>
      <c r="AL113" s="19" t="n">
        <f aca="false">IF(AND('Bonding Program'!$S$18=1,AL$3='Bonding Program'!$H$18),'Bonding Program'!$T$18,0)</f>
        <v>0</v>
      </c>
      <c r="AM113" s="19" t="n">
        <f aca="false">IF(AND('Bonding Program'!$S$18=1,AM$3='Bonding Program'!$H$18),'Bonding Program'!$T$18,0)</f>
        <v>0</v>
      </c>
      <c r="AN113" s="19" t="n">
        <f aca="false">IF(AND('Bonding Program'!$S$18=1,AN$3='Bonding Program'!$H$18),'Bonding Program'!$T$18,0)</f>
        <v>0</v>
      </c>
      <c r="AO113" s="19" t="n">
        <f aca="false">IF(AND('Bonding Program'!$S$18=1,AO$3='Bonding Program'!$H$18),'Bonding Program'!$T$18,0)</f>
        <v>0</v>
      </c>
      <c r="AP113" s="19" t="n">
        <f aca="false">IF(AND('Bonding Program'!$S$18=1,AP$3='Bonding Program'!$H$18),'Bonding Program'!$T$18,0)</f>
        <v>0</v>
      </c>
      <c r="AQ113" s="19" t="n">
        <f aca="false">IF(AND('Bonding Program'!$S$18=1,AQ$3='Bonding Program'!$H$18),'Bonding Program'!$T$18,0)</f>
        <v>0</v>
      </c>
      <c r="AR113" s="19" t="n">
        <f aca="false">IF(AND('Bonding Program'!$S$18=1,AR$3='Bonding Program'!$H$18),'Bonding Program'!$T$18,0)</f>
        <v>0</v>
      </c>
      <c r="AS113" s="19" t="n">
        <f aca="false">IF(AND('Bonding Program'!$S$18=1,AS$3='Bonding Program'!$H$18),'Bonding Program'!$T$18,0)</f>
        <v>0</v>
      </c>
      <c r="AT113" s="19" t="n">
        <f aca="false">IF(AND('Bonding Program'!$S$18=1,AT$3='Bonding Program'!$H$18),'Bonding Program'!$T$18,0)</f>
        <v>0</v>
      </c>
      <c r="AU113" s="19" t="n">
        <f aca="false">IF(AND('Bonding Program'!$S$18=1,AU$3='Bonding Program'!$H$18),'Bonding Program'!$T$18,0)</f>
        <v>0</v>
      </c>
      <c r="AV113" s="19" t="n">
        <f aca="false">IF(AND('Bonding Program'!$S$18=1,AV$3='Bonding Program'!$H$18),'Bonding Program'!$T$18,0)</f>
        <v>0</v>
      </c>
      <c r="AW113" s="19" t="n">
        <f aca="false">IF(AND('Bonding Program'!$S$18=1,AW$3='Bonding Program'!$H$18),'Bonding Program'!$T$18,0)</f>
        <v>0</v>
      </c>
      <c r="AX113" s="19" t="n">
        <f aca="false">IF(AND('Bonding Program'!$S$18=1,AX$3='Bonding Program'!$H$18),'Bonding Program'!$T$18,0)</f>
        <v>0</v>
      </c>
      <c r="AY113" s="19" t="n">
        <f aca="false">IF(AND('Bonding Program'!$S$18=1,AY$3='Bonding Program'!$H$18),'Bonding Program'!$T$18,0)</f>
        <v>0</v>
      </c>
      <c r="AZ113" s="19" t="n">
        <f aca="false">IF(AND('Bonding Program'!$S$18=1,AZ$3='Bonding Program'!$H$18),'Bonding Program'!$T$18,0)</f>
        <v>0</v>
      </c>
      <c r="BA113" s="19" t="n">
        <f aca="false">IF(AND('Bonding Program'!$S$18=1,BA$3='Bonding Program'!$H$18),'Bonding Program'!$T$18,0)</f>
        <v>0</v>
      </c>
      <c r="BB113" s="19" t="n">
        <f aca="false">IF(AND('Bonding Program'!$S$18=1,BB$3='Bonding Program'!$H$18),'Bonding Program'!$T$18,0)</f>
        <v>0</v>
      </c>
      <c r="BC113" s="19" t="n">
        <f aca="false">IF(AND('Bonding Program'!$S$18=1,BC$3='Bonding Program'!$H$18),'Bonding Program'!$T$18,0)</f>
        <v>0</v>
      </c>
      <c r="BD113" s="19" t="n">
        <f aca="false">IF(AND('Bonding Program'!$S$18=1,BD$3='Bonding Program'!$H$18),'Bonding Program'!$T$18,0)</f>
        <v>0</v>
      </c>
      <c r="BE113" s="19" t="n">
        <f aca="false">IF(AND('Bonding Program'!$S$18=1,BE$3='Bonding Program'!$H$18),'Bonding Program'!$T$18,0)</f>
        <v>0</v>
      </c>
      <c r="BF113" s="19" t="n">
        <f aca="false">IF(AND('Bonding Program'!$S$18=1,BF$3='Bonding Program'!$H$18),'Bonding Program'!$T$18,0)</f>
        <v>0</v>
      </c>
      <c r="BG113" s="19" t="n">
        <f aca="false">IF(AND('Bonding Program'!$S$18=1,BG$3='Bonding Program'!$H$18),'Bonding Program'!$T$18,0)</f>
        <v>0</v>
      </c>
      <c r="BH113" s="19" t="n">
        <f aca="false">IF(AND('Bonding Program'!$S$18=1,BH$3='Bonding Program'!$H$18),'Bonding Program'!$T$18,0)</f>
        <v>0</v>
      </c>
      <c r="BI113" s="19" t="n">
        <f aca="false">IF(AND('Bonding Program'!$S$18=1,BI$3='Bonding Program'!$H$18),'Bonding Program'!$T$18,0)</f>
        <v>0</v>
      </c>
      <c r="BJ113" s="19" t="n">
        <f aca="false">IF(AND('Bonding Program'!$S$18=1,BJ$3='Bonding Program'!$H$18),'Bonding Program'!$T$18,0)</f>
        <v>0</v>
      </c>
      <c r="BK113" s="19" t="n">
        <f aca="false">IF(AND('Bonding Program'!$S$18=1,BK$3='Bonding Program'!$H$18),'Bonding Program'!$T$18,0)</f>
        <v>0</v>
      </c>
      <c r="BL113" s="19" t="n">
        <f aca="false">IF(AND('Bonding Program'!$S$18=1,BL$3='Bonding Program'!$H$18),'Bonding Program'!$T$18,0)</f>
        <v>0</v>
      </c>
      <c r="BM113" s="19" t="n">
        <f aca="false">IF(AND('Bonding Program'!$S$18=1,BM$3='Bonding Program'!$H$18),'Bonding Program'!$T$18,0)</f>
        <v>0</v>
      </c>
      <c r="BN113" s="19" t="n">
        <f aca="false">IF(AND('Bonding Program'!$S$18=1,BN$3='Bonding Program'!$H$18),'Bonding Program'!$T$18,0)</f>
        <v>0</v>
      </c>
      <c r="BO113" s="19" t="n">
        <f aca="false">IF(AND('Bonding Program'!$S$18=1,BO$3='Bonding Program'!$H$18),'Bonding Program'!$T$18,0)</f>
        <v>0</v>
      </c>
      <c r="BP113" s="19" t="n">
        <f aca="false">IF(AND('Bonding Program'!$S$18=1,BP$3='Bonding Program'!$H$18),'Bonding Program'!$T$18,0)</f>
        <v>0</v>
      </c>
      <c r="BQ113" s="19" t="n">
        <f aca="false">IF(AND('Bonding Program'!$S$18=1,BQ$3='Bonding Program'!$H$18),'Bonding Program'!$T$18,0)</f>
        <v>0</v>
      </c>
      <c r="BR113" s="19" t="n">
        <f aca="false">IF(AND('Bonding Program'!$S$18=1,BR$3='Bonding Program'!$H$18),'Bonding Program'!$T$18,0)</f>
        <v>0</v>
      </c>
      <c r="BS113" s="19" t="n">
        <f aca="false">IF(AND('Bonding Program'!$S$18=1,BS$3='Bonding Program'!$H$18),'Bonding Program'!$T$18,0)</f>
        <v>0</v>
      </c>
      <c r="BT113" s="19" t="n">
        <f aca="false">IF(AND('Bonding Program'!$S$18=1,BT$3='Bonding Program'!$H$18),'Bonding Program'!$T$18,0)</f>
        <v>0</v>
      </c>
      <c r="BU113" s="19" t="n">
        <f aca="false">IF(AND('Bonding Program'!$S$18=1,BU$3='Bonding Program'!$H$18),'Bonding Program'!$T$18,0)</f>
        <v>0</v>
      </c>
      <c r="BV113" s="19" t="n">
        <f aca="false">IF(AND('Bonding Program'!$S$18=1,BV$3='Bonding Program'!$H$18),'Bonding Program'!$T$18,0)</f>
        <v>0</v>
      </c>
      <c r="BW113" s="19" t="n">
        <f aca="false">IF(AND('Bonding Program'!$S$18=1,BW$3='Bonding Program'!$H$18),'Bonding Program'!$T$18,0)</f>
        <v>0</v>
      </c>
      <c r="BX113" s="19" t="n">
        <f aca="false">IF(AND('Bonding Program'!$S$18=1,BX$3='Bonding Program'!$H$18),'Bonding Program'!$T$18,0)</f>
        <v>0</v>
      </c>
      <c r="BY113" s="19" t="n">
        <f aca="false">IF(AND('Bonding Program'!$S$18=1,BY$3='Bonding Program'!$H$18),'Bonding Program'!$T$18,0)</f>
        <v>0</v>
      </c>
      <c r="BZ113" s="19" t="n">
        <f aca="false">IF(AND('Bonding Program'!$S$18=1,BZ$3='Bonding Program'!$H$18),'Bonding Program'!$T$18,0)</f>
        <v>0</v>
      </c>
      <c r="CA113" s="19" t="n">
        <f aca="false">IF(AND('Bonding Program'!$S$18=1,CA$3='Bonding Program'!$H$18),'Bonding Program'!$T$18,0)</f>
        <v>0</v>
      </c>
      <c r="CB113" s="19" t="n">
        <f aca="false">IF(AND('Bonding Program'!$S$18=1,CB$3='Bonding Program'!$H$18),'Bonding Program'!$T$18,0)</f>
        <v>0</v>
      </c>
      <c r="CC113" s="19" t="n">
        <f aca="false">IF(AND('Bonding Program'!$S$18=1,CC$3='Bonding Program'!$H$18),'Bonding Program'!$T$18,0)</f>
        <v>0</v>
      </c>
      <c r="CD113" s="19" t="n">
        <f aca="false">IF(AND('Bonding Program'!$S$18=1,CD$3='Bonding Program'!$H$18),'Bonding Program'!$T$18,0)</f>
        <v>0</v>
      </c>
      <c r="CE113" s="19" t="n">
        <f aca="false">IF(AND('Bonding Program'!$S$18=1,CE$3='Bonding Program'!$H$18),'Bonding Program'!$T$18,0)</f>
        <v>0</v>
      </c>
      <c r="CF113" s="19" t="n">
        <f aca="false">IF(AND('Bonding Program'!$S$18=1,CF$3='Bonding Program'!$H$18),'Bonding Program'!$T$18,0)</f>
        <v>0</v>
      </c>
      <c r="CG113" s="19" t="n">
        <f aca="false">IF(AND('Bonding Program'!$S$18=1,CG$3='Bonding Program'!$H$18),'Bonding Program'!$T$18,0)</f>
        <v>0</v>
      </c>
      <c r="CH113" s="19" t="n">
        <f aca="false">IF(AND('Bonding Program'!$S$18=1,CH$3='Bonding Program'!$H$18),'Bonding Program'!$T$18,0)</f>
        <v>0</v>
      </c>
      <c r="CI113" s="19" t="n">
        <f aca="false">IF(AND('Bonding Program'!$S$18=1,CI$3='Bonding Program'!$H$18),'Bonding Program'!$T$18,0)</f>
        <v>0</v>
      </c>
      <c r="CJ113" s="19" t="n">
        <f aca="false">IF(AND('Bonding Program'!$S$18=1,CJ$3='Bonding Program'!$H$18),'Bonding Program'!$T$18,0)</f>
        <v>0</v>
      </c>
      <c r="CK113" s="19" t="n">
        <f aca="false">IF(AND('Bonding Program'!$S$18=1,CK$3='Bonding Program'!$H$18),'Bonding Program'!$T$18,0)</f>
        <v>0</v>
      </c>
      <c r="CL113" s="19" t="n">
        <f aca="false">IF(AND('Bonding Program'!$S$18=1,CL$3='Bonding Program'!$H$18),'Bonding Program'!$T$18,0)</f>
        <v>0</v>
      </c>
      <c r="CM113" s="19" t="n">
        <f aca="false">IF(AND('Bonding Program'!$S$18=1,CM$3='Bonding Program'!$H$18),'Bonding Program'!$T$18,0)</f>
        <v>0</v>
      </c>
      <c r="CN113" s="19" t="n">
        <f aca="false">IF(AND('Bonding Program'!$S$18=1,CN$3='Bonding Program'!$H$18),'Bonding Program'!$T$18,0)</f>
        <v>0</v>
      </c>
      <c r="CO113" s="19" t="n">
        <f aca="false">IF(AND('Bonding Program'!$S$18=1,CO$3='Bonding Program'!$H$18),'Bonding Program'!$T$18,0)</f>
        <v>0</v>
      </c>
      <c r="CP113" s="19" t="n">
        <f aca="false">IF(AND('Bonding Program'!$S$18=1,CP$3='Bonding Program'!$H$18),'Bonding Program'!$T$18,0)</f>
        <v>0</v>
      </c>
      <c r="CQ113" s="19" t="n">
        <f aca="false">IF(AND('Bonding Program'!$S$18=1,CQ$3='Bonding Program'!$H$18),'Bonding Program'!$T$18,0)</f>
        <v>0</v>
      </c>
      <c r="CR113" s="19" t="n">
        <f aca="false">IF(AND('Bonding Program'!$S$18=1,CR$3='Bonding Program'!$H$18),'Bonding Program'!$T$18,0)</f>
        <v>0</v>
      </c>
      <c r="CS113" s="19" t="n">
        <f aca="false">IF(AND('Bonding Program'!$S$18=1,CS$3='Bonding Program'!$H$18),'Bonding Program'!$T$18,0)</f>
        <v>0</v>
      </c>
      <c r="CT113" s="19" t="n">
        <f aca="false">IF(AND('Bonding Program'!$S$18=1,CT$3='Bonding Program'!$H$18),'Bonding Program'!$T$18,0)</f>
        <v>0</v>
      </c>
      <c r="CU113" s="19" t="n">
        <f aca="false">IF(AND('Bonding Program'!$S$18=1,CU$3='Bonding Program'!$H$18),'Bonding Program'!$T$18,0)</f>
        <v>0</v>
      </c>
      <c r="CV113" s="19" t="n">
        <f aca="false">IF(AND('Bonding Program'!$S$18=1,CV$3='Bonding Program'!$H$18),'Bonding Program'!$T$18,0)</f>
        <v>0</v>
      </c>
      <c r="CW113" s="19" t="n">
        <f aca="false">IF(AND('Bonding Program'!$S$18=1,CW$3='Bonding Program'!$H$18),'Bonding Program'!$T$18,0)</f>
        <v>0</v>
      </c>
      <c r="CX113" s="19" t="n">
        <f aca="false">IF(AND('Bonding Program'!$S$18=1,CX$3='Bonding Program'!$H$18),'Bonding Program'!$T$18,0)</f>
        <v>0</v>
      </c>
      <c r="CY113" s="19" t="n">
        <f aca="false">IF(AND('Bonding Program'!$S$18=1,CY$3='Bonding Program'!$H$18),'Bonding Program'!$T$18,0)</f>
        <v>0</v>
      </c>
      <c r="CZ113" s="19" t="n">
        <f aca="false">IF(AND('Bonding Program'!$S$18=1,CZ$3='Bonding Program'!$H$18),'Bonding Program'!$T$18,0)</f>
        <v>0</v>
      </c>
      <c r="DA113" s="19" t="n">
        <f aca="false">IF(AND('Bonding Program'!$S$18=1,DA$3='Bonding Program'!$H$18),'Bonding Program'!$T$18,0)</f>
        <v>0</v>
      </c>
      <c r="DB113" s="19" t="n">
        <f aca="false">IF(AND('Bonding Program'!$S$18=1,DB$3='Bonding Program'!$H$18),'Bonding Program'!$T$18,0)</f>
        <v>0</v>
      </c>
      <c r="DC113" s="19" t="n">
        <f aca="false">IF(AND('Bonding Program'!$S$18=1,DC$3='Bonding Program'!$H$18),'Bonding Program'!$T$18,0)</f>
        <v>0</v>
      </c>
      <c r="DD113" s="19" t="n">
        <f aca="false">IF(AND('Bonding Program'!$S$18=1,DD$3='Bonding Program'!$H$18),'Bonding Program'!$T$18,0)</f>
        <v>0</v>
      </c>
      <c r="DE113" s="19" t="n">
        <f aca="false">IF(AND('Bonding Program'!$S$18=1,DE$3='Bonding Program'!$H$18),'Bonding Program'!$T$18,0)</f>
        <v>0</v>
      </c>
    </row>
    <row r="114" customFormat="false" ht="15" hidden="false" customHeight="true" outlineLevel="1" collapsed="false">
      <c r="A114" s="28" t="s">
        <v>15</v>
      </c>
      <c r="B114" s="19" t="n">
        <f aca="false">IF(AND('Bonding Program'!$S$19=1,B$3='Bonding Program'!$H$19),'Bonding Program'!$T$19,0)</f>
        <v>0</v>
      </c>
      <c r="C114" s="19" t="n">
        <f aca="false">IF(AND('Bonding Program'!$S$19=1,C$3='Bonding Program'!$H$19),'Bonding Program'!$T$19,0)</f>
        <v>0</v>
      </c>
      <c r="D114" s="19" t="n">
        <f aca="false">IF(AND('Bonding Program'!$S$19=1,D$3='Bonding Program'!$H$19),'Bonding Program'!$T$19,0)</f>
        <v>0</v>
      </c>
      <c r="E114" s="19" t="n">
        <f aca="false">IF(AND('Bonding Program'!$S$19=1,E$3='Bonding Program'!$H$19),'Bonding Program'!$T$19,0)</f>
        <v>0</v>
      </c>
      <c r="F114" s="19" t="n">
        <f aca="false">IF(AND('Bonding Program'!$S$19=1,F$3='Bonding Program'!$H$19),'Bonding Program'!$T$19,0)</f>
        <v>0</v>
      </c>
      <c r="G114" s="19" t="n">
        <f aca="false">IF(AND('Bonding Program'!$S$19=1,G$3='Bonding Program'!$H$19),'Bonding Program'!$T$19,0)</f>
        <v>0</v>
      </c>
      <c r="H114" s="19" t="n">
        <f aca="false">IF(AND('Bonding Program'!$S$19=1,H$3='Bonding Program'!$H$19),'Bonding Program'!$T$19,0)</f>
        <v>0</v>
      </c>
      <c r="I114" s="19" t="n">
        <f aca="false">IF(AND('Bonding Program'!$S$19=1,I$3='Bonding Program'!$H$19),'Bonding Program'!$T$19,0)</f>
        <v>0</v>
      </c>
      <c r="J114" s="19" t="n">
        <f aca="false">IF(AND('Bonding Program'!$S$19=1,J$3='Bonding Program'!$H$19),'Bonding Program'!$T$19,0)</f>
        <v>0</v>
      </c>
      <c r="K114" s="19" t="n">
        <f aca="false">IF(AND('Bonding Program'!$S$19=1,K$3='Bonding Program'!$H$19),'Bonding Program'!$T$19,0)</f>
        <v>0</v>
      </c>
      <c r="L114" s="19" t="n">
        <f aca="false">IF(AND('Bonding Program'!$S$19=1,L$3='Bonding Program'!$H$19),'Bonding Program'!$T$19,0)</f>
        <v>0</v>
      </c>
      <c r="M114" s="19" t="n">
        <f aca="false">IF(AND('Bonding Program'!$S$19=1,M$3='Bonding Program'!$H$19),'Bonding Program'!$T$19,0)</f>
        <v>314237.512315271</v>
      </c>
      <c r="N114" s="19" t="n">
        <f aca="false">IF(AND('Bonding Program'!$S$19=1,N$3='Bonding Program'!$H$19),'Bonding Program'!$T$19,0)</f>
        <v>0</v>
      </c>
      <c r="O114" s="19" t="n">
        <f aca="false">IF(AND('Bonding Program'!$S$19=1,O$3='Bonding Program'!$H$19),'Bonding Program'!$T$19,0)</f>
        <v>0</v>
      </c>
      <c r="P114" s="19" t="n">
        <f aca="false">IF(AND('Bonding Program'!$S$19=1,P$3='Bonding Program'!$H$19),'Bonding Program'!$T$19,0)</f>
        <v>0</v>
      </c>
      <c r="Q114" s="19" t="n">
        <f aca="false">IF(AND('Bonding Program'!$S$19=1,Q$3='Bonding Program'!$H$19),'Bonding Program'!$T$19,0)</f>
        <v>0</v>
      </c>
      <c r="R114" s="19" t="n">
        <f aca="false">IF(AND('Bonding Program'!$S$19=1,R$3='Bonding Program'!$H$19),'Bonding Program'!$T$19,0)</f>
        <v>0</v>
      </c>
      <c r="S114" s="19" t="n">
        <f aca="false">IF(AND('Bonding Program'!$S$19=1,S$3='Bonding Program'!$H$19),'Bonding Program'!$T$19,0)</f>
        <v>0</v>
      </c>
      <c r="T114" s="19" t="n">
        <f aca="false">IF(AND('Bonding Program'!$S$19=1,T$3='Bonding Program'!$H$19),'Bonding Program'!$T$19,0)</f>
        <v>0</v>
      </c>
      <c r="U114" s="19" t="n">
        <f aca="false">IF(AND('Bonding Program'!$S$19=1,U$3='Bonding Program'!$H$19),'Bonding Program'!$T$19,0)</f>
        <v>0</v>
      </c>
      <c r="V114" s="19" t="n">
        <f aca="false">IF(AND('Bonding Program'!$S$19=1,V$3='Bonding Program'!$H$19),'Bonding Program'!$T$19,0)</f>
        <v>0</v>
      </c>
      <c r="W114" s="19" t="n">
        <f aca="false">IF(AND('Bonding Program'!$S$19=1,W$3='Bonding Program'!$H$19),'Bonding Program'!$T$19,0)</f>
        <v>0</v>
      </c>
      <c r="X114" s="19" t="n">
        <f aca="false">IF(AND('Bonding Program'!$S$19=1,X$3='Bonding Program'!$H$19),'Bonding Program'!$T$19,0)</f>
        <v>0</v>
      </c>
      <c r="Y114" s="19" t="n">
        <f aca="false">IF(AND('Bonding Program'!$S$19=1,Y$3='Bonding Program'!$H$19),'Bonding Program'!$T$19,0)</f>
        <v>0</v>
      </c>
      <c r="Z114" s="19" t="n">
        <f aca="false">IF(AND('Bonding Program'!$S$19=1,Z$3='Bonding Program'!$H$19),'Bonding Program'!$T$19,0)</f>
        <v>0</v>
      </c>
      <c r="AA114" s="19" t="n">
        <f aca="false">IF(AND('Bonding Program'!$S$19=1,AA$3='Bonding Program'!$H$19),'Bonding Program'!$T$19,0)</f>
        <v>0</v>
      </c>
      <c r="AB114" s="19" t="n">
        <f aca="false">IF(AND('Bonding Program'!$S$19=1,AB$3='Bonding Program'!$H$19),'Bonding Program'!$T$19,0)</f>
        <v>0</v>
      </c>
      <c r="AC114" s="19" t="n">
        <f aca="false">IF(AND('Bonding Program'!$S$19=1,AC$3='Bonding Program'!$H$19),'Bonding Program'!$T$19,0)</f>
        <v>0</v>
      </c>
      <c r="AD114" s="19" t="n">
        <f aca="false">IF(AND('Bonding Program'!$S$19=1,AD$3='Bonding Program'!$H$19),'Bonding Program'!$T$19,0)</f>
        <v>0</v>
      </c>
      <c r="AE114" s="19" t="n">
        <f aca="false">IF(AND('Bonding Program'!$S$19=1,AE$3='Bonding Program'!$H$19),'Bonding Program'!$T$19,0)</f>
        <v>0</v>
      </c>
      <c r="AF114" s="19" t="n">
        <f aca="false">IF(AND('Bonding Program'!$S$19=1,AF$3='Bonding Program'!$H$19),'Bonding Program'!$T$19,0)</f>
        <v>0</v>
      </c>
      <c r="AG114" s="19" t="n">
        <f aca="false">IF(AND('Bonding Program'!$S$19=1,AG$3='Bonding Program'!$H$19),'Bonding Program'!$T$19,0)</f>
        <v>0</v>
      </c>
      <c r="AH114" s="19" t="n">
        <f aca="false">IF(AND('Bonding Program'!$S$19=1,AH$3='Bonding Program'!$H$19),'Bonding Program'!$T$19,0)</f>
        <v>0</v>
      </c>
      <c r="AI114" s="19" t="n">
        <f aca="false">IF(AND('Bonding Program'!$S$19=1,AI$3='Bonding Program'!$H$19),'Bonding Program'!$T$19,0)</f>
        <v>0</v>
      </c>
      <c r="AJ114" s="19" t="n">
        <f aca="false">IF(AND('Bonding Program'!$S$19=1,AJ$3='Bonding Program'!$H$19),'Bonding Program'!$T$19,0)</f>
        <v>0</v>
      </c>
      <c r="AK114" s="19" t="n">
        <f aca="false">IF(AND('Bonding Program'!$S$19=1,AK$3='Bonding Program'!$H$19),'Bonding Program'!$T$19,0)</f>
        <v>0</v>
      </c>
      <c r="AL114" s="19" t="n">
        <f aca="false">IF(AND('Bonding Program'!$S$19=1,AL$3='Bonding Program'!$H$19),'Bonding Program'!$T$19,0)</f>
        <v>0</v>
      </c>
      <c r="AM114" s="19" t="n">
        <f aca="false">IF(AND('Bonding Program'!$S$19=1,AM$3='Bonding Program'!$H$19),'Bonding Program'!$T$19,0)</f>
        <v>0</v>
      </c>
      <c r="AN114" s="19" t="n">
        <f aca="false">IF(AND('Bonding Program'!$S$19=1,AN$3='Bonding Program'!$H$19),'Bonding Program'!$T$19,0)</f>
        <v>0</v>
      </c>
      <c r="AO114" s="19" t="n">
        <f aca="false">IF(AND('Bonding Program'!$S$19=1,AO$3='Bonding Program'!$H$19),'Bonding Program'!$T$19,0)</f>
        <v>0</v>
      </c>
      <c r="AP114" s="19" t="n">
        <f aca="false">IF(AND('Bonding Program'!$S$19=1,AP$3='Bonding Program'!$H$19),'Bonding Program'!$T$19,0)</f>
        <v>0</v>
      </c>
      <c r="AQ114" s="19" t="n">
        <f aca="false">IF(AND('Bonding Program'!$S$19=1,AQ$3='Bonding Program'!$H$19),'Bonding Program'!$T$19,0)</f>
        <v>0</v>
      </c>
      <c r="AR114" s="19" t="n">
        <f aca="false">IF(AND('Bonding Program'!$S$19=1,AR$3='Bonding Program'!$H$19),'Bonding Program'!$T$19,0)</f>
        <v>0</v>
      </c>
      <c r="AS114" s="19" t="n">
        <f aca="false">IF(AND('Bonding Program'!$S$19=1,AS$3='Bonding Program'!$H$19),'Bonding Program'!$T$19,0)</f>
        <v>0</v>
      </c>
      <c r="AT114" s="19" t="n">
        <f aca="false">IF(AND('Bonding Program'!$S$19=1,AT$3='Bonding Program'!$H$19),'Bonding Program'!$T$19,0)</f>
        <v>0</v>
      </c>
      <c r="AU114" s="19" t="n">
        <f aca="false">IF(AND('Bonding Program'!$S$19=1,AU$3='Bonding Program'!$H$19),'Bonding Program'!$T$19,0)</f>
        <v>0</v>
      </c>
      <c r="AV114" s="19" t="n">
        <f aca="false">IF(AND('Bonding Program'!$S$19=1,AV$3='Bonding Program'!$H$19),'Bonding Program'!$T$19,0)</f>
        <v>0</v>
      </c>
      <c r="AW114" s="19" t="n">
        <f aca="false">IF(AND('Bonding Program'!$S$19=1,AW$3='Bonding Program'!$H$19),'Bonding Program'!$T$19,0)</f>
        <v>0</v>
      </c>
      <c r="AX114" s="19" t="n">
        <f aca="false">IF(AND('Bonding Program'!$S$19=1,AX$3='Bonding Program'!$H$19),'Bonding Program'!$T$19,0)</f>
        <v>0</v>
      </c>
      <c r="AY114" s="19" t="n">
        <f aca="false">IF(AND('Bonding Program'!$S$19=1,AY$3='Bonding Program'!$H$19),'Bonding Program'!$T$19,0)</f>
        <v>0</v>
      </c>
      <c r="AZ114" s="19" t="n">
        <f aca="false">IF(AND('Bonding Program'!$S$19=1,AZ$3='Bonding Program'!$H$19),'Bonding Program'!$T$19,0)</f>
        <v>0</v>
      </c>
      <c r="BA114" s="19" t="n">
        <f aca="false">IF(AND('Bonding Program'!$S$19=1,BA$3='Bonding Program'!$H$19),'Bonding Program'!$T$19,0)</f>
        <v>0</v>
      </c>
      <c r="BB114" s="19" t="n">
        <f aca="false">IF(AND('Bonding Program'!$S$19=1,BB$3='Bonding Program'!$H$19),'Bonding Program'!$T$19,0)</f>
        <v>0</v>
      </c>
      <c r="BC114" s="19" t="n">
        <f aca="false">IF(AND('Bonding Program'!$S$19=1,BC$3='Bonding Program'!$H$19),'Bonding Program'!$T$19,0)</f>
        <v>0</v>
      </c>
      <c r="BD114" s="19" t="n">
        <f aca="false">IF(AND('Bonding Program'!$S$19=1,BD$3='Bonding Program'!$H$19),'Bonding Program'!$T$19,0)</f>
        <v>0</v>
      </c>
      <c r="BE114" s="19" t="n">
        <f aca="false">IF(AND('Bonding Program'!$S$19=1,BE$3='Bonding Program'!$H$19),'Bonding Program'!$T$19,0)</f>
        <v>0</v>
      </c>
      <c r="BF114" s="19" t="n">
        <f aca="false">IF(AND('Bonding Program'!$S$19=1,BF$3='Bonding Program'!$H$19),'Bonding Program'!$T$19,0)</f>
        <v>0</v>
      </c>
      <c r="BG114" s="19" t="n">
        <f aca="false">IF(AND('Bonding Program'!$S$19=1,BG$3='Bonding Program'!$H$19),'Bonding Program'!$T$19,0)</f>
        <v>0</v>
      </c>
      <c r="BH114" s="19" t="n">
        <f aca="false">IF(AND('Bonding Program'!$S$19=1,BH$3='Bonding Program'!$H$19),'Bonding Program'!$T$19,0)</f>
        <v>0</v>
      </c>
      <c r="BI114" s="19" t="n">
        <f aca="false">IF(AND('Bonding Program'!$S$19=1,BI$3='Bonding Program'!$H$19),'Bonding Program'!$T$19,0)</f>
        <v>0</v>
      </c>
      <c r="BJ114" s="19" t="n">
        <f aca="false">IF(AND('Bonding Program'!$S$19=1,BJ$3='Bonding Program'!$H$19),'Bonding Program'!$T$19,0)</f>
        <v>0</v>
      </c>
      <c r="BK114" s="19" t="n">
        <f aca="false">IF(AND('Bonding Program'!$S$19=1,BK$3='Bonding Program'!$H$19),'Bonding Program'!$T$19,0)</f>
        <v>0</v>
      </c>
      <c r="BL114" s="19" t="n">
        <f aca="false">IF(AND('Bonding Program'!$S$19=1,BL$3='Bonding Program'!$H$19),'Bonding Program'!$T$19,0)</f>
        <v>0</v>
      </c>
      <c r="BM114" s="19" t="n">
        <f aca="false">IF(AND('Bonding Program'!$S$19=1,BM$3='Bonding Program'!$H$19),'Bonding Program'!$T$19,0)</f>
        <v>0</v>
      </c>
      <c r="BN114" s="19" t="n">
        <f aca="false">IF(AND('Bonding Program'!$S$19=1,BN$3='Bonding Program'!$H$19),'Bonding Program'!$T$19,0)</f>
        <v>0</v>
      </c>
      <c r="BO114" s="19" t="n">
        <f aca="false">IF(AND('Bonding Program'!$S$19=1,BO$3='Bonding Program'!$H$19),'Bonding Program'!$T$19,0)</f>
        <v>0</v>
      </c>
      <c r="BP114" s="19" t="n">
        <f aca="false">IF(AND('Bonding Program'!$S$19=1,BP$3='Bonding Program'!$H$19),'Bonding Program'!$T$19,0)</f>
        <v>0</v>
      </c>
      <c r="BQ114" s="19" t="n">
        <f aca="false">IF(AND('Bonding Program'!$S$19=1,BQ$3='Bonding Program'!$H$19),'Bonding Program'!$T$19,0)</f>
        <v>0</v>
      </c>
      <c r="BR114" s="19" t="n">
        <f aca="false">IF(AND('Bonding Program'!$S$19=1,BR$3='Bonding Program'!$H$19),'Bonding Program'!$T$19,0)</f>
        <v>0</v>
      </c>
      <c r="BS114" s="19" t="n">
        <f aca="false">IF(AND('Bonding Program'!$S$19=1,BS$3='Bonding Program'!$H$19),'Bonding Program'!$T$19,0)</f>
        <v>0</v>
      </c>
      <c r="BT114" s="19" t="n">
        <f aca="false">IF(AND('Bonding Program'!$S$19=1,BT$3='Bonding Program'!$H$19),'Bonding Program'!$T$19,0)</f>
        <v>0</v>
      </c>
      <c r="BU114" s="19" t="n">
        <f aca="false">IF(AND('Bonding Program'!$S$19=1,BU$3='Bonding Program'!$H$19),'Bonding Program'!$T$19,0)</f>
        <v>0</v>
      </c>
      <c r="BV114" s="19" t="n">
        <f aca="false">IF(AND('Bonding Program'!$S$19=1,BV$3='Bonding Program'!$H$19),'Bonding Program'!$T$19,0)</f>
        <v>0</v>
      </c>
      <c r="BW114" s="19" t="n">
        <f aca="false">IF(AND('Bonding Program'!$S$19=1,BW$3='Bonding Program'!$H$19),'Bonding Program'!$T$19,0)</f>
        <v>0</v>
      </c>
      <c r="BX114" s="19" t="n">
        <f aca="false">IF(AND('Bonding Program'!$S$19=1,BX$3='Bonding Program'!$H$19),'Bonding Program'!$T$19,0)</f>
        <v>0</v>
      </c>
      <c r="BY114" s="19" t="n">
        <f aca="false">IF(AND('Bonding Program'!$S$19=1,BY$3='Bonding Program'!$H$19),'Bonding Program'!$T$19,0)</f>
        <v>0</v>
      </c>
      <c r="BZ114" s="19" t="n">
        <f aca="false">IF(AND('Bonding Program'!$S$19=1,BZ$3='Bonding Program'!$H$19),'Bonding Program'!$T$19,0)</f>
        <v>0</v>
      </c>
      <c r="CA114" s="19" t="n">
        <f aca="false">IF(AND('Bonding Program'!$S$19=1,CA$3='Bonding Program'!$H$19),'Bonding Program'!$T$19,0)</f>
        <v>0</v>
      </c>
      <c r="CB114" s="19" t="n">
        <f aca="false">IF(AND('Bonding Program'!$S$19=1,CB$3='Bonding Program'!$H$19),'Bonding Program'!$T$19,0)</f>
        <v>0</v>
      </c>
      <c r="CC114" s="19" t="n">
        <f aca="false">IF(AND('Bonding Program'!$S$19=1,CC$3='Bonding Program'!$H$19),'Bonding Program'!$T$19,0)</f>
        <v>0</v>
      </c>
      <c r="CD114" s="19" t="n">
        <f aca="false">IF(AND('Bonding Program'!$S$19=1,CD$3='Bonding Program'!$H$19),'Bonding Program'!$T$19,0)</f>
        <v>0</v>
      </c>
      <c r="CE114" s="19" t="n">
        <f aca="false">IF(AND('Bonding Program'!$S$19=1,CE$3='Bonding Program'!$H$19),'Bonding Program'!$T$19,0)</f>
        <v>0</v>
      </c>
      <c r="CF114" s="19" t="n">
        <f aca="false">IF(AND('Bonding Program'!$S$19=1,CF$3='Bonding Program'!$H$19),'Bonding Program'!$T$19,0)</f>
        <v>0</v>
      </c>
      <c r="CG114" s="19" t="n">
        <f aca="false">IF(AND('Bonding Program'!$S$19=1,CG$3='Bonding Program'!$H$19),'Bonding Program'!$T$19,0)</f>
        <v>0</v>
      </c>
      <c r="CH114" s="19" t="n">
        <f aca="false">IF(AND('Bonding Program'!$S$19=1,CH$3='Bonding Program'!$H$19),'Bonding Program'!$T$19,0)</f>
        <v>0</v>
      </c>
      <c r="CI114" s="19" t="n">
        <f aca="false">IF(AND('Bonding Program'!$S$19=1,CI$3='Bonding Program'!$H$19),'Bonding Program'!$T$19,0)</f>
        <v>0</v>
      </c>
      <c r="CJ114" s="19" t="n">
        <f aca="false">IF(AND('Bonding Program'!$S$19=1,CJ$3='Bonding Program'!$H$19),'Bonding Program'!$T$19,0)</f>
        <v>0</v>
      </c>
      <c r="CK114" s="19" t="n">
        <f aca="false">IF(AND('Bonding Program'!$S$19=1,CK$3='Bonding Program'!$H$19),'Bonding Program'!$T$19,0)</f>
        <v>0</v>
      </c>
      <c r="CL114" s="19" t="n">
        <f aca="false">IF(AND('Bonding Program'!$S$19=1,CL$3='Bonding Program'!$H$19),'Bonding Program'!$T$19,0)</f>
        <v>0</v>
      </c>
      <c r="CM114" s="19" t="n">
        <f aca="false">IF(AND('Bonding Program'!$S$19=1,CM$3='Bonding Program'!$H$19),'Bonding Program'!$T$19,0)</f>
        <v>0</v>
      </c>
      <c r="CN114" s="19" t="n">
        <f aca="false">IF(AND('Bonding Program'!$S$19=1,CN$3='Bonding Program'!$H$19),'Bonding Program'!$T$19,0)</f>
        <v>0</v>
      </c>
      <c r="CO114" s="19" t="n">
        <f aca="false">IF(AND('Bonding Program'!$S$19=1,CO$3='Bonding Program'!$H$19),'Bonding Program'!$T$19,0)</f>
        <v>0</v>
      </c>
      <c r="CP114" s="19" t="n">
        <f aca="false">IF(AND('Bonding Program'!$S$19=1,CP$3='Bonding Program'!$H$19),'Bonding Program'!$T$19,0)</f>
        <v>0</v>
      </c>
      <c r="CQ114" s="19" t="n">
        <f aca="false">IF(AND('Bonding Program'!$S$19=1,CQ$3='Bonding Program'!$H$19),'Bonding Program'!$T$19,0)</f>
        <v>0</v>
      </c>
      <c r="CR114" s="19" t="n">
        <f aca="false">IF(AND('Bonding Program'!$S$19=1,CR$3='Bonding Program'!$H$19),'Bonding Program'!$T$19,0)</f>
        <v>0</v>
      </c>
      <c r="CS114" s="19" t="n">
        <f aca="false">IF(AND('Bonding Program'!$S$19=1,CS$3='Bonding Program'!$H$19),'Bonding Program'!$T$19,0)</f>
        <v>0</v>
      </c>
      <c r="CT114" s="19" t="n">
        <f aca="false">IF(AND('Bonding Program'!$S$19=1,CT$3='Bonding Program'!$H$19),'Bonding Program'!$T$19,0)</f>
        <v>0</v>
      </c>
      <c r="CU114" s="19" t="n">
        <f aca="false">IF(AND('Bonding Program'!$S$19=1,CU$3='Bonding Program'!$H$19),'Bonding Program'!$T$19,0)</f>
        <v>0</v>
      </c>
      <c r="CV114" s="19" t="n">
        <f aca="false">IF(AND('Bonding Program'!$S$19=1,CV$3='Bonding Program'!$H$19),'Bonding Program'!$T$19,0)</f>
        <v>0</v>
      </c>
      <c r="CW114" s="19" t="n">
        <f aca="false">IF(AND('Bonding Program'!$S$19=1,CW$3='Bonding Program'!$H$19),'Bonding Program'!$T$19,0)</f>
        <v>0</v>
      </c>
      <c r="CX114" s="19" t="n">
        <f aca="false">IF(AND('Bonding Program'!$S$19=1,CX$3='Bonding Program'!$H$19),'Bonding Program'!$T$19,0)</f>
        <v>0</v>
      </c>
      <c r="CY114" s="19" t="n">
        <f aca="false">IF(AND('Bonding Program'!$S$19=1,CY$3='Bonding Program'!$H$19),'Bonding Program'!$T$19,0)</f>
        <v>0</v>
      </c>
      <c r="CZ114" s="19" t="n">
        <f aca="false">IF(AND('Bonding Program'!$S$19=1,CZ$3='Bonding Program'!$H$19),'Bonding Program'!$T$19,0)</f>
        <v>0</v>
      </c>
      <c r="DA114" s="19" t="n">
        <f aca="false">IF(AND('Bonding Program'!$S$19=1,DA$3='Bonding Program'!$H$19),'Bonding Program'!$T$19,0)</f>
        <v>0</v>
      </c>
      <c r="DB114" s="19" t="n">
        <f aca="false">IF(AND('Bonding Program'!$S$19=1,DB$3='Bonding Program'!$H$19),'Bonding Program'!$T$19,0)</f>
        <v>0</v>
      </c>
      <c r="DC114" s="19" t="n">
        <f aca="false">IF(AND('Bonding Program'!$S$19=1,DC$3='Bonding Program'!$H$19),'Bonding Program'!$T$19,0)</f>
        <v>0</v>
      </c>
      <c r="DD114" s="19" t="n">
        <f aca="false">IF(AND('Bonding Program'!$S$19=1,DD$3='Bonding Program'!$H$19),'Bonding Program'!$T$19,0)</f>
        <v>0</v>
      </c>
      <c r="DE114" s="19" t="n">
        <f aca="false">IF(AND('Bonding Program'!$S$19=1,DE$3='Bonding Program'!$H$19),'Bonding Program'!$T$19,0)</f>
        <v>0</v>
      </c>
    </row>
    <row r="115" customFormat="false" ht="15" hidden="false" customHeight="true" outlineLevel="1" collapsed="false">
      <c r="A115" s="28" t="s">
        <v>16</v>
      </c>
      <c r="B115" s="19" t="n">
        <f aca="false">IF(AND('Bonding Program'!$S$20=1,B$3='Bonding Program'!$H$20),'Bonding Program'!$T$20,0)</f>
        <v>0</v>
      </c>
      <c r="C115" s="19" t="n">
        <f aca="false">IF(AND('Bonding Program'!$S$20=1,C$3='Bonding Program'!$H$20),'Bonding Program'!$T$20,0)</f>
        <v>0</v>
      </c>
      <c r="D115" s="19" t="n">
        <f aca="false">IF(AND('Bonding Program'!$S$20=1,D$3='Bonding Program'!$H$20),'Bonding Program'!$T$20,0)</f>
        <v>0</v>
      </c>
      <c r="E115" s="19" t="n">
        <f aca="false">IF(AND('Bonding Program'!$S$20=1,E$3='Bonding Program'!$H$20),'Bonding Program'!$T$20,0)</f>
        <v>0</v>
      </c>
      <c r="F115" s="19" t="n">
        <f aca="false">IF(AND('Bonding Program'!$S$20=1,F$3='Bonding Program'!$H$20),'Bonding Program'!$T$20,0)</f>
        <v>0</v>
      </c>
      <c r="G115" s="19" t="n">
        <f aca="false">IF(AND('Bonding Program'!$S$20=1,G$3='Bonding Program'!$H$20),'Bonding Program'!$T$20,0)</f>
        <v>0</v>
      </c>
      <c r="H115" s="19" t="n">
        <f aca="false">IF(AND('Bonding Program'!$S$20=1,H$3='Bonding Program'!$H$20),'Bonding Program'!$T$20,0)</f>
        <v>0</v>
      </c>
      <c r="I115" s="19" t="n">
        <f aca="false">IF(AND('Bonding Program'!$S$20=1,I$3='Bonding Program'!$H$20),'Bonding Program'!$T$20,0)</f>
        <v>0</v>
      </c>
      <c r="J115" s="19" t="n">
        <f aca="false">IF(AND('Bonding Program'!$S$20=1,J$3='Bonding Program'!$H$20),'Bonding Program'!$T$20,0)</f>
        <v>0</v>
      </c>
      <c r="K115" s="19" t="n">
        <f aca="false">IF(AND('Bonding Program'!$S$20=1,K$3='Bonding Program'!$H$20),'Bonding Program'!$T$20,0)</f>
        <v>0</v>
      </c>
      <c r="L115" s="19" t="n">
        <f aca="false">IF(AND('Bonding Program'!$S$20=1,L$3='Bonding Program'!$H$20),'Bonding Program'!$T$20,0)</f>
        <v>0</v>
      </c>
      <c r="M115" s="19" t="n">
        <f aca="false">IF(AND('Bonding Program'!$S$20=1,M$3='Bonding Program'!$H$20),'Bonding Program'!$T$20,0)</f>
        <v>0</v>
      </c>
      <c r="N115" s="19" t="n">
        <f aca="false">IF(AND('Bonding Program'!$S$20=1,N$3='Bonding Program'!$H$20),'Bonding Program'!$T$20,0)</f>
        <v>0</v>
      </c>
      <c r="O115" s="19" t="n">
        <f aca="false">IF(AND('Bonding Program'!$S$20=1,O$3='Bonding Program'!$H$20),'Bonding Program'!$T$20,0)</f>
        <v>0</v>
      </c>
      <c r="P115" s="19" t="n">
        <f aca="false">IF(AND('Bonding Program'!$S$20=1,P$3='Bonding Program'!$H$20),'Bonding Program'!$T$20,0)</f>
        <v>0</v>
      </c>
      <c r="Q115" s="19" t="n">
        <f aca="false">IF(AND('Bonding Program'!$S$20=1,Q$3='Bonding Program'!$H$20),'Bonding Program'!$T$20,0)</f>
        <v>0</v>
      </c>
      <c r="R115" s="19" t="n">
        <f aca="false">IF(AND('Bonding Program'!$S$20=1,R$3='Bonding Program'!$H$20),'Bonding Program'!$T$20,0)</f>
        <v>0</v>
      </c>
      <c r="S115" s="19" t="n">
        <f aca="false">IF(AND('Bonding Program'!$S$20=1,S$3='Bonding Program'!$H$20),'Bonding Program'!$T$20,0)</f>
        <v>0</v>
      </c>
      <c r="T115" s="19" t="n">
        <f aca="false">IF(AND('Bonding Program'!$S$20=1,T$3='Bonding Program'!$H$20),'Bonding Program'!$T$20,0)</f>
        <v>0</v>
      </c>
      <c r="U115" s="19" t="n">
        <f aca="false">IF(AND('Bonding Program'!$S$20=1,U$3='Bonding Program'!$H$20),'Bonding Program'!$T$20,0)</f>
        <v>0</v>
      </c>
      <c r="V115" s="19" t="n">
        <f aca="false">IF(AND('Bonding Program'!$S$20=1,V$3='Bonding Program'!$H$20),'Bonding Program'!$T$20,0)</f>
        <v>0</v>
      </c>
      <c r="W115" s="19" t="n">
        <f aca="false">IF(AND('Bonding Program'!$S$20=1,W$3='Bonding Program'!$H$20),'Bonding Program'!$T$20,0)</f>
        <v>0</v>
      </c>
      <c r="X115" s="19" t="n">
        <f aca="false">IF(AND('Bonding Program'!$S$20=1,X$3='Bonding Program'!$H$20),'Bonding Program'!$T$20,0)</f>
        <v>0</v>
      </c>
      <c r="Y115" s="19" t="n">
        <f aca="false">IF(AND('Bonding Program'!$S$20=1,Y$3='Bonding Program'!$H$20),'Bonding Program'!$T$20,0)</f>
        <v>0</v>
      </c>
      <c r="Z115" s="19" t="n">
        <f aca="false">IF(AND('Bonding Program'!$S$20=1,Z$3='Bonding Program'!$H$20),'Bonding Program'!$T$20,0)</f>
        <v>0</v>
      </c>
      <c r="AA115" s="19" t="n">
        <f aca="false">IF(AND('Bonding Program'!$S$20=1,AA$3='Bonding Program'!$H$20),'Bonding Program'!$T$20,0)</f>
        <v>0</v>
      </c>
      <c r="AB115" s="19" t="n">
        <f aca="false">IF(AND('Bonding Program'!$S$20=1,AB$3='Bonding Program'!$H$20),'Bonding Program'!$T$20,0)</f>
        <v>0</v>
      </c>
      <c r="AC115" s="19" t="n">
        <f aca="false">IF(AND('Bonding Program'!$S$20=1,AC$3='Bonding Program'!$H$20),'Bonding Program'!$T$20,0)</f>
        <v>0</v>
      </c>
      <c r="AD115" s="19" t="n">
        <f aca="false">IF(AND('Bonding Program'!$S$20=1,AD$3='Bonding Program'!$H$20),'Bonding Program'!$T$20,0)</f>
        <v>0</v>
      </c>
      <c r="AE115" s="19" t="n">
        <f aca="false">IF(AND('Bonding Program'!$S$20=1,AE$3='Bonding Program'!$H$20),'Bonding Program'!$T$20,0)</f>
        <v>0</v>
      </c>
      <c r="AF115" s="19" t="n">
        <f aca="false">IF(AND('Bonding Program'!$S$20=1,AF$3='Bonding Program'!$H$20),'Bonding Program'!$T$20,0)</f>
        <v>0</v>
      </c>
      <c r="AG115" s="19" t="n">
        <f aca="false">IF(AND('Bonding Program'!$S$20=1,AG$3='Bonding Program'!$H$20),'Bonding Program'!$T$20,0)</f>
        <v>0</v>
      </c>
      <c r="AH115" s="19" t="n">
        <f aca="false">IF(AND('Bonding Program'!$S$20=1,AH$3='Bonding Program'!$H$20),'Bonding Program'!$T$20,0)</f>
        <v>0</v>
      </c>
      <c r="AI115" s="19" t="n">
        <f aca="false">IF(AND('Bonding Program'!$S$20=1,AI$3='Bonding Program'!$H$20),'Bonding Program'!$T$20,0)</f>
        <v>0</v>
      </c>
      <c r="AJ115" s="19" t="n">
        <f aca="false">IF(AND('Bonding Program'!$S$20=1,AJ$3='Bonding Program'!$H$20),'Bonding Program'!$T$20,0)</f>
        <v>0</v>
      </c>
      <c r="AK115" s="19" t="n">
        <f aca="false">IF(AND('Bonding Program'!$S$20=1,AK$3='Bonding Program'!$H$20),'Bonding Program'!$T$20,0)</f>
        <v>0</v>
      </c>
      <c r="AL115" s="19" t="n">
        <f aca="false">IF(AND('Bonding Program'!$S$20=1,AL$3='Bonding Program'!$H$20),'Bonding Program'!$T$20,0)</f>
        <v>0</v>
      </c>
      <c r="AM115" s="19" t="n">
        <f aca="false">IF(AND('Bonding Program'!$S$20=1,AM$3='Bonding Program'!$H$20),'Bonding Program'!$T$20,0)</f>
        <v>0</v>
      </c>
      <c r="AN115" s="19" t="n">
        <f aca="false">IF(AND('Bonding Program'!$S$20=1,AN$3='Bonding Program'!$H$20),'Bonding Program'!$T$20,0)</f>
        <v>0</v>
      </c>
      <c r="AO115" s="19" t="n">
        <f aca="false">IF(AND('Bonding Program'!$S$20=1,AO$3='Bonding Program'!$H$20),'Bonding Program'!$T$20,0)</f>
        <v>0</v>
      </c>
      <c r="AP115" s="19" t="n">
        <f aca="false">IF(AND('Bonding Program'!$S$20=1,AP$3='Bonding Program'!$H$20),'Bonding Program'!$T$20,0)</f>
        <v>0</v>
      </c>
      <c r="AQ115" s="19" t="n">
        <f aca="false">IF(AND('Bonding Program'!$S$20=1,AQ$3='Bonding Program'!$H$20),'Bonding Program'!$T$20,0)</f>
        <v>0</v>
      </c>
      <c r="AR115" s="19" t="n">
        <f aca="false">IF(AND('Bonding Program'!$S$20=1,AR$3='Bonding Program'!$H$20),'Bonding Program'!$T$20,0)</f>
        <v>0</v>
      </c>
      <c r="AS115" s="19" t="n">
        <f aca="false">IF(AND('Bonding Program'!$S$20=1,AS$3='Bonding Program'!$H$20),'Bonding Program'!$T$20,0)</f>
        <v>0</v>
      </c>
      <c r="AT115" s="19" t="n">
        <f aca="false">IF(AND('Bonding Program'!$S$20=1,AT$3='Bonding Program'!$H$20),'Bonding Program'!$T$20,0)</f>
        <v>0</v>
      </c>
      <c r="AU115" s="19" t="n">
        <f aca="false">IF(AND('Bonding Program'!$S$20=1,AU$3='Bonding Program'!$H$20),'Bonding Program'!$T$20,0)</f>
        <v>0</v>
      </c>
      <c r="AV115" s="19" t="n">
        <f aca="false">IF(AND('Bonding Program'!$S$20=1,AV$3='Bonding Program'!$H$20),'Bonding Program'!$T$20,0)</f>
        <v>0</v>
      </c>
      <c r="AW115" s="19" t="n">
        <f aca="false">IF(AND('Bonding Program'!$S$20=1,AW$3='Bonding Program'!$H$20),'Bonding Program'!$T$20,0)</f>
        <v>0</v>
      </c>
      <c r="AX115" s="19" t="n">
        <f aca="false">IF(AND('Bonding Program'!$S$20=1,AX$3='Bonding Program'!$H$20),'Bonding Program'!$T$20,0)</f>
        <v>0</v>
      </c>
      <c r="AY115" s="19" t="n">
        <f aca="false">IF(AND('Bonding Program'!$S$20=1,AY$3='Bonding Program'!$H$20),'Bonding Program'!$T$20,0)</f>
        <v>0</v>
      </c>
      <c r="AZ115" s="19" t="n">
        <f aca="false">IF(AND('Bonding Program'!$S$20=1,AZ$3='Bonding Program'!$H$20),'Bonding Program'!$T$20,0)</f>
        <v>0</v>
      </c>
      <c r="BA115" s="19" t="n">
        <f aca="false">IF(AND('Bonding Program'!$S$20=1,BA$3='Bonding Program'!$H$20),'Bonding Program'!$T$20,0)</f>
        <v>0</v>
      </c>
      <c r="BB115" s="19" t="n">
        <f aca="false">IF(AND('Bonding Program'!$S$20=1,BB$3='Bonding Program'!$H$20),'Bonding Program'!$T$20,0)</f>
        <v>0</v>
      </c>
      <c r="BC115" s="19" t="n">
        <f aca="false">IF(AND('Bonding Program'!$S$20=1,BC$3='Bonding Program'!$H$20),'Bonding Program'!$T$20,0)</f>
        <v>0</v>
      </c>
      <c r="BD115" s="19" t="n">
        <f aca="false">IF(AND('Bonding Program'!$S$20=1,BD$3='Bonding Program'!$H$20),'Bonding Program'!$T$20,0)</f>
        <v>0</v>
      </c>
      <c r="BE115" s="19" t="n">
        <f aca="false">IF(AND('Bonding Program'!$S$20=1,BE$3='Bonding Program'!$H$20),'Bonding Program'!$T$20,0)</f>
        <v>0</v>
      </c>
      <c r="BF115" s="19" t="n">
        <f aca="false">IF(AND('Bonding Program'!$S$20=1,BF$3='Bonding Program'!$H$20),'Bonding Program'!$T$20,0)</f>
        <v>0</v>
      </c>
      <c r="BG115" s="19" t="n">
        <f aca="false">IF(AND('Bonding Program'!$S$20=1,BG$3='Bonding Program'!$H$20),'Bonding Program'!$T$20,0)</f>
        <v>0</v>
      </c>
      <c r="BH115" s="19" t="n">
        <f aca="false">IF(AND('Bonding Program'!$S$20=1,BH$3='Bonding Program'!$H$20),'Bonding Program'!$T$20,0)</f>
        <v>0</v>
      </c>
      <c r="BI115" s="19" t="n">
        <f aca="false">IF(AND('Bonding Program'!$S$20=1,BI$3='Bonding Program'!$H$20),'Bonding Program'!$T$20,0)</f>
        <v>0</v>
      </c>
      <c r="BJ115" s="19" t="n">
        <f aca="false">IF(AND('Bonding Program'!$S$20=1,BJ$3='Bonding Program'!$H$20),'Bonding Program'!$T$20,0)</f>
        <v>0</v>
      </c>
      <c r="BK115" s="19" t="n">
        <f aca="false">IF(AND('Bonding Program'!$S$20=1,BK$3='Bonding Program'!$H$20),'Bonding Program'!$T$20,0)</f>
        <v>0</v>
      </c>
      <c r="BL115" s="19" t="n">
        <f aca="false">IF(AND('Bonding Program'!$S$20=1,BL$3='Bonding Program'!$H$20),'Bonding Program'!$T$20,0)</f>
        <v>0</v>
      </c>
      <c r="BM115" s="19" t="n">
        <f aca="false">IF(AND('Bonding Program'!$S$20=1,BM$3='Bonding Program'!$H$20),'Bonding Program'!$T$20,0)</f>
        <v>0</v>
      </c>
      <c r="BN115" s="19" t="n">
        <f aca="false">IF(AND('Bonding Program'!$S$20=1,BN$3='Bonding Program'!$H$20),'Bonding Program'!$T$20,0)</f>
        <v>0</v>
      </c>
      <c r="BO115" s="19" t="n">
        <f aca="false">IF(AND('Bonding Program'!$S$20=1,BO$3='Bonding Program'!$H$20),'Bonding Program'!$T$20,0)</f>
        <v>0</v>
      </c>
      <c r="BP115" s="19" t="n">
        <f aca="false">IF(AND('Bonding Program'!$S$20=1,BP$3='Bonding Program'!$H$20),'Bonding Program'!$T$20,0)</f>
        <v>0</v>
      </c>
      <c r="BQ115" s="19" t="n">
        <f aca="false">IF(AND('Bonding Program'!$S$20=1,BQ$3='Bonding Program'!$H$20),'Bonding Program'!$T$20,0)</f>
        <v>0</v>
      </c>
      <c r="BR115" s="19" t="n">
        <f aca="false">IF(AND('Bonding Program'!$S$20=1,BR$3='Bonding Program'!$H$20),'Bonding Program'!$T$20,0)</f>
        <v>0</v>
      </c>
      <c r="BS115" s="19" t="n">
        <f aca="false">IF(AND('Bonding Program'!$S$20=1,BS$3='Bonding Program'!$H$20),'Bonding Program'!$T$20,0)</f>
        <v>0</v>
      </c>
      <c r="BT115" s="19" t="n">
        <f aca="false">IF(AND('Bonding Program'!$S$20=1,BT$3='Bonding Program'!$H$20),'Bonding Program'!$T$20,0)</f>
        <v>0</v>
      </c>
      <c r="BU115" s="19" t="n">
        <f aca="false">IF(AND('Bonding Program'!$S$20=1,BU$3='Bonding Program'!$H$20),'Bonding Program'!$T$20,0)</f>
        <v>0</v>
      </c>
      <c r="BV115" s="19" t="n">
        <f aca="false">IF(AND('Bonding Program'!$S$20=1,BV$3='Bonding Program'!$H$20),'Bonding Program'!$T$20,0)</f>
        <v>0</v>
      </c>
      <c r="BW115" s="19" t="n">
        <f aca="false">IF(AND('Bonding Program'!$S$20=1,BW$3='Bonding Program'!$H$20),'Bonding Program'!$T$20,0)</f>
        <v>0</v>
      </c>
      <c r="BX115" s="19" t="n">
        <f aca="false">IF(AND('Bonding Program'!$S$20=1,BX$3='Bonding Program'!$H$20),'Bonding Program'!$T$20,0)</f>
        <v>0</v>
      </c>
      <c r="BY115" s="19" t="n">
        <f aca="false">IF(AND('Bonding Program'!$S$20=1,BY$3='Bonding Program'!$H$20),'Bonding Program'!$T$20,0)</f>
        <v>0</v>
      </c>
      <c r="BZ115" s="19" t="n">
        <f aca="false">IF(AND('Bonding Program'!$S$20=1,BZ$3='Bonding Program'!$H$20),'Bonding Program'!$T$20,0)</f>
        <v>0</v>
      </c>
      <c r="CA115" s="19" t="n">
        <f aca="false">IF(AND('Bonding Program'!$S$20=1,CA$3='Bonding Program'!$H$20),'Bonding Program'!$T$20,0)</f>
        <v>0</v>
      </c>
      <c r="CB115" s="19" t="n">
        <f aca="false">IF(AND('Bonding Program'!$S$20=1,CB$3='Bonding Program'!$H$20),'Bonding Program'!$T$20,0)</f>
        <v>0</v>
      </c>
      <c r="CC115" s="19" t="n">
        <f aca="false">IF(AND('Bonding Program'!$S$20=1,CC$3='Bonding Program'!$H$20),'Bonding Program'!$T$20,0)</f>
        <v>0</v>
      </c>
      <c r="CD115" s="19" t="n">
        <f aca="false">IF(AND('Bonding Program'!$S$20=1,CD$3='Bonding Program'!$H$20),'Bonding Program'!$T$20,0)</f>
        <v>0</v>
      </c>
      <c r="CE115" s="19" t="n">
        <f aca="false">IF(AND('Bonding Program'!$S$20=1,CE$3='Bonding Program'!$H$20),'Bonding Program'!$T$20,0)</f>
        <v>0</v>
      </c>
      <c r="CF115" s="19" t="n">
        <f aca="false">IF(AND('Bonding Program'!$S$20=1,CF$3='Bonding Program'!$H$20),'Bonding Program'!$T$20,0)</f>
        <v>0</v>
      </c>
      <c r="CG115" s="19" t="n">
        <f aca="false">IF(AND('Bonding Program'!$S$20=1,CG$3='Bonding Program'!$H$20),'Bonding Program'!$T$20,0)</f>
        <v>0</v>
      </c>
      <c r="CH115" s="19" t="n">
        <f aca="false">IF(AND('Bonding Program'!$S$20=1,CH$3='Bonding Program'!$H$20),'Bonding Program'!$T$20,0)</f>
        <v>0</v>
      </c>
      <c r="CI115" s="19" t="n">
        <f aca="false">IF(AND('Bonding Program'!$S$20=1,CI$3='Bonding Program'!$H$20),'Bonding Program'!$T$20,0)</f>
        <v>0</v>
      </c>
      <c r="CJ115" s="19" t="n">
        <f aca="false">IF(AND('Bonding Program'!$S$20=1,CJ$3='Bonding Program'!$H$20),'Bonding Program'!$T$20,0)</f>
        <v>0</v>
      </c>
      <c r="CK115" s="19" t="n">
        <f aca="false">IF(AND('Bonding Program'!$S$20=1,CK$3='Bonding Program'!$H$20),'Bonding Program'!$T$20,0)</f>
        <v>0</v>
      </c>
      <c r="CL115" s="19" t="n">
        <f aca="false">IF(AND('Bonding Program'!$S$20=1,CL$3='Bonding Program'!$H$20),'Bonding Program'!$T$20,0)</f>
        <v>0</v>
      </c>
      <c r="CM115" s="19" t="n">
        <f aca="false">IF(AND('Bonding Program'!$S$20=1,CM$3='Bonding Program'!$H$20),'Bonding Program'!$T$20,0)</f>
        <v>0</v>
      </c>
      <c r="CN115" s="19" t="n">
        <f aca="false">IF(AND('Bonding Program'!$S$20=1,CN$3='Bonding Program'!$H$20),'Bonding Program'!$T$20,0)</f>
        <v>0</v>
      </c>
      <c r="CO115" s="19" t="n">
        <f aca="false">IF(AND('Bonding Program'!$S$20=1,CO$3='Bonding Program'!$H$20),'Bonding Program'!$T$20,0)</f>
        <v>0</v>
      </c>
      <c r="CP115" s="19" t="n">
        <f aca="false">IF(AND('Bonding Program'!$S$20=1,CP$3='Bonding Program'!$H$20),'Bonding Program'!$T$20,0)</f>
        <v>0</v>
      </c>
      <c r="CQ115" s="19" t="n">
        <f aca="false">IF(AND('Bonding Program'!$S$20=1,CQ$3='Bonding Program'!$H$20),'Bonding Program'!$T$20,0)</f>
        <v>0</v>
      </c>
      <c r="CR115" s="19" t="n">
        <f aca="false">IF(AND('Bonding Program'!$S$20=1,CR$3='Bonding Program'!$H$20),'Bonding Program'!$T$20,0)</f>
        <v>0</v>
      </c>
      <c r="CS115" s="19" t="n">
        <f aca="false">IF(AND('Bonding Program'!$S$20=1,CS$3='Bonding Program'!$H$20),'Bonding Program'!$T$20,0)</f>
        <v>0</v>
      </c>
      <c r="CT115" s="19" t="n">
        <f aca="false">IF(AND('Bonding Program'!$S$20=1,CT$3='Bonding Program'!$H$20),'Bonding Program'!$T$20,0)</f>
        <v>0</v>
      </c>
      <c r="CU115" s="19" t="n">
        <f aca="false">IF(AND('Bonding Program'!$S$20=1,CU$3='Bonding Program'!$H$20),'Bonding Program'!$T$20,0)</f>
        <v>0</v>
      </c>
      <c r="CV115" s="19" t="n">
        <f aca="false">IF(AND('Bonding Program'!$S$20=1,CV$3='Bonding Program'!$H$20),'Bonding Program'!$T$20,0)</f>
        <v>0</v>
      </c>
      <c r="CW115" s="19" t="n">
        <f aca="false">IF(AND('Bonding Program'!$S$20=1,CW$3='Bonding Program'!$H$20),'Bonding Program'!$T$20,0)</f>
        <v>0</v>
      </c>
      <c r="CX115" s="19" t="n">
        <f aca="false">IF(AND('Bonding Program'!$S$20=1,CX$3='Bonding Program'!$H$20),'Bonding Program'!$T$20,0)</f>
        <v>0</v>
      </c>
      <c r="CY115" s="19" t="n">
        <f aca="false">IF(AND('Bonding Program'!$S$20=1,CY$3='Bonding Program'!$H$20),'Bonding Program'!$T$20,0)</f>
        <v>0</v>
      </c>
      <c r="CZ115" s="19" t="n">
        <f aca="false">IF(AND('Bonding Program'!$S$20=1,CZ$3='Bonding Program'!$H$20),'Bonding Program'!$T$20,0)</f>
        <v>0</v>
      </c>
      <c r="DA115" s="19" t="n">
        <f aca="false">IF(AND('Bonding Program'!$S$20=1,DA$3='Bonding Program'!$H$20),'Bonding Program'!$T$20,0)</f>
        <v>0</v>
      </c>
      <c r="DB115" s="19" t="n">
        <f aca="false">IF(AND('Bonding Program'!$S$20=1,DB$3='Bonding Program'!$H$20),'Bonding Program'!$T$20,0)</f>
        <v>0</v>
      </c>
      <c r="DC115" s="19" t="n">
        <f aca="false">IF(AND('Bonding Program'!$S$20=1,DC$3='Bonding Program'!$H$20),'Bonding Program'!$T$20,0)</f>
        <v>0</v>
      </c>
      <c r="DD115" s="19" t="n">
        <f aca="false">IF(AND('Bonding Program'!$S$20=1,DD$3='Bonding Program'!$H$20),'Bonding Program'!$T$20,0)</f>
        <v>0</v>
      </c>
      <c r="DE115" s="19" t="n">
        <f aca="false">IF(AND('Bonding Program'!$S$20=1,DE$3='Bonding Program'!$H$20),'Bonding Program'!$T$20,0)</f>
        <v>0</v>
      </c>
    </row>
    <row r="116" customFormat="false" ht="15" hidden="false" customHeight="true" outlineLevel="1" collapsed="false">
      <c r="A116" s="28" t="s">
        <v>17</v>
      </c>
      <c r="B116" s="19" t="n">
        <f aca="false">IF(AND('Bonding Program'!$S$21=1,B$3='Bonding Program'!$H$21),'Bonding Program'!$T$21,0)</f>
        <v>0</v>
      </c>
      <c r="C116" s="19" t="n">
        <f aca="false">IF(AND('Bonding Program'!$S$21=1,C$3='Bonding Program'!$H$21),'Bonding Program'!$T$21,0)</f>
        <v>0</v>
      </c>
      <c r="D116" s="19" t="n">
        <f aca="false">IF(AND('Bonding Program'!$S$21=1,D$3='Bonding Program'!$H$21),'Bonding Program'!$T$21,0)</f>
        <v>0</v>
      </c>
      <c r="E116" s="19" t="n">
        <f aca="false">IF(AND('Bonding Program'!$S$21=1,E$3='Bonding Program'!$H$21),'Bonding Program'!$T$21,0)</f>
        <v>0</v>
      </c>
      <c r="F116" s="19" t="n">
        <f aca="false">IF(AND('Bonding Program'!$S$21=1,F$3='Bonding Program'!$H$21),'Bonding Program'!$T$21,0)</f>
        <v>0</v>
      </c>
      <c r="G116" s="19" t="n">
        <f aca="false">IF(AND('Bonding Program'!$S$21=1,G$3='Bonding Program'!$H$21),'Bonding Program'!$T$21,0)</f>
        <v>0</v>
      </c>
      <c r="H116" s="19" t="n">
        <f aca="false">IF(AND('Bonding Program'!$S$21=1,H$3='Bonding Program'!$H$21),'Bonding Program'!$T$21,0)</f>
        <v>0</v>
      </c>
      <c r="I116" s="19" t="n">
        <f aca="false">IF(AND('Bonding Program'!$S$21=1,I$3='Bonding Program'!$H$21),'Bonding Program'!$T$21,0)</f>
        <v>0</v>
      </c>
      <c r="J116" s="19" t="n">
        <f aca="false">IF(AND('Bonding Program'!$S$21=1,J$3='Bonding Program'!$H$21),'Bonding Program'!$T$21,0)</f>
        <v>0</v>
      </c>
      <c r="K116" s="19" t="n">
        <f aca="false">IF(AND('Bonding Program'!$S$21=1,K$3='Bonding Program'!$H$21),'Bonding Program'!$T$21,0)</f>
        <v>0</v>
      </c>
      <c r="L116" s="19" t="n">
        <f aca="false">IF(AND('Bonding Program'!$S$21=1,L$3='Bonding Program'!$H$21),'Bonding Program'!$T$21,0)</f>
        <v>0</v>
      </c>
      <c r="M116" s="19" t="n">
        <f aca="false">IF(AND('Bonding Program'!$S$21=1,M$3='Bonding Program'!$H$21),'Bonding Program'!$T$21,0)</f>
        <v>0</v>
      </c>
      <c r="N116" s="19" t="n">
        <f aca="false">IF(AND('Bonding Program'!$S$21=1,N$3='Bonding Program'!$H$21),'Bonding Program'!$T$21,0)</f>
        <v>0</v>
      </c>
      <c r="O116" s="19" t="n">
        <f aca="false">IF(AND('Bonding Program'!$S$21=1,O$3='Bonding Program'!$H$21),'Bonding Program'!$T$21,0)</f>
        <v>0</v>
      </c>
      <c r="P116" s="19" t="n">
        <f aca="false">IF(AND('Bonding Program'!$S$21=1,P$3='Bonding Program'!$H$21),'Bonding Program'!$T$21,0)</f>
        <v>0</v>
      </c>
      <c r="Q116" s="19" t="n">
        <f aca="false">IF(AND('Bonding Program'!$S$21=1,Q$3='Bonding Program'!$H$21),'Bonding Program'!$T$21,0)</f>
        <v>0</v>
      </c>
      <c r="R116" s="19" t="n">
        <f aca="false">IF(AND('Bonding Program'!$S$21=1,R$3='Bonding Program'!$H$21),'Bonding Program'!$T$21,0)</f>
        <v>0</v>
      </c>
      <c r="S116" s="19" t="n">
        <f aca="false">IF(AND('Bonding Program'!$S$21=1,S$3='Bonding Program'!$H$21),'Bonding Program'!$T$21,0)</f>
        <v>0</v>
      </c>
      <c r="T116" s="19" t="n">
        <f aca="false">IF(AND('Bonding Program'!$S$21=1,T$3='Bonding Program'!$H$21),'Bonding Program'!$T$21,0)</f>
        <v>0</v>
      </c>
      <c r="U116" s="19" t="n">
        <f aca="false">IF(AND('Bonding Program'!$S$21=1,U$3='Bonding Program'!$H$21),'Bonding Program'!$T$21,0)</f>
        <v>0</v>
      </c>
      <c r="V116" s="19" t="n">
        <f aca="false">IF(AND('Bonding Program'!$S$21=1,V$3='Bonding Program'!$H$21),'Bonding Program'!$T$21,0)</f>
        <v>0</v>
      </c>
      <c r="W116" s="19" t="n">
        <f aca="false">IF(AND('Bonding Program'!$S$21=1,W$3='Bonding Program'!$H$21),'Bonding Program'!$T$21,0)</f>
        <v>0</v>
      </c>
      <c r="X116" s="19" t="n">
        <f aca="false">IF(AND('Bonding Program'!$S$21=1,X$3='Bonding Program'!$H$21),'Bonding Program'!$T$21,0)</f>
        <v>0</v>
      </c>
      <c r="Y116" s="19" t="n">
        <f aca="false">IF(AND('Bonding Program'!$S$21=1,Y$3='Bonding Program'!$H$21),'Bonding Program'!$T$21,0)</f>
        <v>0</v>
      </c>
      <c r="Z116" s="19" t="n">
        <f aca="false">IF(AND('Bonding Program'!$S$21=1,Z$3='Bonding Program'!$H$21),'Bonding Program'!$T$21,0)</f>
        <v>0</v>
      </c>
      <c r="AA116" s="19" t="n">
        <f aca="false">IF(AND('Bonding Program'!$S$21=1,AA$3='Bonding Program'!$H$21),'Bonding Program'!$T$21,0)</f>
        <v>0</v>
      </c>
      <c r="AB116" s="19" t="n">
        <f aca="false">IF(AND('Bonding Program'!$S$21=1,AB$3='Bonding Program'!$H$21),'Bonding Program'!$T$21,0)</f>
        <v>0</v>
      </c>
      <c r="AC116" s="19" t="n">
        <f aca="false">IF(AND('Bonding Program'!$S$21=1,AC$3='Bonding Program'!$H$21),'Bonding Program'!$T$21,0)</f>
        <v>0</v>
      </c>
      <c r="AD116" s="19" t="n">
        <f aca="false">IF(AND('Bonding Program'!$S$21=1,AD$3='Bonding Program'!$H$21),'Bonding Program'!$T$21,0)</f>
        <v>0</v>
      </c>
      <c r="AE116" s="19" t="n">
        <f aca="false">IF(AND('Bonding Program'!$S$21=1,AE$3='Bonding Program'!$H$21),'Bonding Program'!$T$21,0)</f>
        <v>0</v>
      </c>
      <c r="AF116" s="19" t="n">
        <f aca="false">IF(AND('Bonding Program'!$S$21=1,AF$3='Bonding Program'!$H$21),'Bonding Program'!$T$21,0)</f>
        <v>0</v>
      </c>
      <c r="AG116" s="19" t="n">
        <f aca="false">IF(AND('Bonding Program'!$S$21=1,AG$3='Bonding Program'!$H$21),'Bonding Program'!$T$21,0)</f>
        <v>0</v>
      </c>
      <c r="AH116" s="19" t="n">
        <f aca="false">IF(AND('Bonding Program'!$S$21=1,AH$3='Bonding Program'!$H$21),'Bonding Program'!$T$21,0)</f>
        <v>0</v>
      </c>
      <c r="AI116" s="19" t="n">
        <f aca="false">IF(AND('Bonding Program'!$S$21=1,AI$3='Bonding Program'!$H$21),'Bonding Program'!$T$21,0)</f>
        <v>0</v>
      </c>
      <c r="AJ116" s="19" t="n">
        <f aca="false">IF(AND('Bonding Program'!$S$21=1,AJ$3='Bonding Program'!$H$21),'Bonding Program'!$T$21,0)</f>
        <v>0</v>
      </c>
      <c r="AK116" s="19" t="n">
        <f aca="false">IF(AND('Bonding Program'!$S$21=1,AK$3='Bonding Program'!$H$21),'Bonding Program'!$T$21,0)</f>
        <v>0</v>
      </c>
      <c r="AL116" s="19" t="n">
        <f aca="false">IF(AND('Bonding Program'!$S$21=1,AL$3='Bonding Program'!$H$21),'Bonding Program'!$T$21,0)</f>
        <v>0</v>
      </c>
      <c r="AM116" s="19" t="n">
        <f aca="false">IF(AND('Bonding Program'!$S$21=1,AM$3='Bonding Program'!$H$21),'Bonding Program'!$T$21,0)</f>
        <v>0</v>
      </c>
      <c r="AN116" s="19" t="n">
        <f aca="false">IF(AND('Bonding Program'!$S$21=1,AN$3='Bonding Program'!$H$21),'Bonding Program'!$T$21,0)</f>
        <v>0</v>
      </c>
      <c r="AO116" s="19" t="n">
        <f aca="false">IF(AND('Bonding Program'!$S$21=1,AO$3='Bonding Program'!$H$21),'Bonding Program'!$T$21,0)</f>
        <v>0</v>
      </c>
      <c r="AP116" s="19" t="n">
        <f aca="false">IF(AND('Bonding Program'!$S$21=1,AP$3='Bonding Program'!$H$21),'Bonding Program'!$T$21,0)</f>
        <v>0</v>
      </c>
      <c r="AQ116" s="19" t="n">
        <f aca="false">IF(AND('Bonding Program'!$S$21=1,AQ$3='Bonding Program'!$H$21),'Bonding Program'!$T$21,0)</f>
        <v>0</v>
      </c>
      <c r="AR116" s="19" t="n">
        <f aca="false">IF(AND('Bonding Program'!$S$21=1,AR$3='Bonding Program'!$H$21),'Bonding Program'!$T$21,0)</f>
        <v>0</v>
      </c>
      <c r="AS116" s="19" t="n">
        <f aca="false">IF(AND('Bonding Program'!$S$21=1,AS$3='Bonding Program'!$H$21),'Bonding Program'!$T$21,0)</f>
        <v>0</v>
      </c>
      <c r="AT116" s="19" t="n">
        <f aca="false">IF(AND('Bonding Program'!$S$21=1,AT$3='Bonding Program'!$H$21),'Bonding Program'!$T$21,0)</f>
        <v>0</v>
      </c>
      <c r="AU116" s="19" t="n">
        <f aca="false">IF(AND('Bonding Program'!$S$21=1,AU$3='Bonding Program'!$H$21),'Bonding Program'!$T$21,0)</f>
        <v>0</v>
      </c>
      <c r="AV116" s="19" t="n">
        <f aca="false">IF(AND('Bonding Program'!$S$21=1,AV$3='Bonding Program'!$H$21),'Bonding Program'!$T$21,0)</f>
        <v>0</v>
      </c>
      <c r="AW116" s="19" t="n">
        <f aca="false">IF(AND('Bonding Program'!$S$21=1,AW$3='Bonding Program'!$H$21),'Bonding Program'!$T$21,0)</f>
        <v>0</v>
      </c>
      <c r="AX116" s="19" t="n">
        <f aca="false">IF(AND('Bonding Program'!$S$21=1,AX$3='Bonding Program'!$H$21),'Bonding Program'!$T$21,0)</f>
        <v>0</v>
      </c>
      <c r="AY116" s="19" t="n">
        <f aca="false">IF(AND('Bonding Program'!$S$21=1,AY$3='Bonding Program'!$H$21),'Bonding Program'!$T$21,0)</f>
        <v>0</v>
      </c>
      <c r="AZ116" s="19" t="n">
        <f aca="false">IF(AND('Bonding Program'!$S$21=1,AZ$3='Bonding Program'!$H$21),'Bonding Program'!$T$21,0)</f>
        <v>0</v>
      </c>
      <c r="BA116" s="19" t="n">
        <f aca="false">IF(AND('Bonding Program'!$S$21=1,BA$3='Bonding Program'!$H$21),'Bonding Program'!$T$21,0)</f>
        <v>0</v>
      </c>
      <c r="BB116" s="19" t="n">
        <f aca="false">IF(AND('Bonding Program'!$S$21=1,BB$3='Bonding Program'!$H$21),'Bonding Program'!$T$21,0)</f>
        <v>0</v>
      </c>
      <c r="BC116" s="19" t="n">
        <f aca="false">IF(AND('Bonding Program'!$S$21=1,BC$3='Bonding Program'!$H$21),'Bonding Program'!$T$21,0)</f>
        <v>0</v>
      </c>
      <c r="BD116" s="19" t="n">
        <f aca="false">IF(AND('Bonding Program'!$S$21=1,BD$3='Bonding Program'!$H$21),'Bonding Program'!$T$21,0)</f>
        <v>0</v>
      </c>
      <c r="BE116" s="19" t="n">
        <f aca="false">IF(AND('Bonding Program'!$S$21=1,BE$3='Bonding Program'!$H$21),'Bonding Program'!$T$21,0)</f>
        <v>0</v>
      </c>
      <c r="BF116" s="19" t="n">
        <f aca="false">IF(AND('Bonding Program'!$S$21=1,BF$3='Bonding Program'!$H$21),'Bonding Program'!$T$21,0)</f>
        <v>0</v>
      </c>
      <c r="BG116" s="19" t="n">
        <f aca="false">IF(AND('Bonding Program'!$S$21=1,BG$3='Bonding Program'!$H$21),'Bonding Program'!$T$21,0)</f>
        <v>0</v>
      </c>
      <c r="BH116" s="19" t="n">
        <f aca="false">IF(AND('Bonding Program'!$S$21=1,BH$3='Bonding Program'!$H$21),'Bonding Program'!$T$21,0)</f>
        <v>0</v>
      </c>
      <c r="BI116" s="19" t="n">
        <f aca="false">IF(AND('Bonding Program'!$S$21=1,BI$3='Bonding Program'!$H$21),'Bonding Program'!$T$21,0)</f>
        <v>0</v>
      </c>
      <c r="BJ116" s="19" t="n">
        <f aca="false">IF(AND('Bonding Program'!$S$21=1,BJ$3='Bonding Program'!$H$21),'Bonding Program'!$T$21,0)</f>
        <v>0</v>
      </c>
      <c r="BK116" s="19" t="n">
        <f aca="false">IF(AND('Bonding Program'!$S$21=1,BK$3='Bonding Program'!$H$21),'Bonding Program'!$T$21,0)</f>
        <v>0</v>
      </c>
      <c r="BL116" s="19" t="n">
        <f aca="false">IF(AND('Bonding Program'!$S$21=1,BL$3='Bonding Program'!$H$21),'Bonding Program'!$T$21,0)</f>
        <v>0</v>
      </c>
      <c r="BM116" s="19" t="n">
        <f aca="false">IF(AND('Bonding Program'!$S$21=1,BM$3='Bonding Program'!$H$21),'Bonding Program'!$T$21,0)</f>
        <v>0</v>
      </c>
      <c r="BN116" s="19" t="n">
        <f aca="false">IF(AND('Bonding Program'!$S$21=1,BN$3='Bonding Program'!$H$21),'Bonding Program'!$T$21,0)</f>
        <v>0</v>
      </c>
      <c r="BO116" s="19" t="n">
        <f aca="false">IF(AND('Bonding Program'!$S$21=1,BO$3='Bonding Program'!$H$21),'Bonding Program'!$T$21,0)</f>
        <v>0</v>
      </c>
      <c r="BP116" s="19" t="n">
        <f aca="false">IF(AND('Bonding Program'!$S$21=1,BP$3='Bonding Program'!$H$21),'Bonding Program'!$T$21,0)</f>
        <v>0</v>
      </c>
      <c r="BQ116" s="19" t="n">
        <f aca="false">IF(AND('Bonding Program'!$S$21=1,BQ$3='Bonding Program'!$H$21),'Bonding Program'!$T$21,0)</f>
        <v>0</v>
      </c>
      <c r="BR116" s="19" t="n">
        <f aca="false">IF(AND('Bonding Program'!$S$21=1,BR$3='Bonding Program'!$H$21),'Bonding Program'!$T$21,0)</f>
        <v>0</v>
      </c>
      <c r="BS116" s="19" t="n">
        <f aca="false">IF(AND('Bonding Program'!$S$21=1,BS$3='Bonding Program'!$H$21),'Bonding Program'!$T$21,0)</f>
        <v>0</v>
      </c>
      <c r="BT116" s="19" t="n">
        <f aca="false">IF(AND('Bonding Program'!$S$21=1,BT$3='Bonding Program'!$H$21),'Bonding Program'!$T$21,0)</f>
        <v>0</v>
      </c>
      <c r="BU116" s="19" t="n">
        <f aca="false">IF(AND('Bonding Program'!$S$21=1,BU$3='Bonding Program'!$H$21),'Bonding Program'!$T$21,0)</f>
        <v>0</v>
      </c>
      <c r="BV116" s="19" t="n">
        <f aca="false">IF(AND('Bonding Program'!$S$21=1,BV$3='Bonding Program'!$H$21),'Bonding Program'!$T$21,0)</f>
        <v>0</v>
      </c>
      <c r="BW116" s="19" t="n">
        <f aca="false">IF(AND('Bonding Program'!$S$21=1,BW$3='Bonding Program'!$H$21),'Bonding Program'!$T$21,0)</f>
        <v>0</v>
      </c>
      <c r="BX116" s="19" t="n">
        <f aca="false">IF(AND('Bonding Program'!$S$21=1,BX$3='Bonding Program'!$H$21),'Bonding Program'!$T$21,0)</f>
        <v>0</v>
      </c>
      <c r="BY116" s="19" t="n">
        <f aca="false">IF(AND('Bonding Program'!$S$21=1,BY$3='Bonding Program'!$H$21),'Bonding Program'!$T$21,0)</f>
        <v>0</v>
      </c>
      <c r="BZ116" s="19" t="n">
        <f aca="false">IF(AND('Bonding Program'!$S$21=1,BZ$3='Bonding Program'!$H$21),'Bonding Program'!$T$21,0)</f>
        <v>0</v>
      </c>
      <c r="CA116" s="19" t="n">
        <f aca="false">IF(AND('Bonding Program'!$S$21=1,CA$3='Bonding Program'!$H$21),'Bonding Program'!$T$21,0)</f>
        <v>0</v>
      </c>
      <c r="CB116" s="19" t="n">
        <f aca="false">IF(AND('Bonding Program'!$S$21=1,CB$3='Bonding Program'!$H$21),'Bonding Program'!$T$21,0)</f>
        <v>0</v>
      </c>
      <c r="CC116" s="19" t="n">
        <f aca="false">IF(AND('Bonding Program'!$S$21=1,CC$3='Bonding Program'!$H$21),'Bonding Program'!$T$21,0)</f>
        <v>0</v>
      </c>
      <c r="CD116" s="19" t="n">
        <f aca="false">IF(AND('Bonding Program'!$S$21=1,CD$3='Bonding Program'!$H$21),'Bonding Program'!$T$21,0)</f>
        <v>0</v>
      </c>
      <c r="CE116" s="19" t="n">
        <f aca="false">IF(AND('Bonding Program'!$S$21=1,CE$3='Bonding Program'!$H$21),'Bonding Program'!$T$21,0)</f>
        <v>0</v>
      </c>
      <c r="CF116" s="19" t="n">
        <f aca="false">IF(AND('Bonding Program'!$S$21=1,CF$3='Bonding Program'!$H$21),'Bonding Program'!$T$21,0)</f>
        <v>0</v>
      </c>
      <c r="CG116" s="19" t="n">
        <f aca="false">IF(AND('Bonding Program'!$S$21=1,CG$3='Bonding Program'!$H$21),'Bonding Program'!$T$21,0)</f>
        <v>0</v>
      </c>
      <c r="CH116" s="19" t="n">
        <f aca="false">IF(AND('Bonding Program'!$S$21=1,CH$3='Bonding Program'!$H$21),'Bonding Program'!$T$21,0)</f>
        <v>0</v>
      </c>
      <c r="CI116" s="19" t="n">
        <f aca="false">IF(AND('Bonding Program'!$S$21=1,CI$3='Bonding Program'!$H$21),'Bonding Program'!$T$21,0)</f>
        <v>0</v>
      </c>
      <c r="CJ116" s="19" t="n">
        <f aca="false">IF(AND('Bonding Program'!$S$21=1,CJ$3='Bonding Program'!$H$21),'Bonding Program'!$T$21,0)</f>
        <v>0</v>
      </c>
      <c r="CK116" s="19" t="n">
        <f aca="false">IF(AND('Bonding Program'!$S$21=1,CK$3='Bonding Program'!$H$21),'Bonding Program'!$T$21,0)</f>
        <v>0</v>
      </c>
      <c r="CL116" s="19" t="n">
        <f aca="false">IF(AND('Bonding Program'!$S$21=1,CL$3='Bonding Program'!$H$21),'Bonding Program'!$T$21,0)</f>
        <v>0</v>
      </c>
      <c r="CM116" s="19" t="n">
        <f aca="false">IF(AND('Bonding Program'!$S$21=1,CM$3='Bonding Program'!$H$21),'Bonding Program'!$T$21,0)</f>
        <v>0</v>
      </c>
      <c r="CN116" s="19" t="n">
        <f aca="false">IF(AND('Bonding Program'!$S$21=1,CN$3='Bonding Program'!$H$21),'Bonding Program'!$T$21,0)</f>
        <v>0</v>
      </c>
      <c r="CO116" s="19" t="n">
        <f aca="false">IF(AND('Bonding Program'!$S$21=1,CO$3='Bonding Program'!$H$21),'Bonding Program'!$T$21,0)</f>
        <v>0</v>
      </c>
      <c r="CP116" s="19" t="n">
        <f aca="false">IF(AND('Bonding Program'!$S$21=1,CP$3='Bonding Program'!$H$21),'Bonding Program'!$T$21,0)</f>
        <v>0</v>
      </c>
      <c r="CQ116" s="19" t="n">
        <f aca="false">IF(AND('Bonding Program'!$S$21=1,CQ$3='Bonding Program'!$H$21),'Bonding Program'!$T$21,0)</f>
        <v>0</v>
      </c>
      <c r="CR116" s="19" t="n">
        <f aca="false">IF(AND('Bonding Program'!$S$21=1,CR$3='Bonding Program'!$H$21),'Bonding Program'!$T$21,0)</f>
        <v>0</v>
      </c>
      <c r="CS116" s="19" t="n">
        <f aca="false">IF(AND('Bonding Program'!$S$21=1,CS$3='Bonding Program'!$H$21),'Bonding Program'!$T$21,0)</f>
        <v>0</v>
      </c>
      <c r="CT116" s="19" t="n">
        <f aca="false">IF(AND('Bonding Program'!$S$21=1,CT$3='Bonding Program'!$H$21),'Bonding Program'!$T$21,0)</f>
        <v>0</v>
      </c>
      <c r="CU116" s="19" t="n">
        <f aca="false">IF(AND('Bonding Program'!$S$21=1,CU$3='Bonding Program'!$H$21),'Bonding Program'!$T$21,0)</f>
        <v>0</v>
      </c>
      <c r="CV116" s="19" t="n">
        <f aca="false">IF(AND('Bonding Program'!$S$21=1,CV$3='Bonding Program'!$H$21),'Bonding Program'!$T$21,0)</f>
        <v>0</v>
      </c>
      <c r="CW116" s="19" t="n">
        <f aca="false">IF(AND('Bonding Program'!$S$21=1,CW$3='Bonding Program'!$H$21),'Bonding Program'!$T$21,0)</f>
        <v>0</v>
      </c>
      <c r="CX116" s="19" t="n">
        <f aca="false">IF(AND('Bonding Program'!$S$21=1,CX$3='Bonding Program'!$H$21),'Bonding Program'!$T$21,0)</f>
        <v>0</v>
      </c>
      <c r="CY116" s="19" t="n">
        <f aca="false">IF(AND('Bonding Program'!$S$21=1,CY$3='Bonding Program'!$H$21),'Bonding Program'!$T$21,0)</f>
        <v>0</v>
      </c>
      <c r="CZ116" s="19" t="n">
        <f aca="false">IF(AND('Bonding Program'!$S$21=1,CZ$3='Bonding Program'!$H$21),'Bonding Program'!$T$21,0)</f>
        <v>0</v>
      </c>
      <c r="DA116" s="19" t="n">
        <f aca="false">IF(AND('Bonding Program'!$S$21=1,DA$3='Bonding Program'!$H$21),'Bonding Program'!$T$21,0)</f>
        <v>0</v>
      </c>
      <c r="DB116" s="19" t="n">
        <f aca="false">IF(AND('Bonding Program'!$S$21=1,DB$3='Bonding Program'!$H$21),'Bonding Program'!$T$21,0)</f>
        <v>0</v>
      </c>
      <c r="DC116" s="19" t="n">
        <f aca="false">IF(AND('Bonding Program'!$S$21=1,DC$3='Bonding Program'!$H$21),'Bonding Program'!$T$21,0)</f>
        <v>0</v>
      </c>
      <c r="DD116" s="19" t="n">
        <f aca="false">IF(AND('Bonding Program'!$S$21=1,DD$3='Bonding Program'!$H$21),'Bonding Program'!$T$21,0)</f>
        <v>0</v>
      </c>
      <c r="DE116" s="19" t="n">
        <f aca="false">IF(AND('Bonding Program'!$S$21=1,DE$3='Bonding Program'!$H$21),'Bonding Program'!$T$21,0)</f>
        <v>0</v>
      </c>
    </row>
    <row r="117" customFormat="false" ht="15" hidden="false" customHeight="true" outlineLevel="1" collapsed="false">
      <c r="A117" s="28" t="s">
        <v>18</v>
      </c>
      <c r="B117" s="19" t="n">
        <f aca="false">IF(AND('Bonding Program'!$S$22=1,B$3='Bonding Program'!$H$22),'Bonding Program'!$T$22,0)</f>
        <v>0</v>
      </c>
      <c r="C117" s="19" t="n">
        <f aca="false">IF(AND('Bonding Program'!$S$22=1,C$3='Bonding Program'!$H$22),'Bonding Program'!$T$22,0)</f>
        <v>0</v>
      </c>
      <c r="D117" s="19" t="n">
        <f aca="false">IF(AND('Bonding Program'!$S$22=1,D$3='Bonding Program'!$H$22),'Bonding Program'!$T$22,0)</f>
        <v>0</v>
      </c>
      <c r="E117" s="19" t="n">
        <f aca="false">IF(AND('Bonding Program'!$S$22=1,E$3='Bonding Program'!$H$22),'Bonding Program'!$T$22,0)</f>
        <v>0</v>
      </c>
      <c r="F117" s="19" t="n">
        <f aca="false">IF(AND('Bonding Program'!$S$22=1,F$3='Bonding Program'!$H$22),'Bonding Program'!$T$22,0)</f>
        <v>0</v>
      </c>
      <c r="G117" s="19" t="n">
        <f aca="false">IF(AND('Bonding Program'!$S$22=1,G$3='Bonding Program'!$H$22),'Bonding Program'!$T$22,0)</f>
        <v>0</v>
      </c>
      <c r="H117" s="19" t="n">
        <f aca="false">IF(AND('Bonding Program'!$S$22=1,H$3='Bonding Program'!$H$22),'Bonding Program'!$T$22,0)</f>
        <v>0</v>
      </c>
      <c r="I117" s="19" t="n">
        <f aca="false">IF(AND('Bonding Program'!$S$22=1,I$3='Bonding Program'!$H$22),'Bonding Program'!$T$22,0)</f>
        <v>0</v>
      </c>
      <c r="J117" s="19" t="n">
        <f aca="false">IF(AND('Bonding Program'!$S$22=1,J$3='Bonding Program'!$H$22),'Bonding Program'!$T$22,0)</f>
        <v>0</v>
      </c>
      <c r="K117" s="19" t="n">
        <f aca="false">IF(AND('Bonding Program'!$S$22=1,K$3='Bonding Program'!$H$22),'Bonding Program'!$T$22,0)</f>
        <v>0</v>
      </c>
      <c r="L117" s="19" t="n">
        <f aca="false">IF(AND('Bonding Program'!$S$22=1,L$3='Bonding Program'!$H$22),'Bonding Program'!$T$22,0)</f>
        <v>0</v>
      </c>
      <c r="M117" s="19" t="n">
        <f aca="false">IF(AND('Bonding Program'!$S$22=1,M$3='Bonding Program'!$H$22),'Bonding Program'!$T$22,0)</f>
        <v>0</v>
      </c>
      <c r="N117" s="19" t="n">
        <f aca="false">IF(AND('Bonding Program'!$S$22=1,N$3='Bonding Program'!$H$22),'Bonding Program'!$T$22,0)</f>
        <v>0</v>
      </c>
      <c r="O117" s="19" t="n">
        <f aca="false">IF(AND('Bonding Program'!$S$22=1,O$3='Bonding Program'!$H$22),'Bonding Program'!$T$22,0)</f>
        <v>0</v>
      </c>
      <c r="P117" s="19" t="n">
        <f aca="false">IF(AND('Bonding Program'!$S$22=1,P$3='Bonding Program'!$H$22),'Bonding Program'!$T$22,0)</f>
        <v>0</v>
      </c>
      <c r="Q117" s="19" t="n">
        <f aca="false">IF(AND('Bonding Program'!$S$22=1,Q$3='Bonding Program'!$H$22),'Bonding Program'!$T$22,0)</f>
        <v>668967.044334975</v>
      </c>
      <c r="R117" s="19" t="n">
        <f aca="false">IF(AND('Bonding Program'!$S$22=1,R$3='Bonding Program'!$H$22),'Bonding Program'!$T$22,0)</f>
        <v>0</v>
      </c>
      <c r="S117" s="19" t="n">
        <f aca="false">IF(AND('Bonding Program'!$S$22=1,S$3='Bonding Program'!$H$22),'Bonding Program'!$T$22,0)</f>
        <v>0</v>
      </c>
      <c r="T117" s="19" t="n">
        <f aca="false">IF(AND('Bonding Program'!$S$22=1,T$3='Bonding Program'!$H$22),'Bonding Program'!$T$22,0)</f>
        <v>0</v>
      </c>
      <c r="U117" s="19" t="n">
        <f aca="false">IF(AND('Bonding Program'!$S$22=1,U$3='Bonding Program'!$H$22),'Bonding Program'!$T$22,0)</f>
        <v>0</v>
      </c>
      <c r="V117" s="19" t="n">
        <f aca="false">IF(AND('Bonding Program'!$S$22=1,V$3='Bonding Program'!$H$22),'Bonding Program'!$T$22,0)</f>
        <v>0</v>
      </c>
      <c r="W117" s="19" t="n">
        <f aca="false">IF(AND('Bonding Program'!$S$22=1,W$3='Bonding Program'!$H$22),'Bonding Program'!$T$22,0)</f>
        <v>0</v>
      </c>
      <c r="X117" s="19" t="n">
        <f aca="false">IF(AND('Bonding Program'!$S$22=1,X$3='Bonding Program'!$H$22),'Bonding Program'!$T$22,0)</f>
        <v>0</v>
      </c>
      <c r="Y117" s="19" t="n">
        <f aca="false">IF(AND('Bonding Program'!$S$22=1,Y$3='Bonding Program'!$H$22),'Bonding Program'!$T$22,0)</f>
        <v>0</v>
      </c>
      <c r="Z117" s="19" t="n">
        <f aca="false">IF(AND('Bonding Program'!$S$22=1,Z$3='Bonding Program'!$H$22),'Bonding Program'!$T$22,0)</f>
        <v>0</v>
      </c>
      <c r="AA117" s="19" t="n">
        <f aca="false">IF(AND('Bonding Program'!$S$22=1,AA$3='Bonding Program'!$H$22),'Bonding Program'!$T$22,0)</f>
        <v>0</v>
      </c>
      <c r="AB117" s="19" t="n">
        <f aca="false">IF(AND('Bonding Program'!$S$22=1,AB$3='Bonding Program'!$H$22),'Bonding Program'!$T$22,0)</f>
        <v>0</v>
      </c>
      <c r="AC117" s="19" t="n">
        <f aca="false">IF(AND('Bonding Program'!$S$22=1,AC$3='Bonding Program'!$H$22),'Bonding Program'!$T$22,0)</f>
        <v>0</v>
      </c>
      <c r="AD117" s="19" t="n">
        <f aca="false">IF(AND('Bonding Program'!$S$22=1,AD$3='Bonding Program'!$H$22),'Bonding Program'!$T$22,0)</f>
        <v>0</v>
      </c>
      <c r="AE117" s="19" t="n">
        <f aca="false">IF(AND('Bonding Program'!$S$22=1,AE$3='Bonding Program'!$H$22),'Bonding Program'!$T$22,0)</f>
        <v>0</v>
      </c>
      <c r="AF117" s="19" t="n">
        <f aca="false">IF(AND('Bonding Program'!$S$22=1,AF$3='Bonding Program'!$H$22),'Bonding Program'!$T$22,0)</f>
        <v>0</v>
      </c>
      <c r="AG117" s="19" t="n">
        <f aca="false">IF(AND('Bonding Program'!$S$22=1,AG$3='Bonding Program'!$H$22),'Bonding Program'!$T$22,0)</f>
        <v>0</v>
      </c>
      <c r="AH117" s="19" t="n">
        <f aca="false">IF(AND('Bonding Program'!$S$22=1,AH$3='Bonding Program'!$H$22),'Bonding Program'!$T$22,0)</f>
        <v>0</v>
      </c>
      <c r="AI117" s="19" t="n">
        <f aca="false">IF(AND('Bonding Program'!$S$22=1,AI$3='Bonding Program'!$H$22),'Bonding Program'!$T$22,0)</f>
        <v>0</v>
      </c>
      <c r="AJ117" s="19" t="n">
        <f aca="false">IF(AND('Bonding Program'!$S$22=1,AJ$3='Bonding Program'!$H$22),'Bonding Program'!$T$22,0)</f>
        <v>0</v>
      </c>
      <c r="AK117" s="19" t="n">
        <f aca="false">IF(AND('Bonding Program'!$S$22=1,AK$3='Bonding Program'!$H$22),'Bonding Program'!$T$22,0)</f>
        <v>0</v>
      </c>
      <c r="AL117" s="19" t="n">
        <f aca="false">IF(AND('Bonding Program'!$S$22=1,AL$3='Bonding Program'!$H$22),'Bonding Program'!$T$22,0)</f>
        <v>0</v>
      </c>
      <c r="AM117" s="19" t="n">
        <f aca="false">IF(AND('Bonding Program'!$S$22=1,AM$3='Bonding Program'!$H$22),'Bonding Program'!$T$22,0)</f>
        <v>0</v>
      </c>
      <c r="AN117" s="19" t="n">
        <f aca="false">IF(AND('Bonding Program'!$S$22=1,AN$3='Bonding Program'!$H$22),'Bonding Program'!$T$22,0)</f>
        <v>0</v>
      </c>
      <c r="AO117" s="19" t="n">
        <f aca="false">IF(AND('Bonding Program'!$S$22=1,AO$3='Bonding Program'!$H$22),'Bonding Program'!$T$22,0)</f>
        <v>0</v>
      </c>
      <c r="AP117" s="19" t="n">
        <f aca="false">IF(AND('Bonding Program'!$S$22=1,AP$3='Bonding Program'!$H$22),'Bonding Program'!$T$22,0)</f>
        <v>0</v>
      </c>
      <c r="AQ117" s="19" t="n">
        <f aca="false">IF(AND('Bonding Program'!$S$22=1,AQ$3='Bonding Program'!$H$22),'Bonding Program'!$T$22,0)</f>
        <v>0</v>
      </c>
      <c r="AR117" s="19" t="n">
        <f aca="false">IF(AND('Bonding Program'!$S$22=1,AR$3='Bonding Program'!$H$22),'Bonding Program'!$T$22,0)</f>
        <v>0</v>
      </c>
      <c r="AS117" s="19" t="n">
        <f aca="false">IF(AND('Bonding Program'!$S$22=1,AS$3='Bonding Program'!$H$22),'Bonding Program'!$T$22,0)</f>
        <v>0</v>
      </c>
      <c r="AT117" s="19" t="n">
        <f aca="false">IF(AND('Bonding Program'!$S$22=1,AT$3='Bonding Program'!$H$22),'Bonding Program'!$T$22,0)</f>
        <v>0</v>
      </c>
      <c r="AU117" s="19" t="n">
        <f aca="false">IF(AND('Bonding Program'!$S$22=1,AU$3='Bonding Program'!$H$22),'Bonding Program'!$T$22,0)</f>
        <v>0</v>
      </c>
      <c r="AV117" s="19" t="n">
        <f aca="false">IF(AND('Bonding Program'!$S$22=1,AV$3='Bonding Program'!$H$22),'Bonding Program'!$T$22,0)</f>
        <v>0</v>
      </c>
      <c r="AW117" s="19" t="n">
        <f aca="false">IF(AND('Bonding Program'!$S$22=1,AW$3='Bonding Program'!$H$22),'Bonding Program'!$T$22,0)</f>
        <v>0</v>
      </c>
      <c r="AX117" s="19" t="n">
        <f aca="false">IF(AND('Bonding Program'!$S$22=1,AX$3='Bonding Program'!$H$22),'Bonding Program'!$T$22,0)</f>
        <v>0</v>
      </c>
      <c r="AY117" s="19" t="n">
        <f aca="false">IF(AND('Bonding Program'!$S$22=1,AY$3='Bonding Program'!$H$22),'Bonding Program'!$T$22,0)</f>
        <v>0</v>
      </c>
      <c r="AZ117" s="19" t="n">
        <f aca="false">IF(AND('Bonding Program'!$S$22=1,AZ$3='Bonding Program'!$H$22),'Bonding Program'!$T$22,0)</f>
        <v>0</v>
      </c>
      <c r="BA117" s="19" t="n">
        <f aca="false">IF(AND('Bonding Program'!$S$22=1,BA$3='Bonding Program'!$H$22),'Bonding Program'!$T$22,0)</f>
        <v>0</v>
      </c>
      <c r="BB117" s="19" t="n">
        <f aca="false">IF(AND('Bonding Program'!$S$22=1,BB$3='Bonding Program'!$H$22),'Bonding Program'!$T$22,0)</f>
        <v>0</v>
      </c>
      <c r="BC117" s="19" t="n">
        <f aca="false">IF(AND('Bonding Program'!$S$22=1,BC$3='Bonding Program'!$H$22),'Bonding Program'!$T$22,0)</f>
        <v>0</v>
      </c>
      <c r="BD117" s="19" t="n">
        <f aca="false">IF(AND('Bonding Program'!$S$22=1,BD$3='Bonding Program'!$H$22),'Bonding Program'!$T$22,0)</f>
        <v>0</v>
      </c>
      <c r="BE117" s="19" t="n">
        <f aca="false">IF(AND('Bonding Program'!$S$22=1,BE$3='Bonding Program'!$H$22),'Bonding Program'!$T$22,0)</f>
        <v>0</v>
      </c>
      <c r="BF117" s="19" t="n">
        <f aca="false">IF(AND('Bonding Program'!$S$22=1,BF$3='Bonding Program'!$H$22),'Bonding Program'!$T$22,0)</f>
        <v>0</v>
      </c>
      <c r="BG117" s="19" t="n">
        <f aca="false">IF(AND('Bonding Program'!$S$22=1,BG$3='Bonding Program'!$H$22),'Bonding Program'!$T$22,0)</f>
        <v>0</v>
      </c>
      <c r="BH117" s="19" t="n">
        <f aca="false">IF(AND('Bonding Program'!$S$22=1,BH$3='Bonding Program'!$H$22),'Bonding Program'!$T$22,0)</f>
        <v>0</v>
      </c>
      <c r="BI117" s="19" t="n">
        <f aca="false">IF(AND('Bonding Program'!$S$22=1,BI$3='Bonding Program'!$H$22),'Bonding Program'!$T$22,0)</f>
        <v>0</v>
      </c>
      <c r="BJ117" s="19" t="n">
        <f aca="false">IF(AND('Bonding Program'!$S$22=1,BJ$3='Bonding Program'!$H$22),'Bonding Program'!$T$22,0)</f>
        <v>0</v>
      </c>
      <c r="BK117" s="19" t="n">
        <f aca="false">IF(AND('Bonding Program'!$S$22=1,BK$3='Bonding Program'!$H$22),'Bonding Program'!$T$22,0)</f>
        <v>0</v>
      </c>
      <c r="BL117" s="19" t="n">
        <f aca="false">IF(AND('Bonding Program'!$S$22=1,BL$3='Bonding Program'!$H$22),'Bonding Program'!$T$22,0)</f>
        <v>0</v>
      </c>
      <c r="BM117" s="19" t="n">
        <f aca="false">IF(AND('Bonding Program'!$S$22=1,BM$3='Bonding Program'!$H$22),'Bonding Program'!$T$22,0)</f>
        <v>0</v>
      </c>
      <c r="BN117" s="19" t="n">
        <f aca="false">IF(AND('Bonding Program'!$S$22=1,BN$3='Bonding Program'!$H$22),'Bonding Program'!$T$22,0)</f>
        <v>0</v>
      </c>
      <c r="BO117" s="19" t="n">
        <f aca="false">IF(AND('Bonding Program'!$S$22=1,BO$3='Bonding Program'!$H$22),'Bonding Program'!$T$22,0)</f>
        <v>0</v>
      </c>
      <c r="BP117" s="19" t="n">
        <f aca="false">IF(AND('Bonding Program'!$S$22=1,BP$3='Bonding Program'!$H$22),'Bonding Program'!$T$22,0)</f>
        <v>0</v>
      </c>
      <c r="BQ117" s="19" t="n">
        <f aca="false">IF(AND('Bonding Program'!$S$22=1,BQ$3='Bonding Program'!$H$22),'Bonding Program'!$T$22,0)</f>
        <v>0</v>
      </c>
      <c r="BR117" s="19" t="n">
        <f aca="false">IF(AND('Bonding Program'!$S$22=1,BR$3='Bonding Program'!$H$22),'Bonding Program'!$T$22,0)</f>
        <v>0</v>
      </c>
      <c r="BS117" s="19" t="n">
        <f aca="false">IF(AND('Bonding Program'!$S$22=1,BS$3='Bonding Program'!$H$22),'Bonding Program'!$T$22,0)</f>
        <v>0</v>
      </c>
      <c r="BT117" s="19" t="n">
        <f aca="false">IF(AND('Bonding Program'!$S$22=1,BT$3='Bonding Program'!$H$22),'Bonding Program'!$T$22,0)</f>
        <v>0</v>
      </c>
      <c r="BU117" s="19" t="n">
        <f aca="false">IF(AND('Bonding Program'!$S$22=1,BU$3='Bonding Program'!$H$22),'Bonding Program'!$T$22,0)</f>
        <v>0</v>
      </c>
      <c r="BV117" s="19" t="n">
        <f aca="false">IF(AND('Bonding Program'!$S$22=1,BV$3='Bonding Program'!$H$22),'Bonding Program'!$T$22,0)</f>
        <v>0</v>
      </c>
      <c r="BW117" s="19" t="n">
        <f aca="false">IF(AND('Bonding Program'!$S$22=1,BW$3='Bonding Program'!$H$22),'Bonding Program'!$T$22,0)</f>
        <v>0</v>
      </c>
      <c r="BX117" s="19" t="n">
        <f aca="false">IF(AND('Bonding Program'!$S$22=1,BX$3='Bonding Program'!$H$22),'Bonding Program'!$T$22,0)</f>
        <v>0</v>
      </c>
      <c r="BY117" s="19" t="n">
        <f aca="false">IF(AND('Bonding Program'!$S$22=1,BY$3='Bonding Program'!$H$22),'Bonding Program'!$T$22,0)</f>
        <v>0</v>
      </c>
      <c r="BZ117" s="19" t="n">
        <f aca="false">IF(AND('Bonding Program'!$S$22=1,BZ$3='Bonding Program'!$H$22),'Bonding Program'!$T$22,0)</f>
        <v>0</v>
      </c>
      <c r="CA117" s="19" t="n">
        <f aca="false">IF(AND('Bonding Program'!$S$22=1,CA$3='Bonding Program'!$H$22),'Bonding Program'!$T$22,0)</f>
        <v>0</v>
      </c>
      <c r="CB117" s="19" t="n">
        <f aca="false">IF(AND('Bonding Program'!$S$22=1,CB$3='Bonding Program'!$H$22),'Bonding Program'!$T$22,0)</f>
        <v>0</v>
      </c>
      <c r="CC117" s="19" t="n">
        <f aca="false">IF(AND('Bonding Program'!$S$22=1,CC$3='Bonding Program'!$H$22),'Bonding Program'!$T$22,0)</f>
        <v>0</v>
      </c>
      <c r="CD117" s="19" t="n">
        <f aca="false">IF(AND('Bonding Program'!$S$22=1,CD$3='Bonding Program'!$H$22),'Bonding Program'!$T$22,0)</f>
        <v>0</v>
      </c>
      <c r="CE117" s="19" t="n">
        <f aca="false">IF(AND('Bonding Program'!$S$22=1,CE$3='Bonding Program'!$H$22),'Bonding Program'!$T$22,0)</f>
        <v>0</v>
      </c>
      <c r="CF117" s="19" t="n">
        <f aca="false">IF(AND('Bonding Program'!$S$22=1,CF$3='Bonding Program'!$H$22),'Bonding Program'!$T$22,0)</f>
        <v>0</v>
      </c>
      <c r="CG117" s="19" t="n">
        <f aca="false">IF(AND('Bonding Program'!$S$22=1,CG$3='Bonding Program'!$H$22),'Bonding Program'!$T$22,0)</f>
        <v>0</v>
      </c>
      <c r="CH117" s="19" t="n">
        <f aca="false">IF(AND('Bonding Program'!$S$22=1,CH$3='Bonding Program'!$H$22),'Bonding Program'!$T$22,0)</f>
        <v>0</v>
      </c>
      <c r="CI117" s="19" t="n">
        <f aca="false">IF(AND('Bonding Program'!$S$22=1,CI$3='Bonding Program'!$H$22),'Bonding Program'!$T$22,0)</f>
        <v>0</v>
      </c>
      <c r="CJ117" s="19" t="n">
        <f aca="false">IF(AND('Bonding Program'!$S$22=1,CJ$3='Bonding Program'!$H$22),'Bonding Program'!$T$22,0)</f>
        <v>0</v>
      </c>
      <c r="CK117" s="19" t="n">
        <f aca="false">IF(AND('Bonding Program'!$S$22=1,CK$3='Bonding Program'!$H$22),'Bonding Program'!$T$22,0)</f>
        <v>0</v>
      </c>
      <c r="CL117" s="19" t="n">
        <f aca="false">IF(AND('Bonding Program'!$S$22=1,CL$3='Bonding Program'!$H$22),'Bonding Program'!$T$22,0)</f>
        <v>0</v>
      </c>
      <c r="CM117" s="19" t="n">
        <f aca="false">IF(AND('Bonding Program'!$S$22=1,CM$3='Bonding Program'!$H$22),'Bonding Program'!$T$22,0)</f>
        <v>0</v>
      </c>
      <c r="CN117" s="19" t="n">
        <f aca="false">IF(AND('Bonding Program'!$S$22=1,CN$3='Bonding Program'!$H$22),'Bonding Program'!$T$22,0)</f>
        <v>0</v>
      </c>
      <c r="CO117" s="19" t="n">
        <f aca="false">IF(AND('Bonding Program'!$S$22=1,CO$3='Bonding Program'!$H$22),'Bonding Program'!$T$22,0)</f>
        <v>0</v>
      </c>
      <c r="CP117" s="19" t="n">
        <f aca="false">IF(AND('Bonding Program'!$S$22=1,CP$3='Bonding Program'!$H$22),'Bonding Program'!$T$22,0)</f>
        <v>0</v>
      </c>
      <c r="CQ117" s="19" t="n">
        <f aca="false">IF(AND('Bonding Program'!$S$22=1,CQ$3='Bonding Program'!$H$22),'Bonding Program'!$T$22,0)</f>
        <v>0</v>
      </c>
      <c r="CR117" s="19" t="n">
        <f aca="false">IF(AND('Bonding Program'!$S$22=1,CR$3='Bonding Program'!$H$22),'Bonding Program'!$T$22,0)</f>
        <v>0</v>
      </c>
      <c r="CS117" s="19" t="n">
        <f aca="false">IF(AND('Bonding Program'!$S$22=1,CS$3='Bonding Program'!$H$22),'Bonding Program'!$T$22,0)</f>
        <v>0</v>
      </c>
      <c r="CT117" s="19" t="n">
        <f aca="false">IF(AND('Bonding Program'!$S$22=1,CT$3='Bonding Program'!$H$22),'Bonding Program'!$T$22,0)</f>
        <v>0</v>
      </c>
      <c r="CU117" s="19" t="n">
        <f aca="false">IF(AND('Bonding Program'!$S$22=1,CU$3='Bonding Program'!$H$22),'Bonding Program'!$T$22,0)</f>
        <v>0</v>
      </c>
      <c r="CV117" s="19" t="n">
        <f aca="false">IF(AND('Bonding Program'!$S$22=1,CV$3='Bonding Program'!$H$22),'Bonding Program'!$T$22,0)</f>
        <v>0</v>
      </c>
      <c r="CW117" s="19" t="n">
        <f aca="false">IF(AND('Bonding Program'!$S$22=1,CW$3='Bonding Program'!$H$22),'Bonding Program'!$T$22,0)</f>
        <v>0</v>
      </c>
      <c r="CX117" s="19" t="n">
        <f aca="false">IF(AND('Bonding Program'!$S$22=1,CX$3='Bonding Program'!$H$22),'Bonding Program'!$T$22,0)</f>
        <v>0</v>
      </c>
      <c r="CY117" s="19" t="n">
        <f aca="false">IF(AND('Bonding Program'!$S$22=1,CY$3='Bonding Program'!$H$22),'Bonding Program'!$T$22,0)</f>
        <v>0</v>
      </c>
      <c r="CZ117" s="19" t="n">
        <f aca="false">IF(AND('Bonding Program'!$S$22=1,CZ$3='Bonding Program'!$H$22),'Bonding Program'!$T$22,0)</f>
        <v>0</v>
      </c>
      <c r="DA117" s="19" t="n">
        <f aca="false">IF(AND('Bonding Program'!$S$22=1,DA$3='Bonding Program'!$H$22),'Bonding Program'!$T$22,0)</f>
        <v>0</v>
      </c>
      <c r="DB117" s="19" t="n">
        <f aca="false">IF(AND('Bonding Program'!$S$22=1,DB$3='Bonding Program'!$H$22),'Bonding Program'!$T$22,0)</f>
        <v>0</v>
      </c>
      <c r="DC117" s="19" t="n">
        <f aca="false">IF(AND('Bonding Program'!$S$22=1,DC$3='Bonding Program'!$H$22),'Bonding Program'!$T$22,0)</f>
        <v>0</v>
      </c>
      <c r="DD117" s="19" t="n">
        <f aca="false">IF(AND('Bonding Program'!$S$22=1,DD$3='Bonding Program'!$H$22),'Bonding Program'!$T$22,0)</f>
        <v>0</v>
      </c>
      <c r="DE117" s="19" t="n">
        <f aca="false">IF(AND('Bonding Program'!$S$22=1,DE$3='Bonding Program'!$H$22),'Bonding Program'!$T$22,0)</f>
        <v>0</v>
      </c>
    </row>
    <row r="118" customFormat="false" ht="15" hidden="false" customHeight="true" outlineLevel="1" collapsed="false">
      <c r="A118" s="28" t="s">
        <v>19</v>
      </c>
      <c r="B118" s="19" t="n">
        <f aca="false">IF(AND('Bonding Program'!$S$23=1,B$3='Bonding Program'!$H$23),'Bonding Program'!$T$23,0)</f>
        <v>0</v>
      </c>
      <c r="C118" s="19" t="n">
        <f aca="false">IF(AND('Bonding Program'!$S$23=1,C$3='Bonding Program'!$H$23),'Bonding Program'!$T$23,0)</f>
        <v>0</v>
      </c>
      <c r="D118" s="19" t="n">
        <f aca="false">IF(AND('Bonding Program'!$S$23=1,D$3='Bonding Program'!$H$23),'Bonding Program'!$T$23,0)</f>
        <v>0</v>
      </c>
      <c r="E118" s="19" t="n">
        <f aca="false">IF(AND('Bonding Program'!$S$23=1,E$3='Bonding Program'!$H$23),'Bonding Program'!$T$23,0)</f>
        <v>0</v>
      </c>
      <c r="F118" s="19" t="n">
        <f aca="false">IF(AND('Bonding Program'!$S$23=1,F$3='Bonding Program'!$H$23),'Bonding Program'!$T$23,0)</f>
        <v>0</v>
      </c>
      <c r="G118" s="19" t="n">
        <f aca="false">IF(AND('Bonding Program'!$S$23=1,G$3='Bonding Program'!$H$23),'Bonding Program'!$T$23,0)</f>
        <v>0</v>
      </c>
      <c r="H118" s="19" t="n">
        <f aca="false">IF(AND('Bonding Program'!$S$23=1,H$3='Bonding Program'!$H$23),'Bonding Program'!$T$23,0)</f>
        <v>0</v>
      </c>
      <c r="I118" s="19" t="n">
        <f aca="false">IF(AND('Bonding Program'!$S$23=1,I$3='Bonding Program'!$H$23),'Bonding Program'!$T$23,0)</f>
        <v>0</v>
      </c>
      <c r="J118" s="19" t="n">
        <f aca="false">IF(AND('Bonding Program'!$S$23=1,J$3='Bonding Program'!$H$23),'Bonding Program'!$T$23,0)</f>
        <v>0</v>
      </c>
      <c r="K118" s="19" t="n">
        <f aca="false">IF(AND('Bonding Program'!$S$23=1,K$3='Bonding Program'!$H$23),'Bonding Program'!$T$23,0)</f>
        <v>0</v>
      </c>
      <c r="L118" s="19" t="n">
        <f aca="false">IF(AND('Bonding Program'!$S$23=1,L$3='Bonding Program'!$H$23),'Bonding Program'!$T$23,0)</f>
        <v>0</v>
      </c>
      <c r="M118" s="19" t="n">
        <f aca="false">IF(AND('Bonding Program'!$S$23=1,M$3='Bonding Program'!$H$23),'Bonding Program'!$T$23,0)</f>
        <v>0</v>
      </c>
      <c r="N118" s="19" t="n">
        <f aca="false">IF(AND('Bonding Program'!$S$23=1,N$3='Bonding Program'!$H$23),'Bonding Program'!$T$23,0)</f>
        <v>0</v>
      </c>
      <c r="O118" s="19" t="n">
        <f aca="false">IF(AND('Bonding Program'!$S$23=1,O$3='Bonding Program'!$H$23),'Bonding Program'!$T$23,0)</f>
        <v>0</v>
      </c>
      <c r="P118" s="19" t="n">
        <f aca="false">IF(AND('Bonding Program'!$S$23=1,P$3='Bonding Program'!$H$23),'Bonding Program'!$T$23,0)</f>
        <v>0</v>
      </c>
      <c r="Q118" s="19" t="n">
        <f aca="false">IF(AND('Bonding Program'!$S$23=1,Q$3='Bonding Program'!$H$23),'Bonding Program'!$T$23,0)</f>
        <v>0</v>
      </c>
      <c r="R118" s="19" t="n">
        <f aca="false">IF(AND('Bonding Program'!$S$23=1,R$3='Bonding Program'!$H$23),'Bonding Program'!$T$23,0)</f>
        <v>0</v>
      </c>
      <c r="S118" s="19" t="n">
        <f aca="false">IF(AND('Bonding Program'!$S$23=1,S$3='Bonding Program'!$H$23),'Bonding Program'!$T$23,0)</f>
        <v>0</v>
      </c>
      <c r="T118" s="19" t="n">
        <f aca="false">IF(AND('Bonding Program'!$S$23=1,T$3='Bonding Program'!$H$23),'Bonding Program'!$T$23,0)</f>
        <v>0</v>
      </c>
      <c r="U118" s="19" t="n">
        <f aca="false">IF(AND('Bonding Program'!$S$23=1,U$3='Bonding Program'!$H$23),'Bonding Program'!$T$23,0)</f>
        <v>0</v>
      </c>
      <c r="V118" s="19" t="n">
        <f aca="false">IF(AND('Bonding Program'!$S$23=1,V$3='Bonding Program'!$H$23),'Bonding Program'!$T$23,0)</f>
        <v>0</v>
      </c>
      <c r="W118" s="19" t="n">
        <f aca="false">IF(AND('Bonding Program'!$S$23=1,W$3='Bonding Program'!$H$23),'Bonding Program'!$T$23,0)</f>
        <v>0</v>
      </c>
      <c r="X118" s="19" t="n">
        <f aca="false">IF(AND('Bonding Program'!$S$23=1,X$3='Bonding Program'!$H$23),'Bonding Program'!$T$23,0)</f>
        <v>0</v>
      </c>
      <c r="Y118" s="19" t="n">
        <f aca="false">IF(AND('Bonding Program'!$S$23=1,Y$3='Bonding Program'!$H$23),'Bonding Program'!$T$23,0)</f>
        <v>0</v>
      </c>
      <c r="Z118" s="19" t="n">
        <f aca="false">IF(AND('Bonding Program'!$S$23=1,Z$3='Bonding Program'!$H$23),'Bonding Program'!$T$23,0)</f>
        <v>0</v>
      </c>
      <c r="AA118" s="19" t="n">
        <f aca="false">IF(AND('Bonding Program'!$S$23=1,AA$3='Bonding Program'!$H$23),'Bonding Program'!$T$23,0)</f>
        <v>0</v>
      </c>
      <c r="AB118" s="19" t="n">
        <f aca="false">IF(AND('Bonding Program'!$S$23=1,AB$3='Bonding Program'!$H$23),'Bonding Program'!$T$23,0)</f>
        <v>0</v>
      </c>
      <c r="AC118" s="19" t="n">
        <f aca="false">IF(AND('Bonding Program'!$S$23=1,AC$3='Bonding Program'!$H$23),'Bonding Program'!$T$23,0)</f>
        <v>0</v>
      </c>
      <c r="AD118" s="19" t="n">
        <f aca="false">IF(AND('Bonding Program'!$S$23=1,AD$3='Bonding Program'!$H$23),'Bonding Program'!$T$23,0)</f>
        <v>0</v>
      </c>
      <c r="AE118" s="19" t="n">
        <f aca="false">IF(AND('Bonding Program'!$S$23=1,AE$3='Bonding Program'!$H$23),'Bonding Program'!$T$23,0)</f>
        <v>611152.197044335</v>
      </c>
      <c r="AF118" s="19" t="n">
        <f aca="false">IF(AND('Bonding Program'!$S$23=1,AF$3='Bonding Program'!$H$23),'Bonding Program'!$T$23,0)</f>
        <v>0</v>
      </c>
      <c r="AG118" s="19" t="n">
        <f aca="false">IF(AND('Bonding Program'!$S$23=1,AG$3='Bonding Program'!$H$23),'Bonding Program'!$T$23,0)</f>
        <v>0</v>
      </c>
      <c r="AH118" s="19" t="n">
        <f aca="false">IF(AND('Bonding Program'!$S$23=1,AH$3='Bonding Program'!$H$23),'Bonding Program'!$T$23,0)</f>
        <v>0</v>
      </c>
      <c r="AI118" s="19" t="n">
        <f aca="false">IF(AND('Bonding Program'!$S$23=1,AI$3='Bonding Program'!$H$23),'Bonding Program'!$T$23,0)</f>
        <v>0</v>
      </c>
      <c r="AJ118" s="19" t="n">
        <f aca="false">IF(AND('Bonding Program'!$S$23=1,AJ$3='Bonding Program'!$H$23),'Bonding Program'!$T$23,0)</f>
        <v>0</v>
      </c>
      <c r="AK118" s="19" t="n">
        <f aca="false">IF(AND('Bonding Program'!$S$23=1,AK$3='Bonding Program'!$H$23),'Bonding Program'!$T$23,0)</f>
        <v>0</v>
      </c>
      <c r="AL118" s="19" t="n">
        <f aca="false">IF(AND('Bonding Program'!$S$23=1,AL$3='Bonding Program'!$H$23),'Bonding Program'!$T$23,0)</f>
        <v>0</v>
      </c>
      <c r="AM118" s="19" t="n">
        <f aca="false">IF(AND('Bonding Program'!$S$23=1,AM$3='Bonding Program'!$H$23),'Bonding Program'!$T$23,0)</f>
        <v>0</v>
      </c>
      <c r="AN118" s="19" t="n">
        <f aca="false">IF(AND('Bonding Program'!$S$23=1,AN$3='Bonding Program'!$H$23),'Bonding Program'!$T$23,0)</f>
        <v>0</v>
      </c>
      <c r="AO118" s="19" t="n">
        <f aca="false">IF(AND('Bonding Program'!$S$23=1,AO$3='Bonding Program'!$H$23),'Bonding Program'!$T$23,0)</f>
        <v>0</v>
      </c>
      <c r="AP118" s="19" t="n">
        <f aca="false">IF(AND('Bonding Program'!$S$23=1,AP$3='Bonding Program'!$H$23),'Bonding Program'!$T$23,0)</f>
        <v>0</v>
      </c>
      <c r="AQ118" s="19" t="n">
        <f aca="false">IF(AND('Bonding Program'!$S$23=1,AQ$3='Bonding Program'!$H$23),'Bonding Program'!$T$23,0)</f>
        <v>0</v>
      </c>
      <c r="AR118" s="19" t="n">
        <f aca="false">IF(AND('Bonding Program'!$S$23=1,AR$3='Bonding Program'!$H$23),'Bonding Program'!$T$23,0)</f>
        <v>0</v>
      </c>
      <c r="AS118" s="19" t="n">
        <f aca="false">IF(AND('Bonding Program'!$S$23=1,AS$3='Bonding Program'!$H$23),'Bonding Program'!$T$23,0)</f>
        <v>0</v>
      </c>
      <c r="AT118" s="19" t="n">
        <f aca="false">IF(AND('Bonding Program'!$S$23=1,AT$3='Bonding Program'!$H$23),'Bonding Program'!$T$23,0)</f>
        <v>0</v>
      </c>
      <c r="AU118" s="19" t="n">
        <f aca="false">IF(AND('Bonding Program'!$S$23=1,AU$3='Bonding Program'!$H$23),'Bonding Program'!$T$23,0)</f>
        <v>0</v>
      </c>
      <c r="AV118" s="19" t="n">
        <f aca="false">IF(AND('Bonding Program'!$S$23=1,AV$3='Bonding Program'!$H$23),'Bonding Program'!$T$23,0)</f>
        <v>0</v>
      </c>
      <c r="AW118" s="19" t="n">
        <f aca="false">IF(AND('Bonding Program'!$S$23=1,AW$3='Bonding Program'!$H$23),'Bonding Program'!$T$23,0)</f>
        <v>0</v>
      </c>
      <c r="AX118" s="19" t="n">
        <f aca="false">IF(AND('Bonding Program'!$S$23=1,AX$3='Bonding Program'!$H$23),'Bonding Program'!$T$23,0)</f>
        <v>0</v>
      </c>
      <c r="AY118" s="19" t="n">
        <f aca="false">IF(AND('Bonding Program'!$S$23=1,AY$3='Bonding Program'!$H$23),'Bonding Program'!$T$23,0)</f>
        <v>0</v>
      </c>
      <c r="AZ118" s="19" t="n">
        <f aca="false">IF(AND('Bonding Program'!$S$23=1,AZ$3='Bonding Program'!$H$23),'Bonding Program'!$T$23,0)</f>
        <v>0</v>
      </c>
      <c r="BA118" s="19" t="n">
        <f aca="false">IF(AND('Bonding Program'!$S$23=1,BA$3='Bonding Program'!$H$23),'Bonding Program'!$T$23,0)</f>
        <v>0</v>
      </c>
      <c r="BB118" s="19" t="n">
        <f aca="false">IF(AND('Bonding Program'!$S$23=1,BB$3='Bonding Program'!$H$23),'Bonding Program'!$T$23,0)</f>
        <v>0</v>
      </c>
      <c r="BC118" s="19" t="n">
        <f aca="false">IF(AND('Bonding Program'!$S$23=1,BC$3='Bonding Program'!$H$23),'Bonding Program'!$T$23,0)</f>
        <v>0</v>
      </c>
      <c r="BD118" s="19" t="n">
        <f aca="false">IF(AND('Bonding Program'!$S$23=1,BD$3='Bonding Program'!$H$23),'Bonding Program'!$T$23,0)</f>
        <v>0</v>
      </c>
      <c r="BE118" s="19" t="n">
        <f aca="false">IF(AND('Bonding Program'!$S$23=1,BE$3='Bonding Program'!$H$23),'Bonding Program'!$T$23,0)</f>
        <v>0</v>
      </c>
      <c r="BF118" s="19" t="n">
        <f aca="false">IF(AND('Bonding Program'!$S$23=1,BF$3='Bonding Program'!$H$23),'Bonding Program'!$T$23,0)</f>
        <v>0</v>
      </c>
      <c r="BG118" s="19" t="n">
        <f aca="false">IF(AND('Bonding Program'!$S$23=1,BG$3='Bonding Program'!$H$23),'Bonding Program'!$T$23,0)</f>
        <v>0</v>
      </c>
      <c r="BH118" s="19" t="n">
        <f aca="false">IF(AND('Bonding Program'!$S$23=1,BH$3='Bonding Program'!$H$23),'Bonding Program'!$T$23,0)</f>
        <v>0</v>
      </c>
      <c r="BI118" s="19" t="n">
        <f aca="false">IF(AND('Bonding Program'!$S$23=1,BI$3='Bonding Program'!$H$23),'Bonding Program'!$T$23,0)</f>
        <v>0</v>
      </c>
      <c r="BJ118" s="19" t="n">
        <f aca="false">IF(AND('Bonding Program'!$S$23=1,BJ$3='Bonding Program'!$H$23),'Bonding Program'!$T$23,0)</f>
        <v>0</v>
      </c>
      <c r="BK118" s="19" t="n">
        <f aca="false">IF(AND('Bonding Program'!$S$23=1,BK$3='Bonding Program'!$H$23),'Bonding Program'!$T$23,0)</f>
        <v>0</v>
      </c>
      <c r="BL118" s="19" t="n">
        <f aca="false">IF(AND('Bonding Program'!$S$23=1,BL$3='Bonding Program'!$H$23),'Bonding Program'!$T$23,0)</f>
        <v>0</v>
      </c>
      <c r="BM118" s="19" t="n">
        <f aca="false">IF(AND('Bonding Program'!$S$23=1,BM$3='Bonding Program'!$H$23),'Bonding Program'!$T$23,0)</f>
        <v>0</v>
      </c>
      <c r="BN118" s="19" t="n">
        <f aca="false">IF(AND('Bonding Program'!$S$23=1,BN$3='Bonding Program'!$H$23),'Bonding Program'!$T$23,0)</f>
        <v>0</v>
      </c>
      <c r="BO118" s="19" t="n">
        <f aca="false">IF(AND('Bonding Program'!$S$23=1,BO$3='Bonding Program'!$H$23),'Bonding Program'!$T$23,0)</f>
        <v>0</v>
      </c>
      <c r="BP118" s="19" t="n">
        <f aca="false">IF(AND('Bonding Program'!$S$23=1,BP$3='Bonding Program'!$H$23),'Bonding Program'!$T$23,0)</f>
        <v>0</v>
      </c>
      <c r="BQ118" s="19" t="n">
        <f aca="false">IF(AND('Bonding Program'!$S$23=1,BQ$3='Bonding Program'!$H$23),'Bonding Program'!$T$23,0)</f>
        <v>0</v>
      </c>
      <c r="BR118" s="19" t="n">
        <f aca="false">IF(AND('Bonding Program'!$S$23=1,BR$3='Bonding Program'!$H$23),'Bonding Program'!$T$23,0)</f>
        <v>0</v>
      </c>
      <c r="BS118" s="19" t="n">
        <f aca="false">IF(AND('Bonding Program'!$S$23=1,BS$3='Bonding Program'!$H$23),'Bonding Program'!$T$23,0)</f>
        <v>0</v>
      </c>
      <c r="BT118" s="19" t="n">
        <f aca="false">IF(AND('Bonding Program'!$S$23=1,BT$3='Bonding Program'!$H$23),'Bonding Program'!$T$23,0)</f>
        <v>0</v>
      </c>
      <c r="BU118" s="19" t="n">
        <f aca="false">IF(AND('Bonding Program'!$S$23=1,BU$3='Bonding Program'!$H$23),'Bonding Program'!$T$23,0)</f>
        <v>0</v>
      </c>
      <c r="BV118" s="19" t="n">
        <f aca="false">IF(AND('Bonding Program'!$S$23=1,BV$3='Bonding Program'!$H$23),'Bonding Program'!$T$23,0)</f>
        <v>0</v>
      </c>
      <c r="BW118" s="19" t="n">
        <f aca="false">IF(AND('Bonding Program'!$S$23=1,BW$3='Bonding Program'!$H$23),'Bonding Program'!$T$23,0)</f>
        <v>0</v>
      </c>
      <c r="BX118" s="19" t="n">
        <f aca="false">IF(AND('Bonding Program'!$S$23=1,BX$3='Bonding Program'!$H$23),'Bonding Program'!$T$23,0)</f>
        <v>0</v>
      </c>
      <c r="BY118" s="19" t="n">
        <f aca="false">IF(AND('Bonding Program'!$S$23=1,BY$3='Bonding Program'!$H$23),'Bonding Program'!$T$23,0)</f>
        <v>0</v>
      </c>
      <c r="BZ118" s="19" t="n">
        <f aca="false">IF(AND('Bonding Program'!$S$23=1,BZ$3='Bonding Program'!$H$23),'Bonding Program'!$T$23,0)</f>
        <v>0</v>
      </c>
      <c r="CA118" s="19" t="n">
        <f aca="false">IF(AND('Bonding Program'!$S$23=1,CA$3='Bonding Program'!$H$23),'Bonding Program'!$T$23,0)</f>
        <v>0</v>
      </c>
      <c r="CB118" s="19" t="n">
        <f aca="false">IF(AND('Bonding Program'!$S$23=1,CB$3='Bonding Program'!$H$23),'Bonding Program'!$T$23,0)</f>
        <v>0</v>
      </c>
      <c r="CC118" s="19" t="n">
        <f aca="false">IF(AND('Bonding Program'!$S$23=1,CC$3='Bonding Program'!$H$23),'Bonding Program'!$T$23,0)</f>
        <v>0</v>
      </c>
      <c r="CD118" s="19" t="n">
        <f aca="false">IF(AND('Bonding Program'!$S$23=1,CD$3='Bonding Program'!$H$23),'Bonding Program'!$T$23,0)</f>
        <v>0</v>
      </c>
      <c r="CE118" s="19" t="n">
        <f aca="false">IF(AND('Bonding Program'!$S$23=1,CE$3='Bonding Program'!$H$23),'Bonding Program'!$T$23,0)</f>
        <v>0</v>
      </c>
      <c r="CF118" s="19" t="n">
        <f aca="false">IF(AND('Bonding Program'!$S$23=1,CF$3='Bonding Program'!$H$23),'Bonding Program'!$T$23,0)</f>
        <v>0</v>
      </c>
      <c r="CG118" s="19" t="n">
        <f aca="false">IF(AND('Bonding Program'!$S$23=1,CG$3='Bonding Program'!$H$23),'Bonding Program'!$T$23,0)</f>
        <v>0</v>
      </c>
      <c r="CH118" s="19" t="n">
        <f aca="false">IF(AND('Bonding Program'!$S$23=1,CH$3='Bonding Program'!$H$23),'Bonding Program'!$T$23,0)</f>
        <v>0</v>
      </c>
      <c r="CI118" s="19" t="n">
        <f aca="false">IF(AND('Bonding Program'!$S$23=1,CI$3='Bonding Program'!$H$23),'Bonding Program'!$T$23,0)</f>
        <v>0</v>
      </c>
      <c r="CJ118" s="19" t="n">
        <f aca="false">IF(AND('Bonding Program'!$S$23=1,CJ$3='Bonding Program'!$H$23),'Bonding Program'!$T$23,0)</f>
        <v>0</v>
      </c>
      <c r="CK118" s="19" t="n">
        <f aca="false">IF(AND('Bonding Program'!$S$23=1,CK$3='Bonding Program'!$H$23),'Bonding Program'!$T$23,0)</f>
        <v>0</v>
      </c>
      <c r="CL118" s="19" t="n">
        <f aca="false">IF(AND('Bonding Program'!$S$23=1,CL$3='Bonding Program'!$H$23),'Bonding Program'!$T$23,0)</f>
        <v>0</v>
      </c>
      <c r="CM118" s="19" t="n">
        <f aca="false">IF(AND('Bonding Program'!$S$23=1,CM$3='Bonding Program'!$H$23),'Bonding Program'!$T$23,0)</f>
        <v>0</v>
      </c>
      <c r="CN118" s="19" t="n">
        <f aca="false">IF(AND('Bonding Program'!$S$23=1,CN$3='Bonding Program'!$H$23),'Bonding Program'!$T$23,0)</f>
        <v>0</v>
      </c>
      <c r="CO118" s="19" t="n">
        <f aca="false">IF(AND('Bonding Program'!$S$23=1,CO$3='Bonding Program'!$H$23),'Bonding Program'!$T$23,0)</f>
        <v>0</v>
      </c>
      <c r="CP118" s="19" t="n">
        <f aca="false">IF(AND('Bonding Program'!$S$23=1,CP$3='Bonding Program'!$H$23),'Bonding Program'!$T$23,0)</f>
        <v>0</v>
      </c>
      <c r="CQ118" s="19" t="n">
        <f aca="false">IF(AND('Bonding Program'!$S$23=1,CQ$3='Bonding Program'!$H$23),'Bonding Program'!$T$23,0)</f>
        <v>0</v>
      </c>
      <c r="CR118" s="19" t="n">
        <f aca="false">IF(AND('Bonding Program'!$S$23=1,CR$3='Bonding Program'!$H$23),'Bonding Program'!$T$23,0)</f>
        <v>0</v>
      </c>
      <c r="CS118" s="19" t="n">
        <f aca="false">IF(AND('Bonding Program'!$S$23=1,CS$3='Bonding Program'!$H$23),'Bonding Program'!$T$23,0)</f>
        <v>0</v>
      </c>
      <c r="CT118" s="19" t="n">
        <f aca="false">IF(AND('Bonding Program'!$S$23=1,CT$3='Bonding Program'!$H$23),'Bonding Program'!$T$23,0)</f>
        <v>0</v>
      </c>
      <c r="CU118" s="19" t="n">
        <f aca="false">IF(AND('Bonding Program'!$S$23=1,CU$3='Bonding Program'!$H$23),'Bonding Program'!$T$23,0)</f>
        <v>0</v>
      </c>
      <c r="CV118" s="19" t="n">
        <f aca="false">IF(AND('Bonding Program'!$S$23=1,CV$3='Bonding Program'!$H$23),'Bonding Program'!$T$23,0)</f>
        <v>0</v>
      </c>
      <c r="CW118" s="19" t="n">
        <f aca="false">IF(AND('Bonding Program'!$S$23=1,CW$3='Bonding Program'!$H$23),'Bonding Program'!$T$23,0)</f>
        <v>0</v>
      </c>
      <c r="CX118" s="19" t="n">
        <f aca="false">IF(AND('Bonding Program'!$S$23=1,CX$3='Bonding Program'!$H$23),'Bonding Program'!$T$23,0)</f>
        <v>0</v>
      </c>
      <c r="CY118" s="19" t="n">
        <f aca="false">IF(AND('Bonding Program'!$S$23=1,CY$3='Bonding Program'!$H$23),'Bonding Program'!$T$23,0)</f>
        <v>0</v>
      </c>
      <c r="CZ118" s="19" t="n">
        <f aca="false">IF(AND('Bonding Program'!$S$23=1,CZ$3='Bonding Program'!$H$23),'Bonding Program'!$T$23,0)</f>
        <v>0</v>
      </c>
      <c r="DA118" s="19" t="n">
        <f aca="false">IF(AND('Bonding Program'!$S$23=1,DA$3='Bonding Program'!$H$23),'Bonding Program'!$T$23,0)</f>
        <v>0</v>
      </c>
      <c r="DB118" s="19" t="n">
        <f aca="false">IF(AND('Bonding Program'!$S$23=1,DB$3='Bonding Program'!$H$23),'Bonding Program'!$T$23,0)</f>
        <v>0</v>
      </c>
      <c r="DC118" s="19" t="n">
        <f aca="false">IF(AND('Bonding Program'!$S$23=1,DC$3='Bonding Program'!$H$23),'Bonding Program'!$T$23,0)</f>
        <v>0</v>
      </c>
      <c r="DD118" s="19" t="n">
        <f aca="false">IF(AND('Bonding Program'!$S$23=1,DD$3='Bonding Program'!$H$23),'Bonding Program'!$T$23,0)</f>
        <v>0</v>
      </c>
      <c r="DE118" s="19" t="n">
        <f aca="false">IF(AND('Bonding Program'!$S$23=1,DE$3='Bonding Program'!$H$23),'Bonding Program'!$T$23,0)</f>
        <v>0</v>
      </c>
    </row>
    <row r="119" customFormat="false" ht="15" hidden="false" customHeight="true" outlineLevel="1" collapsed="false">
      <c r="A119" s="28" t="s">
        <v>20</v>
      </c>
      <c r="B119" s="19" t="n">
        <f aca="false">IF(AND('Bonding Program'!$S$24=1,B$3='Bonding Program'!$H$24),'Bonding Program'!$T$24,0)</f>
        <v>0</v>
      </c>
      <c r="C119" s="19" t="n">
        <f aca="false">IF(AND('Bonding Program'!$S$24=1,C$3='Bonding Program'!$H$24),'Bonding Program'!$T$24,0)</f>
        <v>0</v>
      </c>
      <c r="D119" s="19" t="n">
        <f aca="false">IF(AND('Bonding Program'!$S$24=1,D$3='Bonding Program'!$H$24),'Bonding Program'!$T$24,0)</f>
        <v>0</v>
      </c>
      <c r="E119" s="19" t="n">
        <f aca="false">IF(AND('Bonding Program'!$S$24=1,E$3='Bonding Program'!$H$24),'Bonding Program'!$T$24,0)</f>
        <v>0</v>
      </c>
      <c r="F119" s="19" t="n">
        <f aca="false">IF(AND('Bonding Program'!$S$24=1,F$3='Bonding Program'!$H$24),'Bonding Program'!$T$24,0)</f>
        <v>0</v>
      </c>
      <c r="G119" s="19" t="n">
        <f aca="false">IF(AND('Bonding Program'!$S$24=1,G$3='Bonding Program'!$H$24),'Bonding Program'!$T$24,0)</f>
        <v>0</v>
      </c>
      <c r="H119" s="19" t="n">
        <f aca="false">IF(AND('Bonding Program'!$S$24=1,H$3='Bonding Program'!$H$24),'Bonding Program'!$T$24,0)</f>
        <v>0</v>
      </c>
      <c r="I119" s="19" t="n">
        <f aca="false">IF(AND('Bonding Program'!$S$24=1,I$3='Bonding Program'!$H$24),'Bonding Program'!$T$24,0)</f>
        <v>0</v>
      </c>
      <c r="J119" s="19" t="n">
        <f aca="false">IF(AND('Bonding Program'!$S$24=1,J$3='Bonding Program'!$H$24),'Bonding Program'!$T$24,0)</f>
        <v>0</v>
      </c>
      <c r="K119" s="19" t="n">
        <f aca="false">IF(AND('Bonding Program'!$S$24=1,K$3='Bonding Program'!$H$24),'Bonding Program'!$T$24,0)</f>
        <v>0</v>
      </c>
      <c r="L119" s="19" t="n">
        <f aca="false">IF(AND('Bonding Program'!$S$24=1,L$3='Bonding Program'!$H$24),'Bonding Program'!$T$24,0)</f>
        <v>0</v>
      </c>
      <c r="M119" s="19" t="n">
        <f aca="false">IF(AND('Bonding Program'!$S$24=1,M$3='Bonding Program'!$H$24),'Bonding Program'!$T$24,0)</f>
        <v>0</v>
      </c>
      <c r="N119" s="19" t="n">
        <f aca="false">IF(AND('Bonding Program'!$S$24=1,N$3='Bonding Program'!$H$24),'Bonding Program'!$T$24,0)</f>
        <v>0</v>
      </c>
      <c r="O119" s="19" t="n">
        <f aca="false">IF(AND('Bonding Program'!$S$24=1,O$3='Bonding Program'!$H$24),'Bonding Program'!$T$24,0)</f>
        <v>0</v>
      </c>
      <c r="P119" s="19" t="n">
        <f aca="false">IF(AND('Bonding Program'!$S$24=1,P$3='Bonding Program'!$H$24),'Bonding Program'!$T$24,0)</f>
        <v>0</v>
      </c>
      <c r="Q119" s="19" t="n">
        <f aca="false">IF(AND('Bonding Program'!$S$24=1,Q$3='Bonding Program'!$H$24),'Bonding Program'!$T$24,0)</f>
        <v>0</v>
      </c>
      <c r="R119" s="19" t="n">
        <f aca="false">IF(AND('Bonding Program'!$S$24=1,R$3='Bonding Program'!$H$24),'Bonding Program'!$T$24,0)</f>
        <v>226345.049261084</v>
      </c>
      <c r="S119" s="19" t="n">
        <f aca="false">IF(AND('Bonding Program'!$S$24=1,S$3='Bonding Program'!$H$24),'Bonding Program'!$T$24,0)</f>
        <v>0</v>
      </c>
      <c r="T119" s="19" t="n">
        <f aca="false">IF(AND('Bonding Program'!$S$24=1,T$3='Bonding Program'!$H$24),'Bonding Program'!$T$24,0)</f>
        <v>0</v>
      </c>
      <c r="U119" s="19" t="n">
        <f aca="false">IF(AND('Bonding Program'!$S$24=1,U$3='Bonding Program'!$H$24),'Bonding Program'!$T$24,0)</f>
        <v>0</v>
      </c>
      <c r="V119" s="19" t="n">
        <f aca="false">IF(AND('Bonding Program'!$S$24=1,V$3='Bonding Program'!$H$24),'Bonding Program'!$T$24,0)</f>
        <v>0</v>
      </c>
      <c r="W119" s="19" t="n">
        <f aca="false">IF(AND('Bonding Program'!$S$24=1,W$3='Bonding Program'!$H$24),'Bonding Program'!$T$24,0)</f>
        <v>0</v>
      </c>
      <c r="X119" s="19" t="n">
        <f aca="false">IF(AND('Bonding Program'!$S$24=1,X$3='Bonding Program'!$H$24),'Bonding Program'!$T$24,0)</f>
        <v>0</v>
      </c>
      <c r="Y119" s="19" t="n">
        <f aca="false">IF(AND('Bonding Program'!$S$24=1,Y$3='Bonding Program'!$H$24),'Bonding Program'!$T$24,0)</f>
        <v>0</v>
      </c>
      <c r="Z119" s="19" t="n">
        <f aca="false">IF(AND('Bonding Program'!$S$24=1,Z$3='Bonding Program'!$H$24),'Bonding Program'!$T$24,0)</f>
        <v>0</v>
      </c>
      <c r="AA119" s="19" t="n">
        <f aca="false">IF(AND('Bonding Program'!$S$24=1,AA$3='Bonding Program'!$H$24),'Bonding Program'!$T$24,0)</f>
        <v>0</v>
      </c>
      <c r="AB119" s="19" t="n">
        <f aca="false">IF(AND('Bonding Program'!$S$24=1,AB$3='Bonding Program'!$H$24),'Bonding Program'!$T$24,0)</f>
        <v>0</v>
      </c>
      <c r="AC119" s="19" t="n">
        <f aca="false">IF(AND('Bonding Program'!$S$24=1,AC$3='Bonding Program'!$H$24),'Bonding Program'!$T$24,0)</f>
        <v>0</v>
      </c>
      <c r="AD119" s="19" t="n">
        <f aca="false">IF(AND('Bonding Program'!$S$24=1,AD$3='Bonding Program'!$H$24),'Bonding Program'!$T$24,0)</f>
        <v>0</v>
      </c>
      <c r="AE119" s="19" t="n">
        <f aca="false">IF(AND('Bonding Program'!$S$24=1,AE$3='Bonding Program'!$H$24),'Bonding Program'!$T$24,0)</f>
        <v>0</v>
      </c>
      <c r="AF119" s="19" t="n">
        <f aca="false">IF(AND('Bonding Program'!$S$24=1,AF$3='Bonding Program'!$H$24),'Bonding Program'!$T$24,0)</f>
        <v>0</v>
      </c>
      <c r="AG119" s="19" t="n">
        <f aca="false">IF(AND('Bonding Program'!$S$24=1,AG$3='Bonding Program'!$H$24),'Bonding Program'!$T$24,0)</f>
        <v>0</v>
      </c>
      <c r="AH119" s="19" t="n">
        <f aca="false">IF(AND('Bonding Program'!$S$24=1,AH$3='Bonding Program'!$H$24),'Bonding Program'!$T$24,0)</f>
        <v>0</v>
      </c>
      <c r="AI119" s="19" t="n">
        <f aca="false">IF(AND('Bonding Program'!$S$24=1,AI$3='Bonding Program'!$H$24),'Bonding Program'!$T$24,0)</f>
        <v>0</v>
      </c>
      <c r="AJ119" s="19" t="n">
        <f aca="false">IF(AND('Bonding Program'!$S$24=1,AJ$3='Bonding Program'!$H$24),'Bonding Program'!$T$24,0)</f>
        <v>0</v>
      </c>
      <c r="AK119" s="19" t="n">
        <f aca="false">IF(AND('Bonding Program'!$S$24=1,AK$3='Bonding Program'!$H$24),'Bonding Program'!$T$24,0)</f>
        <v>0</v>
      </c>
      <c r="AL119" s="19" t="n">
        <f aca="false">IF(AND('Bonding Program'!$S$24=1,AL$3='Bonding Program'!$H$24),'Bonding Program'!$T$24,0)</f>
        <v>0</v>
      </c>
      <c r="AM119" s="19" t="n">
        <f aca="false">IF(AND('Bonding Program'!$S$24=1,AM$3='Bonding Program'!$H$24),'Bonding Program'!$T$24,0)</f>
        <v>0</v>
      </c>
      <c r="AN119" s="19" t="n">
        <f aca="false">IF(AND('Bonding Program'!$S$24=1,AN$3='Bonding Program'!$H$24),'Bonding Program'!$T$24,0)</f>
        <v>0</v>
      </c>
      <c r="AO119" s="19" t="n">
        <f aca="false">IF(AND('Bonding Program'!$S$24=1,AO$3='Bonding Program'!$H$24),'Bonding Program'!$T$24,0)</f>
        <v>0</v>
      </c>
      <c r="AP119" s="19" t="n">
        <f aca="false">IF(AND('Bonding Program'!$S$24=1,AP$3='Bonding Program'!$H$24),'Bonding Program'!$T$24,0)</f>
        <v>0</v>
      </c>
      <c r="AQ119" s="19" t="n">
        <f aca="false">IF(AND('Bonding Program'!$S$24=1,AQ$3='Bonding Program'!$H$24),'Bonding Program'!$T$24,0)</f>
        <v>0</v>
      </c>
      <c r="AR119" s="19" t="n">
        <f aca="false">IF(AND('Bonding Program'!$S$24=1,AR$3='Bonding Program'!$H$24),'Bonding Program'!$T$24,0)</f>
        <v>0</v>
      </c>
      <c r="AS119" s="19" t="n">
        <f aca="false">IF(AND('Bonding Program'!$S$24=1,AS$3='Bonding Program'!$H$24),'Bonding Program'!$T$24,0)</f>
        <v>0</v>
      </c>
      <c r="AT119" s="19" t="n">
        <f aca="false">IF(AND('Bonding Program'!$S$24=1,AT$3='Bonding Program'!$H$24),'Bonding Program'!$T$24,0)</f>
        <v>0</v>
      </c>
      <c r="AU119" s="19" t="n">
        <f aca="false">IF(AND('Bonding Program'!$S$24=1,AU$3='Bonding Program'!$H$24),'Bonding Program'!$T$24,0)</f>
        <v>0</v>
      </c>
      <c r="AV119" s="19" t="n">
        <f aca="false">IF(AND('Bonding Program'!$S$24=1,AV$3='Bonding Program'!$H$24),'Bonding Program'!$T$24,0)</f>
        <v>0</v>
      </c>
      <c r="AW119" s="19" t="n">
        <f aca="false">IF(AND('Bonding Program'!$S$24=1,AW$3='Bonding Program'!$H$24),'Bonding Program'!$T$24,0)</f>
        <v>0</v>
      </c>
      <c r="AX119" s="19" t="n">
        <f aca="false">IF(AND('Bonding Program'!$S$24=1,AX$3='Bonding Program'!$H$24),'Bonding Program'!$T$24,0)</f>
        <v>0</v>
      </c>
      <c r="AY119" s="19" t="n">
        <f aca="false">IF(AND('Bonding Program'!$S$24=1,AY$3='Bonding Program'!$H$24),'Bonding Program'!$T$24,0)</f>
        <v>0</v>
      </c>
      <c r="AZ119" s="19" t="n">
        <f aca="false">IF(AND('Bonding Program'!$S$24=1,AZ$3='Bonding Program'!$H$24),'Bonding Program'!$T$24,0)</f>
        <v>0</v>
      </c>
      <c r="BA119" s="19" t="n">
        <f aca="false">IF(AND('Bonding Program'!$S$24=1,BA$3='Bonding Program'!$H$24),'Bonding Program'!$T$24,0)</f>
        <v>0</v>
      </c>
      <c r="BB119" s="19" t="n">
        <f aca="false">IF(AND('Bonding Program'!$S$24=1,BB$3='Bonding Program'!$H$24),'Bonding Program'!$T$24,0)</f>
        <v>0</v>
      </c>
      <c r="BC119" s="19" t="n">
        <f aca="false">IF(AND('Bonding Program'!$S$24=1,BC$3='Bonding Program'!$H$24),'Bonding Program'!$T$24,0)</f>
        <v>0</v>
      </c>
      <c r="BD119" s="19" t="n">
        <f aca="false">IF(AND('Bonding Program'!$S$24=1,BD$3='Bonding Program'!$H$24),'Bonding Program'!$T$24,0)</f>
        <v>0</v>
      </c>
      <c r="BE119" s="19" t="n">
        <f aca="false">IF(AND('Bonding Program'!$S$24=1,BE$3='Bonding Program'!$H$24),'Bonding Program'!$T$24,0)</f>
        <v>0</v>
      </c>
      <c r="BF119" s="19" t="n">
        <f aca="false">IF(AND('Bonding Program'!$S$24=1,BF$3='Bonding Program'!$H$24),'Bonding Program'!$T$24,0)</f>
        <v>0</v>
      </c>
      <c r="BG119" s="19" t="n">
        <f aca="false">IF(AND('Bonding Program'!$S$24=1,BG$3='Bonding Program'!$H$24),'Bonding Program'!$T$24,0)</f>
        <v>0</v>
      </c>
      <c r="BH119" s="19" t="n">
        <f aca="false">IF(AND('Bonding Program'!$S$24=1,BH$3='Bonding Program'!$H$24),'Bonding Program'!$T$24,0)</f>
        <v>0</v>
      </c>
      <c r="BI119" s="19" t="n">
        <f aca="false">IF(AND('Bonding Program'!$S$24=1,BI$3='Bonding Program'!$H$24),'Bonding Program'!$T$24,0)</f>
        <v>0</v>
      </c>
      <c r="BJ119" s="19" t="n">
        <f aca="false">IF(AND('Bonding Program'!$S$24=1,BJ$3='Bonding Program'!$H$24),'Bonding Program'!$T$24,0)</f>
        <v>0</v>
      </c>
      <c r="BK119" s="19" t="n">
        <f aca="false">IF(AND('Bonding Program'!$S$24=1,BK$3='Bonding Program'!$H$24),'Bonding Program'!$T$24,0)</f>
        <v>0</v>
      </c>
      <c r="BL119" s="19" t="n">
        <f aca="false">IF(AND('Bonding Program'!$S$24=1,BL$3='Bonding Program'!$H$24),'Bonding Program'!$T$24,0)</f>
        <v>0</v>
      </c>
      <c r="BM119" s="19" t="n">
        <f aca="false">IF(AND('Bonding Program'!$S$24=1,BM$3='Bonding Program'!$H$24),'Bonding Program'!$T$24,0)</f>
        <v>0</v>
      </c>
      <c r="BN119" s="19" t="n">
        <f aca="false">IF(AND('Bonding Program'!$S$24=1,BN$3='Bonding Program'!$H$24),'Bonding Program'!$T$24,0)</f>
        <v>0</v>
      </c>
      <c r="BO119" s="19" t="n">
        <f aca="false">IF(AND('Bonding Program'!$S$24=1,BO$3='Bonding Program'!$H$24),'Bonding Program'!$T$24,0)</f>
        <v>0</v>
      </c>
      <c r="BP119" s="19" t="n">
        <f aca="false">IF(AND('Bonding Program'!$S$24=1,BP$3='Bonding Program'!$H$24),'Bonding Program'!$T$24,0)</f>
        <v>0</v>
      </c>
      <c r="BQ119" s="19" t="n">
        <f aca="false">IF(AND('Bonding Program'!$S$24=1,BQ$3='Bonding Program'!$H$24),'Bonding Program'!$T$24,0)</f>
        <v>0</v>
      </c>
      <c r="BR119" s="19" t="n">
        <f aca="false">IF(AND('Bonding Program'!$S$24=1,BR$3='Bonding Program'!$H$24),'Bonding Program'!$T$24,0)</f>
        <v>0</v>
      </c>
      <c r="BS119" s="19" t="n">
        <f aca="false">IF(AND('Bonding Program'!$S$24=1,BS$3='Bonding Program'!$H$24),'Bonding Program'!$T$24,0)</f>
        <v>0</v>
      </c>
      <c r="BT119" s="19" t="n">
        <f aca="false">IF(AND('Bonding Program'!$S$24=1,BT$3='Bonding Program'!$H$24),'Bonding Program'!$T$24,0)</f>
        <v>0</v>
      </c>
      <c r="BU119" s="19" t="n">
        <f aca="false">IF(AND('Bonding Program'!$S$24=1,BU$3='Bonding Program'!$H$24),'Bonding Program'!$T$24,0)</f>
        <v>0</v>
      </c>
      <c r="BV119" s="19" t="n">
        <f aca="false">IF(AND('Bonding Program'!$S$24=1,BV$3='Bonding Program'!$H$24),'Bonding Program'!$T$24,0)</f>
        <v>0</v>
      </c>
      <c r="BW119" s="19" t="n">
        <f aca="false">IF(AND('Bonding Program'!$S$24=1,BW$3='Bonding Program'!$H$24),'Bonding Program'!$T$24,0)</f>
        <v>0</v>
      </c>
      <c r="BX119" s="19" t="n">
        <f aca="false">IF(AND('Bonding Program'!$S$24=1,BX$3='Bonding Program'!$H$24),'Bonding Program'!$T$24,0)</f>
        <v>0</v>
      </c>
      <c r="BY119" s="19" t="n">
        <f aca="false">IF(AND('Bonding Program'!$S$24=1,BY$3='Bonding Program'!$H$24),'Bonding Program'!$T$24,0)</f>
        <v>0</v>
      </c>
      <c r="BZ119" s="19" t="n">
        <f aca="false">IF(AND('Bonding Program'!$S$24=1,BZ$3='Bonding Program'!$H$24),'Bonding Program'!$T$24,0)</f>
        <v>0</v>
      </c>
      <c r="CA119" s="19" t="n">
        <f aca="false">IF(AND('Bonding Program'!$S$24=1,CA$3='Bonding Program'!$H$24),'Bonding Program'!$T$24,0)</f>
        <v>0</v>
      </c>
      <c r="CB119" s="19" t="n">
        <f aca="false">IF(AND('Bonding Program'!$S$24=1,CB$3='Bonding Program'!$H$24),'Bonding Program'!$T$24,0)</f>
        <v>0</v>
      </c>
      <c r="CC119" s="19" t="n">
        <f aca="false">IF(AND('Bonding Program'!$S$24=1,CC$3='Bonding Program'!$H$24),'Bonding Program'!$T$24,0)</f>
        <v>0</v>
      </c>
      <c r="CD119" s="19" t="n">
        <f aca="false">IF(AND('Bonding Program'!$S$24=1,CD$3='Bonding Program'!$H$24),'Bonding Program'!$T$24,0)</f>
        <v>0</v>
      </c>
      <c r="CE119" s="19" t="n">
        <f aca="false">IF(AND('Bonding Program'!$S$24=1,CE$3='Bonding Program'!$H$24),'Bonding Program'!$T$24,0)</f>
        <v>0</v>
      </c>
      <c r="CF119" s="19" t="n">
        <f aca="false">IF(AND('Bonding Program'!$S$24=1,CF$3='Bonding Program'!$H$24),'Bonding Program'!$T$24,0)</f>
        <v>0</v>
      </c>
      <c r="CG119" s="19" t="n">
        <f aca="false">IF(AND('Bonding Program'!$S$24=1,CG$3='Bonding Program'!$H$24),'Bonding Program'!$T$24,0)</f>
        <v>0</v>
      </c>
      <c r="CH119" s="19" t="n">
        <f aca="false">IF(AND('Bonding Program'!$S$24=1,CH$3='Bonding Program'!$H$24),'Bonding Program'!$T$24,0)</f>
        <v>0</v>
      </c>
      <c r="CI119" s="19" t="n">
        <f aca="false">IF(AND('Bonding Program'!$S$24=1,CI$3='Bonding Program'!$H$24),'Bonding Program'!$T$24,0)</f>
        <v>0</v>
      </c>
      <c r="CJ119" s="19" t="n">
        <f aca="false">IF(AND('Bonding Program'!$S$24=1,CJ$3='Bonding Program'!$H$24),'Bonding Program'!$T$24,0)</f>
        <v>0</v>
      </c>
      <c r="CK119" s="19" t="n">
        <f aca="false">IF(AND('Bonding Program'!$S$24=1,CK$3='Bonding Program'!$H$24),'Bonding Program'!$T$24,0)</f>
        <v>0</v>
      </c>
      <c r="CL119" s="19" t="n">
        <f aca="false">IF(AND('Bonding Program'!$S$24=1,CL$3='Bonding Program'!$H$24),'Bonding Program'!$T$24,0)</f>
        <v>0</v>
      </c>
      <c r="CM119" s="19" t="n">
        <f aca="false">IF(AND('Bonding Program'!$S$24=1,CM$3='Bonding Program'!$H$24),'Bonding Program'!$T$24,0)</f>
        <v>0</v>
      </c>
      <c r="CN119" s="19" t="n">
        <f aca="false">IF(AND('Bonding Program'!$S$24=1,CN$3='Bonding Program'!$H$24),'Bonding Program'!$T$24,0)</f>
        <v>0</v>
      </c>
      <c r="CO119" s="19" t="n">
        <f aca="false">IF(AND('Bonding Program'!$S$24=1,CO$3='Bonding Program'!$H$24),'Bonding Program'!$T$24,0)</f>
        <v>0</v>
      </c>
      <c r="CP119" s="19" t="n">
        <f aca="false">IF(AND('Bonding Program'!$S$24=1,CP$3='Bonding Program'!$H$24),'Bonding Program'!$T$24,0)</f>
        <v>0</v>
      </c>
      <c r="CQ119" s="19" t="n">
        <f aca="false">IF(AND('Bonding Program'!$S$24=1,CQ$3='Bonding Program'!$H$24),'Bonding Program'!$T$24,0)</f>
        <v>0</v>
      </c>
      <c r="CR119" s="19" t="n">
        <f aca="false">IF(AND('Bonding Program'!$S$24=1,CR$3='Bonding Program'!$H$24),'Bonding Program'!$T$24,0)</f>
        <v>0</v>
      </c>
      <c r="CS119" s="19" t="n">
        <f aca="false">IF(AND('Bonding Program'!$S$24=1,CS$3='Bonding Program'!$H$24),'Bonding Program'!$T$24,0)</f>
        <v>0</v>
      </c>
      <c r="CT119" s="19" t="n">
        <f aca="false">IF(AND('Bonding Program'!$S$24=1,CT$3='Bonding Program'!$H$24),'Bonding Program'!$T$24,0)</f>
        <v>0</v>
      </c>
      <c r="CU119" s="19" t="n">
        <f aca="false">IF(AND('Bonding Program'!$S$24=1,CU$3='Bonding Program'!$H$24),'Bonding Program'!$T$24,0)</f>
        <v>0</v>
      </c>
      <c r="CV119" s="19" t="n">
        <f aca="false">IF(AND('Bonding Program'!$S$24=1,CV$3='Bonding Program'!$H$24),'Bonding Program'!$T$24,0)</f>
        <v>0</v>
      </c>
      <c r="CW119" s="19" t="n">
        <f aca="false">IF(AND('Bonding Program'!$S$24=1,CW$3='Bonding Program'!$H$24),'Bonding Program'!$T$24,0)</f>
        <v>0</v>
      </c>
      <c r="CX119" s="19" t="n">
        <f aca="false">IF(AND('Bonding Program'!$S$24=1,CX$3='Bonding Program'!$H$24),'Bonding Program'!$T$24,0)</f>
        <v>0</v>
      </c>
      <c r="CY119" s="19" t="n">
        <f aca="false">IF(AND('Bonding Program'!$S$24=1,CY$3='Bonding Program'!$H$24),'Bonding Program'!$T$24,0)</f>
        <v>0</v>
      </c>
      <c r="CZ119" s="19" t="n">
        <f aca="false">IF(AND('Bonding Program'!$S$24=1,CZ$3='Bonding Program'!$H$24),'Bonding Program'!$T$24,0)</f>
        <v>0</v>
      </c>
      <c r="DA119" s="19" t="n">
        <f aca="false">IF(AND('Bonding Program'!$S$24=1,DA$3='Bonding Program'!$H$24),'Bonding Program'!$T$24,0)</f>
        <v>0</v>
      </c>
      <c r="DB119" s="19" t="n">
        <f aca="false">IF(AND('Bonding Program'!$S$24=1,DB$3='Bonding Program'!$H$24),'Bonding Program'!$T$24,0)</f>
        <v>0</v>
      </c>
      <c r="DC119" s="19" t="n">
        <f aca="false">IF(AND('Bonding Program'!$S$24=1,DC$3='Bonding Program'!$H$24),'Bonding Program'!$T$24,0)</f>
        <v>0</v>
      </c>
      <c r="DD119" s="19" t="n">
        <f aca="false">IF(AND('Bonding Program'!$S$24=1,DD$3='Bonding Program'!$H$24),'Bonding Program'!$T$24,0)</f>
        <v>0</v>
      </c>
      <c r="DE119" s="19" t="n">
        <f aca="false">IF(AND('Bonding Program'!$S$24=1,DE$3='Bonding Program'!$H$24),'Bonding Program'!$T$24,0)</f>
        <v>0</v>
      </c>
    </row>
    <row r="120" customFormat="false" ht="15" hidden="false" customHeight="true" outlineLevel="1" collapsed="false">
      <c r="A120" s="28" t="s">
        <v>21</v>
      </c>
      <c r="B120" s="19" t="n">
        <f aca="false">IF(AND('Bonding Program'!$S$25=1,B$3='Bonding Program'!$H$25),'Bonding Program'!$T$25,0)</f>
        <v>0</v>
      </c>
      <c r="C120" s="19" t="n">
        <f aca="false">IF(AND('Bonding Program'!$S$25=1,C$3='Bonding Program'!$H$25),'Bonding Program'!$T$25,0)</f>
        <v>0</v>
      </c>
      <c r="D120" s="19" t="n">
        <f aca="false">IF(AND('Bonding Program'!$S$25=1,D$3='Bonding Program'!$H$25),'Bonding Program'!$T$25,0)</f>
        <v>0</v>
      </c>
      <c r="E120" s="19" t="n">
        <f aca="false">IF(AND('Bonding Program'!$S$25=1,E$3='Bonding Program'!$H$25),'Bonding Program'!$T$25,0)</f>
        <v>0</v>
      </c>
      <c r="F120" s="19" t="n">
        <f aca="false">IF(AND('Bonding Program'!$S$25=1,F$3='Bonding Program'!$H$25),'Bonding Program'!$T$25,0)</f>
        <v>0</v>
      </c>
      <c r="G120" s="19" t="n">
        <f aca="false">IF(AND('Bonding Program'!$S$25=1,G$3='Bonding Program'!$H$25),'Bonding Program'!$T$25,0)</f>
        <v>0</v>
      </c>
      <c r="H120" s="19" t="n">
        <f aca="false">IF(AND('Bonding Program'!$S$25=1,H$3='Bonding Program'!$H$25),'Bonding Program'!$T$25,0)</f>
        <v>0</v>
      </c>
      <c r="I120" s="19" t="n">
        <f aca="false">IF(AND('Bonding Program'!$S$25=1,I$3='Bonding Program'!$H$25),'Bonding Program'!$T$25,0)</f>
        <v>0</v>
      </c>
      <c r="J120" s="19" t="n">
        <f aca="false">IF(AND('Bonding Program'!$S$25=1,J$3='Bonding Program'!$H$25),'Bonding Program'!$T$25,0)</f>
        <v>0</v>
      </c>
      <c r="K120" s="19" t="n">
        <f aca="false">IF(AND('Bonding Program'!$S$25=1,K$3='Bonding Program'!$H$25),'Bonding Program'!$T$25,0)</f>
        <v>0</v>
      </c>
      <c r="L120" s="19" t="n">
        <f aca="false">IF(AND('Bonding Program'!$S$25=1,L$3='Bonding Program'!$H$25),'Bonding Program'!$T$25,0)</f>
        <v>0</v>
      </c>
      <c r="M120" s="19" t="n">
        <f aca="false">IF(AND('Bonding Program'!$S$25=1,M$3='Bonding Program'!$H$25),'Bonding Program'!$T$25,0)</f>
        <v>0</v>
      </c>
      <c r="N120" s="19" t="n">
        <f aca="false">IF(AND('Bonding Program'!$S$25=1,N$3='Bonding Program'!$H$25),'Bonding Program'!$T$25,0)</f>
        <v>0</v>
      </c>
      <c r="O120" s="19" t="n">
        <f aca="false">IF(AND('Bonding Program'!$S$25=1,O$3='Bonding Program'!$H$25),'Bonding Program'!$T$25,0)</f>
        <v>0</v>
      </c>
      <c r="P120" s="19" t="n">
        <f aca="false">IF(AND('Bonding Program'!$S$25=1,P$3='Bonding Program'!$H$25),'Bonding Program'!$T$25,0)</f>
        <v>0</v>
      </c>
      <c r="Q120" s="19" t="n">
        <f aca="false">IF(AND('Bonding Program'!$S$25=1,Q$3='Bonding Program'!$H$25),'Bonding Program'!$T$25,0)</f>
        <v>0</v>
      </c>
      <c r="R120" s="19" t="n">
        <f aca="false">IF(AND('Bonding Program'!$S$25=1,R$3='Bonding Program'!$H$25),'Bonding Program'!$T$25,0)</f>
        <v>0</v>
      </c>
      <c r="S120" s="19" t="n">
        <f aca="false">IF(AND('Bonding Program'!$S$25=1,S$3='Bonding Program'!$H$25),'Bonding Program'!$T$25,0)</f>
        <v>167251.995073892</v>
      </c>
      <c r="T120" s="19" t="n">
        <f aca="false">IF(AND('Bonding Program'!$S$25=1,T$3='Bonding Program'!$H$25),'Bonding Program'!$T$25,0)</f>
        <v>0</v>
      </c>
      <c r="U120" s="19" t="n">
        <f aca="false">IF(AND('Bonding Program'!$S$25=1,U$3='Bonding Program'!$H$25),'Bonding Program'!$T$25,0)</f>
        <v>0</v>
      </c>
      <c r="V120" s="19" t="n">
        <f aca="false">IF(AND('Bonding Program'!$S$25=1,V$3='Bonding Program'!$H$25),'Bonding Program'!$T$25,0)</f>
        <v>0</v>
      </c>
      <c r="W120" s="19" t="n">
        <f aca="false">IF(AND('Bonding Program'!$S$25=1,W$3='Bonding Program'!$H$25),'Bonding Program'!$T$25,0)</f>
        <v>0</v>
      </c>
      <c r="X120" s="19" t="n">
        <f aca="false">IF(AND('Bonding Program'!$S$25=1,X$3='Bonding Program'!$H$25),'Bonding Program'!$T$25,0)</f>
        <v>0</v>
      </c>
      <c r="Y120" s="19" t="n">
        <f aca="false">IF(AND('Bonding Program'!$S$25=1,Y$3='Bonding Program'!$H$25),'Bonding Program'!$T$25,0)</f>
        <v>0</v>
      </c>
      <c r="Z120" s="19" t="n">
        <f aca="false">IF(AND('Bonding Program'!$S$25=1,Z$3='Bonding Program'!$H$25),'Bonding Program'!$T$25,0)</f>
        <v>0</v>
      </c>
      <c r="AA120" s="19" t="n">
        <f aca="false">IF(AND('Bonding Program'!$S$25=1,AA$3='Bonding Program'!$H$25),'Bonding Program'!$T$25,0)</f>
        <v>0</v>
      </c>
      <c r="AB120" s="19" t="n">
        <f aca="false">IF(AND('Bonding Program'!$S$25=1,AB$3='Bonding Program'!$H$25),'Bonding Program'!$T$25,0)</f>
        <v>0</v>
      </c>
      <c r="AC120" s="19" t="n">
        <f aca="false">IF(AND('Bonding Program'!$S$25=1,AC$3='Bonding Program'!$H$25),'Bonding Program'!$T$25,0)</f>
        <v>0</v>
      </c>
      <c r="AD120" s="19" t="n">
        <f aca="false">IF(AND('Bonding Program'!$S$25=1,AD$3='Bonding Program'!$H$25),'Bonding Program'!$T$25,0)</f>
        <v>0</v>
      </c>
      <c r="AE120" s="19" t="n">
        <f aca="false">IF(AND('Bonding Program'!$S$25=1,AE$3='Bonding Program'!$H$25),'Bonding Program'!$T$25,0)</f>
        <v>0</v>
      </c>
      <c r="AF120" s="19" t="n">
        <f aca="false">IF(AND('Bonding Program'!$S$25=1,AF$3='Bonding Program'!$H$25),'Bonding Program'!$T$25,0)</f>
        <v>0</v>
      </c>
      <c r="AG120" s="19" t="n">
        <f aca="false">IF(AND('Bonding Program'!$S$25=1,AG$3='Bonding Program'!$H$25),'Bonding Program'!$T$25,0)</f>
        <v>0</v>
      </c>
      <c r="AH120" s="19" t="n">
        <f aca="false">IF(AND('Bonding Program'!$S$25=1,AH$3='Bonding Program'!$H$25),'Bonding Program'!$T$25,0)</f>
        <v>0</v>
      </c>
      <c r="AI120" s="19" t="n">
        <f aca="false">IF(AND('Bonding Program'!$S$25=1,AI$3='Bonding Program'!$H$25),'Bonding Program'!$T$25,0)</f>
        <v>0</v>
      </c>
      <c r="AJ120" s="19" t="n">
        <f aca="false">IF(AND('Bonding Program'!$S$25=1,AJ$3='Bonding Program'!$H$25),'Bonding Program'!$T$25,0)</f>
        <v>0</v>
      </c>
      <c r="AK120" s="19" t="n">
        <f aca="false">IF(AND('Bonding Program'!$S$25=1,AK$3='Bonding Program'!$H$25),'Bonding Program'!$T$25,0)</f>
        <v>0</v>
      </c>
      <c r="AL120" s="19" t="n">
        <f aca="false">IF(AND('Bonding Program'!$S$25=1,AL$3='Bonding Program'!$H$25),'Bonding Program'!$T$25,0)</f>
        <v>0</v>
      </c>
      <c r="AM120" s="19" t="n">
        <f aca="false">IF(AND('Bonding Program'!$S$25=1,AM$3='Bonding Program'!$H$25),'Bonding Program'!$T$25,0)</f>
        <v>0</v>
      </c>
      <c r="AN120" s="19" t="n">
        <f aca="false">IF(AND('Bonding Program'!$S$25=1,AN$3='Bonding Program'!$H$25),'Bonding Program'!$T$25,0)</f>
        <v>0</v>
      </c>
      <c r="AO120" s="19" t="n">
        <f aca="false">IF(AND('Bonding Program'!$S$25=1,AO$3='Bonding Program'!$H$25),'Bonding Program'!$T$25,0)</f>
        <v>0</v>
      </c>
      <c r="AP120" s="19" t="n">
        <f aca="false">IF(AND('Bonding Program'!$S$25=1,AP$3='Bonding Program'!$H$25),'Bonding Program'!$T$25,0)</f>
        <v>0</v>
      </c>
      <c r="AQ120" s="19" t="n">
        <f aca="false">IF(AND('Bonding Program'!$S$25=1,AQ$3='Bonding Program'!$H$25),'Bonding Program'!$T$25,0)</f>
        <v>0</v>
      </c>
      <c r="AR120" s="19" t="n">
        <f aca="false">IF(AND('Bonding Program'!$S$25=1,AR$3='Bonding Program'!$H$25),'Bonding Program'!$T$25,0)</f>
        <v>0</v>
      </c>
      <c r="AS120" s="19" t="n">
        <f aca="false">IF(AND('Bonding Program'!$S$25=1,AS$3='Bonding Program'!$H$25),'Bonding Program'!$T$25,0)</f>
        <v>0</v>
      </c>
      <c r="AT120" s="19" t="n">
        <f aca="false">IF(AND('Bonding Program'!$S$25=1,AT$3='Bonding Program'!$H$25),'Bonding Program'!$T$25,0)</f>
        <v>0</v>
      </c>
      <c r="AU120" s="19" t="n">
        <f aca="false">IF(AND('Bonding Program'!$S$25=1,AU$3='Bonding Program'!$H$25),'Bonding Program'!$T$25,0)</f>
        <v>0</v>
      </c>
      <c r="AV120" s="19" t="n">
        <f aca="false">IF(AND('Bonding Program'!$S$25=1,AV$3='Bonding Program'!$H$25),'Bonding Program'!$T$25,0)</f>
        <v>0</v>
      </c>
      <c r="AW120" s="19" t="n">
        <f aca="false">IF(AND('Bonding Program'!$S$25=1,AW$3='Bonding Program'!$H$25),'Bonding Program'!$T$25,0)</f>
        <v>0</v>
      </c>
      <c r="AX120" s="19" t="n">
        <f aca="false">IF(AND('Bonding Program'!$S$25=1,AX$3='Bonding Program'!$H$25),'Bonding Program'!$T$25,0)</f>
        <v>0</v>
      </c>
      <c r="AY120" s="19" t="n">
        <f aca="false">IF(AND('Bonding Program'!$S$25=1,AY$3='Bonding Program'!$H$25),'Bonding Program'!$T$25,0)</f>
        <v>0</v>
      </c>
      <c r="AZ120" s="19" t="n">
        <f aca="false">IF(AND('Bonding Program'!$S$25=1,AZ$3='Bonding Program'!$H$25),'Bonding Program'!$T$25,0)</f>
        <v>0</v>
      </c>
      <c r="BA120" s="19" t="n">
        <f aca="false">IF(AND('Bonding Program'!$S$25=1,BA$3='Bonding Program'!$H$25),'Bonding Program'!$T$25,0)</f>
        <v>0</v>
      </c>
      <c r="BB120" s="19" t="n">
        <f aca="false">IF(AND('Bonding Program'!$S$25=1,BB$3='Bonding Program'!$H$25),'Bonding Program'!$T$25,0)</f>
        <v>0</v>
      </c>
      <c r="BC120" s="19" t="n">
        <f aca="false">IF(AND('Bonding Program'!$S$25=1,BC$3='Bonding Program'!$H$25),'Bonding Program'!$T$25,0)</f>
        <v>0</v>
      </c>
      <c r="BD120" s="19" t="n">
        <f aca="false">IF(AND('Bonding Program'!$S$25=1,BD$3='Bonding Program'!$H$25),'Bonding Program'!$T$25,0)</f>
        <v>0</v>
      </c>
      <c r="BE120" s="19" t="n">
        <f aca="false">IF(AND('Bonding Program'!$S$25=1,BE$3='Bonding Program'!$H$25),'Bonding Program'!$T$25,0)</f>
        <v>0</v>
      </c>
      <c r="BF120" s="19" t="n">
        <f aca="false">IF(AND('Bonding Program'!$S$25=1,BF$3='Bonding Program'!$H$25),'Bonding Program'!$T$25,0)</f>
        <v>0</v>
      </c>
      <c r="BG120" s="19" t="n">
        <f aca="false">IF(AND('Bonding Program'!$S$25=1,BG$3='Bonding Program'!$H$25),'Bonding Program'!$T$25,0)</f>
        <v>0</v>
      </c>
      <c r="BH120" s="19" t="n">
        <f aca="false">IF(AND('Bonding Program'!$S$25=1,BH$3='Bonding Program'!$H$25),'Bonding Program'!$T$25,0)</f>
        <v>0</v>
      </c>
      <c r="BI120" s="19" t="n">
        <f aca="false">IF(AND('Bonding Program'!$S$25=1,BI$3='Bonding Program'!$H$25),'Bonding Program'!$T$25,0)</f>
        <v>0</v>
      </c>
      <c r="BJ120" s="19" t="n">
        <f aca="false">IF(AND('Bonding Program'!$S$25=1,BJ$3='Bonding Program'!$H$25),'Bonding Program'!$T$25,0)</f>
        <v>0</v>
      </c>
      <c r="BK120" s="19" t="n">
        <f aca="false">IF(AND('Bonding Program'!$S$25=1,BK$3='Bonding Program'!$H$25),'Bonding Program'!$T$25,0)</f>
        <v>0</v>
      </c>
      <c r="BL120" s="19" t="n">
        <f aca="false">IF(AND('Bonding Program'!$S$25=1,BL$3='Bonding Program'!$H$25),'Bonding Program'!$T$25,0)</f>
        <v>0</v>
      </c>
      <c r="BM120" s="19" t="n">
        <f aca="false">IF(AND('Bonding Program'!$S$25=1,BM$3='Bonding Program'!$H$25),'Bonding Program'!$T$25,0)</f>
        <v>0</v>
      </c>
      <c r="BN120" s="19" t="n">
        <f aca="false">IF(AND('Bonding Program'!$S$25=1,BN$3='Bonding Program'!$H$25),'Bonding Program'!$T$25,0)</f>
        <v>0</v>
      </c>
      <c r="BO120" s="19" t="n">
        <f aca="false">IF(AND('Bonding Program'!$S$25=1,BO$3='Bonding Program'!$H$25),'Bonding Program'!$T$25,0)</f>
        <v>0</v>
      </c>
      <c r="BP120" s="19" t="n">
        <f aca="false">IF(AND('Bonding Program'!$S$25=1,BP$3='Bonding Program'!$H$25),'Bonding Program'!$T$25,0)</f>
        <v>0</v>
      </c>
      <c r="BQ120" s="19" t="n">
        <f aca="false">IF(AND('Bonding Program'!$S$25=1,BQ$3='Bonding Program'!$H$25),'Bonding Program'!$T$25,0)</f>
        <v>0</v>
      </c>
      <c r="BR120" s="19" t="n">
        <f aca="false">IF(AND('Bonding Program'!$S$25=1,BR$3='Bonding Program'!$H$25),'Bonding Program'!$T$25,0)</f>
        <v>0</v>
      </c>
      <c r="BS120" s="19" t="n">
        <f aca="false">IF(AND('Bonding Program'!$S$25=1,BS$3='Bonding Program'!$H$25),'Bonding Program'!$T$25,0)</f>
        <v>0</v>
      </c>
      <c r="BT120" s="19" t="n">
        <f aca="false">IF(AND('Bonding Program'!$S$25=1,BT$3='Bonding Program'!$H$25),'Bonding Program'!$T$25,0)</f>
        <v>0</v>
      </c>
      <c r="BU120" s="19" t="n">
        <f aca="false">IF(AND('Bonding Program'!$S$25=1,BU$3='Bonding Program'!$H$25),'Bonding Program'!$T$25,0)</f>
        <v>0</v>
      </c>
      <c r="BV120" s="19" t="n">
        <f aca="false">IF(AND('Bonding Program'!$S$25=1,BV$3='Bonding Program'!$H$25),'Bonding Program'!$T$25,0)</f>
        <v>0</v>
      </c>
      <c r="BW120" s="19" t="n">
        <f aca="false">IF(AND('Bonding Program'!$S$25=1,BW$3='Bonding Program'!$H$25),'Bonding Program'!$T$25,0)</f>
        <v>0</v>
      </c>
      <c r="BX120" s="19" t="n">
        <f aca="false">IF(AND('Bonding Program'!$S$25=1,BX$3='Bonding Program'!$H$25),'Bonding Program'!$T$25,0)</f>
        <v>0</v>
      </c>
      <c r="BY120" s="19" t="n">
        <f aca="false">IF(AND('Bonding Program'!$S$25=1,BY$3='Bonding Program'!$H$25),'Bonding Program'!$T$25,0)</f>
        <v>0</v>
      </c>
      <c r="BZ120" s="19" t="n">
        <f aca="false">IF(AND('Bonding Program'!$S$25=1,BZ$3='Bonding Program'!$H$25),'Bonding Program'!$T$25,0)</f>
        <v>0</v>
      </c>
      <c r="CA120" s="19" t="n">
        <f aca="false">IF(AND('Bonding Program'!$S$25=1,CA$3='Bonding Program'!$H$25),'Bonding Program'!$T$25,0)</f>
        <v>0</v>
      </c>
      <c r="CB120" s="19" t="n">
        <f aca="false">IF(AND('Bonding Program'!$S$25=1,CB$3='Bonding Program'!$H$25),'Bonding Program'!$T$25,0)</f>
        <v>0</v>
      </c>
      <c r="CC120" s="19" t="n">
        <f aca="false">IF(AND('Bonding Program'!$S$25=1,CC$3='Bonding Program'!$H$25),'Bonding Program'!$T$25,0)</f>
        <v>0</v>
      </c>
      <c r="CD120" s="19" t="n">
        <f aca="false">IF(AND('Bonding Program'!$S$25=1,CD$3='Bonding Program'!$H$25),'Bonding Program'!$T$25,0)</f>
        <v>0</v>
      </c>
      <c r="CE120" s="19" t="n">
        <f aca="false">IF(AND('Bonding Program'!$S$25=1,CE$3='Bonding Program'!$H$25),'Bonding Program'!$T$25,0)</f>
        <v>0</v>
      </c>
      <c r="CF120" s="19" t="n">
        <f aca="false">IF(AND('Bonding Program'!$S$25=1,CF$3='Bonding Program'!$H$25),'Bonding Program'!$T$25,0)</f>
        <v>0</v>
      </c>
      <c r="CG120" s="19" t="n">
        <f aca="false">IF(AND('Bonding Program'!$S$25=1,CG$3='Bonding Program'!$H$25),'Bonding Program'!$T$25,0)</f>
        <v>0</v>
      </c>
      <c r="CH120" s="19" t="n">
        <f aca="false">IF(AND('Bonding Program'!$S$25=1,CH$3='Bonding Program'!$H$25),'Bonding Program'!$T$25,0)</f>
        <v>0</v>
      </c>
      <c r="CI120" s="19" t="n">
        <f aca="false">IF(AND('Bonding Program'!$S$25=1,CI$3='Bonding Program'!$H$25),'Bonding Program'!$T$25,0)</f>
        <v>0</v>
      </c>
      <c r="CJ120" s="19" t="n">
        <f aca="false">IF(AND('Bonding Program'!$S$25=1,CJ$3='Bonding Program'!$H$25),'Bonding Program'!$T$25,0)</f>
        <v>0</v>
      </c>
      <c r="CK120" s="19" t="n">
        <f aca="false">IF(AND('Bonding Program'!$S$25=1,CK$3='Bonding Program'!$H$25),'Bonding Program'!$T$25,0)</f>
        <v>0</v>
      </c>
      <c r="CL120" s="19" t="n">
        <f aca="false">IF(AND('Bonding Program'!$S$25=1,CL$3='Bonding Program'!$H$25),'Bonding Program'!$T$25,0)</f>
        <v>0</v>
      </c>
      <c r="CM120" s="19" t="n">
        <f aca="false">IF(AND('Bonding Program'!$S$25=1,CM$3='Bonding Program'!$H$25),'Bonding Program'!$T$25,0)</f>
        <v>0</v>
      </c>
      <c r="CN120" s="19" t="n">
        <f aca="false">IF(AND('Bonding Program'!$S$25=1,CN$3='Bonding Program'!$H$25),'Bonding Program'!$T$25,0)</f>
        <v>0</v>
      </c>
      <c r="CO120" s="19" t="n">
        <f aca="false">IF(AND('Bonding Program'!$S$25=1,CO$3='Bonding Program'!$H$25),'Bonding Program'!$T$25,0)</f>
        <v>0</v>
      </c>
      <c r="CP120" s="19" t="n">
        <f aca="false">IF(AND('Bonding Program'!$S$25=1,CP$3='Bonding Program'!$H$25),'Bonding Program'!$T$25,0)</f>
        <v>0</v>
      </c>
      <c r="CQ120" s="19" t="n">
        <f aca="false">IF(AND('Bonding Program'!$S$25=1,CQ$3='Bonding Program'!$H$25),'Bonding Program'!$T$25,0)</f>
        <v>0</v>
      </c>
      <c r="CR120" s="19" t="n">
        <f aca="false">IF(AND('Bonding Program'!$S$25=1,CR$3='Bonding Program'!$H$25),'Bonding Program'!$T$25,0)</f>
        <v>0</v>
      </c>
      <c r="CS120" s="19" t="n">
        <f aca="false">IF(AND('Bonding Program'!$S$25=1,CS$3='Bonding Program'!$H$25),'Bonding Program'!$T$25,0)</f>
        <v>0</v>
      </c>
      <c r="CT120" s="19" t="n">
        <f aca="false">IF(AND('Bonding Program'!$S$25=1,CT$3='Bonding Program'!$H$25),'Bonding Program'!$T$25,0)</f>
        <v>0</v>
      </c>
      <c r="CU120" s="19" t="n">
        <f aca="false">IF(AND('Bonding Program'!$S$25=1,CU$3='Bonding Program'!$H$25),'Bonding Program'!$T$25,0)</f>
        <v>0</v>
      </c>
      <c r="CV120" s="19" t="n">
        <f aca="false">IF(AND('Bonding Program'!$S$25=1,CV$3='Bonding Program'!$H$25),'Bonding Program'!$T$25,0)</f>
        <v>0</v>
      </c>
      <c r="CW120" s="19" t="n">
        <f aca="false">IF(AND('Bonding Program'!$S$25=1,CW$3='Bonding Program'!$H$25),'Bonding Program'!$T$25,0)</f>
        <v>0</v>
      </c>
      <c r="CX120" s="19" t="n">
        <f aca="false">IF(AND('Bonding Program'!$S$25=1,CX$3='Bonding Program'!$H$25),'Bonding Program'!$T$25,0)</f>
        <v>0</v>
      </c>
      <c r="CY120" s="19" t="n">
        <f aca="false">IF(AND('Bonding Program'!$S$25=1,CY$3='Bonding Program'!$H$25),'Bonding Program'!$T$25,0)</f>
        <v>0</v>
      </c>
      <c r="CZ120" s="19" t="n">
        <f aca="false">IF(AND('Bonding Program'!$S$25=1,CZ$3='Bonding Program'!$H$25),'Bonding Program'!$T$25,0)</f>
        <v>0</v>
      </c>
      <c r="DA120" s="19" t="n">
        <f aca="false">IF(AND('Bonding Program'!$S$25=1,DA$3='Bonding Program'!$H$25),'Bonding Program'!$T$25,0)</f>
        <v>0</v>
      </c>
      <c r="DB120" s="19" t="n">
        <f aca="false">IF(AND('Bonding Program'!$S$25=1,DB$3='Bonding Program'!$H$25),'Bonding Program'!$T$25,0)</f>
        <v>0</v>
      </c>
      <c r="DC120" s="19" t="n">
        <f aca="false">IF(AND('Bonding Program'!$S$25=1,DC$3='Bonding Program'!$H$25),'Bonding Program'!$T$25,0)</f>
        <v>0</v>
      </c>
      <c r="DD120" s="19" t="n">
        <f aca="false">IF(AND('Bonding Program'!$S$25=1,DD$3='Bonding Program'!$H$25),'Bonding Program'!$T$25,0)</f>
        <v>0</v>
      </c>
      <c r="DE120" s="19" t="n">
        <f aca="false">IF(AND('Bonding Program'!$S$25=1,DE$3='Bonding Program'!$H$25),'Bonding Program'!$T$25,0)</f>
        <v>0</v>
      </c>
    </row>
    <row r="121" customFormat="false" ht="15" hidden="false" customHeight="true" outlineLevel="1" collapsed="false">
      <c r="A121" s="28" t="s">
        <v>22</v>
      </c>
      <c r="B121" s="19" t="n">
        <f aca="false">IF(AND('Bonding Program'!$S$26=1,B$3='Bonding Program'!$H$26),'Bonding Program'!$T$26,0)</f>
        <v>0</v>
      </c>
      <c r="C121" s="19" t="n">
        <f aca="false">IF(AND('Bonding Program'!$S$26=1,C$3='Bonding Program'!$H$26),'Bonding Program'!$T$26,0)</f>
        <v>0</v>
      </c>
      <c r="D121" s="19" t="n">
        <f aca="false">IF(AND('Bonding Program'!$S$26=1,D$3='Bonding Program'!$H$26),'Bonding Program'!$T$26,0)</f>
        <v>0</v>
      </c>
      <c r="E121" s="19" t="n">
        <f aca="false">IF(AND('Bonding Program'!$S$26=1,E$3='Bonding Program'!$H$26),'Bonding Program'!$T$26,0)</f>
        <v>0</v>
      </c>
      <c r="F121" s="19" t="n">
        <f aca="false">IF(AND('Bonding Program'!$S$26=1,F$3='Bonding Program'!$H$26),'Bonding Program'!$T$26,0)</f>
        <v>0</v>
      </c>
      <c r="G121" s="19" t="n">
        <f aca="false">IF(AND('Bonding Program'!$S$26=1,G$3='Bonding Program'!$H$26),'Bonding Program'!$T$26,0)</f>
        <v>0</v>
      </c>
      <c r="H121" s="19" t="n">
        <f aca="false">IF(AND('Bonding Program'!$S$26=1,H$3='Bonding Program'!$H$26),'Bonding Program'!$T$26,0)</f>
        <v>0</v>
      </c>
      <c r="I121" s="19" t="n">
        <f aca="false">IF(AND('Bonding Program'!$S$26=1,I$3='Bonding Program'!$H$26),'Bonding Program'!$T$26,0)</f>
        <v>0</v>
      </c>
      <c r="J121" s="19" t="n">
        <f aca="false">IF(AND('Bonding Program'!$S$26=1,J$3='Bonding Program'!$H$26),'Bonding Program'!$T$26,0)</f>
        <v>0</v>
      </c>
      <c r="K121" s="19" t="n">
        <f aca="false">IF(AND('Bonding Program'!$S$26=1,K$3='Bonding Program'!$H$26),'Bonding Program'!$T$26,0)</f>
        <v>0</v>
      </c>
      <c r="L121" s="19" t="n">
        <f aca="false">IF(AND('Bonding Program'!$S$26=1,L$3='Bonding Program'!$H$26),'Bonding Program'!$T$26,0)</f>
        <v>0</v>
      </c>
      <c r="M121" s="19" t="n">
        <f aca="false">IF(AND('Bonding Program'!$S$26=1,M$3='Bonding Program'!$H$26),'Bonding Program'!$T$26,0)</f>
        <v>0</v>
      </c>
      <c r="N121" s="19" t="n">
        <f aca="false">IF(AND('Bonding Program'!$S$26=1,N$3='Bonding Program'!$H$26),'Bonding Program'!$T$26,0)</f>
        <v>0</v>
      </c>
      <c r="O121" s="19" t="n">
        <f aca="false">IF(AND('Bonding Program'!$S$26=1,O$3='Bonding Program'!$H$26),'Bonding Program'!$T$26,0)</f>
        <v>0</v>
      </c>
      <c r="P121" s="19" t="n">
        <f aca="false">IF(AND('Bonding Program'!$S$26=1,P$3='Bonding Program'!$H$26),'Bonding Program'!$T$26,0)</f>
        <v>0</v>
      </c>
      <c r="Q121" s="19" t="n">
        <f aca="false">IF(AND('Bonding Program'!$S$26=1,Q$3='Bonding Program'!$H$26),'Bonding Program'!$T$26,0)</f>
        <v>0</v>
      </c>
      <c r="R121" s="19" t="n">
        <f aca="false">IF(AND('Bonding Program'!$S$26=1,R$3='Bonding Program'!$H$26),'Bonding Program'!$T$26,0)</f>
        <v>0</v>
      </c>
      <c r="S121" s="19" t="n">
        <f aca="false">IF(AND('Bonding Program'!$S$26=1,S$3='Bonding Program'!$H$26),'Bonding Program'!$T$26,0)</f>
        <v>0</v>
      </c>
      <c r="T121" s="19" t="n">
        <f aca="false">IF(AND('Bonding Program'!$S$26=1,T$3='Bonding Program'!$H$26),'Bonding Program'!$T$26,0)</f>
        <v>272553.236453202</v>
      </c>
      <c r="U121" s="19" t="n">
        <f aca="false">IF(AND('Bonding Program'!$S$26=1,U$3='Bonding Program'!$H$26),'Bonding Program'!$T$26,0)</f>
        <v>0</v>
      </c>
      <c r="V121" s="19" t="n">
        <f aca="false">IF(AND('Bonding Program'!$S$26=1,V$3='Bonding Program'!$H$26),'Bonding Program'!$T$26,0)</f>
        <v>0</v>
      </c>
      <c r="W121" s="19" t="n">
        <f aca="false">IF(AND('Bonding Program'!$S$26=1,W$3='Bonding Program'!$H$26),'Bonding Program'!$T$26,0)</f>
        <v>0</v>
      </c>
      <c r="X121" s="19" t="n">
        <f aca="false">IF(AND('Bonding Program'!$S$26=1,X$3='Bonding Program'!$H$26),'Bonding Program'!$T$26,0)</f>
        <v>0</v>
      </c>
      <c r="Y121" s="19" t="n">
        <f aca="false">IF(AND('Bonding Program'!$S$26=1,Y$3='Bonding Program'!$H$26),'Bonding Program'!$T$26,0)</f>
        <v>0</v>
      </c>
      <c r="Z121" s="19" t="n">
        <f aca="false">IF(AND('Bonding Program'!$S$26=1,Z$3='Bonding Program'!$H$26),'Bonding Program'!$T$26,0)</f>
        <v>0</v>
      </c>
      <c r="AA121" s="19" t="n">
        <f aca="false">IF(AND('Bonding Program'!$S$26=1,AA$3='Bonding Program'!$H$26),'Bonding Program'!$T$26,0)</f>
        <v>0</v>
      </c>
      <c r="AB121" s="19" t="n">
        <f aca="false">IF(AND('Bonding Program'!$S$26=1,AB$3='Bonding Program'!$H$26),'Bonding Program'!$T$26,0)</f>
        <v>0</v>
      </c>
      <c r="AC121" s="19" t="n">
        <f aca="false">IF(AND('Bonding Program'!$S$26=1,AC$3='Bonding Program'!$H$26),'Bonding Program'!$T$26,0)</f>
        <v>0</v>
      </c>
      <c r="AD121" s="19" t="n">
        <f aca="false">IF(AND('Bonding Program'!$S$26=1,AD$3='Bonding Program'!$H$26),'Bonding Program'!$T$26,0)</f>
        <v>0</v>
      </c>
      <c r="AE121" s="19" t="n">
        <f aca="false">IF(AND('Bonding Program'!$S$26=1,AE$3='Bonding Program'!$H$26),'Bonding Program'!$T$26,0)</f>
        <v>0</v>
      </c>
      <c r="AF121" s="19" t="n">
        <f aca="false">IF(AND('Bonding Program'!$S$26=1,AF$3='Bonding Program'!$H$26),'Bonding Program'!$T$26,0)</f>
        <v>0</v>
      </c>
      <c r="AG121" s="19" t="n">
        <f aca="false">IF(AND('Bonding Program'!$S$26=1,AG$3='Bonding Program'!$H$26),'Bonding Program'!$T$26,0)</f>
        <v>0</v>
      </c>
      <c r="AH121" s="19" t="n">
        <f aca="false">IF(AND('Bonding Program'!$S$26=1,AH$3='Bonding Program'!$H$26),'Bonding Program'!$T$26,0)</f>
        <v>0</v>
      </c>
      <c r="AI121" s="19" t="n">
        <f aca="false">IF(AND('Bonding Program'!$S$26=1,AI$3='Bonding Program'!$H$26),'Bonding Program'!$T$26,0)</f>
        <v>0</v>
      </c>
      <c r="AJ121" s="19" t="n">
        <f aca="false">IF(AND('Bonding Program'!$S$26=1,AJ$3='Bonding Program'!$H$26),'Bonding Program'!$T$26,0)</f>
        <v>0</v>
      </c>
      <c r="AK121" s="19" t="n">
        <f aca="false">IF(AND('Bonding Program'!$S$26=1,AK$3='Bonding Program'!$H$26),'Bonding Program'!$T$26,0)</f>
        <v>0</v>
      </c>
      <c r="AL121" s="19" t="n">
        <f aca="false">IF(AND('Bonding Program'!$S$26=1,AL$3='Bonding Program'!$H$26),'Bonding Program'!$T$26,0)</f>
        <v>0</v>
      </c>
      <c r="AM121" s="19" t="n">
        <f aca="false">IF(AND('Bonding Program'!$S$26=1,AM$3='Bonding Program'!$H$26),'Bonding Program'!$T$26,0)</f>
        <v>0</v>
      </c>
      <c r="AN121" s="19" t="n">
        <f aca="false">IF(AND('Bonding Program'!$S$26=1,AN$3='Bonding Program'!$H$26),'Bonding Program'!$T$26,0)</f>
        <v>0</v>
      </c>
      <c r="AO121" s="19" t="n">
        <f aca="false">IF(AND('Bonding Program'!$S$26=1,AO$3='Bonding Program'!$H$26),'Bonding Program'!$T$26,0)</f>
        <v>0</v>
      </c>
      <c r="AP121" s="19" t="n">
        <f aca="false">IF(AND('Bonding Program'!$S$26=1,AP$3='Bonding Program'!$H$26),'Bonding Program'!$T$26,0)</f>
        <v>0</v>
      </c>
      <c r="AQ121" s="19" t="n">
        <f aca="false">IF(AND('Bonding Program'!$S$26=1,AQ$3='Bonding Program'!$H$26),'Bonding Program'!$T$26,0)</f>
        <v>0</v>
      </c>
      <c r="AR121" s="19" t="n">
        <f aca="false">IF(AND('Bonding Program'!$S$26=1,AR$3='Bonding Program'!$H$26),'Bonding Program'!$T$26,0)</f>
        <v>0</v>
      </c>
      <c r="AS121" s="19" t="n">
        <f aca="false">IF(AND('Bonding Program'!$S$26=1,AS$3='Bonding Program'!$H$26),'Bonding Program'!$T$26,0)</f>
        <v>0</v>
      </c>
      <c r="AT121" s="19" t="n">
        <f aca="false">IF(AND('Bonding Program'!$S$26=1,AT$3='Bonding Program'!$H$26),'Bonding Program'!$T$26,0)</f>
        <v>0</v>
      </c>
      <c r="AU121" s="19" t="n">
        <f aca="false">IF(AND('Bonding Program'!$S$26=1,AU$3='Bonding Program'!$H$26),'Bonding Program'!$T$26,0)</f>
        <v>0</v>
      </c>
      <c r="AV121" s="19" t="n">
        <f aca="false">IF(AND('Bonding Program'!$S$26=1,AV$3='Bonding Program'!$H$26),'Bonding Program'!$T$26,0)</f>
        <v>0</v>
      </c>
      <c r="AW121" s="19" t="n">
        <f aca="false">IF(AND('Bonding Program'!$S$26=1,AW$3='Bonding Program'!$H$26),'Bonding Program'!$T$26,0)</f>
        <v>0</v>
      </c>
      <c r="AX121" s="19" t="n">
        <f aca="false">IF(AND('Bonding Program'!$S$26=1,AX$3='Bonding Program'!$H$26),'Bonding Program'!$T$26,0)</f>
        <v>0</v>
      </c>
      <c r="AY121" s="19" t="n">
        <f aca="false">IF(AND('Bonding Program'!$S$26=1,AY$3='Bonding Program'!$H$26),'Bonding Program'!$T$26,0)</f>
        <v>0</v>
      </c>
      <c r="AZ121" s="19" t="n">
        <f aca="false">IF(AND('Bonding Program'!$S$26=1,AZ$3='Bonding Program'!$H$26),'Bonding Program'!$T$26,0)</f>
        <v>0</v>
      </c>
      <c r="BA121" s="19" t="n">
        <f aca="false">IF(AND('Bonding Program'!$S$26=1,BA$3='Bonding Program'!$H$26),'Bonding Program'!$T$26,0)</f>
        <v>0</v>
      </c>
      <c r="BB121" s="19" t="n">
        <f aca="false">IF(AND('Bonding Program'!$S$26=1,BB$3='Bonding Program'!$H$26),'Bonding Program'!$T$26,0)</f>
        <v>0</v>
      </c>
      <c r="BC121" s="19" t="n">
        <f aca="false">IF(AND('Bonding Program'!$S$26=1,BC$3='Bonding Program'!$H$26),'Bonding Program'!$T$26,0)</f>
        <v>0</v>
      </c>
      <c r="BD121" s="19" t="n">
        <f aca="false">IF(AND('Bonding Program'!$S$26=1,BD$3='Bonding Program'!$H$26),'Bonding Program'!$T$26,0)</f>
        <v>0</v>
      </c>
      <c r="BE121" s="19" t="n">
        <f aca="false">IF(AND('Bonding Program'!$S$26=1,BE$3='Bonding Program'!$H$26),'Bonding Program'!$T$26,0)</f>
        <v>0</v>
      </c>
      <c r="BF121" s="19" t="n">
        <f aca="false">IF(AND('Bonding Program'!$S$26=1,BF$3='Bonding Program'!$H$26),'Bonding Program'!$T$26,0)</f>
        <v>0</v>
      </c>
      <c r="BG121" s="19" t="n">
        <f aca="false">IF(AND('Bonding Program'!$S$26=1,BG$3='Bonding Program'!$H$26),'Bonding Program'!$T$26,0)</f>
        <v>0</v>
      </c>
      <c r="BH121" s="19" t="n">
        <f aca="false">IF(AND('Bonding Program'!$S$26=1,BH$3='Bonding Program'!$H$26),'Bonding Program'!$T$26,0)</f>
        <v>0</v>
      </c>
      <c r="BI121" s="19" t="n">
        <f aca="false">IF(AND('Bonding Program'!$S$26=1,BI$3='Bonding Program'!$H$26),'Bonding Program'!$T$26,0)</f>
        <v>0</v>
      </c>
      <c r="BJ121" s="19" t="n">
        <f aca="false">IF(AND('Bonding Program'!$S$26=1,BJ$3='Bonding Program'!$H$26),'Bonding Program'!$T$26,0)</f>
        <v>0</v>
      </c>
      <c r="BK121" s="19" t="n">
        <f aca="false">IF(AND('Bonding Program'!$S$26=1,BK$3='Bonding Program'!$H$26),'Bonding Program'!$T$26,0)</f>
        <v>0</v>
      </c>
      <c r="BL121" s="19" t="n">
        <f aca="false">IF(AND('Bonding Program'!$S$26=1,BL$3='Bonding Program'!$H$26),'Bonding Program'!$T$26,0)</f>
        <v>0</v>
      </c>
      <c r="BM121" s="19" t="n">
        <f aca="false">IF(AND('Bonding Program'!$S$26=1,BM$3='Bonding Program'!$H$26),'Bonding Program'!$T$26,0)</f>
        <v>0</v>
      </c>
      <c r="BN121" s="19" t="n">
        <f aca="false">IF(AND('Bonding Program'!$S$26=1,BN$3='Bonding Program'!$H$26),'Bonding Program'!$T$26,0)</f>
        <v>0</v>
      </c>
      <c r="BO121" s="19" t="n">
        <f aca="false">IF(AND('Bonding Program'!$S$26=1,BO$3='Bonding Program'!$H$26),'Bonding Program'!$T$26,0)</f>
        <v>0</v>
      </c>
      <c r="BP121" s="19" t="n">
        <f aca="false">IF(AND('Bonding Program'!$S$26=1,BP$3='Bonding Program'!$H$26),'Bonding Program'!$T$26,0)</f>
        <v>0</v>
      </c>
      <c r="BQ121" s="19" t="n">
        <f aca="false">IF(AND('Bonding Program'!$S$26=1,BQ$3='Bonding Program'!$H$26),'Bonding Program'!$T$26,0)</f>
        <v>0</v>
      </c>
      <c r="BR121" s="19" t="n">
        <f aca="false">IF(AND('Bonding Program'!$S$26=1,BR$3='Bonding Program'!$H$26),'Bonding Program'!$T$26,0)</f>
        <v>0</v>
      </c>
      <c r="BS121" s="19" t="n">
        <f aca="false">IF(AND('Bonding Program'!$S$26=1,BS$3='Bonding Program'!$H$26),'Bonding Program'!$T$26,0)</f>
        <v>0</v>
      </c>
      <c r="BT121" s="19" t="n">
        <f aca="false">IF(AND('Bonding Program'!$S$26=1,BT$3='Bonding Program'!$H$26),'Bonding Program'!$T$26,0)</f>
        <v>0</v>
      </c>
      <c r="BU121" s="19" t="n">
        <f aca="false">IF(AND('Bonding Program'!$S$26=1,BU$3='Bonding Program'!$H$26),'Bonding Program'!$T$26,0)</f>
        <v>0</v>
      </c>
      <c r="BV121" s="19" t="n">
        <f aca="false">IF(AND('Bonding Program'!$S$26=1,BV$3='Bonding Program'!$H$26),'Bonding Program'!$T$26,0)</f>
        <v>0</v>
      </c>
      <c r="BW121" s="19" t="n">
        <f aca="false">IF(AND('Bonding Program'!$S$26=1,BW$3='Bonding Program'!$H$26),'Bonding Program'!$T$26,0)</f>
        <v>0</v>
      </c>
      <c r="BX121" s="19" t="n">
        <f aca="false">IF(AND('Bonding Program'!$S$26=1,BX$3='Bonding Program'!$H$26),'Bonding Program'!$T$26,0)</f>
        <v>0</v>
      </c>
      <c r="BY121" s="19" t="n">
        <f aca="false">IF(AND('Bonding Program'!$S$26=1,BY$3='Bonding Program'!$H$26),'Bonding Program'!$T$26,0)</f>
        <v>0</v>
      </c>
      <c r="BZ121" s="19" t="n">
        <f aca="false">IF(AND('Bonding Program'!$S$26=1,BZ$3='Bonding Program'!$H$26),'Bonding Program'!$T$26,0)</f>
        <v>0</v>
      </c>
      <c r="CA121" s="19" t="n">
        <f aca="false">IF(AND('Bonding Program'!$S$26=1,CA$3='Bonding Program'!$H$26),'Bonding Program'!$T$26,0)</f>
        <v>0</v>
      </c>
      <c r="CB121" s="19" t="n">
        <f aca="false">IF(AND('Bonding Program'!$S$26=1,CB$3='Bonding Program'!$H$26),'Bonding Program'!$T$26,0)</f>
        <v>0</v>
      </c>
      <c r="CC121" s="19" t="n">
        <f aca="false">IF(AND('Bonding Program'!$S$26=1,CC$3='Bonding Program'!$H$26),'Bonding Program'!$T$26,0)</f>
        <v>0</v>
      </c>
      <c r="CD121" s="19" t="n">
        <f aca="false">IF(AND('Bonding Program'!$S$26=1,CD$3='Bonding Program'!$H$26),'Bonding Program'!$T$26,0)</f>
        <v>0</v>
      </c>
      <c r="CE121" s="19" t="n">
        <f aca="false">IF(AND('Bonding Program'!$S$26=1,CE$3='Bonding Program'!$H$26),'Bonding Program'!$T$26,0)</f>
        <v>0</v>
      </c>
      <c r="CF121" s="19" t="n">
        <f aca="false">IF(AND('Bonding Program'!$S$26=1,CF$3='Bonding Program'!$H$26),'Bonding Program'!$T$26,0)</f>
        <v>0</v>
      </c>
      <c r="CG121" s="19" t="n">
        <f aca="false">IF(AND('Bonding Program'!$S$26=1,CG$3='Bonding Program'!$H$26),'Bonding Program'!$T$26,0)</f>
        <v>0</v>
      </c>
      <c r="CH121" s="19" t="n">
        <f aca="false">IF(AND('Bonding Program'!$S$26=1,CH$3='Bonding Program'!$H$26),'Bonding Program'!$T$26,0)</f>
        <v>0</v>
      </c>
      <c r="CI121" s="19" t="n">
        <f aca="false">IF(AND('Bonding Program'!$S$26=1,CI$3='Bonding Program'!$H$26),'Bonding Program'!$T$26,0)</f>
        <v>0</v>
      </c>
      <c r="CJ121" s="19" t="n">
        <f aca="false">IF(AND('Bonding Program'!$S$26=1,CJ$3='Bonding Program'!$H$26),'Bonding Program'!$T$26,0)</f>
        <v>0</v>
      </c>
      <c r="CK121" s="19" t="n">
        <f aca="false">IF(AND('Bonding Program'!$S$26=1,CK$3='Bonding Program'!$H$26),'Bonding Program'!$T$26,0)</f>
        <v>0</v>
      </c>
      <c r="CL121" s="19" t="n">
        <f aca="false">IF(AND('Bonding Program'!$S$26=1,CL$3='Bonding Program'!$H$26),'Bonding Program'!$T$26,0)</f>
        <v>0</v>
      </c>
      <c r="CM121" s="19" t="n">
        <f aca="false">IF(AND('Bonding Program'!$S$26=1,CM$3='Bonding Program'!$H$26),'Bonding Program'!$T$26,0)</f>
        <v>0</v>
      </c>
      <c r="CN121" s="19" t="n">
        <f aca="false">IF(AND('Bonding Program'!$S$26=1,CN$3='Bonding Program'!$H$26),'Bonding Program'!$T$26,0)</f>
        <v>0</v>
      </c>
      <c r="CO121" s="19" t="n">
        <f aca="false">IF(AND('Bonding Program'!$S$26=1,CO$3='Bonding Program'!$H$26),'Bonding Program'!$T$26,0)</f>
        <v>0</v>
      </c>
      <c r="CP121" s="19" t="n">
        <f aca="false">IF(AND('Bonding Program'!$S$26=1,CP$3='Bonding Program'!$H$26),'Bonding Program'!$T$26,0)</f>
        <v>0</v>
      </c>
      <c r="CQ121" s="19" t="n">
        <f aca="false">IF(AND('Bonding Program'!$S$26=1,CQ$3='Bonding Program'!$H$26),'Bonding Program'!$T$26,0)</f>
        <v>0</v>
      </c>
      <c r="CR121" s="19" t="n">
        <f aca="false">IF(AND('Bonding Program'!$S$26=1,CR$3='Bonding Program'!$H$26),'Bonding Program'!$T$26,0)</f>
        <v>0</v>
      </c>
      <c r="CS121" s="19" t="n">
        <f aca="false">IF(AND('Bonding Program'!$S$26=1,CS$3='Bonding Program'!$H$26),'Bonding Program'!$T$26,0)</f>
        <v>0</v>
      </c>
      <c r="CT121" s="19" t="n">
        <f aca="false">IF(AND('Bonding Program'!$S$26=1,CT$3='Bonding Program'!$H$26),'Bonding Program'!$T$26,0)</f>
        <v>0</v>
      </c>
      <c r="CU121" s="19" t="n">
        <f aca="false">IF(AND('Bonding Program'!$S$26=1,CU$3='Bonding Program'!$H$26),'Bonding Program'!$T$26,0)</f>
        <v>0</v>
      </c>
      <c r="CV121" s="19" t="n">
        <f aca="false">IF(AND('Bonding Program'!$S$26=1,CV$3='Bonding Program'!$H$26),'Bonding Program'!$T$26,0)</f>
        <v>0</v>
      </c>
      <c r="CW121" s="19" t="n">
        <f aca="false">IF(AND('Bonding Program'!$S$26=1,CW$3='Bonding Program'!$H$26),'Bonding Program'!$T$26,0)</f>
        <v>0</v>
      </c>
      <c r="CX121" s="19" t="n">
        <f aca="false">IF(AND('Bonding Program'!$S$26=1,CX$3='Bonding Program'!$H$26),'Bonding Program'!$T$26,0)</f>
        <v>0</v>
      </c>
      <c r="CY121" s="19" t="n">
        <f aca="false">IF(AND('Bonding Program'!$S$26=1,CY$3='Bonding Program'!$H$26),'Bonding Program'!$T$26,0)</f>
        <v>0</v>
      </c>
      <c r="CZ121" s="19" t="n">
        <f aca="false">IF(AND('Bonding Program'!$S$26=1,CZ$3='Bonding Program'!$H$26),'Bonding Program'!$T$26,0)</f>
        <v>0</v>
      </c>
      <c r="DA121" s="19" t="n">
        <f aca="false">IF(AND('Bonding Program'!$S$26=1,DA$3='Bonding Program'!$H$26),'Bonding Program'!$T$26,0)</f>
        <v>0</v>
      </c>
      <c r="DB121" s="19" t="n">
        <f aca="false">IF(AND('Bonding Program'!$S$26=1,DB$3='Bonding Program'!$H$26),'Bonding Program'!$T$26,0)</f>
        <v>0</v>
      </c>
      <c r="DC121" s="19" t="n">
        <f aca="false">IF(AND('Bonding Program'!$S$26=1,DC$3='Bonding Program'!$H$26),'Bonding Program'!$T$26,0)</f>
        <v>0</v>
      </c>
      <c r="DD121" s="19" t="n">
        <f aca="false">IF(AND('Bonding Program'!$S$26=1,DD$3='Bonding Program'!$H$26),'Bonding Program'!$T$26,0)</f>
        <v>0</v>
      </c>
      <c r="DE121" s="19" t="n">
        <f aca="false">IF(AND('Bonding Program'!$S$26=1,DE$3='Bonding Program'!$H$26),'Bonding Program'!$T$26,0)</f>
        <v>0</v>
      </c>
    </row>
    <row r="122" customFormat="false" ht="15" hidden="false" customHeight="true" outlineLevel="1" collapsed="false">
      <c r="A122" s="28" t="s">
        <v>23</v>
      </c>
      <c r="B122" s="19" t="n">
        <f aca="false">IF(AND('Bonding Program'!$S$27=1,B$3='Bonding Program'!$H$27),'Bonding Program'!$T$27,0)</f>
        <v>0</v>
      </c>
      <c r="C122" s="19" t="n">
        <f aca="false">IF(AND('Bonding Program'!$S$27=1,C$3='Bonding Program'!$H$27),'Bonding Program'!$T$27,0)</f>
        <v>0</v>
      </c>
      <c r="D122" s="19" t="n">
        <f aca="false">IF(AND('Bonding Program'!$S$27=1,D$3='Bonding Program'!$H$27),'Bonding Program'!$T$27,0)</f>
        <v>0</v>
      </c>
      <c r="E122" s="19" t="n">
        <f aca="false">IF(AND('Bonding Program'!$S$27=1,E$3='Bonding Program'!$H$27),'Bonding Program'!$T$27,0)</f>
        <v>0</v>
      </c>
      <c r="F122" s="19" t="n">
        <f aca="false">IF(AND('Bonding Program'!$S$27=1,F$3='Bonding Program'!$H$27),'Bonding Program'!$T$27,0)</f>
        <v>0</v>
      </c>
      <c r="G122" s="19" t="n">
        <f aca="false">IF(AND('Bonding Program'!$S$27=1,G$3='Bonding Program'!$H$27),'Bonding Program'!$T$27,0)</f>
        <v>0</v>
      </c>
      <c r="H122" s="19" t="n">
        <f aca="false">IF(AND('Bonding Program'!$S$27=1,H$3='Bonding Program'!$H$27),'Bonding Program'!$T$27,0)</f>
        <v>0</v>
      </c>
      <c r="I122" s="19" t="n">
        <f aca="false">IF(AND('Bonding Program'!$S$27=1,I$3='Bonding Program'!$H$27),'Bonding Program'!$T$27,0)</f>
        <v>0</v>
      </c>
      <c r="J122" s="19" t="n">
        <f aca="false">IF(AND('Bonding Program'!$S$27=1,J$3='Bonding Program'!$H$27),'Bonding Program'!$T$27,0)</f>
        <v>0</v>
      </c>
      <c r="K122" s="19" t="n">
        <f aca="false">IF(AND('Bonding Program'!$S$27=1,K$3='Bonding Program'!$H$27),'Bonding Program'!$T$27,0)</f>
        <v>0</v>
      </c>
      <c r="L122" s="19" t="n">
        <f aca="false">IF(AND('Bonding Program'!$S$27=1,L$3='Bonding Program'!$H$27),'Bonding Program'!$T$27,0)</f>
        <v>0</v>
      </c>
      <c r="M122" s="19" t="n">
        <f aca="false">IF(AND('Bonding Program'!$S$27=1,M$3='Bonding Program'!$H$27),'Bonding Program'!$T$27,0)</f>
        <v>0</v>
      </c>
      <c r="N122" s="19" t="n">
        <f aca="false">IF(AND('Bonding Program'!$S$27=1,N$3='Bonding Program'!$H$27),'Bonding Program'!$T$27,0)</f>
        <v>0</v>
      </c>
      <c r="O122" s="19" t="n">
        <f aca="false">IF(AND('Bonding Program'!$S$27=1,O$3='Bonding Program'!$H$27),'Bonding Program'!$T$27,0)</f>
        <v>0</v>
      </c>
      <c r="P122" s="19" t="n">
        <f aca="false">IF(AND('Bonding Program'!$S$27=1,P$3='Bonding Program'!$H$27),'Bonding Program'!$T$27,0)</f>
        <v>0</v>
      </c>
      <c r="Q122" s="19" t="n">
        <f aca="false">IF(AND('Bonding Program'!$S$27=1,Q$3='Bonding Program'!$H$27),'Bonding Program'!$T$27,0)</f>
        <v>0</v>
      </c>
      <c r="R122" s="19" t="n">
        <f aca="false">IF(AND('Bonding Program'!$S$27=1,R$3='Bonding Program'!$H$27),'Bonding Program'!$T$27,0)</f>
        <v>0</v>
      </c>
      <c r="S122" s="19" t="n">
        <f aca="false">IF(AND('Bonding Program'!$S$27=1,S$3='Bonding Program'!$H$27),'Bonding Program'!$T$27,0)</f>
        <v>0</v>
      </c>
      <c r="T122" s="19" t="n">
        <f aca="false">IF(AND('Bonding Program'!$S$27=1,T$3='Bonding Program'!$H$27),'Bonding Program'!$T$27,0)</f>
        <v>0</v>
      </c>
      <c r="U122" s="19" t="n">
        <f aca="false">IF(AND('Bonding Program'!$S$27=1,U$3='Bonding Program'!$H$27),'Bonding Program'!$T$27,0)</f>
        <v>0</v>
      </c>
      <c r="V122" s="19" t="n">
        <f aca="false">IF(AND('Bonding Program'!$S$27=1,V$3='Bonding Program'!$H$27),'Bonding Program'!$T$27,0)</f>
        <v>0</v>
      </c>
      <c r="W122" s="19" t="n">
        <f aca="false">IF(AND('Bonding Program'!$S$27=1,W$3='Bonding Program'!$H$27),'Bonding Program'!$T$27,0)</f>
        <v>0</v>
      </c>
      <c r="X122" s="19" t="n">
        <f aca="false">IF(AND('Bonding Program'!$S$27=1,X$3='Bonding Program'!$H$27),'Bonding Program'!$T$27,0)</f>
        <v>0</v>
      </c>
      <c r="Y122" s="19" t="n">
        <f aca="false">IF(AND('Bonding Program'!$S$27=1,Y$3='Bonding Program'!$H$27),'Bonding Program'!$T$27,0)</f>
        <v>0</v>
      </c>
      <c r="Z122" s="19" t="n">
        <f aca="false">IF(AND('Bonding Program'!$S$27=1,Z$3='Bonding Program'!$H$27),'Bonding Program'!$T$27,0)</f>
        <v>0</v>
      </c>
      <c r="AA122" s="19" t="n">
        <f aca="false">IF(AND('Bonding Program'!$S$27=1,AA$3='Bonding Program'!$H$27),'Bonding Program'!$T$27,0)</f>
        <v>0</v>
      </c>
      <c r="AB122" s="19" t="n">
        <f aca="false">IF(AND('Bonding Program'!$S$27=1,AB$3='Bonding Program'!$H$27),'Bonding Program'!$T$27,0)</f>
        <v>0</v>
      </c>
      <c r="AC122" s="19" t="n">
        <f aca="false">IF(AND('Bonding Program'!$S$27=1,AC$3='Bonding Program'!$H$27),'Bonding Program'!$T$27,0)</f>
        <v>0</v>
      </c>
      <c r="AD122" s="19" t="n">
        <f aca="false">IF(AND('Bonding Program'!$S$27=1,AD$3='Bonding Program'!$H$27),'Bonding Program'!$T$27,0)</f>
        <v>0</v>
      </c>
      <c r="AE122" s="19" t="n">
        <f aca="false">IF(AND('Bonding Program'!$S$27=1,AE$3='Bonding Program'!$H$27),'Bonding Program'!$T$27,0)</f>
        <v>0</v>
      </c>
      <c r="AF122" s="19" t="n">
        <f aca="false">IF(AND('Bonding Program'!$S$27=1,AF$3='Bonding Program'!$H$27),'Bonding Program'!$T$27,0)</f>
        <v>0</v>
      </c>
      <c r="AG122" s="19" t="n">
        <f aca="false">IF(AND('Bonding Program'!$S$27=1,AG$3='Bonding Program'!$H$27),'Bonding Program'!$T$27,0)</f>
        <v>0</v>
      </c>
      <c r="AH122" s="19" t="n">
        <f aca="false">IF(AND('Bonding Program'!$S$27=1,AH$3='Bonding Program'!$H$27),'Bonding Program'!$T$27,0)</f>
        <v>0</v>
      </c>
      <c r="AI122" s="19" t="n">
        <f aca="false">IF(AND('Bonding Program'!$S$27=1,AI$3='Bonding Program'!$H$27),'Bonding Program'!$T$27,0)</f>
        <v>0</v>
      </c>
      <c r="AJ122" s="19" t="n">
        <f aca="false">IF(AND('Bonding Program'!$S$27=1,AJ$3='Bonding Program'!$H$27),'Bonding Program'!$T$27,0)</f>
        <v>0</v>
      </c>
      <c r="AK122" s="19" t="n">
        <f aca="false">IF(AND('Bonding Program'!$S$27=1,AK$3='Bonding Program'!$H$27),'Bonding Program'!$T$27,0)</f>
        <v>0</v>
      </c>
      <c r="AL122" s="19" t="n">
        <f aca="false">IF(AND('Bonding Program'!$S$27=1,AL$3='Bonding Program'!$H$27),'Bonding Program'!$T$27,0)</f>
        <v>0</v>
      </c>
      <c r="AM122" s="19" t="n">
        <f aca="false">IF(AND('Bonding Program'!$S$27=1,AM$3='Bonding Program'!$H$27),'Bonding Program'!$T$27,0)</f>
        <v>0</v>
      </c>
      <c r="AN122" s="19" t="n">
        <f aca="false">IF(AND('Bonding Program'!$S$27=1,AN$3='Bonding Program'!$H$27),'Bonding Program'!$T$27,0)</f>
        <v>0</v>
      </c>
      <c r="AO122" s="19" t="n">
        <f aca="false">IF(AND('Bonding Program'!$S$27=1,AO$3='Bonding Program'!$H$27),'Bonding Program'!$T$27,0)</f>
        <v>0</v>
      </c>
      <c r="AP122" s="19" t="n">
        <f aca="false">IF(AND('Bonding Program'!$S$27=1,AP$3='Bonding Program'!$H$27),'Bonding Program'!$T$27,0)</f>
        <v>0</v>
      </c>
      <c r="AQ122" s="19" t="n">
        <f aca="false">IF(AND('Bonding Program'!$S$27=1,AQ$3='Bonding Program'!$H$27),'Bonding Program'!$T$27,0)</f>
        <v>0</v>
      </c>
      <c r="AR122" s="19" t="n">
        <f aca="false">IF(AND('Bonding Program'!$S$27=1,AR$3='Bonding Program'!$H$27),'Bonding Program'!$T$27,0)</f>
        <v>0</v>
      </c>
      <c r="AS122" s="19" t="n">
        <f aca="false">IF(AND('Bonding Program'!$S$27=1,AS$3='Bonding Program'!$H$27),'Bonding Program'!$T$27,0)</f>
        <v>0</v>
      </c>
      <c r="AT122" s="19" t="n">
        <f aca="false">IF(AND('Bonding Program'!$S$27=1,AT$3='Bonding Program'!$H$27),'Bonding Program'!$T$27,0)</f>
        <v>0</v>
      </c>
      <c r="AU122" s="19" t="n">
        <f aca="false">IF(AND('Bonding Program'!$S$27=1,AU$3='Bonding Program'!$H$27),'Bonding Program'!$T$27,0)</f>
        <v>0</v>
      </c>
      <c r="AV122" s="19" t="n">
        <f aca="false">IF(AND('Bonding Program'!$S$27=1,AV$3='Bonding Program'!$H$27),'Bonding Program'!$T$27,0)</f>
        <v>0</v>
      </c>
      <c r="AW122" s="19" t="n">
        <f aca="false">IF(AND('Bonding Program'!$S$27=1,AW$3='Bonding Program'!$H$27),'Bonding Program'!$T$27,0)</f>
        <v>0</v>
      </c>
      <c r="AX122" s="19" t="n">
        <f aca="false">IF(AND('Bonding Program'!$S$27=1,AX$3='Bonding Program'!$H$27),'Bonding Program'!$T$27,0)</f>
        <v>0</v>
      </c>
      <c r="AY122" s="19" t="n">
        <f aca="false">IF(AND('Bonding Program'!$S$27=1,AY$3='Bonding Program'!$H$27),'Bonding Program'!$T$27,0)</f>
        <v>0</v>
      </c>
      <c r="AZ122" s="19" t="n">
        <f aca="false">IF(AND('Bonding Program'!$S$27=1,AZ$3='Bonding Program'!$H$27),'Bonding Program'!$T$27,0)</f>
        <v>0</v>
      </c>
      <c r="BA122" s="19" t="n">
        <f aca="false">IF(AND('Bonding Program'!$S$27=1,BA$3='Bonding Program'!$H$27),'Bonding Program'!$T$27,0)</f>
        <v>0</v>
      </c>
      <c r="BB122" s="19" t="n">
        <f aca="false">IF(AND('Bonding Program'!$S$27=1,BB$3='Bonding Program'!$H$27),'Bonding Program'!$T$27,0)</f>
        <v>0</v>
      </c>
      <c r="BC122" s="19" t="n">
        <f aca="false">IF(AND('Bonding Program'!$S$27=1,BC$3='Bonding Program'!$H$27),'Bonding Program'!$T$27,0)</f>
        <v>0</v>
      </c>
      <c r="BD122" s="19" t="n">
        <f aca="false">IF(AND('Bonding Program'!$S$27=1,BD$3='Bonding Program'!$H$27),'Bonding Program'!$T$27,0)</f>
        <v>0</v>
      </c>
      <c r="BE122" s="19" t="n">
        <f aca="false">IF(AND('Bonding Program'!$S$27=1,BE$3='Bonding Program'!$H$27),'Bonding Program'!$T$27,0)</f>
        <v>0</v>
      </c>
      <c r="BF122" s="19" t="n">
        <f aca="false">IF(AND('Bonding Program'!$S$27=1,BF$3='Bonding Program'!$H$27),'Bonding Program'!$T$27,0)</f>
        <v>0</v>
      </c>
      <c r="BG122" s="19" t="n">
        <f aca="false">IF(AND('Bonding Program'!$S$27=1,BG$3='Bonding Program'!$H$27),'Bonding Program'!$T$27,0)</f>
        <v>0</v>
      </c>
      <c r="BH122" s="19" t="n">
        <f aca="false">IF(AND('Bonding Program'!$S$27=1,BH$3='Bonding Program'!$H$27),'Bonding Program'!$T$27,0)</f>
        <v>0</v>
      </c>
      <c r="BI122" s="19" t="n">
        <f aca="false">IF(AND('Bonding Program'!$S$27=1,BI$3='Bonding Program'!$H$27),'Bonding Program'!$T$27,0)</f>
        <v>0</v>
      </c>
      <c r="BJ122" s="19" t="n">
        <f aca="false">IF(AND('Bonding Program'!$S$27=1,BJ$3='Bonding Program'!$H$27),'Bonding Program'!$T$27,0)</f>
        <v>0</v>
      </c>
      <c r="BK122" s="19" t="n">
        <f aca="false">IF(AND('Bonding Program'!$S$27=1,BK$3='Bonding Program'!$H$27),'Bonding Program'!$T$27,0)</f>
        <v>0</v>
      </c>
      <c r="BL122" s="19" t="n">
        <f aca="false">IF(AND('Bonding Program'!$S$27=1,BL$3='Bonding Program'!$H$27),'Bonding Program'!$T$27,0)</f>
        <v>0</v>
      </c>
      <c r="BM122" s="19" t="n">
        <f aca="false">IF(AND('Bonding Program'!$S$27=1,BM$3='Bonding Program'!$H$27),'Bonding Program'!$T$27,0)</f>
        <v>0</v>
      </c>
      <c r="BN122" s="19" t="n">
        <f aca="false">IF(AND('Bonding Program'!$S$27=1,BN$3='Bonding Program'!$H$27),'Bonding Program'!$T$27,0)</f>
        <v>0</v>
      </c>
      <c r="BO122" s="19" t="n">
        <f aca="false">IF(AND('Bonding Program'!$S$27=1,BO$3='Bonding Program'!$H$27),'Bonding Program'!$T$27,0)</f>
        <v>0</v>
      </c>
      <c r="BP122" s="19" t="n">
        <f aca="false">IF(AND('Bonding Program'!$S$27=1,BP$3='Bonding Program'!$H$27),'Bonding Program'!$T$27,0)</f>
        <v>0</v>
      </c>
      <c r="BQ122" s="19" t="n">
        <f aca="false">IF(AND('Bonding Program'!$S$27=1,BQ$3='Bonding Program'!$H$27),'Bonding Program'!$T$27,0)</f>
        <v>0</v>
      </c>
      <c r="BR122" s="19" t="n">
        <f aca="false">IF(AND('Bonding Program'!$S$27=1,BR$3='Bonding Program'!$H$27),'Bonding Program'!$T$27,0)</f>
        <v>0</v>
      </c>
      <c r="BS122" s="19" t="n">
        <f aca="false">IF(AND('Bonding Program'!$S$27=1,BS$3='Bonding Program'!$H$27),'Bonding Program'!$T$27,0)</f>
        <v>0</v>
      </c>
      <c r="BT122" s="19" t="n">
        <f aca="false">IF(AND('Bonding Program'!$S$27=1,BT$3='Bonding Program'!$H$27),'Bonding Program'!$T$27,0)</f>
        <v>0</v>
      </c>
      <c r="BU122" s="19" t="n">
        <f aca="false">IF(AND('Bonding Program'!$S$27=1,BU$3='Bonding Program'!$H$27),'Bonding Program'!$T$27,0)</f>
        <v>0</v>
      </c>
      <c r="BV122" s="19" t="n">
        <f aca="false">IF(AND('Bonding Program'!$S$27=1,BV$3='Bonding Program'!$H$27),'Bonding Program'!$T$27,0)</f>
        <v>0</v>
      </c>
      <c r="BW122" s="19" t="n">
        <f aca="false">IF(AND('Bonding Program'!$S$27=1,BW$3='Bonding Program'!$H$27),'Bonding Program'!$T$27,0)</f>
        <v>0</v>
      </c>
      <c r="BX122" s="19" t="n">
        <f aca="false">IF(AND('Bonding Program'!$S$27=1,BX$3='Bonding Program'!$H$27),'Bonding Program'!$T$27,0)</f>
        <v>0</v>
      </c>
      <c r="BY122" s="19" t="n">
        <f aca="false">IF(AND('Bonding Program'!$S$27=1,BY$3='Bonding Program'!$H$27),'Bonding Program'!$T$27,0)</f>
        <v>0</v>
      </c>
      <c r="BZ122" s="19" t="n">
        <f aca="false">IF(AND('Bonding Program'!$S$27=1,BZ$3='Bonding Program'!$H$27),'Bonding Program'!$T$27,0)</f>
        <v>0</v>
      </c>
      <c r="CA122" s="19" t="n">
        <f aca="false">IF(AND('Bonding Program'!$S$27=1,CA$3='Bonding Program'!$H$27),'Bonding Program'!$T$27,0)</f>
        <v>0</v>
      </c>
      <c r="CB122" s="19" t="n">
        <f aca="false">IF(AND('Bonding Program'!$S$27=1,CB$3='Bonding Program'!$H$27),'Bonding Program'!$T$27,0)</f>
        <v>0</v>
      </c>
      <c r="CC122" s="19" t="n">
        <f aca="false">IF(AND('Bonding Program'!$S$27=1,CC$3='Bonding Program'!$H$27),'Bonding Program'!$T$27,0)</f>
        <v>0</v>
      </c>
      <c r="CD122" s="19" t="n">
        <f aca="false">IF(AND('Bonding Program'!$S$27=1,CD$3='Bonding Program'!$H$27),'Bonding Program'!$T$27,0)</f>
        <v>0</v>
      </c>
      <c r="CE122" s="19" t="n">
        <f aca="false">IF(AND('Bonding Program'!$S$27=1,CE$3='Bonding Program'!$H$27),'Bonding Program'!$T$27,0)</f>
        <v>0</v>
      </c>
      <c r="CF122" s="19" t="n">
        <f aca="false">IF(AND('Bonding Program'!$S$27=1,CF$3='Bonding Program'!$H$27),'Bonding Program'!$T$27,0)</f>
        <v>0</v>
      </c>
      <c r="CG122" s="19" t="n">
        <f aca="false">IF(AND('Bonding Program'!$S$27=1,CG$3='Bonding Program'!$H$27),'Bonding Program'!$T$27,0)</f>
        <v>0</v>
      </c>
      <c r="CH122" s="19" t="n">
        <f aca="false">IF(AND('Bonding Program'!$S$27=1,CH$3='Bonding Program'!$H$27),'Bonding Program'!$T$27,0)</f>
        <v>0</v>
      </c>
      <c r="CI122" s="19" t="n">
        <f aca="false">IF(AND('Bonding Program'!$S$27=1,CI$3='Bonding Program'!$H$27),'Bonding Program'!$T$27,0)</f>
        <v>0</v>
      </c>
      <c r="CJ122" s="19" t="n">
        <f aca="false">IF(AND('Bonding Program'!$S$27=1,CJ$3='Bonding Program'!$H$27),'Bonding Program'!$T$27,0)</f>
        <v>0</v>
      </c>
      <c r="CK122" s="19" t="n">
        <f aca="false">IF(AND('Bonding Program'!$S$27=1,CK$3='Bonding Program'!$H$27),'Bonding Program'!$T$27,0)</f>
        <v>0</v>
      </c>
      <c r="CL122" s="19" t="n">
        <f aca="false">IF(AND('Bonding Program'!$S$27=1,CL$3='Bonding Program'!$H$27),'Bonding Program'!$T$27,0)</f>
        <v>0</v>
      </c>
      <c r="CM122" s="19" t="n">
        <f aca="false">IF(AND('Bonding Program'!$S$27=1,CM$3='Bonding Program'!$H$27),'Bonding Program'!$T$27,0)</f>
        <v>0</v>
      </c>
      <c r="CN122" s="19" t="n">
        <f aca="false">IF(AND('Bonding Program'!$S$27=1,CN$3='Bonding Program'!$H$27),'Bonding Program'!$T$27,0)</f>
        <v>0</v>
      </c>
      <c r="CO122" s="19" t="n">
        <f aca="false">IF(AND('Bonding Program'!$S$27=1,CO$3='Bonding Program'!$H$27),'Bonding Program'!$T$27,0)</f>
        <v>0</v>
      </c>
      <c r="CP122" s="19" t="n">
        <f aca="false">IF(AND('Bonding Program'!$S$27=1,CP$3='Bonding Program'!$H$27),'Bonding Program'!$T$27,0)</f>
        <v>0</v>
      </c>
      <c r="CQ122" s="19" t="n">
        <f aca="false">IF(AND('Bonding Program'!$S$27=1,CQ$3='Bonding Program'!$H$27),'Bonding Program'!$T$27,0)</f>
        <v>0</v>
      </c>
      <c r="CR122" s="19" t="n">
        <f aca="false">IF(AND('Bonding Program'!$S$27=1,CR$3='Bonding Program'!$H$27),'Bonding Program'!$T$27,0)</f>
        <v>0</v>
      </c>
      <c r="CS122" s="19" t="n">
        <f aca="false">IF(AND('Bonding Program'!$S$27=1,CS$3='Bonding Program'!$H$27),'Bonding Program'!$T$27,0)</f>
        <v>0</v>
      </c>
      <c r="CT122" s="19" t="n">
        <f aca="false">IF(AND('Bonding Program'!$S$27=1,CT$3='Bonding Program'!$H$27),'Bonding Program'!$T$27,0)</f>
        <v>0</v>
      </c>
      <c r="CU122" s="19" t="n">
        <f aca="false">IF(AND('Bonding Program'!$S$27=1,CU$3='Bonding Program'!$H$27),'Bonding Program'!$T$27,0)</f>
        <v>0</v>
      </c>
      <c r="CV122" s="19" t="n">
        <f aca="false">IF(AND('Bonding Program'!$S$27=1,CV$3='Bonding Program'!$H$27),'Bonding Program'!$T$27,0)</f>
        <v>0</v>
      </c>
      <c r="CW122" s="19" t="n">
        <f aca="false">IF(AND('Bonding Program'!$S$27=1,CW$3='Bonding Program'!$H$27),'Bonding Program'!$T$27,0)</f>
        <v>0</v>
      </c>
      <c r="CX122" s="19" t="n">
        <f aca="false">IF(AND('Bonding Program'!$S$27=1,CX$3='Bonding Program'!$H$27),'Bonding Program'!$T$27,0)</f>
        <v>0</v>
      </c>
      <c r="CY122" s="19" t="n">
        <f aca="false">IF(AND('Bonding Program'!$S$27=1,CY$3='Bonding Program'!$H$27),'Bonding Program'!$T$27,0)</f>
        <v>0</v>
      </c>
      <c r="CZ122" s="19" t="n">
        <f aca="false">IF(AND('Bonding Program'!$S$27=1,CZ$3='Bonding Program'!$H$27),'Bonding Program'!$T$27,0)</f>
        <v>0</v>
      </c>
      <c r="DA122" s="19" t="n">
        <f aca="false">IF(AND('Bonding Program'!$S$27=1,DA$3='Bonding Program'!$H$27),'Bonding Program'!$T$27,0)</f>
        <v>0</v>
      </c>
      <c r="DB122" s="19" t="n">
        <f aca="false">IF(AND('Bonding Program'!$S$27=1,DB$3='Bonding Program'!$H$27),'Bonding Program'!$T$27,0)</f>
        <v>0</v>
      </c>
      <c r="DC122" s="19" t="n">
        <f aca="false">IF(AND('Bonding Program'!$S$27=1,DC$3='Bonding Program'!$H$27),'Bonding Program'!$T$27,0)</f>
        <v>0</v>
      </c>
      <c r="DD122" s="19" t="n">
        <f aca="false">IF(AND('Bonding Program'!$S$27=1,DD$3='Bonding Program'!$H$27),'Bonding Program'!$T$27,0)</f>
        <v>0</v>
      </c>
      <c r="DE122" s="19" t="n">
        <f aca="false">IF(AND('Bonding Program'!$S$27=1,DE$3='Bonding Program'!$H$27),'Bonding Program'!$T$27,0)</f>
        <v>0</v>
      </c>
    </row>
    <row r="123" customFormat="false" ht="15" hidden="false" customHeight="true" outlineLevel="1" collapsed="false">
      <c r="A123" s="28" t="s">
        <v>24</v>
      </c>
      <c r="B123" s="19" t="n">
        <f aca="false">IF(AND('Bonding Program'!$S$28=1,B$3='Bonding Program'!$H$28),'Bonding Program'!$T$28,0)</f>
        <v>0</v>
      </c>
      <c r="C123" s="19" t="n">
        <f aca="false">IF(AND('Bonding Program'!$S$28=1,C$3='Bonding Program'!$H$28),'Bonding Program'!$T$28,0)</f>
        <v>0</v>
      </c>
      <c r="D123" s="19" t="n">
        <f aca="false">IF(AND('Bonding Program'!$S$28=1,D$3='Bonding Program'!$H$28),'Bonding Program'!$T$28,0)</f>
        <v>0</v>
      </c>
      <c r="E123" s="19" t="n">
        <f aca="false">IF(AND('Bonding Program'!$S$28=1,E$3='Bonding Program'!$H$28),'Bonding Program'!$T$28,0)</f>
        <v>0</v>
      </c>
      <c r="F123" s="19" t="n">
        <f aca="false">IF(AND('Bonding Program'!$S$28=1,F$3='Bonding Program'!$H$28),'Bonding Program'!$T$28,0)</f>
        <v>0</v>
      </c>
      <c r="G123" s="19" t="n">
        <f aca="false">IF(AND('Bonding Program'!$S$28=1,G$3='Bonding Program'!$H$28),'Bonding Program'!$T$28,0)</f>
        <v>0</v>
      </c>
      <c r="H123" s="19" t="n">
        <f aca="false">IF(AND('Bonding Program'!$S$28=1,H$3='Bonding Program'!$H$28),'Bonding Program'!$T$28,0)</f>
        <v>0</v>
      </c>
      <c r="I123" s="19" t="n">
        <f aca="false">IF(AND('Bonding Program'!$S$28=1,I$3='Bonding Program'!$H$28),'Bonding Program'!$T$28,0)</f>
        <v>0</v>
      </c>
      <c r="J123" s="19" t="n">
        <f aca="false">IF(AND('Bonding Program'!$S$28=1,J$3='Bonding Program'!$H$28),'Bonding Program'!$T$28,0)</f>
        <v>0</v>
      </c>
      <c r="K123" s="19" t="n">
        <f aca="false">IF(AND('Bonding Program'!$S$28=1,K$3='Bonding Program'!$H$28),'Bonding Program'!$T$28,0)</f>
        <v>0</v>
      </c>
      <c r="L123" s="19" t="n">
        <f aca="false">IF(AND('Bonding Program'!$S$28=1,L$3='Bonding Program'!$H$28),'Bonding Program'!$T$28,0)</f>
        <v>0</v>
      </c>
      <c r="M123" s="19" t="n">
        <f aca="false">IF(AND('Bonding Program'!$S$28=1,M$3='Bonding Program'!$H$28),'Bonding Program'!$T$28,0)</f>
        <v>0</v>
      </c>
      <c r="N123" s="19" t="n">
        <f aca="false">IF(AND('Bonding Program'!$S$28=1,N$3='Bonding Program'!$H$28),'Bonding Program'!$T$28,0)</f>
        <v>0</v>
      </c>
      <c r="O123" s="19" t="n">
        <f aca="false">IF(AND('Bonding Program'!$S$28=1,O$3='Bonding Program'!$H$28),'Bonding Program'!$T$28,0)</f>
        <v>0</v>
      </c>
      <c r="P123" s="19" t="n">
        <f aca="false">IF(AND('Bonding Program'!$S$28=1,P$3='Bonding Program'!$H$28),'Bonding Program'!$T$28,0)</f>
        <v>0</v>
      </c>
      <c r="Q123" s="19" t="n">
        <f aca="false">IF(AND('Bonding Program'!$S$28=1,Q$3='Bonding Program'!$H$28),'Bonding Program'!$T$28,0)</f>
        <v>0</v>
      </c>
      <c r="R123" s="19" t="n">
        <f aca="false">IF(AND('Bonding Program'!$S$28=1,R$3='Bonding Program'!$H$28),'Bonding Program'!$T$28,0)</f>
        <v>0</v>
      </c>
      <c r="S123" s="19" t="n">
        <f aca="false">IF(AND('Bonding Program'!$S$28=1,S$3='Bonding Program'!$H$28),'Bonding Program'!$T$28,0)</f>
        <v>0</v>
      </c>
      <c r="T123" s="19" t="n">
        <f aca="false">IF(AND('Bonding Program'!$S$28=1,T$3='Bonding Program'!$H$28),'Bonding Program'!$T$28,0)</f>
        <v>0</v>
      </c>
      <c r="U123" s="19" t="n">
        <f aca="false">IF(AND('Bonding Program'!$S$28=1,U$3='Bonding Program'!$H$28),'Bonding Program'!$T$28,0)</f>
        <v>0</v>
      </c>
      <c r="V123" s="19" t="n">
        <f aca="false">IF(AND('Bonding Program'!$S$28=1,V$3='Bonding Program'!$H$28),'Bonding Program'!$T$28,0)</f>
        <v>0</v>
      </c>
      <c r="W123" s="19" t="n">
        <f aca="false">IF(AND('Bonding Program'!$S$28=1,W$3='Bonding Program'!$H$28),'Bonding Program'!$T$28,0)</f>
        <v>0</v>
      </c>
      <c r="X123" s="19" t="n">
        <f aca="false">IF(AND('Bonding Program'!$S$28=1,X$3='Bonding Program'!$H$28),'Bonding Program'!$T$28,0)</f>
        <v>0</v>
      </c>
      <c r="Y123" s="19" t="n">
        <f aca="false">IF(AND('Bonding Program'!$S$28=1,Y$3='Bonding Program'!$H$28),'Bonding Program'!$T$28,0)</f>
        <v>0</v>
      </c>
      <c r="Z123" s="19" t="n">
        <f aca="false">IF(AND('Bonding Program'!$S$28=1,Z$3='Bonding Program'!$H$28),'Bonding Program'!$T$28,0)</f>
        <v>0</v>
      </c>
      <c r="AA123" s="19" t="n">
        <f aca="false">IF(AND('Bonding Program'!$S$28=1,AA$3='Bonding Program'!$H$28),'Bonding Program'!$T$28,0)</f>
        <v>0</v>
      </c>
      <c r="AB123" s="19" t="n">
        <f aca="false">IF(AND('Bonding Program'!$S$28=1,AB$3='Bonding Program'!$H$28),'Bonding Program'!$T$28,0)</f>
        <v>0</v>
      </c>
      <c r="AC123" s="19" t="n">
        <f aca="false">IF(AND('Bonding Program'!$S$28=1,AC$3='Bonding Program'!$H$28),'Bonding Program'!$T$28,0)</f>
        <v>0</v>
      </c>
      <c r="AD123" s="19" t="n">
        <f aca="false">IF(AND('Bonding Program'!$S$28=1,AD$3='Bonding Program'!$H$28),'Bonding Program'!$T$28,0)</f>
        <v>0</v>
      </c>
      <c r="AE123" s="19" t="n">
        <f aca="false">IF(AND('Bonding Program'!$S$28=1,AE$3='Bonding Program'!$H$28),'Bonding Program'!$T$28,0)</f>
        <v>0</v>
      </c>
      <c r="AF123" s="19" t="n">
        <f aca="false">IF(AND('Bonding Program'!$S$28=1,AF$3='Bonding Program'!$H$28),'Bonding Program'!$T$28,0)</f>
        <v>0</v>
      </c>
      <c r="AG123" s="19" t="n">
        <f aca="false">IF(AND('Bonding Program'!$S$28=1,AG$3='Bonding Program'!$H$28),'Bonding Program'!$T$28,0)</f>
        <v>0</v>
      </c>
      <c r="AH123" s="19" t="n">
        <f aca="false">IF(AND('Bonding Program'!$S$28=1,AH$3='Bonding Program'!$H$28),'Bonding Program'!$T$28,0)</f>
        <v>0</v>
      </c>
      <c r="AI123" s="19" t="n">
        <f aca="false">IF(AND('Bonding Program'!$S$28=1,AI$3='Bonding Program'!$H$28),'Bonding Program'!$T$28,0)</f>
        <v>0</v>
      </c>
      <c r="AJ123" s="19" t="n">
        <f aca="false">IF(AND('Bonding Program'!$S$28=1,AJ$3='Bonding Program'!$H$28),'Bonding Program'!$T$28,0)</f>
        <v>0</v>
      </c>
      <c r="AK123" s="19" t="n">
        <f aca="false">IF(AND('Bonding Program'!$S$28=1,AK$3='Bonding Program'!$H$28),'Bonding Program'!$T$28,0)</f>
        <v>0</v>
      </c>
      <c r="AL123" s="19" t="n">
        <f aca="false">IF(AND('Bonding Program'!$S$28=1,AL$3='Bonding Program'!$H$28),'Bonding Program'!$T$28,0)</f>
        <v>0</v>
      </c>
      <c r="AM123" s="19" t="n">
        <f aca="false">IF(AND('Bonding Program'!$S$28=1,AM$3='Bonding Program'!$H$28),'Bonding Program'!$T$28,0)</f>
        <v>0</v>
      </c>
      <c r="AN123" s="19" t="n">
        <f aca="false">IF(AND('Bonding Program'!$S$28=1,AN$3='Bonding Program'!$H$28),'Bonding Program'!$T$28,0)</f>
        <v>0</v>
      </c>
      <c r="AO123" s="19" t="n">
        <f aca="false">IF(AND('Bonding Program'!$S$28=1,AO$3='Bonding Program'!$H$28),'Bonding Program'!$T$28,0)</f>
        <v>0</v>
      </c>
      <c r="AP123" s="19" t="n">
        <f aca="false">IF(AND('Bonding Program'!$S$28=1,AP$3='Bonding Program'!$H$28),'Bonding Program'!$T$28,0)</f>
        <v>0</v>
      </c>
      <c r="AQ123" s="19" t="n">
        <f aca="false">IF(AND('Bonding Program'!$S$28=1,AQ$3='Bonding Program'!$H$28),'Bonding Program'!$T$28,0)</f>
        <v>0</v>
      </c>
      <c r="AR123" s="19" t="n">
        <f aca="false">IF(AND('Bonding Program'!$S$28=1,AR$3='Bonding Program'!$H$28),'Bonding Program'!$T$28,0)</f>
        <v>0</v>
      </c>
      <c r="AS123" s="19" t="n">
        <f aca="false">IF(AND('Bonding Program'!$S$28=1,AS$3='Bonding Program'!$H$28),'Bonding Program'!$T$28,0)</f>
        <v>0</v>
      </c>
      <c r="AT123" s="19" t="n">
        <f aca="false">IF(AND('Bonding Program'!$S$28=1,AT$3='Bonding Program'!$H$28),'Bonding Program'!$T$28,0)</f>
        <v>0</v>
      </c>
      <c r="AU123" s="19" t="n">
        <f aca="false">IF(AND('Bonding Program'!$S$28=1,AU$3='Bonding Program'!$H$28),'Bonding Program'!$T$28,0)</f>
        <v>0</v>
      </c>
      <c r="AV123" s="19" t="n">
        <f aca="false">IF(AND('Bonding Program'!$S$28=1,AV$3='Bonding Program'!$H$28),'Bonding Program'!$T$28,0)</f>
        <v>0</v>
      </c>
      <c r="AW123" s="19" t="n">
        <f aca="false">IF(AND('Bonding Program'!$S$28=1,AW$3='Bonding Program'!$H$28),'Bonding Program'!$T$28,0)</f>
        <v>0</v>
      </c>
      <c r="AX123" s="19" t="n">
        <f aca="false">IF(AND('Bonding Program'!$S$28=1,AX$3='Bonding Program'!$H$28),'Bonding Program'!$T$28,0)</f>
        <v>0</v>
      </c>
      <c r="AY123" s="19" t="n">
        <f aca="false">IF(AND('Bonding Program'!$S$28=1,AY$3='Bonding Program'!$H$28),'Bonding Program'!$T$28,0)</f>
        <v>0</v>
      </c>
      <c r="AZ123" s="19" t="n">
        <f aca="false">IF(AND('Bonding Program'!$S$28=1,AZ$3='Bonding Program'!$H$28),'Bonding Program'!$T$28,0)</f>
        <v>0</v>
      </c>
      <c r="BA123" s="19" t="n">
        <f aca="false">IF(AND('Bonding Program'!$S$28=1,BA$3='Bonding Program'!$H$28),'Bonding Program'!$T$28,0)</f>
        <v>0</v>
      </c>
      <c r="BB123" s="19" t="n">
        <f aca="false">IF(AND('Bonding Program'!$S$28=1,BB$3='Bonding Program'!$H$28),'Bonding Program'!$T$28,0)</f>
        <v>0</v>
      </c>
      <c r="BC123" s="19" t="n">
        <f aca="false">IF(AND('Bonding Program'!$S$28=1,BC$3='Bonding Program'!$H$28),'Bonding Program'!$T$28,0)</f>
        <v>0</v>
      </c>
      <c r="BD123" s="19" t="n">
        <f aca="false">IF(AND('Bonding Program'!$S$28=1,BD$3='Bonding Program'!$H$28),'Bonding Program'!$T$28,0)</f>
        <v>0</v>
      </c>
      <c r="BE123" s="19" t="n">
        <f aca="false">IF(AND('Bonding Program'!$S$28=1,BE$3='Bonding Program'!$H$28),'Bonding Program'!$T$28,0)</f>
        <v>0</v>
      </c>
      <c r="BF123" s="19" t="n">
        <f aca="false">IF(AND('Bonding Program'!$S$28=1,BF$3='Bonding Program'!$H$28),'Bonding Program'!$T$28,0)</f>
        <v>0</v>
      </c>
      <c r="BG123" s="19" t="n">
        <f aca="false">IF(AND('Bonding Program'!$S$28=1,BG$3='Bonding Program'!$H$28),'Bonding Program'!$T$28,0)</f>
        <v>0</v>
      </c>
      <c r="BH123" s="19" t="n">
        <f aca="false">IF(AND('Bonding Program'!$S$28=1,BH$3='Bonding Program'!$H$28),'Bonding Program'!$T$28,0)</f>
        <v>0</v>
      </c>
      <c r="BI123" s="19" t="n">
        <f aca="false">IF(AND('Bonding Program'!$S$28=1,BI$3='Bonding Program'!$H$28),'Bonding Program'!$T$28,0)</f>
        <v>0</v>
      </c>
      <c r="BJ123" s="19" t="n">
        <f aca="false">IF(AND('Bonding Program'!$S$28=1,BJ$3='Bonding Program'!$H$28),'Bonding Program'!$T$28,0)</f>
        <v>0</v>
      </c>
      <c r="BK123" s="19" t="n">
        <f aca="false">IF(AND('Bonding Program'!$S$28=1,BK$3='Bonding Program'!$H$28),'Bonding Program'!$T$28,0)</f>
        <v>0</v>
      </c>
      <c r="BL123" s="19" t="n">
        <f aca="false">IF(AND('Bonding Program'!$S$28=1,BL$3='Bonding Program'!$H$28),'Bonding Program'!$T$28,0)</f>
        <v>0</v>
      </c>
      <c r="BM123" s="19" t="n">
        <f aca="false">IF(AND('Bonding Program'!$S$28=1,BM$3='Bonding Program'!$H$28),'Bonding Program'!$T$28,0)</f>
        <v>0</v>
      </c>
      <c r="BN123" s="19" t="n">
        <f aca="false">IF(AND('Bonding Program'!$S$28=1,BN$3='Bonding Program'!$H$28),'Bonding Program'!$T$28,0)</f>
        <v>0</v>
      </c>
      <c r="BO123" s="19" t="n">
        <f aca="false">IF(AND('Bonding Program'!$S$28=1,BO$3='Bonding Program'!$H$28),'Bonding Program'!$T$28,0)</f>
        <v>0</v>
      </c>
      <c r="BP123" s="19" t="n">
        <f aca="false">IF(AND('Bonding Program'!$S$28=1,BP$3='Bonding Program'!$H$28),'Bonding Program'!$T$28,0)</f>
        <v>0</v>
      </c>
      <c r="BQ123" s="19" t="n">
        <f aca="false">IF(AND('Bonding Program'!$S$28=1,BQ$3='Bonding Program'!$H$28),'Bonding Program'!$T$28,0)</f>
        <v>0</v>
      </c>
      <c r="BR123" s="19" t="n">
        <f aca="false">IF(AND('Bonding Program'!$S$28=1,BR$3='Bonding Program'!$H$28),'Bonding Program'!$T$28,0)</f>
        <v>0</v>
      </c>
      <c r="BS123" s="19" t="n">
        <f aca="false">IF(AND('Bonding Program'!$S$28=1,BS$3='Bonding Program'!$H$28),'Bonding Program'!$T$28,0)</f>
        <v>0</v>
      </c>
      <c r="BT123" s="19" t="n">
        <f aca="false">IF(AND('Bonding Program'!$S$28=1,BT$3='Bonding Program'!$H$28),'Bonding Program'!$T$28,0)</f>
        <v>0</v>
      </c>
      <c r="BU123" s="19" t="n">
        <f aca="false">IF(AND('Bonding Program'!$S$28=1,BU$3='Bonding Program'!$H$28),'Bonding Program'!$T$28,0)</f>
        <v>0</v>
      </c>
      <c r="BV123" s="19" t="n">
        <f aca="false">IF(AND('Bonding Program'!$S$28=1,BV$3='Bonding Program'!$H$28),'Bonding Program'!$T$28,0)</f>
        <v>0</v>
      </c>
      <c r="BW123" s="19" t="n">
        <f aca="false">IF(AND('Bonding Program'!$S$28=1,BW$3='Bonding Program'!$H$28),'Bonding Program'!$T$28,0)</f>
        <v>0</v>
      </c>
      <c r="BX123" s="19" t="n">
        <f aca="false">IF(AND('Bonding Program'!$S$28=1,BX$3='Bonding Program'!$H$28),'Bonding Program'!$T$28,0)</f>
        <v>0</v>
      </c>
      <c r="BY123" s="19" t="n">
        <f aca="false">IF(AND('Bonding Program'!$S$28=1,BY$3='Bonding Program'!$H$28),'Bonding Program'!$T$28,0)</f>
        <v>0</v>
      </c>
      <c r="BZ123" s="19" t="n">
        <f aca="false">IF(AND('Bonding Program'!$S$28=1,BZ$3='Bonding Program'!$H$28),'Bonding Program'!$T$28,0)</f>
        <v>0</v>
      </c>
      <c r="CA123" s="19" t="n">
        <f aca="false">IF(AND('Bonding Program'!$S$28=1,CA$3='Bonding Program'!$H$28),'Bonding Program'!$T$28,0)</f>
        <v>0</v>
      </c>
      <c r="CB123" s="19" t="n">
        <f aca="false">IF(AND('Bonding Program'!$S$28=1,CB$3='Bonding Program'!$H$28),'Bonding Program'!$T$28,0)</f>
        <v>0</v>
      </c>
      <c r="CC123" s="19" t="n">
        <f aca="false">IF(AND('Bonding Program'!$S$28=1,CC$3='Bonding Program'!$H$28),'Bonding Program'!$T$28,0)</f>
        <v>0</v>
      </c>
      <c r="CD123" s="19" t="n">
        <f aca="false">IF(AND('Bonding Program'!$S$28=1,CD$3='Bonding Program'!$H$28),'Bonding Program'!$T$28,0)</f>
        <v>0</v>
      </c>
      <c r="CE123" s="19" t="n">
        <f aca="false">IF(AND('Bonding Program'!$S$28=1,CE$3='Bonding Program'!$H$28),'Bonding Program'!$T$28,0)</f>
        <v>0</v>
      </c>
      <c r="CF123" s="19" t="n">
        <f aca="false">IF(AND('Bonding Program'!$S$28=1,CF$3='Bonding Program'!$H$28),'Bonding Program'!$T$28,0)</f>
        <v>0</v>
      </c>
      <c r="CG123" s="19" t="n">
        <f aca="false">IF(AND('Bonding Program'!$S$28=1,CG$3='Bonding Program'!$H$28),'Bonding Program'!$T$28,0)</f>
        <v>0</v>
      </c>
      <c r="CH123" s="19" t="n">
        <f aca="false">IF(AND('Bonding Program'!$S$28=1,CH$3='Bonding Program'!$H$28),'Bonding Program'!$T$28,0)</f>
        <v>0</v>
      </c>
      <c r="CI123" s="19" t="n">
        <f aca="false">IF(AND('Bonding Program'!$S$28=1,CI$3='Bonding Program'!$H$28),'Bonding Program'!$T$28,0)</f>
        <v>0</v>
      </c>
      <c r="CJ123" s="19" t="n">
        <f aca="false">IF(AND('Bonding Program'!$S$28=1,CJ$3='Bonding Program'!$H$28),'Bonding Program'!$T$28,0)</f>
        <v>0</v>
      </c>
      <c r="CK123" s="19" t="n">
        <f aca="false">IF(AND('Bonding Program'!$S$28=1,CK$3='Bonding Program'!$H$28),'Bonding Program'!$T$28,0)</f>
        <v>0</v>
      </c>
      <c r="CL123" s="19" t="n">
        <f aca="false">IF(AND('Bonding Program'!$S$28=1,CL$3='Bonding Program'!$H$28),'Bonding Program'!$T$28,0)</f>
        <v>0</v>
      </c>
      <c r="CM123" s="19" t="n">
        <f aca="false">IF(AND('Bonding Program'!$S$28=1,CM$3='Bonding Program'!$H$28),'Bonding Program'!$T$28,0)</f>
        <v>0</v>
      </c>
      <c r="CN123" s="19" t="n">
        <f aca="false">IF(AND('Bonding Program'!$S$28=1,CN$3='Bonding Program'!$H$28),'Bonding Program'!$T$28,0)</f>
        <v>0</v>
      </c>
      <c r="CO123" s="19" t="n">
        <f aca="false">IF(AND('Bonding Program'!$S$28=1,CO$3='Bonding Program'!$H$28),'Bonding Program'!$T$28,0)</f>
        <v>0</v>
      </c>
      <c r="CP123" s="19" t="n">
        <f aca="false">IF(AND('Bonding Program'!$S$28=1,CP$3='Bonding Program'!$H$28),'Bonding Program'!$T$28,0)</f>
        <v>0</v>
      </c>
      <c r="CQ123" s="19" t="n">
        <f aca="false">IF(AND('Bonding Program'!$S$28=1,CQ$3='Bonding Program'!$H$28),'Bonding Program'!$T$28,0)</f>
        <v>0</v>
      </c>
      <c r="CR123" s="19" t="n">
        <f aca="false">IF(AND('Bonding Program'!$S$28=1,CR$3='Bonding Program'!$H$28),'Bonding Program'!$T$28,0)</f>
        <v>0</v>
      </c>
      <c r="CS123" s="19" t="n">
        <f aca="false">IF(AND('Bonding Program'!$S$28=1,CS$3='Bonding Program'!$H$28),'Bonding Program'!$T$28,0)</f>
        <v>0</v>
      </c>
      <c r="CT123" s="19" t="n">
        <f aca="false">IF(AND('Bonding Program'!$S$28=1,CT$3='Bonding Program'!$H$28),'Bonding Program'!$T$28,0)</f>
        <v>0</v>
      </c>
      <c r="CU123" s="19" t="n">
        <f aca="false">IF(AND('Bonding Program'!$S$28=1,CU$3='Bonding Program'!$H$28),'Bonding Program'!$T$28,0)</f>
        <v>0</v>
      </c>
      <c r="CV123" s="19" t="n">
        <f aca="false">IF(AND('Bonding Program'!$S$28=1,CV$3='Bonding Program'!$H$28),'Bonding Program'!$T$28,0)</f>
        <v>0</v>
      </c>
      <c r="CW123" s="19" t="n">
        <f aca="false">IF(AND('Bonding Program'!$S$28=1,CW$3='Bonding Program'!$H$28),'Bonding Program'!$T$28,0)</f>
        <v>0</v>
      </c>
      <c r="CX123" s="19" t="n">
        <f aca="false">IF(AND('Bonding Program'!$S$28=1,CX$3='Bonding Program'!$H$28),'Bonding Program'!$T$28,0)</f>
        <v>0</v>
      </c>
      <c r="CY123" s="19" t="n">
        <f aca="false">IF(AND('Bonding Program'!$S$28=1,CY$3='Bonding Program'!$H$28),'Bonding Program'!$T$28,0)</f>
        <v>0</v>
      </c>
      <c r="CZ123" s="19" t="n">
        <f aca="false">IF(AND('Bonding Program'!$S$28=1,CZ$3='Bonding Program'!$H$28),'Bonding Program'!$T$28,0)</f>
        <v>0</v>
      </c>
      <c r="DA123" s="19" t="n">
        <f aca="false">IF(AND('Bonding Program'!$S$28=1,DA$3='Bonding Program'!$H$28),'Bonding Program'!$T$28,0)</f>
        <v>0</v>
      </c>
      <c r="DB123" s="19" t="n">
        <f aca="false">IF(AND('Bonding Program'!$S$28=1,DB$3='Bonding Program'!$H$28),'Bonding Program'!$T$28,0)</f>
        <v>0</v>
      </c>
      <c r="DC123" s="19" t="n">
        <f aca="false">IF(AND('Bonding Program'!$S$28=1,DC$3='Bonding Program'!$H$28),'Bonding Program'!$T$28,0)</f>
        <v>0</v>
      </c>
      <c r="DD123" s="19" t="n">
        <f aca="false">IF(AND('Bonding Program'!$S$28=1,DD$3='Bonding Program'!$H$28),'Bonding Program'!$T$28,0)</f>
        <v>0</v>
      </c>
      <c r="DE123" s="19" t="n">
        <f aca="false">IF(AND('Bonding Program'!$S$28=1,DE$3='Bonding Program'!$H$28),'Bonding Program'!$T$28,0)</f>
        <v>0</v>
      </c>
    </row>
    <row r="124" customFormat="false" ht="15" hidden="false" customHeight="true" outlineLevel="1" collapsed="false">
      <c r="A124" s="28" t="s">
        <v>25</v>
      </c>
      <c r="B124" s="19" t="n">
        <f aca="false">IF(AND('Bonding Program'!$S$29=1,B$3='Bonding Program'!$H$29),'Bonding Program'!$T$29,0)</f>
        <v>0</v>
      </c>
      <c r="C124" s="19" t="n">
        <f aca="false">IF(AND('Bonding Program'!$S$29=1,C$3='Bonding Program'!$H$29),'Bonding Program'!$T$29,0)</f>
        <v>0</v>
      </c>
      <c r="D124" s="19" t="n">
        <f aca="false">IF(AND('Bonding Program'!$S$29=1,D$3='Bonding Program'!$H$29),'Bonding Program'!$T$29,0)</f>
        <v>0</v>
      </c>
      <c r="E124" s="19" t="n">
        <f aca="false">IF(AND('Bonding Program'!$S$29=1,E$3='Bonding Program'!$H$29),'Bonding Program'!$T$29,0)</f>
        <v>0</v>
      </c>
      <c r="F124" s="19" t="n">
        <f aca="false">IF(AND('Bonding Program'!$S$29=1,F$3='Bonding Program'!$H$29),'Bonding Program'!$T$29,0)</f>
        <v>0</v>
      </c>
      <c r="G124" s="19" t="n">
        <f aca="false">IF(AND('Bonding Program'!$S$29=1,G$3='Bonding Program'!$H$29),'Bonding Program'!$T$29,0)</f>
        <v>0</v>
      </c>
      <c r="H124" s="19" t="n">
        <f aca="false">IF(AND('Bonding Program'!$S$29=1,H$3='Bonding Program'!$H$29),'Bonding Program'!$T$29,0)</f>
        <v>0</v>
      </c>
      <c r="I124" s="19" t="n">
        <f aca="false">IF(AND('Bonding Program'!$S$29=1,I$3='Bonding Program'!$H$29),'Bonding Program'!$T$29,0)</f>
        <v>0</v>
      </c>
      <c r="J124" s="19" t="n">
        <f aca="false">IF(AND('Bonding Program'!$S$29=1,J$3='Bonding Program'!$H$29),'Bonding Program'!$T$29,0)</f>
        <v>0</v>
      </c>
      <c r="K124" s="19" t="n">
        <f aca="false">IF(AND('Bonding Program'!$S$29=1,K$3='Bonding Program'!$H$29),'Bonding Program'!$T$29,0)</f>
        <v>0</v>
      </c>
      <c r="L124" s="19" t="n">
        <f aca="false">IF(AND('Bonding Program'!$S$29=1,L$3='Bonding Program'!$H$29),'Bonding Program'!$T$29,0)</f>
        <v>0</v>
      </c>
      <c r="M124" s="19" t="n">
        <f aca="false">IF(AND('Bonding Program'!$S$29=1,M$3='Bonding Program'!$H$29),'Bonding Program'!$T$29,0)</f>
        <v>0</v>
      </c>
      <c r="N124" s="19" t="n">
        <f aca="false">IF(AND('Bonding Program'!$S$29=1,N$3='Bonding Program'!$H$29),'Bonding Program'!$T$29,0)</f>
        <v>0</v>
      </c>
      <c r="O124" s="19" t="n">
        <f aca="false">IF(AND('Bonding Program'!$S$29=1,O$3='Bonding Program'!$H$29),'Bonding Program'!$T$29,0)</f>
        <v>0</v>
      </c>
      <c r="P124" s="19" t="n">
        <f aca="false">IF(AND('Bonding Program'!$S$29=1,P$3='Bonding Program'!$H$29),'Bonding Program'!$T$29,0)</f>
        <v>0</v>
      </c>
      <c r="Q124" s="19" t="n">
        <f aca="false">IF(AND('Bonding Program'!$S$29=1,Q$3='Bonding Program'!$H$29),'Bonding Program'!$T$29,0)</f>
        <v>0</v>
      </c>
      <c r="R124" s="19" t="n">
        <f aca="false">IF(AND('Bonding Program'!$S$29=1,R$3='Bonding Program'!$H$29),'Bonding Program'!$T$29,0)</f>
        <v>0</v>
      </c>
      <c r="S124" s="19" t="n">
        <f aca="false">IF(AND('Bonding Program'!$S$29=1,S$3='Bonding Program'!$H$29),'Bonding Program'!$T$29,0)</f>
        <v>0</v>
      </c>
      <c r="T124" s="19" t="n">
        <f aca="false">IF(AND('Bonding Program'!$S$29=1,T$3='Bonding Program'!$H$29),'Bonding Program'!$T$29,0)</f>
        <v>0</v>
      </c>
      <c r="U124" s="19" t="n">
        <f aca="false">IF(AND('Bonding Program'!$S$29=1,U$3='Bonding Program'!$H$29),'Bonding Program'!$T$29,0)</f>
        <v>0</v>
      </c>
      <c r="V124" s="19" t="n">
        <f aca="false">IF(AND('Bonding Program'!$S$29=1,V$3='Bonding Program'!$H$29),'Bonding Program'!$T$29,0)</f>
        <v>0</v>
      </c>
      <c r="W124" s="19" t="n">
        <f aca="false">IF(AND('Bonding Program'!$S$29=1,W$3='Bonding Program'!$H$29),'Bonding Program'!$T$29,0)</f>
        <v>0</v>
      </c>
      <c r="X124" s="19" t="n">
        <f aca="false">IF(AND('Bonding Program'!$S$29=1,X$3='Bonding Program'!$H$29),'Bonding Program'!$T$29,0)</f>
        <v>0</v>
      </c>
      <c r="Y124" s="19" t="n">
        <f aca="false">IF(AND('Bonding Program'!$S$29=1,Y$3='Bonding Program'!$H$29),'Bonding Program'!$T$29,0)</f>
        <v>0</v>
      </c>
      <c r="Z124" s="19" t="n">
        <f aca="false">IF(AND('Bonding Program'!$S$29=1,Z$3='Bonding Program'!$H$29),'Bonding Program'!$T$29,0)</f>
        <v>0</v>
      </c>
      <c r="AA124" s="19" t="n">
        <f aca="false">IF(AND('Bonding Program'!$S$29=1,AA$3='Bonding Program'!$H$29),'Bonding Program'!$T$29,0)</f>
        <v>0</v>
      </c>
      <c r="AB124" s="19" t="n">
        <f aca="false">IF(AND('Bonding Program'!$S$29=1,AB$3='Bonding Program'!$H$29),'Bonding Program'!$T$29,0)</f>
        <v>0</v>
      </c>
      <c r="AC124" s="19" t="n">
        <f aca="false">IF(AND('Bonding Program'!$S$29=1,AC$3='Bonding Program'!$H$29),'Bonding Program'!$T$29,0)</f>
        <v>0</v>
      </c>
      <c r="AD124" s="19" t="n">
        <f aca="false">IF(AND('Bonding Program'!$S$29=1,AD$3='Bonding Program'!$H$29),'Bonding Program'!$T$29,0)</f>
        <v>0</v>
      </c>
      <c r="AE124" s="19" t="n">
        <f aca="false">IF(AND('Bonding Program'!$S$29=1,AE$3='Bonding Program'!$H$29),'Bonding Program'!$T$29,0)</f>
        <v>0</v>
      </c>
      <c r="AF124" s="19" t="n">
        <f aca="false">IF(AND('Bonding Program'!$S$29=1,AF$3='Bonding Program'!$H$29),'Bonding Program'!$T$29,0)</f>
        <v>0</v>
      </c>
      <c r="AG124" s="19" t="n">
        <f aca="false">IF(AND('Bonding Program'!$S$29=1,AG$3='Bonding Program'!$H$29),'Bonding Program'!$T$29,0)</f>
        <v>0</v>
      </c>
      <c r="AH124" s="19" t="n">
        <f aca="false">IF(AND('Bonding Program'!$S$29=1,AH$3='Bonding Program'!$H$29),'Bonding Program'!$T$29,0)</f>
        <v>0</v>
      </c>
      <c r="AI124" s="19" t="n">
        <f aca="false">IF(AND('Bonding Program'!$S$29=1,AI$3='Bonding Program'!$H$29),'Bonding Program'!$T$29,0)</f>
        <v>0</v>
      </c>
      <c r="AJ124" s="19" t="n">
        <f aca="false">IF(AND('Bonding Program'!$S$29=1,AJ$3='Bonding Program'!$H$29),'Bonding Program'!$T$29,0)</f>
        <v>0</v>
      </c>
      <c r="AK124" s="19" t="n">
        <f aca="false">IF(AND('Bonding Program'!$S$29=1,AK$3='Bonding Program'!$H$29),'Bonding Program'!$T$29,0)</f>
        <v>0</v>
      </c>
      <c r="AL124" s="19" t="n">
        <f aca="false">IF(AND('Bonding Program'!$S$29=1,AL$3='Bonding Program'!$H$29),'Bonding Program'!$T$29,0)</f>
        <v>0</v>
      </c>
      <c r="AM124" s="19" t="n">
        <f aca="false">IF(AND('Bonding Program'!$S$29=1,AM$3='Bonding Program'!$H$29),'Bonding Program'!$T$29,0)</f>
        <v>0</v>
      </c>
      <c r="AN124" s="19" t="n">
        <f aca="false">IF(AND('Bonding Program'!$S$29=1,AN$3='Bonding Program'!$H$29),'Bonding Program'!$T$29,0)</f>
        <v>0</v>
      </c>
      <c r="AO124" s="19" t="n">
        <f aca="false">IF(AND('Bonding Program'!$S$29=1,AO$3='Bonding Program'!$H$29),'Bonding Program'!$T$29,0)</f>
        <v>0</v>
      </c>
      <c r="AP124" s="19" t="n">
        <f aca="false">IF(AND('Bonding Program'!$S$29=1,AP$3='Bonding Program'!$H$29),'Bonding Program'!$T$29,0)</f>
        <v>0</v>
      </c>
      <c r="AQ124" s="19" t="n">
        <f aca="false">IF(AND('Bonding Program'!$S$29=1,AQ$3='Bonding Program'!$H$29),'Bonding Program'!$T$29,0)</f>
        <v>0</v>
      </c>
      <c r="AR124" s="19" t="n">
        <f aca="false">IF(AND('Bonding Program'!$S$29=1,AR$3='Bonding Program'!$H$29),'Bonding Program'!$T$29,0)</f>
        <v>0</v>
      </c>
      <c r="AS124" s="19" t="n">
        <f aca="false">IF(AND('Bonding Program'!$S$29=1,AS$3='Bonding Program'!$H$29),'Bonding Program'!$T$29,0)</f>
        <v>0</v>
      </c>
      <c r="AT124" s="19" t="n">
        <f aca="false">IF(AND('Bonding Program'!$S$29=1,AT$3='Bonding Program'!$H$29),'Bonding Program'!$T$29,0)</f>
        <v>0</v>
      </c>
      <c r="AU124" s="19" t="n">
        <f aca="false">IF(AND('Bonding Program'!$S$29=1,AU$3='Bonding Program'!$H$29),'Bonding Program'!$T$29,0)</f>
        <v>0</v>
      </c>
      <c r="AV124" s="19" t="n">
        <f aca="false">IF(AND('Bonding Program'!$S$29=1,AV$3='Bonding Program'!$H$29),'Bonding Program'!$T$29,0)</f>
        <v>0</v>
      </c>
      <c r="AW124" s="19" t="n">
        <f aca="false">IF(AND('Bonding Program'!$S$29=1,AW$3='Bonding Program'!$H$29),'Bonding Program'!$T$29,0)</f>
        <v>0</v>
      </c>
      <c r="AX124" s="19" t="n">
        <f aca="false">IF(AND('Bonding Program'!$S$29=1,AX$3='Bonding Program'!$H$29),'Bonding Program'!$T$29,0)</f>
        <v>0</v>
      </c>
      <c r="AY124" s="19" t="n">
        <f aca="false">IF(AND('Bonding Program'!$S$29=1,AY$3='Bonding Program'!$H$29),'Bonding Program'!$T$29,0)</f>
        <v>0</v>
      </c>
      <c r="AZ124" s="19" t="n">
        <f aca="false">IF(AND('Bonding Program'!$S$29=1,AZ$3='Bonding Program'!$H$29),'Bonding Program'!$T$29,0)</f>
        <v>0</v>
      </c>
      <c r="BA124" s="19" t="n">
        <f aca="false">IF(AND('Bonding Program'!$S$29=1,BA$3='Bonding Program'!$H$29),'Bonding Program'!$T$29,0)</f>
        <v>0</v>
      </c>
      <c r="BB124" s="19" t="n">
        <f aca="false">IF(AND('Bonding Program'!$S$29=1,BB$3='Bonding Program'!$H$29),'Bonding Program'!$T$29,0)</f>
        <v>0</v>
      </c>
      <c r="BC124" s="19" t="n">
        <f aca="false">IF(AND('Bonding Program'!$S$29=1,BC$3='Bonding Program'!$H$29),'Bonding Program'!$T$29,0)</f>
        <v>0</v>
      </c>
      <c r="BD124" s="19" t="n">
        <f aca="false">IF(AND('Bonding Program'!$S$29=1,BD$3='Bonding Program'!$H$29),'Bonding Program'!$T$29,0)</f>
        <v>0</v>
      </c>
      <c r="BE124" s="19" t="n">
        <f aca="false">IF(AND('Bonding Program'!$S$29=1,BE$3='Bonding Program'!$H$29),'Bonding Program'!$T$29,0)</f>
        <v>0</v>
      </c>
      <c r="BF124" s="19" t="n">
        <f aca="false">IF(AND('Bonding Program'!$S$29=1,BF$3='Bonding Program'!$H$29),'Bonding Program'!$T$29,0)</f>
        <v>0</v>
      </c>
      <c r="BG124" s="19" t="n">
        <f aca="false">IF(AND('Bonding Program'!$S$29=1,BG$3='Bonding Program'!$H$29),'Bonding Program'!$T$29,0)</f>
        <v>0</v>
      </c>
      <c r="BH124" s="19" t="n">
        <f aca="false">IF(AND('Bonding Program'!$S$29=1,BH$3='Bonding Program'!$H$29),'Bonding Program'!$T$29,0)</f>
        <v>0</v>
      </c>
      <c r="BI124" s="19" t="n">
        <f aca="false">IF(AND('Bonding Program'!$S$29=1,BI$3='Bonding Program'!$H$29),'Bonding Program'!$T$29,0)</f>
        <v>0</v>
      </c>
      <c r="BJ124" s="19" t="n">
        <f aca="false">IF(AND('Bonding Program'!$S$29=1,BJ$3='Bonding Program'!$H$29),'Bonding Program'!$T$29,0)</f>
        <v>0</v>
      </c>
      <c r="BK124" s="19" t="n">
        <f aca="false">IF(AND('Bonding Program'!$S$29=1,BK$3='Bonding Program'!$H$29),'Bonding Program'!$T$29,0)</f>
        <v>0</v>
      </c>
      <c r="BL124" s="19" t="n">
        <f aca="false">IF(AND('Bonding Program'!$S$29=1,BL$3='Bonding Program'!$H$29),'Bonding Program'!$T$29,0)</f>
        <v>0</v>
      </c>
      <c r="BM124" s="19" t="n">
        <f aca="false">IF(AND('Bonding Program'!$S$29=1,BM$3='Bonding Program'!$H$29),'Bonding Program'!$T$29,0)</f>
        <v>0</v>
      </c>
      <c r="BN124" s="19" t="n">
        <f aca="false">IF(AND('Bonding Program'!$S$29=1,BN$3='Bonding Program'!$H$29),'Bonding Program'!$T$29,0)</f>
        <v>0</v>
      </c>
      <c r="BO124" s="19" t="n">
        <f aca="false">IF(AND('Bonding Program'!$S$29=1,BO$3='Bonding Program'!$H$29),'Bonding Program'!$T$29,0)</f>
        <v>0</v>
      </c>
      <c r="BP124" s="19" t="n">
        <f aca="false">IF(AND('Bonding Program'!$S$29=1,BP$3='Bonding Program'!$H$29),'Bonding Program'!$T$29,0)</f>
        <v>0</v>
      </c>
      <c r="BQ124" s="19" t="n">
        <f aca="false">IF(AND('Bonding Program'!$S$29=1,BQ$3='Bonding Program'!$H$29),'Bonding Program'!$T$29,0)</f>
        <v>0</v>
      </c>
      <c r="BR124" s="19" t="n">
        <f aca="false">IF(AND('Bonding Program'!$S$29=1,BR$3='Bonding Program'!$H$29),'Bonding Program'!$T$29,0)</f>
        <v>0</v>
      </c>
      <c r="BS124" s="19" t="n">
        <f aca="false">IF(AND('Bonding Program'!$S$29=1,BS$3='Bonding Program'!$H$29),'Bonding Program'!$T$29,0)</f>
        <v>0</v>
      </c>
      <c r="BT124" s="19" t="n">
        <f aca="false">IF(AND('Bonding Program'!$S$29=1,BT$3='Bonding Program'!$H$29),'Bonding Program'!$T$29,0)</f>
        <v>0</v>
      </c>
      <c r="BU124" s="19" t="n">
        <f aca="false">IF(AND('Bonding Program'!$S$29=1,BU$3='Bonding Program'!$H$29),'Bonding Program'!$T$29,0)</f>
        <v>0</v>
      </c>
      <c r="BV124" s="19" t="n">
        <f aca="false">IF(AND('Bonding Program'!$S$29=1,BV$3='Bonding Program'!$H$29),'Bonding Program'!$T$29,0)</f>
        <v>0</v>
      </c>
      <c r="BW124" s="19" t="n">
        <f aca="false">IF(AND('Bonding Program'!$S$29=1,BW$3='Bonding Program'!$H$29),'Bonding Program'!$T$29,0)</f>
        <v>0</v>
      </c>
      <c r="BX124" s="19" t="n">
        <f aca="false">IF(AND('Bonding Program'!$S$29=1,BX$3='Bonding Program'!$H$29),'Bonding Program'!$T$29,0)</f>
        <v>0</v>
      </c>
      <c r="BY124" s="19" t="n">
        <f aca="false">IF(AND('Bonding Program'!$S$29=1,BY$3='Bonding Program'!$H$29),'Bonding Program'!$T$29,0)</f>
        <v>0</v>
      </c>
      <c r="BZ124" s="19" t="n">
        <f aca="false">IF(AND('Bonding Program'!$S$29=1,BZ$3='Bonding Program'!$H$29),'Bonding Program'!$T$29,0)</f>
        <v>0</v>
      </c>
      <c r="CA124" s="19" t="n">
        <f aca="false">IF(AND('Bonding Program'!$S$29=1,CA$3='Bonding Program'!$H$29),'Bonding Program'!$T$29,0)</f>
        <v>0</v>
      </c>
      <c r="CB124" s="19" t="n">
        <f aca="false">IF(AND('Bonding Program'!$S$29=1,CB$3='Bonding Program'!$H$29),'Bonding Program'!$T$29,0)</f>
        <v>0</v>
      </c>
      <c r="CC124" s="19" t="n">
        <f aca="false">IF(AND('Bonding Program'!$S$29=1,CC$3='Bonding Program'!$H$29),'Bonding Program'!$T$29,0)</f>
        <v>0</v>
      </c>
      <c r="CD124" s="19" t="n">
        <f aca="false">IF(AND('Bonding Program'!$S$29=1,CD$3='Bonding Program'!$H$29),'Bonding Program'!$T$29,0)</f>
        <v>0</v>
      </c>
      <c r="CE124" s="19" t="n">
        <f aca="false">IF(AND('Bonding Program'!$S$29=1,CE$3='Bonding Program'!$H$29),'Bonding Program'!$T$29,0)</f>
        <v>0</v>
      </c>
      <c r="CF124" s="19" t="n">
        <f aca="false">IF(AND('Bonding Program'!$S$29=1,CF$3='Bonding Program'!$H$29),'Bonding Program'!$T$29,0)</f>
        <v>0</v>
      </c>
      <c r="CG124" s="19" t="n">
        <f aca="false">IF(AND('Bonding Program'!$S$29=1,CG$3='Bonding Program'!$H$29),'Bonding Program'!$T$29,0)</f>
        <v>0</v>
      </c>
      <c r="CH124" s="19" t="n">
        <f aca="false">IF(AND('Bonding Program'!$S$29=1,CH$3='Bonding Program'!$H$29),'Bonding Program'!$T$29,0)</f>
        <v>0</v>
      </c>
      <c r="CI124" s="19" t="n">
        <f aca="false">IF(AND('Bonding Program'!$S$29=1,CI$3='Bonding Program'!$H$29),'Bonding Program'!$T$29,0)</f>
        <v>0</v>
      </c>
      <c r="CJ124" s="19" t="n">
        <f aca="false">IF(AND('Bonding Program'!$S$29=1,CJ$3='Bonding Program'!$H$29),'Bonding Program'!$T$29,0)</f>
        <v>0</v>
      </c>
      <c r="CK124" s="19" t="n">
        <f aca="false">IF(AND('Bonding Program'!$S$29=1,CK$3='Bonding Program'!$H$29),'Bonding Program'!$T$29,0)</f>
        <v>0</v>
      </c>
      <c r="CL124" s="19" t="n">
        <f aca="false">IF(AND('Bonding Program'!$S$29=1,CL$3='Bonding Program'!$H$29),'Bonding Program'!$T$29,0)</f>
        <v>0</v>
      </c>
      <c r="CM124" s="19" t="n">
        <f aca="false">IF(AND('Bonding Program'!$S$29=1,CM$3='Bonding Program'!$H$29),'Bonding Program'!$T$29,0)</f>
        <v>0</v>
      </c>
      <c r="CN124" s="19" t="n">
        <f aca="false">IF(AND('Bonding Program'!$S$29=1,CN$3='Bonding Program'!$H$29),'Bonding Program'!$T$29,0)</f>
        <v>0</v>
      </c>
      <c r="CO124" s="19" t="n">
        <f aca="false">IF(AND('Bonding Program'!$S$29=1,CO$3='Bonding Program'!$H$29),'Bonding Program'!$T$29,0)</f>
        <v>0</v>
      </c>
      <c r="CP124" s="19" t="n">
        <f aca="false">IF(AND('Bonding Program'!$S$29=1,CP$3='Bonding Program'!$H$29),'Bonding Program'!$T$29,0)</f>
        <v>0</v>
      </c>
      <c r="CQ124" s="19" t="n">
        <f aca="false">IF(AND('Bonding Program'!$S$29=1,CQ$3='Bonding Program'!$H$29),'Bonding Program'!$T$29,0)</f>
        <v>0</v>
      </c>
      <c r="CR124" s="19" t="n">
        <f aca="false">IF(AND('Bonding Program'!$S$29=1,CR$3='Bonding Program'!$H$29),'Bonding Program'!$T$29,0)</f>
        <v>0</v>
      </c>
      <c r="CS124" s="19" t="n">
        <f aca="false">IF(AND('Bonding Program'!$S$29=1,CS$3='Bonding Program'!$H$29),'Bonding Program'!$T$29,0)</f>
        <v>0</v>
      </c>
      <c r="CT124" s="19" t="n">
        <f aca="false">IF(AND('Bonding Program'!$S$29=1,CT$3='Bonding Program'!$H$29),'Bonding Program'!$T$29,0)</f>
        <v>0</v>
      </c>
      <c r="CU124" s="19" t="n">
        <f aca="false">IF(AND('Bonding Program'!$S$29=1,CU$3='Bonding Program'!$H$29),'Bonding Program'!$T$29,0)</f>
        <v>0</v>
      </c>
      <c r="CV124" s="19" t="n">
        <f aca="false">IF(AND('Bonding Program'!$S$29=1,CV$3='Bonding Program'!$H$29),'Bonding Program'!$T$29,0)</f>
        <v>0</v>
      </c>
      <c r="CW124" s="19" t="n">
        <f aca="false">IF(AND('Bonding Program'!$S$29=1,CW$3='Bonding Program'!$H$29),'Bonding Program'!$T$29,0)</f>
        <v>0</v>
      </c>
      <c r="CX124" s="19" t="n">
        <f aca="false">IF(AND('Bonding Program'!$S$29=1,CX$3='Bonding Program'!$H$29),'Bonding Program'!$T$29,0)</f>
        <v>0</v>
      </c>
      <c r="CY124" s="19" t="n">
        <f aca="false">IF(AND('Bonding Program'!$S$29=1,CY$3='Bonding Program'!$H$29),'Bonding Program'!$T$29,0)</f>
        <v>0</v>
      </c>
      <c r="CZ124" s="19" t="n">
        <f aca="false">IF(AND('Bonding Program'!$S$29=1,CZ$3='Bonding Program'!$H$29),'Bonding Program'!$T$29,0)</f>
        <v>0</v>
      </c>
      <c r="DA124" s="19" t="n">
        <f aca="false">IF(AND('Bonding Program'!$S$29=1,DA$3='Bonding Program'!$H$29),'Bonding Program'!$T$29,0)</f>
        <v>0</v>
      </c>
      <c r="DB124" s="19" t="n">
        <f aca="false">IF(AND('Bonding Program'!$S$29=1,DB$3='Bonding Program'!$H$29),'Bonding Program'!$T$29,0)</f>
        <v>0</v>
      </c>
      <c r="DC124" s="19" t="n">
        <f aca="false">IF(AND('Bonding Program'!$S$29=1,DC$3='Bonding Program'!$H$29),'Bonding Program'!$T$29,0)</f>
        <v>0</v>
      </c>
      <c r="DD124" s="19" t="n">
        <f aca="false">IF(AND('Bonding Program'!$S$29=1,DD$3='Bonding Program'!$H$29),'Bonding Program'!$T$29,0)</f>
        <v>0</v>
      </c>
      <c r="DE124" s="19" t="n">
        <f aca="false">IF(AND('Bonding Program'!$S$29=1,DE$3='Bonding Program'!$H$29),'Bonding Program'!$T$29,0)</f>
        <v>0</v>
      </c>
    </row>
    <row r="125" customFormat="false" ht="15" hidden="false" customHeight="true" outlineLevel="1" collapsed="false">
      <c r="A125" s="28" t="s">
        <v>26</v>
      </c>
      <c r="B125" s="19" t="n">
        <f aca="false">IF(AND('Bonding Program'!$S$30=1,B$3='Bonding Program'!$H$30),'Bonding Program'!$T$30,0)</f>
        <v>0</v>
      </c>
      <c r="C125" s="19" t="n">
        <f aca="false">IF(AND('Bonding Program'!$S$30=1,C$3='Bonding Program'!$H$30),'Bonding Program'!$T$30,0)</f>
        <v>0</v>
      </c>
      <c r="D125" s="19" t="n">
        <f aca="false">IF(AND('Bonding Program'!$S$30=1,D$3='Bonding Program'!$H$30),'Bonding Program'!$T$30,0)</f>
        <v>0</v>
      </c>
      <c r="E125" s="19" t="n">
        <f aca="false">IF(AND('Bonding Program'!$S$30=1,E$3='Bonding Program'!$H$30),'Bonding Program'!$T$30,0)</f>
        <v>0</v>
      </c>
      <c r="F125" s="19" t="n">
        <f aca="false">IF(AND('Bonding Program'!$S$30=1,F$3='Bonding Program'!$H$30),'Bonding Program'!$T$30,0)</f>
        <v>0</v>
      </c>
      <c r="G125" s="19" t="n">
        <f aca="false">IF(AND('Bonding Program'!$S$30=1,G$3='Bonding Program'!$H$30),'Bonding Program'!$T$30,0)</f>
        <v>0</v>
      </c>
      <c r="H125" s="19" t="n">
        <f aca="false">IF(AND('Bonding Program'!$S$30=1,H$3='Bonding Program'!$H$30),'Bonding Program'!$T$30,0)</f>
        <v>0</v>
      </c>
      <c r="I125" s="19" t="n">
        <f aca="false">IF(AND('Bonding Program'!$S$30=1,I$3='Bonding Program'!$H$30),'Bonding Program'!$T$30,0)</f>
        <v>0</v>
      </c>
      <c r="J125" s="19" t="n">
        <f aca="false">IF(AND('Bonding Program'!$S$30=1,J$3='Bonding Program'!$H$30),'Bonding Program'!$T$30,0)</f>
        <v>0</v>
      </c>
      <c r="K125" s="19" t="n">
        <f aca="false">IF(AND('Bonding Program'!$S$30=1,K$3='Bonding Program'!$H$30),'Bonding Program'!$T$30,0)</f>
        <v>0</v>
      </c>
      <c r="L125" s="19" t="n">
        <f aca="false">IF(AND('Bonding Program'!$S$30=1,L$3='Bonding Program'!$H$30),'Bonding Program'!$T$30,0)</f>
        <v>0</v>
      </c>
      <c r="M125" s="19" t="n">
        <f aca="false">IF(AND('Bonding Program'!$S$30=1,M$3='Bonding Program'!$H$30),'Bonding Program'!$T$30,0)</f>
        <v>0</v>
      </c>
      <c r="N125" s="19" t="n">
        <f aca="false">IF(AND('Bonding Program'!$S$30=1,N$3='Bonding Program'!$H$30),'Bonding Program'!$T$30,0)</f>
        <v>0</v>
      </c>
      <c r="O125" s="19" t="n">
        <f aca="false">IF(AND('Bonding Program'!$S$30=1,O$3='Bonding Program'!$H$30),'Bonding Program'!$T$30,0)</f>
        <v>0</v>
      </c>
      <c r="P125" s="19" t="n">
        <f aca="false">IF(AND('Bonding Program'!$S$30=1,P$3='Bonding Program'!$H$30),'Bonding Program'!$T$30,0)</f>
        <v>0</v>
      </c>
      <c r="Q125" s="19" t="n">
        <f aca="false">IF(AND('Bonding Program'!$S$30=1,Q$3='Bonding Program'!$H$30),'Bonding Program'!$T$30,0)</f>
        <v>0</v>
      </c>
      <c r="R125" s="19" t="n">
        <f aca="false">IF(AND('Bonding Program'!$S$30=1,R$3='Bonding Program'!$H$30),'Bonding Program'!$T$30,0)</f>
        <v>0</v>
      </c>
      <c r="S125" s="19" t="n">
        <f aca="false">IF(AND('Bonding Program'!$S$30=1,S$3='Bonding Program'!$H$30),'Bonding Program'!$T$30,0)</f>
        <v>0</v>
      </c>
      <c r="T125" s="19" t="n">
        <f aca="false">IF(AND('Bonding Program'!$S$30=1,T$3='Bonding Program'!$H$30),'Bonding Program'!$T$30,0)</f>
        <v>0</v>
      </c>
      <c r="U125" s="19" t="n">
        <f aca="false">IF(AND('Bonding Program'!$S$30=1,U$3='Bonding Program'!$H$30),'Bonding Program'!$T$30,0)</f>
        <v>0</v>
      </c>
      <c r="V125" s="19" t="n">
        <f aca="false">IF(AND('Bonding Program'!$S$30=1,V$3='Bonding Program'!$H$30),'Bonding Program'!$T$30,0)</f>
        <v>0</v>
      </c>
      <c r="W125" s="19" t="n">
        <f aca="false">IF(AND('Bonding Program'!$S$30=1,W$3='Bonding Program'!$H$30),'Bonding Program'!$T$30,0)</f>
        <v>0</v>
      </c>
      <c r="X125" s="19" t="n">
        <f aca="false">IF(AND('Bonding Program'!$S$30=1,X$3='Bonding Program'!$H$30),'Bonding Program'!$T$30,0)</f>
        <v>0</v>
      </c>
      <c r="Y125" s="19" t="n">
        <f aca="false">IF(AND('Bonding Program'!$S$30=1,Y$3='Bonding Program'!$H$30),'Bonding Program'!$T$30,0)</f>
        <v>0</v>
      </c>
      <c r="Z125" s="19" t="n">
        <f aca="false">IF(AND('Bonding Program'!$S$30=1,Z$3='Bonding Program'!$H$30),'Bonding Program'!$T$30,0)</f>
        <v>0</v>
      </c>
      <c r="AA125" s="19" t="n">
        <f aca="false">IF(AND('Bonding Program'!$S$30=1,AA$3='Bonding Program'!$H$30),'Bonding Program'!$T$30,0)</f>
        <v>0</v>
      </c>
      <c r="AB125" s="19" t="n">
        <f aca="false">IF(AND('Bonding Program'!$S$30=1,AB$3='Bonding Program'!$H$30),'Bonding Program'!$T$30,0)</f>
        <v>0</v>
      </c>
      <c r="AC125" s="19" t="n">
        <f aca="false">IF(AND('Bonding Program'!$S$30=1,AC$3='Bonding Program'!$H$30),'Bonding Program'!$T$30,0)</f>
        <v>0</v>
      </c>
      <c r="AD125" s="19" t="n">
        <f aca="false">IF(AND('Bonding Program'!$S$30=1,AD$3='Bonding Program'!$H$30),'Bonding Program'!$T$30,0)</f>
        <v>0</v>
      </c>
      <c r="AE125" s="19" t="n">
        <f aca="false">IF(AND('Bonding Program'!$S$30=1,AE$3='Bonding Program'!$H$30),'Bonding Program'!$T$30,0)</f>
        <v>0</v>
      </c>
      <c r="AF125" s="19" t="n">
        <f aca="false">IF(AND('Bonding Program'!$S$30=1,AF$3='Bonding Program'!$H$30),'Bonding Program'!$T$30,0)</f>
        <v>0</v>
      </c>
      <c r="AG125" s="19" t="n">
        <f aca="false">IF(AND('Bonding Program'!$S$30=1,AG$3='Bonding Program'!$H$30),'Bonding Program'!$T$30,0)</f>
        <v>0</v>
      </c>
      <c r="AH125" s="19" t="n">
        <f aca="false">IF(AND('Bonding Program'!$S$30=1,AH$3='Bonding Program'!$H$30),'Bonding Program'!$T$30,0)</f>
        <v>0</v>
      </c>
      <c r="AI125" s="19" t="n">
        <f aca="false">IF(AND('Bonding Program'!$S$30=1,AI$3='Bonding Program'!$H$30),'Bonding Program'!$T$30,0)</f>
        <v>0</v>
      </c>
      <c r="AJ125" s="19" t="n">
        <f aca="false">IF(AND('Bonding Program'!$S$30=1,AJ$3='Bonding Program'!$H$30),'Bonding Program'!$T$30,0)</f>
        <v>0</v>
      </c>
      <c r="AK125" s="19" t="n">
        <f aca="false">IF(AND('Bonding Program'!$S$30=1,AK$3='Bonding Program'!$H$30),'Bonding Program'!$T$30,0)</f>
        <v>0</v>
      </c>
      <c r="AL125" s="19" t="n">
        <f aca="false">IF(AND('Bonding Program'!$S$30=1,AL$3='Bonding Program'!$H$30),'Bonding Program'!$T$30,0)</f>
        <v>0</v>
      </c>
      <c r="AM125" s="19" t="n">
        <f aca="false">IF(AND('Bonding Program'!$S$30=1,AM$3='Bonding Program'!$H$30),'Bonding Program'!$T$30,0)</f>
        <v>0</v>
      </c>
      <c r="AN125" s="19" t="n">
        <f aca="false">IF(AND('Bonding Program'!$S$30=1,AN$3='Bonding Program'!$H$30),'Bonding Program'!$T$30,0)</f>
        <v>0</v>
      </c>
      <c r="AO125" s="19" t="n">
        <f aca="false">IF(AND('Bonding Program'!$S$30=1,AO$3='Bonding Program'!$H$30),'Bonding Program'!$T$30,0)</f>
        <v>0</v>
      </c>
      <c r="AP125" s="19" t="n">
        <f aca="false">IF(AND('Bonding Program'!$S$30=1,AP$3='Bonding Program'!$H$30),'Bonding Program'!$T$30,0)</f>
        <v>0</v>
      </c>
      <c r="AQ125" s="19" t="n">
        <f aca="false">IF(AND('Bonding Program'!$S$30=1,AQ$3='Bonding Program'!$H$30),'Bonding Program'!$T$30,0)</f>
        <v>0</v>
      </c>
      <c r="AR125" s="19" t="n">
        <f aca="false">IF(AND('Bonding Program'!$S$30=1,AR$3='Bonding Program'!$H$30),'Bonding Program'!$T$30,0)</f>
        <v>0</v>
      </c>
      <c r="AS125" s="19" t="n">
        <f aca="false">IF(AND('Bonding Program'!$S$30=1,AS$3='Bonding Program'!$H$30),'Bonding Program'!$T$30,0)</f>
        <v>0</v>
      </c>
      <c r="AT125" s="19" t="n">
        <f aca="false">IF(AND('Bonding Program'!$S$30=1,AT$3='Bonding Program'!$H$30),'Bonding Program'!$T$30,0)</f>
        <v>0</v>
      </c>
      <c r="AU125" s="19" t="n">
        <f aca="false">IF(AND('Bonding Program'!$S$30=1,AU$3='Bonding Program'!$H$30),'Bonding Program'!$T$30,0)</f>
        <v>0</v>
      </c>
      <c r="AV125" s="19" t="n">
        <f aca="false">IF(AND('Bonding Program'!$S$30=1,AV$3='Bonding Program'!$H$30),'Bonding Program'!$T$30,0)</f>
        <v>0</v>
      </c>
      <c r="AW125" s="19" t="n">
        <f aca="false">IF(AND('Bonding Program'!$S$30=1,AW$3='Bonding Program'!$H$30),'Bonding Program'!$T$30,0)</f>
        <v>0</v>
      </c>
      <c r="AX125" s="19" t="n">
        <f aca="false">IF(AND('Bonding Program'!$S$30=1,AX$3='Bonding Program'!$H$30),'Bonding Program'!$T$30,0)</f>
        <v>0</v>
      </c>
      <c r="AY125" s="19" t="n">
        <f aca="false">IF(AND('Bonding Program'!$S$30=1,AY$3='Bonding Program'!$H$30),'Bonding Program'!$T$30,0)</f>
        <v>0</v>
      </c>
      <c r="AZ125" s="19" t="n">
        <f aca="false">IF(AND('Bonding Program'!$S$30=1,AZ$3='Bonding Program'!$H$30),'Bonding Program'!$T$30,0)</f>
        <v>0</v>
      </c>
      <c r="BA125" s="19" t="n">
        <f aca="false">IF(AND('Bonding Program'!$S$30=1,BA$3='Bonding Program'!$H$30),'Bonding Program'!$T$30,0)</f>
        <v>0</v>
      </c>
      <c r="BB125" s="19" t="n">
        <f aca="false">IF(AND('Bonding Program'!$S$30=1,BB$3='Bonding Program'!$H$30),'Bonding Program'!$T$30,0)</f>
        <v>0</v>
      </c>
      <c r="BC125" s="19" t="n">
        <f aca="false">IF(AND('Bonding Program'!$S$30=1,BC$3='Bonding Program'!$H$30),'Bonding Program'!$T$30,0)</f>
        <v>0</v>
      </c>
      <c r="BD125" s="19" t="n">
        <f aca="false">IF(AND('Bonding Program'!$S$30=1,BD$3='Bonding Program'!$H$30),'Bonding Program'!$T$30,0)</f>
        <v>0</v>
      </c>
      <c r="BE125" s="19" t="n">
        <f aca="false">IF(AND('Bonding Program'!$S$30=1,BE$3='Bonding Program'!$H$30),'Bonding Program'!$T$30,0)</f>
        <v>0</v>
      </c>
      <c r="BF125" s="19" t="n">
        <f aca="false">IF(AND('Bonding Program'!$S$30=1,BF$3='Bonding Program'!$H$30),'Bonding Program'!$T$30,0)</f>
        <v>0</v>
      </c>
      <c r="BG125" s="19" t="n">
        <f aca="false">IF(AND('Bonding Program'!$S$30=1,BG$3='Bonding Program'!$H$30),'Bonding Program'!$T$30,0)</f>
        <v>0</v>
      </c>
      <c r="BH125" s="19" t="n">
        <f aca="false">IF(AND('Bonding Program'!$S$30=1,BH$3='Bonding Program'!$H$30),'Bonding Program'!$T$30,0)</f>
        <v>0</v>
      </c>
      <c r="BI125" s="19" t="n">
        <f aca="false">IF(AND('Bonding Program'!$S$30=1,BI$3='Bonding Program'!$H$30),'Bonding Program'!$T$30,0)</f>
        <v>0</v>
      </c>
      <c r="BJ125" s="19" t="n">
        <f aca="false">IF(AND('Bonding Program'!$S$30=1,BJ$3='Bonding Program'!$H$30),'Bonding Program'!$T$30,0)</f>
        <v>0</v>
      </c>
      <c r="BK125" s="19" t="n">
        <f aca="false">IF(AND('Bonding Program'!$S$30=1,BK$3='Bonding Program'!$H$30),'Bonding Program'!$T$30,0)</f>
        <v>0</v>
      </c>
      <c r="BL125" s="19" t="n">
        <f aca="false">IF(AND('Bonding Program'!$S$30=1,BL$3='Bonding Program'!$H$30),'Bonding Program'!$T$30,0)</f>
        <v>0</v>
      </c>
      <c r="BM125" s="19" t="n">
        <f aca="false">IF(AND('Bonding Program'!$S$30=1,BM$3='Bonding Program'!$H$30),'Bonding Program'!$T$30,0)</f>
        <v>0</v>
      </c>
      <c r="BN125" s="19" t="n">
        <f aca="false">IF(AND('Bonding Program'!$S$30=1,BN$3='Bonding Program'!$H$30),'Bonding Program'!$T$30,0)</f>
        <v>0</v>
      </c>
      <c r="BO125" s="19" t="n">
        <f aca="false">IF(AND('Bonding Program'!$S$30=1,BO$3='Bonding Program'!$H$30),'Bonding Program'!$T$30,0)</f>
        <v>0</v>
      </c>
      <c r="BP125" s="19" t="n">
        <f aca="false">IF(AND('Bonding Program'!$S$30=1,BP$3='Bonding Program'!$H$30),'Bonding Program'!$T$30,0)</f>
        <v>0</v>
      </c>
      <c r="BQ125" s="19" t="n">
        <f aca="false">IF(AND('Bonding Program'!$S$30=1,BQ$3='Bonding Program'!$H$30),'Bonding Program'!$T$30,0)</f>
        <v>0</v>
      </c>
      <c r="BR125" s="19" t="n">
        <f aca="false">IF(AND('Bonding Program'!$S$30=1,BR$3='Bonding Program'!$H$30),'Bonding Program'!$T$30,0)</f>
        <v>0</v>
      </c>
      <c r="BS125" s="19" t="n">
        <f aca="false">IF(AND('Bonding Program'!$S$30=1,BS$3='Bonding Program'!$H$30),'Bonding Program'!$T$30,0)</f>
        <v>0</v>
      </c>
      <c r="BT125" s="19" t="n">
        <f aca="false">IF(AND('Bonding Program'!$S$30=1,BT$3='Bonding Program'!$H$30),'Bonding Program'!$T$30,0)</f>
        <v>0</v>
      </c>
      <c r="BU125" s="19" t="n">
        <f aca="false">IF(AND('Bonding Program'!$S$30=1,BU$3='Bonding Program'!$H$30),'Bonding Program'!$T$30,0)</f>
        <v>0</v>
      </c>
      <c r="BV125" s="19" t="n">
        <f aca="false">IF(AND('Bonding Program'!$S$30=1,BV$3='Bonding Program'!$H$30),'Bonding Program'!$T$30,0)</f>
        <v>0</v>
      </c>
      <c r="BW125" s="19" t="n">
        <f aca="false">IF(AND('Bonding Program'!$S$30=1,BW$3='Bonding Program'!$H$30),'Bonding Program'!$T$30,0)</f>
        <v>0</v>
      </c>
      <c r="BX125" s="19" t="n">
        <f aca="false">IF(AND('Bonding Program'!$S$30=1,BX$3='Bonding Program'!$H$30),'Bonding Program'!$T$30,0)</f>
        <v>0</v>
      </c>
      <c r="BY125" s="19" t="n">
        <f aca="false">IF(AND('Bonding Program'!$S$30=1,BY$3='Bonding Program'!$H$30),'Bonding Program'!$T$30,0)</f>
        <v>0</v>
      </c>
      <c r="BZ125" s="19" t="n">
        <f aca="false">IF(AND('Bonding Program'!$S$30=1,BZ$3='Bonding Program'!$H$30),'Bonding Program'!$T$30,0)</f>
        <v>0</v>
      </c>
      <c r="CA125" s="19" t="n">
        <f aca="false">IF(AND('Bonding Program'!$S$30=1,CA$3='Bonding Program'!$H$30),'Bonding Program'!$T$30,0)</f>
        <v>0</v>
      </c>
      <c r="CB125" s="19" t="n">
        <f aca="false">IF(AND('Bonding Program'!$S$30=1,CB$3='Bonding Program'!$H$30),'Bonding Program'!$T$30,0)</f>
        <v>0</v>
      </c>
      <c r="CC125" s="19" t="n">
        <f aca="false">IF(AND('Bonding Program'!$S$30=1,CC$3='Bonding Program'!$H$30),'Bonding Program'!$T$30,0)</f>
        <v>0</v>
      </c>
      <c r="CD125" s="19" t="n">
        <f aca="false">IF(AND('Bonding Program'!$S$30=1,CD$3='Bonding Program'!$H$30),'Bonding Program'!$T$30,0)</f>
        <v>0</v>
      </c>
      <c r="CE125" s="19" t="n">
        <f aca="false">IF(AND('Bonding Program'!$S$30=1,CE$3='Bonding Program'!$H$30),'Bonding Program'!$T$30,0)</f>
        <v>0</v>
      </c>
      <c r="CF125" s="19" t="n">
        <f aca="false">IF(AND('Bonding Program'!$S$30=1,CF$3='Bonding Program'!$H$30),'Bonding Program'!$T$30,0)</f>
        <v>0</v>
      </c>
      <c r="CG125" s="19" t="n">
        <f aca="false">IF(AND('Bonding Program'!$S$30=1,CG$3='Bonding Program'!$H$30),'Bonding Program'!$T$30,0)</f>
        <v>0</v>
      </c>
      <c r="CH125" s="19" t="n">
        <f aca="false">IF(AND('Bonding Program'!$S$30=1,CH$3='Bonding Program'!$H$30),'Bonding Program'!$T$30,0)</f>
        <v>0</v>
      </c>
      <c r="CI125" s="19" t="n">
        <f aca="false">IF(AND('Bonding Program'!$S$30=1,CI$3='Bonding Program'!$H$30),'Bonding Program'!$T$30,0)</f>
        <v>0</v>
      </c>
      <c r="CJ125" s="19" t="n">
        <f aca="false">IF(AND('Bonding Program'!$S$30=1,CJ$3='Bonding Program'!$H$30),'Bonding Program'!$T$30,0)</f>
        <v>0</v>
      </c>
      <c r="CK125" s="19" t="n">
        <f aca="false">IF(AND('Bonding Program'!$S$30=1,CK$3='Bonding Program'!$H$30),'Bonding Program'!$T$30,0)</f>
        <v>0</v>
      </c>
      <c r="CL125" s="19" t="n">
        <f aca="false">IF(AND('Bonding Program'!$S$30=1,CL$3='Bonding Program'!$H$30),'Bonding Program'!$T$30,0)</f>
        <v>0</v>
      </c>
      <c r="CM125" s="19" t="n">
        <f aca="false">IF(AND('Bonding Program'!$S$30=1,CM$3='Bonding Program'!$H$30),'Bonding Program'!$T$30,0)</f>
        <v>0</v>
      </c>
      <c r="CN125" s="19" t="n">
        <f aca="false">IF(AND('Bonding Program'!$S$30=1,CN$3='Bonding Program'!$H$30),'Bonding Program'!$T$30,0)</f>
        <v>0</v>
      </c>
      <c r="CO125" s="19" t="n">
        <f aca="false">IF(AND('Bonding Program'!$S$30=1,CO$3='Bonding Program'!$H$30),'Bonding Program'!$T$30,0)</f>
        <v>0</v>
      </c>
      <c r="CP125" s="19" t="n">
        <f aca="false">IF(AND('Bonding Program'!$S$30=1,CP$3='Bonding Program'!$H$30),'Bonding Program'!$T$30,0)</f>
        <v>0</v>
      </c>
      <c r="CQ125" s="19" t="n">
        <f aca="false">IF(AND('Bonding Program'!$S$30=1,CQ$3='Bonding Program'!$H$30),'Bonding Program'!$T$30,0)</f>
        <v>0</v>
      </c>
      <c r="CR125" s="19" t="n">
        <f aca="false">IF(AND('Bonding Program'!$S$30=1,CR$3='Bonding Program'!$H$30),'Bonding Program'!$T$30,0)</f>
        <v>0</v>
      </c>
      <c r="CS125" s="19" t="n">
        <f aca="false">IF(AND('Bonding Program'!$S$30=1,CS$3='Bonding Program'!$H$30),'Bonding Program'!$T$30,0)</f>
        <v>0</v>
      </c>
      <c r="CT125" s="19" t="n">
        <f aca="false">IF(AND('Bonding Program'!$S$30=1,CT$3='Bonding Program'!$H$30),'Bonding Program'!$T$30,0)</f>
        <v>0</v>
      </c>
      <c r="CU125" s="19" t="n">
        <f aca="false">IF(AND('Bonding Program'!$S$30=1,CU$3='Bonding Program'!$H$30),'Bonding Program'!$T$30,0)</f>
        <v>0</v>
      </c>
      <c r="CV125" s="19" t="n">
        <f aca="false">IF(AND('Bonding Program'!$S$30=1,CV$3='Bonding Program'!$H$30),'Bonding Program'!$T$30,0)</f>
        <v>0</v>
      </c>
      <c r="CW125" s="19" t="n">
        <f aca="false">IF(AND('Bonding Program'!$S$30=1,CW$3='Bonding Program'!$H$30),'Bonding Program'!$T$30,0)</f>
        <v>0</v>
      </c>
      <c r="CX125" s="19" t="n">
        <f aca="false">IF(AND('Bonding Program'!$S$30=1,CX$3='Bonding Program'!$H$30),'Bonding Program'!$T$30,0)</f>
        <v>0</v>
      </c>
      <c r="CY125" s="19" t="n">
        <f aca="false">IF(AND('Bonding Program'!$S$30=1,CY$3='Bonding Program'!$H$30),'Bonding Program'!$T$30,0)</f>
        <v>0</v>
      </c>
      <c r="CZ125" s="19" t="n">
        <f aca="false">IF(AND('Bonding Program'!$S$30=1,CZ$3='Bonding Program'!$H$30),'Bonding Program'!$T$30,0)</f>
        <v>0</v>
      </c>
      <c r="DA125" s="19" t="n">
        <f aca="false">IF(AND('Bonding Program'!$S$30=1,DA$3='Bonding Program'!$H$30),'Bonding Program'!$T$30,0)</f>
        <v>0</v>
      </c>
      <c r="DB125" s="19" t="n">
        <f aca="false">IF(AND('Bonding Program'!$S$30=1,DB$3='Bonding Program'!$H$30),'Bonding Program'!$T$30,0)</f>
        <v>0</v>
      </c>
      <c r="DC125" s="19" t="n">
        <f aca="false">IF(AND('Bonding Program'!$S$30=1,DC$3='Bonding Program'!$H$30),'Bonding Program'!$T$30,0)</f>
        <v>0</v>
      </c>
      <c r="DD125" s="19" t="n">
        <f aca="false">IF(AND('Bonding Program'!$S$30=1,DD$3='Bonding Program'!$H$30),'Bonding Program'!$T$30,0)</f>
        <v>0</v>
      </c>
      <c r="DE125" s="19" t="n">
        <f aca="false">IF(AND('Bonding Program'!$S$30=1,DE$3='Bonding Program'!$H$30),'Bonding Program'!$T$30,0)</f>
        <v>0</v>
      </c>
    </row>
    <row r="126" customFormat="false" ht="15" hidden="false" customHeight="true" outlineLevel="1" collapsed="false">
      <c r="A126" s="28" t="s">
        <v>27</v>
      </c>
      <c r="B126" s="19" t="n">
        <f aca="false">IF(AND('Bonding Program'!$S$31=1,B$3='Bonding Program'!$H$31),'Bonding Program'!$T$31,0)</f>
        <v>0</v>
      </c>
      <c r="C126" s="19" t="n">
        <f aca="false">IF(AND('Bonding Program'!$S$31=1,C$3='Bonding Program'!$H$31),'Bonding Program'!$T$31,0)</f>
        <v>0</v>
      </c>
      <c r="D126" s="19" t="n">
        <f aca="false">IF(AND('Bonding Program'!$S$31=1,D$3='Bonding Program'!$H$31),'Bonding Program'!$T$31,0)</f>
        <v>0</v>
      </c>
      <c r="E126" s="19" t="n">
        <f aca="false">IF(AND('Bonding Program'!$S$31=1,E$3='Bonding Program'!$H$31),'Bonding Program'!$T$31,0)</f>
        <v>0</v>
      </c>
      <c r="F126" s="19" t="n">
        <f aca="false">IF(AND('Bonding Program'!$S$31=1,F$3='Bonding Program'!$H$31),'Bonding Program'!$T$31,0)</f>
        <v>0</v>
      </c>
      <c r="G126" s="19" t="n">
        <f aca="false">IF(AND('Bonding Program'!$S$31=1,G$3='Bonding Program'!$H$31),'Bonding Program'!$T$31,0)</f>
        <v>0</v>
      </c>
      <c r="H126" s="19" t="n">
        <f aca="false">IF(AND('Bonding Program'!$S$31=1,H$3='Bonding Program'!$H$31),'Bonding Program'!$T$31,0)</f>
        <v>0</v>
      </c>
      <c r="I126" s="19" t="n">
        <f aca="false">IF(AND('Bonding Program'!$S$31=1,I$3='Bonding Program'!$H$31),'Bonding Program'!$T$31,0)</f>
        <v>0</v>
      </c>
      <c r="J126" s="19" t="n">
        <f aca="false">IF(AND('Bonding Program'!$S$31=1,J$3='Bonding Program'!$H$31),'Bonding Program'!$T$31,0)</f>
        <v>0</v>
      </c>
      <c r="K126" s="19" t="n">
        <f aca="false">IF(AND('Bonding Program'!$S$31=1,K$3='Bonding Program'!$H$31),'Bonding Program'!$T$31,0)</f>
        <v>0</v>
      </c>
      <c r="L126" s="19" t="n">
        <f aca="false">IF(AND('Bonding Program'!$S$31=1,L$3='Bonding Program'!$H$31),'Bonding Program'!$T$31,0)</f>
        <v>0</v>
      </c>
      <c r="M126" s="19" t="n">
        <f aca="false">IF(AND('Bonding Program'!$S$31=1,M$3='Bonding Program'!$H$31),'Bonding Program'!$T$31,0)</f>
        <v>0</v>
      </c>
      <c r="N126" s="19" t="n">
        <f aca="false">IF(AND('Bonding Program'!$S$31=1,N$3='Bonding Program'!$H$31),'Bonding Program'!$T$31,0)</f>
        <v>0</v>
      </c>
      <c r="O126" s="19" t="n">
        <f aca="false">IF(AND('Bonding Program'!$S$31=1,O$3='Bonding Program'!$H$31),'Bonding Program'!$T$31,0)</f>
        <v>0</v>
      </c>
      <c r="P126" s="19" t="n">
        <f aca="false">IF(AND('Bonding Program'!$S$31=1,P$3='Bonding Program'!$H$31),'Bonding Program'!$T$31,0)</f>
        <v>0</v>
      </c>
      <c r="Q126" s="19" t="n">
        <f aca="false">IF(AND('Bonding Program'!$S$31=1,Q$3='Bonding Program'!$H$31),'Bonding Program'!$T$31,0)</f>
        <v>0</v>
      </c>
      <c r="R126" s="19" t="n">
        <f aca="false">IF(AND('Bonding Program'!$S$31=1,R$3='Bonding Program'!$H$31),'Bonding Program'!$T$31,0)</f>
        <v>0</v>
      </c>
      <c r="S126" s="19" t="n">
        <f aca="false">IF(AND('Bonding Program'!$S$31=1,S$3='Bonding Program'!$H$31),'Bonding Program'!$T$31,0)</f>
        <v>0</v>
      </c>
      <c r="T126" s="19" t="n">
        <f aca="false">IF(AND('Bonding Program'!$S$31=1,T$3='Bonding Program'!$H$31),'Bonding Program'!$T$31,0)</f>
        <v>0</v>
      </c>
      <c r="U126" s="19" t="n">
        <f aca="false">IF(AND('Bonding Program'!$S$31=1,U$3='Bonding Program'!$H$31),'Bonding Program'!$T$31,0)</f>
        <v>0</v>
      </c>
      <c r="V126" s="19" t="n">
        <f aca="false">IF(AND('Bonding Program'!$S$31=1,V$3='Bonding Program'!$H$31),'Bonding Program'!$T$31,0)</f>
        <v>0</v>
      </c>
      <c r="W126" s="19" t="n">
        <f aca="false">IF(AND('Bonding Program'!$S$31=1,W$3='Bonding Program'!$H$31),'Bonding Program'!$T$31,0)</f>
        <v>0</v>
      </c>
      <c r="X126" s="19" t="n">
        <f aca="false">IF(AND('Bonding Program'!$S$31=1,X$3='Bonding Program'!$H$31),'Bonding Program'!$T$31,0)</f>
        <v>0</v>
      </c>
      <c r="Y126" s="19" t="n">
        <f aca="false">IF(AND('Bonding Program'!$S$31=1,Y$3='Bonding Program'!$H$31),'Bonding Program'!$T$31,0)</f>
        <v>0</v>
      </c>
      <c r="Z126" s="19" t="n">
        <f aca="false">IF(AND('Bonding Program'!$S$31=1,Z$3='Bonding Program'!$H$31),'Bonding Program'!$T$31,0)</f>
        <v>0</v>
      </c>
      <c r="AA126" s="19" t="n">
        <f aca="false">IF(AND('Bonding Program'!$S$31=1,AA$3='Bonding Program'!$H$31),'Bonding Program'!$T$31,0)</f>
        <v>0</v>
      </c>
      <c r="AB126" s="19" t="n">
        <f aca="false">IF(AND('Bonding Program'!$S$31=1,AB$3='Bonding Program'!$H$31),'Bonding Program'!$T$31,0)</f>
        <v>0</v>
      </c>
      <c r="AC126" s="19" t="n">
        <f aca="false">IF(AND('Bonding Program'!$S$31=1,AC$3='Bonding Program'!$H$31),'Bonding Program'!$T$31,0)</f>
        <v>0</v>
      </c>
      <c r="AD126" s="19" t="n">
        <f aca="false">IF(AND('Bonding Program'!$S$31=1,AD$3='Bonding Program'!$H$31),'Bonding Program'!$T$31,0)</f>
        <v>0</v>
      </c>
      <c r="AE126" s="19" t="n">
        <f aca="false">IF(AND('Bonding Program'!$S$31=1,AE$3='Bonding Program'!$H$31),'Bonding Program'!$T$31,0)</f>
        <v>0</v>
      </c>
      <c r="AF126" s="19" t="n">
        <f aca="false">IF(AND('Bonding Program'!$S$31=1,AF$3='Bonding Program'!$H$31),'Bonding Program'!$T$31,0)</f>
        <v>0</v>
      </c>
      <c r="AG126" s="19" t="n">
        <f aca="false">IF(AND('Bonding Program'!$S$31=1,AG$3='Bonding Program'!$H$31),'Bonding Program'!$T$31,0)</f>
        <v>0</v>
      </c>
      <c r="AH126" s="19" t="n">
        <f aca="false">IF(AND('Bonding Program'!$S$31=1,AH$3='Bonding Program'!$H$31),'Bonding Program'!$T$31,0)</f>
        <v>0</v>
      </c>
      <c r="AI126" s="19" t="n">
        <f aca="false">IF(AND('Bonding Program'!$S$31=1,AI$3='Bonding Program'!$H$31),'Bonding Program'!$T$31,0)</f>
        <v>0</v>
      </c>
      <c r="AJ126" s="19" t="n">
        <f aca="false">IF(AND('Bonding Program'!$S$31=1,AJ$3='Bonding Program'!$H$31),'Bonding Program'!$T$31,0)</f>
        <v>0</v>
      </c>
      <c r="AK126" s="19" t="n">
        <f aca="false">IF(AND('Bonding Program'!$S$31=1,AK$3='Bonding Program'!$H$31),'Bonding Program'!$T$31,0)</f>
        <v>0</v>
      </c>
      <c r="AL126" s="19" t="n">
        <f aca="false">IF(AND('Bonding Program'!$S$31=1,AL$3='Bonding Program'!$H$31),'Bonding Program'!$T$31,0)</f>
        <v>0</v>
      </c>
      <c r="AM126" s="19" t="n">
        <f aca="false">IF(AND('Bonding Program'!$S$31=1,AM$3='Bonding Program'!$H$31),'Bonding Program'!$T$31,0)</f>
        <v>0</v>
      </c>
      <c r="AN126" s="19" t="n">
        <f aca="false">IF(AND('Bonding Program'!$S$31=1,AN$3='Bonding Program'!$H$31),'Bonding Program'!$T$31,0)</f>
        <v>0</v>
      </c>
      <c r="AO126" s="19" t="n">
        <f aca="false">IF(AND('Bonding Program'!$S$31=1,AO$3='Bonding Program'!$H$31),'Bonding Program'!$T$31,0)</f>
        <v>0</v>
      </c>
      <c r="AP126" s="19" t="n">
        <f aca="false">IF(AND('Bonding Program'!$S$31=1,AP$3='Bonding Program'!$H$31),'Bonding Program'!$T$31,0)</f>
        <v>0</v>
      </c>
      <c r="AQ126" s="19" t="n">
        <f aca="false">IF(AND('Bonding Program'!$S$31=1,AQ$3='Bonding Program'!$H$31),'Bonding Program'!$T$31,0)</f>
        <v>0</v>
      </c>
      <c r="AR126" s="19" t="n">
        <f aca="false">IF(AND('Bonding Program'!$S$31=1,AR$3='Bonding Program'!$H$31),'Bonding Program'!$T$31,0)</f>
        <v>0</v>
      </c>
      <c r="AS126" s="19" t="n">
        <f aca="false">IF(AND('Bonding Program'!$S$31=1,AS$3='Bonding Program'!$H$31),'Bonding Program'!$T$31,0)</f>
        <v>0</v>
      </c>
      <c r="AT126" s="19" t="n">
        <f aca="false">IF(AND('Bonding Program'!$S$31=1,AT$3='Bonding Program'!$H$31),'Bonding Program'!$T$31,0)</f>
        <v>0</v>
      </c>
      <c r="AU126" s="19" t="n">
        <f aca="false">IF(AND('Bonding Program'!$S$31=1,AU$3='Bonding Program'!$H$31),'Bonding Program'!$T$31,0)</f>
        <v>0</v>
      </c>
      <c r="AV126" s="19" t="n">
        <f aca="false">IF(AND('Bonding Program'!$S$31=1,AV$3='Bonding Program'!$H$31),'Bonding Program'!$T$31,0)</f>
        <v>0</v>
      </c>
      <c r="AW126" s="19" t="n">
        <f aca="false">IF(AND('Bonding Program'!$S$31=1,AW$3='Bonding Program'!$H$31),'Bonding Program'!$T$31,0)</f>
        <v>0</v>
      </c>
      <c r="AX126" s="19" t="n">
        <f aca="false">IF(AND('Bonding Program'!$S$31=1,AX$3='Bonding Program'!$H$31),'Bonding Program'!$T$31,0)</f>
        <v>0</v>
      </c>
      <c r="AY126" s="19" t="n">
        <f aca="false">IF(AND('Bonding Program'!$S$31=1,AY$3='Bonding Program'!$H$31),'Bonding Program'!$T$31,0)</f>
        <v>0</v>
      </c>
      <c r="AZ126" s="19" t="n">
        <f aca="false">IF(AND('Bonding Program'!$S$31=1,AZ$3='Bonding Program'!$H$31),'Bonding Program'!$T$31,0)</f>
        <v>0</v>
      </c>
      <c r="BA126" s="19" t="n">
        <f aca="false">IF(AND('Bonding Program'!$S$31=1,BA$3='Bonding Program'!$H$31),'Bonding Program'!$T$31,0)</f>
        <v>0</v>
      </c>
      <c r="BB126" s="19" t="n">
        <f aca="false">IF(AND('Bonding Program'!$S$31=1,BB$3='Bonding Program'!$H$31),'Bonding Program'!$T$31,0)</f>
        <v>0</v>
      </c>
      <c r="BC126" s="19" t="n">
        <f aca="false">IF(AND('Bonding Program'!$S$31=1,BC$3='Bonding Program'!$H$31),'Bonding Program'!$T$31,0)</f>
        <v>0</v>
      </c>
      <c r="BD126" s="19" t="n">
        <f aca="false">IF(AND('Bonding Program'!$S$31=1,BD$3='Bonding Program'!$H$31),'Bonding Program'!$T$31,0)</f>
        <v>0</v>
      </c>
      <c r="BE126" s="19" t="n">
        <f aca="false">IF(AND('Bonding Program'!$S$31=1,BE$3='Bonding Program'!$H$31),'Bonding Program'!$T$31,0)</f>
        <v>0</v>
      </c>
      <c r="BF126" s="19" t="n">
        <f aca="false">IF(AND('Bonding Program'!$S$31=1,BF$3='Bonding Program'!$H$31),'Bonding Program'!$T$31,0)</f>
        <v>0</v>
      </c>
      <c r="BG126" s="19" t="n">
        <f aca="false">IF(AND('Bonding Program'!$S$31=1,BG$3='Bonding Program'!$H$31),'Bonding Program'!$T$31,0)</f>
        <v>0</v>
      </c>
      <c r="BH126" s="19" t="n">
        <f aca="false">IF(AND('Bonding Program'!$S$31=1,BH$3='Bonding Program'!$H$31),'Bonding Program'!$T$31,0)</f>
        <v>0</v>
      </c>
      <c r="BI126" s="19" t="n">
        <f aca="false">IF(AND('Bonding Program'!$S$31=1,BI$3='Bonding Program'!$H$31),'Bonding Program'!$T$31,0)</f>
        <v>0</v>
      </c>
      <c r="BJ126" s="19" t="n">
        <f aca="false">IF(AND('Bonding Program'!$S$31=1,BJ$3='Bonding Program'!$H$31),'Bonding Program'!$T$31,0)</f>
        <v>0</v>
      </c>
      <c r="BK126" s="19" t="n">
        <f aca="false">IF(AND('Bonding Program'!$S$31=1,BK$3='Bonding Program'!$H$31),'Bonding Program'!$T$31,0)</f>
        <v>0</v>
      </c>
      <c r="BL126" s="19" t="n">
        <f aca="false">IF(AND('Bonding Program'!$S$31=1,BL$3='Bonding Program'!$H$31),'Bonding Program'!$T$31,0)</f>
        <v>0</v>
      </c>
      <c r="BM126" s="19" t="n">
        <f aca="false">IF(AND('Bonding Program'!$S$31=1,BM$3='Bonding Program'!$H$31),'Bonding Program'!$T$31,0)</f>
        <v>0</v>
      </c>
      <c r="BN126" s="19" t="n">
        <f aca="false">IF(AND('Bonding Program'!$S$31=1,BN$3='Bonding Program'!$H$31),'Bonding Program'!$T$31,0)</f>
        <v>0</v>
      </c>
      <c r="BO126" s="19" t="n">
        <f aca="false">IF(AND('Bonding Program'!$S$31=1,BO$3='Bonding Program'!$H$31),'Bonding Program'!$T$31,0)</f>
        <v>0</v>
      </c>
      <c r="BP126" s="19" t="n">
        <f aca="false">IF(AND('Bonding Program'!$S$31=1,BP$3='Bonding Program'!$H$31),'Bonding Program'!$T$31,0)</f>
        <v>0</v>
      </c>
      <c r="BQ126" s="19" t="n">
        <f aca="false">IF(AND('Bonding Program'!$S$31=1,BQ$3='Bonding Program'!$H$31),'Bonding Program'!$T$31,0)</f>
        <v>0</v>
      </c>
      <c r="BR126" s="19" t="n">
        <f aca="false">IF(AND('Bonding Program'!$S$31=1,BR$3='Bonding Program'!$H$31),'Bonding Program'!$T$31,0)</f>
        <v>0</v>
      </c>
      <c r="BS126" s="19" t="n">
        <f aca="false">IF(AND('Bonding Program'!$S$31=1,BS$3='Bonding Program'!$H$31),'Bonding Program'!$T$31,0)</f>
        <v>0</v>
      </c>
      <c r="BT126" s="19" t="n">
        <f aca="false">IF(AND('Bonding Program'!$S$31=1,BT$3='Bonding Program'!$H$31),'Bonding Program'!$T$31,0)</f>
        <v>0</v>
      </c>
      <c r="BU126" s="19" t="n">
        <f aca="false">IF(AND('Bonding Program'!$S$31=1,BU$3='Bonding Program'!$H$31),'Bonding Program'!$T$31,0)</f>
        <v>0</v>
      </c>
      <c r="BV126" s="19" t="n">
        <f aca="false">IF(AND('Bonding Program'!$S$31=1,BV$3='Bonding Program'!$H$31),'Bonding Program'!$T$31,0)</f>
        <v>0</v>
      </c>
      <c r="BW126" s="19" t="n">
        <f aca="false">IF(AND('Bonding Program'!$S$31=1,BW$3='Bonding Program'!$H$31),'Bonding Program'!$T$31,0)</f>
        <v>0</v>
      </c>
      <c r="BX126" s="19" t="n">
        <f aca="false">IF(AND('Bonding Program'!$S$31=1,BX$3='Bonding Program'!$H$31),'Bonding Program'!$T$31,0)</f>
        <v>0</v>
      </c>
      <c r="BY126" s="19" t="n">
        <f aca="false">IF(AND('Bonding Program'!$S$31=1,BY$3='Bonding Program'!$H$31),'Bonding Program'!$T$31,0)</f>
        <v>0</v>
      </c>
      <c r="BZ126" s="19" t="n">
        <f aca="false">IF(AND('Bonding Program'!$S$31=1,BZ$3='Bonding Program'!$H$31),'Bonding Program'!$T$31,0)</f>
        <v>0</v>
      </c>
      <c r="CA126" s="19" t="n">
        <f aca="false">IF(AND('Bonding Program'!$S$31=1,CA$3='Bonding Program'!$H$31),'Bonding Program'!$T$31,0)</f>
        <v>0</v>
      </c>
      <c r="CB126" s="19" t="n">
        <f aca="false">IF(AND('Bonding Program'!$S$31=1,CB$3='Bonding Program'!$H$31),'Bonding Program'!$T$31,0)</f>
        <v>0</v>
      </c>
      <c r="CC126" s="19" t="n">
        <f aca="false">IF(AND('Bonding Program'!$S$31=1,CC$3='Bonding Program'!$H$31),'Bonding Program'!$T$31,0)</f>
        <v>0</v>
      </c>
      <c r="CD126" s="19" t="n">
        <f aca="false">IF(AND('Bonding Program'!$S$31=1,CD$3='Bonding Program'!$H$31),'Bonding Program'!$T$31,0)</f>
        <v>0</v>
      </c>
      <c r="CE126" s="19" t="n">
        <f aca="false">IF(AND('Bonding Program'!$S$31=1,CE$3='Bonding Program'!$H$31),'Bonding Program'!$T$31,0)</f>
        <v>0</v>
      </c>
      <c r="CF126" s="19" t="n">
        <f aca="false">IF(AND('Bonding Program'!$S$31=1,CF$3='Bonding Program'!$H$31),'Bonding Program'!$T$31,0)</f>
        <v>0</v>
      </c>
      <c r="CG126" s="19" t="n">
        <f aca="false">IF(AND('Bonding Program'!$S$31=1,CG$3='Bonding Program'!$H$31),'Bonding Program'!$T$31,0)</f>
        <v>0</v>
      </c>
      <c r="CH126" s="19" t="n">
        <f aca="false">IF(AND('Bonding Program'!$S$31=1,CH$3='Bonding Program'!$H$31),'Bonding Program'!$T$31,0)</f>
        <v>0</v>
      </c>
      <c r="CI126" s="19" t="n">
        <f aca="false">IF(AND('Bonding Program'!$S$31=1,CI$3='Bonding Program'!$H$31),'Bonding Program'!$T$31,0)</f>
        <v>0</v>
      </c>
      <c r="CJ126" s="19" t="n">
        <f aca="false">IF(AND('Bonding Program'!$S$31=1,CJ$3='Bonding Program'!$H$31),'Bonding Program'!$T$31,0)</f>
        <v>0</v>
      </c>
      <c r="CK126" s="19" t="n">
        <f aca="false">IF(AND('Bonding Program'!$S$31=1,CK$3='Bonding Program'!$H$31),'Bonding Program'!$T$31,0)</f>
        <v>0</v>
      </c>
      <c r="CL126" s="19" t="n">
        <f aca="false">IF(AND('Bonding Program'!$S$31=1,CL$3='Bonding Program'!$H$31),'Bonding Program'!$T$31,0)</f>
        <v>0</v>
      </c>
      <c r="CM126" s="19" t="n">
        <f aca="false">IF(AND('Bonding Program'!$S$31=1,CM$3='Bonding Program'!$H$31),'Bonding Program'!$T$31,0)</f>
        <v>0</v>
      </c>
      <c r="CN126" s="19" t="n">
        <f aca="false">IF(AND('Bonding Program'!$S$31=1,CN$3='Bonding Program'!$H$31),'Bonding Program'!$T$31,0)</f>
        <v>0</v>
      </c>
      <c r="CO126" s="19" t="n">
        <f aca="false">IF(AND('Bonding Program'!$S$31=1,CO$3='Bonding Program'!$H$31),'Bonding Program'!$T$31,0)</f>
        <v>0</v>
      </c>
      <c r="CP126" s="19" t="n">
        <f aca="false">IF(AND('Bonding Program'!$S$31=1,CP$3='Bonding Program'!$H$31),'Bonding Program'!$T$31,0)</f>
        <v>0</v>
      </c>
      <c r="CQ126" s="19" t="n">
        <f aca="false">IF(AND('Bonding Program'!$S$31=1,CQ$3='Bonding Program'!$H$31),'Bonding Program'!$T$31,0)</f>
        <v>0</v>
      </c>
      <c r="CR126" s="19" t="n">
        <f aca="false">IF(AND('Bonding Program'!$S$31=1,CR$3='Bonding Program'!$H$31),'Bonding Program'!$T$31,0)</f>
        <v>0</v>
      </c>
      <c r="CS126" s="19" t="n">
        <f aca="false">IF(AND('Bonding Program'!$S$31=1,CS$3='Bonding Program'!$H$31),'Bonding Program'!$T$31,0)</f>
        <v>0</v>
      </c>
      <c r="CT126" s="19" t="n">
        <f aca="false">IF(AND('Bonding Program'!$S$31=1,CT$3='Bonding Program'!$H$31),'Bonding Program'!$T$31,0)</f>
        <v>0</v>
      </c>
      <c r="CU126" s="19" t="n">
        <f aca="false">IF(AND('Bonding Program'!$S$31=1,CU$3='Bonding Program'!$H$31),'Bonding Program'!$T$31,0)</f>
        <v>0</v>
      </c>
      <c r="CV126" s="19" t="n">
        <f aca="false">IF(AND('Bonding Program'!$S$31=1,CV$3='Bonding Program'!$H$31),'Bonding Program'!$T$31,0)</f>
        <v>0</v>
      </c>
      <c r="CW126" s="19" t="n">
        <f aca="false">IF(AND('Bonding Program'!$S$31=1,CW$3='Bonding Program'!$H$31),'Bonding Program'!$T$31,0)</f>
        <v>0</v>
      </c>
      <c r="CX126" s="19" t="n">
        <f aca="false">IF(AND('Bonding Program'!$S$31=1,CX$3='Bonding Program'!$H$31),'Bonding Program'!$T$31,0)</f>
        <v>0</v>
      </c>
      <c r="CY126" s="19" t="n">
        <f aca="false">IF(AND('Bonding Program'!$S$31=1,CY$3='Bonding Program'!$H$31),'Bonding Program'!$T$31,0)</f>
        <v>0</v>
      </c>
      <c r="CZ126" s="19" t="n">
        <f aca="false">IF(AND('Bonding Program'!$S$31=1,CZ$3='Bonding Program'!$H$31),'Bonding Program'!$T$31,0)</f>
        <v>0</v>
      </c>
      <c r="DA126" s="19" t="n">
        <f aca="false">IF(AND('Bonding Program'!$S$31=1,DA$3='Bonding Program'!$H$31),'Bonding Program'!$T$31,0)</f>
        <v>0</v>
      </c>
      <c r="DB126" s="19" t="n">
        <f aca="false">IF(AND('Bonding Program'!$S$31=1,DB$3='Bonding Program'!$H$31),'Bonding Program'!$T$31,0)</f>
        <v>0</v>
      </c>
      <c r="DC126" s="19" t="n">
        <f aca="false">IF(AND('Bonding Program'!$S$31=1,DC$3='Bonding Program'!$H$31),'Bonding Program'!$T$31,0)</f>
        <v>0</v>
      </c>
      <c r="DD126" s="19" t="n">
        <f aca="false">IF(AND('Bonding Program'!$S$31=1,DD$3='Bonding Program'!$H$31),'Bonding Program'!$T$31,0)</f>
        <v>0</v>
      </c>
      <c r="DE126" s="19" t="n">
        <f aca="false">IF(AND('Bonding Program'!$S$31=1,DE$3='Bonding Program'!$H$31),'Bonding Program'!$T$31,0)</f>
        <v>0</v>
      </c>
    </row>
    <row r="127" customFormat="false" ht="15" hidden="false" customHeight="true" outlineLevel="1" collapsed="false">
      <c r="A127" s="28" t="s">
        <v>28</v>
      </c>
      <c r="B127" s="19" t="n">
        <f aca="false">IF(AND('Bonding Program'!$S$32=1,B$3='Bonding Program'!$H$32),'Bonding Program'!$T$32,0)</f>
        <v>0</v>
      </c>
      <c r="C127" s="19" t="n">
        <f aca="false">IF(AND('Bonding Program'!$S$32=1,C$3='Bonding Program'!$H$32),'Bonding Program'!$T$32,0)</f>
        <v>0</v>
      </c>
      <c r="D127" s="19" t="n">
        <f aca="false">IF(AND('Bonding Program'!$S$32=1,D$3='Bonding Program'!$H$32),'Bonding Program'!$T$32,0)</f>
        <v>0</v>
      </c>
      <c r="E127" s="19" t="n">
        <f aca="false">IF(AND('Bonding Program'!$S$32=1,E$3='Bonding Program'!$H$32),'Bonding Program'!$T$32,0)</f>
        <v>0</v>
      </c>
      <c r="F127" s="19" t="n">
        <f aca="false">IF(AND('Bonding Program'!$S$32=1,F$3='Bonding Program'!$H$32),'Bonding Program'!$T$32,0)</f>
        <v>0</v>
      </c>
      <c r="G127" s="19" t="n">
        <f aca="false">IF(AND('Bonding Program'!$S$32=1,G$3='Bonding Program'!$H$32),'Bonding Program'!$T$32,0)</f>
        <v>0</v>
      </c>
      <c r="H127" s="19" t="n">
        <f aca="false">IF(AND('Bonding Program'!$S$32=1,H$3='Bonding Program'!$H$32),'Bonding Program'!$T$32,0)</f>
        <v>0</v>
      </c>
      <c r="I127" s="19" t="n">
        <f aca="false">IF(AND('Bonding Program'!$S$32=1,I$3='Bonding Program'!$H$32),'Bonding Program'!$T$32,0)</f>
        <v>0</v>
      </c>
      <c r="J127" s="19" t="n">
        <f aca="false">IF(AND('Bonding Program'!$S$32=1,J$3='Bonding Program'!$H$32),'Bonding Program'!$T$32,0)</f>
        <v>0</v>
      </c>
      <c r="K127" s="19" t="n">
        <f aca="false">IF(AND('Bonding Program'!$S$32=1,K$3='Bonding Program'!$H$32),'Bonding Program'!$T$32,0)</f>
        <v>0</v>
      </c>
      <c r="L127" s="19" t="n">
        <f aca="false">IF(AND('Bonding Program'!$S$32=1,L$3='Bonding Program'!$H$32),'Bonding Program'!$T$32,0)</f>
        <v>0</v>
      </c>
      <c r="M127" s="19" t="n">
        <f aca="false">IF(AND('Bonding Program'!$S$32=1,M$3='Bonding Program'!$H$32),'Bonding Program'!$T$32,0)</f>
        <v>0</v>
      </c>
      <c r="N127" s="19" t="n">
        <f aca="false">IF(AND('Bonding Program'!$S$32=1,N$3='Bonding Program'!$H$32),'Bonding Program'!$T$32,0)</f>
        <v>0</v>
      </c>
      <c r="O127" s="19" t="n">
        <f aca="false">IF(AND('Bonding Program'!$S$32=1,O$3='Bonding Program'!$H$32),'Bonding Program'!$T$32,0)</f>
        <v>0</v>
      </c>
      <c r="P127" s="19" t="n">
        <f aca="false">IF(AND('Bonding Program'!$S$32=1,P$3='Bonding Program'!$H$32),'Bonding Program'!$T$32,0)</f>
        <v>0</v>
      </c>
      <c r="Q127" s="19" t="n">
        <f aca="false">IF(AND('Bonding Program'!$S$32=1,Q$3='Bonding Program'!$H$32),'Bonding Program'!$T$32,0)</f>
        <v>0</v>
      </c>
      <c r="R127" s="19" t="n">
        <f aca="false">IF(AND('Bonding Program'!$S$32=1,R$3='Bonding Program'!$H$32),'Bonding Program'!$T$32,0)</f>
        <v>0</v>
      </c>
      <c r="S127" s="19" t="n">
        <f aca="false">IF(AND('Bonding Program'!$S$32=1,S$3='Bonding Program'!$H$32),'Bonding Program'!$T$32,0)</f>
        <v>0</v>
      </c>
      <c r="T127" s="19" t="n">
        <f aca="false">IF(AND('Bonding Program'!$S$32=1,T$3='Bonding Program'!$H$32),'Bonding Program'!$T$32,0)</f>
        <v>0</v>
      </c>
      <c r="U127" s="19" t="n">
        <f aca="false">IF(AND('Bonding Program'!$S$32=1,U$3='Bonding Program'!$H$32),'Bonding Program'!$T$32,0)</f>
        <v>0</v>
      </c>
      <c r="V127" s="19" t="n">
        <f aca="false">IF(AND('Bonding Program'!$S$32=1,V$3='Bonding Program'!$H$32),'Bonding Program'!$T$32,0)</f>
        <v>0</v>
      </c>
      <c r="W127" s="19" t="n">
        <f aca="false">IF(AND('Bonding Program'!$S$32=1,W$3='Bonding Program'!$H$32),'Bonding Program'!$T$32,0)</f>
        <v>0</v>
      </c>
      <c r="X127" s="19" t="n">
        <f aca="false">IF(AND('Bonding Program'!$S$32=1,X$3='Bonding Program'!$H$32),'Bonding Program'!$T$32,0)</f>
        <v>0</v>
      </c>
      <c r="Y127" s="19" t="n">
        <f aca="false">IF(AND('Bonding Program'!$S$32=1,Y$3='Bonding Program'!$H$32),'Bonding Program'!$T$32,0)</f>
        <v>0</v>
      </c>
      <c r="Z127" s="19" t="n">
        <f aca="false">IF(AND('Bonding Program'!$S$32=1,Z$3='Bonding Program'!$H$32),'Bonding Program'!$T$32,0)</f>
        <v>0</v>
      </c>
      <c r="AA127" s="19" t="n">
        <f aca="false">IF(AND('Bonding Program'!$S$32=1,AA$3='Bonding Program'!$H$32),'Bonding Program'!$T$32,0)</f>
        <v>0</v>
      </c>
      <c r="AB127" s="19" t="n">
        <f aca="false">IF(AND('Bonding Program'!$S$32=1,AB$3='Bonding Program'!$H$32),'Bonding Program'!$T$32,0)</f>
        <v>0</v>
      </c>
      <c r="AC127" s="19" t="n">
        <f aca="false">IF(AND('Bonding Program'!$S$32=1,AC$3='Bonding Program'!$H$32),'Bonding Program'!$T$32,0)</f>
        <v>0</v>
      </c>
      <c r="AD127" s="19" t="n">
        <f aca="false">IF(AND('Bonding Program'!$S$32=1,AD$3='Bonding Program'!$H$32),'Bonding Program'!$T$32,0)</f>
        <v>0</v>
      </c>
      <c r="AE127" s="19" t="n">
        <f aca="false">IF(AND('Bonding Program'!$S$32=1,AE$3='Bonding Program'!$H$32),'Bonding Program'!$T$32,0)</f>
        <v>0</v>
      </c>
      <c r="AF127" s="19" t="n">
        <f aca="false">IF(AND('Bonding Program'!$S$32=1,AF$3='Bonding Program'!$H$32),'Bonding Program'!$T$32,0)</f>
        <v>0</v>
      </c>
      <c r="AG127" s="19" t="n">
        <f aca="false">IF(AND('Bonding Program'!$S$32=1,AG$3='Bonding Program'!$H$32),'Bonding Program'!$T$32,0)</f>
        <v>0</v>
      </c>
      <c r="AH127" s="19" t="n">
        <f aca="false">IF(AND('Bonding Program'!$S$32=1,AH$3='Bonding Program'!$H$32),'Bonding Program'!$T$32,0)</f>
        <v>0</v>
      </c>
      <c r="AI127" s="19" t="n">
        <f aca="false">IF(AND('Bonding Program'!$S$32=1,AI$3='Bonding Program'!$H$32),'Bonding Program'!$T$32,0)</f>
        <v>0</v>
      </c>
      <c r="AJ127" s="19" t="n">
        <f aca="false">IF(AND('Bonding Program'!$S$32=1,AJ$3='Bonding Program'!$H$32),'Bonding Program'!$T$32,0)</f>
        <v>0</v>
      </c>
      <c r="AK127" s="19" t="n">
        <f aca="false">IF(AND('Bonding Program'!$S$32=1,AK$3='Bonding Program'!$H$32),'Bonding Program'!$T$32,0)</f>
        <v>0</v>
      </c>
      <c r="AL127" s="19" t="n">
        <f aca="false">IF(AND('Bonding Program'!$S$32=1,AL$3='Bonding Program'!$H$32),'Bonding Program'!$T$32,0)</f>
        <v>0</v>
      </c>
      <c r="AM127" s="19" t="n">
        <f aca="false">IF(AND('Bonding Program'!$S$32=1,AM$3='Bonding Program'!$H$32),'Bonding Program'!$T$32,0)</f>
        <v>0</v>
      </c>
      <c r="AN127" s="19" t="n">
        <f aca="false">IF(AND('Bonding Program'!$S$32=1,AN$3='Bonding Program'!$H$32),'Bonding Program'!$T$32,0)</f>
        <v>0</v>
      </c>
      <c r="AO127" s="19" t="n">
        <f aca="false">IF(AND('Bonding Program'!$S$32=1,AO$3='Bonding Program'!$H$32),'Bonding Program'!$T$32,0)</f>
        <v>0</v>
      </c>
      <c r="AP127" s="19" t="n">
        <f aca="false">IF(AND('Bonding Program'!$S$32=1,AP$3='Bonding Program'!$H$32),'Bonding Program'!$T$32,0)</f>
        <v>0</v>
      </c>
      <c r="AQ127" s="19" t="n">
        <f aca="false">IF(AND('Bonding Program'!$S$32=1,AQ$3='Bonding Program'!$H$32),'Bonding Program'!$T$32,0)</f>
        <v>0</v>
      </c>
      <c r="AR127" s="19" t="n">
        <f aca="false">IF(AND('Bonding Program'!$S$32=1,AR$3='Bonding Program'!$H$32),'Bonding Program'!$T$32,0)</f>
        <v>0</v>
      </c>
      <c r="AS127" s="19" t="n">
        <f aca="false">IF(AND('Bonding Program'!$S$32=1,AS$3='Bonding Program'!$H$32),'Bonding Program'!$T$32,0)</f>
        <v>0</v>
      </c>
      <c r="AT127" s="19" t="n">
        <f aca="false">IF(AND('Bonding Program'!$S$32=1,AT$3='Bonding Program'!$H$32),'Bonding Program'!$T$32,0)</f>
        <v>0</v>
      </c>
      <c r="AU127" s="19" t="n">
        <f aca="false">IF(AND('Bonding Program'!$S$32=1,AU$3='Bonding Program'!$H$32),'Bonding Program'!$T$32,0)</f>
        <v>0</v>
      </c>
      <c r="AV127" s="19" t="n">
        <f aca="false">IF(AND('Bonding Program'!$S$32=1,AV$3='Bonding Program'!$H$32),'Bonding Program'!$T$32,0)</f>
        <v>0</v>
      </c>
      <c r="AW127" s="19" t="n">
        <f aca="false">IF(AND('Bonding Program'!$S$32=1,AW$3='Bonding Program'!$H$32),'Bonding Program'!$T$32,0)</f>
        <v>0</v>
      </c>
      <c r="AX127" s="19" t="n">
        <f aca="false">IF(AND('Bonding Program'!$S$32=1,AX$3='Bonding Program'!$H$32),'Bonding Program'!$T$32,0)</f>
        <v>0</v>
      </c>
      <c r="AY127" s="19" t="n">
        <f aca="false">IF(AND('Bonding Program'!$S$32=1,AY$3='Bonding Program'!$H$32),'Bonding Program'!$T$32,0)</f>
        <v>0</v>
      </c>
      <c r="AZ127" s="19" t="n">
        <f aca="false">IF(AND('Bonding Program'!$S$32=1,AZ$3='Bonding Program'!$H$32),'Bonding Program'!$T$32,0)</f>
        <v>0</v>
      </c>
      <c r="BA127" s="19" t="n">
        <f aca="false">IF(AND('Bonding Program'!$S$32=1,BA$3='Bonding Program'!$H$32),'Bonding Program'!$T$32,0)</f>
        <v>0</v>
      </c>
      <c r="BB127" s="19" t="n">
        <f aca="false">IF(AND('Bonding Program'!$S$32=1,BB$3='Bonding Program'!$H$32),'Bonding Program'!$T$32,0)</f>
        <v>0</v>
      </c>
      <c r="BC127" s="19" t="n">
        <f aca="false">IF(AND('Bonding Program'!$S$32=1,BC$3='Bonding Program'!$H$32),'Bonding Program'!$T$32,0)</f>
        <v>0</v>
      </c>
      <c r="BD127" s="19" t="n">
        <f aca="false">IF(AND('Bonding Program'!$S$32=1,BD$3='Bonding Program'!$H$32),'Bonding Program'!$T$32,0)</f>
        <v>0</v>
      </c>
      <c r="BE127" s="19" t="n">
        <f aca="false">IF(AND('Bonding Program'!$S$32=1,BE$3='Bonding Program'!$H$32),'Bonding Program'!$T$32,0)</f>
        <v>0</v>
      </c>
      <c r="BF127" s="19" t="n">
        <f aca="false">IF(AND('Bonding Program'!$S$32=1,BF$3='Bonding Program'!$H$32),'Bonding Program'!$T$32,0)</f>
        <v>0</v>
      </c>
      <c r="BG127" s="19" t="n">
        <f aca="false">IF(AND('Bonding Program'!$S$32=1,BG$3='Bonding Program'!$H$32),'Bonding Program'!$T$32,0)</f>
        <v>0</v>
      </c>
      <c r="BH127" s="19" t="n">
        <f aca="false">IF(AND('Bonding Program'!$S$32=1,BH$3='Bonding Program'!$H$32),'Bonding Program'!$T$32,0)</f>
        <v>0</v>
      </c>
      <c r="BI127" s="19" t="n">
        <f aca="false">IF(AND('Bonding Program'!$S$32=1,BI$3='Bonding Program'!$H$32),'Bonding Program'!$T$32,0)</f>
        <v>0</v>
      </c>
      <c r="BJ127" s="19" t="n">
        <f aca="false">IF(AND('Bonding Program'!$S$32=1,BJ$3='Bonding Program'!$H$32),'Bonding Program'!$T$32,0)</f>
        <v>0</v>
      </c>
      <c r="BK127" s="19" t="n">
        <f aca="false">IF(AND('Bonding Program'!$S$32=1,BK$3='Bonding Program'!$H$32),'Bonding Program'!$T$32,0)</f>
        <v>0</v>
      </c>
      <c r="BL127" s="19" t="n">
        <f aca="false">IF(AND('Bonding Program'!$S$32=1,BL$3='Bonding Program'!$H$32),'Bonding Program'!$T$32,0)</f>
        <v>0</v>
      </c>
      <c r="BM127" s="19" t="n">
        <f aca="false">IF(AND('Bonding Program'!$S$32=1,BM$3='Bonding Program'!$H$32),'Bonding Program'!$T$32,0)</f>
        <v>0</v>
      </c>
      <c r="BN127" s="19" t="n">
        <f aca="false">IF(AND('Bonding Program'!$S$32=1,BN$3='Bonding Program'!$H$32),'Bonding Program'!$T$32,0)</f>
        <v>0</v>
      </c>
      <c r="BO127" s="19" t="n">
        <f aca="false">IF(AND('Bonding Program'!$S$32=1,BO$3='Bonding Program'!$H$32),'Bonding Program'!$T$32,0)</f>
        <v>0</v>
      </c>
      <c r="BP127" s="19" t="n">
        <f aca="false">IF(AND('Bonding Program'!$S$32=1,BP$3='Bonding Program'!$H$32),'Bonding Program'!$T$32,0)</f>
        <v>0</v>
      </c>
      <c r="BQ127" s="19" t="n">
        <f aca="false">IF(AND('Bonding Program'!$S$32=1,BQ$3='Bonding Program'!$H$32),'Bonding Program'!$T$32,0)</f>
        <v>0</v>
      </c>
      <c r="BR127" s="19" t="n">
        <f aca="false">IF(AND('Bonding Program'!$S$32=1,BR$3='Bonding Program'!$H$32),'Bonding Program'!$T$32,0)</f>
        <v>0</v>
      </c>
      <c r="BS127" s="19" t="n">
        <f aca="false">IF(AND('Bonding Program'!$S$32=1,BS$3='Bonding Program'!$H$32),'Bonding Program'!$T$32,0)</f>
        <v>0</v>
      </c>
      <c r="BT127" s="19" t="n">
        <f aca="false">IF(AND('Bonding Program'!$S$32=1,BT$3='Bonding Program'!$H$32),'Bonding Program'!$T$32,0)</f>
        <v>0</v>
      </c>
      <c r="BU127" s="19" t="n">
        <f aca="false">IF(AND('Bonding Program'!$S$32=1,BU$3='Bonding Program'!$H$32),'Bonding Program'!$T$32,0)</f>
        <v>0</v>
      </c>
      <c r="BV127" s="19" t="n">
        <f aca="false">IF(AND('Bonding Program'!$S$32=1,BV$3='Bonding Program'!$H$32),'Bonding Program'!$T$32,0)</f>
        <v>0</v>
      </c>
      <c r="BW127" s="19" t="n">
        <f aca="false">IF(AND('Bonding Program'!$S$32=1,BW$3='Bonding Program'!$H$32),'Bonding Program'!$T$32,0)</f>
        <v>0</v>
      </c>
      <c r="BX127" s="19" t="n">
        <f aca="false">IF(AND('Bonding Program'!$S$32=1,BX$3='Bonding Program'!$H$32),'Bonding Program'!$T$32,0)</f>
        <v>0</v>
      </c>
      <c r="BY127" s="19" t="n">
        <f aca="false">IF(AND('Bonding Program'!$S$32=1,BY$3='Bonding Program'!$H$32),'Bonding Program'!$T$32,0)</f>
        <v>0</v>
      </c>
      <c r="BZ127" s="19" t="n">
        <f aca="false">IF(AND('Bonding Program'!$S$32=1,BZ$3='Bonding Program'!$H$32),'Bonding Program'!$T$32,0)</f>
        <v>0</v>
      </c>
      <c r="CA127" s="19" t="n">
        <f aca="false">IF(AND('Bonding Program'!$S$32=1,CA$3='Bonding Program'!$H$32),'Bonding Program'!$T$32,0)</f>
        <v>0</v>
      </c>
      <c r="CB127" s="19" t="n">
        <f aca="false">IF(AND('Bonding Program'!$S$32=1,CB$3='Bonding Program'!$H$32),'Bonding Program'!$T$32,0)</f>
        <v>0</v>
      </c>
      <c r="CC127" s="19" t="n">
        <f aca="false">IF(AND('Bonding Program'!$S$32=1,CC$3='Bonding Program'!$H$32),'Bonding Program'!$T$32,0)</f>
        <v>0</v>
      </c>
      <c r="CD127" s="19" t="n">
        <f aca="false">IF(AND('Bonding Program'!$S$32=1,CD$3='Bonding Program'!$H$32),'Bonding Program'!$T$32,0)</f>
        <v>0</v>
      </c>
      <c r="CE127" s="19" t="n">
        <f aca="false">IF(AND('Bonding Program'!$S$32=1,CE$3='Bonding Program'!$H$32),'Bonding Program'!$T$32,0)</f>
        <v>0</v>
      </c>
      <c r="CF127" s="19" t="n">
        <f aca="false">IF(AND('Bonding Program'!$S$32=1,CF$3='Bonding Program'!$H$32),'Bonding Program'!$T$32,0)</f>
        <v>0</v>
      </c>
      <c r="CG127" s="19" t="n">
        <f aca="false">IF(AND('Bonding Program'!$S$32=1,CG$3='Bonding Program'!$H$32),'Bonding Program'!$T$32,0)</f>
        <v>0</v>
      </c>
      <c r="CH127" s="19" t="n">
        <f aca="false">IF(AND('Bonding Program'!$S$32=1,CH$3='Bonding Program'!$H$32),'Bonding Program'!$T$32,0)</f>
        <v>0</v>
      </c>
      <c r="CI127" s="19" t="n">
        <f aca="false">IF(AND('Bonding Program'!$S$32=1,CI$3='Bonding Program'!$H$32),'Bonding Program'!$T$32,0)</f>
        <v>0</v>
      </c>
      <c r="CJ127" s="19" t="n">
        <f aca="false">IF(AND('Bonding Program'!$S$32=1,CJ$3='Bonding Program'!$H$32),'Bonding Program'!$T$32,0)</f>
        <v>0</v>
      </c>
      <c r="CK127" s="19" t="n">
        <f aca="false">IF(AND('Bonding Program'!$S$32=1,CK$3='Bonding Program'!$H$32),'Bonding Program'!$T$32,0)</f>
        <v>0</v>
      </c>
      <c r="CL127" s="19" t="n">
        <f aca="false">IF(AND('Bonding Program'!$S$32=1,CL$3='Bonding Program'!$H$32),'Bonding Program'!$T$32,0)</f>
        <v>0</v>
      </c>
      <c r="CM127" s="19" t="n">
        <f aca="false">IF(AND('Bonding Program'!$S$32=1,CM$3='Bonding Program'!$H$32),'Bonding Program'!$T$32,0)</f>
        <v>0</v>
      </c>
      <c r="CN127" s="19" t="n">
        <f aca="false">IF(AND('Bonding Program'!$S$32=1,CN$3='Bonding Program'!$H$32),'Bonding Program'!$T$32,0)</f>
        <v>0</v>
      </c>
      <c r="CO127" s="19" t="n">
        <f aca="false">IF(AND('Bonding Program'!$S$32=1,CO$3='Bonding Program'!$H$32),'Bonding Program'!$T$32,0)</f>
        <v>0</v>
      </c>
      <c r="CP127" s="19" t="n">
        <f aca="false">IF(AND('Bonding Program'!$S$32=1,CP$3='Bonding Program'!$H$32),'Bonding Program'!$T$32,0)</f>
        <v>0</v>
      </c>
      <c r="CQ127" s="19" t="n">
        <f aca="false">IF(AND('Bonding Program'!$S$32=1,CQ$3='Bonding Program'!$H$32),'Bonding Program'!$T$32,0)</f>
        <v>0</v>
      </c>
      <c r="CR127" s="19" t="n">
        <f aca="false">IF(AND('Bonding Program'!$S$32=1,CR$3='Bonding Program'!$H$32),'Bonding Program'!$T$32,0)</f>
        <v>0</v>
      </c>
      <c r="CS127" s="19" t="n">
        <f aca="false">IF(AND('Bonding Program'!$S$32=1,CS$3='Bonding Program'!$H$32),'Bonding Program'!$T$32,0)</f>
        <v>0</v>
      </c>
      <c r="CT127" s="19" t="n">
        <f aca="false">IF(AND('Bonding Program'!$S$32=1,CT$3='Bonding Program'!$H$32),'Bonding Program'!$T$32,0)</f>
        <v>0</v>
      </c>
      <c r="CU127" s="19" t="n">
        <f aca="false">IF(AND('Bonding Program'!$S$32=1,CU$3='Bonding Program'!$H$32),'Bonding Program'!$T$32,0)</f>
        <v>0</v>
      </c>
      <c r="CV127" s="19" t="n">
        <f aca="false">IF(AND('Bonding Program'!$S$32=1,CV$3='Bonding Program'!$H$32),'Bonding Program'!$T$32,0)</f>
        <v>0</v>
      </c>
      <c r="CW127" s="19" t="n">
        <f aca="false">IF(AND('Bonding Program'!$S$32=1,CW$3='Bonding Program'!$H$32),'Bonding Program'!$T$32,0)</f>
        <v>0</v>
      </c>
      <c r="CX127" s="19" t="n">
        <f aca="false">IF(AND('Bonding Program'!$S$32=1,CX$3='Bonding Program'!$H$32),'Bonding Program'!$T$32,0)</f>
        <v>0</v>
      </c>
      <c r="CY127" s="19" t="n">
        <f aca="false">IF(AND('Bonding Program'!$S$32=1,CY$3='Bonding Program'!$H$32),'Bonding Program'!$T$32,0)</f>
        <v>0</v>
      </c>
      <c r="CZ127" s="19" t="n">
        <f aca="false">IF(AND('Bonding Program'!$S$32=1,CZ$3='Bonding Program'!$H$32),'Bonding Program'!$T$32,0)</f>
        <v>0</v>
      </c>
      <c r="DA127" s="19" t="n">
        <f aca="false">IF(AND('Bonding Program'!$S$32=1,DA$3='Bonding Program'!$H$32),'Bonding Program'!$T$32,0)</f>
        <v>0</v>
      </c>
      <c r="DB127" s="19" t="n">
        <f aca="false">IF(AND('Bonding Program'!$S$32=1,DB$3='Bonding Program'!$H$32),'Bonding Program'!$T$32,0)</f>
        <v>0</v>
      </c>
      <c r="DC127" s="19" t="n">
        <f aca="false">IF(AND('Bonding Program'!$S$32=1,DC$3='Bonding Program'!$H$32),'Bonding Program'!$T$32,0)</f>
        <v>0</v>
      </c>
      <c r="DD127" s="19" t="n">
        <f aca="false">IF(AND('Bonding Program'!$S$32=1,DD$3='Bonding Program'!$H$32),'Bonding Program'!$T$32,0)</f>
        <v>0</v>
      </c>
      <c r="DE127" s="19" t="n">
        <f aca="false">IF(AND('Bonding Program'!$S$32=1,DE$3='Bonding Program'!$H$32),'Bonding Program'!$T$32,0)</f>
        <v>0</v>
      </c>
    </row>
    <row r="128" customFormat="false" ht="15" hidden="false" customHeight="true" outlineLevel="1" collapsed="false">
      <c r="A128" s="28" t="s">
        <v>29</v>
      </c>
      <c r="B128" s="19" t="n">
        <f aca="false">IF(AND('Bonding Program'!$S$33=1,B$3='Bonding Program'!$H$33),'Bonding Program'!$T$33,0)</f>
        <v>0</v>
      </c>
      <c r="C128" s="19" t="n">
        <f aca="false">IF(AND('Bonding Program'!$S$33=1,C$3='Bonding Program'!$H$33),'Bonding Program'!$T$33,0)</f>
        <v>0</v>
      </c>
      <c r="D128" s="19" t="n">
        <f aca="false">IF(AND('Bonding Program'!$S$33=1,D$3='Bonding Program'!$H$33),'Bonding Program'!$T$33,0)</f>
        <v>0</v>
      </c>
      <c r="E128" s="19" t="n">
        <f aca="false">IF(AND('Bonding Program'!$S$33=1,E$3='Bonding Program'!$H$33),'Bonding Program'!$T$33,0)</f>
        <v>0</v>
      </c>
      <c r="F128" s="19" t="n">
        <f aca="false">IF(AND('Bonding Program'!$S$33=1,F$3='Bonding Program'!$H$33),'Bonding Program'!$T$33,0)</f>
        <v>0</v>
      </c>
      <c r="G128" s="19" t="n">
        <f aca="false">IF(AND('Bonding Program'!$S$33=1,G$3='Bonding Program'!$H$33),'Bonding Program'!$T$33,0)</f>
        <v>0</v>
      </c>
      <c r="H128" s="19" t="n">
        <f aca="false">IF(AND('Bonding Program'!$S$33=1,H$3='Bonding Program'!$H$33),'Bonding Program'!$T$33,0)</f>
        <v>0</v>
      </c>
      <c r="I128" s="19" t="n">
        <f aca="false">IF(AND('Bonding Program'!$S$33=1,I$3='Bonding Program'!$H$33),'Bonding Program'!$T$33,0)</f>
        <v>0</v>
      </c>
      <c r="J128" s="19" t="n">
        <f aca="false">IF(AND('Bonding Program'!$S$33=1,J$3='Bonding Program'!$H$33),'Bonding Program'!$T$33,0)</f>
        <v>0</v>
      </c>
      <c r="K128" s="19" t="n">
        <f aca="false">IF(AND('Bonding Program'!$S$33=1,K$3='Bonding Program'!$H$33),'Bonding Program'!$T$33,0)</f>
        <v>0</v>
      </c>
      <c r="L128" s="19" t="n">
        <f aca="false">IF(AND('Bonding Program'!$S$33=1,L$3='Bonding Program'!$H$33),'Bonding Program'!$T$33,0)</f>
        <v>0</v>
      </c>
      <c r="M128" s="19" t="n">
        <f aca="false">IF(AND('Bonding Program'!$S$33=1,M$3='Bonding Program'!$H$33),'Bonding Program'!$T$33,0)</f>
        <v>0</v>
      </c>
      <c r="N128" s="19" t="n">
        <f aca="false">IF(AND('Bonding Program'!$S$33=1,N$3='Bonding Program'!$H$33),'Bonding Program'!$T$33,0)</f>
        <v>0</v>
      </c>
      <c r="O128" s="19" t="n">
        <f aca="false">IF(AND('Bonding Program'!$S$33=1,O$3='Bonding Program'!$H$33),'Bonding Program'!$T$33,0)</f>
        <v>0</v>
      </c>
      <c r="P128" s="19" t="n">
        <f aca="false">IF(AND('Bonding Program'!$S$33=1,P$3='Bonding Program'!$H$33),'Bonding Program'!$T$33,0)</f>
        <v>0</v>
      </c>
      <c r="Q128" s="19" t="n">
        <f aca="false">IF(AND('Bonding Program'!$S$33=1,Q$3='Bonding Program'!$H$33),'Bonding Program'!$T$33,0)</f>
        <v>0</v>
      </c>
      <c r="R128" s="19" t="n">
        <f aca="false">IF(AND('Bonding Program'!$S$33=1,R$3='Bonding Program'!$H$33),'Bonding Program'!$T$33,0)</f>
        <v>0</v>
      </c>
      <c r="S128" s="19" t="n">
        <f aca="false">IF(AND('Bonding Program'!$S$33=1,S$3='Bonding Program'!$H$33),'Bonding Program'!$T$33,0)</f>
        <v>0</v>
      </c>
      <c r="T128" s="19" t="n">
        <f aca="false">IF(AND('Bonding Program'!$S$33=1,T$3='Bonding Program'!$H$33),'Bonding Program'!$T$33,0)</f>
        <v>0</v>
      </c>
      <c r="U128" s="19" t="n">
        <f aca="false">IF(AND('Bonding Program'!$S$33=1,U$3='Bonding Program'!$H$33),'Bonding Program'!$T$33,0)</f>
        <v>0</v>
      </c>
      <c r="V128" s="19" t="n">
        <f aca="false">IF(AND('Bonding Program'!$S$33=1,V$3='Bonding Program'!$H$33),'Bonding Program'!$T$33,0)</f>
        <v>0</v>
      </c>
      <c r="W128" s="19" t="n">
        <f aca="false">IF(AND('Bonding Program'!$S$33=1,W$3='Bonding Program'!$H$33),'Bonding Program'!$T$33,0)</f>
        <v>0</v>
      </c>
      <c r="X128" s="19" t="n">
        <f aca="false">IF(AND('Bonding Program'!$S$33=1,X$3='Bonding Program'!$H$33),'Bonding Program'!$T$33,0)</f>
        <v>0</v>
      </c>
      <c r="Y128" s="19" t="n">
        <f aca="false">IF(AND('Bonding Program'!$S$33=1,Y$3='Bonding Program'!$H$33),'Bonding Program'!$T$33,0)</f>
        <v>0</v>
      </c>
      <c r="Z128" s="19" t="n">
        <f aca="false">IF(AND('Bonding Program'!$S$33=1,Z$3='Bonding Program'!$H$33),'Bonding Program'!$T$33,0)</f>
        <v>0</v>
      </c>
      <c r="AA128" s="19" t="n">
        <f aca="false">IF(AND('Bonding Program'!$S$33=1,AA$3='Bonding Program'!$H$33),'Bonding Program'!$T$33,0)</f>
        <v>0</v>
      </c>
      <c r="AB128" s="19" t="n">
        <f aca="false">IF(AND('Bonding Program'!$S$33=1,AB$3='Bonding Program'!$H$33),'Bonding Program'!$T$33,0)</f>
        <v>0</v>
      </c>
      <c r="AC128" s="19" t="n">
        <f aca="false">IF(AND('Bonding Program'!$S$33=1,AC$3='Bonding Program'!$H$33),'Bonding Program'!$T$33,0)</f>
        <v>0</v>
      </c>
      <c r="AD128" s="19" t="n">
        <f aca="false">IF(AND('Bonding Program'!$S$33=1,AD$3='Bonding Program'!$H$33),'Bonding Program'!$T$33,0)</f>
        <v>0</v>
      </c>
      <c r="AE128" s="19" t="n">
        <f aca="false">IF(AND('Bonding Program'!$S$33=1,AE$3='Bonding Program'!$H$33),'Bonding Program'!$T$33,0)</f>
        <v>0</v>
      </c>
      <c r="AF128" s="19" t="n">
        <f aca="false">IF(AND('Bonding Program'!$S$33=1,AF$3='Bonding Program'!$H$33),'Bonding Program'!$T$33,0)</f>
        <v>0</v>
      </c>
      <c r="AG128" s="19" t="n">
        <f aca="false">IF(AND('Bonding Program'!$S$33=1,AG$3='Bonding Program'!$H$33),'Bonding Program'!$T$33,0)</f>
        <v>0</v>
      </c>
      <c r="AH128" s="19" t="n">
        <f aca="false">IF(AND('Bonding Program'!$S$33=1,AH$3='Bonding Program'!$H$33),'Bonding Program'!$T$33,0)</f>
        <v>0</v>
      </c>
      <c r="AI128" s="19" t="n">
        <f aca="false">IF(AND('Bonding Program'!$S$33=1,AI$3='Bonding Program'!$H$33),'Bonding Program'!$T$33,0)</f>
        <v>0</v>
      </c>
      <c r="AJ128" s="19" t="n">
        <f aca="false">IF(AND('Bonding Program'!$S$33=1,AJ$3='Bonding Program'!$H$33),'Bonding Program'!$T$33,0)</f>
        <v>0</v>
      </c>
      <c r="AK128" s="19" t="n">
        <f aca="false">IF(AND('Bonding Program'!$S$33=1,AK$3='Bonding Program'!$H$33),'Bonding Program'!$T$33,0)</f>
        <v>0</v>
      </c>
      <c r="AL128" s="19" t="n">
        <f aca="false">IF(AND('Bonding Program'!$S$33=1,AL$3='Bonding Program'!$H$33),'Bonding Program'!$T$33,0)</f>
        <v>0</v>
      </c>
      <c r="AM128" s="19" t="n">
        <f aca="false">IF(AND('Bonding Program'!$S$33=1,AM$3='Bonding Program'!$H$33),'Bonding Program'!$T$33,0)</f>
        <v>0</v>
      </c>
      <c r="AN128" s="19" t="n">
        <f aca="false">IF(AND('Bonding Program'!$S$33=1,AN$3='Bonding Program'!$H$33),'Bonding Program'!$T$33,0)</f>
        <v>0</v>
      </c>
      <c r="AO128" s="19" t="n">
        <f aca="false">IF(AND('Bonding Program'!$S$33=1,AO$3='Bonding Program'!$H$33),'Bonding Program'!$T$33,0)</f>
        <v>0</v>
      </c>
      <c r="AP128" s="19" t="n">
        <f aca="false">IF(AND('Bonding Program'!$S$33=1,AP$3='Bonding Program'!$H$33),'Bonding Program'!$T$33,0)</f>
        <v>0</v>
      </c>
      <c r="AQ128" s="19" t="n">
        <f aca="false">IF(AND('Bonding Program'!$S$33=1,AQ$3='Bonding Program'!$H$33),'Bonding Program'!$T$33,0)</f>
        <v>0</v>
      </c>
      <c r="AR128" s="19" t="n">
        <f aca="false">IF(AND('Bonding Program'!$S$33=1,AR$3='Bonding Program'!$H$33),'Bonding Program'!$T$33,0)</f>
        <v>0</v>
      </c>
      <c r="AS128" s="19" t="n">
        <f aca="false">IF(AND('Bonding Program'!$S$33=1,AS$3='Bonding Program'!$H$33),'Bonding Program'!$T$33,0)</f>
        <v>0</v>
      </c>
      <c r="AT128" s="19" t="n">
        <f aca="false">IF(AND('Bonding Program'!$S$33=1,AT$3='Bonding Program'!$H$33),'Bonding Program'!$T$33,0)</f>
        <v>0</v>
      </c>
      <c r="AU128" s="19" t="n">
        <f aca="false">IF(AND('Bonding Program'!$S$33=1,AU$3='Bonding Program'!$H$33),'Bonding Program'!$T$33,0)</f>
        <v>0</v>
      </c>
      <c r="AV128" s="19" t="n">
        <f aca="false">IF(AND('Bonding Program'!$S$33=1,AV$3='Bonding Program'!$H$33),'Bonding Program'!$T$33,0)</f>
        <v>0</v>
      </c>
      <c r="AW128" s="19" t="n">
        <f aca="false">IF(AND('Bonding Program'!$S$33=1,AW$3='Bonding Program'!$H$33),'Bonding Program'!$T$33,0)</f>
        <v>0</v>
      </c>
      <c r="AX128" s="19" t="n">
        <f aca="false">IF(AND('Bonding Program'!$S$33=1,AX$3='Bonding Program'!$H$33),'Bonding Program'!$T$33,0)</f>
        <v>0</v>
      </c>
      <c r="AY128" s="19" t="n">
        <f aca="false">IF(AND('Bonding Program'!$S$33=1,AY$3='Bonding Program'!$H$33),'Bonding Program'!$T$33,0)</f>
        <v>0</v>
      </c>
      <c r="AZ128" s="19" t="n">
        <f aca="false">IF(AND('Bonding Program'!$S$33=1,AZ$3='Bonding Program'!$H$33),'Bonding Program'!$T$33,0)</f>
        <v>0</v>
      </c>
      <c r="BA128" s="19" t="n">
        <f aca="false">IF(AND('Bonding Program'!$S$33=1,BA$3='Bonding Program'!$H$33),'Bonding Program'!$T$33,0)</f>
        <v>0</v>
      </c>
      <c r="BB128" s="19" t="n">
        <f aca="false">IF(AND('Bonding Program'!$S$33=1,BB$3='Bonding Program'!$H$33),'Bonding Program'!$T$33,0)</f>
        <v>0</v>
      </c>
      <c r="BC128" s="19" t="n">
        <f aca="false">IF(AND('Bonding Program'!$S$33=1,BC$3='Bonding Program'!$H$33),'Bonding Program'!$T$33,0)</f>
        <v>0</v>
      </c>
      <c r="BD128" s="19" t="n">
        <f aca="false">IF(AND('Bonding Program'!$S$33=1,BD$3='Bonding Program'!$H$33),'Bonding Program'!$T$33,0)</f>
        <v>0</v>
      </c>
      <c r="BE128" s="19" t="n">
        <f aca="false">IF(AND('Bonding Program'!$S$33=1,BE$3='Bonding Program'!$H$33),'Bonding Program'!$T$33,0)</f>
        <v>0</v>
      </c>
      <c r="BF128" s="19" t="n">
        <f aca="false">IF(AND('Bonding Program'!$S$33=1,BF$3='Bonding Program'!$H$33),'Bonding Program'!$T$33,0)</f>
        <v>0</v>
      </c>
      <c r="BG128" s="19" t="n">
        <f aca="false">IF(AND('Bonding Program'!$S$33=1,BG$3='Bonding Program'!$H$33),'Bonding Program'!$T$33,0)</f>
        <v>0</v>
      </c>
      <c r="BH128" s="19" t="n">
        <f aca="false">IF(AND('Bonding Program'!$S$33=1,BH$3='Bonding Program'!$H$33),'Bonding Program'!$T$33,0)</f>
        <v>0</v>
      </c>
      <c r="BI128" s="19" t="n">
        <f aca="false">IF(AND('Bonding Program'!$S$33=1,BI$3='Bonding Program'!$H$33),'Bonding Program'!$T$33,0)</f>
        <v>0</v>
      </c>
      <c r="BJ128" s="19" t="n">
        <f aca="false">IF(AND('Bonding Program'!$S$33=1,BJ$3='Bonding Program'!$H$33),'Bonding Program'!$T$33,0)</f>
        <v>0</v>
      </c>
      <c r="BK128" s="19" t="n">
        <f aca="false">IF(AND('Bonding Program'!$S$33=1,BK$3='Bonding Program'!$H$33),'Bonding Program'!$T$33,0)</f>
        <v>0</v>
      </c>
      <c r="BL128" s="19" t="n">
        <f aca="false">IF(AND('Bonding Program'!$S$33=1,BL$3='Bonding Program'!$H$33),'Bonding Program'!$T$33,0)</f>
        <v>0</v>
      </c>
      <c r="BM128" s="19" t="n">
        <f aca="false">IF(AND('Bonding Program'!$S$33=1,BM$3='Bonding Program'!$H$33),'Bonding Program'!$T$33,0)</f>
        <v>0</v>
      </c>
      <c r="BN128" s="19" t="n">
        <f aca="false">IF(AND('Bonding Program'!$S$33=1,BN$3='Bonding Program'!$H$33),'Bonding Program'!$T$33,0)</f>
        <v>0</v>
      </c>
      <c r="BO128" s="19" t="n">
        <f aca="false">IF(AND('Bonding Program'!$S$33=1,BO$3='Bonding Program'!$H$33),'Bonding Program'!$T$33,0)</f>
        <v>0</v>
      </c>
      <c r="BP128" s="19" t="n">
        <f aca="false">IF(AND('Bonding Program'!$S$33=1,BP$3='Bonding Program'!$H$33),'Bonding Program'!$T$33,0)</f>
        <v>0</v>
      </c>
      <c r="BQ128" s="19" t="n">
        <f aca="false">IF(AND('Bonding Program'!$S$33=1,BQ$3='Bonding Program'!$H$33),'Bonding Program'!$T$33,0)</f>
        <v>0</v>
      </c>
      <c r="BR128" s="19" t="n">
        <f aca="false">IF(AND('Bonding Program'!$S$33=1,BR$3='Bonding Program'!$H$33),'Bonding Program'!$T$33,0)</f>
        <v>0</v>
      </c>
      <c r="BS128" s="19" t="n">
        <f aca="false">IF(AND('Bonding Program'!$S$33=1,BS$3='Bonding Program'!$H$33),'Bonding Program'!$T$33,0)</f>
        <v>0</v>
      </c>
      <c r="BT128" s="19" t="n">
        <f aca="false">IF(AND('Bonding Program'!$S$33=1,BT$3='Bonding Program'!$H$33),'Bonding Program'!$T$33,0)</f>
        <v>0</v>
      </c>
      <c r="BU128" s="19" t="n">
        <f aca="false">IF(AND('Bonding Program'!$S$33=1,BU$3='Bonding Program'!$H$33),'Bonding Program'!$T$33,0)</f>
        <v>0</v>
      </c>
      <c r="BV128" s="19" t="n">
        <f aca="false">IF(AND('Bonding Program'!$S$33=1,BV$3='Bonding Program'!$H$33),'Bonding Program'!$T$33,0)</f>
        <v>0</v>
      </c>
      <c r="BW128" s="19" t="n">
        <f aca="false">IF(AND('Bonding Program'!$S$33=1,BW$3='Bonding Program'!$H$33),'Bonding Program'!$T$33,0)</f>
        <v>0</v>
      </c>
      <c r="BX128" s="19" t="n">
        <f aca="false">IF(AND('Bonding Program'!$S$33=1,BX$3='Bonding Program'!$H$33),'Bonding Program'!$T$33,0)</f>
        <v>0</v>
      </c>
      <c r="BY128" s="19" t="n">
        <f aca="false">IF(AND('Bonding Program'!$S$33=1,BY$3='Bonding Program'!$H$33),'Bonding Program'!$T$33,0)</f>
        <v>0</v>
      </c>
      <c r="BZ128" s="19" t="n">
        <f aca="false">IF(AND('Bonding Program'!$S$33=1,BZ$3='Bonding Program'!$H$33),'Bonding Program'!$T$33,0)</f>
        <v>0</v>
      </c>
      <c r="CA128" s="19" t="n">
        <f aca="false">IF(AND('Bonding Program'!$S$33=1,CA$3='Bonding Program'!$H$33),'Bonding Program'!$T$33,0)</f>
        <v>0</v>
      </c>
      <c r="CB128" s="19" t="n">
        <f aca="false">IF(AND('Bonding Program'!$S$33=1,CB$3='Bonding Program'!$H$33),'Bonding Program'!$T$33,0)</f>
        <v>0</v>
      </c>
      <c r="CC128" s="19" t="n">
        <f aca="false">IF(AND('Bonding Program'!$S$33=1,CC$3='Bonding Program'!$H$33),'Bonding Program'!$T$33,0)</f>
        <v>0</v>
      </c>
      <c r="CD128" s="19" t="n">
        <f aca="false">IF(AND('Bonding Program'!$S$33=1,CD$3='Bonding Program'!$H$33),'Bonding Program'!$T$33,0)</f>
        <v>0</v>
      </c>
      <c r="CE128" s="19" t="n">
        <f aca="false">IF(AND('Bonding Program'!$S$33=1,CE$3='Bonding Program'!$H$33),'Bonding Program'!$T$33,0)</f>
        <v>0</v>
      </c>
      <c r="CF128" s="19" t="n">
        <f aca="false">IF(AND('Bonding Program'!$S$33=1,CF$3='Bonding Program'!$H$33),'Bonding Program'!$T$33,0)</f>
        <v>0</v>
      </c>
      <c r="CG128" s="19" t="n">
        <f aca="false">IF(AND('Bonding Program'!$S$33=1,CG$3='Bonding Program'!$H$33),'Bonding Program'!$T$33,0)</f>
        <v>0</v>
      </c>
      <c r="CH128" s="19" t="n">
        <f aca="false">IF(AND('Bonding Program'!$S$33=1,CH$3='Bonding Program'!$H$33),'Bonding Program'!$T$33,0)</f>
        <v>0</v>
      </c>
      <c r="CI128" s="19" t="n">
        <f aca="false">IF(AND('Bonding Program'!$S$33=1,CI$3='Bonding Program'!$H$33),'Bonding Program'!$T$33,0)</f>
        <v>0</v>
      </c>
      <c r="CJ128" s="19" t="n">
        <f aca="false">IF(AND('Bonding Program'!$S$33=1,CJ$3='Bonding Program'!$H$33),'Bonding Program'!$T$33,0)</f>
        <v>0</v>
      </c>
      <c r="CK128" s="19" t="n">
        <f aca="false">IF(AND('Bonding Program'!$S$33=1,CK$3='Bonding Program'!$H$33),'Bonding Program'!$T$33,0)</f>
        <v>0</v>
      </c>
      <c r="CL128" s="19" t="n">
        <f aca="false">IF(AND('Bonding Program'!$S$33=1,CL$3='Bonding Program'!$H$33),'Bonding Program'!$T$33,0)</f>
        <v>0</v>
      </c>
      <c r="CM128" s="19" t="n">
        <f aca="false">IF(AND('Bonding Program'!$S$33=1,CM$3='Bonding Program'!$H$33),'Bonding Program'!$T$33,0)</f>
        <v>0</v>
      </c>
      <c r="CN128" s="19" t="n">
        <f aca="false">IF(AND('Bonding Program'!$S$33=1,CN$3='Bonding Program'!$H$33),'Bonding Program'!$T$33,0)</f>
        <v>0</v>
      </c>
      <c r="CO128" s="19" t="n">
        <f aca="false">IF(AND('Bonding Program'!$S$33=1,CO$3='Bonding Program'!$H$33),'Bonding Program'!$T$33,0)</f>
        <v>0</v>
      </c>
      <c r="CP128" s="19" t="n">
        <f aca="false">IF(AND('Bonding Program'!$S$33=1,CP$3='Bonding Program'!$H$33),'Bonding Program'!$T$33,0)</f>
        <v>0</v>
      </c>
      <c r="CQ128" s="19" t="n">
        <f aca="false">IF(AND('Bonding Program'!$S$33=1,CQ$3='Bonding Program'!$H$33),'Bonding Program'!$T$33,0)</f>
        <v>0</v>
      </c>
      <c r="CR128" s="19" t="n">
        <f aca="false">IF(AND('Bonding Program'!$S$33=1,CR$3='Bonding Program'!$H$33),'Bonding Program'!$T$33,0)</f>
        <v>0</v>
      </c>
      <c r="CS128" s="19" t="n">
        <f aca="false">IF(AND('Bonding Program'!$S$33=1,CS$3='Bonding Program'!$H$33),'Bonding Program'!$T$33,0)</f>
        <v>0</v>
      </c>
      <c r="CT128" s="19" t="n">
        <f aca="false">IF(AND('Bonding Program'!$S$33=1,CT$3='Bonding Program'!$H$33),'Bonding Program'!$T$33,0)</f>
        <v>0</v>
      </c>
      <c r="CU128" s="19" t="n">
        <f aca="false">IF(AND('Bonding Program'!$S$33=1,CU$3='Bonding Program'!$H$33),'Bonding Program'!$T$33,0)</f>
        <v>0</v>
      </c>
      <c r="CV128" s="19" t="n">
        <f aca="false">IF(AND('Bonding Program'!$S$33=1,CV$3='Bonding Program'!$H$33),'Bonding Program'!$T$33,0)</f>
        <v>0</v>
      </c>
      <c r="CW128" s="19" t="n">
        <f aca="false">IF(AND('Bonding Program'!$S$33=1,CW$3='Bonding Program'!$H$33),'Bonding Program'!$T$33,0)</f>
        <v>0</v>
      </c>
      <c r="CX128" s="19" t="n">
        <f aca="false">IF(AND('Bonding Program'!$S$33=1,CX$3='Bonding Program'!$H$33),'Bonding Program'!$T$33,0)</f>
        <v>0</v>
      </c>
      <c r="CY128" s="19" t="n">
        <f aca="false">IF(AND('Bonding Program'!$S$33=1,CY$3='Bonding Program'!$H$33),'Bonding Program'!$T$33,0)</f>
        <v>0</v>
      </c>
      <c r="CZ128" s="19" t="n">
        <f aca="false">IF(AND('Bonding Program'!$S$33=1,CZ$3='Bonding Program'!$H$33),'Bonding Program'!$T$33,0)</f>
        <v>0</v>
      </c>
      <c r="DA128" s="19" t="n">
        <f aca="false">IF(AND('Bonding Program'!$S$33=1,DA$3='Bonding Program'!$H$33),'Bonding Program'!$T$33,0)</f>
        <v>0</v>
      </c>
      <c r="DB128" s="19" t="n">
        <f aca="false">IF(AND('Bonding Program'!$S$33=1,DB$3='Bonding Program'!$H$33),'Bonding Program'!$T$33,0)</f>
        <v>0</v>
      </c>
      <c r="DC128" s="19" t="n">
        <f aca="false">IF(AND('Bonding Program'!$S$33=1,DC$3='Bonding Program'!$H$33),'Bonding Program'!$T$33,0)</f>
        <v>0</v>
      </c>
      <c r="DD128" s="19" t="n">
        <f aca="false">IF(AND('Bonding Program'!$S$33=1,DD$3='Bonding Program'!$H$33),'Bonding Program'!$T$33,0)</f>
        <v>0</v>
      </c>
      <c r="DE128" s="19" t="n">
        <f aca="false">IF(AND('Bonding Program'!$S$33=1,DE$3='Bonding Program'!$H$33),'Bonding Program'!$T$33,0)</f>
        <v>0</v>
      </c>
    </row>
    <row r="129" customFormat="false" ht="15" hidden="false" customHeight="true" outlineLevel="1" collapsed="false">
      <c r="A129" s="28" t="s">
        <v>30</v>
      </c>
      <c r="B129" s="19" t="n">
        <f aca="false">IF(AND('Bonding Program'!$S$34=1,B$3='Bonding Program'!$H$34),'Bonding Program'!$T$34,0)</f>
        <v>0</v>
      </c>
      <c r="C129" s="19" t="n">
        <f aca="false">IF(AND('Bonding Program'!$S$34=1,C$3='Bonding Program'!$H$34),'Bonding Program'!$T$34,0)</f>
        <v>0</v>
      </c>
      <c r="D129" s="19" t="n">
        <f aca="false">IF(AND('Bonding Program'!$S$34=1,D$3='Bonding Program'!$H$34),'Bonding Program'!$T$34,0)</f>
        <v>0</v>
      </c>
      <c r="E129" s="19" t="n">
        <f aca="false">IF(AND('Bonding Program'!$S$34=1,E$3='Bonding Program'!$H$34),'Bonding Program'!$T$34,0)</f>
        <v>0</v>
      </c>
      <c r="F129" s="19" t="n">
        <f aca="false">IF(AND('Bonding Program'!$S$34=1,F$3='Bonding Program'!$H$34),'Bonding Program'!$T$34,0)</f>
        <v>0</v>
      </c>
      <c r="G129" s="19" t="n">
        <f aca="false">IF(AND('Bonding Program'!$S$34=1,G$3='Bonding Program'!$H$34),'Bonding Program'!$T$34,0)</f>
        <v>0</v>
      </c>
      <c r="H129" s="19" t="n">
        <f aca="false">IF(AND('Bonding Program'!$S$34=1,H$3='Bonding Program'!$H$34),'Bonding Program'!$T$34,0)</f>
        <v>0</v>
      </c>
      <c r="I129" s="19" t="n">
        <f aca="false">IF(AND('Bonding Program'!$S$34=1,I$3='Bonding Program'!$H$34),'Bonding Program'!$T$34,0)</f>
        <v>0</v>
      </c>
      <c r="J129" s="19" t="n">
        <f aca="false">IF(AND('Bonding Program'!$S$34=1,J$3='Bonding Program'!$H$34),'Bonding Program'!$T$34,0)</f>
        <v>0</v>
      </c>
      <c r="K129" s="19" t="n">
        <f aca="false">IF(AND('Bonding Program'!$S$34=1,K$3='Bonding Program'!$H$34),'Bonding Program'!$T$34,0)</f>
        <v>0</v>
      </c>
      <c r="L129" s="19" t="n">
        <f aca="false">IF(AND('Bonding Program'!$S$34=1,L$3='Bonding Program'!$H$34),'Bonding Program'!$T$34,0)</f>
        <v>0</v>
      </c>
      <c r="M129" s="19" t="n">
        <f aca="false">IF(AND('Bonding Program'!$S$34=1,M$3='Bonding Program'!$H$34),'Bonding Program'!$T$34,0)</f>
        <v>0</v>
      </c>
      <c r="N129" s="19" t="n">
        <f aca="false">IF(AND('Bonding Program'!$S$34=1,N$3='Bonding Program'!$H$34),'Bonding Program'!$T$34,0)</f>
        <v>0</v>
      </c>
      <c r="O129" s="19" t="n">
        <f aca="false">IF(AND('Bonding Program'!$S$34=1,O$3='Bonding Program'!$H$34),'Bonding Program'!$T$34,0)</f>
        <v>0</v>
      </c>
      <c r="P129" s="19" t="n">
        <f aca="false">IF(AND('Bonding Program'!$S$34=1,P$3='Bonding Program'!$H$34),'Bonding Program'!$T$34,0)</f>
        <v>0</v>
      </c>
      <c r="Q129" s="19" t="n">
        <f aca="false">IF(AND('Bonding Program'!$S$34=1,Q$3='Bonding Program'!$H$34),'Bonding Program'!$T$34,0)</f>
        <v>0</v>
      </c>
      <c r="R129" s="19" t="n">
        <f aca="false">IF(AND('Bonding Program'!$S$34=1,R$3='Bonding Program'!$H$34),'Bonding Program'!$T$34,0)</f>
        <v>0</v>
      </c>
      <c r="S129" s="19" t="n">
        <f aca="false">IF(AND('Bonding Program'!$S$34=1,S$3='Bonding Program'!$H$34),'Bonding Program'!$T$34,0)</f>
        <v>0</v>
      </c>
      <c r="T129" s="19" t="n">
        <f aca="false">IF(AND('Bonding Program'!$S$34=1,T$3='Bonding Program'!$H$34),'Bonding Program'!$T$34,0)</f>
        <v>0</v>
      </c>
      <c r="U129" s="19" t="n">
        <f aca="false">IF(AND('Bonding Program'!$S$34=1,U$3='Bonding Program'!$H$34),'Bonding Program'!$T$34,0)</f>
        <v>0</v>
      </c>
      <c r="V129" s="19" t="n">
        <f aca="false">IF(AND('Bonding Program'!$S$34=1,V$3='Bonding Program'!$H$34),'Bonding Program'!$T$34,0)</f>
        <v>0</v>
      </c>
      <c r="W129" s="19" t="n">
        <f aca="false">IF(AND('Bonding Program'!$S$34=1,W$3='Bonding Program'!$H$34),'Bonding Program'!$T$34,0)</f>
        <v>0</v>
      </c>
      <c r="X129" s="19" t="n">
        <f aca="false">IF(AND('Bonding Program'!$S$34=1,X$3='Bonding Program'!$H$34),'Bonding Program'!$T$34,0)</f>
        <v>0</v>
      </c>
      <c r="Y129" s="19" t="n">
        <f aca="false">IF(AND('Bonding Program'!$S$34=1,Y$3='Bonding Program'!$H$34),'Bonding Program'!$T$34,0)</f>
        <v>0</v>
      </c>
      <c r="Z129" s="19" t="n">
        <f aca="false">IF(AND('Bonding Program'!$S$34=1,Z$3='Bonding Program'!$H$34),'Bonding Program'!$T$34,0)</f>
        <v>0</v>
      </c>
      <c r="AA129" s="19" t="n">
        <f aca="false">IF(AND('Bonding Program'!$S$34=1,AA$3='Bonding Program'!$H$34),'Bonding Program'!$T$34,0)</f>
        <v>0</v>
      </c>
      <c r="AB129" s="19" t="n">
        <f aca="false">IF(AND('Bonding Program'!$S$34=1,AB$3='Bonding Program'!$H$34),'Bonding Program'!$T$34,0)</f>
        <v>0</v>
      </c>
      <c r="AC129" s="19" t="n">
        <f aca="false">IF(AND('Bonding Program'!$S$34=1,AC$3='Bonding Program'!$H$34),'Bonding Program'!$T$34,0)</f>
        <v>0</v>
      </c>
      <c r="AD129" s="19" t="n">
        <f aca="false">IF(AND('Bonding Program'!$S$34=1,AD$3='Bonding Program'!$H$34),'Bonding Program'!$T$34,0)</f>
        <v>0</v>
      </c>
      <c r="AE129" s="19" t="n">
        <f aca="false">IF(AND('Bonding Program'!$S$34=1,AE$3='Bonding Program'!$H$34),'Bonding Program'!$T$34,0)</f>
        <v>0</v>
      </c>
      <c r="AF129" s="19" t="n">
        <f aca="false">IF(AND('Bonding Program'!$S$34=1,AF$3='Bonding Program'!$H$34),'Bonding Program'!$T$34,0)</f>
        <v>0</v>
      </c>
      <c r="AG129" s="19" t="n">
        <f aca="false">IF(AND('Bonding Program'!$S$34=1,AG$3='Bonding Program'!$H$34),'Bonding Program'!$T$34,0)</f>
        <v>0</v>
      </c>
      <c r="AH129" s="19" t="n">
        <f aca="false">IF(AND('Bonding Program'!$S$34=1,AH$3='Bonding Program'!$H$34),'Bonding Program'!$T$34,0)</f>
        <v>0</v>
      </c>
      <c r="AI129" s="19" t="n">
        <f aca="false">IF(AND('Bonding Program'!$S$34=1,AI$3='Bonding Program'!$H$34),'Bonding Program'!$T$34,0)</f>
        <v>0</v>
      </c>
      <c r="AJ129" s="19" t="n">
        <f aca="false">IF(AND('Bonding Program'!$S$34=1,AJ$3='Bonding Program'!$H$34),'Bonding Program'!$T$34,0)</f>
        <v>0</v>
      </c>
      <c r="AK129" s="19" t="n">
        <f aca="false">IF(AND('Bonding Program'!$S$34=1,AK$3='Bonding Program'!$H$34),'Bonding Program'!$T$34,0)</f>
        <v>0</v>
      </c>
      <c r="AL129" s="19" t="n">
        <f aca="false">IF(AND('Bonding Program'!$S$34=1,AL$3='Bonding Program'!$H$34),'Bonding Program'!$T$34,0)</f>
        <v>0</v>
      </c>
      <c r="AM129" s="19" t="n">
        <f aca="false">IF(AND('Bonding Program'!$S$34=1,AM$3='Bonding Program'!$H$34),'Bonding Program'!$T$34,0)</f>
        <v>0</v>
      </c>
      <c r="AN129" s="19" t="n">
        <f aca="false">IF(AND('Bonding Program'!$S$34=1,AN$3='Bonding Program'!$H$34),'Bonding Program'!$T$34,0)</f>
        <v>0</v>
      </c>
      <c r="AO129" s="19" t="n">
        <f aca="false">IF(AND('Bonding Program'!$S$34=1,AO$3='Bonding Program'!$H$34),'Bonding Program'!$T$34,0)</f>
        <v>0</v>
      </c>
      <c r="AP129" s="19" t="n">
        <f aca="false">IF(AND('Bonding Program'!$S$34=1,AP$3='Bonding Program'!$H$34),'Bonding Program'!$T$34,0)</f>
        <v>0</v>
      </c>
      <c r="AQ129" s="19" t="n">
        <f aca="false">IF(AND('Bonding Program'!$S$34=1,AQ$3='Bonding Program'!$H$34),'Bonding Program'!$T$34,0)</f>
        <v>0</v>
      </c>
      <c r="AR129" s="19" t="n">
        <f aca="false">IF(AND('Bonding Program'!$S$34=1,AR$3='Bonding Program'!$H$34),'Bonding Program'!$T$34,0)</f>
        <v>0</v>
      </c>
      <c r="AS129" s="19" t="n">
        <f aca="false">IF(AND('Bonding Program'!$S$34=1,AS$3='Bonding Program'!$H$34),'Bonding Program'!$T$34,0)</f>
        <v>0</v>
      </c>
      <c r="AT129" s="19" t="n">
        <f aca="false">IF(AND('Bonding Program'!$S$34=1,AT$3='Bonding Program'!$H$34),'Bonding Program'!$T$34,0)</f>
        <v>0</v>
      </c>
      <c r="AU129" s="19" t="n">
        <f aca="false">IF(AND('Bonding Program'!$S$34=1,AU$3='Bonding Program'!$H$34),'Bonding Program'!$T$34,0)</f>
        <v>0</v>
      </c>
      <c r="AV129" s="19" t="n">
        <f aca="false">IF(AND('Bonding Program'!$S$34=1,AV$3='Bonding Program'!$H$34),'Bonding Program'!$T$34,0)</f>
        <v>0</v>
      </c>
      <c r="AW129" s="19" t="n">
        <f aca="false">IF(AND('Bonding Program'!$S$34=1,AW$3='Bonding Program'!$H$34),'Bonding Program'!$T$34,0)</f>
        <v>0</v>
      </c>
      <c r="AX129" s="19" t="n">
        <f aca="false">IF(AND('Bonding Program'!$S$34=1,AX$3='Bonding Program'!$H$34),'Bonding Program'!$T$34,0)</f>
        <v>0</v>
      </c>
      <c r="AY129" s="19" t="n">
        <f aca="false">IF(AND('Bonding Program'!$S$34=1,AY$3='Bonding Program'!$H$34),'Bonding Program'!$T$34,0)</f>
        <v>0</v>
      </c>
      <c r="AZ129" s="19" t="n">
        <f aca="false">IF(AND('Bonding Program'!$S$34=1,AZ$3='Bonding Program'!$H$34),'Bonding Program'!$T$34,0)</f>
        <v>0</v>
      </c>
      <c r="BA129" s="19" t="n">
        <f aca="false">IF(AND('Bonding Program'!$S$34=1,BA$3='Bonding Program'!$H$34),'Bonding Program'!$T$34,0)</f>
        <v>0</v>
      </c>
      <c r="BB129" s="19" t="n">
        <f aca="false">IF(AND('Bonding Program'!$S$34=1,BB$3='Bonding Program'!$H$34),'Bonding Program'!$T$34,0)</f>
        <v>0</v>
      </c>
      <c r="BC129" s="19" t="n">
        <f aca="false">IF(AND('Bonding Program'!$S$34=1,BC$3='Bonding Program'!$H$34),'Bonding Program'!$T$34,0)</f>
        <v>0</v>
      </c>
      <c r="BD129" s="19" t="n">
        <f aca="false">IF(AND('Bonding Program'!$S$34=1,BD$3='Bonding Program'!$H$34),'Bonding Program'!$T$34,0)</f>
        <v>0</v>
      </c>
      <c r="BE129" s="19" t="n">
        <f aca="false">IF(AND('Bonding Program'!$S$34=1,BE$3='Bonding Program'!$H$34),'Bonding Program'!$T$34,0)</f>
        <v>0</v>
      </c>
      <c r="BF129" s="19" t="n">
        <f aca="false">IF(AND('Bonding Program'!$S$34=1,BF$3='Bonding Program'!$H$34),'Bonding Program'!$T$34,0)</f>
        <v>0</v>
      </c>
      <c r="BG129" s="19" t="n">
        <f aca="false">IF(AND('Bonding Program'!$S$34=1,BG$3='Bonding Program'!$H$34),'Bonding Program'!$T$34,0)</f>
        <v>0</v>
      </c>
      <c r="BH129" s="19" t="n">
        <f aca="false">IF(AND('Bonding Program'!$S$34=1,BH$3='Bonding Program'!$H$34),'Bonding Program'!$T$34,0)</f>
        <v>0</v>
      </c>
      <c r="BI129" s="19" t="n">
        <f aca="false">IF(AND('Bonding Program'!$S$34=1,BI$3='Bonding Program'!$H$34),'Bonding Program'!$T$34,0)</f>
        <v>0</v>
      </c>
      <c r="BJ129" s="19" t="n">
        <f aca="false">IF(AND('Bonding Program'!$S$34=1,BJ$3='Bonding Program'!$H$34),'Bonding Program'!$T$34,0)</f>
        <v>0</v>
      </c>
      <c r="BK129" s="19" t="n">
        <f aca="false">IF(AND('Bonding Program'!$S$34=1,BK$3='Bonding Program'!$H$34),'Bonding Program'!$T$34,0)</f>
        <v>0</v>
      </c>
      <c r="BL129" s="19" t="n">
        <f aca="false">IF(AND('Bonding Program'!$S$34=1,BL$3='Bonding Program'!$H$34),'Bonding Program'!$T$34,0)</f>
        <v>0</v>
      </c>
      <c r="BM129" s="19" t="n">
        <f aca="false">IF(AND('Bonding Program'!$S$34=1,BM$3='Bonding Program'!$H$34),'Bonding Program'!$T$34,0)</f>
        <v>0</v>
      </c>
      <c r="BN129" s="19" t="n">
        <f aca="false">IF(AND('Bonding Program'!$S$34=1,BN$3='Bonding Program'!$H$34),'Bonding Program'!$T$34,0)</f>
        <v>0</v>
      </c>
      <c r="BO129" s="19" t="n">
        <f aca="false">IF(AND('Bonding Program'!$S$34=1,BO$3='Bonding Program'!$H$34),'Bonding Program'!$T$34,0)</f>
        <v>0</v>
      </c>
      <c r="BP129" s="19" t="n">
        <f aca="false">IF(AND('Bonding Program'!$S$34=1,BP$3='Bonding Program'!$H$34),'Bonding Program'!$T$34,0)</f>
        <v>0</v>
      </c>
      <c r="BQ129" s="19" t="n">
        <f aca="false">IF(AND('Bonding Program'!$S$34=1,BQ$3='Bonding Program'!$H$34),'Bonding Program'!$T$34,0)</f>
        <v>0</v>
      </c>
      <c r="BR129" s="19" t="n">
        <f aca="false">IF(AND('Bonding Program'!$S$34=1,BR$3='Bonding Program'!$H$34),'Bonding Program'!$T$34,0)</f>
        <v>0</v>
      </c>
      <c r="BS129" s="19" t="n">
        <f aca="false">IF(AND('Bonding Program'!$S$34=1,BS$3='Bonding Program'!$H$34),'Bonding Program'!$T$34,0)</f>
        <v>0</v>
      </c>
      <c r="BT129" s="19" t="n">
        <f aca="false">IF(AND('Bonding Program'!$S$34=1,BT$3='Bonding Program'!$H$34),'Bonding Program'!$T$34,0)</f>
        <v>0</v>
      </c>
      <c r="BU129" s="19" t="n">
        <f aca="false">IF(AND('Bonding Program'!$S$34=1,BU$3='Bonding Program'!$H$34),'Bonding Program'!$T$34,0)</f>
        <v>0</v>
      </c>
      <c r="BV129" s="19" t="n">
        <f aca="false">IF(AND('Bonding Program'!$S$34=1,BV$3='Bonding Program'!$H$34),'Bonding Program'!$T$34,0)</f>
        <v>0</v>
      </c>
      <c r="BW129" s="19" t="n">
        <f aca="false">IF(AND('Bonding Program'!$S$34=1,BW$3='Bonding Program'!$H$34),'Bonding Program'!$T$34,0)</f>
        <v>0</v>
      </c>
      <c r="BX129" s="19" t="n">
        <f aca="false">IF(AND('Bonding Program'!$S$34=1,BX$3='Bonding Program'!$H$34),'Bonding Program'!$T$34,0)</f>
        <v>0</v>
      </c>
      <c r="BY129" s="19" t="n">
        <f aca="false">IF(AND('Bonding Program'!$S$34=1,BY$3='Bonding Program'!$H$34),'Bonding Program'!$T$34,0)</f>
        <v>0</v>
      </c>
      <c r="BZ129" s="19" t="n">
        <f aca="false">IF(AND('Bonding Program'!$S$34=1,BZ$3='Bonding Program'!$H$34),'Bonding Program'!$T$34,0)</f>
        <v>0</v>
      </c>
      <c r="CA129" s="19" t="n">
        <f aca="false">IF(AND('Bonding Program'!$S$34=1,CA$3='Bonding Program'!$H$34),'Bonding Program'!$T$34,0)</f>
        <v>0</v>
      </c>
      <c r="CB129" s="19" t="n">
        <f aca="false">IF(AND('Bonding Program'!$S$34=1,CB$3='Bonding Program'!$H$34),'Bonding Program'!$T$34,0)</f>
        <v>0</v>
      </c>
      <c r="CC129" s="19" t="n">
        <f aca="false">IF(AND('Bonding Program'!$S$34=1,CC$3='Bonding Program'!$H$34),'Bonding Program'!$T$34,0)</f>
        <v>0</v>
      </c>
      <c r="CD129" s="19" t="n">
        <f aca="false">IF(AND('Bonding Program'!$S$34=1,CD$3='Bonding Program'!$H$34),'Bonding Program'!$T$34,0)</f>
        <v>0</v>
      </c>
      <c r="CE129" s="19" t="n">
        <f aca="false">IF(AND('Bonding Program'!$S$34=1,CE$3='Bonding Program'!$H$34),'Bonding Program'!$T$34,0)</f>
        <v>0</v>
      </c>
      <c r="CF129" s="19" t="n">
        <f aca="false">IF(AND('Bonding Program'!$S$34=1,CF$3='Bonding Program'!$H$34),'Bonding Program'!$T$34,0)</f>
        <v>0</v>
      </c>
      <c r="CG129" s="19" t="n">
        <f aca="false">IF(AND('Bonding Program'!$S$34=1,CG$3='Bonding Program'!$H$34),'Bonding Program'!$T$34,0)</f>
        <v>0</v>
      </c>
      <c r="CH129" s="19" t="n">
        <f aca="false">IF(AND('Bonding Program'!$S$34=1,CH$3='Bonding Program'!$H$34),'Bonding Program'!$T$34,0)</f>
        <v>0</v>
      </c>
      <c r="CI129" s="19" t="n">
        <f aca="false">IF(AND('Bonding Program'!$S$34=1,CI$3='Bonding Program'!$H$34),'Bonding Program'!$T$34,0)</f>
        <v>0</v>
      </c>
      <c r="CJ129" s="19" t="n">
        <f aca="false">IF(AND('Bonding Program'!$S$34=1,CJ$3='Bonding Program'!$H$34),'Bonding Program'!$T$34,0)</f>
        <v>0</v>
      </c>
      <c r="CK129" s="19" t="n">
        <f aca="false">IF(AND('Bonding Program'!$S$34=1,CK$3='Bonding Program'!$H$34),'Bonding Program'!$T$34,0)</f>
        <v>0</v>
      </c>
      <c r="CL129" s="19" t="n">
        <f aca="false">IF(AND('Bonding Program'!$S$34=1,CL$3='Bonding Program'!$H$34),'Bonding Program'!$T$34,0)</f>
        <v>0</v>
      </c>
      <c r="CM129" s="19" t="n">
        <f aca="false">IF(AND('Bonding Program'!$S$34=1,CM$3='Bonding Program'!$H$34),'Bonding Program'!$T$34,0)</f>
        <v>0</v>
      </c>
      <c r="CN129" s="19" t="n">
        <f aca="false">IF(AND('Bonding Program'!$S$34=1,CN$3='Bonding Program'!$H$34),'Bonding Program'!$T$34,0)</f>
        <v>0</v>
      </c>
      <c r="CO129" s="19" t="n">
        <f aca="false">IF(AND('Bonding Program'!$S$34=1,CO$3='Bonding Program'!$H$34),'Bonding Program'!$T$34,0)</f>
        <v>0</v>
      </c>
      <c r="CP129" s="19" t="n">
        <f aca="false">IF(AND('Bonding Program'!$S$34=1,CP$3='Bonding Program'!$H$34),'Bonding Program'!$T$34,0)</f>
        <v>0</v>
      </c>
      <c r="CQ129" s="19" t="n">
        <f aca="false">IF(AND('Bonding Program'!$S$34=1,CQ$3='Bonding Program'!$H$34),'Bonding Program'!$T$34,0)</f>
        <v>0</v>
      </c>
      <c r="CR129" s="19" t="n">
        <f aca="false">IF(AND('Bonding Program'!$S$34=1,CR$3='Bonding Program'!$H$34),'Bonding Program'!$T$34,0)</f>
        <v>0</v>
      </c>
      <c r="CS129" s="19" t="n">
        <f aca="false">IF(AND('Bonding Program'!$S$34=1,CS$3='Bonding Program'!$H$34),'Bonding Program'!$T$34,0)</f>
        <v>0</v>
      </c>
      <c r="CT129" s="19" t="n">
        <f aca="false">IF(AND('Bonding Program'!$S$34=1,CT$3='Bonding Program'!$H$34),'Bonding Program'!$T$34,0)</f>
        <v>0</v>
      </c>
      <c r="CU129" s="19" t="n">
        <f aca="false">IF(AND('Bonding Program'!$S$34=1,CU$3='Bonding Program'!$H$34),'Bonding Program'!$T$34,0)</f>
        <v>0</v>
      </c>
      <c r="CV129" s="19" t="n">
        <f aca="false">IF(AND('Bonding Program'!$S$34=1,CV$3='Bonding Program'!$H$34),'Bonding Program'!$T$34,0)</f>
        <v>0</v>
      </c>
      <c r="CW129" s="19" t="n">
        <f aca="false">IF(AND('Bonding Program'!$S$34=1,CW$3='Bonding Program'!$H$34),'Bonding Program'!$T$34,0)</f>
        <v>0</v>
      </c>
      <c r="CX129" s="19" t="n">
        <f aca="false">IF(AND('Bonding Program'!$S$34=1,CX$3='Bonding Program'!$H$34),'Bonding Program'!$T$34,0)</f>
        <v>0</v>
      </c>
      <c r="CY129" s="19" t="n">
        <f aca="false">IF(AND('Bonding Program'!$S$34=1,CY$3='Bonding Program'!$H$34),'Bonding Program'!$T$34,0)</f>
        <v>0</v>
      </c>
      <c r="CZ129" s="19" t="n">
        <f aca="false">IF(AND('Bonding Program'!$S$34=1,CZ$3='Bonding Program'!$H$34),'Bonding Program'!$T$34,0)</f>
        <v>0</v>
      </c>
      <c r="DA129" s="19" t="n">
        <f aca="false">IF(AND('Bonding Program'!$S$34=1,DA$3='Bonding Program'!$H$34),'Bonding Program'!$T$34,0)</f>
        <v>0</v>
      </c>
      <c r="DB129" s="19" t="n">
        <f aca="false">IF(AND('Bonding Program'!$S$34=1,DB$3='Bonding Program'!$H$34),'Bonding Program'!$T$34,0)</f>
        <v>0</v>
      </c>
      <c r="DC129" s="19" t="n">
        <f aca="false">IF(AND('Bonding Program'!$S$34=1,DC$3='Bonding Program'!$H$34),'Bonding Program'!$T$34,0)</f>
        <v>0</v>
      </c>
      <c r="DD129" s="19" t="n">
        <f aca="false">IF(AND('Bonding Program'!$S$34=1,DD$3='Bonding Program'!$H$34),'Bonding Program'!$T$34,0)</f>
        <v>0</v>
      </c>
      <c r="DE129" s="19" t="n">
        <f aca="false">IF(AND('Bonding Program'!$S$34=1,DE$3='Bonding Program'!$H$34),'Bonding Program'!$T$34,0)</f>
        <v>0</v>
      </c>
    </row>
    <row r="130" customFormat="false" ht="15" hidden="false" customHeight="true" outlineLevel="1" collapsed="false">
      <c r="A130" s="28" t="s">
        <v>31</v>
      </c>
      <c r="B130" s="19" t="n">
        <f aca="false">IF(AND('Bonding Program'!$S$35=1,B$3='Bonding Program'!$H$35),'Bonding Program'!$T$35,0)</f>
        <v>0</v>
      </c>
      <c r="C130" s="19" t="n">
        <f aca="false">IF(AND('Bonding Program'!$S$35=1,C$3='Bonding Program'!$H$35),'Bonding Program'!$T$35,0)</f>
        <v>0</v>
      </c>
      <c r="D130" s="19" t="n">
        <f aca="false">IF(AND('Bonding Program'!$S$35=1,D$3='Bonding Program'!$H$35),'Bonding Program'!$T$35,0)</f>
        <v>0</v>
      </c>
      <c r="E130" s="19" t="n">
        <f aca="false">IF(AND('Bonding Program'!$S$35=1,E$3='Bonding Program'!$H$35),'Bonding Program'!$T$35,0)</f>
        <v>0</v>
      </c>
      <c r="F130" s="19" t="n">
        <f aca="false">IF(AND('Bonding Program'!$S$35=1,F$3='Bonding Program'!$H$35),'Bonding Program'!$T$35,0)</f>
        <v>0</v>
      </c>
      <c r="G130" s="19" t="n">
        <f aca="false">IF(AND('Bonding Program'!$S$35=1,G$3='Bonding Program'!$H$35),'Bonding Program'!$T$35,0)</f>
        <v>0</v>
      </c>
      <c r="H130" s="19" t="n">
        <f aca="false">IF(AND('Bonding Program'!$S$35=1,H$3='Bonding Program'!$H$35),'Bonding Program'!$T$35,0)</f>
        <v>0</v>
      </c>
      <c r="I130" s="19" t="n">
        <f aca="false">IF(AND('Bonding Program'!$S$35=1,I$3='Bonding Program'!$H$35),'Bonding Program'!$T$35,0)</f>
        <v>0</v>
      </c>
      <c r="J130" s="19" t="n">
        <f aca="false">IF(AND('Bonding Program'!$S$35=1,J$3='Bonding Program'!$H$35),'Bonding Program'!$T$35,0)</f>
        <v>0</v>
      </c>
      <c r="K130" s="19" t="n">
        <f aca="false">IF(AND('Bonding Program'!$S$35=1,K$3='Bonding Program'!$H$35),'Bonding Program'!$T$35,0)</f>
        <v>0</v>
      </c>
      <c r="L130" s="19" t="n">
        <f aca="false">IF(AND('Bonding Program'!$S$35=1,L$3='Bonding Program'!$H$35),'Bonding Program'!$T$35,0)</f>
        <v>0</v>
      </c>
      <c r="M130" s="19" t="n">
        <f aca="false">IF(AND('Bonding Program'!$S$35=1,M$3='Bonding Program'!$H$35),'Bonding Program'!$T$35,0)</f>
        <v>0</v>
      </c>
      <c r="N130" s="19" t="n">
        <f aca="false">IF(AND('Bonding Program'!$S$35=1,N$3='Bonding Program'!$H$35),'Bonding Program'!$T$35,0)</f>
        <v>0</v>
      </c>
      <c r="O130" s="19" t="n">
        <f aca="false">IF(AND('Bonding Program'!$S$35=1,O$3='Bonding Program'!$H$35),'Bonding Program'!$T$35,0)</f>
        <v>0</v>
      </c>
      <c r="P130" s="19" t="n">
        <f aca="false">IF(AND('Bonding Program'!$S$35=1,P$3='Bonding Program'!$H$35),'Bonding Program'!$T$35,0)</f>
        <v>0</v>
      </c>
      <c r="Q130" s="19" t="n">
        <f aca="false">IF(AND('Bonding Program'!$S$35=1,Q$3='Bonding Program'!$H$35),'Bonding Program'!$T$35,0)</f>
        <v>0</v>
      </c>
      <c r="R130" s="19" t="n">
        <f aca="false">IF(AND('Bonding Program'!$S$35=1,R$3='Bonding Program'!$H$35),'Bonding Program'!$T$35,0)</f>
        <v>0</v>
      </c>
      <c r="S130" s="19" t="n">
        <f aca="false">IF(AND('Bonding Program'!$S$35=1,S$3='Bonding Program'!$H$35),'Bonding Program'!$T$35,0)</f>
        <v>0</v>
      </c>
      <c r="T130" s="19" t="n">
        <f aca="false">IF(AND('Bonding Program'!$S$35=1,T$3='Bonding Program'!$H$35),'Bonding Program'!$T$35,0)</f>
        <v>0</v>
      </c>
      <c r="U130" s="19" t="n">
        <f aca="false">IF(AND('Bonding Program'!$S$35=1,U$3='Bonding Program'!$H$35),'Bonding Program'!$T$35,0)</f>
        <v>0</v>
      </c>
      <c r="V130" s="19" t="n">
        <f aca="false">IF(AND('Bonding Program'!$S$35=1,V$3='Bonding Program'!$H$35),'Bonding Program'!$T$35,0)</f>
        <v>0</v>
      </c>
      <c r="W130" s="19" t="n">
        <f aca="false">IF(AND('Bonding Program'!$S$35=1,W$3='Bonding Program'!$H$35),'Bonding Program'!$T$35,0)</f>
        <v>0</v>
      </c>
      <c r="X130" s="19" t="n">
        <f aca="false">IF(AND('Bonding Program'!$S$35=1,X$3='Bonding Program'!$H$35),'Bonding Program'!$T$35,0)</f>
        <v>0</v>
      </c>
      <c r="Y130" s="19" t="n">
        <f aca="false">IF(AND('Bonding Program'!$S$35=1,Y$3='Bonding Program'!$H$35),'Bonding Program'!$T$35,0)</f>
        <v>0</v>
      </c>
      <c r="Z130" s="19" t="n">
        <f aca="false">IF(AND('Bonding Program'!$S$35=1,Z$3='Bonding Program'!$H$35),'Bonding Program'!$T$35,0)</f>
        <v>0</v>
      </c>
      <c r="AA130" s="19" t="n">
        <f aca="false">IF(AND('Bonding Program'!$S$35=1,AA$3='Bonding Program'!$H$35),'Bonding Program'!$T$35,0)</f>
        <v>0</v>
      </c>
      <c r="AB130" s="19" t="n">
        <f aca="false">IF(AND('Bonding Program'!$S$35=1,AB$3='Bonding Program'!$H$35),'Bonding Program'!$T$35,0)</f>
        <v>0</v>
      </c>
      <c r="AC130" s="19" t="n">
        <f aca="false">IF(AND('Bonding Program'!$S$35=1,AC$3='Bonding Program'!$H$35),'Bonding Program'!$T$35,0)</f>
        <v>0</v>
      </c>
      <c r="AD130" s="19" t="n">
        <f aca="false">IF(AND('Bonding Program'!$S$35=1,AD$3='Bonding Program'!$H$35),'Bonding Program'!$T$35,0)</f>
        <v>0</v>
      </c>
      <c r="AE130" s="19" t="n">
        <f aca="false">IF(AND('Bonding Program'!$S$35=1,AE$3='Bonding Program'!$H$35),'Bonding Program'!$T$35,0)</f>
        <v>0</v>
      </c>
      <c r="AF130" s="19" t="n">
        <f aca="false">IF(AND('Bonding Program'!$S$35=1,AF$3='Bonding Program'!$H$35),'Bonding Program'!$T$35,0)</f>
        <v>0</v>
      </c>
      <c r="AG130" s="19" t="n">
        <f aca="false">IF(AND('Bonding Program'!$S$35=1,AG$3='Bonding Program'!$H$35),'Bonding Program'!$T$35,0)</f>
        <v>0</v>
      </c>
      <c r="AH130" s="19" t="n">
        <f aca="false">IF(AND('Bonding Program'!$S$35=1,AH$3='Bonding Program'!$H$35),'Bonding Program'!$T$35,0)</f>
        <v>0</v>
      </c>
      <c r="AI130" s="19" t="n">
        <f aca="false">IF(AND('Bonding Program'!$S$35=1,AI$3='Bonding Program'!$H$35),'Bonding Program'!$T$35,0)</f>
        <v>0</v>
      </c>
      <c r="AJ130" s="19" t="n">
        <f aca="false">IF(AND('Bonding Program'!$S$35=1,AJ$3='Bonding Program'!$H$35),'Bonding Program'!$T$35,0)</f>
        <v>221674.876847291</v>
      </c>
      <c r="AK130" s="19" t="n">
        <f aca="false">IF(AND('Bonding Program'!$S$35=1,AK$3='Bonding Program'!$H$35),'Bonding Program'!$T$35,0)</f>
        <v>0</v>
      </c>
      <c r="AL130" s="19" t="n">
        <f aca="false">IF(AND('Bonding Program'!$S$35=1,AL$3='Bonding Program'!$H$35),'Bonding Program'!$T$35,0)</f>
        <v>0</v>
      </c>
      <c r="AM130" s="19" t="n">
        <f aca="false">IF(AND('Bonding Program'!$S$35=1,AM$3='Bonding Program'!$H$35),'Bonding Program'!$T$35,0)</f>
        <v>0</v>
      </c>
      <c r="AN130" s="19" t="n">
        <f aca="false">IF(AND('Bonding Program'!$S$35=1,AN$3='Bonding Program'!$H$35),'Bonding Program'!$T$35,0)</f>
        <v>0</v>
      </c>
      <c r="AO130" s="19" t="n">
        <f aca="false">IF(AND('Bonding Program'!$S$35=1,AO$3='Bonding Program'!$H$35),'Bonding Program'!$T$35,0)</f>
        <v>0</v>
      </c>
      <c r="AP130" s="19" t="n">
        <f aca="false">IF(AND('Bonding Program'!$S$35=1,AP$3='Bonding Program'!$H$35),'Bonding Program'!$T$35,0)</f>
        <v>0</v>
      </c>
      <c r="AQ130" s="19" t="n">
        <f aca="false">IF(AND('Bonding Program'!$S$35=1,AQ$3='Bonding Program'!$H$35),'Bonding Program'!$T$35,0)</f>
        <v>0</v>
      </c>
      <c r="AR130" s="19" t="n">
        <f aca="false">IF(AND('Bonding Program'!$S$35=1,AR$3='Bonding Program'!$H$35),'Bonding Program'!$T$35,0)</f>
        <v>0</v>
      </c>
      <c r="AS130" s="19" t="n">
        <f aca="false">IF(AND('Bonding Program'!$S$35=1,AS$3='Bonding Program'!$H$35),'Bonding Program'!$T$35,0)</f>
        <v>0</v>
      </c>
      <c r="AT130" s="19" t="n">
        <f aca="false">IF(AND('Bonding Program'!$S$35=1,AT$3='Bonding Program'!$H$35),'Bonding Program'!$T$35,0)</f>
        <v>0</v>
      </c>
      <c r="AU130" s="19" t="n">
        <f aca="false">IF(AND('Bonding Program'!$S$35=1,AU$3='Bonding Program'!$H$35),'Bonding Program'!$T$35,0)</f>
        <v>0</v>
      </c>
      <c r="AV130" s="19" t="n">
        <f aca="false">IF(AND('Bonding Program'!$S$35=1,AV$3='Bonding Program'!$H$35),'Bonding Program'!$T$35,0)</f>
        <v>0</v>
      </c>
      <c r="AW130" s="19" t="n">
        <f aca="false">IF(AND('Bonding Program'!$S$35=1,AW$3='Bonding Program'!$H$35),'Bonding Program'!$T$35,0)</f>
        <v>0</v>
      </c>
      <c r="AX130" s="19" t="n">
        <f aca="false">IF(AND('Bonding Program'!$S$35=1,AX$3='Bonding Program'!$H$35),'Bonding Program'!$T$35,0)</f>
        <v>0</v>
      </c>
      <c r="AY130" s="19" t="n">
        <f aca="false">IF(AND('Bonding Program'!$S$35=1,AY$3='Bonding Program'!$H$35),'Bonding Program'!$T$35,0)</f>
        <v>0</v>
      </c>
      <c r="AZ130" s="19" t="n">
        <f aca="false">IF(AND('Bonding Program'!$S$35=1,AZ$3='Bonding Program'!$H$35),'Bonding Program'!$T$35,0)</f>
        <v>0</v>
      </c>
      <c r="BA130" s="19" t="n">
        <f aca="false">IF(AND('Bonding Program'!$S$35=1,BA$3='Bonding Program'!$H$35),'Bonding Program'!$T$35,0)</f>
        <v>0</v>
      </c>
      <c r="BB130" s="19" t="n">
        <f aca="false">IF(AND('Bonding Program'!$S$35=1,BB$3='Bonding Program'!$H$35),'Bonding Program'!$T$35,0)</f>
        <v>0</v>
      </c>
      <c r="BC130" s="19" t="n">
        <f aca="false">IF(AND('Bonding Program'!$S$35=1,BC$3='Bonding Program'!$H$35),'Bonding Program'!$T$35,0)</f>
        <v>0</v>
      </c>
      <c r="BD130" s="19" t="n">
        <f aca="false">IF(AND('Bonding Program'!$S$35=1,BD$3='Bonding Program'!$H$35),'Bonding Program'!$T$35,0)</f>
        <v>0</v>
      </c>
      <c r="BE130" s="19" t="n">
        <f aca="false">IF(AND('Bonding Program'!$S$35=1,BE$3='Bonding Program'!$H$35),'Bonding Program'!$T$35,0)</f>
        <v>0</v>
      </c>
      <c r="BF130" s="19" t="n">
        <f aca="false">IF(AND('Bonding Program'!$S$35=1,BF$3='Bonding Program'!$H$35),'Bonding Program'!$T$35,0)</f>
        <v>0</v>
      </c>
      <c r="BG130" s="19" t="n">
        <f aca="false">IF(AND('Bonding Program'!$S$35=1,BG$3='Bonding Program'!$H$35),'Bonding Program'!$T$35,0)</f>
        <v>0</v>
      </c>
      <c r="BH130" s="19" t="n">
        <f aca="false">IF(AND('Bonding Program'!$S$35=1,BH$3='Bonding Program'!$H$35),'Bonding Program'!$T$35,0)</f>
        <v>0</v>
      </c>
      <c r="BI130" s="19" t="n">
        <f aca="false">IF(AND('Bonding Program'!$S$35=1,BI$3='Bonding Program'!$H$35),'Bonding Program'!$T$35,0)</f>
        <v>0</v>
      </c>
      <c r="BJ130" s="19" t="n">
        <f aca="false">IF(AND('Bonding Program'!$S$35=1,BJ$3='Bonding Program'!$H$35),'Bonding Program'!$T$35,0)</f>
        <v>0</v>
      </c>
      <c r="BK130" s="19" t="n">
        <f aca="false">IF(AND('Bonding Program'!$S$35=1,BK$3='Bonding Program'!$H$35),'Bonding Program'!$T$35,0)</f>
        <v>0</v>
      </c>
      <c r="BL130" s="19" t="n">
        <f aca="false">IF(AND('Bonding Program'!$S$35=1,BL$3='Bonding Program'!$H$35),'Bonding Program'!$T$35,0)</f>
        <v>0</v>
      </c>
      <c r="BM130" s="19" t="n">
        <f aca="false">IF(AND('Bonding Program'!$S$35=1,BM$3='Bonding Program'!$H$35),'Bonding Program'!$T$35,0)</f>
        <v>0</v>
      </c>
      <c r="BN130" s="19" t="n">
        <f aca="false">IF(AND('Bonding Program'!$S$35=1,BN$3='Bonding Program'!$H$35),'Bonding Program'!$T$35,0)</f>
        <v>0</v>
      </c>
      <c r="BO130" s="19" t="n">
        <f aca="false">IF(AND('Bonding Program'!$S$35=1,BO$3='Bonding Program'!$H$35),'Bonding Program'!$T$35,0)</f>
        <v>0</v>
      </c>
      <c r="BP130" s="19" t="n">
        <f aca="false">IF(AND('Bonding Program'!$S$35=1,BP$3='Bonding Program'!$H$35),'Bonding Program'!$T$35,0)</f>
        <v>0</v>
      </c>
      <c r="BQ130" s="19" t="n">
        <f aca="false">IF(AND('Bonding Program'!$S$35=1,BQ$3='Bonding Program'!$H$35),'Bonding Program'!$T$35,0)</f>
        <v>0</v>
      </c>
      <c r="BR130" s="19" t="n">
        <f aca="false">IF(AND('Bonding Program'!$S$35=1,BR$3='Bonding Program'!$H$35),'Bonding Program'!$T$35,0)</f>
        <v>0</v>
      </c>
      <c r="BS130" s="19" t="n">
        <f aca="false">IF(AND('Bonding Program'!$S$35=1,BS$3='Bonding Program'!$H$35),'Bonding Program'!$T$35,0)</f>
        <v>0</v>
      </c>
      <c r="BT130" s="19" t="n">
        <f aca="false">IF(AND('Bonding Program'!$S$35=1,BT$3='Bonding Program'!$H$35),'Bonding Program'!$T$35,0)</f>
        <v>0</v>
      </c>
      <c r="BU130" s="19" t="n">
        <f aca="false">IF(AND('Bonding Program'!$S$35=1,BU$3='Bonding Program'!$H$35),'Bonding Program'!$T$35,0)</f>
        <v>0</v>
      </c>
      <c r="BV130" s="19" t="n">
        <f aca="false">IF(AND('Bonding Program'!$S$35=1,BV$3='Bonding Program'!$H$35),'Bonding Program'!$T$35,0)</f>
        <v>0</v>
      </c>
      <c r="BW130" s="19" t="n">
        <f aca="false">IF(AND('Bonding Program'!$S$35=1,BW$3='Bonding Program'!$H$35),'Bonding Program'!$T$35,0)</f>
        <v>0</v>
      </c>
      <c r="BX130" s="19" t="n">
        <f aca="false">IF(AND('Bonding Program'!$S$35=1,BX$3='Bonding Program'!$H$35),'Bonding Program'!$T$35,0)</f>
        <v>0</v>
      </c>
      <c r="BY130" s="19" t="n">
        <f aca="false">IF(AND('Bonding Program'!$S$35=1,BY$3='Bonding Program'!$H$35),'Bonding Program'!$T$35,0)</f>
        <v>0</v>
      </c>
      <c r="BZ130" s="19" t="n">
        <f aca="false">IF(AND('Bonding Program'!$S$35=1,BZ$3='Bonding Program'!$H$35),'Bonding Program'!$T$35,0)</f>
        <v>0</v>
      </c>
      <c r="CA130" s="19" t="n">
        <f aca="false">IF(AND('Bonding Program'!$S$35=1,CA$3='Bonding Program'!$H$35),'Bonding Program'!$T$35,0)</f>
        <v>0</v>
      </c>
      <c r="CB130" s="19" t="n">
        <f aca="false">IF(AND('Bonding Program'!$S$35=1,CB$3='Bonding Program'!$H$35),'Bonding Program'!$T$35,0)</f>
        <v>0</v>
      </c>
      <c r="CC130" s="19" t="n">
        <f aca="false">IF(AND('Bonding Program'!$S$35=1,CC$3='Bonding Program'!$H$35),'Bonding Program'!$T$35,0)</f>
        <v>0</v>
      </c>
      <c r="CD130" s="19" t="n">
        <f aca="false">IF(AND('Bonding Program'!$S$35=1,CD$3='Bonding Program'!$H$35),'Bonding Program'!$T$35,0)</f>
        <v>0</v>
      </c>
      <c r="CE130" s="19" t="n">
        <f aca="false">IF(AND('Bonding Program'!$S$35=1,CE$3='Bonding Program'!$H$35),'Bonding Program'!$T$35,0)</f>
        <v>0</v>
      </c>
      <c r="CF130" s="19" t="n">
        <f aca="false">IF(AND('Bonding Program'!$S$35=1,CF$3='Bonding Program'!$H$35),'Bonding Program'!$T$35,0)</f>
        <v>0</v>
      </c>
      <c r="CG130" s="19" t="n">
        <f aca="false">IF(AND('Bonding Program'!$S$35=1,CG$3='Bonding Program'!$H$35),'Bonding Program'!$T$35,0)</f>
        <v>0</v>
      </c>
      <c r="CH130" s="19" t="n">
        <f aca="false">IF(AND('Bonding Program'!$S$35=1,CH$3='Bonding Program'!$H$35),'Bonding Program'!$T$35,0)</f>
        <v>0</v>
      </c>
      <c r="CI130" s="19" t="n">
        <f aca="false">IF(AND('Bonding Program'!$S$35=1,CI$3='Bonding Program'!$H$35),'Bonding Program'!$T$35,0)</f>
        <v>0</v>
      </c>
      <c r="CJ130" s="19" t="n">
        <f aca="false">IF(AND('Bonding Program'!$S$35=1,CJ$3='Bonding Program'!$H$35),'Bonding Program'!$T$35,0)</f>
        <v>0</v>
      </c>
      <c r="CK130" s="19" t="n">
        <f aca="false">IF(AND('Bonding Program'!$S$35=1,CK$3='Bonding Program'!$H$35),'Bonding Program'!$T$35,0)</f>
        <v>0</v>
      </c>
      <c r="CL130" s="19" t="n">
        <f aca="false">IF(AND('Bonding Program'!$S$35=1,CL$3='Bonding Program'!$H$35),'Bonding Program'!$T$35,0)</f>
        <v>0</v>
      </c>
      <c r="CM130" s="19" t="n">
        <f aca="false">IF(AND('Bonding Program'!$S$35=1,CM$3='Bonding Program'!$H$35),'Bonding Program'!$T$35,0)</f>
        <v>0</v>
      </c>
      <c r="CN130" s="19" t="n">
        <f aca="false">IF(AND('Bonding Program'!$S$35=1,CN$3='Bonding Program'!$H$35),'Bonding Program'!$T$35,0)</f>
        <v>0</v>
      </c>
      <c r="CO130" s="19" t="n">
        <f aca="false">IF(AND('Bonding Program'!$S$35=1,CO$3='Bonding Program'!$H$35),'Bonding Program'!$T$35,0)</f>
        <v>0</v>
      </c>
      <c r="CP130" s="19" t="n">
        <f aca="false">IF(AND('Bonding Program'!$S$35=1,CP$3='Bonding Program'!$H$35),'Bonding Program'!$T$35,0)</f>
        <v>0</v>
      </c>
      <c r="CQ130" s="19" t="n">
        <f aca="false">IF(AND('Bonding Program'!$S$35=1,CQ$3='Bonding Program'!$H$35),'Bonding Program'!$T$35,0)</f>
        <v>0</v>
      </c>
      <c r="CR130" s="19" t="n">
        <f aca="false">IF(AND('Bonding Program'!$S$35=1,CR$3='Bonding Program'!$H$35),'Bonding Program'!$T$35,0)</f>
        <v>0</v>
      </c>
      <c r="CS130" s="19" t="n">
        <f aca="false">IF(AND('Bonding Program'!$S$35=1,CS$3='Bonding Program'!$H$35),'Bonding Program'!$T$35,0)</f>
        <v>0</v>
      </c>
      <c r="CT130" s="19" t="n">
        <f aca="false">IF(AND('Bonding Program'!$S$35=1,CT$3='Bonding Program'!$H$35),'Bonding Program'!$T$35,0)</f>
        <v>0</v>
      </c>
      <c r="CU130" s="19" t="n">
        <f aca="false">IF(AND('Bonding Program'!$S$35=1,CU$3='Bonding Program'!$H$35),'Bonding Program'!$T$35,0)</f>
        <v>0</v>
      </c>
      <c r="CV130" s="19" t="n">
        <f aca="false">IF(AND('Bonding Program'!$S$35=1,CV$3='Bonding Program'!$H$35),'Bonding Program'!$T$35,0)</f>
        <v>0</v>
      </c>
      <c r="CW130" s="19" t="n">
        <f aca="false">IF(AND('Bonding Program'!$S$35=1,CW$3='Bonding Program'!$H$35),'Bonding Program'!$T$35,0)</f>
        <v>0</v>
      </c>
      <c r="CX130" s="19" t="n">
        <f aca="false">IF(AND('Bonding Program'!$S$35=1,CX$3='Bonding Program'!$H$35),'Bonding Program'!$T$35,0)</f>
        <v>0</v>
      </c>
      <c r="CY130" s="19" t="n">
        <f aca="false">IF(AND('Bonding Program'!$S$35=1,CY$3='Bonding Program'!$H$35),'Bonding Program'!$T$35,0)</f>
        <v>0</v>
      </c>
      <c r="CZ130" s="19" t="n">
        <f aca="false">IF(AND('Bonding Program'!$S$35=1,CZ$3='Bonding Program'!$H$35),'Bonding Program'!$T$35,0)</f>
        <v>0</v>
      </c>
      <c r="DA130" s="19" t="n">
        <f aca="false">IF(AND('Bonding Program'!$S$35=1,DA$3='Bonding Program'!$H$35),'Bonding Program'!$T$35,0)</f>
        <v>0</v>
      </c>
      <c r="DB130" s="19" t="n">
        <f aca="false">IF(AND('Bonding Program'!$S$35=1,DB$3='Bonding Program'!$H$35),'Bonding Program'!$T$35,0)</f>
        <v>0</v>
      </c>
      <c r="DC130" s="19" t="n">
        <f aca="false">IF(AND('Bonding Program'!$S$35=1,DC$3='Bonding Program'!$H$35),'Bonding Program'!$T$35,0)</f>
        <v>0</v>
      </c>
      <c r="DD130" s="19" t="n">
        <f aca="false">IF(AND('Bonding Program'!$S$35=1,DD$3='Bonding Program'!$H$35),'Bonding Program'!$T$35,0)</f>
        <v>0</v>
      </c>
      <c r="DE130" s="19" t="n">
        <f aca="false">IF(AND('Bonding Program'!$S$35=1,DE$3='Bonding Program'!$H$35),'Bonding Program'!$T$35,0)</f>
        <v>0</v>
      </c>
    </row>
    <row r="131" customFormat="false" ht="15" hidden="false" customHeight="true" outlineLevel="1" collapsed="false">
      <c r="A131" s="28" t="s">
        <v>32</v>
      </c>
      <c r="B131" s="19" t="n">
        <f aca="false">IF(AND('Bonding Program'!$S$36=1,B$3='Bonding Program'!$H$36),'Bonding Program'!$T$36,0)</f>
        <v>0</v>
      </c>
      <c r="C131" s="19" t="n">
        <f aca="false">IF(AND('Bonding Program'!$S$36=1,C$3='Bonding Program'!$H$36),'Bonding Program'!$T$36,0)</f>
        <v>0</v>
      </c>
      <c r="D131" s="19" t="n">
        <f aca="false">IF(AND('Bonding Program'!$S$36=1,D$3='Bonding Program'!$H$36),'Bonding Program'!$T$36,0)</f>
        <v>0</v>
      </c>
      <c r="E131" s="19" t="n">
        <f aca="false">IF(AND('Bonding Program'!$S$36=1,E$3='Bonding Program'!$H$36),'Bonding Program'!$T$36,0)</f>
        <v>0</v>
      </c>
      <c r="F131" s="19" t="n">
        <f aca="false">IF(AND('Bonding Program'!$S$36=1,F$3='Bonding Program'!$H$36),'Bonding Program'!$T$36,0)</f>
        <v>0</v>
      </c>
      <c r="G131" s="19" t="n">
        <f aca="false">IF(AND('Bonding Program'!$S$36=1,G$3='Bonding Program'!$H$36),'Bonding Program'!$T$36,0)</f>
        <v>0</v>
      </c>
      <c r="H131" s="19" t="n">
        <f aca="false">IF(AND('Bonding Program'!$S$36=1,H$3='Bonding Program'!$H$36),'Bonding Program'!$T$36,0)</f>
        <v>0</v>
      </c>
      <c r="I131" s="19" t="n">
        <f aca="false">IF(AND('Bonding Program'!$S$36=1,I$3='Bonding Program'!$H$36),'Bonding Program'!$T$36,0)</f>
        <v>0</v>
      </c>
      <c r="J131" s="19" t="n">
        <f aca="false">IF(AND('Bonding Program'!$S$36=1,J$3='Bonding Program'!$H$36),'Bonding Program'!$T$36,0)</f>
        <v>0</v>
      </c>
      <c r="K131" s="19" t="n">
        <f aca="false">IF(AND('Bonding Program'!$S$36=1,K$3='Bonding Program'!$H$36),'Bonding Program'!$T$36,0)</f>
        <v>0</v>
      </c>
      <c r="L131" s="19" t="n">
        <f aca="false">IF(AND('Bonding Program'!$S$36=1,L$3='Bonding Program'!$H$36),'Bonding Program'!$T$36,0)</f>
        <v>0</v>
      </c>
      <c r="M131" s="19" t="n">
        <f aca="false">IF(AND('Bonding Program'!$S$36=1,M$3='Bonding Program'!$H$36),'Bonding Program'!$T$36,0)</f>
        <v>0</v>
      </c>
      <c r="N131" s="19" t="n">
        <f aca="false">IF(AND('Bonding Program'!$S$36=1,N$3='Bonding Program'!$H$36),'Bonding Program'!$T$36,0)</f>
        <v>0</v>
      </c>
      <c r="O131" s="19" t="n">
        <f aca="false">IF(AND('Bonding Program'!$S$36=1,O$3='Bonding Program'!$H$36),'Bonding Program'!$T$36,0)</f>
        <v>0</v>
      </c>
      <c r="P131" s="19" t="n">
        <f aca="false">IF(AND('Bonding Program'!$S$36=1,P$3='Bonding Program'!$H$36),'Bonding Program'!$T$36,0)</f>
        <v>0</v>
      </c>
      <c r="Q131" s="19" t="n">
        <f aca="false">IF(AND('Bonding Program'!$S$36=1,Q$3='Bonding Program'!$H$36),'Bonding Program'!$T$36,0)</f>
        <v>0</v>
      </c>
      <c r="R131" s="19" t="n">
        <f aca="false">IF(AND('Bonding Program'!$S$36=1,R$3='Bonding Program'!$H$36),'Bonding Program'!$T$36,0)</f>
        <v>0</v>
      </c>
      <c r="S131" s="19" t="n">
        <f aca="false">IF(AND('Bonding Program'!$S$36=1,S$3='Bonding Program'!$H$36),'Bonding Program'!$T$36,0)</f>
        <v>0</v>
      </c>
      <c r="T131" s="19" t="n">
        <f aca="false">IF(AND('Bonding Program'!$S$36=1,T$3='Bonding Program'!$H$36),'Bonding Program'!$T$36,0)</f>
        <v>0</v>
      </c>
      <c r="U131" s="19" t="n">
        <f aca="false">IF(AND('Bonding Program'!$S$36=1,U$3='Bonding Program'!$H$36),'Bonding Program'!$T$36,0)</f>
        <v>0</v>
      </c>
      <c r="V131" s="19" t="n">
        <f aca="false">IF(AND('Bonding Program'!$S$36=1,V$3='Bonding Program'!$H$36),'Bonding Program'!$T$36,0)</f>
        <v>0</v>
      </c>
      <c r="W131" s="19" t="n">
        <f aca="false">IF(AND('Bonding Program'!$S$36=1,W$3='Bonding Program'!$H$36),'Bonding Program'!$T$36,0)</f>
        <v>0</v>
      </c>
      <c r="X131" s="19" t="n">
        <f aca="false">IF(AND('Bonding Program'!$S$36=1,X$3='Bonding Program'!$H$36),'Bonding Program'!$T$36,0)</f>
        <v>0</v>
      </c>
      <c r="Y131" s="19" t="n">
        <f aca="false">IF(AND('Bonding Program'!$S$36=1,Y$3='Bonding Program'!$H$36),'Bonding Program'!$T$36,0)</f>
        <v>0</v>
      </c>
      <c r="Z131" s="19" t="n">
        <f aca="false">IF(AND('Bonding Program'!$S$36=1,Z$3='Bonding Program'!$H$36),'Bonding Program'!$T$36,0)</f>
        <v>0</v>
      </c>
      <c r="AA131" s="19" t="n">
        <f aca="false">IF(AND('Bonding Program'!$S$36=1,AA$3='Bonding Program'!$H$36),'Bonding Program'!$T$36,0)</f>
        <v>0</v>
      </c>
      <c r="AB131" s="19" t="n">
        <f aca="false">IF(AND('Bonding Program'!$S$36=1,AB$3='Bonding Program'!$H$36),'Bonding Program'!$T$36,0)</f>
        <v>0</v>
      </c>
      <c r="AC131" s="19" t="n">
        <f aca="false">IF(AND('Bonding Program'!$S$36=1,AC$3='Bonding Program'!$H$36),'Bonding Program'!$T$36,0)</f>
        <v>0</v>
      </c>
      <c r="AD131" s="19" t="n">
        <f aca="false">IF(AND('Bonding Program'!$S$36=1,AD$3='Bonding Program'!$H$36),'Bonding Program'!$T$36,0)</f>
        <v>0</v>
      </c>
      <c r="AE131" s="19" t="n">
        <f aca="false">IF(AND('Bonding Program'!$S$36=1,AE$3='Bonding Program'!$H$36),'Bonding Program'!$T$36,0)</f>
        <v>0</v>
      </c>
      <c r="AF131" s="19" t="n">
        <f aca="false">IF(AND('Bonding Program'!$S$36=1,AF$3='Bonding Program'!$H$36),'Bonding Program'!$T$36,0)</f>
        <v>0</v>
      </c>
      <c r="AG131" s="19" t="n">
        <f aca="false">IF(AND('Bonding Program'!$S$36=1,AG$3='Bonding Program'!$H$36),'Bonding Program'!$T$36,0)</f>
        <v>0</v>
      </c>
      <c r="AH131" s="19" t="n">
        <f aca="false">IF(AND('Bonding Program'!$S$36=1,AH$3='Bonding Program'!$H$36),'Bonding Program'!$T$36,0)</f>
        <v>0</v>
      </c>
      <c r="AI131" s="19" t="n">
        <f aca="false">IF(AND('Bonding Program'!$S$36=1,AI$3='Bonding Program'!$H$36),'Bonding Program'!$T$36,0)</f>
        <v>0</v>
      </c>
      <c r="AJ131" s="19" t="n">
        <f aca="false">IF(AND('Bonding Program'!$S$36=1,AJ$3='Bonding Program'!$H$36),'Bonding Program'!$T$36,0)</f>
        <v>0</v>
      </c>
      <c r="AK131" s="19" t="n">
        <f aca="false">IF(AND('Bonding Program'!$S$36=1,AK$3='Bonding Program'!$H$36),'Bonding Program'!$T$36,0)</f>
        <v>0</v>
      </c>
      <c r="AL131" s="19" t="n">
        <f aca="false">IF(AND('Bonding Program'!$S$36=1,AL$3='Bonding Program'!$H$36),'Bonding Program'!$T$36,0)</f>
        <v>0</v>
      </c>
      <c r="AM131" s="19" t="n">
        <f aca="false">IF(AND('Bonding Program'!$S$36=1,AM$3='Bonding Program'!$H$36),'Bonding Program'!$T$36,0)</f>
        <v>0</v>
      </c>
      <c r="AN131" s="19" t="n">
        <f aca="false">IF(AND('Bonding Program'!$S$36=1,AN$3='Bonding Program'!$H$36),'Bonding Program'!$T$36,0)</f>
        <v>0</v>
      </c>
      <c r="AO131" s="19" t="n">
        <f aca="false">IF(AND('Bonding Program'!$S$36=1,AO$3='Bonding Program'!$H$36),'Bonding Program'!$T$36,0)</f>
        <v>0</v>
      </c>
      <c r="AP131" s="19" t="n">
        <f aca="false">IF(AND('Bonding Program'!$S$36=1,AP$3='Bonding Program'!$H$36),'Bonding Program'!$T$36,0)</f>
        <v>0</v>
      </c>
      <c r="AQ131" s="19" t="n">
        <f aca="false">IF(AND('Bonding Program'!$S$36=1,AQ$3='Bonding Program'!$H$36),'Bonding Program'!$T$36,0)</f>
        <v>0</v>
      </c>
      <c r="AR131" s="19" t="n">
        <f aca="false">IF(AND('Bonding Program'!$S$36=1,AR$3='Bonding Program'!$H$36),'Bonding Program'!$T$36,0)</f>
        <v>0</v>
      </c>
      <c r="AS131" s="19" t="n">
        <f aca="false">IF(AND('Bonding Program'!$S$36=1,AS$3='Bonding Program'!$H$36),'Bonding Program'!$T$36,0)</f>
        <v>0</v>
      </c>
      <c r="AT131" s="19" t="n">
        <f aca="false">IF(AND('Bonding Program'!$S$36=1,AT$3='Bonding Program'!$H$36),'Bonding Program'!$T$36,0)</f>
        <v>0</v>
      </c>
      <c r="AU131" s="19" t="n">
        <f aca="false">IF(AND('Bonding Program'!$S$36=1,AU$3='Bonding Program'!$H$36),'Bonding Program'!$T$36,0)</f>
        <v>0</v>
      </c>
      <c r="AV131" s="19" t="n">
        <f aca="false">IF(AND('Bonding Program'!$S$36=1,AV$3='Bonding Program'!$H$36),'Bonding Program'!$T$36,0)</f>
        <v>0</v>
      </c>
      <c r="AW131" s="19" t="n">
        <f aca="false">IF(AND('Bonding Program'!$S$36=1,AW$3='Bonding Program'!$H$36),'Bonding Program'!$T$36,0)</f>
        <v>0</v>
      </c>
      <c r="AX131" s="19" t="n">
        <f aca="false">IF(AND('Bonding Program'!$S$36=1,AX$3='Bonding Program'!$H$36),'Bonding Program'!$T$36,0)</f>
        <v>0</v>
      </c>
      <c r="AY131" s="19" t="n">
        <f aca="false">IF(AND('Bonding Program'!$S$36=1,AY$3='Bonding Program'!$H$36),'Bonding Program'!$T$36,0)</f>
        <v>0</v>
      </c>
      <c r="AZ131" s="19" t="n">
        <f aca="false">IF(AND('Bonding Program'!$S$36=1,AZ$3='Bonding Program'!$H$36),'Bonding Program'!$T$36,0)</f>
        <v>0</v>
      </c>
      <c r="BA131" s="19" t="n">
        <f aca="false">IF(AND('Bonding Program'!$S$36=1,BA$3='Bonding Program'!$H$36),'Bonding Program'!$T$36,0)</f>
        <v>0</v>
      </c>
      <c r="BB131" s="19" t="n">
        <f aca="false">IF(AND('Bonding Program'!$S$36=1,BB$3='Bonding Program'!$H$36),'Bonding Program'!$T$36,0)</f>
        <v>0</v>
      </c>
      <c r="BC131" s="19" t="n">
        <f aca="false">IF(AND('Bonding Program'!$S$36=1,BC$3='Bonding Program'!$H$36),'Bonding Program'!$T$36,0)</f>
        <v>0</v>
      </c>
      <c r="BD131" s="19" t="n">
        <f aca="false">IF(AND('Bonding Program'!$S$36=1,BD$3='Bonding Program'!$H$36),'Bonding Program'!$T$36,0)</f>
        <v>0</v>
      </c>
      <c r="BE131" s="19" t="n">
        <f aca="false">IF(AND('Bonding Program'!$S$36=1,BE$3='Bonding Program'!$H$36),'Bonding Program'!$T$36,0)</f>
        <v>0</v>
      </c>
      <c r="BF131" s="19" t="n">
        <f aca="false">IF(AND('Bonding Program'!$S$36=1,BF$3='Bonding Program'!$H$36),'Bonding Program'!$T$36,0)</f>
        <v>0</v>
      </c>
      <c r="BG131" s="19" t="n">
        <f aca="false">IF(AND('Bonding Program'!$S$36=1,BG$3='Bonding Program'!$H$36),'Bonding Program'!$T$36,0)</f>
        <v>0</v>
      </c>
      <c r="BH131" s="19" t="n">
        <f aca="false">IF(AND('Bonding Program'!$S$36=1,BH$3='Bonding Program'!$H$36),'Bonding Program'!$T$36,0)</f>
        <v>0</v>
      </c>
      <c r="BI131" s="19" t="n">
        <f aca="false">IF(AND('Bonding Program'!$S$36=1,BI$3='Bonding Program'!$H$36),'Bonding Program'!$T$36,0)</f>
        <v>0</v>
      </c>
      <c r="BJ131" s="19" t="n">
        <f aca="false">IF(AND('Bonding Program'!$S$36=1,BJ$3='Bonding Program'!$H$36),'Bonding Program'!$T$36,0)</f>
        <v>0</v>
      </c>
      <c r="BK131" s="19" t="n">
        <f aca="false">IF(AND('Bonding Program'!$S$36=1,BK$3='Bonding Program'!$H$36),'Bonding Program'!$T$36,0)</f>
        <v>0</v>
      </c>
      <c r="BL131" s="19" t="n">
        <f aca="false">IF(AND('Bonding Program'!$S$36=1,BL$3='Bonding Program'!$H$36),'Bonding Program'!$T$36,0)</f>
        <v>0</v>
      </c>
      <c r="BM131" s="19" t="n">
        <f aca="false">IF(AND('Bonding Program'!$S$36=1,BM$3='Bonding Program'!$H$36),'Bonding Program'!$T$36,0)</f>
        <v>0</v>
      </c>
      <c r="BN131" s="19" t="n">
        <f aca="false">IF(AND('Bonding Program'!$S$36=1,BN$3='Bonding Program'!$H$36),'Bonding Program'!$T$36,0)</f>
        <v>0</v>
      </c>
      <c r="BO131" s="19" t="n">
        <f aca="false">IF(AND('Bonding Program'!$S$36=1,BO$3='Bonding Program'!$H$36),'Bonding Program'!$T$36,0)</f>
        <v>0</v>
      </c>
      <c r="BP131" s="19" t="n">
        <f aca="false">IF(AND('Bonding Program'!$S$36=1,BP$3='Bonding Program'!$H$36),'Bonding Program'!$T$36,0)</f>
        <v>0</v>
      </c>
      <c r="BQ131" s="19" t="n">
        <f aca="false">IF(AND('Bonding Program'!$S$36=1,BQ$3='Bonding Program'!$H$36),'Bonding Program'!$T$36,0)</f>
        <v>0</v>
      </c>
      <c r="BR131" s="19" t="n">
        <f aca="false">IF(AND('Bonding Program'!$S$36=1,BR$3='Bonding Program'!$H$36),'Bonding Program'!$T$36,0)</f>
        <v>0</v>
      </c>
      <c r="BS131" s="19" t="n">
        <f aca="false">IF(AND('Bonding Program'!$S$36=1,BS$3='Bonding Program'!$H$36),'Bonding Program'!$T$36,0)</f>
        <v>0</v>
      </c>
      <c r="BT131" s="19" t="n">
        <f aca="false">IF(AND('Bonding Program'!$S$36=1,BT$3='Bonding Program'!$H$36),'Bonding Program'!$T$36,0)</f>
        <v>0</v>
      </c>
      <c r="BU131" s="19" t="n">
        <f aca="false">IF(AND('Bonding Program'!$S$36=1,BU$3='Bonding Program'!$H$36),'Bonding Program'!$T$36,0)</f>
        <v>0</v>
      </c>
      <c r="BV131" s="19" t="n">
        <f aca="false">IF(AND('Bonding Program'!$S$36=1,BV$3='Bonding Program'!$H$36),'Bonding Program'!$T$36,0)</f>
        <v>0</v>
      </c>
      <c r="BW131" s="19" t="n">
        <f aca="false">IF(AND('Bonding Program'!$S$36=1,BW$3='Bonding Program'!$H$36),'Bonding Program'!$T$36,0)</f>
        <v>0</v>
      </c>
      <c r="BX131" s="19" t="n">
        <f aca="false">IF(AND('Bonding Program'!$S$36=1,BX$3='Bonding Program'!$H$36),'Bonding Program'!$T$36,0)</f>
        <v>0</v>
      </c>
      <c r="BY131" s="19" t="n">
        <f aca="false">IF(AND('Bonding Program'!$S$36=1,BY$3='Bonding Program'!$H$36),'Bonding Program'!$T$36,0)</f>
        <v>0</v>
      </c>
      <c r="BZ131" s="19" t="n">
        <f aca="false">IF(AND('Bonding Program'!$S$36=1,BZ$3='Bonding Program'!$H$36),'Bonding Program'!$T$36,0)</f>
        <v>0</v>
      </c>
      <c r="CA131" s="19" t="n">
        <f aca="false">IF(AND('Bonding Program'!$S$36=1,CA$3='Bonding Program'!$H$36),'Bonding Program'!$T$36,0)</f>
        <v>0</v>
      </c>
      <c r="CB131" s="19" t="n">
        <f aca="false">IF(AND('Bonding Program'!$S$36=1,CB$3='Bonding Program'!$H$36),'Bonding Program'!$T$36,0)</f>
        <v>0</v>
      </c>
      <c r="CC131" s="19" t="n">
        <f aca="false">IF(AND('Bonding Program'!$S$36=1,CC$3='Bonding Program'!$H$36),'Bonding Program'!$T$36,0)</f>
        <v>0</v>
      </c>
      <c r="CD131" s="19" t="n">
        <f aca="false">IF(AND('Bonding Program'!$S$36=1,CD$3='Bonding Program'!$H$36),'Bonding Program'!$T$36,0)</f>
        <v>0</v>
      </c>
      <c r="CE131" s="19" t="n">
        <f aca="false">IF(AND('Bonding Program'!$S$36=1,CE$3='Bonding Program'!$H$36),'Bonding Program'!$T$36,0)</f>
        <v>0</v>
      </c>
      <c r="CF131" s="19" t="n">
        <f aca="false">IF(AND('Bonding Program'!$S$36=1,CF$3='Bonding Program'!$H$36),'Bonding Program'!$T$36,0)</f>
        <v>0</v>
      </c>
      <c r="CG131" s="19" t="n">
        <f aca="false">IF(AND('Bonding Program'!$S$36=1,CG$3='Bonding Program'!$H$36),'Bonding Program'!$T$36,0)</f>
        <v>0</v>
      </c>
      <c r="CH131" s="19" t="n">
        <f aca="false">IF(AND('Bonding Program'!$S$36=1,CH$3='Bonding Program'!$H$36),'Bonding Program'!$T$36,0)</f>
        <v>0</v>
      </c>
      <c r="CI131" s="19" t="n">
        <f aca="false">IF(AND('Bonding Program'!$S$36=1,CI$3='Bonding Program'!$H$36),'Bonding Program'!$T$36,0)</f>
        <v>0</v>
      </c>
      <c r="CJ131" s="19" t="n">
        <f aca="false">IF(AND('Bonding Program'!$S$36=1,CJ$3='Bonding Program'!$H$36),'Bonding Program'!$T$36,0)</f>
        <v>0</v>
      </c>
      <c r="CK131" s="19" t="n">
        <f aca="false">IF(AND('Bonding Program'!$S$36=1,CK$3='Bonding Program'!$H$36),'Bonding Program'!$T$36,0)</f>
        <v>0</v>
      </c>
      <c r="CL131" s="19" t="n">
        <f aca="false">IF(AND('Bonding Program'!$S$36=1,CL$3='Bonding Program'!$H$36),'Bonding Program'!$T$36,0)</f>
        <v>0</v>
      </c>
      <c r="CM131" s="19" t="n">
        <f aca="false">IF(AND('Bonding Program'!$S$36=1,CM$3='Bonding Program'!$H$36),'Bonding Program'!$T$36,0)</f>
        <v>0</v>
      </c>
      <c r="CN131" s="19" t="n">
        <f aca="false">IF(AND('Bonding Program'!$S$36=1,CN$3='Bonding Program'!$H$36),'Bonding Program'!$T$36,0)</f>
        <v>0</v>
      </c>
      <c r="CO131" s="19" t="n">
        <f aca="false">IF(AND('Bonding Program'!$S$36=1,CO$3='Bonding Program'!$H$36),'Bonding Program'!$T$36,0)</f>
        <v>0</v>
      </c>
      <c r="CP131" s="19" t="n">
        <f aca="false">IF(AND('Bonding Program'!$S$36=1,CP$3='Bonding Program'!$H$36),'Bonding Program'!$T$36,0)</f>
        <v>0</v>
      </c>
      <c r="CQ131" s="19" t="n">
        <f aca="false">IF(AND('Bonding Program'!$S$36=1,CQ$3='Bonding Program'!$H$36),'Bonding Program'!$T$36,0)</f>
        <v>0</v>
      </c>
      <c r="CR131" s="19" t="n">
        <f aca="false">IF(AND('Bonding Program'!$S$36=1,CR$3='Bonding Program'!$H$36),'Bonding Program'!$T$36,0)</f>
        <v>0</v>
      </c>
      <c r="CS131" s="19" t="n">
        <f aca="false">IF(AND('Bonding Program'!$S$36=1,CS$3='Bonding Program'!$H$36),'Bonding Program'!$T$36,0)</f>
        <v>0</v>
      </c>
      <c r="CT131" s="19" t="n">
        <f aca="false">IF(AND('Bonding Program'!$S$36=1,CT$3='Bonding Program'!$H$36),'Bonding Program'!$T$36,0)</f>
        <v>0</v>
      </c>
      <c r="CU131" s="19" t="n">
        <f aca="false">IF(AND('Bonding Program'!$S$36=1,CU$3='Bonding Program'!$H$36),'Bonding Program'!$T$36,0)</f>
        <v>0</v>
      </c>
      <c r="CV131" s="19" t="n">
        <f aca="false">IF(AND('Bonding Program'!$S$36=1,CV$3='Bonding Program'!$H$36),'Bonding Program'!$T$36,0)</f>
        <v>0</v>
      </c>
      <c r="CW131" s="19" t="n">
        <f aca="false">IF(AND('Bonding Program'!$S$36=1,CW$3='Bonding Program'!$H$36),'Bonding Program'!$T$36,0)</f>
        <v>0</v>
      </c>
      <c r="CX131" s="19" t="n">
        <f aca="false">IF(AND('Bonding Program'!$S$36=1,CX$3='Bonding Program'!$H$36),'Bonding Program'!$T$36,0)</f>
        <v>0</v>
      </c>
      <c r="CY131" s="19" t="n">
        <f aca="false">IF(AND('Bonding Program'!$S$36=1,CY$3='Bonding Program'!$H$36),'Bonding Program'!$T$36,0)</f>
        <v>0</v>
      </c>
      <c r="CZ131" s="19" t="n">
        <f aca="false">IF(AND('Bonding Program'!$S$36=1,CZ$3='Bonding Program'!$H$36),'Bonding Program'!$T$36,0)</f>
        <v>0</v>
      </c>
      <c r="DA131" s="19" t="n">
        <f aca="false">IF(AND('Bonding Program'!$S$36=1,DA$3='Bonding Program'!$H$36),'Bonding Program'!$T$36,0)</f>
        <v>0</v>
      </c>
      <c r="DB131" s="19" t="n">
        <f aca="false">IF(AND('Bonding Program'!$S$36=1,DB$3='Bonding Program'!$H$36),'Bonding Program'!$T$36,0)</f>
        <v>0</v>
      </c>
      <c r="DC131" s="19" t="n">
        <f aca="false">IF(AND('Bonding Program'!$S$36=1,DC$3='Bonding Program'!$H$36),'Bonding Program'!$T$36,0)</f>
        <v>0</v>
      </c>
      <c r="DD131" s="19" t="n">
        <f aca="false">IF(AND('Bonding Program'!$S$36=1,DD$3='Bonding Program'!$H$36),'Bonding Program'!$T$36,0)</f>
        <v>0</v>
      </c>
      <c r="DE131" s="19" t="n">
        <f aca="false">IF(AND('Bonding Program'!$S$36=1,DE$3='Bonding Program'!$H$36),'Bonding Program'!$T$36,0)</f>
        <v>0</v>
      </c>
    </row>
    <row r="132" customFormat="false" ht="15" hidden="false" customHeight="true" outlineLevel="1" collapsed="false">
      <c r="A132" s="28" t="s">
        <v>33</v>
      </c>
      <c r="B132" s="19" t="n">
        <f aca="false">IF(AND('Bonding Program'!$S$37=1,B$3='Bonding Program'!$H$37),'Bonding Program'!$T$37,0)</f>
        <v>0</v>
      </c>
      <c r="C132" s="19" t="n">
        <f aca="false">IF(AND('Bonding Program'!$S$37=1,C$3='Bonding Program'!$H$37),'Bonding Program'!$T$37,0)</f>
        <v>0</v>
      </c>
      <c r="D132" s="19" t="n">
        <f aca="false">IF(AND('Bonding Program'!$S$37=1,D$3='Bonding Program'!$H$37),'Bonding Program'!$T$37,0)</f>
        <v>0</v>
      </c>
      <c r="E132" s="19" t="n">
        <f aca="false">IF(AND('Bonding Program'!$S$37=1,E$3='Bonding Program'!$H$37),'Bonding Program'!$T$37,0)</f>
        <v>0</v>
      </c>
      <c r="F132" s="19" t="n">
        <f aca="false">IF(AND('Bonding Program'!$S$37=1,F$3='Bonding Program'!$H$37),'Bonding Program'!$T$37,0)</f>
        <v>0</v>
      </c>
      <c r="G132" s="19" t="n">
        <f aca="false">IF(AND('Bonding Program'!$S$37=1,G$3='Bonding Program'!$H$37),'Bonding Program'!$T$37,0)</f>
        <v>0</v>
      </c>
      <c r="H132" s="19" t="n">
        <f aca="false">IF(AND('Bonding Program'!$S$37=1,H$3='Bonding Program'!$H$37),'Bonding Program'!$T$37,0)</f>
        <v>0</v>
      </c>
      <c r="I132" s="19" t="n">
        <f aca="false">IF(AND('Bonding Program'!$S$37=1,I$3='Bonding Program'!$H$37),'Bonding Program'!$T$37,0)</f>
        <v>0</v>
      </c>
      <c r="J132" s="19" t="n">
        <f aca="false">IF(AND('Bonding Program'!$S$37=1,J$3='Bonding Program'!$H$37),'Bonding Program'!$T$37,0)</f>
        <v>0</v>
      </c>
      <c r="K132" s="19" t="n">
        <f aca="false">IF(AND('Bonding Program'!$S$37=1,K$3='Bonding Program'!$H$37),'Bonding Program'!$T$37,0)</f>
        <v>0</v>
      </c>
      <c r="L132" s="19" t="n">
        <f aca="false">IF(AND('Bonding Program'!$S$37=1,L$3='Bonding Program'!$H$37),'Bonding Program'!$T$37,0)</f>
        <v>0</v>
      </c>
      <c r="M132" s="19" t="n">
        <f aca="false">IF(AND('Bonding Program'!$S$37=1,M$3='Bonding Program'!$H$37),'Bonding Program'!$T$37,0)</f>
        <v>0</v>
      </c>
      <c r="N132" s="19" t="n">
        <f aca="false">IF(AND('Bonding Program'!$S$37=1,N$3='Bonding Program'!$H$37),'Bonding Program'!$T$37,0)</f>
        <v>0</v>
      </c>
      <c r="O132" s="19" t="n">
        <f aca="false">IF(AND('Bonding Program'!$S$37=1,O$3='Bonding Program'!$H$37),'Bonding Program'!$T$37,0)</f>
        <v>0</v>
      </c>
      <c r="P132" s="19" t="n">
        <f aca="false">IF(AND('Bonding Program'!$S$37=1,P$3='Bonding Program'!$H$37),'Bonding Program'!$T$37,0)</f>
        <v>0</v>
      </c>
      <c r="Q132" s="19" t="n">
        <f aca="false">IF(AND('Bonding Program'!$S$37=1,Q$3='Bonding Program'!$H$37),'Bonding Program'!$T$37,0)</f>
        <v>0</v>
      </c>
      <c r="R132" s="19" t="n">
        <f aca="false">IF(AND('Bonding Program'!$S$37=1,R$3='Bonding Program'!$H$37),'Bonding Program'!$T$37,0)</f>
        <v>0</v>
      </c>
      <c r="S132" s="19" t="n">
        <f aca="false">IF(AND('Bonding Program'!$S$37=1,S$3='Bonding Program'!$H$37),'Bonding Program'!$T$37,0)</f>
        <v>0</v>
      </c>
      <c r="T132" s="19" t="n">
        <f aca="false">IF(AND('Bonding Program'!$S$37=1,T$3='Bonding Program'!$H$37),'Bonding Program'!$T$37,0)</f>
        <v>0</v>
      </c>
      <c r="U132" s="19" t="n">
        <f aca="false">IF(AND('Bonding Program'!$S$37=1,U$3='Bonding Program'!$H$37),'Bonding Program'!$T$37,0)</f>
        <v>0</v>
      </c>
      <c r="V132" s="19" t="n">
        <f aca="false">IF(AND('Bonding Program'!$S$37=1,V$3='Bonding Program'!$H$37),'Bonding Program'!$T$37,0)</f>
        <v>0</v>
      </c>
      <c r="W132" s="19" t="n">
        <f aca="false">IF(AND('Bonding Program'!$S$37=1,W$3='Bonding Program'!$H$37),'Bonding Program'!$T$37,0)</f>
        <v>0</v>
      </c>
      <c r="X132" s="19" t="n">
        <f aca="false">IF(AND('Bonding Program'!$S$37=1,X$3='Bonding Program'!$H$37),'Bonding Program'!$T$37,0)</f>
        <v>0</v>
      </c>
      <c r="Y132" s="19" t="n">
        <f aca="false">IF(AND('Bonding Program'!$S$37=1,Y$3='Bonding Program'!$H$37),'Bonding Program'!$T$37,0)</f>
        <v>0</v>
      </c>
      <c r="Z132" s="19" t="n">
        <f aca="false">IF(AND('Bonding Program'!$S$37=1,Z$3='Bonding Program'!$H$37),'Bonding Program'!$T$37,0)</f>
        <v>0</v>
      </c>
      <c r="AA132" s="19" t="n">
        <f aca="false">IF(AND('Bonding Program'!$S$37=1,AA$3='Bonding Program'!$H$37),'Bonding Program'!$T$37,0)</f>
        <v>0</v>
      </c>
      <c r="AB132" s="19" t="n">
        <f aca="false">IF(AND('Bonding Program'!$S$37=1,AB$3='Bonding Program'!$H$37),'Bonding Program'!$T$37,0)</f>
        <v>0</v>
      </c>
      <c r="AC132" s="19" t="n">
        <f aca="false">IF(AND('Bonding Program'!$S$37=1,AC$3='Bonding Program'!$H$37),'Bonding Program'!$T$37,0)</f>
        <v>0</v>
      </c>
      <c r="AD132" s="19" t="n">
        <f aca="false">IF(AND('Bonding Program'!$S$37=1,AD$3='Bonding Program'!$H$37),'Bonding Program'!$T$37,0)</f>
        <v>0</v>
      </c>
      <c r="AE132" s="19" t="n">
        <f aca="false">IF(AND('Bonding Program'!$S$37=1,AE$3='Bonding Program'!$H$37),'Bonding Program'!$T$37,0)</f>
        <v>0</v>
      </c>
      <c r="AF132" s="19" t="n">
        <f aca="false">IF(AND('Bonding Program'!$S$37=1,AF$3='Bonding Program'!$H$37),'Bonding Program'!$T$37,0)</f>
        <v>0</v>
      </c>
      <c r="AG132" s="19" t="n">
        <f aca="false">IF(AND('Bonding Program'!$S$37=1,AG$3='Bonding Program'!$H$37),'Bonding Program'!$T$37,0)</f>
        <v>0</v>
      </c>
      <c r="AH132" s="19" t="n">
        <f aca="false">IF(AND('Bonding Program'!$S$37=1,AH$3='Bonding Program'!$H$37),'Bonding Program'!$T$37,0)</f>
        <v>0</v>
      </c>
      <c r="AI132" s="19" t="n">
        <f aca="false">IF(AND('Bonding Program'!$S$37=1,AI$3='Bonding Program'!$H$37),'Bonding Program'!$T$37,0)</f>
        <v>0</v>
      </c>
      <c r="AJ132" s="19" t="n">
        <f aca="false">IF(AND('Bonding Program'!$S$37=1,AJ$3='Bonding Program'!$H$37),'Bonding Program'!$T$37,0)</f>
        <v>0</v>
      </c>
      <c r="AK132" s="19" t="n">
        <f aca="false">IF(AND('Bonding Program'!$S$37=1,AK$3='Bonding Program'!$H$37),'Bonding Program'!$T$37,0)</f>
        <v>0</v>
      </c>
      <c r="AL132" s="19" t="n">
        <f aca="false">IF(AND('Bonding Program'!$S$37=1,AL$3='Bonding Program'!$H$37),'Bonding Program'!$T$37,0)</f>
        <v>0</v>
      </c>
      <c r="AM132" s="19" t="n">
        <f aca="false">IF(AND('Bonding Program'!$S$37=1,AM$3='Bonding Program'!$H$37),'Bonding Program'!$T$37,0)</f>
        <v>0</v>
      </c>
      <c r="AN132" s="19" t="n">
        <f aca="false">IF(AND('Bonding Program'!$S$37=1,AN$3='Bonding Program'!$H$37),'Bonding Program'!$T$37,0)</f>
        <v>0</v>
      </c>
      <c r="AO132" s="19" t="n">
        <f aca="false">IF(AND('Bonding Program'!$S$37=1,AO$3='Bonding Program'!$H$37),'Bonding Program'!$T$37,0)</f>
        <v>0</v>
      </c>
      <c r="AP132" s="19" t="n">
        <f aca="false">IF(AND('Bonding Program'!$S$37=1,AP$3='Bonding Program'!$H$37),'Bonding Program'!$T$37,0)</f>
        <v>0</v>
      </c>
      <c r="AQ132" s="19" t="n">
        <f aca="false">IF(AND('Bonding Program'!$S$37=1,AQ$3='Bonding Program'!$H$37),'Bonding Program'!$T$37,0)</f>
        <v>0</v>
      </c>
      <c r="AR132" s="19" t="n">
        <f aca="false">IF(AND('Bonding Program'!$S$37=1,AR$3='Bonding Program'!$H$37),'Bonding Program'!$T$37,0)</f>
        <v>0</v>
      </c>
      <c r="AS132" s="19" t="n">
        <f aca="false">IF(AND('Bonding Program'!$S$37=1,AS$3='Bonding Program'!$H$37),'Bonding Program'!$T$37,0)</f>
        <v>0</v>
      </c>
      <c r="AT132" s="19" t="n">
        <f aca="false">IF(AND('Bonding Program'!$S$37=1,AT$3='Bonding Program'!$H$37),'Bonding Program'!$T$37,0)</f>
        <v>0</v>
      </c>
      <c r="AU132" s="19" t="n">
        <f aca="false">IF(AND('Bonding Program'!$S$37=1,AU$3='Bonding Program'!$H$37),'Bonding Program'!$T$37,0)</f>
        <v>0</v>
      </c>
      <c r="AV132" s="19" t="n">
        <f aca="false">IF(AND('Bonding Program'!$S$37=1,AV$3='Bonding Program'!$H$37),'Bonding Program'!$T$37,0)</f>
        <v>0</v>
      </c>
      <c r="AW132" s="19" t="n">
        <f aca="false">IF(AND('Bonding Program'!$S$37=1,AW$3='Bonding Program'!$H$37),'Bonding Program'!$T$37,0)</f>
        <v>0</v>
      </c>
      <c r="AX132" s="19" t="n">
        <f aca="false">IF(AND('Bonding Program'!$S$37=1,AX$3='Bonding Program'!$H$37),'Bonding Program'!$T$37,0)</f>
        <v>0</v>
      </c>
      <c r="AY132" s="19" t="n">
        <f aca="false">IF(AND('Bonding Program'!$S$37=1,AY$3='Bonding Program'!$H$37),'Bonding Program'!$T$37,0)</f>
        <v>0</v>
      </c>
      <c r="AZ132" s="19" t="n">
        <f aca="false">IF(AND('Bonding Program'!$S$37=1,AZ$3='Bonding Program'!$H$37),'Bonding Program'!$T$37,0)</f>
        <v>0</v>
      </c>
      <c r="BA132" s="19" t="n">
        <f aca="false">IF(AND('Bonding Program'!$S$37=1,BA$3='Bonding Program'!$H$37),'Bonding Program'!$T$37,0)</f>
        <v>0</v>
      </c>
      <c r="BB132" s="19" t="n">
        <f aca="false">IF(AND('Bonding Program'!$S$37=1,BB$3='Bonding Program'!$H$37),'Bonding Program'!$T$37,0)</f>
        <v>0</v>
      </c>
      <c r="BC132" s="19" t="n">
        <f aca="false">IF(AND('Bonding Program'!$S$37=1,BC$3='Bonding Program'!$H$37),'Bonding Program'!$T$37,0)</f>
        <v>0</v>
      </c>
      <c r="BD132" s="19" t="n">
        <f aca="false">IF(AND('Bonding Program'!$S$37=1,BD$3='Bonding Program'!$H$37),'Bonding Program'!$T$37,0)</f>
        <v>0</v>
      </c>
      <c r="BE132" s="19" t="n">
        <f aca="false">IF(AND('Bonding Program'!$S$37=1,BE$3='Bonding Program'!$H$37),'Bonding Program'!$T$37,0)</f>
        <v>0</v>
      </c>
      <c r="BF132" s="19" t="n">
        <f aca="false">IF(AND('Bonding Program'!$S$37=1,BF$3='Bonding Program'!$H$37),'Bonding Program'!$T$37,0)</f>
        <v>0</v>
      </c>
      <c r="BG132" s="19" t="n">
        <f aca="false">IF(AND('Bonding Program'!$S$37=1,BG$3='Bonding Program'!$H$37),'Bonding Program'!$T$37,0)</f>
        <v>0</v>
      </c>
      <c r="BH132" s="19" t="n">
        <f aca="false">IF(AND('Bonding Program'!$S$37=1,BH$3='Bonding Program'!$H$37),'Bonding Program'!$T$37,0)</f>
        <v>0</v>
      </c>
      <c r="BI132" s="19" t="n">
        <f aca="false">IF(AND('Bonding Program'!$S$37=1,BI$3='Bonding Program'!$H$37),'Bonding Program'!$T$37,0)</f>
        <v>0</v>
      </c>
      <c r="BJ132" s="19" t="n">
        <f aca="false">IF(AND('Bonding Program'!$S$37=1,BJ$3='Bonding Program'!$H$37),'Bonding Program'!$T$37,0)</f>
        <v>0</v>
      </c>
      <c r="BK132" s="19" t="n">
        <f aca="false">IF(AND('Bonding Program'!$S$37=1,BK$3='Bonding Program'!$H$37),'Bonding Program'!$T$37,0)</f>
        <v>0</v>
      </c>
      <c r="BL132" s="19" t="n">
        <f aca="false">IF(AND('Bonding Program'!$S$37=1,BL$3='Bonding Program'!$H$37),'Bonding Program'!$T$37,0)</f>
        <v>0</v>
      </c>
      <c r="BM132" s="19" t="n">
        <f aca="false">IF(AND('Bonding Program'!$S$37=1,BM$3='Bonding Program'!$H$37),'Bonding Program'!$T$37,0)</f>
        <v>0</v>
      </c>
      <c r="BN132" s="19" t="n">
        <f aca="false">IF(AND('Bonding Program'!$S$37=1,BN$3='Bonding Program'!$H$37),'Bonding Program'!$T$37,0)</f>
        <v>0</v>
      </c>
      <c r="BO132" s="19" t="n">
        <f aca="false">IF(AND('Bonding Program'!$S$37=1,BO$3='Bonding Program'!$H$37),'Bonding Program'!$T$37,0)</f>
        <v>0</v>
      </c>
      <c r="BP132" s="19" t="n">
        <f aca="false">IF(AND('Bonding Program'!$S$37=1,BP$3='Bonding Program'!$H$37),'Bonding Program'!$T$37,0)</f>
        <v>0</v>
      </c>
      <c r="BQ132" s="19" t="n">
        <f aca="false">IF(AND('Bonding Program'!$S$37=1,BQ$3='Bonding Program'!$H$37),'Bonding Program'!$T$37,0)</f>
        <v>0</v>
      </c>
      <c r="BR132" s="19" t="n">
        <f aca="false">IF(AND('Bonding Program'!$S$37=1,BR$3='Bonding Program'!$H$37),'Bonding Program'!$T$37,0)</f>
        <v>0</v>
      </c>
      <c r="BS132" s="19" t="n">
        <f aca="false">IF(AND('Bonding Program'!$S$37=1,BS$3='Bonding Program'!$H$37),'Bonding Program'!$T$37,0)</f>
        <v>0</v>
      </c>
      <c r="BT132" s="19" t="n">
        <f aca="false">IF(AND('Bonding Program'!$S$37=1,BT$3='Bonding Program'!$H$37),'Bonding Program'!$T$37,0)</f>
        <v>0</v>
      </c>
      <c r="BU132" s="19" t="n">
        <f aca="false">IF(AND('Bonding Program'!$S$37=1,BU$3='Bonding Program'!$H$37),'Bonding Program'!$T$37,0)</f>
        <v>0</v>
      </c>
      <c r="BV132" s="19" t="n">
        <f aca="false">IF(AND('Bonding Program'!$S$37=1,BV$3='Bonding Program'!$H$37),'Bonding Program'!$T$37,0)</f>
        <v>0</v>
      </c>
      <c r="BW132" s="19" t="n">
        <f aca="false">IF(AND('Bonding Program'!$S$37=1,BW$3='Bonding Program'!$H$37),'Bonding Program'!$T$37,0)</f>
        <v>0</v>
      </c>
      <c r="BX132" s="19" t="n">
        <f aca="false">IF(AND('Bonding Program'!$S$37=1,BX$3='Bonding Program'!$H$37),'Bonding Program'!$T$37,0)</f>
        <v>0</v>
      </c>
      <c r="BY132" s="19" t="n">
        <f aca="false">IF(AND('Bonding Program'!$S$37=1,BY$3='Bonding Program'!$H$37),'Bonding Program'!$T$37,0)</f>
        <v>0</v>
      </c>
      <c r="BZ132" s="19" t="n">
        <f aca="false">IF(AND('Bonding Program'!$S$37=1,BZ$3='Bonding Program'!$H$37),'Bonding Program'!$T$37,0)</f>
        <v>0</v>
      </c>
      <c r="CA132" s="19" t="n">
        <f aca="false">IF(AND('Bonding Program'!$S$37=1,CA$3='Bonding Program'!$H$37),'Bonding Program'!$T$37,0)</f>
        <v>0</v>
      </c>
      <c r="CB132" s="19" t="n">
        <f aca="false">IF(AND('Bonding Program'!$S$37=1,CB$3='Bonding Program'!$H$37),'Bonding Program'!$T$37,0)</f>
        <v>0</v>
      </c>
      <c r="CC132" s="19" t="n">
        <f aca="false">IF(AND('Bonding Program'!$S$37=1,CC$3='Bonding Program'!$H$37),'Bonding Program'!$T$37,0)</f>
        <v>0</v>
      </c>
      <c r="CD132" s="19" t="n">
        <f aca="false">IF(AND('Bonding Program'!$S$37=1,CD$3='Bonding Program'!$H$37),'Bonding Program'!$T$37,0)</f>
        <v>0</v>
      </c>
      <c r="CE132" s="19" t="n">
        <f aca="false">IF(AND('Bonding Program'!$S$37=1,CE$3='Bonding Program'!$H$37),'Bonding Program'!$T$37,0)</f>
        <v>0</v>
      </c>
      <c r="CF132" s="19" t="n">
        <f aca="false">IF(AND('Bonding Program'!$S$37=1,CF$3='Bonding Program'!$H$37),'Bonding Program'!$T$37,0)</f>
        <v>0</v>
      </c>
      <c r="CG132" s="19" t="n">
        <f aca="false">IF(AND('Bonding Program'!$S$37=1,CG$3='Bonding Program'!$H$37),'Bonding Program'!$T$37,0)</f>
        <v>0</v>
      </c>
      <c r="CH132" s="19" t="n">
        <f aca="false">IF(AND('Bonding Program'!$S$37=1,CH$3='Bonding Program'!$H$37),'Bonding Program'!$T$37,0)</f>
        <v>0</v>
      </c>
      <c r="CI132" s="19" t="n">
        <f aca="false">IF(AND('Bonding Program'!$S$37=1,CI$3='Bonding Program'!$H$37),'Bonding Program'!$T$37,0)</f>
        <v>0</v>
      </c>
      <c r="CJ132" s="19" t="n">
        <f aca="false">IF(AND('Bonding Program'!$S$37=1,CJ$3='Bonding Program'!$H$37),'Bonding Program'!$T$37,0)</f>
        <v>0</v>
      </c>
      <c r="CK132" s="19" t="n">
        <f aca="false">IF(AND('Bonding Program'!$S$37=1,CK$3='Bonding Program'!$H$37),'Bonding Program'!$T$37,0)</f>
        <v>0</v>
      </c>
      <c r="CL132" s="19" t="n">
        <f aca="false">IF(AND('Bonding Program'!$S$37=1,CL$3='Bonding Program'!$H$37),'Bonding Program'!$T$37,0)</f>
        <v>0</v>
      </c>
      <c r="CM132" s="19" t="n">
        <f aca="false">IF(AND('Bonding Program'!$S$37=1,CM$3='Bonding Program'!$H$37),'Bonding Program'!$T$37,0)</f>
        <v>0</v>
      </c>
      <c r="CN132" s="19" t="n">
        <f aca="false">IF(AND('Bonding Program'!$S$37=1,CN$3='Bonding Program'!$H$37),'Bonding Program'!$T$37,0)</f>
        <v>0</v>
      </c>
      <c r="CO132" s="19" t="n">
        <f aca="false">IF(AND('Bonding Program'!$S$37=1,CO$3='Bonding Program'!$H$37),'Bonding Program'!$T$37,0)</f>
        <v>0</v>
      </c>
      <c r="CP132" s="19" t="n">
        <f aca="false">IF(AND('Bonding Program'!$S$37=1,CP$3='Bonding Program'!$H$37),'Bonding Program'!$T$37,0)</f>
        <v>0</v>
      </c>
      <c r="CQ132" s="19" t="n">
        <f aca="false">IF(AND('Bonding Program'!$S$37=1,CQ$3='Bonding Program'!$H$37),'Bonding Program'!$T$37,0)</f>
        <v>0</v>
      </c>
      <c r="CR132" s="19" t="n">
        <f aca="false">IF(AND('Bonding Program'!$S$37=1,CR$3='Bonding Program'!$H$37),'Bonding Program'!$T$37,0)</f>
        <v>0</v>
      </c>
      <c r="CS132" s="19" t="n">
        <f aca="false">IF(AND('Bonding Program'!$S$37=1,CS$3='Bonding Program'!$H$37),'Bonding Program'!$T$37,0)</f>
        <v>0</v>
      </c>
      <c r="CT132" s="19" t="n">
        <f aca="false">IF(AND('Bonding Program'!$S$37=1,CT$3='Bonding Program'!$H$37),'Bonding Program'!$T$37,0)</f>
        <v>0</v>
      </c>
      <c r="CU132" s="19" t="n">
        <f aca="false">IF(AND('Bonding Program'!$S$37=1,CU$3='Bonding Program'!$H$37),'Bonding Program'!$T$37,0)</f>
        <v>0</v>
      </c>
      <c r="CV132" s="19" t="n">
        <f aca="false">IF(AND('Bonding Program'!$S$37=1,CV$3='Bonding Program'!$H$37),'Bonding Program'!$T$37,0)</f>
        <v>0</v>
      </c>
      <c r="CW132" s="19" t="n">
        <f aca="false">IF(AND('Bonding Program'!$S$37=1,CW$3='Bonding Program'!$H$37),'Bonding Program'!$T$37,0)</f>
        <v>0</v>
      </c>
      <c r="CX132" s="19" t="n">
        <f aca="false">IF(AND('Bonding Program'!$S$37=1,CX$3='Bonding Program'!$H$37),'Bonding Program'!$T$37,0)</f>
        <v>0</v>
      </c>
      <c r="CY132" s="19" t="n">
        <f aca="false">IF(AND('Bonding Program'!$S$37=1,CY$3='Bonding Program'!$H$37),'Bonding Program'!$T$37,0)</f>
        <v>0</v>
      </c>
      <c r="CZ132" s="19" t="n">
        <f aca="false">IF(AND('Bonding Program'!$S$37=1,CZ$3='Bonding Program'!$H$37),'Bonding Program'!$T$37,0)</f>
        <v>0</v>
      </c>
      <c r="DA132" s="19" t="n">
        <f aca="false">IF(AND('Bonding Program'!$S$37=1,DA$3='Bonding Program'!$H$37),'Bonding Program'!$T$37,0)</f>
        <v>0</v>
      </c>
      <c r="DB132" s="19" t="n">
        <f aca="false">IF(AND('Bonding Program'!$S$37=1,DB$3='Bonding Program'!$H$37),'Bonding Program'!$T$37,0)</f>
        <v>0</v>
      </c>
      <c r="DC132" s="19" t="n">
        <f aca="false">IF(AND('Bonding Program'!$S$37=1,DC$3='Bonding Program'!$H$37),'Bonding Program'!$T$37,0)</f>
        <v>0</v>
      </c>
      <c r="DD132" s="19" t="n">
        <f aca="false">IF(AND('Bonding Program'!$S$37=1,DD$3='Bonding Program'!$H$37),'Bonding Program'!$T$37,0)</f>
        <v>0</v>
      </c>
      <c r="DE132" s="19" t="n">
        <f aca="false">IF(AND('Bonding Program'!$S$37=1,DE$3='Bonding Program'!$H$37),'Bonding Program'!$T$37,0)</f>
        <v>0</v>
      </c>
    </row>
    <row r="133" customFormat="false" ht="15" hidden="false" customHeight="true" outlineLevel="1" collapsed="false">
      <c r="A133" s="28" t="s">
        <v>34</v>
      </c>
      <c r="B133" s="19" t="n">
        <f aca="false">IF(AND('Bonding Program'!$S$38=1,B$3='Bonding Program'!$H$38),'Bonding Program'!$T$38,0)</f>
        <v>0</v>
      </c>
      <c r="C133" s="19" t="n">
        <f aca="false">IF(AND('Bonding Program'!$S$38=1,C$3='Bonding Program'!$H$38),'Bonding Program'!$T$38,0)</f>
        <v>0</v>
      </c>
      <c r="D133" s="19" t="n">
        <f aca="false">IF(AND('Bonding Program'!$S$38=1,D$3='Bonding Program'!$H$38),'Bonding Program'!$T$38,0)</f>
        <v>0</v>
      </c>
      <c r="E133" s="19" t="n">
        <f aca="false">IF(AND('Bonding Program'!$S$38=1,E$3='Bonding Program'!$H$38),'Bonding Program'!$T$38,0)</f>
        <v>0</v>
      </c>
      <c r="F133" s="19" t="n">
        <f aca="false">IF(AND('Bonding Program'!$S$38=1,F$3='Bonding Program'!$H$38),'Bonding Program'!$T$38,0)</f>
        <v>0</v>
      </c>
      <c r="G133" s="19" t="n">
        <f aca="false">IF(AND('Bonding Program'!$S$38=1,G$3='Bonding Program'!$H$38),'Bonding Program'!$T$38,0)</f>
        <v>0</v>
      </c>
      <c r="H133" s="19" t="n">
        <f aca="false">IF(AND('Bonding Program'!$S$38=1,H$3='Bonding Program'!$H$38),'Bonding Program'!$T$38,0)</f>
        <v>0</v>
      </c>
      <c r="I133" s="19" t="n">
        <f aca="false">IF(AND('Bonding Program'!$S$38=1,I$3='Bonding Program'!$H$38),'Bonding Program'!$T$38,0)</f>
        <v>0</v>
      </c>
      <c r="J133" s="19" t="n">
        <f aca="false">IF(AND('Bonding Program'!$S$38=1,J$3='Bonding Program'!$H$38),'Bonding Program'!$T$38,0)</f>
        <v>0</v>
      </c>
      <c r="K133" s="19" t="n">
        <f aca="false">IF(AND('Bonding Program'!$S$38=1,K$3='Bonding Program'!$H$38),'Bonding Program'!$T$38,0)</f>
        <v>0</v>
      </c>
      <c r="L133" s="19" t="n">
        <f aca="false">IF(AND('Bonding Program'!$S$38=1,L$3='Bonding Program'!$H$38),'Bonding Program'!$T$38,0)</f>
        <v>0</v>
      </c>
      <c r="M133" s="19" t="n">
        <f aca="false">IF(AND('Bonding Program'!$S$38=1,M$3='Bonding Program'!$H$38),'Bonding Program'!$T$38,0)</f>
        <v>0</v>
      </c>
      <c r="N133" s="19" t="n">
        <f aca="false">IF(AND('Bonding Program'!$S$38=1,N$3='Bonding Program'!$H$38),'Bonding Program'!$T$38,0)</f>
        <v>0</v>
      </c>
      <c r="O133" s="19" t="n">
        <f aca="false">IF(AND('Bonding Program'!$S$38=1,O$3='Bonding Program'!$H$38),'Bonding Program'!$T$38,0)</f>
        <v>0</v>
      </c>
      <c r="P133" s="19" t="n">
        <f aca="false">IF(AND('Bonding Program'!$S$38=1,P$3='Bonding Program'!$H$38),'Bonding Program'!$T$38,0)</f>
        <v>0</v>
      </c>
      <c r="Q133" s="19" t="n">
        <f aca="false">IF(AND('Bonding Program'!$S$38=1,Q$3='Bonding Program'!$H$38),'Bonding Program'!$T$38,0)</f>
        <v>0</v>
      </c>
      <c r="R133" s="19" t="n">
        <f aca="false">IF(AND('Bonding Program'!$S$38=1,R$3='Bonding Program'!$H$38),'Bonding Program'!$T$38,0)</f>
        <v>0</v>
      </c>
      <c r="S133" s="19" t="n">
        <f aca="false">IF(AND('Bonding Program'!$S$38=1,S$3='Bonding Program'!$H$38),'Bonding Program'!$T$38,0)</f>
        <v>0</v>
      </c>
      <c r="T133" s="19" t="n">
        <f aca="false">IF(AND('Bonding Program'!$S$38=1,T$3='Bonding Program'!$H$38),'Bonding Program'!$T$38,0)</f>
        <v>0</v>
      </c>
      <c r="U133" s="19" t="n">
        <f aca="false">IF(AND('Bonding Program'!$S$38=1,U$3='Bonding Program'!$H$38),'Bonding Program'!$T$38,0)</f>
        <v>0</v>
      </c>
      <c r="V133" s="19" t="n">
        <f aca="false">IF(AND('Bonding Program'!$S$38=1,V$3='Bonding Program'!$H$38),'Bonding Program'!$T$38,0)</f>
        <v>0</v>
      </c>
      <c r="W133" s="19" t="n">
        <f aca="false">IF(AND('Bonding Program'!$S$38=1,W$3='Bonding Program'!$H$38),'Bonding Program'!$T$38,0)</f>
        <v>0</v>
      </c>
      <c r="X133" s="19" t="n">
        <f aca="false">IF(AND('Bonding Program'!$S$38=1,X$3='Bonding Program'!$H$38),'Bonding Program'!$T$38,0)</f>
        <v>0</v>
      </c>
      <c r="Y133" s="19" t="n">
        <f aca="false">IF(AND('Bonding Program'!$S$38=1,Y$3='Bonding Program'!$H$38),'Bonding Program'!$T$38,0)</f>
        <v>0</v>
      </c>
      <c r="Z133" s="19" t="n">
        <f aca="false">IF(AND('Bonding Program'!$S$38=1,Z$3='Bonding Program'!$H$38),'Bonding Program'!$T$38,0)</f>
        <v>0</v>
      </c>
      <c r="AA133" s="19" t="n">
        <f aca="false">IF(AND('Bonding Program'!$S$38=1,AA$3='Bonding Program'!$H$38),'Bonding Program'!$T$38,0)</f>
        <v>0</v>
      </c>
      <c r="AB133" s="19" t="n">
        <f aca="false">IF(AND('Bonding Program'!$S$38=1,AB$3='Bonding Program'!$H$38),'Bonding Program'!$T$38,0)</f>
        <v>0</v>
      </c>
      <c r="AC133" s="19" t="n">
        <f aca="false">IF(AND('Bonding Program'!$S$38=1,AC$3='Bonding Program'!$H$38),'Bonding Program'!$T$38,0)</f>
        <v>0</v>
      </c>
      <c r="AD133" s="19" t="n">
        <f aca="false">IF(AND('Bonding Program'!$S$38=1,AD$3='Bonding Program'!$H$38),'Bonding Program'!$T$38,0)</f>
        <v>0</v>
      </c>
      <c r="AE133" s="19" t="n">
        <f aca="false">IF(AND('Bonding Program'!$S$38=1,AE$3='Bonding Program'!$H$38),'Bonding Program'!$T$38,0)</f>
        <v>0</v>
      </c>
      <c r="AF133" s="19" t="n">
        <f aca="false">IF(AND('Bonding Program'!$S$38=1,AF$3='Bonding Program'!$H$38),'Bonding Program'!$T$38,0)</f>
        <v>0</v>
      </c>
      <c r="AG133" s="19" t="n">
        <f aca="false">IF(AND('Bonding Program'!$S$38=1,AG$3='Bonding Program'!$H$38),'Bonding Program'!$T$38,0)</f>
        <v>0</v>
      </c>
      <c r="AH133" s="19" t="n">
        <f aca="false">IF(AND('Bonding Program'!$S$38=1,AH$3='Bonding Program'!$H$38),'Bonding Program'!$T$38,0)</f>
        <v>0</v>
      </c>
      <c r="AI133" s="19" t="n">
        <f aca="false">IF(AND('Bonding Program'!$S$38=1,AI$3='Bonding Program'!$H$38),'Bonding Program'!$T$38,0)</f>
        <v>0</v>
      </c>
      <c r="AJ133" s="19" t="n">
        <f aca="false">IF(AND('Bonding Program'!$S$38=1,AJ$3='Bonding Program'!$H$38),'Bonding Program'!$T$38,0)</f>
        <v>0</v>
      </c>
      <c r="AK133" s="19" t="n">
        <f aca="false">IF(AND('Bonding Program'!$S$38=1,AK$3='Bonding Program'!$H$38),'Bonding Program'!$T$38,0)</f>
        <v>0</v>
      </c>
      <c r="AL133" s="19" t="n">
        <f aca="false">IF(AND('Bonding Program'!$S$38=1,AL$3='Bonding Program'!$H$38),'Bonding Program'!$T$38,0)</f>
        <v>0</v>
      </c>
      <c r="AM133" s="19" t="n">
        <f aca="false">IF(AND('Bonding Program'!$S$38=1,AM$3='Bonding Program'!$H$38),'Bonding Program'!$T$38,0)</f>
        <v>0</v>
      </c>
      <c r="AN133" s="19" t="n">
        <f aca="false">IF(AND('Bonding Program'!$S$38=1,AN$3='Bonding Program'!$H$38),'Bonding Program'!$T$38,0)</f>
        <v>0</v>
      </c>
      <c r="AO133" s="19" t="n">
        <f aca="false">IF(AND('Bonding Program'!$S$38=1,AO$3='Bonding Program'!$H$38),'Bonding Program'!$T$38,0)</f>
        <v>0</v>
      </c>
      <c r="AP133" s="19" t="n">
        <f aca="false">IF(AND('Bonding Program'!$S$38=1,AP$3='Bonding Program'!$H$38),'Bonding Program'!$T$38,0)</f>
        <v>0</v>
      </c>
      <c r="AQ133" s="19" t="n">
        <f aca="false">IF(AND('Bonding Program'!$S$38=1,AQ$3='Bonding Program'!$H$38),'Bonding Program'!$T$38,0)</f>
        <v>0</v>
      </c>
      <c r="AR133" s="19" t="n">
        <f aca="false">IF(AND('Bonding Program'!$S$38=1,AR$3='Bonding Program'!$H$38),'Bonding Program'!$T$38,0)</f>
        <v>0</v>
      </c>
      <c r="AS133" s="19" t="n">
        <f aca="false">IF(AND('Bonding Program'!$S$38=1,AS$3='Bonding Program'!$H$38),'Bonding Program'!$T$38,0)</f>
        <v>0</v>
      </c>
      <c r="AT133" s="19" t="n">
        <f aca="false">IF(AND('Bonding Program'!$S$38=1,AT$3='Bonding Program'!$H$38),'Bonding Program'!$T$38,0)</f>
        <v>0</v>
      </c>
      <c r="AU133" s="19" t="n">
        <f aca="false">IF(AND('Bonding Program'!$S$38=1,AU$3='Bonding Program'!$H$38),'Bonding Program'!$T$38,0)</f>
        <v>0</v>
      </c>
      <c r="AV133" s="19" t="n">
        <f aca="false">IF(AND('Bonding Program'!$S$38=1,AV$3='Bonding Program'!$H$38),'Bonding Program'!$T$38,0)</f>
        <v>0</v>
      </c>
      <c r="AW133" s="19" t="n">
        <f aca="false">IF(AND('Bonding Program'!$S$38=1,AW$3='Bonding Program'!$H$38),'Bonding Program'!$T$38,0)</f>
        <v>0</v>
      </c>
      <c r="AX133" s="19" t="n">
        <f aca="false">IF(AND('Bonding Program'!$S$38=1,AX$3='Bonding Program'!$H$38),'Bonding Program'!$T$38,0)</f>
        <v>0</v>
      </c>
      <c r="AY133" s="19" t="n">
        <f aca="false">IF(AND('Bonding Program'!$S$38=1,AY$3='Bonding Program'!$H$38),'Bonding Program'!$T$38,0)</f>
        <v>0</v>
      </c>
      <c r="AZ133" s="19" t="n">
        <f aca="false">IF(AND('Bonding Program'!$S$38=1,AZ$3='Bonding Program'!$H$38),'Bonding Program'!$T$38,0)</f>
        <v>0</v>
      </c>
      <c r="BA133" s="19" t="n">
        <f aca="false">IF(AND('Bonding Program'!$S$38=1,BA$3='Bonding Program'!$H$38),'Bonding Program'!$T$38,0)</f>
        <v>0</v>
      </c>
      <c r="BB133" s="19" t="n">
        <f aca="false">IF(AND('Bonding Program'!$S$38=1,BB$3='Bonding Program'!$H$38),'Bonding Program'!$T$38,0)</f>
        <v>0</v>
      </c>
      <c r="BC133" s="19" t="n">
        <f aca="false">IF(AND('Bonding Program'!$S$38=1,BC$3='Bonding Program'!$H$38),'Bonding Program'!$T$38,0)</f>
        <v>0</v>
      </c>
      <c r="BD133" s="19" t="n">
        <f aca="false">IF(AND('Bonding Program'!$S$38=1,BD$3='Bonding Program'!$H$38),'Bonding Program'!$T$38,0)</f>
        <v>0</v>
      </c>
      <c r="BE133" s="19" t="n">
        <f aca="false">IF(AND('Bonding Program'!$S$38=1,BE$3='Bonding Program'!$H$38),'Bonding Program'!$T$38,0)</f>
        <v>0</v>
      </c>
      <c r="BF133" s="19" t="n">
        <f aca="false">IF(AND('Bonding Program'!$S$38=1,BF$3='Bonding Program'!$H$38),'Bonding Program'!$T$38,0)</f>
        <v>0</v>
      </c>
      <c r="BG133" s="19" t="n">
        <f aca="false">IF(AND('Bonding Program'!$S$38=1,BG$3='Bonding Program'!$H$38),'Bonding Program'!$T$38,0)</f>
        <v>0</v>
      </c>
      <c r="BH133" s="19" t="n">
        <f aca="false">IF(AND('Bonding Program'!$S$38=1,BH$3='Bonding Program'!$H$38),'Bonding Program'!$T$38,0)</f>
        <v>0</v>
      </c>
      <c r="BI133" s="19" t="n">
        <f aca="false">IF(AND('Bonding Program'!$S$38=1,BI$3='Bonding Program'!$H$38),'Bonding Program'!$T$38,0)</f>
        <v>0</v>
      </c>
      <c r="BJ133" s="19" t="n">
        <f aca="false">IF(AND('Bonding Program'!$S$38=1,BJ$3='Bonding Program'!$H$38),'Bonding Program'!$T$38,0)</f>
        <v>0</v>
      </c>
      <c r="BK133" s="19" t="n">
        <f aca="false">IF(AND('Bonding Program'!$S$38=1,BK$3='Bonding Program'!$H$38),'Bonding Program'!$T$38,0)</f>
        <v>0</v>
      </c>
      <c r="BL133" s="19" t="n">
        <f aca="false">IF(AND('Bonding Program'!$S$38=1,BL$3='Bonding Program'!$H$38),'Bonding Program'!$T$38,0)</f>
        <v>0</v>
      </c>
      <c r="BM133" s="19" t="n">
        <f aca="false">IF(AND('Bonding Program'!$S$38=1,BM$3='Bonding Program'!$H$38),'Bonding Program'!$T$38,0)</f>
        <v>0</v>
      </c>
      <c r="BN133" s="19" t="n">
        <f aca="false">IF(AND('Bonding Program'!$S$38=1,BN$3='Bonding Program'!$H$38),'Bonding Program'!$T$38,0)</f>
        <v>0</v>
      </c>
      <c r="BO133" s="19" t="n">
        <f aca="false">IF(AND('Bonding Program'!$S$38=1,BO$3='Bonding Program'!$H$38),'Bonding Program'!$T$38,0)</f>
        <v>0</v>
      </c>
      <c r="BP133" s="19" t="n">
        <f aca="false">IF(AND('Bonding Program'!$S$38=1,BP$3='Bonding Program'!$H$38),'Bonding Program'!$T$38,0)</f>
        <v>0</v>
      </c>
      <c r="BQ133" s="19" t="n">
        <f aca="false">IF(AND('Bonding Program'!$S$38=1,BQ$3='Bonding Program'!$H$38),'Bonding Program'!$T$38,0)</f>
        <v>0</v>
      </c>
      <c r="BR133" s="19" t="n">
        <f aca="false">IF(AND('Bonding Program'!$S$38=1,BR$3='Bonding Program'!$H$38),'Bonding Program'!$T$38,0)</f>
        <v>0</v>
      </c>
      <c r="BS133" s="19" t="n">
        <f aca="false">IF(AND('Bonding Program'!$S$38=1,BS$3='Bonding Program'!$H$38),'Bonding Program'!$T$38,0)</f>
        <v>0</v>
      </c>
      <c r="BT133" s="19" t="n">
        <f aca="false">IF(AND('Bonding Program'!$S$38=1,BT$3='Bonding Program'!$H$38),'Bonding Program'!$T$38,0)</f>
        <v>0</v>
      </c>
      <c r="BU133" s="19" t="n">
        <f aca="false">IF(AND('Bonding Program'!$S$38=1,BU$3='Bonding Program'!$H$38),'Bonding Program'!$T$38,0)</f>
        <v>0</v>
      </c>
      <c r="BV133" s="19" t="n">
        <f aca="false">IF(AND('Bonding Program'!$S$38=1,BV$3='Bonding Program'!$H$38),'Bonding Program'!$T$38,0)</f>
        <v>0</v>
      </c>
      <c r="BW133" s="19" t="n">
        <f aca="false">IF(AND('Bonding Program'!$S$38=1,BW$3='Bonding Program'!$H$38),'Bonding Program'!$T$38,0)</f>
        <v>0</v>
      </c>
      <c r="BX133" s="19" t="n">
        <f aca="false">IF(AND('Bonding Program'!$S$38=1,BX$3='Bonding Program'!$H$38),'Bonding Program'!$T$38,0)</f>
        <v>0</v>
      </c>
      <c r="BY133" s="19" t="n">
        <f aca="false">IF(AND('Bonding Program'!$S$38=1,BY$3='Bonding Program'!$H$38),'Bonding Program'!$T$38,0)</f>
        <v>0</v>
      </c>
      <c r="BZ133" s="19" t="n">
        <f aca="false">IF(AND('Bonding Program'!$S$38=1,BZ$3='Bonding Program'!$H$38),'Bonding Program'!$T$38,0)</f>
        <v>0</v>
      </c>
      <c r="CA133" s="19" t="n">
        <f aca="false">IF(AND('Bonding Program'!$S$38=1,CA$3='Bonding Program'!$H$38),'Bonding Program'!$T$38,0)</f>
        <v>0</v>
      </c>
      <c r="CB133" s="19" t="n">
        <f aca="false">IF(AND('Bonding Program'!$S$38=1,CB$3='Bonding Program'!$H$38),'Bonding Program'!$T$38,0)</f>
        <v>0</v>
      </c>
      <c r="CC133" s="19" t="n">
        <f aca="false">IF(AND('Bonding Program'!$S$38=1,CC$3='Bonding Program'!$H$38),'Bonding Program'!$T$38,0)</f>
        <v>0</v>
      </c>
      <c r="CD133" s="19" t="n">
        <f aca="false">IF(AND('Bonding Program'!$S$38=1,CD$3='Bonding Program'!$H$38),'Bonding Program'!$T$38,0)</f>
        <v>0</v>
      </c>
      <c r="CE133" s="19" t="n">
        <f aca="false">IF(AND('Bonding Program'!$S$38=1,CE$3='Bonding Program'!$H$38),'Bonding Program'!$T$38,0)</f>
        <v>0</v>
      </c>
      <c r="CF133" s="19" t="n">
        <f aca="false">IF(AND('Bonding Program'!$S$38=1,CF$3='Bonding Program'!$H$38),'Bonding Program'!$T$38,0)</f>
        <v>0</v>
      </c>
      <c r="CG133" s="19" t="n">
        <f aca="false">IF(AND('Bonding Program'!$S$38=1,CG$3='Bonding Program'!$H$38),'Bonding Program'!$T$38,0)</f>
        <v>0</v>
      </c>
      <c r="CH133" s="19" t="n">
        <f aca="false">IF(AND('Bonding Program'!$S$38=1,CH$3='Bonding Program'!$H$38),'Bonding Program'!$T$38,0)</f>
        <v>0</v>
      </c>
      <c r="CI133" s="19" t="n">
        <f aca="false">IF(AND('Bonding Program'!$S$38=1,CI$3='Bonding Program'!$H$38),'Bonding Program'!$T$38,0)</f>
        <v>0</v>
      </c>
      <c r="CJ133" s="19" t="n">
        <f aca="false">IF(AND('Bonding Program'!$S$38=1,CJ$3='Bonding Program'!$H$38),'Bonding Program'!$T$38,0)</f>
        <v>0</v>
      </c>
      <c r="CK133" s="19" t="n">
        <f aca="false">IF(AND('Bonding Program'!$S$38=1,CK$3='Bonding Program'!$H$38),'Bonding Program'!$T$38,0)</f>
        <v>0</v>
      </c>
      <c r="CL133" s="19" t="n">
        <f aca="false">IF(AND('Bonding Program'!$S$38=1,CL$3='Bonding Program'!$H$38),'Bonding Program'!$T$38,0)</f>
        <v>0</v>
      </c>
      <c r="CM133" s="19" t="n">
        <f aca="false">IF(AND('Bonding Program'!$S$38=1,CM$3='Bonding Program'!$H$38),'Bonding Program'!$T$38,0)</f>
        <v>0</v>
      </c>
      <c r="CN133" s="19" t="n">
        <f aca="false">IF(AND('Bonding Program'!$S$38=1,CN$3='Bonding Program'!$H$38),'Bonding Program'!$T$38,0)</f>
        <v>0</v>
      </c>
      <c r="CO133" s="19" t="n">
        <f aca="false">IF(AND('Bonding Program'!$S$38=1,CO$3='Bonding Program'!$H$38),'Bonding Program'!$T$38,0)</f>
        <v>0</v>
      </c>
      <c r="CP133" s="19" t="n">
        <f aca="false">IF(AND('Bonding Program'!$S$38=1,CP$3='Bonding Program'!$H$38),'Bonding Program'!$T$38,0)</f>
        <v>0</v>
      </c>
      <c r="CQ133" s="19" t="n">
        <f aca="false">IF(AND('Bonding Program'!$S$38=1,CQ$3='Bonding Program'!$H$38),'Bonding Program'!$T$38,0)</f>
        <v>0</v>
      </c>
      <c r="CR133" s="19" t="n">
        <f aca="false">IF(AND('Bonding Program'!$S$38=1,CR$3='Bonding Program'!$H$38),'Bonding Program'!$T$38,0)</f>
        <v>0</v>
      </c>
      <c r="CS133" s="19" t="n">
        <f aca="false">IF(AND('Bonding Program'!$S$38=1,CS$3='Bonding Program'!$H$38),'Bonding Program'!$T$38,0)</f>
        <v>0</v>
      </c>
      <c r="CT133" s="19" t="n">
        <f aca="false">IF(AND('Bonding Program'!$S$38=1,CT$3='Bonding Program'!$H$38),'Bonding Program'!$T$38,0)</f>
        <v>0</v>
      </c>
      <c r="CU133" s="19" t="n">
        <f aca="false">IF(AND('Bonding Program'!$S$38=1,CU$3='Bonding Program'!$H$38),'Bonding Program'!$T$38,0)</f>
        <v>0</v>
      </c>
      <c r="CV133" s="19" t="n">
        <f aca="false">IF(AND('Bonding Program'!$S$38=1,CV$3='Bonding Program'!$H$38),'Bonding Program'!$T$38,0)</f>
        <v>0</v>
      </c>
      <c r="CW133" s="19" t="n">
        <f aca="false">IF(AND('Bonding Program'!$S$38=1,CW$3='Bonding Program'!$H$38),'Bonding Program'!$T$38,0)</f>
        <v>0</v>
      </c>
      <c r="CX133" s="19" t="n">
        <f aca="false">IF(AND('Bonding Program'!$S$38=1,CX$3='Bonding Program'!$H$38),'Bonding Program'!$T$38,0)</f>
        <v>0</v>
      </c>
      <c r="CY133" s="19" t="n">
        <f aca="false">IF(AND('Bonding Program'!$S$38=1,CY$3='Bonding Program'!$H$38),'Bonding Program'!$T$38,0)</f>
        <v>0</v>
      </c>
      <c r="CZ133" s="19" t="n">
        <f aca="false">IF(AND('Bonding Program'!$S$38=1,CZ$3='Bonding Program'!$H$38),'Bonding Program'!$T$38,0)</f>
        <v>0</v>
      </c>
      <c r="DA133" s="19" t="n">
        <f aca="false">IF(AND('Bonding Program'!$S$38=1,DA$3='Bonding Program'!$H$38),'Bonding Program'!$T$38,0)</f>
        <v>0</v>
      </c>
      <c r="DB133" s="19" t="n">
        <f aca="false">IF(AND('Bonding Program'!$S$38=1,DB$3='Bonding Program'!$H$38),'Bonding Program'!$T$38,0)</f>
        <v>0</v>
      </c>
      <c r="DC133" s="19" t="n">
        <f aca="false">IF(AND('Bonding Program'!$S$38=1,DC$3='Bonding Program'!$H$38),'Bonding Program'!$T$38,0)</f>
        <v>0</v>
      </c>
      <c r="DD133" s="19" t="n">
        <f aca="false">IF(AND('Bonding Program'!$S$38=1,DD$3='Bonding Program'!$H$38),'Bonding Program'!$T$38,0)</f>
        <v>0</v>
      </c>
      <c r="DE133" s="19" t="n">
        <f aca="false">IF(AND('Bonding Program'!$S$38=1,DE$3='Bonding Program'!$H$38),'Bonding Program'!$T$38,0)</f>
        <v>0</v>
      </c>
    </row>
    <row r="134" customFormat="false" ht="15" hidden="false" customHeight="true" outlineLevel="1" collapsed="false">
      <c r="A134" s="28" t="s">
        <v>35</v>
      </c>
      <c r="B134" s="19" t="n">
        <f aca="false">IF(AND('Bonding Program'!$S$39=1,B$3='Bonding Program'!$H$39),'Bonding Program'!$T$39,0)</f>
        <v>0</v>
      </c>
      <c r="C134" s="19" t="n">
        <f aca="false">IF(AND('Bonding Program'!$S$39=1,C$3='Bonding Program'!$H$39),'Bonding Program'!$T$39,0)</f>
        <v>0</v>
      </c>
      <c r="D134" s="19" t="n">
        <f aca="false">IF(AND('Bonding Program'!$S$39=1,D$3='Bonding Program'!$H$39),'Bonding Program'!$T$39,0)</f>
        <v>0</v>
      </c>
      <c r="E134" s="19" t="n">
        <f aca="false">IF(AND('Bonding Program'!$S$39=1,E$3='Bonding Program'!$H$39),'Bonding Program'!$T$39,0)</f>
        <v>0</v>
      </c>
      <c r="F134" s="19" t="n">
        <f aca="false">IF(AND('Bonding Program'!$S$39=1,F$3='Bonding Program'!$H$39),'Bonding Program'!$T$39,0)</f>
        <v>0</v>
      </c>
      <c r="G134" s="19" t="n">
        <f aca="false">IF(AND('Bonding Program'!$S$39=1,G$3='Bonding Program'!$H$39),'Bonding Program'!$T$39,0)</f>
        <v>0</v>
      </c>
      <c r="H134" s="19" t="n">
        <f aca="false">IF(AND('Bonding Program'!$S$39=1,H$3='Bonding Program'!$H$39),'Bonding Program'!$T$39,0)</f>
        <v>0</v>
      </c>
      <c r="I134" s="19" t="n">
        <f aca="false">IF(AND('Bonding Program'!$S$39=1,I$3='Bonding Program'!$H$39),'Bonding Program'!$T$39,0)</f>
        <v>0</v>
      </c>
      <c r="J134" s="19" t="n">
        <f aca="false">IF(AND('Bonding Program'!$S$39=1,J$3='Bonding Program'!$H$39),'Bonding Program'!$T$39,0)</f>
        <v>0</v>
      </c>
      <c r="K134" s="19" t="n">
        <f aca="false">IF(AND('Bonding Program'!$S$39=1,K$3='Bonding Program'!$H$39),'Bonding Program'!$T$39,0)</f>
        <v>0</v>
      </c>
      <c r="L134" s="19" t="n">
        <f aca="false">IF(AND('Bonding Program'!$S$39=1,L$3='Bonding Program'!$H$39),'Bonding Program'!$T$39,0)</f>
        <v>0</v>
      </c>
      <c r="M134" s="19" t="n">
        <f aca="false">IF(AND('Bonding Program'!$S$39=1,M$3='Bonding Program'!$H$39),'Bonding Program'!$T$39,0)</f>
        <v>0</v>
      </c>
      <c r="N134" s="19" t="n">
        <f aca="false">IF(AND('Bonding Program'!$S$39=1,N$3='Bonding Program'!$H$39),'Bonding Program'!$T$39,0)</f>
        <v>0</v>
      </c>
      <c r="O134" s="19" t="n">
        <f aca="false">IF(AND('Bonding Program'!$S$39=1,O$3='Bonding Program'!$H$39),'Bonding Program'!$T$39,0)</f>
        <v>0</v>
      </c>
      <c r="P134" s="19" t="n">
        <f aca="false">IF(AND('Bonding Program'!$S$39=1,P$3='Bonding Program'!$H$39),'Bonding Program'!$T$39,0)</f>
        <v>0</v>
      </c>
      <c r="Q134" s="19" t="n">
        <f aca="false">IF(AND('Bonding Program'!$S$39=1,Q$3='Bonding Program'!$H$39),'Bonding Program'!$T$39,0)</f>
        <v>0</v>
      </c>
      <c r="R134" s="19" t="n">
        <f aca="false">IF(AND('Bonding Program'!$S$39=1,R$3='Bonding Program'!$H$39),'Bonding Program'!$T$39,0)</f>
        <v>0</v>
      </c>
      <c r="S134" s="19" t="n">
        <f aca="false">IF(AND('Bonding Program'!$S$39=1,S$3='Bonding Program'!$H$39),'Bonding Program'!$T$39,0)</f>
        <v>0</v>
      </c>
      <c r="T134" s="19" t="n">
        <f aca="false">IF(AND('Bonding Program'!$S$39=1,T$3='Bonding Program'!$H$39),'Bonding Program'!$T$39,0)</f>
        <v>0</v>
      </c>
      <c r="U134" s="19" t="n">
        <f aca="false">IF(AND('Bonding Program'!$S$39=1,U$3='Bonding Program'!$H$39),'Bonding Program'!$T$39,0)</f>
        <v>0</v>
      </c>
      <c r="V134" s="19" t="n">
        <f aca="false">IF(AND('Bonding Program'!$S$39=1,V$3='Bonding Program'!$H$39),'Bonding Program'!$T$39,0)</f>
        <v>0</v>
      </c>
      <c r="W134" s="19" t="n">
        <f aca="false">IF(AND('Bonding Program'!$S$39=1,W$3='Bonding Program'!$H$39),'Bonding Program'!$T$39,0)</f>
        <v>0</v>
      </c>
      <c r="X134" s="19" t="n">
        <f aca="false">IF(AND('Bonding Program'!$S$39=1,X$3='Bonding Program'!$H$39),'Bonding Program'!$T$39,0)</f>
        <v>0</v>
      </c>
      <c r="Y134" s="19" t="n">
        <f aca="false">IF(AND('Bonding Program'!$S$39=1,Y$3='Bonding Program'!$H$39),'Bonding Program'!$T$39,0)</f>
        <v>0</v>
      </c>
      <c r="Z134" s="19" t="n">
        <f aca="false">IF(AND('Bonding Program'!$S$39=1,Z$3='Bonding Program'!$H$39),'Bonding Program'!$T$39,0)</f>
        <v>0</v>
      </c>
      <c r="AA134" s="19" t="n">
        <f aca="false">IF(AND('Bonding Program'!$S$39=1,AA$3='Bonding Program'!$H$39),'Bonding Program'!$T$39,0)</f>
        <v>0</v>
      </c>
      <c r="AB134" s="19" t="n">
        <f aca="false">IF(AND('Bonding Program'!$S$39=1,AB$3='Bonding Program'!$H$39),'Bonding Program'!$T$39,0)</f>
        <v>0</v>
      </c>
      <c r="AC134" s="19" t="n">
        <f aca="false">IF(AND('Bonding Program'!$S$39=1,AC$3='Bonding Program'!$H$39),'Bonding Program'!$T$39,0)</f>
        <v>0</v>
      </c>
      <c r="AD134" s="19" t="n">
        <f aca="false">IF(AND('Bonding Program'!$S$39=1,AD$3='Bonding Program'!$H$39),'Bonding Program'!$T$39,0)</f>
        <v>0</v>
      </c>
      <c r="AE134" s="19" t="n">
        <f aca="false">IF(AND('Bonding Program'!$S$39=1,AE$3='Bonding Program'!$H$39),'Bonding Program'!$T$39,0)</f>
        <v>0</v>
      </c>
      <c r="AF134" s="19" t="n">
        <f aca="false">IF(AND('Bonding Program'!$S$39=1,AF$3='Bonding Program'!$H$39),'Bonding Program'!$T$39,0)</f>
        <v>0</v>
      </c>
      <c r="AG134" s="19" t="n">
        <f aca="false">IF(AND('Bonding Program'!$S$39=1,AG$3='Bonding Program'!$H$39),'Bonding Program'!$T$39,0)</f>
        <v>0</v>
      </c>
      <c r="AH134" s="19" t="n">
        <f aca="false">IF(AND('Bonding Program'!$S$39=1,AH$3='Bonding Program'!$H$39),'Bonding Program'!$T$39,0)</f>
        <v>0</v>
      </c>
      <c r="AI134" s="19" t="n">
        <f aca="false">IF(AND('Bonding Program'!$S$39=1,AI$3='Bonding Program'!$H$39),'Bonding Program'!$T$39,0)</f>
        <v>0</v>
      </c>
      <c r="AJ134" s="19" t="n">
        <f aca="false">IF(AND('Bonding Program'!$S$39=1,AJ$3='Bonding Program'!$H$39),'Bonding Program'!$T$39,0)</f>
        <v>0</v>
      </c>
      <c r="AK134" s="19" t="n">
        <f aca="false">IF(AND('Bonding Program'!$S$39=1,AK$3='Bonding Program'!$H$39),'Bonding Program'!$T$39,0)</f>
        <v>0</v>
      </c>
      <c r="AL134" s="19" t="n">
        <f aca="false">IF(AND('Bonding Program'!$S$39=1,AL$3='Bonding Program'!$H$39),'Bonding Program'!$T$39,0)</f>
        <v>0</v>
      </c>
      <c r="AM134" s="19" t="n">
        <f aca="false">IF(AND('Bonding Program'!$S$39=1,AM$3='Bonding Program'!$H$39),'Bonding Program'!$T$39,0)</f>
        <v>0</v>
      </c>
      <c r="AN134" s="19" t="n">
        <f aca="false">IF(AND('Bonding Program'!$S$39=1,AN$3='Bonding Program'!$H$39),'Bonding Program'!$T$39,0)</f>
        <v>0</v>
      </c>
      <c r="AO134" s="19" t="n">
        <f aca="false">IF(AND('Bonding Program'!$S$39=1,AO$3='Bonding Program'!$H$39),'Bonding Program'!$T$39,0)</f>
        <v>0</v>
      </c>
      <c r="AP134" s="19" t="n">
        <f aca="false">IF(AND('Bonding Program'!$S$39=1,AP$3='Bonding Program'!$H$39),'Bonding Program'!$T$39,0)</f>
        <v>0</v>
      </c>
      <c r="AQ134" s="19" t="n">
        <f aca="false">IF(AND('Bonding Program'!$S$39=1,AQ$3='Bonding Program'!$H$39),'Bonding Program'!$T$39,0)</f>
        <v>0</v>
      </c>
      <c r="AR134" s="19" t="n">
        <f aca="false">IF(AND('Bonding Program'!$S$39=1,AR$3='Bonding Program'!$H$39),'Bonding Program'!$T$39,0)</f>
        <v>0</v>
      </c>
      <c r="AS134" s="19" t="n">
        <f aca="false">IF(AND('Bonding Program'!$S$39=1,AS$3='Bonding Program'!$H$39),'Bonding Program'!$T$39,0)</f>
        <v>0</v>
      </c>
      <c r="AT134" s="19" t="n">
        <f aca="false">IF(AND('Bonding Program'!$S$39=1,AT$3='Bonding Program'!$H$39),'Bonding Program'!$T$39,0)</f>
        <v>0</v>
      </c>
      <c r="AU134" s="19" t="n">
        <f aca="false">IF(AND('Bonding Program'!$S$39=1,AU$3='Bonding Program'!$H$39),'Bonding Program'!$T$39,0)</f>
        <v>0</v>
      </c>
      <c r="AV134" s="19" t="n">
        <f aca="false">IF(AND('Bonding Program'!$S$39=1,AV$3='Bonding Program'!$H$39),'Bonding Program'!$T$39,0)</f>
        <v>0</v>
      </c>
      <c r="AW134" s="19" t="n">
        <f aca="false">IF(AND('Bonding Program'!$S$39=1,AW$3='Bonding Program'!$H$39),'Bonding Program'!$T$39,0)</f>
        <v>0</v>
      </c>
      <c r="AX134" s="19" t="n">
        <f aca="false">IF(AND('Bonding Program'!$S$39=1,AX$3='Bonding Program'!$H$39),'Bonding Program'!$T$39,0)</f>
        <v>0</v>
      </c>
      <c r="AY134" s="19" t="n">
        <f aca="false">IF(AND('Bonding Program'!$S$39=1,AY$3='Bonding Program'!$H$39),'Bonding Program'!$T$39,0)</f>
        <v>0</v>
      </c>
      <c r="AZ134" s="19" t="n">
        <f aca="false">IF(AND('Bonding Program'!$S$39=1,AZ$3='Bonding Program'!$H$39),'Bonding Program'!$T$39,0)</f>
        <v>0</v>
      </c>
      <c r="BA134" s="19" t="n">
        <f aca="false">IF(AND('Bonding Program'!$S$39=1,BA$3='Bonding Program'!$H$39),'Bonding Program'!$T$39,0)</f>
        <v>0</v>
      </c>
      <c r="BB134" s="19" t="n">
        <f aca="false">IF(AND('Bonding Program'!$S$39=1,BB$3='Bonding Program'!$H$39),'Bonding Program'!$T$39,0)</f>
        <v>0</v>
      </c>
      <c r="BC134" s="19" t="n">
        <f aca="false">IF(AND('Bonding Program'!$S$39=1,BC$3='Bonding Program'!$H$39),'Bonding Program'!$T$39,0)</f>
        <v>0</v>
      </c>
      <c r="BD134" s="19" t="n">
        <f aca="false">IF(AND('Bonding Program'!$S$39=1,BD$3='Bonding Program'!$H$39),'Bonding Program'!$T$39,0)</f>
        <v>0</v>
      </c>
      <c r="BE134" s="19" t="n">
        <f aca="false">IF(AND('Bonding Program'!$S$39=1,BE$3='Bonding Program'!$H$39),'Bonding Program'!$T$39,0)</f>
        <v>0</v>
      </c>
      <c r="BF134" s="19" t="n">
        <f aca="false">IF(AND('Bonding Program'!$S$39=1,BF$3='Bonding Program'!$H$39),'Bonding Program'!$T$39,0)</f>
        <v>0</v>
      </c>
      <c r="BG134" s="19" t="n">
        <f aca="false">IF(AND('Bonding Program'!$S$39=1,BG$3='Bonding Program'!$H$39),'Bonding Program'!$T$39,0)</f>
        <v>0</v>
      </c>
      <c r="BH134" s="19" t="n">
        <f aca="false">IF(AND('Bonding Program'!$S$39=1,BH$3='Bonding Program'!$H$39),'Bonding Program'!$T$39,0)</f>
        <v>0</v>
      </c>
      <c r="BI134" s="19" t="n">
        <f aca="false">IF(AND('Bonding Program'!$S$39=1,BI$3='Bonding Program'!$H$39),'Bonding Program'!$T$39,0)</f>
        <v>0</v>
      </c>
      <c r="BJ134" s="19" t="n">
        <f aca="false">IF(AND('Bonding Program'!$S$39=1,BJ$3='Bonding Program'!$H$39),'Bonding Program'!$T$39,0)</f>
        <v>0</v>
      </c>
      <c r="BK134" s="19" t="n">
        <f aca="false">IF(AND('Bonding Program'!$S$39=1,BK$3='Bonding Program'!$H$39),'Bonding Program'!$T$39,0)</f>
        <v>0</v>
      </c>
      <c r="BL134" s="19" t="n">
        <f aca="false">IF(AND('Bonding Program'!$S$39=1,BL$3='Bonding Program'!$H$39),'Bonding Program'!$T$39,0)</f>
        <v>0</v>
      </c>
      <c r="BM134" s="19" t="n">
        <f aca="false">IF(AND('Bonding Program'!$S$39=1,BM$3='Bonding Program'!$H$39),'Bonding Program'!$T$39,0)</f>
        <v>0</v>
      </c>
      <c r="BN134" s="19" t="n">
        <f aca="false">IF(AND('Bonding Program'!$S$39=1,BN$3='Bonding Program'!$H$39),'Bonding Program'!$T$39,0)</f>
        <v>0</v>
      </c>
      <c r="BO134" s="19" t="n">
        <f aca="false">IF(AND('Bonding Program'!$S$39=1,BO$3='Bonding Program'!$H$39),'Bonding Program'!$T$39,0)</f>
        <v>0</v>
      </c>
      <c r="BP134" s="19" t="n">
        <f aca="false">IF(AND('Bonding Program'!$S$39=1,BP$3='Bonding Program'!$H$39),'Bonding Program'!$T$39,0)</f>
        <v>0</v>
      </c>
      <c r="BQ134" s="19" t="n">
        <f aca="false">IF(AND('Bonding Program'!$S$39=1,BQ$3='Bonding Program'!$H$39),'Bonding Program'!$T$39,0)</f>
        <v>0</v>
      </c>
      <c r="BR134" s="19" t="n">
        <f aca="false">IF(AND('Bonding Program'!$S$39=1,BR$3='Bonding Program'!$H$39),'Bonding Program'!$T$39,0)</f>
        <v>0</v>
      </c>
      <c r="BS134" s="19" t="n">
        <f aca="false">IF(AND('Bonding Program'!$S$39=1,BS$3='Bonding Program'!$H$39),'Bonding Program'!$T$39,0)</f>
        <v>0</v>
      </c>
      <c r="BT134" s="19" t="n">
        <f aca="false">IF(AND('Bonding Program'!$S$39=1,BT$3='Bonding Program'!$H$39),'Bonding Program'!$T$39,0)</f>
        <v>0</v>
      </c>
      <c r="BU134" s="19" t="n">
        <f aca="false">IF(AND('Bonding Program'!$S$39=1,BU$3='Bonding Program'!$H$39),'Bonding Program'!$T$39,0)</f>
        <v>0</v>
      </c>
      <c r="BV134" s="19" t="n">
        <f aca="false">IF(AND('Bonding Program'!$S$39=1,BV$3='Bonding Program'!$H$39),'Bonding Program'!$T$39,0)</f>
        <v>0</v>
      </c>
      <c r="BW134" s="19" t="n">
        <f aca="false">IF(AND('Bonding Program'!$S$39=1,BW$3='Bonding Program'!$H$39),'Bonding Program'!$T$39,0)</f>
        <v>0</v>
      </c>
      <c r="BX134" s="19" t="n">
        <f aca="false">IF(AND('Bonding Program'!$S$39=1,BX$3='Bonding Program'!$H$39),'Bonding Program'!$T$39,0)</f>
        <v>0</v>
      </c>
      <c r="BY134" s="19" t="n">
        <f aca="false">IF(AND('Bonding Program'!$S$39=1,BY$3='Bonding Program'!$H$39),'Bonding Program'!$T$39,0)</f>
        <v>0</v>
      </c>
      <c r="BZ134" s="19" t="n">
        <f aca="false">IF(AND('Bonding Program'!$S$39=1,BZ$3='Bonding Program'!$H$39),'Bonding Program'!$T$39,0)</f>
        <v>0</v>
      </c>
      <c r="CA134" s="19" t="n">
        <f aca="false">IF(AND('Bonding Program'!$S$39=1,CA$3='Bonding Program'!$H$39),'Bonding Program'!$T$39,0)</f>
        <v>0</v>
      </c>
      <c r="CB134" s="19" t="n">
        <f aca="false">IF(AND('Bonding Program'!$S$39=1,CB$3='Bonding Program'!$H$39),'Bonding Program'!$T$39,0)</f>
        <v>0</v>
      </c>
      <c r="CC134" s="19" t="n">
        <f aca="false">IF(AND('Bonding Program'!$S$39=1,CC$3='Bonding Program'!$H$39),'Bonding Program'!$T$39,0)</f>
        <v>0</v>
      </c>
      <c r="CD134" s="19" t="n">
        <f aca="false">IF(AND('Bonding Program'!$S$39=1,CD$3='Bonding Program'!$H$39),'Bonding Program'!$T$39,0)</f>
        <v>0</v>
      </c>
      <c r="CE134" s="19" t="n">
        <f aca="false">IF(AND('Bonding Program'!$S$39=1,CE$3='Bonding Program'!$H$39),'Bonding Program'!$T$39,0)</f>
        <v>0</v>
      </c>
      <c r="CF134" s="19" t="n">
        <f aca="false">IF(AND('Bonding Program'!$S$39=1,CF$3='Bonding Program'!$H$39),'Bonding Program'!$T$39,0)</f>
        <v>0</v>
      </c>
      <c r="CG134" s="19" t="n">
        <f aca="false">IF(AND('Bonding Program'!$S$39=1,CG$3='Bonding Program'!$H$39),'Bonding Program'!$T$39,0)</f>
        <v>0</v>
      </c>
      <c r="CH134" s="19" t="n">
        <f aca="false">IF(AND('Bonding Program'!$S$39=1,CH$3='Bonding Program'!$H$39),'Bonding Program'!$T$39,0)</f>
        <v>0</v>
      </c>
      <c r="CI134" s="19" t="n">
        <f aca="false">IF(AND('Bonding Program'!$S$39=1,CI$3='Bonding Program'!$H$39),'Bonding Program'!$T$39,0)</f>
        <v>0</v>
      </c>
      <c r="CJ134" s="19" t="n">
        <f aca="false">IF(AND('Bonding Program'!$S$39=1,CJ$3='Bonding Program'!$H$39),'Bonding Program'!$T$39,0)</f>
        <v>0</v>
      </c>
      <c r="CK134" s="19" t="n">
        <f aca="false">IF(AND('Bonding Program'!$S$39=1,CK$3='Bonding Program'!$H$39),'Bonding Program'!$T$39,0)</f>
        <v>0</v>
      </c>
      <c r="CL134" s="19" t="n">
        <f aca="false">IF(AND('Bonding Program'!$S$39=1,CL$3='Bonding Program'!$H$39),'Bonding Program'!$T$39,0)</f>
        <v>0</v>
      </c>
      <c r="CM134" s="19" t="n">
        <f aca="false">IF(AND('Bonding Program'!$S$39=1,CM$3='Bonding Program'!$H$39),'Bonding Program'!$T$39,0)</f>
        <v>0</v>
      </c>
      <c r="CN134" s="19" t="n">
        <f aca="false">IF(AND('Bonding Program'!$S$39=1,CN$3='Bonding Program'!$H$39),'Bonding Program'!$T$39,0)</f>
        <v>0</v>
      </c>
      <c r="CO134" s="19" t="n">
        <f aca="false">IF(AND('Bonding Program'!$S$39=1,CO$3='Bonding Program'!$H$39),'Bonding Program'!$T$39,0)</f>
        <v>0</v>
      </c>
      <c r="CP134" s="19" t="n">
        <f aca="false">IF(AND('Bonding Program'!$S$39=1,CP$3='Bonding Program'!$H$39),'Bonding Program'!$T$39,0)</f>
        <v>0</v>
      </c>
      <c r="CQ134" s="19" t="n">
        <f aca="false">IF(AND('Bonding Program'!$S$39=1,CQ$3='Bonding Program'!$H$39),'Bonding Program'!$T$39,0)</f>
        <v>0</v>
      </c>
      <c r="CR134" s="19" t="n">
        <f aca="false">IF(AND('Bonding Program'!$S$39=1,CR$3='Bonding Program'!$H$39),'Bonding Program'!$T$39,0)</f>
        <v>0</v>
      </c>
      <c r="CS134" s="19" t="n">
        <f aca="false">IF(AND('Bonding Program'!$S$39=1,CS$3='Bonding Program'!$H$39),'Bonding Program'!$T$39,0)</f>
        <v>0</v>
      </c>
      <c r="CT134" s="19" t="n">
        <f aca="false">IF(AND('Bonding Program'!$S$39=1,CT$3='Bonding Program'!$H$39),'Bonding Program'!$T$39,0)</f>
        <v>0</v>
      </c>
      <c r="CU134" s="19" t="n">
        <f aca="false">IF(AND('Bonding Program'!$S$39=1,CU$3='Bonding Program'!$H$39),'Bonding Program'!$T$39,0)</f>
        <v>0</v>
      </c>
      <c r="CV134" s="19" t="n">
        <f aca="false">IF(AND('Bonding Program'!$S$39=1,CV$3='Bonding Program'!$H$39),'Bonding Program'!$T$39,0)</f>
        <v>0</v>
      </c>
      <c r="CW134" s="19" t="n">
        <f aca="false">IF(AND('Bonding Program'!$S$39=1,CW$3='Bonding Program'!$H$39),'Bonding Program'!$T$39,0)</f>
        <v>0</v>
      </c>
      <c r="CX134" s="19" t="n">
        <f aca="false">IF(AND('Bonding Program'!$S$39=1,CX$3='Bonding Program'!$H$39),'Bonding Program'!$T$39,0)</f>
        <v>0</v>
      </c>
      <c r="CY134" s="19" t="n">
        <f aca="false">IF(AND('Bonding Program'!$S$39=1,CY$3='Bonding Program'!$H$39),'Bonding Program'!$T$39,0)</f>
        <v>0</v>
      </c>
      <c r="CZ134" s="19" t="n">
        <f aca="false">IF(AND('Bonding Program'!$S$39=1,CZ$3='Bonding Program'!$H$39),'Bonding Program'!$T$39,0)</f>
        <v>0</v>
      </c>
      <c r="DA134" s="19" t="n">
        <f aca="false">IF(AND('Bonding Program'!$S$39=1,DA$3='Bonding Program'!$H$39),'Bonding Program'!$T$39,0)</f>
        <v>0</v>
      </c>
      <c r="DB134" s="19" t="n">
        <f aca="false">IF(AND('Bonding Program'!$S$39=1,DB$3='Bonding Program'!$H$39),'Bonding Program'!$T$39,0)</f>
        <v>0</v>
      </c>
      <c r="DC134" s="19" t="n">
        <f aca="false">IF(AND('Bonding Program'!$S$39=1,DC$3='Bonding Program'!$H$39),'Bonding Program'!$T$39,0)</f>
        <v>0</v>
      </c>
      <c r="DD134" s="19" t="n">
        <f aca="false">IF(AND('Bonding Program'!$S$39=1,DD$3='Bonding Program'!$H$39),'Bonding Program'!$T$39,0)</f>
        <v>0</v>
      </c>
      <c r="DE134" s="19" t="n">
        <f aca="false">IF(AND('Bonding Program'!$S$39=1,DE$3='Bonding Program'!$H$39),'Bonding Program'!$T$39,0)</f>
        <v>0</v>
      </c>
    </row>
    <row r="135" customFormat="false" ht="15" hidden="false" customHeight="true" outlineLevel="1" collapsed="false">
      <c r="A135" s="28" t="s">
        <v>36</v>
      </c>
      <c r="B135" s="19" t="n">
        <f aca="false">IF(AND('Bonding Program'!$S$40=1,B$3='Bonding Program'!$H$40),'Bonding Program'!$T$40,0)</f>
        <v>0</v>
      </c>
      <c r="C135" s="19" t="n">
        <f aca="false">IF(AND('Bonding Program'!$S$40=1,C$3='Bonding Program'!$H$40),'Bonding Program'!$T$40,0)</f>
        <v>0</v>
      </c>
      <c r="D135" s="19" t="n">
        <f aca="false">IF(AND('Bonding Program'!$S$40=1,D$3='Bonding Program'!$H$40),'Bonding Program'!$T$40,0)</f>
        <v>0</v>
      </c>
      <c r="E135" s="19" t="n">
        <f aca="false">IF(AND('Bonding Program'!$S$40=1,E$3='Bonding Program'!$H$40),'Bonding Program'!$T$40,0)</f>
        <v>0</v>
      </c>
      <c r="F135" s="19" t="n">
        <f aca="false">IF(AND('Bonding Program'!$S$40=1,F$3='Bonding Program'!$H$40),'Bonding Program'!$T$40,0)</f>
        <v>0</v>
      </c>
      <c r="G135" s="19" t="n">
        <f aca="false">IF(AND('Bonding Program'!$S$40=1,G$3='Bonding Program'!$H$40),'Bonding Program'!$T$40,0)</f>
        <v>0</v>
      </c>
      <c r="H135" s="19" t="n">
        <f aca="false">IF(AND('Bonding Program'!$S$40=1,H$3='Bonding Program'!$H$40),'Bonding Program'!$T$40,0)</f>
        <v>0</v>
      </c>
      <c r="I135" s="19" t="n">
        <f aca="false">IF(AND('Bonding Program'!$S$40=1,I$3='Bonding Program'!$H$40),'Bonding Program'!$T$40,0)</f>
        <v>0</v>
      </c>
      <c r="J135" s="19" t="n">
        <f aca="false">IF(AND('Bonding Program'!$S$40=1,J$3='Bonding Program'!$H$40),'Bonding Program'!$T$40,0)</f>
        <v>0</v>
      </c>
      <c r="K135" s="19" t="n">
        <f aca="false">IF(AND('Bonding Program'!$S$40=1,K$3='Bonding Program'!$H$40),'Bonding Program'!$T$40,0)</f>
        <v>0</v>
      </c>
      <c r="L135" s="19" t="n">
        <f aca="false">IF(AND('Bonding Program'!$S$40=1,L$3='Bonding Program'!$H$40),'Bonding Program'!$T$40,0)</f>
        <v>0</v>
      </c>
      <c r="M135" s="19" t="n">
        <f aca="false">IF(AND('Bonding Program'!$S$40=1,M$3='Bonding Program'!$H$40),'Bonding Program'!$T$40,0)</f>
        <v>0</v>
      </c>
      <c r="N135" s="19" t="n">
        <f aca="false">IF(AND('Bonding Program'!$S$40=1,N$3='Bonding Program'!$H$40),'Bonding Program'!$T$40,0)</f>
        <v>0</v>
      </c>
      <c r="O135" s="19" t="n">
        <f aca="false">IF(AND('Bonding Program'!$S$40=1,O$3='Bonding Program'!$H$40),'Bonding Program'!$T$40,0)</f>
        <v>0</v>
      </c>
      <c r="P135" s="19" t="n">
        <f aca="false">IF(AND('Bonding Program'!$S$40=1,P$3='Bonding Program'!$H$40),'Bonding Program'!$T$40,0)</f>
        <v>0</v>
      </c>
      <c r="Q135" s="19" t="n">
        <f aca="false">IF(AND('Bonding Program'!$S$40=1,Q$3='Bonding Program'!$H$40),'Bonding Program'!$T$40,0)</f>
        <v>0</v>
      </c>
      <c r="R135" s="19" t="n">
        <f aca="false">IF(AND('Bonding Program'!$S$40=1,R$3='Bonding Program'!$H$40),'Bonding Program'!$T$40,0)</f>
        <v>0</v>
      </c>
      <c r="S135" s="19" t="n">
        <f aca="false">IF(AND('Bonding Program'!$S$40=1,S$3='Bonding Program'!$H$40),'Bonding Program'!$T$40,0)</f>
        <v>0</v>
      </c>
      <c r="T135" s="19" t="n">
        <f aca="false">IF(AND('Bonding Program'!$S$40=1,T$3='Bonding Program'!$H$40),'Bonding Program'!$T$40,0)</f>
        <v>0</v>
      </c>
      <c r="U135" s="19" t="n">
        <f aca="false">IF(AND('Bonding Program'!$S$40=1,U$3='Bonding Program'!$H$40),'Bonding Program'!$T$40,0)</f>
        <v>0</v>
      </c>
      <c r="V135" s="19" t="n">
        <f aca="false">IF(AND('Bonding Program'!$S$40=1,V$3='Bonding Program'!$H$40),'Bonding Program'!$T$40,0)</f>
        <v>0</v>
      </c>
      <c r="W135" s="19" t="n">
        <f aca="false">IF(AND('Bonding Program'!$S$40=1,W$3='Bonding Program'!$H$40),'Bonding Program'!$T$40,0)</f>
        <v>0</v>
      </c>
      <c r="X135" s="19" t="n">
        <f aca="false">IF(AND('Bonding Program'!$S$40=1,X$3='Bonding Program'!$H$40),'Bonding Program'!$T$40,0)</f>
        <v>0</v>
      </c>
      <c r="Y135" s="19" t="n">
        <f aca="false">IF(AND('Bonding Program'!$S$40=1,Y$3='Bonding Program'!$H$40),'Bonding Program'!$T$40,0)</f>
        <v>0</v>
      </c>
      <c r="Z135" s="19" t="n">
        <f aca="false">IF(AND('Bonding Program'!$S$40=1,Z$3='Bonding Program'!$H$40),'Bonding Program'!$T$40,0)</f>
        <v>0</v>
      </c>
      <c r="AA135" s="19" t="n">
        <f aca="false">IF(AND('Bonding Program'!$S$40=1,AA$3='Bonding Program'!$H$40),'Bonding Program'!$T$40,0)</f>
        <v>0</v>
      </c>
      <c r="AB135" s="19" t="n">
        <f aca="false">IF(AND('Bonding Program'!$S$40=1,AB$3='Bonding Program'!$H$40),'Bonding Program'!$T$40,0)</f>
        <v>0</v>
      </c>
      <c r="AC135" s="19" t="n">
        <f aca="false">IF(AND('Bonding Program'!$S$40=1,AC$3='Bonding Program'!$H$40),'Bonding Program'!$T$40,0)</f>
        <v>0</v>
      </c>
      <c r="AD135" s="19" t="n">
        <f aca="false">IF(AND('Bonding Program'!$S$40=1,AD$3='Bonding Program'!$H$40),'Bonding Program'!$T$40,0)</f>
        <v>0</v>
      </c>
      <c r="AE135" s="19" t="n">
        <f aca="false">IF(AND('Bonding Program'!$S$40=1,AE$3='Bonding Program'!$H$40),'Bonding Program'!$T$40,0)</f>
        <v>0</v>
      </c>
      <c r="AF135" s="19" t="n">
        <f aca="false">IF(AND('Bonding Program'!$S$40=1,AF$3='Bonding Program'!$H$40),'Bonding Program'!$T$40,0)</f>
        <v>0</v>
      </c>
      <c r="AG135" s="19" t="n">
        <f aca="false">IF(AND('Bonding Program'!$S$40=1,AG$3='Bonding Program'!$H$40),'Bonding Program'!$T$40,0)</f>
        <v>0</v>
      </c>
      <c r="AH135" s="19" t="n">
        <f aca="false">IF(AND('Bonding Program'!$S$40=1,AH$3='Bonding Program'!$H$40),'Bonding Program'!$T$40,0)</f>
        <v>0</v>
      </c>
      <c r="AI135" s="19" t="n">
        <f aca="false">IF(AND('Bonding Program'!$S$40=1,AI$3='Bonding Program'!$H$40),'Bonding Program'!$T$40,0)</f>
        <v>0</v>
      </c>
      <c r="AJ135" s="19" t="n">
        <f aca="false">IF(AND('Bonding Program'!$S$40=1,AJ$3='Bonding Program'!$H$40),'Bonding Program'!$T$40,0)</f>
        <v>0</v>
      </c>
      <c r="AK135" s="19" t="n">
        <f aca="false">IF(AND('Bonding Program'!$S$40=1,AK$3='Bonding Program'!$H$40),'Bonding Program'!$T$40,0)</f>
        <v>0</v>
      </c>
      <c r="AL135" s="19" t="n">
        <f aca="false">IF(AND('Bonding Program'!$S$40=1,AL$3='Bonding Program'!$H$40),'Bonding Program'!$T$40,0)</f>
        <v>0</v>
      </c>
      <c r="AM135" s="19" t="n">
        <f aca="false">IF(AND('Bonding Program'!$S$40=1,AM$3='Bonding Program'!$H$40),'Bonding Program'!$T$40,0)</f>
        <v>0</v>
      </c>
      <c r="AN135" s="19" t="n">
        <f aca="false">IF(AND('Bonding Program'!$S$40=1,AN$3='Bonding Program'!$H$40),'Bonding Program'!$T$40,0)</f>
        <v>0</v>
      </c>
      <c r="AO135" s="19" t="n">
        <f aca="false">IF(AND('Bonding Program'!$S$40=1,AO$3='Bonding Program'!$H$40),'Bonding Program'!$T$40,0)</f>
        <v>0</v>
      </c>
      <c r="AP135" s="19" t="n">
        <f aca="false">IF(AND('Bonding Program'!$S$40=1,AP$3='Bonding Program'!$H$40),'Bonding Program'!$T$40,0)</f>
        <v>0</v>
      </c>
      <c r="AQ135" s="19" t="n">
        <f aca="false">IF(AND('Bonding Program'!$S$40=1,AQ$3='Bonding Program'!$H$40),'Bonding Program'!$T$40,0)</f>
        <v>0</v>
      </c>
      <c r="AR135" s="19" t="n">
        <f aca="false">IF(AND('Bonding Program'!$S$40=1,AR$3='Bonding Program'!$H$40),'Bonding Program'!$T$40,0)</f>
        <v>0</v>
      </c>
      <c r="AS135" s="19" t="n">
        <f aca="false">IF(AND('Bonding Program'!$S$40=1,AS$3='Bonding Program'!$H$40),'Bonding Program'!$T$40,0)</f>
        <v>0</v>
      </c>
      <c r="AT135" s="19" t="n">
        <f aca="false">IF(AND('Bonding Program'!$S$40=1,AT$3='Bonding Program'!$H$40),'Bonding Program'!$T$40,0)</f>
        <v>0</v>
      </c>
      <c r="AU135" s="19" t="n">
        <f aca="false">IF(AND('Bonding Program'!$S$40=1,AU$3='Bonding Program'!$H$40),'Bonding Program'!$T$40,0)</f>
        <v>0</v>
      </c>
      <c r="AV135" s="19" t="n">
        <f aca="false">IF(AND('Bonding Program'!$S$40=1,AV$3='Bonding Program'!$H$40),'Bonding Program'!$T$40,0)</f>
        <v>0</v>
      </c>
      <c r="AW135" s="19" t="n">
        <f aca="false">IF(AND('Bonding Program'!$S$40=1,AW$3='Bonding Program'!$H$40),'Bonding Program'!$T$40,0)</f>
        <v>0</v>
      </c>
      <c r="AX135" s="19" t="n">
        <f aca="false">IF(AND('Bonding Program'!$S$40=1,AX$3='Bonding Program'!$H$40),'Bonding Program'!$T$40,0)</f>
        <v>0</v>
      </c>
      <c r="AY135" s="19" t="n">
        <f aca="false">IF(AND('Bonding Program'!$S$40=1,AY$3='Bonding Program'!$H$40),'Bonding Program'!$T$40,0)</f>
        <v>0</v>
      </c>
      <c r="AZ135" s="19" t="n">
        <f aca="false">IF(AND('Bonding Program'!$S$40=1,AZ$3='Bonding Program'!$H$40),'Bonding Program'!$T$40,0)</f>
        <v>0</v>
      </c>
      <c r="BA135" s="19" t="n">
        <f aca="false">IF(AND('Bonding Program'!$S$40=1,BA$3='Bonding Program'!$H$40),'Bonding Program'!$T$40,0)</f>
        <v>0</v>
      </c>
      <c r="BB135" s="19" t="n">
        <f aca="false">IF(AND('Bonding Program'!$S$40=1,BB$3='Bonding Program'!$H$40),'Bonding Program'!$T$40,0)</f>
        <v>0</v>
      </c>
      <c r="BC135" s="19" t="n">
        <f aca="false">IF(AND('Bonding Program'!$S$40=1,BC$3='Bonding Program'!$H$40),'Bonding Program'!$T$40,0)</f>
        <v>0</v>
      </c>
      <c r="BD135" s="19" t="n">
        <f aca="false">IF(AND('Bonding Program'!$S$40=1,BD$3='Bonding Program'!$H$40),'Bonding Program'!$T$40,0)</f>
        <v>0</v>
      </c>
      <c r="BE135" s="19" t="n">
        <f aca="false">IF(AND('Bonding Program'!$S$40=1,BE$3='Bonding Program'!$H$40),'Bonding Program'!$T$40,0)</f>
        <v>0</v>
      </c>
      <c r="BF135" s="19" t="n">
        <f aca="false">IF(AND('Bonding Program'!$S$40=1,BF$3='Bonding Program'!$H$40),'Bonding Program'!$T$40,0)</f>
        <v>0</v>
      </c>
      <c r="BG135" s="19" t="n">
        <f aca="false">IF(AND('Bonding Program'!$S$40=1,BG$3='Bonding Program'!$H$40),'Bonding Program'!$T$40,0)</f>
        <v>0</v>
      </c>
      <c r="BH135" s="19" t="n">
        <f aca="false">IF(AND('Bonding Program'!$S$40=1,BH$3='Bonding Program'!$H$40),'Bonding Program'!$T$40,0)</f>
        <v>0</v>
      </c>
      <c r="BI135" s="19" t="n">
        <f aca="false">IF(AND('Bonding Program'!$S$40=1,BI$3='Bonding Program'!$H$40),'Bonding Program'!$T$40,0)</f>
        <v>0</v>
      </c>
      <c r="BJ135" s="19" t="n">
        <f aca="false">IF(AND('Bonding Program'!$S$40=1,BJ$3='Bonding Program'!$H$40),'Bonding Program'!$T$40,0)</f>
        <v>0</v>
      </c>
      <c r="BK135" s="19" t="n">
        <f aca="false">IF(AND('Bonding Program'!$S$40=1,BK$3='Bonding Program'!$H$40),'Bonding Program'!$T$40,0)</f>
        <v>0</v>
      </c>
      <c r="BL135" s="19" t="n">
        <f aca="false">IF(AND('Bonding Program'!$S$40=1,BL$3='Bonding Program'!$H$40),'Bonding Program'!$T$40,0)</f>
        <v>0</v>
      </c>
      <c r="BM135" s="19" t="n">
        <f aca="false">IF(AND('Bonding Program'!$S$40=1,BM$3='Bonding Program'!$H$40),'Bonding Program'!$T$40,0)</f>
        <v>0</v>
      </c>
      <c r="BN135" s="19" t="n">
        <f aca="false">IF(AND('Bonding Program'!$S$40=1,BN$3='Bonding Program'!$H$40),'Bonding Program'!$T$40,0)</f>
        <v>0</v>
      </c>
      <c r="BO135" s="19" t="n">
        <f aca="false">IF(AND('Bonding Program'!$S$40=1,BO$3='Bonding Program'!$H$40),'Bonding Program'!$T$40,0)</f>
        <v>0</v>
      </c>
      <c r="BP135" s="19" t="n">
        <f aca="false">IF(AND('Bonding Program'!$S$40=1,BP$3='Bonding Program'!$H$40),'Bonding Program'!$T$40,0)</f>
        <v>0</v>
      </c>
      <c r="BQ135" s="19" t="n">
        <f aca="false">IF(AND('Bonding Program'!$S$40=1,BQ$3='Bonding Program'!$H$40),'Bonding Program'!$T$40,0)</f>
        <v>0</v>
      </c>
      <c r="BR135" s="19" t="n">
        <f aca="false">IF(AND('Bonding Program'!$S$40=1,BR$3='Bonding Program'!$H$40),'Bonding Program'!$T$40,0)</f>
        <v>0</v>
      </c>
      <c r="BS135" s="19" t="n">
        <f aca="false">IF(AND('Bonding Program'!$S$40=1,BS$3='Bonding Program'!$H$40),'Bonding Program'!$T$40,0)</f>
        <v>0</v>
      </c>
      <c r="BT135" s="19" t="n">
        <f aca="false">IF(AND('Bonding Program'!$S$40=1,BT$3='Bonding Program'!$H$40),'Bonding Program'!$T$40,0)</f>
        <v>0</v>
      </c>
      <c r="BU135" s="19" t="n">
        <f aca="false">IF(AND('Bonding Program'!$S$40=1,BU$3='Bonding Program'!$H$40),'Bonding Program'!$T$40,0)</f>
        <v>0</v>
      </c>
      <c r="BV135" s="19" t="n">
        <f aca="false">IF(AND('Bonding Program'!$S$40=1,BV$3='Bonding Program'!$H$40),'Bonding Program'!$T$40,0)</f>
        <v>0</v>
      </c>
      <c r="BW135" s="19" t="n">
        <f aca="false">IF(AND('Bonding Program'!$S$40=1,BW$3='Bonding Program'!$H$40),'Bonding Program'!$T$40,0)</f>
        <v>0</v>
      </c>
      <c r="BX135" s="19" t="n">
        <f aca="false">IF(AND('Bonding Program'!$S$40=1,BX$3='Bonding Program'!$H$40),'Bonding Program'!$T$40,0)</f>
        <v>0</v>
      </c>
      <c r="BY135" s="19" t="n">
        <f aca="false">IF(AND('Bonding Program'!$S$40=1,BY$3='Bonding Program'!$H$40),'Bonding Program'!$T$40,0)</f>
        <v>0</v>
      </c>
      <c r="BZ135" s="19" t="n">
        <f aca="false">IF(AND('Bonding Program'!$S$40=1,BZ$3='Bonding Program'!$H$40),'Bonding Program'!$T$40,0)</f>
        <v>0</v>
      </c>
      <c r="CA135" s="19" t="n">
        <f aca="false">IF(AND('Bonding Program'!$S$40=1,CA$3='Bonding Program'!$H$40),'Bonding Program'!$T$40,0)</f>
        <v>0</v>
      </c>
      <c r="CB135" s="19" t="n">
        <f aca="false">IF(AND('Bonding Program'!$S$40=1,CB$3='Bonding Program'!$H$40),'Bonding Program'!$T$40,0)</f>
        <v>0</v>
      </c>
      <c r="CC135" s="19" t="n">
        <f aca="false">IF(AND('Bonding Program'!$S$40=1,CC$3='Bonding Program'!$H$40),'Bonding Program'!$T$40,0)</f>
        <v>0</v>
      </c>
      <c r="CD135" s="19" t="n">
        <f aca="false">IF(AND('Bonding Program'!$S$40=1,CD$3='Bonding Program'!$H$40),'Bonding Program'!$T$40,0)</f>
        <v>0</v>
      </c>
      <c r="CE135" s="19" t="n">
        <f aca="false">IF(AND('Bonding Program'!$S$40=1,CE$3='Bonding Program'!$H$40),'Bonding Program'!$T$40,0)</f>
        <v>0</v>
      </c>
      <c r="CF135" s="19" t="n">
        <f aca="false">IF(AND('Bonding Program'!$S$40=1,CF$3='Bonding Program'!$H$40),'Bonding Program'!$T$40,0)</f>
        <v>0</v>
      </c>
      <c r="CG135" s="19" t="n">
        <f aca="false">IF(AND('Bonding Program'!$S$40=1,CG$3='Bonding Program'!$H$40),'Bonding Program'!$T$40,0)</f>
        <v>0</v>
      </c>
      <c r="CH135" s="19" t="n">
        <f aca="false">IF(AND('Bonding Program'!$S$40=1,CH$3='Bonding Program'!$H$40),'Bonding Program'!$T$40,0)</f>
        <v>0</v>
      </c>
      <c r="CI135" s="19" t="n">
        <f aca="false">IF(AND('Bonding Program'!$S$40=1,CI$3='Bonding Program'!$H$40),'Bonding Program'!$T$40,0)</f>
        <v>0</v>
      </c>
      <c r="CJ135" s="19" t="n">
        <f aca="false">IF(AND('Bonding Program'!$S$40=1,CJ$3='Bonding Program'!$H$40),'Bonding Program'!$T$40,0)</f>
        <v>0</v>
      </c>
      <c r="CK135" s="19" t="n">
        <f aca="false">IF(AND('Bonding Program'!$S$40=1,CK$3='Bonding Program'!$H$40),'Bonding Program'!$T$40,0)</f>
        <v>0</v>
      </c>
      <c r="CL135" s="19" t="n">
        <f aca="false">IF(AND('Bonding Program'!$S$40=1,CL$3='Bonding Program'!$H$40),'Bonding Program'!$T$40,0)</f>
        <v>0</v>
      </c>
      <c r="CM135" s="19" t="n">
        <f aca="false">IF(AND('Bonding Program'!$S$40=1,CM$3='Bonding Program'!$H$40),'Bonding Program'!$T$40,0)</f>
        <v>0</v>
      </c>
      <c r="CN135" s="19" t="n">
        <f aca="false">IF(AND('Bonding Program'!$S$40=1,CN$3='Bonding Program'!$H$40),'Bonding Program'!$T$40,0)</f>
        <v>0</v>
      </c>
      <c r="CO135" s="19" t="n">
        <f aca="false">IF(AND('Bonding Program'!$S$40=1,CO$3='Bonding Program'!$H$40),'Bonding Program'!$T$40,0)</f>
        <v>0</v>
      </c>
      <c r="CP135" s="19" t="n">
        <f aca="false">IF(AND('Bonding Program'!$S$40=1,CP$3='Bonding Program'!$H$40),'Bonding Program'!$T$40,0)</f>
        <v>0</v>
      </c>
      <c r="CQ135" s="19" t="n">
        <f aca="false">IF(AND('Bonding Program'!$S$40=1,CQ$3='Bonding Program'!$H$40),'Bonding Program'!$T$40,0)</f>
        <v>0</v>
      </c>
      <c r="CR135" s="19" t="n">
        <f aca="false">IF(AND('Bonding Program'!$S$40=1,CR$3='Bonding Program'!$H$40),'Bonding Program'!$T$40,0)</f>
        <v>0</v>
      </c>
      <c r="CS135" s="19" t="n">
        <f aca="false">IF(AND('Bonding Program'!$S$40=1,CS$3='Bonding Program'!$H$40),'Bonding Program'!$T$40,0)</f>
        <v>0</v>
      </c>
      <c r="CT135" s="19" t="n">
        <f aca="false">IF(AND('Bonding Program'!$S$40=1,CT$3='Bonding Program'!$H$40),'Bonding Program'!$T$40,0)</f>
        <v>0</v>
      </c>
      <c r="CU135" s="19" t="n">
        <f aca="false">IF(AND('Bonding Program'!$S$40=1,CU$3='Bonding Program'!$H$40),'Bonding Program'!$T$40,0)</f>
        <v>0</v>
      </c>
      <c r="CV135" s="19" t="n">
        <f aca="false">IF(AND('Bonding Program'!$S$40=1,CV$3='Bonding Program'!$H$40),'Bonding Program'!$T$40,0)</f>
        <v>0</v>
      </c>
      <c r="CW135" s="19" t="n">
        <f aca="false">IF(AND('Bonding Program'!$S$40=1,CW$3='Bonding Program'!$H$40),'Bonding Program'!$T$40,0)</f>
        <v>0</v>
      </c>
      <c r="CX135" s="19" t="n">
        <f aca="false">IF(AND('Bonding Program'!$S$40=1,CX$3='Bonding Program'!$H$40),'Bonding Program'!$T$40,0)</f>
        <v>0</v>
      </c>
      <c r="CY135" s="19" t="n">
        <f aca="false">IF(AND('Bonding Program'!$S$40=1,CY$3='Bonding Program'!$H$40),'Bonding Program'!$T$40,0)</f>
        <v>0</v>
      </c>
      <c r="CZ135" s="19" t="n">
        <f aca="false">IF(AND('Bonding Program'!$S$40=1,CZ$3='Bonding Program'!$H$40),'Bonding Program'!$T$40,0)</f>
        <v>0</v>
      </c>
      <c r="DA135" s="19" t="n">
        <f aca="false">IF(AND('Bonding Program'!$S$40=1,DA$3='Bonding Program'!$H$40),'Bonding Program'!$T$40,0)</f>
        <v>0</v>
      </c>
      <c r="DB135" s="19" t="n">
        <f aca="false">IF(AND('Bonding Program'!$S$40=1,DB$3='Bonding Program'!$H$40),'Bonding Program'!$T$40,0)</f>
        <v>0</v>
      </c>
      <c r="DC135" s="19" t="n">
        <f aca="false">IF(AND('Bonding Program'!$S$40=1,DC$3='Bonding Program'!$H$40),'Bonding Program'!$T$40,0)</f>
        <v>0</v>
      </c>
      <c r="DD135" s="19" t="n">
        <f aca="false">IF(AND('Bonding Program'!$S$40=1,DD$3='Bonding Program'!$H$40),'Bonding Program'!$T$40,0)</f>
        <v>0</v>
      </c>
      <c r="DE135" s="19" t="n">
        <f aca="false">IF(AND('Bonding Program'!$S$40=1,DE$3='Bonding Program'!$H$40),'Bonding Program'!$T$40,0)</f>
        <v>0</v>
      </c>
    </row>
    <row r="136" customFormat="false" ht="15" hidden="false" customHeight="true" outlineLevel="1" collapsed="false">
      <c r="A136" s="28" t="s">
        <v>37</v>
      </c>
      <c r="B136" s="19" t="n">
        <f aca="false">IF(AND('Bonding Program'!$S$41=1,B$3='Bonding Program'!$H$41),'Bonding Program'!$T$41,0)</f>
        <v>0</v>
      </c>
      <c r="C136" s="19" t="n">
        <f aca="false">IF(AND('Bonding Program'!$S$41=1,C$3='Bonding Program'!$H$41),'Bonding Program'!$T$41,0)</f>
        <v>0</v>
      </c>
      <c r="D136" s="19" t="n">
        <f aca="false">IF(AND('Bonding Program'!$S$41=1,D$3='Bonding Program'!$H$41),'Bonding Program'!$T$41,0)</f>
        <v>0</v>
      </c>
      <c r="E136" s="19" t="n">
        <f aca="false">IF(AND('Bonding Program'!$S$41=1,E$3='Bonding Program'!$H$41),'Bonding Program'!$T$41,0)</f>
        <v>0</v>
      </c>
      <c r="F136" s="19" t="n">
        <f aca="false">IF(AND('Bonding Program'!$S$41=1,F$3='Bonding Program'!$H$41),'Bonding Program'!$T$41,0)</f>
        <v>0</v>
      </c>
      <c r="G136" s="19" t="n">
        <f aca="false">IF(AND('Bonding Program'!$S$41=1,G$3='Bonding Program'!$H$41),'Bonding Program'!$T$41,0)</f>
        <v>0</v>
      </c>
      <c r="H136" s="19" t="n">
        <f aca="false">IF(AND('Bonding Program'!$S$41=1,H$3='Bonding Program'!$H$41),'Bonding Program'!$T$41,0)</f>
        <v>0</v>
      </c>
      <c r="I136" s="19" t="n">
        <f aca="false">IF(AND('Bonding Program'!$S$41=1,I$3='Bonding Program'!$H$41),'Bonding Program'!$T$41,0)</f>
        <v>0</v>
      </c>
      <c r="J136" s="19" t="n">
        <f aca="false">IF(AND('Bonding Program'!$S$41=1,J$3='Bonding Program'!$H$41),'Bonding Program'!$T$41,0)</f>
        <v>0</v>
      </c>
      <c r="K136" s="19" t="n">
        <f aca="false">IF(AND('Bonding Program'!$S$41=1,K$3='Bonding Program'!$H$41),'Bonding Program'!$T$41,0)</f>
        <v>0</v>
      </c>
      <c r="L136" s="19" t="n">
        <f aca="false">IF(AND('Bonding Program'!$S$41=1,L$3='Bonding Program'!$H$41),'Bonding Program'!$T$41,0)</f>
        <v>0</v>
      </c>
      <c r="M136" s="19" t="n">
        <f aca="false">IF(AND('Bonding Program'!$S$41=1,M$3='Bonding Program'!$H$41),'Bonding Program'!$T$41,0)</f>
        <v>0</v>
      </c>
      <c r="N136" s="19" t="n">
        <f aca="false">IF(AND('Bonding Program'!$S$41=1,N$3='Bonding Program'!$H$41),'Bonding Program'!$T$41,0)</f>
        <v>0</v>
      </c>
      <c r="O136" s="19" t="n">
        <f aca="false">IF(AND('Bonding Program'!$S$41=1,O$3='Bonding Program'!$H$41),'Bonding Program'!$T$41,0)</f>
        <v>0</v>
      </c>
      <c r="P136" s="19" t="n">
        <f aca="false">IF(AND('Bonding Program'!$S$41=1,P$3='Bonding Program'!$H$41),'Bonding Program'!$T$41,0)</f>
        <v>0</v>
      </c>
      <c r="Q136" s="19" t="n">
        <f aca="false">IF(AND('Bonding Program'!$S$41=1,Q$3='Bonding Program'!$H$41),'Bonding Program'!$T$41,0)</f>
        <v>0</v>
      </c>
      <c r="R136" s="19" t="n">
        <f aca="false">IF(AND('Bonding Program'!$S$41=1,R$3='Bonding Program'!$H$41),'Bonding Program'!$T$41,0)</f>
        <v>0</v>
      </c>
      <c r="S136" s="19" t="n">
        <f aca="false">IF(AND('Bonding Program'!$S$41=1,S$3='Bonding Program'!$H$41),'Bonding Program'!$T$41,0)</f>
        <v>0</v>
      </c>
      <c r="T136" s="19" t="n">
        <f aca="false">IF(AND('Bonding Program'!$S$41=1,T$3='Bonding Program'!$H$41),'Bonding Program'!$T$41,0)</f>
        <v>0</v>
      </c>
      <c r="U136" s="19" t="n">
        <f aca="false">IF(AND('Bonding Program'!$S$41=1,U$3='Bonding Program'!$H$41),'Bonding Program'!$T$41,0)</f>
        <v>0</v>
      </c>
      <c r="V136" s="19" t="n">
        <f aca="false">IF(AND('Bonding Program'!$S$41=1,V$3='Bonding Program'!$H$41),'Bonding Program'!$T$41,0)</f>
        <v>0</v>
      </c>
      <c r="W136" s="19" t="n">
        <f aca="false">IF(AND('Bonding Program'!$S$41=1,W$3='Bonding Program'!$H$41),'Bonding Program'!$T$41,0)</f>
        <v>0</v>
      </c>
      <c r="X136" s="19" t="n">
        <f aca="false">IF(AND('Bonding Program'!$S$41=1,X$3='Bonding Program'!$H$41),'Bonding Program'!$T$41,0)</f>
        <v>0</v>
      </c>
      <c r="Y136" s="19" t="n">
        <f aca="false">IF(AND('Bonding Program'!$S$41=1,Y$3='Bonding Program'!$H$41),'Bonding Program'!$T$41,0)</f>
        <v>0</v>
      </c>
      <c r="Z136" s="19" t="n">
        <f aca="false">IF(AND('Bonding Program'!$S$41=1,Z$3='Bonding Program'!$H$41),'Bonding Program'!$T$41,0)</f>
        <v>0</v>
      </c>
      <c r="AA136" s="19" t="n">
        <f aca="false">IF(AND('Bonding Program'!$S$41=1,AA$3='Bonding Program'!$H$41),'Bonding Program'!$T$41,0)</f>
        <v>0</v>
      </c>
      <c r="AB136" s="19" t="n">
        <f aca="false">IF(AND('Bonding Program'!$S$41=1,AB$3='Bonding Program'!$H$41),'Bonding Program'!$T$41,0)</f>
        <v>0</v>
      </c>
      <c r="AC136" s="19" t="n">
        <f aca="false">IF(AND('Bonding Program'!$S$41=1,AC$3='Bonding Program'!$H$41),'Bonding Program'!$T$41,0)</f>
        <v>0</v>
      </c>
      <c r="AD136" s="19" t="n">
        <f aca="false">IF(AND('Bonding Program'!$S$41=1,AD$3='Bonding Program'!$H$41),'Bonding Program'!$T$41,0)</f>
        <v>0</v>
      </c>
      <c r="AE136" s="19" t="n">
        <f aca="false">IF(AND('Bonding Program'!$S$41=1,AE$3='Bonding Program'!$H$41),'Bonding Program'!$T$41,0)</f>
        <v>0</v>
      </c>
      <c r="AF136" s="19" t="n">
        <f aca="false">IF(AND('Bonding Program'!$S$41=1,AF$3='Bonding Program'!$H$41),'Bonding Program'!$T$41,0)</f>
        <v>0</v>
      </c>
      <c r="AG136" s="19" t="n">
        <f aca="false">IF(AND('Bonding Program'!$S$41=1,AG$3='Bonding Program'!$H$41),'Bonding Program'!$T$41,0)</f>
        <v>0</v>
      </c>
      <c r="AH136" s="19" t="n">
        <f aca="false">IF(AND('Bonding Program'!$S$41=1,AH$3='Bonding Program'!$H$41),'Bonding Program'!$T$41,0)</f>
        <v>0</v>
      </c>
      <c r="AI136" s="19" t="n">
        <f aca="false">IF(AND('Bonding Program'!$S$41=1,AI$3='Bonding Program'!$H$41),'Bonding Program'!$T$41,0)</f>
        <v>0</v>
      </c>
      <c r="AJ136" s="19" t="n">
        <f aca="false">IF(AND('Bonding Program'!$S$41=1,AJ$3='Bonding Program'!$H$41),'Bonding Program'!$T$41,0)</f>
        <v>0</v>
      </c>
      <c r="AK136" s="19" t="n">
        <f aca="false">IF(AND('Bonding Program'!$S$41=1,AK$3='Bonding Program'!$H$41),'Bonding Program'!$T$41,0)</f>
        <v>0</v>
      </c>
      <c r="AL136" s="19" t="n">
        <f aca="false">IF(AND('Bonding Program'!$S$41=1,AL$3='Bonding Program'!$H$41),'Bonding Program'!$T$41,0)</f>
        <v>0</v>
      </c>
      <c r="AM136" s="19" t="n">
        <f aca="false">IF(AND('Bonding Program'!$S$41=1,AM$3='Bonding Program'!$H$41),'Bonding Program'!$T$41,0)</f>
        <v>0</v>
      </c>
      <c r="AN136" s="19" t="n">
        <f aca="false">IF(AND('Bonding Program'!$S$41=1,AN$3='Bonding Program'!$H$41),'Bonding Program'!$T$41,0)</f>
        <v>0</v>
      </c>
      <c r="AO136" s="19" t="n">
        <f aca="false">IF(AND('Bonding Program'!$S$41=1,AO$3='Bonding Program'!$H$41),'Bonding Program'!$T$41,0)</f>
        <v>0</v>
      </c>
      <c r="AP136" s="19" t="n">
        <f aca="false">IF(AND('Bonding Program'!$S$41=1,AP$3='Bonding Program'!$H$41),'Bonding Program'!$T$41,0)</f>
        <v>266009.852216749</v>
      </c>
      <c r="AQ136" s="19" t="n">
        <f aca="false">IF(AND('Bonding Program'!$S$41=1,AQ$3='Bonding Program'!$H$41),'Bonding Program'!$T$41,0)</f>
        <v>0</v>
      </c>
      <c r="AR136" s="19" t="n">
        <f aca="false">IF(AND('Bonding Program'!$S$41=1,AR$3='Bonding Program'!$H$41),'Bonding Program'!$T$41,0)</f>
        <v>0</v>
      </c>
      <c r="AS136" s="19" t="n">
        <f aca="false">IF(AND('Bonding Program'!$S$41=1,AS$3='Bonding Program'!$H$41),'Bonding Program'!$T$41,0)</f>
        <v>0</v>
      </c>
      <c r="AT136" s="19" t="n">
        <f aca="false">IF(AND('Bonding Program'!$S$41=1,AT$3='Bonding Program'!$H$41),'Bonding Program'!$T$41,0)</f>
        <v>0</v>
      </c>
      <c r="AU136" s="19" t="n">
        <f aca="false">IF(AND('Bonding Program'!$S$41=1,AU$3='Bonding Program'!$H$41),'Bonding Program'!$T$41,0)</f>
        <v>0</v>
      </c>
      <c r="AV136" s="19" t="n">
        <f aca="false">IF(AND('Bonding Program'!$S$41=1,AV$3='Bonding Program'!$H$41),'Bonding Program'!$T$41,0)</f>
        <v>0</v>
      </c>
      <c r="AW136" s="19" t="n">
        <f aca="false">IF(AND('Bonding Program'!$S$41=1,AW$3='Bonding Program'!$H$41),'Bonding Program'!$T$41,0)</f>
        <v>0</v>
      </c>
      <c r="AX136" s="19" t="n">
        <f aca="false">IF(AND('Bonding Program'!$S$41=1,AX$3='Bonding Program'!$H$41),'Bonding Program'!$T$41,0)</f>
        <v>0</v>
      </c>
      <c r="AY136" s="19" t="n">
        <f aca="false">IF(AND('Bonding Program'!$S$41=1,AY$3='Bonding Program'!$H$41),'Bonding Program'!$T$41,0)</f>
        <v>0</v>
      </c>
      <c r="AZ136" s="19" t="n">
        <f aca="false">IF(AND('Bonding Program'!$S$41=1,AZ$3='Bonding Program'!$H$41),'Bonding Program'!$T$41,0)</f>
        <v>0</v>
      </c>
      <c r="BA136" s="19" t="n">
        <f aca="false">IF(AND('Bonding Program'!$S$41=1,BA$3='Bonding Program'!$H$41),'Bonding Program'!$T$41,0)</f>
        <v>0</v>
      </c>
      <c r="BB136" s="19" t="n">
        <f aca="false">IF(AND('Bonding Program'!$S$41=1,BB$3='Bonding Program'!$H$41),'Bonding Program'!$T$41,0)</f>
        <v>0</v>
      </c>
      <c r="BC136" s="19" t="n">
        <f aca="false">IF(AND('Bonding Program'!$S$41=1,BC$3='Bonding Program'!$H$41),'Bonding Program'!$T$41,0)</f>
        <v>0</v>
      </c>
      <c r="BD136" s="19" t="n">
        <f aca="false">IF(AND('Bonding Program'!$S$41=1,BD$3='Bonding Program'!$H$41),'Bonding Program'!$T$41,0)</f>
        <v>0</v>
      </c>
      <c r="BE136" s="19" t="n">
        <f aca="false">IF(AND('Bonding Program'!$S$41=1,BE$3='Bonding Program'!$H$41),'Bonding Program'!$T$41,0)</f>
        <v>0</v>
      </c>
      <c r="BF136" s="19" t="n">
        <f aca="false">IF(AND('Bonding Program'!$S$41=1,BF$3='Bonding Program'!$H$41),'Bonding Program'!$T$41,0)</f>
        <v>0</v>
      </c>
      <c r="BG136" s="19" t="n">
        <f aca="false">IF(AND('Bonding Program'!$S$41=1,BG$3='Bonding Program'!$H$41),'Bonding Program'!$T$41,0)</f>
        <v>0</v>
      </c>
      <c r="BH136" s="19" t="n">
        <f aca="false">IF(AND('Bonding Program'!$S$41=1,BH$3='Bonding Program'!$H$41),'Bonding Program'!$T$41,0)</f>
        <v>0</v>
      </c>
      <c r="BI136" s="19" t="n">
        <f aca="false">IF(AND('Bonding Program'!$S$41=1,BI$3='Bonding Program'!$H$41),'Bonding Program'!$T$41,0)</f>
        <v>0</v>
      </c>
      <c r="BJ136" s="19" t="n">
        <f aca="false">IF(AND('Bonding Program'!$S$41=1,BJ$3='Bonding Program'!$H$41),'Bonding Program'!$T$41,0)</f>
        <v>0</v>
      </c>
      <c r="BK136" s="19" t="n">
        <f aca="false">IF(AND('Bonding Program'!$S$41=1,BK$3='Bonding Program'!$H$41),'Bonding Program'!$T$41,0)</f>
        <v>0</v>
      </c>
      <c r="BL136" s="19" t="n">
        <f aca="false">IF(AND('Bonding Program'!$S$41=1,BL$3='Bonding Program'!$H$41),'Bonding Program'!$T$41,0)</f>
        <v>0</v>
      </c>
      <c r="BM136" s="19" t="n">
        <f aca="false">IF(AND('Bonding Program'!$S$41=1,BM$3='Bonding Program'!$H$41),'Bonding Program'!$T$41,0)</f>
        <v>0</v>
      </c>
      <c r="BN136" s="19" t="n">
        <f aca="false">IF(AND('Bonding Program'!$S$41=1,BN$3='Bonding Program'!$H$41),'Bonding Program'!$T$41,0)</f>
        <v>0</v>
      </c>
      <c r="BO136" s="19" t="n">
        <f aca="false">IF(AND('Bonding Program'!$S$41=1,BO$3='Bonding Program'!$H$41),'Bonding Program'!$T$41,0)</f>
        <v>0</v>
      </c>
      <c r="BP136" s="19" t="n">
        <f aca="false">IF(AND('Bonding Program'!$S$41=1,BP$3='Bonding Program'!$H$41),'Bonding Program'!$T$41,0)</f>
        <v>0</v>
      </c>
      <c r="BQ136" s="19" t="n">
        <f aca="false">IF(AND('Bonding Program'!$S$41=1,BQ$3='Bonding Program'!$H$41),'Bonding Program'!$T$41,0)</f>
        <v>0</v>
      </c>
      <c r="BR136" s="19" t="n">
        <f aca="false">IF(AND('Bonding Program'!$S$41=1,BR$3='Bonding Program'!$H$41),'Bonding Program'!$T$41,0)</f>
        <v>0</v>
      </c>
      <c r="BS136" s="19" t="n">
        <f aca="false">IF(AND('Bonding Program'!$S$41=1,BS$3='Bonding Program'!$H$41),'Bonding Program'!$T$41,0)</f>
        <v>0</v>
      </c>
      <c r="BT136" s="19" t="n">
        <f aca="false">IF(AND('Bonding Program'!$S$41=1,BT$3='Bonding Program'!$H$41),'Bonding Program'!$T$41,0)</f>
        <v>0</v>
      </c>
      <c r="BU136" s="19" t="n">
        <f aca="false">IF(AND('Bonding Program'!$S$41=1,BU$3='Bonding Program'!$H$41),'Bonding Program'!$T$41,0)</f>
        <v>0</v>
      </c>
      <c r="BV136" s="19" t="n">
        <f aca="false">IF(AND('Bonding Program'!$S$41=1,BV$3='Bonding Program'!$H$41),'Bonding Program'!$T$41,0)</f>
        <v>0</v>
      </c>
      <c r="BW136" s="19" t="n">
        <f aca="false">IF(AND('Bonding Program'!$S$41=1,BW$3='Bonding Program'!$H$41),'Bonding Program'!$T$41,0)</f>
        <v>0</v>
      </c>
      <c r="BX136" s="19" t="n">
        <f aca="false">IF(AND('Bonding Program'!$S$41=1,BX$3='Bonding Program'!$H$41),'Bonding Program'!$T$41,0)</f>
        <v>0</v>
      </c>
      <c r="BY136" s="19" t="n">
        <f aca="false">IF(AND('Bonding Program'!$S$41=1,BY$3='Bonding Program'!$H$41),'Bonding Program'!$T$41,0)</f>
        <v>0</v>
      </c>
      <c r="BZ136" s="19" t="n">
        <f aca="false">IF(AND('Bonding Program'!$S$41=1,BZ$3='Bonding Program'!$H$41),'Bonding Program'!$T$41,0)</f>
        <v>0</v>
      </c>
      <c r="CA136" s="19" t="n">
        <f aca="false">IF(AND('Bonding Program'!$S$41=1,CA$3='Bonding Program'!$H$41),'Bonding Program'!$T$41,0)</f>
        <v>0</v>
      </c>
      <c r="CB136" s="19" t="n">
        <f aca="false">IF(AND('Bonding Program'!$S$41=1,CB$3='Bonding Program'!$H$41),'Bonding Program'!$T$41,0)</f>
        <v>0</v>
      </c>
      <c r="CC136" s="19" t="n">
        <f aca="false">IF(AND('Bonding Program'!$S$41=1,CC$3='Bonding Program'!$H$41),'Bonding Program'!$T$41,0)</f>
        <v>0</v>
      </c>
      <c r="CD136" s="19" t="n">
        <f aca="false">IF(AND('Bonding Program'!$S$41=1,CD$3='Bonding Program'!$H$41),'Bonding Program'!$T$41,0)</f>
        <v>0</v>
      </c>
      <c r="CE136" s="19" t="n">
        <f aca="false">IF(AND('Bonding Program'!$S$41=1,CE$3='Bonding Program'!$H$41),'Bonding Program'!$T$41,0)</f>
        <v>0</v>
      </c>
      <c r="CF136" s="19" t="n">
        <f aca="false">IF(AND('Bonding Program'!$S$41=1,CF$3='Bonding Program'!$H$41),'Bonding Program'!$T$41,0)</f>
        <v>0</v>
      </c>
      <c r="CG136" s="19" t="n">
        <f aca="false">IF(AND('Bonding Program'!$S$41=1,CG$3='Bonding Program'!$H$41),'Bonding Program'!$T$41,0)</f>
        <v>0</v>
      </c>
      <c r="CH136" s="19" t="n">
        <f aca="false">IF(AND('Bonding Program'!$S$41=1,CH$3='Bonding Program'!$H$41),'Bonding Program'!$T$41,0)</f>
        <v>0</v>
      </c>
      <c r="CI136" s="19" t="n">
        <f aca="false">IF(AND('Bonding Program'!$S$41=1,CI$3='Bonding Program'!$H$41),'Bonding Program'!$T$41,0)</f>
        <v>0</v>
      </c>
      <c r="CJ136" s="19" t="n">
        <f aca="false">IF(AND('Bonding Program'!$S$41=1,CJ$3='Bonding Program'!$H$41),'Bonding Program'!$T$41,0)</f>
        <v>0</v>
      </c>
      <c r="CK136" s="19" t="n">
        <f aca="false">IF(AND('Bonding Program'!$S$41=1,CK$3='Bonding Program'!$H$41),'Bonding Program'!$T$41,0)</f>
        <v>0</v>
      </c>
      <c r="CL136" s="19" t="n">
        <f aca="false">IF(AND('Bonding Program'!$S$41=1,CL$3='Bonding Program'!$H$41),'Bonding Program'!$T$41,0)</f>
        <v>0</v>
      </c>
      <c r="CM136" s="19" t="n">
        <f aca="false">IF(AND('Bonding Program'!$S$41=1,CM$3='Bonding Program'!$H$41),'Bonding Program'!$T$41,0)</f>
        <v>0</v>
      </c>
      <c r="CN136" s="19" t="n">
        <f aca="false">IF(AND('Bonding Program'!$S$41=1,CN$3='Bonding Program'!$H$41),'Bonding Program'!$T$41,0)</f>
        <v>0</v>
      </c>
      <c r="CO136" s="19" t="n">
        <f aca="false">IF(AND('Bonding Program'!$S$41=1,CO$3='Bonding Program'!$H$41),'Bonding Program'!$T$41,0)</f>
        <v>0</v>
      </c>
      <c r="CP136" s="19" t="n">
        <f aca="false">IF(AND('Bonding Program'!$S$41=1,CP$3='Bonding Program'!$H$41),'Bonding Program'!$T$41,0)</f>
        <v>0</v>
      </c>
      <c r="CQ136" s="19" t="n">
        <f aca="false">IF(AND('Bonding Program'!$S$41=1,CQ$3='Bonding Program'!$H$41),'Bonding Program'!$T$41,0)</f>
        <v>0</v>
      </c>
      <c r="CR136" s="19" t="n">
        <f aca="false">IF(AND('Bonding Program'!$S$41=1,CR$3='Bonding Program'!$H$41),'Bonding Program'!$T$41,0)</f>
        <v>0</v>
      </c>
      <c r="CS136" s="19" t="n">
        <f aca="false">IF(AND('Bonding Program'!$S$41=1,CS$3='Bonding Program'!$H$41),'Bonding Program'!$T$41,0)</f>
        <v>0</v>
      </c>
      <c r="CT136" s="19" t="n">
        <f aca="false">IF(AND('Bonding Program'!$S$41=1,CT$3='Bonding Program'!$H$41),'Bonding Program'!$T$41,0)</f>
        <v>0</v>
      </c>
      <c r="CU136" s="19" t="n">
        <f aca="false">IF(AND('Bonding Program'!$S$41=1,CU$3='Bonding Program'!$H$41),'Bonding Program'!$T$41,0)</f>
        <v>0</v>
      </c>
      <c r="CV136" s="19" t="n">
        <f aca="false">IF(AND('Bonding Program'!$S$41=1,CV$3='Bonding Program'!$H$41),'Bonding Program'!$T$41,0)</f>
        <v>0</v>
      </c>
      <c r="CW136" s="19" t="n">
        <f aca="false">IF(AND('Bonding Program'!$S$41=1,CW$3='Bonding Program'!$H$41),'Bonding Program'!$T$41,0)</f>
        <v>0</v>
      </c>
      <c r="CX136" s="19" t="n">
        <f aca="false">IF(AND('Bonding Program'!$S$41=1,CX$3='Bonding Program'!$H$41),'Bonding Program'!$T$41,0)</f>
        <v>0</v>
      </c>
      <c r="CY136" s="19" t="n">
        <f aca="false">IF(AND('Bonding Program'!$S$41=1,CY$3='Bonding Program'!$H$41),'Bonding Program'!$T$41,0)</f>
        <v>0</v>
      </c>
      <c r="CZ136" s="19" t="n">
        <f aca="false">IF(AND('Bonding Program'!$S$41=1,CZ$3='Bonding Program'!$H$41),'Bonding Program'!$T$41,0)</f>
        <v>0</v>
      </c>
      <c r="DA136" s="19" t="n">
        <f aca="false">IF(AND('Bonding Program'!$S$41=1,DA$3='Bonding Program'!$H$41),'Bonding Program'!$T$41,0)</f>
        <v>0</v>
      </c>
      <c r="DB136" s="19" t="n">
        <f aca="false">IF(AND('Bonding Program'!$S$41=1,DB$3='Bonding Program'!$H$41),'Bonding Program'!$T$41,0)</f>
        <v>0</v>
      </c>
      <c r="DC136" s="19" t="n">
        <f aca="false">IF(AND('Bonding Program'!$S$41=1,DC$3='Bonding Program'!$H$41),'Bonding Program'!$T$41,0)</f>
        <v>0</v>
      </c>
      <c r="DD136" s="19" t="n">
        <f aca="false">IF(AND('Bonding Program'!$S$41=1,DD$3='Bonding Program'!$H$41),'Bonding Program'!$T$41,0)</f>
        <v>0</v>
      </c>
      <c r="DE136" s="19" t="n">
        <f aca="false">IF(AND('Bonding Program'!$S$41=1,DE$3='Bonding Program'!$H$41),'Bonding Program'!$T$41,0)</f>
        <v>0</v>
      </c>
    </row>
    <row r="137" customFormat="false" ht="15" hidden="false" customHeight="true" outlineLevel="1" collapsed="false">
      <c r="A137" s="28" t="s">
        <v>38</v>
      </c>
      <c r="B137" s="19" t="n">
        <f aca="false">IF(AND('Bonding Program'!$S$42=1,B$3='Bonding Program'!$H$42),'Bonding Program'!$T$42,0)</f>
        <v>0</v>
      </c>
      <c r="C137" s="19" t="n">
        <f aca="false">IF(AND('Bonding Program'!$S$42=1,C$3='Bonding Program'!$H$42),'Bonding Program'!$T$42,0)</f>
        <v>0</v>
      </c>
      <c r="D137" s="19" t="n">
        <f aca="false">IF(AND('Bonding Program'!$S$42=1,D$3='Bonding Program'!$H$42),'Bonding Program'!$T$42,0)</f>
        <v>0</v>
      </c>
      <c r="E137" s="19" t="n">
        <f aca="false">IF(AND('Bonding Program'!$S$42=1,E$3='Bonding Program'!$H$42),'Bonding Program'!$T$42,0)</f>
        <v>0</v>
      </c>
      <c r="F137" s="19" t="n">
        <f aca="false">IF(AND('Bonding Program'!$S$42=1,F$3='Bonding Program'!$H$42),'Bonding Program'!$T$42,0)</f>
        <v>0</v>
      </c>
      <c r="G137" s="19" t="n">
        <f aca="false">IF(AND('Bonding Program'!$S$42=1,G$3='Bonding Program'!$H$42),'Bonding Program'!$T$42,0)</f>
        <v>0</v>
      </c>
      <c r="H137" s="19" t="n">
        <f aca="false">IF(AND('Bonding Program'!$S$42=1,H$3='Bonding Program'!$H$42),'Bonding Program'!$T$42,0)</f>
        <v>0</v>
      </c>
      <c r="I137" s="19" t="n">
        <f aca="false">IF(AND('Bonding Program'!$S$42=1,I$3='Bonding Program'!$H$42),'Bonding Program'!$T$42,0)</f>
        <v>0</v>
      </c>
      <c r="J137" s="19" t="n">
        <f aca="false">IF(AND('Bonding Program'!$S$42=1,J$3='Bonding Program'!$H$42),'Bonding Program'!$T$42,0)</f>
        <v>0</v>
      </c>
      <c r="K137" s="19" t="n">
        <f aca="false">IF(AND('Bonding Program'!$S$42=1,K$3='Bonding Program'!$H$42),'Bonding Program'!$T$42,0)</f>
        <v>0</v>
      </c>
      <c r="L137" s="19" t="n">
        <f aca="false">IF(AND('Bonding Program'!$S$42=1,L$3='Bonding Program'!$H$42),'Bonding Program'!$T$42,0)</f>
        <v>0</v>
      </c>
      <c r="M137" s="19" t="n">
        <f aca="false">IF(AND('Bonding Program'!$S$42=1,M$3='Bonding Program'!$H$42),'Bonding Program'!$T$42,0)</f>
        <v>0</v>
      </c>
      <c r="N137" s="19" t="n">
        <f aca="false">IF(AND('Bonding Program'!$S$42=1,N$3='Bonding Program'!$H$42),'Bonding Program'!$T$42,0)</f>
        <v>0</v>
      </c>
      <c r="O137" s="19" t="n">
        <f aca="false">IF(AND('Bonding Program'!$S$42=1,O$3='Bonding Program'!$H$42),'Bonding Program'!$T$42,0)</f>
        <v>0</v>
      </c>
      <c r="P137" s="19" t="n">
        <f aca="false">IF(AND('Bonding Program'!$S$42=1,P$3='Bonding Program'!$H$42),'Bonding Program'!$T$42,0)</f>
        <v>0</v>
      </c>
      <c r="Q137" s="19" t="n">
        <f aca="false">IF(AND('Bonding Program'!$S$42=1,Q$3='Bonding Program'!$H$42),'Bonding Program'!$T$42,0)</f>
        <v>0</v>
      </c>
      <c r="R137" s="19" t="n">
        <f aca="false">IF(AND('Bonding Program'!$S$42=1,R$3='Bonding Program'!$H$42),'Bonding Program'!$T$42,0)</f>
        <v>0</v>
      </c>
      <c r="S137" s="19" t="n">
        <f aca="false">IF(AND('Bonding Program'!$S$42=1,S$3='Bonding Program'!$H$42),'Bonding Program'!$T$42,0)</f>
        <v>0</v>
      </c>
      <c r="T137" s="19" t="n">
        <f aca="false">IF(AND('Bonding Program'!$S$42=1,T$3='Bonding Program'!$H$42),'Bonding Program'!$T$42,0)</f>
        <v>0</v>
      </c>
      <c r="U137" s="19" t="n">
        <f aca="false">IF(AND('Bonding Program'!$S$42=1,U$3='Bonding Program'!$H$42),'Bonding Program'!$T$42,0)</f>
        <v>0</v>
      </c>
      <c r="V137" s="19" t="n">
        <f aca="false">IF(AND('Bonding Program'!$S$42=1,V$3='Bonding Program'!$H$42),'Bonding Program'!$T$42,0)</f>
        <v>0</v>
      </c>
      <c r="W137" s="19" t="n">
        <f aca="false">IF(AND('Bonding Program'!$S$42=1,W$3='Bonding Program'!$H$42),'Bonding Program'!$T$42,0)</f>
        <v>0</v>
      </c>
      <c r="X137" s="19" t="n">
        <f aca="false">IF(AND('Bonding Program'!$S$42=1,X$3='Bonding Program'!$H$42),'Bonding Program'!$T$42,0)</f>
        <v>0</v>
      </c>
      <c r="Y137" s="19" t="n">
        <f aca="false">IF(AND('Bonding Program'!$S$42=1,Y$3='Bonding Program'!$H$42),'Bonding Program'!$T$42,0)</f>
        <v>0</v>
      </c>
      <c r="Z137" s="19" t="n">
        <f aca="false">IF(AND('Bonding Program'!$S$42=1,Z$3='Bonding Program'!$H$42),'Bonding Program'!$T$42,0)</f>
        <v>0</v>
      </c>
      <c r="AA137" s="19" t="n">
        <f aca="false">IF(AND('Bonding Program'!$S$42=1,AA$3='Bonding Program'!$H$42),'Bonding Program'!$T$42,0)</f>
        <v>0</v>
      </c>
      <c r="AB137" s="19" t="n">
        <f aca="false">IF(AND('Bonding Program'!$S$42=1,AB$3='Bonding Program'!$H$42),'Bonding Program'!$T$42,0)</f>
        <v>0</v>
      </c>
      <c r="AC137" s="19" t="n">
        <f aca="false">IF(AND('Bonding Program'!$S$42=1,AC$3='Bonding Program'!$H$42),'Bonding Program'!$T$42,0)</f>
        <v>0</v>
      </c>
      <c r="AD137" s="19" t="n">
        <f aca="false">IF(AND('Bonding Program'!$S$42=1,AD$3='Bonding Program'!$H$42),'Bonding Program'!$T$42,0)</f>
        <v>0</v>
      </c>
      <c r="AE137" s="19" t="n">
        <f aca="false">IF(AND('Bonding Program'!$S$42=1,AE$3='Bonding Program'!$H$42),'Bonding Program'!$T$42,0)</f>
        <v>0</v>
      </c>
      <c r="AF137" s="19" t="n">
        <f aca="false">IF(AND('Bonding Program'!$S$42=1,AF$3='Bonding Program'!$H$42),'Bonding Program'!$T$42,0)</f>
        <v>0</v>
      </c>
      <c r="AG137" s="19" t="n">
        <f aca="false">IF(AND('Bonding Program'!$S$42=1,AG$3='Bonding Program'!$H$42),'Bonding Program'!$T$42,0)</f>
        <v>0</v>
      </c>
      <c r="AH137" s="19" t="n">
        <f aca="false">IF(AND('Bonding Program'!$S$42=1,AH$3='Bonding Program'!$H$42),'Bonding Program'!$T$42,0)</f>
        <v>0</v>
      </c>
      <c r="AI137" s="19" t="n">
        <f aca="false">IF(AND('Bonding Program'!$S$42=1,AI$3='Bonding Program'!$H$42),'Bonding Program'!$T$42,0)</f>
        <v>0</v>
      </c>
      <c r="AJ137" s="19" t="n">
        <f aca="false">IF(AND('Bonding Program'!$S$42=1,AJ$3='Bonding Program'!$H$42),'Bonding Program'!$T$42,0)</f>
        <v>0</v>
      </c>
      <c r="AK137" s="19" t="n">
        <f aca="false">IF(AND('Bonding Program'!$S$42=1,AK$3='Bonding Program'!$H$42),'Bonding Program'!$T$42,0)</f>
        <v>0</v>
      </c>
      <c r="AL137" s="19" t="n">
        <f aca="false">IF(AND('Bonding Program'!$S$42=1,AL$3='Bonding Program'!$H$42),'Bonding Program'!$T$42,0)</f>
        <v>0</v>
      </c>
      <c r="AM137" s="19" t="n">
        <f aca="false">IF(AND('Bonding Program'!$S$42=1,AM$3='Bonding Program'!$H$42),'Bonding Program'!$T$42,0)</f>
        <v>0</v>
      </c>
      <c r="AN137" s="19" t="n">
        <f aca="false">IF(AND('Bonding Program'!$S$42=1,AN$3='Bonding Program'!$H$42),'Bonding Program'!$T$42,0)</f>
        <v>0</v>
      </c>
      <c r="AO137" s="19" t="n">
        <f aca="false">IF(AND('Bonding Program'!$S$42=1,AO$3='Bonding Program'!$H$42),'Bonding Program'!$T$42,0)</f>
        <v>0</v>
      </c>
      <c r="AP137" s="19" t="n">
        <f aca="false">IF(AND('Bonding Program'!$S$42=1,AP$3='Bonding Program'!$H$42),'Bonding Program'!$T$42,0)</f>
        <v>0</v>
      </c>
      <c r="AQ137" s="19" t="n">
        <f aca="false">IF(AND('Bonding Program'!$S$42=1,AQ$3='Bonding Program'!$H$42),'Bonding Program'!$T$42,0)</f>
        <v>0</v>
      </c>
      <c r="AR137" s="19" t="n">
        <f aca="false">IF(AND('Bonding Program'!$S$42=1,AR$3='Bonding Program'!$H$42),'Bonding Program'!$T$42,0)</f>
        <v>0</v>
      </c>
      <c r="AS137" s="19" t="n">
        <f aca="false">IF(AND('Bonding Program'!$S$42=1,AS$3='Bonding Program'!$H$42),'Bonding Program'!$T$42,0)</f>
        <v>0</v>
      </c>
      <c r="AT137" s="19" t="n">
        <f aca="false">IF(AND('Bonding Program'!$S$42=1,AT$3='Bonding Program'!$H$42),'Bonding Program'!$T$42,0)</f>
        <v>0</v>
      </c>
      <c r="AU137" s="19" t="n">
        <f aca="false">IF(AND('Bonding Program'!$S$42=1,AU$3='Bonding Program'!$H$42),'Bonding Program'!$T$42,0)</f>
        <v>0</v>
      </c>
      <c r="AV137" s="19" t="n">
        <f aca="false">IF(AND('Bonding Program'!$S$42=1,AV$3='Bonding Program'!$H$42),'Bonding Program'!$T$42,0)</f>
        <v>0</v>
      </c>
      <c r="AW137" s="19" t="n">
        <f aca="false">IF(AND('Bonding Program'!$S$42=1,AW$3='Bonding Program'!$H$42),'Bonding Program'!$T$42,0)</f>
        <v>0</v>
      </c>
      <c r="AX137" s="19" t="n">
        <f aca="false">IF(AND('Bonding Program'!$S$42=1,AX$3='Bonding Program'!$H$42),'Bonding Program'!$T$42,0)</f>
        <v>0</v>
      </c>
      <c r="AY137" s="19" t="n">
        <f aca="false">IF(AND('Bonding Program'!$S$42=1,AY$3='Bonding Program'!$H$42),'Bonding Program'!$T$42,0)</f>
        <v>0</v>
      </c>
      <c r="AZ137" s="19" t="n">
        <f aca="false">IF(AND('Bonding Program'!$S$42=1,AZ$3='Bonding Program'!$H$42),'Bonding Program'!$T$42,0)</f>
        <v>0</v>
      </c>
      <c r="BA137" s="19" t="n">
        <f aca="false">IF(AND('Bonding Program'!$S$42=1,BA$3='Bonding Program'!$H$42),'Bonding Program'!$T$42,0)</f>
        <v>0</v>
      </c>
      <c r="BB137" s="19" t="n">
        <f aca="false">IF(AND('Bonding Program'!$S$42=1,BB$3='Bonding Program'!$H$42),'Bonding Program'!$T$42,0)</f>
        <v>0</v>
      </c>
      <c r="BC137" s="19" t="n">
        <f aca="false">IF(AND('Bonding Program'!$S$42=1,BC$3='Bonding Program'!$H$42),'Bonding Program'!$T$42,0)</f>
        <v>0</v>
      </c>
      <c r="BD137" s="19" t="n">
        <f aca="false">IF(AND('Bonding Program'!$S$42=1,BD$3='Bonding Program'!$H$42),'Bonding Program'!$T$42,0)</f>
        <v>0</v>
      </c>
      <c r="BE137" s="19" t="n">
        <f aca="false">IF(AND('Bonding Program'!$S$42=1,BE$3='Bonding Program'!$H$42),'Bonding Program'!$T$42,0)</f>
        <v>0</v>
      </c>
      <c r="BF137" s="19" t="n">
        <f aca="false">IF(AND('Bonding Program'!$S$42=1,BF$3='Bonding Program'!$H$42),'Bonding Program'!$T$42,0)</f>
        <v>0</v>
      </c>
      <c r="BG137" s="19" t="n">
        <f aca="false">IF(AND('Bonding Program'!$S$42=1,BG$3='Bonding Program'!$H$42),'Bonding Program'!$T$42,0)</f>
        <v>0</v>
      </c>
      <c r="BH137" s="19" t="n">
        <f aca="false">IF(AND('Bonding Program'!$S$42=1,BH$3='Bonding Program'!$H$42),'Bonding Program'!$T$42,0)</f>
        <v>0</v>
      </c>
      <c r="BI137" s="19" t="n">
        <f aca="false">IF(AND('Bonding Program'!$S$42=1,BI$3='Bonding Program'!$H$42),'Bonding Program'!$T$42,0)</f>
        <v>0</v>
      </c>
      <c r="BJ137" s="19" t="n">
        <f aca="false">IF(AND('Bonding Program'!$S$42=1,BJ$3='Bonding Program'!$H$42),'Bonding Program'!$T$42,0)</f>
        <v>0</v>
      </c>
      <c r="BK137" s="19" t="n">
        <f aca="false">IF(AND('Bonding Program'!$S$42=1,BK$3='Bonding Program'!$H$42),'Bonding Program'!$T$42,0)</f>
        <v>0</v>
      </c>
      <c r="BL137" s="19" t="n">
        <f aca="false">IF(AND('Bonding Program'!$S$42=1,BL$3='Bonding Program'!$H$42),'Bonding Program'!$T$42,0)</f>
        <v>0</v>
      </c>
      <c r="BM137" s="19" t="n">
        <f aca="false">IF(AND('Bonding Program'!$S$42=1,BM$3='Bonding Program'!$H$42),'Bonding Program'!$T$42,0)</f>
        <v>0</v>
      </c>
      <c r="BN137" s="19" t="n">
        <f aca="false">IF(AND('Bonding Program'!$S$42=1,BN$3='Bonding Program'!$H$42),'Bonding Program'!$T$42,0)</f>
        <v>0</v>
      </c>
      <c r="BO137" s="19" t="n">
        <f aca="false">IF(AND('Bonding Program'!$S$42=1,BO$3='Bonding Program'!$H$42),'Bonding Program'!$T$42,0)</f>
        <v>0</v>
      </c>
      <c r="BP137" s="19" t="n">
        <f aca="false">IF(AND('Bonding Program'!$S$42=1,BP$3='Bonding Program'!$H$42),'Bonding Program'!$T$42,0)</f>
        <v>0</v>
      </c>
      <c r="BQ137" s="19" t="n">
        <f aca="false">IF(AND('Bonding Program'!$S$42=1,BQ$3='Bonding Program'!$H$42),'Bonding Program'!$T$42,0)</f>
        <v>0</v>
      </c>
      <c r="BR137" s="19" t="n">
        <f aca="false">IF(AND('Bonding Program'!$S$42=1,BR$3='Bonding Program'!$H$42),'Bonding Program'!$T$42,0)</f>
        <v>0</v>
      </c>
      <c r="BS137" s="19" t="n">
        <f aca="false">IF(AND('Bonding Program'!$S$42=1,BS$3='Bonding Program'!$H$42),'Bonding Program'!$T$42,0)</f>
        <v>0</v>
      </c>
      <c r="BT137" s="19" t="n">
        <f aca="false">IF(AND('Bonding Program'!$S$42=1,BT$3='Bonding Program'!$H$42),'Bonding Program'!$T$42,0)</f>
        <v>0</v>
      </c>
      <c r="BU137" s="19" t="n">
        <f aca="false">IF(AND('Bonding Program'!$S$42=1,BU$3='Bonding Program'!$H$42),'Bonding Program'!$T$42,0)</f>
        <v>0</v>
      </c>
      <c r="BV137" s="19" t="n">
        <f aca="false">IF(AND('Bonding Program'!$S$42=1,BV$3='Bonding Program'!$H$42),'Bonding Program'!$T$42,0)</f>
        <v>0</v>
      </c>
      <c r="BW137" s="19" t="n">
        <f aca="false">IF(AND('Bonding Program'!$S$42=1,BW$3='Bonding Program'!$H$42),'Bonding Program'!$T$42,0)</f>
        <v>0</v>
      </c>
      <c r="BX137" s="19" t="n">
        <f aca="false">IF(AND('Bonding Program'!$S$42=1,BX$3='Bonding Program'!$H$42),'Bonding Program'!$T$42,0)</f>
        <v>0</v>
      </c>
      <c r="BY137" s="19" t="n">
        <f aca="false">IF(AND('Bonding Program'!$S$42=1,BY$3='Bonding Program'!$H$42),'Bonding Program'!$T$42,0)</f>
        <v>0</v>
      </c>
      <c r="BZ137" s="19" t="n">
        <f aca="false">IF(AND('Bonding Program'!$S$42=1,BZ$3='Bonding Program'!$H$42),'Bonding Program'!$T$42,0)</f>
        <v>0</v>
      </c>
      <c r="CA137" s="19" t="n">
        <f aca="false">IF(AND('Bonding Program'!$S$42=1,CA$3='Bonding Program'!$H$42),'Bonding Program'!$T$42,0)</f>
        <v>0</v>
      </c>
      <c r="CB137" s="19" t="n">
        <f aca="false">IF(AND('Bonding Program'!$S$42=1,CB$3='Bonding Program'!$H$42),'Bonding Program'!$T$42,0)</f>
        <v>0</v>
      </c>
      <c r="CC137" s="19" t="n">
        <f aca="false">IF(AND('Bonding Program'!$S$42=1,CC$3='Bonding Program'!$H$42),'Bonding Program'!$T$42,0)</f>
        <v>0</v>
      </c>
      <c r="CD137" s="19" t="n">
        <f aca="false">IF(AND('Bonding Program'!$S$42=1,CD$3='Bonding Program'!$H$42),'Bonding Program'!$T$42,0)</f>
        <v>0</v>
      </c>
      <c r="CE137" s="19" t="n">
        <f aca="false">IF(AND('Bonding Program'!$S$42=1,CE$3='Bonding Program'!$H$42),'Bonding Program'!$T$42,0)</f>
        <v>0</v>
      </c>
      <c r="CF137" s="19" t="n">
        <f aca="false">IF(AND('Bonding Program'!$S$42=1,CF$3='Bonding Program'!$H$42),'Bonding Program'!$T$42,0)</f>
        <v>0</v>
      </c>
      <c r="CG137" s="19" t="n">
        <f aca="false">IF(AND('Bonding Program'!$S$42=1,CG$3='Bonding Program'!$H$42),'Bonding Program'!$T$42,0)</f>
        <v>0</v>
      </c>
      <c r="CH137" s="19" t="n">
        <f aca="false">IF(AND('Bonding Program'!$S$42=1,CH$3='Bonding Program'!$H$42),'Bonding Program'!$T$42,0)</f>
        <v>0</v>
      </c>
      <c r="CI137" s="19" t="n">
        <f aca="false">IF(AND('Bonding Program'!$S$42=1,CI$3='Bonding Program'!$H$42),'Bonding Program'!$T$42,0)</f>
        <v>0</v>
      </c>
      <c r="CJ137" s="19" t="n">
        <f aca="false">IF(AND('Bonding Program'!$S$42=1,CJ$3='Bonding Program'!$H$42),'Bonding Program'!$T$42,0)</f>
        <v>0</v>
      </c>
      <c r="CK137" s="19" t="n">
        <f aca="false">IF(AND('Bonding Program'!$S$42=1,CK$3='Bonding Program'!$H$42),'Bonding Program'!$T$42,0)</f>
        <v>0</v>
      </c>
      <c r="CL137" s="19" t="n">
        <f aca="false">IF(AND('Bonding Program'!$S$42=1,CL$3='Bonding Program'!$H$42),'Bonding Program'!$T$42,0)</f>
        <v>0</v>
      </c>
      <c r="CM137" s="19" t="n">
        <f aca="false">IF(AND('Bonding Program'!$S$42=1,CM$3='Bonding Program'!$H$42),'Bonding Program'!$T$42,0)</f>
        <v>0</v>
      </c>
      <c r="CN137" s="19" t="n">
        <f aca="false">IF(AND('Bonding Program'!$S$42=1,CN$3='Bonding Program'!$H$42),'Bonding Program'!$T$42,0)</f>
        <v>0</v>
      </c>
      <c r="CO137" s="19" t="n">
        <f aca="false">IF(AND('Bonding Program'!$S$42=1,CO$3='Bonding Program'!$H$42),'Bonding Program'!$T$42,0)</f>
        <v>0</v>
      </c>
      <c r="CP137" s="19" t="n">
        <f aca="false">IF(AND('Bonding Program'!$S$42=1,CP$3='Bonding Program'!$H$42),'Bonding Program'!$T$42,0)</f>
        <v>0</v>
      </c>
      <c r="CQ137" s="19" t="n">
        <f aca="false">IF(AND('Bonding Program'!$S$42=1,CQ$3='Bonding Program'!$H$42),'Bonding Program'!$T$42,0)</f>
        <v>0</v>
      </c>
      <c r="CR137" s="19" t="n">
        <f aca="false">IF(AND('Bonding Program'!$S$42=1,CR$3='Bonding Program'!$H$42),'Bonding Program'!$T$42,0)</f>
        <v>0</v>
      </c>
      <c r="CS137" s="19" t="n">
        <f aca="false">IF(AND('Bonding Program'!$S$42=1,CS$3='Bonding Program'!$H$42),'Bonding Program'!$T$42,0)</f>
        <v>0</v>
      </c>
      <c r="CT137" s="19" t="n">
        <f aca="false">IF(AND('Bonding Program'!$S$42=1,CT$3='Bonding Program'!$H$42),'Bonding Program'!$T$42,0)</f>
        <v>0</v>
      </c>
      <c r="CU137" s="19" t="n">
        <f aca="false">IF(AND('Bonding Program'!$S$42=1,CU$3='Bonding Program'!$H$42),'Bonding Program'!$T$42,0)</f>
        <v>0</v>
      </c>
      <c r="CV137" s="19" t="n">
        <f aca="false">IF(AND('Bonding Program'!$S$42=1,CV$3='Bonding Program'!$H$42),'Bonding Program'!$T$42,0)</f>
        <v>0</v>
      </c>
      <c r="CW137" s="19" t="n">
        <f aca="false">IF(AND('Bonding Program'!$S$42=1,CW$3='Bonding Program'!$H$42),'Bonding Program'!$T$42,0)</f>
        <v>0</v>
      </c>
      <c r="CX137" s="19" t="n">
        <f aca="false">IF(AND('Bonding Program'!$S$42=1,CX$3='Bonding Program'!$H$42),'Bonding Program'!$T$42,0)</f>
        <v>0</v>
      </c>
      <c r="CY137" s="19" t="n">
        <f aca="false">IF(AND('Bonding Program'!$S$42=1,CY$3='Bonding Program'!$H$42),'Bonding Program'!$T$42,0)</f>
        <v>0</v>
      </c>
      <c r="CZ137" s="19" t="n">
        <f aca="false">IF(AND('Bonding Program'!$S$42=1,CZ$3='Bonding Program'!$H$42),'Bonding Program'!$T$42,0)</f>
        <v>0</v>
      </c>
      <c r="DA137" s="19" t="n">
        <f aca="false">IF(AND('Bonding Program'!$S$42=1,DA$3='Bonding Program'!$H$42),'Bonding Program'!$T$42,0)</f>
        <v>0</v>
      </c>
      <c r="DB137" s="19" t="n">
        <f aca="false">IF(AND('Bonding Program'!$S$42=1,DB$3='Bonding Program'!$H$42),'Bonding Program'!$T$42,0)</f>
        <v>0</v>
      </c>
      <c r="DC137" s="19" t="n">
        <f aca="false">IF(AND('Bonding Program'!$S$42=1,DC$3='Bonding Program'!$H$42),'Bonding Program'!$T$42,0)</f>
        <v>0</v>
      </c>
      <c r="DD137" s="19" t="n">
        <f aca="false">IF(AND('Bonding Program'!$S$42=1,DD$3='Bonding Program'!$H$42),'Bonding Program'!$T$42,0)</f>
        <v>0</v>
      </c>
      <c r="DE137" s="19" t="n">
        <f aca="false">IF(AND('Bonding Program'!$S$42=1,DE$3='Bonding Program'!$H$42),'Bonding Program'!$T$42,0)</f>
        <v>0</v>
      </c>
    </row>
    <row r="138" customFormat="false" ht="15" hidden="false" customHeight="true" outlineLevel="1" collapsed="false">
      <c r="A138" s="28" t="s">
        <v>39</v>
      </c>
      <c r="B138" s="19" t="n">
        <f aca="false">IF(AND('Bonding Program'!$S$43=1,B$3='Bonding Program'!$H$43),'Bonding Program'!$T$43,0)</f>
        <v>0</v>
      </c>
      <c r="C138" s="19" t="n">
        <f aca="false">IF(AND('Bonding Program'!$S$43=1,C$3='Bonding Program'!$H$43),'Bonding Program'!$T$43,0)</f>
        <v>0</v>
      </c>
      <c r="D138" s="19" t="n">
        <f aca="false">IF(AND('Bonding Program'!$S$43=1,D$3='Bonding Program'!$H$43),'Bonding Program'!$T$43,0)</f>
        <v>0</v>
      </c>
      <c r="E138" s="19" t="n">
        <f aca="false">IF(AND('Bonding Program'!$S$43=1,E$3='Bonding Program'!$H$43),'Bonding Program'!$T$43,0)</f>
        <v>0</v>
      </c>
      <c r="F138" s="19" t="n">
        <f aca="false">IF(AND('Bonding Program'!$S$43=1,F$3='Bonding Program'!$H$43),'Bonding Program'!$T$43,0)</f>
        <v>0</v>
      </c>
      <c r="G138" s="19" t="n">
        <f aca="false">IF(AND('Bonding Program'!$S$43=1,G$3='Bonding Program'!$H$43),'Bonding Program'!$T$43,0)</f>
        <v>0</v>
      </c>
      <c r="H138" s="19" t="n">
        <f aca="false">IF(AND('Bonding Program'!$S$43=1,H$3='Bonding Program'!$H$43),'Bonding Program'!$T$43,0)</f>
        <v>0</v>
      </c>
      <c r="I138" s="19" t="n">
        <f aca="false">IF(AND('Bonding Program'!$S$43=1,I$3='Bonding Program'!$H$43),'Bonding Program'!$T$43,0)</f>
        <v>0</v>
      </c>
      <c r="J138" s="19" t="n">
        <f aca="false">IF(AND('Bonding Program'!$S$43=1,J$3='Bonding Program'!$H$43),'Bonding Program'!$T$43,0)</f>
        <v>0</v>
      </c>
      <c r="K138" s="19" t="n">
        <f aca="false">IF(AND('Bonding Program'!$S$43=1,K$3='Bonding Program'!$H$43),'Bonding Program'!$T$43,0)</f>
        <v>0</v>
      </c>
      <c r="L138" s="19" t="n">
        <f aca="false">IF(AND('Bonding Program'!$S$43=1,L$3='Bonding Program'!$H$43),'Bonding Program'!$T$43,0)</f>
        <v>0</v>
      </c>
      <c r="M138" s="19" t="n">
        <f aca="false">IF(AND('Bonding Program'!$S$43=1,M$3='Bonding Program'!$H$43),'Bonding Program'!$T$43,0)</f>
        <v>0</v>
      </c>
      <c r="N138" s="19" t="n">
        <f aca="false">IF(AND('Bonding Program'!$S$43=1,N$3='Bonding Program'!$H$43),'Bonding Program'!$T$43,0)</f>
        <v>0</v>
      </c>
      <c r="O138" s="19" t="n">
        <f aca="false">IF(AND('Bonding Program'!$S$43=1,O$3='Bonding Program'!$H$43),'Bonding Program'!$T$43,0)</f>
        <v>0</v>
      </c>
      <c r="P138" s="19" t="n">
        <f aca="false">IF(AND('Bonding Program'!$S$43=1,P$3='Bonding Program'!$H$43),'Bonding Program'!$T$43,0)</f>
        <v>0</v>
      </c>
      <c r="Q138" s="19" t="n">
        <f aca="false">IF(AND('Bonding Program'!$S$43=1,Q$3='Bonding Program'!$H$43),'Bonding Program'!$T$43,0)</f>
        <v>0</v>
      </c>
      <c r="R138" s="19" t="n">
        <f aca="false">IF(AND('Bonding Program'!$S$43=1,R$3='Bonding Program'!$H$43),'Bonding Program'!$T$43,0)</f>
        <v>0</v>
      </c>
      <c r="S138" s="19" t="n">
        <f aca="false">IF(AND('Bonding Program'!$S$43=1,S$3='Bonding Program'!$H$43),'Bonding Program'!$T$43,0)</f>
        <v>0</v>
      </c>
      <c r="T138" s="19" t="n">
        <f aca="false">IF(AND('Bonding Program'!$S$43=1,T$3='Bonding Program'!$H$43),'Bonding Program'!$T$43,0)</f>
        <v>0</v>
      </c>
      <c r="U138" s="19" t="n">
        <f aca="false">IF(AND('Bonding Program'!$S$43=1,U$3='Bonding Program'!$H$43),'Bonding Program'!$T$43,0)</f>
        <v>0</v>
      </c>
      <c r="V138" s="19" t="n">
        <f aca="false">IF(AND('Bonding Program'!$S$43=1,V$3='Bonding Program'!$H$43),'Bonding Program'!$T$43,0)</f>
        <v>0</v>
      </c>
      <c r="W138" s="19" t="n">
        <f aca="false">IF(AND('Bonding Program'!$S$43=1,W$3='Bonding Program'!$H$43),'Bonding Program'!$T$43,0)</f>
        <v>0</v>
      </c>
      <c r="X138" s="19" t="n">
        <f aca="false">IF(AND('Bonding Program'!$S$43=1,X$3='Bonding Program'!$H$43),'Bonding Program'!$T$43,0)</f>
        <v>0</v>
      </c>
      <c r="Y138" s="19" t="n">
        <f aca="false">IF(AND('Bonding Program'!$S$43=1,Y$3='Bonding Program'!$H$43),'Bonding Program'!$T$43,0)</f>
        <v>0</v>
      </c>
      <c r="Z138" s="19" t="n">
        <f aca="false">IF(AND('Bonding Program'!$S$43=1,Z$3='Bonding Program'!$H$43),'Bonding Program'!$T$43,0)</f>
        <v>0</v>
      </c>
      <c r="AA138" s="19" t="n">
        <f aca="false">IF(AND('Bonding Program'!$S$43=1,AA$3='Bonding Program'!$H$43),'Bonding Program'!$T$43,0)</f>
        <v>0</v>
      </c>
      <c r="AB138" s="19" t="n">
        <f aca="false">IF(AND('Bonding Program'!$S$43=1,AB$3='Bonding Program'!$H$43),'Bonding Program'!$T$43,0)</f>
        <v>0</v>
      </c>
      <c r="AC138" s="19" t="n">
        <f aca="false">IF(AND('Bonding Program'!$S$43=1,AC$3='Bonding Program'!$H$43),'Bonding Program'!$T$43,0)</f>
        <v>0</v>
      </c>
      <c r="AD138" s="19" t="n">
        <f aca="false">IF(AND('Bonding Program'!$S$43=1,AD$3='Bonding Program'!$H$43),'Bonding Program'!$T$43,0)</f>
        <v>0</v>
      </c>
      <c r="AE138" s="19" t="n">
        <f aca="false">IF(AND('Bonding Program'!$S$43=1,AE$3='Bonding Program'!$H$43),'Bonding Program'!$T$43,0)</f>
        <v>0</v>
      </c>
      <c r="AF138" s="19" t="n">
        <f aca="false">IF(AND('Bonding Program'!$S$43=1,AF$3='Bonding Program'!$H$43),'Bonding Program'!$T$43,0)</f>
        <v>0</v>
      </c>
      <c r="AG138" s="19" t="n">
        <f aca="false">IF(AND('Bonding Program'!$S$43=1,AG$3='Bonding Program'!$H$43),'Bonding Program'!$T$43,0)</f>
        <v>0</v>
      </c>
      <c r="AH138" s="19" t="n">
        <f aca="false">IF(AND('Bonding Program'!$S$43=1,AH$3='Bonding Program'!$H$43),'Bonding Program'!$T$43,0)</f>
        <v>0</v>
      </c>
      <c r="AI138" s="19" t="n">
        <f aca="false">IF(AND('Bonding Program'!$S$43=1,AI$3='Bonding Program'!$H$43),'Bonding Program'!$T$43,0)</f>
        <v>0</v>
      </c>
      <c r="AJ138" s="19" t="n">
        <f aca="false">IF(AND('Bonding Program'!$S$43=1,AJ$3='Bonding Program'!$H$43),'Bonding Program'!$T$43,0)</f>
        <v>0</v>
      </c>
      <c r="AK138" s="19" t="n">
        <f aca="false">IF(AND('Bonding Program'!$S$43=1,AK$3='Bonding Program'!$H$43),'Bonding Program'!$T$43,0)</f>
        <v>0</v>
      </c>
      <c r="AL138" s="19" t="n">
        <f aca="false">IF(AND('Bonding Program'!$S$43=1,AL$3='Bonding Program'!$H$43),'Bonding Program'!$T$43,0)</f>
        <v>0</v>
      </c>
      <c r="AM138" s="19" t="n">
        <f aca="false">IF(AND('Bonding Program'!$S$43=1,AM$3='Bonding Program'!$H$43),'Bonding Program'!$T$43,0)</f>
        <v>0</v>
      </c>
      <c r="AN138" s="19" t="n">
        <f aca="false">IF(AND('Bonding Program'!$S$43=1,AN$3='Bonding Program'!$H$43),'Bonding Program'!$T$43,0)</f>
        <v>0</v>
      </c>
      <c r="AO138" s="19" t="n">
        <f aca="false">IF(AND('Bonding Program'!$S$43=1,AO$3='Bonding Program'!$H$43),'Bonding Program'!$T$43,0)</f>
        <v>0</v>
      </c>
      <c r="AP138" s="19" t="n">
        <f aca="false">IF(AND('Bonding Program'!$S$43=1,AP$3='Bonding Program'!$H$43),'Bonding Program'!$T$43,0)</f>
        <v>0</v>
      </c>
      <c r="AQ138" s="19" t="n">
        <f aca="false">IF(AND('Bonding Program'!$S$43=1,AQ$3='Bonding Program'!$H$43),'Bonding Program'!$T$43,0)</f>
        <v>0</v>
      </c>
      <c r="AR138" s="19" t="n">
        <f aca="false">IF(AND('Bonding Program'!$S$43=1,AR$3='Bonding Program'!$H$43),'Bonding Program'!$T$43,0)</f>
        <v>0</v>
      </c>
      <c r="AS138" s="19" t="n">
        <f aca="false">IF(AND('Bonding Program'!$S$43=1,AS$3='Bonding Program'!$H$43),'Bonding Program'!$T$43,0)</f>
        <v>0</v>
      </c>
      <c r="AT138" s="19" t="n">
        <f aca="false">IF(AND('Bonding Program'!$S$43=1,AT$3='Bonding Program'!$H$43),'Bonding Program'!$T$43,0)</f>
        <v>0</v>
      </c>
      <c r="AU138" s="19" t="n">
        <f aca="false">IF(AND('Bonding Program'!$S$43=1,AU$3='Bonding Program'!$H$43),'Bonding Program'!$T$43,0)</f>
        <v>0</v>
      </c>
      <c r="AV138" s="19" t="n">
        <f aca="false">IF(AND('Bonding Program'!$S$43=1,AV$3='Bonding Program'!$H$43),'Bonding Program'!$T$43,0)</f>
        <v>0</v>
      </c>
      <c r="AW138" s="19" t="n">
        <f aca="false">IF(AND('Bonding Program'!$S$43=1,AW$3='Bonding Program'!$H$43),'Bonding Program'!$T$43,0)</f>
        <v>0</v>
      </c>
      <c r="AX138" s="19" t="n">
        <f aca="false">IF(AND('Bonding Program'!$S$43=1,AX$3='Bonding Program'!$H$43),'Bonding Program'!$T$43,0)</f>
        <v>0</v>
      </c>
      <c r="AY138" s="19" t="n">
        <f aca="false">IF(AND('Bonding Program'!$S$43=1,AY$3='Bonding Program'!$H$43),'Bonding Program'!$T$43,0)</f>
        <v>0</v>
      </c>
      <c r="AZ138" s="19" t="n">
        <f aca="false">IF(AND('Bonding Program'!$S$43=1,AZ$3='Bonding Program'!$H$43),'Bonding Program'!$T$43,0)</f>
        <v>0</v>
      </c>
      <c r="BA138" s="19" t="n">
        <f aca="false">IF(AND('Bonding Program'!$S$43=1,BA$3='Bonding Program'!$H$43),'Bonding Program'!$T$43,0)</f>
        <v>0</v>
      </c>
      <c r="BB138" s="19" t="n">
        <f aca="false">IF(AND('Bonding Program'!$S$43=1,BB$3='Bonding Program'!$H$43),'Bonding Program'!$T$43,0)</f>
        <v>0</v>
      </c>
      <c r="BC138" s="19" t="n">
        <f aca="false">IF(AND('Bonding Program'!$S$43=1,BC$3='Bonding Program'!$H$43),'Bonding Program'!$T$43,0)</f>
        <v>0</v>
      </c>
      <c r="BD138" s="19" t="n">
        <f aca="false">IF(AND('Bonding Program'!$S$43=1,BD$3='Bonding Program'!$H$43),'Bonding Program'!$T$43,0)</f>
        <v>0</v>
      </c>
      <c r="BE138" s="19" t="n">
        <f aca="false">IF(AND('Bonding Program'!$S$43=1,BE$3='Bonding Program'!$H$43),'Bonding Program'!$T$43,0)</f>
        <v>0</v>
      </c>
      <c r="BF138" s="19" t="n">
        <f aca="false">IF(AND('Bonding Program'!$S$43=1,BF$3='Bonding Program'!$H$43),'Bonding Program'!$T$43,0)</f>
        <v>0</v>
      </c>
      <c r="BG138" s="19" t="n">
        <f aca="false">IF(AND('Bonding Program'!$S$43=1,BG$3='Bonding Program'!$H$43),'Bonding Program'!$T$43,0)</f>
        <v>0</v>
      </c>
      <c r="BH138" s="19" t="n">
        <f aca="false">IF(AND('Bonding Program'!$S$43=1,BH$3='Bonding Program'!$H$43),'Bonding Program'!$T$43,0)</f>
        <v>0</v>
      </c>
      <c r="BI138" s="19" t="n">
        <f aca="false">IF(AND('Bonding Program'!$S$43=1,BI$3='Bonding Program'!$H$43),'Bonding Program'!$T$43,0)</f>
        <v>0</v>
      </c>
      <c r="BJ138" s="19" t="n">
        <f aca="false">IF(AND('Bonding Program'!$S$43=1,BJ$3='Bonding Program'!$H$43),'Bonding Program'!$T$43,0)</f>
        <v>0</v>
      </c>
      <c r="BK138" s="19" t="n">
        <f aca="false">IF(AND('Bonding Program'!$S$43=1,BK$3='Bonding Program'!$H$43),'Bonding Program'!$T$43,0)</f>
        <v>0</v>
      </c>
      <c r="BL138" s="19" t="n">
        <f aca="false">IF(AND('Bonding Program'!$S$43=1,BL$3='Bonding Program'!$H$43),'Bonding Program'!$T$43,0)</f>
        <v>0</v>
      </c>
      <c r="BM138" s="19" t="n">
        <f aca="false">IF(AND('Bonding Program'!$S$43=1,BM$3='Bonding Program'!$H$43),'Bonding Program'!$T$43,0)</f>
        <v>0</v>
      </c>
      <c r="BN138" s="19" t="n">
        <f aca="false">IF(AND('Bonding Program'!$S$43=1,BN$3='Bonding Program'!$H$43),'Bonding Program'!$T$43,0)</f>
        <v>0</v>
      </c>
      <c r="BO138" s="19" t="n">
        <f aca="false">IF(AND('Bonding Program'!$S$43=1,BO$3='Bonding Program'!$H$43),'Bonding Program'!$T$43,0)</f>
        <v>0</v>
      </c>
      <c r="BP138" s="19" t="n">
        <f aca="false">IF(AND('Bonding Program'!$S$43=1,BP$3='Bonding Program'!$H$43),'Bonding Program'!$T$43,0)</f>
        <v>0</v>
      </c>
      <c r="BQ138" s="19" t="n">
        <f aca="false">IF(AND('Bonding Program'!$S$43=1,BQ$3='Bonding Program'!$H$43),'Bonding Program'!$T$43,0)</f>
        <v>0</v>
      </c>
      <c r="BR138" s="19" t="n">
        <f aca="false">IF(AND('Bonding Program'!$S$43=1,BR$3='Bonding Program'!$H$43),'Bonding Program'!$T$43,0)</f>
        <v>0</v>
      </c>
      <c r="BS138" s="19" t="n">
        <f aca="false">IF(AND('Bonding Program'!$S$43=1,BS$3='Bonding Program'!$H$43),'Bonding Program'!$T$43,0)</f>
        <v>0</v>
      </c>
      <c r="BT138" s="19" t="n">
        <f aca="false">IF(AND('Bonding Program'!$S$43=1,BT$3='Bonding Program'!$H$43),'Bonding Program'!$T$43,0)</f>
        <v>0</v>
      </c>
      <c r="BU138" s="19" t="n">
        <f aca="false">IF(AND('Bonding Program'!$S$43=1,BU$3='Bonding Program'!$H$43),'Bonding Program'!$T$43,0)</f>
        <v>0</v>
      </c>
      <c r="BV138" s="19" t="n">
        <f aca="false">IF(AND('Bonding Program'!$S$43=1,BV$3='Bonding Program'!$H$43),'Bonding Program'!$T$43,0)</f>
        <v>0</v>
      </c>
      <c r="BW138" s="19" t="n">
        <f aca="false">IF(AND('Bonding Program'!$S$43=1,BW$3='Bonding Program'!$H$43),'Bonding Program'!$T$43,0)</f>
        <v>0</v>
      </c>
      <c r="BX138" s="19" t="n">
        <f aca="false">IF(AND('Bonding Program'!$S$43=1,BX$3='Bonding Program'!$H$43),'Bonding Program'!$T$43,0)</f>
        <v>0</v>
      </c>
      <c r="BY138" s="19" t="n">
        <f aca="false">IF(AND('Bonding Program'!$S$43=1,BY$3='Bonding Program'!$H$43),'Bonding Program'!$T$43,0)</f>
        <v>0</v>
      </c>
      <c r="BZ138" s="19" t="n">
        <f aca="false">IF(AND('Bonding Program'!$S$43=1,BZ$3='Bonding Program'!$H$43),'Bonding Program'!$T$43,0)</f>
        <v>0</v>
      </c>
      <c r="CA138" s="19" t="n">
        <f aca="false">IF(AND('Bonding Program'!$S$43=1,CA$3='Bonding Program'!$H$43),'Bonding Program'!$T$43,0)</f>
        <v>0</v>
      </c>
      <c r="CB138" s="19" t="n">
        <f aca="false">IF(AND('Bonding Program'!$S$43=1,CB$3='Bonding Program'!$H$43),'Bonding Program'!$T$43,0)</f>
        <v>0</v>
      </c>
      <c r="CC138" s="19" t="n">
        <f aca="false">IF(AND('Bonding Program'!$S$43=1,CC$3='Bonding Program'!$H$43),'Bonding Program'!$T$43,0)</f>
        <v>0</v>
      </c>
      <c r="CD138" s="19" t="n">
        <f aca="false">IF(AND('Bonding Program'!$S$43=1,CD$3='Bonding Program'!$H$43),'Bonding Program'!$T$43,0)</f>
        <v>0</v>
      </c>
      <c r="CE138" s="19" t="n">
        <f aca="false">IF(AND('Bonding Program'!$S$43=1,CE$3='Bonding Program'!$H$43),'Bonding Program'!$T$43,0)</f>
        <v>0</v>
      </c>
      <c r="CF138" s="19" t="n">
        <f aca="false">IF(AND('Bonding Program'!$S$43=1,CF$3='Bonding Program'!$H$43),'Bonding Program'!$T$43,0)</f>
        <v>0</v>
      </c>
      <c r="CG138" s="19" t="n">
        <f aca="false">IF(AND('Bonding Program'!$S$43=1,CG$3='Bonding Program'!$H$43),'Bonding Program'!$T$43,0)</f>
        <v>0</v>
      </c>
      <c r="CH138" s="19" t="n">
        <f aca="false">IF(AND('Bonding Program'!$S$43=1,CH$3='Bonding Program'!$H$43),'Bonding Program'!$T$43,0)</f>
        <v>0</v>
      </c>
      <c r="CI138" s="19" t="n">
        <f aca="false">IF(AND('Bonding Program'!$S$43=1,CI$3='Bonding Program'!$H$43),'Bonding Program'!$T$43,0)</f>
        <v>0</v>
      </c>
      <c r="CJ138" s="19" t="n">
        <f aca="false">IF(AND('Bonding Program'!$S$43=1,CJ$3='Bonding Program'!$H$43),'Bonding Program'!$T$43,0)</f>
        <v>0</v>
      </c>
      <c r="CK138" s="19" t="n">
        <f aca="false">IF(AND('Bonding Program'!$S$43=1,CK$3='Bonding Program'!$H$43),'Bonding Program'!$T$43,0)</f>
        <v>0</v>
      </c>
      <c r="CL138" s="19" t="n">
        <f aca="false">IF(AND('Bonding Program'!$S$43=1,CL$3='Bonding Program'!$H$43),'Bonding Program'!$T$43,0)</f>
        <v>0</v>
      </c>
      <c r="CM138" s="19" t="n">
        <f aca="false">IF(AND('Bonding Program'!$S$43=1,CM$3='Bonding Program'!$H$43),'Bonding Program'!$T$43,0)</f>
        <v>0</v>
      </c>
      <c r="CN138" s="19" t="n">
        <f aca="false">IF(AND('Bonding Program'!$S$43=1,CN$3='Bonding Program'!$H$43),'Bonding Program'!$T$43,0)</f>
        <v>0</v>
      </c>
      <c r="CO138" s="19" t="n">
        <f aca="false">IF(AND('Bonding Program'!$S$43=1,CO$3='Bonding Program'!$H$43),'Bonding Program'!$T$43,0)</f>
        <v>0</v>
      </c>
      <c r="CP138" s="19" t="n">
        <f aca="false">IF(AND('Bonding Program'!$S$43=1,CP$3='Bonding Program'!$H$43),'Bonding Program'!$T$43,0)</f>
        <v>0</v>
      </c>
      <c r="CQ138" s="19" t="n">
        <f aca="false">IF(AND('Bonding Program'!$S$43=1,CQ$3='Bonding Program'!$H$43),'Bonding Program'!$T$43,0)</f>
        <v>0</v>
      </c>
      <c r="CR138" s="19" t="n">
        <f aca="false">IF(AND('Bonding Program'!$S$43=1,CR$3='Bonding Program'!$H$43),'Bonding Program'!$T$43,0)</f>
        <v>0</v>
      </c>
      <c r="CS138" s="19" t="n">
        <f aca="false">IF(AND('Bonding Program'!$S$43=1,CS$3='Bonding Program'!$H$43),'Bonding Program'!$T$43,0)</f>
        <v>0</v>
      </c>
      <c r="CT138" s="19" t="n">
        <f aca="false">IF(AND('Bonding Program'!$S$43=1,CT$3='Bonding Program'!$H$43),'Bonding Program'!$T$43,0)</f>
        <v>0</v>
      </c>
      <c r="CU138" s="19" t="n">
        <f aca="false">IF(AND('Bonding Program'!$S$43=1,CU$3='Bonding Program'!$H$43),'Bonding Program'!$T$43,0)</f>
        <v>0</v>
      </c>
      <c r="CV138" s="19" t="n">
        <f aca="false">IF(AND('Bonding Program'!$S$43=1,CV$3='Bonding Program'!$H$43),'Bonding Program'!$T$43,0)</f>
        <v>0</v>
      </c>
      <c r="CW138" s="19" t="n">
        <f aca="false">IF(AND('Bonding Program'!$S$43=1,CW$3='Bonding Program'!$H$43),'Bonding Program'!$T$43,0)</f>
        <v>0</v>
      </c>
      <c r="CX138" s="19" t="n">
        <f aca="false">IF(AND('Bonding Program'!$S$43=1,CX$3='Bonding Program'!$H$43),'Bonding Program'!$T$43,0)</f>
        <v>0</v>
      </c>
      <c r="CY138" s="19" t="n">
        <f aca="false">IF(AND('Bonding Program'!$S$43=1,CY$3='Bonding Program'!$H$43),'Bonding Program'!$T$43,0)</f>
        <v>0</v>
      </c>
      <c r="CZ138" s="19" t="n">
        <f aca="false">IF(AND('Bonding Program'!$S$43=1,CZ$3='Bonding Program'!$H$43),'Bonding Program'!$T$43,0)</f>
        <v>0</v>
      </c>
      <c r="DA138" s="19" t="n">
        <f aca="false">IF(AND('Bonding Program'!$S$43=1,DA$3='Bonding Program'!$H$43),'Bonding Program'!$T$43,0)</f>
        <v>0</v>
      </c>
      <c r="DB138" s="19" t="n">
        <f aca="false">IF(AND('Bonding Program'!$S$43=1,DB$3='Bonding Program'!$H$43),'Bonding Program'!$T$43,0)</f>
        <v>0</v>
      </c>
      <c r="DC138" s="19" t="n">
        <f aca="false">IF(AND('Bonding Program'!$S$43=1,DC$3='Bonding Program'!$H$43),'Bonding Program'!$T$43,0)</f>
        <v>0</v>
      </c>
      <c r="DD138" s="19" t="n">
        <f aca="false">IF(AND('Bonding Program'!$S$43=1,DD$3='Bonding Program'!$H$43),'Bonding Program'!$T$43,0)</f>
        <v>0</v>
      </c>
      <c r="DE138" s="19" t="n">
        <f aca="false">IF(AND('Bonding Program'!$S$43=1,DE$3='Bonding Program'!$H$43),'Bonding Program'!$T$43,0)</f>
        <v>0</v>
      </c>
    </row>
    <row r="139" customFormat="false" ht="15" hidden="false" customHeight="true" outlineLevel="1" collapsed="false">
      <c r="A139" s="28" t="s">
        <v>40</v>
      </c>
      <c r="B139" s="19" t="n">
        <f aca="false">IF(AND('Bonding Program'!$S$44=1,B$3='Bonding Program'!$H$44),'Bonding Program'!$T$44,0)</f>
        <v>0</v>
      </c>
      <c r="C139" s="19" t="n">
        <f aca="false">IF(AND('Bonding Program'!$S$44=1,C$3='Bonding Program'!$H$44),'Bonding Program'!$T$44,0)</f>
        <v>0</v>
      </c>
      <c r="D139" s="19" t="n">
        <f aca="false">IF(AND('Bonding Program'!$S$44=1,D$3='Bonding Program'!$H$44),'Bonding Program'!$T$44,0)</f>
        <v>0</v>
      </c>
      <c r="E139" s="19" t="n">
        <f aca="false">IF(AND('Bonding Program'!$S$44=1,E$3='Bonding Program'!$H$44),'Bonding Program'!$T$44,0)</f>
        <v>0</v>
      </c>
      <c r="F139" s="19" t="n">
        <f aca="false">IF(AND('Bonding Program'!$S$44=1,F$3='Bonding Program'!$H$44),'Bonding Program'!$T$44,0)</f>
        <v>0</v>
      </c>
      <c r="G139" s="19" t="n">
        <f aca="false">IF(AND('Bonding Program'!$S$44=1,G$3='Bonding Program'!$H$44),'Bonding Program'!$T$44,0)</f>
        <v>0</v>
      </c>
      <c r="H139" s="19" t="n">
        <f aca="false">IF(AND('Bonding Program'!$S$44=1,H$3='Bonding Program'!$H$44),'Bonding Program'!$T$44,0)</f>
        <v>0</v>
      </c>
      <c r="I139" s="19" t="n">
        <f aca="false">IF(AND('Bonding Program'!$S$44=1,I$3='Bonding Program'!$H$44),'Bonding Program'!$T$44,0)</f>
        <v>0</v>
      </c>
      <c r="J139" s="19" t="n">
        <f aca="false">IF(AND('Bonding Program'!$S$44=1,J$3='Bonding Program'!$H$44),'Bonding Program'!$T$44,0)</f>
        <v>0</v>
      </c>
      <c r="K139" s="19" t="n">
        <f aca="false">IF(AND('Bonding Program'!$S$44=1,K$3='Bonding Program'!$H$44),'Bonding Program'!$T$44,0)</f>
        <v>0</v>
      </c>
      <c r="L139" s="19" t="n">
        <f aca="false">IF(AND('Bonding Program'!$S$44=1,L$3='Bonding Program'!$H$44),'Bonding Program'!$T$44,0)</f>
        <v>0</v>
      </c>
      <c r="M139" s="19" t="n">
        <f aca="false">IF(AND('Bonding Program'!$S$44=1,M$3='Bonding Program'!$H$44),'Bonding Program'!$T$44,0)</f>
        <v>0</v>
      </c>
      <c r="N139" s="19" t="n">
        <f aca="false">IF(AND('Bonding Program'!$S$44=1,N$3='Bonding Program'!$H$44),'Bonding Program'!$T$44,0)</f>
        <v>0</v>
      </c>
      <c r="O139" s="19" t="n">
        <f aca="false">IF(AND('Bonding Program'!$S$44=1,O$3='Bonding Program'!$H$44),'Bonding Program'!$T$44,0)</f>
        <v>0</v>
      </c>
      <c r="P139" s="19" t="n">
        <f aca="false">IF(AND('Bonding Program'!$S$44=1,P$3='Bonding Program'!$H$44),'Bonding Program'!$T$44,0)</f>
        <v>0</v>
      </c>
      <c r="Q139" s="19" t="n">
        <f aca="false">IF(AND('Bonding Program'!$S$44=1,Q$3='Bonding Program'!$H$44),'Bonding Program'!$T$44,0)</f>
        <v>0</v>
      </c>
      <c r="R139" s="19" t="n">
        <f aca="false">IF(AND('Bonding Program'!$S$44=1,R$3='Bonding Program'!$H$44),'Bonding Program'!$T$44,0)</f>
        <v>0</v>
      </c>
      <c r="S139" s="19" t="n">
        <f aca="false">IF(AND('Bonding Program'!$S$44=1,S$3='Bonding Program'!$H$44),'Bonding Program'!$T$44,0)</f>
        <v>0</v>
      </c>
      <c r="T139" s="19" t="n">
        <f aca="false">IF(AND('Bonding Program'!$S$44=1,T$3='Bonding Program'!$H$44),'Bonding Program'!$T$44,0)</f>
        <v>0</v>
      </c>
      <c r="U139" s="19" t="n">
        <f aca="false">IF(AND('Bonding Program'!$S$44=1,U$3='Bonding Program'!$H$44),'Bonding Program'!$T$44,0)</f>
        <v>0</v>
      </c>
      <c r="V139" s="19" t="n">
        <f aca="false">IF(AND('Bonding Program'!$S$44=1,V$3='Bonding Program'!$H$44),'Bonding Program'!$T$44,0)</f>
        <v>0</v>
      </c>
      <c r="W139" s="19" t="n">
        <f aca="false">IF(AND('Bonding Program'!$S$44=1,W$3='Bonding Program'!$H$44),'Bonding Program'!$T$44,0)</f>
        <v>0</v>
      </c>
      <c r="X139" s="19" t="n">
        <f aca="false">IF(AND('Bonding Program'!$S$44=1,X$3='Bonding Program'!$H$44),'Bonding Program'!$T$44,0)</f>
        <v>0</v>
      </c>
      <c r="Y139" s="19" t="n">
        <f aca="false">IF(AND('Bonding Program'!$S$44=1,Y$3='Bonding Program'!$H$44),'Bonding Program'!$T$44,0)</f>
        <v>0</v>
      </c>
      <c r="Z139" s="19" t="n">
        <f aca="false">IF(AND('Bonding Program'!$S$44=1,Z$3='Bonding Program'!$H$44),'Bonding Program'!$T$44,0)</f>
        <v>0</v>
      </c>
      <c r="AA139" s="19" t="n">
        <f aca="false">IF(AND('Bonding Program'!$S$44=1,AA$3='Bonding Program'!$H$44),'Bonding Program'!$T$44,0)</f>
        <v>0</v>
      </c>
      <c r="AB139" s="19" t="n">
        <f aca="false">IF(AND('Bonding Program'!$S$44=1,AB$3='Bonding Program'!$H$44),'Bonding Program'!$T$44,0)</f>
        <v>0</v>
      </c>
      <c r="AC139" s="19" t="n">
        <f aca="false">IF(AND('Bonding Program'!$S$44=1,AC$3='Bonding Program'!$H$44),'Bonding Program'!$T$44,0)</f>
        <v>0</v>
      </c>
      <c r="AD139" s="19" t="n">
        <f aca="false">IF(AND('Bonding Program'!$S$44=1,AD$3='Bonding Program'!$H$44),'Bonding Program'!$T$44,0)</f>
        <v>0</v>
      </c>
      <c r="AE139" s="19" t="n">
        <f aca="false">IF(AND('Bonding Program'!$S$44=1,AE$3='Bonding Program'!$H$44),'Bonding Program'!$T$44,0)</f>
        <v>0</v>
      </c>
      <c r="AF139" s="19" t="n">
        <f aca="false">IF(AND('Bonding Program'!$S$44=1,AF$3='Bonding Program'!$H$44),'Bonding Program'!$T$44,0)</f>
        <v>0</v>
      </c>
      <c r="AG139" s="19" t="n">
        <f aca="false">IF(AND('Bonding Program'!$S$44=1,AG$3='Bonding Program'!$H$44),'Bonding Program'!$T$44,0)</f>
        <v>0</v>
      </c>
      <c r="AH139" s="19" t="n">
        <f aca="false">IF(AND('Bonding Program'!$S$44=1,AH$3='Bonding Program'!$H$44),'Bonding Program'!$T$44,0)</f>
        <v>0</v>
      </c>
      <c r="AI139" s="19" t="n">
        <f aca="false">IF(AND('Bonding Program'!$S$44=1,AI$3='Bonding Program'!$H$44),'Bonding Program'!$T$44,0)</f>
        <v>0</v>
      </c>
      <c r="AJ139" s="19" t="n">
        <f aca="false">IF(AND('Bonding Program'!$S$44=1,AJ$3='Bonding Program'!$H$44),'Bonding Program'!$T$44,0)</f>
        <v>0</v>
      </c>
      <c r="AK139" s="19" t="n">
        <f aca="false">IF(AND('Bonding Program'!$S$44=1,AK$3='Bonding Program'!$H$44),'Bonding Program'!$T$44,0)</f>
        <v>0</v>
      </c>
      <c r="AL139" s="19" t="n">
        <f aca="false">IF(AND('Bonding Program'!$S$44=1,AL$3='Bonding Program'!$H$44),'Bonding Program'!$T$44,0)</f>
        <v>0</v>
      </c>
      <c r="AM139" s="19" t="n">
        <f aca="false">IF(AND('Bonding Program'!$S$44=1,AM$3='Bonding Program'!$H$44),'Bonding Program'!$T$44,0)</f>
        <v>0</v>
      </c>
      <c r="AN139" s="19" t="n">
        <f aca="false">IF(AND('Bonding Program'!$S$44=1,AN$3='Bonding Program'!$H$44),'Bonding Program'!$T$44,0)</f>
        <v>0</v>
      </c>
      <c r="AO139" s="19" t="n">
        <f aca="false">IF(AND('Bonding Program'!$S$44=1,AO$3='Bonding Program'!$H$44),'Bonding Program'!$T$44,0)</f>
        <v>0</v>
      </c>
      <c r="AP139" s="19" t="n">
        <f aca="false">IF(AND('Bonding Program'!$S$44=1,AP$3='Bonding Program'!$H$44),'Bonding Program'!$T$44,0)</f>
        <v>0</v>
      </c>
      <c r="AQ139" s="19" t="n">
        <f aca="false">IF(AND('Bonding Program'!$S$44=1,AQ$3='Bonding Program'!$H$44),'Bonding Program'!$T$44,0)</f>
        <v>0</v>
      </c>
      <c r="AR139" s="19" t="n">
        <f aca="false">IF(AND('Bonding Program'!$S$44=1,AR$3='Bonding Program'!$H$44),'Bonding Program'!$T$44,0)</f>
        <v>0</v>
      </c>
      <c r="AS139" s="19" t="n">
        <f aca="false">IF(AND('Bonding Program'!$S$44=1,AS$3='Bonding Program'!$H$44),'Bonding Program'!$T$44,0)</f>
        <v>0</v>
      </c>
      <c r="AT139" s="19" t="n">
        <f aca="false">IF(AND('Bonding Program'!$S$44=1,AT$3='Bonding Program'!$H$44),'Bonding Program'!$T$44,0)</f>
        <v>0</v>
      </c>
      <c r="AU139" s="19" t="n">
        <f aca="false">IF(AND('Bonding Program'!$S$44=1,AU$3='Bonding Program'!$H$44),'Bonding Program'!$T$44,0)</f>
        <v>0</v>
      </c>
      <c r="AV139" s="19" t="n">
        <f aca="false">IF(AND('Bonding Program'!$S$44=1,AV$3='Bonding Program'!$H$44),'Bonding Program'!$T$44,0)</f>
        <v>0</v>
      </c>
      <c r="AW139" s="19" t="n">
        <f aca="false">IF(AND('Bonding Program'!$S$44=1,AW$3='Bonding Program'!$H$44),'Bonding Program'!$T$44,0)</f>
        <v>0</v>
      </c>
      <c r="AX139" s="19" t="n">
        <f aca="false">IF(AND('Bonding Program'!$S$44=1,AX$3='Bonding Program'!$H$44),'Bonding Program'!$T$44,0)</f>
        <v>0</v>
      </c>
      <c r="AY139" s="19" t="n">
        <f aca="false">IF(AND('Bonding Program'!$S$44=1,AY$3='Bonding Program'!$H$44),'Bonding Program'!$T$44,0)</f>
        <v>0</v>
      </c>
      <c r="AZ139" s="19" t="n">
        <f aca="false">IF(AND('Bonding Program'!$S$44=1,AZ$3='Bonding Program'!$H$44),'Bonding Program'!$T$44,0)</f>
        <v>0</v>
      </c>
      <c r="BA139" s="19" t="n">
        <f aca="false">IF(AND('Bonding Program'!$S$44=1,BA$3='Bonding Program'!$H$44),'Bonding Program'!$T$44,0)</f>
        <v>0</v>
      </c>
      <c r="BB139" s="19" t="n">
        <f aca="false">IF(AND('Bonding Program'!$S$44=1,BB$3='Bonding Program'!$H$44),'Bonding Program'!$T$44,0)</f>
        <v>0</v>
      </c>
      <c r="BC139" s="19" t="n">
        <f aca="false">IF(AND('Bonding Program'!$S$44=1,BC$3='Bonding Program'!$H$44),'Bonding Program'!$T$44,0)</f>
        <v>0</v>
      </c>
      <c r="BD139" s="19" t="n">
        <f aca="false">IF(AND('Bonding Program'!$S$44=1,BD$3='Bonding Program'!$H$44),'Bonding Program'!$T$44,0)</f>
        <v>0</v>
      </c>
      <c r="BE139" s="19" t="n">
        <f aca="false">IF(AND('Bonding Program'!$S$44=1,BE$3='Bonding Program'!$H$44),'Bonding Program'!$T$44,0)</f>
        <v>0</v>
      </c>
      <c r="BF139" s="19" t="n">
        <f aca="false">IF(AND('Bonding Program'!$S$44=1,BF$3='Bonding Program'!$H$44),'Bonding Program'!$T$44,0)</f>
        <v>0</v>
      </c>
      <c r="BG139" s="19" t="n">
        <f aca="false">IF(AND('Bonding Program'!$S$44=1,BG$3='Bonding Program'!$H$44),'Bonding Program'!$T$44,0)</f>
        <v>0</v>
      </c>
      <c r="BH139" s="19" t="n">
        <f aca="false">IF(AND('Bonding Program'!$S$44=1,BH$3='Bonding Program'!$H$44),'Bonding Program'!$T$44,0)</f>
        <v>0</v>
      </c>
      <c r="BI139" s="19" t="n">
        <f aca="false">IF(AND('Bonding Program'!$S$44=1,BI$3='Bonding Program'!$H$44),'Bonding Program'!$T$44,0)</f>
        <v>0</v>
      </c>
      <c r="BJ139" s="19" t="n">
        <f aca="false">IF(AND('Bonding Program'!$S$44=1,BJ$3='Bonding Program'!$H$44),'Bonding Program'!$T$44,0)</f>
        <v>0</v>
      </c>
      <c r="BK139" s="19" t="n">
        <f aca="false">IF(AND('Bonding Program'!$S$44=1,BK$3='Bonding Program'!$H$44),'Bonding Program'!$T$44,0)</f>
        <v>0</v>
      </c>
      <c r="BL139" s="19" t="n">
        <f aca="false">IF(AND('Bonding Program'!$S$44=1,BL$3='Bonding Program'!$H$44),'Bonding Program'!$T$44,0)</f>
        <v>0</v>
      </c>
      <c r="BM139" s="19" t="n">
        <f aca="false">IF(AND('Bonding Program'!$S$44=1,BM$3='Bonding Program'!$H$44),'Bonding Program'!$T$44,0)</f>
        <v>0</v>
      </c>
      <c r="BN139" s="19" t="n">
        <f aca="false">IF(AND('Bonding Program'!$S$44=1,BN$3='Bonding Program'!$H$44),'Bonding Program'!$T$44,0)</f>
        <v>0</v>
      </c>
      <c r="BO139" s="19" t="n">
        <f aca="false">IF(AND('Bonding Program'!$S$44=1,BO$3='Bonding Program'!$H$44),'Bonding Program'!$T$44,0)</f>
        <v>0</v>
      </c>
      <c r="BP139" s="19" t="n">
        <f aca="false">IF(AND('Bonding Program'!$S$44=1,BP$3='Bonding Program'!$H$44),'Bonding Program'!$T$44,0)</f>
        <v>0</v>
      </c>
      <c r="BQ139" s="19" t="n">
        <f aca="false">IF(AND('Bonding Program'!$S$44=1,BQ$3='Bonding Program'!$H$44),'Bonding Program'!$T$44,0)</f>
        <v>0</v>
      </c>
      <c r="BR139" s="19" t="n">
        <f aca="false">IF(AND('Bonding Program'!$S$44=1,BR$3='Bonding Program'!$H$44),'Bonding Program'!$T$44,0)</f>
        <v>0</v>
      </c>
      <c r="BS139" s="19" t="n">
        <f aca="false">IF(AND('Bonding Program'!$S$44=1,BS$3='Bonding Program'!$H$44),'Bonding Program'!$T$44,0)</f>
        <v>0</v>
      </c>
      <c r="BT139" s="19" t="n">
        <f aca="false">IF(AND('Bonding Program'!$S$44=1,BT$3='Bonding Program'!$H$44),'Bonding Program'!$T$44,0)</f>
        <v>0</v>
      </c>
      <c r="BU139" s="19" t="n">
        <f aca="false">IF(AND('Bonding Program'!$S$44=1,BU$3='Bonding Program'!$H$44),'Bonding Program'!$T$44,0)</f>
        <v>0</v>
      </c>
      <c r="BV139" s="19" t="n">
        <f aca="false">IF(AND('Bonding Program'!$S$44=1,BV$3='Bonding Program'!$H$44),'Bonding Program'!$T$44,0)</f>
        <v>0</v>
      </c>
      <c r="BW139" s="19" t="n">
        <f aca="false">IF(AND('Bonding Program'!$S$44=1,BW$3='Bonding Program'!$H$44),'Bonding Program'!$T$44,0)</f>
        <v>0</v>
      </c>
      <c r="BX139" s="19" t="n">
        <f aca="false">IF(AND('Bonding Program'!$S$44=1,BX$3='Bonding Program'!$H$44),'Bonding Program'!$T$44,0)</f>
        <v>0</v>
      </c>
      <c r="BY139" s="19" t="n">
        <f aca="false">IF(AND('Bonding Program'!$S$44=1,BY$3='Bonding Program'!$H$44),'Bonding Program'!$T$44,0)</f>
        <v>0</v>
      </c>
      <c r="BZ139" s="19" t="n">
        <f aca="false">IF(AND('Bonding Program'!$S$44=1,BZ$3='Bonding Program'!$H$44),'Bonding Program'!$T$44,0)</f>
        <v>0</v>
      </c>
      <c r="CA139" s="19" t="n">
        <f aca="false">IF(AND('Bonding Program'!$S$44=1,CA$3='Bonding Program'!$H$44),'Bonding Program'!$T$44,0)</f>
        <v>0</v>
      </c>
      <c r="CB139" s="19" t="n">
        <f aca="false">IF(AND('Bonding Program'!$S$44=1,CB$3='Bonding Program'!$H$44),'Bonding Program'!$T$44,0)</f>
        <v>0</v>
      </c>
      <c r="CC139" s="19" t="n">
        <f aca="false">IF(AND('Bonding Program'!$S$44=1,CC$3='Bonding Program'!$H$44),'Bonding Program'!$T$44,0)</f>
        <v>0</v>
      </c>
      <c r="CD139" s="19" t="n">
        <f aca="false">IF(AND('Bonding Program'!$S$44=1,CD$3='Bonding Program'!$H$44),'Bonding Program'!$T$44,0)</f>
        <v>0</v>
      </c>
      <c r="CE139" s="19" t="n">
        <f aca="false">IF(AND('Bonding Program'!$S$44=1,CE$3='Bonding Program'!$H$44),'Bonding Program'!$T$44,0)</f>
        <v>0</v>
      </c>
      <c r="CF139" s="19" t="n">
        <f aca="false">IF(AND('Bonding Program'!$S$44=1,CF$3='Bonding Program'!$H$44),'Bonding Program'!$T$44,0)</f>
        <v>0</v>
      </c>
      <c r="CG139" s="19" t="n">
        <f aca="false">IF(AND('Bonding Program'!$S$44=1,CG$3='Bonding Program'!$H$44),'Bonding Program'!$T$44,0)</f>
        <v>0</v>
      </c>
      <c r="CH139" s="19" t="n">
        <f aca="false">IF(AND('Bonding Program'!$S$44=1,CH$3='Bonding Program'!$H$44),'Bonding Program'!$T$44,0)</f>
        <v>0</v>
      </c>
      <c r="CI139" s="19" t="n">
        <f aca="false">IF(AND('Bonding Program'!$S$44=1,CI$3='Bonding Program'!$H$44),'Bonding Program'!$T$44,0)</f>
        <v>0</v>
      </c>
      <c r="CJ139" s="19" t="n">
        <f aca="false">IF(AND('Bonding Program'!$S$44=1,CJ$3='Bonding Program'!$H$44),'Bonding Program'!$T$44,0)</f>
        <v>0</v>
      </c>
      <c r="CK139" s="19" t="n">
        <f aca="false">IF(AND('Bonding Program'!$S$44=1,CK$3='Bonding Program'!$H$44),'Bonding Program'!$T$44,0)</f>
        <v>0</v>
      </c>
      <c r="CL139" s="19" t="n">
        <f aca="false">IF(AND('Bonding Program'!$S$44=1,CL$3='Bonding Program'!$H$44),'Bonding Program'!$T$44,0)</f>
        <v>0</v>
      </c>
      <c r="CM139" s="19" t="n">
        <f aca="false">IF(AND('Bonding Program'!$S$44=1,CM$3='Bonding Program'!$H$44),'Bonding Program'!$T$44,0)</f>
        <v>0</v>
      </c>
      <c r="CN139" s="19" t="n">
        <f aca="false">IF(AND('Bonding Program'!$S$44=1,CN$3='Bonding Program'!$H$44),'Bonding Program'!$T$44,0)</f>
        <v>0</v>
      </c>
      <c r="CO139" s="19" t="n">
        <f aca="false">IF(AND('Bonding Program'!$S$44=1,CO$3='Bonding Program'!$H$44),'Bonding Program'!$T$44,0)</f>
        <v>0</v>
      </c>
      <c r="CP139" s="19" t="n">
        <f aca="false">IF(AND('Bonding Program'!$S$44=1,CP$3='Bonding Program'!$H$44),'Bonding Program'!$T$44,0)</f>
        <v>0</v>
      </c>
      <c r="CQ139" s="19" t="n">
        <f aca="false">IF(AND('Bonding Program'!$S$44=1,CQ$3='Bonding Program'!$H$44),'Bonding Program'!$T$44,0)</f>
        <v>0</v>
      </c>
      <c r="CR139" s="19" t="n">
        <f aca="false">IF(AND('Bonding Program'!$S$44=1,CR$3='Bonding Program'!$H$44),'Bonding Program'!$T$44,0)</f>
        <v>0</v>
      </c>
      <c r="CS139" s="19" t="n">
        <f aca="false">IF(AND('Bonding Program'!$S$44=1,CS$3='Bonding Program'!$H$44),'Bonding Program'!$T$44,0)</f>
        <v>0</v>
      </c>
      <c r="CT139" s="19" t="n">
        <f aca="false">IF(AND('Bonding Program'!$S$44=1,CT$3='Bonding Program'!$H$44),'Bonding Program'!$T$44,0)</f>
        <v>0</v>
      </c>
      <c r="CU139" s="19" t="n">
        <f aca="false">IF(AND('Bonding Program'!$S$44=1,CU$3='Bonding Program'!$H$44),'Bonding Program'!$T$44,0)</f>
        <v>0</v>
      </c>
      <c r="CV139" s="19" t="n">
        <f aca="false">IF(AND('Bonding Program'!$S$44=1,CV$3='Bonding Program'!$H$44),'Bonding Program'!$T$44,0)</f>
        <v>0</v>
      </c>
      <c r="CW139" s="19" t="n">
        <f aca="false">IF(AND('Bonding Program'!$S$44=1,CW$3='Bonding Program'!$H$44),'Bonding Program'!$T$44,0)</f>
        <v>0</v>
      </c>
      <c r="CX139" s="19" t="n">
        <f aca="false">IF(AND('Bonding Program'!$S$44=1,CX$3='Bonding Program'!$H$44),'Bonding Program'!$T$44,0)</f>
        <v>0</v>
      </c>
      <c r="CY139" s="19" t="n">
        <f aca="false">IF(AND('Bonding Program'!$S$44=1,CY$3='Bonding Program'!$H$44),'Bonding Program'!$T$44,0)</f>
        <v>0</v>
      </c>
      <c r="CZ139" s="19" t="n">
        <f aca="false">IF(AND('Bonding Program'!$S$44=1,CZ$3='Bonding Program'!$H$44),'Bonding Program'!$T$44,0)</f>
        <v>0</v>
      </c>
      <c r="DA139" s="19" t="n">
        <f aca="false">IF(AND('Bonding Program'!$S$44=1,DA$3='Bonding Program'!$H$44),'Bonding Program'!$T$44,0)</f>
        <v>0</v>
      </c>
      <c r="DB139" s="19" t="n">
        <f aca="false">IF(AND('Bonding Program'!$S$44=1,DB$3='Bonding Program'!$H$44),'Bonding Program'!$T$44,0)</f>
        <v>0</v>
      </c>
      <c r="DC139" s="19" t="n">
        <f aca="false">IF(AND('Bonding Program'!$S$44=1,DC$3='Bonding Program'!$H$44),'Bonding Program'!$T$44,0)</f>
        <v>0</v>
      </c>
      <c r="DD139" s="19" t="n">
        <f aca="false">IF(AND('Bonding Program'!$S$44=1,DD$3='Bonding Program'!$H$44),'Bonding Program'!$T$44,0)</f>
        <v>0</v>
      </c>
      <c r="DE139" s="19" t="n">
        <f aca="false">IF(AND('Bonding Program'!$S$44=1,DE$3='Bonding Program'!$H$44),'Bonding Program'!$T$44,0)</f>
        <v>0</v>
      </c>
    </row>
    <row r="140" customFormat="false" ht="15" hidden="false" customHeight="true" outlineLevel="1" collapsed="false">
      <c r="A140" s="28" t="s">
        <v>41</v>
      </c>
      <c r="B140" s="19" t="n">
        <f aca="false">IF(AND('Bonding Program'!$S$45=1,B$3='Bonding Program'!$H$45),'Bonding Program'!$T$45,0)</f>
        <v>0</v>
      </c>
      <c r="C140" s="19" t="n">
        <f aca="false">IF(AND('Bonding Program'!$S$45=1,C$3='Bonding Program'!$H$45),'Bonding Program'!$T$45,0)</f>
        <v>0</v>
      </c>
      <c r="D140" s="19" t="n">
        <f aca="false">IF(AND('Bonding Program'!$S$45=1,D$3='Bonding Program'!$H$45),'Bonding Program'!$T$45,0)</f>
        <v>0</v>
      </c>
      <c r="E140" s="19" t="n">
        <f aca="false">IF(AND('Bonding Program'!$S$45=1,E$3='Bonding Program'!$H$45),'Bonding Program'!$T$45,0)</f>
        <v>0</v>
      </c>
      <c r="F140" s="19" t="n">
        <f aca="false">IF(AND('Bonding Program'!$S$45=1,F$3='Bonding Program'!$H$45),'Bonding Program'!$T$45,0)</f>
        <v>0</v>
      </c>
      <c r="G140" s="19" t="n">
        <f aca="false">IF(AND('Bonding Program'!$S$45=1,G$3='Bonding Program'!$H$45),'Bonding Program'!$T$45,0)</f>
        <v>0</v>
      </c>
      <c r="H140" s="19" t="n">
        <f aca="false">IF(AND('Bonding Program'!$S$45=1,H$3='Bonding Program'!$H$45),'Bonding Program'!$T$45,0)</f>
        <v>0</v>
      </c>
      <c r="I140" s="19" t="n">
        <f aca="false">IF(AND('Bonding Program'!$S$45=1,I$3='Bonding Program'!$H$45),'Bonding Program'!$T$45,0)</f>
        <v>0</v>
      </c>
      <c r="J140" s="19" t="n">
        <f aca="false">IF(AND('Bonding Program'!$S$45=1,J$3='Bonding Program'!$H$45),'Bonding Program'!$T$45,0)</f>
        <v>0</v>
      </c>
      <c r="K140" s="19" t="n">
        <f aca="false">IF(AND('Bonding Program'!$S$45=1,K$3='Bonding Program'!$H$45),'Bonding Program'!$T$45,0)</f>
        <v>0</v>
      </c>
      <c r="L140" s="19" t="n">
        <f aca="false">IF(AND('Bonding Program'!$S$45=1,L$3='Bonding Program'!$H$45),'Bonding Program'!$T$45,0)</f>
        <v>0</v>
      </c>
      <c r="M140" s="19" t="n">
        <f aca="false">IF(AND('Bonding Program'!$S$45=1,M$3='Bonding Program'!$H$45),'Bonding Program'!$T$45,0)</f>
        <v>0</v>
      </c>
      <c r="N140" s="19" t="n">
        <f aca="false">IF(AND('Bonding Program'!$S$45=1,N$3='Bonding Program'!$H$45),'Bonding Program'!$T$45,0)</f>
        <v>0</v>
      </c>
      <c r="O140" s="19" t="n">
        <f aca="false">IF(AND('Bonding Program'!$S$45=1,O$3='Bonding Program'!$H$45),'Bonding Program'!$T$45,0)</f>
        <v>0</v>
      </c>
      <c r="P140" s="19" t="n">
        <f aca="false">IF(AND('Bonding Program'!$S$45=1,P$3='Bonding Program'!$H$45),'Bonding Program'!$T$45,0)</f>
        <v>0</v>
      </c>
      <c r="Q140" s="19" t="n">
        <f aca="false">IF(AND('Bonding Program'!$S$45=1,Q$3='Bonding Program'!$H$45),'Bonding Program'!$T$45,0)</f>
        <v>0</v>
      </c>
      <c r="R140" s="19" t="n">
        <f aca="false">IF(AND('Bonding Program'!$S$45=1,R$3='Bonding Program'!$H$45),'Bonding Program'!$T$45,0)</f>
        <v>0</v>
      </c>
      <c r="S140" s="19" t="n">
        <f aca="false">IF(AND('Bonding Program'!$S$45=1,S$3='Bonding Program'!$H$45),'Bonding Program'!$T$45,0)</f>
        <v>0</v>
      </c>
      <c r="T140" s="19" t="n">
        <f aca="false">IF(AND('Bonding Program'!$S$45=1,T$3='Bonding Program'!$H$45),'Bonding Program'!$T$45,0)</f>
        <v>0</v>
      </c>
      <c r="U140" s="19" t="n">
        <f aca="false">IF(AND('Bonding Program'!$S$45=1,U$3='Bonding Program'!$H$45),'Bonding Program'!$T$45,0)</f>
        <v>0</v>
      </c>
      <c r="V140" s="19" t="n">
        <f aca="false">IF(AND('Bonding Program'!$S$45=1,V$3='Bonding Program'!$H$45),'Bonding Program'!$T$45,0)</f>
        <v>0</v>
      </c>
      <c r="W140" s="19" t="n">
        <f aca="false">IF(AND('Bonding Program'!$S$45=1,W$3='Bonding Program'!$H$45),'Bonding Program'!$T$45,0)</f>
        <v>0</v>
      </c>
      <c r="X140" s="19" t="n">
        <f aca="false">IF(AND('Bonding Program'!$S$45=1,X$3='Bonding Program'!$H$45),'Bonding Program'!$T$45,0)</f>
        <v>0</v>
      </c>
      <c r="Y140" s="19" t="n">
        <f aca="false">IF(AND('Bonding Program'!$S$45=1,Y$3='Bonding Program'!$H$45),'Bonding Program'!$T$45,0)</f>
        <v>0</v>
      </c>
      <c r="Z140" s="19" t="n">
        <f aca="false">IF(AND('Bonding Program'!$S$45=1,Z$3='Bonding Program'!$H$45),'Bonding Program'!$T$45,0)</f>
        <v>0</v>
      </c>
      <c r="AA140" s="19" t="n">
        <f aca="false">IF(AND('Bonding Program'!$S$45=1,AA$3='Bonding Program'!$H$45),'Bonding Program'!$T$45,0)</f>
        <v>0</v>
      </c>
      <c r="AB140" s="19" t="n">
        <f aca="false">IF(AND('Bonding Program'!$S$45=1,AB$3='Bonding Program'!$H$45),'Bonding Program'!$T$45,0)</f>
        <v>0</v>
      </c>
      <c r="AC140" s="19" t="n">
        <f aca="false">IF(AND('Bonding Program'!$S$45=1,AC$3='Bonding Program'!$H$45),'Bonding Program'!$T$45,0)</f>
        <v>0</v>
      </c>
      <c r="AD140" s="19" t="n">
        <f aca="false">IF(AND('Bonding Program'!$S$45=1,AD$3='Bonding Program'!$H$45),'Bonding Program'!$T$45,0)</f>
        <v>0</v>
      </c>
      <c r="AE140" s="19" t="n">
        <f aca="false">IF(AND('Bonding Program'!$S$45=1,AE$3='Bonding Program'!$H$45),'Bonding Program'!$T$45,0)</f>
        <v>0</v>
      </c>
      <c r="AF140" s="19" t="n">
        <f aca="false">IF(AND('Bonding Program'!$S$45=1,AF$3='Bonding Program'!$H$45),'Bonding Program'!$T$45,0)</f>
        <v>0</v>
      </c>
      <c r="AG140" s="19" t="n">
        <f aca="false">IF(AND('Bonding Program'!$S$45=1,AG$3='Bonding Program'!$H$45),'Bonding Program'!$T$45,0)</f>
        <v>0</v>
      </c>
      <c r="AH140" s="19" t="n">
        <f aca="false">IF(AND('Bonding Program'!$S$45=1,AH$3='Bonding Program'!$H$45),'Bonding Program'!$T$45,0)</f>
        <v>0</v>
      </c>
      <c r="AI140" s="19" t="n">
        <f aca="false">IF(AND('Bonding Program'!$S$45=1,AI$3='Bonding Program'!$H$45),'Bonding Program'!$T$45,0)</f>
        <v>0</v>
      </c>
      <c r="AJ140" s="19" t="n">
        <f aca="false">IF(AND('Bonding Program'!$S$45=1,AJ$3='Bonding Program'!$H$45),'Bonding Program'!$T$45,0)</f>
        <v>0</v>
      </c>
      <c r="AK140" s="19" t="n">
        <f aca="false">IF(AND('Bonding Program'!$S$45=1,AK$3='Bonding Program'!$H$45),'Bonding Program'!$T$45,0)</f>
        <v>0</v>
      </c>
      <c r="AL140" s="19" t="n">
        <f aca="false">IF(AND('Bonding Program'!$S$45=1,AL$3='Bonding Program'!$H$45),'Bonding Program'!$T$45,0)</f>
        <v>0</v>
      </c>
      <c r="AM140" s="19" t="n">
        <f aca="false">IF(AND('Bonding Program'!$S$45=1,AM$3='Bonding Program'!$H$45),'Bonding Program'!$T$45,0)</f>
        <v>0</v>
      </c>
      <c r="AN140" s="19" t="n">
        <f aca="false">IF(AND('Bonding Program'!$S$45=1,AN$3='Bonding Program'!$H$45),'Bonding Program'!$T$45,0)</f>
        <v>0</v>
      </c>
      <c r="AO140" s="19" t="n">
        <f aca="false">IF(AND('Bonding Program'!$S$45=1,AO$3='Bonding Program'!$H$45),'Bonding Program'!$T$45,0)</f>
        <v>0</v>
      </c>
      <c r="AP140" s="19" t="n">
        <f aca="false">IF(AND('Bonding Program'!$S$45=1,AP$3='Bonding Program'!$H$45),'Bonding Program'!$T$45,0)</f>
        <v>0</v>
      </c>
      <c r="AQ140" s="19" t="n">
        <f aca="false">IF(AND('Bonding Program'!$S$45=1,AQ$3='Bonding Program'!$H$45),'Bonding Program'!$T$45,0)</f>
        <v>0</v>
      </c>
      <c r="AR140" s="19" t="n">
        <f aca="false">IF(AND('Bonding Program'!$S$45=1,AR$3='Bonding Program'!$H$45),'Bonding Program'!$T$45,0)</f>
        <v>0</v>
      </c>
      <c r="AS140" s="19" t="n">
        <f aca="false">IF(AND('Bonding Program'!$S$45=1,AS$3='Bonding Program'!$H$45),'Bonding Program'!$T$45,0)</f>
        <v>0</v>
      </c>
      <c r="AT140" s="19" t="n">
        <f aca="false">IF(AND('Bonding Program'!$S$45=1,AT$3='Bonding Program'!$H$45),'Bonding Program'!$T$45,0)</f>
        <v>0</v>
      </c>
      <c r="AU140" s="19" t="n">
        <f aca="false">IF(AND('Bonding Program'!$S$45=1,AU$3='Bonding Program'!$H$45),'Bonding Program'!$T$45,0)</f>
        <v>0</v>
      </c>
      <c r="AV140" s="19" t="n">
        <f aca="false">IF(AND('Bonding Program'!$S$45=1,AV$3='Bonding Program'!$H$45),'Bonding Program'!$T$45,0)</f>
        <v>0</v>
      </c>
      <c r="AW140" s="19" t="n">
        <f aca="false">IF(AND('Bonding Program'!$S$45=1,AW$3='Bonding Program'!$H$45),'Bonding Program'!$T$45,0)</f>
        <v>0</v>
      </c>
      <c r="AX140" s="19" t="n">
        <f aca="false">IF(AND('Bonding Program'!$S$45=1,AX$3='Bonding Program'!$H$45),'Bonding Program'!$T$45,0)</f>
        <v>0</v>
      </c>
      <c r="AY140" s="19" t="n">
        <f aca="false">IF(AND('Bonding Program'!$S$45=1,AY$3='Bonding Program'!$H$45),'Bonding Program'!$T$45,0)</f>
        <v>0</v>
      </c>
      <c r="AZ140" s="19" t="n">
        <f aca="false">IF(AND('Bonding Program'!$S$45=1,AZ$3='Bonding Program'!$H$45),'Bonding Program'!$T$45,0)</f>
        <v>0</v>
      </c>
      <c r="BA140" s="19" t="n">
        <f aca="false">IF(AND('Bonding Program'!$S$45=1,BA$3='Bonding Program'!$H$45),'Bonding Program'!$T$45,0)</f>
        <v>0</v>
      </c>
      <c r="BB140" s="19" t="n">
        <f aca="false">IF(AND('Bonding Program'!$S$45=1,BB$3='Bonding Program'!$H$45),'Bonding Program'!$T$45,0)</f>
        <v>0</v>
      </c>
      <c r="BC140" s="19" t="n">
        <f aca="false">IF(AND('Bonding Program'!$S$45=1,BC$3='Bonding Program'!$H$45),'Bonding Program'!$T$45,0)</f>
        <v>0</v>
      </c>
      <c r="BD140" s="19" t="n">
        <f aca="false">IF(AND('Bonding Program'!$S$45=1,BD$3='Bonding Program'!$H$45),'Bonding Program'!$T$45,0)</f>
        <v>0</v>
      </c>
      <c r="BE140" s="19" t="n">
        <f aca="false">IF(AND('Bonding Program'!$S$45=1,BE$3='Bonding Program'!$H$45),'Bonding Program'!$T$45,0)</f>
        <v>0</v>
      </c>
      <c r="BF140" s="19" t="n">
        <f aca="false">IF(AND('Bonding Program'!$S$45=1,BF$3='Bonding Program'!$H$45),'Bonding Program'!$T$45,0)</f>
        <v>0</v>
      </c>
      <c r="BG140" s="19" t="n">
        <f aca="false">IF(AND('Bonding Program'!$S$45=1,BG$3='Bonding Program'!$H$45),'Bonding Program'!$T$45,0)</f>
        <v>0</v>
      </c>
      <c r="BH140" s="19" t="n">
        <f aca="false">IF(AND('Bonding Program'!$S$45=1,BH$3='Bonding Program'!$H$45),'Bonding Program'!$T$45,0)</f>
        <v>0</v>
      </c>
      <c r="BI140" s="19" t="n">
        <f aca="false">IF(AND('Bonding Program'!$S$45=1,BI$3='Bonding Program'!$H$45),'Bonding Program'!$T$45,0)</f>
        <v>0</v>
      </c>
      <c r="BJ140" s="19" t="n">
        <f aca="false">IF(AND('Bonding Program'!$S$45=1,BJ$3='Bonding Program'!$H$45),'Bonding Program'!$T$45,0)</f>
        <v>0</v>
      </c>
      <c r="BK140" s="19" t="n">
        <f aca="false">IF(AND('Bonding Program'!$S$45=1,BK$3='Bonding Program'!$H$45),'Bonding Program'!$T$45,0)</f>
        <v>0</v>
      </c>
      <c r="BL140" s="19" t="n">
        <f aca="false">IF(AND('Bonding Program'!$S$45=1,BL$3='Bonding Program'!$H$45),'Bonding Program'!$T$45,0)</f>
        <v>0</v>
      </c>
      <c r="BM140" s="19" t="n">
        <f aca="false">IF(AND('Bonding Program'!$S$45=1,BM$3='Bonding Program'!$H$45),'Bonding Program'!$T$45,0)</f>
        <v>0</v>
      </c>
      <c r="BN140" s="19" t="n">
        <f aca="false">IF(AND('Bonding Program'!$S$45=1,BN$3='Bonding Program'!$H$45),'Bonding Program'!$T$45,0)</f>
        <v>0</v>
      </c>
      <c r="BO140" s="19" t="n">
        <f aca="false">IF(AND('Bonding Program'!$S$45=1,BO$3='Bonding Program'!$H$45),'Bonding Program'!$T$45,0)</f>
        <v>0</v>
      </c>
      <c r="BP140" s="19" t="n">
        <f aca="false">IF(AND('Bonding Program'!$S$45=1,BP$3='Bonding Program'!$H$45),'Bonding Program'!$T$45,0)</f>
        <v>0</v>
      </c>
      <c r="BQ140" s="19" t="n">
        <f aca="false">IF(AND('Bonding Program'!$S$45=1,BQ$3='Bonding Program'!$H$45),'Bonding Program'!$T$45,0)</f>
        <v>0</v>
      </c>
      <c r="BR140" s="19" t="n">
        <f aca="false">IF(AND('Bonding Program'!$S$45=1,BR$3='Bonding Program'!$H$45),'Bonding Program'!$T$45,0)</f>
        <v>0</v>
      </c>
      <c r="BS140" s="19" t="n">
        <f aca="false">IF(AND('Bonding Program'!$S$45=1,BS$3='Bonding Program'!$H$45),'Bonding Program'!$T$45,0)</f>
        <v>0</v>
      </c>
      <c r="BT140" s="19" t="n">
        <f aca="false">IF(AND('Bonding Program'!$S$45=1,BT$3='Bonding Program'!$H$45),'Bonding Program'!$T$45,0)</f>
        <v>0</v>
      </c>
      <c r="BU140" s="19" t="n">
        <f aca="false">IF(AND('Bonding Program'!$S$45=1,BU$3='Bonding Program'!$H$45),'Bonding Program'!$T$45,0)</f>
        <v>0</v>
      </c>
      <c r="BV140" s="19" t="n">
        <f aca="false">IF(AND('Bonding Program'!$S$45=1,BV$3='Bonding Program'!$H$45),'Bonding Program'!$T$45,0)</f>
        <v>0</v>
      </c>
      <c r="BW140" s="19" t="n">
        <f aca="false">IF(AND('Bonding Program'!$S$45=1,BW$3='Bonding Program'!$H$45),'Bonding Program'!$T$45,0)</f>
        <v>0</v>
      </c>
      <c r="BX140" s="19" t="n">
        <f aca="false">IF(AND('Bonding Program'!$S$45=1,BX$3='Bonding Program'!$H$45),'Bonding Program'!$T$45,0)</f>
        <v>0</v>
      </c>
      <c r="BY140" s="19" t="n">
        <f aca="false">IF(AND('Bonding Program'!$S$45=1,BY$3='Bonding Program'!$H$45),'Bonding Program'!$T$45,0)</f>
        <v>0</v>
      </c>
      <c r="BZ140" s="19" t="n">
        <f aca="false">IF(AND('Bonding Program'!$S$45=1,BZ$3='Bonding Program'!$H$45),'Bonding Program'!$T$45,0)</f>
        <v>0</v>
      </c>
      <c r="CA140" s="19" t="n">
        <f aca="false">IF(AND('Bonding Program'!$S$45=1,CA$3='Bonding Program'!$H$45),'Bonding Program'!$T$45,0)</f>
        <v>0</v>
      </c>
      <c r="CB140" s="19" t="n">
        <f aca="false">IF(AND('Bonding Program'!$S$45=1,CB$3='Bonding Program'!$H$45),'Bonding Program'!$T$45,0)</f>
        <v>0</v>
      </c>
      <c r="CC140" s="19" t="n">
        <f aca="false">IF(AND('Bonding Program'!$S$45=1,CC$3='Bonding Program'!$H$45),'Bonding Program'!$T$45,0)</f>
        <v>0</v>
      </c>
      <c r="CD140" s="19" t="n">
        <f aca="false">IF(AND('Bonding Program'!$S$45=1,CD$3='Bonding Program'!$H$45),'Bonding Program'!$T$45,0)</f>
        <v>0</v>
      </c>
      <c r="CE140" s="19" t="n">
        <f aca="false">IF(AND('Bonding Program'!$S$45=1,CE$3='Bonding Program'!$H$45),'Bonding Program'!$T$45,0)</f>
        <v>0</v>
      </c>
      <c r="CF140" s="19" t="n">
        <f aca="false">IF(AND('Bonding Program'!$S$45=1,CF$3='Bonding Program'!$H$45),'Bonding Program'!$T$45,0)</f>
        <v>0</v>
      </c>
      <c r="CG140" s="19" t="n">
        <f aca="false">IF(AND('Bonding Program'!$S$45=1,CG$3='Bonding Program'!$H$45),'Bonding Program'!$T$45,0)</f>
        <v>0</v>
      </c>
      <c r="CH140" s="19" t="n">
        <f aca="false">IF(AND('Bonding Program'!$S$45=1,CH$3='Bonding Program'!$H$45),'Bonding Program'!$T$45,0)</f>
        <v>0</v>
      </c>
      <c r="CI140" s="19" t="n">
        <f aca="false">IF(AND('Bonding Program'!$S$45=1,CI$3='Bonding Program'!$H$45),'Bonding Program'!$T$45,0)</f>
        <v>0</v>
      </c>
      <c r="CJ140" s="19" t="n">
        <f aca="false">IF(AND('Bonding Program'!$S$45=1,CJ$3='Bonding Program'!$H$45),'Bonding Program'!$T$45,0)</f>
        <v>0</v>
      </c>
      <c r="CK140" s="19" t="n">
        <f aca="false">IF(AND('Bonding Program'!$S$45=1,CK$3='Bonding Program'!$H$45),'Bonding Program'!$T$45,0)</f>
        <v>0</v>
      </c>
      <c r="CL140" s="19" t="n">
        <f aca="false">IF(AND('Bonding Program'!$S$45=1,CL$3='Bonding Program'!$H$45),'Bonding Program'!$T$45,0)</f>
        <v>0</v>
      </c>
      <c r="CM140" s="19" t="n">
        <f aca="false">IF(AND('Bonding Program'!$S$45=1,CM$3='Bonding Program'!$H$45),'Bonding Program'!$T$45,0)</f>
        <v>0</v>
      </c>
      <c r="CN140" s="19" t="n">
        <f aca="false">IF(AND('Bonding Program'!$S$45=1,CN$3='Bonding Program'!$H$45),'Bonding Program'!$T$45,0)</f>
        <v>0</v>
      </c>
      <c r="CO140" s="19" t="n">
        <f aca="false">IF(AND('Bonding Program'!$S$45=1,CO$3='Bonding Program'!$H$45),'Bonding Program'!$T$45,0)</f>
        <v>0</v>
      </c>
      <c r="CP140" s="19" t="n">
        <f aca="false">IF(AND('Bonding Program'!$S$45=1,CP$3='Bonding Program'!$H$45),'Bonding Program'!$T$45,0)</f>
        <v>0</v>
      </c>
      <c r="CQ140" s="19" t="n">
        <f aca="false">IF(AND('Bonding Program'!$S$45=1,CQ$3='Bonding Program'!$H$45),'Bonding Program'!$T$45,0)</f>
        <v>0</v>
      </c>
      <c r="CR140" s="19" t="n">
        <f aca="false">IF(AND('Bonding Program'!$S$45=1,CR$3='Bonding Program'!$H$45),'Bonding Program'!$T$45,0)</f>
        <v>0</v>
      </c>
      <c r="CS140" s="19" t="n">
        <f aca="false">IF(AND('Bonding Program'!$S$45=1,CS$3='Bonding Program'!$H$45),'Bonding Program'!$T$45,0)</f>
        <v>0</v>
      </c>
      <c r="CT140" s="19" t="n">
        <f aca="false">IF(AND('Bonding Program'!$S$45=1,CT$3='Bonding Program'!$H$45),'Bonding Program'!$T$45,0)</f>
        <v>0</v>
      </c>
      <c r="CU140" s="19" t="n">
        <f aca="false">IF(AND('Bonding Program'!$S$45=1,CU$3='Bonding Program'!$H$45),'Bonding Program'!$T$45,0)</f>
        <v>0</v>
      </c>
      <c r="CV140" s="19" t="n">
        <f aca="false">IF(AND('Bonding Program'!$S$45=1,CV$3='Bonding Program'!$H$45),'Bonding Program'!$T$45,0)</f>
        <v>0</v>
      </c>
      <c r="CW140" s="19" t="n">
        <f aca="false">IF(AND('Bonding Program'!$S$45=1,CW$3='Bonding Program'!$H$45),'Bonding Program'!$T$45,0)</f>
        <v>0</v>
      </c>
      <c r="CX140" s="19" t="n">
        <f aca="false">IF(AND('Bonding Program'!$S$45=1,CX$3='Bonding Program'!$H$45),'Bonding Program'!$T$45,0)</f>
        <v>0</v>
      </c>
      <c r="CY140" s="19" t="n">
        <f aca="false">IF(AND('Bonding Program'!$S$45=1,CY$3='Bonding Program'!$H$45),'Bonding Program'!$T$45,0)</f>
        <v>0</v>
      </c>
      <c r="CZ140" s="19" t="n">
        <f aca="false">IF(AND('Bonding Program'!$S$45=1,CZ$3='Bonding Program'!$H$45),'Bonding Program'!$T$45,0)</f>
        <v>0</v>
      </c>
      <c r="DA140" s="19" t="n">
        <f aca="false">IF(AND('Bonding Program'!$S$45=1,DA$3='Bonding Program'!$H$45),'Bonding Program'!$T$45,0)</f>
        <v>0</v>
      </c>
      <c r="DB140" s="19" t="n">
        <f aca="false">IF(AND('Bonding Program'!$S$45=1,DB$3='Bonding Program'!$H$45),'Bonding Program'!$T$45,0)</f>
        <v>0</v>
      </c>
      <c r="DC140" s="19" t="n">
        <f aca="false">IF(AND('Bonding Program'!$S$45=1,DC$3='Bonding Program'!$H$45),'Bonding Program'!$T$45,0)</f>
        <v>0</v>
      </c>
      <c r="DD140" s="19" t="n">
        <f aca="false">IF(AND('Bonding Program'!$S$45=1,DD$3='Bonding Program'!$H$45),'Bonding Program'!$T$45,0)</f>
        <v>0</v>
      </c>
      <c r="DE140" s="19" t="n">
        <f aca="false">IF(AND('Bonding Program'!$S$45=1,DE$3='Bonding Program'!$H$45),'Bonding Program'!$T$45,0)</f>
        <v>0</v>
      </c>
    </row>
    <row r="141" customFormat="false" ht="15" hidden="false" customHeight="true" outlineLevel="1" collapsed="false">
      <c r="A141" s="28" t="s">
        <v>42</v>
      </c>
      <c r="B141" s="19" t="n">
        <f aca="false">IF(AND('Bonding Program'!$S$46=1,B$3='Bonding Program'!$H$46),'Bonding Program'!$T$46,0)</f>
        <v>0</v>
      </c>
      <c r="C141" s="19" t="n">
        <f aca="false">IF(AND('Bonding Program'!$S$46=1,C$3='Bonding Program'!$H$46),'Bonding Program'!$T$46,0)</f>
        <v>0</v>
      </c>
      <c r="D141" s="19" t="n">
        <f aca="false">IF(AND('Bonding Program'!$S$46=1,D$3='Bonding Program'!$H$46),'Bonding Program'!$T$46,0)</f>
        <v>0</v>
      </c>
      <c r="E141" s="19" t="n">
        <f aca="false">IF(AND('Bonding Program'!$S$46=1,E$3='Bonding Program'!$H$46),'Bonding Program'!$T$46,0)</f>
        <v>0</v>
      </c>
      <c r="F141" s="19" t="n">
        <f aca="false">IF(AND('Bonding Program'!$S$46=1,F$3='Bonding Program'!$H$46),'Bonding Program'!$T$46,0)</f>
        <v>0</v>
      </c>
      <c r="G141" s="19" t="n">
        <f aca="false">IF(AND('Bonding Program'!$S$46=1,G$3='Bonding Program'!$H$46),'Bonding Program'!$T$46,0)</f>
        <v>0</v>
      </c>
      <c r="H141" s="19" t="n">
        <f aca="false">IF(AND('Bonding Program'!$S$46=1,H$3='Bonding Program'!$H$46),'Bonding Program'!$T$46,0)</f>
        <v>0</v>
      </c>
      <c r="I141" s="19" t="n">
        <f aca="false">IF(AND('Bonding Program'!$S$46=1,I$3='Bonding Program'!$H$46),'Bonding Program'!$T$46,0)</f>
        <v>0</v>
      </c>
      <c r="J141" s="19" t="n">
        <f aca="false">IF(AND('Bonding Program'!$S$46=1,J$3='Bonding Program'!$H$46),'Bonding Program'!$T$46,0)</f>
        <v>0</v>
      </c>
      <c r="K141" s="19" t="n">
        <f aca="false">IF(AND('Bonding Program'!$S$46=1,K$3='Bonding Program'!$H$46),'Bonding Program'!$T$46,0)</f>
        <v>0</v>
      </c>
      <c r="L141" s="19" t="n">
        <f aca="false">IF(AND('Bonding Program'!$S$46=1,L$3='Bonding Program'!$H$46),'Bonding Program'!$T$46,0)</f>
        <v>0</v>
      </c>
      <c r="M141" s="19" t="n">
        <f aca="false">IF(AND('Bonding Program'!$S$46=1,M$3='Bonding Program'!$H$46),'Bonding Program'!$T$46,0)</f>
        <v>0</v>
      </c>
      <c r="N141" s="19" t="n">
        <f aca="false">IF(AND('Bonding Program'!$S$46=1,N$3='Bonding Program'!$H$46),'Bonding Program'!$T$46,0)</f>
        <v>0</v>
      </c>
      <c r="O141" s="19" t="n">
        <f aca="false">IF(AND('Bonding Program'!$S$46=1,O$3='Bonding Program'!$H$46),'Bonding Program'!$T$46,0)</f>
        <v>0</v>
      </c>
      <c r="P141" s="19" t="n">
        <f aca="false">IF(AND('Bonding Program'!$S$46=1,P$3='Bonding Program'!$H$46),'Bonding Program'!$T$46,0)</f>
        <v>0</v>
      </c>
      <c r="Q141" s="19" t="n">
        <f aca="false">IF(AND('Bonding Program'!$S$46=1,Q$3='Bonding Program'!$H$46),'Bonding Program'!$T$46,0)</f>
        <v>0</v>
      </c>
      <c r="R141" s="19" t="n">
        <f aca="false">IF(AND('Bonding Program'!$S$46=1,R$3='Bonding Program'!$H$46),'Bonding Program'!$T$46,0)</f>
        <v>0</v>
      </c>
      <c r="S141" s="19" t="n">
        <f aca="false">IF(AND('Bonding Program'!$S$46=1,S$3='Bonding Program'!$H$46),'Bonding Program'!$T$46,0)</f>
        <v>0</v>
      </c>
      <c r="T141" s="19" t="n">
        <f aca="false">IF(AND('Bonding Program'!$S$46=1,T$3='Bonding Program'!$H$46),'Bonding Program'!$T$46,0)</f>
        <v>0</v>
      </c>
      <c r="U141" s="19" t="n">
        <f aca="false">IF(AND('Bonding Program'!$S$46=1,U$3='Bonding Program'!$H$46),'Bonding Program'!$T$46,0)</f>
        <v>0</v>
      </c>
      <c r="V141" s="19" t="n">
        <f aca="false">IF(AND('Bonding Program'!$S$46=1,V$3='Bonding Program'!$H$46),'Bonding Program'!$T$46,0)</f>
        <v>0</v>
      </c>
      <c r="W141" s="19" t="n">
        <f aca="false">IF(AND('Bonding Program'!$S$46=1,W$3='Bonding Program'!$H$46),'Bonding Program'!$T$46,0)</f>
        <v>0</v>
      </c>
      <c r="X141" s="19" t="n">
        <f aca="false">IF(AND('Bonding Program'!$S$46=1,X$3='Bonding Program'!$H$46),'Bonding Program'!$T$46,0)</f>
        <v>0</v>
      </c>
      <c r="Y141" s="19" t="n">
        <f aca="false">IF(AND('Bonding Program'!$S$46=1,Y$3='Bonding Program'!$H$46),'Bonding Program'!$T$46,0)</f>
        <v>0</v>
      </c>
      <c r="Z141" s="19" t="n">
        <f aca="false">IF(AND('Bonding Program'!$S$46=1,Z$3='Bonding Program'!$H$46),'Bonding Program'!$T$46,0)</f>
        <v>0</v>
      </c>
      <c r="AA141" s="19" t="n">
        <f aca="false">IF(AND('Bonding Program'!$S$46=1,AA$3='Bonding Program'!$H$46),'Bonding Program'!$T$46,0)</f>
        <v>0</v>
      </c>
      <c r="AB141" s="19" t="n">
        <f aca="false">IF(AND('Bonding Program'!$S$46=1,AB$3='Bonding Program'!$H$46),'Bonding Program'!$T$46,0)</f>
        <v>0</v>
      </c>
      <c r="AC141" s="19" t="n">
        <f aca="false">IF(AND('Bonding Program'!$S$46=1,AC$3='Bonding Program'!$H$46),'Bonding Program'!$T$46,0)</f>
        <v>0</v>
      </c>
      <c r="AD141" s="19" t="n">
        <f aca="false">IF(AND('Bonding Program'!$S$46=1,AD$3='Bonding Program'!$H$46),'Bonding Program'!$T$46,0)</f>
        <v>0</v>
      </c>
      <c r="AE141" s="19" t="n">
        <f aca="false">IF(AND('Bonding Program'!$S$46=1,AE$3='Bonding Program'!$H$46),'Bonding Program'!$T$46,0)</f>
        <v>0</v>
      </c>
      <c r="AF141" s="19" t="n">
        <f aca="false">IF(AND('Bonding Program'!$S$46=1,AF$3='Bonding Program'!$H$46),'Bonding Program'!$T$46,0)</f>
        <v>0</v>
      </c>
      <c r="AG141" s="19" t="n">
        <f aca="false">IF(AND('Bonding Program'!$S$46=1,AG$3='Bonding Program'!$H$46),'Bonding Program'!$T$46,0)</f>
        <v>0</v>
      </c>
      <c r="AH141" s="19" t="n">
        <f aca="false">IF(AND('Bonding Program'!$S$46=1,AH$3='Bonding Program'!$H$46),'Bonding Program'!$T$46,0)</f>
        <v>0</v>
      </c>
      <c r="AI141" s="19" t="n">
        <f aca="false">IF(AND('Bonding Program'!$S$46=1,AI$3='Bonding Program'!$H$46),'Bonding Program'!$T$46,0)</f>
        <v>0</v>
      </c>
      <c r="AJ141" s="19" t="n">
        <f aca="false">IF(AND('Bonding Program'!$S$46=1,AJ$3='Bonding Program'!$H$46),'Bonding Program'!$T$46,0)</f>
        <v>0</v>
      </c>
      <c r="AK141" s="19" t="n">
        <f aca="false">IF(AND('Bonding Program'!$S$46=1,AK$3='Bonding Program'!$H$46),'Bonding Program'!$T$46,0)</f>
        <v>0</v>
      </c>
      <c r="AL141" s="19" t="n">
        <f aca="false">IF(AND('Bonding Program'!$S$46=1,AL$3='Bonding Program'!$H$46),'Bonding Program'!$T$46,0)</f>
        <v>0</v>
      </c>
      <c r="AM141" s="19" t="n">
        <f aca="false">IF(AND('Bonding Program'!$S$46=1,AM$3='Bonding Program'!$H$46),'Bonding Program'!$T$46,0)</f>
        <v>0</v>
      </c>
      <c r="AN141" s="19" t="n">
        <f aca="false">IF(AND('Bonding Program'!$S$46=1,AN$3='Bonding Program'!$H$46),'Bonding Program'!$T$46,0)</f>
        <v>0</v>
      </c>
      <c r="AO141" s="19" t="n">
        <f aca="false">IF(AND('Bonding Program'!$S$46=1,AO$3='Bonding Program'!$H$46),'Bonding Program'!$T$46,0)</f>
        <v>0</v>
      </c>
      <c r="AP141" s="19" t="n">
        <f aca="false">IF(AND('Bonding Program'!$S$46=1,AP$3='Bonding Program'!$H$46),'Bonding Program'!$T$46,0)</f>
        <v>0</v>
      </c>
      <c r="AQ141" s="19" t="n">
        <f aca="false">IF(AND('Bonding Program'!$S$46=1,AQ$3='Bonding Program'!$H$46),'Bonding Program'!$T$46,0)</f>
        <v>0</v>
      </c>
      <c r="AR141" s="19" t="n">
        <f aca="false">IF(AND('Bonding Program'!$S$46=1,AR$3='Bonding Program'!$H$46),'Bonding Program'!$T$46,0)</f>
        <v>0</v>
      </c>
      <c r="AS141" s="19" t="n">
        <f aca="false">IF(AND('Bonding Program'!$S$46=1,AS$3='Bonding Program'!$H$46),'Bonding Program'!$T$46,0)</f>
        <v>0</v>
      </c>
      <c r="AT141" s="19" t="n">
        <f aca="false">IF(AND('Bonding Program'!$S$46=1,AT$3='Bonding Program'!$H$46),'Bonding Program'!$T$46,0)</f>
        <v>0</v>
      </c>
      <c r="AU141" s="19" t="n">
        <f aca="false">IF(AND('Bonding Program'!$S$46=1,AU$3='Bonding Program'!$H$46),'Bonding Program'!$T$46,0)</f>
        <v>0</v>
      </c>
      <c r="AV141" s="19" t="n">
        <f aca="false">IF(AND('Bonding Program'!$S$46=1,AV$3='Bonding Program'!$H$46),'Bonding Program'!$T$46,0)</f>
        <v>0</v>
      </c>
      <c r="AW141" s="19" t="n">
        <f aca="false">IF(AND('Bonding Program'!$S$46=1,AW$3='Bonding Program'!$H$46),'Bonding Program'!$T$46,0)</f>
        <v>0</v>
      </c>
      <c r="AX141" s="19" t="n">
        <f aca="false">IF(AND('Bonding Program'!$S$46=1,AX$3='Bonding Program'!$H$46),'Bonding Program'!$T$46,0)</f>
        <v>0</v>
      </c>
      <c r="AY141" s="19" t="n">
        <f aca="false">IF(AND('Bonding Program'!$S$46=1,AY$3='Bonding Program'!$H$46),'Bonding Program'!$T$46,0)</f>
        <v>0</v>
      </c>
      <c r="AZ141" s="19" t="n">
        <f aca="false">IF(AND('Bonding Program'!$S$46=1,AZ$3='Bonding Program'!$H$46),'Bonding Program'!$T$46,0)</f>
        <v>0</v>
      </c>
      <c r="BA141" s="19" t="n">
        <f aca="false">IF(AND('Bonding Program'!$S$46=1,BA$3='Bonding Program'!$H$46),'Bonding Program'!$T$46,0)</f>
        <v>0</v>
      </c>
      <c r="BB141" s="19" t="n">
        <f aca="false">IF(AND('Bonding Program'!$S$46=1,BB$3='Bonding Program'!$H$46),'Bonding Program'!$T$46,0)</f>
        <v>0</v>
      </c>
      <c r="BC141" s="19" t="n">
        <f aca="false">IF(AND('Bonding Program'!$S$46=1,BC$3='Bonding Program'!$H$46),'Bonding Program'!$T$46,0)</f>
        <v>0</v>
      </c>
      <c r="BD141" s="19" t="n">
        <f aca="false">IF(AND('Bonding Program'!$S$46=1,BD$3='Bonding Program'!$H$46),'Bonding Program'!$T$46,0)</f>
        <v>0</v>
      </c>
      <c r="BE141" s="19" t="n">
        <f aca="false">IF(AND('Bonding Program'!$S$46=1,BE$3='Bonding Program'!$H$46),'Bonding Program'!$T$46,0)</f>
        <v>0</v>
      </c>
      <c r="BF141" s="19" t="n">
        <f aca="false">IF(AND('Bonding Program'!$S$46=1,BF$3='Bonding Program'!$H$46),'Bonding Program'!$T$46,0)</f>
        <v>0</v>
      </c>
      <c r="BG141" s="19" t="n">
        <f aca="false">IF(AND('Bonding Program'!$S$46=1,BG$3='Bonding Program'!$H$46),'Bonding Program'!$T$46,0)</f>
        <v>0</v>
      </c>
      <c r="BH141" s="19" t="n">
        <f aca="false">IF(AND('Bonding Program'!$S$46=1,BH$3='Bonding Program'!$H$46),'Bonding Program'!$T$46,0)</f>
        <v>0</v>
      </c>
      <c r="BI141" s="19" t="n">
        <f aca="false">IF(AND('Bonding Program'!$S$46=1,BI$3='Bonding Program'!$H$46),'Bonding Program'!$T$46,0)</f>
        <v>0</v>
      </c>
      <c r="BJ141" s="19" t="n">
        <f aca="false">IF(AND('Bonding Program'!$S$46=1,BJ$3='Bonding Program'!$H$46),'Bonding Program'!$T$46,0)</f>
        <v>0</v>
      </c>
      <c r="BK141" s="19" t="n">
        <f aca="false">IF(AND('Bonding Program'!$S$46=1,BK$3='Bonding Program'!$H$46),'Bonding Program'!$T$46,0)</f>
        <v>0</v>
      </c>
      <c r="BL141" s="19" t="n">
        <f aca="false">IF(AND('Bonding Program'!$S$46=1,BL$3='Bonding Program'!$H$46),'Bonding Program'!$T$46,0)</f>
        <v>0</v>
      </c>
      <c r="BM141" s="19" t="n">
        <f aca="false">IF(AND('Bonding Program'!$S$46=1,BM$3='Bonding Program'!$H$46),'Bonding Program'!$T$46,0)</f>
        <v>0</v>
      </c>
      <c r="BN141" s="19" t="n">
        <f aca="false">IF(AND('Bonding Program'!$S$46=1,BN$3='Bonding Program'!$H$46),'Bonding Program'!$T$46,0)</f>
        <v>0</v>
      </c>
      <c r="BO141" s="19" t="n">
        <f aca="false">IF(AND('Bonding Program'!$S$46=1,BO$3='Bonding Program'!$H$46),'Bonding Program'!$T$46,0)</f>
        <v>0</v>
      </c>
      <c r="BP141" s="19" t="n">
        <f aca="false">IF(AND('Bonding Program'!$S$46=1,BP$3='Bonding Program'!$H$46),'Bonding Program'!$T$46,0)</f>
        <v>0</v>
      </c>
      <c r="BQ141" s="19" t="n">
        <f aca="false">IF(AND('Bonding Program'!$S$46=1,BQ$3='Bonding Program'!$H$46),'Bonding Program'!$T$46,0)</f>
        <v>0</v>
      </c>
      <c r="BR141" s="19" t="n">
        <f aca="false">IF(AND('Bonding Program'!$S$46=1,BR$3='Bonding Program'!$H$46),'Bonding Program'!$T$46,0)</f>
        <v>0</v>
      </c>
      <c r="BS141" s="19" t="n">
        <f aca="false">IF(AND('Bonding Program'!$S$46=1,BS$3='Bonding Program'!$H$46),'Bonding Program'!$T$46,0)</f>
        <v>0</v>
      </c>
      <c r="BT141" s="19" t="n">
        <f aca="false">IF(AND('Bonding Program'!$S$46=1,BT$3='Bonding Program'!$H$46),'Bonding Program'!$T$46,0)</f>
        <v>0</v>
      </c>
      <c r="BU141" s="19" t="n">
        <f aca="false">IF(AND('Bonding Program'!$S$46=1,BU$3='Bonding Program'!$H$46),'Bonding Program'!$T$46,0)</f>
        <v>0</v>
      </c>
      <c r="BV141" s="19" t="n">
        <f aca="false">IF(AND('Bonding Program'!$S$46=1,BV$3='Bonding Program'!$H$46),'Bonding Program'!$T$46,0)</f>
        <v>0</v>
      </c>
      <c r="BW141" s="19" t="n">
        <f aca="false">IF(AND('Bonding Program'!$S$46=1,BW$3='Bonding Program'!$H$46),'Bonding Program'!$T$46,0)</f>
        <v>0</v>
      </c>
      <c r="BX141" s="19" t="n">
        <f aca="false">IF(AND('Bonding Program'!$S$46=1,BX$3='Bonding Program'!$H$46),'Bonding Program'!$T$46,0)</f>
        <v>0</v>
      </c>
      <c r="BY141" s="19" t="n">
        <f aca="false">IF(AND('Bonding Program'!$S$46=1,BY$3='Bonding Program'!$H$46),'Bonding Program'!$T$46,0)</f>
        <v>0</v>
      </c>
      <c r="BZ141" s="19" t="n">
        <f aca="false">IF(AND('Bonding Program'!$S$46=1,BZ$3='Bonding Program'!$H$46),'Bonding Program'!$T$46,0)</f>
        <v>0</v>
      </c>
      <c r="CA141" s="19" t="n">
        <f aca="false">IF(AND('Bonding Program'!$S$46=1,CA$3='Bonding Program'!$H$46),'Bonding Program'!$T$46,0)</f>
        <v>0</v>
      </c>
      <c r="CB141" s="19" t="n">
        <f aca="false">IF(AND('Bonding Program'!$S$46=1,CB$3='Bonding Program'!$H$46),'Bonding Program'!$T$46,0)</f>
        <v>0</v>
      </c>
      <c r="CC141" s="19" t="n">
        <f aca="false">IF(AND('Bonding Program'!$S$46=1,CC$3='Bonding Program'!$H$46),'Bonding Program'!$T$46,0)</f>
        <v>0</v>
      </c>
      <c r="CD141" s="19" t="n">
        <f aca="false">IF(AND('Bonding Program'!$S$46=1,CD$3='Bonding Program'!$H$46),'Bonding Program'!$T$46,0)</f>
        <v>0</v>
      </c>
      <c r="CE141" s="19" t="n">
        <f aca="false">IF(AND('Bonding Program'!$S$46=1,CE$3='Bonding Program'!$H$46),'Bonding Program'!$T$46,0)</f>
        <v>0</v>
      </c>
      <c r="CF141" s="19" t="n">
        <f aca="false">IF(AND('Bonding Program'!$S$46=1,CF$3='Bonding Program'!$H$46),'Bonding Program'!$T$46,0)</f>
        <v>0</v>
      </c>
      <c r="CG141" s="19" t="n">
        <f aca="false">IF(AND('Bonding Program'!$S$46=1,CG$3='Bonding Program'!$H$46),'Bonding Program'!$T$46,0)</f>
        <v>0</v>
      </c>
      <c r="CH141" s="19" t="n">
        <f aca="false">IF(AND('Bonding Program'!$S$46=1,CH$3='Bonding Program'!$H$46),'Bonding Program'!$T$46,0)</f>
        <v>0</v>
      </c>
      <c r="CI141" s="19" t="n">
        <f aca="false">IF(AND('Bonding Program'!$S$46=1,CI$3='Bonding Program'!$H$46),'Bonding Program'!$T$46,0)</f>
        <v>0</v>
      </c>
      <c r="CJ141" s="19" t="n">
        <f aca="false">IF(AND('Bonding Program'!$S$46=1,CJ$3='Bonding Program'!$H$46),'Bonding Program'!$T$46,0)</f>
        <v>0</v>
      </c>
      <c r="CK141" s="19" t="n">
        <f aca="false">IF(AND('Bonding Program'!$S$46=1,CK$3='Bonding Program'!$H$46),'Bonding Program'!$T$46,0)</f>
        <v>0</v>
      </c>
      <c r="CL141" s="19" t="n">
        <f aca="false">IF(AND('Bonding Program'!$S$46=1,CL$3='Bonding Program'!$H$46),'Bonding Program'!$T$46,0)</f>
        <v>0</v>
      </c>
      <c r="CM141" s="19" t="n">
        <f aca="false">IF(AND('Bonding Program'!$S$46=1,CM$3='Bonding Program'!$H$46),'Bonding Program'!$T$46,0)</f>
        <v>0</v>
      </c>
      <c r="CN141" s="19" t="n">
        <f aca="false">IF(AND('Bonding Program'!$S$46=1,CN$3='Bonding Program'!$H$46),'Bonding Program'!$T$46,0)</f>
        <v>0</v>
      </c>
      <c r="CO141" s="19" t="n">
        <f aca="false">IF(AND('Bonding Program'!$S$46=1,CO$3='Bonding Program'!$H$46),'Bonding Program'!$T$46,0)</f>
        <v>0</v>
      </c>
      <c r="CP141" s="19" t="n">
        <f aca="false">IF(AND('Bonding Program'!$S$46=1,CP$3='Bonding Program'!$H$46),'Bonding Program'!$T$46,0)</f>
        <v>0</v>
      </c>
      <c r="CQ141" s="19" t="n">
        <f aca="false">IF(AND('Bonding Program'!$S$46=1,CQ$3='Bonding Program'!$H$46),'Bonding Program'!$T$46,0)</f>
        <v>0</v>
      </c>
      <c r="CR141" s="19" t="n">
        <f aca="false">IF(AND('Bonding Program'!$S$46=1,CR$3='Bonding Program'!$H$46),'Bonding Program'!$T$46,0)</f>
        <v>0</v>
      </c>
      <c r="CS141" s="19" t="n">
        <f aca="false">IF(AND('Bonding Program'!$S$46=1,CS$3='Bonding Program'!$H$46),'Bonding Program'!$T$46,0)</f>
        <v>0</v>
      </c>
      <c r="CT141" s="19" t="n">
        <f aca="false">IF(AND('Bonding Program'!$S$46=1,CT$3='Bonding Program'!$H$46),'Bonding Program'!$T$46,0)</f>
        <v>0</v>
      </c>
      <c r="CU141" s="19" t="n">
        <f aca="false">IF(AND('Bonding Program'!$S$46=1,CU$3='Bonding Program'!$H$46),'Bonding Program'!$T$46,0)</f>
        <v>0</v>
      </c>
      <c r="CV141" s="19" t="n">
        <f aca="false">IF(AND('Bonding Program'!$S$46=1,CV$3='Bonding Program'!$H$46),'Bonding Program'!$T$46,0)</f>
        <v>0</v>
      </c>
      <c r="CW141" s="19" t="n">
        <f aca="false">IF(AND('Bonding Program'!$S$46=1,CW$3='Bonding Program'!$H$46),'Bonding Program'!$T$46,0)</f>
        <v>0</v>
      </c>
      <c r="CX141" s="19" t="n">
        <f aca="false">IF(AND('Bonding Program'!$S$46=1,CX$3='Bonding Program'!$H$46),'Bonding Program'!$T$46,0)</f>
        <v>0</v>
      </c>
      <c r="CY141" s="19" t="n">
        <f aca="false">IF(AND('Bonding Program'!$S$46=1,CY$3='Bonding Program'!$H$46),'Bonding Program'!$T$46,0)</f>
        <v>0</v>
      </c>
      <c r="CZ141" s="19" t="n">
        <f aca="false">IF(AND('Bonding Program'!$S$46=1,CZ$3='Bonding Program'!$H$46),'Bonding Program'!$T$46,0)</f>
        <v>0</v>
      </c>
      <c r="DA141" s="19" t="n">
        <f aca="false">IF(AND('Bonding Program'!$S$46=1,DA$3='Bonding Program'!$H$46),'Bonding Program'!$T$46,0)</f>
        <v>0</v>
      </c>
      <c r="DB141" s="19" t="n">
        <f aca="false">IF(AND('Bonding Program'!$S$46=1,DB$3='Bonding Program'!$H$46),'Bonding Program'!$T$46,0)</f>
        <v>0</v>
      </c>
      <c r="DC141" s="19" t="n">
        <f aca="false">IF(AND('Bonding Program'!$S$46=1,DC$3='Bonding Program'!$H$46),'Bonding Program'!$T$46,0)</f>
        <v>0</v>
      </c>
      <c r="DD141" s="19" t="n">
        <f aca="false">IF(AND('Bonding Program'!$S$46=1,DD$3='Bonding Program'!$H$46),'Bonding Program'!$T$46,0)</f>
        <v>0</v>
      </c>
      <c r="DE141" s="19" t="n">
        <f aca="false">IF(AND('Bonding Program'!$S$46=1,DE$3='Bonding Program'!$H$46),'Bonding Program'!$T$46,0)</f>
        <v>0</v>
      </c>
    </row>
    <row r="142" customFormat="false" ht="15" hidden="false" customHeight="true" outlineLevel="1" collapsed="false">
      <c r="A142" s="28" t="s">
        <v>43</v>
      </c>
      <c r="B142" s="19" t="n">
        <f aca="false">IF(AND('Bonding Program'!$S$47=1,B$3='Bonding Program'!$H$47),'Bonding Program'!$T$47,0)</f>
        <v>0</v>
      </c>
      <c r="C142" s="19" t="n">
        <f aca="false">IF(AND('Bonding Program'!$S$47=1,C$3='Bonding Program'!$H$47),'Bonding Program'!$T$47,0)</f>
        <v>0</v>
      </c>
      <c r="D142" s="19" t="n">
        <f aca="false">IF(AND('Bonding Program'!$S$47=1,D$3='Bonding Program'!$H$47),'Bonding Program'!$T$47,0)</f>
        <v>0</v>
      </c>
      <c r="E142" s="19" t="n">
        <f aca="false">IF(AND('Bonding Program'!$S$47=1,E$3='Bonding Program'!$H$47),'Bonding Program'!$T$47,0)</f>
        <v>0</v>
      </c>
      <c r="F142" s="19" t="n">
        <f aca="false">IF(AND('Bonding Program'!$S$47=1,F$3='Bonding Program'!$H$47),'Bonding Program'!$T$47,0)</f>
        <v>0</v>
      </c>
      <c r="G142" s="19" t="n">
        <f aca="false">IF(AND('Bonding Program'!$S$47=1,G$3='Bonding Program'!$H$47),'Bonding Program'!$T$47,0)</f>
        <v>0</v>
      </c>
      <c r="H142" s="19" t="n">
        <f aca="false">IF(AND('Bonding Program'!$S$47=1,H$3='Bonding Program'!$H$47),'Bonding Program'!$T$47,0)</f>
        <v>0</v>
      </c>
      <c r="I142" s="19" t="n">
        <f aca="false">IF(AND('Bonding Program'!$S$47=1,I$3='Bonding Program'!$H$47),'Bonding Program'!$T$47,0)</f>
        <v>0</v>
      </c>
      <c r="J142" s="19" t="n">
        <f aca="false">IF(AND('Bonding Program'!$S$47=1,J$3='Bonding Program'!$H$47),'Bonding Program'!$T$47,0)</f>
        <v>0</v>
      </c>
      <c r="K142" s="19" t="n">
        <f aca="false">IF(AND('Bonding Program'!$S$47=1,K$3='Bonding Program'!$H$47),'Bonding Program'!$T$47,0)</f>
        <v>0</v>
      </c>
      <c r="L142" s="19" t="n">
        <f aca="false">IF(AND('Bonding Program'!$S$47=1,L$3='Bonding Program'!$H$47),'Bonding Program'!$T$47,0)</f>
        <v>0</v>
      </c>
      <c r="M142" s="19" t="n">
        <f aca="false">IF(AND('Bonding Program'!$S$47=1,M$3='Bonding Program'!$H$47),'Bonding Program'!$T$47,0)</f>
        <v>0</v>
      </c>
      <c r="N142" s="19" t="n">
        <f aca="false">IF(AND('Bonding Program'!$S$47=1,N$3='Bonding Program'!$H$47),'Bonding Program'!$T$47,0)</f>
        <v>0</v>
      </c>
      <c r="O142" s="19" t="n">
        <f aca="false">IF(AND('Bonding Program'!$S$47=1,O$3='Bonding Program'!$H$47),'Bonding Program'!$T$47,0)</f>
        <v>0</v>
      </c>
      <c r="P142" s="19" t="n">
        <f aca="false">IF(AND('Bonding Program'!$S$47=1,P$3='Bonding Program'!$H$47),'Bonding Program'!$T$47,0)</f>
        <v>0</v>
      </c>
      <c r="Q142" s="19" t="n">
        <f aca="false">IF(AND('Bonding Program'!$S$47=1,Q$3='Bonding Program'!$H$47),'Bonding Program'!$T$47,0)</f>
        <v>0</v>
      </c>
      <c r="R142" s="19" t="n">
        <f aca="false">IF(AND('Bonding Program'!$S$47=1,R$3='Bonding Program'!$H$47),'Bonding Program'!$T$47,0)</f>
        <v>0</v>
      </c>
      <c r="S142" s="19" t="n">
        <f aca="false">IF(AND('Bonding Program'!$S$47=1,S$3='Bonding Program'!$H$47),'Bonding Program'!$T$47,0)</f>
        <v>0</v>
      </c>
      <c r="T142" s="19" t="n">
        <f aca="false">IF(AND('Bonding Program'!$S$47=1,T$3='Bonding Program'!$H$47),'Bonding Program'!$T$47,0)</f>
        <v>0</v>
      </c>
      <c r="U142" s="19" t="n">
        <f aca="false">IF(AND('Bonding Program'!$S$47=1,U$3='Bonding Program'!$H$47),'Bonding Program'!$T$47,0)</f>
        <v>0</v>
      </c>
      <c r="V142" s="19" t="n">
        <f aca="false">IF(AND('Bonding Program'!$S$47=1,V$3='Bonding Program'!$H$47),'Bonding Program'!$T$47,0)</f>
        <v>0</v>
      </c>
      <c r="W142" s="19" t="n">
        <f aca="false">IF(AND('Bonding Program'!$S$47=1,W$3='Bonding Program'!$H$47),'Bonding Program'!$T$47,0)</f>
        <v>0</v>
      </c>
      <c r="X142" s="19" t="n">
        <f aca="false">IF(AND('Bonding Program'!$S$47=1,X$3='Bonding Program'!$H$47),'Bonding Program'!$T$47,0)</f>
        <v>0</v>
      </c>
      <c r="Y142" s="19" t="n">
        <f aca="false">IF(AND('Bonding Program'!$S$47=1,Y$3='Bonding Program'!$H$47),'Bonding Program'!$T$47,0)</f>
        <v>0</v>
      </c>
      <c r="Z142" s="19" t="n">
        <f aca="false">IF(AND('Bonding Program'!$S$47=1,Z$3='Bonding Program'!$H$47),'Bonding Program'!$T$47,0)</f>
        <v>0</v>
      </c>
      <c r="AA142" s="19" t="n">
        <f aca="false">IF(AND('Bonding Program'!$S$47=1,AA$3='Bonding Program'!$H$47),'Bonding Program'!$T$47,0)</f>
        <v>0</v>
      </c>
      <c r="AB142" s="19" t="n">
        <f aca="false">IF(AND('Bonding Program'!$S$47=1,AB$3='Bonding Program'!$H$47),'Bonding Program'!$T$47,0)</f>
        <v>0</v>
      </c>
      <c r="AC142" s="19" t="n">
        <f aca="false">IF(AND('Bonding Program'!$S$47=1,AC$3='Bonding Program'!$H$47),'Bonding Program'!$T$47,0)</f>
        <v>0</v>
      </c>
      <c r="AD142" s="19" t="n">
        <f aca="false">IF(AND('Bonding Program'!$S$47=1,AD$3='Bonding Program'!$H$47),'Bonding Program'!$T$47,0)</f>
        <v>0</v>
      </c>
      <c r="AE142" s="19" t="n">
        <f aca="false">IF(AND('Bonding Program'!$S$47=1,AE$3='Bonding Program'!$H$47),'Bonding Program'!$T$47,0)</f>
        <v>0</v>
      </c>
      <c r="AF142" s="19" t="n">
        <f aca="false">IF(AND('Bonding Program'!$S$47=1,AF$3='Bonding Program'!$H$47),'Bonding Program'!$T$47,0)</f>
        <v>0</v>
      </c>
      <c r="AG142" s="19" t="n">
        <f aca="false">IF(AND('Bonding Program'!$S$47=1,AG$3='Bonding Program'!$H$47),'Bonding Program'!$T$47,0)</f>
        <v>0</v>
      </c>
      <c r="AH142" s="19" t="n">
        <f aca="false">IF(AND('Bonding Program'!$S$47=1,AH$3='Bonding Program'!$H$47),'Bonding Program'!$T$47,0)</f>
        <v>0</v>
      </c>
      <c r="AI142" s="19" t="n">
        <f aca="false">IF(AND('Bonding Program'!$S$47=1,AI$3='Bonding Program'!$H$47),'Bonding Program'!$T$47,0)</f>
        <v>0</v>
      </c>
      <c r="AJ142" s="19" t="n">
        <f aca="false">IF(AND('Bonding Program'!$S$47=1,AJ$3='Bonding Program'!$H$47),'Bonding Program'!$T$47,0)</f>
        <v>0</v>
      </c>
      <c r="AK142" s="19" t="n">
        <f aca="false">IF(AND('Bonding Program'!$S$47=1,AK$3='Bonding Program'!$H$47),'Bonding Program'!$T$47,0)</f>
        <v>0</v>
      </c>
      <c r="AL142" s="19" t="n">
        <f aca="false">IF(AND('Bonding Program'!$S$47=1,AL$3='Bonding Program'!$H$47),'Bonding Program'!$T$47,0)</f>
        <v>0</v>
      </c>
      <c r="AM142" s="19" t="n">
        <f aca="false">IF(AND('Bonding Program'!$S$47=1,AM$3='Bonding Program'!$H$47),'Bonding Program'!$T$47,0)</f>
        <v>0</v>
      </c>
      <c r="AN142" s="19" t="n">
        <f aca="false">IF(AND('Bonding Program'!$S$47=1,AN$3='Bonding Program'!$H$47),'Bonding Program'!$T$47,0)</f>
        <v>0</v>
      </c>
      <c r="AO142" s="19" t="n">
        <f aca="false">IF(AND('Bonding Program'!$S$47=1,AO$3='Bonding Program'!$H$47),'Bonding Program'!$T$47,0)</f>
        <v>0</v>
      </c>
      <c r="AP142" s="19" t="n">
        <f aca="false">IF(AND('Bonding Program'!$S$47=1,AP$3='Bonding Program'!$H$47),'Bonding Program'!$T$47,0)</f>
        <v>0</v>
      </c>
      <c r="AQ142" s="19" t="n">
        <f aca="false">IF(AND('Bonding Program'!$S$47=1,AQ$3='Bonding Program'!$H$47),'Bonding Program'!$T$47,0)</f>
        <v>0</v>
      </c>
      <c r="AR142" s="19" t="n">
        <f aca="false">IF(AND('Bonding Program'!$S$47=1,AR$3='Bonding Program'!$H$47),'Bonding Program'!$T$47,0)</f>
        <v>0</v>
      </c>
      <c r="AS142" s="19" t="n">
        <f aca="false">IF(AND('Bonding Program'!$S$47=1,AS$3='Bonding Program'!$H$47),'Bonding Program'!$T$47,0)</f>
        <v>0</v>
      </c>
      <c r="AT142" s="19" t="n">
        <f aca="false">IF(AND('Bonding Program'!$S$47=1,AT$3='Bonding Program'!$H$47),'Bonding Program'!$T$47,0)</f>
        <v>0</v>
      </c>
      <c r="AU142" s="19" t="n">
        <f aca="false">IF(AND('Bonding Program'!$S$47=1,AU$3='Bonding Program'!$H$47),'Bonding Program'!$T$47,0)</f>
        <v>0</v>
      </c>
      <c r="AV142" s="19" t="n">
        <f aca="false">IF(AND('Bonding Program'!$S$47=1,AV$3='Bonding Program'!$H$47),'Bonding Program'!$T$47,0)</f>
        <v>0</v>
      </c>
      <c r="AW142" s="19" t="n">
        <f aca="false">IF(AND('Bonding Program'!$S$47=1,AW$3='Bonding Program'!$H$47),'Bonding Program'!$T$47,0)</f>
        <v>0</v>
      </c>
      <c r="AX142" s="19" t="n">
        <f aca="false">IF(AND('Bonding Program'!$S$47=1,AX$3='Bonding Program'!$H$47),'Bonding Program'!$T$47,0)</f>
        <v>0</v>
      </c>
      <c r="AY142" s="19" t="n">
        <f aca="false">IF(AND('Bonding Program'!$S$47=1,AY$3='Bonding Program'!$H$47),'Bonding Program'!$T$47,0)</f>
        <v>0</v>
      </c>
      <c r="AZ142" s="19" t="n">
        <f aca="false">IF(AND('Bonding Program'!$S$47=1,AZ$3='Bonding Program'!$H$47),'Bonding Program'!$T$47,0)</f>
        <v>0</v>
      </c>
      <c r="BA142" s="19" t="n">
        <f aca="false">IF(AND('Bonding Program'!$S$47=1,BA$3='Bonding Program'!$H$47),'Bonding Program'!$T$47,0)</f>
        <v>0</v>
      </c>
      <c r="BB142" s="19" t="n">
        <f aca="false">IF(AND('Bonding Program'!$S$47=1,BB$3='Bonding Program'!$H$47),'Bonding Program'!$T$47,0)</f>
        <v>221674.876847291</v>
      </c>
      <c r="BC142" s="19" t="n">
        <f aca="false">IF(AND('Bonding Program'!$S$47=1,BC$3='Bonding Program'!$H$47),'Bonding Program'!$T$47,0)</f>
        <v>0</v>
      </c>
      <c r="BD142" s="19" t="n">
        <f aca="false">IF(AND('Bonding Program'!$S$47=1,BD$3='Bonding Program'!$H$47),'Bonding Program'!$T$47,0)</f>
        <v>0</v>
      </c>
      <c r="BE142" s="19" t="n">
        <f aca="false">IF(AND('Bonding Program'!$S$47=1,BE$3='Bonding Program'!$H$47),'Bonding Program'!$T$47,0)</f>
        <v>0</v>
      </c>
      <c r="BF142" s="19" t="n">
        <f aca="false">IF(AND('Bonding Program'!$S$47=1,BF$3='Bonding Program'!$H$47),'Bonding Program'!$T$47,0)</f>
        <v>0</v>
      </c>
      <c r="BG142" s="19" t="n">
        <f aca="false">IF(AND('Bonding Program'!$S$47=1,BG$3='Bonding Program'!$H$47),'Bonding Program'!$T$47,0)</f>
        <v>0</v>
      </c>
      <c r="BH142" s="19" t="n">
        <f aca="false">IF(AND('Bonding Program'!$S$47=1,BH$3='Bonding Program'!$H$47),'Bonding Program'!$T$47,0)</f>
        <v>0</v>
      </c>
      <c r="BI142" s="19" t="n">
        <f aca="false">IF(AND('Bonding Program'!$S$47=1,BI$3='Bonding Program'!$H$47),'Bonding Program'!$T$47,0)</f>
        <v>0</v>
      </c>
      <c r="BJ142" s="19" t="n">
        <f aca="false">IF(AND('Bonding Program'!$S$47=1,BJ$3='Bonding Program'!$H$47),'Bonding Program'!$T$47,0)</f>
        <v>0</v>
      </c>
      <c r="BK142" s="19" t="n">
        <f aca="false">IF(AND('Bonding Program'!$S$47=1,BK$3='Bonding Program'!$H$47),'Bonding Program'!$T$47,0)</f>
        <v>0</v>
      </c>
      <c r="BL142" s="19" t="n">
        <f aca="false">IF(AND('Bonding Program'!$S$47=1,BL$3='Bonding Program'!$H$47),'Bonding Program'!$T$47,0)</f>
        <v>0</v>
      </c>
      <c r="BM142" s="19" t="n">
        <f aca="false">IF(AND('Bonding Program'!$S$47=1,BM$3='Bonding Program'!$H$47),'Bonding Program'!$T$47,0)</f>
        <v>0</v>
      </c>
      <c r="BN142" s="19" t="n">
        <f aca="false">IF(AND('Bonding Program'!$S$47=1,BN$3='Bonding Program'!$H$47),'Bonding Program'!$T$47,0)</f>
        <v>0</v>
      </c>
      <c r="BO142" s="19" t="n">
        <f aca="false">IF(AND('Bonding Program'!$S$47=1,BO$3='Bonding Program'!$H$47),'Bonding Program'!$T$47,0)</f>
        <v>0</v>
      </c>
      <c r="BP142" s="19" t="n">
        <f aca="false">IF(AND('Bonding Program'!$S$47=1,BP$3='Bonding Program'!$H$47),'Bonding Program'!$T$47,0)</f>
        <v>0</v>
      </c>
      <c r="BQ142" s="19" t="n">
        <f aca="false">IF(AND('Bonding Program'!$S$47=1,BQ$3='Bonding Program'!$H$47),'Bonding Program'!$T$47,0)</f>
        <v>0</v>
      </c>
      <c r="BR142" s="19" t="n">
        <f aca="false">IF(AND('Bonding Program'!$S$47=1,BR$3='Bonding Program'!$H$47),'Bonding Program'!$T$47,0)</f>
        <v>0</v>
      </c>
      <c r="BS142" s="19" t="n">
        <f aca="false">IF(AND('Bonding Program'!$S$47=1,BS$3='Bonding Program'!$H$47),'Bonding Program'!$T$47,0)</f>
        <v>0</v>
      </c>
      <c r="BT142" s="19" t="n">
        <f aca="false">IF(AND('Bonding Program'!$S$47=1,BT$3='Bonding Program'!$H$47),'Bonding Program'!$T$47,0)</f>
        <v>0</v>
      </c>
      <c r="BU142" s="19" t="n">
        <f aca="false">IF(AND('Bonding Program'!$S$47=1,BU$3='Bonding Program'!$H$47),'Bonding Program'!$T$47,0)</f>
        <v>0</v>
      </c>
      <c r="BV142" s="19" t="n">
        <f aca="false">IF(AND('Bonding Program'!$S$47=1,BV$3='Bonding Program'!$H$47),'Bonding Program'!$T$47,0)</f>
        <v>0</v>
      </c>
      <c r="BW142" s="19" t="n">
        <f aca="false">IF(AND('Bonding Program'!$S$47=1,BW$3='Bonding Program'!$H$47),'Bonding Program'!$T$47,0)</f>
        <v>0</v>
      </c>
      <c r="BX142" s="19" t="n">
        <f aca="false">IF(AND('Bonding Program'!$S$47=1,BX$3='Bonding Program'!$H$47),'Bonding Program'!$T$47,0)</f>
        <v>0</v>
      </c>
      <c r="BY142" s="19" t="n">
        <f aca="false">IF(AND('Bonding Program'!$S$47=1,BY$3='Bonding Program'!$H$47),'Bonding Program'!$T$47,0)</f>
        <v>0</v>
      </c>
      <c r="BZ142" s="19" t="n">
        <f aca="false">IF(AND('Bonding Program'!$S$47=1,BZ$3='Bonding Program'!$H$47),'Bonding Program'!$T$47,0)</f>
        <v>0</v>
      </c>
      <c r="CA142" s="19" t="n">
        <f aca="false">IF(AND('Bonding Program'!$S$47=1,CA$3='Bonding Program'!$H$47),'Bonding Program'!$T$47,0)</f>
        <v>0</v>
      </c>
      <c r="CB142" s="19" t="n">
        <f aca="false">IF(AND('Bonding Program'!$S$47=1,CB$3='Bonding Program'!$H$47),'Bonding Program'!$T$47,0)</f>
        <v>0</v>
      </c>
      <c r="CC142" s="19" t="n">
        <f aca="false">IF(AND('Bonding Program'!$S$47=1,CC$3='Bonding Program'!$H$47),'Bonding Program'!$T$47,0)</f>
        <v>0</v>
      </c>
      <c r="CD142" s="19" t="n">
        <f aca="false">IF(AND('Bonding Program'!$S$47=1,CD$3='Bonding Program'!$H$47),'Bonding Program'!$T$47,0)</f>
        <v>0</v>
      </c>
      <c r="CE142" s="19" t="n">
        <f aca="false">IF(AND('Bonding Program'!$S$47=1,CE$3='Bonding Program'!$H$47),'Bonding Program'!$T$47,0)</f>
        <v>0</v>
      </c>
      <c r="CF142" s="19" t="n">
        <f aca="false">IF(AND('Bonding Program'!$S$47=1,CF$3='Bonding Program'!$H$47),'Bonding Program'!$T$47,0)</f>
        <v>0</v>
      </c>
      <c r="CG142" s="19" t="n">
        <f aca="false">IF(AND('Bonding Program'!$S$47=1,CG$3='Bonding Program'!$H$47),'Bonding Program'!$T$47,0)</f>
        <v>0</v>
      </c>
      <c r="CH142" s="19" t="n">
        <f aca="false">IF(AND('Bonding Program'!$S$47=1,CH$3='Bonding Program'!$H$47),'Bonding Program'!$T$47,0)</f>
        <v>0</v>
      </c>
      <c r="CI142" s="19" t="n">
        <f aca="false">IF(AND('Bonding Program'!$S$47=1,CI$3='Bonding Program'!$H$47),'Bonding Program'!$T$47,0)</f>
        <v>0</v>
      </c>
      <c r="CJ142" s="19" t="n">
        <f aca="false">IF(AND('Bonding Program'!$S$47=1,CJ$3='Bonding Program'!$H$47),'Bonding Program'!$T$47,0)</f>
        <v>0</v>
      </c>
      <c r="CK142" s="19" t="n">
        <f aca="false">IF(AND('Bonding Program'!$S$47=1,CK$3='Bonding Program'!$H$47),'Bonding Program'!$T$47,0)</f>
        <v>0</v>
      </c>
      <c r="CL142" s="19" t="n">
        <f aca="false">IF(AND('Bonding Program'!$S$47=1,CL$3='Bonding Program'!$H$47),'Bonding Program'!$T$47,0)</f>
        <v>0</v>
      </c>
      <c r="CM142" s="19" t="n">
        <f aca="false">IF(AND('Bonding Program'!$S$47=1,CM$3='Bonding Program'!$H$47),'Bonding Program'!$T$47,0)</f>
        <v>0</v>
      </c>
      <c r="CN142" s="19" t="n">
        <f aca="false">IF(AND('Bonding Program'!$S$47=1,CN$3='Bonding Program'!$H$47),'Bonding Program'!$T$47,0)</f>
        <v>0</v>
      </c>
      <c r="CO142" s="19" t="n">
        <f aca="false">IF(AND('Bonding Program'!$S$47=1,CO$3='Bonding Program'!$H$47),'Bonding Program'!$T$47,0)</f>
        <v>0</v>
      </c>
      <c r="CP142" s="19" t="n">
        <f aca="false">IF(AND('Bonding Program'!$S$47=1,CP$3='Bonding Program'!$H$47),'Bonding Program'!$T$47,0)</f>
        <v>0</v>
      </c>
      <c r="CQ142" s="19" t="n">
        <f aca="false">IF(AND('Bonding Program'!$S$47=1,CQ$3='Bonding Program'!$H$47),'Bonding Program'!$T$47,0)</f>
        <v>0</v>
      </c>
      <c r="CR142" s="19" t="n">
        <f aca="false">IF(AND('Bonding Program'!$S$47=1,CR$3='Bonding Program'!$H$47),'Bonding Program'!$T$47,0)</f>
        <v>0</v>
      </c>
      <c r="CS142" s="19" t="n">
        <f aca="false">IF(AND('Bonding Program'!$S$47=1,CS$3='Bonding Program'!$H$47),'Bonding Program'!$T$47,0)</f>
        <v>0</v>
      </c>
      <c r="CT142" s="19" t="n">
        <f aca="false">IF(AND('Bonding Program'!$S$47=1,CT$3='Bonding Program'!$H$47),'Bonding Program'!$T$47,0)</f>
        <v>0</v>
      </c>
      <c r="CU142" s="19" t="n">
        <f aca="false">IF(AND('Bonding Program'!$S$47=1,CU$3='Bonding Program'!$H$47),'Bonding Program'!$T$47,0)</f>
        <v>0</v>
      </c>
      <c r="CV142" s="19" t="n">
        <f aca="false">IF(AND('Bonding Program'!$S$47=1,CV$3='Bonding Program'!$H$47),'Bonding Program'!$T$47,0)</f>
        <v>0</v>
      </c>
      <c r="CW142" s="19" t="n">
        <f aca="false">IF(AND('Bonding Program'!$S$47=1,CW$3='Bonding Program'!$H$47),'Bonding Program'!$T$47,0)</f>
        <v>0</v>
      </c>
      <c r="CX142" s="19" t="n">
        <f aca="false">IF(AND('Bonding Program'!$S$47=1,CX$3='Bonding Program'!$H$47),'Bonding Program'!$T$47,0)</f>
        <v>0</v>
      </c>
      <c r="CY142" s="19" t="n">
        <f aca="false">IF(AND('Bonding Program'!$S$47=1,CY$3='Bonding Program'!$H$47),'Bonding Program'!$T$47,0)</f>
        <v>0</v>
      </c>
      <c r="CZ142" s="19" t="n">
        <f aca="false">IF(AND('Bonding Program'!$S$47=1,CZ$3='Bonding Program'!$H$47),'Bonding Program'!$T$47,0)</f>
        <v>0</v>
      </c>
      <c r="DA142" s="19" t="n">
        <f aca="false">IF(AND('Bonding Program'!$S$47=1,DA$3='Bonding Program'!$H$47),'Bonding Program'!$T$47,0)</f>
        <v>0</v>
      </c>
      <c r="DB142" s="19" t="n">
        <f aca="false">IF(AND('Bonding Program'!$S$47=1,DB$3='Bonding Program'!$H$47),'Bonding Program'!$T$47,0)</f>
        <v>0</v>
      </c>
      <c r="DC142" s="19" t="n">
        <f aca="false">IF(AND('Bonding Program'!$S$47=1,DC$3='Bonding Program'!$H$47),'Bonding Program'!$T$47,0)</f>
        <v>0</v>
      </c>
      <c r="DD142" s="19" t="n">
        <f aca="false">IF(AND('Bonding Program'!$S$47=1,DD$3='Bonding Program'!$H$47),'Bonding Program'!$T$47,0)</f>
        <v>0</v>
      </c>
      <c r="DE142" s="19" t="n">
        <f aca="false">IF(AND('Bonding Program'!$S$47=1,DE$3='Bonding Program'!$H$47),'Bonding Program'!$T$47,0)</f>
        <v>0</v>
      </c>
    </row>
    <row r="143" customFormat="false" ht="15" hidden="false" customHeight="true" outlineLevel="1" collapsed="false">
      <c r="A143" s="28" t="s">
        <v>44</v>
      </c>
      <c r="B143" s="19" t="n">
        <f aca="false">IF(AND('Bonding Program'!$S$48=1,B$3='Bonding Program'!$H$48),'Bonding Program'!$T$48,0)</f>
        <v>0</v>
      </c>
      <c r="C143" s="19" t="n">
        <f aca="false">IF(AND('Bonding Program'!$S$48=1,C$3='Bonding Program'!$H$48),'Bonding Program'!$T$48,0)</f>
        <v>0</v>
      </c>
      <c r="D143" s="19" t="n">
        <f aca="false">IF(AND('Bonding Program'!$S$48=1,D$3='Bonding Program'!$H$48),'Bonding Program'!$T$48,0)</f>
        <v>0</v>
      </c>
      <c r="E143" s="19" t="n">
        <f aca="false">IF(AND('Bonding Program'!$S$48=1,E$3='Bonding Program'!$H$48),'Bonding Program'!$T$48,0)</f>
        <v>0</v>
      </c>
      <c r="F143" s="19" t="n">
        <f aca="false">IF(AND('Bonding Program'!$S$48=1,F$3='Bonding Program'!$H$48),'Bonding Program'!$T$48,0)</f>
        <v>0</v>
      </c>
      <c r="G143" s="19" t="n">
        <f aca="false">IF(AND('Bonding Program'!$S$48=1,G$3='Bonding Program'!$H$48),'Bonding Program'!$T$48,0)</f>
        <v>0</v>
      </c>
      <c r="H143" s="19" t="n">
        <f aca="false">IF(AND('Bonding Program'!$S$48=1,H$3='Bonding Program'!$H$48),'Bonding Program'!$T$48,0)</f>
        <v>0</v>
      </c>
      <c r="I143" s="19" t="n">
        <f aca="false">IF(AND('Bonding Program'!$S$48=1,I$3='Bonding Program'!$H$48),'Bonding Program'!$T$48,0)</f>
        <v>0</v>
      </c>
      <c r="J143" s="19" t="n">
        <f aca="false">IF(AND('Bonding Program'!$S$48=1,J$3='Bonding Program'!$H$48),'Bonding Program'!$T$48,0)</f>
        <v>0</v>
      </c>
      <c r="K143" s="19" t="n">
        <f aca="false">IF(AND('Bonding Program'!$S$48=1,K$3='Bonding Program'!$H$48),'Bonding Program'!$T$48,0)</f>
        <v>0</v>
      </c>
      <c r="L143" s="19" t="n">
        <f aca="false">IF(AND('Bonding Program'!$S$48=1,L$3='Bonding Program'!$H$48),'Bonding Program'!$T$48,0)</f>
        <v>0</v>
      </c>
      <c r="M143" s="19" t="n">
        <f aca="false">IF(AND('Bonding Program'!$S$48=1,M$3='Bonding Program'!$H$48),'Bonding Program'!$T$48,0)</f>
        <v>0</v>
      </c>
      <c r="N143" s="19" t="n">
        <f aca="false">IF(AND('Bonding Program'!$S$48=1,N$3='Bonding Program'!$H$48),'Bonding Program'!$T$48,0)</f>
        <v>0</v>
      </c>
      <c r="O143" s="19" t="n">
        <f aca="false">IF(AND('Bonding Program'!$S$48=1,O$3='Bonding Program'!$H$48),'Bonding Program'!$T$48,0)</f>
        <v>0</v>
      </c>
      <c r="P143" s="19" t="n">
        <f aca="false">IF(AND('Bonding Program'!$S$48=1,P$3='Bonding Program'!$H$48),'Bonding Program'!$T$48,0)</f>
        <v>0</v>
      </c>
      <c r="Q143" s="19" t="n">
        <f aca="false">IF(AND('Bonding Program'!$S$48=1,Q$3='Bonding Program'!$H$48),'Bonding Program'!$T$48,0)</f>
        <v>0</v>
      </c>
      <c r="R143" s="19" t="n">
        <f aca="false">IF(AND('Bonding Program'!$S$48=1,R$3='Bonding Program'!$H$48),'Bonding Program'!$T$48,0)</f>
        <v>0</v>
      </c>
      <c r="S143" s="19" t="n">
        <f aca="false">IF(AND('Bonding Program'!$S$48=1,S$3='Bonding Program'!$H$48),'Bonding Program'!$T$48,0)</f>
        <v>0</v>
      </c>
      <c r="T143" s="19" t="n">
        <f aca="false">IF(AND('Bonding Program'!$S$48=1,T$3='Bonding Program'!$H$48),'Bonding Program'!$T$48,0)</f>
        <v>0</v>
      </c>
      <c r="U143" s="19" t="n">
        <f aca="false">IF(AND('Bonding Program'!$S$48=1,U$3='Bonding Program'!$H$48),'Bonding Program'!$T$48,0)</f>
        <v>0</v>
      </c>
      <c r="V143" s="19" t="n">
        <f aca="false">IF(AND('Bonding Program'!$S$48=1,V$3='Bonding Program'!$H$48),'Bonding Program'!$T$48,0)</f>
        <v>0</v>
      </c>
      <c r="W143" s="19" t="n">
        <f aca="false">IF(AND('Bonding Program'!$S$48=1,W$3='Bonding Program'!$H$48),'Bonding Program'!$T$48,0)</f>
        <v>0</v>
      </c>
      <c r="X143" s="19" t="n">
        <f aca="false">IF(AND('Bonding Program'!$S$48=1,X$3='Bonding Program'!$H$48),'Bonding Program'!$T$48,0)</f>
        <v>0</v>
      </c>
      <c r="Y143" s="19" t="n">
        <f aca="false">IF(AND('Bonding Program'!$S$48=1,Y$3='Bonding Program'!$H$48),'Bonding Program'!$T$48,0)</f>
        <v>0</v>
      </c>
      <c r="Z143" s="19" t="n">
        <f aca="false">IF(AND('Bonding Program'!$S$48=1,Z$3='Bonding Program'!$H$48),'Bonding Program'!$T$48,0)</f>
        <v>0</v>
      </c>
      <c r="AA143" s="19" t="n">
        <f aca="false">IF(AND('Bonding Program'!$S$48=1,AA$3='Bonding Program'!$H$48),'Bonding Program'!$T$48,0)</f>
        <v>0</v>
      </c>
      <c r="AB143" s="19" t="n">
        <f aca="false">IF(AND('Bonding Program'!$S$48=1,AB$3='Bonding Program'!$H$48),'Bonding Program'!$T$48,0)</f>
        <v>0</v>
      </c>
      <c r="AC143" s="19" t="n">
        <f aca="false">IF(AND('Bonding Program'!$S$48=1,AC$3='Bonding Program'!$H$48),'Bonding Program'!$T$48,0)</f>
        <v>0</v>
      </c>
      <c r="AD143" s="19" t="n">
        <f aca="false">IF(AND('Bonding Program'!$S$48=1,AD$3='Bonding Program'!$H$48),'Bonding Program'!$T$48,0)</f>
        <v>0</v>
      </c>
      <c r="AE143" s="19" t="n">
        <f aca="false">IF(AND('Bonding Program'!$S$48=1,AE$3='Bonding Program'!$H$48),'Bonding Program'!$T$48,0)</f>
        <v>0</v>
      </c>
      <c r="AF143" s="19" t="n">
        <f aca="false">IF(AND('Bonding Program'!$S$48=1,AF$3='Bonding Program'!$H$48),'Bonding Program'!$T$48,0)</f>
        <v>0</v>
      </c>
      <c r="AG143" s="19" t="n">
        <f aca="false">IF(AND('Bonding Program'!$S$48=1,AG$3='Bonding Program'!$H$48),'Bonding Program'!$T$48,0)</f>
        <v>0</v>
      </c>
      <c r="AH143" s="19" t="n">
        <f aca="false">IF(AND('Bonding Program'!$S$48=1,AH$3='Bonding Program'!$H$48),'Bonding Program'!$T$48,0)</f>
        <v>0</v>
      </c>
      <c r="AI143" s="19" t="n">
        <f aca="false">IF(AND('Bonding Program'!$S$48=1,AI$3='Bonding Program'!$H$48),'Bonding Program'!$T$48,0)</f>
        <v>0</v>
      </c>
      <c r="AJ143" s="19" t="n">
        <f aca="false">IF(AND('Bonding Program'!$S$48=1,AJ$3='Bonding Program'!$H$48),'Bonding Program'!$T$48,0)</f>
        <v>0</v>
      </c>
      <c r="AK143" s="19" t="n">
        <f aca="false">IF(AND('Bonding Program'!$S$48=1,AK$3='Bonding Program'!$H$48),'Bonding Program'!$T$48,0)</f>
        <v>0</v>
      </c>
      <c r="AL143" s="19" t="n">
        <f aca="false">IF(AND('Bonding Program'!$S$48=1,AL$3='Bonding Program'!$H$48),'Bonding Program'!$T$48,0)</f>
        <v>0</v>
      </c>
      <c r="AM143" s="19" t="n">
        <f aca="false">IF(AND('Bonding Program'!$S$48=1,AM$3='Bonding Program'!$H$48),'Bonding Program'!$T$48,0)</f>
        <v>0</v>
      </c>
      <c r="AN143" s="19" t="n">
        <f aca="false">IF(AND('Bonding Program'!$S$48=1,AN$3='Bonding Program'!$H$48),'Bonding Program'!$T$48,0)</f>
        <v>0</v>
      </c>
      <c r="AO143" s="19" t="n">
        <f aca="false">IF(AND('Bonding Program'!$S$48=1,AO$3='Bonding Program'!$H$48),'Bonding Program'!$T$48,0)</f>
        <v>0</v>
      </c>
      <c r="AP143" s="19" t="n">
        <f aca="false">IF(AND('Bonding Program'!$S$48=1,AP$3='Bonding Program'!$H$48),'Bonding Program'!$T$48,0)</f>
        <v>0</v>
      </c>
      <c r="AQ143" s="19" t="n">
        <f aca="false">IF(AND('Bonding Program'!$S$48=1,AQ$3='Bonding Program'!$H$48),'Bonding Program'!$T$48,0)</f>
        <v>0</v>
      </c>
      <c r="AR143" s="19" t="n">
        <f aca="false">IF(AND('Bonding Program'!$S$48=1,AR$3='Bonding Program'!$H$48),'Bonding Program'!$T$48,0)</f>
        <v>0</v>
      </c>
      <c r="AS143" s="19" t="n">
        <f aca="false">IF(AND('Bonding Program'!$S$48=1,AS$3='Bonding Program'!$H$48),'Bonding Program'!$T$48,0)</f>
        <v>0</v>
      </c>
      <c r="AT143" s="19" t="n">
        <f aca="false">IF(AND('Bonding Program'!$S$48=1,AT$3='Bonding Program'!$H$48),'Bonding Program'!$T$48,0)</f>
        <v>0</v>
      </c>
      <c r="AU143" s="19" t="n">
        <f aca="false">IF(AND('Bonding Program'!$S$48=1,AU$3='Bonding Program'!$H$48),'Bonding Program'!$T$48,0)</f>
        <v>0</v>
      </c>
      <c r="AV143" s="19" t="n">
        <f aca="false">IF(AND('Bonding Program'!$S$48=1,AV$3='Bonding Program'!$H$48),'Bonding Program'!$T$48,0)</f>
        <v>0</v>
      </c>
      <c r="AW143" s="19" t="n">
        <f aca="false">IF(AND('Bonding Program'!$S$48=1,AW$3='Bonding Program'!$H$48),'Bonding Program'!$T$48,0)</f>
        <v>0</v>
      </c>
      <c r="AX143" s="19" t="n">
        <f aca="false">IF(AND('Bonding Program'!$S$48=1,AX$3='Bonding Program'!$H$48),'Bonding Program'!$T$48,0)</f>
        <v>0</v>
      </c>
      <c r="AY143" s="19" t="n">
        <f aca="false">IF(AND('Bonding Program'!$S$48=1,AY$3='Bonding Program'!$H$48),'Bonding Program'!$T$48,0)</f>
        <v>0</v>
      </c>
      <c r="AZ143" s="19" t="n">
        <f aca="false">IF(AND('Bonding Program'!$S$48=1,AZ$3='Bonding Program'!$H$48),'Bonding Program'!$T$48,0)</f>
        <v>0</v>
      </c>
      <c r="BA143" s="19" t="n">
        <f aca="false">IF(AND('Bonding Program'!$S$48=1,BA$3='Bonding Program'!$H$48),'Bonding Program'!$T$48,0)</f>
        <v>0</v>
      </c>
      <c r="BB143" s="19" t="n">
        <f aca="false">IF(AND('Bonding Program'!$S$48=1,BB$3='Bonding Program'!$H$48),'Bonding Program'!$T$48,0)</f>
        <v>0</v>
      </c>
      <c r="BC143" s="19" t="n">
        <f aca="false">IF(AND('Bonding Program'!$S$48=1,BC$3='Bonding Program'!$H$48),'Bonding Program'!$T$48,0)</f>
        <v>0</v>
      </c>
      <c r="BD143" s="19" t="n">
        <f aca="false">IF(AND('Bonding Program'!$S$48=1,BD$3='Bonding Program'!$H$48),'Bonding Program'!$T$48,0)</f>
        <v>0</v>
      </c>
      <c r="BE143" s="19" t="n">
        <f aca="false">IF(AND('Bonding Program'!$S$48=1,BE$3='Bonding Program'!$H$48),'Bonding Program'!$T$48,0)</f>
        <v>0</v>
      </c>
      <c r="BF143" s="19" t="n">
        <f aca="false">IF(AND('Bonding Program'!$S$48=1,BF$3='Bonding Program'!$H$48),'Bonding Program'!$T$48,0)</f>
        <v>0</v>
      </c>
      <c r="BG143" s="19" t="n">
        <f aca="false">IF(AND('Bonding Program'!$S$48=1,BG$3='Bonding Program'!$H$48),'Bonding Program'!$T$48,0)</f>
        <v>0</v>
      </c>
      <c r="BH143" s="19" t="n">
        <f aca="false">IF(AND('Bonding Program'!$S$48=1,BH$3='Bonding Program'!$H$48),'Bonding Program'!$T$48,0)</f>
        <v>0</v>
      </c>
      <c r="BI143" s="19" t="n">
        <f aca="false">IF(AND('Bonding Program'!$S$48=1,BI$3='Bonding Program'!$H$48),'Bonding Program'!$T$48,0)</f>
        <v>0</v>
      </c>
      <c r="BJ143" s="19" t="n">
        <f aca="false">IF(AND('Bonding Program'!$S$48=1,BJ$3='Bonding Program'!$H$48),'Bonding Program'!$T$48,0)</f>
        <v>0</v>
      </c>
      <c r="BK143" s="19" t="n">
        <f aca="false">IF(AND('Bonding Program'!$S$48=1,BK$3='Bonding Program'!$H$48),'Bonding Program'!$T$48,0)</f>
        <v>0</v>
      </c>
      <c r="BL143" s="19" t="n">
        <f aca="false">IF(AND('Bonding Program'!$S$48=1,BL$3='Bonding Program'!$H$48),'Bonding Program'!$T$48,0)</f>
        <v>0</v>
      </c>
      <c r="BM143" s="19" t="n">
        <f aca="false">IF(AND('Bonding Program'!$S$48=1,BM$3='Bonding Program'!$H$48),'Bonding Program'!$T$48,0)</f>
        <v>0</v>
      </c>
      <c r="BN143" s="19" t="n">
        <f aca="false">IF(AND('Bonding Program'!$S$48=1,BN$3='Bonding Program'!$H$48),'Bonding Program'!$T$48,0)</f>
        <v>0</v>
      </c>
      <c r="BO143" s="19" t="n">
        <f aca="false">IF(AND('Bonding Program'!$S$48=1,BO$3='Bonding Program'!$H$48),'Bonding Program'!$T$48,0)</f>
        <v>0</v>
      </c>
      <c r="BP143" s="19" t="n">
        <f aca="false">IF(AND('Bonding Program'!$S$48=1,BP$3='Bonding Program'!$H$48),'Bonding Program'!$T$48,0)</f>
        <v>0</v>
      </c>
      <c r="BQ143" s="19" t="n">
        <f aca="false">IF(AND('Bonding Program'!$S$48=1,BQ$3='Bonding Program'!$H$48),'Bonding Program'!$T$48,0)</f>
        <v>0</v>
      </c>
      <c r="BR143" s="19" t="n">
        <f aca="false">IF(AND('Bonding Program'!$S$48=1,BR$3='Bonding Program'!$H$48),'Bonding Program'!$T$48,0)</f>
        <v>0</v>
      </c>
      <c r="BS143" s="19" t="n">
        <f aca="false">IF(AND('Bonding Program'!$S$48=1,BS$3='Bonding Program'!$H$48),'Bonding Program'!$T$48,0)</f>
        <v>0</v>
      </c>
      <c r="BT143" s="19" t="n">
        <f aca="false">IF(AND('Bonding Program'!$S$48=1,BT$3='Bonding Program'!$H$48),'Bonding Program'!$T$48,0)</f>
        <v>0</v>
      </c>
      <c r="BU143" s="19" t="n">
        <f aca="false">IF(AND('Bonding Program'!$S$48=1,BU$3='Bonding Program'!$H$48),'Bonding Program'!$T$48,0)</f>
        <v>0</v>
      </c>
      <c r="BV143" s="19" t="n">
        <f aca="false">IF(AND('Bonding Program'!$S$48=1,BV$3='Bonding Program'!$H$48),'Bonding Program'!$T$48,0)</f>
        <v>0</v>
      </c>
      <c r="BW143" s="19" t="n">
        <f aca="false">IF(AND('Bonding Program'!$S$48=1,BW$3='Bonding Program'!$H$48),'Bonding Program'!$T$48,0)</f>
        <v>0</v>
      </c>
      <c r="BX143" s="19" t="n">
        <f aca="false">IF(AND('Bonding Program'!$S$48=1,BX$3='Bonding Program'!$H$48),'Bonding Program'!$T$48,0)</f>
        <v>0</v>
      </c>
      <c r="BY143" s="19" t="n">
        <f aca="false">IF(AND('Bonding Program'!$S$48=1,BY$3='Bonding Program'!$H$48),'Bonding Program'!$T$48,0)</f>
        <v>0</v>
      </c>
      <c r="BZ143" s="19" t="n">
        <f aca="false">IF(AND('Bonding Program'!$S$48=1,BZ$3='Bonding Program'!$H$48),'Bonding Program'!$T$48,0)</f>
        <v>0</v>
      </c>
      <c r="CA143" s="19" t="n">
        <f aca="false">IF(AND('Bonding Program'!$S$48=1,CA$3='Bonding Program'!$H$48),'Bonding Program'!$T$48,0)</f>
        <v>0</v>
      </c>
      <c r="CB143" s="19" t="n">
        <f aca="false">IF(AND('Bonding Program'!$S$48=1,CB$3='Bonding Program'!$H$48),'Bonding Program'!$T$48,0)</f>
        <v>0</v>
      </c>
      <c r="CC143" s="19" t="n">
        <f aca="false">IF(AND('Bonding Program'!$S$48=1,CC$3='Bonding Program'!$H$48),'Bonding Program'!$T$48,0)</f>
        <v>0</v>
      </c>
      <c r="CD143" s="19" t="n">
        <f aca="false">IF(AND('Bonding Program'!$S$48=1,CD$3='Bonding Program'!$H$48),'Bonding Program'!$T$48,0)</f>
        <v>0</v>
      </c>
      <c r="CE143" s="19" t="n">
        <f aca="false">IF(AND('Bonding Program'!$S$48=1,CE$3='Bonding Program'!$H$48),'Bonding Program'!$T$48,0)</f>
        <v>0</v>
      </c>
      <c r="CF143" s="19" t="n">
        <f aca="false">IF(AND('Bonding Program'!$S$48=1,CF$3='Bonding Program'!$H$48),'Bonding Program'!$T$48,0)</f>
        <v>0</v>
      </c>
      <c r="CG143" s="19" t="n">
        <f aca="false">IF(AND('Bonding Program'!$S$48=1,CG$3='Bonding Program'!$H$48),'Bonding Program'!$T$48,0)</f>
        <v>0</v>
      </c>
      <c r="CH143" s="19" t="n">
        <f aca="false">IF(AND('Bonding Program'!$S$48=1,CH$3='Bonding Program'!$H$48),'Bonding Program'!$T$48,0)</f>
        <v>0</v>
      </c>
      <c r="CI143" s="19" t="n">
        <f aca="false">IF(AND('Bonding Program'!$S$48=1,CI$3='Bonding Program'!$H$48),'Bonding Program'!$T$48,0)</f>
        <v>0</v>
      </c>
      <c r="CJ143" s="19" t="n">
        <f aca="false">IF(AND('Bonding Program'!$S$48=1,CJ$3='Bonding Program'!$H$48),'Bonding Program'!$T$48,0)</f>
        <v>0</v>
      </c>
      <c r="CK143" s="19" t="n">
        <f aca="false">IF(AND('Bonding Program'!$S$48=1,CK$3='Bonding Program'!$H$48),'Bonding Program'!$T$48,0)</f>
        <v>0</v>
      </c>
      <c r="CL143" s="19" t="n">
        <f aca="false">IF(AND('Bonding Program'!$S$48=1,CL$3='Bonding Program'!$H$48),'Bonding Program'!$T$48,0)</f>
        <v>0</v>
      </c>
      <c r="CM143" s="19" t="n">
        <f aca="false">IF(AND('Bonding Program'!$S$48=1,CM$3='Bonding Program'!$H$48),'Bonding Program'!$T$48,0)</f>
        <v>0</v>
      </c>
      <c r="CN143" s="19" t="n">
        <f aca="false">IF(AND('Bonding Program'!$S$48=1,CN$3='Bonding Program'!$H$48),'Bonding Program'!$T$48,0)</f>
        <v>0</v>
      </c>
      <c r="CO143" s="19" t="n">
        <f aca="false">IF(AND('Bonding Program'!$S$48=1,CO$3='Bonding Program'!$H$48),'Bonding Program'!$T$48,0)</f>
        <v>0</v>
      </c>
      <c r="CP143" s="19" t="n">
        <f aca="false">IF(AND('Bonding Program'!$S$48=1,CP$3='Bonding Program'!$H$48),'Bonding Program'!$T$48,0)</f>
        <v>0</v>
      </c>
      <c r="CQ143" s="19" t="n">
        <f aca="false">IF(AND('Bonding Program'!$S$48=1,CQ$3='Bonding Program'!$H$48),'Bonding Program'!$T$48,0)</f>
        <v>0</v>
      </c>
      <c r="CR143" s="19" t="n">
        <f aca="false">IF(AND('Bonding Program'!$S$48=1,CR$3='Bonding Program'!$H$48),'Bonding Program'!$T$48,0)</f>
        <v>0</v>
      </c>
      <c r="CS143" s="19" t="n">
        <f aca="false">IF(AND('Bonding Program'!$S$48=1,CS$3='Bonding Program'!$H$48),'Bonding Program'!$T$48,0)</f>
        <v>0</v>
      </c>
      <c r="CT143" s="19" t="n">
        <f aca="false">IF(AND('Bonding Program'!$S$48=1,CT$3='Bonding Program'!$H$48),'Bonding Program'!$T$48,0)</f>
        <v>0</v>
      </c>
      <c r="CU143" s="19" t="n">
        <f aca="false">IF(AND('Bonding Program'!$S$48=1,CU$3='Bonding Program'!$H$48),'Bonding Program'!$T$48,0)</f>
        <v>0</v>
      </c>
      <c r="CV143" s="19" t="n">
        <f aca="false">IF(AND('Bonding Program'!$S$48=1,CV$3='Bonding Program'!$H$48),'Bonding Program'!$T$48,0)</f>
        <v>0</v>
      </c>
      <c r="CW143" s="19" t="n">
        <f aca="false">IF(AND('Bonding Program'!$S$48=1,CW$3='Bonding Program'!$H$48),'Bonding Program'!$T$48,0)</f>
        <v>0</v>
      </c>
      <c r="CX143" s="19" t="n">
        <f aca="false">IF(AND('Bonding Program'!$S$48=1,CX$3='Bonding Program'!$H$48),'Bonding Program'!$T$48,0)</f>
        <v>0</v>
      </c>
      <c r="CY143" s="19" t="n">
        <f aca="false">IF(AND('Bonding Program'!$S$48=1,CY$3='Bonding Program'!$H$48),'Bonding Program'!$T$48,0)</f>
        <v>0</v>
      </c>
      <c r="CZ143" s="19" t="n">
        <f aca="false">IF(AND('Bonding Program'!$S$48=1,CZ$3='Bonding Program'!$H$48),'Bonding Program'!$T$48,0)</f>
        <v>0</v>
      </c>
      <c r="DA143" s="19" t="n">
        <f aca="false">IF(AND('Bonding Program'!$S$48=1,DA$3='Bonding Program'!$H$48),'Bonding Program'!$T$48,0)</f>
        <v>0</v>
      </c>
      <c r="DB143" s="19" t="n">
        <f aca="false">IF(AND('Bonding Program'!$S$48=1,DB$3='Bonding Program'!$H$48),'Bonding Program'!$T$48,0)</f>
        <v>0</v>
      </c>
      <c r="DC143" s="19" t="n">
        <f aca="false">IF(AND('Bonding Program'!$S$48=1,DC$3='Bonding Program'!$H$48),'Bonding Program'!$T$48,0)</f>
        <v>0</v>
      </c>
      <c r="DD143" s="19" t="n">
        <f aca="false">IF(AND('Bonding Program'!$S$48=1,DD$3='Bonding Program'!$H$48),'Bonding Program'!$T$48,0)</f>
        <v>0</v>
      </c>
      <c r="DE143" s="19" t="n">
        <f aca="false">IF(AND('Bonding Program'!$S$48=1,DE$3='Bonding Program'!$H$48),'Bonding Program'!$T$48,0)</f>
        <v>0</v>
      </c>
    </row>
    <row r="144" customFormat="false" ht="15" hidden="false" customHeight="true" outlineLevel="1" collapsed="false">
      <c r="A144" s="28" t="s">
        <v>45</v>
      </c>
      <c r="B144" s="19" t="n">
        <f aca="false">IF(AND('Bonding Program'!$S$49=1,B$3='Bonding Program'!$H$49),'Bonding Program'!$T$49,0)</f>
        <v>0</v>
      </c>
      <c r="C144" s="19" t="n">
        <f aca="false">IF(AND('Bonding Program'!$S$49=1,C$3='Bonding Program'!$H$49),'Bonding Program'!$T$49,0)</f>
        <v>0</v>
      </c>
      <c r="D144" s="19" t="n">
        <f aca="false">IF(AND('Bonding Program'!$S$49=1,D$3='Bonding Program'!$H$49),'Bonding Program'!$T$49,0)</f>
        <v>0</v>
      </c>
      <c r="E144" s="19" t="n">
        <f aca="false">IF(AND('Bonding Program'!$S$49=1,E$3='Bonding Program'!$H$49),'Bonding Program'!$T$49,0)</f>
        <v>0</v>
      </c>
      <c r="F144" s="19" t="n">
        <f aca="false">IF(AND('Bonding Program'!$S$49=1,F$3='Bonding Program'!$H$49),'Bonding Program'!$T$49,0)</f>
        <v>0</v>
      </c>
      <c r="G144" s="19" t="n">
        <f aca="false">IF(AND('Bonding Program'!$S$49=1,G$3='Bonding Program'!$H$49),'Bonding Program'!$T$49,0)</f>
        <v>0</v>
      </c>
      <c r="H144" s="19" t="n">
        <f aca="false">IF(AND('Bonding Program'!$S$49=1,H$3='Bonding Program'!$H$49),'Bonding Program'!$T$49,0)</f>
        <v>0</v>
      </c>
      <c r="I144" s="19" t="n">
        <f aca="false">IF(AND('Bonding Program'!$S$49=1,I$3='Bonding Program'!$H$49),'Bonding Program'!$T$49,0)</f>
        <v>0</v>
      </c>
      <c r="J144" s="19" t="n">
        <f aca="false">IF(AND('Bonding Program'!$S$49=1,J$3='Bonding Program'!$H$49),'Bonding Program'!$T$49,0)</f>
        <v>0</v>
      </c>
      <c r="K144" s="19" t="n">
        <f aca="false">IF(AND('Bonding Program'!$S$49=1,K$3='Bonding Program'!$H$49),'Bonding Program'!$T$49,0)</f>
        <v>0</v>
      </c>
      <c r="L144" s="19" t="n">
        <f aca="false">IF(AND('Bonding Program'!$S$49=1,L$3='Bonding Program'!$H$49),'Bonding Program'!$T$49,0)</f>
        <v>0</v>
      </c>
      <c r="M144" s="19" t="n">
        <f aca="false">IF(AND('Bonding Program'!$S$49=1,M$3='Bonding Program'!$H$49),'Bonding Program'!$T$49,0)</f>
        <v>0</v>
      </c>
      <c r="N144" s="19" t="n">
        <f aca="false">IF(AND('Bonding Program'!$S$49=1,N$3='Bonding Program'!$H$49),'Bonding Program'!$T$49,0)</f>
        <v>0</v>
      </c>
      <c r="O144" s="19" t="n">
        <f aca="false">IF(AND('Bonding Program'!$S$49=1,O$3='Bonding Program'!$H$49),'Bonding Program'!$T$49,0)</f>
        <v>0</v>
      </c>
      <c r="P144" s="19" t="n">
        <f aca="false">IF(AND('Bonding Program'!$S$49=1,P$3='Bonding Program'!$H$49),'Bonding Program'!$T$49,0)</f>
        <v>0</v>
      </c>
      <c r="Q144" s="19" t="n">
        <f aca="false">IF(AND('Bonding Program'!$S$49=1,Q$3='Bonding Program'!$H$49),'Bonding Program'!$T$49,0)</f>
        <v>0</v>
      </c>
      <c r="R144" s="19" t="n">
        <f aca="false">IF(AND('Bonding Program'!$S$49=1,R$3='Bonding Program'!$H$49),'Bonding Program'!$T$49,0)</f>
        <v>0</v>
      </c>
      <c r="S144" s="19" t="n">
        <f aca="false">IF(AND('Bonding Program'!$S$49=1,S$3='Bonding Program'!$H$49),'Bonding Program'!$T$49,0)</f>
        <v>0</v>
      </c>
      <c r="T144" s="19" t="n">
        <f aca="false">IF(AND('Bonding Program'!$S$49=1,T$3='Bonding Program'!$H$49),'Bonding Program'!$T$49,0)</f>
        <v>0</v>
      </c>
      <c r="U144" s="19" t="n">
        <f aca="false">IF(AND('Bonding Program'!$S$49=1,U$3='Bonding Program'!$H$49),'Bonding Program'!$T$49,0)</f>
        <v>0</v>
      </c>
      <c r="V144" s="19" t="n">
        <f aca="false">IF(AND('Bonding Program'!$S$49=1,V$3='Bonding Program'!$H$49),'Bonding Program'!$T$49,0)</f>
        <v>0</v>
      </c>
      <c r="W144" s="19" t="n">
        <f aca="false">IF(AND('Bonding Program'!$S$49=1,W$3='Bonding Program'!$H$49),'Bonding Program'!$T$49,0)</f>
        <v>0</v>
      </c>
      <c r="X144" s="19" t="n">
        <f aca="false">IF(AND('Bonding Program'!$S$49=1,X$3='Bonding Program'!$H$49),'Bonding Program'!$T$49,0)</f>
        <v>0</v>
      </c>
      <c r="Y144" s="19" t="n">
        <f aca="false">IF(AND('Bonding Program'!$S$49=1,Y$3='Bonding Program'!$H$49),'Bonding Program'!$T$49,0)</f>
        <v>0</v>
      </c>
      <c r="Z144" s="19" t="n">
        <f aca="false">IF(AND('Bonding Program'!$S$49=1,Z$3='Bonding Program'!$H$49),'Bonding Program'!$T$49,0)</f>
        <v>0</v>
      </c>
      <c r="AA144" s="19" t="n">
        <f aca="false">IF(AND('Bonding Program'!$S$49=1,AA$3='Bonding Program'!$H$49),'Bonding Program'!$T$49,0)</f>
        <v>0</v>
      </c>
      <c r="AB144" s="19" t="n">
        <f aca="false">IF(AND('Bonding Program'!$S$49=1,AB$3='Bonding Program'!$H$49),'Bonding Program'!$T$49,0)</f>
        <v>0</v>
      </c>
      <c r="AC144" s="19" t="n">
        <f aca="false">IF(AND('Bonding Program'!$S$49=1,AC$3='Bonding Program'!$H$49),'Bonding Program'!$T$49,0)</f>
        <v>0</v>
      </c>
      <c r="AD144" s="19" t="n">
        <f aca="false">IF(AND('Bonding Program'!$S$49=1,AD$3='Bonding Program'!$H$49),'Bonding Program'!$T$49,0)</f>
        <v>0</v>
      </c>
      <c r="AE144" s="19" t="n">
        <f aca="false">IF(AND('Bonding Program'!$S$49=1,AE$3='Bonding Program'!$H$49),'Bonding Program'!$T$49,0)</f>
        <v>0</v>
      </c>
      <c r="AF144" s="19" t="n">
        <f aca="false">IF(AND('Bonding Program'!$S$49=1,AF$3='Bonding Program'!$H$49),'Bonding Program'!$T$49,0)</f>
        <v>0</v>
      </c>
      <c r="AG144" s="19" t="n">
        <f aca="false">IF(AND('Bonding Program'!$S$49=1,AG$3='Bonding Program'!$H$49),'Bonding Program'!$T$49,0)</f>
        <v>0</v>
      </c>
      <c r="AH144" s="19" t="n">
        <f aca="false">IF(AND('Bonding Program'!$S$49=1,AH$3='Bonding Program'!$H$49),'Bonding Program'!$T$49,0)</f>
        <v>0</v>
      </c>
      <c r="AI144" s="19" t="n">
        <f aca="false">IF(AND('Bonding Program'!$S$49=1,AI$3='Bonding Program'!$H$49),'Bonding Program'!$T$49,0)</f>
        <v>0</v>
      </c>
      <c r="AJ144" s="19" t="n">
        <f aca="false">IF(AND('Bonding Program'!$S$49=1,AJ$3='Bonding Program'!$H$49),'Bonding Program'!$T$49,0)</f>
        <v>0</v>
      </c>
      <c r="AK144" s="19" t="n">
        <f aca="false">IF(AND('Bonding Program'!$S$49=1,AK$3='Bonding Program'!$H$49),'Bonding Program'!$T$49,0)</f>
        <v>0</v>
      </c>
      <c r="AL144" s="19" t="n">
        <f aca="false">IF(AND('Bonding Program'!$S$49=1,AL$3='Bonding Program'!$H$49),'Bonding Program'!$T$49,0)</f>
        <v>0</v>
      </c>
      <c r="AM144" s="19" t="n">
        <f aca="false">IF(AND('Bonding Program'!$S$49=1,AM$3='Bonding Program'!$H$49),'Bonding Program'!$T$49,0)</f>
        <v>0</v>
      </c>
      <c r="AN144" s="19" t="n">
        <f aca="false">IF(AND('Bonding Program'!$S$49=1,AN$3='Bonding Program'!$H$49),'Bonding Program'!$T$49,0)</f>
        <v>0</v>
      </c>
      <c r="AO144" s="19" t="n">
        <f aca="false">IF(AND('Bonding Program'!$S$49=1,AO$3='Bonding Program'!$H$49),'Bonding Program'!$T$49,0)</f>
        <v>0</v>
      </c>
      <c r="AP144" s="19" t="n">
        <f aca="false">IF(AND('Bonding Program'!$S$49=1,AP$3='Bonding Program'!$H$49),'Bonding Program'!$T$49,0)</f>
        <v>0</v>
      </c>
      <c r="AQ144" s="19" t="n">
        <f aca="false">IF(AND('Bonding Program'!$S$49=1,AQ$3='Bonding Program'!$H$49),'Bonding Program'!$T$49,0)</f>
        <v>0</v>
      </c>
      <c r="AR144" s="19" t="n">
        <f aca="false">IF(AND('Bonding Program'!$S$49=1,AR$3='Bonding Program'!$H$49),'Bonding Program'!$T$49,0)</f>
        <v>0</v>
      </c>
      <c r="AS144" s="19" t="n">
        <f aca="false">IF(AND('Bonding Program'!$S$49=1,AS$3='Bonding Program'!$H$49),'Bonding Program'!$T$49,0)</f>
        <v>0</v>
      </c>
      <c r="AT144" s="19" t="n">
        <f aca="false">IF(AND('Bonding Program'!$S$49=1,AT$3='Bonding Program'!$H$49),'Bonding Program'!$T$49,0)</f>
        <v>0</v>
      </c>
      <c r="AU144" s="19" t="n">
        <f aca="false">IF(AND('Bonding Program'!$S$49=1,AU$3='Bonding Program'!$H$49),'Bonding Program'!$T$49,0)</f>
        <v>0</v>
      </c>
      <c r="AV144" s="19" t="n">
        <f aca="false">IF(AND('Bonding Program'!$S$49=1,AV$3='Bonding Program'!$H$49),'Bonding Program'!$T$49,0)</f>
        <v>0</v>
      </c>
      <c r="AW144" s="19" t="n">
        <f aca="false">IF(AND('Bonding Program'!$S$49=1,AW$3='Bonding Program'!$H$49),'Bonding Program'!$T$49,0)</f>
        <v>0</v>
      </c>
      <c r="AX144" s="19" t="n">
        <f aca="false">IF(AND('Bonding Program'!$S$49=1,AX$3='Bonding Program'!$H$49),'Bonding Program'!$T$49,0)</f>
        <v>0</v>
      </c>
      <c r="AY144" s="19" t="n">
        <f aca="false">IF(AND('Bonding Program'!$S$49=1,AY$3='Bonding Program'!$H$49),'Bonding Program'!$T$49,0)</f>
        <v>0</v>
      </c>
      <c r="AZ144" s="19" t="n">
        <f aca="false">IF(AND('Bonding Program'!$S$49=1,AZ$3='Bonding Program'!$H$49),'Bonding Program'!$T$49,0)</f>
        <v>0</v>
      </c>
      <c r="BA144" s="19" t="n">
        <f aca="false">IF(AND('Bonding Program'!$S$49=1,BA$3='Bonding Program'!$H$49),'Bonding Program'!$T$49,0)</f>
        <v>0</v>
      </c>
      <c r="BB144" s="19" t="n">
        <f aca="false">IF(AND('Bonding Program'!$S$49=1,BB$3='Bonding Program'!$H$49),'Bonding Program'!$T$49,0)</f>
        <v>0</v>
      </c>
      <c r="BC144" s="19" t="n">
        <f aca="false">IF(AND('Bonding Program'!$S$49=1,BC$3='Bonding Program'!$H$49),'Bonding Program'!$T$49,0)</f>
        <v>0</v>
      </c>
      <c r="BD144" s="19" t="n">
        <f aca="false">IF(AND('Bonding Program'!$S$49=1,BD$3='Bonding Program'!$H$49),'Bonding Program'!$T$49,0)</f>
        <v>0</v>
      </c>
      <c r="BE144" s="19" t="n">
        <f aca="false">IF(AND('Bonding Program'!$S$49=1,BE$3='Bonding Program'!$H$49),'Bonding Program'!$T$49,0)</f>
        <v>0</v>
      </c>
      <c r="BF144" s="19" t="n">
        <f aca="false">IF(AND('Bonding Program'!$S$49=1,BF$3='Bonding Program'!$H$49),'Bonding Program'!$T$49,0)</f>
        <v>0</v>
      </c>
      <c r="BG144" s="19" t="n">
        <f aca="false">IF(AND('Bonding Program'!$S$49=1,BG$3='Bonding Program'!$H$49),'Bonding Program'!$T$49,0)</f>
        <v>0</v>
      </c>
      <c r="BH144" s="19" t="n">
        <f aca="false">IF(AND('Bonding Program'!$S$49=1,BH$3='Bonding Program'!$H$49),'Bonding Program'!$T$49,0)</f>
        <v>0</v>
      </c>
      <c r="BI144" s="19" t="n">
        <f aca="false">IF(AND('Bonding Program'!$S$49=1,BI$3='Bonding Program'!$H$49),'Bonding Program'!$T$49,0)</f>
        <v>0</v>
      </c>
      <c r="BJ144" s="19" t="n">
        <f aca="false">IF(AND('Bonding Program'!$S$49=1,BJ$3='Bonding Program'!$H$49),'Bonding Program'!$T$49,0)</f>
        <v>0</v>
      </c>
      <c r="BK144" s="19" t="n">
        <f aca="false">IF(AND('Bonding Program'!$S$49=1,BK$3='Bonding Program'!$H$49),'Bonding Program'!$T$49,0)</f>
        <v>0</v>
      </c>
      <c r="BL144" s="19" t="n">
        <f aca="false">IF(AND('Bonding Program'!$S$49=1,BL$3='Bonding Program'!$H$49),'Bonding Program'!$T$49,0)</f>
        <v>0</v>
      </c>
      <c r="BM144" s="19" t="n">
        <f aca="false">IF(AND('Bonding Program'!$S$49=1,BM$3='Bonding Program'!$H$49),'Bonding Program'!$T$49,0)</f>
        <v>0</v>
      </c>
      <c r="BN144" s="19" t="n">
        <f aca="false">IF(AND('Bonding Program'!$S$49=1,BN$3='Bonding Program'!$H$49),'Bonding Program'!$T$49,0)</f>
        <v>0</v>
      </c>
      <c r="BO144" s="19" t="n">
        <f aca="false">IF(AND('Bonding Program'!$S$49=1,BO$3='Bonding Program'!$H$49),'Bonding Program'!$T$49,0)</f>
        <v>0</v>
      </c>
      <c r="BP144" s="19" t="n">
        <f aca="false">IF(AND('Bonding Program'!$S$49=1,BP$3='Bonding Program'!$H$49),'Bonding Program'!$T$49,0)</f>
        <v>0</v>
      </c>
      <c r="BQ144" s="19" t="n">
        <f aca="false">IF(AND('Bonding Program'!$S$49=1,BQ$3='Bonding Program'!$H$49),'Bonding Program'!$T$49,0)</f>
        <v>0</v>
      </c>
      <c r="BR144" s="19" t="n">
        <f aca="false">IF(AND('Bonding Program'!$S$49=1,BR$3='Bonding Program'!$H$49),'Bonding Program'!$T$49,0)</f>
        <v>0</v>
      </c>
      <c r="BS144" s="19" t="n">
        <f aca="false">IF(AND('Bonding Program'!$S$49=1,BS$3='Bonding Program'!$H$49),'Bonding Program'!$T$49,0)</f>
        <v>0</v>
      </c>
      <c r="BT144" s="19" t="n">
        <f aca="false">IF(AND('Bonding Program'!$S$49=1,BT$3='Bonding Program'!$H$49),'Bonding Program'!$T$49,0)</f>
        <v>0</v>
      </c>
      <c r="BU144" s="19" t="n">
        <f aca="false">IF(AND('Bonding Program'!$S$49=1,BU$3='Bonding Program'!$H$49),'Bonding Program'!$T$49,0)</f>
        <v>0</v>
      </c>
      <c r="BV144" s="19" t="n">
        <f aca="false">IF(AND('Bonding Program'!$S$49=1,BV$3='Bonding Program'!$H$49),'Bonding Program'!$T$49,0)</f>
        <v>0</v>
      </c>
      <c r="BW144" s="19" t="n">
        <f aca="false">IF(AND('Bonding Program'!$S$49=1,BW$3='Bonding Program'!$H$49),'Bonding Program'!$T$49,0)</f>
        <v>0</v>
      </c>
      <c r="BX144" s="19" t="n">
        <f aca="false">IF(AND('Bonding Program'!$S$49=1,BX$3='Bonding Program'!$H$49),'Bonding Program'!$T$49,0)</f>
        <v>0</v>
      </c>
      <c r="BY144" s="19" t="n">
        <f aca="false">IF(AND('Bonding Program'!$S$49=1,BY$3='Bonding Program'!$H$49),'Bonding Program'!$T$49,0)</f>
        <v>0</v>
      </c>
      <c r="BZ144" s="19" t="n">
        <f aca="false">IF(AND('Bonding Program'!$S$49=1,BZ$3='Bonding Program'!$H$49),'Bonding Program'!$T$49,0)</f>
        <v>0</v>
      </c>
      <c r="CA144" s="19" t="n">
        <f aca="false">IF(AND('Bonding Program'!$S$49=1,CA$3='Bonding Program'!$H$49),'Bonding Program'!$T$49,0)</f>
        <v>0</v>
      </c>
      <c r="CB144" s="19" t="n">
        <f aca="false">IF(AND('Bonding Program'!$S$49=1,CB$3='Bonding Program'!$H$49),'Bonding Program'!$T$49,0)</f>
        <v>0</v>
      </c>
      <c r="CC144" s="19" t="n">
        <f aca="false">IF(AND('Bonding Program'!$S$49=1,CC$3='Bonding Program'!$H$49),'Bonding Program'!$T$49,0)</f>
        <v>0</v>
      </c>
      <c r="CD144" s="19" t="n">
        <f aca="false">IF(AND('Bonding Program'!$S$49=1,CD$3='Bonding Program'!$H$49),'Bonding Program'!$T$49,0)</f>
        <v>0</v>
      </c>
      <c r="CE144" s="19" t="n">
        <f aca="false">IF(AND('Bonding Program'!$S$49=1,CE$3='Bonding Program'!$H$49),'Bonding Program'!$T$49,0)</f>
        <v>0</v>
      </c>
      <c r="CF144" s="19" t="n">
        <f aca="false">IF(AND('Bonding Program'!$S$49=1,CF$3='Bonding Program'!$H$49),'Bonding Program'!$T$49,0)</f>
        <v>0</v>
      </c>
      <c r="CG144" s="19" t="n">
        <f aca="false">IF(AND('Bonding Program'!$S$49=1,CG$3='Bonding Program'!$H$49),'Bonding Program'!$T$49,0)</f>
        <v>0</v>
      </c>
      <c r="CH144" s="19" t="n">
        <f aca="false">IF(AND('Bonding Program'!$S$49=1,CH$3='Bonding Program'!$H$49),'Bonding Program'!$T$49,0)</f>
        <v>0</v>
      </c>
      <c r="CI144" s="19" t="n">
        <f aca="false">IF(AND('Bonding Program'!$S$49=1,CI$3='Bonding Program'!$H$49),'Bonding Program'!$T$49,0)</f>
        <v>0</v>
      </c>
      <c r="CJ144" s="19" t="n">
        <f aca="false">IF(AND('Bonding Program'!$S$49=1,CJ$3='Bonding Program'!$H$49),'Bonding Program'!$T$49,0)</f>
        <v>0</v>
      </c>
      <c r="CK144" s="19" t="n">
        <f aca="false">IF(AND('Bonding Program'!$S$49=1,CK$3='Bonding Program'!$H$49),'Bonding Program'!$T$49,0)</f>
        <v>0</v>
      </c>
      <c r="CL144" s="19" t="n">
        <f aca="false">IF(AND('Bonding Program'!$S$49=1,CL$3='Bonding Program'!$H$49),'Bonding Program'!$T$49,0)</f>
        <v>0</v>
      </c>
      <c r="CM144" s="19" t="n">
        <f aca="false">IF(AND('Bonding Program'!$S$49=1,CM$3='Bonding Program'!$H$49),'Bonding Program'!$T$49,0)</f>
        <v>0</v>
      </c>
      <c r="CN144" s="19" t="n">
        <f aca="false">IF(AND('Bonding Program'!$S$49=1,CN$3='Bonding Program'!$H$49),'Bonding Program'!$T$49,0)</f>
        <v>0</v>
      </c>
      <c r="CO144" s="19" t="n">
        <f aca="false">IF(AND('Bonding Program'!$S$49=1,CO$3='Bonding Program'!$H$49),'Bonding Program'!$T$49,0)</f>
        <v>0</v>
      </c>
      <c r="CP144" s="19" t="n">
        <f aca="false">IF(AND('Bonding Program'!$S$49=1,CP$3='Bonding Program'!$H$49),'Bonding Program'!$T$49,0)</f>
        <v>0</v>
      </c>
      <c r="CQ144" s="19" t="n">
        <f aca="false">IF(AND('Bonding Program'!$S$49=1,CQ$3='Bonding Program'!$H$49),'Bonding Program'!$T$49,0)</f>
        <v>0</v>
      </c>
      <c r="CR144" s="19" t="n">
        <f aca="false">IF(AND('Bonding Program'!$S$49=1,CR$3='Bonding Program'!$H$49),'Bonding Program'!$T$49,0)</f>
        <v>0</v>
      </c>
      <c r="CS144" s="19" t="n">
        <f aca="false">IF(AND('Bonding Program'!$S$49=1,CS$3='Bonding Program'!$H$49),'Bonding Program'!$T$49,0)</f>
        <v>0</v>
      </c>
      <c r="CT144" s="19" t="n">
        <f aca="false">IF(AND('Bonding Program'!$S$49=1,CT$3='Bonding Program'!$H$49),'Bonding Program'!$T$49,0)</f>
        <v>0</v>
      </c>
      <c r="CU144" s="19" t="n">
        <f aca="false">IF(AND('Bonding Program'!$S$49=1,CU$3='Bonding Program'!$H$49),'Bonding Program'!$T$49,0)</f>
        <v>0</v>
      </c>
      <c r="CV144" s="19" t="n">
        <f aca="false">IF(AND('Bonding Program'!$S$49=1,CV$3='Bonding Program'!$H$49),'Bonding Program'!$T$49,0)</f>
        <v>0</v>
      </c>
      <c r="CW144" s="19" t="n">
        <f aca="false">IF(AND('Bonding Program'!$S$49=1,CW$3='Bonding Program'!$H$49),'Bonding Program'!$T$49,0)</f>
        <v>0</v>
      </c>
      <c r="CX144" s="19" t="n">
        <f aca="false">IF(AND('Bonding Program'!$S$49=1,CX$3='Bonding Program'!$H$49),'Bonding Program'!$T$49,0)</f>
        <v>0</v>
      </c>
      <c r="CY144" s="19" t="n">
        <f aca="false">IF(AND('Bonding Program'!$S$49=1,CY$3='Bonding Program'!$H$49),'Bonding Program'!$T$49,0)</f>
        <v>0</v>
      </c>
      <c r="CZ144" s="19" t="n">
        <f aca="false">IF(AND('Bonding Program'!$S$49=1,CZ$3='Bonding Program'!$H$49),'Bonding Program'!$T$49,0)</f>
        <v>0</v>
      </c>
      <c r="DA144" s="19" t="n">
        <f aca="false">IF(AND('Bonding Program'!$S$49=1,DA$3='Bonding Program'!$H$49),'Bonding Program'!$T$49,0)</f>
        <v>0</v>
      </c>
      <c r="DB144" s="19" t="n">
        <f aca="false">IF(AND('Bonding Program'!$S$49=1,DB$3='Bonding Program'!$H$49),'Bonding Program'!$T$49,0)</f>
        <v>0</v>
      </c>
      <c r="DC144" s="19" t="n">
        <f aca="false">IF(AND('Bonding Program'!$S$49=1,DC$3='Bonding Program'!$H$49),'Bonding Program'!$T$49,0)</f>
        <v>0</v>
      </c>
      <c r="DD144" s="19" t="n">
        <f aca="false">IF(AND('Bonding Program'!$S$49=1,DD$3='Bonding Program'!$H$49),'Bonding Program'!$T$49,0)</f>
        <v>0</v>
      </c>
      <c r="DE144" s="19" t="n">
        <f aca="false">IF(AND('Bonding Program'!$S$49=1,DE$3='Bonding Program'!$H$49),'Bonding Program'!$T$49,0)</f>
        <v>0</v>
      </c>
    </row>
    <row r="145" customFormat="false" ht="15" hidden="false" customHeight="true" outlineLevel="1" collapsed="false">
      <c r="A145" s="28" t="s">
        <v>46</v>
      </c>
      <c r="B145" s="19" t="n">
        <f aca="false">IF(AND('Bonding Program'!$S$50=1,B$3='Bonding Program'!$H$50),'Bonding Program'!$T$50,0)</f>
        <v>0</v>
      </c>
      <c r="C145" s="19" t="n">
        <f aca="false">IF(AND('Bonding Program'!$S$50=1,C$3='Bonding Program'!$H$50),'Bonding Program'!$T$50,0)</f>
        <v>0</v>
      </c>
      <c r="D145" s="19" t="n">
        <f aca="false">IF(AND('Bonding Program'!$S$50=1,D$3='Bonding Program'!$H$50),'Bonding Program'!$T$50,0)</f>
        <v>0</v>
      </c>
      <c r="E145" s="19" t="n">
        <f aca="false">IF(AND('Bonding Program'!$S$50=1,E$3='Bonding Program'!$H$50),'Bonding Program'!$T$50,0)</f>
        <v>0</v>
      </c>
      <c r="F145" s="19" t="n">
        <f aca="false">IF(AND('Bonding Program'!$S$50=1,F$3='Bonding Program'!$H$50),'Bonding Program'!$T$50,0)</f>
        <v>0</v>
      </c>
      <c r="G145" s="19" t="n">
        <f aca="false">IF(AND('Bonding Program'!$S$50=1,G$3='Bonding Program'!$H$50),'Bonding Program'!$T$50,0)</f>
        <v>0</v>
      </c>
      <c r="H145" s="19" t="n">
        <f aca="false">IF(AND('Bonding Program'!$S$50=1,H$3='Bonding Program'!$H$50),'Bonding Program'!$T$50,0)</f>
        <v>0</v>
      </c>
      <c r="I145" s="19" t="n">
        <f aca="false">IF(AND('Bonding Program'!$S$50=1,I$3='Bonding Program'!$H$50),'Bonding Program'!$T$50,0)</f>
        <v>0</v>
      </c>
      <c r="J145" s="19" t="n">
        <f aca="false">IF(AND('Bonding Program'!$S$50=1,J$3='Bonding Program'!$H$50),'Bonding Program'!$T$50,0)</f>
        <v>0</v>
      </c>
      <c r="K145" s="19" t="n">
        <f aca="false">IF(AND('Bonding Program'!$S$50=1,K$3='Bonding Program'!$H$50),'Bonding Program'!$T$50,0)</f>
        <v>0</v>
      </c>
      <c r="L145" s="19" t="n">
        <f aca="false">IF(AND('Bonding Program'!$S$50=1,L$3='Bonding Program'!$H$50),'Bonding Program'!$T$50,0)</f>
        <v>0</v>
      </c>
      <c r="M145" s="19" t="n">
        <f aca="false">IF(AND('Bonding Program'!$S$50=1,M$3='Bonding Program'!$H$50),'Bonding Program'!$T$50,0)</f>
        <v>0</v>
      </c>
      <c r="N145" s="19" t="n">
        <f aca="false">IF(AND('Bonding Program'!$S$50=1,N$3='Bonding Program'!$H$50),'Bonding Program'!$T$50,0)</f>
        <v>0</v>
      </c>
      <c r="O145" s="19" t="n">
        <f aca="false">IF(AND('Bonding Program'!$S$50=1,O$3='Bonding Program'!$H$50),'Bonding Program'!$T$50,0)</f>
        <v>0</v>
      </c>
      <c r="P145" s="19" t="n">
        <f aca="false">IF(AND('Bonding Program'!$S$50=1,P$3='Bonding Program'!$H$50),'Bonding Program'!$T$50,0)</f>
        <v>0</v>
      </c>
      <c r="Q145" s="19" t="n">
        <f aca="false">IF(AND('Bonding Program'!$S$50=1,Q$3='Bonding Program'!$H$50),'Bonding Program'!$T$50,0)</f>
        <v>0</v>
      </c>
      <c r="R145" s="19" t="n">
        <f aca="false">IF(AND('Bonding Program'!$S$50=1,R$3='Bonding Program'!$H$50),'Bonding Program'!$T$50,0)</f>
        <v>0</v>
      </c>
      <c r="S145" s="19" t="n">
        <f aca="false">IF(AND('Bonding Program'!$S$50=1,S$3='Bonding Program'!$H$50),'Bonding Program'!$T$50,0)</f>
        <v>0</v>
      </c>
      <c r="T145" s="19" t="n">
        <f aca="false">IF(AND('Bonding Program'!$S$50=1,T$3='Bonding Program'!$H$50),'Bonding Program'!$T$50,0)</f>
        <v>0</v>
      </c>
      <c r="U145" s="19" t="n">
        <f aca="false">IF(AND('Bonding Program'!$S$50=1,U$3='Bonding Program'!$H$50),'Bonding Program'!$T$50,0)</f>
        <v>0</v>
      </c>
      <c r="V145" s="19" t="n">
        <f aca="false">IF(AND('Bonding Program'!$S$50=1,V$3='Bonding Program'!$H$50),'Bonding Program'!$T$50,0)</f>
        <v>0</v>
      </c>
      <c r="W145" s="19" t="n">
        <f aca="false">IF(AND('Bonding Program'!$S$50=1,W$3='Bonding Program'!$H$50),'Bonding Program'!$T$50,0)</f>
        <v>0</v>
      </c>
      <c r="X145" s="19" t="n">
        <f aca="false">IF(AND('Bonding Program'!$S$50=1,X$3='Bonding Program'!$H$50),'Bonding Program'!$T$50,0)</f>
        <v>0</v>
      </c>
      <c r="Y145" s="19" t="n">
        <f aca="false">IF(AND('Bonding Program'!$S$50=1,Y$3='Bonding Program'!$H$50),'Bonding Program'!$T$50,0)</f>
        <v>0</v>
      </c>
      <c r="Z145" s="19" t="n">
        <f aca="false">IF(AND('Bonding Program'!$S$50=1,Z$3='Bonding Program'!$H$50),'Bonding Program'!$T$50,0)</f>
        <v>0</v>
      </c>
      <c r="AA145" s="19" t="n">
        <f aca="false">IF(AND('Bonding Program'!$S$50=1,AA$3='Bonding Program'!$H$50),'Bonding Program'!$T$50,0)</f>
        <v>0</v>
      </c>
      <c r="AB145" s="19" t="n">
        <f aca="false">IF(AND('Bonding Program'!$S$50=1,AB$3='Bonding Program'!$H$50),'Bonding Program'!$T$50,0)</f>
        <v>0</v>
      </c>
      <c r="AC145" s="19" t="n">
        <f aca="false">IF(AND('Bonding Program'!$S$50=1,AC$3='Bonding Program'!$H$50),'Bonding Program'!$T$50,0)</f>
        <v>0</v>
      </c>
      <c r="AD145" s="19" t="n">
        <f aca="false">IF(AND('Bonding Program'!$S$50=1,AD$3='Bonding Program'!$H$50),'Bonding Program'!$T$50,0)</f>
        <v>0</v>
      </c>
      <c r="AE145" s="19" t="n">
        <f aca="false">IF(AND('Bonding Program'!$S$50=1,AE$3='Bonding Program'!$H$50),'Bonding Program'!$T$50,0)</f>
        <v>0</v>
      </c>
      <c r="AF145" s="19" t="n">
        <f aca="false">IF(AND('Bonding Program'!$S$50=1,AF$3='Bonding Program'!$H$50),'Bonding Program'!$T$50,0)</f>
        <v>0</v>
      </c>
      <c r="AG145" s="19" t="n">
        <f aca="false">IF(AND('Bonding Program'!$S$50=1,AG$3='Bonding Program'!$H$50),'Bonding Program'!$T$50,0)</f>
        <v>0</v>
      </c>
      <c r="AH145" s="19" t="n">
        <f aca="false">IF(AND('Bonding Program'!$S$50=1,AH$3='Bonding Program'!$H$50),'Bonding Program'!$T$50,0)</f>
        <v>0</v>
      </c>
      <c r="AI145" s="19" t="n">
        <f aca="false">IF(AND('Bonding Program'!$S$50=1,AI$3='Bonding Program'!$H$50),'Bonding Program'!$T$50,0)</f>
        <v>0</v>
      </c>
      <c r="AJ145" s="19" t="n">
        <f aca="false">IF(AND('Bonding Program'!$S$50=1,AJ$3='Bonding Program'!$H$50),'Bonding Program'!$T$50,0)</f>
        <v>0</v>
      </c>
      <c r="AK145" s="19" t="n">
        <f aca="false">IF(AND('Bonding Program'!$S$50=1,AK$3='Bonding Program'!$H$50),'Bonding Program'!$T$50,0)</f>
        <v>0</v>
      </c>
      <c r="AL145" s="19" t="n">
        <f aca="false">IF(AND('Bonding Program'!$S$50=1,AL$3='Bonding Program'!$H$50),'Bonding Program'!$T$50,0)</f>
        <v>0</v>
      </c>
      <c r="AM145" s="19" t="n">
        <f aca="false">IF(AND('Bonding Program'!$S$50=1,AM$3='Bonding Program'!$H$50),'Bonding Program'!$T$50,0)</f>
        <v>0</v>
      </c>
      <c r="AN145" s="19" t="n">
        <f aca="false">IF(AND('Bonding Program'!$S$50=1,AN$3='Bonding Program'!$H$50),'Bonding Program'!$T$50,0)</f>
        <v>0</v>
      </c>
      <c r="AO145" s="19" t="n">
        <f aca="false">IF(AND('Bonding Program'!$S$50=1,AO$3='Bonding Program'!$H$50),'Bonding Program'!$T$50,0)</f>
        <v>0</v>
      </c>
      <c r="AP145" s="19" t="n">
        <f aca="false">IF(AND('Bonding Program'!$S$50=1,AP$3='Bonding Program'!$H$50),'Bonding Program'!$T$50,0)</f>
        <v>0</v>
      </c>
      <c r="AQ145" s="19" t="n">
        <f aca="false">IF(AND('Bonding Program'!$S$50=1,AQ$3='Bonding Program'!$H$50),'Bonding Program'!$T$50,0)</f>
        <v>0</v>
      </c>
      <c r="AR145" s="19" t="n">
        <f aca="false">IF(AND('Bonding Program'!$S$50=1,AR$3='Bonding Program'!$H$50),'Bonding Program'!$T$50,0)</f>
        <v>0</v>
      </c>
      <c r="AS145" s="19" t="n">
        <f aca="false">IF(AND('Bonding Program'!$S$50=1,AS$3='Bonding Program'!$H$50),'Bonding Program'!$T$50,0)</f>
        <v>0</v>
      </c>
      <c r="AT145" s="19" t="n">
        <f aca="false">IF(AND('Bonding Program'!$S$50=1,AT$3='Bonding Program'!$H$50),'Bonding Program'!$T$50,0)</f>
        <v>0</v>
      </c>
      <c r="AU145" s="19" t="n">
        <f aca="false">IF(AND('Bonding Program'!$S$50=1,AU$3='Bonding Program'!$H$50),'Bonding Program'!$T$50,0)</f>
        <v>0</v>
      </c>
      <c r="AV145" s="19" t="n">
        <f aca="false">IF(AND('Bonding Program'!$S$50=1,AV$3='Bonding Program'!$H$50),'Bonding Program'!$T$50,0)</f>
        <v>0</v>
      </c>
      <c r="AW145" s="19" t="n">
        <f aca="false">IF(AND('Bonding Program'!$S$50=1,AW$3='Bonding Program'!$H$50),'Bonding Program'!$T$50,0)</f>
        <v>0</v>
      </c>
      <c r="AX145" s="19" t="n">
        <f aca="false">IF(AND('Bonding Program'!$S$50=1,AX$3='Bonding Program'!$H$50),'Bonding Program'!$T$50,0)</f>
        <v>0</v>
      </c>
      <c r="AY145" s="19" t="n">
        <f aca="false">IF(AND('Bonding Program'!$S$50=1,AY$3='Bonding Program'!$H$50),'Bonding Program'!$T$50,0)</f>
        <v>0</v>
      </c>
      <c r="AZ145" s="19" t="n">
        <f aca="false">IF(AND('Bonding Program'!$S$50=1,AZ$3='Bonding Program'!$H$50),'Bonding Program'!$T$50,0)</f>
        <v>0</v>
      </c>
      <c r="BA145" s="19" t="n">
        <f aca="false">IF(AND('Bonding Program'!$S$50=1,BA$3='Bonding Program'!$H$50),'Bonding Program'!$T$50,0)</f>
        <v>0</v>
      </c>
      <c r="BB145" s="19" t="n">
        <f aca="false">IF(AND('Bonding Program'!$S$50=1,BB$3='Bonding Program'!$H$50),'Bonding Program'!$T$50,0)</f>
        <v>0</v>
      </c>
      <c r="BC145" s="19" t="n">
        <f aca="false">IF(AND('Bonding Program'!$S$50=1,BC$3='Bonding Program'!$H$50),'Bonding Program'!$T$50,0)</f>
        <v>0</v>
      </c>
      <c r="BD145" s="19" t="n">
        <f aca="false">IF(AND('Bonding Program'!$S$50=1,BD$3='Bonding Program'!$H$50),'Bonding Program'!$T$50,0)</f>
        <v>0</v>
      </c>
      <c r="BE145" s="19" t="n">
        <f aca="false">IF(AND('Bonding Program'!$S$50=1,BE$3='Bonding Program'!$H$50),'Bonding Program'!$T$50,0)</f>
        <v>0</v>
      </c>
      <c r="BF145" s="19" t="n">
        <f aca="false">IF(AND('Bonding Program'!$S$50=1,BF$3='Bonding Program'!$H$50),'Bonding Program'!$T$50,0)</f>
        <v>0</v>
      </c>
      <c r="BG145" s="19" t="n">
        <f aca="false">IF(AND('Bonding Program'!$S$50=1,BG$3='Bonding Program'!$H$50),'Bonding Program'!$T$50,0)</f>
        <v>0</v>
      </c>
      <c r="BH145" s="19" t="n">
        <f aca="false">IF(AND('Bonding Program'!$S$50=1,BH$3='Bonding Program'!$H$50),'Bonding Program'!$T$50,0)</f>
        <v>0</v>
      </c>
      <c r="BI145" s="19" t="n">
        <f aca="false">IF(AND('Bonding Program'!$S$50=1,BI$3='Bonding Program'!$H$50),'Bonding Program'!$T$50,0)</f>
        <v>0</v>
      </c>
      <c r="BJ145" s="19" t="n">
        <f aca="false">IF(AND('Bonding Program'!$S$50=1,BJ$3='Bonding Program'!$H$50),'Bonding Program'!$T$50,0)</f>
        <v>0</v>
      </c>
      <c r="BK145" s="19" t="n">
        <f aca="false">IF(AND('Bonding Program'!$S$50=1,BK$3='Bonding Program'!$H$50),'Bonding Program'!$T$50,0)</f>
        <v>0</v>
      </c>
      <c r="BL145" s="19" t="n">
        <f aca="false">IF(AND('Bonding Program'!$S$50=1,BL$3='Bonding Program'!$H$50),'Bonding Program'!$T$50,0)</f>
        <v>0</v>
      </c>
      <c r="BM145" s="19" t="n">
        <f aca="false">IF(AND('Bonding Program'!$S$50=1,BM$3='Bonding Program'!$H$50),'Bonding Program'!$T$50,0)</f>
        <v>0</v>
      </c>
      <c r="BN145" s="19" t="n">
        <f aca="false">IF(AND('Bonding Program'!$S$50=1,BN$3='Bonding Program'!$H$50),'Bonding Program'!$T$50,0)</f>
        <v>0</v>
      </c>
      <c r="BO145" s="19" t="n">
        <f aca="false">IF(AND('Bonding Program'!$S$50=1,BO$3='Bonding Program'!$H$50),'Bonding Program'!$T$50,0)</f>
        <v>0</v>
      </c>
      <c r="BP145" s="19" t="n">
        <f aca="false">IF(AND('Bonding Program'!$S$50=1,BP$3='Bonding Program'!$H$50),'Bonding Program'!$T$50,0)</f>
        <v>0</v>
      </c>
      <c r="BQ145" s="19" t="n">
        <f aca="false">IF(AND('Bonding Program'!$S$50=1,BQ$3='Bonding Program'!$H$50),'Bonding Program'!$T$50,0)</f>
        <v>0</v>
      </c>
      <c r="BR145" s="19" t="n">
        <f aca="false">IF(AND('Bonding Program'!$S$50=1,BR$3='Bonding Program'!$H$50),'Bonding Program'!$T$50,0)</f>
        <v>0</v>
      </c>
      <c r="BS145" s="19" t="n">
        <f aca="false">IF(AND('Bonding Program'!$S$50=1,BS$3='Bonding Program'!$H$50),'Bonding Program'!$T$50,0)</f>
        <v>0</v>
      </c>
      <c r="BT145" s="19" t="n">
        <f aca="false">IF(AND('Bonding Program'!$S$50=1,BT$3='Bonding Program'!$H$50),'Bonding Program'!$T$50,0)</f>
        <v>0</v>
      </c>
      <c r="BU145" s="19" t="n">
        <f aca="false">IF(AND('Bonding Program'!$S$50=1,BU$3='Bonding Program'!$H$50),'Bonding Program'!$T$50,0)</f>
        <v>0</v>
      </c>
      <c r="BV145" s="19" t="n">
        <f aca="false">IF(AND('Bonding Program'!$S$50=1,BV$3='Bonding Program'!$H$50),'Bonding Program'!$T$50,0)</f>
        <v>0</v>
      </c>
      <c r="BW145" s="19" t="n">
        <f aca="false">IF(AND('Bonding Program'!$S$50=1,BW$3='Bonding Program'!$H$50),'Bonding Program'!$T$50,0)</f>
        <v>0</v>
      </c>
      <c r="BX145" s="19" t="n">
        <f aca="false">IF(AND('Bonding Program'!$S$50=1,BX$3='Bonding Program'!$H$50),'Bonding Program'!$T$50,0)</f>
        <v>0</v>
      </c>
      <c r="BY145" s="19" t="n">
        <f aca="false">IF(AND('Bonding Program'!$S$50=1,BY$3='Bonding Program'!$H$50),'Bonding Program'!$T$50,0)</f>
        <v>0</v>
      </c>
      <c r="BZ145" s="19" t="n">
        <f aca="false">IF(AND('Bonding Program'!$S$50=1,BZ$3='Bonding Program'!$H$50),'Bonding Program'!$T$50,0)</f>
        <v>0</v>
      </c>
      <c r="CA145" s="19" t="n">
        <f aca="false">IF(AND('Bonding Program'!$S$50=1,CA$3='Bonding Program'!$H$50),'Bonding Program'!$T$50,0)</f>
        <v>0</v>
      </c>
      <c r="CB145" s="19" t="n">
        <f aca="false">IF(AND('Bonding Program'!$S$50=1,CB$3='Bonding Program'!$H$50),'Bonding Program'!$T$50,0)</f>
        <v>0</v>
      </c>
      <c r="CC145" s="19" t="n">
        <f aca="false">IF(AND('Bonding Program'!$S$50=1,CC$3='Bonding Program'!$H$50),'Bonding Program'!$T$50,0)</f>
        <v>0</v>
      </c>
      <c r="CD145" s="19" t="n">
        <f aca="false">IF(AND('Bonding Program'!$S$50=1,CD$3='Bonding Program'!$H$50),'Bonding Program'!$T$50,0)</f>
        <v>0</v>
      </c>
      <c r="CE145" s="19" t="n">
        <f aca="false">IF(AND('Bonding Program'!$S$50=1,CE$3='Bonding Program'!$H$50),'Bonding Program'!$T$50,0)</f>
        <v>0</v>
      </c>
      <c r="CF145" s="19" t="n">
        <f aca="false">IF(AND('Bonding Program'!$S$50=1,CF$3='Bonding Program'!$H$50),'Bonding Program'!$T$50,0)</f>
        <v>0</v>
      </c>
      <c r="CG145" s="19" t="n">
        <f aca="false">IF(AND('Bonding Program'!$S$50=1,CG$3='Bonding Program'!$H$50),'Bonding Program'!$T$50,0)</f>
        <v>0</v>
      </c>
      <c r="CH145" s="19" t="n">
        <f aca="false">IF(AND('Bonding Program'!$S$50=1,CH$3='Bonding Program'!$H$50),'Bonding Program'!$T$50,0)</f>
        <v>0</v>
      </c>
      <c r="CI145" s="19" t="n">
        <f aca="false">IF(AND('Bonding Program'!$S$50=1,CI$3='Bonding Program'!$H$50),'Bonding Program'!$T$50,0)</f>
        <v>0</v>
      </c>
      <c r="CJ145" s="19" t="n">
        <f aca="false">IF(AND('Bonding Program'!$S$50=1,CJ$3='Bonding Program'!$H$50),'Bonding Program'!$T$50,0)</f>
        <v>0</v>
      </c>
      <c r="CK145" s="19" t="n">
        <f aca="false">IF(AND('Bonding Program'!$S$50=1,CK$3='Bonding Program'!$H$50),'Bonding Program'!$T$50,0)</f>
        <v>0</v>
      </c>
      <c r="CL145" s="19" t="n">
        <f aca="false">IF(AND('Bonding Program'!$S$50=1,CL$3='Bonding Program'!$H$50),'Bonding Program'!$T$50,0)</f>
        <v>0</v>
      </c>
      <c r="CM145" s="19" t="n">
        <f aca="false">IF(AND('Bonding Program'!$S$50=1,CM$3='Bonding Program'!$H$50),'Bonding Program'!$T$50,0)</f>
        <v>0</v>
      </c>
      <c r="CN145" s="19" t="n">
        <f aca="false">IF(AND('Bonding Program'!$S$50=1,CN$3='Bonding Program'!$H$50),'Bonding Program'!$T$50,0)</f>
        <v>0</v>
      </c>
      <c r="CO145" s="19" t="n">
        <f aca="false">IF(AND('Bonding Program'!$S$50=1,CO$3='Bonding Program'!$H$50),'Bonding Program'!$T$50,0)</f>
        <v>0</v>
      </c>
      <c r="CP145" s="19" t="n">
        <f aca="false">IF(AND('Bonding Program'!$S$50=1,CP$3='Bonding Program'!$H$50),'Bonding Program'!$T$50,0)</f>
        <v>0</v>
      </c>
      <c r="CQ145" s="19" t="n">
        <f aca="false">IF(AND('Bonding Program'!$S$50=1,CQ$3='Bonding Program'!$H$50),'Bonding Program'!$T$50,0)</f>
        <v>0</v>
      </c>
      <c r="CR145" s="19" t="n">
        <f aca="false">IF(AND('Bonding Program'!$S$50=1,CR$3='Bonding Program'!$H$50),'Bonding Program'!$T$50,0)</f>
        <v>0</v>
      </c>
      <c r="CS145" s="19" t="n">
        <f aca="false">IF(AND('Bonding Program'!$S$50=1,CS$3='Bonding Program'!$H$50),'Bonding Program'!$T$50,0)</f>
        <v>0</v>
      </c>
      <c r="CT145" s="19" t="n">
        <f aca="false">IF(AND('Bonding Program'!$S$50=1,CT$3='Bonding Program'!$H$50),'Bonding Program'!$T$50,0)</f>
        <v>0</v>
      </c>
      <c r="CU145" s="19" t="n">
        <f aca="false">IF(AND('Bonding Program'!$S$50=1,CU$3='Bonding Program'!$H$50),'Bonding Program'!$T$50,0)</f>
        <v>0</v>
      </c>
      <c r="CV145" s="19" t="n">
        <f aca="false">IF(AND('Bonding Program'!$S$50=1,CV$3='Bonding Program'!$H$50),'Bonding Program'!$T$50,0)</f>
        <v>0</v>
      </c>
      <c r="CW145" s="19" t="n">
        <f aca="false">IF(AND('Bonding Program'!$S$50=1,CW$3='Bonding Program'!$H$50),'Bonding Program'!$T$50,0)</f>
        <v>0</v>
      </c>
      <c r="CX145" s="19" t="n">
        <f aca="false">IF(AND('Bonding Program'!$S$50=1,CX$3='Bonding Program'!$H$50),'Bonding Program'!$T$50,0)</f>
        <v>0</v>
      </c>
      <c r="CY145" s="19" t="n">
        <f aca="false">IF(AND('Bonding Program'!$S$50=1,CY$3='Bonding Program'!$H$50),'Bonding Program'!$T$50,0)</f>
        <v>0</v>
      </c>
      <c r="CZ145" s="19" t="n">
        <f aca="false">IF(AND('Bonding Program'!$S$50=1,CZ$3='Bonding Program'!$H$50),'Bonding Program'!$T$50,0)</f>
        <v>0</v>
      </c>
      <c r="DA145" s="19" t="n">
        <f aca="false">IF(AND('Bonding Program'!$S$50=1,DA$3='Bonding Program'!$H$50),'Bonding Program'!$T$50,0)</f>
        <v>0</v>
      </c>
      <c r="DB145" s="19" t="n">
        <f aca="false">IF(AND('Bonding Program'!$S$50=1,DB$3='Bonding Program'!$H$50),'Bonding Program'!$T$50,0)</f>
        <v>0</v>
      </c>
      <c r="DC145" s="19" t="n">
        <f aca="false">IF(AND('Bonding Program'!$S$50=1,DC$3='Bonding Program'!$H$50),'Bonding Program'!$T$50,0)</f>
        <v>0</v>
      </c>
      <c r="DD145" s="19" t="n">
        <f aca="false">IF(AND('Bonding Program'!$S$50=1,DD$3='Bonding Program'!$H$50),'Bonding Program'!$T$50,0)</f>
        <v>0</v>
      </c>
      <c r="DE145" s="19" t="n">
        <f aca="false">IF(AND('Bonding Program'!$S$50=1,DE$3='Bonding Program'!$H$50),'Bonding Program'!$T$50,0)</f>
        <v>0</v>
      </c>
    </row>
    <row r="146" customFormat="false" ht="15" hidden="false" customHeight="true" outlineLevel="1" collapsed="false">
      <c r="A146" s="28" t="s">
        <v>47</v>
      </c>
      <c r="B146" s="19" t="n">
        <f aca="false">IF(AND('Bonding Program'!$S$51=1,B$3='Bonding Program'!$H$51),'Bonding Program'!$T$51,0)</f>
        <v>0</v>
      </c>
      <c r="C146" s="19" t="n">
        <f aca="false">IF(AND('Bonding Program'!$S$51=1,C$3='Bonding Program'!$H$51),'Bonding Program'!$T$51,0)</f>
        <v>0</v>
      </c>
      <c r="D146" s="19" t="n">
        <f aca="false">IF(AND('Bonding Program'!$S$51=1,D$3='Bonding Program'!$H$51),'Bonding Program'!$T$51,0)</f>
        <v>0</v>
      </c>
      <c r="E146" s="19" t="n">
        <f aca="false">IF(AND('Bonding Program'!$S$51=1,E$3='Bonding Program'!$H$51),'Bonding Program'!$T$51,0)</f>
        <v>0</v>
      </c>
      <c r="F146" s="19" t="n">
        <f aca="false">IF(AND('Bonding Program'!$S$51=1,F$3='Bonding Program'!$H$51),'Bonding Program'!$T$51,0)</f>
        <v>0</v>
      </c>
      <c r="G146" s="19" t="n">
        <f aca="false">IF(AND('Bonding Program'!$S$51=1,G$3='Bonding Program'!$H$51),'Bonding Program'!$T$51,0)</f>
        <v>0</v>
      </c>
      <c r="H146" s="19" t="n">
        <f aca="false">IF(AND('Bonding Program'!$S$51=1,H$3='Bonding Program'!$H$51),'Bonding Program'!$T$51,0)</f>
        <v>0</v>
      </c>
      <c r="I146" s="19" t="n">
        <f aca="false">IF(AND('Bonding Program'!$S$51=1,I$3='Bonding Program'!$H$51),'Bonding Program'!$T$51,0)</f>
        <v>0</v>
      </c>
      <c r="J146" s="19" t="n">
        <f aca="false">IF(AND('Bonding Program'!$S$51=1,J$3='Bonding Program'!$H$51),'Bonding Program'!$T$51,0)</f>
        <v>0</v>
      </c>
      <c r="K146" s="19" t="n">
        <f aca="false">IF(AND('Bonding Program'!$S$51=1,K$3='Bonding Program'!$H$51),'Bonding Program'!$T$51,0)</f>
        <v>0</v>
      </c>
      <c r="L146" s="19" t="n">
        <f aca="false">IF(AND('Bonding Program'!$S$51=1,L$3='Bonding Program'!$H$51),'Bonding Program'!$T$51,0)</f>
        <v>0</v>
      </c>
      <c r="M146" s="19" t="n">
        <f aca="false">IF(AND('Bonding Program'!$S$51=1,M$3='Bonding Program'!$H$51),'Bonding Program'!$T$51,0)</f>
        <v>0</v>
      </c>
      <c r="N146" s="19" t="n">
        <f aca="false">IF(AND('Bonding Program'!$S$51=1,N$3='Bonding Program'!$H$51),'Bonding Program'!$T$51,0)</f>
        <v>0</v>
      </c>
      <c r="O146" s="19" t="n">
        <f aca="false">IF(AND('Bonding Program'!$S$51=1,O$3='Bonding Program'!$H$51),'Bonding Program'!$T$51,0)</f>
        <v>0</v>
      </c>
      <c r="P146" s="19" t="n">
        <f aca="false">IF(AND('Bonding Program'!$S$51=1,P$3='Bonding Program'!$H$51),'Bonding Program'!$T$51,0)</f>
        <v>0</v>
      </c>
      <c r="Q146" s="19" t="n">
        <f aca="false">IF(AND('Bonding Program'!$S$51=1,Q$3='Bonding Program'!$H$51),'Bonding Program'!$T$51,0)</f>
        <v>0</v>
      </c>
      <c r="R146" s="19" t="n">
        <f aca="false">IF(AND('Bonding Program'!$S$51=1,R$3='Bonding Program'!$H$51),'Bonding Program'!$T$51,0)</f>
        <v>0</v>
      </c>
      <c r="S146" s="19" t="n">
        <f aca="false">IF(AND('Bonding Program'!$S$51=1,S$3='Bonding Program'!$H$51),'Bonding Program'!$T$51,0)</f>
        <v>0</v>
      </c>
      <c r="T146" s="19" t="n">
        <f aca="false">IF(AND('Bonding Program'!$S$51=1,T$3='Bonding Program'!$H$51),'Bonding Program'!$T$51,0)</f>
        <v>0</v>
      </c>
      <c r="U146" s="19" t="n">
        <f aca="false">IF(AND('Bonding Program'!$S$51=1,U$3='Bonding Program'!$H$51),'Bonding Program'!$T$51,0)</f>
        <v>0</v>
      </c>
      <c r="V146" s="19" t="n">
        <f aca="false">IF(AND('Bonding Program'!$S$51=1,V$3='Bonding Program'!$H$51),'Bonding Program'!$T$51,0)</f>
        <v>0</v>
      </c>
      <c r="W146" s="19" t="n">
        <f aca="false">IF(AND('Bonding Program'!$S$51=1,W$3='Bonding Program'!$H$51),'Bonding Program'!$T$51,0)</f>
        <v>0</v>
      </c>
      <c r="X146" s="19" t="n">
        <f aca="false">IF(AND('Bonding Program'!$S$51=1,X$3='Bonding Program'!$H$51),'Bonding Program'!$T$51,0)</f>
        <v>0</v>
      </c>
      <c r="Y146" s="19" t="n">
        <f aca="false">IF(AND('Bonding Program'!$S$51=1,Y$3='Bonding Program'!$H$51),'Bonding Program'!$T$51,0)</f>
        <v>0</v>
      </c>
      <c r="Z146" s="19" t="n">
        <f aca="false">IF(AND('Bonding Program'!$S$51=1,Z$3='Bonding Program'!$H$51),'Bonding Program'!$T$51,0)</f>
        <v>0</v>
      </c>
      <c r="AA146" s="19" t="n">
        <f aca="false">IF(AND('Bonding Program'!$S$51=1,AA$3='Bonding Program'!$H$51),'Bonding Program'!$T$51,0)</f>
        <v>0</v>
      </c>
      <c r="AB146" s="19" t="n">
        <f aca="false">IF(AND('Bonding Program'!$S$51=1,AB$3='Bonding Program'!$H$51),'Bonding Program'!$T$51,0)</f>
        <v>0</v>
      </c>
      <c r="AC146" s="19" t="n">
        <f aca="false">IF(AND('Bonding Program'!$S$51=1,AC$3='Bonding Program'!$H$51),'Bonding Program'!$T$51,0)</f>
        <v>0</v>
      </c>
      <c r="AD146" s="19" t="n">
        <f aca="false">IF(AND('Bonding Program'!$S$51=1,AD$3='Bonding Program'!$H$51),'Bonding Program'!$T$51,0)</f>
        <v>0</v>
      </c>
      <c r="AE146" s="19" t="n">
        <f aca="false">IF(AND('Bonding Program'!$S$51=1,AE$3='Bonding Program'!$H$51),'Bonding Program'!$T$51,0)</f>
        <v>0</v>
      </c>
      <c r="AF146" s="19" t="n">
        <f aca="false">IF(AND('Bonding Program'!$S$51=1,AF$3='Bonding Program'!$H$51),'Bonding Program'!$T$51,0)</f>
        <v>0</v>
      </c>
      <c r="AG146" s="19" t="n">
        <f aca="false">IF(AND('Bonding Program'!$S$51=1,AG$3='Bonding Program'!$H$51),'Bonding Program'!$T$51,0)</f>
        <v>0</v>
      </c>
      <c r="AH146" s="19" t="n">
        <f aca="false">IF(AND('Bonding Program'!$S$51=1,AH$3='Bonding Program'!$H$51),'Bonding Program'!$T$51,0)</f>
        <v>0</v>
      </c>
      <c r="AI146" s="19" t="n">
        <f aca="false">IF(AND('Bonding Program'!$S$51=1,AI$3='Bonding Program'!$H$51),'Bonding Program'!$T$51,0)</f>
        <v>0</v>
      </c>
      <c r="AJ146" s="19" t="n">
        <f aca="false">IF(AND('Bonding Program'!$S$51=1,AJ$3='Bonding Program'!$H$51),'Bonding Program'!$T$51,0)</f>
        <v>0</v>
      </c>
      <c r="AK146" s="19" t="n">
        <f aca="false">IF(AND('Bonding Program'!$S$51=1,AK$3='Bonding Program'!$H$51),'Bonding Program'!$T$51,0)</f>
        <v>0</v>
      </c>
      <c r="AL146" s="19" t="n">
        <f aca="false">IF(AND('Bonding Program'!$S$51=1,AL$3='Bonding Program'!$H$51),'Bonding Program'!$T$51,0)</f>
        <v>0</v>
      </c>
      <c r="AM146" s="19" t="n">
        <f aca="false">IF(AND('Bonding Program'!$S$51=1,AM$3='Bonding Program'!$H$51),'Bonding Program'!$T$51,0)</f>
        <v>0</v>
      </c>
      <c r="AN146" s="19" t="n">
        <f aca="false">IF(AND('Bonding Program'!$S$51=1,AN$3='Bonding Program'!$H$51),'Bonding Program'!$T$51,0)</f>
        <v>0</v>
      </c>
      <c r="AO146" s="19" t="n">
        <f aca="false">IF(AND('Bonding Program'!$S$51=1,AO$3='Bonding Program'!$H$51),'Bonding Program'!$T$51,0)</f>
        <v>0</v>
      </c>
      <c r="AP146" s="19" t="n">
        <f aca="false">IF(AND('Bonding Program'!$S$51=1,AP$3='Bonding Program'!$H$51),'Bonding Program'!$T$51,0)</f>
        <v>0</v>
      </c>
      <c r="AQ146" s="19" t="n">
        <f aca="false">IF(AND('Bonding Program'!$S$51=1,AQ$3='Bonding Program'!$H$51),'Bonding Program'!$T$51,0)</f>
        <v>0</v>
      </c>
      <c r="AR146" s="19" t="n">
        <f aca="false">IF(AND('Bonding Program'!$S$51=1,AR$3='Bonding Program'!$H$51),'Bonding Program'!$T$51,0)</f>
        <v>0</v>
      </c>
      <c r="AS146" s="19" t="n">
        <f aca="false">IF(AND('Bonding Program'!$S$51=1,AS$3='Bonding Program'!$H$51),'Bonding Program'!$T$51,0)</f>
        <v>0</v>
      </c>
      <c r="AT146" s="19" t="n">
        <f aca="false">IF(AND('Bonding Program'!$S$51=1,AT$3='Bonding Program'!$H$51),'Bonding Program'!$T$51,0)</f>
        <v>0</v>
      </c>
      <c r="AU146" s="19" t="n">
        <f aca="false">IF(AND('Bonding Program'!$S$51=1,AU$3='Bonding Program'!$H$51),'Bonding Program'!$T$51,0)</f>
        <v>0</v>
      </c>
      <c r="AV146" s="19" t="n">
        <f aca="false">IF(AND('Bonding Program'!$S$51=1,AV$3='Bonding Program'!$H$51),'Bonding Program'!$T$51,0)</f>
        <v>0</v>
      </c>
      <c r="AW146" s="19" t="n">
        <f aca="false">IF(AND('Bonding Program'!$S$51=1,AW$3='Bonding Program'!$H$51),'Bonding Program'!$T$51,0)</f>
        <v>0</v>
      </c>
      <c r="AX146" s="19" t="n">
        <f aca="false">IF(AND('Bonding Program'!$S$51=1,AX$3='Bonding Program'!$H$51),'Bonding Program'!$T$51,0)</f>
        <v>0</v>
      </c>
      <c r="AY146" s="19" t="n">
        <f aca="false">IF(AND('Bonding Program'!$S$51=1,AY$3='Bonding Program'!$H$51),'Bonding Program'!$T$51,0)</f>
        <v>0</v>
      </c>
      <c r="AZ146" s="19" t="n">
        <f aca="false">IF(AND('Bonding Program'!$S$51=1,AZ$3='Bonding Program'!$H$51),'Bonding Program'!$T$51,0)</f>
        <v>0</v>
      </c>
      <c r="BA146" s="19" t="n">
        <f aca="false">IF(AND('Bonding Program'!$S$51=1,BA$3='Bonding Program'!$H$51),'Bonding Program'!$T$51,0)</f>
        <v>0</v>
      </c>
      <c r="BB146" s="19" t="n">
        <f aca="false">IF(AND('Bonding Program'!$S$51=1,BB$3='Bonding Program'!$H$51),'Bonding Program'!$T$51,0)</f>
        <v>0</v>
      </c>
      <c r="BC146" s="19" t="n">
        <f aca="false">IF(AND('Bonding Program'!$S$51=1,BC$3='Bonding Program'!$H$51),'Bonding Program'!$T$51,0)</f>
        <v>0</v>
      </c>
      <c r="BD146" s="19" t="n">
        <f aca="false">IF(AND('Bonding Program'!$S$51=1,BD$3='Bonding Program'!$H$51),'Bonding Program'!$T$51,0)</f>
        <v>0</v>
      </c>
      <c r="BE146" s="19" t="n">
        <f aca="false">IF(AND('Bonding Program'!$S$51=1,BE$3='Bonding Program'!$H$51),'Bonding Program'!$T$51,0)</f>
        <v>0</v>
      </c>
      <c r="BF146" s="19" t="n">
        <f aca="false">IF(AND('Bonding Program'!$S$51=1,BF$3='Bonding Program'!$H$51),'Bonding Program'!$T$51,0)</f>
        <v>0</v>
      </c>
      <c r="BG146" s="19" t="n">
        <f aca="false">IF(AND('Bonding Program'!$S$51=1,BG$3='Bonding Program'!$H$51),'Bonding Program'!$T$51,0)</f>
        <v>0</v>
      </c>
      <c r="BH146" s="19" t="n">
        <f aca="false">IF(AND('Bonding Program'!$S$51=1,BH$3='Bonding Program'!$H$51),'Bonding Program'!$T$51,0)</f>
        <v>0</v>
      </c>
      <c r="BI146" s="19" t="n">
        <f aca="false">IF(AND('Bonding Program'!$S$51=1,BI$3='Bonding Program'!$H$51),'Bonding Program'!$T$51,0)</f>
        <v>0</v>
      </c>
      <c r="BJ146" s="19" t="n">
        <f aca="false">IF(AND('Bonding Program'!$S$51=1,BJ$3='Bonding Program'!$H$51),'Bonding Program'!$T$51,0)</f>
        <v>0</v>
      </c>
      <c r="BK146" s="19" t="n">
        <f aca="false">IF(AND('Bonding Program'!$S$51=1,BK$3='Bonding Program'!$H$51),'Bonding Program'!$T$51,0)</f>
        <v>0</v>
      </c>
      <c r="BL146" s="19" t="n">
        <f aca="false">IF(AND('Bonding Program'!$S$51=1,BL$3='Bonding Program'!$H$51),'Bonding Program'!$T$51,0)</f>
        <v>0</v>
      </c>
      <c r="BM146" s="19" t="n">
        <f aca="false">IF(AND('Bonding Program'!$S$51=1,BM$3='Bonding Program'!$H$51),'Bonding Program'!$T$51,0)</f>
        <v>0</v>
      </c>
      <c r="BN146" s="19" t="n">
        <f aca="false">IF(AND('Bonding Program'!$S$51=1,BN$3='Bonding Program'!$H$51),'Bonding Program'!$T$51,0)</f>
        <v>0</v>
      </c>
      <c r="BO146" s="19" t="n">
        <f aca="false">IF(AND('Bonding Program'!$S$51=1,BO$3='Bonding Program'!$H$51),'Bonding Program'!$T$51,0)</f>
        <v>0</v>
      </c>
      <c r="BP146" s="19" t="n">
        <f aca="false">IF(AND('Bonding Program'!$S$51=1,BP$3='Bonding Program'!$H$51),'Bonding Program'!$T$51,0)</f>
        <v>0</v>
      </c>
      <c r="BQ146" s="19" t="n">
        <f aca="false">IF(AND('Bonding Program'!$S$51=1,BQ$3='Bonding Program'!$H$51),'Bonding Program'!$T$51,0)</f>
        <v>0</v>
      </c>
      <c r="BR146" s="19" t="n">
        <f aca="false">IF(AND('Bonding Program'!$S$51=1,BR$3='Bonding Program'!$H$51),'Bonding Program'!$T$51,0)</f>
        <v>0</v>
      </c>
      <c r="BS146" s="19" t="n">
        <f aca="false">IF(AND('Bonding Program'!$S$51=1,BS$3='Bonding Program'!$H$51),'Bonding Program'!$T$51,0)</f>
        <v>0</v>
      </c>
      <c r="BT146" s="19" t="n">
        <f aca="false">IF(AND('Bonding Program'!$S$51=1,BT$3='Bonding Program'!$H$51),'Bonding Program'!$T$51,0)</f>
        <v>0</v>
      </c>
      <c r="BU146" s="19" t="n">
        <f aca="false">IF(AND('Bonding Program'!$S$51=1,BU$3='Bonding Program'!$H$51),'Bonding Program'!$T$51,0)</f>
        <v>0</v>
      </c>
      <c r="BV146" s="19" t="n">
        <f aca="false">IF(AND('Bonding Program'!$S$51=1,BV$3='Bonding Program'!$H$51),'Bonding Program'!$T$51,0)</f>
        <v>0</v>
      </c>
      <c r="BW146" s="19" t="n">
        <f aca="false">IF(AND('Bonding Program'!$S$51=1,BW$3='Bonding Program'!$H$51),'Bonding Program'!$T$51,0)</f>
        <v>0</v>
      </c>
      <c r="BX146" s="19" t="n">
        <f aca="false">IF(AND('Bonding Program'!$S$51=1,BX$3='Bonding Program'!$H$51),'Bonding Program'!$T$51,0)</f>
        <v>0</v>
      </c>
      <c r="BY146" s="19" t="n">
        <f aca="false">IF(AND('Bonding Program'!$S$51=1,BY$3='Bonding Program'!$H$51),'Bonding Program'!$T$51,0)</f>
        <v>0</v>
      </c>
      <c r="BZ146" s="19" t="n">
        <f aca="false">IF(AND('Bonding Program'!$S$51=1,BZ$3='Bonding Program'!$H$51),'Bonding Program'!$T$51,0)</f>
        <v>0</v>
      </c>
      <c r="CA146" s="19" t="n">
        <f aca="false">IF(AND('Bonding Program'!$S$51=1,CA$3='Bonding Program'!$H$51),'Bonding Program'!$T$51,0)</f>
        <v>0</v>
      </c>
      <c r="CB146" s="19" t="n">
        <f aca="false">IF(AND('Bonding Program'!$S$51=1,CB$3='Bonding Program'!$H$51),'Bonding Program'!$T$51,0)</f>
        <v>0</v>
      </c>
      <c r="CC146" s="19" t="n">
        <f aca="false">IF(AND('Bonding Program'!$S$51=1,CC$3='Bonding Program'!$H$51),'Bonding Program'!$T$51,0)</f>
        <v>0</v>
      </c>
      <c r="CD146" s="19" t="n">
        <f aca="false">IF(AND('Bonding Program'!$S$51=1,CD$3='Bonding Program'!$H$51),'Bonding Program'!$T$51,0)</f>
        <v>0</v>
      </c>
      <c r="CE146" s="19" t="n">
        <f aca="false">IF(AND('Bonding Program'!$S$51=1,CE$3='Bonding Program'!$H$51),'Bonding Program'!$T$51,0)</f>
        <v>0</v>
      </c>
      <c r="CF146" s="19" t="n">
        <f aca="false">IF(AND('Bonding Program'!$S$51=1,CF$3='Bonding Program'!$H$51),'Bonding Program'!$T$51,0)</f>
        <v>0</v>
      </c>
      <c r="CG146" s="19" t="n">
        <f aca="false">IF(AND('Bonding Program'!$S$51=1,CG$3='Bonding Program'!$H$51),'Bonding Program'!$T$51,0)</f>
        <v>0</v>
      </c>
      <c r="CH146" s="19" t="n">
        <f aca="false">IF(AND('Bonding Program'!$S$51=1,CH$3='Bonding Program'!$H$51),'Bonding Program'!$T$51,0)</f>
        <v>0</v>
      </c>
      <c r="CI146" s="19" t="n">
        <f aca="false">IF(AND('Bonding Program'!$S$51=1,CI$3='Bonding Program'!$H$51),'Bonding Program'!$T$51,0)</f>
        <v>0</v>
      </c>
      <c r="CJ146" s="19" t="n">
        <f aca="false">IF(AND('Bonding Program'!$S$51=1,CJ$3='Bonding Program'!$H$51),'Bonding Program'!$T$51,0)</f>
        <v>0</v>
      </c>
      <c r="CK146" s="19" t="n">
        <f aca="false">IF(AND('Bonding Program'!$S$51=1,CK$3='Bonding Program'!$H$51),'Bonding Program'!$T$51,0)</f>
        <v>0</v>
      </c>
      <c r="CL146" s="19" t="n">
        <f aca="false">IF(AND('Bonding Program'!$S$51=1,CL$3='Bonding Program'!$H$51),'Bonding Program'!$T$51,0)</f>
        <v>0</v>
      </c>
      <c r="CM146" s="19" t="n">
        <f aca="false">IF(AND('Bonding Program'!$S$51=1,CM$3='Bonding Program'!$H$51),'Bonding Program'!$T$51,0)</f>
        <v>0</v>
      </c>
      <c r="CN146" s="19" t="n">
        <f aca="false">IF(AND('Bonding Program'!$S$51=1,CN$3='Bonding Program'!$H$51),'Bonding Program'!$T$51,0)</f>
        <v>0</v>
      </c>
      <c r="CO146" s="19" t="n">
        <f aca="false">IF(AND('Bonding Program'!$S$51=1,CO$3='Bonding Program'!$H$51),'Bonding Program'!$T$51,0)</f>
        <v>0</v>
      </c>
      <c r="CP146" s="19" t="n">
        <f aca="false">IF(AND('Bonding Program'!$S$51=1,CP$3='Bonding Program'!$H$51),'Bonding Program'!$T$51,0)</f>
        <v>0</v>
      </c>
      <c r="CQ146" s="19" t="n">
        <f aca="false">IF(AND('Bonding Program'!$S$51=1,CQ$3='Bonding Program'!$H$51),'Bonding Program'!$T$51,0)</f>
        <v>0</v>
      </c>
      <c r="CR146" s="19" t="n">
        <f aca="false">IF(AND('Bonding Program'!$S$51=1,CR$3='Bonding Program'!$H$51),'Bonding Program'!$T$51,0)</f>
        <v>0</v>
      </c>
      <c r="CS146" s="19" t="n">
        <f aca="false">IF(AND('Bonding Program'!$S$51=1,CS$3='Bonding Program'!$H$51),'Bonding Program'!$T$51,0)</f>
        <v>0</v>
      </c>
      <c r="CT146" s="19" t="n">
        <f aca="false">IF(AND('Bonding Program'!$S$51=1,CT$3='Bonding Program'!$H$51),'Bonding Program'!$T$51,0)</f>
        <v>0</v>
      </c>
      <c r="CU146" s="19" t="n">
        <f aca="false">IF(AND('Bonding Program'!$S$51=1,CU$3='Bonding Program'!$H$51),'Bonding Program'!$T$51,0)</f>
        <v>0</v>
      </c>
      <c r="CV146" s="19" t="n">
        <f aca="false">IF(AND('Bonding Program'!$S$51=1,CV$3='Bonding Program'!$H$51),'Bonding Program'!$T$51,0)</f>
        <v>0</v>
      </c>
      <c r="CW146" s="19" t="n">
        <f aca="false">IF(AND('Bonding Program'!$S$51=1,CW$3='Bonding Program'!$H$51),'Bonding Program'!$T$51,0)</f>
        <v>0</v>
      </c>
      <c r="CX146" s="19" t="n">
        <f aca="false">IF(AND('Bonding Program'!$S$51=1,CX$3='Bonding Program'!$H$51),'Bonding Program'!$T$51,0)</f>
        <v>0</v>
      </c>
      <c r="CY146" s="19" t="n">
        <f aca="false">IF(AND('Bonding Program'!$S$51=1,CY$3='Bonding Program'!$H$51),'Bonding Program'!$T$51,0)</f>
        <v>0</v>
      </c>
      <c r="CZ146" s="19" t="n">
        <f aca="false">IF(AND('Bonding Program'!$S$51=1,CZ$3='Bonding Program'!$H$51),'Bonding Program'!$T$51,0)</f>
        <v>0</v>
      </c>
      <c r="DA146" s="19" t="n">
        <f aca="false">IF(AND('Bonding Program'!$S$51=1,DA$3='Bonding Program'!$H$51),'Bonding Program'!$T$51,0)</f>
        <v>0</v>
      </c>
      <c r="DB146" s="19" t="n">
        <f aca="false">IF(AND('Bonding Program'!$S$51=1,DB$3='Bonding Program'!$H$51),'Bonding Program'!$T$51,0)</f>
        <v>0</v>
      </c>
      <c r="DC146" s="19" t="n">
        <f aca="false">IF(AND('Bonding Program'!$S$51=1,DC$3='Bonding Program'!$H$51),'Bonding Program'!$T$51,0)</f>
        <v>0</v>
      </c>
      <c r="DD146" s="19" t="n">
        <f aca="false">IF(AND('Bonding Program'!$S$51=1,DD$3='Bonding Program'!$H$51),'Bonding Program'!$T$51,0)</f>
        <v>0</v>
      </c>
      <c r="DE146" s="19" t="n">
        <f aca="false">IF(AND('Bonding Program'!$S$51=1,DE$3='Bonding Program'!$H$51),'Bonding Program'!$T$51,0)</f>
        <v>0</v>
      </c>
    </row>
    <row r="147" customFormat="false" ht="15" hidden="false" customHeight="true" outlineLevel="1" collapsed="false">
      <c r="A147" s="28" t="s">
        <v>48</v>
      </c>
      <c r="B147" s="19" t="n">
        <f aca="false">IF(AND('Bonding Program'!$S$52=1,B$3='Bonding Program'!$H$52),'Bonding Program'!$T$52,0)</f>
        <v>0</v>
      </c>
      <c r="C147" s="19" t="n">
        <f aca="false">IF(AND('Bonding Program'!$S$52=1,C$3='Bonding Program'!$H$52),'Bonding Program'!$T$52,0)</f>
        <v>0</v>
      </c>
      <c r="D147" s="19" t="n">
        <f aca="false">IF(AND('Bonding Program'!$S$52=1,D$3='Bonding Program'!$H$52),'Bonding Program'!$T$52,0)</f>
        <v>0</v>
      </c>
      <c r="E147" s="19" t="n">
        <f aca="false">IF(AND('Bonding Program'!$S$52=1,E$3='Bonding Program'!$H$52),'Bonding Program'!$T$52,0)</f>
        <v>0</v>
      </c>
      <c r="F147" s="19" t="n">
        <f aca="false">IF(AND('Bonding Program'!$S$52=1,F$3='Bonding Program'!$H$52),'Bonding Program'!$T$52,0)</f>
        <v>0</v>
      </c>
      <c r="G147" s="19" t="n">
        <f aca="false">IF(AND('Bonding Program'!$S$52=1,G$3='Bonding Program'!$H$52),'Bonding Program'!$T$52,0)</f>
        <v>0</v>
      </c>
      <c r="H147" s="19" t="n">
        <f aca="false">IF(AND('Bonding Program'!$S$52=1,H$3='Bonding Program'!$H$52),'Bonding Program'!$T$52,0)</f>
        <v>0</v>
      </c>
      <c r="I147" s="19" t="n">
        <f aca="false">IF(AND('Bonding Program'!$S$52=1,I$3='Bonding Program'!$H$52),'Bonding Program'!$T$52,0)</f>
        <v>0</v>
      </c>
      <c r="J147" s="19" t="n">
        <f aca="false">IF(AND('Bonding Program'!$S$52=1,J$3='Bonding Program'!$H$52),'Bonding Program'!$T$52,0)</f>
        <v>0</v>
      </c>
      <c r="K147" s="19" t="n">
        <f aca="false">IF(AND('Bonding Program'!$S$52=1,K$3='Bonding Program'!$H$52),'Bonding Program'!$T$52,0)</f>
        <v>0</v>
      </c>
      <c r="L147" s="19" t="n">
        <f aca="false">IF(AND('Bonding Program'!$S$52=1,L$3='Bonding Program'!$H$52),'Bonding Program'!$T$52,0)</f>
        <v>0</v>
      </c>
      <c r="M147" s="19" t="n">
        <f aca="false">IF(AND('Bonding Program'!$S$52=1,M$3='Bonding Program'!$H$52),'Bonding Program'!$T$52,0)</f>
        <v>0</v>
      </c>
      <c r="N147" s="19" t="n">
        <f aca="false">IF(AND('Bonding Program'!$S$52=1,N$3='Bonding Program'!$H$52),'Bonding Program'!$T$52,0)</f>
        <v>0</v>
      </c>
      <c r="O147" s="19" t="n">
        <f aca="false">IF(AND('Bonding Program'!$S$52=1,O$3='Bonding Program'!$H$52),'Bonding Program'!$T$52,0)</f>
        <v>0</v>
      </c>
      <c r="P147" s="19" t="n">
        <f aca="false">IF(AND('Bonding Program'!$S$52=1,P$3='Bonding Program'!$H$52),'Bonding Program'!$T$52,0)</f>
        <v>0</v>
      </c>
      <c r="Q147" s="19" t="n">
        <f aca="false">IF(AND('Bonding Program'!$S$52=1,Q$3='Bonding Program'!$H$52),'Bonding Program'!$T$52,0)</f>
        <v>0</v>
      </c>
      <c r="R147" s="19" t="n">
        <f aca="false">IF(AND('Bonding Program'!$S$52=1,R$3='Bonding Program'!$H$52),'Bonding Program'!$T$52,0)</f>
        <v>0</v>
      </c>
      <c r="S147" s="19" t="n">
        <f aca="false">IF(AND('Bonding Program'!$S$52=1,S$3='Bonding Program'!$H$52),'Bonding Program'!$T$52,0)</f>
        <v>0</v>
      </c>
      <c r="T147" s="19" t="n">
        <f aca="false">IF(AND('Bonding Program'!$S$52=1,T$3='Bonding Program'!$H$52),'Bonding Program'!$T$52,0)</f>
        <v>0</v>
      </c>
      <c r="U147" s="19" t="n">
        <f aca="false">IF(AND('Bonding Program'!$S$52=1,U$3='Bonding Program'!$H$52),'Bonding Program'!$T$52,0)</f>
        <v>0</v>
      </c>
      <c r="V147" s="19" t="n">
        <f aca="false">IF(AND('Bonding Program'!$S$52=1,V$3='Bonding Program'!$H$52),'Bonding Program'!$T$52,0)</f>
        <v>0</v>
      </c>
      <c r="W147" s="19" t="n">
        <f aca="false">IF(AND('Bonding Program'!$S$52=1,W$3='Bonding Program'!$H$52),'Bonding Program'!$T$52,0)</f>
        <v>0</v>
      </c>
      <c r="X147" s="19" t="n">
        <f aca="false">IF(AND('Bonding Program'!$S$52=1,X$3='Bonding Program'!$H$52),'Bonding Program'!$T$52,0)</f>
        <v>0</v>
      </c>
      <c r="Y147" s="19" t="n">
        <f aca="false">IF(AND('Bonding Program'!$S$52=1,Y$3='Bonding Program'!$H$52),'Bonding Program'!$T$52,0)</f>
        <v>0</v>
      </c>
      <c r="Z147" s="19" t="n">
        <f aca="false">IF(AND('Bonding Program'!$S$52=1,Z$3='Bonding Program'!$H$52),'Bonding Program'!$T$52,0)</f>
        <v>0</v>
      </c>
      <c r="AA147" s="19" t="n">
        <f aca="false">IF(AND('Bonding Program'!$S$52=1,AA$3='Bonding Program'!$H$52),'Bonding Program'!$T$52,0)</f>
        <v>0</v>
      </c>
      <c r="AB147" s="19" t="n">
        <f aca="false">IF(AND('Bonding Program'!$S$52=1,AB$3='Bonding Program'!$H$52),'Bonding Program'!$T$52,0)</f>
        <v>0</v>
      </c>
      <c r="AC147" s="19" t="n">
        <f aca="false">IF(AND('Bonding Program'!$S$52=1,AC$3='Bonding Program'!$H$52),'Bonding Program'!$T$52,0)</f>
        <v>0</v>
      </c>
      <c r="AD147" s="19" t="n">
        <f aca="false">IF(AND('Bonding Program'!$S$52=1,AD$3='Bonding Program'!$H$52),'Bonding Program'!$T$52,0)</f>
        <v>0</v>
      </c>
      <c r="AE147" s="19" t="n">
        <f aca="false">IF(AND('Bonding Program'!$S$52=1,AE$3='Bonding Program'!$H$52),'Bonding Program'!$T$52,0)</f>
        <v>0</v>
      </c>
      <c r="AF147" s="19" t="n">
        <f aca="false">IF(AND('Bonding Program'!$S$52=1,AF$3='Bonding Program'!$H$52),'Bonding Program'!$T$52,0)</f>
        <v>0</v>
      </c>
      <c r="AG147" s="19" t="n">
        <f aca="false">IF(AND('Bonding Program'!$S$52=1,AG$3='Bonding Program'!$H$52),'Bonding Program'!$T$52,0)</f>
        <v>0</v>
      </c>
      <c r="AH147" s="19" t="n">
        <f aca="false">IF(AND('Bonding Program'!$S$52=1,AH$3='Bonding Program'!$H$52),'Bonding Program'!$T$52,0)</f>
        <v>0</v>
      </c>
      <c r="AI147" s="19" t="n">
        <f aca="false">IF(AND('Bonding Program'!$S$52=1,AI$3='Bonding Program'!$H$52),'Bonding Program'!$T$52,0)</f>
        <v>0</v>
      </c>
      <c r="AJ147" s="19" t="n">
        <f aca="false">IF(AND('Bonding Program'!$S$52=1,AJ$3='Bonding Program'!$H$52),'Bonding Program'!$T$52,0)</f>
        <v>0</v>
      </c>
      <c r="AK147" s="19" t="n">
        <f aca="false">IF(AND('Bonding Program'!$S$52=1,AK$3='Bonding Program'!$H$52),'Bonding Program'!$T$52,0)</f>
        <v>0</v>
      </c>
      <c r="AL147" s="19" t="n">
        <f aca="false">IF(AND('Bonding Program'!$S$52=1,AL$3='Bonding Program'!$H$52),'Bonding Program'!$T$52,0)</f>
        <v>0</v>
      </c>
      <c r="AM147" s="19" t="n">
        <f aca="false">IF(AND('Bonding Program'!$S$52=1,AM$3='Bonding Program'!$H$52),'Bonding Program'!$T$52,0)</f>
        <v>0</v>
      </c>
      <c r="AN147" s="19" t="n">
        <f aca="false">IF(AND('Bonding Program'!$S$52=1,AN$3='Bonding Program'!$H$52),'Bonding Program'!$T$52,0)</f>
        <v>0</v>
      </c>
      <c r="AO147" s="19" t="n">
        <f aca="false">IF(AND('Bonding Program'!$S$52=1,AO$3='Bonding Program'!$H$52),'Bonding Program'!$T$52,0)</f>
        <v>0</v>
      </c>
      <c r="AP147" s="19" t="n">
        <f aca="false">IF(AND('Bonding Program'!$S$52=1,AP$3='Bonding Program'!$H$52),'Bonding Program'!$T$52,0)</f>
        <v>0</v>
      </c>
      <c r="AQ147" s="19" t="n">
        <f aca="false">IF(AND('Bonding Program'!$S$52=1,AQ$3='Bonding Program'!$H$52),'Bonding Program'!$T$52,0)</f>
        <v>0</v>
      </c>
      <c r="AR147" s="19" t="n">
        <f aca="false">IF(AND('Bonding Program'!$S$52=1,AR$3='Bonding Program'!$H$52),'Bonding Program'!$T$52,0)</f>
        <v>0</v>
      </c>
      <c r="AS147" s="19" t="n">
        <f aca="false">IF(AND('Bonding Program'!$S$52=1,AS$3='Bonding Program'!$H$52),'Bonding Program'!$T$52,0)</f>
        <v>0</v>
      </c>
      <c r="AT147" s="19" t="n">
        <f aca="false">IF(AND('Bonding Program'!$S$52=1,AT$3='Bonding Program'!$H$52),'Bonding Program'!$T$52,0)</f>
        <v>0</v>
      </c>
      <c r="AU147" s="19" t="n">
        <f aca="false">IF(AND('Bonding Program'!$S$52=1,AU$3='Bonding Program'!$H$52),'Bonding Program'!$T$52,0)</f>
        <v>0</v>
      </c>
      <c r="AV147" s="19" t="n">
        <f aca="false">IF(AND('Bonding Program'!$S$52=1,AV$3='Bonding Program'!$H$52),'Bonding Program'!$T$52,0)</f>
        <v>0</v>
      </c>
      <c r="AW147" s="19" t="n">
        <f aca="false">IF(AND('Bonding Program'!$S$52=1,AW$3='Bonding Program'!$H$52),'Bonding Program'!$T$52,0)</f>
        <v>0</v>
      </c>
      <c r="AX147" s="19" t="n">
        <f aca="false">IF(AND('Bonding Program'!$S$52=1,AX$3='Bonding Program'!$H$52),'Bonding Program'!$T$52,0)</f>
        <v>0</v>
      </c>
      <c r="AY147" s="19" t="n">
        <f aca="false">IF(AND('Bonding Program'!$S$52=1,AY$3='Bonding Program'!$H$52),'Bonding Program'!$T$52,0)</f>
        <v>0</v>
      </c>
      <c r="AZ147" s="19" t="n">
        <f aca="false">IF(AND('Bonding Program'!$S$52=1,AZ$3='Bonding Program'!$H$52),'Bonding Program'!$T$52,0)</f>
        <v>0</v>
      </c>
      <c r="BA147" s="19" t="n">
        <f aca="false">IF(AND('Bonding Program'!$S$52=1,BA$3='Bonding Program'!$H$52),'Bonding Program'!$T$52,0)</f>
        <v>0</v>
      </c>
      <c r="BB147" s="19" t="n">
        <f aca="false">IF(AND('Bonding Program'!$S$52=1,BB$3='Bonding Program'!$H$52),'Bonding Program'!$T$52,0)</f>
        <v>0</v>
      </c>
      <c r="BC147" s="19" t="n">
        <f aca="false">IF(AND('Bonding Program'!$S$52=1,BC$3='Bonding Program'!$H$52),'Bonding Program'!$T$52,0)</f>
        <v>0</v>
      </c>
      <c r="BD147" s="19" t="n">
        <f aca="false">IF(AND('Bonding Program'!$S$52=1,BD$3='Bonding Program'!$H$52),'Bonding Program'!$T$52,0)</f>
        <v>0</v>
      </c>
      <c r="BE147" s="19" t="n">
        <f aca="false">IF(AND('Bonding Program'!$S$52=1,BE$3='Bonding Program'!$H$52),'Bonding Program'!$T$52,0)</f>
        <v>0</v>
      </c>
      <c r="BF147" s="19" t="n">
        <f aca="false">IF(AND('Bonding Program'!$S$52=1,BF$3='Bonding Program'!$H$52),'Bonding Program'!$T$52,0)</f>
        <v>0</v>
      </c>
      <c r="BG147" s="19" t="n">
        <f aca="false">IF(AND('Bonding Program'!$S$52=1,BG$3='Bonding Program'!$H$52),'Bonding Program'!$T$52,0)</f>
        <v>0</v>
      </c>
      <c r="BH147" s="19" t="n">
        <f aca="false">IF(AND('Bonding Program'!$S$52=1,BH$3='Bonding Program'!$H$52),'Bonding Program'!$T$52,0)</f>
        <v>0</v>
      </c>
      <c r="BI147" s="19" t="n">
        <f aca="false">IF(AND('Bonding Program'!$S$52=1,BI$3='Bonding Program'!$H$52),'Bonding Program'!$T$52,0)</f>
        <v>0</v>
      </c>
      <c r="BJ147" s="19" t="n">
        <f aca="false">IF(AND('Bonding Program'!$S$52=1,BJ$3='Bonding Program'!$H$52),'Bonding Program'!$T$52,0)</f>
        <v>0</v>
      </c>
      <c r="BK147" s="19" t="n">
        <f aca="false">IF(AND('Bonding Program'!$S$52=1,BK$3='Bonding Program'!$H$52),'Bonding Program'!$T$52,0)</f>
        <v>0</v>
      </c>
      <c r="BL147" s="19" t="n">
        <f aca="false">IF(AND('Bonding Program'!$S$52=1,BL$3='Bonding Program'!$H$52),'Bonding Program'!$T$52,0)</f>
        <v>0</v>
      </c>
      <c r="BM147" s="19" t="n">
        <f aca="false">IF(AND('Bonding Program'!$S$52=1,BM$3='Bonding Program'!$H$52),'Bonding Program'!$T$52,0)</f>
        <v>0</v>
      </c>
      <c r="BN147" s="19" t="n">
        <f aca="false">IF(AND('Bonding Program'!$S$52=1,BN$3='Bonding Program'!$H$52),'Bonding Program'!$T$52,0)</f>
        <v>0</v>
      </c>
      <c r="BO147" s="19" t="n">
        <f aca="false">IF(AND('Bonding Program'!$S$52=1,BO$3='Bonding Program'!$H$52),'Bonding Program'!$T$52,0)</f>
        <v>0</v>
      </c>
      <c r="BP147" s="19" t="n">
        <f aca="false">IF(AND('Bonding Program'!$S$52=1,BP$3='Bonding Program'!$H$52),'Bonding Program'!$T$52,0)</f>
        <v>0</v>
      </c>
      <c r="BQ147" s="19" t="n">
        <f aca="false">IF(AND('Bonding Program'!$S$52=1,BQ$3='Bonding Program'!$H$52),'Bonding Program'!$T$52,0)</f>
        <v>0</v>
      </c>
      <c r="BR147" s="19" t="n">
        <f aca="false">IF(AND('Bonding Program'!$S$52=1,BR$3='Bonding Program'!$H$52),'Bonding Program'!$T$52,0)</f>
        <v>0</v>
      </c>
      <c r="BS147" s="19" t="n">
        <f aca="false">IF(AND('Bonding Program'!$S$52=1,BS$3='Bonding Program'!$H$52),'Bonding Program'!$T$52,0)</f>
        <v>0</v>
      </c>
      <c r="BT147" s="19" t="n">
        <f aca="false">IF(AND('Bonding Program'!$S$52=1,BT$3='Bonding Program'!$H$52),'Bonding Program'!$T$52,0)</f>
        <v>0</v>
      </c>
      <c r="BU147" s="19" t="n">
        <f aca="false">IF(AND('Bonding Program'!$S$52=1,BU$3='Bonding Program'!$H$52),'Bonding Program'!$T$52,0)</f>
        <v>0</v>
      </c>
      <c r="BV147" s="19" t="n">
        <f aca="false">IF(AND('Bonding Program'!$S$52=1,BV$3='Bonding Program'!$H$52),'Bonding Program'!$T$52,0)</f>
        <v>0</v>
      </c>
      <c r="BW147" s="19" t="n">
        <f aca="false">IF(AND('Bonding Program'!$S$52=1,BW$3='Bonding Program'!$H$52),'Bonding Program'!$T$52,0)</f>
        <v>0</v>
      </c>
      <c r="BX147" s="19" t="n">
        <f aca="false">IF(AND('Bonding Program'!$S$52=1,BX$3='Bonding Program'!$H$52),'Bonding Program'!$T$52,0)</f>
        <v>0</v>
      </c>
      <c r="BY147" s="19" t="n">
        <f aca="false">IF(AND('Bonding Program'!$S$52=1,BY$3='Bonding Program'!$H$52),'Bonding Program'!$T$52,0)</f>
        <v>0</v>
      </c>
      <c r="BZ147" s="19" t="n">
        <f aca="false">IF(AND('Bonding Program'!$S$52=1,BZ$3='Bonding Program'!$H$52),'Bonding Program'!$T$52,0)</f>
        <v>0</v>
      </c>
      <c r="CA147" s="19" t="n">
        <f aca="false">IF(AND('Bonding Program'!$S$52=1,CA$3='Bonding Program'!$H$52),'Bonding Program'!$T$52,0)</f>
        <v>0</v>
      </c>
      <c r="CB147" s="19" t="n">
        <f aca="false">IF(AND('Bonding Program'!$S$52=1,CB$3='Bonding Program'!$H$52),'Bonding Program'!$T$52,0)</f>
        <v>0</v>
      </c>
      <c r="CC147" s="19" t="n">
        <f aca="false">IF(AND('Bonding Program'!$S$52=1,CC$3='Bonding Program'!$H$52),'Bonding Program'!$T$52,0)</f>
        <v>0</v>
      </c>
      <c r="CD147" s="19" t="n">
        <f aca="false">IF(AND('Bonding Program'!$S$52=1,CD$3='Bonding Program'!$H$52),'Bonding Program'!$T$52,0)</f>
        <v>0</v>
      </c>
      <c r="CE147" s="19" t="n">
        <f aca="false">IF(AND('Bonding Program'!$S$52=1,CE$3='Bonding Program'!$H$52),'Bonding Program'!$T$52,0)</f>
        <v>0</v>
      </c>
      <c r="CF147" s="19" t="n">
        <f aca="false">IF(AND('Bonding Program'!$S$52=1,CF$3='Bonding Program'!$H$52),'Bonding Program'!$T$52,0)</f>
        <v>0</v>
      </c>
      <c r="CG147" s="19" t="n">
        <f aca="false">IF(AND('Bonding Program'!$S$52=1,CG$3='Bonding Program'!$H$52),'Bonding Program'!$T$52,0)</f>
        <v>0</v>
      </c>
      <c r="CH147" s="19" t="n">
        <f aca="false">IF(AND('Bonding Program'!$S$52=1,CH$3='Bonding Program'!$H$52),'Bonding Program'!$T$52,0)</f>
        <v>0</v>
      </c>
      <c r="CI147" s="19" t="n">
        <f aca="false">IF(AND('Bonding Program'!$S$52=1,CI$3='Bonding Program'!$H$52),'Bonding Program'!$T$52,0)</f>
        <v>0</v>
      </c>
      <c r="CJ147" s="19" t="n">
        <f aca="false">IF(AND('Bonding Program'!$S$52=1,CJ$3='Bonding Program'!$H$52),'Bonding Program'!$T$52,0)</f>
        <v>0</v>
      </c>
      <c r="CK147" s="19" t="n">
        <f aca="false">IF(AND('Bonding Program'!$S$52=1,CK$3='Bonding Program'!$H$52),'Bonding Program'!$T$52,0)</f>
        <v>0</v>
      </c>
      <c r="CL147" s="19" t="n">
        <f aca="false">IF(AND('Bonding Program'!$S$52=1,CL$3='Bonding Program'!$H$52),'Bonding Program'!$T$52,0)</f>
        <v>0</v>
      </c>
      <c r="CM147" s="19" t="n">
        <f aca="false">IF(AND('Bonding Program'!$S$52=1,CM$3='Bonding Program'!$H$52),'Bonding Program'!$T$52,0)</f>
        <v>0</v>
      </c>
      <c r="CN147" s="19" t="n">
        <f aca="false">IF(AND('Bonding Program'!$S$52=1,CN$3='Bonding Program'!$H$52),'Bonding Program'!$T$52,0)</f>
        <v>0</v>
      </c>
      <c r="CO147" s="19" t="n">
        <f aca="false">IF(AND('Bonding Program'!$S$52=1,CO$3='Bonding Program'!$H$52),'Bonding Program'!$T$52,0)</f>
        <v>0</v>
      </c>
      <c r="CP147" s="19" t="n">
        <f aca="false">IF(AND('Bonding Program'!$S$52=1,CP$3='Bonding Program'!$H$52),'Bonding Program'!$T$52,0)</f>
        <v>0</v>
      </c>
      <c r="CQ147" s="19" t="n">
        <f aca="false">IF(AND('Bonding Program'!$S$52=1,CQ$3='Bonding Program'!$H$52),'Bonding Program'!$T$52,0)</f>
        <v>0</v>
      </c>
      <c r="CR147" s="19" t="n">
        <f aca="false">IF(AND('Bonding Program'!$S$52=1,CR$3='Bonding Program'!$H$52),'Bonding Program'!$T$52,0)</f>
        <v>0</v>
      </c>
      <c r="CS147" s="19" t="n">
        <f aca="false">IF(AND('Bonding Program'!$S$52=1,CS$3='Bonding Program'!$H$52),'Bonding Program'!$T$52,0)</f>
        <v>0</v>
      </c>
      <c r="CT147" s="19" t="n">
        <f aca="false">IF(AND('Bonding Program'!$S$52=1,CT$3='Bonding Program'!$H$52),'Bonding Program'!$T$52,0)</f>
        <v>0</v>
      </c>
      <c r="CU147" s="19" t="n">
        <f aca="false">IF(AND('Bonding Program'!$S$52=1,CU$3='Bonding Program'!$H$52),'Bonding Program'!$T$52,0)</f>
        <v>0</v>
      </c>
      <c r="CV147" s="19" t="n">
        <f aca="false">IF(AND('Bonding Program'!$S$52=1,CV$3='Bonding Program'!$H$52),'Bonding Program'!$T$52,0)</f>
        <v>0</v>
      </c>
      <c r="CW147" s="19" t="n">
        <f aca="false">IF(AND('Bonding Program'!$S$52=1,CW$3='Bonding Program'!$H$52),'Bonding Program'!$T$52,0)</f>
        <v>0</v>
      </c>
      <c r="CX147" s="19" t="n">
        <f aca="false">IF(AND('Bonding Program'!$S$52=1,CX$3='Bonding Program'!$H$52),'Bonding Program'!$T$52,0)</f>
        <v>0</v>
      </c>
      <c r="CY147" s="19" t="n">
        <f aca="false">IF(AND('Bonding Program'!$S$52=1,CY$3='Bonding Program'!$H$52),'Bonding Program'!$T$52,0)</f>
        <v>0</v>
      </c>
      <c r="CZ147" s="19" t="n">
        <f aca="false">IF(AND('Bonding Program'!$S$52=1,CZ$3='Bonding Program'!$H$52),'Bonding Program'!$T$52,0)</f>
        <v>0</v>
      </c>
      <c r="DA147" s="19" t="n">
        <f aca="false">IF(AND('Bonding Program'!$S$52=1,DA$3='Bonding Program'!$H$52),'Bonding Program'!$T$52,0)</f>
        <v>0</v>
      </c>
      <c r="DB147" s="19" t="n">
        <f aca="false">IF(AND('Bonding Program'!$S$52=1,DB$3='Bonding Program'!$H$52),'Bonding Program'!$T$52,0)</f>
        <v>0</v>
      </c>
      <c r="DC147" s="19" t="n">
        <f aca="false">IF(AND('Bonding Program'!$S$52=1,DC$3='Bonding Program'!$H$52),'Bonding Program'!$T$52,0)</f>
        <v>0</v>
      </c>
      <c r="DD147" s="19" t="n">
        <f aca="false">IF(AND('Bonding Program'!$S$52=1,DD$3='Bonding Program'!$H$52),'Bonding Program'!$T$52,0)</f>
        <v>0</v>
      </c>
      <c r="DE147" s="19" t="n">
        <f aca="false">IF(AND('Bonding Program'!$S$52=1,DE$3='Bonding Program'!$H$52),'Bonding Program'!$T$52,0)</f>
        <v>0</v>
      </c>
    </row>
    <row r="148" customFormat="false" ht="15" hidden="false" customHeight="true" outlineLevel="1" collapsed="false">
      <c r="A148" s="28" t="s">
        <v>49</v>
      </c>
      <c r="B148" s="19" t="n">
        <f aca="false">IF(AND('Bonding Program'!$S$53=1,B$3='Bonding Program'!$H$53),'Bonding Program'!$T$53,0)</f>
        <v>0</v>
      </c>
      <c r="C148" s="19" t="n">
        <f aca="false">IF(AND('Bonding Program'!$S$53=1,C$3='Bonding Program'!$H$53),'Bonding Program'!$T$53,0)</f>
        <v>0</v>
      </c>
      <c r="D148" s="19" t="n">
        <f aca="false">IF(AND('Bonding Program'!$S$53=1,D$3='Bonding Program'!$H$53),'Bonding Program'!$T$53,0)</f>
        <v>0</v>
      </c>
      <c r="E148" s="19" t="n">
        <f aca="false">IF(AND('Bonding Program'!$S$53=1,E$3='Bonding Program'!$H$53),'Bonding Program'!$T$53,0)</f>
        <v>0</v>
      </c>
      <c r="F148" s="19" t="n">
        <f aca="false">IF(AND('Bonding Program'!$S$53=1,F$3='Bonding Program'!$H$53),'Bonding Program'!$T$53,0)</f>
        <v>0</v>
      </c>
      <c r="G148" s="19" t="n">
        <f aca="false">IF(AND('Bonding Program'!$S$53=1,G$3='Bonding Program'!$H$53),'Bonding Program'!$T$53,0)</f>
        <v>0</v>
      </c>
      <c r="H148" s="19" t="n">
        <f aca="false">IF(AND('Bonding Program'!$S$53=1,H$3='Bonding Program'!$H$53),'Bonding Program'!$T$53,0)</f>
        <v>0</v>
      </c>
      <c r="I148" s="19" t="n">
        <f aca="false">IF(AND('Bonding Program'!$S$53=1,I$3='Bonding Program'!$H$53),'Bonding Program'!$T$53,0)</f>
        <v>0</v>
      </c>
      <c r="J148" s="19" t="n">
        <f aca="false">IF(AND('Bonding Program'!$S$53=1,J$3='Bonding Program'!$H$53),'Bonding Program'!$T$53,0)</f>
        <v>0</v>
      </c>
      <c r="K148" s="19" t="n">
        <f aca="false">IF(AND('Bonding Program'!$S$53=1,K$3='Bonding Program'!$H$53),'Bonding Program'!$T$53,0)</f>
        <v>0</v>
      </c>
      <c r="L148" s="19" t="n">
        <f aca="false">IF(AND('Bonding Program'!$S$53=1,L$3='Bonding Program'!$H$53),'Bonding Program'!$T$53,0)</f>
        <v>0</v>
      </c>
      <c r="M148" s="19" t="n">
        <f aca="false">IF(AND('Bonding Program'!$S$53=1,M$3='Bonding Program'!$H$53),'Bonding Program'!$T$53,0)</f>
        <v>0</v>
      </c>
      <c r="N148" s="19" t="n">
        <f aca="false">IF(AND('Bonding Program'!$S$53=1,N$3='Bonding Program'!$H$53),'Bonding Program'!$T$53,0)</f>
        <v>0</v>
      </c>
      <c r="O148" s="19" t="n">
        <f aca="false">IF(AND('Bonding Program'!$S$53=1,O$3='Bonding Program'!$H$53),'Bonding Program'!$T$53,0)</f>
        <v>0</v>
      </c>
      <c r="P148" s="19" t="n">
        <f aca="false">IF(AND('Bonding Program'!$S$53=1,P$3='Bonding Program'!$H$53),'Bonding Program'!$T$53,0)</f>
        <v>0</v>
      </c>
      <c r="Q148" s="19" t="n">
        <f aca="false">IF(AND('Bonding Program'!$S$53=1,Q$3='Bonding Program'!$H$53),'Bonding Program'!$T$53,0)</f>
        <v>0</v>
      </c>
      <c r="R148" s="19" t="n">
        <f aca="false">IF(AND('Bonding Program'!$S$53=1,R$3='Bonding Program'!$H$53),'Bonding Program'!$T$53,0)</f>
        <v>0</v>
      </c>
      <c r="S148" s="19" t="n">
        <f aca="false">IF(AND('Bonding Program'!$S$53=1,S$3='Bonding Program'!$H$53),'Bonding Program'!$T$53,0)</f>
        <v>0</v>
      </c>
      <c r="T148" s="19" t="n">
        <f aca="false">IF(AND('Bonding Program'!$S$53=1,T$3='Bonding Program'!$H$53),'Bonding Program'!$T$53,0)</f>
        <v>0</v>
      </c>
      <c r="U148" s="19" t="n">
        <f aca="false">IF(AND('Bonding Program'!$S$53=1,U$3='Bonding Program'!$H$53),'Bonding Program'!$T$53,0)</f>
        <v>0</v>
      </c>
      <c r="V148" s="19" t="n">
        <f aca="false">IF(AND('Bonding Program'!$S$53=1,V$3='Bonding Program'!$H$53),'Bonding Program'!$T$53,0)</f>
        <v>0</v>
      </c>
      <c r="W148" s="19" t="n">
        <f aca="false">IF(AND('Bonding Program'!$S$53=1,W$3='Bonding Program'!$H$53),'Bonding Program'!$T$53,0)</f>
        <v>0</v>
      </c>
      <c r="X148" s="19" t="n">
        <f aca="false">IF(AND('Bonding Program'!$S$53=1,X$3='Bonding Program'!$H$53),'Bonding Program'!$T$53,0)</f>
        <v>0</v>
      </c>
      <c r="Y148" s="19" t="n">
        <f aca="false">IF(AND('Bonding Program'!$S$53=1,Y$3='Bonding Program'!$H$53),'Bonding Program'!$T$53,0)</f>
        <v>0</v>
      </c>
      <c r="Z148" s="19" t="n">
        <f aca="false">IF(AND('Bonding Program'!$S$53=1,Z$3='Bonding Program'!$H$53),'Bonding Program'!$T$53,0)</f>
        <v>0</v>
      </c>
      <c r="AA148" s="19" t="n">
        <f aca="false">IF(AND('Bonding Program'!$S$53=1,AA$3='Bonding Program'!$H$53),'Bonding Program'!$T$53,0)</f>
        <v>0</v>
      </c>
      <c r="AB148" s="19" t="n">
        <f aca="false">IF(AND('Bonding Program'!$S$53=1,AB$3='Bonding Program'!$H$53),'Bonding Program'!$T$53,0)</f>
        <v>0</v>
      </c>
      <c r="AC148" s="19" t="n">
        <f aca="false">IF(AND('Bonding Program'!$S$53=1,AC$3='Bonding Program'!$H$53),'Bonding Program'!$T$53,0)</f>
        <v>0</v>
      </c>
      <c r="AD148" s="19" t="n">
        <f aca="false">IF(AND('Bonding Program'!$S$53=1,AD$3='Bonding Program'!$H$53),'Bonding Program'!$T$53,0)</f>
        <v>0</v>
      </c>
      <c r="AE148" s="19" t="n">
        <f aca="false">IF(AND('Bonding Program'!$S$53=1,AE$3='Bonding Program'!$H$53),'Bonding Program'!$T$53,0)</f>
        <v>0</v>
      </c>
      <c r="AF148" s="19" t="n">
        <f aca="false">IF(AND('Bonding Program'!$S$53=1,AF$3='Bonding Program'!$H$53),'Bonding Program'!$T$53,0)</f>
        <v>0</v>
      </c>
      <c r="AG148" s="19" t="n">
        <f aca="false">IF(AND('Bonding Program'!$S$53=1,AG$3='Bonding Program'!$H$53),'Bonding Program'!$T$53,0)</f>
        <v>0</v>
      </c>
      <c r="AH148" s="19" t="n">
        <f aca="false">IF(AND('Bonding Program'!$S$53=1,AH$3='Bonding Program'!$H$53),'Bonding Program'!$T$53,0)</f>
        <v>0</v>
      </c>
      <c r="AI148" s="19" t="n">
        <f aca="false">IF(AND('Bonding Program'!$S$53=1,AI$3='Bonding Program'!$H$53),'Bonding Program'!$T$53,0)</f>
        <v>0</v>
      </c>
      <c r="AJ148" s="19" t="n">
        <f aca="false">IF(AND('Bonding Program'!$S$53=1,AJ$3='Bonding Program'!$H$53),'Bonding Program'!$T$53,0)</f>
        <v>0</v>
      </c>
      <c r="AK148" s="19" t="n">
        <f aca="false">IF(AND('Bonding Program'!$S$53=1,AK$3='Bonding Program'!$H$53),'Bonding Program'!$T$53,0)</f>
        <v>0</v>
      </c>
      <c r="AL148" s="19" t="n">
        <f aca="false">IF(AND('Bonding Program'!$S$53=1,AL$3='Bonding Program'!$H$53),'Bonding Program'!$T$53,0)</f>
        <v>0</v>
      </c>
      <c r="AM148" s="19" t="n">
        <f aca="false">IF(AND('Bonding Program'!$S$53=1,AM$3='Bonding Program'!$H$53),'Bonding Program'!$T$53,0)</f>
        <v>0</v>
      </c>
      <c r="AN148" s="19" t="n">
        <f aca="false">IF(AND('Bonding Program'!$S$53=1,AN$3='Bonding Program'!$H$53),'Bonding Program'!$T$53,0)</f>
        <v>0</v>
      </c>
      <c r="AO148" s="19" t="n">
        <f aca="false">IF(AND('Bonding Program'!$S$53=1,AO$3='Bonding Program'!$H$53),'Bonding Program'!$T$53,0)</f>
        <v>0</v>
      </c>
      <c r="AP148" s="19" t="n">
        <f aca="false">IF(AND('Bonding Program'!$S$53=1,AP$3='Bonding Program'!$H$53),'Bonding Program'!$T$53,0)</f>
        <v>0</v>
      </c>
      <c r="AQ148" s="19" t="n">
        <f aca="false">IF(AND('Bonding Program'!$S$53=1,AQ$3='Bonding Program'!$H$53),'Bonding Program'!$T$53,0)</f>
        <v>0</v>
      </c>
      <c r="AR148" s="19" t="n">
        <f aca="false">IF(AND('Bonding Program'!$S$53=1,AR$3='Bonding Program'!$H$53),'Bonding Program'!$T$53,0)</f>
        <v>0</v>
      </c>
      <c r="AS148" s="19" t="n">
        <f aca="false">IF(AND('Bonding Program'!$S$53=1,AS$3='Bonding Program'!$H$53),'Bonding Program'!$T$53,0)</f>
        <v>0</v>
      </c>
      <c r="AT148" s="19" t="n">
        <f aca="false">IF(AND('Bonding Program'!$S$53=1,AT$3='Bonding Program'!$H$53),'Bonding Program'!$T$53,0)</f>
        <v>0</v>
      </c>
      <c r="AU148" s="19" t="n">
        <f aca="false">IF(AND('Bonding Program'!$S$53=1,AU$3='Bonding Program'!$H$53),'Bonding Program'!$T$53,0)</f>
        <v>0</v>
      </c>
      <c r="AV148" s="19" t="n">
        <f aca="false">IF(AND('Bonding Program'!$S$53=1,AV$3='Bonding Program'!$H$53),'Bonding Program'!$T$53,0)</f>
        <v>0</v>
      </c>
      <c r="AW148" s="19" t="n">
        <f aca="false">IF(AND('Bonding Program'!$S$53=1,AW$3='Bonding Program'!$H$53),'Bonding Program'!$T$53,0)</f>
        <v>0</v>
      </c>
      <c r="AX148" s="19" t="n">
        <f aca="false">IF(AND('Bonding Program'!$S$53=1,AX$3='Bonding Program'!$H$53),'Bonding Program'!$T$53,0)</f>
        <v>0</v>
      </c>
      <c r="AY148" s="19" t="n">
        <f aca="false">IF(AND('Bonding Program'!$S$53=1,AY$3='Bonding Program'!$H$53),'Bonding Program'!$T$53,0)</f>
        <v>0</v>
      </c>
      <c r="AZ148" s="19" t="n">
        <f aca="false">IF(AND('Bonding Program'!$S$53=1,AZ$3='Bonding Program'!$H$53),'Bonding Program'!$T$53,0)</f>
        <v>0</v>
      </c>
      <c r="BA148" s="19" t="n">
        <f aca="false">IF(AND('Bonding Program'!$S$53=1,BA$3='Bonding Program'!$H$53),'Bonding Program'!$T$53,0)</f>
        <v>0</v>
      </c>
      <c r="BB148" s="19" t="n">
        <f aca="false">IF(AND('Bonding Program'!$S$53=1,BB$3='Bonding Program'!$H$53),'Bonding Program'!$T$53,0)</f>
        <v>0</v>
      </c>
      <c r="BC148" s="19" t="n">
        <f aca="false">IF(AND('Bonding Program'!$S$53=1,BC$3='Bonding Program'!$H$53),'Bonding Program'!$T$53,0)</f>
        <v>0</v>
      </c>
      <c r="BD148" s="19" t="n">
        <f aca="false">IF(AND('Bonding Program'!$S$53=1,BD$3='Bonding Program'!$H$53),'Bonding Program'!$T$53,0)</f>
        <v>0</v>
      </c>
      <c r="BE148" s="19" t="n">
        <f aca="false">IF(AND('Bonding Program'!$S$53=1,BE$3='Bonding Program'!$H$53),'Bonding Program'!$T$53,0)</f>
        <v>0</v>
      </c>
      <c r="BF148" s="19" t="n">
        <f aca="false">IF(AND('Bonding Program'!$S$53=1,BF$3='Bonding Program'!$H$53),'Bonding Program'!$T$53,0)</f>
        <v>0</v>
      </c>
      <c r="BG148" s="19" t="n">
        <f aca="false">IF(AND('Bonding Program'!$S$53=1,BG$3='Bonding Program'!$H$53),'Bonding Program'!$T$53,0)</f>
        <v>0</v>
      </c>
      <c r="BH148" s="19" t="n">
        <f aca="false">IF(AND('Bonding Program'!$S$53=1,BH$3='Bonding Program'!$H$53),'Bonding Program'!$T$53,0)</f>
        <v>221674.876847291</v>
      </c>
      <c r="BI148" s="19" t="n">
        <f aca="false">IF(AND('Bonding Program'!$S$53=1,BI$3='Bonding Program'!$H$53),'Bonding Program'!$T$53,0)</f>
        <v>0</v>
      </c>
      <c r="BJ148" s="19" t="n">
        <f aca="false">IF(AND('Bonding Program'!$S$53=1,BJ$3='Bonding Program'!$H$53),'Bonding Program'!$T$53,0)</f>
        <v>0</v>
      </c>
      <c r="BK148" s="19" t="n">
        <f aca="false">IF(AND('Bonding Program'!$S$53=1,BK$3='Bonding Program'!$H$53),'Bonding Program'!$T$53,0)</f>
        <v>0</v>
      </c>
      <c r="BL148" s="19" t="n">
        <f aca="false">IF(AND('Bonding Program'!$S$53=1,BL$3='Bonding Program'!$H$53),'Bonding Program'!$T$53,0)</f>
        <v>0</v>
      </c>
      <c r="BM148" s="19" t="n">
        <f aca="false">IF(AND('Bonding Program'!$S$53=1,BM$3='Bonding Program'!$H$53),'Bonding Program'!$T$53,0)</f>
        <v>0</v>
      </c>
      <c r="BN148" s="19" t="n">
        <f aca="false">IF(AND('Bonding Program'!$S$53=1,BN$3='Bonding Program'!$H$53),'Bonding Program'!$T$53,0)</f>
        <v>0</v>
      </c>
      <c r="BO148" s="19" t="n">
        <f aca="false">IF(AND('Bonding Program'!$S$53=1,BO$3='Bonding Program'!$H$53),'Bonding Program'!$T$53,0)</f>
        <v>0</v>
      </c>
      <c r="BP148" s="19" t="n">
        <f aca="false">IF(AND('Bonding Program'!$S$53=1,BP$3='Bonding Program'!$H$53),'Bonding Program'!$T$53,0)</f>
        <v>0</v>
      </c>
      <c r="BQ148" s="19" t="n">
        <f aca="false">IF(AND('Bonding Program'!$S$53=1,BQ$3='Bonding Program'!$H$53),'Bonding Program'!$T$53,0)</f>
        <v>0</v>
      </c>
      <c r="BR148" s="19" t="n">
        <f aca="false">IF(AND('Bonding Program'!$S$53=1,BR$3='Bonding Program'!$H$53),'Bonding Program'!$T$53,0)</f>
        <v>0</v>
      </c>
      <c r="BS148" s="19" t="n">
        <f aca="false">IF(AND('Bonding Program'!$S$53=1,BS$3='Bonding Program'!$H$53),'Bonding Program'!$T$53,0)</f>
        <v>0</v>
      </c>
      <c r="BT148" s="19" t="n">
        <f aca="false">IF(AND('Bonding Program'!$S$53=1,BT$3='Bonding Program'!$H$53),'Bonding Program'!$T$53,0)</f>
        <v>0</v>
      </c>
      <c r="BU148" s="19" t="n">
        <f aca="false">IF(AND('Bonding Program'!$S$53=1,BU$3='Bonding Program'!$H$53),'Bonding Program'!$T$53,0)</f>
        <v>0</v>
      </c>
      <c r="BV148" s="19" t="n">
        <f aca="false">IF(AND('Bonding Program'!$S$53=1,BV$3='Bonding Program'!$H$53),'Bonding Program'!$T$53,0)</f>
        <v>0</v>
      </c>
      <c r="BW148" s="19" t="n">
        <f aca="false">IF(AND('Bonding Program'!$S$53=1,BW$3='Bonding Program'!$H$53),'Bonding Program'!$T$53,0)</f>
        <v>0</v>
      </c>
      <c r="BX148" s="19" t="n">
        <f aca="false">IF(AND('Bonding Program'!$S$53=1,BX$3='Bonding Program'!$H$53),'Bonding Program'!$T$53,0)</f>
        <v>0</v>
      </c>
      <c r="BY148" s="19" t="n">
        <f aca="false">IF(AND('Bonding Program'!$S$53=1,BY$3='Bonding Program'!$H$53),'Bonding Program'!$T$53,0)</f>
        <v>0</v>
      </c>
      <c r="BZ148" s="19" t="n">
        <f aca="false">IF(AND('Bonding Program'!$S$53=1,BZ$3='Bonding Program'!$H$53),'Bonding Program'!$T$53,0)</f>
        <v>0</v>
      </c>
      <c r="CA148" s="19" t="n">
        <f aca="false">IF(AND('Bonding Program'!$S$53=1,CA$3='Bonding Program'!$H$53),'Bonding Program'!$T$53,0)</f>
        <v>0</v>
      </c>
      <c r="CB148" s="19" t="n">
        <f aca="false">IF(AND('Bonding Program'!$S$53=1,CB$3='Bonding Program'!$H$53),'Bonding Program'!$T$53,0)</f>
        <v>0</v>
      </c>
      <c r="CC148" s="19" t="n">
        <f aca="false">IF(AND('Bonding Program'!$S$53=1,CC$3='Bonding Program'!$H$53),'Bonding Program'!$T$53,0)</f>
        <v>0</v>
      </c>
      <c r="CD148" s="19" t="n">
        <f aca="false">IF(AND('Bonding Program'!$S$53=1,CD$3='Bonding Program'!$H$53),'Bonding Program'!$T$53,0)</f>
        <v>0</v>
      </c>
      <c r="CE148" s="19" t="n">
        <f aca="false">IF(AND('Bonding Program'!$S$53=1,CE$3='Bonding Program'!$H$53),'Bonding Program'!$T$53,0)</f>
        <v>0</v>
      </c>
      <c r="CF148" s="19" t="n">
        <f aca="false">IF(AND('Bonding Program'!$S$53=1,CF$3='Bonding Program'!$H$53),'Bonding Program'!$T$53,0)</f>
        <v>0</v>
      </c>
      <c r="CG148" s="19" t="n">
        <f aca="false">IF(AND('Bonding Program'!$S$53=1,CG$3='Bonding Program'!$H$53),'Bonding Program'!$T$53,0)</f>
        <v>0</v>
      </c>
      <c r="CH148" s="19" t="n">
        <f aca="false">IF(AND('Bonding Program'!$S$53=1,CH$3='Bonding Program'!$H$53),'Bonding Program'!$T$53,0)</f>
        <v>0</v>
      </c>
      <c r="CI148" s="19" t="n">
        <f aca="false">IF(AND('Bonding Program'!$S$53=1,CI$3='Bonding Program'!$H$53),'Bonding Program'!$T$53,0)</f>
        <v>0</v>
      </c>
      <c r="CJ148" s="19" t="n">
        <f aca="false">IF(AND('Bonding Program'!$S$53=1,CJ$3='Bonding Program'!$H$53),'Bonding Program'!$T$53,0)</f>
        <v>0</v>
      </c>
      <c r="CK148" s="19" t="n">
        <f aca="false">IF(AND('Bonding Program'!$S$53=1,CK$3='Bonding Program'!$H$53),'Bonding Program'!$T$53,0)</f>
        <v>0</v>
      </c>
      <c r="CL148" s="19" t="n">
        <f aca="false">IF(AND('Bonding Program'!$S$53=1,CL$3='Bonding Program'!$H$53),'Bonding Program'!$T$53,0)</f>
        <v>0</v>
      </c>
      <c r="CM148" s="19" t="n">
        <f aca="false">IF(AND('Bonding Program'!$S$53=1,CM$3='Bonding Program'!$H$53),'Bonding Program'!$T$53,0)</f>
        <v>0</v>
      </c>
      <c r="CN148" s="19" t="n">
        <f aca="false">IF(AND('Bonding Program'!$S$53=1,CN$3='Bonding Program'!$H$53),'Bonding Program'!$T$53,0)</f>
        <v>0</v>
      </c>
      <c r="CO148" s="19" t="n">
        <f aca="false">IF(AND('Bonding Program'!$S$53=1,CO$3='Bonding Program'!$H$53),'Bonding Program'!$T$53,0)</f>
        <v>0</v>
      </c>
      <c r="CP148" s="19" t="n">
        <f aca="false">IF(AND('Bonding Program'!$S$53=1,CP$3='Bonding Program'!$H$53),'Bonding Program'!$T$53,0)</f>
        <v>0</v>
      </c>
      <c r="CQ148" s="19" t="n">
        <f aca="false">IF(AND('Bonding Program'!$S$53=1,CQ$3='Bonding Program'!$H$53),'Bonding Program'!$T$53,0)</f>
        <v>0</v>
      </c>
      <c r="CR148" s="19" t="n">
        <f aca="false">IF(AND('Bonding Program'!$S$53=1,CR$3='Bonding Program'!$H$53),'Bonding Program'!$T$53,0)</f>
        <v>0</v>
      </c>
      <c r="CS148" s="19" t="n">
        <f aca="false">IF(AND('Bonding Program'!$S$53=1,CS$3='Bonding Program'!$H$53),'Bonding Program'!$T$53,0)</f>
        <v>0</v>
      </c>
      <c r="CT148" s="19" t="n">
        <f aca="false">IF(AND('Bonding Program'!$S$53=1,CT$3='Bonding Program'!$H$53),'Bonding Program'!$T$53,0)</f>
        <v>0</v>
      </c>
      <c r="CU148" s="19" t="n">
        <f aca="false">IF(AND('Bonding Program'!$S$53=1,CU$3='Bonding Program'!$H$53),'Bonding Program'!$T$53,0)</f>
        <v>0</v>
      </c>
      <c r="CV148" s="19" t="n">
        <f aca="false">IF(AND('Bonding Program'!$S$53=1,CV$3='Bonding Program'!$H$53),'Bonding Program'!$T$53,0)</f>
        <v>0</v>
      </c>
      <c r="CW148" s="19" t="n">
        <f aca="false">IF(AND('Bonding Program'!$S$53=1,CW$3='Bonding Program'!$H$53),'Bonding Program'!$T$53,0)</f>
        <v>0</v>
      </c>
      <c r="CX148" s="19" t="n">
        <f aca="false">IF(AND('Bonding Program'!$S$53=1,CX$3='Bonding Program'!$H$53),'Bonding Program'!$T$53,0)</f>
        <v>0</v>
      </c>
      <c r="CY148" s="19" t="n">
        <f aca="false">IF(AND('Bonding Program'!$S$53=1,CY$3='Bonding Program'!$H$53),'Bonding Program'!$T$53,0)</f>
        <v>0</v>
      </c>
      <c r="CZ148" s="19" t="n">
        <f aca="false">IF(AND('Bonding Program'!$S$53=1,CZ$3='Bonding Program'!$H$53),'Bonding Program'!$T$53,0)</f>
        <v>0</v>
      </c>
      <c r="DA148" s="19" t="n">
        <f aca="false">IF(AND('Bonding Program'!$S$53=1,DA$3='Bonding Program'!$H$53),'Bonding Program'!$T$53,0)</f>
        <v>0</v>
      </c>
      <c r="DB148" s="19" t="n">
        <f aca="false">IF(AND('Bonding Program'!$S$53=1,DB$3='Bonding Program'!$H$53),'Bonding Program'!$T$53,0)</f>
        <v>0</v>
      </c>
      <c r="DC148" s="19" t="n">
        <f aca="false">IF(AND('Bonding Program'!$S$53=1,DC$3='Bonding Program'!$H$53),'Bonding Program'!$T$53,0)</f>
        <v>0</v>
      </c>
      <c r="DD148" s="19" t="n">
        <f aca="false">IF(AND('Bonding Program'!$S$53=1,DD$3='Bonding Program'!$H$53),'Bonding Program'!$T$53,0)</f>
        <v>0</v>
      </c>
      <c r="DE148" s="19" t="n">
        <f aca="false">IF(AND('Bonding Program'!$S$53=1,DE$3='Bonding Program'!$H$53),'Bonding Program'!$T$53,0)</f>
        <v>0</v>
      </c>
    </row>
    <row r="149" customFormat="false" ht="15" hidden="false" customHeight="true" outlineLevel="1" collapsed="false">
      <c r="A149" s="28" t="s">
        <v>50</v>
      </c>
      <c r="B149" s="19" t="n">
        <f aca="false">IF(AND('Bonding Program'!$S$54=1,B$3='Bonding Program'!$H$54),'Bonding Program'!$T$54,0)</f>
        <v>0</v>
      </c>
      <c r="C149" s="19" t="n">
        <f aca="false">IF(AND('Bonding Program'!$S$54=1,C$3='Bonding Program'!$H$54),'Bonding Program'!$T$54,0)</f>
        <v>0</v>
      </c>
      <c r="D149" s="19" t="n">
        <f aca="false">IF(AND('Bonding Program'!$S$54=1,D$3='Bonding Program'!$H$54),'Bonding Program'!$T$54,0)</f>
        <v>0</v>
      </c>
      <c r="E149" s="19" t="n">
        <f aca="false">IF(AND('Bonding Program'!$S$54=1,E$3='Bonding Program'!$H$54),'Bonding Program'!$T$54,0)</f>
        <v>0</v>
      </c>
      <c r="F149" s="19" t="n">
        <f aca="false">IF(AND('Bonding Program'!$S$54=1,F$3='Bonding Program'!$H$54),'Bonding Program'!$T$54,0)</f>
        <v>0</v>
      </c>
      <c r="G149" s="19" t="n">
        <f aca="false">IF(AND('Bonding Program'!$S$54=1,G$3='Bonding Program'!$H$54),'Bonding Program'!$T$54,0)</f>
        <v>0</v>
      </c>
      <c r="H149" s="19" t="n">
        <f aca="false">IF(AND('Bonding Program'!$S$54=1,H$3='Bonding Program'!$H$54),'Bonding Program'!$T$54,0)</f>
        <v>0</v>
      </c>
      <c r="I149" s="19" t="n">
        <f aca="false">IF(AND('Bonding Program'!$S$54=1,I$3='Bonding Program'!$H$54),'Bonding Program'!$T$54,0)</f>
        <v>0</v>
      </c>
      <c r="J149" s="19" t="n">
        <f aca="false">IF(AND('Bonding Program'!$S$54=1,J$3='Bonding Program'!$H$54),'Bonding Program'!$T$54,0)</f>
        <v>0</v>
      </c>
      <c r="K149" s="19" t="n">
        <f aca="false">IF(AND('Bonding Program'!$S$54=1,K$3='Bonding Program'!$H$54),'Bonding Program'!$T$54,0)</f>
        <v>0</v>
      </c>
      <c r="L149" s="19" t="n">
        <f aca="false">IF(AND('Bonding Program'!$S$54=1,L$3='Bonding Program'!$H$54),'Bonding Program'!$T$54,0)</f>
        <v>0</v>
      </c>
      <c r="M149" s="19" t="n">
        <f aca="false">IF(AND('Bonding Program'!$S$54=1,M$3='Bonding Program'!$H$54),'Bonding Program'!$T$54,0)</f>
        <v>0</v>
      </c>
      <c r="N149" s="19" t="n">
        <f aca="false">IF(AND('Bonding Program'!$S$54=1,N$3='Bonding Program'!$H$54),'Bonding Program'!$T$54,0)</f>
        <v>0</v>
      </c>
      <c r="O149" s="19" t="n">
        <f aca="false">IF(AND('Bonding Program'!$S$54=1,O$3='Bonding Program'!$H$54),'Bonding Program'!$T$54,0)</f>
        <v>0</v>
      </c>
      <c r="P149" s="19" t="n">
        <f aca="false">IF(AND('Bonding Program'!$S$54=1,P$3='Bonding Program'!$H$54),'Bonding Program'!$T$54,0)</f>
        <v>0</v>
      </c>
      <c r="Q149" s="19" t="n">
        <f aca="false">IF(AND('Bonding Program'!$S$54=1,Q$3='Bonding Program'!$H$54),'Bonding Program'!$T$54,0)</f>
        <v>0</v>
      </c>
      <c r="R149" s="19" t="n">
        <f aca="false">IF(AND('Bonding Program'!$S$54=1,R$3='Bonding Program'!$H$54),'Bonding Program'!$T$54,0)</f>
        <v>0</v>
      </c>
      <c r="S149" s="19" t="n">
        <f aca="false">IF(AND('Bonding Program'!$S$54=1,S$3='Bonding Program'!$H$54),'Bonding Program'!$T$54,0)</f>
        <v>0</v>
      </c>
      <c r="T149" s="19" t="n">
        <f aca="false">IF(AND('Bonding Program'!$S$54=1,T$3='Bonding Program'!$H$54),'Bonding Program'!$T$54,0)</f>
        <v>0</v>
      </c>
      <c r="U149" s="19" t="n">
        <f aca="false">IF(AND('Bonding Program'!$S$54=1,U$3='Bonding Program'!$H$54),'Bonding Program'!$T$54,0)</f>
        <v>0</v>
      </c>
      <c r="V149" s="19" t="n">
        <f aca="false">IF(AND('Bonding Program'!$S$54=1,V$3='Bonding Program'!$H$54),'Bonding Program'!$T$54,0)</f>
        <v>0</v>
      </c>
      <c r="W149" s="19" t="n">
        <f aca="false">IF(AND('Bonding Program'!$S$54=1,W$3='Bonding Program'!$H$54),'Bonding Program'!$T$54,0)</f>
        <v>0</v>
      </c>
      <c r="X149" s="19" t="n">
        <f aca="false">IF(AND('Bonding Program'!$S$54=1,X$3='Bonding Program'!$H$54),'Bonding Program'!$T$54,0)</f>
        <v>0</v>
      </c>
      <c r="Y149" s="19" t="n">
        <f aca="false">IF(AND('Bonding Program'!$S$54=1,Y$3='Bonding Program'!$H$54),'Bonding Program'!$T$54,0)</f>
        <v>0</v>
      </c>
      <c r="Z149" s="19" t="n">
        <f aca="false">IF(AND('Bonding Program'!$S$54=1,Z$3='Bonding Program'!$H$54),'Bonding Program'!$T$54,0)</f>
        <v>0</v>
      </c>
      <c r="AA149" s="19" t="n">
        <f aca="false">IF(AND('Bonding Program'!$S$54=1,AA$3='Bonding Program'!$H$54),'Bonding Program'!$T$54,0)</f>
        <v>0</v>
      </c>
      <c r="AB149" s="19" t="n">
        <f aca="false">IF(AND('Bonding Program'!$S$54=1,AB$3='Bonding Program'!$H$54),'Bonding Program'!$T$54,0)</f>
        <v>0</v>
      </c>
      <c r="AC149" s="19" t="n">
        <f aca="false">IF(AND('Bonding Program'!$S$54=1,AC$3='Bonding Program'!$H$54),'Bonding Program'!$T$54,0)</f>
        <v>0</v>
      </c>
      <c r="AD149" s="19" t="n">
        <f aca="false">IF(AND('Bonding Program'!$S$54=1,AD$3='Bonding Program'!$H$54),'Bonding Program'!$T$54,0)</f>
        <v>0</v>
      </c>
      <c r="AE149" s="19" t="n">
        <f aca="false">IF(AND('Bonding Program'!$S$54=1,AE$3='Bonding Program'!$H$54),'Bonding Program'!$T$54,0)</f>
        <v>0</v>
      </c>
      <c r="AF149" s="19" t="n">
        <f aca="false">IF(AND('Bonding Program'!$S$54=1,AF$3='Bonding Program'!$H$54),'Bonding Program'!$T$54,0)</f>
        <v>0</v>
      </c>
      <c r="AG149" s="19" t="n">
        <f aca="false">IF(AND('Bonding Program'!$S$54=1,AG$3='Bonding Program'!$H$54),'Bonding Program'!$T$54,0)</f>
        <v>0</v>
      </c>
      <c r="AH149" s="19" t="n">
        <f aca="false">IF(AND('Bonding Program'!$S$54=1,AH$3='Bonding Program'!$H$54),'Bonding Program'!$T$54,0)</f>
        <v>0</v>
      </c>
      <c r="AI149" s="19" t="n">
        <f aca="false">IF(AND('Bonding Program'!$S$54=1,AI$3='Bonding Program'!$H$54),'Bonding Program'!$T$54,0)</f>
        <v>0</v>
      </c>
      <c r="AJ149" s="19" t="n">
        <f aca="false">IF(AND('Bonding Program'!$S$54=1,AJ$3='Bonding Program'!$H$54),'Bonding Program'!$T$54,0)</f>
        <v>0</v>
      </c>
      <c r="AK149" s="19" t="n">
        <f aca="false">IF(AND('Bonding Program'!$S$54=1,AK$3='Bonding Program'!$H$54),'Bonding Program'!$T$54,0)</f>
        <v>0</v>
      </c>
      <c r="AL149" s="19" t="n">
        <f aca="false">IF(AND('Bonding Program'!$S$54=1,AL$3='Bonding Program'!$H$54),'Bonding Program'!$T$54,0)</f>
        <v>0</v>
      </c>
      <c r="AM149" s="19" t="n">
        <f aca="false">IF(AND('Bonding Program'!$S$54=1,AM$3='Bonding Program'!$H$54),'Bonding Program'!$T$54,0)</f>
        <v>0</v>
      </c>
      <c r="AN149" s="19" t="n">
        <f aca="false">IF(AND('Bonding Program'!$S$54=1,AN$3='Bonding Program'!$H$54),'Bonding Program'!$T$54,0)</f>
        <v>0</v>
      </c>
      <c r="AO149" s="19" t="n">
        <f aca="false">IF(AND('Bonding Program'!$S$54=1,AO$3='Bonding Program'!$H$54),'Bonding Program'!$T$54,0)</f>
        <v>0</v>
      </c>
      <c r="AP149" s="19" t="n">
        <f aca="false">IF(AND('Bonding Program'!$S$54=1,AP$3='Bonding Program'!$H$54),'Bonding Program'!$T$54,0)</f>
        <v>0</v>
      </c>
      <c r="AQ149" s="19" t="n">
        <f aca="false">IF(AND('Bonding Program'!$S$54=1,AQ$3='Bonding Program'!$H$54),'Bonding Program'!$T$54,0)</f>
        <v>0</v>
      </c>
      <c r="AR149" s="19" t="n">
        <f aca="false">IF(AND('Bonding Program'!$S$54=1,AR$3='Bonding Program'!$H$54),'Bonding Program'!$T$54,0)</f>
        <v>0</v>
      </c>
      <c r="AS149" s="19" t="n">
        <f aca="false">IF(AND('Bonding Program'!$S$54=1,AS$3='Bonding Program'!$H$54),'Bonding Program'!$T$54,0)</f>
        <v>0</v>
      </c>
      <c r="AT149" s="19" t="n">
        <f aca="false">IF(AND('Bonding Program'!$S$54=1,AT$3='Bonding Program'!$H$54),'Bonding Program'!$T$54,0)</f>
        <v>0</v>
      </c>
      <c r="AU149" s="19" t="n">
        <f aca="false">IF(AND('Bonding Program'!$S$54=1,AU$3='Bonding Program'!$H$54),'Bonding Program'!$T$54,0)</f>
        <v>0</v>
      </c>
      <c r="AV149" s="19" t="n">
        <f aca="false">IF(AND('Bonding Program'!$S$54=1,AV$3='Bonding Program'!$H$54),'Bonding Program'!$T$54,0)</f>
        <v>0</v>
      </c>
      <c r="AW149" s="19" t="n">
        <f aca="false">IF(AND('Bonding Program'!$S$54=1,AW$3='Bonding Program'!$H$54),'Bonding Program'!$T$54,0)</f>
        <v>0</v>
      </c>
      <c r="AX149" s="19" t="n">
        <f aca="false">IF(AND('Bonding Program'!$S$54=1,AX$3='Bonding Program'!$H$54),'Bonding Program'!$T$54,0)</f>
        <v>0</v>
      </c>
      <c r="AY149" s="19" t="n">
        <f aca="false">IF(AND('Bonding Program'!$S$54=1,AY$3='Bonding Program'!$H$54),'Bonding Program'!$T$54,0)</f>
        <v>0</v>
      </c>
      <c r="AZ149" s="19" t="n">
        <f aca="false">IF(AND('Bonding Program'!$S$54=1,AZ$3='Bonding Program'!$H$54),'Bonding Program'!$T$54,0)</f>
        <v>0</v>
      </c>
      <c r="BA149" s="19" t="n">
        <f aca="false">IF(AND('Bonding Program'!$S$54=1,BA$3='Bonding Program'!$H$54),'Bonding Program'!$T$54,0)</f>
        <v>0</v>
      </c>
      <c r="BB149" s="19" t="n">
        <f aca="false">IF(AND('Bonding Program'!$S$54=1,BB$3='Bonding Program'!$H$54),'Bonding Program'!$T$54,0)</f>
        <v>0</v>
      </c>
      <c r="BC149" s="19" t="n">
        <f aca="false">IF(AND('Bonding Program'!$S$54=1,BC$3='Bonding Program'!$H$54),'Bonding Program'!$T$54,0)</f>
        <v>0</v>
      </c>
      <c r="BD149" s="19" t="n">
        <f aca="false">IF(AND('Bonding Program'!$S$54=1,BD$3='Bonding Program'!$H$54),'Bonding Program'!$T$54,0)</f>
        <v>0</v>
      </c>
      <c r="BE149" s="19" t="n">
        <f aca="false">IF(AND('Bonding Program'!$S$54=1,BE$3='Bonding Program'!$H$54),'Bonding Program'!$T$54,0)</f>
        <v>0</v>
      </c>
      <c r="BF149" s="19" t="n">
        <f aca="false">IF(AND('Bonding Program'!$S$54=1,BF$3='Bonding Program'!$H$54),'Bonding Program'!$T$54,0)</f>
        <v>0</v>
      </c>
      <c r="BG149" s="19" t="n">
        <f aca="false">IF(AND('Bonding Program'!$S$54=1,BG$3='Bonding Program'!$H$54),'Bonding Program'!$T$54,0)</f>
        <v>0</v>
      </c>
      <c r="BH149" s="19" t="n">
        <f aca="false">IF(AND('Bonding Program'!$S$54=1,BH$3='Bonding Program'!$H$54),'Bonding Program'!$T$54,0)</f>
        <v>0</v>
      </c>
      <c r="BI149" s="19" t="n">
        <f aca="false">IF(AND('Bonding Program'!$S$54=1,BI$3='Bonding Program'!$H$54),'Bonding Program'!$T$54,0)</f>
        <v>0</v>
      </c>
      <c r="BJ149" s="19" t="n">
        <f aca="false">IF(AND('Bonding Program'!$S$54=1,BJ$3='Bonding Program'!$H$54),'Bonding Program'!$T$54,0)</f>
        <v>0</v>
      </c>
      <c r="BK149" s="19" t="n">
        <f aca="false">IF(AND('Bonding Program'!$S$54=1,BK$3='Bonding Program'!$H$54),'Bonding Program'!$T$54,0)</f>
        <v>0</v>
      </c>
      <c r="BL149" s="19" t="n">
        <f aca="false">IF(AND('Bonding Program'!$S$54=1,BL$3='Bonding Program'!$H$54),'Bonding Program'!$T$54,0)</f>
        <v>0</v>
      </c>
      <c r="BM149" s="19" t="n">
        <f aca="false">IF(AND('Bonding Program'!$S$54=1,BM$3='Bonding Program'!$H$54),'Bonding Program'!$T$54,0)</f>
        <v>0</v>
      </c>
      <c r="BN149" s="19" t="n">
        <f aca="false">IF(AND('Bonding Program'!$S$54=1,BN$3='Bonding Program'!$H$54),'Bonding Program'!$T$54,0)</f>
        <v>0</v>
      </c>
      <c r="BO149" s="19" t="n">
        <f aca="false">IF(AND('Bonding Program'!$S$54=1,BO$3='Bonding Program'!$H$54),'Bonding Program'!$T$54,0)</f>
        <v>0</v>
      </c>
      <c r="BP149" s="19" t="n">
        <f aca="false">IF(AND('Bonding Program'!$S$54=1,BP$3='Bonding Program'!$H$54),'Bonding Program'!$T$54,0)</f>
        <v>0</v>
      </c>
      <c r="BQ149" s="19" t="n">
        <f aca="false">IF(AND('Bonding Program'!$S$54=1,BQ$3='Bonding Program'!$H$54),'Bonding Program'!$T$54,0)</f>
        <v>0</v>
      </c>
      <c r="BR149" s="19" t="n">
        <f aca="false">IF(AND('Bonding Program'!$S$54=1,BR$3='Bonding Program'!$H$54),'Bonding Program'!$T$54,0)</f>
        <v>0</v>
      </c>
      <c r="BS149" s="19" t="n">
        <f aca="false">IF(AND('Bonding Program'!$S$54=1,BS$3='Bonding Program'!$H$54),'Bonding Program'!$T$54,0)</f>
        <v>0</v>
      </c>
      <c r="BT149" s="19" t="n">
        <f aca="false">IF(AND('Bonding Program'!$S$54=1,BT$3='Bonding Program'!$H$54),'Bonding Program'!$T$54,0)</f>
        <v>0</v>
      </c>
      <c r="BU149" s="19" t="n">
        <f aca="false">IF(AND('Bonding Program'!$S$54=1,BU$3='Bonding Program'!$H$54),'Bonding Program'!$T$54,0)</f>
        <v>0</v>
      </c>
      <c r="BV149" s="19" t="n">
        <f aca="false">IF(AND('Bonding Program'!$S$54=1,BV$3='Bonding Program'!$H$54),'Bonding Program'!$T$54,0)</f>
        <v>0</v>
      </c>
      <c r="BW149" s="19" t="n">
        <f aca="false">IF(AND('Bonding Program'!$S$54=1,BW$3='Bonding Program'!$H$54),'Bonding Program'!$T$54,0)</f>
        <v>0</v>
      </c>
      <c r="BX149" s="19" t="n">
        <f aca="false">IF(AND('Bonding Program'!$S$54=1,BX$3='Bonding Program'!$H$54),'Bonding Program'!$T$54,0)</f>
        <v>0</v>
      </c>
      <c r="BY149" s="19" t="n">
        <f aca="false">IF(AND('Bonding Program'!$S$54=1,BY$3='Bonding Program'!$H$54),'Bonding Program'!$T$54,0)</f>
        <v>0</v>
      </c>
      <c r="BZ149" s="19" t="n">
        <f aca="false">IF(AND('Bonding Program'!$S$54=1,BZ$3='Bonding Program'!$H$54),'Bonding Program'!$T$54,0)</f>
        <v>0</v>
      </c>
      <c r="CA149" s="19" t="n">
        <f aca="false">IF(AND('Bonding Program'!$S$54=1,CA$3='Bonding Program'!$H$54),'Bonding Program'!$T$54,0)</f>
        <v>0</v>
      </c>
      <c r="CB149" s="19" t="n">
        <f aca="false">IF(AND('Bonding Program'!$S$54=1,CB$3='Bonding Program'!$H$54),'Bonding Program'!$T$54,0)</f>
        <v>0</v>
      </c>
      <c r="CC149" s="19" t="n">
        <f aca="false">IF(AND('Bonding Program'!$S$54=1,CC$3='Bonding Program'!$H$54),'Bonding Program'!$T$54,0)</f>
        <v>0</v>
      </c>
      <c r="CD149" s="19" t="n">
        <f aca="false">IF(AND('Bonding Program'!$S$54=1,CD$3='Bonding Program'!$H$54),'Bonding Program'!$T$54,0)</f>
        <v>0</v>
      </c>
      <c r="CE149" s="19" t="n">
        <f aca="false">IF(AND('Bonding Program'!$S$54=1,CE$3='Bonding Program'!$H$54),'Bonding Program'!$T$54,0)</f>
        <v>0</v>
      </c>
      <c r="CF149" s="19" t="n">
        <f aca="false">IF(AND('Bonding Program'!$S$54=1,CF$3='Bonding Program'!$H$54),'Bonding Program'!$T$54,0)</f>
        <v>0</v>
      </c>
      <c r="CG149" s="19" t="n">
        <f aca="false">IF(AND('Bonding Program'!$S$54=1,CG$3='Bonding Program'!$H$54),'Bonding Program'!$T$54,0)</f>
        <v>0</v>
      </c>
      <c r="CH149" s="19" t="n">
        <f aca="false">IF(AND('Bonding Program'!$S$54=1,CH$3='Bonding Program'!$H$54),'Bonding Program'!$T$54,0)</f>
        <v>0</v>
      </c>
      <c r="CI149" s="19" t="n">
        <f aca="false">IF(AND('Bonding Program'!$S$54=1,CI$3='Bonding Program'!$H$54),'Bonding Program'!$T$54,0)</f>
        <v>0</v>
      </c>
      <c r="CJ149" s="19" t="n">
        <f aca="false">IF(AND('Bonding Program'!$S$54=1,CJ$3='Bonding Program'!$H$54),'Bonding Program'!$T$54,0)</f>
        <v>0</v>
      </c>
      <c r="CK149" s="19" t="n">
        <f aca="false">IF(AND('Bonding Program'!$S$54=1,CK$3='Bonding Program'!$H$54),'Bonding Program'!$T$54,0)</f>
        <v>0</v>
      </c>
      <c r="CL149" s="19" t="n">
        <f aca="false">IF(AND('Bonding Program'!$S$54=1,CL$3='Bonding Program'!$H$54),'Bonding Program'!$T$54,0)</f>
        <v>0</v>
      </c>
      <c r="CM149" s="19" t="n">
        <f aca="false">IF(AND('Bonding Program'!$S$54=1,CM$3='Bonding Program'!$H$54),'Bonding Program'!$T$54,0)</f>
        <v>0</v>
      </c>
      <c r="CN149" s="19" t="n">
        <f aca="false">IF(AND('Bonding Program'!$S$54=1,CN$3='Bonding Program'!$H$54),'Bonding Program'!$T$54,0)</f>
        <v>0</v>
      </c>
      <c r="CO149" s="19" t="n">
        <f aca="false">IF(AND('Bonding Program'!$S$54=1,CO$3='Bonding Program'!$H$54),'Bonding Program'!$T$54,0)</f>
        <v>0</v>
      </c>
      <c r="CP149" s="19" t="n">
        <f aca="false">IF(AND('Bonding Program'!$S$54=1,CP$3='Bonding Program'!$H$54),'Bonding Program'!$T$54,0)</f>
        <v>0</v>
      </c>
      <c r="CQ149" s="19" t="n">
        <f aca="false">IF(AND('Bonding Program'!$S$54=1,CQ$3='Bonding Program'!$H$54),'Bonding Program'!$T$54,0)</f>
        <v>0</v>
      </c>
      <c r="CR149" s="19" t="n">
        <f aca="false">IF(AND('Bonding Program'!$S$54=1,CR$3='Bonding Program'!$H$54),'Bonding Program'!$T$54,0)</f>
        <v>0</v>
      </c>
      <c r="CS149" s="19" t="n">
        <f aca="false">IF(AND('Bonding Program'!$S$54=1,CS$3='Bonding Program'!$H$54),'Bonding Program'!$T$54,0)</f>
        <v>0</v>
      </c>
      <c r="CT149" s="19" t="n">
        <f aca="false">IF(AND('Bonding Program'!$S$54=1,CT$3='Bonding Program'!$H$54),'Bonding Program'!$T$54,0)</f>
        <v>0</v>
      </c>
      <c r="CU149" s="19" t="n">
        <f aca="false">IF(AND('Bonding Program'!$S$54=1,CU$3='Bonding Program'!$H$54),'Bonding Program'!$T$54,0)</f>
        <v>0</v>
      </c>
      <c r="CV149" s="19" t="n">
        <f aca="false">IF(AND('Bonding Program'!$S$54=1,CV$3='Bonding Program'!$H$54),'Bonding Program'!$T$54,0)</f>
        <v>0</v>
      </c>
      <c r="CW149" s="19" t="n">
        <f aca="false">IF(AND('Bonding Program'!$S$54=1,CW$3='Bonding Program'!$H$54),'Bonding Program'!$T$54,0)</f>
        <v>0</v>
      </c>
      <c r="CX149" s="19" t="n">
        <f aca="false">IF(AND('Bonding Program'!$S$54=1,CX$3='Bonding Program'!$H$54),'Bonding Program'!$T$54,0)</f>
        <v>0</v>
      </c>
      <c r="CY149" s="19" t="n">
        <f aca="false">IF(AND('Bonding Program'!$S$54=1,CY$3='Bonding Program'!$H$54),'Bonding Program'!$T$54,0)</f>
        <v>0</v>
      </c>
      <c r="CZ149" s="19" t="n">
        <f aca="false">IF(AND('Bonding Program'!$S$54=1,CZ$3='Bonding Program'!$H$54),'Bonding Program'!$T$54,0)</f>
        <v>0</v>
      </c>
      <c r="DA149" s="19" t="n">
        <f aca="false">IF(AND('Bonding Program'!$S$54=1,DA$3='Bonding Program'!$H$54),'Bonding Program'!$T$54,0)</f>
        <v>0</v>
      </c>
      <c r="DB149" s="19" t="n">
        <f aca="false">IF(AND('Bonding Program'!$S$54=1,DB$3='Bonding Program'!$H$54),'Bonding Program'!$T$54,0)</f>
        <v>0</v>
      </c>
      <c r="DC149" s="19" t="n">
        <f aca="false">IF(AND('Bonding Program'!$S$54=1,DC$3='Bonding Program'!$H$54),'Bonding Program'!$T$54,0)</f>
        <v>0</v>
      </c>
      <c r="DD149" s="19" t="n">
        <f aca="false">IF(AND('Bonding Program'!$S$54=1,DD$3='Bonding Program'!$H$54),'Bonding Program'!$T$54,0)</f>
        <v>0</v>
      </c>
      <c r="DE149" s="19" t="n">
        <f aca="false">IF(AND('Bonding Program'!$S$54=1,DE$3='Bonding Program'!$H$54),'Bonding Program'!$T$54,0)</f>
        <v>0</v>
      </c>
    </row>
    <row r="150" customFormat="false" ht="15" hidden="false" customHeight="true" outlineLevel="0" collapsed="false">
      <c r="A150" s="29" t="s">
        <v>56</v>
      </c>
      <c r="B150" s="30" t="n">
        <f aca="false">SUM(B106:B149)</f>
        <v>0</v>
      </c>
      <c r="C150" s="30" t="n">
        <f aca="false">SUM(C106:C149)</f>
        <v>0</v>
      </c>
      <c r="D150" s="30" t="n">
        <f aca="false">SUM(D106:D149)</f>
        <v>0</v>
      </c>
      <c r="E150" s="30" t="n">
        <f aca="false">SUM(E106:E149)</f>
        <v>0</v>
      </c>
      <c r="F150" s="30" t="n">
        <f aca="false">SUM(F106:F149)</f>
        <v>0</v>
      </c>
      <c r="G150" s="30" t="n">
        <f aca="false">SUM(G106:G149)</f>
        <v>0</v>
      </c>
      <c r="H150" s="30" t="n">
        <f aca="false">SUM(H106:H149)</f>
        <v>1050990</v>
      </c>
      <c r="I150" s="30" t="n">
        <f aca="false">SUM(I106:I149)</f>
        <v>192026.25</v>
      </c>
      <c r="J150" s="30" t="n">
        <f aca="false">SUM(J106:J149)</f>
        <v>0</v>
      </c>
      <c r="K150" s="30" t="n">
        <f aca="false">SUM(K106:K149)</f>
        <v>0</v>
      </c>
      <c r="L150" s="30" t="n">
        <f aca="false">SUM(L106:L149)</f>
        <v>0</v>
      </c>
      <c r="M150" s="30" t="n">
        <f aca="false">SUM(M106:M149)</f>
        <v>314237.512315271</v>
      </c>
      <c r="N150" s="30" t="n">
        <f aca="false">SUM(N106:N149)</f>
        <v>0</v>
      </c>
      <c r="O150" s="30" t="n">
        <f aca="false">SUM(O106:O149)</f>
        <v>0</v>
      </c>
      <c r="P150" s="30" t="n">
        <f aca="false">SUM(P106:P149)</f>
        <v>0</v>
      </c>
      <c r="Q150" s="30" t="n">
        <f aca="false">SUM(Q106:Q149)</f>
        <v>668967.044334975</v>
      </c>
      <c r="R150" s="30" t="n">
        <f aca="false">SUM(R106:R149)</f>
        <v>226345.049261084</v>
      </c>
      <c r="S150" s="30" t="n">
        <f aca="false">SUM(S106:S149)</f>
        <v>167251.995073892</v>
      </c>
      <c r="T150" s="30" t="n">
        <f aca="false">SUM(T106:T149)</f>
        <v>272553.236453202</v>
      </c>
      <c r="U150" s="30" t="n">
        <f aca="false">SUM(U106:U149)</f>
        <v>0</v>
      </c>
      <c r="V150" s="30" t="n">
        <f aca="false">SUM(V106:V149)</f>
        <v>0</v>
      </c>
      <c r="W150" s="30" t="n">
        <f aca="false">SUM(W106:W149)</f>
        <v>0</v>
      </c>
      <c r="X150" s="30" t="n">
        <f aca="false">SUM(X106:X149)</f>
        <v>0</v>
      </c>
      <c r="Y150" s="30" t="n">
        <f aca="false">SUM(Y106:Y149)</f>
        <v>0</v>
      </c>
      <c r="Z150" s="30" t="n">
        <f aca="false">SUM(Z106:Z149)</f>
        <v>0</v>
      </c>
      <c r="AA150" s="30" t="n">
        <f aca="false">SUM(AA106:AA149)</f>
        <v>0</v>
      </c>
      <c r="AB150" s="30" t="n">
        <f aca="false">SUM(AB106:AB149)</f>
        <v>0</v>
      </c>
      <c r="AC150" s="30" t="n">
        <f aca="false">SUM(AC106:AC149)</f>
        <v>0</v>
      </c>
      <c r="AD150" s="30" t="n">
        <f aca="false">SUM(AD106:AD149)</f>
        <v>0</v>
      </c>
      <c r="AE150" s="30" t="n">
        <f aca="false">SUM(AE106:AE149)</f>
        <v>611152.197044335</v>
      </c>
      <c r="AF150" s="30" t="n">
        <f aca="false">SUM(AF106:AF149)</f>
        <v>0</v>
      </c>
      <c r="AG150" s="30" t="n">
        <f aca="false">SUM(AG106:AG149)</f>
        <v>0</v>
      </c>
      <c r="AH150" s="30" t="n">
        <f aca="false">SUM(AH106:AH149)</f>
        <v>0</v>
      </c>
      <c r="AI150" s="30" t="n">
        <f aca="false">SUM(AI106:AI149)</f>
        <v>0</v>
      </c>
      <c r="AJ150" s="30" t="n">
        <f aca="false">SUM(AJ106:AJ149)</f>
        <v>221674.876847291</v>
      </c>
      <c r="AK150" s="30" t="n">
        <f aca="false">SUM(AK106:AK149)</f>
        <v>0</v>
      </c>
      <c r="AL150" s="30" t="n">
        <f aca="false">SUM(AL106:AL149)</f>
        <v>0</v>
      </c>
      <c r="AM150" s="30" t="n">
        <f aca="false">SUM(AM106:AM149)</f>
        <v>0</v>
      </c>
      <c r="AN150" s="30" t="n">
        <f aca="false">SUM(AN106:AN149)</f>
        <v>0</v>
      </c>
      <c r="AO150" s="30" t="n">
        <f aca="false">SUM(AO106:AO149)</f>
        <v>0</v>
      </c>
      <c r="AP150" s="30" t="n">
        <f aca="false">SUM(AP106:AP149)</f>
        <v>266009.852216749</v>
      </c>
      <c r="AQ150" s="30" t="n">
        <f aca="false">SUM(AQ106:AQ149)</f>
        <v>0</v>
      </c>
      <c r="AR150" s="30" t="n">
        <f aca="false">SUM(AR106:AR149)</f>
        <v>0</v>
      </c>
      <c r="AS150" s="30" t="n">
        <f aca="false">SUM(AS106:AS149)</f>
        <v>0</v>
      </c>
      <c r="AT150" s="30" t="n">
        <f aca="false">SUM(AT106:AT149)</f>
        <v>0</v>
      </c>
      <c r="AU150" s="30" t="n">
        <f aca="false">SUM(AU106:AU149)</f>
        <v>0</v>
      </c>
      <c r="AV150" s="30" t="n">
        <f aca="false">SUM(AV106:AV149)</f>
        <v>0</v>
      </c>
      <c r="AW150" s="30" t="n">
        <f aca="false">SUM(AW106:AW149)</f>
        <v>0</v>
      </c>
      <c r="AX150" s="30" t="n">
        <f aca="false">SUM(AX106:AX149)</f>
        <v>0</v>
      </c>
      <c r="AY150" s="30" t="n">
        <f aca="false">SUM(AY106:AY149)</f>
        <v>0</v>
      </c>
      <c r="AZ150" s="30" t="n">
        <f aca="false">SUM(AZ106:AZ149)</f>
        <v>0</v>
      </c>
      <c r="BA150" s="30" t="n">
        <f aca="false">SUM(BA106:BA149)</f>
        <v>0</v>
      </c>
      <c r="BB150" s="30" t="n">
        <f aca="false">SUM(BB106:BB149)</f>
        <v>221674.876847291</v>
      </c>
      <c r="BC150" s="30" t="n">
        <f aca="false">SUM(BC106:BC149)</f>
        <v>0</v>
      </c>
      <c r="BD150" s="30" t="n">
        <f aca="false">SUM(BD106:BD149)</f>
        <v>0</v>
      </c>
      <c r="BE150" s="30" t="n">
        <f aca="false">SUM(BE106:BE149)</f>
        <v>0</v>
      </c>
      <c r="BF150" s="30" t="n">
        <f aca="false">SUM(BF106:BF149)</f>
        <v>0</v>
      </c>
      <c r="BG150" s="30" t="n">
        <f aca="false">SUM(BG106:BG149)</f>
        <v>0</v>
      </c>
      <c r="BH150" s="30" t="n">
        <f aca="false">SUM(BH106:BH149)</f>
        <v>221674.876847291</v>
      </c>
      <c r="BI150" s="30" t="n">
        <f aca="false">SUM(BI106:BI149)</f>
        <v>0</v>
      </c>
      <c r="BJ150" s="30" t="n">
        <f aca="false">SUM(BJ106:BJ149)</f>
        <v>0</v>
      </c>
      <c r="BK150" s="30" t="n">
        <f aca="false">SUM(BK106:BK149)</f>
        <v>0</v>
      </c>
      <c r="BL150" s="30" t="n">
        <f aca="false">SUM(BL106:BL149)</f>
        <v>0</v>
      </c>
      <c r="BM150" s="30" t="n">
        <f aca="false">SUM(BM106:BM149)</f>
        <v>0</v>
      </c>
      <c r="BN150" s="30" t="n">
        <f aca="false">SUM(BN106:BN149)</f>
        <v>0</v>
      </c>
      <c r="BO150" s="30" t="n">
        <f aca="false">SUM(BO106:BO149)</f>
        <v>0</v>
      </c>
      <c r="BP150" s="30" t="n">
        <f aca="false">SUM(BP106:BP149)</f>
        <v>0</v>
      </c>
      <c r="BQ150" s="30" t="n">
        <f aca="false">SUM(BQ106:BQ149)</f>
        <v>0</v>
      </c>
      <c r="BR150" s="30" t="n">
        <f aca="false">SUM(BR106:BR149)</f>
        <v>0</v>
      </c>
      <c r="BS150" s="30" t="n">
        <f aca="false">SUM(BS106:BS149)</f>
        <v>0</v>
      </c>
      <c r="BT150" s="30" t="n">
        <f aca="false">SUM(BT106:BT149)</f>
        <v>0</v>
      </c>
      <c r="BU150" s="30" t="n">
        <f aca="false">SUM(BU106:BU149)</f>
        <v>0</v>
      </c>
      <c r="BV150" s="30" t="n">
        <f aca="false">SUM(BV106:BV149)</f>
        <v>0</v>
      </c>
      <c r="BW150" s="30" t="n">
        <f aca="false">SUM(BW106:BW149)</f>
        <v>0</v>
      </c>
      <c r="BX150" s="30" t="n">
        <f aca="false">SUM(BX106:BX149)</f>
        <v>0</v>
      </c>
      <c r="BY150" s="30" t="n">
        <f aca="false">SUM(BY106:BY149)</f>
        <v>0</v>
      </c>
      <c r="BZ150" s="30" t="n">
        <f aca="false">SUM(BZ106:BZ149)</f>
        <v>0</v>
      </c>
      <c r="CA150" s="30" t="n">
        <f aca="false">SUM(CA106:CA149)</f>
        <v>0</v>
      </c>
      <c r="CB150" s="30" t="n">
        <f aca="false">SUM(CB106:CB149)</f>
        <v>0</v>
      </c>
      <c r="CC150" s="30" t="n">
        <f aca="false">SUM(CC106:CC149)</f>
        <v>0</v>
      </c>
      <c r="CD150" s="30" t="n">
        <f aca="false">SUM(CD106:CD149)</f>
        <v>0</v>
      </c>
      <c r="CE150" s="30" t="n">
        <f aca="false">SUM(CE106:CE149)</f>
        <v>0</v>
      </c>
      <c r="CF150" s="30" t="n">
        <f aca="false">SUM(CF106:CF149)</f>
        <v>0</v>
      </c>
      <c r="CG150" s="30" t="n">
        <f aca="false">SUM(CG106:CG149)</f>
        <v>0</v>
      </c>
      <c r="CH150" s="30" t="n">
        <f aca="false">SUM(CH106:CH149)</f>
        <v>0</v>
      </c>
      <c r="CI150" s="30" t="n">
        <f aca="false">SUM(CI106:CI149)</f>
        <v>0</v>
      </c>
      <c r="CJ150" s="30" t="n">
        <f aca="false">SUM(CJ106:CJ149)</f>
        <v>0</v>
      </c>
      <c r="CK150" s="30" t="n">
        <f aca="false">SUM(CK106:CK149)</f>
        <v>0</v>
      </c>
      <c r="CL150" s="30" t="n">
        <f aca="false">SUM(CL106:CL149)</f>
        <v>0</v>
      </c>
      <c r="CM150" s="30" t="n">
        <f aca="false">SUM(CM106:CM149)</f>
        <v>0</v>
      </c>
      <c r="CN150" s="30" t="n">
        <f aca="false">SUM(CN106:CN149)</f>
        <v>0</v>
      </c>
      <c r="CO150" s="30" t="n">
        <f aca="false">SUM(CO106:CO149)</f>
        <v>0</v>
      </c>
      <c r="CP150" s="30" t="n">
        <f aca="false">SUM(CP106:CP149)</f>
        <v>0</v>
      </c>
      <c r="CQ150" s="30" t="n">
        <f aca="false">SUM(CQ106:CQ149)</f>
        <v>0</v>
      </c>
      <c r="CR150" s="30" t="n">
        <f aca="false">SUM(CR106:CR149)</f>
        <v>0</v>
      </c>
      <c r="CS150" s="30" t="n">
        <f aca="false">SUM(CS106:CS149)</f>
        <v>0</v>
      </c>
      <c r="CT150" s="30" t="n">
        <f aca="false">SUM(CT106:CT149)</f>
        <v>0</v>
      </c>
      <c r="CU150" s="30" t="n">
        <f aca="false">SUM(CU106:CU149)</f>
        <v>0</v>
      </c>
      <c r="CV150" s="30" t="n">
        <f aca="false">SUM(CV106:CV149)</f>
        <v>0</v>
      </c>
      <c r="CW150" s="30" t="n">
        <f aca="false">SUM(CW106:CW149)</f>
        <v>0</v>
      </c>
      <c r="CX150" s="30" t="n">
        <f aca="false">SUM(CX106:CX149)</f>
        <v>0</v>
      </c>
      <c r="CY150" s="30" t="n">
        <f aca="false">SUM(CY106:CY149)</f>
        <v>0</v>
      </c>
      <c r="CZ150" s="30" t="n">
        <f aca="false">SUM(CZ106:CZ149)</f>
        <v>0</v>
      </c>
      <c r="DA150" s="30" t="n">
        <f aca="false">SUM(DA106:DA149)</f>
        <v>0</v>
      </c>
      <c r="DB150" s="30" t="n">
        <f aca="false">SUM(DB106:DB149)</f>
        <v>0</v>
      </c>
      <c r="DC150" s="30" t="n">
        <f aca="false">SUM(DC106:DC149)</f>
        <v>0</v>
      </c>
      <c r="DD150" s="30" t="n">
        <f aca="false">SUM(DD106:DD149)</f>
        <v>0</v>
      </c>
      <c r="DE150" s="30" t="n">
        <f aca="false">SUM(DE106:DE149)</f>
        <v>0</v>
      </c>
    </row>
    <row r="151" customFormat="false" ht="15" hidden="false" customHeight="true" outlineLevel="0" collapsed="false">
      <c r="A151" s="27" t="s">
        <v>57</v>
      </c>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c r="AA151" s="19"/>
      <c r="AB151" s="19"/>
      <c r="AC151" s="19"/>
      <c r="AD151" s="19"/>
      <c r="AE151" s="19"/>
      <c r="AF151" s="19"/>
      <c r="AG151" s="19"/>
      <c r="AH151" s="19"/>
      <c r="AI151" s="19"/>
      <c r="AJ151" s="19"/>
      <c r="AK151" s="19"/>
      <c r="AL151" s="19"/>
      <c r="AM151" s="19"/>
      <c r="AN151" s="19"/>
      <c r="AO151" s="19"/>
      <c r="AP151" s="19"/>
      <c r="AQ151" s="19"/>
      <c r="AR151" s="19"/>
      <c r="AS151" s="19"/>
      <c r="AT151" s="19"/>
      <c r="AU151" s="19"/>
      <c r="AV151" s="19"/>
      <c r="AW151" s="19"/>
      <c r="AX151" s="19"/>
      <c r="AY151" s="19"/>
      <c r="AZ151" s="19"/>
      <c r="BA151" s="19"/>
      <c r="BB151" s="19"/>
      <c r="BC151" s="19"/>
      <c r="BD151" s="19"/>
      <c r="BE151" s="19"/>
      <c r="BF151" s="19"/>
      <c r="BG151" s="19"/>
      <c r="BH151" s="19"/>
      <c r="BI151" s="19"/>
      <c r="BJ151" s="19"/>
      <c r="BK151" s="19"/>
      <c r="BL151" s="19"/>
      <c r="BM151" s="19"/>
      <c r="BN151" s="19"/>
      <c r="BO151" s="19"/>
      <c r="BP151" s="19"/>
      <c r="BQ151" s="19"/>
      <c r="BR151" s="19"/>
      <c r="BS151" s="19"/>
      <c r="BT151" s="19"/>
      <c r="BU151" s="19"/>
      <c r="BV151" s="19"/>
      <c r="BW151" s="19"/>
      <c r="BX151" s="19"/>
      <c r="BY151" s="19"/>
      <c r="BZ151" s="19"/>
      <c r="CA151" s="19"/>
      <c r="CB151" s="19"/>
      <c r="CC151" s="19"/>
      <c r="CD151" s="19"/>
      <c r="CE151" s="19"/>
      <c r="CF151" s="19"/>
      <c r="CG151" s="19"/>
      <c r="CH151" s="19"/>
      <c r="CI151" s="19"/>
      <c r="CJ151" s="19"/>
      <c r="CK151" s="19"/>
      <c r="CL151" s="19"/>
      <c r="CM151" s="19"/>
      <c r="CN151" s="19"/>
      <c r="CO151" s="19"/>
      <c r="CP151" s="19"/>
      <c r="CQ151" s="19"/>
      <c r="CR151" s="19"/>
      <c r="CS151" s="19"/>
      <c r="CT151" s="19"/>
      <c r="CU151" s="19"/>
      <c r="CV151" s="19"/>
      <c r="CW151" s="19"/>
      <c r="CX151" s="19"/>
      <c r="CY151" s="19"/>
      <c r="CZ151" s="19"/>
      <c r="DA151" s="19"/>
      <c r="DB151" s="19"/>
      <c r="DC151" s="19"/>
      <c r="DD151" s="19"/>
      <c r="DE151" s="19"/>
    </row>
    <row r="152" customFormat="false" ht="15" hidden="false" customHeight="true" outlineLevel="1" collapsed="false">
      <c r="A152" s="28" t="s">
        <v>7</v>
      </c>
      <c r="B152" s="19" t="n">
        <f aca="false">IF(AND('Bonding Program'!$S$11=1,'Bonding Program'!$H$11&gt;'Bonding Program'!$C$8,B$3='Bonding Program'!$H$11),'Bonding Program'!$T$11-'Bonding Program'!$U$11-'Bonding Program'!$Z$11,0)-IF(AND('Bonding Program'!$S$11=1,'Bonding Program'!$H$11&lt;='Bonding Program'!$C$8,B$3=IF('Bonding Program'!$P$11&lt;&gt;"",'Bonding Program'!$P$11,'Bonding Program'!$C$8)),'Bonding Program'!$Z$11,0)+IF(AND('Bonding Program'!$P$11&lt;&gt;"",B$3='Bonding Program'!$P$11,B$3&lt;='Bonding Program'!$C$8),N('Bonding Program'!$O$11),0)</f>
        <v>0</v>
      </c>
      <c r="C152" s="19" t="n">
        <f aca="false">IF(AND('Bonding Program'!$S$11=1,'Bonding Program'!$H$11&gt;'Bonding Program'!$C$8,C$3='Bonding Program'!$H$11),'Bonding Program'!$T$11-'Bonding Program'!$U$11-'Bonding Program'!$Z$11,0)-IF(AND('Bonding Program'!$S$11=1,'Bonding Program'!$H$11&lt;='Bonding Program'!$C$8,C$3=IF('Bonding Program'!$P$11&lt;&gt;"",'Bonding Program'!$P$11,'Bonding Program'!$C$8)),'Bonding Program'!$Z$11,0)+IF(AND('Bonding Program'!$P$11&lt;&gt;"",C$3='Bonding Program'!$P$11,C$3&lt;='Bonding Program'!$C$8),N('Bonding Program'!$O$11),0)</f>
        <v>0</v>
      </c>
      <c r="D152" s="19" t="n">
        <f aca="false">IF(AND('Bonding Program'!$S$11=1,'Bonding Program'!$H$11&gt;'Bonding Program'!$C$8,D$3='Bonding Program'!$H$11),'Bonding Program'!$T$11-'Bonding Program'!$U$11-'Bonding Program'!$Z$11,0)-IF(AND('Bonding Program'!$S$11=1,'Bonding Program'!$H$11&lt;='Bonding Program'!$C$8,D$3=IF('Bonding Program'!$P$11&lt;&gt;"",'Bonding Program'!$P$11,'Bonding Program'!$C$8)),'Bonding Program'!$Z$11,0)+IF(AND('Bonding Program'!$P$11&lt;&gt;"",D$3='Bonding Program'!$P$11,D$3&lt;='Bonding Program'!$C$8),N('Bonding Program'!$O$11),0)</f>
        <v>0</v>
      </c>
      <c r="E152" s="19" t="n">
        <f aca="false">IF(AND('Bonding Program'!$S$11=1,'Bonding Program'!$H$11&gt;'Bonding Program'!$C$8,E$3='Bonding Program'!$H$11),'Bonding Program'!$T$11-'Bonding Program'!$U$11-'Bonding Program'!$Z$11,0)-IF(AND('Bonding Program'!$S$11=1,'Bonding Program'!$H$11&lt;='Bonding Program'!$C$8,E$3=IF('Bonding Program'!$P$11&lt;&gt;"",'Bonding Program'!$P$11,'Bonding Program'!$C$8)),'Bonding Program'!$Z$11,0)+IF(AND('Bonding Program'!$P$11&lt;&gt;"",E$3='Bonding Program'!$P$11,E$3&lt;='Bonding Program'!$C$8),N('Bonding Program'!$O$11),0)</f>
        <v>0</v>
      </c>
      <c r="F152" s="19" t="n">
        <f aca="false">IF(AND('Bonding Program'!$S$11=1,'Bonding Program'!$H$11&gt;'Bonding Program'!$C$8,F$3='Bonding Program'!$H$11),'Bonding Program'!$T$11-'Bonding Program'!$U$11-'Bonding Program'!$Z$11,0)-IF(AND('Bonding Program'!$S$11=1,'Bonding Program'!$H$11&lt;='Bonding Program'!$C$8,F$3=IF('Bonding Program'!$P$11&lt;&gt;"",'Bonding Program'!$P$11,'Bonding Program'!$C$8)),'Bonding Program'!$Z$11,0)+IF(AND('Bonding Program'!$P$11&lt;&gt;"",F$3='Bonding Program'!$P$11,F$3&lt;='Bonding Program'!$C$8),N('Bonding Program'!$O$11),0)</f>
        <v>0</v>
      </c>
      <c r="G152" s="19" t="n">
        <f aca="false">IF(AND('Bonding Program'!$S$11=1,'Bonding Program'!$H$11&gt;'Bonding Program'!$C$8,G$3='Bonding Program'!$H$11),'Bonding Program'!$T$11-'Bonding Program'!$U$11-'Bonding Program'!$Z$11,0)-IF(AND('Bonding Program'!$S$11=1,'Bonding Program'!$H$11&lt;='Bonding Program'!$C$8,G$3=IF('Bonding Program'!$P$11&lt;&gt;"",'Bonding Program'!$P$11,'Bonding Program'!$C$8)),'Bonding Program'!$Z$11,0)+IF(AND('Bonding Program'!$P$11&lt;&gt;"",G$3='Bonding Program'!$P$11,G$3&lt;='Bonding Program'!$C$8),N('Bonding Program'!$O$11),0)</f>
        <v>0</v>
      </c>
      <c r="H152" s="19" t="n">
        <f aca="false">IF(AND('Bonding Program'!$S$11=1,'Bonding Program'!$H$11&gt;'Bonding Program'!$C$8,H$3='Bonding Program'!$H$11),'Bonding Program'!$T$11-'Bonding Program'!$U$11-'Bonding Program'!$Z$11,0)-IF(AND('Bonding Program'!$S$11=1,'Bonding Program'!$H$11&lt;='Bonding Program'!$C$8,H$3=IF('Bonding Program'!$P$11&lt;&gt;"",'Bonding Program'!$P$11,'Bonding Program'!$C$8)),'Bonding Program'!$Z$11,0)+IF(AND('Bonding Program'!$P$11&lt;&gt;"",H$3='Bonding Program'!$P$11,H$3&lt;='Bonding Program'!$C$8),N('Bonding Program'!$O$11),0)</f>
        <v>0</v>
      </c>
      <c r="I152" s="19" t="n">
        <f aca="false">IF(AND('Bonding Program'!$S$11=1,'Bonding Program'!$H$11&gt;'Bonding Program'!$C$8,I$3='Bonding Program'!$H$11),'Bonding Program'!$T$11-'Bonding Program'!$U$11-'Bonding Program'!$Z$11,0)-IF(AND('Bonding Program'!$S$11=1,'Bonding Program'!$H$11&lt;='Bonding Program'!$C$8,I$3=IF('Bonding Program'!$P$11&lt;&gt;"",'Bonding Program'!$P$11,'Bonding Program'!$C$8)),'Bonding Program'!$Z$11,0)+IF(AND('Bonding Program'!$P$11&lt;&gt;"",I$3='Bonding Program'!$P$11,I$3&lt;='Bonding Program'!$C$8),N('Bonding Program'!$O$11),0)</f>
        <v>0</v>
      </c>
      <c r="J152" s="19" t="n">
        <f aca="false">IF(AND('Bonding Program'!$S$11=1,'Bonding Program'!$H$11&gt;'Bonding Program'!$C$8,J$3='Bonding Program'!$H$11),'Bonding Program'!$T$11-'Bonding Program'!$U$11-'Bonding Program'!$Z$11,0)-IF(AND('Bonding Program'!$S$11=1,'Bonding Program'!$H$11&lt;='Bonding Program'!$C$8,J$3=IF('Bonding Program'!$P$11&lt;&gt;"",'Bonding Program'!$P$11,'Bonding Program'!$C$8)),'Bonding Program'!$Z$11,0)+IF(AND('Bonding Program'!$P$11&lt;&gt;"",J$3='Bonding Program'!$P$11,J$3&lt;='Bonding Program'!$C$8),N('Bonding Program'!$O$11),0)</f>
        <v>0</v>
      </c>
      <c r="K152" s="19" t="n">
        <f aca="false">IF(AND('Bonding Program'!$S$11=1,'Bonding Program'!$H$11&gt;'Bonding Program'!$C$8,K$3='Bonding Program'!$H$11),'Bonding Program'!$T$11-'Bonding Program'!$U$11-'Bonding Program'!$Z$11,0)-IF(AND('Bonding Program'!$S$11=1,'Bonding Program'!$H$11&lt;='Bonding Program'!$C$8,K$3=IF('Bonding Program'!$P$11&lt;&gt;"",'Bonding Program'!$P$11,'Bonding Program'!$C$8)),'Bonding Program'!$Z$11,0)+IF(AND('Bonding Program'!$P$11&lt;&gt;"",K$3='Bonding Program'!$P$11,K$3&lt;='Bonding Program'!$C$8),N('Bonding Program'!$O$11),0)</f>
        <v>0</v>
      </c>
      <c r="L152" s="19" t="n">
        <f aca="false">IF(AND('Bonding Program'!$S$11=1,'Bonding Program'!$H$11&gt;'Bonding Program'!$C$8,L$3='Bonding Program'!$H$11),'Bonding Program'!$T$11-'Bonding Program'!$U$11-'Bonding Program'!$Z$11,0)-IF(AND('Bonding Program'!$S$11=1,'Bonding Program'!$H$11&lt;='Bonding Program'!$C$8,L$3=IF('Bonding Program'!$P$11&lt;&gt;"",'Bonding Program'!$P$11,'Bonding Program'!$C$8)),'Bonding Program'!$Z$11,0)+IF(AND('Bonding Program'!$P$11&lt;&gt;"",L$3='Bonding Program'!$P$11,L$3&lt;='Bonding Program'!$C$8),N('Bonding Program'!$O$11),0)</f>
        <v>0</v>
      </c>
      <c r="M152" s="19" t="n">
        <f aca="false">IF(AND('Bonding Program'!$S$11=1,'Bonding Program'!$H$11&gt;'Bonding Program'!$C$8,M$3='Bonding Program'!$H$11),'Bonding Program'!$T$11-'Bonding Program'!$U$11-'Bonding Program'!$Z$11,0)-IF(AND('Bonding Program'!$S$11=1,'Bonding Program'!$H$11&lt;='Bonding Program'!$C$8,M$3=IF('Bonding Program'!$P$11&lt;&gt;"",'Bonding Program'!$P$11,'Bonding Program'!$C$8)),'Bonding Program'!$Z$11,0)+IF(AND('Bonding Program'!$P$11&lt;&gt;"",M$3='Bonding Program'!$P$11,M$3&lt;='Bonding Program'!$C$8),N('Bonding Program'!$O$11),0)</f>
        <v>0</v>
      </c>
      <c r="N152" s="19" t="n">
        <f aca="false">IF(AND('Bonding Program'!$S$11=1,'Bonding Program'!$H$11&gt;'Bonding Program'!$C$8,N$3='Bonding Program'!$H$11),'Bonding Program'!$T$11-'Bonding Program'!$U$11-'Bonding Program'!$Z$11,0)-IF(AND('Bonding Program'!$S$11=1,'Bonding Program'!$H$11&lt;='Bonding Program'!$C$8,N$3=IF('Bonding Program'!$P$11&lt;&gt;"",'Bonding Program'!$P$11,'Bonding Program'!$C$8)),'Bonding Program'!$Z$11,0)+IF(AND('Bonding Program'!$P$11&lt;&gt;"",N$3='Bonding Program'!$P$11,N$3&lt;='Bonding Program'!$C$8),N('Bonding Program'!$O$11),0)</f>
        <v>0</v>
      </c>
      <c r="O152" s="19" t="n">
        <f aca="false">IF(AND('Bonding Program'!$S$11=1,'Bonding Program'!$H$11&gt;'Bonding Program'!$C$8,O$3='Bonding Program'!$H$11),'Bonding Program'!$T$11-'Bonding Program'!$U$11-'Bonding Program'!$Z$11,0)-IF(AND('Bonding Program'!$S$11=1,'Bonding Program'!$H$11&lt;='Bonding Program'!$C$8,O$3=IF('Bonding Program'!$P$11&lt;&gt;"",'Bonding Program'!$P$11,'Bonding Program'!$C$8)),'Bonding Program'!$Z$11,0)+IF(AND('Bonding Program'!$P$11&lt;&gt;"",O$3='Bonding Program'!$P$11,O$3&lt;='Bonding Program'!$C$8),N('Bonding Program'!$O$11),0)</f>
        <v>0</v>
      </c>
      <c r="P152" s="19" t="n">
        <f aca="false">IF(AND('Bonding Program'!$S$11=1,'Bonding Program'!$H$11&gt;'Bonding Program'!$C$8,P$3='Bonding Program'!$H$11),'Bonding Program'!$T$11-'Bonding Program'!$U$11-'Bonding Program'!$Z$11,0)-IF(AND('Bonding Program'!$S$11=1,'Bonding Program'!$H$11&lt;='Bonding Program'!$C$8,P$3=IF('Bonding Program'!$P$11&lt;&gt;"",'Bonding Program'!$P$11,'Bonding Program'!$C$8)),'Bonding Program'!$Z$11,0)+IF(AND('Bonding Program'!$P$11&lt;&gt;"",P$3='Bonding Program'!$P$11,P$3&lt;='Bonding Program'!$C$8),N('Bonding Program'!$O$11),0)</f>
        <v>0</v>
      </c>
      <c r="Q152" s="19" t="n">
        <f aca="false">IF(AND('Bonding Program'!$S$11=1,'Bonding Program'!$H$11&gt;'Bonding Program'!$C$8,Q$3='Bonding Program'!$H$11),'Bonding Program'!$T$11-'Bonding Program'!$U$11-'Bonding Program'!$Z$11,0)-IF(AND('Bonding Program'!$S$11=1,'Bonding Program'!$H$11&lt;='Bonding Program'!$C$8,Q$3=IF('Bonding Program'!$P$11&lt;&gt;"",'Bonding Program'!$P$11,'Bonding Program'!$C$8)),'Bonding Program'!$Z$11,0)+IF(AND('Bonding Program'!$P$11&lt;&gt;"",Q$3='Bonding Program'!$P$11,Q$3&lt;='Bonding Program'!$C$8),N('Bonding Program'!$O$11),0)</f>
        <v>0</v>
      </c>
      <c r="R152" s="19" t="n">
        <f aca="false">IF(AND('Bonding Program'!$S$11=1,'Bonding Program'!$H$11&gt;'Bonding Program'!$C$8,R$3='Bonding Program'!$H$11),'Bonding Program'!$T$11-'Bonding Program'!$U$11-'Bonding Program'!$Z$11,0)-IF(AND('Bonding Program'!$S$11=1,'Bonding Program'!$H$11&lt;='Bonding Program'!$C$8,R$3=IF('Bonding Program'!$P$11&lt;&gt;"",'Bonding Program'!$P$11,'Bonding Program'!$C$8)),'Bonding Program'!$Z$11,0)+IF(AND('Bonding Program'!$P$11&lt;&gt;"",R$3='Bonding Program'!$P$11,R$3&lt;='Bonding Program'!$C$8),N('Bonding Program'!$O$11),0)</f>
        <v>0</v>
      </c>
      <c r="S152" s="19" t="n">
        <f aca="false">IF(AND('Bonding Program'!$S$11=1,'Bonding Program'!$H$11&gt;'Bonding Program'!$C$8,S$3='Bonding Program'!$H$11),'Bonding Program'!$T$11-'Bonding Program'!$U$11-'Bonding Program'!$Z$11,0)-IF(AND('Bonding Program'!$S$11=1,'Bonding Program'!$H$11&lt;='Bonding Program'!$C$8,S$3=IF('Bonding Program'!$P$11&lt;&gt;"",'Bonding Program'!$P$11,'Bonding Program'!$C$8)),'Bonding Program'!$Z$11,0)+IF(AND('Bonding Program'!$P$11&lt;&gt;"",S$3='Bonding Program'!$P$11,S$3&lt;='Bonding Program'!$C$8),N('Bonding Program'!$O$11),0)</f>
        <v>0</v>
      </c>
      <c r="T152" s="19" t="n">
        <f aca="false">IF(AND('Bonding Program'!$S$11=1,'Bonding Program'!$H$11&gt;'Bonding Program'!$C$8,T$3='Bonding Program'!$H$11),'Bonding Program'!$T$11-'Bonding Program'!$U$11-'Bonding Program'!$Z$11,0)-IF(AND('Bonding Program'!$S$11=1,'Bonding Program'!$H$11&lt;='Bonding Program'!$C$8,T$3=IF('Bonding Program'!$P$11&lt;&gt;"",'Bonding Program'!$P$11,'Bonding Program'!$C$8)),'Bonding Program'!$Z$11,0)+IF(AND('Bonding Program'!$P$11&lt;&gt;"",T$3='Bonding Program'!$P$11,T$3&lt;='Bonding Program'!$C$8),N('Bonding Program'!$O$11),0)</f>
        <v>0</v>
      </c>
      <c r="U152" s="19" t="n">
        <f aca="false">IF(AND('Bonding Program'!$S$11=1,'Bonding Program'!$H$11&gt;'Bonding Program'!$C$8,U$3='Bonding Program'!$H$11),'Bonding Program'!$T$11-'Bonding Program'!$U$11-'Bonding Program'!$Z$11,0)-IF(AND('Bonding Program'!$S$11=1,'Bonding Program'!$H$11&lt;='Bonding Program'!$C$8,U$3=IF('Bonding Program'!$P$11&lt;&gt;"",'Bonding Program'!$P$11,'Bonding Program'!$C$8)),'Bonding Program'!$Z$11,0)+IF(AND('Bonding Program'!$P$11&lt;&gt;"",U$3='Bonding Program'!$P$11,U$3&lt;='Bonding Program'!$C$8),N('Bonding Program'!$O$11),0)</f>
        <v>0</v>
      </c>
      <c r="V152" s="19" t="n">
        <f aca="false">IF(AND('Bonding Program'!$S$11=1,'Bonding Program'!$H$11&gt;'Bonding Program'!$C$8,V$3='Bonding Program'!$H$11),'Bonding Program'!$T$11-'Bonding Program'!$U$11-'Bonding Program'!$Z$11,0)-IF(AND('Bonding Program'!$S$11=1,'Bonding Program'!$H$11&lt;='Bonding Program'!$C$8,V$3=IF('Bonding Program'!$P$11&lt;&gt;"",'Bonding Program'!$P$11,'Bonding Program'!$C$8)),'Bonding Program'!$Z$11,0)+IF(AND('Bonding Program'!$P$11&lt;&gt;"",V$3='Bonding Program'!$P$11,V$3&lt;='Bonding Program'!$C$8),N('Bonding Program'!$O$11),0)</f>
        <v>0</v>
      </c>
      <c r="W152" s="19" t="n">
        <f aca="false">IF(AND('Bonding Program'!$S$11=1,'Bonding Program'!$H$11&gt;'Bonding Program'!$C$8,W$3='Bonding Program'!$H$11),'Bonding Program'!$T$11-'Bonding Program'!$U$11-'Bonding Program'!$Z$11,0)-IF(AND('Bonding Program'!$S$11=1,'Bonding Program'!$H$11&lt;='Bonding Program'!$C$8,W$3=IF('Bonding Program'!$P$11&lt;&gt;"",'Bonding Program'!$P$11,'Bonding Program'!$C$8)),'Bonding Program'!$Z$11,0)+IF(AND('Bonding Program'!$P$11&lt;&gt;"",W$3='Bonding Program'!$P$11,W$3&lt;='Bonding Program'!$C$8),N('Bonding Program'!$O$11),0)</f>
        <v>0</v>
      </c>
      <c r="X152" s="19" t="n">
        <f aca="false">IF(AND('Bonding Program'!$S$11=1,'Bonding Program'!$H$11&gt;'Bonding Program'!$C$8,X$3='Bonding Program'!$H$11),'Bonding Program'!$T$11-'Bonding Program'!$U$11-'Bonding Program'!$Z$11,0)-IF(AND('Bonding Program'!$S$11=1,'Bonding Program'!$H$11&lt;='Bonding Program'!$C$8,X$3=IF('Bonding Program'!$P$11&lt;&gt;"",'Bonding Program'!$P$11,'Bonding Program'!$C$8)),'Bonding Program'!$Z$11,0)+IF(AND('Bonding Program'!$P$11&lt;&gt;"",X$3='Bonding Program'!$P$11,X$3&lt;='Bonding Program'!$C$8),N('Bonding Program'!$O$11),0)</f>
        <v>0</v>
      </c>
      <c r="Y152" s="19" t="n">
        <f aca="false">IF(AND('Bonding Program'!$S$11=1,'Bonding Program'!$H$11&gt;'Bonding Program'!$C$8,Y$3='Bonding Program'!$H$11),'Bonding Program'!$T$11-'Bonding Program'!$U$11-'Bonding Program'!$Z$11,0)-IF(AND('Bonding Program'!$S$11=1,'Bonding Program'!$H$11&lt;='Bonding Program'!$C$8,Y$3=IF('Bonding Program'!$P$11&lt;&gt;"",'Bonding Program'!$P$11,'Bonding Program'!$C$8)),'Bonding Program'!$Z$11,0)+IF(AND('Bonding Program'!$P$11&lt;&gt;"",Y$3='Bonding Program'!$P$11,Y$3&lt;='Bonding Program'!$C$8),N('Bonding Program'!$O$11),0)</f>
        <v>0</v>
      </c>
      <c r="Z152" s="19" t="n">
        <f aca="false">IF(AND('Bonding Program'!$S$11=1,'Bonding Program'!$H$11&gt;'Bonding Program'!$C$8,Z$3='Bonding Program'!$H$11),'Bonding Program'!$T$11-'Bonding Program'!$U$11-'Bonding Program'!$Z$11,0)-IF(AND('Bonding Program'!$S$11=1,'Bonding Program'!$H$11&lt;='Bonding Program'!$C$8,Z$3=IF('Bonding Program'!$P$11&lt;&gt;"",'Bonding Program'!$P$11,'Bonding Program'!$C$8)),'Bonding Program'!$Z$11,0)+IF(AND('Bonding Program'!$P$11&lt;&gt;"",Z$3='Bonding Program'!$P$11,Z$3&lt;='Bonding Program'!$C$8),N('Bonding Program'!$O$11),0)</f>
        <v>0</v>
      </c>
      <c r="AA152" s="19" t="n">
        <f aca="false">IF(AND('Bonding Program'!$S$11=1,'Bonding Program'!$H$11&gt;'Bonding Program'!$C$8,AA$3='Bonding Program'!$H$11),'Bonding Program'!$T$11-'Bonding Program'!$U$11-'Bonding Program'!$Z$11,0)-IF(AND('Bonding Program'!$S$11=1,'Bonding Program'!$H$11&lt;='Bonding Program'!$C$8,AA$3=IF('Bonding Program'!$P$11&lt;&gt;"",'Bonding Program'!$P$11,'Bonding Program'!$C$8)),'Bonding Program'!$Z$11,0)+IF(AND('Bonding Program'!$P$11&lt;&gt;"",AA$3='Bonding Program'!$P$11,AA$3&lt;='Bonding Program'!$C$8),N('Bonding Program'!$O$11),0)</f>
        <v>0</v>
      </c>
      <c r="AB152" s="19" t="n">
        <f aca="false">IF(AND('Bonding Program'!$S$11=1,'Bonding Program'!$H$11&gt;'Bonding Program'!$C$8,AB$3='Bonding Program'!$H$11),'Bonding Program'!$T$11-'Bonding Program'!$U$11-'Bonding Program'!$Z$11,0)-IF(AND('Bonding Program'!$S$11=1,'Bonding Program'!$H$11&lt;='Bonding Program'!$C$8,AB$3=IF('Bonding Program'!$P$11&lt;&gt;"",'Bonding Program'!$P$11,'Bonding Program'!$C$8)),'Bonding Program'!$Z$11,0)+IF(AND('Bonding Program'!$P$11&lt;&gt;"",AB$3='Bonding Program'!$P$11,AB$3&lt;='Bonding Program'!$C$8),N('Bonding Program'!$O$11),0)</f>
        <v>0</v>
      </c>
      <c r="AC152" s="19" t="n">
        <f aca="false">IF(AND('Bonding Program'!$S$11=1,'Bonding Program'!$H$11&gt;'Bonding Program'!$C$8,AC$3='Bonding Program'!$H$11),'Bonding Program'!$T$11-'Bonding Program'!$U$11-'Bonding Program'!$Z$11,0)-IF(AND('Bonding Program'!$S$11=1,'Bonding Program'!$H$11&lt;='Bonding Program'!$C$8,AC$3=IF('Bonding Program'!$P$11&lt;&gt;"",'Bonding Program'!$P$11,'Bonding Program'!$C$8)),'Bonding Program'!$Z$11,0)+IF(AND('Bonding Program'!$P$11&lt;&gt;"",AC$3='Bonding Program'!$P$11,AC$3&lt;='Bonding Program'!$C$8),N('Bonding Program'!$O$11),0)</f>
        <v>0</v>
      </c>
      <c r="AD152" s="19" t="n">
        <f aca="false">IF(AND('Bonding Program'!$S$11=1,'Bonding Program'!$H$11&gt;'Bonding Program'!$C$8,AD$3='Bonding Program'!$H$11),'Bonding Program'!$T$11-'Bonding Program'!$U$11-'Bonding Program'!$Z$11,0)-IF(AND('Bonding Program'!$S$11=1,'Bonding Program'!$H$11&lt;='Bonding Program'!$C$8,AD$3=IF('Bonding Program'!$P$11&lt;&gt;"",'Bonding Program'!$P$11,'Bonding Program'!$C$8)),'Bonding Program'!$Z$11,0)+IF(AND('Bonding Program'!$P$11&lt;&gt;"",AD$3='Bonding Program'!$P$11,AD$3&lt;='Bonding Program'!$C$8),N('Bonding Program'!$O$11),0)</f>
        <v>0</v>
      </c>
      <c r="AE152" s="19" t="n">
        <f aca="false">IF(AND('Bonding Program'!$S$11=1,'Bonding Program'!$H$11&gt;'Bonding Program'!$C$8,AE$3='Bonding Program'!$H$11),'Bonding Program'!$T$11-'Bonding Program'!$U$11-'Bonding Program'!$Z$11,0)-IF(AND('Bonding Program'!$S$11=1,'Bonding Program'!$H$11&lt;='Bonding Program'!$C$8,AE$3=IF('Bonding Program'!$P$11&lt;&gt;"",'Bonding Program'!$P$11,'Bonding Program'!$C$8)),'Bonding Program'!$Z$11,0)+IF(AND('Bonding Program'!$P$11&lt;&gt;"",AE$3='Bonding Program'!$P$11,AE$3&lt;='Bonding Program'!$C$8),N('Bonding Program'!$O$11),0)</f>
        <v>0</v>
      </c>
      <c r="AF152" s="19" t="n">
        <f aca="false">IF(AND('Bonding Program'!$S$11=1,'Bonding Program'!$H$11&gt;'Bonding Program'!$C$8,AF$3='Bonding Program'!$H$11),'Bonding Program'!$T$11-'Bonding Program'!$U$11-'Bonding Program'!$Z$11,0)-IF(AND('Bonding Program'!$S$11=1,'Bonding Program'!$H$11&lt;='Bonding Program'!$C$8,AF$3=IF('Bonding Program'!$P$11&lt;&gt;"",'Bonding Program'!$P$11,'Bonding Program'!$C$8)),'Bonding Program'!$Z$11,0)+IF(AND('Bonding Program'!$P$11&lt;&gt;"",AF$3='Bonding Program'!$P$11,AF$3&lt;='Bonding Program'!$C$8),N('Bonding Program'!$O$11),0)</f>
        <v>0</v>
      </c>
      <c r="AG152" s="19" t="n">
        <f aca="false">IF(AND('Bonding Program'!$S$11=1,'Bonding Program'!$H$11&gt;'Bonding Program'!$C$8,AG$3='Bonding Program'!$H$11),'Bonding Program'!$T$11-'Bonding Program'!$U$11-'Bonding Program'!$Z$11,0)-IF(AND('Bonding Program'!$S$11=1,'Bonding Program'!$H$11&lt;='Bonding Program'!$C$8,AG$3=IF('Bonding Program'!$P$11&lt;&gt;"",'Bonding Program'!$P$11,'Bonding Program'!$C$8)),'Bonding Program'!$Z$11,0)+IF(AND('Bonding Program'!$P$11&lt;&gt;"",AG$3='Bonding Program'!$P$11,AG$3&lt;='Bonding Program'!$C$8),N('Bonding Program'!$O$11),0)</f>
        <v>0</v>
      </c>
      <c r="AH152" s="19" t="n">
        <f aca="false">IF(AND('Bonding Program'!$S$11=1,'Bonding Program'!$H$11&gt;'Bonding Program'!$C$8,AH$3='Bonding Program'!$H$11),'Bonding Program'!$T$11-'Bonding Program'!$U$11-'Bonding Program'!$Z$11,0)-IF(AND('Bonding Program'!$S$11=1,'Bonding Program'!$H$11&lt;='Bonding Program'!$C$8,AH$3=IF('Bonding Program'!$P$11&lt;&gt;"",'Bonding Program'!$P$11,'Bonding Program'!$C$8)),'Bonding Program'!$Z$11,0)+IF(AND('Bonding Program'!$P$11&lt;&gt;"",AH$3='Bonding Program'!$P$11,AH$3&lt;='Bonding Program'!$C$8),N('Bonding Program'!$O$11),0)</f>
        <v>0</v>
      </c>
      <c r="AI152" s="19" t="n">
        <f aca="false">IF(AND('Bonding Program'!$S$11=1,'Bonding Program'!$H$11&gt;'Bonding Program'!$C$8,AI$3='Bonding Program'!$H$11),'Bonding Program'!$T$11-'Bonding Program'!$U$11-'Bonding Program'!$Z$11,0)-IF(AND('Bonding Program'!$S$11=1,'Bonding Program'!$H$11&lt;='Bonding Program'!$C$8,AI$3=IF('Bonding Program'!$P$11&lt;&gt;"",'Bonding Program'!$P$11,'Bonding Program'!$C$8)),'Bonding Program'!$Z$11,0)+IF(AND('Bonding Program'!$P$11&lt;&gt;"",AI$3='Bonding Program'!$P$11,AI$3&lt;='Bonding Program'!$C$8),N('Bonding Program'!$O$11),0)</f>
        <v>0</v>
      </c>
      <c r="AJ152" s="19" t="n">
        <f aca="false">IF(AND('Bonding Program'!$S$11=1,'Bonding Program'!$H$11&gt;'Bonding Program'!$C$8,AJ$3='Bonding Program'!$H$11),'Bonding Program'!$T$11-'Bonding Program'!$U$11-'Bonding Program'!$Z$11,0)-IF(AND('Bonding Program'!$S$11=1,'Bonding Program'!$H$11&lt;='Bonding Program'!$C$8,AJ$3=IF('Bonding Program'!$P$11&lt;&gt;"",'Bonding Program'!$P$11,'Bonding Program'!$C$8)),'Bonding Program'!$Z$11,0)+IF(AND('Bonding Program'!$P$11&lt;&gt;"",AJ$3='Bonding Program'!$P$11,AJ$3&lt;='Bonding Program'!$C$8),N('Bonding Program'!$O$11),0)</f>
        <v>0</v>
      </c>
      <c r="AK152" s="19" t="n">
        <f aca="false">IF(AND('Bonding Program'!$S$11=1,'Bonding Program'!$H$11&gt;'Bonding Program'!$C$8,AK$3='Bonding Program'!$H$11),'Bonding Program'!$T$11-'Bonding Program'!$U$11-'Bonding Program'!$Z$11,0)-IF(AND('Bonding Program'!$S$11=1,'Bonding Program'!$H$11&lt;='Bonding Program'!$C$8,AK$3=IF('Bonding Program'!$P$11&lt;&gt;"",'Bonding Program'!$P$11,'Bonding Program'!$C$8)),'Bonding Program'!$Z$11,0)+IF(AND('Bonding Program'!$P$11&lt;&gt;"",AK$3='Bonding Program'!$P$11,AK$3&lt;='Bonding Program'!$C$8),N('Bonding Program'!$O$11),0)</f>
        <v>0</v>
      </c>
      <c r="AL152" s="19" t="n">
        <f aca="false">IF(AND('Bonding Program'!$S$11=1,'Bonding Program'!$H$11&gt;'Bonding Program'!$C$8,AL$3='Bonding Program'!$H$11),'Bonding Program'!$T$11-'Bonding Program'!$U$11-'Bonding Program'!$Z$11,0)-IF(AND('Bonding Program'!$S$11=1,'Bonding Program'!$H$11&lt;='Bonding Program'!$C$8,AL$3=IF('Bonding Program'!$P$11&lt;&gt;"",'Bonding Program'!$P$11,'Bonding Program'!$C$8)),'Bonding Program'!$Z$11,0)+IF(AND('Bonding Program'!$P$11&lt;&gt;"",AL$3='Bonding Program'!$P$11,AL$3&lt;='Bonding Program'!$C$8),N('Bonding Program'!$O$11),0)</f>
        <v>0</v>
      </c>
      <c r="AM152" s="19" t="n">
        <f aca="false">IF(AND('Bonding Program'!$S$11=1,'Bonding Program'!$H$11&gt;'Bonding Program'!$C$8,AM$3='Bonding Program'!$H$11),'Bonding Program'!$T$11-'Bonding Program'!$U$11-'Bonding Program'!$Z$11,0)-IF(AND('Bonding Program'!$S$11=1,'Bonding Program'!$H$11&lt;='Bonding Program'!$C$8,AM$3=IF('Bonding Program'!$P$11&lt;&gt;"",'Bonding Program'!$P$11,'Bonding Program'!$C$8)),'Bonding Program'!$Z$11,0)+IF(AND('Bonding Program'!$P$11&lt;&gt;"",AM$3='Bonding Program'!$P$11,AM$3&lt;='Bonding Program'!$C$8),N('Bonding Program'!$O$11),0)</f>
        <v>0</v>
      </c>
      <c r="AN152" s="19" t="n">
        <f aca="false">IF(AND('Bonding Program'!$S$11=1,'Bonding Program'!$H$11&gt;'Bonding Program'!$C$8,AN$3='Bonding Program'!$H$11),'Bonding Program'!$T$11-'Bonding Program'!$U$11-'Bonding Program'!$Z$11,0)-IF(AND('Bonding Program'!$S$11=1,'Bonding Program'!$H$11&lt;='Bonding Program'!$C$8,AN$3=IF('Bonding Program'!$P$11&lt;&gt;"",'Bonding Program'!$P$11,'Bonding Program'!$C$8)),'Bonding Program'!$Z$11,0)+IF(AND('Bonding Program'!$P$11&lt;&gt;"",AN$3='Bonding Program'!$P$11,AN$3&lt;='Bonding Program'!$C$8),N('Bonding Program'!$O$11),0)</f>
        <v>0</v>
      </c>
      <c r="AO152" s="19" t="n">
        <f aca="false">IF(AND('Bonding Program'!$S$11=1,'Bonding Program'!$H$11&gt;'Bonding Program'!$C$8,AO$3='Bonding Program'!$H$11),'Bonding Program'!$T$11-'Bonding Program'!$U$11-'Bonding Program'!$Z$11,0)-IF(AND('Bonding Program'!$S$11=1,'Bonding Program'!$H$11&lt;='Bonding Program'!$C$8,AO$3=IF('Bonding Program'!$P$11&lt;&gt;"",'Bonding Program'!$P$11,'Bonding Program'!$C$8)),'Bonding Program'!$Z$11,0)+IF(AND('Bonding Program'!$P$11&lt;&gt;"",AO$3='Bonding Program'!$P$11,AO$3&lt;='Bonding Program'!$C$8),N('Bonding Program'!$O$11),0)</f>
        <v>0</v>
      </c>
      <c r="AP152" s="19" t="n">
        <f aca="false">IF(AND('Bonding Program'!$S$11=1,'Bonding Program'!$H$11&gt;'Bonding Program'!$C$8,AP$3='Bonding Program'!$H$11),'Bonding Program'!$T$11-'Bonding Program'!$U$11-'Bonding Program'!$Z$11,0)-IF(AND('Bonding Program'!$S$11=1,'Bonding Program'!$H$11&lt;='Bonding Program'!$C$8,AP$3=IF('Bonding Program'!$P$11&lt;&gt;"",'Bonding Program'!$P$11,'Bonding Program'!$C$8)),'Bonding Program'!$Z$11,0)+IF(AND('Bonding Program'!$P$11&lt;&gt;"",AP$3='Bonding Program'!$P$11,AP$3&lt;='Bonding Program'!$C$8),N('Bonding Program'!$O$11),0)</f>
        <v>0</v>
      </c>
      <c r="AQ152" s="19" t="n">
        <f aca="false">IF(AND('Bonding Program'!$S$11=1,'Bonding Program'!$H$11&gt;'Bonding Program'!$C$8,AQ$3='Bonding Program'!$H$11),'Bonding Program'!$T$11-'Bonding Program'!$U$11-'Bonding Program'!$Z$11,0)-IF(AND('Bonding Program'!$S$11=1,'Bonding Program'!$H$11&lt;='Bonding Program'!$C$8,AQ$3=IF('Bonding Program'!$P$11&lt;&gt;"",'Bonding Program'!$P$11,'Bonding Program'!$C$8)),'Bonding Program'!$Z$11,0)+IF(AND('Bonding Program'!$P$11&lt;&gt;"",AQ$3='Bonding Program'!$P$11,AQ$3&lt;='Bonding Program'!$C$8),N('Bonding Program'!$O$11),0)</f>
        <v>0</v>
      </c>
      <c r="AR152" s="19" t="n">
        <f aca="false">IF(AND('Bonding Program'!$S$11=1,'Bonding Program'!$H$11&gt;'Bonding Program'!$C$8,AR$3='Bonding Program'!$H$11),'Bonding Program'!$T$11-'Bonding Program'!$U$11-'Bonding Program'!$Z$11,0)-IF(AND('Bonding Program'!$S$11=1,'Bonding Program'!$H$11&lt;='Bonding Program'!$C$8,AR$3=IF('Bonding Program'!$P$11&lt;&gt;"",'Bonding Program'!$P$11,'Bonding Program'!$C$8)),'Bonding Program'!$Z$11,0)+IF(AND('Bonding Program'!$P$11&lt;&gt;"",AR$3='Bonding Program'!$P$11,AR$3&lt;='Bonding Program'!$C$8),N('Bonding Program'!$O$11),0)</f>
        <v>0</v>
      </c>
      <c r="AS152" s="19" t="n">
        <f aca="false">IF(AND('Bonding Program'!$S$11=1,'Bonding Program'!$H$11&gt;'Bonding Program'!$C$8,AS$3='Bonding Program'!$H$11),'Bonding Program'!$T$11-'Bonding Program'!$U$11-'Bonding Program'!$Z$11,0)-IF(AND('Bonding Program'!$S$11=1,'Bonding Program'!$H$11&lt;='Bonding Program'!$C$8,AS$3=IF('Bonding Program'!$P$11&lt;&gt;"",'Bonding Program'!$P$11,'Bonding Program'!$C$8)),'Bonding Program'!$Z$11,0)+IF(AND('Bonding Program'!$P$11&lt;&gt;"",AS$3='Bonding Program'!$P$11,AS$3&lt;='Bonding Program'!$C$8),N('Bonding Program'!$O$11),0)</f>
        <v>0</v>
      </c>
      <c r="AT152" s="19" t="n">
        <f aca="false">IF(AND('Bonding Program'!$S$11=1,'Bonding Program'!$H$11&gt;'Bonding Program'!$C$8,AT$3='Bonding Program'!$H$11),'Bonding Program'!$T$11-'Bonding Program'!$U$11-'Bonding Program'!$Z$11,0)-IF(AND('Bonding Program'!$S$11=1,'Bonding Program'!$H$11&lt;='Bonding Program'!$C$8,AT$3=IF('Bonding Program'!$P$11&lt;&gt;"",'Bonding Program'!$P$11,'Bonding Program'!$C$8)),'Bonding Program'!$Z$11,0)+IF(AND('Bonding Program'!$P$11&lt;&gt;"",AT$3='Bonding Program'!$P$11,AT$3&lt;='Bonding Program'!$C$8),N('Bonding Program'!$O$11),0)</f>
        <v>0</v>
      </c>
      <c r="AU152" s="19" t="n">
        <f aca="false">IF(AND('Bonding Program'!$S$11=1,'Bonding Program'!$H$11&gt;'Bonding Program'!$C$8,AU$3='Bonding Program'!$H$11),'Bonding Program'!$T$11-'Bonding Program'!$U$11-'Bonding Program'!$Z$11,0)-IF(AND('Bonding Program'!$S$11=1,'Bonding Program'!$H$11&lt;='Bonding Program'!$C$8,AU$3=IF('Bonding Program'!$P$11&lt;&gt;"",'Bonding Program'!$P$11,'Bonding Program'!$C$8)),'Bonding Program'!$Z$11,0)+IF(AND('Bonding Program'!$P$11&lt;&gt;"",AU$3='Bonding Program'!$P$11,AU$3&lt;='Bonding Program'!$C$8),N('Bonding Program'!$O$11),0)</f>
        <v>0</v>
      </c>
      <c r="AV152" s="19" t="n">
        <f aca="false">IF(AND('Bonding Program'!$S$11=1,'Bonding Program'!$H$11&gt;'Bonding Program'!$C$8,AV$3='Bonding Program'!$H$11),'Bonding Program'!$T$11-'Bonding Program'!$U$11-'Bonding Program'!$Z$11,0)-IF(AND('Bonding Program'!$S$11=1,'Bonding Program'!$H$11&lt;='Bonding Program'!$C$8,AV$3=IF('Bonding Program'!$P$11&lt;&gt;"",'Bonding Program'!$P$11,'Bonding Program'!$C$8)),'Bonding Program'!$Z$11,0)+IF(AND('Bonding Program'!$P$11&lt;&gt;"",AV$3='Bonding Program'!$P$11,AV$3&lt;='Bonding Program'!$C$8),N('Bonding Program'!$O$11),0)</f>
        <v>0</v>
      </c>
      <c r="AW152" s="19" t="n">
        <f aca="false">IF(AND('Bonding Program'!$S$11=1,'Bonding Program'!$H$11&gt;'Bonding Program'!$C$8,AW$3='Bonding Program'!$H$11),'Bonding Program'!$T$11-'Bonding Program'!$U$11-'Bonding Program'!$Z$11,0)-IF(AND('Bonding Program'!$S$11=1,'Bonding Program'!$H$11&lt;='Bonding Program'!$C$8,AW$3=IF('Bonding Program'!$P$11&lt;&gt;"",'Bonding Program'!$P$11,'Bonding Program'!$C$8)),'Bonding Program'!$Z$11,0)+IF(AND('Bonding Program'!$P$11&lt;&gt;"",AW$3='Bonding Program'!$P$11,AW$3&lt;='Bonding Program'!$C$8),N('Bonding Program'!$O$11),0)</f>
        <v>0</v>
      </c>
      <c r="AX152" s="19" t="n">
        <f aca="false">IF(AND('Bonding Program'!$S$11=1,'Bonding Program'!$H$11&gt;'Bonding Program'!$C$8,AX$3='Bonding Program'!$H$11),'Bonding Program'!$T$11-'Bonding Program'!$U$11-'Bonding Program'!$Z$11,0)-IF(AND('Bonding Program'!$S$11=1,'Bonding Program'!$H$11&lt;='Bonding Program'!$C$8,AX$3=IF('Bonding Program'!$P$11&lt;&gt;"",'Bonding Program'!$P$11,'Bonding Program'!$C$8)),'Bonding Program'!$Z$11,0)+IF(AND('Bonding Program'!$P$11&lt;&gt;"",AX$3='Bonding Program'!$P$11,AX$3&lt;='Bonding Program'!$C$8),N('Bonding Program'!$O$11),0)</f>
        <v>0</v>
      </c>
      <c r="AY152" s="19" t="n">
        <f aca="false">IF(AND('Bonding Program'!$S$11=1,'Bonding Program'!$H$11&gt;'Bonding Program'!$C$8,AY$3='Bonding Program'!$H$11),'Bonding Program'!$T$11-'Bonding Program'!$U$11-'Bonding Program'!$Z$11,0)-IF(AND('Bonding Program'!$S$11=1,'Bonding Program'!$H$11&lt;='Bonding Program'!$C$8,AY$3=IF('Bonding Program'!$P$11&lt;&gt;"",'Bonding Program'!$P$11,'Bonding Program'!$C$8)),'Bonding Program'!$Z$11,0)+IF(AND('Bonding Program'!$P$11&lt;&gt;"",AY$3='Bonding Program'!$P$11,AY$3&lt;='Bonding Program'!$C$8),N('Bonding Program'!$O$11),0)</f>
        <v>0</v>
      </c>
      <c r="AZ152" s="19" t="n">
        <f aca="false">IF(AND('Bonding Program'!$S$11=1,'Bonding Program'!$H$11&gt;'Bonding Program'!$C$8,AZ$3='Bonding Program'!$H$11),'Bonding Program'!$T$11-'Bonding Program'!$U$11-'Bonding Program'!$Z$11,0)-IF(AND('Bonding Program'!$S$11=1,'Bonding Program'!$H$11&lt;='Bonding Program'!$C$8,AZ$3=IF('Bonding Program'!$P$11&lt;&gt;"",'Bonding Program'!$P$11,'Bonding Program'!$C$8)),'Bonding Program'!$Z$11,0)+IF(AND('Bonding Program'!$P$11&lt;&gt;"",AZ$3='Bonding Program'!$P$11,AZ$3&lt;='Bonding Program'!$C$8),N('Bonding Program'!$O$11),0)</f>
        <v>0</v>
      </c>
      <c r="BA152" s="19" t="n">
        <f aca="false">IF(AND('Bonding Program'!$S$11=1,'Bonding Program'!$H$11&gt;'Bonding Program'!$C$8,BA$3='Bonding Program'!$H$11),'Bonding Program'!$T$11-'Bonding Program'!$U$11-'Bonding Program'!$Z$11,0)-IF(AND('Bonding Program'!$S$11=1,'Bonding Program'!$H$11&lt;='Bonding Program'!$C$8,BA$3=IF('Bonding Program'!$P$11&lt;&gt;"",'Bonding Program'!$P$11,'Bonding Program'!$C$8)),'Bonding Program'!$Z$11,0)+IF(AND('Bonding Program'!$P$11&lt;&gt;"",BA$3='Bonding Program'!$P$11,BA$3&lt;='Bonding Program'!$C$8),N('Bonding Program'!$O$11),0)</f>
        <v>0</v>
      </c>
      <c r="BB152" s="19" t="n">
        <f aca="false">IF(AND('Bonding Program'!$S$11=1,'Bonding Program'!$H$11&gt;'Bonding Program'!$C$8,BB$3='Bonding Program'!$H$11),'Bonding Program'!$T$11-'Bonding Program'!$U$11-'Bonding Program'!$Z$11,0)-IF(AND('Bonding Program'!$S$11=1,'Bonding Program'!$H$11&lt;='Bonding Program'!$C$8,BB$3=IF('Bonding Program'!$P$11&lt;&gt;"",'Bonding Program'!$P$11,'Bonding Program'!$C$8)),'Bonding Program'!$Z$11,0)+IF(AND('Bonding Program'!$P$11&lt;&gt;"",BB$3='Bonding Program'!$P$11,BB$3&lt;='Bonding Program'!$C$8),N('Bonding Program'!$O$11),0)</f>
        <v>0</v>
      </c>
      <c r="BC152" s="19" t="n">
        <f aca="false">IF(AND('Bonding Program'!$S$11=1,'Bonding Program'!$H$11&gt;'Bonding Program'!$C$8,BC$3='Bonding Program'!$H$11),'Bonding Program'!$T$11-'Bonding Program'!$U$11-'Bonding Program'!$Z$11,0)-IF(AND('Bonding Program'!$S$11=1,'Bonding Program'!$H$11&lt;='Bonding Program'!$C$8,BC$3=IF('Bonding Program'!$P$11&lt;&gt;"",'Bonding Program'!$P$11,'Bonding Program'!$C$8)),'Bonding Program'!$Z$11,0)+IF(AND('Bonding Program'!$P$11&lt;&gt;"",BC$3='Bonding Program'!$P$11,BC$3&lt;='Bonding Program'!$C$8),N('Bonding Program'!$O$11),0)</f>
        <v>0</v>
      </c>
      <c r="BD152" s="19" t="n">
        <f aca="false">IF(AND('Bonding Program'!$S$11=1,'Bonding Program'!$H$11&gt;'Bonding Program'!$C$8,BD$3='Bonding Program'!$H$11),'Bonding Program'!$T$11-'Bonding Program'!$U$11-'Bonding Program'!$Z$11,0)-IF(AND('Bonding Program'!$S$11=1,'Bonding Program'!$H$11&lt;='Bonding Program'!$C$8,BD$3=IF('Bonding Program'!$P$11&lt;&gt;"",'Bonding Program'!$P$11,'Bonding Program'!$C$8)),'Bonding Program'!$Z$11,0)+IF(AND('Bonding Program'!$P$11&lt;&gt;"",BD$3='Bonding Program'!$P$11,BD$3&lt;='Bonding Program'!$C$8),N('Bonding Program'!$O$11),0)</f>
        <v>0</v>
      </c>
      <c r="BE152" s="19" t="n">
        <f aca="false">IF(AND('Bonding Program'!$S$11=1,'Bonding Program'!$H$11&gt;'Bonding Program'!$C$8,BE$3='Bonding Program'!$H$11),'Bonding Program'!$T$11-'Bonding Program'!$U$11-'Bonding Program'!$Z$11,0)-IF(AND('Bonding Program'!$S$11=1,'Bonding Program'!$H$11&lt;='Bonding Program'!$C$8,BE$3=IF('Bonding Program'!$P$11&lt;&gt;"",'Bonding Program'!$P$11,'Bonding Program'!$C$8)),'Bonding Program'!$Z$11,0)+IF(AND('Bonding Program'!$P$11&lt;&gt;"",BE$3='Bonding Program'!$P$11,BE$3&lt;='Bonding Program'!$C$8),N('Bonding Program'!$O$11),0)</f>
        <v>0</v>
      </c>
      <c r="BF152" s="19" t="n">
        <f aca="false">IF(AND('Bonding Program'!$S$11=1,'Bonding Program'!$H$11&gt;'Bonding Program'!$C$8,BF$3='Bonding Program'!$H$11),'Bonding Program'!$T$11-'Bonding Program'!$U$11-'Bonding Program'!$Z$11,0)-IF(AND('Bonding Program'!$S$11=1,'Bonding Program'!$H$11&lt;='Bonding Program'!$C$8,BF$3=IF('Bonding Program'!$P$11&lt;&gt;"",'Bonding Program'!$P$11,'Bonding Program'!$C$8)),'Bonding Program'!$Z$11,0)+IF(AND('Bonding Program'!$P$11&lt;&gt;"",BF$3='Bonding Program'!$P$11,BF$3&lt;='Bonding Program'!$C$8),N('Bonding Program'!$O$11),0)</f>
        <v>0</v>
      </c>
      <c r="BG152" s="19" t="n">
        <f aca="false">IF(AND('Bonding Program'!$S$11=1,'Bonding Program'!$H$11&gt;'Bonding Program'!$C$8,BG$3='Bonding Program'!$H$11),'Bonding Program'!$T$11-'Bonding Program'!$U$11-'Bonding Program'!$Z$11,0)-IF(AND('Bonding Program'!$S$11=1,'Bonding Program'!$H$11&lt;='Bonding Program'!$C$8,BG$3=IF('Bonding Program'!$P$11&lt;&gt;"",'Bonding Program'!$P$11,'Bonding Program'!$C$8)),'Bonding Program'!$Z$11,0)+IF(AND('Bonding Program'!$P$11&lt;&gt;"",BG$3='Bonding Program'!$P$11,BG$3&lt;='Bonding Program'!$C$8),N('Bonding Program'!$O$11),0)</f>
        <v>0</v>
      </c>
      <c r="BH152" s="19" t="n">
        <f aca="false">IF(AND('Bonding Program'!$S$11=1,'Bonding Program'!$H$11&gt;'Bonding Program'!$C$8,BH$3='Bonding Program'!$H$11),'Bonding Program'!$T$11-'Bonding Program'!$U$11-'Bonding Program'!$Z$11,0)-IF(AND('Bonding Program'!$S$11=1,'Bonding Program'!$H$11&lt;='Bonding Program'!$C$8,BH$3=IF('Bonding Program'!$P$11&lt;&gt;"",'Bonding Program'!$P$11,'Bonding Program'!$C$8)),'Bonding Program'!$Z$11,0)+IF(AND('Bonding Program'!$P$11&lt;&gt;"",BH$3='Bonding Program'!$P$11,BH$3&lt;='Bonding Program'!$C$8),N('Bonding Program'!$O$11),0)</f>
        <v>0</v>
      </c>
      <c r="BI152" s="19" t="n">
        <f aca="false">IF(AND('Bonding Program'!$S$11=1,'Bonding Program'!$H$11&gt;'Bonding Program'!$C$8,BI$3='Bonding Program'!$H$11),'Bonding Program'!$T$11-'Bonding Program'!$U$11-'Bonding Program'!$Z$11,0)-IF(AND('Bonding Program'!$S$11=1,'Bonding Program'!$H$11&lt;='Bonding Program'!$C$8,BI$3=IF('Bonding Program'!$P$11&lt;&gt;"",'Bonding Program'!$P$11,'Bonding Program'!$C$8)),'Bonding Program'!$Z$11,0)+IF(AND('Bonding Program'!$P$11&lt;&gt;"",BI$3='Bonding Program'!$P$11,BI$3&lt;='Bonding Program'!$C$8),N('Bonding Program'!$O$11),0)</f>
        <v>0</v>
      </c>
      <c r="BJ152" s="19" t="n">
        <f aca="false">IF(AND('Bonding Program'!$S$11=1,'Bonding Program'!$H$11&gt;'Bonding Program'!$C$8,BJ$3='Bonding Program'!$H$11),'Bonding Program'!$T$11-'Bonding Program'!$U$11-'Bonding Program'!$Z$11,0)-IF(AND('Bonding Program'!$S$11=1,'Bonding Program'!$H$11&lt;='Bonding Program'!$C$8,BJ$3=IF('Bonding Program'!$P$11&lt;&gt;"",'Bonding Program'!$P$11,'Bonding Program'!$C$8)),'Bonding Program'!$Z$11,0)+IF(AND('Bonding Program'!$P$11&lt;&gt;"",BJ$3='Bonding Program'!$P$11,BJ$3&lt;='Bonding Program'!$C$8),N('Bonding Program'!$O$11),0)</f>
        <v>0</v>
      </c>
      <c r="BK152" s="19" t="n">
        <f aca="false">IF(AND('Bonding Program'!$S$11=1,'Bonding Program'!$H$11&gt;'Bonding Program'!$C$8,BK$3='Bonding Program'!$H$11),'Bonding Program'!$T$11-'Bonding Program'!$U$11-'Bonding Program'!$Z$11,0)-IF(AND('Bonding Program'!$S$11=1,'Bonding Program'!$H$11&lt;='Bonding Program'!$C$8,BK$3=IF('Bonding Program'!$P$11&lt;&gt;"",'Bonding Program'!$P$11,'Bonding Program'!$C$8)),'Bonding Program'!$Z$11,0)+IF(AND('Bonding Program'!$P$11&lt;&gt;"",BK$3='Bonding Program'!$P$11,BK$3&lt;='Bonding Program'!$C$8),N('Bonding Program'!$O$11),0)</f>
        <v>0</v>
      </c>
      <c r="BL152" s="19" t="n">
        <f aca="false">IF(AND('Bonding Program'!$S$11=1,'Bonding Program'!$H$11&gt;'Bonding Program'!$C$8,BL$3='Bonding Program'!$H$11),'Bonding Program'!$T$11-'Bonding Program'!$U$11-'Bonding Program'!$Z$11,0)-IF(AND('Bonding Program'!$S$11=1,'Bonding Program'!$H$11&lt;='Bonding Program'!$C$8,BL$3=IF('Bonding Program'!$P$11&lt;&gt;"",'Bonding Program'!$P$11,'Bonding Program'!$C$8)),'Bonding Program'!$Z$11,0)+IF(AND('Bonding Program'!$P$11&lt;&gt;"",BL$3='Bonding Program'!$P$11,BL$3&lt;='Bonding Program'!$C$8),N('Bonding Program'!$O$11),0)</f>
        <v>0</v>
      </c>
      <c r="BM152" s="19" t="n">
        <f aca="false">IF(AND('Bonding Program'!$S$11=1,'Bonding Program'!$H$11&gt;'Bonding Program'!$C$8,BM$3='Bonding Program'!$H$11),'Bonding Program'!$T$11-'Bonding Program'!$U$11-'Bonding Program'!$Z$11,0)-IF(AND('Bonding Program'!$S$11=1,'Bonding Program'!$H$11&lt;='Bonding Program'!$C$8,BM$3=IF('Bonding Program'!$P$11&lt;&gt;"",'Bonding Program'!$P$11,'Bonding Program'!$C$8)),'Bonding Program'!$Z$11,0)+IF(AND('Bonding Program'!$P$11&lt;&gt;"",BM$3='Bonding Program'!$P$11,BM$3&lt;='Bonding Program'!$C$8),N('Bonding Program'!$O$11),0)</f>
        <v>0</v>
      </c>
      <c r="BN152" s="19" t="n">
        <f aca="false">IF(AND('Bonding Program'!$S$11=1,'Bonding Program'!$H$11&gt;'Bonding Program'!$C$8,BN$3='Bonding Program'!$H$11),'Bonding Program'!$T$11-'Bonding Program'!$U$11-'Bonding Program'!$Z$11,0)-IF(AND('Bonding Program'!$S$11=1,'Bonding Program'!$H$11&lt;='Bonding Program'!$C$8,BN$3=IF('Bonding Program'!$P$11&lt;&gt;"",'Bonding Program'!$P$11,'Bonding Program'!$C$8)),'Bonding Program'!$Z$11,0)+IF(AND('Bonding Program'!$P$11&lt;&gt;"",BN$3='Bonding Program'!$P$11,BN$3&lt;='Bonding Program'!$C$8),N('Bonding Program'!$O$11),0)</f>
        <v>0</v>
      </c>
      <c r="BO152" s="19" t="n">
        <f aca="false">IF(AND('Bonding Program'!$S$11=1,'Bonding Program'!$H$11&gt;'Bonding Program'!$C$8,BO$3='Bonding Program'!$H$11),'Bonding Program'!$T$11-'Bonding Program'!$U$11-'Bonding Program'!$Z$11,0)-IF(AND('Bonding Program'!$S$11=1,'Bonding Program'!$H$11&lt;='Bonding Program'!$C$8,BO$3=IF('Bonding Program'!$P$11&lt;&gt;"",'Bonding Program'!$P$11,'Bonding Program'!$C$8)),'Bonding Program'!$Z$11,0)+IF(AND('Bonding Program'!$P$11&lt;&gt;"",BO$3='Bonding Program'!$P$11,BO$3&lt;='Bonding Program'!$C$8),N('Bonding Program'!$O$11),0)</f>
        <v>0</v>
      </c>
      <c r="BP152" s="19" t="n">
        <f aca="false">IF(AND('Bonding Program'!$S$11=1,'Bonding Program'!$H$11&gt;'Bonding Program'!$C$8,BP$3='Bonding Program'!$H$11),'Bonding Program'!$T$11-'Bonding Program'!$U$11-'Bonding Program'!$Z$11,0)-IF(AND('Bonding Program'!$S$11=1,'Bonding Program'!$H$11&lt;='Bonding Program'!$C$8,BP$3=IF('Bonding Program'!$P$11&lt;&gt;"",'Bonding Program'!$P$11,'Bonding Program'!$C$8)),'Bonding Program'!$Z$11,0)+IF(AND('Bonding Program'!$P$11&lt;&gt;"",BP$3='Bonding Program'!$P$11,BP$3&lt;='Bonding Program'!$C$8),N('Bonding Program'!$O$11),0)</f>
        <v>0</v>
      </c>
      <c r="BQ152" s="19" t="n">
        <f aca="false">IF(AND('Bonding Program'!$S$11=1,'Bonding Program'!$H$11&gt;'Bonding Program'!$C$8,BQ$3='Bonding Program'!$H$11),'Bonding Program'!$T$11-'Bonding Program'!$U$11-'Bonding Program'!$Z$11,0)-IF(AND('Bonding Program'!$S$11=1,'Bonding Program'!$H$11&lt;='Bonding Program'!$C$8,BQ$3=IF('Bonding Program'!$P$11&lt;&gt;"",'Bonding Program'!$P$11,'Bonding Program'!$C$8)),'Bonding Program'!$Z$11,0)+IF(AND('Bonding Program'!$P$11&lt;&gt;"",BQ$3='Bonding Program'!$P$11,BQ$3&lt;='Bonding Program'!$C$8),N('Bonding Program'!$O$11),0)</f>
        <v>0</v>
      </c>
      <c r="BR152" s="19" t="n">
        <f aca="false">IF(AND('Bonding Program'!$S$11=1,'Bonding Program'!$H$11&gt;'Bonding Program'!$C$8,BR$3='Bonding Program'!$H$11),'Bonding Program'!$T$11-'Bonding Program'!$U$11-'Bonding Program'!$Z$11,0)-IF(AND('Bonding Program'!$S$11=1,'Bonding Program'!$H$11&lt;='Bonding Program'!$C$8,BR$3=IF('Bonding Program'!$P$11&lt;&gt;"",'Bonding Program'!$P$11,'Bonding Program'!$C$8)),'Bonding Program'!$Z$11,0)+IF(AND('Bonding Program'!$P$11&lt;&gt;"",BR$3='Bonding Program'!$P$11,BR$3&lt;='Bonding Program'!$C$8),N('Bonding Program'!$O$11),0)</f>
        <v>0</v>
      </c>
      <c r="BS152" s="19" t="n">
        <f aca="false">IF(AND('Bonding Program'!$S$11=1,'Bonding Program'!$H$11&gt;'Bonding Program'!$C$8,BS$3='Bonding Program'!$H$11),'Bonding Program'!$T$11-'Bonding Program'!$U$11-'Bonding Program'!$Z$11,0)-IF(AND('Bonding Program'!$S$11=1,'Bonding Program'!$H$11&lt;='Bonding Program'!$C$8,BS$3=IF('Bonding Program'!$P$11&lt;&gt;"",'Bonding Program'!$P$11,'Bonding Program'!$C$8)),'Bonding Program'!$Z$11,0)+IF(AND('Bonding Program'!$P$11&lt;&gt;"",BS$3='Bonding Program'!$P$11,BS$3&lt;='Bonding Program'!$C$8),N('Bonding Program'!$O$11),0)</f>
        <v>0</v>
      </c>
      <c r="BT152" s="19" t="n">
        <f aca="false">IF(AND('Bonding Program'!$S$11=1,'Bonding Program'!$H$11&gt;'Bonding Program'!$C$8,BT$3='Bonding Program'!$H$11),'Bonding Program'!$T$11-'Bonding Program'!$U$11-'Bonding Program'!$Z$11,0)-IF(AND('Bonding Program'!$S$11=1,'Bonding Program'!$H$11&lt;='Bonding Program'!$C$8,BT$3=IF('Bonding Program'!$P$11&lt;&gt;"",'Bonding Program'!$P$11,'Bonding Program'!$C$8)),'Bonding Program'!$Z$11,0)+IF(AND('Bonding Program'!$P$11&lt;&gt;"",BT$3='Bonding Program'!$P$11,BT$3&lt;='Bonding Program'!$C$8),N('Bonding Program'!$O$11),0)</f>
        <v>0</v>
      </c>
      <c r="BU152" s="19" t="n">
        <f aca="false">IF(AND('Bonding Program'!$S$11=1,'Bonding Program'!$H$11&gt;'Bonding Program'!$C$8,BU$3='Bonding Program'!$H$11),'Bonding Program'!$T$11-'Bonding Program'!$U$11-'Bonding Program'!$Z$11,0)-IF(AND('Bonding Program'!$S$11=1,'Bonding Program'!$H$11&lt;='Bonding Program'!$C$8,BU$3=IF('Bonding Program'!$P$11&lt;&gt;"",'Bonding Program'!$P$11,'Bonding Program'!$C$8)),'Bonding Program'!$Z$11,0)+IF(AND('Bonding Program'!$P$11&lt;&gt;"",BU$3='Bonding Program'!$P$11,BU$3&lt;='Bonding Program'!$C$8),N('Bonding Program'!$O$11),0)</f>
        <v>0</v>
      </c>
      <c r="BV152" s="19" t="n">
        <f aca="false">IF(AND('Bonding Program'!$S$11=1,'Bonding Program'!$H$11&gt;'Bonding Program'!$C$8,BV$3='Bonding Program'!$H$11),'Bonding Program'!$T$11-'Bonding Program'!$U$11-'Bonding Program'!$Z$11,0)-IF(AND('Bonding Program'!$S$11=1,'Bonding Program'!$H$11&lt;='Bonding Program'!$C$8,BV$3=IF('Bonding Program'!$P$11&lt;&gt;"",'Bonding Program'!$P$11,'Bonding Program'!$C$8)),'Bonding Program'!$Z$11,0)+IF(AND('Bonding Program'!$P$11&lt;&gt;"",BV$3='Bonding Program'!$P$11,BV$3&lt;='Bonding Program'!$C$8),N('Bonding Program'!$O$11),0)</f>
        <v>0</v>
      </c>
      <c r="BW152" s="19" t="n">
        <f aca="false">IF(AND('Bonding Program'!$S$11=1,'Bonding Program'!$H$11&gt;'Bonding Program'!$C$8,BW$3='Bonding Program'!$H$11),'Bonding Program'!$T$11-'Bonding Program'!$U$11-'Bonding Program'!$Z$11,0)-IF(AND('Bonding Program'!$S$11=1,'Bonding Program'!$H$11&lt;='Bonding Program'!$C$8,BW$3=IF('Bonding Program'!$P$11&lt;&gt;"",'Bonding Program'!$P$11,'Bonding Program'!$C$8)),'Bonding Program'!$Z$11,0)+IF(AND('Bonding Program'!$P$11&lt;&gt;"",BW$3='Bonding Program'!$P$11,BW$3&lt;='Bonding Program'!$C$8),N('Bonding Program'!$O$11),0)</f>
        <v>0</v>
      </c>
      <c r="BX152" s="19" t="n">
        <f aca="false">IF(AND('Bonding Program'!$S$11=1,'Bonding Program'!$H$11&gt;'Bonding Program'!$C$8,BX$3='Bonding Program'!$H$11),'Bonding Program'!$T$11-'Bonding Program'!$U$11-'Bonding Program'!$Z$11,0)-IF(AND('Bonding Program'!$S$11=1,'Bonding Program'!$H$11&lt;='Bonding Program'!$C$8,BX$3=IF('Bonding Program'!$P$11&lt;&gt;"",'Bonding Program'!$P$11,'Bonding Program'!$C$8)),'Bonding Program'!$Z$11,0)+IF(AND('Bonding Program'!$P$11&lt;&gt;"",BX$3='Bonding Program'!$P$11,BX$3&lt;='Bonding Program'!$C$8),N('Bonding Program'!$O$11),0)</f>
        <v>0</v>
      </c>
      <c r="BY152" s="19" t="n">
        <f aca="false">IF(AND('Bonding Program'!$S$11=1,'Bonding Program'!$H$11&gt;'Bonding Program'!$C$8,BY$3='Bonding Program'!$H$11),'Bonding Program'!$T$11-'Bonding Program'!$U$11-'Bonding Program'!$Z$11,0)-IF(AND('Bonding Program'!$S$11=1,'Bonding Program'!$H$11&lt;='Bonding Program'!$C$8,BY$3=IF('Bonding Program'!$P$11&lt;&gt;"",'Bonding Program'!$P$11,'Bonding Program'!$C$8)),'Bonding Program'!$Z$11,0)+IF(AND('Bonding Program'!$P$11&lt;&gt;"",BY$3='Bonding Program'!$P$11,BY$3&lt;='Bonding Program'!$C$8),N('Bonding Program'!$O$11),0)</f>
        <v>0</v>
      </c>
      <c r="BZ152" s="19" t="n">
        <f aca="false">IF(AND('Bonding Program'!$S$11=1,'Bonding Program'!$H$11&gt;'Bonding Program'!$C$8,BZ$3='Bonding Program'!$H$11),'Bonding Program'!$T$11-'Bonding Program'!$U$11-'Bonding Program'!$Z$11,0)-IF(AND('Bonding Program'!$S$11=1,'Bonding Program'!$H$11&lt;='Bonding Program'!$C$8,BZ$3=IF('Bonding Program'!$P$11&lt;&gt;"",'Bonding Program'!$P$11,'Bonding Program'!$C$8)),'Bonding Program'!$Z$11,0)+IF(AND('Bonding Program'!$P$11&lt;&gt;"",BZ$3='Bonding Program'!$P$11,BZ$3&lt;='Bonding Program'!$C$8),N('Bonding Program'!$O$11),0)</f>
        <v>0</v>
      </c>
      <c r="CA152" s="19" t="n">
        <f aca="false">IF(AND('Bonding Program'!$S$11=1,'Bonding Program'!$H$11&gt;'Bonding Program'!$C$8,CA$3='Bonding Program'!$H$11),'Bonding Program'!$T$11-'Bonding Program'!$U$11-'Bonding Program'!$Z$11,0)-IF(AND('Bonding Program'!$S$11=1,'Bonding Program'!$H$11&lt;='Bonding Program'!$C$8,CA$3=IF('Bonding Program'!$P$11&lt;&gt;"",'Bonding Program'!$P$11,'Bonding Program'!$C$8)),'Bonding Program'!$Z$11,0)+IF(AND('Bonding Program'!$P$11&lt;&gt;"",CA$3='Bonding Program'!$P$11,CA$3&lt;='Bonding Program'!$C$8),N('Bonding Program'!$O$11),0)</f>
        <v>0</v>
      </c>
      <c r="CB152" s="19" t="n">
        <f aca="false">IF(AND('Bonding Program'!$S$11=1,'Bonding Program'!$H$11&gt;'Bonding Program'!$C$8,CB$3='Bonding Program'!$H$11),'Bonding Program'!$T$11-'Bonding Program'!$U$11-'Bonding Program'!$Z$11,0)-IF(AND('Bonding Program'!$S$11=1,'Bonding Program'!$H$11&lt;='Bonding Program'!$C$8,CB$3=IF('Bonding Program'!$P$11&lt;&gt;"",'Bonding Program'!$P$11,'Bonding Program'!$C$8)),'Bonding Program'!$Z$11,0)+IF(AND('Bonding Program'!$P$11&lt;&gt;"",CB$3='Bonding Program'!$P$11,CB$3&lt;='Bonding Program'!$C$8),N('Bonding Program'!$O$11),0)</f>
        <v>0</v>
      </c>
      <c r="CC152" s="19" t="n">
        <f aca="false">IF(AND('Bonding Program'!$S$11=1,'Bonding Program'!$H$11&gt;'Bonding Program'!$C$8,CC$3='Bonding Program'!$H$11),'Bonding Program'!$T$11-'Bonding Program'!$U$11-'Bonding Program'!$Z$11,0)-IF(AND('Bonding Program'!$S$11=1,'Bonding Program'!$H$11&lt;='Bonding Program'!$C$8,CC$3=IF('Bonding Program'!$P$11&lt;&gt;"",'Bonding Program'!$P$11,'Bonding Program'!$C$8)),'Bonding Program'!$Z$11,0)+IF(AND('Bonding Program'!$P$11&lt;&gt;"",CC$3='Bonding Program'!$P$11,CC$3&lt;='Bonding Program'!$C$8),N('Bonding Program'!$O$11),0)</f>
        <v>0</v>
      </c>
      <c r="CD152" s="19" t="n">
        <f aca="false">IF(AND('Bonding Program'!$S$11=1,'Bonding Program'!$H$11&gt;'Bonding Program'!$C$8,CD$3='Bonding Program'!$H$11),'Bonding Program'!$T$11-'Bonding Program'!$U$11-'Bonding Program'!$Z$11,0)-IF(AND('Bonding Program'!$S$11=1,'Bonding Program'!$H$11&lt;='Bonding Program'!$C$8,CD$3=IF('Bonding Program'!$P$11&lt;&gt;"",'Bonding Program'!$P$11,'Bonding Program'!$C$8)),'Bonding Program'!$Z$11,0)+IF(AND('Bonding Program'!$P$11&lt;&gt;"",CD$3='Bonding Program'!$P$11,CD$3&lt;='Bonding Program'!$C$8),N('Bonding Program'!$O$11),0)</f>
        <v>0</v>
      </c>
      <c r="CE152" s="19" t="n">
        <f aca="false">IF(AND('Bonding Program'!$S$11=1,'Bonding Program'!$H$11&gt;'Bonding Program'!$C$8,CE$3='Bonding Program'!$H$11),'Bonding Program'!$T$11-'Bonding Program'!$U$11-'Bonding Program'!$Z$11,0)-IF(AND('Bonding Program'!$S$11=1,'Bonding Program'!$H$11&lt;='Bonding Program'!$C$8,CE$3=IF('Bonding Program'!$P$11&lt;&gt;"",'Bonding Program'!$P$11,'Bonding Program'!$C$8)),'Bonding Program'!$Z$11,0)+IF(AND('Bonding Program'!$P$11&lt;&gt;"",CE$3='Bonding Program'!$P$11,CE$3&lt;='Bonding Program'!$C$8),N('Bonding Program'!$O$11),0)</f>
        <v>0</v>
      </c>
      <c r="CF152" s="19" t="n">
        <f aca="false">IF(AND('Bonding Program'!$S$11=1,'Bonding Program'!$H$11&gt;'Bonding Program'!$C$8,CF$3='Bonding Program'!$H$11),'Bonding Program'!$T$11-'Bonding Program'!$U$11-'Bonding Program'!$Z$11,0)-IF(AND('Bonding Program'!$S$11=1,'Bonding Program'!$H$11&lt;='Bonding Program'!$C$8,CF$3=IF('Bonding Program'!$P$11&lt;&gt;"",'Bonding Program'!$P$11,'Bonding Program'!$C$8)),'Bonding Program'!$Z$11,0)+IF(AND('Bonding Program'!$P$11&lt;&gt;"",CF$3='Bonding Program'!$P$11,CF$3&lt;='Bonding Program'!$C$8),N('Bonding Program'!$O$11),0)</f>
        <v>0</v>
      </c>
      <c r="CG152" s="19" t="n">
        <f aca="false">IF(AND('Bonding Program'!$S$11=1,'Bonding Program'!$H$11&gt;'Bonding Program'!$C$8,CG$3='Bonding Program'!$H$11),'Bonding Program'!$T$11-'Bonding Program'!$U$11-'Bonding Program'!$Z$11,0)-IF(AND('Bonding Program'!$S$11=1,'Bonding Program'!$H$11&lt;='Bonding Program'!$C$8,CG$3=IF('Bonding Program'!$P$11&lt;&gt;"",'Bonding Program'!$P$11,'Bonding Program'!$C$8)),'Bonding Program'!$Z$11,0)+IF(AND('Bonding Program'!$P$11&lt;&gt;"",CG$3='Bonding Program'!$P$11,CG$3&lt;='Bonding Program'!$C$8),N('Bonding Program'!$O$11),0)</f>
        <v>0</v>
      </c>
      <c r="CH152" s="19" t="n">
        <f aca="false">IF(AND('Bonding Program'!$S$11=1,'Bonding Program'!$H$11&gt;'Bonding Program'!$C$8,CH$3='Bonding Program'!$H$11),'Bonding Program'!$T$11-'Bonding Program'!$U$11-'Bonding Program'!$Z$11,0)-IF(AND('Bonding Program'!$S$11=1,'Bonding Program'!$H$11&lt;='Bonding Program'!$C$8,CH$3=IF('Bonding Program'!$P$11&lt;&gt;"",'Bonding Program'!$P$11,'Bonding Program'!$C$8)),'Bonding Program'!$Z$11,0)+IF(AND('Bonding Program'!$P$11&lt;&gt;"",CH$3='Bonding Program'!$P$11,CH$3&lt;='Bonding Program'!$C$8),N('Bonding Program'!$O$11),0)</f>
        <v>0</v>
      </c>
      <c r="CI152" s="19" t="n">
        <f aca="false">IF(AND('Bonding Program'!$S$11=1,'Bonding Program'!$H$11&gt;'Bonding Program'!$C$8,CI$3='Bonding Program'!$H$11),'Bonding Program'!$T$11-'Bonding Program'!$U$11-'Bonding Program'!$Z$11,0)-IF(AND('Bonding Program'!$S$11=1,'Bonding Program'!$H$11&lt;='Bonding Program'!$C$8,CI$3=IF('Bonding Program'!$P$11&lt;&gt;"",'Bonding Program'!$P$11,'Bonding Program'!$C$8)),'Bonding Program'!$Z$11,0)+IF(AND('Bonding Program'!$P$11&lt;&gt;"",CI$3='Bonding Program'!$P$11,CI$3&lt;='Bonding Program'!$C$8),N('Bonding Program'!$O$11),0)</f>
        <v>0</v>
      </c>
      <c r="CJ152" s="19" t="n">
        <f aca="false">IF(AND('Bonding Program'!$S$11=1,'Bonding Program'!$H$11&gt;'Bonding Program'!$C$8,CJ$3='Bonding Program'!$H$11),'Bonding Program'!$T$11-'Bonding Program'!$U$11-'Bonding Program'!$Z$11,0)-IF(AND('Bonding Program'!$S$11=1,'Bonding Program'!$H$11&lt;='Bonding Program'!$C$8,CJ$3=IF('Bonding Program'!$P$11&lt;&gt;"",'Bonding Program'!$P$11,'Bonding Program'!$C$8)),'Bonding Program'!$Z$11,0)+IF(AND('Bonding Program'!$P$11&lt;&gt;"",CJ$3='Bonding Program'!$P$11,CJ$3&lt;='Bonding Program'!$C$8),N('Bonding Program'!$O$11),0)</f>
        <v>0</v>
      </c>
      <c r="CK152" s="19" t="n">
        <f aca="false">IF(AND('Bonding Program'!$S$11=1,'Bonding Program'!$H$11&gt;'Bonding Program'!$C$8,CK$3='Bonding Program'!$H$11),'Bonding Program'!$T$11-'Bonding Program'!$U$11-'Bonding Program'!$Z$11,0)-IF(AND('Bonding Program'!$S$11=1,'Bonding Program'!$H$11&lt;='Bonding Program'!$C$8,CK$3=IF('Bonding Program'!$P$11&lt;&gt;"",'Bonding Program'!$P$11,'Bonding Program'!$C$8)),'Bonding Program'!$Z$11,0)+IF(AND('Bonding Program'!$P$11&lt;&gt;"",CK$3='Bonding Program'!$P$11,CK$3&lt;='Bonding Program'!$C$8),N('Bonding Program'!$O$11),0)</f>
        <v>0</v>
      </c>
      <c r="CL152" s="19" t="n">
        <f aca="false">IF(AND('Bonding Program'!$S$11=1,'Bonding Program'!$H$11&gt;'Bonding Program'!$C$8,CL$3='Bonding Program'!$H$11),'Bonding Program'!$T$11-'Bonding Program'!$U$11-'Bonding Program'!$Z$11,0)-IF(AND('Bonding Program'!$S$11=1,'Bonding Program'!$H$11&lt;='Bonding Program'!$C$8,CL$3=IF('Bonding Program'!$P$11&lt;&gt;"",'Bonding Program'!$P$11,'Bonding Program'!$C$8)),'Bonding Program'!$Z$11,0)+IF(AND('Bonding Program'!$P$11&lt;&gt;"",CL$3='Bonding Program'!$P$11,CL$3&lt;='Bonding Program'!$C$8),N('Bonding Program'!$O$11),0)</f>
        <v>0</v>
      </c>
      <c r="CM152" s="19" t="n">
        <f aca="false">IF(AND('Bonding Program'!$S$11=1,'Bonding Program'!$H$11&gt;'Bonding Program'!$C$8,CM$3='Bonding Program'!$H$11),'Bonding Program'!$T$11-'Bonding Program'!$U$11-'Bonding Program'!$Z$11,0)-IF(AND('Bonding Program'!$S$11=1,'Bonding Program'!$H$11&lt;='Bonding Program'!$C$8,CM$3=IF('Bonding Program'!$P$11&lt;&gt;"",'Bonding Program'!$P$11,'Bonding Program'!$C$8)),'Bonding Program'!$Z$11,0)+IF(AND('Bonding Program'!$P$11&lt;&gt;"",CM$3='Bonding Program'!$P$11,CM$3&lt;='Bonding Program'!$C$8),N('Bonding Program'!$O$11),0)</f>
        <v>0</v>
      </c>
      <c r="CN152" s="19" t="n">
        <f aca="false">IF(AND('Bonding Program'!$S$11=1,'Bonding Program'!$H$11&gt;'Bonding Program'!$C$8,CN$3='Bonding Program'!$H$11),'Bonding Program'!$T$11-'Bonding Program'!$U$11-'Bonding Program'!$Z$11,0)-IF(AND('Bonding Program'!$S$11=1,'Bonding Program'!$H$11&lt;='Bonding Program'!$C$8,CN$3=IF('Bonding Program'!$P$11&lt;&gt;"",'Bonding Program'!$P$11,'Bonding Program'!$C$8)),'Bonding Program'!$Z$11,0)+IF(AND('Bonding Program'!$P$11&lt;&gt;"",CN$3='Bonding Program'!$P$11,CN$3&lt;='Bonding Program'!$C$8),N('Bonding Program'!$O$11),0)</f>
        <v>0</v>
      </c>
      <c r="CO152" s="19" t="n">
        <f aca="false">IF(AND('Bonding Program'!$S$11=1,'Bonding Program'!$H$11&gt;'Bonding Program'!$C$8,CO$3='Bonding Program'!$H$11),'Bonding Program'!$T$11-'Bonding Program'!$U$11-'Bonding Program'!$Z$11,0)-IF(AND('Bonding Program'!$S$11=1,'Bonding Program'!$H$11&lt;='Bonding Program'!$C$8,CO$3=IF('Bonding Program'!$P$11&lt;&gt;"",'Bonding Program'!$P$11,'Bonding Program'!$C$8)),'Bonding Program'!$Z$11,0)+IF(AND('Bonding Program'!$P$11&lt;&gt;"",CO$3='Bonding Program'!$P$11,CO$3&lt;='Bonding Program'!$C$8),N('Bonding Program'!$O$11),0)</f>
        <v>0</v>
      </c>
      <c r="CP152" s="19" t="n">
        <f aca="false">IF(AND('Bonding Program'!$S$11=1,'Bonding Program'!$H$11&gt;'Bonding Program'!$C$8,CP$3='Bonding Program'!$H$11),'Bonding Program'!$T$11-'Bonding Program'!$U$11-'Bonding Program'!$Z$11,0)-IF(AND('Bonding Program'!$S$11=1,'Bonding Program'!$H$11&lt;='Bonding Program'!$C$8,CP$3=IF('Bonding Program'!$P$11&lt;&gt;"",'Bonding Program'!$P$11,'Bonding Program'!$C$8)),'Bonding Program'!$Z$11,0)+IF(AND('Bonding Program'!$P$11&lt;&gt;"",CP$3='Bonding Program'!$P$11,CP$3&lt;='Bonding Program'!$C$8),N('Bonding Program'!$O$11),0)</f>
        <v>0</v>
      </c>
      <c r="CQ152" s="19" t="n">
        <f aca="false">IF(AND('Bonding Program'!$S$11=1,'Bonding Program'!$H$11&gt;'Bonding Program'!$C$8,CQ$3='Bonding Program'!$H$11),'Bonding Program'!$T$11-'Bonding Program'!$U$11-'Bonding Program'!$Z$11,0)-IF(AND('Bonding Program'!$S$11=1,'Bonding Program'!$H$11&lt;='Bonding Program'!$C$8,CQ$3=IF('Bonding Program'!$P$11&lt;&gt;"",'Bonding Program'!$P$11,'Bonding Program'!$C$8)),'Bonding Program'!$Z$11,0)+IF(AND('Bonding Program'!$P$11&lt;&gt;"",CQ$3='Bonding Program'!$P$11,CQ$3&lt;='Bonding Program'!$C$8),N('Bonding Program'!$O$11),0)</f>
        <v>0</v>
      </c>
      <c r="CR152" s="19" t="n">
        <f aca="false">IF(AND('Bonding Program'!$S$11=1,'Bonding Program'!$H$11&gt;'Bonding Program'!$C$8,CR$3='Bonding Program'!$H$11),'Bonding Program'!$T$11-'Bonding Program'!$U$11-'Bonding Program'!$Z$11,0)-IF(AND('Bonding Program'!$S$11=1,'Bonding Program'!$H$11&lt;='Bonding Program'!$C$8,CR$3=IF('Bonding Program'!$P$11&lt;&gt;"",'Bonding Program'!$P$11,'Bonding Program'!$C$8)),'Bonding Program'!$Z$11,0)+IF(AND('Bonding Program'!$P$11&lt;&gt;"",CR$3='Bonding Program'!$P$11,CR$3&lt;='Bonding Program'!$C$8),N('Bonding Program'!$O$11),0)</f>
        <v>0</v>
      </c>
      <c r="CS152" s="19" t="n">
        <f aca="false">IF(AND('Bonding Program'!$S$11=1,'Bonding Program'!$H$11&gt;'Bonding Program'!$C$8,CS$3='Bonding Program'!$H$11),'Bonding Program'!$T$11-'Bonding Program'!$U$11-'Bonding Program'!$Z$11,0)-IF(AND('Bonding Program'!$S$11=1,'Bonding Program'!$H$11&lt;='Bonding Program'!$C$8,CS$3=IF('Bonding Program'!$P$11&lt;&gt;"",'Bonding Program'!$P$11,'Bonding Program'!$C$8)),'Bonding Program'!$Z$11,0)+IF(AND('Bonding Program'!$P$11&lt;&gt;"",CS$3='Bonding Program'!$P$11,CS$3&lt;='Bonding Program'!$C$8),N('Bonding Program'!$O$11),0)</f>
        <v>0</v>
      </c>
      <c r="CT152" s="19" t="n">
        <f aca="false">IF(AND('Bonding Program'!$S$11=1,'Bonding Program'!$H$11&gt;'Bonding Program'!$C$8,CT$3='Bonding Program'!$H$11),'Bonding Program'!$T$11-'Bonding Program'!$U$11-'Bonding Program'!$Z$11,0)-IF(AND('Bonding Program'!$S$11=1,'Bonding Program'!$H$11&lt;='Bonding Program'!$C$8,CT$3=IF('Bonding Program'!$P$11&lt;&gt;"",'Bonding Program'!$P$11,'Bonding Program'!$C$8)),'Bonding Program'!$Z$11,0)+IF(AND('Bonding Program'!$P$11&lt;&gt;"",CT$3='Bonding Program'!$P$11,CT$3&lt;='Bonding Program'!$C$8),N('Bonding Program'!$O$11),0)</f>
        <v>0</v>
      </c>
      <c r="CU152" s="19" t="n">
        <f aca="false">IF(AND('Bonding Program'!$S$11=1,'Bonding Program'!$H$11&gt;'Bonding Program'!$C$8,CU$3='Bonding Program'!$H$11),'Bonding Program'!$T$11-'Bonding Program'!$U$11-'Bonding Program'!$Z$11,0)-IF(AND('Bonding Program'!$S$11=1,'Bonding Program'!$H$11&lt;='Bonding Program'!$C$8,CU$3=IF('Bonding Program'!$P$11&lt;&gt;"",'Bonding Program'!$P$11,'Bonding Program'!$C$8)),'Bonding Program'!$Z$11,0)+IF(AND('Bonding Program'!$P$11&lt;&gt;"",CU$3='Bonding Program'!$P$11,CU$3&lt;='Bonding Program'!$C$8),N('Bonding Program'!$O$11),0)</f>
        <v>0</v>
      </c>
      <c r="CV152" s="19" t="n">
        <f aca="false">IF(AND('Bonding Program'!$S$11=1,'Bonding Program'!$H$11&gt;'Bonding Program'!$C$8,CV$3='Bonding Program'!$H$11),'Bonding Program'!$T$11-'Bonding Program'!$U$11-'Bonding Program'!$Z$11,0)-IF(AND('Bonding Program'!$S$11=1,'Bonding Program'!$H$11&lt;='Bonding Program'!$C$8,CV$3=IF('Bonding Program'!$P$11&lt;&gt;"",'Bonding Program'!$P$11,'Bonding Program'!$C$8)),'Bonding Program'!$Z$11,0)+IF(AND('Bonding Program'!$P$11&lt;&gt;"",CV$3='Bonding Program'!$P$11,CV$3&lt;='Bonding Program'!$C$8),N('Bonding Program'!$O$11),0)</f>
        <v>0</v>
      </c>
      <c r="CW152" s="19" t="n">
        <f aca="false">IF(AND('Bonding Program'!$S$11=1,'Bonding Program'!$H$11&gt;'Bonding Program'!$C$8,CW$3='Bonding Program'!$H$11),'Bonding Program'!$T$11-'Bonding Program'!$U$11-'Bonding Program'!$Z$11,0)-IF(AND('Bonding Program'!$S$11=1,'Bonding Program'!$H$11&lt;='Bonding Program'!$C$8,CW$3=IF('Bonding Program'!$P$11&lt;&gt;"",'Bonding Program'!$P$11,'Bonding Program'!$C$8)),'Bonding Program'!$Z$11,0)+IF(AND('Bonding Program'!$P$11&lt;&gt;"",CW$3='Bonding Program'!$P$11,CW$3&lt;='Bonding Program'!$C$8),N('Bonding Program'!$O$11),0)</f>
        <v>0</v>
      </c>
      <c r="CX152" s="19" t="n">
        <f aca="false">IF(AND('Bonding Program'!$S$11=1,'Bonding Program'!$H$11&gt;'Bonding Program'!$C$8,CX$3='Bonding Program'!$H$11),'Bonding Program'!$T$11-'Bonding Program'!$U$11-'Bonding Program'!$Z$11,0)-IF(AND('Bonding Program'!$S$11=1,'Bonding Program'!$H$11&lt;='Bonding Program'!$C$8,CX$3=IF('Bonding Program'!$P$11&lt;&gt;"",'Bonding Program'!$P$11,'Bonding Program'!$C$8)),'Bonding Program'!$Z$11,0)+IF(AND('Bonding Program'!$P$11&lt;&gt;"",CX$3='Bonding Program'!$P$11,CX$3&lt;='Bonding Program'!$C$8),N('Bonding Program'!$O$11),0)</f>
        <v>0</v>
      </c>
      <c r="CY152" s="19" t="n">
        <f aca="false">IF(AND('Bonding Program'!$S$11=1,'Bonding Program'!$H$11&gt;'Bonding Program'!$C$8,CY$3='Bonding Program'!$H$11),'Bonding Program'!$T$11-'Bonding Program'!$U$11-'Bonding Program'!$Z$11,0)-IF(AND('Bonding Program'!$S$11=1,'Bonding Program'!$H$11&lt;='Bonding Program'!$C$8,CY$3=IF('Bonding Program'!$P$11&lt;&gt;"",'Bonding Program'!$P$11,'Bonding Program'!$C$8)),'Bonding Program'!$Z$11,0)+IF(AND('Bonding Program'!$P$11&lt;&gt;"",CY$3='Bonding Program'!$P$11,CY$3&lt;='Bonding Program'!$C$8),N('Bonding Program'!$O$11),0)</f>
        <v>0</v>
      </c>
      <c r="CZ152" s="19" t="n">
        <f aca="false">IF(AND('Bonding Program'!$S$11=1,'Bonding Program'!$H$11&gt;'Bonding Program'!$C$8,CZ$3='Bonding Program'!$H$11),'Bonding Program'!$T$11-'Bonding Program'!$U$11-'Bonding Program'!$Z$11,0)-IF(AND('Bonding Program'!$S$11=1,'Bonding Program'!$H$11&lt;='Bonding Program'!$C$8,CZ$3=IF('Bonding Program'!$P$11&lt;&gt;"",'Bonding Program'!$P$11,'Bonding Program'!$C$8)),'Bonding Program'!$Z$11,0)+IF(AND('Bonding Program'!$P$11&lt;&gt;"",CZ$3='Bonding Program'!$P$11,CZ$3&lt;='Bonding Program'!$C$8),N('Bonding Program'!$O$11),0)</f>
        <v>0</v>
      </c>
      <c r="DA152" s="19" t="n">
        <f aca="false">IF(AND('Bonding Program'!$S$11=1,'Bonding Program'!$H$11&gt;'Bonding Program'!$C$8,DA$3='Bonding Program'!$H$11),'Bonding Program'!$T$11-'Bonding Program'!$U$11-'Bonding Program'!$Z$11,0)-IF(AND('Bonding Program'!$S$11=1,'Bonding Program'!$H$11&lt;='Bonding Program'!$C$8,DA$3=IF('Bonding Program'!$P$11&lt;&gt;"",'Bonding Program'!$P$11,'Bonding Program'!$C$8)),'Bonding Program'!$Z$11,0)+IF(AND('Bonding Program'!$P$11&lt;&gt;"",DA$3='Bonding Program'!$P$11,DA$3&lt;='Bonding Program'!$C$8),N('Bonding Program'!$O$11),0)</f>
        <v>0</v>
      </c>
      <c r="DB152" s="19" t="n">
        <f aca="false">IF(AND('Bonding Program'!$S$11=1,'Bonding Program'!$H$11&gt;'Bonding Program'!$C$8,DB$3='Bonding Program'!$H$11),'Bonding Program'!$T$11-'Bonding Program'!$U$11-'Bonding Program'!$Z$11,0)-IF(AND('Bonding Program'!$S$11=1,'Bonding Program'!$H$11&lt;='Bonding Program'!$C$8,DB$3=IF('Bonding Program'!$P$11&lt;&gt;"",'Bonding Program'!$P$11,'Bonding Program'!$C$8)),'Bonding Program'!$Z$11,0)+IF(AND('Bonding Program'!$P$11&lt;&gt;"",DB$3='Bonding Program'!$P$11,DB$3&lt;='Bonding Program'!$C$8),N('Bonding Program'!$O$11),0)</f>
        <v>0</v>
      </c>
      <c r="DC152" s="19" t="n">
        <f aca="false">IF(AND('Bonding Program'!$S$11=1,'Bonding Program'!$H$11&gt;'Bonding Program'!$C$8,DC$3='Bonding Program'!$H$11),'Bonding Program'!$T$11-'Bonding Program'!$U$11-'Bonding Program'!$Z$11,0)-IF(AND('Bonding Program'!$S$11=1,'Bonding Program'!$H$11&lt;='Bonding Program'!$C$8,DC$3=IF('Bonding Program'!$P$11&lt;&gt;"",'Bonding Program'!$P$11,'Bonding Program'!$C$8)),'Bonding Program'!$Z$11,0)+IF(AND('Bonding Program'!$P$11&lt;&gt;"",DC$3='Bonding Program'!$P$11,DC$3&lt;='Bonding Program'!$C$8),N('Bonding Program'!$O$11),0)</f>
        <v>0</v>
      </c>
      <c r="DD152" s="19" t="n">
        <f aca="false">IF(AND('Bonding Program'!$S$11=1,'Bonding Program'!$H$11&gt;'Bonding Program'!$C$8,DD$3='Bonding Program'!$H$11),'Bonding Program'!$T$11-'Bonding Program'!$U$11-'Bonding Program'!$Z$11,0)-IF(AND('Bonding Program'!$S$11=1,'Bonding Program'!$H$11&lt;='Bonding Program'!$C$8,DD$3=IF('Bonding Program'!$P$11&lt;&gt;"",'Bonding Program'!$P$11,'Bonding Program'!$C$8)),'Bonding Program'!$Z$11,0)+IF(AND('Bonding Program'!$P$11&lt;&gt;"",DD$3='Bonding Program'!$P$11,DD$3&lt;='Bonding Program'!$C$8),N('Bonding Program'!$O$11),0)</f>
        <v>0</v>
      </c>
      <c r="DE152" s="19" t="n">
        <f aca="false">IF(AND('Bonding Program'!$S$11=1,'Bonding Program'!$H$11&gt;'Bonding Program'!$C$8,DE$3='Bonding Program'!$H$11),'Bonding Program'!$T$11-'Bonding Program'!$U$11-'Bonding Program'!$Z$11,0)-IF(AND('Bonding Program'!$S$11=1,'Bonding Program'!$H$11&lt;='Bonding Program'!$C$8,DE$3=IF('Bonding Program'!$P$11&lt;&gt;"",'Bonding Program'!$P$11,'Bonding Program'!$C$8)),'Bonding Program'!$Z$11,0)+IF(AND('Bonding Program'!$P$11&lt;&gt;"",DE$3='Bonding Program'!$P$11,DE$3&lt;='Bonding Program'!$C$8),N('Bonding Program'!$O$11),0)</f>
        <v>0</v>
      </c>
    </row>
    <row r="153" customFormat="false" ht="15" hidden="false" customHeight="true" outlineLevel="1" collapsed="false">
      <c r="A153" s="28" t="s">
        <v>8</v>
      </c>
      <c r="B153" s="19" t="n">
        <f aca="false">IF(AND('Bonding Program'!$S$12=1,'Bonding Program'!$H$12&gt;'Bonding Program'!$C$8,B$3='Bonding Program'!$H$12),'Bonding Program'!$T$12-'Bonding Program'!$U$12-'Bonding Program'!$Z$12,0)-IF(AND('Bonding Program'!$S$12=1,'Bonding Program'!$H$12&lt;='Bonding Program'!$C$8,B$3=IF('Bonding Program'!$P$12&lt;&gt;"",'Bonding Program'!$P$12,'Bonding Program'!$C$8)),'Bonding Program'!$Z$12,0)+IF(AND('Bonding Program'!$P$12&lt;&gt;"",B$3='Bonding Program'!$P$12,B$3&lt;='Bonding Program'!$C$8),N('Bonding Program'!$O$12),0)</f>
        <v>0</v>
      </c>
      <c r="C153" s="19" t="n">
        <f aca="false">IF(AND('Bonding Program'!$S$12=1,'Bonding Program'!$H$12&gt;'Bonding Program'!$C$8,C$3='Bonding Program'!$H$12),'Bonding Program'!$T$12-'Bonding Program'!$U$12-'Bonding Program'!$Z$12,0)-IF(AND('Bonding Program'!$S$12=1,'Bonding Program'!$H$12&lt;='Bonding Program'!$C$8,C$3=IF('Bonding Program'!$P$12&lt;&gt;"",'Bonding Program'!$P$12,'Bonding Program'!$C$8)),'Bonding Program'!$Z$12,0)+IF(AND('Bonding Program'!$P$12&lt;&gt;"",C$3='Bonding Program'!$P$12,C$3&lt;='Bonding Program'!$C$8),N('Bonding Program'!$O$12),0)</f>
        <v>0</v>
      </c>
      <c r="D153" s="19" t="n">
        <f aca="false">IF(AND('Bonding Program'!$S$12=1,'Bonding Program'!$H$12&gt;'Bonding Program'!$C$8,D$3='Bonding Program'!$H$12),'Bonding Program'!$T$12-'Bonding Program'!$U$12-'Bonding Program'!$Z$12,0)-IF(AND('Bonding Program'!$S$12=1,'Bonding Program'!$H$12&lt;='Bonding Program'!$C$8,D$3=IF('Bonding Program'!$P$12&lt;&gt;"",'Bonding Program'!$P$12,'Bonding Program'!$C$8)),'Bonding Program'!$Z$12,0)+IF(AND('Bonding Program'!$P$12&lt;&gt;"",D$3='Bonding Program'!$P$12,D$3&lt;='Bonding Program'!$C$8),N('Bonding Program'!$O$12),0)</f>
        <v>0</v>
      </c>
      <c r="E153" s="19" t="n">
        <f aca="false">IF(AND('Bonding Program'!$S$12=1,'Bonding Program'!$H$12&gt;'Bonding Program'!$C$8,E$3='Bonding Program'!$H$12),'Bonding Program'!$T$12-'Bonding Program'!$U$12-'Bonding Program'!$Z$12,0)-IF(AND('Bonding Program'!$S$12=1,'Bonding Program'!$H$12&lt;='Bonding Program'!$C$8,E$3=IF('Bonding Program'!$P$12&lt;&gt;"",'Bonding Program'!$P$12,'Bonding Program'!$C$8)),'Bonding Program'!$Z$12,0)+IF(AND('Bonding Program'!$P$12&lt;&gt;"",E$3='Bonding Program'!$P$12,E$3&lt;='Bonding Program'!$C$8),N('Bonding Program'!$O$12),0)</f>
        <v>0</v>
      </c>
      <c r="F153" s="19" t="n">
        <f aca="false">IF(AND('Bonding Program'!$S$12=1,'Bonding Program'!$H$12&gt;'Bonding Program'!$C$8,F$3='Bonding Program'!$H$12),'Bonding Program'!$T$12-'Bonding Program'!$U$12-'Bonding Program'!$Z$12,0)-IF(AND('Bonding Program'!$S$12=1,'Bonding Program'!$H$12&lt;='Bonding Program'!$C$8,F$3=IF('Bonding Program'!$P$12&lt;&gt;"",'Bonding Program'!$P$12,'Bonding Program'!$C$8)),'Bonding Program'!$Z$12,0)+IF(AND('Bonding Program'!$P$12&lt;&gt;"",F$3='Bonding Program'!$P$12,F$3&lt;='Bonding Program'!$C$8),N('Bonding Program'!$O$12),0)</f>
        <v>0</v>
      </c>
      <c r="G153" s="19" t="n">
        <f aca="false">IF(AND('Bonding Program'!$S$12=1,'Bonding Program'!$H$12&gt;'Bonding Program'!$C$8,G$3='Bonding Program'!$H$12),'Bonding Program'!$T$12-'Bonding Program'!$U$12-'Bonding Program'!$Z$12,0)-IF(AND('Bonding Program'!$S$12=1,'Bonding Program'!$H$12&lt;='Bonding Program'!$C$8,G$3=IF('Bonding Program'!$P$12&lt;&gt;"",'Bonding Program'!$P$12,'Bonding Program'!$C$8)),'Bonding Program'!$Z$12,0)+IF(AND('Bonding Program'!$P$12&lt;&gt;"",G$3='Bonding Program'!$P$12,G$3&lt;='Bonding Program'!$C$8),N('Bonding Program'!$O$12),0)</f>
        <v>0</v>
      </c>
      <c r="H153" s="19" t="n">
        <f aca="false">IF(AND('Bonding Program'!$S$12=1,'Bonding Program'!$H$12&gt;'Bonding Program'!$C$8,H$3='Bonding Program'!$H$12),'Bonding Program'!$T$12-'Bonding Program'!$U$12-'Bonding Program'!$Z$12,0)-IF(AND('Bonding Program'!$S$12=1,'Bonding Program'!$H$12&lt;='Bonding Program'!$C$8,H$3=IF('Bonding Program'!$P$12&lt;&gt;"",'Bonding Program'!$P$12,'Bonding Program'!$C$8)),'Bonding Program'!$Z$12,0)+IF(AND('Bonding Program'!$P$12&lt;&gt;"",H$3='Bonding Program'!$P$12,H$3&lt;='Bonding Program'!$C$8),N('Bonding Program'!$O$12),0)</f>
        <v>0</v>
      </c>
      <c r="I153" s="19" t="n">
        <f aca="false">IF(AND('Bonding Program'!$S$12=1,'Bonding Program'!$H$12&gt;'Bonding Program'!$C$8,I$3='Bonding Program'!$H$12),'Bonding Program'!$T$12-'Bonding Program'!$U$12-'Bonding Program'!$Z$12,0)-IF(AND('Bonding Program'!$S$12=1,'Bonding Program'!$H$12&lt;='Bonding Program'!$C$8,I$3=IF('Bonding Program'!$P$12&lt;&gt;"",'Bonding Program'!$P$12,'Bonding Program'!$C$8)),'Bonding Program'!$Z$12,0)+IF(AND('Bonding Program'!$P$12&lt;&gt;"",I$3='Bonding Program'!$P$12,I$3&lt;='Bonding Program'!$C$8),N('Bonding Program'!$O$12),0)</f>
        <v>0</v>
      </c>
      <c r="J153" s="19" t="n">
        <f aca="false">IF(AND('Bonding Program'!$S$12=1,'Bonding Program'!$H$12&gt;'Bonding Program'!$C$8,J$3='Bonding Program'!$H$12),'Bonding Program'!$T$12-'Bonding Program'!$U$12-'Bonding Program'!$Z$12,0)-IF(AND('Bonding Program'!$S$12=1,'Bonding Program'!$H$12&lt;='Bonding Program'!$C$8,J$3=IF('Bonding Program'!$P$12&lt;&gt;"",'Bonding Program'!$P$12,'Bonding Program'!$C$8)),'Bonding Program'!$Z$12,0)+IF(AND('Bonding Program'!$P$12&lt;&gt;"",J$3='Bonding Program'!$P$12,J$3&lt;='Bonding Program'!$C$8),N('Bonding Program'!$O$12),0)</f>
        <v>0</v>
      </c>
      <c r="K153" s="19" t="n">
        <f aca="false">IF(AND('Bonding Program'!$S$12=1,'Bonding Program'!$H$12&gt;'Bonding Program'!$C$8,K$3='Bonding Program'!$H$12),'Bonding Program'!$T$12-'Bonding Program'!$U$12-'Bonding Program'!$Z$12,0)-IF(AND('Bonding Program'!$S$12=1,'Bonding Program'!$H$12&lt;='Bonding Program'!$C$8,K$3=IF('Bonding Program'!$P$12&lt;&gt;"",'Bonding Program'!$P$12,'Bonding Program'!$C$8)),'Bonding Program'!$Z$12,0)+IF(AND('Bonding Program'!$P$12&lt;&gt;"",K$3='Bonding Program'!$P$12,K$3&lt;='Bonding Program'!$C$8),N('Bonding Program'!$O$12),0)</f>
        <v>0</v>
      </c>
      <c r="L153" s="19" t="n">
        <f aca="false">IF(AND('Bonding Program'!$S$12=1,'Bonding Program'!$H$12&gt;'Bonding Program'!$C$8,L$3='Bonding Program'!$H$12),'Bonding Program'!$T$12-'Bonding Program'!$U$12-'Bonding Program'!$Z$12,0)-IF(AND('Bonding Program'!$S$12=1,'Bonding Program'!$H$12&lt;='Bonding Program'!$C$8,L$3=IF('Bonding Program'!$P$12&lt;&gt;"",'Bonding Program'!$P$12,'Bonding Program'!$C$8)),'Bonding Program'!$Z$12,0)+IF(AND('Bonding Program'!$P$12&lt;&gt;"",L$3='Bonding Program'!$P$12,L$3&lt;='Bonding Program'!$C$8),N('Bonding Program'!$O$12),0)</f>
        <v>0</v>
      </c>
      <c r="M153" s="19" t="n">
        <f aca="false">IF(AND('Bonding Program'!$S$12=1,'Bonding Program'!$H$12&gt;'Bonding Program'!$C$8,M$3='Bonding Program'!$H$12),'Bonding Program'!$T$12-'Bonding Program'!$U$12-'Bonding Program'!$Z$12,0)-IF(AND('Bonding Program'!$S$12=1,'Bonding Program'!$H$12&lt;='Bonding Program'!$C$8,M$3=IF('Bonding Program'!$P$12&lt;&gt;"",'Bonding Program'!$P$12,'Bonding Program'!$C$8)),'Bonding Program'!$Z$12,0)+IF(AND('Bonding Program'!$P$12&lt;&gt;"",M$3='Bonding Program'!$P$12,M$3&lt;='Bonding Program'!$C$8),N('Bonding Program'!$O$12),0)</f>
        <v>0</v>
      </c>
      <c r="N153" s="19" t="n">
        <f aca="false">IF(AND('Bonding Program'!$S$12=1,'Bonding Program'!$H$12&gt;'Bonding Program'!$C$8,N$3='Bonding Program'!$H$12),'Bonding Program'!$T$12-'Bonding Program'!$U$12-'Bonding Program'!$Z$12,0)-IF(AND('Bonding Program'!$S$12=1,'Bonding Program'!$H$12&lt;='Bonding Program'!$C$8,N$3=IF('Bonding Program'!$P$12&lt;&gt;"",'Bonding Program'!$P$12,'Bonding Program'!$C$8)),'Bonding Program'!$Z$12,0)+IF(AND('Bonding Program'!$P$12&lt;&gt;"",N$3='Bonding Program'!$P$12,N$3&lt;='Bonding Program'!$C$8),N('Bonding Program'!$O$12),0)</f>
        <v>0</v>
      </c>
      <c r="O153" s="19" t="n">
        <f aca="false">IF(AND('Bonding Program'!$S$12=1,'Bonding Program'!$H$12&gt;'Bonding Program'!$C$8,O$3='Bonding Program'!$H$12),'Bonding Program'!$T$12-'Bonding Program'!$U$12-'Bonding Program'!$Z$12,0)-IF(AND('Bonding Program'!$S$12=1,'Bonding Program'!$H$12&lt;='Bonding Program'!$C$8,O$3=IF('Bonding Program'!$P$12&lt;&gt;"",'Bonding Program'!$P$12,'Bonding Program'!$C$8)),'Bonding Program'!$Z$12,0)+IF(AND('Bonding Program'!$P$12&lt;&gt;"",O$3='Bonding Program'!$P$12,O$3&lt;='Bonding Program'!$C$8),N('Bonding Program'!$O$12),0)</f>
        <v>0</v>
      </c>
      <c r="P153" s="19" t="n">
        <f aca="false">IF(AND('Bonding Program'!$S$12=1,'Bonding Program'!$H$12&gt;'Bonding Program'!$C$8,P$3='Bonding Program'!$H$12),'Bonding Program'!$T$12-'Bonding Program'!$U$12-'Bonding Program'!$Z$12,0)-IF(AND('Bonding Program'!$S$12=1,'Bonding Program'!$H$12&lt;='Bonding Program'!$C$8,P$3=IF('Bonding Program'!$P$12&lt;&gt;"",'Bonding Program'!$P$12,'Bonding Program'!$C$8)),'Bonding Program'!$Z$12,0)+IF(AND('Bonding Program'!$P$12&lt;&gt;"",P$3='Bonding Program'!$P$12,P$3&lt;='Bonding Program'!$C$8),N('Bonding Program'!$O$12),0)</f>
        <v>0</v>
      </c>
      <c r="Q153" s="19" t="n">
        <f aca="false">IF(AND('Bonding Program'!$S$12=1,'Bonding Program'!$H$12&gt;'Bonding Program'!$C$8,Q$3='Bonding Program'!$H$12),'Bonding Program'!$T$12-'Bonding Program'!$U$12-'Bonding Program'!$Z$12,0)-IF(AND('Bonding Program'!$S$12=1,'Bonding Program'!$H$12&lt;='Bonding Program'!$C$8,Q$3=IF('Bonding Program'!$P$12&lt;&gt;"",'Bonding Program'!$P$12,'Bonding Program'!$C$8)),'Bonding Program'!$Z$12,0)+IF(AND('Bonding Program'!$P$12&lt;&gt;"",Q$3='Bonding Program'!$P$12,Q$3&lt;='Bonding Program'!$C$8),N('Bonding Program'!$O$12),0)</f>
        <v>0</v>
      </c>
      <c r="R153" s="19" t="n">
        <f aca="false">IF(AND('Bonding Program'!$S$12=1,'Bonding Program'!$H$12&gt;'Bonding Program'!$C$8,R$3='Bonding Program'!$H$12),'Bonding Program'!$T$12-'Bonding Program'!$U$12-'Bonding Program'!$Z$12,0)-IF(AND('Bonding Program'!$S$12=1,'Bonding Program'!$H$12&lt;='Bonding Program'!$C$8,R$3=IF('Bonding Program'!$P$12&lt;&gt;"",'Bonding Program'!$P$12,'Bonding Program'!$C$8)),'Bonding Program'!$Z$12,0)+IF(AND('Bonding Program'!$P$12&lt;&gt;"",R$3='Bonding Program'!$P$12,R$3&lt;='Bonding Program'!$C$8),N('Bonding Program'!$O$12),0)</f>
        <v>0</v>
      </c>
      <c r="S153" s="19" t="n">
        <f aca="false">IF(AND('Bonding Program'!$S$12=1,'Bonding Program'!$H$12&gt;'Bonding Program'!$C$8,S$3='Bonding Program'!$H$12),'Bonding Program'!$T$12-'Bonding Program'!$U$12-'Bonding Program'!$Z$12,0)-IF(AND('Bonding Program'!$S$12=1,'Bonding Program'!$H$12&lt;='Bonding Program'!$C$8,S$3=IF('Bonding Program'!$P$12&lt;&gt;"",'Bonding Program'!$P$12,'Bonding Program'!$C$8)),'Bonding Program'!$Z$12,0)+IF(AND('Bonding Program'!$P$12&lt;&gt;"",S$3='Bonding Program'!$P$12,S$3&lt;='Bonding Program'!$C$8),N('Bonding Program'!$O$12),0)</f>
        <v>0</v>
      </c>
      <c r="T153" s="19" t="n">
        <f aca="false">IF(AND('Bonding Program'!$S$12=1,'Bonding Program'!$H$12&gt;'Bonding Program'!$C$8,T$3='Bonding Program'!$H$12),'Bonding Program'!$T$12-'Bonding Program'!$U$12-'Bonding Program'!$Z$12,0)-IF(AND('Bonding Program'!$S$12=1,'Bonding Program'!$H$12&lt;='Bonding Program'!$C$8,T$3=IF('Bonding Program'!$P$12&lt;&gt;"",'Bonding Program'!$P$12,'Bonding Program'!$C$8)),'Bonding Program'!$Z$12,0)+IF(AND('Bonding Program'!$P$12&lt;&gt;"",T$3='Bonding Program'!$P$12,T$3&lt;='Bonding Program'!$C$8),N('Bonding Program'!$O$12),0)</f>
        <v>0</v>
      </c>
      <c r="U153" s="19" t="n">
        <f aca="false">IF(AND('Bonding Program'!$S$12=1,'Bonding Program'!$H$12&gt;'Bonding Program'!$C$8,U$3='Bonding Program'!$H$12),'Bonding Program'!$T$12-'Bonding Program'!$U$12-'Bonding Program'!$Z$12,0)-IF(AND('Bonding Program'!$S$12=1,'Bonding Program'!$H$12&lt;='Bonding Program'!$C$8,U$3=IF('Bonding Program'!$P$12&lt;&gt;"",'Bonding Program'!$P$12,'Bonding Program'!$C$8)),'Bonding Program'!$Z$12,0)+IF(AND('Bonding Program'!$P$12&lt;&gt;"",U$3='Bonding Program'!$P$12,U$3&lt;='Bonding Program'!$C$8),N('Bonding Program'!$O$12),0)</f>
        <v>0</v>
      </c>
      <c r="V153" s="19" t="n">
        <f aca="false">IF(AND('Bonding Program'!$S$12=1,'Bonding Program'!$H$12&gt;'Bonding Program'!$C$8,V$3='Bonding Program'!$H$12),'Bonding Program'!$T$12-'Bonding Program'!$U$12-'Bonding Program'!$Z$12,0)-IF(AND('Bonding Program'!$S$12=1,'Bonding Program'!$H$12&lt;='Bonding Program'!$C$8,V$3=IF('Bonding Program'!$P$12&lt;&gt;"",'Bonding Program'!$P$12,'Bonding Program'!$C$8)),'Bonding Program'!$Z$12,0)+IF(AND('Bonding Program'!$P$12&lt;&gt;"",V$3='Bonding Program'!$P$12,V$3&lt;='Bonding Program'!$C$8),N('Bonding Program'!$O$12),0)</f>
        <v>0</v>
      </c>
      <c r="W153" s="19" t="n">
        <f aca="false">IF(AND('Bonding Program'!$S$12=1,'Bonding Program'!$H$12&gt;'Bonding Program'!$C$8,W$3='Bonding Program'!$H$12),'Bonding Program'!$T$12-'Bonding Program'!$U$12-'Bonding Program'!$Z$12,0)-IF(AND('Bonding Program'!$S$12=1,'Bonding Program'!$H$12&lt;='Bonding Program'!$C$8,W$3=IF('Bonding Program'!$P$12&lt;&gt;"",'Bonding Program'!$P$12,'Bonding Program'!$C$8)),'Bonding Program'!$Z$12,0)+IF(AND('Bonding Program'!$P$12&lt;&gt;"",W$3='Bonding Program'!$P$12,W$3&lt;='Bonding Program'!$C$8),N('Bonding Program'!$O$12),0)</f>
        <v>0</v>
      </c>
      <c r="X153" s="19" t="n">
        <f aca="false">IF(AND('Bonding Program'!$S$12=1,'Bonding Program'!$H$12&gt;'Bonding Program'!$C$8,X$3='Bonding Program'!$H$12),'Bonding Program'!$T$12-'Bonding Program'!$U$12-'Bonding Program'!$Z$12,0)-IF(AND('Bonding Program'!$S$12=1,'Bonding Program'!$H$12&lt;='Bonding Program'!$C$8,X$3=IF('Bonding Program'!$P$12&lt;&gt;"",'Bonding Program'!$P$12,'Bonding Program'!$C$8)),'Bonding Program'!$Z$12,0)+IF(AND('Bonding Program'!$P$12&lt;&gt;"",X$3='Bonding Program'!$P$12,X$3&lt;='Bonding Program'!$C$8),N('Bonding Program'!$O$12),0)</f>
        <v>0</v>
      </c>
      <c r="Y153" s="19" t="n">
        <f aca="false">IF(AND('Bonding Program'!$S$12=1,'Bonding Program'!$H$12&gt;'Bonding Program'!$C$8,Y$3='Bonding Program'!$H$12),'Bonding Program'!$T$12-'Bonding Program'!$U$12-'Bonding Program'!$Z$12,0)-IF(AND('Bonding Program'!$S$12=1,'Bonding Program'!$H$12&lt;='Bonding Program'!$C$8,Y$3=IF('Bonding Program'!$P$12&lt;&gt;"",'Bonding Program'!$P$12,'Bonding Program'!$C$8)),'Bonding Program'!$Z$12,0)+IF(AND('Bonding Program'!$P$12&lt;&gt;"",Y$3='Bonding Program'!$P$12,Y$3&lt;='Bonding Program'!$C$8),N('Bonding Program'!$O$12),0)</f>
        <v>0</v>
      </c>
      <c r="Z153" s="19" t="n">
        <f aca="false">IF(AND('Bonding Program'!$S$12=1,'Bonding Program'!$H$12&gt;'Bonding Program'!$C$8,Z$3='Bonding Program'!$H$12),'Bonding Program'!$T$12-'Bonding Program'!$U$12-'Bonding Program'!$Z$12,0)-IF(AND('Bonding Program'!$S$12=1,'Bonding Program'!$H$12&lt;='Bonding Program'!$C$8,Z$3=IF('Bonding Program'!$P$12&lt;&gt;"",'Bonding Program'!$P$12,'Bonding Program'!$C$8)),'Bonding Program'!$Z$12,0)+IF(AND('Bonding Program'!$P$12&lt;&gt;"",Z$3='Bonding Program'!$P$12,Z$3&lt;='Bonding Program'!$C$8),N('Bonding Program'!$O$12),0)</f>
        <v>0</v>
      </c>
      <c r="AA153" s="19" t="n">
        <f aca="false">IF(AND('Bonding Program'!$S$12=1,'Bonding Program'!$H$12&gt;'Bonding Program'!$C$8,AA$3='Bonding Program'!$H$12),'Bonding Program'!$T$12-'Bonding Program'!$U$12-'Bonding Program'!$Z$12,0)-IF(AND('Bonding Program'!$S$12=1,'Bonding Program'!$H$12&lt;='Bonding Program'!$C$8,AA$3=IF('Bonding Program'!$P$12&lt;&gt;"",'Bonding Program'!$P$12,'Bonding Program'!$C$8)),'Bonding Program'!$Z$12,0)+IF(AND('Bonding Program'!$P$12&lt;&gt;"",AA$3='Bonding Program'!$P$12,AA$3&lt;='Bonding Program'!$C$8),N('Bonding Program'!$O$12),0)</f>
        <v>0</v>
      </c>
      <c r="AB153" s="19" t="n">
        <f aca="false">IF(AND('Bonding Program'!$S$12=1,'Bonding Program'!$H$12&gt;'Bonding Program'!$C$8,AB$3='Bonding Program'!$H$12),'Bonding Program'!$T$12-'Bonding Program'!$U$12-'Bonding Program'!$Z$12,0)-IF(AND('Bonding Program'!$S$12=1,'Bonding Program'!$H$12&lt;='Bonding Program'!$C$8,AB$3=IF('Bonding Program'!$P$12&lt;&gt;"",'Bonding Program'!$P$12,'Bonding Program'!$C$8)),'Bonding Program'!$Z$12,0)+IF(AND('Bonding Program'!$P$12&lt;&gt;"",AB$3='Bonding Program'!$P$12,AB$3&lt;='Bonding Program'!$C$8),N('Bonding Program'!$O$12),0)</f>
        <v>0</v>
      </c>
      <c r="AC153" s="19" t="n">
        <f aca="false">IF(AND('Bonding Program'!$S$12=1,'Bonding Program'!$H$12&gt;'Bonding Program'!$C$8,AC$3='Bonding Program'!$H$12),'Bonding Program'!$T$12-'Bonding Program'!$U$12-'Bonding Program'!$Z$12,0)-IF(AND('Bonding Program'!$S$12=1,'Bonding Program'!$H$12&lt;='Bonding Program'!$C$8,AC$3=IF('Bonding Program'!$P$12&lt;&gt;"",'Bonding Program'!$P$12,'Bonding Program'!$C$8)),'Bonding Program'!$Z$12,0)+IF(AND('Bonding Program'!$P$12&lt;&gt;"",AC$3='Bonding Program'!$P$12,AC$3&lt;='Bonding Program'!$C$8),N('Bonding Program'!$O$12),0)</f>
        <v>0</v>
      </c>
      <c r="AD153" s="19" t="n">
        <f aca="false">IF(AND('Bonding Program'!$S$12=1,'Bonding Program'!$H$12&gt;'Bonding Program'!$C$8,AD$3='Bonding Program'!$H$12),'Bonding Program'!$T$12-'Bonding Program'!$U$12-'Bonding Program'!$Z$12,0)-IF(AND('Bonding Program'!$S$12=1,'Bonding Program'!$H$12&lt;='Bonding Program'!$C$8,AD$3=IF('Bonding Program'!$P$12&lt;&gt;"",'Bonding Program'!$P$12,'Bonding Program'!$C$8)),'Bonding Program'!$Z$12,0)+IF(AND('Bonding Program'!$P$12&lt;&gt;"",AD$3='Bonding Program'!$P$12,AD$3&lt;='Bonding Program'!$C$8),N('Bonding Program'!$O$12),0)</f>
        <v>0</v>
      </c>
      <c r="AE153" s="19" t="n">
        <f aca="false">IF(AND('Bonding Program'!$S$12=1,'Bonding Program'!$H$12&gt;'Bonding Program'!$C$8,AE$3='Bonding Program'!$H$12),'Bonding Program'!$T$12-'Bonding Program'!$U$12-'Bonding Program'!$Z$12,0)-IF(AND('Bonding Program'!$S$12=1,'Bonding Program'!$H$12&lt;='Bonding Program'!$C$8,AE$3=IF('Bonding Program'!$P$12&lt;&gt;"",'Bonding Program'!$P$12,'Bonding Program'!$C$8)),'Bonding Program'!$Z$12,0)+IF(AND('Bonding Program'!$P$12&lt;&gt;"",AE$3='Bonding Program'!$P$12,AE$3&lt;='Bonding Program'!$C$8),N('Bonding Program'!$O$12),0)</f>
        <v>0</v>
      </c>
      <c r="AF153" s="19" t="n">
        <f aca="false">IF(AND('Bonding Program'!$S$12=1,'Bonding Program'!$H$12&gt;'Bonding Program'!$C$8,AF$3='Bonding Program'!$H$12),'Bonding Program'!$T$12-'Bonding Program'!$U$12-'Bonding Program'!$Z$12,0)-IF(AND('Bonding Program'!$S$12=1,'Bonding Program'!$H$12&lt;='Bonding Program'!$C$8,AF$3=IF('Bonding Program'!$P$12&lt;&gt;"",'Bonding Program'!$P$12,'Bonding Program'!$C$8)),'Bonding Program'!$Z$12,0)+IF(AND('Bonding Program'!$P$12&lt;&gt;"",AF$3='Bonding Program'!$P$12,AF$3&lt;='Bonding Program'!$C$8),N('Bonding Program'!$O$12),0)</f>
        <v>0</v>
      </c>
      <c r="AG153" s="19" t="n">
        <f aca="false">IF(AND('Bonding Program'!$S$12=1,'Bonding Program'!$H$12&gt;'Bonding Program'!$C$8,AG$3='Bonding Program'!$H$12),'Bonding Program'!$T$12-'Bonding Program'!$U$12-'Bonding Program'!$Z$12,0)-IF(AND('Bonding Program'!$S$12=1,'Bonding Program'!$H$12&lt;='Bonding Program'!$C$8,AG$3=IF('Bonding Program'!$P$12&lt;&gt;"",'Bonding Program'!$P$12,'Bonding Program'!$C$8)),'Bonding Program'!$Z$12,0)+IF(AND('Bonding Program'!$P$12&lt;&gt;"",AG$3='Bonding Program'!$P$12,AG$3&lt;='Bonding Program'!$C$8),N('Bonding Program'!$O$12),0)</f>
        <v>0</v>
      </c>
      <c r="AH153" s="19" t="n">
        <f aca="false">IF(AND('Bonding Program'!$S$12=1,'Bonding Program'!$H$12&gt;'Bonding Program'!$C$8,AH$3='Bonding Program'!$H$12),'Bonding Program'!$T$12-'Bonding Program'!$U$12-'Bonding Program'!$Z$12,0)-IF(AND('Bonding Program'!$S$12=1,'Bonding Program'!$H$12&lt;='Bonding Program'!$C$8,AH$3=IF('Bonding Program'!$P$12&lt;&gt;"",'Bonding Program'!$P$12,'Bonding Program'!$C$8)),'Bonding Program'!$Z$12,0)+IF(AND('Bonding Program'!$P$12&lt;&gt;"",AH$3='Bonding Program'!$P$12,AH$3&lt;='Bonding Program'!$C$8),N('Bonding Program'!$O$12),0)</f>
        <v>0</v>
      </c>
      <c r="AI153" s="19" t="n">
        <f aca="false">IF(AND('Bonding Program'!$S$12=1,'Bonding Program'!$H$12&gt;'Bonding Program'!$C$8,AI$3='Bonding Program'!$H$12),'Bonding Program'!$T$12-'Bonding Program'!$U$12-'Bonding Program'!$Z$12,0)-IF(AND('Bonding Program'!$S$12=1,'Bonding Program'!$H$12&lt;='Bonding Program'!$C$8,AI$3=IF('Bonding Program'!$P$12&lt;&gt;"",'Bonding Program'!$P$12,'Bonding Program'!$C$8)),'Bonding Program'!$Z$12,0)+IF(AND('Bonding Program'!$P$12&lt;&gt;"",AI$3='Bonding Program'!$P$12,AI$3&lt;='Bonding Program'!$C$8),N('Bonding Program'!$O$12),0)</f>
        <v>0</v>
      </c>
      <c r="AJ153" s="19" t="n">
        <f aca="false">IF(AND('Bonding Program'!$S$12=1,'Bonding Program'!$H$12&gt;'Bonding Program'!$C$8,AJ$3='Bonding Program'!$H$12),'Bonding Program'!$T$12-'Bonding Program'!$U$12-'Bonding Program'!$Z$12,0)-IF(AND('Bonding Program'!$S$12=1,'Bonding Program'!$H$12&lt;='Bonding Program'!$C$8,AJ$3=IF('Bonding Program'!$P$12&lt;&gt;"",'Bonding Program'!$P$12,'Bonding Program'!$C$8)),'Bonding Program'!$Z$12,0)+IF(AND('Bonding Program'!$P$12&lt;&gt;"",AJ$3='Bonding Program'!$P$12,AJ$3&lt;='Bonding Program'!$C$8),N('Bonding Program'!$O$12),0)</f>
        <v>0</v>
      </c>
      <c r="AK153" s="19" t="n">
        <f aca="false">IF(AND('Bonding Program'!$S$12=1,'Bonding Program'!$H$12&gt;'Bonding Program'!$C$8,AK$3='Bonding Program'!$H$12),'Bonding Program'!$T$12-'Bonding Program'!$U$12-'Bonding Program'!$Z$12,0)-IF(AND('Bonding Program'!$S$12=1,'Bonding Program'!$H$12&lt;='Bonding Program'!$C$8,AK$3=IF('Bonding Program'!$P$12&lt;&gt;"",'Bonding Program'!$P$12,'Bonding Program'!$C$8)),'Bonding Program'!$Z$12,0)+IF(AND('Bonding Program'!$P$12&lt;&gt;"",AK$3='Bonding Program'!$P$12,AK$3&lt;='Bonding Program'!$C$8),N('Bonding Program'!$O$12),0)</f>
        <v>0</v>
      </c>
      <c r="AL153" s="19" t="n">
        <f aca="false">IF(AND('Bonding Program'!$S$12=1,'Bonding Program'!$H$12&gt;'Bonding Program'!$C$8,AL$3='Bonding Program'!$H$12),'Bonding Program'!$T$12-'Bonding Program'!$U$12-'Bonding Program'!$Z$12,0)-IF(AND('Bonding Program'!$S$12=1,'Bonding Program'!$H$12&lt;='Bonding Program'!$C$8,AL$3=IF('Bonding Program'!$P$12&lt;&gt;"",'Bonding Program'!$P$12,'Bonding Program'!$C$8)),'Bonding Program'!$Z$12,0)+IF(AND('Bonding Program'!$P$12&lt;&gt;"",AL$3='Bonding Program'!$P$12,AL$3&lt;='Bonding Program'!$C$8),N('Bonding Program'!$O$12),0)</f>
        <v>0</v>
      </c>
      <c r="AM153" s="19" t="n">
        <f aca="false">IF(AND('Bonding Program'!$S$12=1,'Bonding Program'!$H$12&gt;'Bonding Program'!$C$8,AM$3='Bonding Program'!$H$12),'Bonding Program'!$T$12-'Bonding Program'!$U$12-'Bonding Program'!$Z$12,0)-IF(AND('Bonding Program'!$S$12=1,'Bonding Program'!$H$12&lt;='Bonding Program'!$C$8,AM$3=IF('Bonding Program'!$P$12&lt;&gt;"",'Bonding Program'!$P$12,'Bonding Program'!$C$8)),'Bonding Program'!$Z$12,0)+IF(AND('Bonding Program'!$P$12&lt;&gt;"",AM$3='Bonding Program'!$P$12,AM$3&lt;='Bonding Program'!$C$8),N('Bonding Program'!$O$12),0)</f>
        <v>0</v>
      </c>
      <c r="AN153" s="19" t="n">
        <f aca="false">IF(AND('Bonding Program'!$S$12=1,'Bonding Program'!$H$12&gt;'Bonding Program'!$C$8,AN$3='Bonding Program'!$H$12),'Bonding Program'!$T$12-'Bonding Program'!$U$12-'Bonding Program'!$Z$12,0)-IF(AND('Bonding Program'!$S$12=1,'Bonding Program'!$H$12&lt;='Bonding Program'!$C$8,AN$3=IF('Bonding Program'!$P$12&lt;&gt;"",'Bonding Program'!$P$12,'Bonding Program'!$C$8)),'Bonding Program'!$Z$12,0)+IF(AND('Bonding Program'!$P$12&lt;&gt;"",AN$3='Bonding Program'!$P$12,AN$3&lt;='Bonding Program'!$C$8),N('Bonding Program'!$O$12),0)</f>
        <v>0</v>
      </c>
      <c r="AO153" s="19" t="n">
        <f aca="false">IF(AND('Bonding Program'!$S$12=1,'Bonding Program'!$H$12&gt;'Bonding Program'!$C$8,AO$3='Bonding Program'!$H$12),'Bonding Program'!$T$12-'Bonding Program'!$U$12-'Bonding Program'!$Z$12,0)-IF(AND('Bonding Program'!$S$12=1,'Bonding Program'!$H$12&lt;='Bonding Program'!$C$8,AO$3=IF('Bonding Program'!$P$12&lt;&gt;"",'Bonding Program'!$P$12,'Bonding Program'!$C$8)),'Bonding Program'!$Z$12,0)+IF(AND('Bonding Program'!$P$12&lt;&gt;"",AO$3='Bonding Program'!$P$12,AO$3&lt;='Bonding Program'!$C$8),N('Bonding Program'!$O$12),0)</f>
        <v>0</v>
      </c>
      <c r="AP153" s="19" t="n">
        <f aca="false">IF(AND('Bonding Program'!$S$12=1,'Bonding Program'!$H$12&gt;'Bonding Program'!$C$8,AP$3='Bonding Program'!$H$12),'Bonding Program'!$T$12-'Bonding Program'!$U$12-'Bonding Program'!$Z$12,0)-IF(AND('Bonding Program'!$S$12=1,'Bonding Program'!$H$12&lt;='Bonding Program'!$C$8,AP$3=IF('Bonding Program'!$P$12&lt;&gt;"",'Bonding Program'!$P$12,'Bonding Program'!$C$8)),'Bonding Program'!$Z$12,0)+IF(AND('Bonding Program'!$P$12&lt;&gt;"",AP$3='Bonding Program'!$P$12,AP$3&lt;='Bonding Program'!$C$8),N('Bonding Program'!$O$12),0)</f>
        <v>0</v>
      </c>
      <c r="AQ153" s="19" t="n">
        <f aca="false">IF(AND('Bonding Program'!$S$12=1,'Bonding Program'!$H$12&gt;'Bonding Program'!$C$8,AQ$3='Bonding Program'!$H$12),'Bonding Program'!$T$12-'Bonding Program'!$U$12-'Bonding Program'!$Z$12,0)-IF(AND('Bonding Program'!$S$12=1,'Bonding Program'!$H$12&lt;='Bonding Program'!$C$8,AQ$3=IF('Bonding Program'!$P$12&lt;&gt;"",'Bonding Program'!$P$12,'Bonding Program'!$C$8)),'Bonding Program'!$Z$12,0)+IF(AND('Bonding Program'!$P$12&lt;&gt;"",AQ$3='Bonding Program'!$P$12,AQ$3&lt;='Bonding Program'!$C$8),N('Bonding Program'!$O$12),0)</f>
        <v>0</v>
      </c>
      <c r="AR153" s="19" t="n">
        <f aca="false">IF(AND('Bonding Program'!$S$12=1,'Bonding Program'!$H$12&gt;'Bonding Program'!$C$8,AR$3='Bonding Program'!$H$12),'Bonding Program'!$T$12-'Bonding Program'!$U$12-'Bonding Program'!$Z$12,0)-IF(AND('Bonding Program'!$S$12=1,'Bonding Program'!$H$12&lt;='Bonding Program'!$C$8,AR$3=IF('Bonding Program'!$P$12&lt;&gt;"",'Bonding Program'!$P$12,'Bonding Program'!$C$8)),'Bonding Program'!$Z$12,0)+IF(AND('Bonding Program'!$P$12&lt;&gt;"",AR$3='Bonding Program'!$P$12,AR$3&lt;='Bonding Program'!$C$8),N('Bonding Program'!$O$12),0)</f>
        <v>0</v>
      </c>
      <c r="AS153" s="19" t="n">
        <f aca="false">IF(AND('Bonding Program'!$S$12=1,'Bonding Program'!$H$12&gt;'Bonding Program'!$C$8,AS$3='Bonding Program'!$H$12),'Bonding Program'!$T$12-'Bonding Program'!$U$12-'Bonding Program'!$Z$12,0)-IF(AND('Bonding Program'!$S$12=1,'Bonding Program'!$H$12&lt;='Bonding Program'!$C$8,AS$3=IF('Bonding Program'!$P$12&lt;&gt;"",'Bonding Program'!$P$12,'Bonding Program'!$C$8)),'Bonding Program'!$Z$12,0)+IF(AND('Bonding Program'!$P$12&lt;&gt;"",AS$3='Bonding Program'!$P$12,AS$3&lt;='Bonding Program'!$C$8),N('Bonding Program'!$O$12),0)</f>
        <v>0</v>
      </c>
      <c r="AT153" s="19" t="n">
        <f aca="false">IF(AND('Bonding Program'!$S$12=1,'Bonding Program'!$H$12&gt;'Bonding Program'!$C$8,AT$3='Bonding Program'!$H$12),'Bonding Program'!$T$12-'Bonding Program'!$U$12-'Bonding Program'!$Z$12,0)-IF(AND('Bonding Program'!$S$12=1,'Bonding Program'!$H$12&lt;='Bonding Program'!$C$8,AT$3=IF('Bonding Program'!$P$12&lt;&gt;"",'Bonding Program'!$P$12,'Bonding Program'!$C$8)),'Bonding Program'!$Z$12,0)+IF(AND('Bonding Program'!$P$12&lt;&gt;"",AT$3='Bonding Program'!$P$12,AT$3&lt;='Bonding Program'!$C$8),N('Bonding Program'!$O$12),0)</f>
        <v>0</v>
      </c>
      <c r="AU153" s="19" t="n">
        <f aca="false">IF(AND('Bonding Program'!$S$12=1,'Bonding Program'!$H$12&gt;'Bonding Program'!$C$8,AU$3='Bonding Program'!$H$12),'Bonding Program'!$T$12-'Bonding Program'!$U$12-'Bonding Program'!$Z$12,0)-IF(AND('Bonding Program'!$S$12=1,'Bonding Program'!$H$12&lt;='Bonding Program'!$C$8,AU$3=IF('Bonding Program'!$P$12&lt;&gt;"",'Bonding Program'!$P$12,'Bonding Program'!$C$8)),'Bonding Program'!$Z$12,0)+IF(AND('Bonding Program'!$P$12&lt;&gt;"",AU$3='Bonding Program'!$P$12,AU$3&lt;='Bonding Program'!$C$8),N('Bonding Program'!$O$12),0)</f>
        <v>0</v>
      </c>
      <c r="AV153" s="19" t="n">
        <f aca="false">IF(AND('Bonding Program'!$S$12=1,'Bonding Program'!$H$12&gt;'Bonding Program'!$C$8,AV$3='Bonding Program'!$H$12),'Bonding Program'!$T$12-'Bonding Program'!$U$12-'Bonding Program'!$Z$12,0)-IF(AND('Bonding Program'!$S$12=1,'Bonding Program'!$H$12&lt;='Bonding Program'!$C$8,AV$3=IF('Bonding Program'!$P$12&lt;&gt;"",'Bonding Program'!$P$12,'Bonding Program'!$C$8)),'Bonding Program'!$Z$12,0)+IF(AND('Bonding Program'!$P$12&lt;&gt;"",AV$3='Bonding Program'!$P$12,AV$3&lt;='Bonding Program'!$C$8),N('Bonding Program'!$O$12),0)</f>
        <v>0</v>
      </c>
      <c r="AW153" s="19" t="n">
        <f aca="false">IF(AND('Bonding Program'!$S$12=1,'Bonding Program'!$H$12&gt;'Bonding Program'!$C$8,AW$3='Bonding Program'!$H$12),'Bonding Program'!$T$12-'Bonding Program'!$U$12-'Bonding Program'!$Z$12,0)-IF(AND('Bonding Program'!$S$12=1,'Bonding Program'!$H$12&lt;='Bonding Program'!$C$8,AW$3=IF('Bonding Program'!$P$12&lt;&gt;"",'Bonding Program'!$P$12,'Bonding Program'!$C$8)),'Bonding Program'!$Z$12,0)+IF(AND('Bonding Program'!$P$12&lt;&gt;"",AW$3='Bonding Program'!$P$12,AW$3&lt;='Bonding Program'!$C$8),N('Bonding Program'!$O$12),0)</f>
        <v>0</v>
      </c>
      <c r="AX153" s="19" t="n">
        <f aca="false">IF(AND('Bonding Program'!$S$12=1,'Bonding Program'!$H$12&gt;'Bonding Program'!$C$8,AX$3='Bonding Program'!$H$12),'Bonding Program'!$T$12-'Bonding Program'!$U$12-'Bonding Program'!$Z$12,0)-IF(AND('Bonding Program'!$S$12=1,'Bonding Program'!$H$12&lt;='Bonding Program'!$C$8,AX$3=IF('Bonding Program'!$P$12&lt;&gt;"",'Bonding Program'!$P$12,'Bonding Program'!$C$8)),'Bonding Program'!$Z$12,0)+IF(AND('Bonding Program'!$P$12&lt;&gt;"",AX$3='Bonding Program'!$P$12,AX$3&lt;='Bonding Program'!$C$8),N('Bonding Program'!$O$12),0)</f>
        <v>0</v>
      </c>
      <c r="AY153" s="19" t="n">
        <f aca="false">IF(AND('Bonding Program'!$S$12=1,'Bonding Program'!$H$12&gt;'Bonding Program'!$C$8,AY$3='Bonding Program'!$H$12),'Bonding Program'!$T$12-'Bonding Program'!$U$12-'Bonding Program'!$Z$12,0)-IF(AND('Bonding Program'!$S$12=1,'Bonding Program'!$H$12&lt;='Bonding Program'!$C$8,AY$3=IF('Bonding Program'!$P$12&lt;&gt;"",'Bonding Program'!$P$12,'Bonding Program'!$C$8)),'Bonding Program'!$Z$12,0)+IF(AND('Bonding Program'!$P$12&lt;&gt;"",AY$3='Bonding Program'!$P$12,AY$3&lt;='Bonding Program'!$C$8),N('Bonding Program'!$O$12),0)</f>
        <v>0</v>
      </c>
      <c r="AZ153" s="19" t="n">
        <f aca="false">IF(AND('Bonding Program'!$S$12=1,'Bonding Program'!$H$12&gt;'Bonding Program'!$C$8,AZ$3='Bonding Program'!$H$12),'Bonding Program'!$T$12-'Bonding Program'!$U$12-'Bonding Program'!$Z$12,0)-IF(AND('Bonding Program'!$S$12=1,'Bonding Program'!$H$12&lt;='Bonding Program'!$C$8,AZ$3=IF('Bonding Program'!$P$12&lt;&gt;"",'Bonding Program'!$P$12,'Bonding Program'!$C$8)),'Bonding Program'!$Z$12,0)+IF(AND('Bonding Program'!$P$12&lt;&gt;"",AZ$3='Bonding Program'!$P$12,AZ$3&lt;='Bonding Program'!$C$8),N('Bonding Program'!$O$12),0)</f>
        <v>0</v>
      </c>
      <c r="BA153" s="19" t="n">
        <f aca="false">IF(AND('Bonding Program'!$S$12=1,'Bonding Program'!$H$12&gt;'Bonding Program'!$C$8,BA$3='Bonding Program'!$H$12),'Bonding Program'!$T$12-'Bonding Program'!$U$12-'Bonding Program'!$Z$12,0)-IF(AND('Bonding Program'!$S$12=1,'Bonding Program'!$H$12&lt;='Bonding Program'!$C$8,BA$3=IF('Bonding Program'!$P$12&lt;&gt;"",'Bonding Program'!$P$12,'Bonding Program'!$C$8)),'Bonding Program'!$Z$12,0)+IF(AND('Bonding Program'!$P$12&lt;&gt;"",BA$3='Bonding Program'!$P$12,BA$3&lt;='Bonding Program'!$C$8),N('Bonding Program'!$O$12),0)</f>
        <v>0</v>
      </c>
      <c r="BB153" s="19" t="n">
        <f aca="false">IF(AND('Bonding Program'!$S$12=1,'Bonding Program'!$H$12&gt;'Bonding Program'!$C$8,BB$3='Bonding Program'!$H$12),'Bonding Program'!$T$12-'Bonding Program'!$U$12-'Bonding Program'!$Z$12,0)-IF(AND('Bonding Program'!$S$12=1,'Bonding Program'!$H$12&lt;='Bonding Program'!$C$8,BB$3=IF('Bonding Program'!$P$12&lt;&gt;"",'Bonding Program'!$P$12,'Bonding Program'!$C$8)),'Bonding Program'!$Z$12,0)+IF(AND('Bonding Program'!$P$12&lt;&gt;"",BB$3='Bonding Program'!$P$12,BB$3&lt;='Bonding Program'!$C$8),N('Bonding Program'!$O$12),0)</f>
        <v>0</v>
      </c>
      <c r="BC153" s="19" t="n">
        <f aca="false">IF(AND('Bonding Program'!$S$12=1,'Bonding Program'!$H$12&gt;'Bonding Program'!$C$8,BC$3='Bonding Program'!$H$12),'Bonding Program'!$T$12-'Bonding Program'!$U$12-'Bonding Program'!$Z$12,0)-IF(AND('Bonding Program'!$S$12=1,'Bonding Program'!$H$12&lt;='Bonding Program'!$C$8,BC$3=IF('Bonding Program'!$P$12&lt;&gt;"",'Bonding Program'!$P$12,'Bonding Program'!$C$8)),'Bonding Program'!$Z$12,0)+IF(AND('Bonding Program'!$P$12&lt;&gt;"",BC$3='Bonding Program'!$P$12,BC$3&lt;='Bonding Program'!$C$8),N('Bonding Program'!$O$12),0)</f>
        <v>0</v>
      </c>
      <c r="BD153" s="19" t="n">
        <f aca="false">IF(AND('Bonding Program'!$S$12=1,'Bonding Program'!$H$12&gt;'Bonding Program'!$C$8,BD$3='Bonding Program'!$H$12),'Bonding Program'!$T$12-'Bonding Program'!$U$12-'Bonding Program'!$Z$12,0)-IF(AND('Bonding Program'!$S$12=1,'Bonding Program'!$H$12&lt;='Bonding Program'!$C$8,BD$3=IF('Bonding Program'!$P$12&lt;&gt;"",'Bonding Program'!$P$12,'Bonding Program'!$C$8)),'Bonding Program'!$Z$12,0)+IF(AND('Bonding Program'!$P$12&lt;&gt;"",BD$3='Bonding Program'!$P$12,BD$3&lt;='Bonding Program'!$C$8),N('Bonding Program'!$O$12),0)</f>
        <v>0</v>
      </c>
      <c r="BE153" s="19" t="n">
        <f aca="false">IF(AND('Bonding Program'!$S$12=1,'Bonding Program'!$H$12&gt;'Bonding Program'!$C$8,BE$3='Bonding Program'!$H$12),'Bonding Program'!$T$12-'Bonding Program'!$U$12-'Bonding Program'!$Z$12,0)-IF(AND('Bonding Program'!$S$12=1,'Bonding Program'!$H$12&lt;='Bonding Program'!$C$8,BE$3=IF('Bonding Program'!$P$12&lt;&gt;"",'Bonding Program'!$P$12,'Bonding Program'!$C$8)),'Bonding Program'!$Z$12,0)+IF(AND('Bonding Program'!$P$12&lt;&gt;"",BE$3='Bonding Program'!$P$12,BE$3&lt;='Bonding Program'!$C$8),N('Bonding Program'!$O$12),0)</f>
        <v>0</v>
      </c>
      <c r="BF153" s="19" t="n">
        <f aca="false">IF(AND('Bonding Program'!$S$12=1,'Bonding Program'!$H$12&gt;'Bonding Program'!$C$8,BF$3='Bonding Program'!$H$12),'Bonding Program'!$T$12-'Bonding Program'!$U$12-'Bonding Program'!$Z$12,0)-IF(AND('Bonding Program'!$S$12=1,'Bonding Program'!$H$12&lt;='Bonding Program'!$C$8,BF$3=IF('Bonding Program'!$P$12&lt;&gt;"",'Bonding Program'!$P$12,'Bonding Program'!$C$8)),'Bonding Program'!$Z$12,0)+IF(AND('Bonding Program'!$P$12&lt;&gt;"",BF$3='Bonding Program'!$P$12,BF$3&lt;='Bonding Program'!$C$8),N('Bonding Program'!$O$12),0)</f>
        <v>0</v>
      </c>
      <c r="BG153" s="19" t="n">
        <f aca="false">IF(AND('Bonding Program'!$S$12=1,'Bonding Program'!$H$12&gt;'Bonding Program'!$C$8,BG$3='Bonding Program'!$H$12),'Bonding Program'!$T$12-'Bonding Program'!$U$12-'Bonding Program'!$Z$12,0)-IF(AND('Bonding Program'!$S$12=1,'Bonding Program'!$H$12&lt;='Bonding Program'!$C$8,BG$3=IF('Bonding Program'!$P$12&lt;&gt;"",'Bonding Program'!$P$12,'Bonding Program'!$C$8)),'Bonding Program'!$Z$12,0)+IF(AND('Bonding Program'!$P$12&lt;&gt;"",BG$3='Bonding Program'!$P$12,BG$3&lt;='Bonding Program'!$C$8),N('Bonding Program'!$O$12),0)</f>
        <v>0</v>
      </c>
      <c r="BH153" s="19" t="n">
        <f aca="false">IF(AND('Bonding Program'!$S$12=1,'Bonding Program'!$H$12&gt;'Bonding Program'!$C$8,BH$3='Bonding Program'!$H$12),'Bonding Program'!$T$12-'Bonding Program'!$U$12-'Bonding Program'!$Z$12,0)-IF(AND('Bonding Program'!$S$12=1,'Bonding Program'!$H$12&lt;='Bonding Program'!$C$8,BH$3=IF('Bonding Program'!$P$12&lt;&gt;"",'Bonding Program'!$P$12,'Bonding Program'!$C$8)),'Bonding Program'!$Z$12,0)+IF(AND('Bonding Program'!$P$12&lt;&gt;"",BH$3='Bonding Program'!$P$12,BH$3&lt;='Bonding Program'!$C$8),N('Bonding Program'!$O$12),0)</f>
        <v>0</v>
      </c>
      <c r="BI153" s="19" t="n">
        <f aca="false">IF(AND('Bonding Program'!$S$12=1,'Bonding Program'!$H$12&gt;'Bonding Program'!$C$8,BI$3='Bonding Program'!$H$12),'Bonding Program'!$T$12-'Bonding Program'!$U$12-'Bonding Program'!$Z$12,0)-IF(AND('Bonding Program'!$S$12=1,'Bonding Program'!$H$12&lt;='Bonding Program'!$C$8,BI$3=IF('Bonding Program'!$P$12&lt;&gt;"",'Bonding Program'!$P$12,'Bonding Program'!$C$8)),'Bonding Program'!$Z$12,0)+IF(AND('Bonding Program'!$P$12&lt;&gt;"",BI$3='Bonding Program'!$P$12,BI$3&lt;='Bonding Program'!$C$8),N('Bonding Program'!$O$12),0)</f>
        <v>0</v>
      </c>
      <c r="BJ153" s="19" t="n">
        <f aca="false">IF(AND('Bonding Program'!$S$12=1,'Bonding Program'!$H$12&gt;'Bonding Program'!$C$8,BJ$3='Bonding Program'!$H$12),'Bonding Program'!$T$12-'Bonding Program'!$U$12-'Bonding Program'!$Z$12,0)-IF(AND('Bonding Program'!$S$12=1,'Bonding Program'!$H$12&lt;='Bonding Program'!$C$8,BJ$3=IF('Bonding Program'!$P$12&lt;&gt;"",'Bonding Program'!$P$12,'Bonding Program'!$C$8)),'Bonding Program'!$Z$12,0)+IF(AND('Bonding Program'!$P$12&lt;&gt;"",BJ$3='Bonding Program'!$P$12,BJ$3&lt;='Bonding Program'!$C$8),N('Bonding Program'!$O$12),0)</f>
        <v>0</v>
      </c>
      <c r="BK153" s="19" t="n">
        <f aca="false">IF(AND('Bonding Program'!$S$12=1,'Bonding Program'!$H$12&gt;'Bonding Program'!$C$8,BK$3='Bonding Program'!$H$12),'Bonding Program'!$T$12-'Bonding Program'!$U$12-'Bonding Program'!$Z$12,0)-IF(AND('Bonding Program'!$S$12=1,'Bonding Program'!$H$12&lt;='Bonding Program'!$C$8,BK$3=IF('Bonding Program'!$P$12&lt;&gt;"",'Bonding Program'!$P$12,'Bonding Program'!$C$8)),'Bonding Program'!$Z$12,0)+IF(AND('Bonding Program'!$P$12&lt;&gt;"",BK$3='Bonding Program'!$P$12,BK$3&lt;='Bonding Program'!$C$8),N('Bonding Program'!$O$12),0)</f>
        <v>0</v>
      </c>
      <c r="BL153" s="19" t="n">
        <f aca="false">IF(AND('Bonding Program'!$S$12=1,'Bonding Program'!$H$12&gt;'Bonding Program'!$C$8,BL$3='Bonding Program'!$H$12),'Bonding Program'!$T$12-'Bonding Program'!$U$12-'Bonding Program'!$Z$12,0)-IF(AND('Bonding Program'!$S$12=1,'Bonding Program'!$H$12&lt;='Bonding Program'!$C$8,BL$3=IF('Bonding Program'!$P$12&lt;&gt;"",'Bonding Program'!$P$12,'Bonding Program'!$C$8)),'Bonding Program'!$Z$12,0)+IF(AND('Bonding Program'!$P$12&lt;&gt;"",BL$3='Bonding Program'!$P$12,BL$3&lt;='Bonding Program'!$C$8),N('Bonding Program'!$O$12),0)</f>
        <v>0</v>
      </c>
      <c r="BM153" s="19" t="n">
        <f aca="false">IF(AND('Bonding Program'!$S$12=1,'Bonding Program'!$H$12&gt;'Bonding Program'!$C$8,BM$3='Bonding Program'!$H$12),'Bonding Program'!$T$12-'Bonding Program'!$U$12-'Bonding Program'!$Z$12,0)-IF(AND('Bonding Program'!$S$12=1,'Bonding Program'!$H$12&lt;='Bonding Program'!$C$8,BM$3=IF('Bonding Program'!$P$12&lt;&gt;"",'Bonding Program'!$P$12,'Bonding Program'!$C$8)),'Bonding Program'!$Z$12,0)+IF(AND('Bonding Program'!$P$12&lt;&gt;"",BM$3='Bonding Program'!$P$12,BM$3&lt;='Bonding Program'!$C$8),N('Bonding Program'!$O$12),0)</f>
        <v>0</v>
      </c>
      <c r="BN153" s="19" t="n">
        <f aca="false">IF(AND('Bonding Program'!$S$12=1,'Bonding Program'!$H$12&gt;'Bonding Program'!$C$8,BN$3='Bonding Program'!$H$12),'Bonding Program'!$T$12-'Bonding Program'!$U$12-'Bonding Program'!$Z$12,0)-IF(AND('Bonding Program'!$S$12=1,'Bonding Program'!$H$12&lt;='Bonding Program'!$C$8,BN$3=IF('Bonding Program'!$P$12&lt;&gt;"",'Bonding Program'!$P$12,'Bonding Program'!$C$8)),'Bonding Program'!$Z$12,0)+IF(AND('Bonding Program'!$P$12&lt;&gt;"",BN$3='Bonding Program'!$P$12,BN$3&lt;='Bonding Program'!$C$8),N('Bonding Program'!$O$12),0)</f>
        <v>0</v>
      </c>
      <c r="BO153" s="19" t="n">
        <f aca="false">IF(AND('Bonding Program'!$S$12=1,'Bonding Program'!$H$12&gt;'Bonding Program'!$C$8,BO$3='Bonding Program'!$H$12),'Bonding Program'!$T$12-'Bonding Program'!$U$12-'Bonding Program'!$Z$12,0)-IF(AND('Bonding Program'!$S$12=1,'Bonding Program'!$H$12&lt;='Bonding Program'!$C$8,BO$3=IF('Bonding Program'!$P$12&lt;&gt;"",'Bonding Program'!$P$12,'Bonding Program'!$C$8)),'Bonding Program'!$Z$12,0)+IF(AND('Bonding Program'!$P$12&lt;&gt;"",BO$3='Bonding Program'!$P$12,BO$3&lt;='Bonding Program'!$C$8),N('Bonding Program'!$O$12),0)</f>
        <v>0</v>
      </c>
      <c r="BP153" s="19" t="n">
        <f aca="false">IF(AND('Bonding Program'!$S$12=1,'Bonding Program'!$H$12&gt;'Bonding Program'!$C$8,BP$3='Bonding Program'!$H$12),'Bonding Program'!$T$12-'Bonding Program'!$U$12-'Bonding Program'!$Z$12,0)-IF(AND('Bonding Program'!$S$12=1,'Bonding Program'!$H$12&lt;='Bonding Program'!$C$8,BP$3=IF('Bonding Program'!$P$12&lt;&gt;"",'Bonding Program'!$P$12,'Bonding Program'!$C$8)),'Bonding Program'!$Z$12,0)+IF(AND('Bonding Program'!$P$12&lt;&gt;"",BP$3='Bonding Program'!$P$12,BP$3&lt;='Bonding Program'!$C$8),N('Bonding Program'!$O$12),0)</f>
        <v>0</v>
      </c>
      <c r="BQ153" s="19" t="n">
        <f aca="false">IF(AND('Bonding Program'!$S$12=1,'Bonding Program'!$H$12&gt;'Bonding Program'!$C$8,BQ$3='Bonding Program'!$H$12),'Bonding Program'!$T$12-'Bonding Program'!$U$12-'Bonding Program'!$Z$12,0)-IF(AND('Bonding Program'!$S$12=1,'Bonding Program'!$H$12&lt;='Bonding Program'!$C$8,BQ$3=IF('Bonding Program'!$P$12&lt;&gt;"",'Bonding Program'!$P$12,'Bonding Program'!$C$8)),'Bonding Program'!$Z$12,0)+IF(AND('Bonding Program'!$P$12&lt;&gt;"",BQ$3='Bonding Program'!$P$12,BQ$3&lt;='Bonding Program'!$C$8),N('Bonding Program'!$O$12),0)</f>
        <v>0</v>
      </c>
      <c r="BR153" s="19" t="n">
        <f aca="false">IF(AND('Bonding Program'!$S$12=1,'Bonding Program'!$H$12&gt;'Bonding Program'!$C$8,BR$3='Bonding Program'!$H$12),'Bonding Program'!$T$12-'Bonding Program'!$U$12-'Bonding Program'!$Z$12,0)-IF(AND('Bonding Program'!$S$12=1,'Bonding Program'!$H$12&lt;='Bonding Program'!$C$8,BR$3=IF('Bonding Program'!$P$12&lt;&gt;"",'Bonding Program'!$P$12,'Bonding Program'!$C$8)),'Bonding Program'!$Z$12,0)+IF(AND('Bonding Program'!$P$12&lt;&gt;"",BR$3='Bonding Program'!$P$12,BR$3&lt;='Bonding Program'!$C$8),N('Bonding Program'!$O$12),0)</f>
        <v>0</v>
      </c>
      <c r="BS153" s="19" t="n">
        <f aca="false">IF(AND('Bonding Program'!$S$12=1,'Bonding Program'!$H$12&gt;'Bonding Program'!$C$8,BS$3='Bonding Program'!$H$12),'Bonding Program'!$T$12-'Bonding Program'!$U$12-'Bonding Program'!$Z$12,0)-IF(AND('Bonding Program'!$S$12=1,'Bonding Program'!$H$12&lt;='Bonding Program'!$C$8,BS$3=IF('Bonding Program'!$P$12&lt;&gt;"",'Bonding Program'!$P$12,'Bonding Program'!$C$8)),'Bonding Program'!$Z$12,0)+IF(AND('Bonding Program'!$P$12&lt;&gt;"",BS$3='Bonding Program'!$P$12,BS$3&lt;='Bonding Program'!$C$8),N('Bonding Program'!$O$12),0)</f>
        <v>0</v>
      </c>
      <c r="BT153" s="19" t="n">
        <f aca="false">IF(AND('Bonding Program'!$S$12=1,'Bonding Program'!$H$12&gt;'Bonding Program'!$C$8,BT$3='Bonding Program'!$H$12),'Bonding Program'!$T$12-'Bonding Program'!$U$12-'Bonding Program'!$Z$12,0)-IF(AND('Bonding Program'!$S$12=1,'Bonding Program'!$H$12&lt;='Bonding Program'!$C$8,BT$3=IF('Bonding Program'!$P$12&lt;&gt;"",'Bonding Program'!$P$12,'Bonding Program'!$C$8)),'Bonding Program'!$Z$12,0)+IF(AND('Bonding Program'!$P$12&lt;&gt;"",BT$3='Bonding Program'!$P$12,BT$3&lt;='Bonding Program'!$C$8),N('Bonding Program'!$O$12),0)</f>
        <v>0</v>
      </c>
      <c r="BU153" s="19" t="n">
        <f aca="false">IF(AND('Bonding Program'!$S$12=1,'Bonding Program'!$H$12&gt;'Bonding Program'!$C$8,BU$3='Bonding Program'!$H$12),'Bonding Program'!$T$12-'Bonding Program'!$U$12-'Bonding Program'!$Z$12,0)-IF(AND('Bonding Program'!$S$12=1,'Bonding Program'!$H$12&lt;='Bonding Program'!$C$8,BU$3=IF('Bonding Program'!$P$12&lt;&gt;"",'Bonding Program'!$P$12,'Bonding Program'!$C$8)),'Bonding Program'!$Z$12,0)+IF(AND('Bonding Program'!$P$12&lt;&gt;"",BU$3='Bonding Program'!$P$12,BU$3&lt;='Bonding Program'!$C$8),N('Bonding Program'!$O$12),0)</f>
        <v>0</v>
      </c>
      <c r="BV153" s="19" t="n">
        <f aca="false">IF(AND('Bonding Program'!$S$12=1,'Bonding Program'!$H$12&gt;'Bonding Program'!$C$8,BV$3='Bonding Program'!$H$12),'Bonding Program'!$T$12-'Bonding Program'!$U$12-'Bonding Program'!$Z$12,0)-IF(AND('Bonding Program'!$S$12=1,'Bonding Program'!$H$12&lt;='Bonding Program'!$C$8,BV$3=IF('Bonding Program'!$P$12&lt;&gt;"",'Bonding Program'!$P$12,'Bonding Program'!$C$8)),'Bonding Program'!$Z$12,0)+IF(AND('Bonding Program'!$P$12&lt;&gt;"",BV$3='Bonding Program'!$P$12,BV$3&lt;='Bonding Program'!$C$8),N('Bonding Program'!$O$12),0)</f>
        <v>0</v>
      </c>
      <c r="BW153" s="19" t="n">
        <f aca="false">IF(AND('Bonding Program'!$S$12=1,'Bonding Program'!$H$12&gt;'Bonding Program'!$C$8,BW$3='Bonding Program'!$H$12),'Bonding Program'!$T$12-'Bonding Program'!$U$12-'Bonding Program'!$Z$12,0)-IF(AND('Bonding Program'!$S$12=1,'Bonding Program'!$H$12&lt;='Bonding Program'!$C$8,BW$3=IF('Bonding Program'!$P$12&lt;&gt;"",'Bonding Program'!$P$12,'Bonding Program'!$C$8)),'Bonding Program'!$Z$12,0)+IF(AND('Bonding Program'!$P$12&lt;&gt;"",BW$3='Bonding Program'!$P$12,BW$3&lt;='Bonding Program'!$C$8),N('Bonding Program'!$O$12),0)</f>
        <v>0</v>
      </c>
      <c r="BX153" s="19" t="n">
        <f aca="false">IF(AND('Bonding Program'!$S$12=1,'Bonding Program'!$H$12&gt;'Bonding Program'!$C$8,BX$3='Bonding Program'!$H$12),'Bonding Program'!$T$12-'Bonding Program'!$U$12-'Bonding Program'!$Z$12,0)-IF(AND('Bonding Program'!$S$12=1,'Bonding Program'!$H$12&lt;='Bonding Program'!$C$8,BX$3=IF('Bonding Program'!$P$12&lt;&gt;"",'Bonding Program'!$P$12,'Bonding Program'!$C$8)),'Bonding Program'!$Z$12,0)+IF(AND('Bonding Program'!$P$12&lt;&gt;"",BX$3='Bonding Program'!$P$12,BX$3&lt;='Bonding Program'!$C$8),N('Bonding Program'!$O$12),0)</f>
        <v>0</v>
      </c>
      <c r="BY153" s="19" t="n">
        <f aca="false">IF(AND('Bonding Program'!$S$12=1,'Bonding Program'!$H$12&gt;'Bonding Program'!$C$8,BY$3='Bonding Program'!$H$12),'Bonding Program'!$T$12-'Bonding Program'!$U$12-'Bonding Program'!$Z$12,0)-IF(AND('Bonding Program'!$S$12=1,'Bonding Program'!$H$12&lt;='Bonding Program'!$C$8,BY$3=IF('Bonding Program'!$P$12&lt;&gt;"",'Bonding Program'!$P$12,'Bonding Program'!$C$8)),'Bonding Program'!$Z$12,0)+IF(AND('Bonding Program'!$P$12&lt;&gt;"",BY$3='Bonding Program'!$P$12,BY$3&lt;='Bonding Program'!$C$8),N('Bonding Program'!$O$12),0)</f>
        <v>0</v>
      </c>
      <c r="BZ153" s="19" t="n">
        <f aca="false">IF(AND('Bonding Program'!$S$12=1,'Bonding Program'!$H$12&gt;'Bonding Program'!$C$8,BZ$3='Bonding Program'!$H$12),'Bonding Program'!$T$12-'Bonding Program'!$U$12-'Bonding Program'!$Z$12,0)-IF(AND('Bonding Program'!$S$12=1,'Bonding Program'!$H$12&lt;='Bonding Program'!$C$8,BZ$3=IF('Bonding Program'!$P$12&lt;&gt;"",'Bonding Program'!$P$12,'Bonding Program'!$C$8)),'Bonding Program'!$Z$12,0)+IF(AND('Bonding Program'!$P$12&lt;&gt;"",BZ$3='Bonding Program'!$P$12,BZ$3&lt;='Bonding Program'!$C$8),N('Bonding Program'!$O$12),0)</f>
        <v>0</v>
      </c>
      <c r="CA153" s="19" t="n">
        <f aca="false">IF(AND('Bonding Program'!$S$12=1,'Bonding Program'!$H$12&gt;'Bonding Program'!$C$8,CA$3='Bonding Program'!$H$12),'Bonding Program'!$T$12-'Bonding Program'!$U$12-'Bonding Program'!$Z$12,0)-IF(AND('Bonding Program'!$S$12=1,'Bonding Program'!$H$12&lt;='Bonding Program'!$C$8,CA$3=IF('Bonding Program'!$P$12&lt;&gt;"",'Bonding Program'!$P$12,'Bonding Program'!$C$8)),'Bonding Program'!$Z$12,0)+IF(AND('Bonding Program'!$P$12&lt;&gt;"",CA$3='Bonding Program'!$P$12,CA$3&lt;='Bonding Program'!$C$8),N('Bonding Program'!$O$12),0)</f>
        <v>0</v>
      </c>
      <c r="CB153" s="19" t="n">
        <f aca="false">IF(AND('Bonding Program'!$S$12=1,'Bonding Program'!$H$12&gt;'Bonding Program'!$C$8,CB$3='Bonding Program'!$H$12),'Bonding Program'!$T$12-'Bonding Program'!$U$12-'Bonding Program'!$Z$12,0)-IF(AND('Bonding Program'!$S$12=1,'Bonding Program'!$H$12&lt;='Bonding Program'!$C$8,CB$3=IF('Bonding Program'!$P$12&lt;&gt;"",'Bonding Program'!$P$12,'Bonding Program'!$C$8)),'Bonding Program'!$Z$12,0)+IF(AND('Bonding Program'!$P$12&lt;&gt;"",CB$3='Bonding Program'!$P$12,CB$3&lt;='Bonding Program'!$C$8),N('Bonding Program'!$O$12),0)</f>
        <v>0</v>
      </c>
      <c r="CC153" s="19" t="n">
        <f aca="false">IF(AND('Bonding Program'!$S$12=1,'Bonding Program'!$H$12&gt;'Bonding Program'!$C$8,CC$3='Bonding Program'!$H$12),'Bonding Program'!$T$12-'Bonding Program'!$U$12-'Bonding Program'!$Z$12,0)-IF(AND('Bonding Program'!$S$12=1,'Bonding Program'!$H$12&lt;='Bonding Program'!$C$8,CC$3=IF('Bonding Program'!$P$12&lt;&gt;"",'Bonding Program'!$P$12,'Bonding Program'!$C$8)),'Bonding Program'!$Z$12,0)+IF(AND('Bonding Program'!$P$12&lt;&gt;"",CC$3='Bonding Program'!$P$12,CC$3&lt;='Bonding Program'!$C$8),N('Bonding Program'!$O$12),0)</f>
        <v>0</v>
      </c>
      <c r="CD153" s="19" t="n">
        <f aca="false">IF(AND('Bonding Program'!$S$12=1,'Bonding Program'!$H$12&gt;'Bonding Program'!$C$8,CD$3='Bonding Program'!$H$12),'Bonding Program'!$T$12-'Bonding Program'!$U$12-'Bonding Program'!$Z$12,0)-IF(AND('Bonding Program'!$S$12=1,'Bonding Program'!$H$12&lt;='Bonding Program'!$C$8,CD$3=IF('Bonding Program'!$P$12&lt;&gt;"",'Bonding Program'!$P$12,'Bonding Program'!$C$8)),'Bonding Program'!$Z$12,0)+IF(AND('Bonding Program'!$P$12&lt;&gt;"",CD$3='Bonding Program'!$P$12,CD$3&lt;='Bonding Program'!$C$8),N('Bonding Program'!$O$12),0)</f>
        <v>0</v>
      </c>
      <c r="CE153" s="19" t="n">
        <f aca="false">IF(AND('Bonding Program'!$S$12=1,'Bonding Program'!$H$12&gt;'Bonding Program'!$C$8,CE$3='Bonding Program'!$H$12),'Bonding Program'!$T$12-'Bonding Program'!$U$12-'Bonding Program'!$Z$12,0)-IF(AND('Bonding Program'!$S$12=1,'Bonding Program'!$H$12&lt;='Bonding Program'!$C$8,CE$3=IF('Bonding Program'!$P$12&lt;&gt;"",'Bonding Program'!$P$12,'Bonding Program'!$C$8)),'Bonding Program'!$Z$12,0)+IF(AND('Bonding Program'!$P$12&lt;&gt;"",CE$3='Bonding Program'!$P$12,CE$3&lt;='Bonding Program'!$C$8),N('Bonding Program'!$O$12),0)</f>
        <v>0</v>
      </c>
      <c r="CF153" s="19" t="n">
        <f aca="false">IF(AND('Bonding Program'!$S$12=1,'Bonding Program'!$H$12&gt;'Bonding Program'!$C$8,CF$3='Bonding Program'!$H$12),'Bonding Program'!$T$12-'Bonding Program'!$U$12-'Bonding Program'!$Z$12,0)-IF(AND('Bonding Program'!$S$12=1,'Bonding Program'!$H$12&lt;='Bonding Program'!$C$8,CF$3=IF('Bonding Program'!$P$12&lt;&gt;"",'Bonding Program'!$P$12,'Bonding Program'!$C$8)),'Bonding Program'!$Z$12,0)+IF(AND('Bonding Program'!$P$12&lt;&gt;"",CF$3='Bonding Program'!$P$12,CF$3&lt;='Bonding Program'!$C$8),N('Bonding Program'!$O$12),0)</f>
        <v>0</v>
      </c>
      <c r="CG153" s="19" t="n">
        <f aca="false">IF(AND('Bonding Program'!$S$12=1,'Bonding Program'!$H$12&gt;'Bonding Program'!$C$8,CG$3='Bonding Program'!$H$12),'Bonding Program'!$T$12-'Bonding Program'!$U$12-'Bonding Program'!$Z$12,0)-IF(AND('Bonding Program'!$S$12=1,'Bonding Program'!$H$12&lt;='Bonding Program'!$C$8,CG$3=IF('Bonding Program'!$P$12&lt;&gt;"",'Bonding Program'!$P$12,'Bonding Program'!$C$8)),'Bonding Program'!$Z$12,0)+IF(AND('Bonding Program'!$P$12&lt;&gt;"",CG$3='Bonding Program'!$P$12,CG$3&lt;='Bonding Program'!$C$8),N('Bonding Program'!$O$12),0)</f>
        <v>0</v>
      </c>
      <c r="CH153" s="19" t="n">
        <f aca="false">IF(AND('Bonding Program'!$S$12=1,'Bonding Program'!$H$12&gt;'Bonding Program'!$C$8,CH$3='Bonding Program'!$H$12),'Bonding Program'!$T$12-'Bonding Program'!$U$12-'Bonding Program'!$Z$12,0)-IF(AND('Bonding Program'!$S$12=1,'Bonding Program'!$H$12&lt;='Bonding Program'!$C$8,CH$3=IF('Bonding Program'!$P$12&lt;&gt;"",'Bonding Program'!$P$12,'Bonding Program'!$C$8)),'Bonding Program'!$Z$12,0)+IF(AND('Bonding Program'!$P$12&lt;&gt;"",CH$3='Bonding Program'!$P$12,CH$3&lt;='Bonding Program'!$C$8),N('Bonding Program'!$O$12),0)</f>
        <v>0</v>
      </c>
      <c r="CI153" s="19" t="n">
        <f aca="false">IF(AND('Bonding Program'!$S$12=1,'Bonding Program'!$H$12&gt;'Bonding Program'!$C$8,CI$3='Bonding Program'!$H$12),'Bonding Program'!$T$12-'Bonding Program'!$U$12-'Bonding Program'!$Z$12,0)-IF(AND('Bonding Program'!$S$12=1,'Bonding Program'!$H$12&lt;='Bonding Program'!$C$8,CI$3=IF('Bonding Program'!$P$12&lt;&gt;"",'Bonding Program'!$P$12,'Bonding Program'!$C$8)),'Bonding Program'!$Z$12,0)+IF(AND('Bonding Program'!$P$12&lt;&gt;"",CI$3='Bonding Program'!$P$12,CI$3&lt;='Bonding Program'!$C$8),N('Bonding Program'!$O$12),0)</f>
        <v>0</v>
      </c>
      <c r="CJ153" s="19" t="n">
        <f aca="false">IF(AND('Bonding Program'!$S$12=1,'Bonding Program'!$H$12&gt;'Bonding Program'!$C$8,CJ$3='Bonding Program'!$H$12),'Bonding Program'!$T$12-'Bonding Program'!$U$12-'Bonding Program'!$Z$12,0)-IF(AND('Bonding Program'!$S$12=1,'Bonding Program'!$H$12&lt;='Bonding Program'!$C$8,CJ$3=IF('Bonding Program'!$P$12&lt;&gt;"",'Bonding Program'!$P$12,'Bonding Program'!$C$8)),'Bonding Program'!$Z$12,0)+IF(AND('Bonding Program'!$P$12&lt;&gt;"",CJ$3='Bonding Program'!$P$12,CJ$3&lt;='Bonding Program'!$C$8),N('Bonding Program'!$O$12),0)</f>
        <v>0</v>
      </c>
      <c r="CK153" s="19" t="n">
        <f aca="false">IF(AND('Bonding Program'!$S$12=1,'Bonding Program'!$H$12&gt;'Bonding Program'!$C$8,CK$3='Bonding Program'!$H$12),'Bonding Program'!$T$12-'Bonding Program'!$U$12-'Bonding Program'!$Z$12,0)-IF(AND('Bonding Program'!$S$12=1,'Bonding Program'!$H$12&lt;='Bonding Program'!$C$8,CK$3=IF('Bonding Program'!$P$12&lt;&gt;"",'Bonding Program'!$P$12,'Bonding Program'!$C$8)),'Bonding Program'!$Z$12,0)+IF(AND('Bonding Program'!$P$12&lt;&gt;"",CK$3='Bonding Program'!$P$12,CK$3&lt;='Bonding Program'!$C$8),N('Bonding Program'!$O$12),0)</f>
        <v>0</v>
      </c>
      <c r="CL153" s="19" t="n">
        <f aca="false">IF(AND('Bonding Program'!$S$12=1,'Bonding Program'!$H$12&gt;'Bonding Program'!$C$8,CL$3='Bonding Program'!$H$12),'Bonding Program'!$T$12-'Bonding Program'!$U$12-'Bonding Program'!$Z$12,0)-IF(AND('Bonding Program'!$S$12=1,'Bonding Program'!$H$12&lt;='Bonding Program'!$C$8,CL$3=IF('Bonding Program'!$P$12&lt;&gt;"",'Bonding Program'!$P$12,'Bonding Program'!$C$8)),'Bonding Program'!$Z$12,0)+IF(AND('Bonding Program'!$P$12&lt;&gt;"",CL$3='Bonding Program'!$P$12,CL$3&lt;='Bonding Program'!$C$8),N('Bonding Program'!$O$12),0)</f>
        <v>0</v>
      </c>
      <c r="CM153" s="19" t="n">
        <f aca="false">IF(AND('Bonding Program'!$S$12=1,'Bonding Program'!$H$12&gt;'Bonding Program'!$C$8,CM$3='Bonding Program'!$H$12),'Bonding Program'!$T$12-'Bonding Program'!$U$12-'Bonding Program'!$Z$12,0)-IF(AND('Bonding Program'!$S$12=1,'Bonding Program'!$H$12&lt;='Bonding Program'!$C$8,CM$3=IF('Bonding Program'!$P$12&lt;&gt;"",'Bonding Program'!$P$12,'Bonding Program'!$C$8)),'Bonding Program'!$Z$12,0)+IF(AND('Bonding Program'!$P$12&lt;&gt;"",CM$3='Bonding Program'!$P$12,CM$3&lt;='Bonding Program'!$C$8),N('Bonding Program'!$O$12),0)</f>
        <v>0</v>
      </c>
      <c r="CN153" s="19" t="n">
        <f aca="false">IF(AND('Bonding Program'!$S$12=1,'Bonding Program'!$H$12&gt;'Bonding Program'!$C$8,CN$3='Bonding Program'!$H$12),'Bonding Program'!$T$12-'Bonding Program'!$U$12-'Bonding Program'!$Z$12,0)-IF(AND('Bonding Program'!$S$12=1,'Bonding Program'!$H$12&lt;='Bonding Program'!$C$8,CN$3=IF('Bonding Program'!$P$12&lt;&gt;"",'Bonding Program'!$P$12,'Bonding Program'!$C$8)),'Bonding Program'!$Z$12,0)+IF(AND('Bonding Program'!$P$12&lt;&gt;"",CN$3='Bonding Program'!$P$12,CN$3&lt;='Bonding Program'!$C$8),N('Bonding Program'!$O$12),0)</f>
        <v>0</v>
      </c>
      <c r="CO153" s="19" t="n">
        <f aca="false">IF(AND('Bonding Program'!$S$12=1,'Bonding Program'!$H$12&gt;'Bonding Program'!$C$8,CO$3='Bonding Program'!$H$12),'Bonding Program'!$T$12-'Bonding Program'!$U$12-'Bonding Program'!$Z$12,0)-IF(AND('Bonding Program'!$S$12=1,'Bonding Program'!$H$12&lt;='Bonding Program'!$C$8,CO$3=IF('Bonding Program'!$P$12&lt;&gt;"",'Bonding Program'!$P$12,'Bonding Program'!$C$8)),'Bonding Program'!$Z$12,0)+IF(AND('Bonding Program'!$P$12&lt;&gt;"",CO$3='Bonding Program'!$P$12,CO$3&lt;='Bonding Program'!$C$8),N('Bonding Program'!$O$12),0)</f>
        <v>0</v>
      </c>
      <c r="CP153" s="19" t="n">
        <f aca="false">IF(AND('Bonding Program'!$S$12=1,'Bonding Program'!$H$12&gt;'Bonding Program'!$C$8,CP$3='Bonding Program'!$H$12),'Bonding Program'!$T$12-'Bonding Program'!$U$12-'Bonding Program'!$Z$12,0)-IF(AND('Bonding Program'!$S$12=1,'Bonding Program'!$H$12&lt;='Bonding Program'!$C$8,CP$3=IF('Bonding Program'!$P$12&lt;&gt;"",'Bonding Program'!$P$12,'Bonding Program'!$C$8)),'Bonding Program'!$Z$12,0)+IF(AND('Bonding Program'!$P$12&lt;&gt;"",CP$3='Bonding Program'!$P$12,CP$3&lt;='Bonding Program'!$C$8),N('Bonding Program'!$O$12),0)</f>
        <v>0</v>
      </c>
      <c r="CQ153" s="19" t="n">
        <f aca="false">IF(AND('Bonding Program'!$S$12=1,'Bonding Program'!$H$12&gt;'Bonding Program'!$C$8,CQ$3='Bonding Program'!$H$12),'Bonding Program'!$T$12-'Bonding Program'!$U$12-'Bonding Program'!$Z$12,0)-IF(AND('Bonding Program'!$S$12=1,'Bonding Program'!$H$12&lt;='Bonding Program'!$C$8,CQ$3=IF('Bonding Program'!$P$12&lt;&gt;"",'Bonding Program'!$P$12,'Bonding Program'!$C$8)),'Bonding Program'!$Z$12,0)+IF(AND('Bonding Program'!$P$12&lt;&gt;"",CQ$3='Bonding Program'!$P$12,CQ$3&lt;='Bonding Program'!$C$8),N('Bonding Program'!$O$12),0)</f>
        <v>0</v>
      </c>
      <c r="CR153" s="19" t="n">
        <f aca="false">IF(AND('Bonding Program'!$S$12=1,'Bonding Program'!$H$12&gt;'Bonding Program'!$C$8,CR$3='Bonding Program'!$H$12),'Bonding Program'!$T$12-'Bonding Program'!$U$12-'Bonding Program'!$Z$12,0)-IF(AND('Bonding Program'!$S$12=1,'Bonding Program'!$H$12&lt;='Bonding Program'!$C$8,CR$3=IF('Bonding Program'!$P$12&lt;&gt;"",'Bonding Program'!$P$12,'Bonding Program'!$C$8)),'Bonding Program'!$Z$12,0)+IF(AND('Bonding Program'!$P$12&lt;&gt;"",CR$3='Bonding Program'!$P$12,CR$3&lt;='Bonding Program'!$C$8),N('Bonding Program'!$O$12),0)</f>
        <v>0</v>
      </c>
      <c r="CS153" s="19" t="n">
        <f aca="false">IF(AND('Bonding Program'!$S$12=1,'Bonding Program'!$H$12&gt;'Bonding Program'!$C$8,CS$3='Bonding Program'!$H$12),'Bonding Program'!$T$12-'Bonding Program'!$U$12-'Bonding Program'!$Z$12,0)-IF(AND('Bonding Program'!$S$12=1,'Bonding Program'!$H$12&lt;='Bonding Program'!$C$8,CS$3=IF('Bonding Program'!$P$12&lt;&gt;"",'Bonding Program'!$P$12,'Bonding Program'!$C$8)),'Bonding Program'!$Z$12,0)+IF(AND('Bonding Program'!$P$12&lt;&gt;"",CS$3='Bonding Program'!$P$12,CS$3&lt;='Bonding Program'!$C$8),N('Bonding Program'!$O$12),0)</f>
        <v>0</v>
      </c>
      <c r="CT153" s="19" t="n">
        <f aca="false">IF(AND('Bonding Program'!$S$12=1,'Bonding Program'!$H$12&gt;'Bonding Program'!$C$8,CT$3='Bonding Program'!$H$12),'Bonding Program'!$T$12-'Bonding Program'!$U$12-'Bonding Program'!$Z$12,0)-IF(AND('Bonding Program'!$S$12=1,'Bonding Program'!$H$12&lt;='Bonding Program'!$C$8,CT$3=IF('Bonding Program'!$P$12&lt;&gt;"",'Bonding Program'!$P$12,'Bonding Program'!$C$8)),'Bonding Program'!$Z$12,0)+IF(AND('Bonding Program'!$P$12&lt;&gt;"",CT$3='Bonding Program'!$P$12,CT$3&lt;='Bonding Program'!$C$8),N('Bonding Program'!$O$12),0)</f>
        <v>0</v>
      </c>
      <c r="CU153" s="19" t="n">
        <f aca="false">IF(AND('Bonding Program'!$S$12=1,'Bonding Program'!$H$12&gt;'Bonding Program'!$C$8,CU$3='Bonding Program'!$H$12),'Bonding Program'!$T$12-'Bonding Program'!$U$12-'Bonding Program'!$Z$12,0)-IF(AND('Bonding Program'!$S$12=1,'Bonding Program'!$H$12&lt;='Bonding Program'!$C$8,CU$3=IF('Bonding Program'!$P$12&lt;&gt;"",'Bonding Program'!$P$12,'Bonding Program'!$C$8)),'Bonding Program'!$Z$12,0)+IF(AND('Bonding Program'!$P$12&lt;&gt;"",CU$3='Bonding Program'!$P$12,CU$3&lt;='Bonding Program'!$C$8),N('Bonding Program'!$O$12),0)</f>
        <v>0</v>
      </c>
      <c r="CV153" s="19" t="n">
        <f aca="false">IF(AND('Bonding Program'!$S$12=1,'Bonding Program'!$H$12&gt;'Bonding Program'!$C$8,CV$3='Bonding Program'!$H$12),'Bonding Program'!$T$12-'Bonding Program'!$U$12-'Bonding Program'!$Z$12,0)-IF(AND('Bonding Program'!$S$12=1,'Bonding Program'!$H$12&lt;='Bonding Program'!$C$8,CV$3=IF('Bonding Program'!$P$12&lt;&gt;"",'Bonding Program'!$P$12,'Bonding Program'!$C$8)),'Bonding Program'!$Z$12,0)+IF(AND('Bonding Program'!$P$12&lt;&gt;"",CV$3='Bonding Program'!$P$12,CV$3&lt;='Bonding Program'!$C$8),N('Bonding Program'!$O$12),0)</f>
        <v>0</v>
      </c>
      <c r="CW153" s="19" t="n">
        <f aca="false">IF(AND('Bonding Program'!$S$12=1,'Bonding Program'!$H$12&gt;'Bonding Program'!$C$8,CW$3='Bonding Program'!$H$12),'Bonding Program'!$T$12-'Bonding Program'!$U$12-'Bonding Program'!$Z$12,0)-IF(AND('Bonding Program'!$S$12=1,'Bonding Program'!$H$12&lt;='Bonding Program'!$C$8,CW$3=IF('Bonding Program'!$P$12&lt;&gt;"",'Bonding Program'!$P$12,'Bonding Program'!$C$8)),'Bonding Program'!$Z$12,0)+IF(AND('Bonding Program'!$P$12&lt;&gt;"",CW$3='Bonding Program'!$P$12,CW$3&lt;='Bonding Program'!$C$8),N('Bonding Program'!$O$12),0)</f>
        <v>0</v>
      </c>
      <c r="CX153" s="19" t="n">
        <f aca="false">IF(AND('Bonding Program'!$S$12=1,'Bonding Program'!$H$12&gt;'Bonding Program'!$C$8,CX$3='Bonding Program'!$H$12),'Bonding Program'!$T$12-'Bonding Program'!$U$12-'Bonding Program'!$Z$12,0)-IF(AND('Bonding Program'!$S$12=1,'Bonding Program'!$H$12&lt;='Bonding Program'!$C$8,CX$3=IF('Bonding Program'!$P$12&lt;&gt;"",'Bonding Program'!$P$12,'Bonding Program'!$C$8)),'Bonding Program'!$Z$12,0)+IF(AND('Bonding Program'!$P$12&lt;&gt;"",CX$3='Bonding Program'!$P$12,CX$3&lt;='Bonding Program'!$C$8),N('Bonding Program'!$O$12),0)</f>
        <v>0</v>
      </c>
      <c r="CY153" s="19" t="n">
        <f aca="false">IF(AND('Bonding Program'!$S$12=1,'Bonding Program'!$H$12&gt;'Bonding Program'!$C$8,CY$3='Bonding Program'!$H$12),'Bonding Program'!$T$12-'Bonding Program'!$U$12-'Bonding Program'!$Z$12,0)-IF(AND('Bonding Program'!$S$12=1,'Bonding Program'!$H$12&lt;='Bonding Program'!$C$8,CY$3=IF('Bonding Program'!$P$12&lt;&gt;"",'Bonding Program'!$P$12,'Bonding Program'!$C$8)),'Bonding Program'!$Z$12,0)+IF(AND('Bonding Program'!$P$12&lt;&gt;"",CY$3='Bonding Program'!$P$12,CY$3&lt;='Bonding Program'!$C$8),N('Bonding Program'!$O$12),0)</f>
        <v>0</v>
      </c>
      <c r="CZ153" s="19" t="n">
        <f aca="false">IF(AND('Bonding Program'!$S$12=1,'Bonding Program'!$H$12&gt;'Bonding Program'!$C$8,CZ$3='Bonding Program'!$H$12),'Bonding Program'!$T$12-'Bonding Program'!$U$12-'Bonding Program'!$Z$12,0)-IF(AND('Bonding Program'!$S$12=1,'Bonding Program'!$H$12&lt;='Bonding Program'!$C$8,CZ$3=IF('Bonding Program'!$P$12&lt;&gt;"",'Bonding Program'!$P$12,'Bonding Program'!$C$8)),'Bonding Program'!$Z$12,0)+IF(AND('Bonding Program'!$P$12&lt;&gt;"",CZ$3='Bonding Program'!$P$12,CZ$3&lt;='Bonding Program'!$C$8),N('Bonding Program'!$O$12),0)</f>
        <v>0</v>
      </c>
      <c r="DA153" s="19" t="n">
        <f aca="false">IF(AND('Bonding Program'!$S$12=1,'Bonding Program'!$H$12&gt;'Bonding Program'!$C$8,DA$3='Bonding Program'!$H$12),'Bonding Program'!$T$12-'Bonding Program'!$U$12-'Bonding Program'!$Z$12,0)-IF(AND('Bonding Program'!$S$12=1,'Bonding Program'!$H$12&lt;='Bonding Program'!$C$8,DA$3=IF('Bonding Program'!$P$12&lt;&gt;"",'Bonding Program'!$P$12,'Bonding Program'!$C$8)),'Bonding Program'!$Z$12,0)+IF(AND('Bonding Program'!$P$12&lt;&gt;"",DA$3='Bonding Program'!$P$12,DA$3&lt;='Bonding Program'!$C$8),N('Bonding Program'!$O$12),0)</f>
        <v>0</v>
      </c>
      <c r="DB153" s="19" t="n">
        <f aca="false">IF(AND('Bonding Program'!$S$12=1,'Bonding Program'!$H$12&gt;'Bonding Program'!$C$8,DB$3='Bonding Program'!$H$12),'Bonding Program'!$T$12-'Bonding Program'!$U$12-'Bonding Program'!$Z$12,0)-IF(AND('Bonding Program'!$S$12=1,'Bonding Program'!$H$12&lt;='Bonding Program'!$C$8,DB$3=IF('Bonding Program'!$P$12&lt;&gt;"",'Bonding Program'!$P$12,'Bonding Program'!$C$8)),'Bonding Program'!$Z$12,0)+IF(AND('Bonding Program'!$P$12&lt;&gt;"",DB$3='Bonding Program'!$P$12,DB$3&lt;='Bonding Program'!$C$8),N('Bonding Program'!$O$12),0)</f>
        <v>0</v>
      </c>
      <c r="DC153" s="19" t="n">
        <f aca="false">IF(AND('Bonding Program'!$S$12=1,'Bonding Program'!$H$12&gt;'Bonding Program'!$C$8,DC$3='Bonding Program'!$H$12),'Bonding Program'!$T$12-'Bonding Program'!$U$12-'Bonding Program'!$Z$12,0)-IF(AND('Bonding Program'!$S$12=1,'Bonding Program'!$H$12&lt;='Bonding Program'!$C$8,DC$3=IF('Bonding Program'!$P$12&lt;&gt;"",'Bonding Program'!$P$12,'Bonding Program'!$C$8)),'Bonding Program'!$Z$12,0)+IF(AND('Bonding Program'!$P$12&lt;&gt;"",DC$3='Bonding Program'!$P$12,DC$3&lt;='Bonding Program'!$C$8),N('Bonding Program'!$O$12),0)</f>
        <v>0</v>
      </c>
      <c r="DD153" s="19" t="n">
        <f aca="false">IF(AND('Bonding Program'!$S$12=1,'Bonding Program'!$H$12&gt;'Bonding Program'!$C$8,DD$3='Bonding Program'!$H$12),'Bonding Program'!$T$12-'Bonding Program'!$U$12-'Bonding Program'!$Z$12,0)-IF(AND('Bonding Program'!$S$12=1,'Bonding Program'!$H$12&lt;='Bonding Program'!$C$8,DD$3=IF('Bonding Program'!$P$12&lt;&gt;"",'Bonding Program'!$P$12,'Bonding Program'!$C$8)),'Bonding Program'!$Z$12,0)+IF(AND('Bonding Program'!$P$12&lt;&gt;"",DD$3='Bonding Program'!$P$12,DD$3&lt;='Bonding Program'!$C$8),N('Bonding Program'!$O$12),0)</f>
        <v>0</v>
      </c>
      <c r="DE153" s="19" t="n">
        <f aca="false">IF(AND('Bonding Program'!$S$12=1,'Bonding Program'!$H$12&gt;'Bonding Program'!$C$8,DE$3='Bonding Program'!$H$12),'Bonding Program'!$T$12-'Bonding Program'!$U$12-'Bonding Program'!$Z$12,0)-IF(AND('Bonding Program'!$S$12=1,'Bonding Program'!$H$12&lt;='Bonding Program'!$C$8,DE$3=IF('Bonding Program'!$P$12&lt;&gt;"",'Bonding Program'!$P$12,'Bonding Program'!$C$8)),'Bonding Program'!$Z$12,0)+IF(AND('Bonding Program'!$P$12&lt;&gt;"",DE$3='Bonding Program'!$P$12,DE$3&lt;='Bonding Program'!$C$8),N('Bonding Program'!$O$12),0)</f>
        <v>0</v>
      </c>
    </row>
    <row r="154" customFormat="false" ht="15" hidden="false" customHeight="true" outlineLevel="1" collapsed="false">
      <c r="A154" s="28" t="s">
        <v>9</v>
      </c>
      <c r="B154" s="19" t="n">
        <f aca="false">IF(AND('Bonding Program'!$S$13=1,'Bonding Program'!$H$13&gt;'Bonding Program'!$C$8,B$3='Bonding Program'!$H$13),'Bonding Program'!$T$13-'Bonding Program'!$U$13-'Bonding Program'!$Z$13,0)-IF(AND('Bonding Program'!$S$13=1,'Bonding Program'!$H$13&lt;='Bonding Program'!$C$8,B$3=IF('Bonding Program'!$P$13&lt;&gt;"",'Bonding Program'!$P$13,'Bonding Program'!$C$8)),'Bonding Program'!$Z$13,0)+IF(AND('Bonding Program'!$P$13&lt;&gt;"",B$3='Bonding Program'!$P$13,B$3&lt;='Bonding Program'!$C$8),N('Bonding Program'!$O$13),0)</f>
        <v>0</v>
      </c>
      <c r="C154" s="19" t="n">
        <f aca="false">IF(AND('Bonding Program'!$S$13=1,'Bonding Program'!$H$13&gt;'Bonding Program'!$C$8,C$3='Bonding Program'!$H$13),'Bonding Program'!$T$13-'Bonding Program'!$U$13-'Bonding Program'!$Z$13,0)-IF(AND('Bonding Program'!$S$13=1,'Bonding Program'!$H$13&lt;='Bonding Program'!$C$8,C$3=IF('Bonding Program'!$P$13&lt;&gt;"",'Bonding Program'!$P$13,'Bonding Program'!$C$8)),'Bonding Program'!$Z$13,0)+IF(AND('Bonding Program'!$P$13&lt;&gt;"",C$3='Bonding Program'!$P$13,C$3&lt;='Bonding Program'!$C$8),N('Bonding Program'!$O$13),0)</f>
        <v>0</v>
      </c>
      <c r="D154" s="19" t="n">
        <f aca="false">IF(AND('Bonding Program'!$S$13=1,'Bonding Program'!$H$13&gt;'Bonding Program'!$C$8,D$3='Bonding Program'!$H$13),'Bonding Program'!$T$13-'Bonding Program'!$U$13-'Bonding Program'!$Z$13,0)-IF(AND('Bonding Program'!$S$13=1,'Bonding Program'!$H$13&lt;='Bonding Program'!$C$8,D$3=IF('Bonding Program'!$P$13&lt;&gt;"",'Bonding Program'!$P$13,'Bonding Program'!$C$8)),'Bonding Program'!$Z$13,0)+IF(AND('Bonding Program'!$P$13&lt;&gt;"",D$3='Bonding Program'!$P$13,D$3&lt;='Bonding Program'!$C$8),N('Bonding Program'!$O$13),0)</f>
        <v>0</v>
      </c>
      <c r="E154" s="19" t="n">
        <f aca="false">IF(AND('Bonding Program'!$S$13=1,'Bonding Program'!$H$13&gt;'Bonding Program'!$C$8,E$3='Bonding Program'!$H$13),'Bonding Program'!$T$13-'Bonding Program'!$U$13-'Bonding Program'!$Z$13,0)-IF(AND('Bonding Program'!$S$13=1,'Bonding Program'!$H$13&lt;='Bonding Program'!$C$8,E$3=IF('Bonding Program'!$P$13&lt;&gt;"",'Bonding Program'!$P$13,'Bonding Program'!$C$8)),'Bonding Program'!$Z$13,0)+IF(AND('Bonding Program'!$P$13&lt;&gt;"",E$3='Bonding Program'!$P$13,E$3&lt;='Bonding Program'!$C$8),N('Bonding Program'!$O$13),0)</f>
        <v>0</v>
      </c>
      <c r="F154" s="19" t="n">
        <f aca="false">IF(AND('Bonding Program'!$S$13=1,'Bonding Program'!$H$13&gt;'Bonding Program'!$C$8,F$3='Bonding Program'!$H$13),'Bonding Program'!$T$13-'Bonding Program'!$U$13-'Bonding Program'!$Z$13,0)-IF(AND('Bonding Program'!$S$13=1,'Bonding Program'!$H$13&lt;='Bonding Program'!$C$8,F$3=IF('Bonding Program'!$P$13&lt;&gt;"",'Bonding Program'!$P$13,'Bonding Program'!$C$8)),'Bonding Program'!$Z$13,0)+IF(AND('Bonding Program'!$P$13&lt;&gt;"",F$3='Bonding Program'!$P$13,F$3&lt;='Bonding Program'!$C$8),N('Bonding Program'!$O$13),0)</f>
        <v>0</v>
      </c>
      <c r="G154" s="19" t="n">
        <f aca="false">IF(AND('Bonding Program'!$S$13=1,'Bonding Program'!$H$13&gt;'Bonding Program'!$C$8,G$3='Bonding Program'!$H$13),'Bonding Program'!$T$13-'Bonding Program'!$U$13-'Bonding Program'!$Z$13,0)-IF(AND('Bonding Program'!$S$13=1,'Bonding Program'!$H$13&lt;='Bonding Program'!$C$8,G$3=IF('Bonding Program'!$P$13&lt;&gt;"",'Bonding Program'!$P$13,'Bonding Program'!$C$8)),'Bonding Program'!$Z$13,0)+IF(AND('Bonding Program'!$P$13&lt;&gt;"",G$3='Bonding Program'!$P$13,G$3&lt;='Bonding Program'!$C$8),N('Bonding Program'!$O$13),0)</f>
        <v>0</v>
      </c>
      <c r="H154" s="19" t="n">
        <f aca="false">IF(AND('Bonding Program'!$S$13=1,'Bonding Program'!$H$13&gt;'Bonding Program'!$C$8,H$3='Bonding Program'!$H$13),'Bonding Program'!$T$13-'Bonding Program'!$U$13-'Bonding Program'!$Z$13,0)-IF(AND('Bonding Program'!$S$13=1,'Bonding Program'!$H$13&lt;='Bonding Program'!$C$8,H$3=IF('Bonding Program'!$P$13&lt;&gt;"",'Bonding Program'!$P$13,'Bonding Program'!$C$8)),'Bonding Program'!$Z$13,0)+IF(AND('Bonding Program'!$P$13&lt;&gt;"",H$3='Bonding Program'!$P$13,H$3&lt;='Bonding Program'!$C$8),N('Bonding Program'!$O$13),0)</f>
        <v>0</v>
      </c>
      <c r="I154" s="19" t="n">
        <f aca="false">IF(AND('Bonding Program'!$S$13=1,'Bonding Program'!$H$13&gt;'Bonding Program'!$C$8,I$3='Bonding Program'!$H$13),'Bonding Program'!$T$13-'Bonding Program'!$U$13-'Bonding Program'!$Z$13,0)-IF(AND('Bonding Program'!$S$13=1,'Bonding Program'!$H$13&lt;='Bonding Program'!$C$8,I$3=IF('Bonding Program'!$P$13&lt;&gt;"",'Bonding Program'!$P$13,'Bonding Program'!$C$8)),'Bonding Program'!$Z$13,0)+IF(AND('Bonding Program'!$P$13&lt;&gt;"",I$3='Bonding Program'!$P$13,I$3&lt;='Bonding Program'!$C$8),N('Bonding Program'!$O$13),0)</f>
        <v>0</v>
      </c>
      <c r="J154" s="19" t="n">
        <f aca="false">IF(AND('Bonding Program'!$S$13=1,'Bonding Program'!$H$13&gt;'Bonding Program'!$C$8,J$3='Bonding Program'!$H$13),'Bonding Program'!$T$13-'Bonding Program'!$U$13-'Bonding Program'!$Z$13,0)-IF(AND('Bonding Program'!$S$13=1,'Bonding Program'!$H$13&lt;='Bonding Program'!$C$8,J$3=IF('Bonding Program'!$P$13&lt;&gt;"",'Bonding Program'!$P$13,'Bonding Program'!$C$8)),'Bonding Program'!$Z$13,0)+IF(AND('Bonding Program'!$P$13&lt;&gt;"",J$3='Bonding Program'!$P$13,J$3&lt;='Bonding Program'!$C$8),N('Bonding Program'!$O$13),0)</f>
        <v>0</v>
      </c>
      <c r="K154" s="19" t="n">
        <f aca="false">IF(AND('Bonding Program'!$S$13=1,'Bonding Program'!$H$13&gt;'Bonding Program'!$C$8,K$3='Bonding Program'!$H$13),'Bonding Program'!$T$13-'Bonding Program'!$U$13-'Bonding Program'!$Z$13,0)-IF(AND('Bonding Program'!$S$13=1,'Bonding Program'!$H$13&lt;='Bonding Program'!$C$8,K$3=IF('Bonding Program'!$P$13&lt;&gt;"",'Bonding Program'!$P$13,'Bonding Program'!$C$8)),'Bonding Program'!$Z$13,0)+IF(AND('Bonding Program'!$P$13&lt;&gt;"",K$3='Bonding Program'!$P$13,K$3&lt;='Bonding Program'!$C$8),N('Bonding Program'!$O$13),0)</f>
        <v>0</v>
      </c>
      <c r="L154" s="19" t="n">
        <f aca="false">IF(AND('Bonding Program'!$S$13=1,'Bonding Program'!$H$13&gt;'Bonding Program'!$C$8,L$3='Bonding Program'!$H$13),'Bonding Program'!$T$13-'Bonding Program'!$U$13-'Bonding Program'!$Z$13,0)-IF(AND('Bonding Program'!$S$13=1,'Bonding Program'!$H$13&lt;='Bonding Program'!$C$8,L$3=IF('Bonding Program'!$P$13&lt;&gt;"",'Bonding Program'!$P$13,'Bonding Program'!$C$8)),'Bonding Program'!$Z$13,0)+IF(AND('Bonding Program'!$P$13&lt;&gt;"",L$3='Bonding Program'!$P$13,L$3&lt;='Bonding Program'!$C$8),N('Bonding Program'!$O$13),0)</f>
        <v>0</v>
      </c>
      <c r="M154" s="19" t="n">
        <f aca="false">IF(AND('Bonding Program'!$S$13=1,'Bonding Program'!$H$13&gt;'Bonding Program'!$C$8,M$3='Bonding Program'!$H$13),'Bonding Program'!$T$13-'Bonding Program'!$U$13-'Bonding Program'!$Z$13,0)-IF(AND('Bonding Program'!$S$13=1,'Bonding Program'!$H$13&lt;='Bonding Program'!$C$8,M$3=IF('Bonding Program'!$P$13&lt;&gt;"",'Bonding Program'!$P$13,'Bonding Program'!$C$8)),'Bonding Program'!$Z$13,0)+IF(AND('Bonding Program'!$P$13&lt;&gt;"",M$3='Bonding Program'!$P$13,M$3&lt;='Bonding Program'!$C$8),N('Bonding Program'!$O$13),0)</f>
        <v>0</v>
      </c>
      <c r="N154" s="19" t="n">
        <f aca="false">IF(AND('Bonding Program'!$S$13=1,'Bonding Program'!$H$13&gt;'Bonding Program'!$C$8,N$3='Bonding Program'!$H$13),'Bonding Program'!$T$13-'Bonding Program'!$U$13-'Bonding Program'!$Z$13,0)-IF(AND('Bonding Program'!$S$13=1,'Bonding Program'!$H$13&lt;='Bonding Program'!$C$8,N$3=IF('Bonding Program'!$P$13&lt;&gt;"",'Bonding Program'!$P$13,'Bonding Program'!$C$8)),'Bonding Program'!$Z$13,0)+IF(AND('Bonding Program'!$P$13&lt;&gt;"",N$3='Bonding Program'!$P$13,N$3&lt;='Bonding Program'!$C$8),N('Bonding Program'!$O$13),0)</f>
        <v>0</v>
      </c>
      <c r="O154" s="19" t="n">
        <f aca="false">IF(AND('Bonding Program'!$S$13=1,'Bonding Program'!$H$13&gt;'Bonding Program'!$C$8,O$3='Bonding Program'!$H$13),'Bonding Program'!$T$13-'Bonding Program'!$U$13-'Bonding Program'!$Z$13,0)-IF(AND('Bonding Program'!$S$13=1,'Bonding Program'!$H$13&lt;='Bonding Program'!$C$8,O$3=IF('Bonding Program'!$P$13&lt;&gt;"",'Bonding Program'!$P$13,'Bonding Program'!$C$8)),'Bonding Program'!$Z$13,0)+IF(AND('Bonding Program'!$P$13&lt;&gt;"",O$3='Bonding Program'!$P$13,O$3&lt;='Bonding Program'!$C$8),N('Bonding Program'!$O$13),0)</f>
        <v>0</v>
      </c>
      <c r="P154" s="19" t="n">
        <f aca="false">IF(AND('Bonding Program'!$S$13=1,'Bonding Program'!$H$13&gt;'Bonding Program'!$C$8,P$3='Bonding Program'!$H$13),'Bonding Program'!$T$13-'Bonding Program'!$U$13-'Bonding Program'!$Z$13,0)-IF(AND('Bonding Program'!$S$13=1,'Bonding Program'!$H$13&lt;='Bonding Program'!$C$8,P$3=IF('Bonding Program'!$P$13&lt;&gt;"",'Bonding Program'!$P$13,'Bonding Program'!$C$8)),'Bonding Program'!$Z$13,0)+IF(AND('Bonding Program'!$P$13&lt;&gt;"",P$3='Bonding Program'!$P$13,P$3&lt;='Bonding Program'!$C$8),N('Bonding Program'!$O$13),0)</f>
        <v>0</v>
      </c>
      <c r="Q154" s="19" t="n">
        <f aca="false">IF(AND('Bonding Program'!$S$13=1,'Bonding Program'!$H$13&gt;'Bonding Program'!$C$8,Q$3='Bonding Program'!$H$13),'Bonding Program'!$T$13-'Bonding Program'!$U$13-'Bonding Program'!$Z$13,0)-IF(AND('Bonding Program'!$S$13=1,'Bonding Program'!$H$13&lt;='Bonding Program'!$C$8,Q$3=IF('Bonding Program'!$P$13&lt;&gt;"",'Bonding Program'!$P$13,'Bonding Program'!$C$8)),'Bonding Program'!$Z$13,0)+IF(AND('Bonding Program'!$P$13&lt;&gt;"",Q$3='Bonding Program'!$P$13,Q$3&lt;='Bonding Program'!$C$8),N('Bonding Program'!$O$13),0)</f>
        <v>0</v>
      </c>
      <c r="R154" s="19" t="n">
        <f aca="false">IF(AND('Bonding Program'!$S$13=1,'Bonding Program'!$H$13&gt;'Bonding Program'!$C$8,R$3='Bonding Program'!$H$13),'Bonding Program'!$T$13-'Bonding Program'!$U$13-'Bonding Program'!$Z$13,0)-IF(AND('Bonding Program'!$S$13=1,'Bonding Program'!$H$13&lt;='Bonding Program'!$C$8,R$3=IF('Bonding Program'!$P$13&lt;&gt;"",'Bonding Program'!$P$13,'Bonding Program'!$C$8)),'Bonding Program'!$Z$13,0)+IF(AND('Bonding Program'!$P$13&lt;&gt;"",R$3='Bonding Program'!$P$13,R$3&lt;='Bonding Program'!$C$8),N('Bonding Program'!$O$13),0)</f>
        <v>0</v>
      </c>
      <c r="S154" s="19" t="n">
        <f aca="false">IF(AND('Bonding Program'!$S$13=1,'Bonding Program'!$H$13&gt;'Bonding Program'!$C$8,S$3='Bonding Program'!$H$13),'Bonding Program'!$T$13-'Bonding Program'!$U$13-'Bonding Program'!$Z$13,0)-IF(AND('Bonding Program'!$S$13=1,'Bonding Program'!$H$13&lt;='Bonding Program'!$C$8,S$3=IF('Bonding Program'!$P$13&lt;&gt;"",'Bonding Program'!$P$13,'Bonding Program'!$C$8)),'Bonding Program'!$Z$13,0)+IF(AND('Bonding Program'!$P$13&lt;&gt;"",S$3='Bonding Program'!$P$13,S$3&lt;='Bonding Program'!$C$8),N('Bonding Program'!$O$13),0)</f>
        <v>0</v>
      </c>
      <c r="T154" s="19" t="n">
        <f aca="false">IF(AND('Bonding Program'!$S$13=1,'Bonding Program'!$H$13&gt;'Bonding Program'!$C$8,T$3='Bonding Program'!$H$13),'Bonding Program'!$T$13-'Bonding Program'!$U$13-'Bonding Program'!$Z$13,0)-IF(AND('Bonding Program'!$S$13=1,'Bonding Program'!$H$13&lt;='Bonding Program'!$C$8,T$3=IF('Bonding Program'!$P$13&lt;&gt;"",'Bonding Program'!$P$13,'Bonding Program'!$C$8)),'Bonding Program'!$Z$13,0)+IF(AND('Bonding Program'!$P$13&lt;&gt;"",T$3='Bonding Program'!$P$13,T$3&lt;='Bonding Program'!$C$8),N('Bonding Program'!$O$13),0)</f>
        <v>0</v>
      </c>
      <c r="U154" s="19" t="n">
        <f aca="false">IF(AND('Bonding Program'!$S$13=1,'Bonding Program'!$H$13&gt;'Bonding Program'!$C$8,U$3='Bonding Program'!$H$13),'Bonding Program'!$T$13-'Bonding Program'!$U$13-'Bonding Program'!$Z$13,0)-IF(AND('Bonding Program'!$S$13=1,'Bonding Program'!$H$13&lt;='Bonding Program'!$C$8,U$3=IF('Bonding Program'!$P$13&lt;&gt;"",'Bonding Program'!$P$13,'Bonding Program'!$C$8)),'Bonding Program'!$Z$13,0)+IF(AND('Bonding Program'!$P$13&lt;&gt;"",U$3='Bonding Program'!$P$13,U$3&lt;='Bonding Program'!$C$8),N('Bonding Program'!$O$13),0)</f>
        <v>0</v>
      </c>
      <c r="V154" s="19" t="n">
        <f aca="false">IF(AND('Bonding Program'!$S$13=1,'Bonding Program'!$H$13&gt;'Bonding Program'!$C$8,V$3='Bonding Program'!$H$13),'Bonding Program'!$T$13-'Bonding Program'!$U$13-'Bonding Program'!$Z$13,0)-IF(AND('Bonding Program'!$S$13=1,'Bonding Program'!$H$13&lt;='Bonding Program'!$C$8,V$3=IF('Bonding Program'!$P$13&lt;&gt;"",'Bonding Program'!$P$13,'Bonding Program'!$C$8)),'Bonding Program'!$Z$13,0)+IF(AND('Bonding Program'!$P$13&lt;&gt;"",V$3='Bonding Program'!$P$13,V$3&lt;='Bonding Program'!$C$8),N('Bonding Program'!$O$13),0)</f>
        <v>0</v>
      </c>
      <c r="W154" s="19" t="n">
        <f aca="false">IF(AND('Bonding Program'!$S$13=1,'Bonding Program'!$H$13&gt;'Bonding Program'!$C$8,W$3='Bonding Program'!$H$13),'Bonding Program'!$T$13-'Bonding Program'!$U$13-'Bonding Program'!$Z$13,0)-IF(AND('Bonding Program'!$S$13=1,'Bonding Program'!$H$13&lt;='Bonding Program'!$C$8,W$3=IF('Bonding Program'!$P$13&lt;&gt;"",'Bonding Program'!$P$13,'Bonding Program'!$C$8)),'Bonding Program'!$Z$13,0)+IF(AND('Bonding Program'!$P$13&lt;&gt;"",W$3='Bonding Program'!$P$13,W$3&lt;='Bonding Program'!$C$8),N('Bonding Program'!$O$13),0)</f>
        <v>0</v>
      </c>
      <c r="X154" s="19" t="n">
        <f aca="false">IF(AND('Bonding Program'!$S$13=1,'Bonding Program'!$H$13&gt;'Bonding Program'!$C$8,X$3='Bonding Program'!$H$13),'Bonding Program'!$T$13-'Bonding Program'!$U$13-'Bonding Program'!$Z$13,0)-IF(AND('Bonding Program'!$S$13=1,'Bonding Program'!$H$13&lt;='Bonding Program'!$C$8,X$3=IF('Bonding Program'!$P$13&lt;&gt;"",'Bonding Program'!$P$13,'Bonding Program'!$C$8)),'Bonding Program'!$Z$13,0)+IF(AND('Bonding Program'!$P$13&lt;&gt;"",X$3='Bonding Program'!$P$13,X$3&lt;='Bonding Program'!$C$8),N('Bonding Program'!$O$13),0)</f>
        <v>0</v>
      </c>
      <c r="Y154" s="19" t="n">
        <f aca="false">IF(AND('Bonding Program'!$S$13=1,'Bonding Program'!$H$13&gt;'Bonding Program'!$C$8,Y$3='Bonding Program'!$H$13),'Bonding Program'!$T$13-'Bonding Program'!$U$13-'Bonding Program'!$Z$13,0)-IF(AND('Bonding Program'!$S$13=1,'Bonding Program'!$H$13&lt;='Bonding Program'!$C$8,Y$3=IF('Bonding Program'!$P$13&lt;&gt;"",'Bonding Program'!$P$13,'Bonding Program'!$C$8)),'Bonding Program'!$Z$13,0)+IF(AND('Bonding Program'!$P$13&lt;&gt;"",Y$3='Bonding Program'!$P$13,Y$3&lt;='Bonding Program'!$C$8),N('Bonding Program'!$O$13),0)</f>
        <v>0</v>
      </c>
      <c r="Z154" s="19" t="n">
        <f aca="false">IF(AND('Bonding Program'!$S$13=1,'Bonding Program'!$H$13&gt;'Bonding Program'!$C$8,Z$3='Bonding Program'!$H$13),'Bonding Program'!$T$13-'Bonding Program'!$U$13-'Bonding Program'!$Z$13,0)-IF(AND('Bonding Program'!$S$13=1,'Bonding Program'!$H$13&lt;='Bonding Program'!$C$8,Z$3=IF('Bonding Program'!$P$13&lt;&gt;"",'Bonding Program'!$P$13,'Bonding Program'!$C$8)),'Bonding Program'!$Z$13,0)+IF(AND('Bonding Program'!$P$13&lt;&gt;"",Z$3='Bonding Program'!$P$13,Z$3&lt;='Bonding Program'!$C$8),N('Bonding Program'!$O$13),0)</f>
        <v>0</v>
      </c>
      <c r="AA154" s="19" t="n">
        <f aca="false">IF(AND('Bonding Program'!$S$13=1,'Bonding Program'!$H$13&gt;'Bonding Program'!$C$8,AA$3='Bonding Program'!$H$13),'Bonding Program'!$T$13-'Bonding Program'!$U$13-'Bonding Program'!$Z$13,0)-IF(AND('Bonding Program'!$S$13=1,'Bonding Program'!$H$13&lt;='Bonding Program'!$C$8,AA$3=IF('Bonding Program'!$P$13&lt;&gt;"",'Bonding Program'!$P$13,'Bonding Program'!$C$8)),'Bonding Program'!$Z$13,0)+IF(AND('Bonding Program'!$P$13&lt;&gt;"",AA$3='Bonding Program'!$P$13,AA$3&lt;='Bonding Program'!$C$8),N('Bonding Program'!$O$13),0)</f>
        <v>0</v>
      </c>
      <c r="AB154" s="19" t="n">
        <f aca="false">IF(AND('Bonding Program'!$S$13=1,'Bonding Program'!$H$13&gt;'Bonding Program'!$C$8,AB$3='Bonding Program'!$H$13),'Bonding Program'!$T$13-'Bonding Program'!$U$13-'Bonding Program'!$Z$13,0)-IF(AND('Bonding Program'!$S$13=1,'Bonding Program'!$H$13&lt;='Bonding Program'!$C$8,AB$3=IF('Bonding Program'!$P$13&lt;&gt;"",'Bonding Program'!$P$13,'Bonding Program'!$C$8)),'Bonding Program'!$Z$13,0)+IF(AND('Bonding Program'!$P$13&lt;&gt;"",AB$3='Bonding Program'!$P$13,AB$3&lt;='Bonding Program'!$C$8),N('Bonding Program'!$O$13),0)</f>
        <v>0</v>
      </c>
      <c r="AC154" s="19" t="n">
        <f aca="false">IF(AND('Bonding Program'!$S$13=1,'Bonding Program'!$H$13&gt;'Bonding Program'!$C$8,AC$3='Bonding Program'!$H$13),'Bonding Program'!$T$13-'Bonding Program'!$U$13-'Bonding Program'!$Z$13,0)-IF(AND('Bonding Program'!$S$13=1,'Bonding Program'!$H$13&lt;='Bonding Program'!$C$8,AC$3=IF('Bonding Program'!$P$13&lt;&gt;"",'Bonding Program'!$P$13,'Bonding Program'!$C$8)),'Bonding Program'!$Z$13,0)+IF(AND('Bonding Program'!$P$13&lt;&gt;"",AC$3='Bonding Program'!$P$13,AC$3&lt;='Bonding Program'!$C$8),N('Bonding Program'!$O$13),0)</f>
        <v>0</v>
      </c>
      <c r="AD154" s="19" t="n">
        <f aca="false">IF(AND('Bonding Program'!$S$13=1,'Bonding Program'!$H$13&gt;'Bonding Program'!$C$8,AD$3='Bonding Program'!$H$13),'Bonding Program'!$T$13-'Bonding Program'!$U$13-'Bonding Program'!$Z$13,0)-IF(AND('Bonding Program'!$S$13=1,'Bonding Program'!$H$13&lt;='Bonding Program'!$C$8,AD$3=IF('Bonding Program'!$P$13&lt;&gt;"",'Bonding Program'!$P$13,'Bonding Program'!$C$8)),'Bonding Program'!$Z$13,0)+IF(AND('Bonding Program'!$P$13&lt;&gt;"",AD$3='Bonding Program'!$P$13,AD$3&lt;='Bonding Program'!$C$8),N('Bonding Program'!$O$13),0)</f>
        <v>0</v>
      </c>
      <c r="AE154" s="19" t="n">
        <f aca="false">IF(AND('Bonding Program'!$S$13=1,'Bonding Program'!$H$13&gt;'Bonding Program'!$C$8,AE$3='Bonding Program'!$H$13),'Bonding Program'!$T$13-'Bonding Program'!$U$13-'Bonding Program'!$Z$13,0)-IF(AND('Bonding Program'!$S$13=1,'Bonding Program'!$H$13&lt;='Bonding Program'!$C$8,AE$3=IF('Bonding Program'!$P$13&lt;&gt;"",'Bonding Program'!$P$13,'Bonding Program'!$C$8)),'Bonding Program'!$Z$13,0)+IF(AND('Bonding Program'!$P$13&lt;&gt;"",AE$3='Bonding Program'!$P$13,AE$3&lt;='Bonding Program'!$C$8),N('Bonding Program'!$O$13),0)</f>
        <v>0</v>
      </c>
      <c r="AF154" s="19" t="n">
        <f aca="false">IF(AND('Bonding Program'!$S$13=1,'Bonding Program'!$H$13&gt;'Bonding Program'!$C$8,AF$3='Bonding Program'!$H$13),'Bonding Program'!$T$13-'Bonding Program'!$U$13-'Bonding Program'!$Z$13,0)-IF(AND('Bonding Program'!$S$13=1,'Bonding Program'!$H$13&lt;='Bonding Program'!$C$8,AF$3=IF('Bonding Program'!$P$13&lt;&gt;"",'Bonding Program'!$P$13,'Bonding Program'!$C$8)),'Bonding Program'!$Z$13,0)+IF(AND('Bonding Program'!$P$13&lt;&gt;"",AF$3='Bonding Program'!$P$13,AF$3&lt;='Bonding Program'!$C$8),N('Bonding Program'!$O$13),0)</f>
        <v>0</v>
      </c>
      <c r="AG154" s="19" t="n">
        <f aca="false">IF(AND('Bonding Program'!$S$13=1,'Bonding Program'!$H$13&gt;'Bonding Program'!$C$8,AG$3='Bonding Program'!$H$13),'Bonding Program'!$T$13-'Bonding Program'!$U$13-'Bonding Program'!$Z$13,0)-IF(AND('Bonding Program'!$S$13=1,'Bonding Program'!$H$13&lt;='Bonding Program'!$C$8,AG$3=IF('Bonding Program'!$P$13&lt;&gt;"",'Bonding Program'!$P$13,'Bonding Program'!$C$8)),'Bonding Program'!$Z$13,0)+IF(AND('Bonding Program'!$P$13&lt;&gt;"",AG$3='Bonding Program'!$P$13,AG$3&lt;='Bonding Program'!$C$8),N('Bonding Program'!$O$13),0)</f>
        <v>0</v>
      </c>
      <c r="AH154" s="19" t="n">
        <f aca="false">IF(AND('Bonding Program'!$S$13=1,'Bonding Program'!$H$13&gt;'Bonding Program'!$C$8,AH$3='Bonding Program'!$H$13),'Bonding Program'!$T$13-'Bonding Program'!$U$13-'Bonding Program'!$Z$13,0)-IF(AND('Bonding Program'!$S$13=1,'Bonding Program'!$H$13&lt;='Bonding Program'!$C$8,AH$3=IF('Bonding Program'!$P$13&lt;&gt;"",'Bonding Program'!$P$13,'Bonding Program'!$C$8)),'Bonding Program'!$Z$13,0)+IF(AND('Bonding Program'!$P$13&lt;&gt;"",AH$3='Bonding Program'!$P$13,AH$3&lt;='Bonding Program'!$C$8),N('Bonding Program'!$O$13),0)</f>
        <v>0</v>
      </c>
      <c r="AI154" s="19" t="n">
        <f aca="false">IF(AND('Bonding Program'!$S$13=1,'Bonding Program'!$H$13&gt;'Bonding Program'!$C$8,AI$3='Bonding Program'!$H$13),'Bonding Program'!$T$13-'Bonding Program'!$U$13-'Bonding Program'!$Z$13,0)-IF(AND('Bonding Program'!$S$13=1,'Bonding Program'!$H$13&lt;='Bonding Program'!$C$8,AI$3=IF('Bonding Program'!$P$13&lt;&gt;"",'Bonding Program'!$P$13,'Bonding Program'!$C$8)),'Bonding Program'!$Z$13,0)+IF(AND('Bonding Program'!$P$13&lt;&gt;"",AI$3='Bonding Program'!$P$13,AI$3&lt;='Bonding Program'!$C$8),N('Bonding Program'!$O$13),0)</f>
        <v>0</v>
      </c>
      <c r="AJ154" s="19" t="n">
        <f aca="false">IF(AND('Bonding Program'!$S$13=1,'Bonding Program'!$H$13&gt;'Bonding Program'!$C$8,AJ$3='Bonding Program'!$H$13),'Bonding Program'!$T$13-'Bonding Program'!$U$13-'Bonding Program'!$Z$13,0)-IF(AND('Bonding Program'!$S$13=1,'Bonding Program'!$H$13&lt;='Bonding Program'!$C$8,AJ$3=IF('Bonding Program'!$P$13&lt;&gt;"",'Bonding Program'!$P$13,'Bonding Program'!$C$8)),'Bonding Program'!$Z$13,0)+IF(AND('Bonding Program'!$P$13&lt;&gt;"",AJ$3='Bonding Program'!$P$13,AJ$3&lt;='Bonding Program'!$C$8),N('Bonding Program'!$O$13),0)</f>
        <v>0</v>
      </c>
      <c r="AK154" s="19" t="n">
        <f aca="false">IF(AND('Bonding Program'!$S$13=1,'Bonding Program'!$H$13&gt;'Bonding Program'!$C$8,AK$3='Bonding Program'!$H$13),'Bonding Program'!$T$13-'Bonding Program'!$U$13-'Bonding Program'!$Z$13,0)-IF(AND('Bonding Program'!$S$13=1,'Bonding Program'!$H$13&lt;='Bonding Program'!$C$8,AK$3=IF('Bonding Program'!$P$13&lt;&gt;"",'Bonding Program'!$P$13,'Bonding Program'!$C$8)),'Bonding Program'!$Z$13,0)+IF(AND('Bonding Program'!$P$13&lt;&gt;"",AK$3='Bonding Program'!$P$13,AK$3&lt;='Bonding Program'!$C$8),N('Bonding Program'!$O$13),0)</f>
        <v>0</v>
      </c>
      <c r="AL154" s="19" t="n">
        <f aca="false">IF(AND('Bonding Program'!$S$13=1,'Bonding Program'!$H$13&gt;'Bonding Program'!$C$8,AL$3='Bonding Program'!$H$13),'Bonding Program'!$T$13-'Bonding Program'!$U$13-'Bonding Program'!$Z$13,0)-IF(AND('Bonding Program'!$S$13=1,'Bonding Program'!$H$13&lt;='Bonding Program'!$C$8,AL$3=IF('Bonding Program'!$P$13&lt;&gt;"",'Bonding Program'!$P$13,'Bonding Program'!$C$8)),'Bonding Program'!$Z$13,0)+IF(AND('Bonding Program'!$P$13&lt;&gt;"",AL$3='Bonding Program'!$P$13,AL$3&lt;='Bonding Program'!$C$8),N('Bonding Program'!$O$13),0)</f>
        <v>0</v>
      </c>
      <c r="AM154" s="19" t="n">
        <f aca="false">IF(AND('Bonding Program'!$S$13=1,'Bonding Program'!$H$13&gt;'Bonding Program'!$C$8,AM$3='Bonding Program'!$H$13),'Bonding Program'!$T$13-'Bonding Program'!$U$13-'Bonding Program'!$Z$13,0)-IF(AND('Bonding Program'!$S$13=1,'Bonding Program'!$H$13&lt;='Bonding Program'!$C$8,AM$3=IF('Bonding Program'!$P$13&lt;&gt;"",'Bonding Program'!$P$13,'Bonding Program'!$C$8)),'Bonding Program'!$Z$13,0)+IF(AND('Bonding Program'!$P$13&lt;&gt;"",AM$3='Bonding Program'!$P$13,AM$3&lt;='Bonding Program'!$C$8),N('Bonding Program'!$O$13),0)</f>
        <v>0</v>
      </c>
      <c r="AN154" s="19" t="n">
        <f aca="false">IF(AND('Bonding Program'!$S$13=1,'Bonding Program'!$H$13&gt;'Bonding Program'!$C$8,AN$3='Bonding Program'!$H$13),'Bonding Program'!$T$13-'Bonding Program'!$U$13-'Bonding Program'!$Z$13,0)-IF(AND('Bonding Program'!$S$13=1,'Bonding Program'!$H$13&lt;='Bonding Program'!$C$8,AN$3=IF('Bonding Program'!$P$13&lt;&gt;"",'Bonding Program'!$P$13,'Bonding Program'!$C$8)),'Bonding Program'!$Z$13,0)+IF(AND('Bonding Program'!$P$13&lt;&gt;"",AN$3='Bonding Program'!$P$13,AN$3&lt;='Bonding Program'!$C$8),N('Bonding Program'!$O$13),0)</f>
        <v>0</v>
      </c>
      <c r="AO154" s="19" t="n">
        <f aca="false">IF(AND('Bonding Program'!$S$13=1,'Bonding Program'!$H$13&gt;'Bonding Program'!$C$8,AO$3='Bonding Program'!$H$13),'Bonding Program'!$T$13-'Bonding Program'!$U$13-'Bonding Program'!$Z$13,0)-IF(AND('Bonding Program'!$S$13=1,'Bonding Program'!$H$13&lt;='Bonding Program'!$C$8,AO$3=IF('Bonding Program'!$P$13&lt;&gt;"",'Bonding Program'!$P$13,'Bonding Program'!$C$8)),'Bonding Program'!$Z$13,0)+IF(AND('Bonding Program'!$P$13&lt;&gt;"",AO$3='Bonding Program'!$P$13,AO$3&lt;='Bonding Program'!$C$8),N('Bonding Program'!$O$13),0)</f>
        <v>0</v>
      </c>
      <c r="AP154" s="19" t="n">
        <f aca="false">IF(AND('Bonding Program'!$S$13=1,'Bonding Program'!$H$13&gt;'Bonding Program'!$C$8,AP$3='Bonding Program'!$H$13),'Bonding Program'!$T$13-'Bonding Program'!$U$13-'Bonding Program'!$Z$13,0)-IF(AND('Bonding Program'!$S$13=1,'Bonding Program'!$H$13&lt;='Bonding Program'!$C$8,AP$3=IF('Bonding Program'!$P$13&lt;&gt;"",'Bonding Program'!$P$13,'Bonding Program'!$C$8)),'Bonding Program'!$Z$13,0)+IF(AND('Bonding Program'!$P$13&lt;&gt;"",AP$3='Bonding Program'!$P$13,AP$3&lt;='Bonding Program'!$C$8),N('Bonding Program'!$O$13),0)</f>
        <v>0</v>
      </c>
      <c r="AQ154" s="19" t="n">
        <f aca="false">IF(AND('Bonding Program'!$S$13=1,'Bonding Program'!$H$13&gt;'Bonding Program'!$C$8,AQ$3='Bonding Program'!$H$13),'Bonding Program'!$T$13-'Bonding Program'!$U$13-'Bonding Program'!$Z$13,0)-IF(AND('Bonding Program'!$S$13=1,'Bonding Program'!$H$13&lt;='Bonding Program'!$C$8,AQ$3=IF('Bonding Program'!$P$13&lt;&gt;"",'Bonding Program'!$P$13,'Bonding Program'!$C$8)),'Bonding Program'!$Z$13,0)+IF(AND('Bonding Program'!$P$13&lt;&gt;"",AQ$3='Bonding Program'!$P$13,AQ$3&lt;='Bonding Program'!$C$8),N('Bonding Program'!$O$13),0)</f>
        <v>0</v>
      </c>
      <c r="AR154" s="19" t="n">
        <f aca="false">IF(AND('Bonding Program'!$S$13=1,'Bonding Program'!$H$13&gt;'Bonding Program'!$C$8,AR$3='Bonding Program'!$H$13),'Bonding Program'!$T$13-'Bonding Program'!$U$13-'Bonding Program'!$Z$13,0)-IF(AND('Bonding Program'!$S$13=1,'Bonding Program'!$H$13&lt;='Bonding Program'!$C$8,AR$3=IF('Bonding Program'!$P$13&lt;&gt;"",'Bonding Program'!$P$13,'Bonding Program'!$C$8)),'Bonding Program'!$Z$13,0)+IF(AND('Bonding Program'!$P$13&lt;&gt;"",AR$3='Bonding Program'!$P$13,AR$3&lt;='Bonding Program'!$C$8),N('Bonding Program'!$O$13),0)</f>
        <v>0</v>
      </c>
      <c r="AS154" s="19" t="n">
        <f aca="false">IF(AND('Bonding Program'!$S$13=1,'Bonding Program'!$H$13&gt;'Bonding Program'!$C$8,AS$3='Bonding Program'!$H$13),'Bonding Program'!$T$13-'Bonding Program'!$U$13-'Bonding Program'!$Z$13,0)-IF(AND('Bonding Program'!$S$13=1,'Bonding Program'!$H$13&lt;='Bonding Program'!$C$8,AS$3=IF('Bonding Program'!$P$13&lt;&gt;"",'Bonding Program'!$P$13,'Bonding Program'!$C$8)),'Bonding Program'!$Z$13,0)+IF(AND('Bonding Program'!$P$13&lt;&gt;"",AS$3='Bonding Program'!$P$13,AS$3&lt;='Bonding Program'!$C$8),N('Bonding Program'!$O$13),0)</f>
        <v>0</v>
      </c>
      <c r="AT154" s="19" t="n">
        <f aca="false">IF(AND('Bonding Program'!$S$13=1,'Bonding Program'!$H$13&gt;'Bonding Program'!$C$8,AT$3='Bonding Program'!$H$13),'Bonding Program'!$T$13-'Bonding Program'!$U$13-'Bonding Program'!$Z$13,0)-IF(AND('Bonding Program'!$S$13=1,'Bonding Program'!$H$13&lt;='Bonding Program'!$C$8,AT$3=IF('Bonding Program'!$P$13&lt;&gt;"",'Bonding Program'!$P$13,'Bonding Program'!$C$8)),'Bonding Program'!$Z$13,0)+IF(AND('Bonding Program'!$P$13&lt;&gt;"",AT$3='Bonding Program'!$P$13,AT$3&lt;='Bonding Program'!$C$8),N('Bonding Program'!$O$13),0)</f>
        <v>0</v>
      </c>
      <c r="AU154" s="19" t="n">
        <f aca="false">IF(AND('Bonding Program'!$S$13=1,'Bonding Program'!$H$13&gt;'Bonding Program'!$C$8,AU$3='Bonding Program'!$H$13),'Bonding Program'!$T$13-'Bonding Program'!$U$13-'Bonding Program'!$Z$13,0)-IF(AND('Bonding Program'!$S$13=1,'Bonding Program'!$H$13&lt;='Bonding Program'!$C$8,AU$3=IF('Bonding Program'!$P$13&lt;&gt;"",'Bonding Program'!$P$13,'Bonding Program'!$C$8)),'Bonding Program'!$Z$13,0)+IF(AND('Bonding Program'!$P$13&lt;&gt;"",AU$3='Bonding Program'!$P$13,AU$3&lt;='Bonding Program'!$C$8),N('Bonding Program'!$O$13),0)</f>
        <v>0</v>
      </c>
      <c r="AV154" s="19" t="n">
        <f aca="false">IF(AND('Bonding Program'!$S$13=1,'Bonding Program'!$H$13&gt;'Bonding Program'!$C$8,AV$3='Bonding Program'!$H$13),'Bonding Program'!$T$13-'Bonding Program'!$U$13-'Bonding Program'!$Z$13,0)-IF(AND('Bonding Program'!$S$13=1,'Bonding Program'!$H$13&lt;='Bonding Program'!$C$8,AV$3=IF('Bonding Program'!$P$13&lt;&gt;"",'Bonding Program'!$P$13,'Bonding Program'!$C$8)),'Bonding Program'!$Z$13,0)+IF(AND('Bonding Program'!$P$13&lt;&gt;"",AV$3='Bonding Program'!$P$13,AV$3&lt;='Bonding Program'!$C$8),N('Bonding Program'!$O$13),0)</f>
        <v>0</v>
      </c>
      <c r="AW154" s="19" t="n">
        <f aca="false">IF(AND('Bonding Program'!$S$13=1,'Bonding Program'!$H$13&gt;'Bonding Program'!$C$8,AW$3='Bonding Program'!$H$13),'Bonding Program'!$T$13-'Bonding Program'!$U$13-'Bonding Program'!$Z$13,0)-IF(AND('Bonding Program'!$S$13=1,'Bonding Program'!$H$13&lt;='Bonding Program'!$C$8,AW$3=IF('Bonding Program'!$P$13&lt;&gt;"",'Bonding Program'!$P$13,'Bonding Program'!$C$8)),'Bonding Program'!$Z$13,0)+IF(AND('Bonding Program'!$P$13&lt;&gt;"",AW$3='Bonding Program'!$P$13,AW$3&lt;='Bonding Program'!$C$8),N('Bonding Program'!$O$13),0)</f>
        <v>0</v>
      </c>
      <c r="AX154" s="19" t="n">
        <f aca="false">IF(AND('Bonding Program'!$S$13=1,'Bonding Program'!$H$13&gt;'Bonding Program'!$C$8,AX$3='Bonding Program'!$H$13),'Bonding Program'!$T$13-'Bonding Program'!$U$13-'Bonding Program'!$Z$13,0)-IF(AND('Bonding Program'!$S$13=1,'Bonding Program'!$H$13&lt;='Bonding Program'!$C$8,AX$3=IF('Bonding Program'!$P$13&lt;&gt;"",'Bonding Program'!$P$13,'Bonding Program'!$C$8)),'Bonding Program'!$Z$13,0)+IF(AND('Bonding Program'!$P$13&lt;&gt;"",AX$3='Bonding Program'!$P$13,AX$3&lt;='Bonding Program'!$C$8),N('Bonding Program'!$O$13),0)</f>
        <v>0</v>
      </c>
      <c r="AY154" s="19" t="n">
        <f aca="false">IF(AND('Bonding Program'!$S$13=1,'Bonding Program'!$H$13&gt;'Bonding Program'!$C$8,AY$3='Bonding Program'!$H$13),'Bonding Program'!$T$13-'Bonding Program'!$U$13-'Bonding Program'!$Z$13,0)-IF(AND('Bonding Program'!$S$13=1,'Bonding Program'!$H$13&lt;='Bonding Program'!$C$8,AY$3=IF('Bonding Program'!$P$13&lt;&gt;"",'Bonding Program'!$P$13,'Bonding Program'!$C$8)),'Bonding Program'!$Z$13,0)+IF(AND('Bonding Program'!$P$13&lt;&gt;"",AY$3='Bonding Program'!$P$13,AY$3&lt;='Bonding Program'!$C$8),N('Bonding Program'!$O$13),0)</f>
        <v>0</v>
      </c>
      <c r="AZ154" s="19" t="n">
        <f aca="false">IF(AND('Bonding Program'!$S$13=1,'Bonding Program'!$H$13&gt;'Bonding Program'!$C$8,AZ$3='Bonding Program'!$H$13),'Bonding Program'!$T$13-'Bonding Program'!$U$13-'Bonding Program'!$Z$13,0)-IF(AND('Bonding Program'!$S$13=1,'Bonding Program'!$H$13&lt;='Bonding Program'!$C$8,AZ$3=IF('Bonding Program'!$P$13&lt;&gt;"",'Bonding Program'!$P$13,'Bonding Program'!$C$8)),'Bonding Program'!$Z$13,0)+IF(AND('Bonding Program'!$P$13&lt;&gt;"",AZ$3='Bonding Program'!$P$13,AZ$3&lt;='Bonding Program'!$C$8),N('Bonding Program'!$O$13),0)</f>
        <v>0</v>
      </c>
      <c r="BA154" s="19" t="n">
        <f aca="false">IF(AND('Bonding Program'!$S$13=1,'Bonding Program'!$H$13&gt;'Bonding Program'!$C$8,BA$3='Bonding Program'!$H$13),'Bonding Program'!$T$13-'Bonding Program'!$U$13-'Bonding Program'!$Z$13,0)-IF(AND('Bonding Program'!$S$13=1,'Bonding Program'!$H$13&lt;='Bonding Program'!$C$8,BA$3=IF('Bonding Program'!$P$13&lt;&gt;"",'Bonding Program'!$P$13,'Bonding Program'!$C$8)),'Bonding Program'!$Z$13,0)+IF(AND('Bonding Program'!$P$13&lt;&gt;"",BA$3='Bonding Program'!$P$13,BA$3&lt;='Bonding Program'!$C$8),N('Bonding Program'!$O$13),0)</f>
        <v>0</v>
      </c>
      <c r="BB154" s="19" t="n">
        <f aca="false">IF(AND('Bonding Program'!$S$13=1,'Bonding Program'!$H$13&gt;'Bonding Program'!$C$8,BB$3='Bonding Program'!$H$13),'Bonding Program'!$T$13-'Bonding Program'!$U$13-'Bonding Program'!$Z$13,0)-IF(AND('Bonding Program'!$S$13=1,'Bonding Program'!$H$13&lt;='Bonding Program'!$C$8,BB$3=IF('Bonding Program'!$P$13&lt;&gt;"",'Bonding Program'!$P$13,'Bonding Program'!$C$8)),'Bonding Program'!$Z$13,0)+IF(AND('Bonding Program'!$P$13&lt;&gt;"",BB$3='Bonding Program'!$P$13,BB$3&lt;='Bonding Program'!$C$8),N('Bonding Program'!$O$13),0)</f>
        <v>0</v>
      </c>
      <c r="BC154" s="19" t="n">
        <f aca="false">IF(AND('Bonding Program'!$S$13=1,'Bonding Program'!$H$13&gt;'Bonding Program'!$C$8,BC$3='Bonding Program'!$H$13),'Bonding Program'!$T$13-'Bonding Program'!$U$13-'Bonding Program'!$Z$13,0)-IF(AND('Bonding Program'!$S$13=1,'Bonding Program'!$H$13&lt;='Bonding Program'!$C$8,BC$3=IF('Bonding Program'!$P$13&lt;&gt;"",'Bonding Program'!$P$13,'Bonding Program'!$C$8)),'Bonding Program'!$Z$13,0)+IF(AND('Bonding Program'!$P$13&lt;&gt;"",BC$3='Bonding Program'!$P$13,BC$3&lt;='Bonding Program'!$C$8),N('Bonding Program'!$O$13),0)</f>
        <v>0</v>
      </c>
      <c r="BD154" s="19" t="n">
        <f aca="false">IF(AND('Bonding Program'!$S$13=1,'Bonding Program'!$H$13&gt;'Bonding Program'!$C$8,BD$3='Bonding Program'!$H$13),'Bonding Program'!$T$13-'Bonding Program'!$U$13-'Bonding Program'!$Z$13,0)-IF(AND('Bonding Program'!$S$13=1,'Bonding Program'!$H$13&lt;='Bonding Program'!$C$8,BD$3=IF('Bonding Program'!$P$13&lt;&gt;"",'Bonding Program'!$P$13,'Bonding Program'!$C$8)),'Bonding Program'!$Z$13,0)+IF(AND('Bonding Program'!$P$13&lt;&gt;"",BD$3='Bonding Program'!$P$13,BD$3&lt;='Bonding Program'!$C$8),N('Bonding Program'!$O$13),0)</f>
        <v>0</v>
      </c>
      <c r="BE154" s="19" t="n">
        <f aca="false">IF(AND('Bonding Program'!$S$13=1,'Bonding Program'!$H$13&gt;'Bonding Program'!$C$8,BE$3='Bonding Program'!$H$13),'Bonding Program'!$T$13-'Bonding Program'!$U$13-'Bonding Program'!$Z$13,0)-IF(AND('Bonding Program'!$S$13=1,'Bonding Program'!$H$13&lt;='Bonding Program'!$C$8,BE$3=IF('Bonding Program'!$P$13&lt;&gt;"",'Bonding Program'!$P$13,'Bonding Program'!$C$8)),'Bonding Program'!$Z$13,0)+IF(AND('Bonding Program'!$P$13&lt;&gt;"",BE$3='Bonding Program'!$P$13,BE$3&lt;='Bonding Program'!$C$8),N('Bonding Program'!$O$13),0)</f>
        <v>0</v>
      </c>
      <c r="BF154" s="19" t="n">
        <f aca="false">IF(AND('Bonding Program'!$S$13=1,'Bonding Program'!$H$13&gt;'Bonding Program'!$C$8,BF$3='Bonding Program'!$H$13),'Bonding Program'!$T$13-'Bonding Program'!$U$13-'Bonding Program'!$Z$13,0)-IF(AND('Bonding Program'!$S$13=1,'Bonding Program'!$H$13&lt;='Bonding Program'!$C$8,BF$3=IF('Bonding Program'!$P$13&lt;&gt;"",'Bonding Program'!$P$13,'Bonding Program'!$C$8)),'Bonding Program'!$Z$13,0)+IF(AND('Bonding Program'!$P$13&lt;&gt;"",BF$3='Bonding Program'!$P$13,BF$3&lt;='Bonding Program'!$C$8),N('Bonding Program'!$O$13),0)</f>
        <v>0</v>
      </c>
      <c r="BG154" s="19" t="n">
        <f aca="false">IF(AND('Bonding Program'!$S$13=1,'Bonding Program'!$H$13&gt;'Bonding Program'!$C$8,BG$3='Bonding Program'!$H$13),'Bonding Program'!$T$13-'Bonding Program'!$U$13-'Bonding Program'!$Z$13,0)-IF(AND('Bonding Program'!$S$13=1,'Bonding Program'!$H$13&lt;='Bonding Program'!$C$8,BG$3=IF('Bonding Program'!$P$13&lt;&gt;"",'Bonding Program'!$P$13,'Bonding Program'!$C$8)),'Bonding Program'!$Z$13,0)+IF(AND('Bonding Program'!$P$13&lt;&gt;"",BG$3='Bonding Program'!$P$13,BG$3&lt;='Bonding Program'!$C$8),N('Bonding Program'!$O$13),0)</f>
        <v>0</v>
      </c>
      <c r="BH154" s="19" t="n">
        <f aca="false">IF(AND('Bonding Program'!$S$13=1,'Bonding Program'!$H$13&gt;'Bonding Program'!$C$8,BH$3='Bonding Program'!$H$13),'Bonding Program'!$T$13-'Bonding Program'!$U$13-'Bonding Program'!$Z$13,0)-IF(AND('Bonding Program'!$S$13=1,'Bonding Program'!$H$13&lt;='Bonding Program'!$C$8,BH$3=IF('Bonding Program'!$P$13&lt;&gt;"",'Bonding Program'!$P$13,'Bonding Program'!$C$8)),'Bonding Program'!$Z$13,0)+IF(AND('Bonding Program'!$P$13&lt;&gt;"",BH$3='Bonding Program'!$P$13,BH$3&lt;='Bonding Program'!$C$8),N('Bonding Program'!$O$13),0)</f>
        <v>0</v>
      </c>
      <c r="BI154" s="19" t="n">
        <f aca="false">IF(AND('Bonding Program'!$S$13=1,'Bonding Program'!$H$13&gt;'Bonding Program'!$C$8,BI$3='Bonding Program'!$H$13),'Bonding Program'!$T$13-'Bonding Program'!$U$13-'Bonding Program'!$Z$13,0)-IF(AND('Bonding Program'!$S$13=1,'Bonding Program'!$H$13&lt;='Bonding Program'!$C$8,BI$3=IF('Bonding Program'!$P$13&lt;&gt;"",'Bonding Program'!$P$13,'Bonding Program'!$C$8)),'Bonding Program'!$Z$13,0)+IF(AND('Bonding Program'!$P$13&lt;&gt;"",BI$3='Bonding Program'!$P$13,BI$3&lt;='Bonding Program'!$C$8),N('Bonding Program'!$O$13),0)</f>
        <v>0</v>
      </c>
      <c r="BJ154" s="19" t="n">
        <f aca="false">IF(AND('Bonding Program'!$S$13=1,'Bonding Program'!$H$13&gt;'Bonding Program'!$C$8,BJ$3='Bonding Program'!$H$13),'Bonding Program'!$T$13-'Bonding Program'!$U$13-'Bonding Program'!$Z$13,0)-IF(AND('Bonding Program'!$S$13=1,'Bonding Program'!$H$13&lt;='Bonding Program'!$C$8,BJ$3=IF('Bonding Program'!$P$13&lt;&gt;"",'Bonding Program'!$P$13,'Bonding Program'!$C$8)),'Bonding Program'!$Z$13,0)+IF(AND('Bonding Program'!$P$13&lt;&gt;"",BJ$3='Bonding Program'!$P$13,BJ$3&lt;='Bonding Program'!$C$8),N('Bonding Program'!$O$13),0)</f>
        <v>0</v>
      </c>
      <c r="BK154" s="19" t="n">
        <f aca="false">IF(AND('Bonding Program'!$S$13=1,'Bonding Program'!$H$13&gt;'Bonding Program'!$C$8,BK$3='Bonding Program'!$H$13),'Bonding Program'!$T$13-'Bonding Program'!$U$13-'Bonding Program'!$Z$13,0)-IF(AND('Bonding Program'!$S$13=1,'Bonding Program'!$H$13&lt;='Bonding Program'!$C$8,BK$3=IF('Bonding Program'!$P$13&lt;&gt;"",'Bonding Program'!$P$13,'Bonding Program'!$C$8)),'Bonding Program'!$Z$13,0)+IF(AND('Bonding Program'!$P$13&lt;&gt;"",BK$3='Bonding Program'!$P$13,BK$3&lt;='Bonding Program'!$C$8),N('Bonding Program'!$O$13),0)</f>
        <v>0</v>
      </c>
      <c r="BL154" s="19" t="n">
        <f aca="false">IF(AND('Bonding Program'!$S$13=1,'Bonding Program'!$H$13&gt;'Bonding Program'!$C$8,BL$3='Bonding Program'!$H$13),'Bonding Program'!$T$13-'Bonding Program'!$U$13-'Bonding Program'!$Z$13,0)-IF(AND('Bonding Program'!$S$13=1,'Bonding Program'!$H$13&lt;='Bonding Program'!$C$8,BL$3=IF('Bonding Program'!$P$13&lt;&gt;"",'Bonding Program'!$P$13,'Bonding Program'!$C$8)),'Bonding Program'!$Z$13,0)+IF(AND('Bonding Program'!$P$13&lt;&gt;"",BL$3='Bonding Program'!$P$13,BL$3&lt;='Bonding Program'!$C$8),N('Bonding Program'!$O$13),0)</f>
        <v>0</v>
      </c>
      <c r="BM154" s="19" t="n">
        <f aca="false">IF(AND('Bonding Program'!$S$13=1,'Bonding Program'!$H$13&gt;'Bonding Program'!$C$8,BM$3='Bonding Program'!$H$13),'Bonding Program'!$T$13-'Bonding Program'!$U$13-'Bonding Program'!$Z$13,0)-IF(AND('Bonding Program'!$S$13=1,'Bonding Program'!$H$13&lt;='Bonding Program'!$C$8,BM$3=IF('Bonding Program'!$P$13&lt;&gt;"",'Bonding Program'!$P$13,'Bonding Program'!$C$8)),'Bonding Program'!$Z$13,0)+IF(AND('Bonding Program'!$P$13&lt;&gt;"",BM$3='Bonding Program'!$P$13,BM$3&lt;='Bonding Program'!$C$8),N('Bonding Program'!$O$13),0)</f>
        <v>0</v>
      </c>
      <c r="BN154" s="19" t="n">
        <f aca="false">IF(AND('Bonding Program'!$S$13=1,'Bonding Program'!$H$13&gt;'Bonding Program'!$C$8,BN$3='Bonding Program'!$H$13),'Bonding Program'!$T$13-'Bonding Program'!$U$13-'Bonding Program'!$Z$13,0)-IF(AND('Bonding Program'!$S$13=1,'Bonding Program'!$H$13&lt;='Bonding Program'!$C$8,BN$3=IF('Bonding Program'!$P$13&lt;&gt;"",'Bonding Program'!$P$13,'Bonding Program'!$C$8)),'Bonding Program'!$Z$13,0)+IF(AND('Bonding Program'!$P$13&lt;&gt;"",BN$3='Bonding Program'!$P$13,BN$3&lt;='Bonding Program'!$C$8),N('Bonding Program'!$O$13),0)</f>
        <v>0</v>
      </c>
      <c r="BO154" s="19" t="n">
        <f aca="false">IF(AND('Bonding Program'!$S$13=1,'Bonding Program'!$H$13&gt;'Bonding Program'!$C$8,BO$3='Bonding Program'!$H$13),'Bonding Program'!$T$13-'Bonding Program'!$U$13-'Bonding Program'!$Z$13,0)-IF(AND('Bonding Program'!$S$13=1,'Bonding Program'!$H$13&lt;='Bonding Program'!$C$8,BO$3=IF('Bonding Program'!$P$13&lt;&gt;"",'Bonding Program'!$P$13,'Bonding Program'!$C$8)),'Bonding Program'!$Z$13,0)+IF(AND('Bonding Program'!$P$13&lt;&gt;"",BO$3='Bonding Program'!$P$13,BO$3&lt;='Bonding Program'!$C$8),N('Bonding Program'!$O$13),0)</f>
        <v>0</v>
      </c>
      <c r="BP154" s="19" t="n">
        <f aca="false">IF(AND('Bonding Program'!$S$13=1,'Bonding Program'!$H$13&gt;'Bonding Program'!$C$8,BP$3='Bonding Program'!$H$13),'Bonding Program'!$T$13-'Bonding Program'!$U$13-'Bonding Program'!$Z$13,0)-IF(AND('Bonding Program'!$S$13=1,'Bonding Program'!$H$13&lt;='Bonding Program'!$C$8,BP$3=IF('Bonding Program'!$P$13&lt;&gt;"",'Bonding Program'!$P$13,'Bonding Program'!$C$8)),'Bonding Program'!$Z$13,0)+IF(AND('Bonding Program'!$P$13&lt;&gt;"",BP$3='Bonding Program'!$P$13,BP$3&lt;='Bonding Program'!$C$8),N('Bonding Program'!$O$13),0)</f>
        <v>0</v>
      </c>
      <c r="BQ154" s="19" t="n">
        <f aca="false">IF(AND('Bonding Program'!$S$13=1,'Bonding Program'!$H$13&gt;'Bonding Program'!$C$8,BQ$3='Bonding Program'!$H$13),'Bonding Program'!$T$13-'Bonding Program'!$U$13-'Bonding Program'!$Z$13,0)-IF(AND('Bonding Program'!$S$13=1,'Bonding Program'!$H$13&lt;='Bonding Program'!$C$8,BQ$3=IF('Bonding Program'!$P$13&lt;&gt;"",'Bonding Program'!$P$13,'Bonding Program'!$C$8)),'Bonding Program'!$Z$13,0)+IF(AND('Bonding Program'!$P$13&lt;&gt;"",BQ$3='Bonding Program'!$P$13,BQ$3&lt;='Bonding Program'!$C$8),N('Bonding Program'!$O$13),0)</f>
        <v>0</v>
      </c>
      <c r="BR154" s="19" t="n">
        <f aca="false">IF(AND('Bonding Program'!$S$13=1,'Bonding Program'!$H$13&gt;'Bonding Program'!$C$8,BR$3='Bonding Program'!$H$13),'Bonding Program'!$T$13-'Bonding Program'!$U$13-'Bonding Program'!$Z$13,0)-IF(AND('Bonding Program'!$S$13=1,'Bonding Program'!$H$13&lt;='Bonding Program'!$C$8,BR$3=IF('Bonding Program'!$P$13&lt;&gt;"",'Bonding Program'!$P$13,'Bonding Program'!$C$8)),'Bonding Program'!$Z$13,0)+IF(AND('Bonding Program'!$P$13&lt;&gt;"",BR$3='Bonding Program'!$P$13,BR$3&lt;='Bonding Program'!$C$8),N('Bonding Program'!$O$13),0)</f>
        <v>0</v>
      </c>
      <c r="BS154" s="19" t="n">
        <f aca="false">IF(AND('Bonding Program'!$S$13=1,'Bonding Program'!$H$13&gt;'Bonding Program'!$C$8,BS$3='Bonding Program'!$H$13),'Bonding Program'!$T$13-'Bonding Program'!$U$13-'Bonding Program'!$Z$13,0)-IF(AND('Bonding Program'!$S$13=1,'Bonding Program'!$H$13&lt;='Bonding Program'!$C$8,BS$3=IF('Bonding Program'!$P$13&lt;&gt;"",'Bonding Program'!$P$13,'Bonding Program'!$C$8)),'Bonding Program'!$Z$13,0)+IF(AND('Bonding Program'!$P$13&lt;&gt;"",BS$3='Bonding Program'!$P$13,BS$3&lt;='Bonding Program'!$C$8),N('Bonding Program'!$O$13),0)</f>
        <v>0</v>
      </c>
      <c r="BT154" s="19" t="n">
        <f aca="false">IF(AND('Bonding Program'!$S$13=1,'Bonding Program'!$H$13&gt;'Bonding Program'!$C$8,BT$3='Bonding Program'!$H$13),'Bonding Program'!$T$13-'Bonding Program'!$U$13-'Bonding Program'!$Z$13,0)-IF(AND('Bonding Program'!$S$13=1,'Bonding Program'!$H$13&lt;='Bonding Program'!$C$8,BT$3=IF('Bonding Program'!$P$13&lt;&gt;"",'Bonding Program'!$P$13,'Bonding Program'!$C$8)),'Bonding Program'!$Z$13,0)+IF(AND('Bonding Program'!$P$13&lt;&gt;"",BT$3='Bonding Program'!$P$13,BT$3&lt;='Bonding Program'!$C$8),N('Bonding Program'!$O$13),0)</f>
        <v>0</v>
      </c>
      <c r="BU154" s="19" t="n">
        <f aca="false">IF(AND('Bonding Program'!$S$13=1,'Bonding Program'!$H$13&gt;'Bonding Program'!$C$8,BU$3='Bonding Program'!$H$13),'Bonding Program'!$T$13-'Bonding Program'!$U$13-'Bonding Program'!$Z$13,0)-IF(AND('Bonding Program'!$S$13=1,'Bonding Program'!$H$13&lt;='Bonding Program'!$C$8,BU$3=IF('Bonding Program'!$P$13&lt;&gt;"",'Bonding Program'!$P$13,'Bonding Program'!$C$8)),'Bonding Program'!$Z$13,0)+IF(AND('Bonding Program'!$P$13&lt;&gt;"",BU$3='Bonding Program'!$P$13,BU$3&lt;='Bonding Program'!$C$8),N('Bonding Program'!$O$13),0)</f>
        <v>0</v>
      </c>
      <c r="BV154" s="19" t="n">
        <f aca="false">IF(AND('Bonding Program'!$S$13=1,'Bonding Program'!$H$13&gt;'Bonding Program'!$C$8,BV$3='Bonding Program'!$H$13),'Bonding Program'!$T$13-'Bonding Program'!$U$13-'Bonding Program'!$Z$13,0)-IF(AND('Bonding Program'!$S$13=1,'Bonding Program'!$H$13&lt;='Bonding Program'!$C$8,BV$3=IF('Bonding Program'!$P$13&lt;&gt;"",'Bonding Program'!$P$13,'Bonding Program'!$C$8)),'Bonding Program'!$Z$13,0)+IF(AND('Bonding Program'!$P$13&lt;&gt;"",BV$3='Bonding Program'!$P$13,BV$3&lt;='Bonding Program'!$C$8),N('Bonding Program'!$O$13),0)</f>
        <v>0</v>
      </c>
      <c r="BW154" s="19" t="n">
        <f aca="false">IF(AND('Bonding Program'!$S$13=1,'Bonding Program'!$H$13&gt;'Bonding Program'!$C$8,BW$3='Bonding Program'!$H$13),'Bonding Program'!$T$13-'Bonding Program'!$U$13-'Bonding Program'!$Z$13,0)-IF(AND('Bonding Program'!$S$13=1,'Bonding Program'!$H$13&lt;='Bonding Program'!$C$8,BW$3=IF('Bonding Program'!$P$13&lt;&gt;"",'Bonding Program'!$P$13,'Bonding Program'!$C$8)),'Bonding Program'!$Z$13,0)+IF(AND('Bonding Program'!$P$13&lt;&gt;"",BW$3='Bonding Program'!$P$13,BW$3&lt;='Bonding Program'!$C$8),N('Bonding Program'!$O$13),0)</f>
        <v>0</v>
      </c>
      <c r="BX154" s="19" t="n">
        <f aca="false">IF(AND('Bonding Program'!$S$13=1,'Bonding Program'!$H$13&gt;'Bonding Program'!$C$8,BX$3='Bonding Program'!$H$13),'Bonding Program'!$T$13-'Bonding Program'!$U$13-'Bonding Program'!$Z$13,0)-IF(AND('Bonding Program'!$S$13=1,'Bonding Program'!$H$13&lt;='Bonding Program'!$C$8,BX$3=IF('Bonding Program'!$P$13&lt;&gt;"",'Bonding Program'!$P$13,'Bonding Program'!$C$8)),'Bonding Program'!$Z$13,0)+IF(AND('Bonding Program'!$P$13&lt;&gt;"",BX$3='Bonding Program'!$P$13,BX$3&lt;='Bonding Program'!$C$8),N('Bonding Program'!$O$13),0)</f>
        <v>0</v>
      </c>
      <c r="BY154" s="19" t="n">
        <f aca="false">IF(AND('Bonding Program'!$S$13=1,'Bonding Program'!$H$13&gt;'Bonding Program'!$C$8,BY$3='Bonding Program'!$H$13),'Bonding Program'!$T$13-'Bonding Program'!$U$13-'Bonding Program'!$Z$13,0)-IF(AND('Bonding Program'!$S$13=1,'Bonding Program'!$H$13&lt;='Bonding Program'!$C$8,BY$3=IF('Bonding Program'!$P$13&lt;&gt;"",'Bonding Program'!$P$13,'Bonding Program'!$C$8)),'Bonding Program'!$Z$13,0)+IF(AND('Bonding Program'!$P$13&lt;&gt;"",BY$3='Bonding Program'!$P$13,BY$3&lt;='Bonding Program'!$C$8),N('Bonding Program'!$O$13),0)</f>
        <v>0</v>
      </c>
      <c r="BZ154" s="19" t="n">
        <f aca="false">IF(AND('Bonding Program'!$S$13=1,'Bonding Program'!$H$13&gt;'Bonding Program'!$C$8,BZ$3='Bonding Program'!$H$13),'Bonding Program'!$T$13-'Bonding Program'!$U$13-'Bonding Program'!$Z$13,0)-IF(AND('Bonding Program'!$S$13=1,'Bonding Program'!$H$13&lt;='Bonding Program'!$C$8,BZ$3=IF('Bonding Program'!$P$13&lt;&gt;"",'Bonding Program'!$P$13,'Bonding Program'!$C$8)),'Bonding Program'!$Z$13,0)+IF(AND('Bonding Program'!$P$13&lt;&gt;"",BZ$3='Bonding Program'!$P$13,BZ$3&lt;='Bonding Program'!$C$8),N('Bonding Program'!$O$13),0)</f>
        <v>0</v>
      </c>
      <c r="CA154" s="19" t="n">
        <f aca="false">IF(AND('Bonding Program'!$S$13=1,'Bonding Program'!$H$13&gt;'Bonding Program'!$C$8,CA$3='Bonding Program'!$H$13),'Bonding Program'!$T$13-'Bonding Program'!$U$13-'Bonding Program'!$Z$13,0)-IF(AND('Bonding Program'!$S$13=1,'Bonding Program'!$H$13&lt;='Bonding Program'!$C$8,CA$3=IF('Bonding Program'!$P$13&lt;&gt;"",'Bonding Program'!$P$13,'Bonding Program'!$C$8)),'Bonding Program'!$Z$13,0)+IF(AND('Bonding Program'!$P$13&lt;&gt;"",CA$3='Bonding Program'!$P$13,CA$3&lt;='Bonding Program'!$C$8),N('Bonding Program'!$O$13),0)</f>
        <v>0</v>
      </c>
      <c r="CB154" s="19" t="n">
        <f aca="false">IF(AND('Bonding Program'!$S$13=1,'Bonding Program'!$H$13&gt;'Bonding Program'!$C$8,CB$3='Bonding Program'!$H$13),'Bonding Program'!$T$13-'Bonding Program'!$U$13-'Bonding Program'!$Z$13,0)-IF(AND('Bonding Program'!$S$13=1,'Bonding Program'!$H$13&lt;='Bonding Program'!$C$8,CB$3=IF('Bonding Program'!$P$13&lt;&gt;"",'Bonding Program'!$P$13,'Bonding Program'!$C$8)),'Bonding Program'!$Z$13,0)+IF(AND('Bonding Program'!$P$13&lt;&gt;"",CB$3='Bonding Program'!$P$13,CB$3&lt;='Bonding Program'!$C$8),N('Bonding Program'!$O$13),0)</f>
        <v>0</v>
      </c>
      <c r="CC154" s="19" t="n">
        <f aca="false">IF(AND('Bonding Program'!$S$13=1,'Bonding Program'!$H$13&gt;'Bonding Program'!$C$8,CC$3='Bonding Program'!$H$13),'Bonding Program'!$T$13-'Bonding Program'!$U$13-'Bonding Program'!$Z$13,0)-IF(AND('Bonding Program'!$S$13=1,'Bonding Program'!$H$13&lt;='Bonding Program'!$C$8,CC$3=IF('Bonding Program'!$P$13&lt;&gt;"",'Bonding Program'!$P$13,'Bonding Program'!$C$8)),'Bonding Program'!$Z$13,0)+IF(AND('Bonding Program'!$P$13&lt;&gt;"",CC$3='Bonding Program'!$P$13,CC$3&lt;='Bonding Program'!$C$8),N('Bonding Program'!$O$13),0)</f>
        <v>0</v>
      </c>
      <c r="CD154" s="19" t="n">
        <f aca="false">IF(AND('Bonding Program'!$S$13=1,'Bonding Program'!$H$13&gt;'Bonding Program'!$C$8,CD$3='Bonding Program'!$H$13),'Bonding Program'!$T$13-'Bonding Program'!$U$13-'Bonding Program'!$Z$13,0)-IF(AND('Bonding Program'!$S$13=1,'Bonding Program'!$H$13&lt;='Bonding Program'!$C$8,CD$3=IF('Bonding Program'!$P$13&lt;&gt;"",'Bonding Program'!$P$13,'Bonding Program'!$C$8)),'Bonding Program'!$Z$13,0)+IF(AND('Bonding Program'!$P$13&lt;&gt;"",CD$3='Bonding Program'!$P$13,CD$3&lt;='Bonding Program'!$C$8),N('Bonding Program'!$O$13),0)</f>
        <v>0</v>
      </c>
      <c r="CE154" s="19" t="n">
        <f aca="false">IF(AND('Bonding Program'!$S$13=1,'Bonding Program'!$H$13&gt;'Bonding Program'!$C$8,CE$3='Bonding Program'!$H$13),'Bonding Program'!$T$13-'Bonding Program'!$U$13-'Bonding Program'!$Z$13,0)-IF(AND('Bonding Program'!$S$13=1,'Bonding Program'!$H$13&lt;='Bonding Program'!$C$8,CE$3=IF('Bonding Program'!$P$13&lt;&gt;"",'Bonding Program'!$P$13,'Bonding Program'!$C$8)),'Bonding Program'!$Z$13,0)+IF(AND('Bonding Program'!$P$13&lt;&gt;"",CE$3='Bonding Program'!$P$13,CE$3&lt;='Bonding Program'!$C$8),N('Bonding Program'!$O$13),0)</f>
        <v>0</v>
      </c>
      <c r="CF154" s="19" t="n">
        <f aca="false">IF(AND('Bonding Program'!$S$13=1,'Bonding Program'!$H$13&gt;'Bonding Program'!$C$8,CF$3='Bonding Program'!$H$13),'Bonding Program'!$T$13-'Bonding Program'!$U$13-'Bonding Program'!$Z$13,0)-IF(AND('Bonding Program'!$S$13=1,'Bonding Program'!$H$13&lt;='Bonding Program'!$C$8,CF$3=IF('Bonding Program'!$P$13&lt;&gt;"",'Bonding Program'!$P$13,'Bonding Program'!$C$8)),'Bonding Program'!$Z$13,0)+IF(AND('Bonding Program'!$P$13&lt;&gt;"",CF$3='Bonding Program'!$P$13,CF$3&lt;='Bonding Program'!$C$8),N('Bonding Program'!$O$13),0)</f>
        <v>0</v>
      </c>
      <c r="CG154" s="19" t="n">
        <f aca="false">IF(AND('Bonding Program'!$S$13=1,'Bonding Program'!$H$13&gt;'Bonding Program'!$C$8,CG$3='Bonding Program'!$H$13),'Bonding Program'!$T$13-'Bonding Program'!$U$13-'Bonding Program'!$Z$13,0)-IF(AND('Bonding Program'!$S$13=1,'Bonding Program'!$H$13&lt;='Bonding Program'!$C$8,CG$3=IF('Bonding Program'!$P$13&lt;&gt;"",'Bonding Program'!$P$13,'Bonding Program'!$C$8)),'Bonding Program'!$Z$13,0)+IF(AND('Bonding Program'!$P$13&lt;&gt;"",CG$3='Bonding Program'!$P$13,CG$3&lt;='Bonding Program'!$C$8),N('Bonding Program'!$O$13),0)</f>
        <v>0</v>
      </c>
      <c r="CH154" s="19" t="n">
        <f aca="false">IF(AND('Bonding Program'!$S$13=1,'Bonding Program'!$H$13&gt;'Bonding Program'!$C$8,CH$3='Bonding Program'!$H$13),'Bonding Program'!$T$13-'Bonding Program'!$U$13-'Bonding Program'!$Z$13,0)-IF(AND('Bonding Program'!$S$13=1,'Bonding Program'!$H$13&lt;='Bonding Program'!$C$8,CH$3=IF('Bonding Program'!$P$13&lt;&gt;"",'Bonding Program'!$P$13,'Bonding Program'!$C$8)),'Bonding Program'!$Z$13,0)+IF(AND('Bonding Program'!$P$13&lt;&gt;"",CH$3='Bonding Program'!$P$13,CH$3&lt;='Bonding Program'!$C$8),N('Bonding Program'!$O$13),0)</f>
        <v>0</v>
      </c>
      <c r="CI154" s="19" t="n">
        <f aca="false">IF(AND('Bonding Program'!$S$13=1,'Bonding Program'!$H$13&gt;'Bonding Program'!$C$8,CI$3='Bonding Program'!$H$13),'Bonding Program'!$T$13-'Bonding Program'!$U$13-'Bonding Program'!$Z$13,0)-IF(AND('Bonding Program'!$S$13=1,'Bonding Program'!$H$13&lt;='Bonding Program'!$C$8,CI$3=IF('Bonding Program'!$P$13&lt;&gt;"",'Bonding Program'!$P$13,'Bonding Program'!$C$8)),'Bonding Program'!$Z$13,0)+IF(AND('Bonding Program'!$P$13&lt;&gt;"",CI$3='Bonding Program'!$P$13,CI$3&lt;='Bonding Program'!$C$8),N('Bonding Program'!$O$13),0)</f>
        <v>0</v>
      </c>
      <c r="CJ154" s="19" t="n">
        <f aca="false">IF(AND('Bonding Program'!$S$13=1,'Bonding Program'!$H$13&gt;'Bonding Program'!$C$8,CJ$3='Bonding Program'!$H$13),'Bonding Program'!$T$13-'Bonding Program'!$U$13-'Bonding Program'!$Z$13,0)-IF(AND('Bonding Program'!$S$13=1,'Bonding Program'!$H$13&lt;='Bonding Program'!$C$8,CJ$3=IF('Bonding Program'!$P$13&lt;&gt;"",'Bonding Program'!$P$13,'Bonding Program'!$C$8)),'Bonding Program'!$Z$13,0)+IF(AND('Bonding Program'!$P$13&lt;&gt;"",CJ$3='Bonding Program'!$P$13,CJ$3&lt;='Bonding Program'!$C$8),N('Bonding Program'!$O$13),0)</f>
        <v>0</v>
      </c>
      <c r="CK154" s="19" t="n">
        <f aca="false">IF(AND('Bonding Program'!$S$13=1,'Bonding Program'!$H$13&gt;'Bonding Program'!$C$8,CK$3='Bonding Program'!$H$13),'Bonding Program'!$T$13-'Bonding Program'!$U$13-'Bonding Program'!$Z$13,0)-IF(AND('Bonding Program'!$S$13=1,'Bonding Program'!$H$13&lt;='Bonding Program'!$C$8,CK$3=IF('Bonding Program'!$P$13&lt;&gt;"",'Bonding Program'!$P$13,'Bonding Program'!$C$8)),'Bonding Program'!$Z$13,0)+IF(AND('Bonding Program'!$P$13&lt;&gt;"",CK$3='Bonding Program'!$P$13,CK$3&lt;='Bonding Program'!$C$8),N('Bonding Program'!$O$13),0)</f>
        <v>0</v>
      </c>
      <c r="CL154" s="19" t="n">
        <f aca="false">IF(AND('Bonding Program'!$S$13=1,'Bonding Program'!$H$13&gt;'Bonding Program'!$C$8,CL$3='Bonding Program'!$H$13),'Bonding Program'!$T$13-'Bonding Program'!$U$13-'Bonding Program'!$Z$13,0)-IF(AND('Bonding Program'!$S$13=1,'Bonding Program'!$H$13&lt;='Bonding Program'!$C$8,CL$3=IF('Bonding Program'!$P$13&lt;&gt;"",'Bonding Program'!$P$13,'Bonding Program'!$C$8)),'Bonding Program'!$Z$13,0)+IF(AND('Bonding Program'!$P$13&lt;&gt;"",CL$3='Bonding Program'!$P$13,CL$3&lt;='Bonding Program'!$C$8),N('Bonding Program'!$O$13),0)</f>
        <v>0</v>
      </c>
      <c r="CM154" s="19" t="n">
        <f aca="false">IF(AND('Bonding Program'!$S$13=1,'Bonding Program'!$H$13&gt;'Bonding Program'!$C$8,CM$3='Bonding Program'!$H$13),'Bonding Program'!$T$13-'Bonding Program'!$U$13-'Bonding Program'!$Z$13,0)-IF(AND('Bonding Program'!$S$13=1,'Bonding Program'!$H$13&lt;='Bonding Program'!$C$8,CM$3=IF('Bonding Program'!$P$13&lt;&gt;"",'Bonding Program'!$P$13,'Bonding Program'!$C$8)),'Bonding Program'!$Z$13,0)+IF(AND('Bonding Program'!$P$13&lt;&gt;"",CM$3='Bonding Program'!$P$13,CM$3&lt;='Bonding Program'!$C$8),N('Bonding Program'!$O$13),0)</f>
        <v>0</v>
      </c>
      <c r="CN154" s="19" t="n">
        <f aca="false">IF(AND('Bonding Program'!$S$13=1,'Bonding Program'!$H$13&gt;'Bonding Program'!$C$8,CN$3='Bonding Program'!$H$13),'Bonding Program'!$T$13-'Bonding Program'!$U$13-'Bonding Program'!$Z$13,0)-IF(AND('Bonding Program'!$S$13=1,'Bonding Program'!$H$13&lt;='Bonding Program'!$C$8,CN$3=IF('Bonding Program'!$P$13&lt;&gt;"",'Bonding Program'!$P$13,'Bonding Program'!$C$8)),'Bonding Program'!$Z$13,0)+IF(AND('Bonding Program'!$P$13&lt;&gt;"",CN$3='Bonding Program'!$P$13,CN$3&lt;='Bonding Program'!$C$8),N('Bonding Program'!$O$13),0)</f>
        <v>0</v>
      </c>
      <c r="CO154" s="19" t="n">
        <f aca="false">IF(AND('Bonding Program'!$S$13=1,'Bonding Program'!$H$13&gt;'Bonding Program'!$C$8,CO$3='Bonding Program'!$H$13),'Bonding Program'!$T$13-'Bonding Program'!$U$13-'Bonding Program'!$Z$13,0)-IF(AND('Bonding Program'!$S$13=1,'Bonding Program'!$H$13&lt;='Bonding Program'!$C$8,CO$3=IF('Bonding Program'!$P$13&lt;&gt;"",'Bonding Program'!$P$13,'Bonding Program'!$C$8)),'Bonding Program'!$Z$13,0)+IF(AND('Bonding Program'!$P$13&lt;&gt;"",CO$3='Bonding Program'!$P$13,CO$3&lt;='Bonding Program'!$C$8),N('Bonding Program'!$O$13),0)</f>
        <v>0</v>
      </c>
      <c r="CP154" s="19" t="n">
        <f aca="false">IF(AND('Bonding Program'!$S$13=1,'Bonding Program'!$H$13&gt;'Bonding Program'!$C$8,CP$3='Bonding Program'!$H$13),'Bonding Program'!$T$13-'Bonding Program'!$U$13-'Bonding Program'!$Z$13,0)-IF(AND('Bonding Program'!$S$13=1,'Bonding Program'!$H$13&lt;='Bonding Program'!$C$8,CP$3=IF('Bonding Program'!$P$13&lt;&gt;"",'Bonding Program'!$P$13,'Bonding Program'!$C$8)),'Bonding Program'!$Z$13,0)+IF(AND('Bonding Program'!$P$13&lt;&gt;"",CP$3='Bonding Program'!$P$13,CP$3&lt;='Bonding Program'!$C$8),N('Bonding Program'!$O$13),0)</f>
        <v>0</v>
      </c>
      <c r="CQ154" s="19" t="n">
        <f aca="false">IF(AND('Bonding Program'!$S$13=1,'Bonding Program'!$H$13&gt;'Bonding Program'!$C$8,CQ$3='Bonding Program'!$H$13),'Bonding Program'!$T$13-'Bonding Program'!$U$13-'Bonding Program'!$Z$13,0)-IF(AND('Bonding Program'!$S$13=1,'Bonding Program'!$H$13&lt;='Bonding Program'!$C$8,CQ$3=IF('Bonding Program'!$P$13&lt;&gt;"",'Bonding Program'!$P$13,'Bonding Program'!$C$8)),'Bonding Program'!$Z$13,0)+IF(AND('Bonding Program'!$P$13&lt;&gt;"",CQ$3='Bonding Program'!$P$13,CQ$3&lt;='Bonding Program'!$C$8),N('Bonding Program'!$O$13),0)</f>
        <v>0</v>
      </c>
      <c r="CR154" s="19" t="n">
        <f aca="false">IF(AND('Bonding Program'!$S$13=1,'Bonding Program'!$H$13&gt;'Bonding Program'!$C$8,CR$3='Bonding Program'!$H$13),'Bonding Program'!$T$13-'Bonding Program'!$U$13-'Bonding Program'!$Z$13,0)-IF(AND('Bonding Program'!$S$13=1,'Bonding Program'!$H$13&lt;='Bonding Program'!$C$8,CR$3=IF('Bonding Program'!$P$13&lt;&gt;"",'Bonding Program'!$P$13,'Bonding Program'!$C$8)),'Bonding Program'!$Z$13,0)+IF(AND('Bonding Program'!$P$13&lt;&gt;"",CR$3='Bonding Program'!$P$13,CR$3&lt;='Bonding Program'!$C$8),N('Bonding Program'!$O$13),0)</f>
        <v>0</v>
      </c>
      <c r="CS154" s="19" t="n">
        <f aca="false">IF(AND('Bonding Program'!$S$13=1,'Bonding Program'!$H$13&gt;'Bonding Program'!$C$8,CS$3='Bonding Program'!$H$13),'Bonding Program'!$T$13-'Bonding Program'!$U$13-'Bonding Program'!$Z$13,0)-IF(AND('Bonding Program'!$S$13=1,'Bonding Program'!$H$13&lt;='Bonding Program'!$C$8,CS$3=IF('Bonding Program'!$P$13&lt;&gt;"",'Bonding Program'!$P$13,'Bonding Program'!$C$8)),'Bonding Program'!$Z$13,0)+IF(AND('Bonding Program'!$P$13&lt;&gt;"",CS$3='Bonding Program'!$P$13,CS$3&lt;='Bonding Program'!$C$8),N('Bonding Program'!$O$13),0)</f>
        <v>0</v>
      </c>
      <c r="CT154" s="19" t="n">
        <f aca="false">IF(AND('Bonding Program'!$S$13=1,'Bonding Program'!$H$13&gt;'Bonding Program'!$C$8,CT$3='Bonding Program'!$H$13),'Bonding Program'!$T$13-'Bonding Program'!$U$13-'Bonding Program'!$Z$13,0)-IF(AND('Bonding Program'!$S$13=1,'Bonding Program'!$H$13&lt;='Bonding Program'!$C$8,CT$3=IF('Bonding Program'!$P$13&lt;&gt;"",'Bonding Program'!$P$13,'Bonding Program'!$C$8)),'Bonding Program'!$Z$13,0)+IF(AND('Bonding Program'!$P$13&lt;&gt;"",CT$3='Bonding Program'!$P$13,CT$3&lt;='Bonding Program'!$C$8),N('Bonding Program'!$O$13),0)</f>
        <v>0</v>
      </c>
      <c r="CU154" s="19" t="n">
        <f aca="false">IF(AND('Bonding Program'!$S$13=1,'Bonding Program'!$H$13&gt;'Bonding Program'!$C$8,CU$3='Bonding Program'!$H$13),'Bonding Program'!$T$13-'Bonding Program'!$U$13-'Bonding Program'!$Z$13,0)-IF(AND('Bonding Program'!$S$13=1,'Bonding Program'!$H$13&lt;='Bonding Program'!$C$8,CU$3=IF('Bonding Program'!$P$13&lt;&gt;"",'Bonding Program'!$P$13,'Bonding Program'!$C$8)),'Bonding Program'!$Z$13,0)+IF(AND('Bonding Program'!$P$13&lt;&gt;"",CU$3='Bonding Program'!$P$13,CU$3&lt;='Bonding Program'!$C$8),N('Bonding Program'!$O$13),0)</f>
        <v>0</v>
      </c>
      <c r="CV154" s="19" t="n">
        <f aca="false">IF(AND('Bonding Program'!$S$13=1,'Bonding Program'!$H$13&gt;'Bonding Program'!$C$8,CV$3='Bonding Program'!$H$13),'Bonding Program'!$T$13-'Bonding Program'!$U$13-'Bonding Program'!$Z$13,0)-IF(AND('Bonding Program'!$S$13=1,'Bonding Program'!$H$13&lt;='Bonding Program'!$C$8,CV$3=IF('Bonding Program'!$P$13&lt;&gt;"",'Bonding Program'!$P$13,'Bonding Program'!$C$8)),'Bonding Program'!$Z$13,0)+IF(AND('Bonding Program'!$P$13&lt;&gt;"",CV$3='Bonding Program'!$P$13,CV$3&lt;='Bonding Program'!$C$8),N('Bonding Program'!$O$13),0)</f>
        <v>0</v>
      </c>
      <c r="CW154" s="19" t="n">
        <f aca="false">IF(AND('Bonding Program'!$S$13=1,'Bonding Program'!$H$13&gt;'Bonding Program'!$C$8,CW$3='Bonding Program'!$H$13),'Bonding Program'!$T$13-'Bonding Program'!$U$13-'Bonding Program'!$Z$13,0)-IF(AND('Bonding Program'!$S$13=1,'Bonding Program'!$H$13&lt;='Bonding Program'!$C$8,CW$3=IF('Bonding Program'!$P$13&lt;&gt;"",'Bonding Program'!$P$13,'Bonding Program'!$C$8)),'Bonding Program'!$Z$13,0)+IF(AND('Bonding Program'!$P$13&lt;&gt;"",CW$3='Bonding Program'!$P$13,CW$3&lt;='Bonding Program'!$C$8),N('Bonding Program'!$O$13),0)</f>
        <v>0</v>
      </c>
      <c r="CX154" s="19" t="n">
        <f aca="false">IF(AND('Bonding Program'!$S$13=1,'Bonding Program'!$H$13&gt;'Bonding Program'!$C$8,CX$3='Bonding Program'!$H$13),'Bonding Program'!$T$13-'Bonding Program'!$U$13-'Bonding Program'!$Z$13,0)-IF(AND('Bonding Program'!$S$13=1,'Bonding Program'!$H$13&lt;='Bonding Program'!$C$8,CX$3=IF('Bonding Program'!$P$13&lt;&gt;"",'Bonding Program'!$P$13,'Bonding Program'!$C$8)),'Bonding Program'!$Z$13,0)+IF(AND('Bonding Program'!$P$13&lt;&gt;"",CX$3='Bonding Program'!$P$13,CX$3&lt;='Bonding Program'!$C$8),N('Bonding Program'!$O$13),0)</f>
        <v>0</v>
      </c>
      <c r="CY154" s="19" t="n">
        <f aca="false">IF(AND('Bonding Program'!$S$13=1,'Bonding Program'!$H$13&gt;'Bonding Program'!$C$8,CY$3='Bonding Program'!$H$13),'Bonding Program'!$T$13-'Bonding Program'!$U$13-'Bonding Program'!$Z$13,0)-IF(AND('Bonding Program'!$S$13=1,'Bonding Program'!$H$13&lt;='Bonding Program'!$C$8,CY$3=IF('Bonding Program'!$P$13&lt;&gt;"",'Bonding Program'!$P$13,'Bonding Program'!$C$8)),'Bonding Program'!$Z$13,0)+IF(AND('Bonding Program'!$P$13&lt;&gt;"",CY$3='Bonding Program'!$P$13,CY$3&lt;='Bonding Program'!$C$8),N('Bonding Program'!$O$13),0)</f>
        <v>0</v>
      </c>
      <c r="CZ154" s="19" t="n">
        <f aca="false">IF(AND('Bonding Program'!$S$13=1,'Bonding Program'!$H$13&gt;'Bonding Program'!$C$8,CZ$3='Bonding Program'!$H$13),'Bonding Program'!$T$13-'Bonding Program'!$U$13-'Bonding Program'!$Z$13,0)-IF(AND('Bonding Program'!$S$13=1,'Bonding Program'!$H$13&lt;='Bonding Program'!$C$8,CZ$3=IF('Bonding Program'!$P$13&lt;&gt;"",'Bonding Program'!$P$13,'Bonding Program'!$C$8)),'Bonding Program'!$Z$13,0)+IF(AND('Bonding Program'!$P$13&lt;&gt;"",CZ$3='Bonding Program'!$P$13,CZ$3&lt;='Bonding Program'!$C$8),N('Bonding Program'!$O$13),0)</f>
        <v>0</v>
      </c>
      <c r="DA154" s="19" t="n">
        <f aca="false">IF(AND('Bonding Program'!$S$13=1,'Bonding Program'!$H$13&gt;'Bonding Program'!$C$8,DA$3='Bonding Program'!$H$13),'Bonding Program'!$T$13-'Bonding Program'!$U$13-'Bonding Program'!$Z$13,0)-IF(AND('Bonding Program'!$S$13=1,'Bonding Program'!$H$13&lt;='Bonding Program'!$C$8,DA$3=IF('Bonding Program'!$P$13&lt;&gt;"",'Bonding Program'!$P$13,'Bonding Program'!$C$8)),'Bonding Program'!$Z$13,0)+IF(AND('Bonding Program'!$P$13&lt;&gt;"",DA$3='Bonding Program'!$P$13,DA$3&lt;='Bonding Program'!$C$8),N('Bonding Program'!$O$13),0)</f>
        <v>0</v>
      </c>
      <c r="DB154" s="19" t="n">
        <f aca="false">IF(AND('Bonding Program'!$S$13=1,'Bonding Program'!$H$13&gt;'Bonding Program'!$C$8,DB$3='Bonding Program'!$H$13),'Bonding Program'!$T$13-'Bonding Program'!$U$13-'Bonding Program'!$Z$13,0)-IF(AND('Bonding Program'!$S$13=1,'Bonding Program'!$H$13&lt;='Bonding Program'!$C$8,DB$3=IF('Bonding Program'!$P$13&lt;&gt;"",'Bonding Program'!$P$13,'Bonding Program'!$C$8)),'Bonding Program'!$Z$13,0)+IF(AND('Bonding Program'!$P$13&lt;&gt;"",DB$3='Bonding Program'!$P$13,DB$3&lt;='Bonding Program'!$C$8),N('Bonding Program'!$O$13),0)</f>
        <v>0</v>
      </c>
      <c r="DC154" s="19" t="n">
        <f aca="false">IF(AND('Bonding Program'!$S$13=1,'Bonding Program'!$H$13&gt;'Bonding Program'!$C$8,DC$3='Bonding Program'!$H$13),'Bonding Program'!$T$13-'Bonding Program'!$U$13-'Bonding Program'!$Z$13,0)-IF(AND('Bonding Program'!$S$13=1,'Bonding Program'!$H$13&lt;='Bonding Program'!$C$8,DC$3=IF('Bonding Program'!$P$13&lt;&gt;"",'Bonding Program'!$P$13,'Bonding Program'!$C$8)),'Bonding Program'!$Z$13,0)+IF(AND('Bonding Program'!$P$13&lt;&gt;"",DC$3='Bonding Program'!$P$13,DC$3&lt;='Bonding Program'!$C$8),N('Bonding Program'!$O$13),0)</f>
        <v>0</v>
      </c>
      <c r="DD154" s="19" t="n">
        <f aca="false">IF(AND('Bonding Program'!$S$13=1,'Bonding Program'!$H$13&gt;'Bonding Program'!$C$8,DD$3='Bonding Program'!$H$13),'Bonding Program'!$T$13-'Bonding Program'!$U$13-'Bonding Program'!$Z$13,0)-IF(AND('Bonding Program'!$S$13=1,'Bonding Program'!$H$13&lt;='Bonding Program'!$C$8,DD$3=IF('Bonding Program'!$P$13&lt;&gt;"",'Bonding Program'!$P$13,'Bonding Program'!$C$8)),'Bonding Program'!$Z$13,0)+IF(AND('Bonding Program'!$P$13&lt;&gt;"",DD$3='Bonding Program'!$P$13,DD$3&lt;='Bonding Program'!$C$8),N('Bonding Program'!$O$13),0)</f>
        <v>0</v>
      </c>
      <c r="DE154" s="19" t="n">
        <f aca="false">IF(AND('Bonding Program'!$S$13=1,'Bonding Program'!$H$13&gt;'Bonding Program'!$C$8,DE$3='Bonding Program'!$H$13),'Bonding Program'!$T$13-'Bonding Program'!$U$13-'Bonding Program'!$Z$13,0)-IF(AND('Bonding Program'!$S$13=1,'Bonding Program'!$H$13&lt;='Bonding Program'!$C$8,DE$3=IF('Bonding Program'!$P$13&lt;&gt;"",'Bonding Program'!$P$13,'Bonding Program'!$C$8)),'Bonding Program'!$Z$13,0)+IF(AND('Bonding Program'!$P$13&lt;&gt;"",DE$3='Bonding Program'!$P$13,DE$3&lt;='Bonding Program'!$C$8),N('Bonding Program'!$O$13),0)</f>
        <v>0</v>
      </c>
    </row>
    <row r="155" customFormat="false" ht="15" hidden="false" customHeight="true" outlineLevel="1" collapsed="false">
      <c r="A155" s="28" t="s">
        <v>10</v>
      </c>
      <c r="B155" s="19" t="n">
        <f aca="false">IF(AND('Bonding Program'!$S$14=1,'Bonding Program'!$H$14&gt;'Bonding Program'!$C$8,B$3='Bonding Program'!$H$14),'Bonding Program'!$T$14-'Bonding Program'!$U$14-'Bonding Program'!$Z$14,0)-IF(AND('Bonding Program'!$S$14=1,'Bonding Program'!$H$14&lt;='Bonding Program'!$C$8,B$3=IF('Bonding Program'!$P$14&lt;&gt;"",'Bonding Program'!$P$14,'Bonding Program'!$C$8)),'Bonding Program'!$Z$14,0)+IF(AND('Bonding Program'!$P$14&lt;&gt;"",B$3='Bonding Program'!$P$14,B$3&lt;='Bonding Program'!$C$8),N('Bonding Program'!$O$14),0)</f>
        <v>0</v>
      </c>
      <c r="C155" s="19" t="n">
        <f aca="false">IF(AND('Bonding Program'!$S$14=1,'Bonding Program'!$H$14&gt;'Bonding Program'!$C$8,C$3='Bonding Program'!$H$14),'Bonding Program'!$T$14-'Bonding Program'!$U$14-'Bonding Program'!$Z$14,0)-IF(AND('Bonding Program'!$S$14=1,'Bonding Program'!$H$14&lt;='Bonding Program'!$C$8,C$3=IF('Bonding Program'!$P$14&lt;&gt;"",'Bonding Program'!$P$14,'Bonding Program'!$C$8)),'Bonding Program'!$Z$14,0)+IF(AND('Bonding Program'!$P$14&lt;&gt;"",C$3='Bonding Program'!$P$14,C$3&lt;='Bonding Program'!$C$8),N('Bonding Program'!$O$14),0)</f>
        <v>0</v>
      </c>
      <c r="D155" s="19" t="n">
        <f aca="false">IF(AND('Bonding Program'!$S$14=1,'Bonding Program'!$H$14&gt;'Bonding Program'!$C$8,D$3='Bonding Program'!$H$14),'Bonding Program'!$T$14-'Bonding Program'!$U$14-'Bonding Program'!$Z$14,0)-IF(AND('Bonding Program'!$S$14=1,'Bonding Program'!$H$14&lt;='Bonding Program'!$C$8,D$3=IF('Bonding Program'!$P$14&lt;&gt;"",'Bonding Program'!$P$14,'Bonding Program'!$C$8)),'Bonding Program'!$Z$14,0)+IF(AND('Bonding Program'!$P$14&lt;&gt;"",D$3='Bonding Program'!$P$14,D$3&lt;='Bonding Program'!$C$8),N('Bonding Program'!$O$14),0)</f>
        <v>0</v>
      </c>
      <c r="E155" s="19" t="n">
        <f aca="false">IF(AND('Bonding Program'!$S$14=1,'Bonding Program'!$H$14&gt;'Bonding Program'!$C$8,E$3='Bonding Program'!$H$14),'Bonding Program'!$T$14-'Bonding Program'!$U$14-'Bonding Program'!$Z$14,0)-IF(AND('Bonding Program'!$S$14=1,'Bonding Program'!$H$14&lt;='Bonding Program'!$C$8,E$3=IF('Bonding Program'!$P$14&lt;&gt;"",'Bonding Program'!$P$14,'Bonding Program'!$C$8)),'Bonding Program'!$Z$14,0)+IF(AND('Bonding Program'!$P$14&lt;&gt;"",E$3='Bonding Program'!$P$14,E$3&lt;='Bonding Program'!$C$8),N('Bonding Program'!$O$14),0)</f>
        <v>0</v>
      </c>
      <c r="F155" s="19" t="n">
        <f aca="false">IF(AND('Bonding Program'!$S$14=1,'Bonding Program'!$H$14&gt;'Bonding Program'!$C$8,F$3='Bonding Program'!$H$14),'Bonding Program'!$T$14-'Bonding Program'!$U$14-'Bonding Program'!$Z$14,0)-IF(AND('Bonding Program'!$S$14=1,'Bonding Program'!$H$14&lt;='Bonding Program'!$C$8,F$3=IF('Bonding Program'!$P$14&lt;&gt;"",'Bonding Program'!$P$14,'Bonding Program'!$C$8)),'Bonding Program'!$Z$14,0)+IF(AND('Bonding Program'!$P$14&lt;&gt;"",F$3='Bonding Program'!$P$14,F$3&lt;='Bonding Program'!$C$8),N('Bonding Program'!$O$14),0)</f>
        <v>0</v>
      </c>
      <c r="G155" s="19" t="n">
        <f aca="false">IF(AND('Bonding Program'!$S$14=1,'Bonding Program'!$H$14&gt;'Bonding Program'!$C$8,G$3='Bonding Program'!$H$14),'Bonding Program'!$T$14-'Bonding Program'!$U$14-'Bonding Program'!$Z$14,0)-IF(AND('Bonding Program'!$S$14=1,'Bonding Program'!$H$14&lt;='Bonding Program'!$C$8,G$3=IF('Bonding Program'!$P$14&lt;&gt;"",'Bonding Program'!$P$14,'Bonding Program'!$C$8)),'Bonding Program'!$Z$14,0)+IF(AND('Bonding Program'!$P$14&lt;&gt;"",G$3='Bonding Program'!$P$14,G$3&lt;='Bonding Program'!$C$8),N('Bonding Program'!$O$14),0)</f>
        <v>0</v>
      </c>
      <c r="H155" s="19" t="n">
        <f aca="false">IF(AND('Bonding Program'!$S$14=1,'Bonding Program'!$H$14&gt;'Bonding Program'!$C$8,H$3='Bonding Program'!$H$14),'Bonding Program'!$T$14-'Bonding Program'!$U$14-'Bonding Program'!$Z$14,0)-IF(AND('Bonding Program'!$S$14=1,'Bonding Program'!$H$14&lt;='Bonding Program'!$C$8,H$3=IF('Bonding Program'!$P$14&lt;&gt;"",'Bonding Program'!$P$14,'Bonding Program'!$C$8)),'Bonding Program'!$Z$14,0)+IF(AND('Bonding Program'!$P$14&lt;&gt;"",H$3='Bonding Program'!$P$14,H$3&lt;='Bonding Program'!$C$8),N('Bonding Program'!$O$14),0)</f>
        <v>0</v>
      </c>
      <c r="I155" s="19" t="n">
        <f aca="false">IF(AND('Bonding Program'!$S$14=1,'Bonding Program'!$H$14&gt;'Bonding Program'!$C$8,I$3='Bonding Program'!$H$14),'Bonding Program'!$T$14-'Bonding Program'!$U$14-'Bonding Program'!$Z$14,0)-IF(AND('Bonding Program'!$S$14=1,'Bonding Program'!$H$14&lt;='Bonding Program'!$C$8,I$3=IF('Bonding Program'!$P$14&lt;&gt;"",'Bonding Program'!$P$14,'Bonding Program'!$C$8)),'Bonding Program'!$Z$14,0)+IF(AND('Bonding Program'!$P$14&lt;&gt;"",I$3='Bonding Program'!$P$14,I$3&lt;='Bonding Program'!$C$8),N('Bonding Program'!$O$14),0)</f>
        <v>0</v>
      </c>
      <c r="J155" s="19" t="n">
        <f aca="false">IF(AND('Bonding Program'!$S$14=1,'Bonding Program'!$H$14&gt;'Bonding Program'!$C$8,J$3='Bonding Program'!$H$14),'Bonding Program'!$T$14-'Bonding Program'!$U$14-'Bonding Program'!$Z$14,0)-IF(AND('Bonding Program'!$S$14=1,'Bonding Program'!$H$14&lt;='Bonding Program'!$C$8,J$3=IF('Bonding Program'!$P$14&lt;&gt;"",'Bonding Program'!$P$14,'Bonding Program'!$C$8)),'Bonding Program'!$Z$14,0)+IF(AND('Bonding Program'!$P$14&lt;&gt;"",J$3='Bonding Program'!$P$14,J$3&lt;='Bonding Program'!$C$8),N('Bonding Program'!$O$14),0)</f>
        <v>0</v>
      </c>
      <c r="K155" s="19" t="n">
        <f aca="false">IF(AND('Bonding Program'!$S$14=1,'Bonding Program'!$H$14&gt;'Bonding Program'!$C$8,K$3='Bonding Program'!$H$14),'Bonding Program'!$T$14-'Bonding Program'!$U$14-'Bonding Program'!$Z$14,0)-IF(AND('Bonding Program'!$S$14=1,'Bonding Program'!$H$14&lt;='Bonding Program'!$C$8,K$3=IF('Bonding Program'!$P$14&lt;&gt;"",'Bonding Program'!$P$14,'Bonding Program'!$C$8)),'Bonding Program'!$Z$14,0)+IF(AND('Bonding Program'!$P$14&lt;&gt;"",K$3='Bonding Program'!$P$14,K$3&lt;='Bonding Program'!$C$8),N('Bonding Program'!$O$14),0)</f>
        <v>0</v>
      </c>
      <c r="L155" s="19" t="n">
        <f aca="false">IF(AND('Bonding Program'!$S$14=1,'Bonding Program'!$H$14&gt;'Bonding Program'!$C$8,L$3='Bonding Program'!$H$14),'Bonding Program'!$T$14-'Bonding Program'!$U$14-'Bonding Program'!$Z$14,0)-IF(AND('Bonding Program'!$S$14=1,'Bonding Program'!$H$14&lt;='Bonding Program'!$C$8,L$3=IF('Bonding Program'!$P$14&lt;&gt;"",'Bonding Program'!$P$14,'Bonding Program'!$C$8)),'Bonding Program'!$Z$14,0)+IF(AND('Bonding Program'!$P$14&lt;&gt;"",L$3='Bonding Program'!$P$14,L$3&lt;='Bonding Program'!$C$8),N('Bonding Program'!$O$14),0)</f>
        <v>0</v>
      </c>
      <c r="M155" s="19" t="n">
        <f aca="false">IF(AND('Bonding Program'!$S$14=1,'Bonding Program'!$H$14&gt;'Bonding Program'!$C$8,M$3='Bonding Program'!$H$14),'Bonding Program'!$T$14-'Bonding Program'!$U$14-'Bonding Program'!$Z$14,0)-IF(AND('Bonding Program'!$S$14=1,'Bonding Program'!$H$14&lt;='Bonding Program'!$C$8,M$3=IF('Bonding Program'!$P$14&lt;&gt;"",'Bonding Program'!$P$14,'Bonding Program'!$C$8)),'Bonding Program'!$Z$14,0)+IF(AND('Bonding Program'!$P$14&lt;&gt;"",M$3='Bonding Program'!$P$14,M$3&lt;='Bonding Program'!$C$8),N('Bonding Program'!$O$14),0)</f>
        <v>0</v>
      </c>
      <c r="N155" s="19" t="n">
        <f aca="false">IF(AND('Bonding Program'!$S$14=1,'Bonding Program'!$H$14&gt;'Bonding Program'!$C$8,N$3='Bonding Program'!$H$14),'Bonding Program'!$T$14-'Bonding Program'!$U$14-'Bonding Program'!$Z$14,0)-IF(AND('Bonding Program'!$S$14=1,'Bonding Program'!$H$14&lt;='Bonding Program'!$C$8,N$3=IF('Bonding Program'!$P$14&lt;&gt;"",'Bonding Program'!$P$14,'Bonding Program'!$C$8)),'Bonding Program'!$Z$14,0)+IF(AND('Bonding Program'!$P$14&lt;&gt;"",N$3='Bonding Program'!$P$14,N$3&lt;='Bonding Program'!$C$8),N('Bonding Program'!$O$14),0)</f>
        <v>0</v>
      </c>
      <c r="O155" s="19" t="n">
        <f aca="false">IF(AND('Bonding Program'!$S$14=1,'Bonding Program'!$H$14&gt;'Bonding Program'!$C$8,O$3='Bonding Program'!$H$14),'Bonding Program'!$T$14-'Bonding Program'!$U$14-'Bonding Program'!$Z$14,0)-IF(AND('Bonding Program'!$S$14=1,'Bonding Program'!$H$14&lt;='Bonding Program'!$C$8,O$3=IF('Bonding Program'!$P$14&lt;&gt;"",'Bonding Program'!$P$14,'Bonding Program'!$C$8)),'Bonding Program'!$Z$14,0)+IF(AND('Bonding Program'!$P$14&lt;&gt;"",O$3='Bonding Program'!$P$14,O$3&lt;='Bonding Program'!$C$8),N('Bonding Program'!$O$14),0)</f>
        <v>0</v>
      </c>
      <c r="P155" s="19" t="n">
        <f aca="false">IF(AND('Bonding Program'!$S$14=1,'Bonding Program'!$H$14&gt;'Bonding Program'!$C$8,P$3='Bonding Program'!$H$14),'Bonding Program'!$T$14-'Bonding Program'!$U$14-'Bonding Program'!$Z$14,0)-IF(AND('Bonding Program'!$S$14=1,'Bonding Program'!$H$14&lt;='Bonding Program'!$C$8,P$3=IF('Bonding Program'!$P$14&lt;&gt;"",'Bonding Program'!$P$14,'Bonding Program'!$C$8)),'Bonding Program'!$Z$14,0)+IF(AND('Bonding Program'!$P$14&lt;&gt;"",P$3='Bonding Program'!$P$14,P$3&lt;='Bonding Program'!$C$8),N('Bonding Program'!$O$14),0)</f>
        <v>0</v>
      </c>
      <c r="Q155" s="19" t="n">
        <f aca="false">IF(AND('Bonding Program'!$S$14=1,'Bonding Program'!$H$14&gt;'Bonding Program'!$C$8,Q$3='Bonding Program'!$H$14),'Bonding Program'!$T$14-'Bonding Program'!$U$14-'Bonding Program'!$Z$14,0)-IF(AND('Bonding Program'!$S$14=1,'Bonding Program'!$H$14&lt;='Bonding Program'!$C$8,Q$3=IF('Bonding Program'!$P$14&lt;&gt;"",'Bonding Program'!$P$14,'Bonding Program'!$C$8)),'Bonding Program'!$Z$14,0)+IF(AND('Bonding Program'!$P$14&lt;&gt;"",Q$3='Bonding Program'!$P$14,Q$3&lt;='Bonding Program'!$C$8),N('Bonding Program'!$O$14),0)</f>
        <v>0</v>
      </c>
      <c r="R155" s="19" t="n">
        <f aca="false">IF(AND('Bonding Program'!$S$14=1,'Bonding Program'!$H$14&gt;'Bonding Program'!$C$8,R$3='Bonding Program'!$H$14),'Bonding Program'!$T$14-'Bonding Program'!$U$14-'Bonding Program'!$Z$14,0)-IF(AND('Bonding Program'!$S$14=1,'Bonding Program'!$H$14&lt;='Bonding Program'!$C$8,R$3=IF('Bonding Program'!$P$14&lt;&gt;"",'Bonding Program'!$P$14,'Bonding Program'!$C$8)),'Bonding Program'!$Z$14,0)+IF(AND('Bonding Program'!$P$14&lt;&gt;"",R$3='Bonding Program'!$P$14,R$3&lt;='Bonding Program'!$C$8),N('Bonding Program'!$O$14),0)</f>
        <v>0</v>
      </c>
      <c r="S155" s="19" t="n">
        <f aca="false">IF(AND('Bonding Program'!$S$14=1,'Bonding Program'!$H$14&gt;'Bonding Program'!$C$8,S$3='Bonding Program'!$H$14),'Bonding Program'!$T$14-'Bonding Program'!$U$14-'Bonding Program'!$Z$14,0)-IF(AND('Bonding Program'!$S$14=1,'Bonding Program'!$H$14&lt;='Bonding Program'!$C$8,S$3=IF('Bonding Program'!$P$14&lt;&gt;"",'Bonding Program'!$P$14,'Bonding Program'!$C$8)),'Bonding Program'!$Z$14,0)+IF(AND('Bonding Program'!$P$14&lt;&gt;"",S$3='Bonding Program'!$P$14,S$3&lt;='Bonding Program'!$C$8),N('Bonding Program'!$O$14),0)</f>
        <v>0</v>
      </c>
      <c r="T155" s="19" t="n">
        <f aca="false">IF(AND('Bonding Program'!$S$14=1,'Bonding Program'!$H$14&gt;'Bonding Program'!$C$8,T$3='Bonding Program'!$H$14),'Bonding Program'!$T$14-'Bonding Program'!$U$14-'Bonding Program'!$Z$14,0)-IF(AND('Bonding Program'!$S$14=1,'Bonding Program'!$H$14&lt;='Bonding Program'!$C$8,T$3=IF('Bonding Program'!$P$14&lt;&gt;"",'Bonding Program'!$P$14,'Bonding Program'!$C$8)),'Bonding Program'!$Z$14,0)+IF(AND('Bonding Program'!$P$14&lt;&gt;"",T$3='Bonding Program'!$P$14,T$3&lt;='Bonding Program'!$C$8),N('Bonding Program'!$O$14),0)</f>
        <v>0</v>
      </c>
      <c r="U155" s="19" t="n">
        <f aca="false">IF(AND('Bonding Program'!$S$14=1,'Bonding Program'!$H$14&gt;'Bonding Program'!$C$8,U$3='Bonding Program'!$H$14),'Bonding Program'!$T$14-'Bonding Program'!$U$14-'Bonding Program'!$Z$14,0)-IF(AND('Bonding Program'!$S$14=1,'Bonding Program'!$H$14&lt;='Bonding Program'!$C$8,U$3=IF('Bonding Program'!$P$14&lt;&gt;"",'Bonding Program'!$P$14,'Bonding Program'!$C$8)),'Bonding Program'!$Z$14,0)+IF(AND('Bonding Program'!$P$14&lt;&gt;"",U$3='Bonding Program'!$P$14,U$3&lt;='Bonding Program'!$C$8),N('Bonding Program'!$O$14),0)</f>
        <v>0</v>
      </c>
      <c r="V155" s="19" t="n">
        <f aca="false">IF(AND('Bonding Program'!$S$14=1,'Bonding Program'!$H$14&gt;'Bonding Program'!$C$8,V$3='Bonding Program'!$H$14),'Bonding Program'!$T$14-'Bonding Program'!$U$14-'Bonding Program'!$Z$14,0)-IF(AND('Bonding Program'!$S$14=1,'Bonding Program'!$H$14&lt;='Bonding Program'!$C$8,V$3=IF('Bonding Program'!$P$14&lt;&gt;"",'Bonding Program'!$P$14,'Bonding Program'!$C$8)),'Bonding Program'!$Z$14,0)+IF(AND('Bonding Program'!$P$14&lt;&gt;"",V$3='Bonding Program'!$P$14,V$3&lt;='Bonding Program'!$C$8),N('Bonding Program'!$O$14),0)</f>
        <v>0</v>
      </c>
      <c r="W155" s="19" t="n">
        <f aca="false">IF(AND('Bonding Program'!$S$14=1,'Bonding Program'!$H$14&gt;'Bonding Program'!$C$8,W$3='Bonding Program'!$H$14),'Bonding Program'!$T$14-'Bonding Program'!$U$14-'Bonding Program'!$Z$14,0)-IF(AND('Bonding Program'!$S$14=1,'Bonding Program'!$H$14&lt;='Bonding Program'!$C$8,W$3=IF('Bonding Program'!$P$14&lt;&gt;"",'Bonding Program'!$P$14,'Bonding Program'!$C$8)),'Bonding Program'!$Z$14,0)+IF(AND('Bonding Program'!$P$14&lt;&gt;"",W$3='Bonding Program'!$P$14,W$3&lt;='Bonding Program'!$C$8),N('Bonding Program'!$O$14),0)</f>
        <v>0</v>
      </c>
      <c r="X155" s="19" t="n">
        <f aca="false">IF(AND('Bonding Program'!$S$14=1,'Bonding Program'!$H$14&gt;'Bonding Program'!$C$8,X$3='Bonding Program'!$H$14),'Bonding Program'!$T$14-'Bonding Program'!$U$14-'Bonding Program'!$Z$14,0)-IF(AND('Bonding Program'!$S$14=1,'Bonding Program'!$H$14&lt;='Bonding Program'!$C$8,X$3=IF('Bonding Program'!$P$14&lt;&gt;"",'Bonding Program'!$P$14,'Bonding Program'!$C$8)),'Bonding Program'!$Z$14,0)+IF(AND('Bonding Program'!$P$14&lt;&gt;"",X$3='Bonding Program'!$P$14,X$3&lt;='Bonding Program'!$C$8),N('Bonding Program'!$O$14),0)</f>
        <v>0</v>
      </c>
      <c r="Y155" s="19" t="n">
        <f aca="false">IF(AND('Bonding Program'!$S$14=1,'Bonding Program'!$H$14&gt;'Bonding Program'!$C$8,Y$3='Bonding Program'!$H$14),'Bonding Program'!$T$14-'Bonding Program'!$U$14-'Bonding Program'!$Z$14,0)-IF(AND('Bonding Program'!$S$14=1,'Bonding Program'!$H$14&lt;='Bonding Program'!$C$8,Y$3=IF('Bonding Program'!$P$14&lt;&gt;"",'Bonding Program'!$P$14,'Bonding Program'!$C$8)),'Bonding Program'!$Z$14,0)+IF(AND('Bonding Program'!$P$14&lt;&gt;"",Y$3='Bonding Program'!$P$14,Y$3&lt;='Bonding Program'!$C$8),N('Bonding Program'!$O$14),0)</f>
        <v>0</v>
      </c>
      <c r="Z155" s="19" t="n">
        <f aca="false">IF(AND('Bonding Program'!$S$14=1,'Bonding Program'!$H$14&gt;'Bonding Program'!$C$8,Z$3='Bonding Program'!$H$14),'Bonding Program'!$T$14-'Bonding Program'!$U$14-'Bonding Program'!$Z$14,0)-IF(AND('Bonding Program'!$S$14=1,'Bonding Program'!$H$14&lt;='Bonding Program'!$C$8,Z$3=IF('Bonding Program'!$P$14&lt;&gt;"",'Bonding Program'!$P$14,'Bonding Program'!$C$8)),'Bonding Program'!$Z$14,0)+IF(AND('Bonding Program'!$P$14&lt;&gt;"",Z$3='Bonding Program'!$P$14,Z$3&lt;='Bonding Program'!$C$8),N('Bonding Program'!$O$14),0)</f>
        <v>0</v>
      </c>
      <c r="AA155" s="19" t="n">
        <f aca="false">IF(AND('Bonding Program'!$S$14=1,'Bonding Program'!$H$14&gt;'Bonding Program'!$C$8,AA$3='Bonding Program'!$H$14),'Bonding Program'!$T$14-'Bonding Program'!$U$14-'Bonding Program'!$Z$14,0)-IF(AND('Bonding Program'!$S$14=1,'Bonding Program'!$H$14&lt;='Bonding Program'!$C$8,AA$3=IF('Bonding Program'!$P$14&lt;&gt;"",'Bonding Program'!$P$14,'Bonding Program'!$C$8)),'Bonding Program'!$Z$14,0)+IF(AND('Bonding Program'!$P$14&lt;&gt;"",AA$3='Bonding Program'!$P$14,AA$3&lt;='Bonding Program'!$C$8),N('Bonding Program'!$O$14),0)</f>
        <v>0</v>
      </c>
      <c r="AB155" s="19" t="n">
        <f aca="false">IF(AND('Bonding Program'!$S$14=1,'Bonding Program'!$H$14&gt;'Bonding Program'!$C$8,AB$3='Bonding Program'!$H$14),'Bonding Program'!$T$14-'Bonding Program'!$U$14-'Bonding Program'!$Z$14,0)-IF(AND('Bonding Program'!$S$14=1,'Bonding Program'!$H$14&lt;='Bonding Program'!$C$8,AB$3=IF('Bonding Program'!$P$14&lt;&gt;"",'Bonding Program'!$P$14,'Bonding Program'!$C$8)),'Bonding Program'!$Z$14,0)+IF(AND('Bonding Program'!$P$14&lt;&gt;"",AB$3='Bonding Program'!$P$14,AB$3&lt;='Bonding Program'!$C$8),N('Bonding Program'!$O$14),0)</f>
        <v>0</v>
      </c>
      <c r="AC155" s="19" t="n">
        <f aca="false">IF(AND('Bonding Program'!$S$14=1,'Bonding Program'!$H$14&gt;'Bonding Program'!$C$8,AC$3='Bonding Program'!$H$14),'Bonding Program'!$T$14-'Bonding Program'!$U$14-'Bonding Program'!$Z$14,0)-IF(AND('Bonding Program'!$S$14=1,'Bonding Program'!$H$14&lt;='Bonding Program'!$C$8,AC$3=IF('Bonding Program'!$P$14&lt;&gt;"",'Bonding Program'!$P$14,'Bonding Program'!$C$8)),'Bonding Program'!$Z$14,0)+IF(AND('Bonding Program'!$P$14&lt;&gt;"",AC$3='Bonding Program'!$P$14,AC$3&lt;='Bonding Program'!$C$8),N('Bonding Program'!$O$14),0)</f>
        <v>0</v>
      </c>
      <c r="AD155" s="19" t="n">
        <f aca="false">IF(AND('Bonding Program'!$S$14=1,'Bonding Program'!$H$14&gt;'Bonding Program'!$C$8,AD$3='Bonding Program'!$H$14),'Bonding Program'!$T$14-'Bonding Program'!$U$14-'Bonding Program'!$Z$14,0)-IF(AND('Bonding Program'!$S$14=1,'Bonding Program'!$H$14&lt;='Bonding Program'!$C$8,AD$3=IF('Bonding Program'!$P$14&lt;&gt;"",'Bonding Program'!$P$14,'Bonding Program'!$C$8)),'Bonding Program'!$Z$14,0)+IF(AND('Bonding Program'!$P$14&lt;&gt;"",AD$3='Bonding Program'!$P$14,AD$3&lt;='Bonding Program'!$C$8),N('Bonding Program'!$O$14),0)</f>
        <v>0</v>
      </c>
      <c r="AE155" s="19" t="n">
        <f aca="false">IF(AND('Bonding Program'!$S$14=1,'Bonding Program'!$H$14&gt;'Bonding Program'!$C$8,AE$3='Bonding Program'!$H$14),'Bonding Program'!$T$14-'Bonding Program'!$U$14-'Bonding Program'!$Z$14,0)-IF(AND('Bonding Program'!$S$14=1,'Bonding Program'!$H$14&lt;='Bonding Program'!$C$8,AE$3=IF('Bonding Program'!$P$14&lt;&gt;"",'Bonding Program'!$P$14,'Bonding Program'!$C$8)),'Bonding Program'!$Z$14,0)+IF(AND('Bonding Program'!$P$14&lt;&gt;"",AE$3='Bonding Program'!$P$14,AE$3&lt;='Bonding Program'!$C$8),N('Bonding Program'!$O$14),0)</f>
        <v>0</v>
      </c>
      <c r="AF155" s="19" t="n">
        <f aca="false">IF(AND('Bonding Program'!$S$14=1,'Bonding Program'!$H$14&gt;'Bonding Program'!$C$8,AF$3='Bonding Program'!$H$14),'Bonding Program'!$T$14-'Bonding Program'!$U$14-'Bonding Program'!$Z$14,0)-IF(AND('Bonding Program'!$S$14=1,'Bonding Program'!$H$14&lt;='Bonding Program'!$C$8,AF$3=IF('Bonding Program'!$P$14&lt;&gt;"",'Bonding Program'!$P$14,'Bonding Program'!$C$8)),'Bonding Program'!$Z$14,0)+IF(AND('Bonding Program'!$P$14&lt;&gt;"",AF$3='Bonding Program'!$P$14,AF$3&lt;='Bonding Program'!$C$8),N('Bonding Program'!$O$14),0)</f>
        <v>0</v>
      </c>
      <c r="AG155" s="19" t="n">
        <f aca="false">IF(AND('Bonding Program'!$S$14=1,'Bonding Program'!$H$14&gt;'Bonding Program'!$C$8,AG$3='Bonding Program'!$H$14),'Bonding Program'!$T$14-'Bonding Program'!$U$14-'Bonding Program'!$Z$14,0)-IF(AND('Bonding Program'!$S$14=1,'Bonding Program'!$H$14&lt;='Bonding Program'!$C$8,AG$3=IF('Bonding Program'!$P$14&lt;&gt;"",'Bonding Program'!$P$14,'Bonding Program'!$C$8)),'Bonding Program'!$Z$14,0)+IF(AND('Bonding Program'!$P$14&lt;&gt;"",AG$3='Bonding Program'!$P$14,AG$3&lt;='Bonding Program'!$C$8),N('Bonding Program'!$O$14),0)</f>
        <v>0</v>
      </c>
      <c r="AH155" s="19" t="n">
        <f aca="false">IF(AND('Bonding Program'!$S$14=1,'Bonding Program'!$H$14&gt;'Bonding Program'!$C$8,AH$3='Bonding Program'!$H$14),'Bonding Program'!$T$14-'Bonding Program'!$U$14-'Bonding Program'!$Z$14,0)-IF(AND('Bonding Program'!$S$14=1,'Bonding Program'!$H$14&lt;='Bonding Program'!$C$8,AH$3=IF('Bonding Program'!$P$14&lt;&gt;"",'Bonding Program'!$P$14,'Bonding Program'!$C$8)),'Bonding Program'!$Z$14,0)+IF(AND('Bonding Program'!$P$14&lt;&gt;"",AH$3='Bonding Program'!$P$14,AH$3&lt;='Bonding Program'!$C$8),N('Bonding Program'!$O$14),0)</f>
        <v>0</v>
      </c>
      <c r="AI155" s="19" t="n">
        <f aca="false">IF(AND('Bonding Program'!$S$14=1,'Bonding Program'!$H$14&gt;'Bonding Program'!$C$8,AI$3='Bonding Program'!$H$14),'Bonding Program'!$T$14-'Bonding Program'!$U$14-'Bonding Program'!$Z$14,0)-IF(AND('Bonding Program'!$S$14=1,'Bonding Program'!$H$14&lt;='Bonding Program'!$C$8,AI$3=IF('Bonding Program'!$P$14&lt;&gt;"",'Bonding Program'!$P$14,'Bonding Program'!$C$8)),'Bonding Program'!$Z$14,0)+IF(AND('Bonding Program'!$P$14&lt;&gt;"",AI$3='Bonding Program'!$P$14,AI$3&lt;='Bonding Program'!$C$8),N('Bonding Program'!$O$14),0)</f>
        <v>0</v>
      </c>
      <c r="AJ155" s="19" t="n">
        <f aca="false">IF(AND('Bonding Program'!$S$14=1,'Bonding Program'!$H$14&gt;'Bonding Program'!$C$8,AJ$3='Bonding Program'!$H$14),'Bonding Program'!$T$14-'Bonding Program'!$U$14-'Bonding Program'!$Z$14,0)-IF(AND('Bonding Program'!$S$14=1,'Bonding Program'!$H$14&lt;='Bonding Program'!$C$8,AJ$3=IF('Bonding Program'!$P$14&lt;&gt;"",'Bonding Program'!$P$14,'Bonding Program'!$C$8)),'Bonding Program'!$Z$14,0)+IF(AND('Bonding Program'!$P$14&lt;&gt;"",AJ$3='Bonding Program'!$P$14,AJ$3&lt;='Bonding Program'!$C$8),N('Bonding Program'!$O$14),0)</f>
        <v>0</v>
      </c>
      <c r="AK155" s="19" t="n">
        <f aca="false">IF(AND('Bonding Program'!$S$14=1,'Bonding Program'!$H$14&gt;'Bonding Program'!$C$8,AK$3='Bonding Program'!$H$14),'Bonding Program'!$T$14-'Bonding Program'!$U$14-'Bonding Program'!$Z$14,0)-IF(AND('Bonding Program'!$S$14=1,'Bonding Program'!$H$14&lt;='Bonding Program'!$C$8,AK$3=IF('Bonding Program'!$P$14&lt;&gt;"",'Bonding Program'!$P$14,'Bonding Program'!$C$8)),'Bonding Program'!$Z$14,0)+IF(AND('Bonding Program'!$P$14&lt;&gt;"",AK$3='Bonding Program'!$P$14,AK$3&lt;='Bonding Program'!$C$8),N('Bonding Program'!$O$14),0)</f>
        <v>0</v>
      </c>
      <c r="AL155" s="19" t="n">
        <f aca="false">IF(AND('Bonding Program'!$S$14=1,'Bonding Program'!$H$14&gt;'Bonding Program'!$C$8,AL$3='Bonding Program'!$H$14),'Bonding Program'!$T$14-'Bonding Program'!$U$14-'Bonding Program'!$Z$14,0)-IF(AND('Bonding Program'!$S$14=1,'Bonding Program'!$H$14&lt;='Bonding Program'!$C$8,AL$3=IF('Bonding Program'!$P$14&lt;&gt;"",'Bonding Program'!$P$14,'Bonding Program'!$C$8)),'Bonding Program'!$Z$14,0)+IF(AND('Bonding Program'!$P$14&lt;&gt;"",AL$3='Bonding Program'!$P$14,AL$3&lt;='Bonding Program'!$C$8),N('Bonding Program'!$O$14),0)</f>
        <v>0</v>
      </c>
      <c r="AM155" s="19" t="n">
        <f aca="false">IF(AND('Bonding Program'!$S$14=1,'Bonding Program'!$H$14&gt;'Bonding Program'!$C$8,AM$3='Bonding Program'!$H$14),'Bonding Program'!$T$14-'Bonding Program'!$U$14-'Bonding Program'!$Z$14,0)-IF(AND('Bonding Program'!$S$14=1,'Bonding Program'!$H$14&lt;='Bonding Program'!$C$8,AM$3=IF('Bonding Program'!$P$14&lt;&gt;"",'Bonding Program'!$P$14,'Bonding Program'!$C$8)),'Bonding Program'!$Z$14,0)+IF(AND('Bonding Program'!$P$14&lt;&gt;"",AM$3='Bonding Program'!$P$14,AM$3&lt;='Bonding Program'!$C$8),N('Bonding Program'!$O$14),0)</f>
        <v>0</v>
      </c>
      <c r="AN155" s="19" t="n">
        <f aca="false">IF(AND('Bonding Program'!$S$14=1,'Bonding Program'!$H$14&gt;'Bonding Program'!$C$8,AN$3='Bonding Program'!$H$14),'Bonding Program'!$T$14-'Bonding Program'!$U$14-'Bonding Program'!$Z$14,0)-IF(AND('Bonding Program'!$S$14=1,'Bonding Program'!$H$14&lt;='Bonding Program'!$C$8,AN$3=IF('Bonding Program'!$P$14&lt;&gt;"",'Bonding Program'!$P$14,'Bonding Program'!$C$8)),'Bonding Program'!$Z$14,0)+IF(AND('Bonding Program'!$P$14&lt;&gt;"",AN$3='Bonding Program'!$P$14,AN$3&lt;='Bonding Program'!$C$8),N('Bonding Program'!$O$14),0)</f>
        <v>0</v>
      </c>
      <c r="AO155" s="19" t="n">
        <f aca="false">IF(AND('Bonding Program'!$S$14=1,'Bonding Program'!$H$14&gt;'Bonding Program'!$C$8,AO$3='Bonding Program'!$H$14),'Bonding Program'!$T$14-'Bonding Program'!$U$14-'Bonding Program'!$Z$14,0)-IF(AND('Bonding Program'!$S$14=1,'Bonding Program'!$H$14&lt;='Bonding Program'!$C$8,AO$3=IF('Bonding Program'!$P$14&lt;&gt;"",'Bonding Program'!$P$14,'Bonding Program'!$C$8)),'Bonding Program'!$Z$14,0)+IF(AND('Bonding Program'!$P$14&lt;&gt;"",AO$3='Bonding Program'!$P$14,AO$3&lt;='Bonding Program'!$C$8),N('Bonding Program'!$O$14),0)</f>
        <v>0</v>
      </c>
      <c r="AP155" s="19" t="n">
        <f aca="false">IF(AND('Bonding Program'!$S$14=1,'Bonding Program'!$H$14&gt;'Bonding Program'!$C$8,AP$3='Bonding Program'!$H$14),'Bonding Program'!$T$14-'Bonding Program'!$U$14-'Bonding Program'!$Z$14,0)-IF(AND('Bonding Program'!$S$14=1,'Bonding Program'!$H$14&lt;='Bonding Program'!$C$8,AP$3=IF('Bonding Program'!$P$14&lt;&gt;"",'Bonding Program'!$P$14,'Bonding Program'!$C$8)),'Bonding Program'!$Z$14,0)+IF(AND('Bonding Program'!$P$14&lt;&gt;"",AP$3='Bonding Program'!$P$14,AP$3&lt;='Bonding Program'!$C$8),N('Bonding Program'!$O$14),0)</f>
        <v>0</v>
      </c>
      <c r="AQ155" s="19" t="n">
        <f aca="false">IF(AND('Bonding Program'!$S$14=1,'Bonding Program'!$H$14&gt;'Bonding Program'!$C$8,AQ$3='Bonding Program'!$H$14),'Bonding Program'!$T$14-'Bonding Program'!$U$14-'Bonding Program'!$Z$14,0)-IF(AND('Bonding Program'!$S$14=1,'Bonding Program'!$H$14&lt;='Bonding Program'!$C$8,AQ$3=IF('Bonding Program'!$P$14&lt;&gt;"",'Bonding Program'!$P$14,'Bonding Program'!$C$8)),'Bonding Program'!$Z$14,0)+IF(AND('Bonding Program'!$P$14&lt;&gt;"",AQ$3='Bonding Program'!$P$14,AQ$3&lt;='Bonding Program'!$C$8),N('Bonding Program'!$O$14),0)</f>
        <v>0</v>
      </c>
      <c r="AR155" s="19" t="n">
        <f aca="false">IF(AND('Bonding Program'!$S$14=1,'Bonding Program'!$H$14&gt;'Bonding Program'!$C$8,AR$3='Bonding Program'!$H$14),'Bonding Program'!$T$14-'Bonding Program'!$U$14-'Bonding Program'!$Z$14,0)-IF(AND('Bonding Program'!$S$14=1,'Bonding Program'!$H$14&lt;='Bonding Program'!$C$8,AR$3=IF('Bonding Program'!$P$14&lt;&gt;"",'Bonding Program'!$P$14,'Bonding Program'!$C$8)),'Bonding Program'!$Z$14,0)+IF(AND('Bonding Program'!$P$14&lt;&gt;"",AR$3='Bonding Program'!$P$14,AR$3&lt;='Bonding Program'!$C$8),N('Bonding Program'!$O$14),0)</f>
        <v>0</v>
      </c>
      <c r="AS155" s="19" t="n">
        <f aca="false">IF(AND('Bonding Program'!$S$14=1,'Bonding Program'!$H$14&gt;'Bonding Program'!$C$8,AS$3='Bonding Program'!$H$14),'Bonding Program'!$T$14-'Bonding Program'!$U$14-'Bonding Program'!$Z$14,0)-IF(AND('Bonding Program'!$S$14=1,'Bonding Program'!$H$14&lt;='Bonding Program'!$C$8,AS$3=IF('Bonding Program'!$P$14&lt;&gt;"",'Bonding Program'!$P$14,'Bonding Program'!$C$8)),'Bonding Program'!$Z$14,0)+IF(AND('Bonding Program'!$P$14&lt;&gt;"",AS$3='Bonding Program'!$P$14,AS$3&lt;='Bonding Program'!$C$8),N('Bonding Program'!$O$14),0)</f>
        <v>0</v>
      </c>
      <c r="AT155" s="19" t="n">
        <f aca="false">IF(AND('Bonding Program'!$S$14=1,'Bonding Program'!$H$14&gt;'Bonding Program'!$C$8,AT$3='Bonding Program'!$H$14),'Bonding Program'!$T$14-'Bonding Program'!$U$14-'Bonding Program'!$Z$14,0)-IF(AND('Bonding Program'!$S$14=1,'Bonding Program'!$H$14&lt;='Bonding Program'!$C$8,AT$3=IF('Bonding Program'!$P$14&lt;&gt;"",'Bonding Program'!$P$14,'Bonding Program'!$C$8)),'Bonding Program'!$Z$14,0)+IF(AND('Bonding Program'!$P$14&lt;&gt;"",AT$3='Bonding Program'!$P$14,AT$3&lt;='Bonding Program'!$C$8),N('Bonding Program'!$O$14),0)</f>
        <v>0</v>
      </c>
      <c r="AU155" s="19" t="n">
        <f aca="false">IF(AND('Bonding Program'!$S$14=1,'Bonding Program'!$H$14&gt;'Bonding Program'!$C$8,AU$3='Bonding Program'!$H$14),'Bonding Program'!$T$14-'Bonding Program'!$U$14-'Bonding Program'!$Z$14,0)-IF(AND('Bonding Program'!$S$14=1,'Bonding Program'!$H$14&lt;='Bonding Program'!$C$8,AU$3=IF('Bonding Program'!$P$14&lt;&gt;"",'Bonding Program'!$P$14,'Bonding Program'!$C$8)),'Bonding Program'!$Z$14,0)+IF(AND('Bonding Program'!$P$14&lt;&gt;"",AU$3='Bonding Program'!$P$14,AU$3&lt;='Bonding Program'!$C$8),N('Bonding Program'!$O$14),0)</f>
        <v>0</v>
      </c>
      <c r="AV155" s="19" t="n">
        <f aca="false">IF(AND('Bonding Program'!$S$14=1,'Bonding Program'!$H$14&gt;'Bonding Program'!$C$8,AV$3='Bonding Program'!$H$14),'Bonding Program'!$T$14-'Bonding Program'!$U$14-'Bonding Program'!$Z$14,0)-IF(AND('Bonding Program'!$S$14=1,'Bonding Program'!$H$14&lt;='Bonding Program'!$C$8,AV$3=IF('Bonding Program'!$P$14&lt;&gt;"",'Bonding Program'!$P$14,'Bonding Program'!$C$8)),'Bonding Program'!$Z$14,0)+IF(AND('Bonding Program'!$P$14&lt;&gt;"",AV$3='Bonding Program'!$P$14,AV$3&lt;='Bonding Program'!$C$8),N('Bonding Program'!$O$14),0)</f>
        <v>0</v>
      </c>
      <c r="AW155" s="19" t="n">
        <f aca="false">IF(AND('Bonding Program'!$S$14=1,'Bonding Program'!$H$14&gt;'Bonding Program'!$C$8,AW$3='Bonding Program'!$H$14),'Bonding Program'!$T$14-'Bonding Program'!$U$14-'Bonding Program'!$Z$14,0)-IF(AND('Bonding Program'!$S$14=1,'Bonding Program'!$H$14&lt;='Bonding Program'!$C$8,AW$3=IF('Bonding Program'!$P$14&lt;&gt;"",'Bonding Program'!$P$14,'Bonding Program'!$C$8)),'Bonding Program'!$Z$14,0)+IF(AND('Bonding Program'!$P$14&lt;&gt;"",AW$3='Bonding Program'!$P$14,AW$3&lt;='Bonding Program'!$C$8),N('Bonding Program'!$O$14),0)</f>
        <v>0</v>
      </c>
      <c r="AX155" s="19" t="n">
        <f aca="false">IF(AND('Bonding Program'!$S$14=1,'Bonding Program'!$H$14&gt;'Bonding Program'!$C$8,AX$3='Bonding Program'!$H$14),'Bonding Program'!$T$14-'Bonding Program'!$U$14-'Bonding Program'!$Z$14,0)-IF(AND('Bonding Program'!$S$14=1,'Bonding Program'!$H$14&lt;='Bonding Program'!$C$8,AX$3=IF('Bonding Program'!$P$14&lt;&gt;"",'Bonding Program'!$P$14,'Bonding Program'!$C$8)),'Bonding Program'!$Z$14,0)+IF(AND('Bonding Program'!$P$14&lt;&gt;"",AX$3='Bonding Program'!$P$14,AX$3&lt;='Bonding Program'!$C$8),N('Bonding Program'!$O$14),0)</f>
        <v>0</v>
      </c>
      <c r="AY155" s="19" t="n">
        <f aca="false">IF(AND('Bonding Program'!$S$14=1,'Bonding Program'!$H$14&gt;'Bonding Program'!$C$8,AY$3='Bonding Program'!$H$14),'Bonding Program'!$T$14-'Bonding Program'!$U$14-'Bonding Program'!$Z$14,0)-IF(AND('Bonding Program'!$S$14=1,'Bonding Program'!$H$14&lt;='Bonding Program'!$C$8,AY$3=IF('Bonding Program'!$P$14&lt;&gt;"",'Bonding Program'!$P$14,'Bonding Program'!$C$8)),'Bonding Program'!$Z$14,0)+IF(AND('Bonding Program'!$P$14&lt;&gt;"",AY$3='Bonding Program'!$P$14,AY$3&lt;='Bonding Program'!$C$8),N('Bonding Program'!$O$14),0)</f>
        <v>0</v>
      </c>
      <c r="AZ155" s="19" t="n">
        <f aca="false">IF(AND('Bonding Program'!$S$14=1,'Bonding Program'!$H$14&gt;'Bonding Program'!$C$8,AZ$3='Bonding Program'!$H$14),'Bonding Program'!$T$14-'Bonding Program'!$U$14-'Bonding Program'!$Z$14,0)-IF(AND('Bonding Program'!$S$14=1,'Bonding Program'!$H$14&lt;='Bonding Program'!$C$8,AZ$3=IF('Bonding Program'!$P$14&lt;&gt;"",'Bonding Program'!$P$14,'Bonding Program'!$C$8)),'Bonding Program'!$Z$14,0)+IF(AND('Bonding Program'!$P$14&lt;&gt;"",AZ$3='Bonding Program'!$P$14,AZ$3&lt;='Bonding Program'!$C$8),N('Bonding Program'!$O$14),0)</f>
        <v>0</v>
      </c>
      <c r="BA155" s="19" t="n">
        <f aca="false">IF(AND('Bonding Program'!$S$14=1,'Bonding Program'!$H$14&gt;'Bonding Program'!$C$8,BA$3='Bonding Program'!$H$14),'Bonding Program'!$T$14-'Bonding Program'!$U$14-'Bonding Program'!$Z$14,0)-IF(AND('Bonding Program'!$S$14=1,'Bonding Program'!$H$14&lt;='Bonding Program'!$C$8,BA$3=IF('Bonding Program'!$P$14&lt;&gt;"",'Bonding Program'!$P$14,'Bonding Program'!$C$8)),'Bonding Program'!$Z$14,0)+IF(AND('Bonding Program'!$P$14&lt;&gt;"",BA$3='Bonding Program'!$P$14,BA$3&lt;='Bonding Program'!$C$8),N('Bonding Program'!$O$14),0)</f>
        <v>0</v>
      </c>
      <c r="BB155" s="19" t="n">
        <f aca="false">IF(AND('Bonding Program'!$S$14=1,'Bonding Program'!$H$14&gt;'Bonding Program'!$C$8,BB$3='Bonding Program'!$H$14),'Bonding Program'!$T$14-'Bonding Program'!$U$14-'Bonding Program'!$Z$14,0)-IF(AND('Bonding Program'!$S$14=1,'Bonding Program'!$H$14&lt;='Bonding Program'!$C$8,BB$3=IF('Bonding Program'!$P$14&lt;&gt;"",'Bonding Program'!$P$14,'Bonding Program'!$C$8)),'Bonding Program'!$Z$14,0)+IF(AND('Bonding Program'!$P$14&lt;&gt;"",BB$3='Bonding Program'!$P$14,BB$3&lt;='Bonding Program'!$C$8),N('Bonding Program'!$O$14),0)</f>
        <v>0</v>
      </c>
      <c r="BC155" s="19" t="n">
        <f aca="false">IF(AND('Bonding Program'!$S$14=1,'Bonding Program'!$H$14&gt;'Bonding Program'!$C$8,BC$3='Bonding Program'!$H$14),'Bonding Program'!$T$14-'Bonding Program'!$U$14-'Bonding Program'!$Z$14,0)-IF(AND('Bonding Program'!$S$14=1,'Bonding Program'!$H$14&lt;='Bonding Program'!$C$8,BC$3=IF('Bonding Program'!$P$14&lt;&gt;"",'Bonding Program'!$P$14,'Bonding Program'!$C$8)),'Bonding Program'!$Z$14,0)+IF(AND('Bonding Program'!$P$14&lt;&gt;"",BC$3='Bonding Program'!$P$14,BC$3&lt;='Bonding Program'!$C$8),N('Bonding Program'!$O$14),0)</f>
        <v>0</v>
      </c>
      <c r="BD155" s="19" t="n">
        <f aca="false">IF(AND('Bonding Program'!$S$14=1,'Bonding Program'!$H$14&gt;'Bonding Program'!$C$8,BD$3='Bonding Program'!$H$14),'Bonding Program'!$T$14-'Bonding Program'!$U$14-'Bonding Program'!$Z$14,0)-IF(AND('Bonding Program'!$S$14=1,'Bonding Program'!$H$14&lt;='Bonding Program'!$C$8,BD$3=IF('Bonding Program'!$P$14&lt;&gt;"",'Bonding Program'!$P$14,'Bonding Program'!$C$8)),'Bonding Program'!$Z$14,0)+IF(AND('Bonding Program'!$P$14&lt;&gt;"",BD$3='Bonding Program'!$P$14,BD$3&lt;='Bonding Program'!$C$8),N('Bonding Program'!$O$14),0)</f>
        <v>0</v>
      </c>
      <c r="BE155" s="19" t="n">
        <f aca="false">IF(AND('Bonding Program'!$S$14=1,'Bonding Program'!$H$14&gt;'Bonding Program'!$C$8,BE$3='Bonding Program'!$H$14),'Bonding Program'!$T$14-'Bonding Program'!$U$14-'Bonding Program'!$Z$14,0)-IF(AND('Bonding Program'!$S$14=1,'Bonding Program'!$H$14&lt;='Bonding Program'!$C$8,BE$3=IF('Bonding Program'!$P$14&lt;&gt;"",'Bonding Program'!$P$14,'Bonding Program'!$C$8)),'Bonding Program'!$Z$14,0)+IF(AND('Bonding Program'!$P$14&lt;&gt;"",BE$3='Bonding Program'!$P$14,BE$3&lt;='Bonding Program'!$C$8),N('Bonding Program'!$O$14),0)</f>
        <v>0</v>
      </c>
      <c r="BF155" s="19" t="n">
        <f aca="false">IF(AND('Bonding Program'!$S$14=1,'Bonding Program'!$H$14&gt;'Bonding Program'!$C$8,BF$3='Bonding Program'!$H$14),'Bonding Program'!$T$14-'Bonding Program'!$U$14-'Bonding Program'!$Z$14,0)-IF(AND('Bonding Program'!$S$14=1,'Bonding Program'!$H$14&lt;='Bonding Program'!$C$8,BF$3=IF('Bonding Program'!$P$14&lt;&gt;"",'Bonding Program'!$P$14,'Bonding Program'!$C$8)),'Bonding Program'!$Z$14,0)+IF(AND('Bonding Program'!$P$14&lt;&gt;"",BF$3='Bonding Program'!$P$14,BF$3&lt;='Bonding Program'!$C$8),N('Bonding Program'!$O$14),0)</f>
        <v>0</v>
      </c>
      <c r="BG155" s="19" t="n">
        <f aca="false">IF(AND('Bonding Program'!$S$14=1,'Bonding Program'!$H$14&gt;'Bonding Program'!$C$8,BG$3='Bonding Program'!$H$14),'Bonding Program'!$T$14-'Bonding Program'!$U$14-'Bonding Program'!$Z$14,0)-IF(AND('Bonding Program'!$S$14=1,'Bonding Program'!$H$14&lt;='Bonding Program'!$C$8,BG$3=IF('Bonding Program'!$P$14&lt;&gt;"",'Bonding Program'!$P$14,'Bonding Program'!$C$8)),'Bonding Program'!$Z$14,0)+IF(AND('Bonding Program'!$P$14&lt;&gt;"",BG$3='Bonding Program'!$P$14,BG$3&lt;='Bonding Program'!$C$8),N('Bonding Program'!$O$14),0)</f>
        <v>0</v>
      </c>
      <c r="BH155" s="19" t="n">
        <f aca="false">IF(AND('Bonding Program'!$S$14=1,'Bonding Program'!$H$14&gt;'Bonding Program'!$C$8,BH$3='Bonding Program'!$H$14),'Bonding Program'!$T$14-'Bonding Program'!$U$14-'Bonding Program'!$Z$14,0)-IF(AND('Bonding Program'!$S$14=1,'Bonding Program'!$H$14&lt;='Bonding Program'!$C$8,BH$3=IF('Bonding Program'!$P$14&lt;&gt;"",'Bonding Program'!$P$14,'Bonding Program'!$C$8)),'Bonding Program'!$Z$14,0)+IF(AND('Bonding Program'!$P$14&lt;&gt;"",BH$3='Bonding Program'!$P$14,BH$3&lt;='Bonding Program'!$C$8),N('Bonding Program'!$O$14),0)</f>
        <v>0</v>
      </c>
      <c r="BI155" s="19" t="n">
        <f aca="false">IF(AND('Bonding Program'!$S$14=1,'Bonding Program'!$H$14&gt;'Bonding Program'!$C$8,BI$3='Bonding Program'!$H$14),'Bonding Program'!$T$14-'Bonding Program'!$U$14-'Bonding Program'!$Z$14,0)-IF(AND('Bonding Program'!$S$14=1,'Bonding Program'!$H$14&lt;='Bonding Program'!$C$8,BI$3=IF('Bonding Program'!$P$14&lt;&gt;"",'Bonding Program'!$P$14,'Bonding Program'!$C$8)),'Bonding Program'!$Z$14,0)+IF(AND('Bonding Program'!$P$14&lt;&gt;"",BI$3='Bonding Program'!$P$14,BI$3&lt;='Bonding Program'!$C$8),N('Bonding Program'!$O$14),0)</f>
        <v>0</v>
      </c>
      <c r="BJ155" s="19" t="n">
        <f aca="false">IF(AND('Bonding Program'!$S$14=1,'Bonding Program'!$H$14&gt;'Bonding Program'!$C$8,BJ$3='Bonding Program'!$H$14),'Bonding Program'!$T$14-'Bonding Program'!$U$14-'Bonding Program'!$Z$14,0)-IF(AND('Bonding Program'!$S$14=1,'Bonding Program'!$H$14&lt;='Bonding Program'!$C$8,BJ$3=IF('Bonding Program'!$P$14&lt;&gt;"",'Bonding Program'!$P$14,'Bonding Program'!$C$8)),'Bonding Program'!$Z$14,0)+IF(AND('Bonding Program'!$P$14&lt;&gt;"",BJ$3='Bonding Program'!$P$14,BJ$3&lt;='Bonding Program'!$C$8),N('Bonding Program'!$O$14),0)</f>
        <v>0</v>
      </c>
      <c r="BK155" s="19" t="n">
        <f aca="false">IF(AND('Bonding Program'!$S$14=1,'Bonding Program'!$H$14&gt;'Bonding Program'!$C$8,BK$3='Bonding Program'!$H$14),'Bonding Program'!$T$14-'Bonding Program'!$U$14-'Bonding Program'!$Z$14,0)-IF(AND('Bonding Program'!$S$14=1,'Bonding Program'!$H$14&lt;='Bonding Program'!$C$8,BK$3=IF('Bonding Program'!$P$14&lt;&gt;"",'Bonding Program'!$P$14,'Bonding Program'!$C$8)),'Bonding Program'!$Z$14,0)+IF(AND('Bonding Program'!$P$14&lt;&gt;"",BK$3='Bonding Program'!$P$14,BK$3&lt;='Bonding Program'!$C$8),N('Bonding Program'!$O$14),0)</f>
        <v>0</v>
      </c>
      <c r="BL155" s="19" t="n">
        <f aca="false">IF(AND('Bonding Program'!$S$14=1,'Bonding Program'!$H$14&gt;'Bonding Program'!$C$8,BL$3='Bonding Program'!$H$14),'Bonding Program'!$T$14-'Bonding Program'!$U$14-'Bonding Program'!$Z$14,0)-IF(AND('Bonding Program'!$S$14=1,'Bonding Program'!$H$14&lt;='Bonding Program'!$C$8,BL$3=IF('Bonding Program'!$P$14&lt;&gt;"",'Bonding Program'!$P$14,'Bonding Program'!$C$8)),'Bonding Program'!$Z$14,0)+IF(AND('Bonding Program'!$P$14&lt;&gt;"",BL$3='Bonding Program'!$P$14,BL$3&lt;='Bonding Program'!$C$8),N('Bonding Program'!$O$14),0)</f>
        <v>0</v>
      </c>
      <c r="BM155" s="19" t="n">
        <f aca="false">IF(AND('Bonding Program'!$S$14=1,'Bonding Program'!$H$14&gt;'Bonding Program'!$C$8,BM$3='Bonding Program'!$H$14),'Bonding Program'!$T$14-'Bonding Program'!$U$14-'Bonding Program'!$Z$14,0)-IF(AND('Bonding Program'!$S$14=1,'Bonding Program'!$H$14&lt;='Bonding Program'!$C$8,BM$3=IF('Bonding Program'!$P$14&lt;&gt;"",'Bonding Program'!$P$14,'Bonding Program'!$C$8)),'Bonding Program'!$Z$14,0)+IF(AND('Bonding Program'!$P$14&lt;&gt;"",BM$3='Bonding Program'!$P$14,BM$3&lt;='Bonding Program'!$C$8),N('Bonding Program'!$O$14),0)</f>
        <v>0</v>
      </c>
      <c r="BN155" s="19" t="n">
        <f aca="false">IF(AND('Bonding Program'!$S$14=1,'Bonding Program'!$H$14&gt;'Bonding Program'!$C$8,BN$3='Bonding Program'!$H$14),'Bonding Program'!$T$14-'Bonding Program'!$U$14-'Bonding Program'!$Z$14,0)-IF(AND('Bonding Program'!$S$14=1,'Bonding Program'!$H$14&lt;='Bonding Program'!$C$8,BN$3=IF('Bonding Program'!$P$14&lt;&gt;"",'Bonding Program'!$P$14,'Bonding Program'!$C$8)),'Bonding Program'!$Z$14,0)+IF(AND('Bonding Program'!$P$14&lt;&gt;"",BN$3='Bonding Program'!$P$14,BN$3&lt;='Bonding Program'!$C$8),N('Bonding Program'!$O$14),0)</f>
        <v>0</v>
      </c>
      <c r="BO155" s="19" t="n">
        <f aca="false">IF(AND('Bonding Program'!$S$14=1,'Bonding Program'!$H$14&gt;'Bonding Program'!$C$8,BO$3='Bonding Program'!$H$14),'Bonding Program'!$T$14-'Bonding Program'!$U$14-'Bonding Program'!$Z$14,0)-IF(AND('Bonding Program'!$S$14=1,'Bonding Program'!$H$14&lt;='Bonding Program'!$C$8,BO$3=IF('Bonding Program'!$P$14&lt;&gt;"",'Bonding Program'!$P$14,'Bonding Program'!$C$8)),'Bonding Program'!$Z$14,0)+IF(AND('Bonding Program'!$P$14&lt;&gt;"",BO$3='Bonding Program'!$P$14,BO$3&lt;='Bonding Program'!$C$8),N('Bonding Program'!$O$14),0)</f>
        <v>0</v>
      </c>
      <c r="BP155" s="19" t="n">
        <f aca="false">IF(AND('Bonding Program'!$S$14=1,'Bonding Program'!$H$14&gt;'Bonding Program'!$C$8,BP$3='Bonding Program'!$H$14),'Bonding Program'!$T$14-'Bonding Program'!$U$14-'Bonding Program'!$Z$14,0)-IF(AND('Bonding Program'!$S$14=1,'Bonding Program'!$H$14&lt;='Bonding Program'!$C$8,BP$3=IF('Bonding Program'!$P$14&lt;&gt;"",'Bonding Program'!$P$14,'Bonding Program'!$C$8)),'Bonding Program'!$Z$14,0)+IF(AND('Bonding Program'!$P$14&lt;&gt;"",BP$3='Bonding Program'!$P$14,BP$3&lt;='Bonding Program'!$C$8),N('Bonding Program'!$O$14),0)</f>
        <v>0</v>
      </c>
      <c r="BQ155" s="19" t="n">
        <f aca="false">IF(AND('Bonding Program'!$S$14=1,'Bonding Program'!$H$14&gt;'Bonding Program'!$C$8,BQ$3='Bonding Program'!$H$14),'Bonding Program'!$T$14-'Bonding Program'!$U$14-'Bonding Program'!$Z$14,0)-IF(AND('Bonding Program'!$S$14=1,'Bonding Program'!$H$14&lt;='Bonding Program'!$C$8,BQ$3=IF('Bonding Program'!$P$14&lt;&gt;"",'Bonding Program'!$P$14,'Bonding Program'!$C$8)),'Bonding Program'!$Z$14,0)+IF(AND('Bonding Program'!$P$14&lt;&gt;"",BQ$3='Bonding Program'!$P$14,BQ$3&lt;='Bonding Program'!$C$8),N('Bonding Program'!$O$14),0)</f>
        <v>0</v>
      </c>
      <c r="BR155" s="19" t="n">
        <f aca="false">IF(AND('Bonding Program'!$S$14=1,'Bonding Program'!$H$14&gt;'Bonding Program'!$C$8,BR$3='Bonding Program'!$H$14),'Bonding Program'!$T$14-'Bonding Program'!$U$14-'Bonding Program'!$Z$14,0)-IF(AND('Bonding Program'!$S$14=1,'Bonding Program'!$H$14&lt;='Bonding Program'!$C$8,BR$3=IF('Bonding Program'!$P$14&lt;&gt;"",'Bonding Program'!$P$14,'Bonding Program'!$C$8)),'Bonding Program'!$Z$14,0)+IF(AND('Bonding Program'!$P$14&lt;&gt;"",BR$3='Bonding Program'!$P$14,BR$3&lt;='Bonding Program'!$C$8),N('Bonding Program'!$O$14),0)</f>
        <v>0</v>
      </c>
      <c r="BS155" s="19" t="n">
        <f aca="false">IF(AND('Bonding Program'!$S$14=1,'Bonding Program'!$H$14&gt;'Bonding Program'!$C$8,BS$3='Bonding Program'!$H$14),'Bonding Program'!$T$14-'Bonding Program'!$U$14-'Bonding Program'!$Z$14,0)-IF(AND('Bonding Program'!$S$14=1,'Bonding Program'!$H$14&lt;='Bonding Program'!$C$8,BS$3=IF('Bonding Program'!$P$14&lt;&gt;"",'Bonding Program'!$P$14,'Bonding Program'!$C$8)),'Bonding Program'!$Z$14,0)+IF(AND('Bonding Program'!$P$14&lt;&gt;"",BS$3='Bonding Program'!$P$14,BS$3&lt;='Bonding Program'!$C$8),N('Bonding Program'!$O$14),0)</f>
        <v>0</v>
      </c>
      <c r="BT155" s="19" t="n">
        <f aca="false">IF(AND('Bonding Program'!$S$14=1,'Bonding Program'!$H$14&gt;'Bonding Program'!$C$8,BT$3='Bonding Program'!$H$14),'Bonding Program'!$T$14-'Bonding Program'!$U$14-'Bonding Program'!$Z$14,0)-IF(AND('Bonding Program'!$S$14=1,'Bonding Program'!$H$14&lt;='Bonding Program'!$C$8,BT$3=IF('Bonding Program'!$P$14&lt;&gt;"",'Bonding Program'!$P$14,'Bonding Program'!$C$8)),'Bonding Program'!$Z$14,0)+IF(AND('Bonding Program'!$P$14&lt;&gt;"",BT$3='Bonding Program'!$P$14,BT$3&lt;='Bonding Program'!$C$8),N('Bonding Program'!$O$14),0)</f>
        <v>0</v>
      </c>
      <c r="BU155" s="19" t="n">
        <f aca="false">IF(AND('Bonding Program'!$S$14=1,'Bonding Program'!$H$14&gt;'Bonding Program'!$C$8,BU$3='Bonding Program'!$H$14),'Bonding Program'!$T$14-'Bonding Program'!$U$14-'Bonding Program'!$Z$14,0)-IF(AND('Bonding Program'!$S$14=1,'Bonding Program'!$H$14&lt;='Bonding Program'!$C$8,BU$3=IF('Bonding Program'!$P$14&lt;&gt;"",'Bonding Program'!$P$14,'Bonding Program'!$C$8)),'Bonding Program'!$Z$14,0)+IF(AND('Bonding Program'!$P$14&lt;&gt;"",BU$3='Bonding Program'!$P$14,BU$3&lt;='Bonding Program'!$C$8),N('Bonding Program'!$O$14),0)</f>
        <v>0</v>
      </c>
      <c r="BV155" s="19" t="n">
        <f aca="false">IF(AND('Bonding Program'!$S$14=1,'Bonding Program'!$H$14&gt;'Bonding Program'!$C$8,BV$3='Bonding Program'!$H$14),'Bonding Program'!$T$14-'Bonding Program'!$U$14-'Bonding Program'!$Z$14,0)-IF(AND('Bonding Program'!$S$14=1,'Bonding Program'!$H$14&lt;='Bonding Program'!$C$8,BV$3=IF('Bonding Program'!$P$14&lt;&gt;"",'Bonding Program'!$P$14,'Bonding Program'!$C$8)),'Bonding Program'!$Z$14,0)+IF(AND('Bonding Program'!$P$14&lt;&gt;"",BV$3='Bonding Program'!$P$14,BV$3&lt;='Bonding Program'!$C$8),N('Bonding Program'!$O$14),0)</f>
        <v>0</v>
      </c>
      <c r="BW155" s="19" t="n">
        <f aca="false">IF(AND('Bonding Program'!$S$14=1,'Bonding Program'!$H$14&gt;'Bonding Program'!$C$8,BW$3='Bonding Program'!$H$14),'Bonding Program'!$T$14-'Bonding Program'!$U$14-'Bonding Program'!$Z$14,0)-IF(AND('Bonding Program'!$S$14=1,'Bonding Program'!$H$14&lt;='Bonding Program'!$C$8,BW$3=IF('Bonding Program'!$P$14&lt;&gt;"",'Bonding Program'!$P$14,'Bonding Program'!$C$8)),'Bonding Program'!$Z$14,0)+IF(AND('Bonding Program'!$P$14&lt;&gt;"",BW$3='Bonding Program'!$P$14,BW$3&lt;='Bonding Program'!$C$8),N('Bonding Program'!$O$14),0)</f>
        <v>0</v>
      </c>
      <c r="BX155" s="19" t="n">
        <f aca="false">IF(AND('Bonding Program'!$S$14=1,'Bonding Program'!$H$14&gt;'Bonding Program'!$C$8,BX$3='Bonding Program'!$H$14),'Bonding Program'!$T$14-'Bonding Program'!$U$14-'Bonding Program'!$Z$14,0)-IF(AND('Bonding Program'!$S$14=1,'Bonding Program'!$H$14&lt;='Bonding Program'!$C$8,BX$3=IF('Bonding Program'!$P$14&lt;&gt;"",'Bonding Program'!$P$14,'Bonding Program'!$C$8)),'Bonding Program'!$Z$14,0)+IF(AND('Bonding Program'!$P$14&lt;&gt;"",BX$3='Bonding Program'!$P$14,BX$3&lt;='Bonding Program'!$C$8),N('Bonding Program'!$O$14),0)</f>
        <v>0</v>
      </c>
      <c r="BY155" s="19" t="n">
        <f aca="false">IF(AND('Bonding Program'!$S$14=1,'Bonding Program'!$H$14&gt;'Bonding Program'!$C$8,BY$3='Bonding Program'!$H$14),'Bonding Program'!$T$14-'Bonding Program'!$U$14-'Bonding Program'!$Z$14,0)-IF(AND('Bonding Program'!$S$14=1,'Bonding Program'!$H$14&lt;='Bonding Program'!$C$8,BY$3=IF('Bonding Program'!$P$14&lt;&gt;"",'Bonding Program'!$P$14,'Bonding Program'!$C$8)),'Bonding Program'!$Z$14,0)+IF(AND('Bonding Program'!$P$14&lt;&gt;"",BY$3='Bonding Program'!$P$14,BY$3&lt;='Bonding Program'!$C$8),N('Bonding Program'!$O$14),0)</f>
        <v>0</v>
      </c>
      <c r="BZ155" s="19" t="n">
        <f aca="false">IF(AND('Bonding Program'!$S$14=1,'Bonding Program'!$H$14&gt;'Bonding Program'!$C$8,BZ$3='Bonding Program'!$H$14),'Bonding Program'!$T$14-'Bonding Program'!$U$14-'Bonding Program'!$Z$14,0)-IF(AND('Bonding Program'!$S$14=1,'Bonding Program'!$H$14&lt;='Bonding Program'!$C$8,BZ$3=IF('Bonding Program'!$P$14&lt;&gt;"",'Bonding Program'!$P$14,'Bonding Program'!$C$8)),'Bonding Program'!$Z$14,0)+IF(AND('Bonding Program'!$P$14&lt;&gt;"",BZ$3='Bonding Program'!$P$14,BZ$3&lt;='Bonding Program'!$C$8),N('Bonding Program'!$O$14),0)</f>
        <v>0</v>
      </c>
      <c r="CA155" s="19" t="n">
        <f aca="false">IF(AND('Bonding Program'!$S$14=1,'Bonding Program'!$H$14&gt;'Bonding Program'!$C$8,CA$3='Bonding Program'!$H$14),'Bonding Program'!$T$14-'Bonding Program'!$U$14-'Bonding Program'!$Z$14,0)-IF(AND('Bonding Program'!$S$14=1,'Bonding Program'!$H$14&lt;='Bonding Program'!$C$8,CA$3=IF('Bonding Program'!$P$14&lt;&gt;"",'Bonding Program'!$P$14,'Bonding Program'!$C$8)),'Bonding Program'!$Z$14,0)+IF(AND('Bonding Program'!$P$14&lt;&gt;"",CA$3='Bonding Program'!$P$14,CA$3&lt;='Bonding Program'!$C$8),N('Bonding Program'!$O$14),0)</f>
        <v>0</v>
      </c>
      <c r="CB155" s="19" t="n">
        <f aca="false">IF(AND('Bonding Program'!$S$14=1,'Bonding Program'!$H$14&gt;'Bonding Program'!$C$8,CB$3='Bonding Program'!$H$14),'Bonding Program'!$T$14-'Bonding Program'!$U$14-'Bonding Program'!$Z$14,0)-IF(AND('Bonding Program'!$S$14=1,'Bonding Program'!$H$14&lt;='Bonding Program'!$C$8,CB$3=IF('Bonding Program'!$P$14&lt;&gt;"",'Bonding Program'!$P$14,'Bonding Program'!$C$8)),'Bonding Program'!$Z$14,0)+IF(AND('Bonding Program'!$P$14&lt;&gt;"",CB$3='Bonding Program'!$P$14,CB$3&lt;='Bonding Program'!$C$8),N('Bonding Program'!$O$14),0)</f>
        <v>0</v>
      </c>
      <c r="CC155" s="19" t="n">
        <f aca="false">IF(AND('Bonding Program'!$S$14=1,'Bonding Program'!$H$14&gt;'Bonding Program'!$C$8,CC$3='Bonding Program'!$H$14),'Bonding Program'!$T$14-'Bonding Program'!$U$14-'Bonding Program'!$Z$14,0)-IF(AND('Bonding Program'!$S$14=1,'Bonding Program'!$H$14&lt;='Bonding Program'!$C$8,CC$3=IF('Bonding Program'!$P$14&lt;&gt;"",'Bonding Program'!$P$14,'Bonding Program'!$C$8)),'Bonding Program'!$Z$14,0)+IF(AND('Bonding Program'!$P$14&lt;&gt;"",CC$3='Bonding Program'!$P$14,CC$3&lt;='Bonding Program'!$C$8),N('Bonding Program'!$O$14),0)</f>
        <v>0</v>
      </c>
      <c r="CD155" s="19" t="n">
        <f aca="false">IF(AND('Bonding Program'!$S$14=1,'Bonding Program'!$H$14&gt;'Bonding Program'!$C$8,CD$3='Bonding Program'!$H$14),'Bonding Program'!$T$14-'Bonding Program'!$U$14-'Bonding Program'!$Z$14,0)-IF(AND('Bonding Program'!$S$14=1,'Bonding Program'!$H$14&lt;='Bonding Program'!$C$8,CD$3=IF('Bonding Program'!$P$14&lt;&gt;"",'Bonding Program'!$P$14,'Bonding Program'!$C$8)),'Bonding Program'!$Z$14,0)+IF(AND('Bonding Program'!$P$14&lt;&gt;"",CD$3='Bonding Program'!$P$14,CD$3&lt;='Bonding Program'!$C$8),N('Bonding Program'!$O$14),0)</f>
        <v>0</v>
      </c>
      <c r="CE155" s="19" t="n">
        <f aca="false">IF(AND('Bonding Program'!$S$14=1,'Bonding Program'!$H$14&gt;'Bonding Program'!$C$8,CE$3='Bonding Program'!$H$14),'Bonding Program'!$T$14-'Bonding Program'!$U$14-'Bonding Program'!$Z$14,0)-IF(AND('Bonding Program'!$S$14=1,'Bonding Program'!$H$14&lt;='Bonding Program'!$C$8,CE$3=IF('Bonding Program'!$P$14&lt;&gt;"",'Bonding Program'!$P$14,'Bonding Program'!$C$8)),'Bonding Program'!$Z$14,0)+IF(AND('Bonding Program'!$P$14&lt;&gt;"",CE$3='Bonding Program'!$P$14,CE$3&lt;='Bonding Program'!$C$8),N('Bonding Program'!$O$14),0)</f>
        <v>0</v>
      </c>
      <c r="CF155" s="19" t="n">
        <f aca="false">IF(AND('Bonding Program'!$S$14=1,'Bonding Program'!$H$14&gt;'Bonding Program'!$C$8,CF$3='Bonding Program'!$H$14),'Bonding Program'!$T$14-'Bonding Program'!$U$14-'Bonding Program'!$Z$14,0)-IF(AND('Bonding Program'!$S$14=1,'Bonding Program'!$H$14&lt;='Bonding Program'!$C$8,CF$3=IF('Bonding Program'!$P$14&lt;&gt;"",'Bonding Program'!$P$14,'Bonding Program'!$C$8)),'Bonding Program'!$Z$14,0)+IF(AND('Bonding Program'!$P$14&lt;&gt;"",CF$3='Bonding Program'!$P$14,CF$3&lt;='Bonding Program'!$C$8),N('Bonding Program'!$O$14),0)</f>
        <v>0</v>
      </c>
      <c r="CG155" s="19" t="n">
        <f aca="false">IF(AND('Bonding Program'!$S$14=1,'Bonding Program'!$H$14&gt;'Bonding Program'!$C$8,CG$3='Bonding Program'!$H$14),'Bonding Program'!$T$14-'Bonding Program'!$U$14-'Bonding Program'!$Z$14,0)-IF(AND('Bonding Program'!$S$14=1,'Bonding Program'!$H$14&lt;='Bonding Program'!$C$8,CG$3=IF('Bonding Program'!$P$14&lt;&gt;"",'Bonding Program'!$P$14,'Bonding Program'!$C$8)),'Bonding Program'!$Z$14,0)+IF(AND('Bonding Program'!$P$14&lt;&gt;"",CG$3='Bonding Program'!$P$14,CG$3&lt;='Bonding Program'!$C$8),N('Bonding Program'!$O$14),0)</f>
        <v>0</v>
      </c>
      <c r="CH155" s="19" t="n">
        <f aca="false">IF(AND('Bonding Program'!$S$14=1,'Bonding Program'!$H$14&gt;'Bonding Program'!$C$8,CH$3='Bonding Program'!$H$14),'Bonding Program'!$T$14-'Bonding Program'!$U$14-'Bonding Program'!$Z$14,0)-IF(AND('Bonding Program'!$S$14=1,'Bonding Program'!$H$14&lt;='Bonding Program'!$C$8,CH$3=IF('Bonding Program'!$P$14&lt;&gt;"",'Bonding Program'!$P$14,'Bonding Program'!$C$8)),'Bonding Program'!$Z$14,0)+IF(AND('Bonding Program'!$P$14&lt;&gt;"",CH$3='Bonding Program'!$P$14,CH$3&lt;='Bonding Program'!$C$8),N('Bonding Program'!$O$14),0)</f>
        <v>0</v>
      </c>
      <c r="CI155" s="19" t="n">
        <f aca="false">IF(AND('Bonding Program'!$S$14=1,'Bonding Program'!$H$14&gt;'Bonding Program'!$C$8,CI$3='Bonding Program'!$H$14),'Bonding Program'!$T$14-'Bonding Program'!$U$14-'Bonding Program'!$Z$14,0)-IF(AND('Bonding Program'!$S$14=1,'Bonding Program'!$H$14&lt;='Bonding Program'!$C$8,CI$3=IF('Bonding Program'!$P$14&lt;&gt;"",'Bonding Program'!$P$14,'Bonding Program'!$C$8)),'Bonding Program'!$Z$14,0)+IF(AND('Bonding Program'!$P$14&lt;&gt;"",CI$3='Bonding Program'!$P$14,CI$3&lt;='Bonding Program'!$C$8),N('Bonding Program'!$O$14),0)</f>
        <v>0</v>
      </c>
      <c r="CJ155" s="19" t="n">
        <f aca="false">IF(AND('Bonding Program'!$S$14=1,'Bonding Program'!$H$14&gt;'Bonding Program'!$C$8,CJ$3='Bonding Program'!$H$14),'Bonding Program'!$T$14-'Bonding Program'!$U$14-'Bonding Program'!$Z$14,0)-IF(AND('Bonding Program'!$S$14=1,'Bonding Program'!$H$14&lt;='Bonding Program'!$C$8,CJ$3=IF('Bonding Program'!$P$14&lt;&gt;"",'Bonding Program'!$P$14,'Bonding Program'!$C$8)),'Bonding Program'!$Z$14,0)+IF(AND('Bonding Program'!$P$14&lt;&gt;"",CJ$3='Bonding Program'!$P$14,CJ$3&lt;='Bonding Program'!$C$8),N('Bonding Program'!$O$14),0)</f>
        <v>0</v>
      </c>
      <c r="CK155" s="19" t="n">
        <f aca="false">IF(AND('Bonding Program'!$S$14=1,'Bonding Program'!$H$14&gt;'Bonding Program'!$C$8,CK$3='Bonding Program'!$H$14),'Bonding Program'!$T$14-'Bonding Program'!$U$14-'Bonding Program'!$Z$14,0)-IF(AND('Bonding Program'!$S$14=1,'Bonding Program'!$H$14&lt;='Bonding Program'!$C$8,CK$3=IF('Bonding Program'!$P$14&lt;&gt;"",'Bonding Program'!$P$14,'Bonding Program'!$C$8)),'Bonding Program'!$Z$14,0)+IF(AND('Bonding Program'!$P$14&lt;&gt;"",CK$3='Bonding Program'!$P$14,CK$3&lt;='Bonding Program'!$C$8),N('Bonding Program'!$O$14),0)</f>
        <v>0</v>
      </c>
      <c r="CL155" s="19" t="n">
        <f aca="false">IF(AND('Bonding Program'!$S$14=1,'Bonding Program'!$H$14&gt;'Bonding Program'!$C$8,CL$3='Bonding Program'!$H$14),'Bonding Program'!$T$14-'Bonding Program'!$U$14-'Bonding Program'!$Z$14,0)-IF(AND('Bonding Program'!$S$14=1,'Bonding Program'!$H$14&lt;='Bonding Program'!$C$8,CL$3=IF('Bonding Program'!$P$14&lt;&gt;"",'Bonding Program'!$P$14,'Bonding Program'!$C$8)),'Bonding Program'!$Z$14,0)+IF(AND('Bonding Program'!$P$14&lt;&gt;"",CL$3='Bonding Program'!$P$14,CL$3&lt;='Bonding Program'!$C$8),N('Bonding Program'!$O$14),0)</f>
        <v>0</v>
      </c>
      <c r="CM155" s="19" t="n">
        <f aca="false">IF(AND('Bonding Program'!$S$14=1,'Bonding Program'!$H$14&gt;'Bonding Program'!$C$8,CM$3='Bonding Program'!$H$14),'Bonding Program'!$T$14-'Bonding Program'!$U$14-'Bonding Program'!$Z$14,0)-IF(AND('Bonding Program'!$S$14=1,'Bonding Program'!$H$14&lt;='Bonding Program'!$C$8,CM$3=IF('Bonding Program'!$P$14&lt;&gt;"",'Bonding Program'!$P$14,'Bonding Program'!$C$8)),'Bonding Program'!$Z$14,0)+IF(AND('Bonding Program'!$P$14&lt;&gt;"",CM$3='Bonding Program'!$P$14,CM$3&lt;='Bonding Program'!$C$8),N('Bonding Program'!$O$14),0)</f>
        <v>0</v>
      </c>
      <c r="CN155" s="19" t="n">
        <f aca="false">IF(AND('Bonding Program'!$S$14=1,'Bonding Program'!$H$14&gt;'Bonding Program'!$C$8,CN$3='Bonding Program'!$H$14),'Bonding Program'!$T$14-'Bonding Program'!$U$14-'Bonding Program'!$Z$14,0)-IF(AND('Bonding Program'!$S$14=1,'Bonding Program'!$H$14&lt;='Bonding Program'!$C$8,CN$3=IF('Bonding Program'!$P$14&lt;&gt;"",'Bonding Program'!$P$14,'Bonding Program'!$C$8)),'Bonding Program'!$Z$14,0)+IF(AND('Bonding Program'!$P$14&lt;&gt;"",CN$3='Bonding Program'!$P$14,CN$3&lt;='Bonding Program'!$C$8),N('Bonding Program'!$O$14),0)</f>
        <v>0</v>
      </c>
      <c r="CO155" s="19" t="n">
        <f aca="false">IF(AND('Bonding Program'!$S$14=1,'Bonding Program'!$H$14&gt;'Bonding Program'!$C$8,CO$3='Bonding Program'!$H$14),'Bonding Program'!$T$14-'Bonding Program'!$U$14-'Bonding Program'!$Z$14,0)-IF(AND('Bonding Program'!$S$14=1,'Bonding Program'!$H$14&lt;='Bonding Program'!$C$8,CO$3=IF('Bonding Program'!$P$14&lt;&gt;"",'Bonding Program'!$P$14,'Bonding Program'!$C$8)),'Bonding Program'!$Z$14,0)+IF(AND('Bonding Program'!$P$14&lt;&gt;"",CO$3='Bonding Program'!$P$14,CO$3&lt;='Bonding Program'!$C$8),N('Bonding Program'!$O$14),0)</f>
        <v>0</v>
      </c>
      <c r="CP155" s="19" t="n">
        <f aca="false">IF(AND('Bonding Program'!$S$14=1,'Bonding Program'!$H$14&gt;'Bonding Program'!$C$8,CP$3='Bonding Program'!$H$14),'Bonding Program'!$T$14-'Bonding Program'!$U$14-'Bonding Program'!$Z$14,0)-IF(AND('Bonding Program'!$S$14=1,'Bonding Program'!$H$14&lt;='Bonding Program'!$C$8,CP$3=IF('Bonding Program'!$P$14&lt;&gt;"",'Bonding Program'!$P$14,'Bonding Program'!$C$8)),'Bonding Program'!$Z$14,0)+IF(AND('Bonding Program'!$P$14&lt;&gt;"",CP$3='Bonding Program'!$P$14,CP$3&lt;='Bonding Program'!$C$8),N('Bonding Program'!$O$14),0)</f>
        <v>0</v>
      </c>
      <c r="CQ155" s="19" t="n">
        <f aca="false">IF(AND('Bonding Program'!$S$14=1,'Bonding Program'!$H$14&gt;'Bonding Program'!$C$8,CQ$3='Bonding Program'!$H$14),'Bonding Program'!$T$14-'Bonding Program'!$U$14-'Bonding Program'!$Z$14,0)-IF(AND('Bonding Program'!$S$14=1,'Bonding Program'!$H$14&lt;='Bonding Program'!$C$8,CQ$3=IF('Bonding Program'!$P$14&lt;&gt;"",'Bonding Program'!$P$14,'Bonding Program'!$C$8)),'Bonding Program'!$Z$14,0)+IF(AND('Bonding Program'!$P$14&lt;&gt;"",CQ$3='Bonding Program'!$P$14,CQ$3&lt;='Bonding Program'!$C$8),N('Bonding Program'!$O$14),0)</f>
        <v>0</v>
      </c>
      <c r="CR155" s="19" t="n">
        <f aca="false">IF(AND('Bonding Program'!$S$14=1,'Bonding Program'!$H$14&gt;'Bonding Program'!$C$8,CR$3='Bonding Program'!$H$14),'Bonding Program'!$T$14-'Bonding Program'!$U$14-'Bonding Program'!$Z$14,0)-IF(AND('Bonding Program'!$S$14=1,'Bonding Program'!$H$14&lt;='Bonding Program'!$C$8,CR$3=IF('Bonding Program'!$P$14&lt;&gt;"",'Bonding Program'!$P$14,'Bonding Program'!$C$8)),'Bonding Program'!$Z$14,0)+IF(AND('Bonding Program'!$P$14&lt;&gt;"",CR$3='Bonding Program'!$P$14,CR$3&lt;='Bonding Program'!$C$8),N('Bonding Program'!$O$14),0)</f>
        <v>0</v>
      </c>
      <c r="CS155" s="19" t="n">
        <f aca="false">IF(AND('Bonding Program'!$S$14=1,'Bonding Program'!$H$14&gt;'Bonding Program'!$C$8,CS$3='Bonding Program'!$H$14),'Bonding Program'!$T$14-'Bonding Program'!$U$14-'Bonding Program'!$Z$14,0)-IF(AND('Bonding Program'!$S$14=1,'Bonding Program'!$H$14&lt;='Bonding Program'!$C$8,CS$3=IF('Bonding Program'!$P$14&lt;&gt;"",'Bonding Program'!$P$14,'Bonding Program'!$C$8)),'Bonding Program'!$Z$14,0)+IF(AND('Bonding Program'!$P$14&lt;&gt;"",CS$3='Bonding Program'!$P$14,CS$3&lt;='Bonding Program'!$C$8),N('Bonding Program'!$O$14),0)</f>
        <v>0</v>
      </c>
      <c r="CT155" s="19" t="n">
        <f aca="false">IF(AND('Bonding Program'!$S$14=1,'Bonding Program'!$H$14&gt;'Bonding Program'!$C$8,CT$3='Bonding Program'!$H$14),'Bonding Program'!$T$14-'Bonding Program'!$U$14-'Bonding Program'!$Z$14,0)-IF(AND('Bonding Program'!$S$14=1,'Bonding Program'!$H$14&lt;='Bonding Program'!$C$8,CT$3=IF('Bonding Program'!$P$14&lt;&gt;"",'Bonding Program'!$P$14,'Bonding Program'!$C$8)),'Bonding Program'!$Z$14,0)+IF(AND('Bonding Program'!$P$14&lt;&gt;"",CT$3='Bonding Program'!$P$14,CT$3&lt;='Bonding Program'!$C$8),N('Bonding Program'!$O$14),0)</f>
        <v>0</v>
      </c>
      <c r="CU155" s="19" t="n">
        <f aca="false">IF(AND('Bonding Program'!$S$14=1,'Bonding Program'!$H$14&gt;'Bonding Program'!$C$8,CU$3='Bonding Program'!$H$14),'Bonding Program'!$T$14-'Bonding Program'!$U$14-'Bonding Program'!$Z$14,0)-IF(AND('Bonding Program'!$S$14=1,'Bonding Program'!$H$14&lt;='Bonding Program'!$C$8,CU$3=IF('Bonding Program'!$P$14&lt;&gt;"",'Bonding Program'!$P$14,'Bonding Program'!$C$8)),'Bonding Program'!$Z$14,0)+IF(AND('Bonding Program'!$P$14&lt;&gt;"",CU$3='Bonding Program'!$P$14,CU$3&lt;='Bonding Program'!$C$8),N('Bonding Program'!$O$14),0)</f>
        <v>0</v>
      </c>
      <c r="CV155" s="19" t="n">
        <f aca="false">IF(AND('Bonding Program'!$S$14=1,'Bonding Program'!$H$14&gt;'Bonding Program'!$C$8,CV$3='Bonding Program'!$H$14),'Bonding Program'!$T$14-'Bonding Program'!$U$14-'Bonding Program'!$Z$14,0)-IF(AND('Bonding Program'!$S$14=1,'Bonding Program'!$H$14&lt;='Bonding Program'!$C$8,CV$3=IF('Bonding Program'!$P$14&lt;&gt;"",'Bonding Program'!$P$14,'Bonding Program'!$C$8)),'Bonding Program'!$Z$14,0)+IF(AND('Bonding Program'!$P$14&lt;&gt;"",CV$3='Bonding Program'!$P$14,CV$3&lt;='Bonding Program'!$C$8),N('Bonding Program'!$O$14),0)</f>
        <v>0</v>
      </c>
      <c r="CW155" s="19" t="n">
        <f aca="false">IF(AND('Bonding Program'!$S$14=1,'Bonding Program'!$H$14&gt;'Bonding Program'!$C$8,CW$3='Bonding Program'!$H$14),'Bonding Program'!$T$14-'Bonding Program'!$U$14-'Bonding Program'!$Z$14,0)-IF(AND('Bonding Program'!$S$14=1,'Bonding Program'!$H$14&lt;='Bonding Program'!$C$8,CW$3=IF('Bonding Program'!$P$14&lt;&gt;"",'Bonding Program'!$P$14,'Bonding Program'!$C$8)),'Bonding Program'!$Z$14,0)+IF(AND('Bonding Program'!$P$14&lt;&gt;"",CW$3='Bonding Program'!$P$14,CW$3&lt;='Bonding Program'!$C$8),N('Bonding Program'!$O$14),0)</f>
        <v>0</v>
      </c>
      <c r="CX155" s="19" t="n">
        <f aca="false">IF(AND('Bonding Program'!$S$14=1,'Bonding Program'!$H$14&gt;'Bonding Program'!$C$8,CX$3='Bonding Program'!$H$14),'Bonding Program'!$T$14-'Bonding Program'!$U$14-'Bonding Program'!$Z$14,0)-IF(AND('Bonding Program'!$S$14=1,'Bonding Program'!$H$14&lt;='Bonding Program'!$C$8,CX$3=IF('Bonding Program'!$P$14&lt;&gt;"",'Bonding Program'!$P$14,'Bonding Program'!$C$8)),'Bonding Program'!$Z$14,0)+IF(AND('Bonding Program'!$P$14&lt;&gt;"",CX$3='Bonding Program'!$P$14,CX$3&lt;='Bonding Program'!$C$8),N('Bonding Program'!$O$14),0)</f>
        <v>0</v>
      </c>
      <c r="CY155" s="19" t="n">
        <f aca="false">IF(AND('Bonding Program'!$S$14=1,'Bonding Program'!$H$14&gt;'Bonding Program'!$C$8,CY$3='Bonding Program'!$H$14),'Bonding Program'!$T$14-'Bonding Program'!$U$14-'Bonding Program'!$Z$14,0)-IF(AND('Bonding Program'!$S$14=1,'Bonding Program'!$H$14&lt;='Bonding Program'!$C$8,CY$3=IF('Bonding Program'!$P$14&lt;&gt;"",'Bonding Program'!$P$14,'Bonding Program'!$C$8)),'Bonding Program'!$Z$14,0)+IF(AND('Bonding Program'!$P$14&lt;&gt;"",CY$3='Bonding Program'!$P$14,CY$3&lt;='Bonding Program'!$C$8),N('Bonding Program'!$O$14),0)</f>
        <v>0</v>
      </c>
      <c r="CZ155" s="19" t="n">
        <f aca="false">IF(AND('Bonding Program'!$S$14=1,'Bonding Program'!$H$14&gt;'Bonding Program'!$C$8,CZ$3='Bonding Program'!$H$14),'Bonding Program'!$T$14-'Bonding Program'!$U$14-'Bonding Program'!$Z$14,0)-IF(AND('Bonding Program'!$S$14=1,'Bonding Program'!$H$14&lt;='Bonding Program'!$C$8,CZ$3=IF('Bonding Program'!$P$14&lt;&gt;"",'Bonding Program'!$P$14,'Bonding Program'!$C$8)),'Bonding Program'!$Z$14,0)+IF(AND('Bonding Program'!$P$14&lt;&gt;"",CZ$3='Bonding Program'!$P$14,CZ$3&lt;='Bonding Program'!$C$8),N('Bonding Program'!$O$14),0)</f>
        <v>0</v>
      </c>
      <c r="DA155" s="19" t="n">
        <f aca="false">IF(AND('Bonding Program'!$S$14=1,'Bonding Program'!$H$14&gt;'Bonding Program'!$C$8,DA$3='Bonding Program'!$H$14),'Bonding Program'!$T$14-'Bonding Program'!$U$14-'Bonding Program'!$Z$14,0)-IF(AND('Bonding Program'!$S$14=1,'Bonding Program'!$H$14&lt;='Bonding Program'!$C$8,DA$3=IF('Bonding Program'!$P$14&lt;&gt;"",'Bonding Program'!$P$14,'Bonding Program'!$C$8)),'Bonding Program'!$Z$14,0)+IF(AND('Bonding Program'!$P$14&lt;&gt;"",DA$3='Bonding Program'!$P$14,DA$3&lt;='Bonding Program'!$C$8),N('Bonding Program'!$O$14),0)</f>
        <v>0</v>
      </c>
      <c r="DB155" s="19" t="n">
        <f aca="false">IF(AND('Bonding Program'!$S$14=1,'Bonding Program'!$H$14&gt;'Bonding Program'!$C$8,DB$3='Bonding Program'!$H$14),'Bonding Program'!$T$14-'Bonding Program'!$U$14-'Bonding Program'!$Z$14,0)-IF(AND('Bonding Program'!$S$14=1,'Bonding Program'!$H$14&lt;='Bonding Program'!$C$8,DB$3=IF('Bonding Program'!$P$14&lt;&gt;"",'Bonding Program'!$P$14,'Bonding Program'!$C$8)),'Bonding Program'!$Z$14,0)+IF(AND('Bonding Program'!$P$14&lt;&gt;"",DB$3='Bonding Program'!$P$14,DB$3&lt;='Bonding Program'!$C$8),N('Bonding Program'!$O$14),0)</f>
        <v>0</v>
      </c>
      <c r="DC155" s="19" t="n">
        <f aca="false">IF(AND('Bonding Program'!$S$14=1,'Bonding Program'!$H$14&gt;'Bonding Program'!$C$8,DC$3='Bonding Program'!$H$14),'Bonding Program'!$T$14-'Bonding Program'!$U$14-'Bonding Program'!$Z$14,0)-IF(AND('Bonding Program'!$S$14=1,'Bonding Program'!$H$14&lt;='Bonding Program'!$C$8,DC$3=IF('Bonding Program'!$P$14&lt;&gt;"",'Bonding Program'!$P$14,'Bonding Program'!$C$8)),'Bonding Program'!$Z$14,0)+IF(AND('Bonding Program'!$P$14&lt;&gt;"",DC$3='Bonding Program'!$P$14,DC$3&lt;='Bonding Program'!$C$8),N('Bonding Program'!$O$14),0)</f>
        <v>0</v>
      </c>
      <c r="DD155" s="19" t="n">
        <f aca="false">IF(AND('Bonding Program'!$S$14=1,'Bonding Program'!$H$14&gt;'Bonding Program'!$C$8,DD$3='Bonding Program'!$H$14),'Bonding Program'!$T$14-'Bonding Program'!$U$14-'Bonding Program'!$Z$14,0)-IF(AND('Bonding Program'!$S$14=1,'Bonding Program'!$H$14&lt;='Bonding Program'!$C$8,DD$3=IF('Bonding Program'!$P$14&lt;&gt;"",'Bonding Program'!$P$14,'Bonding Program'!$C$8)),'Bonding Program'!$Z$14,0)+IF(AND('Bonding Program'!$P$14&lt;&gt;"",DD$3='Bonding Program'!$P$14,DD$3&lt;='Bonding Program'!$C$8),N('Bonding Program'!$O$14),0)</f>
        <v>0</v>
      </c>
      <c r="DE155" s="19" t="n">
        <f aca="false">IF(AND('Bonding Program'!$S$14=1,'Bonding Program'!$H$14&gt;'Bonding Program'!$C$8,DE$3='Bonding Program'!$H$14),'Bonding Program'!$T$14-'Bonding Program'!$U$14-'Bonding Program'!$Z$14,0)-IF(AND('Bonding Program'!$S$14=1,'Bonding Program'!$H$14&lt;='Bonding Program'!$C$8,DE$3=IF('Bonding Program'!$P$14&lt;&gt;"",'Bonding Program'!$P$14,'Bonding Program'!$C$8)),'Bonding Program'!$Z$14,0)+IF(AND('Bonding Program'!$P$14&lt;&gt;"",DE$3='Bonding Program'!$P$14,DE$3&lt;='Bonding Program'!$C$8),N('Bonding Program'!$O$14),0)</f>
        <v>0</v>
      </c>
    </row>
    <row r="156" customFormat="false" ht="15" hidden="false" customHeight="true" outlineLevel="1" collapsed="false">
      <c r="A156" s="28" t="s">
        <v>11</v>
      </c>
      <c r="B156" s="19" t="n">
        <f aca="false">IF(AND('Bonding Program'!$S$15=1,'Bonding Program'!$H$15&gt;'Bonding Program'!$C$8,B$3='Bonding Program'!$H$15),'Bonding Program'!$T$15-'Bonding Program'!$U$15-'Bonding Program'!$Z$15,0)-IF(AND('Bonding Program'!$S$15=1,'Bonding Program'!$H$15&lt;='Bonding Program'!$C$8,B$3=IF('Bonding Program'!$P$15&lt;&gt;"",'Bonding Program'!$P$15,'Bonding Program'!$C$8)),'Bonding Program'!$Z$15,0)+IF(AND('Bonding Program'!$P$15&lt;&gt;"",B$3='Bonding Program'!$P$15,B$3&lt;='Bonding Program'!$C$8),N('Bonding Program'!$O$15),0)</f>
        <v>0</v>
      </c>
      <c r="C156" s="19" t="n">
        <f aca="false">IF(AND('Bonding Program'!$S$15=1,'Bonding Program'!$H$15&gt;'Bonding Program'!$C$8,C$3='Bonding Program'!$H$15),'Bonding Program'!$T$15-'Bonding Program'!$U$15-'Bonding Program'!$Z$15,0)-IF(AND('Bonding Program'!$S$15=1,'Bonding Program'!$H$15&lt;='Bonding Program'!$C$8,C$3=IF('Bonding Program'!$P$15&lt;&gt;"",'Bonding Program'!$P$15,'Bonding Program'!$C$8)),'Bonding Program'!$Z$15,0)+IF(AND('Bonding Program'!$P$15&lt;&gt;"",C$3='Bonding Program'!$P$15,C$3&lt;='Bonding Program'!$C$8),N('Bonding Program'!$O$15),0)</f>
        <v>0</v>
      </c>
      <c r="D156" s="19" t="n">
        <f aca="false">IF(AND('Bonding Program'!$S$15=1,'Bonding Program'!$H$15&gt;'Bonding Program'!$C$8,D$3='Bonding Program'!$H$15),'Bonding Program'!$T$15-'Bonding Program'!$U$15-'Bonding Program'!$Z$15,0)-IF(AND('Bonding Program'!$S$15=1,'Bonding Program'!$H$15&lt;='Bonding Program'!$C$8,D$3=IF('Bonding Program'!$P$15&lt;&gt;"",'Bonding Program'!$P$15,'Bonding Program'!$C$8)),'Bonding Program'!$Z$15,0)+IF(AND('Bonding Program'!$P$15&lt;&gt;"",D$3='Bonding Program'!$P$15,D$3&lt;='Bonding Program'!$C$8),N('Bonding Program'!$O$15),0)</f>
        <v>0</v>
      </c>
      <c r="E156" s="19" t="n">
        <f aca="false">IF(AND('Bonding Program'!$S$15=1,'Bonding Program'!$H$15&gt;'Bonding Program'!$C$8,E$3='Bonding Program'!$H$15),'Bonding Program'!$T$15-'Bonding Program'!$U$15-'Bonding Program'!$Z$15,0)-IF(AND('Bonding Program'!$S$15=1,'Bonding Program'!$H$15&lt;='Bonding Program'!$C$8,E$3=IF('Bonding Program'!$P$15&lt;&gt;"",'Bonding Program'!$P$15,'Bonding Program'!$C$8)),'Bonding Program'!$Z$15,0)+IF(AND('Bonding Program'!$P$15&lt;&gt;"",E$3='Bonding Program'!$P$15,E$3&lt;='Bonding Program'!$C$8),N('Bonding Program'!$O$15),0)</f>
        <v>0</v>
      </c>
      <c r="F156" s="19" t="n">
        <f aca="false">IF(AND('Bonding Program'!$S$15=1,'Bonding Program'!$H$15&gt;'Bonding Program'!$C$8,F$3='Bonding Program'!$H$15),'Bonding Program'!$T$15-'Bonding Program'!$U$15-'Bonding Program'!$Z$15,0)-IF(AND('Bonding Program'!$S$15=1,'Bonding Program'!$H$15&lt;='Bonding Program'!$C$8,F$3=IF('Bonding Program'!$P$15&lt;&gt;"",'Bonding Program'!$P$15,'Bonding Program'!$C$8)),'Bonding Program'!$Z$15,0)+IF(AND('Bonding Program'!$P$15&lt;&gt;"",F$3='Bonding Program'!$P$15,F$3&lt;='Bonding Program'!$C$8),N('Bonding Program'!$O$15),0)</f>
        <v>0</v>
      </c>
      <c r="G156" s="19" t="n">
        <f aca="false">IF(AND('Bonding Program'!$S$15=1,'Bonding Program'!$H$15&gt;'Bonding Program'!$C$8,G$3='Bonding Program'!$H$15),'Bonding Program'!$T$15-'Bonding Program'!$U$15-'Bonding Program'!$Z$15,0)-IF(AND('Bonding Program'!$S$15=1,'Bonding Program'!$H$15&lt;='Bonding Program'!$C$8,G$3=IF('Bonding Program'!$P$15&lt;&gt;"",'Bonding Program'!$P$15,'Bonding Program'!$C$8)),'Bonding Program'!$Z$15,0)+IF(AND('Bonding Program'!$P$15&lt;&gt;"",G$3='Bonding Program'!$P$15,G$3&lt;='Bonding Program'!$C$8),N('Bonding Program'!$O$15),0)</f>
        <v>0</v>
      </c>
      <c r="H156" s="19" t="n">
        <f aca="false">IF(AND('Bonding Program'!$S$15=1,'Bonding Program'!$H$15&gt;'Bonding Program'!$C$8,H$3='Bonding Program'!$H$15),'Bonding Program'!$T$15-'Bonding Program'!$U$15-'Bonding Program'!$Z$15,0)-IF(AND('Bonding Program'!$S$15=1,'Bonding Program'!$H$15&lt;='Bonding Program'!$C$8,H$3=IF('Bonding Program'!$P$15&lt;&gt;"",'Bonding Program'!$P$15,'Bonding Program'!$C$8)),'Bonding Program'!$Z$15,0)+IF(AND('Bonding Program'!$P$15&lt;&gt;"",H$3='Bonding Program'!$P$15,H$3&lt;='Bonding Program'!$C$8),N('Bonding Program'!$O$15),0)</f>
        <v>0</v>
      </c>
      <c r="I156" s="19" t="n">
        <f aca="false">IF(AND('Bonding Program'!$S$15=1,'Bonding Program'!$H$15&gt;'Bonding Program'!$C$8,I$3='Bonding Program'!$H$15),'Bonding Program'!$T$15-'Bonding Program'!$U$15-'Bonding Program'!$Z$15,0)-IF(AND('Bonding Program'!$S$15=1,'Bonding Program'!$H$15&lt;='Bonding Program'!$C$8,I$3=IF('Bonding Program'!$P$15&lt;&gt;"",'Bonding Program'!$P$15,'Bonding Program'!$C$8)),'Bonding Program'!$Z$15,0)+IF(AND('Bonding Program'!$P$15&lt;&gt;"",I$3='Bonding Program'!$P$15,I$3&lt;='Bonding Program'!$C$8),N('Bonding Program'!$O$15),0)</f>
        <v>0</v>
      </c>
      <c r="J156" s="19" t="n">
        <f aca="false">IF(AND('Bonding Program'!$S$15=1,'Bonding Program'!$H$15&gt;'Bonding Program'!$C$8,J$3='Bonding Program'!$H$15),'Bonding Program'!$T$15-'Bonding Program'!$U$15-'Bonding Program'!$Z$15,0)-IF(AND('Bonding Program'!$S$15=1,'Bonding Program'!$H$15&lt;='Bonding Program'!$C$8,J$3=IF('Bonding Program'!$P$15&lt;&gt;"",'Bonding Program'!$P$15,'Bonding Program'!$C$8)),'Bonding Program'!$Z$15,0)+IF(AND('Bonding Program'!$P$15&lt;&gt;"",J$3='Bonding Program'!$P$15,J$3&lt;='Bonding Program'!$C$8),N('Bonding Program'!$O$15),0)</f>
        <v>0</v>
      </c>
      <c r="K156" s="19" t="n">
        <f aca="false">IF(AND('Bonding Program'!$S$15=1,'Bonding Program'!$H$15&gt;'Bonding Program'!$C$8,K$3='Bonding Program'!$H$15),'Bonding Program'!$T$15-'Bonding Program'!$U$15-'Bonding Program'!$Z$15,0)-IF(AND('Bonding Program'!$S$15=1,'Bonding Program'!$H$15&lt;='Bonding Program'!$C$8,K$3=IF('Bonding Program'!$P$15&lt;&gt;"",'Bonding Program'!$P$15,'Bonding Program'!$C$8)),'Bonding Program'!$Z$15,0)+IF(AND('Bonding Program'!$P$15&lt;&gt;"",K$3='Bonding Program'!$P$15,K$3&lt;='Bonding Program'!$C$8),N('Bonding Program'!$O$15),0)</f>
        <v>0</v>
      </c>
      <c r="L156" s="19" t="n">
        <f aca="false">IF(AND('Bonding Program'!$S$15=1,'Bonding Program'!$H$15&gt;'Bonding Program'!$C$8,L$3='Bonding Program'!$H$15),'Bonding Program'!$T$15-'Bonding Program'!$U$15-'Bonding Program'!$Z$15,0)-IF(AND('Bonding Program'!$S$15=1,'Bonding Program'!$H$15&lt;='Bonding Program'!$C$8,L$3=IF('Bonding Program'!$P$15&lt;&gt;"",'Bonding Program'!$P$15,'Bonding Program'!$C$8)),'Bonding Program'!$Z$15,0)+IF(AND('Bonding Program'!$P$15&lt;&gt;"",L$3='Bonding Program'!$P$15,L$3&lt;='Bonding Program'!$C$8),N('Bonding Program'!$O$15),0)</f>
        <v>0</v>
      </c>
      <c r="M156" s="19" t="n">
        <f aca="false">IF(AND('Bonding Program'!$S$15=1,'Bonding Program'!$H$15&gt;'Bonding Program'!$C$8,M$3='Bonding Program'!$H$15),'Bonding Program'!$T$15-'Bonding Program'!$U$15-'Bonding Program'!$Z$15,0)-IF(AND('Bonding Program'!$S$15=1,'Bonding Program'!$H$15&lt;='Bonding Program'!$C$8,M$3=IF('Bonding Program'!$P$15&lt;&gt;"",'Bonding Program'!$P$15,'Bonding Program'!$C$8)),'Bonding Program'!$Z$15,0)+IF(AND('Bonding Program'!$P$15&lt;&gt;"",M$3='Bonding Program'!$P$15,M$3&lt;='Bonding Program'!$C$8),N('Bonding Program'!$O$15),0)</f>
        <v>0</v>
      </c>
      <c r="N156" s="19" t="n">
        <f aca="false">IF(AND('Bonding Program'!$S$15=1,'Bonding Program'!$H$15&gt;'Bonding Program'!$C$8,N$3='Bonding Program'!$H$15),'Bonding Program'!$T$15-'Bonding Program'!$U$15-'Bonding Program'!$Z$15,0)-IF(AND('Bonding Program'!$S$15=1,'Bonding Program'!$H$15&lt;='Bonding Program'!$C$8,N$3=IF('Bonding Program'!$P$15&lt;&gt;"",'Bonding Program'!$P$15,'Bonding Program'!$C$8)),'Bonding Program'!$Z$15,0)+IF(AND('Bonding Program'!$P$15&lt;&gt;"",N$3='Bonding Program'!$P$15,N$3&lt;='Bonding Program'!$C$8),N('Bonding Program'!$O$15),0)</f>
        <v>0</v>
      </c>
      <c r="O156" s="19" t="n">
        <f aca="false">IF(AND('Bonding Program'!$S$15=1,'Bonding Program'!$H$15&gt;'Bonding Program'!$C$8,O$3='Bonding Program'!$H$15),'Bonding Program'!$T$15-'Bonding Program'!$U$15-'Bonding Program'!$Z$15,0)-IF(AND('Bonding Program'!$S$15=1,'Bonding Program'!$H$15&lt;='Bonding Program'!$C$8,O$3=IF('Bonding Program'!$P$15&lt;&gt;"",'Bonding Program'!$P$15,'Bonding Program'!$C$8)),'Bonding Program'!$Z$15,0)+IF(AND('Bonding Program'!$P$15&lt;&gt;"",O$3='Bonding Program'!$P$15,O$3&lt;='Bonding Program'!$C$8),N('Bonding Program'!$O$15),0)</f>
        <v>0</v>
      </c>
      <c r="P156" s="19" t="n">
        <f aca="false">IF(AND('Bonding Program'!$S$15=1,'Bonding Program'!$H$15&gt;'Bonding Program'!$C$8,P$3='Bonding Program'!$H$15),'Bonding Program'!$T$15-'Bonding Program'!$U$15-'Bonding Program'!$Z$15,0)-IF(AND('Bonding Program'!$S$15=1,'Bonding Program'!$H$15&lt;='Bonding Program'!$C$8,P$3=IF('Bonding Program'!$P$15&lt;&gt;"",'Bonding Program'!$P$15,'Bonding Program'!$C$8)),'Bonding Program'!$Z$15,0)+IF(AND('Bonding Program'!$P$15&lt;&gt;"",P$3='Bonding Program'!$P$15,P$3&lt;='Bonding Program'!$C$8),N('Bonding Program'!$O$15),0)</f>
        <v>0</v>
      </c>
      <c r="Q156" s="19" t="n">
        <f aca="false">IF(AND('Bonding Program'!$S$15=1,'Bonding Program'!$H$15&gt;'Bonding Program'!$C$8,Q$3='Bonding Program'!$H$15),'Bonding Program'!$T$15-'Bonding Program'!$U$15-'Bonding Program'!$Z$15,0)-IF(AND('Bonding Program'!$S$15=1,'Bonding Program'!$H$15&lt;='Bonding Program'!$C$8,Q$3=IF('Bonding Program'!$P$15&lt;&gt;"",'Bonding Program'!$P$15,'Bonding Program'!$C$8)),'Bonding Program'!$Z$15,0)+IF(AND('Bonding Program'!$P$15&lt;&gt;"",Q$3='Bonding Program'!$P$15,Q$3&lt;='Bonding Program'!$C$8),N('Bonding Program'!$O$15),0)</f>
        <v>0</v>
      </c>
      <c r="R156" s="19" t="n">
        <f aca="false">IF(AND('Bonding Program'!$S$15=1,'Bonding Program'!$H$15&gt;'Bonding Program'!$C$8,R$3='Bonding Program'!$H$15),'Bonding Program'!$T$15-'Bonding Program'!$U$15-'Bonding Program'!$Z$15,0)-IF(AND('Bonding Program'!$S$15=1,'Bonding Program'!$H$15&lt;='Bonding Program'!$C$8,R$3=IF('Bonding Program'!$P$15&lt;&gt;"",'Bonding Program'!$P$15,'Bonding Program'!$C$8)),'Bonding Program'!$Z$15,0)+IF(AND('Bonding Program'!$P$15&lt;&gt;"",R$3='Bonding Program'!$P$15,R$3&lt;='Bonding Program'!$C$8),N('Bonding Program'!$O$15),0)</f>
        <v>0</v>
      </c>
      <c r="S156" s="19" t="n">
        <f aca="false">IF(AND('Bonding Program'!$S$15=1,'Bonding Program'!$H$15&gt;'Bonding Program'!$C$8,S$3='Bonding Program'!$H$15),'Bonding Program'!$T$15-'Bonding Program'!$U$15-'Bonding Program'!$Z$15,0)-IF(AND('Bonding Program'!$S$15=1,'Bonding Program'!$H$15&lt;='Bonding Program'!$C$8,S$3=IF('Bonding Program'!$P$15&lt;&gt;"",'Bonding Program'!$P$15,'Bonding Program'!$C$8)),'Bonding Program'!$Z$15,0)+IF(AND('Bonding Program'!$P$15&lt;&gt;"",S$3='Bonding Program'!$P$15,S$3&lt;='Bonding Program'!$C$8),N('Bonding Program'!$O$15),0)</f>
        <v>0</v>
      </c>
      <c r="T156" s="19" t="n">
        <f aca="false">IF(AND('Bonding Program'!$S$15=1,'Bonding Program'!$H$15&gt;'Bonding Program'!$C$8,T$3='Bonding Program'!$H$15),'Bonding Program'!$T$15-'Bonding Program'!$U$15-'Bonding Program'!$Z$15,0)-IF(AND('Bonding Program'!$S$15=1,'Bonding Program'!$H$15&lt;='Bonding Program'!$C$8,T$3=IF('Bonding Program'!$P$15&lt;&gt;"",'Bonding Program'!$P$15,'Bonding Program'!$C$8)),'Bonding Program'!$Z$15,0)+IF(AND('Bonding Program'!$P$15&lt;&gt;"",T$3='Bonding Program'!$P$15,T$3&lt;='Bonding Program'!$C$8),N('Bonding Program'!$O$15),0)</f>
        <v>0</v>
      </c>
      <c r="U156" s="19" t="n">
        <f aca="false">IF(AND('Bonding Program'!$S$15=1,'Bonding Program'!$H$15&gt;'Bonding Program'!$C$8,U$3='Bonding Program'!$H$15),'Bonding Program'!$T$15-'Bonding Program'!$U$15-'Bonding Program'!$Z$15,0)-IF(AND('Bonding Program'!$S$15=1,'Bonding Program'!$H$15&lt;='Bonding Program'!$C$8,U$3=IF('Bonding Program'!$P$15&lt;&gt;"",'Bonding Program'!$P$15,'Bonding Program'!$C$8)),'Bonding Program'!$Z$15,0)+IF(AND('Bonding Program'!$P$15&lt;&gt;"",U$3='Bonding Program'!$P$15,U$3&lt;='Bonding Program'!$C$8),N('Bonding Program'!$O$15),0)</f>
        <v>0</v>
      </c>
      <c r="V156" s="19" t="n">
        <f aca="false">IF(AND('Bonding Program'!$S$15=1,'Bonding Program'!$H$15&gt;'Bonding Program'!$C$8,V$3='Bonding Program'!$H$15),'Bonding Program'!$T$15-'Bonding Program'!$U$15-'Bonding Program'!$Z$15,0)-IF(AND('Bonding Program'!$S$15=1,'Bonding Program'!$H$15&lt;='Bonding Program'!$C$8,V$3=IF('Bonding Program'!$P$15&lt;&gt;"",'Bonding Program'!$P$15,'Bonding Program'!$C$8)),'Bonding Program'!$Z$15,0)+IF(AND('Bonding Program'!$P$15&lt;&gt;"",V$3='Bonding Program'!$P$15,V$3&lt;='Bonding Program'!$C$8),N('Bonding Program'!$O$15),0)</f>
        <v>0</v>
      </c>
      <c r="W156" s="19" t="n">
        <f aca="false">IF(AND('Bonding Program'!$S$15=1,'Bonding Program'!$H$15&gt;'Bonding Program'!$C$8,W$3='Bonding Program'!$H$15),'Bonding Program'!$T$15-'Bonding Program'!$U$15-'Bonding Program'!$Z$15,0)-IF(AND('Bonding Program'!$S$15=1,'Bonding Program'!$H$15&lt;='Bonding Program'!$C$8,W$3=IF('Bonding Program'!$P$15&lt;&gt;"",'Bonding Program'!$P$15,'Bonding Program'!$C$8)),'Bonding Program'!$Z$15,0)+IF(AND('Bonding Program'!$P$15&lt;&gt;"",W$3='Bonding Program'!$P$15,W$3&lt;='Bonding Program'!$C$8),N('Bonding Program'!$O$15),0)</f>
        <v>0</v>
      </c>
      <c r="X156" s="19" t="n">
        <f aca="false">IF(AND('Bonding Program'!$S$15=1,'Bonding Program'!$H$15&gt;'Bonding Program'!$C$8,X$3='Bonding Program'!$H$15),'Bonding Program'!$T$15-'Bonding Program'!$U$15-'Bonding Program'!$Z$15,0)-IF(AND('Bonding Program'!$S$15=1,'Bonding Program'!$H$15&lt;='Bonding Program'!$C$8,X$3=IF('Bonding Program'!$P$15&lt;&gt;"",'Bonding Program'!$P$15,'Bonding Program'!$C$8)),'Bonding Program'!$Z$15,0)+IF(AND('Bonding Program'!$P$15&lt;&gt;"",X$3='Bonding Program'!$P$15,X$3&lt;='Bonding Program'!$C$8),N('Bonding Program'!$O$15),0)</f>
        <v>0</v>
      </c>
      <c r="Y156" s="19" t="n">
        <f aca="false">IF(AND('Bonding Program'!$S$15=1,'Bonding Program'!$H$15&gt;'Bonding Program'!$C$8,Y$3='Bonding Program'!$H$15),'Bonding Program'!$T$15-'Bonding Program'!$U$15-'Bonding Program'!$Z$15,0)-IF(AND('Bonding Program'!$S$15=1,'Bonding Program'!$H$15&lt;='Bonding Program'!$C$8,Y$3=IF('Bonding Program'!$P$15&lt;&gt;"",'Bonding Program'!$P$15,'Bonding Program'!$C$8)),'Bonding Program'!$Z$15,0)+IF(AND('Bonding Program'!$P$15&lt;&gt;"",Y$3='Bonding Program'!$P$15,Y$3&lt;='Bonding Program'!$C$8),N('Bonding Program'!$O$15),0)</f>
        <v>0</v>
      </c>
      <c r="Z156" s="19" t="n">
        <f aca="false">IF(AND('Bonding Program'!$S$15=1,'Bonding Program'!$H$15&gt;'Bonding Program'!$C$8,Z$3='Bonding Program'!$H$15),'Bonding Program'!$T$15-'Bonding Program'!$U$15-'Bonding Program'!$Z$15,0)-IF(AND('Bonding Program'!$S$15=1,'Bonding Program'!$H$15&lt;='Bonding Program'!$C$8,Z$3=IF('Bonding Program'!$P$15&lt;&gt;"",'Bonding Program'!$P$15,'Bonding Program'!$C$8)),'Bonding Program'!$Z$15,0)+IF(AND('Bonding Program'!$P$15&lt;&gt;"",Z$3='Bonding Program'!$P$15,Z$3&lt;='Bonding Program'!$C$8),N('Bonding Program'!$O$15),0)</f>
        <v>0</v>
      </c>
      <c r="AA156" s="19" t="n">
        <f aca="false">IF(AND('Bonding Program'!$S$15=1,'Bonding Program'!$H$15&gt;'Bonding Program'!$C$8,AA$3='Bonding Program'!$H$15),'Bonding Program'!$T$15-'Bonding Program'!$U$15-'Bonding Program'!$Z$15,0)-IF(AND('Bonding Program'!$S$15=1,'Bonding Program'!$H$15&lt;='Bonding Program'!$C$8,AA$3=IF('Bonding Program'!$P$15&lt;&gt;"",'Bonding Program'!$P$15,'Bonding Program'!$C$8)),'Bonding Program'!$Z$15,0)+IF(AND('Bonding Program'!$P$15&lt;&gt;"",AA$3='Bonding Program'!$P$15,AA$3&lt;='Bonding Program'!$C$8),N('Bonding Program'!$O$15),0)</f>
        <v>0</v>
      </c>
      <c r="AB156" s="19" t="n">
        <f aca="false">IF(AND('Bonding Program'!$S$15=1,'Bonding Program'!$H$15&gt;'Bonding Program'!$C$8,AB$3='Bonding Program'!$H$15),'Bonding Program'!$T$15-'Bonding Program'!$U$15-'Bonding Program'!$Z$15,0)-IF(AND('Bonding Program'!$S$15=1,'Bonding Program'!$H$15&lt;='Bonding Program'!$C$8,AB$3=IF('Bonding Program'!$P$15&lt;&gt;"",'Bonding Program'!$P$15,'Bonding Program'!$C$8)),'Bonding Program'!$Z$15,0)+IF(AND('Bonding Program'!$P$15&lt;&gt;"",AB$3='Bonding Program'!$P$15,AB$3&lt;='Bonding Program'!$C$8),N('Bonding Program'!$O$15),0)</f>
        <v>0</v>
      </c>
      <c r="AC156" s="19" t="n">
        <f aca="false">IF(AND('Bonding Program'!$S$15=1,'Bonding Program'!$H$15&gt;'Bonding Program'!$C$8,AC$3='Bonding Program'!$H$15),'Bonding Program'!$T$15-'Bonding Program'!$U$15-'Bonding Program'!$Z$15,0)-IF(AND('Bonding Program'!$S$15=1,'Bonding Program'!$H$15&lt;='Bonding Program'!$C$8,AC$3=IF('Bonding Program'!$P$15&lt;&gt;"",'Bonding Program'!$P$15,'Bonding Program'!$C$8)),'Bonding Program'!$Z$15,0)+IF(AND('Bonding Program'!$P$15&lt;&gt;"",AC$3='Bonding Program'!$P$15,AC$3&lt;='Bonding Program'!$C$8),N('Bonding Program'!$O$15),0)</f>
        <v>0</v>
      </c>
      <c r="AD156" s="19" t="n">
        <f aca="false">IF(AND('Bonding Program'!$S$15=1,'Bonding Program'!$H$15&gt;'Bonding Program'!$C$8,AD$3='Bonding Program'!$H$15),'Bonding Program'!$T$15-'Bonding Program'!$U$15-'Bonding Program'!$Z$15,0)-IF(AND('Bonding Program'!$S$15=1,'Bonding Program'!$H$15&lt;='Bonding Program'!$C$8,AD$3=IF('Bonding Program'!$P$15&lt;&gt;"",'Bonding Program'!$P$15,'Bonding Program'!$C$8)),'Bonding Program'!$Z$15,0)+IF(AND('Bonding Program'!$P$15&lt;&gt;"",AD$3='Bonding Program'!$P$15,AD$3&lt;='Bonding Program'!$C$8),N('Bonding Program'!$O$15),0)</f>
        <v>0</v>
      </c>
      <c r="AE156" s="19" t="n">
        <f aca="false">IF(AND('Bonding Program'!$S$15=1,'Bonding Program'!$H$15&gt;'Bonding Program'!$C$8,AE$3='Bonding Program'!$H$15),'Bonding Program'!$T$15-'Bonding Program'!$U$15-'Bonding Program'!$Z$15,0)-IF(AND('Bonding Program'!$S$15=1,'Bonding Program'!$H$15&lt;='Bonding Program'!$C$8,AE$3=IF('Bonding Program'!$P$15&lt;&gt;"",'Bonding Program'!$P$15,'Bonding Program'!$C$8)),'Bonding Program'!$Z$15,0)+IF(AND('Bonding Program'!$P$15&lt;&gt;"",AE$3='Bonding Program'!$P$15,AE$3&lt;='Bonding Program'!$C$8),N('Bonding Program'!$O$15),0)</f>
        <v>0</v>
      </c>
      <c r="AF156" s="19" t="n">
        <f aca="false">IF(AND('Bonding Program'!$S$15=1,'Bonding Program'!$H$15&gt;'Bonding Program'!$C$8,AF$3='Bonding Program'!$H$15),'Bonding Program'!$T$15-'Bonding Program'!$U$15-'Bonding Program'!$Z$15,0)-IF(AND('Bonding Program'!$S$15=1,'Bonding Program'!$H$15&lt;='Bonding Program'!$C$8,AF$3=IF('Bonding Program'!$P$15&lt;&gt;"",'Bonding Program'!$P$15,'Bonding Program'!$C$8)),'Bonding Program'!$Z$15,0)+IF(AND('Bonding Program'!$P$15&lt;&gt;"",AF$3='Bonding Program'!$P$15,AF$3&lt;='Bonding Program'!$C$8),N('Bonding Program'!$O$15),0)</f>
        <v>0</v>
      </c>
      <c r="AG156" s="19" t="n">
        <f aca="false">IF(AND('Bonding Program'!$S$15=1,'Bonding Program'!$H$15&gt;'Bonding Program'!$C$8,AG$3='Bonding Program'!$H$15),'Bonding Program'!$T$15-'Bonding Program'!$U$15-'Bonding Program'!$Z$15,0)-IF(AND('Bonding Program'!$S$15=1,'Bonding Program'!$H$15&lt;='Bonding Program'!$C$8,AG$3=IF('Bonding Program'!$P$15&lt;&gt;"",'Bonding Program'!$P$15,'Bonding Program'!$C$8)),'Bonding Program'!$Z$15,0)+IF(AND('Bonding Program'!$P$15&lt;&gt;"",AG$3='Bonding Program'!$P$15,AG$3&lt;='Bonding Program'!$C$8),N('Bonding Program'!$O$15),0)</f>
        <v>0</v>
      </c>
      <c r="AH156" s="19" t="n">
        <f aca="false">IF(AND('Bonding Program'!$S$15=1,'Bonding Program'!$H$15&gt;'Bonding Program'!$C$8,AH$3='Bonding Program'!$H$15),'Bonding Program'!$T$15-'Bonding Program'!$U$15-'Bonding Program'!$Z$15,0)-IF(AND('Bonding Program'!$S$15=1,'Bonding Program'!$H$15&lt;='Bonding Program'!$C$8,AH$3=IF('Bonding Program'!$P$15&lt;&gt;"",'Bonding Program'!$P$15,'Bonding Program'!$C$8)),'Bonding Program'!$Z$15,0)+IF(AND('Bonding Program'!$P$15&lt;&gt;"",AH$3='Bonding Program'!$P$15,AH$3&lt;='Bonding Program'!$C$8),N('Bonding Program'!$O$15),0)</f>
        <v>0</v>
      </c>
      <c r="AI156" s="19" t="n">
        <f aca="false">IF(AND('Bonding Program'!$S$15=1,'Bonding Program'!$H$15&gt;'Bonding Program'!$C$8,AI$3='Bonding Program'!$H$15),'Bonding Program'!$T$15-'Bonding Program'!$U$15-'Bonding Program'!$Z$15,0)-IF(AND('Bonding Program'!$S$15=1,'Bonding Program'!$H$15&lt;='Bonding Program'!$C$8,AI$3=IF('Bonding Program'!$P$15&lt;&gt;"",'Bonding Program'!$P$15,'Bonding Program'!$C$8)),'Bonding Program'!$Z$15,0)+IF(AND('Bonding Program'!$P$15&lt;&gt;"",AI$3='Bonding Program'!$P$15,AI$3&lt;='Bonding Program'!$C$8),N('Bonding Program'!$O$15),0)</f>
        <v>0</v>
      </c>
      <c r="AJ156" s="19" t="n">
        <f aca="false">IF(AND('Bonding Program'!$S$15=1,'Bonding Program'!$H$15&gt;'Bonding Program'!$C$8,AJ$3='Bonding Program'!$H$15),'Bonding Program'!$T$15-'Bonding Program'!$U$15-'Bonding Program'!$Z$15,0)-IF(AND('Bonding Program'!$S$15=1,'Bonding Program'!$H$15&lt;='Bonding Program'!$C$8,AJ$3=IF('Bonding Program'!$P$15&lt;&gt;"",'Bonding Program'!$P$15,'Bonding Program'!$C$8)),'Bonding Program'!$Z$15,0)+IF(AND('Bonding Program'!$P$15&lt;&gt;"",AJ$3='Bonding Program'!$P$15,AJ$3&lt;='Bonding Program'!$C$8),N('Bonding Program'!$O$15),0)</f>
        <v>0</v>
      </c>
      <c r="AK156" s="19" t="n">
        <f aca="false">IF(AND('Bonding Program'!$S$15=1,'Bonding Program'!$H$15&gt;'Bonding Program'!$C$8,AK$3='Bonding Program'!$H$15),'Bonding Program'!$T$15-'Bonding Program'!$U$15-'Bonding Program'!$Z$15,0)-IF(AND('Bonding Program'!$S$15=1,'Bonding Program'!$H$15&lt;='Bonding Program'!$C$8,AK$3=IF('Bonding Program'!$P$15&lt;&gt;"",'Bonding Program'!$P$15,'Bonding Program'!$C$8)),'Bonding Program'!$Z$15,0)+IF(AND('Bonding Program'!$P$15&lt;&gt;"",AK$3='Bonding Program'!$P$15,AK$3&lt;='Bonding Program'!$C$8),N('Bonding Program'!$O$15),0)</f>
        <v>0</v>
      </c>
      <c r="AL156" s="19" t="n">
        <f aca="false">IF(AND('Bonding Program'!$S$15=1,'Bonding Program'!$H$15&gt;'Bonding Program'!$C$8,AL$3='Bonding Program'!$H$15),'Bonding Program'!$T$15-'Bonding Program'!$U$15-'Bonding Program'!$Z$15,0)-IF(AND('Bonding Program'!$S$15=1,'Bonding Program'!$H$15&lt;='Bonding Program'!$C$8,AL$3=IF('Bonding Program'!$P$15&lt;&gt;"",'Bonding Program'!$P$15,'Bonding Program'!$C$8)),'Bonding Program'!$Z$15,0)+IF(AND('Bonding Program'!$P$15&lt;&gt;"",AL$3='Bonding Program'!$P$15,AL$3&lt;='Bonding Program'!$C$8),N('Bonding Program'!$O$15),0)</f>
        <v>0</v>
      </c>
      <c r="AM156" s="19" t="n">
        <f aca="false">IF(AND('Bonding Program'!$S$15=1,'Bonding Program'!$H$15&gt;'Bonding Program'!$C$8,AM$3='Bonding Program'!$H$15),'Bonding Program'!$T$15-'Bonding Program'!$U$15-'Bonding Program'!$Z$15,0)-IF(AND('Bonding Program'!$S$15=1,'Bonding Program'!$H$15&lt;='Bonding Program'!$C$8,AM$3=IF('Bonding Program'!$P$15&lt;&gt;"",'Bonding Program'!$P$15,'Bonding Program'!$C$8)),'Bonding Program'!$Z$15,0)+IF(AND('Bonding Program'!$P$15&lt;&gt;"",AM$3='Bonding Program'!$P$15,AM$3&lt;='Bonding Program'!$C$8),N('Bonding Program'!$O$15),0)</f>
        <v>0</v>
      </c>
      <c r="AN156" s="19" t="n">
        <f aca="false">IF(AND('Bonding Program'!$S$15=1,'Bonding Program'!$H$15&gt;'Bonding Program'!$C$8,AN$3='Bonding Program'!$H$15),'Bonding Program'!$T$15-'Bonding Program'!$U$15-'Bonding Program'!$Z$15,0)-IF(AND('Bonding Program'!$S$15=1,'Bonding Program'!$H$15&lt;='Bonding Program'!$C$8,AN$3=IF('Bonding Program'!$P$15&lt;&gt;"",'Bonding Program'!$P$15,'Bonding Program'!$C$8)),'Bonding Program'!$Z$15,0)+IF(AND('Bonding Program'!$P$15&lt;&gt;"",AN$3='Bonding Program'!$P$15,AN$3&lt;='Bonding Program'!$C$8),N('Bonding Program'!$O$15),0)</f>
        <v>0</v>
      </c>
      <c r="AO156" s="19" t="n">
        <f aca="false">IF(AND('Bonding Program'!$S$15=1,'Bonding Program'!$H$15&gt;'Bonding Program'!$C$8,AO$3='Bonding Program'!$H$15),'Bonding Program'!$T$15-'Bonding Program'!$U$15-'Bonding Program'!$Z$15,0)-IF(AND('Bonding Program'!$S$15=1,'Bonding Program'!$H$15&lt;='Bonding Program'!$C$8,AO$3=IF('Bonding Program'!$P$15&lt;&gt;"",'Bonding Program'!$P$15,'Bonding Program'!$C$8)),'Bonding Program'!$Z$15,0)+IF(AND('Bonding Program'!$P$15&lt;&gt;"",AO$3='Bonding Program'!$P$15,AO$3&lt;='Bonding Program'!$C$8),N('Bonding Program'!$O$15),0)</f>
        <v>0</v>
      </c>
      <c r="AP156" s="19" t="n">
        <f aca="false">IF(AND('Bonding Program'!$S$15=1,'Bonding Program'!$H$15&gt;'Bonding Program'!$C$8,AP$3='Bonding Program'!$H$15),'Bonding Program'!$T$15-'Bonding Program'!$U$15-'Bonding Program'!$Z$15,0)-IF(AND('Bonding Program'!$S$15=1,'Bonding Program'!$H$15&lt;='Bonding Program'!$C$8,AP$3=IF('Bonding Program'!$P$15&lt;&gt;"",'Bonding Program'!$P$15,'Bonding Program'!$C$8)),'Bonding Program'!$Z$15,0)+IF(AND('Bonding Program'!$P$15&lt;&gt;"",AP$3='Bonding Program'!$P$15,AP$3&lt;='Bonding Program'!$C$8),N('Bonding Program'!$O$15),0)</f>
        <v>0</v>
      </c>
      <c r="AQ156" s="19" t="n">
        <f aca="false">IF(AND('Bonding Program'!$S$15=1,'Bonding Program'!$H$15&gt;'Bonding Program'!$C$8,AQ$3='Bonding Program'!$H$15),'Bonding Program'!$T$15-'Bonding Program'!$U$15-'Bonding Program'!$Z$15,0)-IF(AND('Bonding Program'!$S$15=1,'Bonding Program'!$H$15&lt;='Bonding Program'!$C$8,AQ$3=IF('Bonding Program'!$P$15&lt;&gt;"",'Bonding Program'!$P$15,'Bonding Program'!$C$8)),'Bonding Program'!$Z$15,0)+IF(AND('Bonding Program'!$P$15&lt;&gt;"",AQ$3='Bonding Program'!$P$15,AQ$3&lt;='Bonding Program'!$C$8),N('Bonding Program'!$O$15),0)</f>
        <v>0</v>
      </c>
      <c r="AR156" s="19" t="n">
        <f aca="false">IF(AND('Bonding Program'!$S$15=1,'Bonding Program'!$H$15&gt;'Bonding Program'!$C$8,AR$3='Bonding Program'!$H$15),'Bonding Program'!$T$15-'Bonding Program'!$U$15-'Bonding Program'!$Z$15,0)-IF(AND('Bonding Program'!$S$15=1,'Bonding Program'!$H$15&lt;='Bonding Program'!$C$8,AR$3=IF('Bonding Program'!$P$15&lt;&gt;"",'Bonding Program'!$P$15,'Bonding Program'!$C$8)),'Bonding Program'!$Z$15,0)+IF(AND('Bonding Program'!$P$15&lt;&gt;"",AR$3='Bonding Program'!$P$15,AR$3&lt;='Bonding Program'!$C$8),N('Bonding Program'!$O$15),0)</f>
        <v>0</v>
      </c>
      <c r="AS156" s="19" t="n">
        <f aca="false">IF(AND('Bonding Program'!$S$15=1,'Bonding Program'!$H$15&gt;'Bonding Program'!$C$8,AS$3='Bonding Program'!$H$15),'Bonding Program'!$T$15-'Bonding Program'!$U$15-'Bonding Program'!$Z$15,0)-IF(AND('Bonding Program'!$S$15=1,'Bonding Program'!$H$15&lt;='Bonding Program'!$C$8,AS$3=IF('Bonding Program'!$P$15&lt;&gt;"",'Bonding Program'!$P$15,'Bonding Program'!$C$8)),'Bonding Program'!$Z$15,0)+IF(AND('Bonding Program'!$P$15&lt;&gt;"",AS$3='Bonding Program'!$P$15,AS$3&lt;='Bonding Program'!$C$8),N('Bonding Program'!$O$15),0)</f>
        <v>0</v>
      </c>
      <c r="AT156" s="19" t="n">
        <f aca="false">IF(AND('Bonding Program'!$S$15=1,'Bonding Program'!$H$15&gt;'Bonding Program'!$C$8,AT$3='Bonding Program'!$H$15),'Bonding Program'!$T$15-'Bonding Program'!$U$15-'Bonding Program'!$Z$15,0)-IF(AND('Bonding Program'!$S$15=1,'Bonding Program'!$H$15&lt;='Bonding Program'!$C$8,AT$3=IF('Bonding Program'!$P$15&lt;&gt;"",'Bonding Program'!$P$15,'Bonding Program'!$C$8)),'Bonding Program'!$Z$15,0)+IF(AND('Bonding Program'!$P$15&lt;&gt;"",AT$3='Bonding Program'!$P$15,AT$3&lt;='Bonding Program'!$C$8),N('Bonding Program'!$O$15),0)</f>
        <v>0</v>
      </c>
      <c r="AU156" s="19" t="n">
        <f aca="false">IF(AND('Bonding Program'!$S$15=1,'Bonding Program'!$H$15&gt;'Bonding Program'!$C$8,AU$3='Bonding Program'!$H$15),'Bonding Program'!$T$15-'Bonding Program'!$U$15-'Bonding Program'!$Z$15,0)-IF(AND('Bonding Program'!$S$15=1,'Bonding Program'!$H$15&lt;='Bonding Program'!$C$8,AU$3=IF('Bonding Program'!$P$15&lt;&gt;"",'Bonding Program'!$P$15,'Bonding Program'!$C$8)),'Bonding Program'!$Z$15,0)+IF(AND('Bonding Program'!$P$15&lt;&gt;"",AU$3='Bonding Program'!$P$15,AU$3&lt;='Bonding Program'!$C$8),N('Bonding Program'!$O$15),0)</f>
        <v>0</v>
      </c>
      <c r="AV156" s="19" t="n">
        <f aca="false">IF(AND('Bonding Program'!$S$15=1,'Bonding Program'!$H$15&gt;'Bonding Program'!$C$8,AV$3='Bonding Program'!$H$15),'Bonding Program'!$T$15-'Bonding Program'!$U$15-'Bonding Program'!$Z$15,0)-IF(AND('Bonding Program'!$S$15=1,'Bonding Program'!$H$15&lt;='Bonding Program'!$C$8,AV$3=IF('Bonding Program'!$P$15&lt;&gt;"",'Bonding Program'!$P$15,'Bonding Program'!$C$8)),'Bonding Program'!$Z$15,0)+IF(AND('Bonding Program'!$P$15&lt;&gt;"",AV$3='Bonding Program'!$P$15,AV$3&lt;='Bonding Program'!$C$8),N('Bonding Program'!$O$15),0)</f>
        <v>0</v>
      </c>
      <c r="AW156" s="19" t="n">
        <f aca="false">IF(AND('Bonding Program'!$S$15=1,'Bonding Program'!$H$15&gt;'Bonding Program'!$C$8,AW$3='Bonding Program'!$H$15),'Bonding Program'!$T$15-'Bonding Program'!$U$15-'Bonding Program'!$Z$15,0)-IF(AND('Bonding Program'!$S$15=1,'Bonding Program'!$H$15&lt;='Bonding Program'!$C$8,AW$3=IF('Bonding Program'!$P$15&lt;&gt;"",'Bonding Program'!$P$15,'Bonding Program'!$C$8)),'Bonding Program'!$Z$15,0)+IF(AND('Bonding Program'!$P$15&lt;&gt;"",AW$3='Bonding Program'!$P$15,AW$3&lt;='Bonding Program'!$C$8),N('Bonding Program'!$O$15),0)</f>
        <v>0</v>
      </c>
      <c r="AX156" s="19" t="n">
        <f aca="false">IF(AND('Bonding Program'!$S$15=1,'Bonding Program'!$H$15&gt;'Bonding Program'!$C$8,AX$3='Bonding Program'!$H$15),'Bonding Program'!$T$15-'Bonding Program'!$U$15-'Bonding Program'!$Z$15,0)-IF(AND('Bonding Program'!$S$15=1,'Bonding Program'!$H$15&lt;='Bonding Program'!$C$8,AX$3=IF('Bonding Program'!$P$15&lt;&gt;"",'Bonding Program'!$P$15,'Bonding Program'!$C$8)),'Bonding Program'!$Z$15,0)+IF(AND('Bonding Program'!$P$15&lt;&gt;"",AX$3='Bonding Program'!$P$15,AX$3&lt;='Bonding Program'!$C$8),N('Bonding Program'!$O$15),0)</f>
        <v>0</v>
      </c>
      <c r="AY156" s="19" t="n">
        <f aca="false">IF(AND('Bonding Program'!$S$15=1,'Bonding Program'!$H$15&gt;'Bonding Program'!$C$8,AY$3='Bonding Program'!$H$15),'Bonding Program'!$T$15-'Bonding Program'!$U$15-'Bonding Program'!$Z$15,0)-IF(AND('Bonding Program'!$S$15=1,'Bonding Program'!$H$15&lt;='Bonding Program'!$C$8,AY$3=IF('Bonding Program'!$P$15&lt;&gt;"",'Bonding Program'!$P$15,'Bonding Program'!$C$8)),'Bonding Program'!$Z$15,0)+IF(AND('Bonding Program'!$P$15&lt;&gt;"",AY$3='Bonding Program'!$P$15,AY$3&lt;='Bonding Program'!$C$8),N('Bonding Program'!$O$15),0)</f>
        <v>0</v>
      </c>
      <c r="AZ156" s="19" t="n">
        <f aca="false">IF(AND('Bonding Program'!$S$15=1,'Bonding Program'!$H$15&gt;'Bonding Program'!$C$8,AZ$3='Bonding Program'!$H$15),'Bonding Program'!$T$15-'Bonding Program'!$U$15-'Bonding Program'!$Z$15,0)-IF(AND('Bonding Program'!$S$15=1,'Bonding Program'!$H$15&lt;='Bonding Program'!$C$8,AZ$3=IF('Bonding Program'!$P$15&lt;&gt;"",'Bonding Program'!$P$15,'Bonding Program'!$C$8)),'Bonding Program'!$Z$15,0)+IF(AND('Bonding Program'!$P$15&lt;&gt;"",AZ$3='Bonding Program'!$P$15,AZ$3&lt;='Bonding Program'!$C$8),N('Bonding Program'!$O$15),0)</f>
        <v>0</v>
      </c>
      <c r="BA156" s="19" t="n">
        <f aca="false">IF(AND('Bonding Program'!$S$15=1,'Bonding Program'!$H$15&gt;'Bonding Program'!$C$8,BA$3='Bonding Program'!$H$15),'Bonding Program'!$T$15-'Bonding Program'!$U$15-'Bonding Program'!$Z$15,0)-IF(AND('Bonding Program'!$S$15=1,'Bonding Program'!$H$15&lt;='Bonding Program'!$C$8,BA$3=IF('Bonding Program'!$P$15&lt;&gt;"",'Bonding Program'!$P$15,'Bonding Program'!$C$8)),'Bonding Program'!$Z$15,0)+IF(AND('Bonding Program'!$P$15&lt;&gt;"",BA$3='Bonding Program'!$P$15,BA$3&lt;='Bonding Program'!$C$8),N('Bonding Program'!$O$15),0)</f>
        <v>0</v>
      </c>
      <c r="BB156" s="19" t="n">
        <f aca="false">IF(AND('Bonding Program'!$S$15=1,'Bonding Program'!$H$15&gt;'Bonding Program'!$C$8,BB$3='Bonding Program'!$H$15),'Bonding Program'!$T$15-'Bonding Program'!$U$15-'Bonding Program'!$Z$15,0)-IF(AND('Bonding Program'!$S$15=1,'Bonding Program'!$H$15&lt;='Bonding Program'!$C$8,BB$3=IF('Bonding Program'!$P$15&lt;&gt;"",'Bonding Program'!$P$15,'Bonding Program'!$C$8)),'Bonding Program'!$Z$15,0)+IF(AND('Bonding Program'!$P$15&lt;&gt;"",BB$3='Bonding Program'!$P$15,BB$3&lt;='Bonding Program'!$C$8),N('Bonding Program'!$O$15),0)</f>
        <v>0</v>
      </c>
      <c r="BC156" s="19" t="n">
        <f aca="false">IF(AND('Bonding Program'!$S$15=1,'Bonding Program'!$H$15&gt;'Bonding Program'!$C$8,BC$3='Bonding Program'!$H$15),'Bonding Program'!$T$15-'Bonding Program'!$U$15-'Bonding Program'!$Z$15,0)-IF(AND('Bonding Program'!$S$15=1,'Bonding Program'!$H$15&lt;='Bonding Program'!$C$8,BC$3=IF('Bonding Program'!$P$15&lt;&gt;"",'Bonding Program'!$P$15,'Bonding Program'!$C$8)),'Bonding Program'!$Z$15,0)+IF(AND('Bonding Program'!$P$15&lt;&gt;"",BC$3='Bonding Program'!$P$15,BC$3&lt;='Bonding Program'!$C$8),N('Bonding Program'!$O$15),0)</f>
        <v>0</v>
      </c>
      <c r="BD156" s="19" t="n">
        <f aca="false">IF(AND('Bonding Program'!$S$15=1,'Bonding Program'!$H$15&gt;'Bonding Program'!$C$8,BD$3='Bonding Program'!$H$15),'Bonding Program'!$T$15-'Bonding Program'!$U$15-'Bonding Program'!$Z$15,0)-IF(AND('Bonding Program'!$S$15=1,'Bonding Program'!$H$15&lt;='Bonding Program'!$C$8,BD$3=IF('Bonding Program'!$P$15&lt;&gt;"",'Bonding Program'!$P$15,'Bonding Program'!$C$8)),'Bonding Program'!$Z$15,0)+IF(AND('Bonding Program'!$P$15&lt;&gt;"",BD$3='Bonding Program'!$P$15,BD$3&lt;='Bonding Program'!$C$8),N('Bonding Program'!$O$15),0)</f>
        <v>0</v>
      </c>
      <c r="BE156" s="19" t="n">
        <f aca="false">IF(AND('Bonding Program'!$S$15=1,'Bonding Program'!$H$15&gt;'Bonding Program'!$C$8,BE$3='Bonding Program'!$H$15),'Bonding Program'!$T$15-'Bonding Program'!$U$15-'Bonding Program'!$Z$15,0)-IF(AND('Bonding Program'!$S$15=1,'Bonding Program'!$H$15&lt;='Bonding Program'!$C$8,BE$3=IF('Bonding Program'!$P$15&lt;&gt;"",'Bonding Program'!$P$15,'Bonding Program'!$C$8)),'Bonding Program'!$Z$15,0)+IF(AND('Bonding Program'!$P$15&lt;&gt;"",BE$3='Bonding Program'!$P$15,BE$3&lt;='Bonding Program'!$C$8),N('Bonding Program'!$O$15),0)</f>
        <v>0</v>
      </c>
      <c r="BF156" s="19" t="n">
        <f aca="false">IF(AND('Bonding Program'!$S$15=1,'Bonding Program'!$H$15&gt;'Bonding Program'!$C$8,BF$3='Bonding Program'!$H$15),'Bonding Program'!$T$15-'Bonding Program'!$U$15-'Bonding Program'!$Z$15,0)-IF(AND('Bonding Program'!$S$15=1,'Bonding Program'!$H$15&lt;='Bonding Program'!$C$8,BF$3=IF('Bonding Program'!$P$15&lt;&gt;"",'Bonding Program'!$P$15,'Bonding Program'!$C$8)),'Bonding Program'!$Z$15,0)+IF(AND('Bonding Program'!$P$15&lt;&gt;"",BF$3='Bonding Program'!$P$15,BF$3&lt;='Bonding Program'!$C$8),N('Bonding Program'!$O$15),0)</f>
        <v>0</v>
      </c>
      <c r="BG156" s="19" t="n">
        <f aca="false">IF(AND('Bonding Program'!$S$15=1,'Bonding Program'!$H$15&gt;'Bonding Program'!$C$8,BG$3='Bonding Program'!$H$15),'Bonding Program'!$T$15-'Bonding Program'!$U$15-'Bonding Program'!$Z$15,0)-IF(AND('Bonding Program'!$S$15=1,'Bonding Program'!$H$15&lt;='Bonding Program'!$C$8,BG$3=IF('Bonding Program'!$P$15&lt;&gt;"",'Bonding Program'!$P$15,'Bonding Program'!$C$8)),'Bonding Program'!$Z$15,0)+IF(AND('Bonding Program'!$P$15&lt;&gt;"",BG$3='Bonding Program'!$P$15,BG$3&lt;='Bonding Program'!$C$8),N('Bonding Program'!$O$15),0)</f>
        <v>0</v>
      </c>
      <c r="BH156" s="19" t="n">
        <f aca="false">IF(AND('Bonding Program'!$S$15=1,'Bonding Program'!$H$15&gt;'Bonding Program'!$C$8,BH$3='Bonding Program'!$H$15),'Bonding Program'!$T$15-'Bonding Program'!$U$15-'Bonding Program'!$Z$15,0)-IF(AND('Bonding Program'!$S$15=1,'Bonding Program'!$H$15&lt;='Bonding Program'!$C$8,BH$3=IF('Bonding Program'!$P$15&lt;&gt;"",'Bonding Program'!$P$15,'Bonding Program'!$C$8)),'Bonding Program'!$Z$15,0)+IF(AND('Bonding Program'!$P$15&lt;&gt;"",BH$3='Bonding Program'!$P$15,BH$3&lt;='Bonding Program'!$C$8),N('Bonding Program'!$O$15),0)</f>
        <v>0</v>
      </c>
      <c r="BI156" s="19" t="n">
        <f aca="false">IF(AND('Bonding Program'!$S$15=1,'Bonding Program'!$H$15&gt;'Bonding Program'!$C$8,BI$3='Bonding Program'!$H$15),'Bonding Program'!$T$15-'Bonding Program'!$U$15-'Bonding Program'!$Z$15,0)-IF(AND('Bonding Program'!$S$15=1,'Bonding Program'!$H$15&lt;='Bonding Program'!$C$8,BI$3=IF('Bonding Program'!$P$15&lt;&gt;"",'Bonding Program'!$P$15,'Bonding Program'!$C$8)),'Bonding Program'!$Z$15,0)+IF(AND('Bonding Program'!$P$15&lt;&gt;"",BI$3='Bonding Program'!$P$15,BI$3&lt;='Bonding Program'!$C$8),N('Bonding Program'!$O$15),0)</f>
        <v>0</v>
      </c>
      <c r="BJ156" s="19" t="n">
        <f aca="false">IF(AND('Bonding Program'!$S$15=1,'Bonding Program'!$H$15&gt;'Bonding Program'!$C$8,BJ$3='Bonding Program'!$H$15),'Bonding Program'!$T$15-'Bonding Program'!$U$15-'Bonding Program'!$Z$15,0)-IF(AND('Bonding Program'!$S$15=1,'Bonding Program'!$H$15&lt;='Bonding Program'!$C$8,BJ$3=IF('Bonding Program'!$P$15&lt;&gt;"",'Bonding Program'!$P$15,'Bonding Program'!$C$8)),'Bonding Program'!$Z$15,0)+IF(AND('Bonding Program'!$P$15&lt;&gt;"",BJ$3='Bonding Program'!$P$15,BJ$3&lt;='Bonding Program'!$C$8),N('Bonding Program'!$O$15),0)</f>
        <v>0</v>
      </c>
      <c r="BK156" s="19" t="n">
        <f aca="false">IF(AND('Bonding Program'!$S$15=1,'Bonding Program'!$H$15&gt;'Bonding Program'!$C$8,BK$3='Bonding Program'!$H$15),'Bonding Program'!$T$15-'Bonding Program'!$U$15-'Bonding Program'!$Z$15,0)-IF(AND('Bonding Program'!$S$15=1,'Bonding Program'!$H$15&lt;='Bonding Program'!$C$8,BK$3=IF('Bonding Program'!$P$15&lt;&gt;"",'Bonding Program'!$P$15,'Bonding Program'!$C$8)),'Bonding Program'!$Z$15,0)+IF(AND('Bonding Program'!$P$15&lt;&gt;"",BK$3='Bonding Program'!$P$15,BK$3&lt;='Bonding Program'!$C$8),N('Bonding Program'!$O$15),0)</f>
        <v>0</v>
      </c>
      <c r="BL156" s="19" t="n">
        <f aca="false">IF(AND('Bonding Program'!$S$15=1,'Bonding Program'!$H$15&gt;'Bonding Program'!$C$8,BL$3='Bonding Program'!$H$15),'Bonding Program'!$T$15-'Bonding Program'!$U$15-'Bonding Program'!$Z$15,0)-IF(AND('Bonding Program'!$S$15=1,'Bonding Program'!$H$15&lt;='Bonding Program'!$C$8,BL$3=IF('Bonding Program'!$P$15&lt;&gt;"",'Bonding Program'!$P$15,'Bonding Program'!$C$8)),'Bonding Program'!$Z$15,0)+IF(AND('Bonding Program'!$P$15&lt;&gt;"",BL$3='Bonding Program'!$P$15,BL$3&lt;='Bonding Program'!$C$8),N('Bonding Program'!$O$15),0)</f>
        <v>0</v>
      </c>
      <c r="BM156" s="19" t="n">
        <f aca="false">IF(AND('Bonding Program'!$S$15=1,'Bonding Program'!$H$15&gt;'Bonding Program'!$C$8,BM$3='Bonding Program'!$H$15),'Bonding Program'!$T$15-'Bonding Program'!$U$15-'Bonding Program'!$Z$15,0)-IF(AND('Bonding Program'!$S$15=1,'Bonding Program'!$H$15&lt;='Bonding Program'!$C$8,BM$3=IF('Bonding Program'!$P$15&lt;&gt;"",'Bonding Program'!$P$15,'Bonding Program'!$C$8)),'Bonding Program'!$Z$15,0)+IF(AND('Bonding Program'!$P$15&lt;&gt;"",BM$3='Bonding Program'!$P$15,BM$3&lt;='Bonding Program'!$C$8),N('Bonding Program'!$O$15),0)</f>
        <v>0</v>
      </c>
      <c r="BN156" s="19" t="n">
        <f aca="false">IF(AND('Bonding Program'!$S$15=1,'Bonding Program'!$H$15&gt;'Bonding Program'!$C$8,BN$3='Bonding Program'!$H$15),'Bonding Program'!$T$15-'Bonding Program'!$U$15-'Bonding Program'!$Z$15,0)-IF(AND('Bonding Program'!$S$15=1,'Bonding Program'!$H$15&lt;='Bonding Program'!$C$8,BN$3=IF('Bonding Program'!$P$15&lt;&gt;"",'Bonding Program'!$P$15,'Bonding Program'!$C$8)),'Bonding Program'!$Z$15,0)+IF(AND('Bonding Program'!$P$15&lt;&gt;"",BN$3='Bonding Program'!$P$15,BN$3&lt;='Bonding Program'!$C$8),N('Bonding Program'!$O$15),0)</f>
        <v>0</v>
      </c>
      <c r="BO156" s="19" t="n">
        <f aca="false">IF(AND('Bonding Program'!$S$15=1,'Bonding Program'!$H$15&gt;'Bonding Program'!$C$8,BO$3='Bonding Program'!$H$15),'Bonding Program'!$T$15-'Bonding Program'!$U$15-'Bonding Program'!$Z$15,0)-IF(AND('Bonding Program'!$S$15=1,'Bonding Program'!$H$15&lt;='Bonding Program'!$C$8,BO$3=IF('Bonding Program'!$P$15&lt;&gt;"",'Bonding Program'!$P$15,'Bonding Program'!$C$8)),'Bonding Program'!$Z$15,0)+IF(AND('Bonding Program'!$P$15&lt;&gt;"",BO$3='Bonding Program'!$P$15,BO$3&lt;='Bonding Program'!$C$8),N('Bonding Program'!$O$15),0)</f>
        <v>0</v>
      </c>
      <c r="BP156" s="19" t="n">
        <f aca="false">IF(AND('Bonding Program'!$S$15=1,'Bonding Program'!$H$15&gt;'Bonding Program'!$C$8,BP$3='Bonding Program'!$H$15),'Bonding Program'!$T$15-'Bonding Program'!$U$15-'Bonding Program'!$Z$15,0)-IF(AND('Bonding Program'!$S$15=1,'Bonding Program'!$H$15&lt;='Bonding Program'!$C$8,BP$3=IF('Bonding Program'!$P$15&lt;&gt;"",'Bonding Program'!$P$15,'Bonding Program'!$C$8)),'Bonding Program'!$Z$15,0)+IF(AND('Bonding Program'!$P$15&lt;&gt;"",BP$3='Bonding Program'!$P$15,BP$3&lt;='Bonding Program'!$C$8),N('Bonding Program'!$O$15),0)</f>
        <v>0</v>
      </c>
      <c r="BQ156" s="19" t="n">
        <f aca="false">IF(AND('Bonding Program'!$S$15=1,'Bonding Program'!$H$15&gt;'Bonding Program'!$C$8,BQ$3='Bonding Program'!$H$15),'Bonding Program'!$T$15-'Bonding Program'!$U$15-'Bonding Program'!$Z$15,0)-IF(AND('Bonding Program'!$S$15=1,'Bonding Program'!$H$15&lt;='Bonding Program'!$C$8,BQ$3=IF('Bonding Program'!$P$15&lt;&gt;"",'Bonding Program'!$P$15,'Bonding Program'!$C$8)),'Bonding Program'!$Z$15,0)+IF(AND('Bonding Program'!$P$15&lt;&gt;"",BQ$3='Bonding Program'!$P$15,BQ$3&lt;='Bonding Program'!$C$8),N('Bonding Program'!$O$15),0)</f>
        <v>0</v>
      </c>
      <c r="BR156" s="19" t="n">
        <f aca="false">IF(AND('Bonding Program'!$S$15=1,'Bonding Program'!$H$15&gt;'Bonding Program'!$C$8,BR$3='Bonding Program'!$H$15),'Bonding Program'!$T$15-'Bonding Program'!$U$15-'Bonding Program'!$Z$15,0)-IF(AND('Bonding Program'!$S$15=1,'Bonding Program'!$H$15&lt;='Bonding Program'!$C$8,BR$3=IF('Bonding Program'!$P$15&lt;&gt;"",'Bonding Program'!$P$15,'Bonding Program'!$C$8)),'Bonding Program'!$Z$15,0)+IF(AND('Bonding Program'!$P$15&lt;&gt;"",BR$3='Bonding Program'!$P$15,BR$3&lt;='Bonding Program'!$C$8),N('Bonding Program'!$O$15),0)</f>
        <v>0</v>
      </c>
      <c r="BS156" s="19" t="n">
        <f aca="false">IF(AND('Bonding Program'!$S$15=1,'Bonding Program'!$H$15&gt;'Bonding Program'!$C$8,BS$3='Bonding Program'!$H$15),'Bonding Program'!$T$15-'Bonding Program'!$U$15-'Bonding Program'!$Z$15,0)-IF(AND('Bonding Program'!$S$15=1,'Bonding Program'!$H$15&lt;='Bonding Program'!$C$8,BS$3=IF('Bonding Program'!$P$15&lt;&gt;"",'Bonding Program'!$P$15,'Bonding Program'!$C$8)),'Bonding Program'!$Z$15,0)+IF(AND('Bonding Program'!$P$15&lt;&gt;"",BS$3='Bonding Program'!$P$15,BS$3&lt;='Bonding Program'!$C$8),N('Bonding Program'!$O$15),0)</f>
        <v>0</v>
      </c>
      <c r="BT156" s="19" t="n">
        <f aca="false">IF(AND('Bonding Program'!$S$15=1,'Bonding Program'!$H$15&gt;'Bonding Program'!$C$8,BT$3='Bonding Program'!$H$15),'Bonding Program'!$T$15-'Bonding Program'!$U$15-'Bonding Program'!$Z$15,0)-IF(AND('Bonding Program'!$S$15=1,'Bonding Program'!$H$15&lt;='Bonding Program'!$C$8,BT$3=IF('Bonding Program'!$P$15&lt;&gt;"",'Bonding Program'!$P$15,'Bonding Program'!$C$8)),'Bonding Program'!$Z$15,0)+IF(AND('Bonding Program'!$P$15&lt;&gt;"",BT$3='Bonding Program'!$P$15,BT$3&lt;='Bonding Program'!$C$8),N('Bonding Program'!$O$15),0)</f>
        <v>0</v>
      </c>
      <c r="BU156" s="19" t="n">
        <f aca="false">IF(AND('Bonding Program'!$S$15=1,'Bonding Program'!$H$15&gt;'Bonding Program'!$C$8,BU$3='Bonding Program'!$H$15),'Bonding Program'!$T$15-'Bonding Program'!$U$15-'Bonding Program'!$Z$15,0)-IF(AND('Bonding Program'!$S$15=1,'Bonding Program'!$H$15&lt;='Bonding Program'!$C$8,BU$3=IF('Bonding Program'!$P$15&lt;&gt;"",'Bonding Program'!$P$15,'Bonding Program'!$C$8)),'Bonding Program'!$Z$15,0)+IF(AND('Bonding Program'!$P$15&lt;&gt;"",BU$3='Bonding Program'!$P$15,BU$3&lt;='Bonding Program'!$C$8),N('Bonding Program'!$O$15),0)</f>
        <v>0</v>
      </c>
      <c r="BV156" s="19" t="n">
        <f aca="false">IF(AND('Bonding Program'!$S$15=1,'Bonding Program'!$H$15&gt;'Bonding Program'!$C$8,BV$3='Bonding Program'!$H$15),'Bonding Program'!$T$15-'Bonding Program'!$U$15-'Bonding Program'!$Z$15,0)-IF(AND('Bonding Program'!$S$15=1,'Bonding Program'!$H$15&lt;='Bonding Program'!$C$8,BV$3=IF('Bonding Program'!$P$15&lt;&gt;"",'Bonding Program'!$P$15,'Bonding Program'!$C$8)),'Bonding Program'!$Z$15,0)+IF(AND('Bonding Program'!$P$15&lt;&gt;"",BV$3='Bonding Program'!$P$15,BV$3&lt;='Bonding Program'!$C$8),N('Bonding Program'!$O$15),0)</f>
        <v>0</v>
      </c>
      <c r="BW156" s="19" t="n">
        <f aca="false">IF(AND('Bonding Program'!$S$15=1,'Bonding Program'!$H$15&gt;'Bonding Program'!$C$8,BW$3='Bonding Program'!$H$15),'Bonding Program'!$T$15-'Bonding Program'!$U$15-'Bonding Program'!$Z$15,0)-IF(AND('Bonding Program'!$S$15=1,'Bonding Program'!$H$15&lt;='Bonding Program'!$C$8,BW$3=IF('Bonding Program'!$P$15&lt;&gt;"",'Bonding Program'!$P$15,'Bonding Program'!$C$8)),'Bonding Program'!$Z$15,0)+IF(AND('Bonding Program'!$P$15&lt;&gt;"",BW$3='Bonding Program'!$P$15,BW$3&lt;='Bonding Program'!$C$8),N('Bonding Program'!$O$15),0)</f>
        <v>0</v>
      </c>
      <c r="BX156" s="19" t="n">
        <f aca="false">IF(AND('Bonding Program'!$S$15=1,'Bonding Program'!$H$15&gt;'Bonding Program'!$C$8,BX$3='Bonding Program'!$H$15),'Bonding Program'!$T$15-'Bonding Program'!$U$15-'Bonding Program'!$Z$15,0)-IF(AND('Bonding Program'!$S$15=1,'Bonding Program'!$H$15&lt;='Bonding Program'!$C$8,BX$3=IF('Bonding Program'!$P$15&lt;&gt;"",'Bonding Program'!$P$15,'Bonding Program'!$C$8)),'Bonding Program'!$Z$15,0)+IF(AND('Bonding Program'!$P$15&lt;&gt;"",BX$3='Bonding Program'!$P$15,BX$3&lt;='Bonding Program'!$C$8),N('Bonding Program'!$O$15),0)</f>
        <v>0</v>
      </c>
      <c r="BY156" s="19" t="n">
        <f aca="false">IF(AND('Bonding Program'!$S$15=1,'Bonding Program'!$H$15&gt;'Bonding Program'!$C$8,BY$3='Bonding Program'!$H$15),'Bonding Program'!$T$15-'Bonding Program'!$U$15-'Bonding Program'!$Z$15,0)-IF(AND('Bonding Program'!$S$15=1,'Bonding Program'!$H$15&lt;='Bonding Program'!$C$8,BY$3=IF('Bonding Program'!$P$15&lt;&gt;"",'Bonding Program'!$P$15,'Bonding Program'!$C$8)),'Bonding Program'!$Z$15,0)+IF(AND('Bonding Program'!$P$15&lt;&gt;"",BY$3='Bonding Program'!$P$15,BY$3&lt;='Bonding Program'!$C$8),N('Bonding Program'!$O$15),0)</f>
        <v>0</v>
      </c>
      <c r="BZ156" s="19" t="n">
        <f aca="false">IF(AND('Bonding Program'!$S$15=1,'Bonding Program'!$H$15&gt;'Bonding Program'!$C$8,BZ$3='Bonding Program'!$H$15),'Bonding Program'!$T$15-'Bonding Program'!$U$15-'Bonding Program'!$Z$15,0)-IF(AND('Bonding Program'!$S$15=1,'Bonding Program'!$H$15&lt;='Bonding Program'!$C$8,BZ$3=IF('Bonding Program'!$P$15&lt;&gt;"",'Bonding Program'!$P$15,'Bonding Program'!$C$8)),'Bonding Program'!$Z$15,0)+IF(AND('Bonding Program'!$P$15&lt;&gt;"",BZ$3='Bonding Program'!$P$15,BZ$3&lt;='Bonding Program'!$C$8),N('Bonding Program'!$O$15),0)</f>
        <v>0</v>
      </c>
      <c r="CA156" s="19" t="n">
        <f aca="false">IF(AND('Bonding Program'!$S$15=1,'Bonding Program'!$H$15&gt;'Bonding Program'!$C$8,CA$3='Bonding Program'!$H$15),'Bonding Program'!$T$15-'Bonding Program'!$U$15-'Bonding Program'!$Z$15,0)-IF(AND('Bonding Program'!$S$15=1,'Bonding Program'!$H$15&lt;='Bonding Program'!$C$8,CA$3=IF('Bonding Program'!$P$15&lt;&gt;"",'Bonding Program'!$P$15,'Bonding Program'!$C$8)),'Bonding Program'!$Z$15,0)+IF(AND('Bonding Program'!$P$15&lt;&gt;"",CA$3='Bonding Program'!$P$15,CA$3&lt;='Bonding Program'!$C$8),N('Bonding Program'!$O$15),0)</f>
        <v>0</v>
      </c>
      <c r="CB156" s="19" t="n">
        <f aca="false">IF(AND('Bonding Program'!$S$15=1,'Bonding Program'!$H$15&gt;'Bonding Program'!$C$8,CB$3='Bonding Program'!$H$15),'Bonding Program'!$T$15-'Bonding Program'!$U$15-'Bonding Program'!$Z$15,0)-IF(AND('Bonding Program'!$S$15=1,'Bonding Program'!$H$15&lt;='Bonding Program'!$C$8,CB$3=IF('Bonding Program'!$P$15&lt;&gt;"",'Bonding Program'!$P$15,'Bonding Program'!$C$8)),'Bonding Program'!$Z$15,0)+IF(AND('Bonding Program'!$P$15&lt;&gt;"",CB$3='Bonding Program'!$P$15,CB$3&lt;='Bonding Program'!$C$8),N('Bonding Program'!$O$15),0)</f>
        <v>0</v>
      </c>
      <c r="CC156" s="19" t="n">
        <f aca="false">IF(AND('Bonding Program'!$S$15=1,'Bonding Program'!$H$15&gt;'Bonding Program'!$C$8,CC$3='Bonding Program'!$H$15),'Bonding Program'!$T$15-'Bonding Program'!$U$15-'Bonding Program'!$Z$15,0)-IF(AND('Bonding Program'!$S$15=1,'Bonding Program'!$H$15&lt;='Bonding Program'!$C$8,CC$3=IF('Bonding Program'!$P$15&lt;&gt;"",'Bonding Program'!$P$15,'Bonding Program'!$C$8)),'Bonding Program'!$Z$15,0)+IF(AND('Bonding Program'!$P$15&lt;&gt;"",CC$3='Bonding Program'!$P$15,CC$3&lt;='Bonding Program'!$C$8),N('Bonding Program'!$O$15),0)</f>
        <v>0</v>
      </c>
      <c r="CD156" s="19" t="n">
        <f aca="false">IF(AND('Bonding Program'!$S$15=1,'Bonding Program'!$H$15&gt;'Bonding Program'!$C$8,CD$3='Bonding Program'!$H$15),'Bonding Program'!$T$15-'Bonding Program'!$U$15-'Bonding Program'!$Z$15,0)-IF(AND('Bonding Program'!$S$15=1,'Bonding Program'!$H$15&lt;='Bonding Program'!$C$8,CD$3=IF('Bonding Program'!$P$15&lt;&gt;"",'Bonding Program'!$P$15,'Bonding Program'!$C$8)),'Bonding Program'!$Z$15,0)+IF(AND('Bonding Program'!$P$15&lt;&gt;"",CD$3='Bonding Program'!$P$15,CD$3&lt;='Bonding Program'!$C$8),N('Bonding Program'!$O$15),0)</f>
        <v>0</v>
      </c>
      <c r="CE156" s="19" t="n">
        <f aca="false">IF(AND('Bonding Program'!$S$15=1,'Bonding Program'!$H$15&gt;'Bonding Program'!$C$8,CE$3='Bonding Program'!$H$15),'Bonding Program'!$T$15-'Bonding Program'!$U$15-'Bonding Program'!$Z$15,0)-IF(AND('Bonding Program'!$S$15=1,'Bonding Program'!$H$15&lt;='Bonding Program'!$C$8,CE$3=IF('Bonding Program'!$P$15&lt;&gt;"",'Bonding Program'!$P$15,'Bonding Program'!$C$8)),'Bonding Program'!$Z$15,0)+IF(AND('Bonding Program'!$P$15&lt;&gt;"",CE$3='Bonding Program'!$P$15,CE$3&lt;='Bonding Program'!$C$8),N('Bonding Program'!$O$15),0)</f>
        <v>0</v>
      </c>
      <c r="CF156" s="19" t="n">
        <f aca="false">IF(AND('Bonding Program'!$S$15=1,'Bonding Program'!$H$15&gt;'Bonding Program'!$C$8,CF$3='Bonding Program'!$H$15),'Bonding Program'!$T$15-'Bonding Program'!$U$15-'Bonding Program'!$Z$15,0)-IF(AND('Bonding Program'!$S$15=1,'Bonding Program'!$H$15&lt;='Bonding Program'!$C$8,CF$3=IF('Bonding Program'!$P$15&lt;&gt;"",'Bonding Program'!$P$15,'Bonding Program'!$C$8)),'Bonding Program'!$Z$15,0)+IF(AND('Bonding Program'!$P$15&lt;&gt;"",CF$3='Bonding Program'!$P$15,CF$3&lt;='Bonding Program'!$C$8),N('Bonding Program'!$O$15),0)</f>
        <v>0</v>
      </c>
      <c r="CG156" s="19" t="n">
        <f aca="false">IF(AND('Bonding Program'!$S$15=1,'Bonding Program'!$H$15&gt;'Bonding Program'!$C$8,CG$3='Bonding Program'!$H$15),'Bonding Program'!$T$15-'Bonding Program'!$U$15-'Bonding Program'!$Z$15,0)-IF(AND('Bonding Program'!$S$15=1,'Bonding Program'!$H$15&lt;='Bonding Program'!$C$8,CG$3=IF('Bonding Program'!$P$15&lt;&gt;"",'Bonding Program'!$P$15,'Bonding Program'!$C$8)),'Bonding Program'!$Z$15,0)+IF(AND('Bonding Program'!$P$15&lt;&gt;"",CG$3='Bonding Program'!$P$15,CG$3&lt;='Bonding Program'!$C$8),N('Bonding Program'!$O$15),0)</f>
        <v>0</v>
      </c>
      <c r="CH156" s="19" t="n">
        <f aca="false">IF(AND('Bonding Program'!$S$15=1,'Bonding Program'!$H$15&gt;'Bonding Program'!$C$8,CH$3='Bonding Program'!$H$15),'Bonding Program'!$T$15-'Bonding Program'!$U$15-'Bonding Program'!$Z$15,0)-IF(AND('Bonding Program'!$S$15=1,'Bonding Program'!$H$15&lt;='Bonding Program'!$C$8,CH$3=IF('Bonding Program'!$P$15&lt;&gt;"",'Bonding Program'!$P$15,'Bonding Program'!$C$8)),'Bonding Program'!$Z$15,0)+IF(AND('Bonding Program'!$P$15&lt;&gt;"",CH$3='Bonding Program'!$P$15,CH$3&lt;='Bonding Program'!$C$8),N('Bonding Program'!$O$15),0)</f>
        <v>0</v>
      </c>
      <c r="CI156" s="19" t="n">
        <f aca="false">IF(AND('Bonding Program'!$S$15=1,'Bonding Program'!$H$15&gt;'Bonding Program'!$C$8,CI$3='Bonding Program'!$H$15),'Bonding Program'!$T$15-'Bonding Program'!$U$15-'Bonding Program'!$Z$15,0)-IF(AND('Bonding Program'!$S$15=1,'Bonding Program'!$H$15&lt;='Bonding Program'!$C$8,CI$3=IF('Bonding Program'!$P$15&lt;&gt;"",'Bonding Program'!$P$15,'Bonding Program'!$C$8)),'Bonding Program'!$Z$15,0)+IF(AND('Bonding Program'!$P$15&lt;&gt;"",CI$3='Bonding Program'!$P$15,CI$3&lt;='Bonding Program'!$C$8),N('Bonding Program'!$O$15),0)</f>
        <v>0</v>
      </c>
      <c r="CJ156" s="19" t="n">
        <f aca="false">IF(AND('Bonding Program'!$S$15=1,'Bonding Program'!$H$15&gt;'Bonding Program'!$C$8,CJ$3='Bonding Program'!$H$15),'Bonding Program'!$T$15-'Bonding Program'!$U$15-'Bonding Program'!$Z$15,0)-IF(AND('Bonding Program'!$S$15=1,'Bonding Program'!$H$15&lt;='Bonding Program'!$C$8,CJ$3=IF('Bonding Program'!$P$15&lt;&gt;"",'Bonding Program'!$P$15,'Bonding Program'!$C$8)),'Bonding Program'!$Z$15,0)+IF(AND('Bonding Program'!$P$15&lt;&gt;"",CJ$3='Bonding Program'!$P$15,CJ$3&lt;='Bonding Program'!$C$8),N('Bonding Program'!$O$15),0)</f>
        <v>0</v>
      </c>
      <c r="CK156" s="19" t="n">
        <f aca="false">IF(AND('Bonding Program'!$S$15=1,'Bonding Program'!$H$15&gt;'Bonding Program'!$C$8,CK$3='Bonding Program'!$H$15),'Bonding Program'!$T$15-'Bonding Program'!$U$15-'Bonding Program'!$Z$15,0)-IF(AND('Bonding Program'!$S$15=1,'Bonding Program'!$H$15&lt;='Bonding Program'!$C$8,CK$3=IF('Bonding Program'!$P$15&lt;&gt;"",'Bonding Program'!$P$15,'Bonding Program'!$C$8)),'Bonding Program'!$Z$15,0)+IF(AND('Bonding Program'!$P$15&lt;&gt;"",CK$3='Bonding Program'!$P$15,CK$3&lt;='Bonding Program'!$C$8),N('Bonding Program'!$O$15),0)</f>
        <v>0</v>
      </c>
      <c r="CL156" s="19" t="n">
        <f aca="false">IF(AND('Bonding Program'!$S$15=1,'Bonding Program'!$H$15&gt;'Bonding Program'!$C$8,CL$3='Bonding Program'!$H$15),'Bonding Program'!$T$15-'Bonding Program'!$U$15-'Bonding Program'!$Z$15,0)-IF(AND('Bonding Program'!$S$15=1,'Bonding Program'!$H$15&lt;='Bonding Program'!$C$8,CL$3=IF('Bonding Program'!$P$15&lt;&gt;"",'Bonding Program'!$P$15,'Bonding Program'!$C$8)),'Bonding Program'!$Z$15,0)+IF(AND('Bonding Program'!$P$15&lt;&gt;"",CL$3='Bonding Program'!$P$15,CL$3&lt;='Bonding Program'!$C$8),N('Bonding Program'!$O$15),0)</f>
        <v>0</v>
      </c>
      <c r="CM156" s="19" t="n">
        <f aca="false">IF(AND('Bonding Program'!$S$15=1,'Bonding Program'!$H$15&gt;'Bonding Program'!$C$8,CM$3='Bonding Program'!$H$15),'Bonding Program'!$T$15-'Bonding Program'!$U$15-'Bonding Program'!$Z$15,0)-IF(AND('Bonding Program'!$S$15=1,'Bonding Program'!$H$15&lt;='Bonding Program'!$C$8,CM$3=IF('Bonding Program'!$P$15&lt;&gt;"",'Bonding Program'!$P$15,'Bonding Program'!$C$8)),'Bonding Program'!$Z$15,0)+IF(AND('Bonding Program'!$P$15&lt;&gt;"",CM$3='Bonding Program'!$P$15,CM$3&lt;='Bonding Program'!$C$8),N('Bonding Program'!$O$15),0)</f>
        <v>0</v>
      </c>
      <c r="CN156" s="19" t="n">
        <f aca="false">IF(AND('Bonding Program'!$S$15=1,'Bonding Program'!$H$15&gt;'Bonding Program'!$C$8,CN$3='Bonding Program'!$H$15),'Bonding Program'!$T$15-'Bonding Program'!$U$15-'Bonding Program'!$Z$15,0)-IF(AND('Bonding Program'!$S$15=1,'Bonding Program'!$H$15&lt;='Bonding Program'!$C$8,CN$3=IF('Bonding Program'!$P$15&lt;&gt;"",'Bonding Program'!$P$15,'Bonding Program'!$C$8)),'Bonding Program'!$Z$15,0)+IF(AND('Bonding Program'!$P$15&lt;&gt;"",CN$3='Bonding Program'!$P$15,CN$3&lt;='Bonding Program'!$C$8),N('Bonding Program'!$O$15),0)</f>
        <v>0</v>
      </c>
      <c r="CO156" s="19" t="n">
        <f aca="false">IF(AND('Bonding Program'!$S$15=1,'Bonding Program'!$H$15&gt;'Bonding Program'!$C$8,CO$3='Bonding Program'!$H$15),'Bonding Program'!$T$15-'Bonding Program'!$U$15-'Bonding Program'!$Z$15,0)-IF(AND('Bonding Program'!$S$15=1,'Bonding Program'!$H$15&lt;='Bonding Program'!$C$8,CO$3=IF('Bonding Program'!$P$15&lt;&gt;"",'Bonding Program'!$P$15,'Bonding Program'!$C$8)),'Bonding Program'!$Z$15,0)+IF(AND('Bonding Program'!$P$15&lt;&gt;"",CO$3='Bonding Program'!$P$15,CO$3&lt;='Bonding Program'!$C$8),N('Bonding Program'!$O$15),0)</f>
        <v>0</v>
      </c>
      <c r="CP156" s="19" t="n">
        <f aca="false">IF(AND('Bonding Program'!$S$15=1,'Bonding Program'!$H$15&gt;'Bonding Program'!$C$8,CP$3='Bonding Program'!$H$15),'Bonding Program'!$T$15-'Bonding Program'!$U$15-'Bonding Program'!$Z$15,0)-IF(AND('Bonding Program'!$S$15=1,'Bonding Program'!$H$15&lt;='Bonding Program'!$C$8,CP$3=IF('Bonding Program'!$P$15&lt;&gt;"",'Bonding Program'!$P$15,'Bonding Program'!$C$8)),'Bonding Program'!$Z$15,0)+IF(AND('Bonding Program'!$P$15&lt;&gt;"",CP$3='Bonding Program'!$P$15,CP$3&lt;='Bonding Program'!$C$8),N('Bonding Program'!$O$15),0)</f>
        <v>0</v>
      </c>
      <c r="CQ156" s="19" t="n">
        <f aca="false">IF(AND('Bonding Program'!$S$15=1,'Bonding Program'!$H$15&gt;'Bonding Program'!$C$8,CQ$3='Bonding Program'!$H$15),'Bonding Program'!$T$15-'Bonding Program'!$U$15-'Bonding Program'!$Z$15,0)-IF(AND('Bonding Program'!$S$15=1,'Bonding Program'!$H$15&lt;='Bonding Program'!$C$8,CQ$3=IF('Bonding Program'!$P$15&lt;&gt;"",'Bonding Program'!$P$15,'Bonding Program'!$C$8)),'Bonding Program'!$Z$15,0)+IF(AND('Bonding Program'!$P$15&lt;&gt;"",CQ$3='Bonding Program'!$P$15,CQ$3&lt;='Bonding Program'!$C$8),N('Bonding Program'!$O$15),0)</f>
        <v>0</v>
      </c>
      <c r="CR156" s="19" t="n">
        <f aca="false">IF(AND('Bonding Program'!$S$15=1,'Bonding Program'!$H$15&gt;'Bonding Program'!$C$8,CR$3='Bonding Program'!$H$15),'Bonding Program'!$T$15-'Bonding Program'!$U$15-'Bonding Program'!$Z$15,0)-IF(AND('Bonding Program'!$S$15=1,'Bonding Program'!$H$15&lt;='Bonding Program'!$C$8,CR$3=IF('Bonding Program'!$P$15&lt;&gt;"",'Bonding Program'!$P$15,'Bonding Program'!$C$8)),'Bonding Program'!$Z$15,0)+IF(AND('Bonding Program'!$P$15&lt;&gt;"",CR$3='Bonding Program'!$P$15,CR$3&lt;='Bonding Program'!$C$8),N('Bonding Program'!$O$15),0)</f>
        <v>0</v>
      </c>
      <c r="CS156" s="19" t="n">
        <f aca="false">IF(AND('Bonding Program'!$S$15=1,'Bonding Program'!$H$15&gt;'Bonding Program'!$C$8,CS$3='Bonding Program'!$H$15),'Bonding Program'!$T$15-'Bonding Program'!$U$15-'Bonding Program'!$Z$15,0)-IF(AND('Bonding Program'!$S$15=1,'Bonding Program'!$H$15&lt;='Bonding Program'!$C$8,CS$3=IF('Bonding Program'!$P$15&lt;&gt;"",'Bonding Program'!$P$15,'Bonding Program'!$C$8)),'Bonding Program'!$Z$15,0)+IF(AND('Bonding Program'!$P$15&lt;&gt;"",CS$3='Bonding Program'!$P$15,CS$3&lt;='Bonding Program'!$C$8),N('Bonding Program'!$O$15),0)</f>
        <v>0</v>
      </c>
      <c r="CT156" s="19" t="n">
        <f aca="false">IF(AND('Bonding Program'!$S$15=1,'Bonding Program'!$H$15&gt;'Bonding Program'!$C$8,CT$3='Bonding Program'!$H$15),'Bonding Program'!$T$15-'Bonding Program'!$U$15-'Bonding Program'!$Z$15,0)-IF(AND('Bonding Program'!$S$15=1,'Bonding Program'!$H$15&lt;='Bonding Program'!$C$8,CT$3=IF('Bonding Program'!$P$15&lt;&gt;"",'Bonding Program'!$P$15,'Bonding Program'!$C$8)),'Bonding Program'!$Z$15,0)+IF(AND('Bonding Program'!$P$15&lt;&gt;"",CT$3='Bonding Program'!$P$15,CT$3&lt;='Bonding Program'!$C$8),N('Bonding Program'!$O$15),0)</f>
        <v>0</v>
      </c>
      <c r="CU156" s="19" t="n">
        <f aca="false">IF(AND('Bonding Program'!$S$15=1,'Bonding Program'!$H$15&gt;'Bonding Program'!$C$8,CU$3='Bonding Program'!$H$15),'Bonding Program'!$T$15-'Bonding Program'!$U$15-'Bonding Program'!$Z$15,0)-IF(AND('Bonding Program'!$S$15=1,'Bonding Program'!$H$15&lt;='Bonding Program'!$C$8,CU$3=IF('Bonding Program'!$P$15&lt;&gt;"",'Bonding Program'!$P$15,'Bonding Program'!$C$8)),'Bonding Program'!$Z$15,0)+IF(AND('Bonding Program'!$P$15&lt;&gt;"",CU$3='Bonding Program'!$P$15,CU$3&lt;='Bonding Program'!$C$8),N('Bonding Program'!$O$15),0)</f>
        <v>0</v>
      </c>
      <c r="CV156" s="19" t="n">
        <f aca="false">IF(AND('Bonding Program'!$S$15=1,'Bonding Program'!$H$15&gt;'Bonding Program'!$C$8,CV$3='Bonding Program'!$H$15),'Bonding Program'!$T$15-'Bonding Program'!$U$15-'Bonding Program'!$Z$15,0)-IF(AND('Bonding Program'!$S$15=1,'Bonding Program'!$H$15&lt;='Bonding Program'!$C$8,CV$3=IF('Bonding Program'!$P$15&lt;&gt;"",'Bonding Program'!$P$15,'Bonding Program'!$C$8)),'Bonding Program'!$Z$15,0)+IF(AND('Bonding Program'!$P$15&lt;&gt;"",CV$3='Bonding Program'!$P$15,CV$3&lt;='Bonding Program'!$C$8),N('Bonding Program'!$O$15),0)</f>
        <v>0</v>
      </c>
      <c r="CW156" s="19" t="n">
        <f aca="false">IF(AND('Bonding Program'!$S$15=1,'Bonding Program'!$H$15&gt;'Bonding Program'!$C$8,CW$3='Bonding Program'!$H$15),'Bonding Program'!$T$15-'Bonding Program'!$U$15-'Bonding Program'!$Z$15,0)-IF(AND('Bonding Program'!$S$15=1,'Bonding Program'!$H$15&lt;='Bonding Program'!$C$8,CW$3=IF('Bonding Program'!$P$15&lt;&gt;"",'Bonding Program'!$P$15,'Bonding Program'!$C$8)),'Bonding Program'!$Z$15,0)+IF(AND('Bonding Program'!$P$15&lt;&gt;"",CW$3='Bonding Program'!$P$15,CW$3&lt;='Bonding Program'!$C$8),N('Bonding Program'!$O$15),0)</f>
        <v>0</v>
      </c>
      <c r="CX156" s="19" t="n">
        <f aca="false">IF(AND('Bonding Program'!$S$15=1,'Bonding Program'!$H$15&gt;'Bonding Program'!$C$8,CX$3='Bonding Program'!$H$15),'Bonding Program'!$T$15-'Bonding Program'!$U$15-'Bonding Program'!$Z$15,0)-IF(AND('Bonding Program'!$S$15=1,'Bonding Program'!$H$15&lt;='Bonding Program'!$C$8,CX$3=IF('Bonding Program'!$P$15&lt;&gt;"",'Bonding Program'!$P$15,'Bonding Program'!$C$8)),'Bonding Program'!$Z$15,0)+IF(AND('Bonding Program'!$P$15&lt;&gt;"",CX$3='Bonding Program'!$P$15,CX$3&lt;='Bonding Program'!$C$8),N('Bonding Program'!$O$15),0)</f>
        <v>0</v>
      </c>
      <c r="CY156" s="19" t="n">
        <f aca="false">IF(AND('Bonding Program'!$S$15=1,'Bonding Program'!$H$15&gt;'Bonding Program'!$C$8,CY$3='Bonding Program'!$H$15),'Bonding Program'!$T$15-'Bonding Program'!$U$15-'Bonding Program'!$Z$15,0)-IF(AND('Bonding Program'!$S$15=1,'Bonding Program'!$H$15&lt;='Bonding Program'!$C$8,CY$3=IF('Bonding Program'!$P$15&lt;&gt;"",'Bonding Program'!$P$15,'Bonding Program'!$C$8)),'Bonding Program'!$Z$15,0)+IF(AND('Bonding Program'!$P$15&lt;&gt;"",CY$3='Bonding Program'!$P$15,CY$3&lt;='Bonding Program'!$C$8),N('Bonding Program'!$O$15),0)</f>
        <v>0</v>
      </c>
      <c r="CZ156" s="19" t="n">
        <f aca="false">IF(AND('Bonding Program'!$S$15=1,'Bonding Program'!$H$15&gt;'Bonding Program'!$C$8,CZ$3='Bonding Program'!$H$15),'Bonding Program'!$T$15-'Bonding Program'!$U$15-'Bonding Program'!$Z$15,0)-IF(AND('Bonding Program'!$S$15=1,'Bonding Program'!$H$15&lt;='Bonding Program'!$C$8,CZ$3=IF('Bonding Program'!$P$15&lt;&gt;"",'Bonding Program'!$P$15,'Bonding Program'!$C$8)),'Bonding Program'!$Z$15,0)+IF(AND('Bonding Program'!$P$15&lt;&gt;"",CZ$3='Bonding Program'!$P$15,CZ$3&lt;='Bonding Program'!$C$8),N('Bonding Program'!$O$15),0)</f>
        <v>0</v>
      </c>
      <c r="DA156" s="19" t="n">
        <f aca="false">IF(AND('Bonding Program'!$S$15=1,'Bonding Program'!$H$15&gt;'Bonding Program'!$C$8,DA$3='Bonding Program'!$H$15),'Bonding Program'!$T$15-'Bonding Program'!$U$15-'Bonding Program'!$Z$15,0)-IF(AND('Bonding Program'!$S$15=1,'Bonding Program'!$H$15&lt;='Bonding Program'!$C$8,DA$3=IF('Bonding Program'!$P$15&lt;&gt;"",'Bonding Program'!$P$15,'Bonding Program'!$C$8)),'Bonding Program'!$Z$15,0)+IF(AND('Bonding Program'!$P$15&lt;&gt;"",DA$3='Bonding Program'!$P$15,DA$3&lt;='Bonding Program'!$C$8),N('Bonding Program'!$O$15),0)</f>
        <v>0</v>
      </c>
      <c r="DB156" s="19" t="n">
        <f aca="false">IF(AND('Bonding Program'!$S$15=1,'Bonding Program'!$H$15&gt;'Bonding Program'!$C$8,DB$3='Bonding Program'!$H$15),'Bonding Program'!$T$15-'Bonding Program'!$U$15-'Bonding Program'!$Z$15,0)-IF(AND('Bonding Program'!$S$15=1,'Bonding Program'!$H$15&lt;='Bonding Program'!$C$8,DB$3=IF('Bonding Program'!$P$15&lt;&gt;"",'Bonding Program'!$P$15,'Bonding Program'!$C$8)),'Bonding Program'!$Z$15,0)+IF(AND('Bonding Program'!$P$15&lt;&gt;"",DB$3='Bonding Program'!$P$15,DB$3&lt;='Bonding Program'!$C$8),N('Bonding Program'!$O$15),0)</f>
        <v>0</v>
      </c>
      <c r="DC156" s="19" t="n">
        <f aca="false">IF(AND('Bonding Program'!$S$15=1,'Bonding Program'!$H$15&gt;'Bonding Program'!$C$8,DC$3='Bonding Program'!$H$15),'Bonding Program'!$T$15-'Bonding Program'!$U$15-'Bonding Program'!$Z$15,0)-IF(AND('Bonding Program'!$S$15=1,'Bonding Program'!$H$15&lt;='Bonding Program'!$C$8,DC$3=IF('Bonding Program'!$P$15&lt;&gt;"",'Bonding Program'!$P$15,'Bonding Program'!$C$8)),'Bonding Program'!$Z$15,0)+IF(AND('Bonding Program'!$P$15&lt;&gt;"",DC$3='Bonding Program'!$P$15,DC$3&lt;='Bonding Program'!$C$8),N('Bonding Program'!$O$15),0)</f>
        <v>0</v>
      </c>
      <c r="DD156" s="19" t="n">
        <f aca="false">IF(AND('Bonding Program'!$S$15=1,'Bonding Program'!$H$15&gt;'Bonding Program'!$C$8,DD$3='Bonding Program'!$H$15),'Bonding Program'!$T$15-'Bonding Program'!$U$15-'Bonding Program'!$Z$15,0)-IF(AND('Bonding Program'!$S$15=1,'Bonding Program'!$H$15&lt;='Bonding Program'!$C$8,DD$3=IF('Bonding Program'!$P$15&lt;&gt;"",'Bonding Program'!$P$15,'Bonding Program'!$C$8)),'Bonding Program'!$Z$15,0)+IF(AND('Bonding Program'!$P$15&lt;&gt;"",DD$3='Bonding Program'!$P$15,DD$3&lt;='Bonding Program'!$C$8),N('Bonding Program'!$O$15),0)</f>
        <v>0</v>
      </c>
      <c r="DE156" s="19" t="n">
        <f aca="false">IF(AND('Bonding Program'!$S$15=1,'Bonding Program'!$H$15&gt;'Bonding Program'!$C$8,DE$3='Bonding Program'!$H$15),'Bonding Program'!$T$15-'Bonding Program'!$U$15-'Bonding Program'!$Z$15,0)-IF(AND('Bonding Program'!$S$15=1,'Bonding Program'!$H$15&lt;='Bonding Program'!$C$8,DE$3=IF('Bonding Program'!$P$15&lt;&gt;"",'Bonding Program'!$P$15,'Bonding Program'!$C$8)),'Bonding Program'!$Z$15,0)+IF(AND('Bonding Program'!$P$15&lt;&gt;"",DE$3='Bonding Program'!$P$15,DE$3&lt;='Bonding Program'!$C$8),N('Bonding Program'!$O$15),0)</f>
        <v>0</v>
      </c>
    </row>
    <row r="157" customFormat="false" ht="15" hidden="false" customHeight="true" outlineLevel="1" collapsed="false">
      <c r="A157" s="28" t="s">
        <v>12</v>
      </c>
      <c r="B157" s="19" t="n">
        <f aca="false">IF(AND('Bonding Program'!$S$16=1,'Bonding Program'!$H$16&gt;'Bonding Program'!$C$8,B$3='Bonding Program'!$H$16),'Bonding Program'!$T$16-'Bonding Program'!$U$16-'Bonding Program'!$Z$16,0)-IF(AND('Bonding Program'!$S$16=1,'Bonding Program'!$H$16&lt;='Bonding Program'!$C$8,B$3=IF('Bonding Program'!$P$16&lt;&gt;"",'Bonding Program'!$P$16,'Bonding Program'!$C$8)),'Bonding Program'!$Z$16,0)+IF(AND('Bonding Program'!$P$16&lt;&gt;"",B$3='Bonding Program'!$P$16,B$3&lt;='Bonding Program'!$C$8),N('Bonding Program'!$O$16),0)</f>
        <v>0</v>
      </c>
      <c r="C157" s="19" t="n">
        <f aca="false">IF(AND('Bonding Program'!$S$16=1,'Bonding Program'!$H$16&gt;'Bonding Program'!$C$8,C$3='Bonding Program'!$H$16),'Bonding Program'!$T$16-'Bonding Program'!$U$16-'Bonding Program'!$Z$16,0)-IF(AND('Bonding Program'!$S$16=1,'Bonding Program'!$H$16&lt;='Bonding Program'!$C$8,C$3=IF('Bonding Program'!$P$16&lt;&gt;"",'Bonding Program'!$P$16,'Bonding Program'!$C$8)),'Bonding Program'!$Z$16,0)+IF(AND('Bonding Program'!$P$16&lt;&gt;"",C$3='Bonding Program'!$P$16,C$3&lt;='Bonding Program'!$C$8),N('Bonding Program'!$O$16),0)</f>
        <v>0</v>
      </c>
      <c r="D157" s="19" t="n">
        <f aca="false">IF(AND('Bonding Program'!$S$16=1,'Bonding Program'!$H$16&gt;'Bonding Program'!$C$8,D$3='Bonding Program'!$H$16),'Bonding Program'!$T$16-'Bonding Program'!$U$16-'Bonding Program'!$Z$16,0)-IF(AND('Bonding Program'!$S$16=1,'Bonding Program'!$H$16&lt;='Bonding Program'!$C$8,D$3=IF('Bonding Program'!$P$16&lt;&gt;"",'Bonding Program'!$P$16,'Bonding Program'!$C$8)),'Bonding Program'!$Z$16,0)+IF(AND('Bonding Program'!$P$16&lt;&gt;"",D$3='Bonding Program'!$P$16,D$3&lt;='Bonding Program'!$C$8),N('Bonding Program'!$O$16),0)</f>
        <v>0</v>
      </c>
      <c r="E157" s="19" t="n">
        <f aca="false">IF(AND('Bonding Program'!$S$16=1,'Bonding Program'!$H$16&gt;'Bonding Program'!$C$8,E$3='Bonding Program'!$H$16),'Bonding Program'!$T$16-'Bonding Program'!$U$16-'Bonding Program'!$Z$16,0)-IF(AND('Bonding Program'!$S$16=1,'Bonding Program'!$H$16&lt;='Bonding Program'!$C$8,E$3=IF('Bonding Program'!$P$16&lt;&gt;"",'Bonding Program'!$P$16,'Bonding Program'!$C$8)),'Bonding Program'!$Z$16,0)+IF(AND('Bonding Program'!$P$16&lt;&gt;"",E$3='Bonding Program'!$P$16,E$3&lt;='Bonding Program'!$C$8),N('Bonding Program'!$O$16),0)</f>
        <v>0</v>
      </c>
      <c r="F157" s="19" t="n">
        <f aca="false">IF(AND('Bonding Program'!$S$16=1,'Bonding Program'!$H$16&gt;'Bonding Program'!$C$8,F$3='Bonding Program'!$H$16),'Bonding Program'!$T$16-'Bonding Program'!$U$16-'Bonding Program'!$Z$16,0)-IF(AND('Bonding Program'!$S$16=1,'Bonding Program'!$H$16&lt;='Bonding Program'!$C$8,F$3=IF('Bonding Program'!$P$16&lt;&gt;"",'Bonding Program'!$P$16,'Bonding Program'!$C$8)),'Bonding Program'!$Z$16,0)+IF(AND('Bonding Program'!$P$16&lt;&gt;"",F$3='Bonding Program'!$P$16,F$3&lt;='Bonding Program'!$C$8),N('Bonding Program'!$O$16),0)</f>
        <v>0</v>
      </c>
      <c r="G157" s="19" t="n">
        <f aca="false">IF(AND('Bonding Program'!$S$16=1,'Bonding Program'!$H$16&gt;'Bonding Program'!$C$8,G$3='Bonding Program'!$H$16),'Bonding Program'!$T$16-'Bonding Program'!$U$16-'Bonding Program'!$Z$16,0)-IF(AND('Bonding Program'!$S$16=1,'Bonding Program'!$H$16&lt;='Bonding Program'!$C$8,G$3=IF('Bonding Program'!$P$16&lt;&gt;"",'Bonding Program'!$P$16,'Bonding Program'!$C$8)),'Bonding Program'!$Z$16,0)+IF(AND('Bonding Program'!$P$16&lt;&gt;"",G$3='Bonding Program'!$P$16,G$3&lt;='Bonding Program'!$C$8),N('Bonding Program'!$O$16),0)</f>
        <v>0</v>
      </c>
      <c r="H157" s="19" t="n">
        <f aca="false">IF(AND('Bonding Program'!$S$16=1,'Bonding Program'!$H$16&gt;'Bonding Program'!$C$8,H$3='Bonding Program'!$H$16),'Bonding Program'!$T$16-'Bonding Program'!$U$16-'Bonding Program'!$Z$16,0)-IF(AND('Bonding Program'!$S$16=1,'Bonding Program'!$H$16&lt;='Bonding Program'!$C$8,H$3=IF('Bonding Program'!$P$16&lt;&gt;"",'Bonding Program'!$P$16,'Bonding Program'!$C$8)),'Bonding Program'!$Z$16,0)+IF(AND('Bonding Program'!$P$16&lt;&gt;"",H$3='Bonding Program'!$P$16,H$3&lt;='Bonding Program'!$C$8),N('Bonding Program'!$O$16),0)</f>
        <v>0</v>
      </c>
      <c r="I157" s="19" t="n">
        <f aca="false">IF(AND('Bonding Program'!$S$16=1,'Bonding Program'!$H$16&gt;'Bonding Program'!$C$8,I$3='Bonding Program'!$H$16),'Bonding Program'!$T$16-'Bonding Program'!$U$16-'Bonding Program'!$Z$16,0)-IF(AND('Bonding Program'!$S$16=1,'Bonding Program'!$H$16&lt;='Bonding Program'!$C$8,I$3=IF('Bonding Program'!$P$16&lt;&gt;"",'Bonding Program'!$P$16,'Bonding Program'!$C$8)),'Bonding Program'!$Z$16,0)+IF(AND('Bonding Program'!$P$16&lt;&gt;"",I$3='Bonding Program'!$P$16,I$3&lt;='Bonding Program'!$C$8),N('Bonding Program'!$O$16),0)</f>
        <v>-365613.1735</v>
      </c>
      <c r="J157" s="19" t="n">
        <f aca="false">IF(AND('Bonding Program'!$S$16=1,'Bonding Program'!$H$16&gt;'Bonding Program'!$C$8,J$3='Bonding Program'!$H$16),'Bonding Program'!$T$16-'Bonding Program'!$U$16-'Bonding Program'!$Z$16,0)-IF(AND('Bonding Program'!$S$16=1,'Bonding Program'!$H$16&lt;='Bonding Program'!$C$8,J$3=IF('Bonding Program'!$P$16&lt;&gt;"",'Bonding Program'!$P$16,'Bonding Program'!$C$8)),'Bonding Program'!$Z$16,0)+IF(AND('Bonding Program'!$P$16&lt;&gt;"",J$3='Bonding Program'!$P$16,J$3&lt;='Bonding Program'!$C$8),N('Bonding Program'!$O$16),0)</f>
        <v>0</v>
      </c>
      <c r="K157" s="19" t="n">
        <f aca="false">IF(AND('Bonding Program'!$S$16=1,'Bonding Program'!$H$16&gt;'Bonding Program'!$C$8,K$3='Bonding Program'!$H$16),'Bonding Program'!$T$16-'Bonding Program'!$U$16-'Bonding Program'!$Z$16,0)-IF(AND('Bonding Program'!$S$16=1,'Bonding Program'!$H$16&lt;='Bonding Program'!$C$8,K$3=IF('Bonding Program'!$P$16&lt;&gt;"",'Bonding Program'!$P$16,'Bonding Program'!$C$8)),'Bonding Program'!$Z$16,0)+IF(AND('Bonding Program'!$P$16&lt;&gt;"",K$3='Bonding Program'!$P$16,K$3&lt;='Bonding Program'!$C$8),N('Bonding Program'!$O$16),0)</f>
        <v>0</v>
      </c>
      <c r="L157" s="19" t="n">
        <f aca="false">IF(AND('Bonding Program'!$S$16=1,'Bonding Program'!$H$16&gt;'Bonding Program'!$C$8,L$3='Bonding Program'!$H$16),'Bonding Program'!$T$16-'Bonding Program'!$U$16-'Bonding Program'!$Z$16,0)-IF(AND('Bonding Program'!$S$16=1,'Bonding Program'!$H$16&lt;='Bonding Program'!$C$8,L$3=IF('Bonding Program'!$P$16&lt;&gt;"",'Bonding Program'!$P$16,'Bonding Program'!$C$8)),'Bonding Program'!$Z$16,0)+IF(AND('Bonding Program'!$P$16&lt;&gt;"",L$3='Bonding Program'!$P$16,L$3&lt;='Bonding Program'!$C$8),N('Bonding Program'!$O$16),0)</f>
        <v>0</v>
      </c>
      <c r="M157" s="19" t="n">
        <f aca="false">IF(AND('Bonding Program'!$S$16=1,'Bonding Program'!$H$16&gt;'Bonding Program'!$C$8,M$3='Bonding Program'!$H$16),'Bonding Program'!$T$16-'Bonding Program'!$U$16-'Bonding Program'!$Z$16,0)-IF(AND('Bonding Program'!$S$16=1,'Bonding Program'!$H$16&lt;='Bonding Program'!$C$8,M$3=IF('Bonding Program'!$P$16&lt;&gt;"",'Bonding Program'!$P$16,'Bonding Program'!$C$8)),'Bonding Program'!$Z$16,0)+IF(AND('Bonding Program'!$P$16&lt;&gt;"",M$3='Bonding Program'!$P$16,M$3&lt;='Bonding Program'!$C$8),N('Bonding Program'!$O$16),0)</f>
        <v>0</v>
      </c>
      <c r="N157" s="19" t="n">
        <f aca="false">IF(AND('Bonding Program'!$S$16=1,'Bonding Program'!$H$16&gt;'Bonding Program'!$C$8,N$3='Bonding Program'!$H$16),'Bonding Program'!$T$16-'Bonding Program'!$U$16-'Bonding Program'!$Z$16,0)-IF(AND('Bonding Program'!$S$16=1,'Bonding Program'!$H$16&lt;='Bonding Program'!$C$8,N$3=IF('Bonding Program'!$P$16&lt;&gt;"",'Bonding Program'!$P$16,'Bonding Program'!$C$8)),'Bonding Program'!$Z$16,0)+IF(AND('Bonding Program'!$P$16&lt;&gt;"",N$3='Bonding Program'!$P$16,N$3&lt;='Bonding Program'!$C$8),N('Bonding Program'!$O$16),0)</f>
        <v>0</v>
      </c>
      <c r="O157" s="19" t="n">
        <f aca="false">IF(AND('Bonding Program'!$S$16=1,'Bonding Program'!$H$16&gt;'Bonding Program'!$C$8,O$3='Bonding Program'!$H$16),'Bonding Program'!$T$16-'Bonding Program'!$U$16-'Bonding Program'!$Z$16,0)-IF(AND('Bonding Program'!$S$16=1,'Bonding Program'!$H$16&lt;='Bonding Program'!$C$8,O$3=IF('Bonding Program'!$P$16&lt;&gt;"",'Bonding Program'!$P$16,'Bonding Program'!$C$8)),'Bonding Program'!$Z$16,0)+IF(AND('Bonding Program'!$P$16&lt;&gt;"",O$3='Bonding Program'!$P$16,O$3&lt;='Bonding Program'!$C$8),N('Bonding Program'!$O$16),0)</f>
        <v>0</v>
      </c>
      <c r="P157" s="19" t="n">
        <f aca="false">IF(AND('Bonding Program'!$S$16=1,'Bonding Program'!$H$16&gt;'Bonding Program'!$C$8,P$3='Bonding Program'!$H$16),'Bonding Program'!$T$16-'Bonding Program'!$U$16-'Bonding Program'!$Z$16,0)-IF(AND('Bonding Program'!$S$16=1,'Bonding Program'!$H$16&lt;='Bonding Program'!$C$8,P$3=IF('Bonding Program'!$P$16&lt;&gt;"",'Bonding Program'!$P$16,'Bonding Program'!$C$8)),'Bonding Program'!$Z$16,0)+IF(AND('Bonding Program'!$P$16&lt;&gt;"",P$3='Bonding Program'!$P$16,P$3&lt;='Bonding Program'!$C$8),N('Bonding Program'!$O$16),0)</f>
        <v>0</v>
      </c>
      <c r="Q157" s="19" t="n">
        <f aca="false">IF(AND('Bonding Program'!$S$16=1,'Bonding Program'!$H$16&gt;'Bonding Program'!$C$8,Q$3='Bonding Program'!$H$16),'Bonding Program'!$T$16-'Bonding Program'!$U$16-'Bonding Program'!$Z$16,0)-IF(AND('Bonding Program'!$S$16=1,'Bonding Program'!$H$16&lt;='Bonding Program'!$C$8,Q$3=IF('Bonding Program'!$P$16&lt;&gt;"",'Bonding Program'!$P$16,'Bonding Program'!$C$8)),'Bonding Program'!$Z$16,0)+IF(AND('Bonding Program'!$P$16&lt;&gt;"",Q$3='Bonding Program'!$P$16,Q$3&lt;='Bonding Program'!$C$8),N('Bonding Program'!$O$16),0)</f>
        <v>0</v>
      </c>
      <c r="R157" s="19" t="n">
        <f aca="false">IF(AND('Bonding Program'!$S$16=1,'Bonding Program'!$H$16&gt;'Bonding Program'!$C$8,R$3='Bonding Program'!$H$16),'Bonding Program'!$T$16-'Bonding Program'!$U$16-'Bonding Program'!$Z$16,0)-IF(AND('Bonding Program'!$S$16=1,'Bonding Program'!$H$16&lt;='Bonding Program'!$C$8,R$3=IF('Bonding Program'!$P$16&lt;&gt;"",'Bonding Program'!$P$16,'Bonding Program'!$C$8)),'Bonding Program'!$Z$16,0)+IF(AND('Bonding Program'!$P$16&lt;&gt;"",R$3='Bonding Program'!$P$16,R$3&lt;='Bonding Program'!$C$8),N('Bonding Program'!$O$16),0)</f>
        <v>0</v>
      </c>
      <c r="S157" s="19" t="n">
        <f aca="false">IF(AND('Bonding Program'!$S$16=1,'Bonding Program'!$H$16&gt;'Bonding Program'!$C$8,S$3='Bonding Program'!$H$16),'Bonding Program'!$T$16-'Bonding Program'!$U$16-'Bonding Program'!$Z$16,0)-IF(AND('Bonding Program'!$S$16=1,'Bonding Program'!$H$16&lt;='Bonding Program'!$C$8,S$3=IF('Bonding Program'!$P$16&lt;&gt;"",'Bonding Program'!$P$16,'Bonding Program'!$C$8)),'Bonding Program'!$Z$16,0)+IF(AND('Bonding Program'!$P$16&lt;&gt;"",S$3='Bonding Program'!$P$16,S$3&lt;='Bonding Program'!$C$8),N('Bonding Program'!$O$16),0)</f>
        <v>0</v>
      </c>
      <c r="T157" s="19" t="n">
        <f aca="false">IF(AND('Bonding Program'!$S$16=1,'Bonding Program'!$H$16&gt;'Bonding Program'!$C$8,T$3='Bonding Program'!$H$16),'Bonding Program'!$T$16-'Bonding Program'!$U$16-'Bonding Program'!$Z$16,0)-IF(AND('Bonding Program'!$S$16=1,'Bonding Program'!$H$16&lt;='Bonding Program'!$C$8,T$3=IF('Bonding Program'!$P$16&lt;&gt;"",'Bonding Program'!$P$16,'Bonding Program'!$C$8)),'Bonding Program'!$Z$16,0)+IF(AND('Bonding Program'!$P$16&lt;&gt;"",T$3='Bonding Program'!$P$16,T$3&lt;='Bonding Program'!$C$8),N('Bonding Program'!$O$16),0)</f>
        <v>0</v>
      </c>
      <c r="U157" s="19" t="n">
        <f aca="false">IF(AND('Bonding Program'!$S$16=1,'Bonding Program'!$H$16&gt;'Bonding Program'!$C$8,U$3='Bonding Program'!$H$16),'Bonding Program'!$T$16-'Bonding Program'!$U$16-'Bonding Program'!$Z$16,0)-IF(AND('Bonding Program'!$S$16=1,'Bonding Program'!$H$16&lt;='Bonding Program'!$C$8,U$3=IF('Bonding Program'!$P$16&lt;&gt;"",'Bonding Program'!$P$16,'Bonding Program'!$C$8)),'Bonding Program'!$Z$16,0)+IF(AND('Bonding Program'!$P$16&lt;&gt;"",U$3='Bonding Program'!$P$16,U$3&lt;='Bonding Program'!$C$8),N('Bonding Program'!$O$16),0)</f>
        <v>0</v>
      </c>
      <c r="V157" s="19" t="n">
        <f aca="false">IF(AND('Bonding Program'!$S$16=1,'Bonding Program'!$H$16&gt;'Bonding Program'!$C$8,V$3='Bonding Program'!$H$16),'Bonding Program'!$T$16-'Bonding Program'!$U$16-'Bonding Program'!$Z$16,0)-IF(AND('Bonding Program'!$S$16=1,'Bonding Program'!$H$16&lt;='Bonding Program'!$C$8,V$3=IF('Bonding Program'!$P$16&lt;&gt;"",'Bonding Program'!$P$16,'Bonding Program'!$C$8)),'Bonding Program'!$Z$16,0)+IF(AND('Bonding Program'!$P$16&lt;&gt;"",V$3='Bonding Program'!$P$16,V$3&lt;='Bonding Program'!$C$8),N('Bonding Program'!$O$16),0)</f>
        <v>0</v>
      </c>
      <c r="W157" s="19" t="n">
        <f aca="false">IF(AND('Bonding Program'!$S$16=1,'Bonding Program'!$H$16&gt;'Bonding Program'!$C$8,W$3='Bonding Program'!$H$16),'Bonding Program'!$T$16-'Bonding Program'!$U$16-'Bonding Program'!$Z$16,0)-IF(AND('Bonding Program'!$S$16=1,'Bonding Program'!$H$16&lt;='Bonding Program'!$C$8,W$3=IF('Bonding Program'!$P$16&lt;&gt;"",'Bonding Program'!$P$16,'Bonding Program'!$C$8)),'Bonding Program'!$Z$16,0)+IF(AND('Bonding Program'!$P$16&lt;&gt;"",W$3='Bonding Program'!$P$16,W$3&lt;='Bonding Program'!$C$8),N('Bonding Program'!$O$16),0)</f>
        <v>0</v>
      </c>
      <c r="X157" s="19" t="n">
        <f aca="false">IF(AND('Bonding Program'!$S$16=1,'Bonding Program'!$H$16&gt;'Bonding Program'!$C$8,X$3='Bonding Program'!$H$16),'Bonding Program'!$T$16-'Bonding Program'!$U$16-'Bonding Program'!$Z$16,0)-IF(AND('Bonding Program'!$S$16=1,'Bonding Program'!$H$16&lt;='Bonding Program'!$C$8,X$3=IF('Bonding Program'!$P$16&lt;&gt;"",'Bonding Program'!$P$16,'Bonding Program'!$C$8)),'Bonding Program'!$Z$16,0)+IF(AND('Bonding Program'!$P$16&lt;&gt;"",X$3='Bonding Program'!$P$16,X$3&lt;='Bonding Program'!$C$8),N('Bonding Program'!$O$16),0)</f>
        <v>0</v>
      </c>
      <c r="Y157" s="19" t="n">
        <f aca="false">IF(AND('Bonding Program'!$S$16=1,'Bonding Program'!$H$16&gt;'Bonding Program'!$C$8,Y$3='Bonding Program'!$H$16),'Bonding Program'!$T$16-'Bonding Program'!$U$16-'Bonding Program'!$Z$16,0)-IF(AND('Bonding Program'!$S$16=1,'Bonding Program'!$H$16&lt;='Bonding Program'!$C$8,Y$3=IF('Bonding Program'!$P$16&lt;&gt;"",'Bonding Program'!$P$16,'Bonding Program'!$C$8)),'Bonding Program'!$Z$16,0)+IF(AND('Bonding Program'!$P$16&lt;&gt;"",Y$3='Bonding Program'!$P$16,Y$3&lt;='Bonding Program'!$C$8),N('Bonding Program'!$O$16),0)</f>
        <v>0</v>
      </c>
      <c r="Z157" s="19" t="n">
        <f aca="false">IF(AND('Bonding Program'!$S$16=1,'Bonding Program'!$H$16&gt;'Bonding Program'!$C$8,Z$3='Bonding Program'!$H$16),'Bonding Program'!$T$16-'Bonding Program'!$U$16-'Bonding Program'!$Z$16,0)-IF(AND('Bonding Program'!$S$16=1,'Bonding Program'!$H$16&lt;='Bonding Program'!$C$8,Z$3=IF('Bonding Program'!$P$16&lt;&gt;"",'Bonding Program'!$P$16,'Bonding Program'!$C$8)),'Bonding Program'!$Z$16,0)+IF(AND('Bonding Program'!$P$16&lt;&gt;"",Z$3='Bonding Program'!$P$16,Z$3&lt;='Bonding Program'!$C$8),N('Bonding Program'!$O$16),0)</f>
        <v>0</v>
      </c>
      <c r="AA157" s="19" t="n">
        <f aca="false">IF(AND('Bonding Program'!$S$16=1,'Bonding Program'!$H$16&gt;'Bonding Program'!$C$8,AA$3='Bonding Program'!$H$16),'Bonding Program'!$T$16-'Bonding Program'!$U$16-'Bonding Program'!$Z$16,0)-IF(AND('Bonding Program'!$S$16=1,'Bonding Program'!$H$16&lt;='Bonding Program'!$C$8,AA$3=IF('Bonding Program'!$P$16&lt;&gt;"",'Bonding Program'!$P$16,'Bonding Program'!$C$8)),'Bonding Program'!$Z$16,0)+IF(AND('Bonding Program'!$P$16&lt;&gt;"",AA$3='Bonding Program'!$P$16,AA$3&lt;='Bonding Program'!$C$8),N('Bonding Program'!$O$16),0)</f>
        <v>0</v>
      </c>
      <c r="AB157" s="19" t="n">
        <f aca="false">IF(AND('Bonding Program'!$S$16=1,'Bonding Program'!$H$16&gt;'Bonding Program'!$C$8,AB$3='Bonding Program'!$H$16),'Bonding Program'!$T$16-'Bonding Program'!$U$16-'Bonding Program'!$Z$16,0)-IF(AND('Bonding Program'!$S$16=1,'Bonding Program'!$H$16&lt;='Bonding Program'!$C$8,AB$3=IF('Bonding Program'!$P$16&lt;&gt;"",'Bonding Program'!$P$16,'Bonding Program'!$C$8)),'Bonding Program'!$Z$16,0)+IF(AND('Bonding Program'!$P$16&lt;&gt;"",AB$3='Bonding Program'!$P$16,AB$3&lt;='Bonding Program'!$C$8),N('Bonding Program'!$O$16),0)</f>
        <v>0</v>
      </c>
      <c r="AC157" s="19" t="n">
        <f aca="false">IF(AND('Bonding Program'!$S$16=1,'Bonding Program'!$H$16&gt;'Bonding Program'!$C$8,AC$3='Bonding Program'!$H$16),'Bonding Program'!$T$16-'Bonding Program'!$U$16-'Bonding Program'!$Z$16,0)-IF(AND('Bonding Program'!$S$16=1,'Bonding Program'!$H$16&lt;='Bonding Program'!$C$8,AC$3=IF('Bonding Program'!$P$16&lt;&gt;"",'Bonding Program'!$P$16,'Bonding Program'!$C$8)),'Bonding Program'!$Z$16,0)+IF(AND('Bonding Program'!$P$16&lt;&gt;"",AC$3='Bonding Program'!$P$16,AC$3&lt;='Bonding Program'!$C$8),N('Bonding Program'!$O$16),0)</f>
        <v>0</v>
      </c>
      <c r="AD157" s="19" t="n">
        <f aca="false">IF(AND('Bonding Program'!$S$16=1,'Bonding Program'!$H$16&gt;'Bonding Program'!$C$8,AD$3='Bonding Program'!$H$16),'Bonding Program'!$T$16-'Bonding Program'!$U$16-'Bonding Program'!$Z$16,0)-IF(AND('Bonding Program'!$S$16=1,'Bonding Program'!$H$16&lt;='Bonding Program'!$C$8,AD$3=IF('Bonding Program'!$P$16&lt;&gt;"",'Bonding Program'!$P$16,'Bonding Program'!$C$8)),'Bonding Program'!$Z$16,0)+IF(AND('Bonding Program'!$P$16&lt;&gt;"",AD$3='Bonding Program'!$P$16,AD$3&lt;='Bonding Program'!$C$8),N('Bonding Program'!$O$16),0)</f>
        <v>0</v>
      </c>
      <c r="AE157" s="19" t="n">
        <f aca="false">IF(AND('Bonding Program'!$S$16=1,'Bonding Program'!$H$16&gt;'Bonding Program'!$C$8,AE$3='Bonding Program'!$H$16),'Bonding Program'!$T$16-'Bonding Program'!$U$16-'Bonding Program'!$Z$16,0)-IF(AND('Bonding Program'!$S$16=1,'Bonding Program'!$H$16&lt;='Bonding Program'!$C$8,AE$3=IF('Bonding Program'!$P$16&lt;&gt;"",'Bonding Program'!$P$16,'Bonding Program'!$C$8)),'Bonding Program'!$Z$16,0)+IF(AND('Bonding Program'!$P$16&lt;&gt;"",AE$3='Bonding Program'!$P$16,AE$3&lt;='Bonding Program'!$C$8),N('Bonding Program'!$O$16),0)</f>
        <v>0</v>
      </c>
      <c r="AF157" s="19" t="n">
        <f aca="false">IF(AND('Bonding Program'!$S$16=1,'Bonding Program'!$H$16&gt;'Bonding Program'!$C$8,AF$3='Bonding Program'!$H$16),'Bonding Program'!$T$16-'Bonding Program'!$U$16-'Bonding Program'!$Z$16,0)-IF(AND('Bonding Program'!$S$16=1,'Bonding Program'!$H$16&lt;='Bonding Program'!$C$8,AF$3=IF('Bonding Program'!$P$16&lt;&gt;"",'Bonding Program'!$P$16,'Bonding Program'!$C$8)),'Bonding Program'!$Z$16,0)+IF(AND('Bonding Program'!$P$16&lt;&gt;"",AF$3='Bonding Program'!$P$16,AF$3&lt;='Bonding Program'!$C$8),N('Bonding Program'!$O$16),0)</f>
        <v>0</v>
      </c>
      <c r="AG157" s="19" t="n">
        <f aca="false">IF(AND('Bonding Program'!$S$16=1,'Bonding Program'!$H$16&gt;'Bonding Program'!$C$8,AG$3='Bonding Program'!$H$16),'Bonding Program'!$T$16-'Bonding Program'!$U$16-'Bonding Program'!$Z$16,0)-IF(AND('Bonding Program'!$S$16=1,'Bonding Program'!$H$16&lt;='Bonding Program'!$C$8,AG$3=IF('Bonding Program'!$P$16&lt;&gt;"",'Bonding Program'!$P$16,'Bonding Program'!$C$8)),'Bonding Program'!$Z$16,0)+IF(AND('Bonding Program'!$P$16&lt;&gt;"",AG$3='Bonding Program'!$P$16,AG$3&lt;='Bonding Program'!$C$8),N('Bonding Program'!$O$16),0)</f>
        <v>0</v>
      </c>
      <c r="AH157" s="19" t="n">
        <f aca="false">IF(AND('Bonding Program'!$S$16=1,'Bonding Program'!$H$16&gt;'Bonding Program'!$C$8,AH$3='Bonding Program'!$H$16),'Bonding Program'!$T$16-'Bonding Program'!$U$16-'Bonding Program'!$Z$16,0)-IF(AND('Bonding Program'!$S$16=1,'Bonding Program'!$H$16&lt;='Bonding Program'!$C$8,AH$3=IF('Bonding Program'!$P$16&lt;&gt;"",'Bonding Program'!$P$16,'Bonding Program'!$C$8)),'Bonding Program'!$Z$16,0)+IF(AND('Bonding Program'!$P$16&lt;&gt;"",AH$3='Bonding Program'!$P$16,AH$3&lt;='Bonding Program'!$C$8),N('Bonding Program'!$O$16),0)</f>
        <v>0</v>
      </c>
      <c r="AI157" s="19" t="n">
        <f aca="false">IF(AND('Bonding Program'!$S$16=1,'Bonding Program'!$H$16&gt;'Bonding Program'!$C$8,AI$3='Bonding Program'!$H$16),'Bonding Program'!$T$16-'Bonding Program'!$U$16-'Bonding Program'!$Z$16,0)-IF(AND('Bonding Program'!$S$16=1,'Bonding Program'!$H$16&lt;='Bonding Program'!$C$8,AI$3=IF('Bonding Program'!$P$16&lt;&gt;"",'Bonding Program'!$P$16,'Bonding Program'!$C$8)),'Bonding Program'!$Z$16,0)+IF(AND('Bonding Program'!$P$16&lt;&gt;"",AI$3='Bonding Program'!$P$16,AI$3&lt;='Bonding Program'!$C$8),N('Bonding Program'!$O$16),0)</f>
        <v>0</v>
      </c>
      <c r="AJ157" s="19" t="n">
        <f aca="false">IF(AND('Bonding Program'!$S$16=1,'Bonding Program'!$H$16&gt;'Bonding Program'!$C$8,AJ$3='Bonding Program'!$H$16),'Bonding Program'!$T$16-'Bonding Program'!$U$16-'Bonding Program'!$Z$16,0)-IF(AND('Bonding Program'!$S$16=1,'Bonding Program'!$H$16&lt;='Bonding Program'!$C$8,AJ$3=IF('Bonding Program'!$P$16&lt;&gt;"",'Bonding Program'!$P$16,'Bonding Program'!$C$8)),'Bonding Program'!$Z$16,0)+IF(AND('Bonding Program'!$P$16&lt;&gt;"",AJ$3='Bonding Program'!$P$16,AJ$3&lt;='Bonding Program'!$C$8),N('Bonding Program'!$O$16),0)</f>
        <v>0</v>
      </c>
      <c r="AK157" s="19" t="n">
        <f aca="false">IF(AND('Bonding Program'!$S$16=1,'Bonding Program'!$H$16&gt;'Bonding Program'!$C$8,AK$3='Bonding Program'!$H$16),'Bonding Program'!$T$16-'Bonding Program'!$U$16-'Bonding Program'!$Z$16,0)-IF(AND('Bonding Program'!$S$16=1,'Bonding Program'!$H$16&lt;='Bonding Program'!$C$8,AK$3=IF('Bonding Program'!$P$16&lt;&gt;"",'Bonding Program'!$P$16,'Bonding Program'!$C$8)),'Bonding Program'!$Z$16,0)+IF(AND('Bonding Program'!$P$16&lt;&gt;"",AK$3='Bonding Program'!$P$16,AK$3&lt;='Bonding Program'!$C$8),N('Bonding Program'!$O$16),0)</f>
        <v>0</v>
      </c>
      <c r="AL157" s="19" t="n">
        <f aca="false">IF(AND('Bonding Program'!$S$16=1,'Bonding Program'!$H$16&gt;'Bonding Program'!$C$8,AL$3='Bonding Program'!$H$16),'Bonding Program'!$T$16-'Bonding Program'!$U$16-'Bonding Program'!$Z$16,0)-IF(AND('Bonding Program'!$S$16=1,'Bonding Program'!$H$16&lt;='Bonding Program'!$C$8,AL$3=IF('Bonding Program'!$P$16&lt;&gt;"",'Bonding Program'!$P$16,'Bonding Program'!$C$8)),'Bonding Program'!$Z$16,0)+IF(AND('Bonding Program'!$P$16&lt;&gt;"",AL$3='Bonding Program'!$P$16,AL$3&lt;='Bonding Program'!$C$8),N('Bonding Program'!$O$16),0)</f>
        <v>0</v>
      </c>
      <c r="AM157" s="19" t="n">
        <f aca="false">IF(AND('Bonding Program'!$S$16=1,'Bonding Program'!$H$16&gt;'Bonding Program'!$C$8,AM$3='Bonding Program'!$H$16),'Bonding Program'!$T$16-'Bonding Program'!$U$16-'Bonding Program'!$Z$16,0)-IF(AND('Bonding Program'!$S$16=1,'Bonding Program'!$H$16&lt;='Bonding Program'!$C$8,AM$3=IF('Bonding Program'!$P$16&lt;&gt;"",'Bonding Program'!$P$16,'Bonding Program'!$C$8)),'Bonding Program'!$Z$16,0)+IF(AND('Bonding Program'!$P$16&lt;&gt;"",AM$3='Bonding Program'!$P$16,AM$3&lt;='Bonding Program'!$C$8),N('Bonding Program'!$O$16),0)</f>
        <v>0</v>
      </c>
      <c r="AN157" s="19" t="n">
        <f aca="false">IF(AND('Bonding Program'!$S$16=1,'Bonding Program'!$H$16&gt;'Bonding Program'!$C$8,AN$3='Bonding Program'!$H$16),'Bonding Program'!$T$16-'Bonding Program'!$U$16-'Bonding Program'!$Z$16,0)-IF(AND('Bonding Program'!$S$16=1,'Bonding Program'!$H$16&lt;='Bonding Program'!$C$8,AN$3=IF('Bonding Program'!$P$16&lt;&gt;"",'Bonding Program'!$P$16,'Bonding Program'!$C$8)),'Bonding Program'!$Z$16,0)+IF(AND('Bonding Program'!$P$16&lt;&gt;"",AN$3='Bonding Program'!$P$16,AN$3&lt;='Bonding Program'!$C$8),N('Bonding Program'!$O$16),0)</f>
        <v>0</v>
      </c>
      <c r="AO157" s="19" t="n">
        <f aca="false">IF(AND('Bonding Program'!$S$16=1,'Bonding Program'!$H$16&gt;'Bonding Program'!$C$8,AO$3='Bonding Program'!$H$16),'Bonding Program'!$T$16-'Bonding Program'!$U$16-'Bonding Program'!$Z$16,0)-IF(AND('Bonding Program'!$S$16=1,'Bonding Program'!$H$16&lt;='Bonding Program'!$C$8,AO$3=IF('Bonding Program'!$P$16&lt;&gt;"",'Bonding Program'!$P$16,'Bonding Program'!$C$8)),'Bonding Program'!$Z$16,0)+IF(AND('Bonding Program'!$P$16&lt;&gt;"",AO$3='Bonding Program'!$P$16,AO$3&lt;='Bonding Program'!$C$8),N('Bonding Program'!$O$16),0)</f>
        <v>0</v>
      </c>
      <c r="AP157" s="19" t="n">
        <f aca="false">IF(AND('Bonding Program'!$S$16=1,'Bonding Program'!$H$16&gt;'Bonding Program'!$C$8,AP$3='Bonding Program'!$H$16),'Bonding Program'!$T$16-'Bonding Program'!$U$16-'Bonding Program'!$Z$16,0)-IF(AND('Bonding Program'!$S$16=1,'Bonding Program'!$H$16&lt;='Bonding Program'!$C$8,AP$3=IF('Bonding Program'!$P$16&lt;&gt;"",'Bonding Program'!$P$16,'Bonding Program'!$C$8)),'Bonding Program'!$Z$16,0)+IF(AND('Bonding Program'!$P$16&lt;&gt;"",AP$3='Bonding Program'!$P$16,AP$3&lt;='Bonding Program'!$C$8),N('Bonding Program'!$O$16),0)</f>
        <v>0</v>
      </c>
      <c r="AQ157" s="19" t="n">
        <f aca="false">IF(AND('Bonding Program'!$S$16=1,'Bonding Program'!$H$16&gt;'Bonding Program'!$C$8,AQ$3='Bonding Program'!$H$16),'Bonding Program'!$T$16-'Bonding Program'!$U$16-'Bonding Program'!$Z$16,0)-IF(AND('Bonding Program'!$S$16=1,'Bonding Program'!$H$16&lt;='Bonding Program'!$C$8,AQ$3=IF('Bonding Program'!$P$16&lt;&gt;"",'Bonding Program'!$P$16,'Bonding Program'!$C$8)),'Bonding Program'!$Z$16,0)+IF(AND('Bonding Program'!$P$16&lt;&gt;"",AQ$3='Bonding Program'!$P$16,AQ$3&lt;='Bonding Program'!$C$8),N('Bonding Program'!$O$16),0)</f>
        <v>0</v>
      </c>
      <c r="AR157" s="19" t="n">
        <f aca="false">IF(AND('Bonding Program'!$S$16=1,'Bonding Program'!$H$16&gt;'Bonding Program'!$C$8,AR$3='Bonding Program'!$H$16),'Bonding Program'!$T$16-'Bonding Program'!$U$16-'Bonding Program'!$Z$16,0)-IF(AND('Bonding Program'!$S$16=1,'Bonding Program'!$H$16&lt;='Bonding Program'!$C$8,AR$3=IF('Bonding Program'!$P$16&lt;&gt;"",'Bonding Program'!$P$16,'Bonding Program'!$C$8)),'Bonding Program'!$Z$16,0)+IF(AND('Bonding Program'!$P$16&lt;&gt;"",AR$3='Bonding Program'!$P$16,AR$3&lt;='Bonding Program'!$C$8),N('Bonding Program'!$O$16),0)</f>
        <v>0</v>
      </c>
      <c r="AS157" s="19" t="n">
        <f aca="false">IF(AND('Bonding Program'!$S$16=1,'Bonding Program'!$H$16&gt;'Bonding Program'!$C$8,AS$3='Bonding Program'!$H$16),'Bonding Program'!$T$16-'Bonding Program'!$U$16-'Bonding Program'!$Z$16,0)-IF(AND('Bonding Program'!$S$16=1,'Bonding Program'!$H$16&lt;='Bonding Program'!$C$8,AS$3=IF('Bonding Program'!$P$16&lt;&gt;"",'Bonding Program'!$P$16,'Bonding Program'!$C$8)),'Bonding Program'!$Z$16,0)+IF(AND('Bonding Program'!$P$16&lt;&gt;"",AS$3='Bonding Program'!$P$16,AS$3&lt;='Bonding Program'!$C$8),N('Bonding Program'!$O$16),0)</f>
        <v>0</v>
      </c>
      <c r="AT157" s="19" t="n">
        <f aca="false">IF(AND('Bonding Program'!$S$16=1,'Bonding Program'!$H$16&gt;'Bonding Program'!$C$8,AT$3='Bonding Program'!$H$16),'Bonding Program'!$T$16-'Bonding Program'!$U$16-'Bonding Program'!$Z$16,0)-IF(AND('Bonding Program'!$S$16=1,'Bonding Program'!$H$16&lt;='Bonding Program'!$C$8,AT$3=IF('Bonding Program'!$P$16&lt;&gt;"",'Bonding Program'!$P$16,'Bonding Program'!$C$8)),'Bonding Program'!$Z$16,0)+IF(AND('Bonding Program'!$P$16&lt;&gt;"",AT$3='Bonding Program'!$P$16,AT$3&lt;='Bonding Program'!$C$8),N('Bonding Program'!$O$16),0)</f>
        <v>0</v>
      </c>
      <c r="AU157" s="19" t="n">
        <f aca="false">IF(AND('Bonding Program'!$S$16=1,'Bonding Program'!$H$16&gt;'Bonding Program'!$C$8,AU$3='Bonding Program'!$H$16),'Bonding Program'!$T$16-'Bonding Program'!$U$16-'Bonding Program'!$Z$16,0)-IF(AND('Bonding Program'!$S$16=1,'Bonding Program'!$H$16&lt;='Bonding Program'!$C$8,AU$3=IF('Bonding Program'!$P$16&lt;&gt;"",'Bonding Program'!$P$16,'Bonding Program'!$C$8)),'Bonding Program'!$Z$16,0)+IF(AND('Bonding Program'!$P$16&lt;&gt;"",AU$3='Bonding Program'!$P$16,AU$3&lt;='Bonding Program'!$C$8),N('Bonding Program'!$O$16),0)</f>
        <v>0</v>
      </c>
      <c r="AV157" s="19" t="n">
        <f aca="false">IF(AND('Bonding Program'!$S$16=1,'Bonding Program'!$H$16&gt;'Bonding Program'!$C$8,AV$3='Bonding Program'!$H$16),'Bonding Program'!$T$16-'Bonding Program'!$U$16-'Bonding Program'!$Z$16,0)-IF(AND('Bonding Program'!$S$16=1,'Bonding Program'!$H$16&lt;='Bonding Program'!$C$8,AV$3=IF('Bonding Program'!$P$16&lt;&gt;"",'Bonding Program'!$P$16,'Bonding Program'!$C$8)),'Bonding Program'!$Z$16,0)+IF(AND('Bonding Program'!$P$16&lt;&gt;"",AV$3='Bonding Program'!$P$16,AV$3&lt;='Bonding Program'!$C$8),N('Bonding Program'!$O$16),0)</f>
        <v>0</v>
      </c>
      <c r="AW157" s="19" t="n">
        <f aca="false">IF(AND('Bonding Program'!$S$16=1,'Bonding Program'!$H$16&gt;'Bonding Program'!$C$8,AW$3='Bonding Program'!$H$16),'Bonding Program'!$T$16-'Bonding Program'!$U$16-'Bonding Program'!$Z$16,0)-IF(AND('Bonding Program'!$S$16=1,'Bonding Program'!$H$16&lt;='Bonding Program'!$C$8,AW$3=IF('Bonding Program'!$P$16&lt;&gt;"",'Bonding Program'!$P$16,'Bonding Program'!$C$8)),'Bonding Program'!$Z$16,0)+IF(AND('Bonding Program'!$P$16&lt;&gt;"",AW$3='Bonding Program'!$P$16,AW$3&lt;='Bonding Program'!$C$8),N('Bonding Program'!$O$16),0)</f>
        <v>0</v>
      </c>
      <c r="AX157" s="19" t="n">
        <f aca="false">IF(AND('Bonding Program'!$S$16=1,'Bonding Program'!$H$16&gt;'Bonding Program'!$C$8,AX$3='Bonding Program'!$H$16),'Bonding Program'!$T$16-'Bonding Program'!$U$16-'Bonding Program'!$Z$16,0)-IF(AND('Bonding Program'!$S$16=1,'Bonding Program'!$H$16&lt;='Bonding Program'!$C$8,AX$3=IF('Bonding Program'!$P$16&lt;&gt;"",'Bonding Program'!$P$16,'Bonding Program'!$C$8)),'Bonding Program'!$Z$16,0)+IF(AND('Bonding Program'!$P$16&lt;&gt;"",AX$3='Bonding Program'!$P$16,AX$3&lt;='Bonding Program'!$C$8),N('Bonding Program'!$O$16),0)</f>
        <v>0</v>
      </c>
      <c r="AY157" s="19" t="n">
        <f aca="false">IF(AND('Bonding Program'!$S$16=1,'Bonding Program'!$H$16&gt;'Bonding Program'!$C$8,AY$3='Bonding Program'!$H$16),'Bonding Program'!$T$16-'Bonding Program'!$U$16-'Bonding Program'!$Z$16,0)-IF(AND('Bonding Program'!$S$16=1,'Bonding Program'!$H$16&lt;='Bonding Program'!$C$8,AY$3=IF('Bonding Program'!$P$16&lt;&gt;"",'Bonding Program'!$P$16,'Bonding Program'!$C$8)),'Bonding Program'!$Z$16,0)+IF(AND('Bonding Program'!$P$16&lt;&gt;"",AY$3='Bonding Program'!$P$16,AY$3&lt;='Bonding Program'!$C$8),N('Bonding Program'!$O$16),0)</f>
        <v>0</v>
      </c>
      <c r="AZ157" s="19" t="n">
        <f aca="false">IF(AND('Bonding Program'!$S$16=1,'Bonding Program'!$H$16&gt;'Bonding Program'!$C$8,AZ$3='Bonding Program'!$H$16),'Bonding Program'!$T$16-'Bonding Program'!$U$16-'Bonding Program'!$Z$16,0)-IF(AND('Bonding Program'!$S$16=1,'Bonding Program'!$H$16&lt;='Bonding Program'!$C$8,AZ$3=IF('Bonding Program'!$P$16&lt;&gt;"",'Bonding Program'!$P$16,'Bonding Program'!$C$8)),'Bonding Program'!$Z$16,0)+IF(AND('Bonding Program'!$P$16&lt;&gt;"",AZ$3='Bonding Program'!$P$16,AZ$3&lt;='Bonding Program'!$C$8),N('Bonding Program'!$O$16),0)</f>
        <v>0</v>
      </c>
      <c r="BA157" s="19" t="n">
        <f aca="false">IF(AND('Bonding Program'!$S$16=1,'Bonding Program'!$H$16&gt;'Bonding Program'!$C$8,BA$3='Bonding Program'!$H$16),'Bonding Program'!$T$16-'Bonding Program'!$U$16-'Bonding Program'!$Z$16,0)-IF(AND('Bonding Program'!$S$16=1,'Bonding Program'!$H$16&lt;='Bonding Program'!$C$8,BA$3=IF('Bonding Program'!$P$16&lt;&gt;"",'Bonding Program'!$P$16,'Bonding Program'!$C$8)),'Bonding Program'!$Z$16,0)+IF(AND('Bonding Program'!$P$16&lt;&gt;"",BA$3='Bonding Program'!$P$16,BA$3&lt;='Bonding Program'!$C$8),N('Bonding Program'!$O$16),0)</f>
        <v>0</v>
      </c>
      <c r="BB157" s="19" t="n">
        <f aca="false">IF(AND('Bonding Program'!$S$16=1,'Bonding Program'!$H$16&gt;'Bonding Program'!$C$8,BB$3='Bonding Program'!$H$16),'Bonding Program'!$T$16-'Bonding Program'!$U$16-'Bonding Program'!$Z$16,0)-IF(AND('Bonding Program'!$S$16=1,'Bonding Program'!$H$16&lt;='Bonding Program'!$C$8,BB$3=IF('Bonding Program'!$P$16&lt;&gt;"",'Bonding Program'!$P$16,'Bonding Program'!$C$8)),'Bonding Program'!$Z$16,0)+IF(AND('Bonding Program'!$P$16&lt;&gt;"",BB$3='Bonding Program'!$P$16,BB$3&lt;='Bonding Program'!$C$8),N('Bonding Program'!$O$16),0)</f>
        <v>0</v>
      </c>
      <c r="BC157" s="19" t="n">
        <f aca="false">IF(AND('Bonding Program'!$S$16=1,'Bonding Program'!$H$16&gt;'Bonding Program'!$C$8,BC$3='Bonding Program'!$H$16),'Bonding Program'!$T$16-'Bonding Program'!$U$16-'Bonding Program'!$Z$16,0)-IF(AND('Bonding Program'!$S$16=1,'Bonding Program'!$H$16&lt;='Bonding Program'!$C$8,BC$3=IF('Bonding Program'!$P$16&lt;&gt;"",'Bonding Program'!$P$16,'Bonding Program'!$C$8)),'Bonding Program'!$Z$16,0)+IF(AND('Bonding Program'!$P$16&lt;&gt;"",BC$3='Bonding Program'!$P$16,BC$3&lt;='Bonding Program'!$C$8),N('Bonding Program'!$O$16),0)</f>
        <v>0</v>
      </c>
      <c r="BD157" s="19" t="n">
        <f aca="false">IF(AND('Bonding Program'!$S$16=1,'Bonding Program'!$H$16&gt;'Bonding Program'!$C$8,BD$3='Bonding Program'!$H$16),'Bonding Program'!$T$16-'Bonding Program'!$U$16-'Bonding Program'!$Z$16,0)-IF(AND('Bonding Program'!$S$16=1,'Bonding Program'!$H$16&lt;='Bonding Program'!$C$8,BD$3=IF('Bonding Program'!$P$16&lt;&gt;"",'Bonding Program'!$P$16,'Bonding Program'!$C$8)),'Bonding Program'!$Z$16,0)+IF(AND('Bonding Program'!$P$16&lt;&gt;"",BD$3='Bonding Program'!$P$16,BD$3&lt;='Bonding Program'!$C$8),N('Bonding Program'!$O$16),0)</f>
        <v>0</v>
      </c>
      <c r="BE157" s="19" t="n">
        <f aca="false">IF(AND('Bonding Program'!$S$16=1,'Bonding Program'!$H$16&gt;'Bonding Program'!$C$8,BE$3='Bonding Program'!$H$16),'Bonding Program'!$T$16-'Bonding Program'!$U$16-'Bonding Program'!$Z$16,0)-IF(AND('Bonding Program'!$S$16=1,'Bonding Program'!$H$16&lt;='Bonding Program'!$C$8,BE$3=IF('Bonding Program'!$P$16&lt;&gt;"",'Bonding Program'!$P$16,'Bonding Program'!$C$8)),'Bonding Program'!$Z$16,0)+IF(AND('Bonding Program'!$P$16&lt;&gt;"",BE$3='Bonding Program'!$P$16,BE$3&lt;='Bonding Program'!$C$8),N('Bonding Program'!$O$16),0)</f>
        <v>0</v>
      </c>
      <c r="BF157" s="19" t="n">
        <f aca="false">IF(AND('Bonding Program'!$S$16=1,'Bonding Program'!$H$16&gt;'Bonding Program'!$C$8,BF$3='Bonding Program'!$H$16),'Bonding Program'!$T$16-'Bonding Program'!$U$16-'Bonding Program'!$Z$16,0)-IF(AND('Bonding Program'!$S$16=1,'Bonding Program'!$H$16&lt;='Bonding Program'!$C$8,BF$3=IF('Bonding Program'!$P$16&lt;&gt;"",'Bonding Program'!$P$16,'Bonding Program'!$C$8)),'Bonding Program'!$Z$16,0)+IF(AND('Bonding Program'!$P$16&lt;&gt;"",BF$3='Bonding Program'!$P$16,BF$3&lt;='Bonding Program'!$C$8),N('Bonding Program'!$O$16),0)</f>
        <v>0</v>
      </c>
      <c r="BG157" s="19" t="n">
        <f aca="false">IF(AND('Bonding Program'!$S$16=1,'Bonding Program'!$H$16&gt;'Bonding Program'!$C$8,BG$3='Bonding Program'!$H$16),'Bonding Program'!$T$16-'Bonding Program'!$U$16-'Bonding Program'!$Z$16,0)-IF(AND('Bonding Program'!$S$16=1,'Bonding Program'!$H$16&lt;='Bonding Program'!$C$8,BG$3=IF('Bonding Program'!$P$16&lt;&gt;"",'Bonding Program'!$P$16,'Bonding Program'!$C$8)),'Bonding Program'!$Z$16,0)+IF(AND('Bonding Program'!$P$16&lt;&gt;"",BG$3='Bonding Program'!$P$16,BG$3&lt;='Bonding Program'!$C$8),N('Bonding Program'!$O$16),0)</f>
        <v>0</v>
      </c>
      <c r="BH157" s="19" t="n">
        <f aca="false">IF(AND('Bonding Program'!$S$16=1,'Bonding Program'!$H$16&gt;'Bonding Program'!$C$8,BH$3='Bonding Program'!$H$16),'Bonding Program'!$T$16-'Bonding Program'!$U$16-'Bonding Program'!$Z$16,0)-IF(AND('Bonding Program'!$S$16=1,'Bonding Program'!$H$16&lt;='Bonding Program'!$C$8,BH$3=IF('Bonding Program'!$P$16&lt;&gt;"",'Bonding Program'!$P$16,'Bonding Program'!$C$8)),'Bonding Program'!$Z$16,0)+IF(AND('Bonding Program'!$P$16&lt;&gt;"",BH$3='Bonding Program'!$P$16,BH$3&lt;='Bonding Program'!$C$8),N('Bonding Program'!$O$16),0)</f>
        <v>0</v>
      </c>
      <c r="BI157" s="19" t="n">
        <f aca="false">IF(AND('Bonding Program'!$S$16=1,'Bonding Program'!$H$16&gt;'Bonding Program'!$C$8,BI$3='Bonding Program'!$H$16),'Bonding Program'!$T$16-'Bonding Program'!$U$16-'Bonding Program'!$Z$16,0)-IF(AND('Bonding Program'!$S$16=1,'Bonding Program'!$H$16&lt;='Bonding Program'!$C$8,BI$3=IF('Bonding Program'!$P$16&lt;&gt;"",'Bonding Program'!$P$16,'Bonding Program'!$C$8)),'Bonding Program'!$Z$16,0)+IF(AND('Bonding Program'!$P$16&lt;&gt;"",BI$3='Bonding Program'!$P$16,BI$3&lt;='Bonding Program'!$C$8),N('Bonding Program'!$O$16),0)</f>
        <v>0</v>
      </c>
      <c r="BJ157" s="19" t="n">
        <f aca="false">IF(AND('Bonding Program'!$S$16=1,'Bonding Program'!$H$16&gt;'Bonding Program'!$C$8,BJ$3='Bonding Program'!$H$16),'Bonding Program'!$T$16-'Bonding Program'!$U$16-'Bonding Program'!$Z$16,0)-IF(AND('Bonding Program'!$S$16=1,'Bonding Program'!$H$16&lt;='Bonding Program'!$C$8,BJ$3=IF('Bonding Program'!$P$16&lt;&gt;"",'Bonding Program'!$P$16,'Bonding Program'!$C$8)),'Bonding Program'!$Z$16,0)+IF(AND('Bonding Program'!$P$16&lt;&gt;"",BJ$3='Bonding Program'!$P$16,BJ$3&lt;='Bonding Program'!$C$8),N('Bonding Program'!$O$16),0)</f>
        <v>0</v>
      </c>
      <c r="BK157" s="19" t="n">
        <f aca="false">IF(AND('Bonding Program'!$S$16=1,'Bonding Program'!$H$16&gt;'Bonding Program'!$C$8,BK$3='Bonding Program'!$H$16),'Bonding Program'!$T$16-'Bonding Program'!$U$16-'Bonding Program'!$Z$16,0)-IF(AND('Bonding Program'!$S$16=1,'Bonding Program'!$H$16&lt;='Bonding Program'!$C$8,BK$3=IF('Bonding Program'!$P$16&lt;&gt;"",'Bonding Program'!$P$16,'Bonding Program'!$C$8)),'Bonding Program'!$Z$16,0)+IF(AND('Bonding Program'!$P$16&lt;&gt;"",BK$3='Bonding Program'!$P$16,BK$3&lt;='Bonding Program'!$C$8),N('Bonding Program'!$O$16),0)</f>
        <v>0</v>
      </c>
      <c r="BL157" s="19" t="n">
        <f aca="false">IF(AND('Bonding Program'!$S$16=1,'Bonding Program'!$H$16&gt;'Bonding Program'!$C$8,BL$3='Bonding Program'!$H$16),'Bonding Program'!$T$16-'Bonding Program'!$U$16-'Bonding Program'!$Z$16,0)-IF(AND('Bonding Program'!$S$16=1,'Bonding Program'!$H$16&lt;='Bonding Program'!$C$8,BL$3=IF('Bonding Program'!$P$16&lt;&gt;"",'Bonding Program'!$P$16,'Bonding Program'!$C$8)),'Bonding Program'!$Z$16,0)+IF(AND('Bonding Program'!$P$16&lt;&gt;"",BL$3='Bonding Program'!$P$16,BL$3&lt;='Bonding Program'!$C$8),N('Bonding Program'!$O$16),0)</f>
        <v>0</v>
      </c>
      <c r="BM157" s="19" t="n">
        <f aca="false">IF(AND('Bonding Program'!$S$16=1,'Bonding Program'!$H$16&gt;'Bonding Program'!$C$8,BM$3='Bonding Program'!$H$16),'Bonding Program'!$T$16-'Bonding Program'!$U$16-'Bonding Program'!$Z$16,0)-IF(AND('Bonding Program'!$S$16=1,'Bonding Program'!$H$16&lt;='Bonding Program'!$C$8,BM$3=IF('Bonding Program'!$P$16&lt;&gt;"",'Bonding Program'!$P$16,'Bonding Program'!$C$8)),'Bonding Program'!$Z$16,0)+IF(AND('Bonding Program'!$P$16&lt;&gt;"",BM$3='Bonding Program'!$P$16,BM$3&lt;='Bonding Program'!$C$8),N('Bonding Program'!$O$16),0)</f>
        <v>0</v>
      </c>
      <c r="BN157" s="19" t="n">
        <f aca="false">IF(AND('Bonding Program'!$S$16=1,'Bonding Program'!$H$16&gt;'Bonding Program'!$C$8,BN$3='Bonding Program'!$H$16),'Bonding Program'!$T$16-'Bonding Program'!$U$16-'Bonding Program'!$Z$16,0)-IF(AND('Bonding Program'!$S$16=1,'Bonding Program'!$H$16&lt;='Bonding Program'!$C$8,BN$3=IF('Bonding Program'!$P$16&lt;&gt;"",'Bonding Program'!$P$16,'Bonding Program'!$C$8)),'Bonding Program'!$Z$16,0)+IF(AND('Bonding Program'!$P$16&lt;&gt;"",BN$3='Bonding Program'!$P$16,BN$3&lt;='Bonding Program'!$C$8),N('Bonding Program'!$O$16),0)</f>
        <v>0</v>
      </c>
      <c r="BO157" s="19" t="n">
        <f aca="false">IF(AND('Bonding Program'!$S$16=1,'Bonding Program'!$H$16&gt;'Bonding Program'!$C$8,BO$3='Bonding Program'!$H$16),'Bonding Program'!$T$16-'Bonding Program'!$U$16-'Bonding Program'!$Z$16,0)-IF(AND('Bonding Program'!$S$16=1,'Bonding Program'!$H$16&lt;='Bonding Program'!$C$8,BO$3=IF('Bonding Program'!$P$16&lt;&gt;"",'Bonding Program'!$P$16,'Bonding Program'!$C$8)),'Bonding Program'!$Z$16,0)+IF(AND('Bonding Program'!$P$16&lt;&gt;"",BO$3='Bonding Program'!$P$16,BO$3&lt;='Bonding Program'!$C$8),N('Bonding Program'!$O$16),0)</f>
        <v>0</v>
      </c>
      <c r="BP157" s="19" t="n">
        <f aca="false">IF(AND('Bonding Program'!$S$16=1,'Bonding Program'!$H$16&gt;'Bonding Program'!$C$8,BP$3='Bonding Program'!$H$16),'Bonding Program'!$T$16-'Bonding Program'!$U$16-'Bonding Program'!$Z$16,0)-IF(AND('Bonding Program'!$S$16=1,'Bonding Program'!$H$16&lt;='Bonding Program'!$C$8,BP$3=IF('Bonding Program'!$P$16&lt;&gt;"",'Bonding Program'!$P$16,'Bonding Program'!$C$8)),'Bonding Program'!$Z$16,0)+IF(AND('Bonding Program'!$P$16&lt;&gt;"",BP$3='Bonding Program'!$P$16,BP$3&lt;='Bonding Program'!$C$8),N('Bonding Program'!$O$16),0)</f>
        <v>0</v>
      </c>
      <c r="BQ157" s="19" t="n">
        <f aca="false">IF(AND('Bonding Program'!$S$16=1,'Bonding Program'!$H$16&gt;'Bonding Program'!$C$8,BQ$3='Bonding Program'!$H$16),'Bonding Program'!$T$16-'Bonding Program'!$U$16-'Bonding Program'!$Z$16,0)-IF(AND('Bonding Program'!$S$16=1,'Bonding Program'!$H$16&lt;='Bonding Program'!$C$8,BQ$3=IF('Bonding Program'!$P$16&lt;&gt;"",'Bonding Program'!$P$16,'Bonding Program'!$C$8)),'Bonding Program'!$Z$16,0)+IF(AND('Bonding Program'!$P$16&lt;&gt;"",BQ$3='Bonding Program'!$P$16,BQ$3&lt;='Bonding Program'!$C$8),N('Bonding Program'!$O$16),0)</f>
        <v>0</v>
      </c>
      <c r="BR157" s="19" t="n">
        <f aca="false">IF(AND('Bonding Program'!$S$16=1,'Bonding Program'!$H$16&gt;'Bonding Program'!$C$8,BR$3='Bonding Program'!$H$16),'Bonding Program'!$T$16-'Bonding Program'!$U$16-'Bonding Program'!$Z$16,0)-IF(AND('Bonding Program'!$S$16=1,'Bonding Program'!$H$16&lt;='Bonding Program'!$C$8,BR$3=IF('Bonding Program'!$P$16&lt;&gt;"",'Bonding Program'!$P$16,'Bonding Program'!$C$8)),'Bonding Program'!$Z$16,0)+IF(AND('Bonding Program'!$P$16&lt;&gt;"",BR$3='Bonding Program'!$P$16,BR$3&lt;='Bonding Program'!$C$8),N('Bonding Program'!$O$16),0)</f>
        <v>0</v>
      </c>
      <c r="BS157" s="19" t="n">
        <f aca="false">IF(AND('Bonding Program'!$S$16=1,'Bonding Program'!$H$16&gt;'Bonding Program'!$C$8,BS$3='Bonding Program'!$H$16),'Bonding Program'!$T$16-'Bonding Program'!$U$16-'Bonding Program'!$Z$16,0)-IF(AND('Bonding Program'!$S$16=1,'Bonding Program'!$H$16&lt;='Bonding Program'!$C$8,BS$3=IF('Bonding Program'!$P$16&lt;&gt;"",'Bonding Program'!$P$16,'Bonding Program'!$C$8)),'Bonding Program'!$Z$16,0)+IF(AND('Bonding Program'!$P$16&lt;&gt;"",BS$3='Bonding Program'!$P$16,BS$3&lt;='Bonding Program'!$C$8),N('Bonding Program'!$O$16),0)</f>
        <v>0</v>
      </c>
      <c r="BT157" s="19" t="n">
        <f aca="false">IF(AND('Bonding Program'!$S$16=1,'Bonding Program'!$H$16&gt;'Bonding Program'!$C$8,BT$3='Bonding Program'!$H$16),'Bonding Program'!$T$16-'Bonding Program'!$U$16-'Bonding Program'!$Z$16,0)-IF(AND('Bonding Program'!$S$16=1,'Bonding Program'!$H$16&lt;='Bonding Program'!$C$8,BT$3=IF('Bonding Program'!$P$16&lt;&gt;"",'Bonding Program'!$P$16,'Bonding Program'!$C$8)),'Bonding Program'!$Z$16,0)+IF(AND('Bonding Program'!$P$16&lt;&gt;"",BT$3='Bonding Program'!$P$16,BT$3&lt;='Bonding Program'!$C$8),N('Bonding Program'!$O$16),0)</f>
        <v>0</v>
      </c>
      <c r="BU157" s="19" t="n">
        <f aca="false">IF(AND('Bonding Program'!$S$16=1,'Bonding Program'!$H$16&gt;'Bonding Program'!$C$8,BU$3='Bonding Program'!$H$16),'Bonding Program'!$T$16-'Bonding Program'!$U$16-'Bonding Program'!$Z$16,0)-IF(AND('Bonding Program'!$S$16=1,'Bonding Program'!$H$16&lt;='Bonding Program'!$C$8,BU$3=IF('Bonding Program'!$P$16&lt;&gt;"",'Bonding Program'!$P$16,'Bonding Program'!$C$8)),'Bonding Program'!$Z$16,0)+IF(AND('Bonding Program'!$P$16&lt;&gt;"",BU$3='Bonding Program'!$P$16,BU$3&lt;='Bonding Program'!$C$8),N('Bonding Program'!$O$16),0)</f>
        <v>0</v>
      </c>
      <c r="BV157" s="19" t="n">
        <f aca="false">IF(AND('Bonding Program'!$S$16=1,'Bonding Program'!$H$16&gt;'Bonding Program'!$C$8,BV$3='Bonding Program'!$H$16),'Bonding Program'!$T$16-'Bonding Program'!$U$16-'Bonding Program'!$Z$16,0)-IF(AND('Bonding Program'!$S$16=1,'Bonding Program'!$H$16&lt;='Bonding Program'!$C$8,BV$3=IF('Bonding Program'!$P$16&lt;&gt;"",'Bonding Program'!$P$16,'Bonding Program'!$C$8)),'Bonding Program'!$Z$16,0)+IF(AND('Bonding Program'!$P$16&lt;&gt;"",BV$3='Bonding Program'!$P$16,BV$3&lt;='Bonding Program'!$C$8),N('Bonding Program'!$O$16),0)</f>
        <v>0</v>
      </c>
      <c r="BW157" s="19" t="n">
        <f aca="false">IF(AND('Bonding Program'!$S$16=1,'Bonding Program'!$H$16&gt;'Bonding Program'!$C$8,BW$3='Bonding Program'!$H$16),'Bonding Program'!$T$16-'Bonding Program'!$U$16-'Bonding Program'!$Z$16,0)-IF(AND('Bonding Program'!$S$16=1,'Bonding Program'!$H$16&lt;='Bonding Program'!$C$8,BW$3=IF('Bonding Program'!$P$16&lt;&gt;"",'Bonding Program'!$P$16,'Bonding Program'!$C$8)),'Bonding Program'!$Z$16,0)+IF(AND('Bonding Program'!$P$16&lt;&gt;"",BW$3='Bonding Program'!$P$16,BW$3&lt;='Bonding Program'!$C$8),N('Bonding Program'!$O$16),0)</f>
        <v>0</v>
      </c>
      <c r="BX157" s="19" t="n">
        <f aca="false">IF(AND('Bonding Program'!$S$16=1,'Bonding Program'!$H$16&gt;'Bonding Program'!$C$8,BX$3='Bonding Program'!$H$16),'Bonding Program'!$T$16-'Bonding Program'!$U$16-'Bonding Program'!$Z$16,0)-IF(AND('Bonding Program'!$S$16=1,'Bonding Program'!$H$16&lt;='Bonding Program'!$C$8,BX$3=IF('Bonding Program'!$P$16&lt;&gt;"",'Bonding Program'!$P$16,'Bonding Program'!$C$8)),'Bonding Program'!$Z$16,0)+IF(AND('Bonding Program'!$P$16&lt;&gt;"",BX$3='Bonding Program'!$P$16,BX$3&lt;='Bonding Program'!$C$8),N('Bonding Program'!$O$16),0)</f>
        <v>0</v>
      </c>
      <c r="BY157" s="19" t="n">
        <f aca="false">IF(AND('Bonding Program'!$S$16=1,'Bonding Program'!$H$16&gt;'Bonding Program'!$C$8,BY$3='Bonding Program'!$H$16),'Bonding Program'!$T$16-'Bonding Program'!$U$16-'Bonding Program'!$Z$16,0)-IF(AND('Bonding Program'!$S$16=1,'Bonding Program'!$H$16&lt;='Bonding Program'!$C$8,BY$3=IF('Bonding Program'!$P$16&lt;&gt;"",'Bonding Program'!$P$16,'Bonding Program'!$C$8)),'Bonding Program'!$Z$16,0)+IF(AND('Bonding Program'!$P$16&lt;&gt;"",BY$3='Bonding Program'!$P$16,BY$3&lt;='Bonding Program'!$C$8),N('Bonding Program'!$O$16),0)</f>
        <v>0</v>
      </c>
      <c r="BZ157" s="19" t="n">
        <f aca="false">IF(AND('Bonding Program'!$S$16=1,'Bonding Program'!$H$16&gt;'Bonding Program'!$C$8,BZ$3='Bonding Program'!$H$16),'Bonding Program'!$T$16-'Bonding Program'!$U$16-'Bonding Program'!$Z$16,0)-IF(AND('Bonding Program'!$S$16=1,'Bonding Program'!$H$16&lt;='Bonding Program'!$C$8,BZ$3=IF('Bonding Program'!$P$16&lt;&gt;"",'Bonding Program'!$P$16,'Bonding Program'!$C$8)),'Bonding Program'!$Z$16,0)+IF(AND('Bonding Program'!$P$16&lt;&gt;"",BZ$3='Bonding Program'!$P$16,BZ$3&lt;='Bonding Program'!$C$8),N('Bonding Program'!$O$16),0)</f>
        <v>0</v>
      </c>
      <c r="CA157" s="19" t="n">
        <f aca="false">IF(AND('Bonding Program'!$S$16=1,'Bonding Program'!$H$16&gt;'Bonding Program'!$C$8,CA$3='Bonding Program'!$H$16),'Bonding Program'!$T$16-'Bonding Program'!$U$16-'Bonding Program'!$Z$16,0)-IF(AND('Bonding Program'!$S$16=1,'Bonding Program'!$H$16&lt;='Bonding Program'!$C$8,CA$3=IF('Bonding Program'!$P$16&lt;&gt;"",'Bonding Program'!$P$16,'Bonding Program'!$C$8)),'Bonding Program'!$Z$16,0)+IF(AND('Bonding Program'!$P$16&lt;&gt;"",CA$3='Bonding Program'!$P$16,CA$3&lt;='Bonding Program'!$C$8),N('Bonding Program'!$O$16),0)</f>
        <v>0</v>
      </c>
      <c r="CB157" s="19" t="n">
        <f aca="false">IF(AND('Bonding Program'!$S$16=1,'Bonding Program'!$H$16&gt;'Bonding Program'!$C$8,CB$3='Bonding Program'!$H$16),'Bonding Program'!$T$16-'Bonding Program'!$U$16-'Bonding Program'!$Z$16,0)-IF(AND('Bonding Program'!$S$16=1,'Bonding Program'!$H$16&lt;='Bonding Program'!$C$8,CB$3=IF('Bonding Program'!$P$16&lt;&gt;"",'Bonding Program'!$P$16,'Bonding Program'!$C$8)),'Bonding Program'!$Z$16,0)+IF(AND('Bonding Program'!$P$16&lt;&gt;"",CB$3='Bonding Program'!$P$16,CB$3&lt;='Bonding Program'!$C$8),N('Bonding Program'!$O$16),0)</f>
        <v>0</v>
      </c>
      <c r="CC157" s="19" t="n">
        <f aca="false">IF(AND('Bonding Program'!$S$16=1,'Bonding Program'!$H$16&gt;'Bonding Program'!$C$8,CC$3='Bonding Program'!$H$16),'Bonding Program'!$T$16-'Bonding Program'!$U$16-'Bonding Program'!$Z$16,0)-IF(AND('Bonding Program'!$S$16=1,'Bonding Program'!$H$16&lt;='Bonding Program'!$C$8,CC$3=IF('Bonding Program'!$P$16&lt;&gt;"",'Bonding Program'!$P$16,'Bonding Program'!$C$8)),'Bonding Program'!$Z$16,0)+IF(AND('Bonding Program'!$P$16&lt;&gt;"",CC$3='Bonding Program'!$P$16,CC$3&lt;='Bonding Program'!$C$8),N('Bonding Program'!$O$16),0)</f>
        <v>0</v>
      </c>
      <c r="CD157" s="19" t="n">
        <f aca="false">IF(AND('Bonding Program'!$S$16=1,'Bonding Program'!$H$16&gt;'Bonding Program'!$C$8,CD$3='Bonding Program'!$H$16),'Bonding Program'!$T$16-'Bonding Program'!$U$16-'Bonding Program'!$Z$16,0)-IF(AND('Bonding Program'!$S$16=1,'Bonding Program'!$H$16&lt;='Bonding Program'!$C$8,CD$3=IF('Bonding Program'!$P$16&lt;&gt;"",'Bonding Program'!$P$16,'Bonding Program'!$C$8)),'Bonding Program'!$Z$16,0)+IF(AND('Bonding Program'!$P$16&lt;&gt;"",CD$3='Bonding Program'!$P$16,CD$3&lt;='Bonding Program'!$C$8),N('Bonding Program'!$O$16),0)</f>
        <v>0</v>
      </c>
      <c r="CE157" s="19" t="n">
        <f aca="false">IF(AND('Bonding Program'!$S$16=1,'Bonding Program'!$H$16&gt;'Bonding Program'!$C$8,CE$3='Bonding Program'!$H$16),'Bonding Program'!$T$16-'Bonding Program'!$U$16-'Bonding Program'!$Z$16,0)-IF(AND('Bonding Program'!$S$16=1,'Bonding Program'!$H$16&lt;='Bonding Program'!$C$8,CE$3=IF('Bonding Program'!$P$16&lt;&gt;"",'Bonding Program'!$P$16,'Bonding Program'!$C$8)),'Bonding Program'!$Z$16,0)+IF(AND('Bonding Program'!$P$16&lt;&gt;"",CE$3='Bonding Program'!$P$16,CE$3&lt;='Bonding Program'!$C$8),N('Bonding Program'!$O$16),0)</f>
        <v>0</v>
      </c>
      <c r="CF157" s="19" t="n">
        <f aca="false">IF(AND('Bonding Program'!$S$16=1,'Bonding Program'!$H$16&gt;'Bonding Program'!$C$8,CF$3='Bonding Program'!$H$16),'Bonding Program'!$T$16-'Bonding Program'!$U$16-'Bonding Program'!$Z$16,0)-IF(AND('Bonding Program'!$S$16=1,'Bonding Program'!$H$16&lt;='Bonding Program'!$C$8,CF$3=IF('Bonding Program'!$P$16&lt;&gt;"",'Bonding Program'!$P$16,'Bonding Program'!$C$8)),'Bonding Program'!$Z$16,0)+IF(AND('Bonding Program'!$P$16&lt;&gt;"",CF$3='Bonding Program'!$P$16,CF$3&lt;='Bonding Program'!$C$8),N('Bonding Program'!$O$16),0)</f>
        <v>0</v>
      </c>
      <c r="CG157" s="19" t="n">
        <f aca="false">IF(AND('Bonding Program'!$S$16=1,'Bonding Program'!$H$16&gt;'Bonding Program'!$C$8,CG$3='Bonding Program'!$H$16),'Bonding Program'!$T$16-'Bonding Program'!$U$16-'Bonding Program'!$Z$16,0)-IF(AND('Bonding Program'!$S$16=1,'Bonding Program'!$H$16&lt;='Bonding Program'!$C$8,CG$3=IF('Bonding Program'!$P$16&lt;&gt;"",'Bonding Program'!$P$16,'Bonding Program'!$C$8)),'Bonding Program'!$Z$16,0)+IF(AND('Bonding Program'!$P$16&lt;&gt;"",CG$3='Bonding Program'!$P$16,CG$3&lt;='Bonding Program'!$C$8),N('Bonding Program'!$O$16),0)</f>
        <v>0</v>
      </c>
      <c r="CH157" s="19" t="n">
        <f aca="false">IF(AND('Bonding Program'!$S$16=1,'Bonding Program'!$H$16&gt;'Bonding Program'!$C$8,CH$3='Bonding Program'!$H$16),'Bonding Program'!$T$16-'Bonding Program'!$U$16-'Bonding Program'!$Z$16,0)-IF(AND('Bonding Program'!$S$16=1,'Bonding Program'!$H$16&lt;='Bonding Program'!$C$8,CH$3=IF('Bonding Program'!$P$16&lt;&gt;"",'Bonding Program'!$P$16,'Bonding Program'!$C$8)),'Bonding Program'!$Z$16,0)+IF(AND('Bonding Program'!$P$16&lt;&gt;"",CH$3='Bonding Program'!$P$16,CH$3&lt;='Bonding Program'!$C$8),N('Bonding Program'!$O$16),0)</f>
        <v>0</v>
      </c>
      <c r="CI157" s="19" t="n">
        <f aca="false">IF(AND('Bonding Program'!$S$16=1,'Bonding Program'!$H$16&gt;'Bonding Program'!$C$8,CI$3='Bonding Program'!$H$16),'Bonding Program'!$T$16-'Bonding Program'!$U$16-'Bonding Program'!$Z$16,0)-IF(AND('Bonding Program'!$S$16=1,'Bonding Program'!$H$16&lt;='Bonding Program'!$C$8,CI$3=IF('Bonding Program'!$P$16&lt;&gt;"",'Bonding Program'!$P$16,'Bonding Program'!$C$8)),'Bonding Program'!$Z$16,0)+IF(AND('Bonding Program'!$P$16&lt;&gt;"",CI$3='Bonding Program'!$P$16,CI$3&lt;='Bonding Program'!$C$8),N('Bonding Program'!$O$16),0)</f>
        <v>0</v>
      </c>
      <c r="CJ157" s="19" t="n">
        <f aca="false">IF(AND('Bonding Program'!$S$16=1,'Bonding Program'!$H$16&gt;'Bonding Program'!$C$8,CJ$3='Bonding Program'!$H$16),'Bonding Program'!$T$16-'Bonding Program'!$U$16-'Bonding Program'!$Z$16,0)-IF(AND('Bonding Program'!$S$16=1,'Bonding Program'!$H$16&lt;='Bonding Program'!$C$8,CJ$3=IF('Bonding Program'!$P$16&lt;&gt;"",'Bonding Program'!$P$16,'Bonding Program'!$C$8)),'Bonding Program'!$Z$16,0)+IF(AND('Bonding Program'!$P$16&lt;&gt;"",CJ$3='Bonding Program'!$P$16,CJ$3&lt;='Bonding Program'!$C$8),N('Bonding Program'!$O$16),0)</f>
        <v>0</v>
      </c>
      <c r="CK157" s="19" t="n">
        <f aca="false">IF(AND('Bonding Program'!$S$16=1,'Bonding Program'!$H$16&gt;'Bonding Program'!$C$8,CK$3='Bonding Program'!$H$16),'Bonding Program'!$T$16-'Bonding Program'!$U$16-'Bonding Program'!$Z$16,0)-IF(AND('Bonding Program'!$S$16=1,'Bonding Program'!$H$16&lt;='Bonding Program'!$C$8,CK$3=IF('Bonding Program'!$P$16&lt;&gt;"",'Bonding Program'!$P$16,'Bonding Program'!$C$8)),'Bonding Program'!$Z$16,0)+IF(AND('Bonding Program'!$P$16&lt;&gt;"",CK$3='Bonding Program'!$P$16,CK$3&lt;='Bonding Program'!$C$8),N('Bonding Program'!$O$16),0)</f>
        <v>0</v>
      </c>
      <c r="CL157" s="19" t="n">
        <f aca="false">IF(AND('Bonding Program'!$S$16=1,'Bonding Program'!$H$16&gt;'Bonding Program'!$C$8,CL$3='Bonding Program'!$H$16),'Bonding Program'!$T$16-'Bonding Program'!$U$16-'Bonding Program'!$Z$16,0)-IF(AND('Bonding Program'!$S$16=1,'Bonding Program'!$H$16&lt;='Bonding Program'!$C$8,CL$3=IF('Bonding Program'!$P$16&lt;&gt;"",'Bonding Program'!$P$16,'Bonding Program'!$C$8)),'Bonding Program'!$Z$16,0)+IF(AND('Bonding Program'!$P$16&lt;&gt;"",CL$3='Bonding Program'!$P$16,CL$3&lt;='Bonding Program'!$C$8),N('Bonding Program'!$O$16),0)</f>
        <v>0</v>
      </c>
      <c r="CM157" s="19" t="n">
        <f aca="false">IF(AND('Bonding Program'!$S$16=1,'Bonding Program'!$H$16&gt;'Bonding Program'!$C$8,CM$3='Bonding Program'!$H$16),'Bonding Program'!$T$16-'Bonding Program'!$U$16-'Bonding Program'!$Z$16,0)-IF(AND('Bonding Program'!$S$16=1,'Bonding Program'!$H$16&lt;='Bonding Program'!$C$8,CM$3=IF('Bonding Program'!$P$16&lt;&gt;"",'Bonding Program'!$P$16,'Bonding Program'!$C$8)),'Bonding Program'!$Z$16,0)+IF(AND('Bonding Program'!$P$16&lt;&gt;"",CM$3='Bonding Program'!$P$16,CM$3&lt;='Bonding Program'!$C$8),N('Bonding Program'!$O$16),0)</f>
        <v>0</v>
      </c>
      <c r="CN157" s="19" t="n">
        <f aca="false">IF(AND('Bonding Program'!$S$16=1,'Bonding Program'!$H$16&gt;'Bonding Program'!$C$8,CN$3='Bonding Program'!$H$16),'Bonding Program'!$T$16-'Bonding Program'!$U$16-'Bonding Program'!$Z$16,0)-IF(AND('Bonding Program'!$S$16=1,'Bonding Program'!$H$16&lt;='Bonding Program'!$C$8,CN$3=IF('Bonding Program'!$P$16&lt;&gt;"",'Bonding Program'!$P$16,'Bonding Program'!$C$8)),'Bonding Program'!$Z$16,0)+IF(AND('Bonding Program'!$P$16&lt;&gt;"",CN$3='Bonding Program'!$P$16,CN$3&lt;='Bonding Program'!$C$8),N('Bonding Program'!$O$16),0)</f>
        <v>0</v>
      </c>
      <c r="CO157" s="19" t="n">
        <f aca="false">IF(AND('Bonding Program'!$S$16=1,'Bonding Program'!$H$16&gt;'Bonding Program'!$C$8,CO$3='Bonding Program'!$H$16),'Bonding Program'!$T$16-'Bonding Program'!$U$16-'Bonding Program'!$Z$16,0)-IF(AND('Bonding Program'!$S$16=1,'Bonding Program'!$H$16&lt;='Bonding Program'!$C$8,CO$3=IF('Bonding Program'!$P$16&lt;&gt;"",'Bonding Program'!$P$16,'Bonding Program'!$C$8)),'Bonding Program'!$Z$16,0)+IF(AND('Bonding Program'!$P$16&lt;&gt;"",CO$3='Bonding Program'!$P$16,CO$3&lt;='Bonding Program'!$C$8),N('Bonding Program'!$O$16),0)</f>
        <v>0</v>
      </c>
      <c r="CP157" s="19" t="n">
        <f aca="false">IF(AND('Bonding Program'!$S$16=1,'Bonding Program'!$H$16&gt;'Bonding Program'!$C$8,CP$3='Bonding Program'!$H$16),'Bonding Program'!$T$16-'Bonding Program'!$U$16-'Bonding Program'!$Z$16,0)-IF(AND('Bonding Program'!$S$16=1,'Bonding Program'!$H$16&lt;='Bonding Program'!$C$8,CP$3=IF('Bonding Program'!$P$16&lt;&gt;"",'Bonding Program'!$P$16,'Bonding Program'!$C$8)),'Bonding Program'!$Z$16,0)+IF(AND('Bonding Program'!$P$16&lt;&gt;"",CP$3='Bonding Program'!$P$16,CP$3&lt;='Bonding Program'!$C$8),N('Bonding Program'!$O$16),0)</f>
        <v>0</v>
      </c>
      <c r="CQ157" s="19" t="n">
        <f aca="false">IF(AND('Bonding Program'!$S$16=1,'Bonding Program'!$H$16&gt;'Bonding Program'!$C$8,CQ$3='Bonding Program'!$H$16),'Bonding Program'!$T$16-'Bonding Program'!$U$16-'Bonding Program'!$Z$16,0)-IF(AND('Bonding Program'!$S$16=1,'Bonding Program'!$H$16&lt;='Bonding Program'!$C$8,CQ$3=IF('Bonding Program'!$P$16&lt;&gt;"",'Bonding Program'!$P$16,'Bonding Program'!$C$8)),'Bonding Program'!$Z$16,0)+IF(AND('Bonding Program'!$P$16&lt;&gt;"",CQ$3='Bonding Program'!$P$16,CQ$3&lt;='Bonding Program'!$C$8),N('Bonding Program'!$O$16),0)</f>
        <v>0</v>
      </c>
      <c r="CR157" s="19" t="n">
        <f aca="false">IF(AND('Bonding Program'!$S$16=1,'Bonding Program'!$H$16&gt;'Bonding Program'!$C$8,CR$3='Bonding Program'!$H$16),'Bonding Program'!$T$16-'Bonding Program'!$U$16-'Bonding Program'!$Z$16,0)-IF(AND('Bonding Program'!$S$16=1,'Bonding Program'!$H$16&lt;='Bonding Program'!$C$8,CR$3=IF('Bonding Program'!$P$16&lt;&gt;"",'Bonding Program'!$P$16,'Bonding Program'!$C$8)),'Bonding Program'!$Z$16,0)+IF(AND('Bonding Program'!$P$16&lt;&gt;"",CR$3='Bonding Program'!$P$16,CR$3&lt;='Bonding Program'!$C$8),N('Bonding Program'!$O$16),0)</f>
        <v>0</v>
      </c>
      <c r="CS157" s="19" t="n">
        <f aca="false">IF(AND('Bonding Program'!$S$16=1,'Bonding Program'!$H$16&gt;'Bonding Program'!$C$8,CS$3='Bonding Program'!$H$16),'Bonding Program'!$T$16-'Bonding Program'!$U$16-'Bonding Program'!$Z$16,0)-IF(AND('Bonding Program'!$S$16=1,'Bonding Program'!$H$16&lt;='Bonding Program'!$C$8,CS$3=IF('Bonding Program'!$P$16&lt;&gt;"",'Bonding Program'!$P$16,'Bonding Program'!$C$8)),'Bonding Program'!$Z$16,0)+IF(AND('Bonding Program'!$P$16&lt;&gt;"",CS$3='Bonding Program'!$P$16,CS$3&lt;='Bonding Program'!$C$8),N('Bonding Program'!$O$16),0)</f>
        <v>0</v>
      </c>
      <c r="CT157" s="19" t="n">
        <f aca="false">IF(AND('Bonding Program'!$S$16=1,'Bonding Program'!$H$16&gt;'Bonding Program'!$C$8,CT$3='Bonding Program'!$H$16),'Bonding Program'!$T$16-'Bonding Program'!$U$16-'Bonding Program'!$Z$16,0)-IF(AND('Bonding Program'!$S$16=1,'Bonding Program'!$H$16&lt;='Bonding Program'!$C$8,CT$3=IF('Bonding Program'!$P$16&lt;&gt;"",'Bonding Program'!$P$16,'Bonding Program'!$C$8)),'Bonding Program'!$Z$16,0)+IF(AND('Bonding Program'!$P$16&lt;&gt;"",CT$3='Bonding Program'!$P$16,CT$3&lt;='Bonding Program'!$C$8),N('Bonding Program'!$O$16),0)</f>
        <v>0</v>
      </c>
      <c r="CU157" s="19" t="n">
        <f aca="false">IF(AND('Bonding Program'!$S$16=1,'Bonding Program'!$H$16&gt;'Bonding Program'!$C$8,CU$3='Bonding Program'!$H$16),'Bonding Program'!$T$16-'Bonding Program'!$U$16-'Bonding Program'!$Z$16,0)-IF(AND('Bonding Program'!$S$16=1,'Bonding Program'!$H$16&lt;='Bonding Program'!$C$8,CU$3=IF('Bonding Program'!$P$16&lt;&gt;"",'Bonding Program'!$P$16,'Bonding Program'!$C$8)),'Bonding Program'!$Z$16,0)+IF(AND('Bonding Program'!$P$16&lt;&gt;"",CU$3='Bonding Program'!$P$16,CU$3&lt;='Bonding Program'!$C$8),N('Bonding Program'!$O$16),0)</f>
        <v>0</v>
      </c>
      <c r="CV157" s="19" t="n">
        <f aca="false">IF(AND('Bonding Program'!$S$16=1,'Bonding Program'!$H$16&gt;'Bonding Program'!$C$8,CV$3='Bonding Program'!$H$16),'Bonding Program'!$T$16-'Bonding Program'!$U$16-'Bonding Program'!$Z$16,0)-IF(AND('Bonding Program'!$S$16=1,'Bonding Program'!$H$16&lt;='Bonding Program'!$C$8,CV$3=IF('Bonding Program'!$P$16&lt;&gt;"",'Bonding Program'!$P$16,'Bonding Program'!$C$8)),'Bonding Program'!$Z$16,0)+IF(AND('Bonding Program'!$P$16&lt;&gt;"",CV$3='Bonding Program'!$P$16,CV$3&lt;='Bonding Program'!$C$8),N('Bonding Program'!$O$16),0)</f>
        <v>0</v>
      </c>
      <c r="CW157" s="19" t="n">
        <f aca="false">IF(AND('Bonding Program'!$S$16=1,'Bonding Program'!$H$16&gt;'Bonding Program'!$C$8,CW$3='Bonding Program'!$H$16),'Bonding Program'!$T$16-'Bonding Program'!$U$16-'Bonding Program'!$Z$16,0)-IF(AND('Bonding Program'!$S$16=1,'Bonding Program'!$H$16&lt;='Bonding Program'!$C$8,CW$3=IF('Bonding Program'!$P$16&lt;&gt;"",'Bonding Program'!$P$16,'Bonding Program'!$C$8)),'Bonding Program'!$Z$16,0)+IF(AND('Bonding Program'!$P$16&lt;&gt;"",CW$3='Bonding Program'!$P$16,CW$3&lt;='Bonding Program'!$C$8),N('Bonding Program'!$O$16),0)</f>
        <v>0</v>
      </c>
      <c r="CX157" s="19" t="n">
        <f aca="false">IF(AND('Bonding Program'!$S$16=1,'Bonding Program'!$H$16&gt;'Bonding Program'!$C$8,CX$3='Bonding Program'!$H$16),'Bonding Program'!$T$16-'Bonding Program'!$U$16-'Bonding Program'!$Z$16,0)-IF(AND('Bonding Program'!$S$16=1,'Bonding Program'!$H$16&lt;='Bonding Program'!$C$8,CX$3=IF('Bonding Program'!$P$16&lt;&gt;"",'Bonding Program'!$P$16,'Bonding Program'!$C$8)),'Bonding Program'!$Z$16,0)+IF(AND('Bonding Program'!$P$16&lt;&gt;"",CX$3='Bonding Program'!$P$16,CX$3&lt;='Bonding Program'!$C$8),N('Bonding Program'!$O$16),0)</f>
        <v>0</v>
      </c>
      <c r="CY157" s="19" t="n">
        <f aca="false">IF(AND('Bonding Program'!$S$16=1,'Bonding Program'!$H$16&gt;'Bonding Program'!$C$8,CY$3='Bonding Program'!$H$16),'Bonding Program'!$T$16-'Bonding Program'!$U$16-'Bonding Program'!$Z$16,0)-IF(AND('Bonding Program'!$S$16=1,'Bonding Program'!$H$16&lt;='Bonding Program'!$C$8,CY$3=IF('Bonding Program'!$P$16&lt;&gt;"",'Bonding Program'!$P$16,'Bonding Program'!$C$8)),'Bonding Program'!$Z$16,0)+IF(AND('Bonding Program'!$P$16&lt;&gt;"",CY$3='Bonding Program'!$P$16,CY$3&lt;='Bonding Program'!$C$8),N('Bonding Program'!$O$16),0)</f>
        <v>0</v>
      </c>
      <c r="CZ157" s="19" t="n">
        <f aca="false">IF(AND('Bonding Program'!$S$16=1,'Bonding Program'!$H$16&gt;'Bonding Program'!$C$8,CZ$3='Bonding Program'!$H$16),'Bonding Program'!$T$16-'Bonding Program'!$U$16-'Bonding Program'!$Z$16,0)-IF(AND('Bonding Program'!$S$16=1,'Bonding Program'!$H$16&lt;='Bonding Program'!$C$8,CZ$3=IF('Bonding Program'!$P$16&lt;&gt;"",'Bonding Program'!$P$16,'Bonding Program'!$C$8)),'Bonding Program'!$Z$16,0)+IF(AND('Bonding Program'!$P$16&lt;&gt;"",CZ$3='Bonding Program'!$P$16,CZ$3&lt;='Bonding Program'!$C$8),N('Bonding Program'!$O$16),0)</f>
        <v>0</v>
      </c>
      <c r="DA157" s="19" t="n">
        <f aca="false">IF(AND('Bonding Program'!$S$16=1,'Bonding Program'!$H$16&gt;'Bonding Program'!$C$8,DA$3='Bonding Program'!$H$16),'Bonding Program'!$T$16-'Bonding Program'!$U$16-'Bonding Program'!$Z$16,0)-IF(AND('Bonding Program'!$S$16=1,'Bonding Program'!$H$16&lt;='Bonding Program'!$C$8,DA$3=IF('Bonding Program'!$P$16&lt;&gt;"",'Bonding Program'!$P$16,'Bonding Program'!$C$8)),'Bonding Program'!$Z$16,0)+IF(AND('Bonding Program'!$P$16&lt;&gt;"",DA$3='Bonding Program'!$P$16,DA$3&lt;='Bonding Program'!$C$8),N('Bonding Program'!$O$16),0)</f>
        <v>0</v>
      </c>
      <c r="DB157" s="19" t="n">
        <f aca="false">IF(AND('Bonding Program'!$S$16=1,'Bonding Program'!$H$16&gt;'Bonding Program'!$C$8,DB$3='Bonding Program'!$H$16),'Bonding Program'!$T$16-'Bonding Program'!$U$16-'Bonding Program'!$Z$16,0)-IF(AND('Bonding Program'!$S$16=1,'Bonding Program'!$H$16&lt;='Bonding Program'!$C$8,DB$3=IF('Bonding Program'!$P$16&lt;&gt;"",'Bonding Program'!$P$16,'Bonding Program'!$C$8)),'Bonding Program'!$Z$16,0)+IF(AND('Bonding Program'!$P$16&lt;&gt;"",DB$3='Bonding Program'!$P$16,DB$3&lt;='Bonding Program'!$C$8),N('Bonding Program'!$O$16),0)</f>
        <v>0</v>
      </c>
      <c r="DC157" s="19" t="n">
        <f aca="false">IF(AND('Bonding Program'!$S$16=1,'Bonding Program'!$H$16&gt;'Bonding Program'!$C$8,DC$3='Bonding Program'!$H$16),'Bonding Program'!$T$16-'Bonding Program'!$U$16-'Bonding Program'!$Z$16,0)-IF(AND('Bonding Program'!$S$16=1,'Bonding Program'!$H$16&lt;='Bonding Program'!$C$8,DC$3=IF('Bonding Program'!$P$16&lt;&gt;"",'Bonding Program'!$P$16,'Bonding Program'!$C$8)),'Bonding Program'!$Z$16,0)+IF(AND('Bonding Program'!$P$16&lt;&gt;"",DC$3='Bonding Program'!$P$16,DC$3&lt;='Bonding Program'!$C$8),N('Bonding Program'!$O$16),0)</f>
        <v>0</v>
      </c>
      <c r="DD157" s="19" t="n">
        <f aca="false">IF(AND('Bonding Program'!$S$16=1,'Bonding Program'!$H$16&gt;'Bonding Program'!$C$8,DD$3='Bonding Program'!$H$16),'Bonding Program'!$T$16-'Bonding Program'!$U$16-'Bonding Program'!$Z$16,0)-IF(AND('Bonding Program'!$S$16=1,'Bonding Program'!$H$16&lt;='Bonding Program'!$C$8,DD$3=IF('Bonding Program'!$P$16&lt;&gt;"",'Bonding Program'!$P$16,'Bonding Program'!$C$8)),'Bonding Program'!$Z$16,0)+IF(AND('Bonding Program'!$P$16&lt;&gt;"",DD$3='Bonding Program'!$P$16,DD$3&lt;='Bonding Program'!$C$8),N('Bonding Program'!$O$16),0)</f>
        <v>0</v>
      </c>
      <c r="DE157" s="19" t="n">
        <f aca="false">IF(AND('Bonding Program'!$S$16=1,'Bonding Program'!$H$16&gt;'Bonding Program'!$C$8,DE$3='Bonding Program'!$H$16),'Bonding Program'!$T$16-'Bonding Program'!$U$16-'Bonding Program'!$Z$16,0)-IF(AND('Bonding Program'!$S$16=1,'Bonding Program'!$H$16&lt;='Bonding Program'!$C$8,DE$3=IF('Bonding Program'!$P$16&lt;&gt;"",'Bonding Program'!$P$16,'Bonding Program'!$C$8)),'Bonding Program'!$Z$16,0)+IF(AND('Bonding Program'!$P$16&lt;&gt;"",DE$3='Bonding Program'!$P$16,DE$3&lt;='Bonding Program'!$C$8),N('Bonding Program'!$O$16),0)</f>
        <v>0</v>
      </c>
    </row>
    <row r="158" customFormat="false" ht="15" hidden="false" customHeight="true" outlineLevel="1" collapsed="false">
      <c r="A158" s="28" t="s">
        <v>13</v>
      </c>
      <c r="B158" s="19" t="n">
        <f aca="false">IF(AND('Bonding Program'!$S$17=1,'Bonding Program'!$H$17&gt;'Bonding Program'!$C$8,B$3='Bonding Program'!$H$17),'Bonding Program'!$T$17-'Bonding Program'!$U$17-'Bonding Program'!$Z$17,0)-IF(AND('Bonding Program'!$S$17=1,'Bonding Program'!$H$17&lt;='Bonding Program'!$C$8,B$3=IF('Bonding Program'!$P$17&lt;&gt;"",'Bonding Program'!$P$17,'Bonding Program'!$C$8)),'Bonding Program'!$Z$17,0)+IF(AND('Bonding Program'!$P$17&lt;&gt;"",B$3='Bonding Program'!$P$17,B$3&lt;='Bonding Program'!$C$8),N('Bonding Program'!$O$17),0)</f>
        <v>0</v>
      </c>
      <c r="C158" s="19" t="n">
        <f aca="false">IF(AND('Bonding Program'!$S$17=1,'Bonding Program'!$H$17&gt;'Bonding Program'!$C$8,C$3='Bonding Program'!$H$17),'Bonding Program'!$T$17-'Bonding Program'!$U$17-'Bonding Program'!$Z$17,0)-IF(AND('Bonding Program'!$S$17=1,'Bonding Program'!$H$17&lt;='Bonding Program'!$C$8,C$3=IF('Bonding Program'!$P$17&lt;&gt;"",'Bonding Program'!$P$17,'Bonding Program'!$C$8)),'Bonding Program'!$Z$17,0)+IF(AND('Bonding Program'!$P$17&lt;&gt;"",C$3='Bonding Program'!$P$17,C$3&lt;='Bonding Program'!$C$8),N('Bonding Program'!$O$17),0)</f>
        <v>0</v>
      </c>
      <c r="D158" s="19" t="n">
        <f aca="false">IF(AND('Bonding Program'!$S$17=1,'Bonding Program'!$H$17&gt;'Bonding Program'!$C$8,D$3='Bonding Program'!$H$17),'Bonding Program'!$T$17-'Bonding Program'!$U$17-'Bonding Program'!$Z$17,0)-IF(AND('Bonding Program'!$S$17=1,'Bonding Program'!$H$17&lt;='Bonding Program'!$C$8,D$3=IF('Bonding Program'!$P$17&lt;&gt;"",'Bonding Program'!$P$17,'Bonding Program'!$C$8)),'Bonding Program'!$Z$17,0)+IF(AND('Bonding Program'!$P$17&lt;&gt;"",D$3='Bonding Program'!$P$17,D$3&lt;='Bonding Program'!$C$8),N('Bonding Program'!$O$17),0)</f>
        <v>0</v>
      </c>
      <c r="E158" s="19" t="n">
        <f aca="false">IF(AND('Bonding Program'!$S$17=1,'Bonding Program'!$H$17&gt;'Bonding Program'!$C$8,E$3='Bonding Program'!$H$17),'Bonding Program'!$T$17-'Bonding Program'!$U$17-'Bonding Program'!$Z$17,0)-IF(AND('Bonding Program'!$S$17=1,'Bonding Program'!$H$17&lt;='Bonding Program'!$C$8,E$3=IF('Bonding Program'!$P$17&lt;&gt;"",'Bonding Program'!$P$17,'Bonding Program'!$C$8)),'Bonding Program'!$Z$17,0)+IF(AND('Bonding Program'!$P$17&lt;&gt;"",E$3='Bonding Program'!$P$17,E$3&lt;='Bonding Program'!$C$8),N('Bonding Program'!$O$17),0)</f>
        <v>0</v>
      </c>
      <c r="F158" s="19" t="n">
        <f aca="false">IF(AND('Bonding Program'!$S$17=1,'Bonding Program'!$H$17&gt;'Bonding Program'!$C$8,F$3='Bonding Program'!$H$17),'Bonding Program'!$T$17-'Bonding Program'!$U$17-'Bonding Program'!$Z$17,0)-IF(AND('Bonding Program'!$S$17=1,'Bonding Program'!$H$17&lt;='Bonding Program'!$C$8,F$3=IF('Bonding Program'!$P$17&lt;&gt;"",'Bonding Program'!$P$17,'Bonding Program'!$C$8)),'Bonding Program'!$Z$17,0)+IF(AND('Bonding Program'!$P$17&lt;&gt;"",F$3='Bonding Program'!$P$17,F$3&lt;='Bonding Program'!$C$8),N('Bonding Program'!$O$17),0)</f>
        <v>0</v>
      </c>
      <c r="G158" s="19" t="n">
        <f aca="false">IF(AND('Bonding Program'!$S$17=1,'Bonding Program'!$H$17&gt;'Bonding Program'!$C$8,G$3='Bonding Program'!$H$17),'Bonding Program'!$T$17-'Bonding Program'!$U$17-'Bonding Program'!$Z$17,0)-IF(AND('Bonding Program'!$S$17=1,'Bonding Program'!$H$17&lt;='Bonding Program'!$C$8,G$3=IF('Bonding Program'!$P$17&lt;&gt;"",'Bonding Program'!$P$17,'Bonding Program'!$C$8)),'Bonding Program'!$Z$17,0)+IF(AND('Bonding Program'!$P$17&lt;&gt;"",G$3='Bonding Program'!$P$17,G$3&lt;='Bonding Program'!$C$8),N('Bonding Program'!$O$17),0)</f>
        <v>0</v>
      </c>
      <c r="H158" s="19" t="n">
        <f aca="false">IF(AND('Bonding Program'!$S$17=1,'Bonding Program'!$H$17&gt;'Bonding Program'!$C$8,H$3='Bonding Program'!$H$17),'Bonding Program'!$T$17-'Bonding Program'!$U$17-'Bonding Program'!$Z$17,0)-IF(AND('Bonding Program'!$S$17=1,'Bonding Program'!$H$17&lt;='Bonding Program'!$C$8,H$3=IF('Bonding Program'!$P$17&lt;&gt;"",'Bonding Program'!$P$17,'Bonding Program'!$C$8)),'Bonding Program'!$Z$17,0)+IF(AND('Bonding Program'!$P$17&lt;&gt;"",H$3='Bonding Program'!$P$17,H$3&lt;='Bonding Program'!$C$8),N('Bonding Program'!$O$17),0)</f>
        <v>0</v>
      </c>
      <c r="I158" s="19" t="n">
        <f aca="false">IF(AND('Bonding Program'!$S$17=1,'Bonding Program'!$H$17&gt;'Bonding Program'!$C$8,I$3='Bonding Program'!$H$17),'Bonding Program'!$T$17-'Bonding Program'!$U$17-'Bonding Program'!$Z$17,0)-IF(AND('Bonding Program'!$S$17=1,'Bonding Program'!$H$17&lt;='Bonding Program'!$C$8,I$3=IF('Bonding Program'!$P$17&lt;&gt;"",'Bonding Program'!$P$17,'Bonding Program'!$C$8)),'Bonding Program'!$Z$17,0)+IF(AND('Bonding Program'!$P$17&lt;&gt;"",I$3='Bonding Program'!$P$17,I$3&lt;='Bonding Program'!$C$8),N('Bonding Program'!$O$17),0)</f>
        <v>-327263.721625</v>
      </c>
      <c r="J158" s="19" t="n">
        <f aca="false">IF(AND('Bonding Program'!$S$17=1,'Bonding Program'!$H$17&gt;'Bonding Program'!$C$8,J$3='Bonding Program'!$H$17),'Bonding Program'!$T$17-'Bonding Program'!$U$17-'Bonding Program'!$Z$17,0)-IF(AND('Bonding Program'!$S$17=1,'Bonding Program'!$H$17&lt;='Bonding Program'!$C$8,J$3=IF('Bonding Program'!$P$17&lt;&gt;"",'Bonding Program'!$P$17,'Bonding Program'!$C$8)),'Bonding Program'!$Z$17,0)+IF(AND('Bonding Program'!$P$17&lt;&gt;"",J$3='Bonding Program'!$P$17,J$3&lt;='Bonding Program'!$C$8),N('Bonding Program'!$O$17),0)</f>
        <v>0</v>
      </c>
      <c r="K158" s="19" t="n">
        <f aca="false">IF(AND('Bonding Program'!$S$17=1,'Bonding Program'!$H$17&gt;'Bonding Program'!$C$8,K$3='Bonding Program'!$H$17),'Bonding Program'!$T$17-'Bonding Program'!$U$17-'Bonding Program'!$Z$17,0)-IF(AND('Bonding Program'!$S$17=1,'Bonding Program'!$H$17&lt;='Bonding Program'!$C$8,K$3=IF('Bonding Program'!$P$17&lt;&gt;"",'Bonding Program'!$P$17,'Bonding Program'!$C$8)),'Bonding Program'!$Z$17,0)+IF(AND('Bonding Program'!$P$17&lt;&gt;"",K$3='Bonding Program'!$P$17,K$3&lt;='Bonding Program'!$C$8),N('Bonding Program'!$O$17),0)</f>
        <v>0</v>
      </c>
      <c r="L158" s="19" t="n">
        <f aca="false">IF(AND('Bonding Program'!$S$17=1,'Bonding Program'!$H$17&gt;'Bonding Program'!$C$8,L$3='Bonding Program'!$H$17),'Bonding Program'!$T$17-'Bonding Program'!$U$17-'Bonding Program'!$Z$17,0)-IF(AND('Bonding Program'!$S$17=1,'Bonding Program'!$H$17&lt;='Bonding Program'!$C$8,L$3=IF('Bonding Program'!$P$17&lt;&gt;"",'Bonding Program'!$P$17,'Bonding Program'!$C$8)),'Bonding Program'!$Z$17,0)+IF(AND('Bonding Program'!$P$17&lt;&gt;"",L$3='Bonding Program'!$P$17,L$3&lt;='Bonding Program'!$C$8),N('Bonding Program'!$O$17),0)</f>
        <v>0</v>
      </c>
      <c r="M158" s="19" t="n">
        <f aca="false">IF(AND('Bonding Program'!$S$17=1,'Bonding Program'!$H$17&gt;'Bonding Program'!$C$8,M$3='Bonding Program'!$H$17),'Bonding Program'!$T$17-'Bonding Program'!$U$17-'Bonding Program'!$Z$17,0)-IF(AND('Bonding Program'!$S$17=1,'Bonding Program'!$H$17&lt;='Bonding Program'!$C$8,M$3=IF('Bonding Program'!$P$17&lt;&gt;"",'Bonding Program'!$P$17,'Bonding Program'!$C$8)),'Bonding Program'!$Z$17,0)+IF(AND('Bonding Program'!$P$17&lt;&gt;"",M$3='Bonding Program'!$P$17,M$3&lt;='Bonding Program'!$C$8),N('Bonding Program'!$O$17),0)</f>
        <v>0</v>
      </c>
      <c r="N158" s="19" t="n">
        <f aca="false">IF(AND('Bonding Program'!$S$17=1,'Bonding Program'!$H$17&gt;'Bonding Program'!$C$8,N$3='Bonding Program'!$H$17),'Bonding Program'!$T$17-'Bonding Program'!$U$17-'Bonding Program'!$Z$17,0)-IF(AND('Bonding Program'!$S$17=1,'Bonding Program'!$H$17&lt;='Bonding Program'!$C$8,N$3=IF('Bonding Program'!$P$17&lt;&gt;"",'Bonding Program'!$P$17,'Bonding Program'!$C$8)),'Bonding Program'!$Z$17,0)+IF(AND('Bonding Program'!$P$17&lt;&gt;"",N$3='Bonding Program'!$P$17,N$3&lt;='Bonding Program'!$C$8),N('Bonding Program'!$O$17),0)</f>
        <v>0</v>
      </c>
      <c r="O158" s="19" t="n">
        <f aca="false">IF(AND('Bonding Program'!$S$17=1,'Bonding Program'!$H$17&gt;'Bonding Program'!$C$8,O$3='Bonding Program'!$H$17),'Bonding Program'!$T$17-'Bonding Program'!$U$17-'Bonding Program'!$Z$17,0)-IF(AND('Bonding Program'!$S$17=1,'Bonding Program'!$H$17&lt;='Bonding Program'!$C$8,O$3=IF('Bonding Program'!$P$17&lt;&gt;"",'Bonding Program'!$P$17,'Bonding Program'!$C$8)),'Bonding Program'!$Z$17,0)+IF(AND('Bonding Program'!$P$17&lt;&gt;"",O$3='Bonding Program'!$P$17,O$3&lt;='Bonding Program'!$C$8),N('Bonding Program'!$O$17),0)</f>
        <v>0</v>
      </c>
      <c r="P158" s="19" t="n">
        <f aca="false">IF(AND('Bonding Program'!$S$17=1,'Bonding Program'!$H$17&gt;'Bonding Program'!$C$8,P$3='Bonding Program'!$H$17),'Bonding Program'!$T$17-'Bonding Program'!$U$17-'Bonding Program'!$Z$17,0)-IF(AND('Bonding Program'!$S$17=1,'Bonding Program'!$H$17&lt;='Bonding Program'!$C$8,P$3=IF('Bonding Program'!$P$17&lt;&gt;"",'Bonding Program'!$P$17,'Bonding Program'!$C$8)),'Bonding Program'!$Z$17,0)+IF(AND('Bonding Program'!$P$17&lt;&gt;"",P$3='Bonding Program'!$P$17,P$3&lt;='Bonding Program'!$C$8),N('Bonding Program'!$O$17),0)</f>
        <v>0</v>
      </c>
      <c r="Q158" s="19" t="n">
        <f aca="false">IF(AND('Bonding Program'!$S$17=1,'Bonding Program'!$H$17&gt;'Bonding Program'!$C$8,Q$3='Bonding Program'!$H$17),'Bonding Program'!$T$17-'Bonding Program'!$U$17-'Bonding Program'!$Z$17,0)-IF(AND('Bonding Program'!$S$17=1,'Bonding Program'!$H$17&lt;='Bonding Program'!$C$8,Q$3=IF('Bonding Program'!$P$17&lt;&gt;"",'Bonding Program'!$P$17,'Bonding Program'!$C$8)),'Bonding Program'!$Z$17,0)+IF(AND('Bonding Program'!$P$17&lt;&gt;"",Q$3='Bonding Program'!$P$17,Q$3&lt;='Bonding Program'!$C$8),N('Bonding Program'!$O$17),0)</f>
        <v>0</v>
      </c>
      <c r="R158" s="19" t="n">
        <f aca="false">IF(AND('Bonding Program'!$S$17=1,'Bonding Program'!$H$17&gt;'Bonding Program'!$C$8,R$3='Bonding Program'!$H$17),'Bonding Program'!$T$17-'Bonding Program'!$U$17-'Bonding Program'!$Z$17,0)-IF(AND('Bonding Program'!$S$17=1,'Bonding Program'!$H$17&lt;='Bonding Program'!$C$8,R$3=IF('Bonding Program'!$P$17&lt;&gt;"",'Bonding Program'!$P$17,'Bonding Program'!$C$8)),'Bonding Program'!$Z$17,0)+IF(AND('Bonding Program'!$P$17&lt;&gt;"",R$3='Bonding Program'!$P$17,R$3&lt;='Bonding Program'!$C$8),N('Bonding Program'!$O$17),0)</f>
        <v>0</v>
      </c>
      <c r="S158" s="19" t="n">
        <f aca="false">IF(AND('Bonding Program'!$S$17=1,'Bonding Program'!$H$17&gt;'Bonding Program'!$C$8,S$3='Bonding Program'!$H$17),'Bonding Program'!$T$17-'Bonding Program'!$U$17-'Bonding Program'!$Z$17,0)-IF(AND('Bonding Program'!$S$17=1,'Bonding Program'!$H$17&lt;='Bonding Program'!$C$8,S$3=IF('Bonding Program'!$P$17&lt;&gt;"",'Bonding Program'!$P$17,'Bonding Program'!$C$8)),'Bonding Program'!$Z$17,0)+IF(AND('Bonding Program'!$P$17&lt;&gt;"",S$3='Bonding Program'!$P$17,S$3&lt;='Bonding Program'!$C$8),N('Bonding Program'!$O$17),0)</f>
        <v>0</v>
      </c>
      <c r="T158" s="19" t="n">
        <f aca="false">IF(AND('Bonding Program'!$S$17=1,'Bonding Program'!$H$17&gt;'Bonding Program'!$C$8,T$3='Bonding Program'!$H$17),'Bonding Program'!$T$17-'Bonding Program'!$U$17-'Bonding Program'!$Z$17,0)-IF(AND('Bonding Program'!$S$17=1,'Bonding Program'!$H$17&lt;='Bonding Program'!$C$8,T$3=IF('Bonding Program'!$P$17&lt;&gt;"",'Bonding Program'!$P$17,'Bonding Program'!$C$8)),'Bonding Program'!$Z$17,0)+IF(AND('Bonding Program'!$P$17&lt;&gt;"",T$3='Bonding Program'!$P$17,T$3&lt;='Bonding Program'!$C$8),N('Bonding Program'!$O$17),0)</f>
        <v>0</v>
      </c>
      <c r="U158" s="19" t="n">
        <f aca="false">IF(AND('Bonding Program'!$S$17=1,'Bonding Program'!$H$17&gt;'Bonding Program'!$C$8,U$3='Bonding Program'!$H$17),'Bonding Program'!$T$17-'Bonding Program'!$U$17-'Bonding Program'!$Z$17,0)-IF(AND('Bonding Program'!$S$17=1,'Bonding Program'!$H$17&lt;='Bonding Program'!$C$8,U$3=IF('Bonding Program'!$P$17&lt;&gt;"",'Bonding Program'!$P$17,'Bonding Program'!$C$8)),'Bonding Program'!$Z$17,0)+IF(AND('Bonding Program'!$P$17&lt;&gt;"",U$3='Bonding Program'!$P$17,U$3&lt;='Bonding Program'!$C$8),N('Bonding Program'!$O$17),0)</f>
        <v>0</v>
      </c>
      <c r="V158" s="19" t="n">
        <f aca="false">IF(AND('Bonding Program'!$S$17=1,'Bonding Program'!$H$17&gt;'Bonding Program'!$C$8,V$3='Bonding Program'!$H$17),'Bonding Program'!$T$17-'Bonding Program'!$U$17-'Bonding Program'!$Z$17,0)-IF(AND('Bonding Program'!$S$17=1,'Bonding Program'!$H$17&lt;='Bonding Program'!$C$8,V$3=IF('Bonding Program'!$P$17&lt;&gt;"",'Bonding Program'!$P$17,'Bonding Program'!$C$8)),'Bonding Program'!$Z$17,0)+IF(AND('Bonding Program'!$P$17&lt;&gt;"",V$3='Bonding Program'!$P$17,V$3&lt;='Bonding Program'!$C$8),N('Bonding Program'!$O$17),0)</f>
        <v>0</v>
      </c>
      <c r="W158" s="19" t="n">
        <f aca="false">IF(AND('Bonding Program'!$S$17=1,'Bonding Program'!$H$17&gt;'Bonding Program'!$C$8,W$3='Bonding Program'!$H$17),'Bonding Program'!$T$17-'Bonding Program'!$U$17-'Bonding Program'!$Z$17,0)-IF(AND('Bonding Program'!$S$17=1,'Bonding Program'!$H$17&lt;='Bonding Program'!$C$8,W$3=IF('Bonding Program'!$P$17&lt;&gt;"",'Bonding Program'!$P$17,'Bonding Program'!$C$8)),'Bonding Program'!$Z$17,0)+IF(AND('Bonding Program'!$P$17&lt;&gt;"",W$3='Bonding Program'!$P$17,W$3&lt;='Bonding Program'!$C$8),N('Bonding Program'!$O$17),0)</f>
        <v>0</v>
      </c>
      <c r="X158" s="19" t="n">
        <f aca="false">IF(AND('Bonding Program'!$S$17=1,'Bonding Program'!$H$17&gt;'Bonding Program'!$C$8,X$3='Bonding Program'!$H$17),'Bonding Program'!$T$17-'Bonding Program'!$U$17-'Bonding Program'!$Z$17,0)-IF(AND('Bonding Program'!$S$17=1,'Bonding Program'!$H$17&lt;='Bonding Program'!$C$8,X$3=IF('Bonding Program'!$P$17&lt;&gt;"",'Bonding Program'!$P$17,'Bonding Program'!$C$8)),'Bonding Program'!$Z$17,0)+IF(AND('Bonding Program'!$P$17&lt;&gt;"",X$3='Bonding Program'!$P$17,X$3&lt;='Bonding Program'!$C$8),N('Bonding Program'!$O$17),0)</f>
        <v>0</v>
      </c>
      <c r="Y158" s="19" t="n">
        <f aca="false">IF(AND('Bonding Program'!$S$17=1,'Bonding Program'!$H$17&gt;'Bonding Program'!$C$8,Y$3='Bonding Program'!$H$17),'Bonding Program'!$T$17-'Bonding Program'!$U$17-'Bonding Program'!$Z$17,0)-IF(AND('Bonding Program'!$S$17=1,'Bonding Program'!$H$17&lt;='Bonding Program'!$C$8,Y$3=IF('Bonding Program'!$P$17&lt;&gt;"",'Bonding Program'!$P$17,'Bonding Program'!$C$8)),'Bonding Program'!$Z$17,0)+IF(AND('Bonding Program'!$P$17&lt;&gt;"",Y$3='Bonding Program'!$P$17,Y$3&lt;='Bonding Program'!$C$8),N('Bonding Program'!$O$17),0)</f>
        <v>0</v>
      </c>
      <c r="Z158" s="19" t="n">
        <f aca="false">IF(AND('Bonding Program'!$S$17=1,'Bonding Program'!$H$17&gt;'Bonding Program'!$C$8,Z$3='Bonding Program'!$H$17),'Bonding Program'!$T$17-'Bonding Program'!$U$17-'Bonding Program'!$Z$17,0)-IF(AND('Bonding Program'!$S$17=1,'Bonding Program'!$H$17&lt;='Bonding Program'!$C$8,Z$3=IF('Bonding Program'!$P$17&lt;&gt;"",'Bonding Program'!$P$17,'Bonding Program'!$C$8)),'Bonding Program'!$Z$17,0)+IF(AND('Bonding Program'!$P$17&lt;&gt;"",Z$3='Bonding Program'!$P$17,Z$3&lt;='Bonding Program'!$C$8),N('Bonding Program'!$O$17),0)</f>
        <v>0</v>
      </c>
      <c r="AA158" s="19" t="n">
        <f aca="false">IF(AND('Bonding Program'!$S$17=1,'Bonding Program'!$H$17&gt;'Bonding Program'!$C$8,AA$3='Bonding Program'!$H$17),'Bonding Program'!$T$17-'Bonding Program'!$U$17-'Bonding Program'!$Z$17,0)-IF(AND('Bonding Program'!$S$17=1,'Bonding Program'!$H$17&lt;='Bonding Program'!$C$8,AA$3=IF('Bonding Program'!$P$17&lt;&gt;"",'Bonding Program'!$P$17,'Bonding Program'!$C$8)),'Bonding Program'!$Z$17,0)+IF(AND('Bonding Program'!$P$17&lt;&gt;"",AA$3='Bonding Program'!$P$17,AA$3&lt;='Bonding Program'!$C$8),N('Bonding Program'!$O$17),0)</f>
        <v>0</v>
      </c>
      <c r="AB158" s="19" t="n">
        <f aca="false">IF(AND('Bonding Program'!$S$17=1,'Bonding Program'!$H$17&gt;'Bonding Program'!$C$8,AB$3='Bonding Program'!$H$17),'Bonding Program'!$T$17-'Bonding Program'!$U$17-'Bonding Program'!$Z$17,0)-IF(AND('Bonding Program'!$S$17=1,'Bonding Program'!$H$17&lt;='Bonding Program'!$C$8,AB$3=IF('Bonding Program'!$P$17&lt;&gt;"",'Bonding Program'!$P$17,'Bonding Program'!$C$8)),'Bonding Program'!$Z$17,0)+IF(AND('Bonding Program'!$P$17&lt;&gt;"",AB$3='Bonding Program'!$P$17,AB$3&lt;='Bonding Program'!$C$8),N('Bonding Program'!$O$17),0)</f>
        <v>0</v>
      </c>
      <c r="AC158" s="19" t="n">
        <f aca="false">IF(AND('Bonding Program'!$S$17=1,'Bonding Program'!$H$17&gt;'Bonding Program'!$C$8,AC$3='Bonding Program'!$H$17),'Bonding Program'!$T$17-'Bonding Program'!$U$17-'Bonding Program'!$Z$17,0)-IF(AND('Bonding Program'!$S$17=1,'Bonding Program'!$H$17&lt;='Bonding Program'!$C$8,AC$3=IF('Bonding Program'!$P$17&lt;&gt;"",'Bonding Program'!$P$17,'Bonding Program'!$C$8)),'Bonding Program'!$Z$17,0)+IF(AND('Bonding Program'!$P$17&lt;&gt;"",AC$3='Bonding Program'!$P$17,AC$3&lt;='Bonding Program'!$C$8),N('Bonding Program'!$O$17),0)</f>
        <v>0</v>
      </c>
      <c r="AD158" s="19" t="n">
        <f aca="false">IF(AND('Bonding Program'!$S$17=1,'Bonding Program'!$H$17&gt;'Bonding Program'!$C$8,AD$3='Bonding Program'!$H$17),'Bonding Program'!$T$17-'Bonding Program'!$U$17-'Bonding Program'!$Z$17,0)-IF(AND('Bonding Program'!$S$17=1,'Bonding Program'!$H$17&lt;='Bonding Program'!$C$8,AD$3=IF('Bonding Program'!$P$17&lt;&gt;"",'Bonding Program'!$P$17,'Bonding Program'!$C$8)),'Bonding Program'!$Z$17,0)+IF(AND('Bonding Program'!$P$17&lt;&gt;"",AD$3='Bonding Program'!$P$17,AD$3&lt;='Bonding Program'!$C$8),N('Bonding Program'!$O$17),0)</f>
        <v>0</v>
      </c>
      <c r="AE158" s="19" t="n">
        <f aca="false">IF(AND('Bonding Program'!$S$17=1,'Bonding Program'!$H$17&gt;'Bonding Program'!$C$8,AE$3='Bonding Program'!$H$17),'Bonding Program'!$T$17-'Bonding Program'!$U$17-'Bonding Program'!$Z$17,0)-IF(AND('Bonding Program'!$S$17=1,'Bonding Program'!$H$17&lt;='Bonding Program'!$C$8,AE$3=IF('Bonding Program'!$P$17&lt;&gt;"",'Bonding Program'!$P$17,'Bonding Program'!$C$8)),'Bonding Program'!$Z$17,0)+IF(AND('Bonding Program'!$P$17&lt;&gt;"",AE$3='Bonding Program'!$P$17,AE$3&lt;='Bonding Program'!$C$8),N('Bonding Program'!$O$17),0)</f>
        <v>0</v>
      </c>
      <c r="AF158" s="19" t="n">
        <f aca="false">IF(AND('Bonding Program'!$S$17=1,'Bonding Program'!$H$17&gt;'Bonding Program'!$C$8,AF$3='Bonding Program'!$H$17),'Bonding Program'!$T$17-'Bonding Program'!$U$17-'Bonding Program'!$Z$17,0)-IF(AND('Bonding Program'!$S$17=1,'Bonding Program'!$H$17&lt;='Bonding Program'!$C$8,AF$3=IF('Bonding Program'!$P$17&lt;&gt;"",'Bonding Program'!$P$17,'Bonding Program'!$C$8)),'Bonding Program'!$Z$17,0)+IF(AND('Bonding Program'!$P$17&lt;&gt;"",AF$3='Bonding Program'!$P$17,AF$3&lt;='Bonding Program'!$C$8),N('Bonding Program'!$O$17),0)</f>
        <v>0</v>
      </c>
      <c r="AG158" s="19" t="n">
        <f aca="false">IF(AND('Bonding Program'!$S$17=1,'Bonding Program'!$H$17&gt;'Bonding Program'!$C$8,AG$3='Bonding Program'!$H$17),'Bonding Program'!$T$17-'Bonding Program'!$U$17-'Bonding Program'!$Z$17,0)-IF(AND('Bonding Program'!$S$17=1,'Bonding Program'!$H$17&lt;='Bonding Program'!$C$8,AG$3=IF('Bonding Program'!$P$17&lt;&gt;"",'Bonding Program'!$P$17,'Bonding Program'!$C$8)),'Bonding Program'!$Z$17,0)+IF(AND('Bonding Program'!$P$17&lt;&gt;"",AG$3='Bonding Program'!$P$17,AG$3&lt;='Bonding Program'!$C$8),N('Bonding Program'!$O$17),0)</f>
        <v>0</v>
      </c>
      <c r="AH158" s="19" t="n">
        <f aca="false">IF(AND('Bonding Program'!$S$17=1,'Bonding Program'!$H$17&gt;'Bonding Program'!$C$8,AH$3='Bonding Program'!$H$17),'Bonding Program'!$T$17-'Bonding Program'!$U$17-'Bonding Program'!$Z$17,0)-IF(AND('Bonding Program'!$S$17=1,'Bonding Program'!$H$17&lt;='Bonding Program'!$C$8,AH$3=IF('Bonding Program'!$P$17&lt;&gt;"",'Bonding Program'!$P$17,'Bonding Program'!$C$8)),'Bonding Program'!$Z$17,0)+IF(AND('Bonding Program'!$P$17&lt;&gt;"",AH$3='Bonding Program'!$P$17,AH$3&lt;='Bonding Program'!$C$8),N('Bonding Program'!$O$17),0)</f>
        <v>0</v>
      </c>
      <c r="AI158" s="19" t="n">
        <f aca="false">IF(AND('Bonding Program'!$S$17=1,'Bonding Program'!$H$17&gt;'Bonding Program'!$C$8,AI$3='Bonding Program'!$H$17),'Bonding Program'!$T$17-'Bonding Program'!$U$17-'Bonding Program'!$Z$17,0)-IF(AND('Bonding Program'!$S$17=1,'Bonding Program'!$H$17&lt;='Bonding Program'!$C$8,AI$3=IF('Bonding Program'!$P$17&lt;&gt;"",'Bonding Program'!$P$17,'Bonding Program'!$C$8)),'Bonding Program'!$Z$17,0)+IF(AND('Bonding Program'!$P$17&lt;&gt;"",AI$3='Bonding Program'!$P$17,AI$3&lt;='Bonding Program'!$C$8),N('Bonding Program'!$O$17),0)</f>
        <v>0</v>
      </c>
      <c r="AJ158" s="19" t="n">
        <f aca="false">IF(AND('Bonding Program'!$S$17=1,'Bonding Program'!$H$17&gt;'Bonding Program'!$C$8,AJ$3='Bonding Program'!$H$17),'Bonding Program'!$T$17-'Bonding Program'!$U$17-'Bonding Program'!$Z$17,0)-IF(AND('Bonding Program'!$S$17=1,'Bonding Program'!$H$17&lt;='Bonding Program'!$C$8,AJ$3=IF('Bonding Program'!$P$17&lt;&gt;"",'Bonding Program'!$P$17,'Bonding Program'!$C$8)),'Bonding Program'!$Z$17,0)+IF(AND('Bonding Program'!$P$17&lt;&gt;"",AJ$3='Bonding Program'!$P$17,AJ$3&lt;='Bonding Program'!$C$8),N('Bonding Program'!$O$17),0)</f>
        <v>0</v>
      </c>
      <c r="AK158" s="19" t="n">
        <f aca="false">IF(AND('Bonding Program'!$S$17=1,'Bonding Program'!$H$17&gt;'Bonding Program'!$C$8,AK$3='Bonding Program'!$H$17),'Bonding Program'!$T$17-'Bonding Program'!$U$17-'Bonding Program'!$Z$17,0)-IF(AND('Bonding Program'!$S$17=1,'Bonding Program'!$H$17&lt;='Bonding Program'!$C$8,AK$3=IF('Bonding Program'!$P$17&lt;&gt;"",'Bonding Program'!$P$17,'Bonding Program'!$C$8)),'Bonding Program'!$Z$17,0)+IF(AND('Bonding Program'!$P$17&lt;&gt;"",AK$3='Bonding Program'!$P$17,AK$3&lt;='Bonding Program'!$C$8),N('Bonding Program'!$O$17),0)</f>
        <v>0</v>
      </c>
      <c r="AL158" s="19" t="n">
        <f aca="false">IF(AND('Bonding Program'!$S$17=1,'Bonding Program'!$H$17&gt;'Bonding Program'!$C$8,AL$3='Bonding Program'!$H$17),'Bonding Program'!$T$17-'Bonding Program'!$U$17-'Bonding Program'!$Z$17,0)-IF(AND('Bonding Program'!$S$17=1,'Bonding Program'!$H$17&lt;='Bonding Program'!$C$8,AL$3=IF('Bonding Program'!$P$17&lt;&gt;"",'Bonding Program'!$P$17,'Bonding Program'!$C$8)),'Bonding Program'!$Z$17,0)+IF(AND('Bonding Program'!$P$17&lt;&gt;"",AL$3='Bonding Program'!$P$17,AL$3&lt;='Bonding Program'!$C$8),N('Bonding Program'!$O$17),0)</f>
        <v>0</v>
      </c>
      <c r="AM158" s="19" t="n">
        <f aca="false">IF(AND('Bonding Program'!$S$17=1,'Bonding Program'!$H$17&gt;'Bonding Program'!$C$8,AM$3='Bonding Program'!$H$17),'Bonding Program'!$T$17-'Bonding Program'!$U$17-'Bonding Program'!$Z$17,0)-IF(AND('Bonding Program'!$S$17=1,'Bonding Program'!$H$17&lt;='Bonding Program'!$C$8,AM$3=IF('Bonding Program'!$P$17&lt;&gt;"",'Bonding Program'!$P$17,'Bonding Program'!$C$8)),'Bonding Program'!$Z$17,0)+IF(AND('Bonding Program'!$P$17&lt;&gt;"",AM$3='Bonding Program'!$P$17,AM$3&lt;='Bonding Program'!$C$8),N('Bonding Program'!$O$17),0)</f>
        <v>0</v>
      </c>
      <c r="AN158" s="19" t="n">
        <f aca="false">IF(AND('Bonding Program'!$S$17=1,'Bonding Program'!$H$17&gt;'Bonding Program'!$C$8,AN$3='Bonding Program'!$H$17),'Bonding Program'!$T$17-'Bonding Program'!$U$17-'Bonding Program'!$Z$17,0)-IF(AND('Bonding Program'!$S$17=1,'Bonding Program'!$H$17&lt;='Bonding Program'!$C$8,AN$3=IF('Bonding Program'!$P$17&lt;&gt;"",'Bonding Program'!$P$17,'Bonding Program'!$C$8)),'Bonding Program'!$Z$17,0)+IF(AND('Bonding Program'!$P$17&lt;&gt;"",AN$3='Bonding Program'!$P$17,AN$3&lt;='Bonding Program'!$C$8),N('Bonding Program'!$O$17),0)</f>
        <v>0</v>
      </c>
      <c r="AO158" s="19" t="n">
        <f aca="false">IF(AND('Bonding Program'!$S$17=1,'Bonding Program'!$H$17&gt;'Bonding Program'!$C$8,AO$3='Bonding Program'!$H$17),'Bonding Program'!$T$17-'Bonding Program'!$U$17-'Bonding Program'!$Z$17,0)-IF(AND('Bonding Program'!$S$17=1,'Bonding Program'!$H$17&lt;='Bonding Program'!$C$8,AO$3=IF('Bonding Program'!$P$17&lt;&gt;"",'Bonding Program'!$P$17,'Bonding Program'!$C$8)),'Bonding Program'!$Z$17,0)+IF(AND('Bonding Program'!$P$17&lt;&gt;"",AO$3='Bonding Program'!$P$17,AO$3&lt;='Bonding Program'!$C$8),N('Bonding Program'!$O$17),0)</f>
        <v>0</v>
      </c>
      <c r="AP158" s="19" t="n">
        <f aca="false">IF(AND('Bonding Program'!$S$17=1,'Bonding Program'!$H$17&gt;'Bonding Program'!$C$8,AP$3='Bonding Program'!$H$17),'Bonding Program'!$T$17-'Bonding Program'!$U$17-'Bonding Program'!$Z$17,0)-IF(AND('Bonding Program'!$S$17=1,'Bonding Program'!$H$17&lt;='Bonding Program'!$C$8,AP$3=IF('Bonding Program'!$P$17&lt;&gt;"",'Bonding Program'!$P$17,'Bonding Program'!$C$8)),'Bonding Program'!$Z$17,0)+IF(AND('Bonding Program'!$P$17&lt;&gt;"",AP$3='Bonding Program'!$P$17,AP$3&lt;='Bonding Program'!$C$8),N('Bonding Program'!$O$17),0)</f>
        <v>0</v>
      </c>
      <c r="AQ158" s="19" t="n">
        <f aca="false">IF(AND('Bonding Program'!$S$17=1,'Bonding Program'!$H$17&gt;'Bonding Program'!$C$8,AQ$3='Bonding Program'!$H$17),'Bonding Program'!$T$17-'Bonding Program'!$U$17-'Bonding Program'!$Z$17,0)-IF(AND('Bonding Program'!$S$17=1,'Bonding Program'!$H$17&lt;='Bonding Program'!$C$8,AQ$3=IF('Bonding Program'!$P$17&lt;&gt;"",'Bonding Program'!$P$17,'Bonding Program'!$C$8)),'Bonding Program'!$Z$17,0)+IF(AND('Bonding Program'!$P$17&lt;&gt;"",AQ$3='Bonding Program'!$P$17,AQ$3&lt;='Bonding Program'!$C$8),N('Bonding Program'!$O$17),0)</f>
        <v>0</v>
      </c>
      <c r="AR158" s="19" t="n">
        <f aca="false">IF(AND('Bonding Program'!$S$17=1,'Bonding Program'!$H$17&gt;'Bonding Program'!$C$8,AR$3='Bonding Program'!$H$17),'Bonding Program'!$T$17-'Bonding Program'!$U$17-'Bonding Program'!$Z$17,0)-IF(AND('Bonding Program'!$S$17=1,'Bonding Program'!$H$17&lt;='Bonding Program'!$C$8,AR$3=IF('Bonding Program'!$P$17&lt;&gt;"",'Bonding Program'!$P$17,'Bonding Program'!$C$8)),'Bonding Program'!$Z$17,0)+IF(AND('Bonding Program'!$P$17&lt;&gt;"",AR$3='Bonding Program'!$P$17,AR$3&lt;='Bonding Program'!$C$8),N('Bonding Program'!$O$17),0)</f>
        <v>0</v>
      </c>
      <c r="AS158" s="19" t="n">
        <f aca="false">IF(AND('Bonding Program'!$S$17=1,'Bonding Program'!$H$17&gt;'Bonding Program'!$C$8,AS$3='Bonding Program'!$H$17),'Bonding Program'!$T$17-'Bonding Program'!$U$17-'Bonding Program'!$Z$17,0)-IF(AND('Bonding Program'!$S$17=1,'Bonding Program'!$H$17&lt;='Bonding Program'!$C$8,AS$3=IF('Bonding Program'!$P$17&lt;&gt;"",'Bonding Program'!$P$17,'Bonding Program'!$C$8)),'Bonding Program'!$Z$17,0)+IF(AND('Bonding Program'!$P$17&lt;&gt;"",AS$3='Bonding Program'!$P$17,AS$3&lt;='Bonding Program'!$C$8),N('Bonding Program'!$O$17),0)</f>
        <v>0</v>
      </c>
      <c r="AT158" s="19" t="n">
        <f aca="false">IF(AND('Bonding Program'!$S$17=1,'Bonding Program'!$H$17&gt;'Bonding Program'!$C$8,AT$3='Bonding Program'!$H$17),'Bonding Program'!$T$17-'Bonding Program'!$U$17-'Bonding Program'!$Z$17,0)-IF(AND('Bonding Program'!$S$17=1,'Bonding Program'!$H$17&lt;='Bonding Program'!$C$8,AT$3=IF('Bonding Program'!$P$17&lt;&gt;"",'Bonding Program'!$P$17,'Bonding Program'!$C$8)),'Bonding Program'!$Z$17,0)+IF(AND('Bonding Program'!$P$17&lt;&gt;"",AT$3='Bonding Program'!$P$17,AT$3&lt;='Bonding Program'!$C$8),N('Bonding Program'!$O$17),0)</f>
        <v>0</v>
      </c>
      <c r="AU158" s="19" t="n">
        <f aca="false">IF(AND('Bonding Program'!$S$17=1,'Bonding Program'!$H$17&gt;'Bonding Program'!$C$8,AU$3='Bonding Program'!$H$17),'Bonding Program'!$T$17-'Bonding Program'!$U$17-'Bonding Program'!$Z$17,0)-IF(AND('Bonding Program'!$S$17=1,'Bonding Program'!$H$17&lt;='Bonding Program'!$C$8,AU$3=IF('Bonding Program'!$P$17&lt;&gt;"",'Bonding Program'!$P$17,'Bonding Program'!$C$8)),'Bonding Program'!$Z$17,0)+IF(AND('Bonding Program'!$P$17&lt;&gt;"",AU$3='Bonding Program'!$P$17,AU$3&lt;='Bonding Program'!$C$8),N('Bonding Program'!$O$17),0)</f>
        <v>0</v>
      </c>
      <c r="AV158" s="19" t="n">
        <f aca="false">IF(AND('Bonding Program'!$S$17=1,'Bonding Program'!$H$17&gt;'Bonding Program'!$C$8,AV$3='Bonding Program'!$H$17),'Bonding Program'!$T$17-'Bonding Program'!$U$17-'Bonding Program'!$Z$17,0)-IF(AND('Bonding Program'!$S$17=1,'Bonding Program'!$H$17&lt;='Bonding Program'!$C$8,AV$3=IF('Bonding Program'!$P$17&lt;&gt;"",'Bonding Program'!$P$17,'Bonding Program'!$C$8)),'Bonding Program'!$Z$17,0)+IF(AND('Bonding Program'!$P$17&lt;&gt;"",AV$3='Bonding Program'!$P$17,AV$3&lt;='Bonding Program'!$C$8),N('Bonding Program'!$O$17),0)</f>
        <v>0</v>
      </c>
      <c r="AW158" s="19" t="n">
        <f aca="false">IF(AND('Bonding Program'!$S$17=1,'Bonding Program'!$H$17&gt;'Bonding Program'!$C$8,AW$3='Bonding Program'!$H$17),'Bonding Program'!$T$17-'Bonding Program'!$U$17-'Bonding Program'!$Z$17,0)-IF(AND('Bonding Program'!$S$17=1,'Bonding Program'!$H$17&lt;='Bonding Program'!$C$8,AW$3=IF('Bonding Program'!$P$17&lt;&gt;"",'Bonding Program'!$P$17,'Bonding Program'!$C$8)),'Bonding Program'!$Z$17,0)+IF(AND('Bonding Program'!$P$17&lt;&gt;"",AW$3='Bonding Program'!$P$17,AW$3&lt;='Bonding Program'!$C$8),N('Bonding Program'!$O$17),0)</f>
        <v>0</v>
      </c>
      <c r="AX158" s="19" t="n">
        <f aca="false">IF(AND('Bonding Program'!$S$17=1,'Bonding Program'!$H$17&gt;'Bonding Program'!$C$8,AX$3='Bonding Program'!$H$17),'Bonding Program'!$T$17-'Bonding Program'!$U$17-'Bonding Program'!$Z$17,0)-IF(AND('Bonding Program'!$S$17=1,'Bonding Program'!$H$17&lt;='Bonding Program'!$C$8,AX$3=IF('Bonding Program'!$P$17&lt;&gt;"",'Bonding Program'!$P$17,'Bonding Program'!$C$8)),'Bonding Program'!$Z$17,0)+IF(AND('Bonding Program'!$P$17&lt;&gt;"",AX$3='Bonding Program'!$P$17,AX$3&lt;='Bonding Program'!$C$8),N('Bonding Program'!$O$17),0)</f>
        <v>0</v>
      </c>
      <c r="AY158" s="19" t="n">
        <f aca="false">IF(AND('Bonding Program'!$S$17=1,'Bonding Program'!$H$17&gt;'Bonding Program'!$C$8,AY$3='Bonding Program'!$H$17),'Bonding Program'!$T$17-'Bonding Program'!$U$17-'Bonding Program'!$Z$17,0)-IF(AND('Bonding Program'!$S$17=1,'Bonding Program'!$H$17&lt;='Bonding Program'!$C$8,AY$3=IF('Bonding Program'!$P$17&lt;&gt;"",'Bonding Program'!$P$17,'Bonding Program'!$C$8)),'Bonding Program'!$Z$17,0)+IF(AND('Bonding Program'!$P$17&lt;&gt;"",AY$3='Bonding Program'!$P$17,AY$3&lt;='Bonding Program'!$C$8),N('Bonding Program'!$O$17),0)</f>
        <v>0</v>
      </c>
      <c r="AZ158" s="19" t="n">
        <f aca="false">IF(AND('Bonding Program'!$S$17=1,'Bonding Program'!$H$17&gt;'Bonding Program'!$C$8,AZ$3='Bonding Program'!$H$17),'Bonding Program'!$T$17-'Bonding Program'!$U$17-'Bonding Program'!$Z$17,0)-IF(AND('Bonding Program'!$S$17=1,'Bonding Program'!$H$17&lt;='Bonding Program'!$C$8,AZ$3=IF('Bonding Program'!$P$17&lt;&gt;"",'Bonding Program'!$P$17,'Bonding Program'!$C$8)),'Bonding Program'!$Z$17,0)+IF(AND('Bonding Program'!$P$17&lt;&gt;"",AZ$3='Bonding Program'!$P$17,AZ$3&lt;='Bonding Program'!$C$8),N('Bonding Program'!$O$17),0)</f>
        <v>0</v>
      </c>
      <c r="BA158" s="19" t="n">
        <f aca="false">IF(AND('Bonding Program'!$S$17=1,'Bonding Program'!$H$17&gt;'Bonding Program'!$C$8,BA$3='Bonding Program'!$H$17),'Bonding Program'!$T$17-'Bonding Program'!$U$17-'Bonding Program'!$Z$17,0)-IF(AND('Bonding Program'!$S$17=1,'Bonding Program'!$H$17&lt;='Bonding Program'!$C$8,BA$3=IF('Bonding Program'!$P$17&lt;&gt;"",'Bonding Program'!$P$17,'Bonding Program'!$C$8)),'Bonding Program'!$Z$17,0)+IF(AND('Bonding Program'!$P$17&lt;&gt;"",BA$3='Bonding Program'!$P$17,BA$3&lt;='Bonding Program'!$C$8),N('Bonding Program'!$O$17),0)</f>
        <v>0</v>
      </c>
      <c r="BB158" s="19" t="n">
        <f aca="false">IF(AND('Bonding Program'!$S$17=1,'Bonding Program'!$H$17&gt;'Bonding Program'!$C$8,BB$3='Bonding Program'!$H$17),'Bonding Program'!$T$17-'Bonding Program'!$U$17-'Bonding Program'!$Z$17,0)-IF(AND('Bonding Program'!$S$17=1,'Bonding Program'!$H$17&lt;='Bonding Program'!$C$8,BB$3=IF('Bonding Program'!$P$17&lt;&gt;"",'Bonding Program'!$P$17,'Bonding Program'!$C$8)),'Bonding Program'!$Z$17,0)+IF(AND('Bonding Program'!$P$17&lt;&gt;"",BB$3='Bonding Program'!$P$17,BB$3&lt;='Bonding Program'!$C$8),N('Bonding Program'!$O$17),0)</f>
        <v>0</v>
      </c>
      <c r="BC158" s="19" t="n">
        <f aca="false">IF(AND('Bonding Program'!$S$17=1,'Bonding Program'!$H$17&gt;'Bonding Program'!$C$8,BC$3='Bonding Program'!$H$17),'Bonding Program'!$T$17-'Bonding Program'!$U$17-'Bonding Program'!$Z$17,0)-IF(AND('Bonding Program'!$S$17=1,'Bonding Program'!$H$17&lt;='Bonding Program'!$C$8,BC$3=IF('Bonding Program'!$P$17&lt;&gt;"",'Bonding Program'!$P$17,'Bonding Program'!$C$8)),'Bonding Program'!$Z$17,0)+IF(AND('Bonding Program'!$P$17&lt;&gt;"",BC$3='Bonding Program'!$P$17,BC$3&lt;='Bonding Program'!$C$8),N('Bonding Program'!$O$17),0)</f>
        <v>0</v>
      </c>
      <c r="BD158" s="19" t="n">
        <f aca="false">IF(AND('Bonding Program'!$S$17=1,'Bonding Program'!$H$17&gt;'Bonding Program'!$C$8,BD$3='Bonding Program'!$H$17),'Bonding Program'!$T$17-'Bonding Program'!$U$17-'Bonding Program'!$Z$17,0)-IF(AND('Bonding Program'!$S$17=1,'Bonding Program'!$H$17&lt;='Bonding Program'!$C$8,BD$3=IF('Bonding Program'!$P$17&lt;&gt;"",'Bonding Program'!$P$17,'Bonding Program'!$C$8)),'Bonding Program'!$Z$17,0)+IF(AND('Bonding Program'!$P$17&lt;&gt;"",BD$3='Bonding Program'!$P$17,BD$3&lt;='Bonding Program'!$C$8),N('Bonding Program'!$O$17),0)</f>
        <v>0</v>
      </c>
      <c r="BE158" s="19" t="n">
        <f aca="false">IF(AND('Bonding Program'!$S$17=1,'Bonding Program'!$H$17&gt;'Bonding Program'!$C$8,BE$3='Bonding Program'!$H$17),'Bonding Program'!$T$17-'Bonding Program'!$U$17-'Bonding Program'!$Z$17,0)-IF(AND('Bonding Program'!$S$17=1,'Bonding Program'!$H$17&lt;='Bonding Program'!$C$8,BE$3=IF('Bonding Program'!$P$17&lt;&gt;"",'Bonding Program'!$P$17,'Bonding Program'!$C$8)),'Bonding Program'!$Z$17,0)+IF(AND('Bonding Program'!$P$17&lt;&gt;"",BE$3='Bonding Program'!$P$17,BE$3&lt;='Bonding Program'!$C$8),N('Bonding Program'!$O$17),0)</f>
        <v>0</v>
      </c>
      <c r="BF158" s="19" t="n">
        <f aca="false">IF(AND('Bonding Program'!$S$17=1,'Bonding Program'!$H$17&gt;'Bonding Program'!$C$8,BF$3='Bonding Program'!$H$17),'Bonding Program'!$T$17-'Bonding Program'!$U$17-'Bonding Program'!$Z$17,0)-IF(AND('Bonding Program'!$S$17=1,'Bonding Program'!$H$17&lt;='Bonding Program'!$C$8,BF$3=IF('Bonding Program'!$P$17&lt;&gt;"",'Bonding Program'!$P$17,'Bonding Program'!$C$8)),'Bonding Program'!$Z$17,0)+IF(AND('Bonding Program'!$P$17&lt;&gt;"",BF$3='Bonding Program'!$P$17,BF$3&lt;='Bonding Program'!$C$8),N('Bonding Program'!$O$17),0)</f>
        <v>0</v>
      </c>
      <c r="BG158" s="19" t="n">
        <f aca="false">IF(AND('Bonding Program'!$S$17=1,'Bonding Program'!$H$17&gt;'Bonding Program'!$C$8,BG$3='Bonding Program'!$H$17),'Bonding Program'!$T$17-'Bonding Program'!$U$17-'Bonding Program'!$Z$17,0)-IF(AND('Bonding Program'!$S$17=1,'Bonding Program'!$H$17&lt;='Bonding Program'!$C$8,BG$3=IF('Bonding Program'!$P$17&lt;&gt;"",'Bonding Program'!$P$17,'Bonding Program'!$C$8)),'Bonding Program'!$Z$17,0)+IF(AND('Bonding Program'!$P$17&lt;&gt;"",BG$3='Bonding Program'!$P$17,BG$3&lt;='Bonding Program'!$C$8),N('Bonding Program'!$O$17),0)</f>
        <v>0</v>
      </c>
      <c r="BH158" s="19" t="n">
        <f aca="false">IF(AND('Bonding Program'!$S$17=1,'Bonding Program'!$H$17&gt;'Bonding Program'!$C$8,BH$3='Bonding Program'!$H$17),'Bonding Program'!$T$17-'Bonding Program'!$U$17-'Bonding Program'!$Z$17,0)-IF(AND('Bonding Program'!$S$17=1,'Bonding Program'!$H$17&lt;='Bonding Program'!$C$8,BH$3=IF('Bonding Program'!$P$17&lt;&gt;"",'Bonding Program'!$P$17,'Bonding Program'!$C$8)),'Bonding Program'!$Z$17,0)+IF(AND('Bonding Program'!$P$17&lt;&gt;"",BH$3='Bonding Program'!$P$17,BH$3&lt;='Bonding Program'!$C$8),N('Bonding Program'!$O$17),0)</f>
        <v>0</v>
      </c>
      <c r="BI158" s="19" t="n">
        <f aca="false">IF(AND('Bonding Program'!$S$17=1,'Bonding Program'!$H$17&gt;'Bonding Program'!$C$8,BI$3='Bonding Program'!$H$17),'Bonding Program'!$T$17-'Bonding Program'!$U$17-'Bonding Program'!$Z$17,0)-IF(AND('Bonding Program'!$S$17=1,'Bonding Program'!$H$17&lt;='Bonding Program'!$C$8,BI$3=IF('Bonding Program'!$P$17&lt;&gt;"",'Bonding Program'!$P$17,'Bonding Program'!$C$8)),'Bonding Program'!$Z$17,0)+IF(AND('Bonding Program'!$P$17&lt;&gt;"",BI$3='Bonding Program'!$P$17,BI$3&lt;='Bonding Program'!$C$8),N('Bonding Program'!$O$17),0)</f>
        <v>0</v>
      </c>
      <c r="BJ158" s="19" t="n">
        <f aca="false">IF(AND('Bonding Program'!$S$17=1,'Bonding Program'!$H$17&gt;'Bonding Program'!$C$8,BJ$3='Bonding Program'!$H$17),'Bonding Program'!$T$17-'Bonding Program'!$U$17-'Bonding Program'!$Z$17,0)-IF(AND('Bonding Program'!$S$17=1,'Bonding Program'!$H$17&lt;='Bonding Program'!$C$8,BJ$3=IF('Bonding Program'!$P$17&lt;&gt;"",'Bonding Program'!$P$17,'Bonding Program'!$C$8)),'Bonding Program'!$Z$17,0)+IF(AND('Bonding Program'!$P$17&lt;&gt;"",BJ$3='Bonding Program'!$P$17,BJ$3&lt;='Bonding Program'!$C$8),N('Bonding Program'!$O$17),0)</f>
        <v>0</v>
      </c>
      <c r="BK158" s="19" t="n">
        <f aca="false">IF(AND('Bonding Program'!$S$17=1,'Bonding Program'!$H$17&gt;'Bonding Program'!$C$8,BK$3='Bonding Program'!$H$17),'Bonding Program'!$T$17-'Bonding Program'!$U$17-'Bonding Program'!$Z$17,0)-IF(AND('Bonding Program'!$S$17=1,'Bonding Program'!$H$17&lt;='Bonding Program'!$C$8,BK$3=IF('Bonding Program'!$P$17&lt;&gt;"",'Bonding Program'!$P$17,'Bonding Program'!$C$8)),'Bonding Program'!$Z$17,0)+IF(AND('Bonding Program'!$P$17&lt;&gt;"",BK$3='Bonding Program'!$P$17,BK$3&lt;='Bonding Program'!$C$8),N('Bonding Program'!$O$17),0)</f>
        <v>0</v>
      </c>
      <c r="BL158" s="19" t="n">
        <f aca="false">IF(AND('Bonding Program'!$S$17=1,'Bonding Program'!$H$17&gt;'Bonding Program'!$C$8,BL$3='Bonding Program'!$H$17),'Bonding Program'!$T$17-'Bonding Program'!$U$17-'Bonding Program'!$Z$17,0)-IF(AND('Bonding Program'!$S$17=1,'Bonding Program'!$H$17&lt;='Bonding Program'!$C$8,BL$3=IF('Bonding Program'!$P$17&lt;&gt;"",'Bonding Program'!$P$17,'Bonding Program'!$C$8)),'Bonding Program'!$Z$17,0)+IF(AND('Bonding Program'!$P$17&lt;&gt;"",BL$3='Bonding Program'!$P$17,BL$3&lt;='Bonding Program'!$C$8),N('Bonding Program'!$O$17),0)</f>
        <v>0</v>
      </c>
      <c r="BM158" s="19" t="n">
        <f aca="false">IF(AND('Bonding Program'!$S$17=1,'Bonding Program'!$H$17&gt;'Bonding Program'!$C$8,BM$3='Bonding Program'!$H$17),'Bonding Program'!$T$17-'Bonding Program'!$U$17-'Bonding Program'!$Z$17,0)-IF(AND('Bonding Program'!$S$17=1,'Bonding Program'!$H$17&lt;='Bonding Program'!$C$8,BM$3=IF('Bonding Program'!$P$17&lt;&gt;"",'Bonding Program'!$P$17,'Bonding Program'!$C$8)),'Bonding Program'!$Z$17,0)+IF(AND('Bonding Program'!$P$17&lt;&gt;"",BM$3='Bonding Program'!$P$17,BM$3&lt;='Bonding Program'!$C$8),N('Bonding Program'!$O$17),0)</f>
        <v>0</v>
      </c>
      <c r="BN158" s="19" t="n">
        <f aca="false">IF(AND('Bonding Program'!$S$17=1,'Bonding Program'!$H$17&gt;'Bonding Program'!$C$8,BN$3='Bonding Program'!$H$17),'Bonding Program'!$T$17-'Bonding Program'!$U$17-'Bonding Program'!$Z$17,0)-IF(AND('Bonding Program'!$S$17=1,'Bonding Program'!$H$17&lt;='Bonding Program'!$C$8,BN$3=IF('Bonding Program'!$P$17&lt;&gt;"",'Bonding Program'!$P$17,'Bonding Program'!$C$8)),'Bonding Program'!$Z$17,0)+IF(AND('Bonding Program'!$P$17&lt;&gt;"",BN$3='Bonding Program'!$P$17,BN$3&lt;='Bonding Program'!$C$8),N('Bonding Program'!$O$17),0)</f>
        <v>0</v>
      </c>
      <c r="BO158" s="19" t="n">
        <f aca="false">IF(AND('Bonding Program'!$S$17=1,'Bonding Program'!$H$17&gt;'Bonding Program'!$C$8,BO$3='Bonding Program'!$H$17),'Bonding Program'!$T$17-'Bonding Program'!$U$17-'Bonding Program'!$Z$17,0)-IF(AND('Bonding Program'!$S$17=1,'Bonding Program'!$H$17&lt;='Bonding Program'!$C$8,BO$3=IF('Bonding Program'!$P$17&lt;&gt;"",'Bonding Program'!$P$17,'Bonding Program'!$C$8)),'Bonding Program'!$Z$17,0)+IF(AND('Bonding Program'!$P$17&lt;&gt;"",BO$3='Bonding Program'!$P$17,BO$3&lt;='Bonding Program'!$C$8),N('Bonding Program'!$O$17),0)</f>
        <v>0</v>
      </c>
      <c r="BP158" s="19" t="n">
        <f aca="false">IF(AND('Bonding Program'!$S$17=1,'Bonding Program'!$H$17&gt;'Bonding Program'!$C$8,BP$3='Bonding Program'!$H$17),'Bonding Program'!$T$17-'Bonding Program'!$U$17-'Bonding Program'!$Z$17,0)-IF(AND('Bonding Program'!$S$17=1,'Bonding Program'!$H$17&lt;='Bonding Program'!$C$8,BP$3=IF('Bonding Program'!$P$17&lt;&gt;"",'Bonding Program'!$P$17,'Bonding Program'!$C$8)),'Bonding Program'!$Z$17,0)+IF(AND('Bonding Program'!$P$17&lt;&gt;"",BP$3='Bonding Program'!$P$17,BP$3&lt;='Bonding Program'!$C$8),N('Bonding Program'!$O$17),0)</f>
        <v>0</v>
      </c>
      <c r="BQ158" s="19" t="n">
        <f aca="false">IF(AND('Bonding Program'!$S$17=1,'Bonding Program'!$H$17&gt;'Bonding Program'!$C$8,BQ$3='Bonding Program'!$H$17),'Bonding Program'!$T$17-'Bonding Program'!$U$17-'Bonding Program'!$Z$17,0)-IF(AND('Bonding Program'!$S$17=1,'Bonding Program'!$H$17&lt;='Bonding Program'!$C$8,BQ$3=IF('Bonding Program'!$P$17&lt;&gt;"",'Bonding Program'!$P$17,'Bonding Program'!$C$8)),'Bonding Program'!$Z$17,0)+IF(AND('Bonding Program'!$P$17&lt;&gt;"",BQ$3='Bonding Program'!$P$17,BQ$3&lt;='Bonding Program'!$C$8),N('Bonding Program'!$O$17),0)</f>
        <v>0</v>
      </c>
      <c r="BR158" s="19" t="n">
        <f aca="false">IF(AND('Bonding Program'!$S$17=1,'Bonding Program'!$H$17&gt;'Bonding Program'!$C$8,BR$3='Bonding Program'!$H$17),'Bonding Program'!$T$17-'Bonding Program'!$U$17-'Bonding Program'!$Z$17,0)-IF(AND('Bonding Program'!$S$17=1,'Bonding Program'!$H$17&lt;='Bonding Program'!$C$8,BR$3=IF('Bonding Program'!$P$17&lt;&gt;"",'Bonding Program'!$P$17,'Bonding Program'!$C$8)),'Bonding Program'!$Z$17,0)+IF(AND('Bonding Program'!$P$17&lt;&gt;"",BR$3='Bonding Program'!$P$17,BR$3&lt;='Bonding Program'!$C$8),N('Bonding Program'!$O$17),0)</f>
        <v>0</v>
      </c>
      <c r="BS158" s="19" t="n">
        <f aca="false">IF(AND('Bonding Program'!$S$17=1,'Bonding Program'!$H$17&gt;'Bonding Program'!$C$8,BS$3='Bonding Program'!$H$17),'Bonding Program'!$T$17-'Bonding Program'!$U$17-'Bonding Program'!$Z$17,0)-IF(AND('Bonding Program'!$S$17=1,'Bonding Program'!$H$17&lt;='Bonding Program'!$C$8,BS$3=IF('Bonding Program'!$P$17&lt;&gt;"",'Bonding Program'!$P$17,'Bonding Program'!$C$8)),'Bonding Program'!$Z$17,0)+IF(AND('Bonding Program'!$P$17&lt;&gt;"",BS$3='Bonding Program'!$P$17,BS$3&lt;='Bonding Program'!$C$8),N('Bonding Program'!$O$17),0)</f>
        <v>0</v>
      </c>
      <c r="BT158" s="19" t="n">
        <f aca="false">IF(AND('Bonding Program'!$S$17=1,'Bonding Program'!$H$17&gt;'Bonding Program'!$C$8,BT$3='Bonding Program'!$H$17),'Bonding Program'!$T$17-'Bonding Program'!$U$17-'Bonding Program'!$Z$17,0)-IF(AND('Bonding Program'!$S$17=1,'Bonding Program'!$H$17&lt;='Bonding Program'!$C$8,BT$3=IF('Bonding Program'!$P$17&lt;&gt;"",'Bonding Program'!$P$17,'Bonding Program'!$C$8)),'Bonding Program'!$Z$17,0)+IF(AND('Bonding Program'!$P$17&lt;&gt;"",BT$3='Bonding Program'!$P$17,BT$3&lt;='Bonding Program'!$C$8),N('Bonding Program'!$O$17),0)</f>
        <v>0</v>
      </c>
      <c r="BU158" s="19" t="n">
        <f aca="false">IF(AND('Bonding Program'!$S$17=1,'Bonding Program'!$H$17&gt;'Bonding Program'!$C$8,BU$3='Bonding Program'!$H$17),'Bonding Program'!$T$17-'Bonding Program'!$U$17-'Bonding Program'!$Z$17,0)-IF(AND('Bonding Program'!$S$17=1,'Bonding Program'!$H$17&lt;='Bonding Program'!$C$8,BU$3=IF('Bonding Program'!$P$17&lt;&gt;"",'Bonding Program'!$P$17,'Bonding Program'!$C$8)),'Bonding Program'!$Z$17,0)+IF(AND('Bonding Program'!$P$17&lt;&gt;"",BU$3='Bonding Program'!$P$17,BU$3&lt;='Bonding Program'!$C$8),N('Bonding Program'!$O$17),0)</f>
        <v>0</v>
      </c>
      <c r="BV158" s="19" t="n">
        <f aca="false">IF(AND('Bonding Program'!$S$17=1,'Bonding Program'!$H$17&gt;'Bonding Program'!$C$8,BV$3='Bonding Program'!$H$17),'Bonding Program'!$T$17-'Bonding Program'!$U$17-'Bonding Program'!$Z$17,0)-IF(AND('Bonding Program'!$S$17=1,'Bonding Program'!$H$17&lt;='Bonding Program'!$C$8,BV$3=IF('Bonding Program'!$P$17&lt;&gt;"",'Bonding Program'!$P$17,'Bonding Program'!$C$8)),'Bonding Program'!$Z$17,0)+IF(AND('Bonding Program'!$P$17&lt;&gt;"",BV$3='Bonding Program'!$P$17,BV$3&lt;='Bonding Program'!$C$8),N('Bonding Program'!$O$17),0)</f>
        <v>0</v>
      </c>
      <c r="BW158" s="19" t="n">
        <f aca="false">IF(AND('Bonding Program'!$S$17=1,'Bonding Program'!$H$17&gt;'Bonding Program'!$C$8,BW$3='Bonding Program'!$H$17),'Bonding Program'!$T$17-'Bonding Program'!$U$17-'Bonding Program'!$Z$17,0)-IF(AND('Bonding Program'!$S$17=1,'Bonding Program'!$H$17&lt;='Bonding Program'!$C$8,BW$3=IF('Bonding Program'!$P$17&lt;&gt;"",'Bonding Program'!$P$17,'Bonding Program'!$C$8)),'Bonding Program'!$Z$17,0)+IF(AND('Bonding Program'!$P$17&lt;&gt;"",BW$3='Bonding Program'!$P$17,BW$3&lt;='Bonding Program'!$C$8),N('Bonding Program'!$O$17),0)</f>
        <v>0</v>
      </c>
      <c r="BX158" s="19" t="n">
        <f aca="false">IF(AND('Bonding Program'!$S$17=1,'Bonding Program'!$H$17&gt;'Bonding Program'!$C$8,BX$3='Bonding Program'!$H$17),'Bonding Program'!$T$17-'Bonding Program'!$U$17-'Bonding Program'!$Z$17,0)-IF(AND('Bonding Program'!$S$17=1,'Bonding Program'!$H$17&lt;='Bonding Program'!$C$8,BX$3=IF('Bonding Program'!$P$17&lt;&gt;"",'Bonding Program'!$P$17,'Bonding Program'!$C$8)),'Bonding Program'!$Z$17,0)+IF(AND('Bonding Program'!$P$17&lt;&gt;"",BX$3='Bonding Program'!$P$17,BX$3&lt;='Bonding Program'!$C$8),N('Bonding Program'!$O$17),0)</f>
        <v>0</v>
      </c>
      <c r="BY158" s="19" t="n">
        <f aca="false">IF(AND('Bonding Program'!$S$17=1,'Bonding Program'!$H$17&gt;'Bonding Program'!$C$8,BY$3='Bonding Program'!$H$17),'Bonding Program'!$T$17-'Bonding Program'!$U$17-'Bonding Program'!$Z$17,0)-IF(AND('Bonding Program'!$S$17=1,'Bonding Program'!$H$17&lt;='Bonding Program'!$C$8,BY$3=IF('Bonding Program'!$P$17&lt;&gt;"",'Bonding Program'!$P$17,'Bonding Program'!$C$8)),'Bonding Program'!$Z$17,0)+IF(AND('Bonding Program'!$P$17&lt;&gt;"",BY$3='Bonding Program'!$P$17,BY$3&lt;='Bonding Program'!$C$8),N('Bonding Program'!$O$17),0)</f>
        <v>0</v>
      </c>
      <c r="BZ158" s="19" t="n">
        <f aca="false">IF(AND('Bonding Program'!$S$17=1,'Bonding Program'!$H$17&gt;'Bonding Program'!$C$8,BZ$3='Bonding Program'!$H$17),'Bonding Program'!$T$17-'Bonding Program'!$U$17-'Bonding Program'!$Z$17,0)-IF(AND('Bonding Program'!$S$17=1,'Bonding Program'!$H$17&lt;='Bonding Program'!$C$8,BZ$3=IF('Bonding Program'!$P$17&lt;&gt;"",'Bonding Program'!$P$17,'Bonding Program'!$C$8)),'Bonding Program'!$Z$17,0)+IF(AND('Bonding Program'!$P$17&lt;&gt;"",BZ$3='Bonding Program'!$P$17,BZ$3&lt;='Bonding Program'!$C$8),N('Bonding Program'!$O$17),0)</f>
        <v>0</v>
      </c>
      <c r="CA158" s="19" t="n">
        <f aca="false">IF(AND('Bonding Program'!$S$17=1,'Bonding Program'!$H$17&gt;'Bonding Program'!$C$8,CA$3='Bonding Program'!$H$17),'Bonding Program'!$T$17-'Bonding Program'!$U$17-'Bonding Program'!$Z$17,0)-IF(AND('Bonding Program'!$S$17=1,'Bonding Program'!$H$17&lt;='Bonding Program'!$C$8,CA$3=IF('Bonding Program'!$P$17&lt;&gt;"",'Bonding Program'!$P$17,'Bonding Program'!$C$8)),'Bonding Program'!$Z$17,0)+IF(AND('Bonding Program'!$P$17&lt;&gt;"",CA$3='Bonding Program'!$P$17,CA$3&lt;='Bonding Program'!$C$8),N('Bonding Program'!$O$17),0)</f>
        <v>0</v>
      </c>
      <c r="CB158" s="19" t="n">
        <f aca="false">IF(AND('Bonding Program'!$S$17=1,'Bonding Program'!$H$17&gt;'Bonding Program'!$C$8,CB$3='Bonding Program'!$H$17),'Bonding Program'!$T$17-'Bonding Program'!$U$17-'Bonding Program'!$Z$17,0)-IF(AND('Bonding Program'!$S$17=1,'Bonding Program'!$H$17&lt;='Bonding Program'!$C$8,CB$3=IF('Bonding Program'!$P$17&lt;&gt;"",'Bonding Program'!$P$17,'Bonding Program'!$C$8)),'Bonding Program'!$Z$17,0)+IF(AND('Bonding Program'!$P$17&lt;&gt;"",CB$3='Bonding Program'!$P$17,CB$3&lt;='Bonding Program'!$C$8),N('Bonding Program'!$O$17),0)</f>
        <v>0</v>
      </c>
      <c r="CC158" s="19" t="n">
        <f aca="false">IF(AND('Bonding Program'!$S$17=1,'Bonding Program'!$H$17&gt;'Bonding Program'!$C$8,CC$3='Bonding Program'!$H$17),'Bonding Program'!$T$17-'Bonding Program'!$U$17-'Bonding Program'!$Z$17,0)-IF(AND('Bonding Program'!$S$17=1,'Bonding Program'!$H$17&lt;='Bonding Program'!$C$8,CC$3=IF('Bonding Program'!$P$17&lt;&gt;"",'Bonding Program'!$P$17,'Bonding Program'!$C$8)),'Bonding Program'!$Z$17,0)+IF(AND('Bonding Program'!$P$17&lt;&gt;"",CC$3='Bonding Program'!$P$17,CC$3&lt;='Bonding Program'!$C$8),N('Bonding Program'!$O$17),0)</f>
        <v>0</v>
      </c>
      <c r="CD158" s="19" t="n">
        <f aca="false">IF(AND('Bonding Program'!$S$17=1,'Bonding Program'!$H$17&gt;'Bonding Program'!$C$8,CD$3='Bonding Program'!$H$17),'Bonding Program'!$T$17-'Bonding Program'!$U$17-'Bonding Program'!$Z$17,0)-IF(AND('Bonding Program'!$S$17=1,'Bonding Program'!$H$17&lt;='Bonding Program'!$C$8,CD$3=IF('Bonding Program'!$P$17&lt;&gt;"",'Bonding Program'!$P$17,'Bonding Program'!$C$8)),'Bonding Program'!$Z$17,0)+IF(AND('Bonding Program'!$P$17&lt;&gt;"",CD$3='Bonding Program'!$P$17,CD$3&lt;='Bonding Program'!$C$8),N('Bonding Program'!$O$17),0)</f>
        <v>0</v>
      </c>
      <c r="CE158" s="19" t="n">
        <f aca="false">IF(AND('Bonding Program'!$S$17=1,'Bonding Program'!$H$17&gt;'Bonding Program'!$C$8,CE$3='Bonding Program'!$H$17),'Bonding Program'!$T$17-'Bonding Program'!$U$17-'Bonding Program'!$Z$17,0)-IF(AND('Bonding Program'!$S$17=1,'Bonding Program'!$H$17&lt;='Bonding Program'!$C$8,CE$3=IF('Bonding Program'!$P$17&lt;&gt;"",'Bonding Program'!$P$17,'Bonding Program'!$C$8)),'Bonding Program'!$Z$17,0)+IF(AND('Bonding Program'!$P$17&lt;&gt;"",CE$3='Bonding Program'!$P$17,CE$3&lt;='Bonding Program'!$C$8),N('Bonding Program'!$O$17),0)</f>
        <v>0</v>
      </c>
      <c r="CF158" s="19" t="n">
        <f aca="false">IF(AND('Bonding Program'!$S$17=1,'Bonding Program'!$H$17&gt;'Bonding Program'!$C$8,CF$3='Bonding Program'!$H$17),'Bonding Program'!$T$17-'Bonding Program'!$U$17-'Bonding Program'!$Z$17,0)-IF(AND('Bonding Program'!$S$17=1,'Bonding Program'!$H$17&lt;='Bonding Program'!$C$8,CF$3=IF('Bonding Program'!$P$17&lt;&gt;"",'Bonding Program'!$P$17,'Bonding Program'!$C$8)),'Bonding Program'!$Z$17,0)+IF(AND('Bonding Program'!$P$17&lt;&gt;"",CF$3='Bonding Program'!$P$17,CF$3&lt;='Bonding Program'!$C$8),N('Bonding Program'!$O$17),0)</f>
        <v>0</v>
      </c>
      <c r="CG158" s="19" t="n">
        <f aca="false">IF(AND('Bonding Program'!$S$17=1,'Bonding Program'!$H$17&gt;'Bonding Program'!$C$8,CG$3='Bonding Program'!$H$17),'Bonding Program'!$T$17-'Bonding Program'!$U$17-'Bonding Program'!$Z$17,0)-IF(AND('Bonding Program'!$S$17=1,'Bonding Program'!$H$17&lt;='Bonding Program'!$C$8,CG$3=IF('Bonding Program'!$P$17&lt;&gt;"",'Bonding Program'!$P$17,'Bonding Program'!$C$8)),'Bonding Program'!$Z$17,0)+IF(AND('Bonding Program'!$P$17&lt;&gt;"",CG$3='Bonding Program'!$P$17,CG$3&lt;='Bonding Program'!$C$8),N('Bonding Program'!$O$17),0)</f>
        <v>0</v>
      </c>
      <c r="CH158" s="19" t="n">
        <f aca="false">IF(AND('Bonding Program'!$S$17=1,'Bonding Program'!$H$17&gt;'Bonding Program'!$C$8,CH$3='Bonding Program'!$H$17),'Bonding Program'!$T$17-'Bonding Program'!$U$17-'Bonding Program'!$Z$17,0)-IF(AND('Bonding Program'!$S$17=1,'Bonding Program'!$H$17&lt;='Bonding Program'!$C$8,CH$3=IF('Bonding Program'!$P$17&lt;&gt;"",'Bonding Program'!$P$17,'Bonding Program'!$C$8)),'Bonding Program'!$Z$17,0)+IF(AND('Bonding Program'!$P$17&lt;&gt;"",CH$3='Bonding Program'!$P$17,CH$3&lt;='Bonding Program'!$C$8),N('Bonding Program'!$O$17),0)</f>
        <v>0</v>
      </c>
      <c r="CI158" s="19" t="n">
        <f aca="false">IF(AND('Bonding Program'!$S$17=1,'Bonding Program'!$H$17&gt;'Bonding Program'!$C$8,CI$3='Bonding Program'!$H$17),'Bonding Program'!$T$17-'Bonding Program'!$U$17-'Bonding Program'!$Z$17,0)-IF(AND('Bonding Program'!$S$17=1,'Bonding Program'!$H$17&lt;='Bonding Program'!$C$8,CI$3=IF('Bonding Program'!$P$17&lt;&gt;"",'Bonding Program'!$P$17,'Bonding Program'!$C$8)),'Bonding Program'!$Z$17,0)+IF(AND('Bonding Program'!$P$17&lt;&gt;"",CI$3='Bonding Program'!$P$17,CI$3&lt;='Bonding Program'!$C$8),N('Bonding Program'!$O$17),0)</f>
        <v>0</v>
      </c>
      <c r="CJ158" s="19" t="n">
        <f aca="false">IF(AND('Bonding Program'!$S$17=1,'Bonding Program'!$H$17&gt;'Bonding Program'!$C$8,CJ$3='Bonding Program'!$H$17),'Bonding Program'!$T$17-'Bonding Program'!$U$17-'Bonding Program'!$Z$17,0)-IF(AND('Bonding Program'!$S$17=1,'Bonding Program'!$H$17&lt;='Bonding Program'!$C$8,CJ$3=IF('Bonding Program'!$P$17&lt;&gt;"",'Bonding Program'!$P$17,'Bonding Program'!$C$8)),'Bonding Program'!$Z$17,0)+IF(AND('Bonding Program'!$P$17&lt;&gt;"",CJ$3='Bonding Program'!$P$17,CJ$3&lt;='Bonding Program'!$C$8),N('Bonding Program'!$O$17),0)</f>
        <v>0</v>
      </c>
      <c r="CK158" s="19" t="n">
        <f aca="false">IF(AND('Bonding Program'!$S$17=1,'Bonding Program'!$H$17&gt;'Bonding Program'!$C$8,CK$3='Bonding Program'!$H$17),'Bonding Program'!$T$17-'Bonding Program'!$U$17-'Bonding Program'!$Z$17,0)-IF(AND('Bonding Program'!$S$17=1,'Bonding Program'!$H$17&lt;='Bonding Program'!$C$8,CK$3=IF('Bonding Program'!$P$17&lt;&gt;"",'Bonding Program'!$P$17,'Bonding Program'!$C$8)),'Bonding Program'!$Z$17,0)+IF(AND('Bonding Program'!$P$17&lt;&gt;"",CK$3='Bonding Program'!$P$17,CK$3&lt;='Bonding Program'!$C$8),N('Bonding Program'!$O$17),0)</f>
        <v>0</v>
      </c>
      <c r="CL158" s="19" t="n">
        <f aca="false">IF(AND('Bonding Program'!$S$17=1,'Bonding Program'!$H$17&gt;'Bonding Program'!$C$8,CL$3='Bonding Program'!$H$17),'Bonding Program'!$T$17-'Bonding Program'!$U$17-'Bonding Program'!$Z$17,0)-IF(AND('Bonding Program'!$S$17=1,'Bonding Program'!$H$17&lt;='Bonding Program'!$C$8,CL$3=IF('Bonding Program'!$P$17&lt;&gt;"",'Bonding Program'!$P$17,'Bonding Program'!$C$8)),'Bonding Program'!$Z$17,0)+IF(AND('Bonding Program'!$P$17&lt;&gt;"",CL$3='Bonding Program'!$P$17,CL$3&lt;='Bonding Program'!$C$8),N('Bonding Program'!$O$17),0)</f>
        <v>0</v>
      </c>
      <c r="CM158" s="19" t="n">
        <f aca="false">IF(AND('Bonding Program'!$S$17=1,'Bonding Program'!$H$17&gt;'Bonding Program'!$C$8,CM$3='Bonding Program'!$H$17),'Bonding Program'!$T$17-'Bonding Program'!$U$17-'Bonding Program'!$Z$17,0)-IF(AND('Bonding Program'!$S$17=1,'Bonding Program'!$H$17&lt;='Bonding Program'!$C$8,CM$3=IF('Bonding Program'!$P$17&lt;&gt;"",'Bonding Program'!$P$17,'Bonding Program'!$C$8)),'Bonding Program'!$Z$17,0)+IF(AND('Bonding Program'!$P$17&lt;&gt;"",CM$3='Bonding Program'!$P$17,CM$3&lt;='Bonding Program'!$C$8),N('Bonding Program'!$O$17),0)</f>
        <v>0</v>
      </c>
      <c r="CN158" s="19" t="n">
        <f aca="false">IF(AND('Bonding Program'!$S$17=1,'Bonding Program'!$H$17&gt;'Bonding Program'!$C$8,CN$3='Bonding Program'!$H$17),'Bonding Program'!$T$17-'Bonding Program'!$U$17-'Bonding Program'!$Z$17,0)-IF(AND('Bonding Program'!$S$17=1,'Bonding Program'!$H$17&lt;='Bonding Program'!$C$8,CN$3=IF('Bonding Program'!$P$17&lt;&gt;"",'Bonding Program'!$P$17,'Bonding Program'!$C$8)),'Bonding Program'!$Z$17,0)+IF(AND('Bonding Program'!$P$17&lt;&gt;"",CN$3='Bonding Program'!$P$17,CN$3&lt;='Bonding Program'!$C$8),N('Bonding Program'!$O$17),0)</f>
        <v>0</v>
      </c>
      <c r="CO158" s="19" t="n">
        <f aca="false">IF(AND('Bonding Program'!$S$17=1,'Bonding Program'!$H$17&gt;'Bonding Program'!$C$8,CO$3='Bonding Program'!$H$17),'Bonding Program'!$T$17-'Bonding Program'!$U$17-'Bonding Program'!$Z$17,0)-IF(AND('Bonding Program'!$S$17=1,'Bonding Program'!$H$17&lt;='Bonding Program'!$C$8,CO$3=IF('Bonding Program'!$P$17&lt;&gt;"",'Bonding Program'!$P$17,'Bonding Program'!$C$8)),'Bonding Program'!$Z$17,0)+IF(AND('Bonding Program'!$P$17&lt;&gt;"",CO$3='Bonding Program'!$P$17,CO$3&lt;='Bonding Program'!$C$8),N('Bonding Program'!$O$17),0)</f>
        <v>0</v>
      </c>
      <c r="CP158" s="19" t="n">
        <f aca="false">IF(AND('Bonding Program'!$S$17=1,'Bonding Program'!$H$17&gt;'Bonding Program'!$C$8,CP$3='Bonding Program'!$H$17),'Bonding Program'!$T$17-'Bonding Program'!$U$17-'Bonding Program'!$Z$17,0)-IF(AND('Bonding Program'!$S$17=1,'Bonding Program'!$H$17&lt;='Bonding Program'!$C$8,CP$3=IF('Bonding Program'!$P$17&lt;&gt;"",'Bonding Program'!$P$17,'Bonding Program'!$C$8)),'Bonding Program'!$Z$17,0)+IF(AND('Bonding Program'!$P$17&lt;&gt;"",CP$3='Bonding Program'!$P$17,CP$3&lt;='Bonding Program'!$C$8),N('Bonding Program'!$O$17),0)</f>
        <v>0</v>
      </c>
      <c r="CQ158" s="19" t="n">
        <f aca="false">IF(AND('Bonding Program'!$S$17=1,'Bonding Program'!$H$17&gt;'Bonding Program'!$C$8,CQ$3='Bonding Program'!$H$17),'Bonding Program'!$T$17-'Bonding Program'!$U$17-'Bonding Program'!$Z$17,0)-IF(AND('Bonding Program'!$S$17=1,'Bonding Program'!$H$17&lt;='Bonding Program'!$C$8,CQ$3=IF('Bonding Program'!$P$17&lt;&gt;"",'Bonding Program'!$P$17,'Bonding Program'!$C$8)),'Bonding Program'!$Z$17,0)+IF(AND('Bonding Program'!$P$17&lt;&gt;"",CQ$3='Bonding Program'!$P$17,CQ$3&lt;='Bonding Program'!$C$8),N('Bonding Program'!$O$17),0)</f>
        <v>0</v>
      </c>
      <c r="CR158" s="19" t="n">
        <f aca="false">IF(AND('Bonding Program'!$S$17=1,'Bonding Program'!$H$17&gt;'Bonding Program'!$C$8,CR$3='Bonding Program'!$H$17),'Bonding Program'!$T$17-'Bonding Program'!$U$17-'Bonding Program'!$Z$17,0)-IF(AND('Bonding Program'!$S$17=1,'Bonding Program'!$H$17&lt;='Bonding Program'!$C$8,CR$3=IF('Bonding Program'!$P$17&lt;&gt;"",'Bonding Program'!$P$17,'Bonding Program'!$C$8)),'Bonding Program'!$Z$17,0)+IF(AND('Bonding Program'!$P$17&lt;&gt;"",CR$3='Bonding Program'!$P$17,CR$3&lt;='Bonding Program'!$C$8),N('Bonding Program'!$O$17),0)</f>
        <v>0</v>
      </c>
      <c r="CS158" s="19" t="n">
        <f aca="false">IF(AND('Bonding Program'!$S$17=1,'Bonding Program'!$H$17&gt;'Bonding Program'!$C$8,CS$3='Bonding Program'!$H$17),'Bonding Program'!$T$17-'Bonding Program'!$U$17-'Bonding Program'!$Z$17,0)-IF(AND('Bonding Program'!$S$17=1,'Bonding Program'!$H$17&lt;='Bonding Program'!$C$8,CS$3=IF('Bonding Program'!$P$17&lt;&gt;"",'Bonding Program'!$P$17,'Bonding Program'!$C$8)),'Bonding Program'!$Z$17,0)+IF(AND('Bonding Program'!$P$17&lt;&gt;"",CS$3='Bonding Program'!$P$17,CS$3&lt;='Bonding Program'!$C$8),N('Bonding Program'!$O$17),0)</f>
        <v>0</v>
      </c>
      <c r="CT158" s="19" t="n">
        <f aca="false">IF(AND('Bonding Program'!$S$17=1,'Bonding Program'!$H$17&gt;'Bonding Program'!$C$8,CT$3='Bonding Program'!$H$17),'Bonding Program'!$T$17-'Bonding Program'!$U$17-'Bonding Program'!$Z$17,0)-IF(AND('Bonding Program'!$S$17=1,'Bonding Program'!$H$17&lt;='Bonding Program'!$C$8,CT$3=IF('Bonding Program'!$P$17&lt;&gt;"",'Bonding Program'!$P$17,'Bonding Program'!$C$8)),'Bonding Program'!$Z$17,0)+IF(AND('Bonding Program'!$P$17&lt;&gt;"",CT$3='Bonding Program'!$P$17,CT$3&lt;='Bonding Program'!$C$8),N('Bonding Program'!$O$17),0)</f>
        <v>0</v>
      </c>
      <c r="CU158" s="19" t="n">
        <f aca="false">IF(AND('Bonding Program'!$S$17=1,'Bonding Program'!$H$17&gt;'Bonding Program'!$C$8,CU$3='Bonding Program'!$H$17),'Bonding Program'!$T$17-'Bonding Program'!$U$17-'Bonding Program'!$Z$17,0)-IF(AND('Bonding Program'!$S$17=1,'Bonding Program'!$H$17&lt;='Bonding Program'!$C$8,CU$3=IF('Bonding Program'!$P$17&lt;&gt;"",'Bonding Program'!$P$17,'Bonding Program'!$C$8)),'Bonding Program'!$Z$17,0)+IF(AND('Bonding Program'!$P$17&lt;&gt;"",CU$3='Bonding Program'!$P$17,CU$3&lt;='Bonding Program'!$C$8),N('Bonding Program'!$O$17),0)</f>
        <v>0</v>
      </c>
      <c r="CV158" s="19" t="n">
        <f aca="false">IF(AND('Bonding Program'!$S$17=1,'Bonding Program'!$H$17&gt;'Bonding Program'!$C$8,CV$3='Bonding Program'!$H$17),'Bonding Program'!$T$17-'Bonding Program'!$U$17-'Bonding Program'!$Z$17,0)-IF(AND('Bonding Program'!$S$17=1,'Bonding Program'!$H$17&lt;='Bonding Program'!$C$8,CV$3=IF('Bonding Program'!$P$17&lt;&gt;"",'Bonding Program'!$P$17,'Bonding Program'!$C$8)),'Bonding Program'!$Z$17,0)+IF(AND('Bonding Program'!$P$17&lt;&gt;"",CV$3='Bonding Program'!$P$17,CV$3&lt;='Bonding Program'!$C$8),N('Bonding Program'!$O$17),0)</f>
        <v>0</v>
      </c>
      <c r="CW158" s="19" t="n">
        <f aca="false">IF(AND('Bonding Program'!$S$17=1,'Bonding Program'!$H$17&gt;'Bonding Program'!$C$8,CW$3='Bonding Program'!$H$17),'Bonding Program'!$T$17-'Bonding Program'!$U$17-'Bonding Program'!$Z$17,0)-IF(AND('Bonding Program'!$S$17=1,'Bonding Program'!$H$17&lt;='Bonding Program'!$C$8,CW$3=IF('Bonding Program'!$P$17&lt;&gt;"",'Bonding Program'!$P$17,'Bonding Program'!$C$8)),'Bonding Program'!$Z$17,0)+IF(AND('Bonding Program'!$P$17&lt;&gt;"",CW$3='Bonding Program'!$P$17,CW$3&lt;='Bonding Program'!$C$8),N('Bonding Program'!$O$17),0)</f>
        <v>0</v>
      </c>
      <c r="CX158" s="19" t="n">
        <f aca="false">IF(AND('Bonding Program'!$S$17=1,'Bonding Program'!$H$17&gt;'Bonding Program'!$C$8,CX$3='Bonding Program'!$H$17),'Bonding Program'!$T$17-'Bonding Program'!$U$17-'Bonding Program'!$Z$17,0)-IF(AND('Bonding Program'!$S$17=1,'Bonding Program'!$H$17&lt;='Bonding Program'!$C$8,CX$3=IF('Bonding Program'!$P$17&lt;&gt;"",'Bonding Program'!$P$17,'Bonding Program'!$C$8)),'Bonding Program'!$Z$17,0)+IF(AND('Bonding Program'!$P$17&lt;&gt;"",CX$3='Bonding Program'!$P$17,CX$3&lt;='Bonding Program'!$C$8),N('Bonding Program'!$O$17),0)</f>
        <v>0</v>
      </c>
      <c r="CY158" s="19" t="n">
        <f aca="false">IF(AND('Bonding Program'!$S$17=1,'Bonding Program'!$H$17&gt;'Bonding Program'!$C$8,CY$3='Bonding Program'!$H$17),'Bonding Program'!$T$17-'Bonding Program'!$U$17-'Bonding Program'!$Z$17,0)-IF(AND('Bonding Program'!$S$17=1,'Bonding Program'!$H$17&lt;='Bonding Program'!$C$8,CY$3=IF('Bonding Program'!$P$17&lt;&gt;"",'Bonding Program'!$P$17,'Bonding Program'!$C$8)),'Bonding Program'!$Z$17,0)+IF(AND('Bonding Program'!$P$17&lt;&gt;"",CY$3='Bonding Program'!$P$17,CY$3&lt;='Bonding Program'!$C$8),N('Bonding Program'!$O$17),0)</f>
        <v>0</v>
      </c>
      <c r="CZ158" s="19" t="n">
        <f aca="false">IF(AND('Bonding Program'!$S$17=1,'Bonding Program'!$H$17&gt;'Bonding Program'!$C$8,CZ$3='Bonding Program'!$H$17),'Bonding Program'!$T$17-'Bonding Program'!$U$17-'Bonding Program'!$Z$17,0)-IF(AND('Bonding Program'!$S$17=1,'Bonding Program'!$H$17&lt;='Bonding Program'!$C$8,CZ$3=IF('Bonding Program'!$P$17&lt;&gt;"",'Bonding Program'!$P$17,'Bonding Program'!$C$8)),'Bonding Program'!$Z$17,0)+IF(AND('Bonding Program'!$P$17&lt;&gt;"",CZ$3='Bonding Program'!$P$17,CZ$3&lt;='Bonding Program'!$C$8),N('Bonding Program'!$O$17),0)</f>
        <v>0</v>
      </c>
      <c r="DA158" s="19" t="n">
        <f aca="false">IF(AND('Bonding Program'!$S$17=1,'Bonding Program'!$H$17&gt;'Bonding Program'!$C$8,DA$3='Bonding Program'!$H$17),'Bonding Program'!$T$17-'Bonding Program'!$U$17-'Bonding Program'!$Z$17,0)-IF(AND('Bonding Program'!$S$17=1,'Bonding Program'!$H$17&lt;='Bonding Program'!$C$8,DA$3=IF('Bonding Program'!$P$17&lt;&gt;"",'Bonding Program'!$P$17,'Bonding Program'!$C$8)),'Bonding Program'!$Z$17,0)+IF(AND('Bonding Program'!$P$17&lt;&gt;"",DA$3='Bonding Program'!$P$17,DA$3&lt;='Bonding Program'!$C$8),N('Bonding Program'!$O$17),0)</f>
        <v>0</v>
      </c>
      <c r="DB158" s="19" t="n">
        <f aca="false">IF(AND('Bonding Program'!$S$17=1,'Bonding Program'!$H$17&gt;'Bonding Program'!$C$8,DB$3='Bonding Program'!$H$17),'Bonding Program'!$T$17-'Bonding Program'!$U$17-'Bonding Program'!$Z$17,0)-IF(AND('Bonding Program'!$S$17=1,'Bonding Program'!$H$17&lt;='Bonding Program'!$C$8,DB$3=IF('Bonding Program'!$P$17&lt;&gt;"",'Bonding Program'!$P$17,'Bonding Program'!$C$8)),'Bonding Program'!$Z$17,0)+IF(AND('Bonding Program'!$P$17&lt;&gt;"",DB$3='Bonding Program'!$P$17,DB$3&lt;='Bonding Program'!$C$8),N('Bonding Program'!$O$17),0)</f>
        <v>0</v>
      </c>
      <c r="DC158" s="19" t="n">
        <f aca="false">IF(AND('Bonding Program'!$S$17=1,'Bonding Program'!$H$17&gt;'Bonding Program'!$C$8,DC$3='Bonding Program'!$H$17),'Bonding Program'!$T$17-'Bonding Program'!$U$17-'Bonding Program'!$Z$17,0)-IF(AND('Bonding Program'!$S$17=1,'Bonding Program'!$H$17&lt;='Bonding Program'!$C$8,DC$3=IF('Bonding Program'!$P$17&lt;&gt;"",'Bonding Program'!$P$17,'Bonding Program'!$C$8)),'Bonding Program'!$Z$17,0)+IF(AND('Bonding Program'!$P$17&lt;&gt;"",DC$3='Bonding Program'!$P$17,DC$3&lt;='Bonding Program'!$C$8),N('Bonding Program'!$O$17),0)</f>
        <v>0</v>
      </c>
      <c r="DD158" s="19" t="n">
        <f aca="false">IF(AND('Bonding Program'!$S$17=1,'Bonding Program'!$H$17&gt;'Bonding Program'!$C$8,DD$3='Bonding Program'!$H$17),'Bonding Program'!$T$17-'Bonding Program'!$U$17-'Bonding Program'!$Z$17,0)-IF(AND('Bonding Program'!$S$17=1,'Bonding Program'!$H$17&lt;='Bonding Program'!$C$8,DD$3=IF('Bonding Program'!$P$17&lt;&gt;"",'Bonding Program'!$P$17,'Bonding Program'!$C$8)),'Bonding Program'!$Z$17,0)+IF(AND('Bonding Program'!$P$17&lt;&gt;"",DD$3='Bonding Program'!$P$17,DD$3&lt;='Bonding Program'!$C$8),N('Bonding Program'!$O$17),0)</f>
        <v>0</v>
      </c>
      <c r="DE158" s="19" t="n">
        <f aca="false">IF(AND('Bonding Program'!$S$17=1,'Bonding Program'!$H$17&gt;'Bonding Program'!$C$8,DE$3='Bonding Program'!$H$17),'Bonding Program'!$T$17-'Bonding Program'!$U$17-'Bonding Program'!$Z$17,0)-IF(AND('Bonding Program'!$S$17=1,'Bonding Program'!$H$17&lt;='Bonding Program'!$C$8,DE$3=IF('Bonding Program'!$P$17&lt;&gt;"",'Bonding Program'!$P$17,'Bonding Program'!$C$8)),'Bonding Program'!$Z$17,0)+IF(AND('Bonding Program'!$P$17&lt;&gt;"",DE$3='Bonding Program'!$P$17,DE$3&lt;='Bonding Program'!$C$8),N('Bonding Program'!$O$17),0)</f>
        <v>0</v>
      </c>
    </row>
    <row r="159" customFormat="false" ht="15" hidden="false" customHeight="true" outlineLevel="1" collapsed="false">
      <c r="A159" s="28" t="s">
        <v>14</v>
      </c>
      <c r="B159" s="19" t="n">
        <f aca="false">IF(AND('Bonding Program'!$S$18=1,'Bonding Program'!$H$18&gt;'Bonding Program'!$C$8,B$3='Bonding Program'!$H$18),'Bonding Program'!$T$18-'Bonding Program'!$U$18-'Bonding Program'!$Z$18,0)-IF(AND('Bonding Program'!$S$18=1,'Bonding Program'!$H$18&lt;='Bonding Program'!$C$8,B$3=IF('Bonding Program'!$P$18&lt;&gt;"",'Bonding Program'!$P$18,'Bonding Program'!$C$8)),'Bonding Program'!$Z$18,0)+IF(AND('Bonding Program'!$P$18&lt;&gt;"",B$3='Bonding Program'!$P$18,B$3&lt;='Bonding Program'!$C$8),N('Bonding Program'!$O$18),0)</f>
        <v>0</v>
      </c>
      <c r="C159" s="19" t="n">
        <f aca="false">IF(AND('Bonding Program'!$S$18=1,'Bonding Program'!$H$18&gt;'Bonding Program'!$C$8,C$3='Bonding Program'!$H$18),'Bonding Program'!$T$18-'Bonding Program'!$U$18-'Bonding Program'!$Z$18,0)-IF(AND('Bonding Program'!$S$18=1,'Bonding Program'!$H$18&lt;='Bonding Program'!$C$8,C$3=IF('Bonding Program'!$P$18&lt;&gt;"",'Bonding Program'!$P$18,'Bonding Program'!$C$8)),'Bonding Program'!$Z$18,0)+IF(AND('Bonding Program'!$P$18&lt;&gt;"",C$3='Bonding Program'!$P$18,C$3&lt;='Bonding Program'!$C$8),N('Bonding Program'!$O$18),0)</f>
        <v>0</v>
      </c>
      <c r="D159" s="19" t="n">
        <f aca="false">IF(AND('Bonding Program'!$S$18=1,'Bonding Program'!$H$18&gt;'Bonding Program'!$C$8,D$3='Bonding Program'!$H$18),'Bonding Program'!$T$18-'Bonding Program'!$U$18-'Bonding Program'!$Z$18,0)-IF(AND('Bonding Program'!$S$18=1,'Bonding Program'!$H$18&lt;='Bonding Program'!$C$8,D$3=IF('Bonding Program'!$P$18&lt;&gt;"",'Bonding Program'!$P$18,'Bonding Program'!$C$8)),'Bonding Program'!$Z$18,0)+IF(AND('Bonding Program'!$P$18&lt;&gt;"",D$3='Bonding Program'!$P$18,D$3&lt;='Bonding Program'!$C$8),N('Bonding Program'!$O$18),0)</f>
        <v>0</v>
      </c>
      <c r="E159" s="19" t="n">
        <f aca="false">IF(AND('Bonding Program'!$S$18=1,'Bonding Program'!$H$18&gt;'Bonding Program'!$C$8,E$3='Bonding Program'!$H$18),'Bonding Program'!$T$18-'Bonding Program'!$U$18-'Bonding Program'!$Z$18,0)-IF(AND('Bonding Program'!$S$18=1,'Bonding Program'!$H$18&lt;='Bonding Program'!$C$8,E$3=IF('Bonding Program'!$P$18&lt;&gt;"",'Bonding Program'!$P$18,'Bonding Program'!$C$8)),'Bonding Program'!$Z$18,0)+IF(AND('Bonding Program'!$P$18&lt;&gt;"",E$3='Bonding Program'!$P$18,E$3&lt;='Bonding Program'!$C$8),N('Bonding Program'!$O$18),0)</f>
        <v>0</v>
      </c>
      <c r="F159" s="19" t="n">
        <f aca="false">IF(AND('Bonding Program'!$S$18=1,'Bonding Program'!$H$18&gt;'Bonding Program'!$C$8,F$3='Bonding Program'!$H$18),'Bonding Program'!$T$18-'Bonding Program'!$U$18-'Bonding Program'!$Z$18,0)-IF(AND('Bonding Program'!$S$18=1,'Bonding Program'!$H$18&lt;='Bonding Program'!$C$8,F$3=IF('Bonding Program'!$P$18&lt;&gt;"",'Bonding Program'!$P$18,'Bonding Program'!$C$8)),'Bonding Program'!$Z$18,0)+IF(AND('Bonding Program'!$P$18&lt;&gt;"",F$3='Bonding Program'!$P$18,F$3&lt;='Bonding Program'!$C$8),N('Bonding Program'!$O$18),0)</f>
        <v>0</v>
      </c>
      <c r="G159" s="19" t="n">
        <f aca="false">IF(AND('Bonding Program'!$S$18=1,'Bonding Program'!$H$18&gt;'Bonding Program'!$C$8,G$3='Bonding Program'!$H$18),'Bonding Program'!$T$18-'Bonding Program'!$U$18-'Bonding Program'!$Z$18,0)-IF(AND('Bonding Program'!$S$18=1,'Bonding Program'!$H$18&lt;='Bonding Program'!$C$8,G$3=IF('Bonding Program'!$P$18&lt;&gt;"",'Bonding Program'!$P$18,'Bonding Program'!$C$8)),'Bonding Program'!$Z$18,0)+IF(AND('Bonding Program'!$P$18&lt;&gt;"",G$3='Bonding Program'!$P$18,G$3&lt;='Bonding Program'!$C$8),N('Bonding Program'!$O$18),0)</f>
        <v>0</v>
      </c>
      <c r="H159" s="19" t="n">
        <f aca="false">IF(AND('Bonding Program'!$S$18=1,'Bonding Program'!$H$18&gt;'Bonding Program'!$C$8,H$3='Bonding Program'!$H$18),'Bonding Program'!$T$18-'Bonding Program'!$U$18-'Bonding Program'!$Z$18,0)-IF(AND('Bonding Program'!$S$18=1,'Bonding Program'!$H$18&lt;='Bonding Program'!$C$8,H$3=IF('Bonding Program'!$P$18&lt;&gt;"",'Bonding Program'!$P$18,'Bonding Program'!$C$8)),'Bonding Program'!$Z$18,0)+IF(AND('Bonding Program'!$P$18&lt;&gt;"",H$3='Bonding Program'!$P$18,H$3&lt;='Bonding Program'!$C$8),N('Bonding Program'!$O$18),0)</f>
        <v>0</v>
      </c>
      <c r="I159" s="19" t="n">
        <f aca="false">IF(AND('Bonding Program'!$S$18=1,'Bonding Program'!$H$18&gt;'Bonding Program'!$C$8,I$3='Bonding Program'!$H$18),'Bonding Program'!$T$18-'Bonding Program'!$U$18-'Bonding Program'!$Z$18,0)-IF(AND('Bonding Program'!$S$18=1,'Bonding Program'!$H$18&lt;='Bonding Program'!$C$8,I$3=IF('Bonding Program'!$P$18&lt;&gt;"",'Bonding Program'!$P$18,'Bonding Program'!$C$8)),'Bonding Program'!$Z$18,0)+IF(AND('Bonding Program'!$P$18&lt;&gt;"",I$3='Bonding Program'!$P$18,I$3&lt;='Bonding Program'!$C$8),N('Bonding Program'!$O$18),0)</f>
        <v>0</v>
      </c>
      <c r="J159" s="19" t="n">
        <f aca="false">IF(AND('Bonding Program'!$S$18=1,'Bonding Program'!$H$18&gt;'Bonding Program'!$C$8,J$3='Bonding Program'!$H$18),'Bonding Program'!$T$18-'Bonding Program'!$U$18-'Bonding Program'!$Z$18,0)-IF(AND('Bonding Program'!$S$18=1,'Bonding Program'!$H$18&lt;='Bonding Program'!$C$8,J$3=IF('Bonding Program'!$P$18&lt;&gt;"",'Bonding Program'!$P$18,'Bonding Program'!$C$8)),'Bonding Program'!$Z$18,0)+IF(AND('Bonding Program'!$P$18&lt;&gt;"",J$3='Bonding Program'!$P$18,J$3&lt;='Bonding Program'!$C$8),N('Bonding Program'!$O$18),0)</f>
        <v>0</v>
      </c>
      <c r="K159" s="19" t="n">
        <f aca="false">IF(AND('Bonding Program'!$S$18=1,'Bonding Program'!$H$18&gt;'Bonding Program'!$C$8,K$3='Bonding Program'!$H$18),'Bonding Program'!$T$18-'Bonding Program'!$U$18-'Bonding Program'!$Z$18,0)-IF(AND('Bonding Program'!$S$18=1,'Bonding Program'!$H$18&lt;='Bonding Program'!$C$8,K$3=IF('Bonding Program'!$P$18&lt;&gt;"",'Bonding Program'!$P$18,'Bonding Program'!$C$8)),'Bonding Program'!$Z$18,0)+IF(AND('Bonding Program'!$P$18&lt;&gt;"",K$3='Bonding Program'!$P$18,K$3&lt;='Bonding Program'!$C$8),N('Bonding Program'!$O$18),0)</f>
        <v>0</v>
      </c>
      <c r="L159" s="19" t="n">
        <f aca="false">IF(AND('Bonding Program'!$S$18=1,'Bonding Program'!$H$18&gt;'Bonding Program'!$C$8,L$3='Bonding Program'!$H$18),'Bonding Program'!$T$18-'Bonding Program'!$U$18-'Bonding Program'!$Z$18,0)-IF(AND('Bonding Program'!$S$18=1,'Bonding Program'!$H$18&lt;='Bonding Program'!$C$8,L$3=IF('Bonding Program'!$P$18&lt;&gt;"",'Bonding Program'!$P$18,'Bonding Program'!$C$8)),'Bonding Program'!$Z$18,0)+IF(AND('Bonding Program'!$P$18&lt;&gt;"",L$3='Bonding Program'!$P$18,L$3&lt;='Bonding Program'!$C$8),N('Bonding Program'!$O$18),0)</f>
        <v>0</v>
      </c>
      <c r="M159" s="19" t="n">
        <f aca="false">IF(AND('Bonding Program'!$S$18=1,'Bonding Program'!$H$18&gt;'Bonding Program'!$C$8,M$3='Bonding Program'!$H$18),'Bonding Program'!$T$18-'Bonding Program'!$U$18-'Bonding Program'!$Z$18,0)-IF(AND('Bonding Program'!$S$18=1,'Bonding Program'!$H$18&lt;='Bonding Program'!$C$8,M$3=IF('Bonding Program'!$P$18&lt;&gt;"",'Bonding Program'!$P$18,'Bonding Program'!$C$8)),'Bonding Program'!$Z$18,0)+IF(AND('Bonding Program'!$P$18&lt;&gt;"",M$3='Bonding Program'!$P$18,M$3&lt;='Bonding Program'!$C$8),N('Bonding Program'!$O$18),0)</f>
        <v>0</v>
      </c>
      <c r="N159" s="19" t="n">
        <f aca="false">IF(AND('Bonding Program'!$S$18=1,'Bonding Program'!$H$18&gt;'Bonding Program'!$C$8,N$3='Bonding Program'!$H$18),'Bonding Program'!$T$18-'Bonding Program'!$U$18-'Bonding Program'!$Z$18,0)-IF(AND('Bonding Program'!$S$18=1,'Bonding Program'!$H$18&lt;='Bonding Program'!$C$8,N$3=IF('Bonding Program'!$P$18&lt;&gt;"",'Bonding Program'!$P$18,'Bonding Program'!$C$8)),'Bonding Program'!$Z$18,0)+IF(AND('Bonding Program'!$P$18&lt;&gt;"",N$3='Bonding Program'!$P$18,N$3&lt;='Bonding Program'!$C$8),N('Bonding Program'!$O$18),0)</f>
        <v>0</v>
      </c>
      <c r="O159" s="19" t="n">
        <f aca="false">IF(AND('Bonding Program'!$S$18=1,'Bonding Program'!$H$18&gt;'Bonding Program'!$C$8,O$3='Bonding Program'!$H$18),'Bonding Program'!$T$18-'Bonding Program'!$U$18-'Bonding Program'!$Z$18,0)-IF(AND('Bonding Program'!$S$18=1,'Bonding Program'!$H$18&lt;='Bonding Program'!$C$8,O$3=IF('Bonding Program'!$P$18&lt;&gt;"",'Bonding Program'!$P$18,'Bonding Program'!$C$8)),'Bonding Program'!$Z$18,0)+IF(AND('Bonding Program'!$P$18&lt;&gt;"",O$3='Bonding Program'!$P$18,O$3&lt;='Bonding Program'!$C$8),N('Bonding Program'!$O$18),0)</f>
        <v>0</v>
      </c>
      <c r="P159" s="19" t="n">
        <f aca="false">IF(AND('Bonding Program'!$S$18=1,'Bonding Program'!$H$18&gt;'Bonding Program'!$C$8,P$3='Bonding Program'!$H$18),'Bonding Program'!$T$18-'Bonding Program'!$U$18-'Bonding Program'!$Z$18,0)-IF(AND('Bonding Program'!$S$18=1,'Bonding Program'!$H$18&lt;='Bonding Program'!$C$8,P$3=IF('Bonding Program'!$P$18&lt;&gt;"",'Bonding Program'!$P$18,'Bonding Program'!$C$8)),'Bonding Program'!$Z$18,0)+IF(AND('Bonding Program'!$P$18&lt;&gt;"",P$3='Bonding Program'!$P$18,P$3&lt;='Bonding Program'!$C$8),N('Bonding Program'!$O$18),0)</f>
        <v>0</v>
      </c>
      <c r="Q159" s="19" t="n">
        <f aca="false">IF(AND('Bonding Program'!$S$18=1,'Bonding Program'!$H$18&gt;'Bonding Program'!$C$8,Q$3='Bonding Program'!$H$18),'Bonding Program'!$T$18-'Bonding Program'!$U$18-'Bonding Program'!$Z$18,0)-IF(AND('Bonding Program'!$S$18=1,'Bonding Program'!$H$18&lt;='Bonding Program'!$C$8,Q$3=IF('Bonding Program'!$P$18&lt;&gt;"",'Bonding Program'!$P$18,'Bonding Program'!$C$8)),'Bonding Program'!$Z$18,0)+IF(AND('Bonding Program'!$P$18&lt;&gt;"",Q$3='Bonding Program'!$P$18,Q$3&lt;='Bonding Program'!$C$8),N('Bonding Program'!$O$18),0)</f>
        <v>0</v>
      </c>
      <c r="R159" s="19" t="n">
        <f aca="false">IF(AND('Bonding Program'!$S$18=1,'Bonding Program'!$H$18&gt;'Bonding Program'!$C$8,R$3='Bonding Program'!$H$18),'Bonding Program'!$T$18-'Bonding Program'!$U$18-'Bonding Program'!$Z$18,0)-IF(AND('Bonding Program'!$S$18=1,'Bonding Program'!$H$18&lt;='Bonding Program'!$C$8,R$3=IF('Bonding Program'!$P$18&lt;&gt;"",'Bonding Program'!$P$18,'Bonding Program'!$C$8)),'Bonding Program'!$Z$18,0)+IF(AND('Bonding Program'!$P$18&lt;&gt;"",R$3='Bonding Program'!$P$18,R$3&lt;='Bonding Program'!$C$8),N('Bonding Program'!$O$18),0)</f>
        <v>0</v>
      </c>
      <c r="S159" s="19" t="n">
        <f aca="false">IF(AND('Bonding Program'!$S$18=1,'Bonding Program'!$H$18&gt;'Bonding Program'!$C$8,S$3='Bonding Program'!$H$18),'Bonding Program'!$T$18-'Bonding Program'!$U$18-'Bonding Program'!$Z$18,0)-IF(AND('Bonding Program'!$S$18=1,'Bonding Program'!$H$18&lt;='Bonding Program'!$C$8,S$3=IF('Bonding Program'!$P$18&lt;&gt;"",'Bonding Program'!$P$18,'Bonding Program'!$C$8)),'Bonding Program'!$Z$18,0)+IF(AND('Bonding Program'!$P$18&lt;&gt;"",S$3='Bonding Program'!$P$18,S$3&lt;='Bonding Program'!$C$8),N('Bonding Program'!$O$18),0)</f>
        <v>0</v>
      </c>
      <c r="T159" s="19" t="n">
        <f aca="false">IF(AND('Bonding Program'!$S$18=1,'Bonding Program'!$H$18&gt;'Bonding Program'!$C$8,T$3='Bonding Program'!$H$18),'Bonding Program'!$T$18-'Bonding Program'!$U$18-'Bonding Program'!$Z$18,0)-IF(AND('Bonding Program'!$S$18=1,'Bonding Program'!$H$18&lt;='Bonding Program'!$C$8,T$3=IF('Bonding Program'!$P$18&lt;&gt;"",'Bonding Program'!$P$18,'Bonding Program'!$C$8)),'Bonding Program'!$Z$18,0)+IF(AND('Bonding Program'!$P$18&lt;&gt;"",T$3='Bonding Program'!$P$18,T$3&lt;='Bonding Program'!$C$8),N('Bonding Program'!$O$18),0)</f>
        <v>0</v>
      </c>
      <c r="U159" s="19" t="n">
        <f aca="false">IF(AND('Bonding Program'!$S$18=1,'Bonding Program'!$H$18&gt;'Bonding Program'!$C$8,U$3='Bonding Program'!$H$18),'Bonding Program'!$T$18-'Bonding Program'!$U$18-'Bonding Program'!$Z$18,0)-IF(AND('Bonding Program'!$S$18=1,'Bonding Program'!$H$18&lt;='Bonding Program'!$C$8,U$3=IF('Bonding Program'!$P$18&lt;&gt;"",'Bonding Program'!$P$18,'Bonding Program'!$C$8)),'Bonding Program'!$Z$18,0)+IF(AND('Bonding Program'!$P$18&lt;&gt;"",U$3='Bonding Program'!$P$18,U$3&lt;='Bonding Program'!$C$8),N('Bonding Program'!$O$18),0)</f>
        <v>0</v>
      </c>
      <c r="V159" s="19" t="n">
        <f aca="false">IF(AND('Bonding Program'!$S$18=1,'Bonding Program'!$H$18&gt;'Bonding Program'!$C$8,V$3='Bonding Program'!$H$18),'Bonding Program'!$T$18-'Bonding Program'!$U$18-'Bonding Program'!$Z$18,0)-IF(AND('Bonding Program'!$S$18=1,'Bonding Program'!$H$18&lt;='Bonding Program'!$C$8,V$3=IF('Bonding Program'!$P$18&lt;&gt;"",'Bonding Program'!$P$18,'Bonding Program'!$C$8)),'Bonding Program'!$Z$18,0)+IF(AND('Bonding Program'!$P$18&lt;&gt;"",V$3='Bonding Program'!$P$18,V$3&lt;='Bonding Program'!$C$8),N('Bonding Program'!$O$18),0)</f>
        <v>0</v>
      </c>
      <c r="W159" s="19" t="n">
        <f aca="false">IF(AND('Bonding Program'!$S$18=1,'Bonding Program'!$H$18&gt;'Bonding Program'!$C$8,W$3='Bonding Program'!$H$18),'Bonding Program'!$T$18-'Bonding Program'!$U$18-'Bonding Program'!$Z$18,0)-IF(AND('Bonding Program'!$S$18=1,'Bonding Program'!$H$18&lt;='Bonding Program'!$C$8,W$3=IF('Bonding Program'!$P$18&lt;&gt;"",'Bonding Program'!$P$18,'Bonding Program'!$C$8)),'Bonding Program'!$Z$18,0)+IF(AND('Bonding Program'!$P$18&lt;&gt;"",W$3='Bonding Program'!$P$18,W$3&lt;='Bonding Program'!$C$8),N('Bonding Program'!$O$18),0)</f>
        <v>0</v>
      </c>
      <c r="X159" s="19" t="n">
        <f aca="false">IF(AND('Bonding Program'!$S$18=1,'Bonding Program'!$H$18&gt;'Bonding Program'!$C$8,X$3='Bonding Program'!$H$18),'Bonding Program'!$T$18-'Bonding Program'!$U$18-'Bonding Program'!$Z$18,0)-IF(AND('Bonding Program'!$S$18=1,'Bonding Program'!$H$18&lt;='Bonding Program'!$C$8,X$3=IF('Bonding Program'!$P$18&lt;&gt;"",'Bonding Program'!$P$18,'Bonding Program'!$C$8)),'Bonding Program'!$Z$18,0)+IF(AND('Bonding Program'!$P$18&lt;&gt;"",X$3='Bonding Program'!$P$18,X$3&lt;='Bonding Program'!$C$8),N('Bonding Program'!$O$18),0)</f>
        <v>0</v>
      </c>
      <c r="Y159" s="19" t="n">
        <f aca="false">IF(AND('Bonding Program'!$S$18=1,'Bonding Program'!$H$18&gt;'Bonding Program'!$C$8,Y$3='Bonding Program'!$H$18),'Bonding Program'!$T$18-'Bonding Program'!$U$18-'Bonding Program'!$Z$18,0)-IF(AND('Bonding Program'!$S$18=1,'Bonding Program'!$H$18&lt;='Bonding Program'!$C$8,Y$3=IF('Bonding Program'!$P$18&lt;&gt;"",'Bonding Program'!$P$18,'Bonding Program'!$C$8)),'Bonding Program'!$Z$18,0)+IF(AND('Bonding Program'!$P$18&lt;&gt;"",Y$3='Bonding Program'!$P$18,Y$3&lt;='Bonding Program'!$C$8),N('Bonding Program'!$O$18),0)</f>
        <v>0</v>
      </c>
      <c r="Z159" s="19" t="n">
        <f aca="false">IF(AND('Bonding Program'!$S$18=1,'Bonding Program'!$H$18&gt;'Bonding Program'!$C$8,Z$3='Bonding Program'!$H$18),'Bonding Program'!$T$18-'Bonding Program'!$U$18-'Bonding Program'!$Z$18,0)-IF(AND('Bonding Program'!$S$18=1,'Bonding Program'!$H$18&lt;='Bonding Program'!$C$8,Z$3=IF('Bonding Program'!$P$18&lt;&gt;"",'Bonding Program'!$P$18,'Bonding Program'!$C$8)),'Bonding Program'!$Z$18,0)+IF(AND('Bonding Program'!$P$18&lt;&gt;"",Z$3='Bonding Program'!$P$18,Z$3&lt;='Bonding Program'!$C$8),N('Bonding Program'!$O$18),0)</f>
        <v>0</v>
      </c>
      <c r="AA159" s="19" t="n">
        <f aca="false">IF(AND('Bonding Program'!$S$18=1,'Bonding Program'!$H$18&gt;'Bonding Program'!$C$8,AA$3='Bonding Program'!$H$18),'Bonding Program'!$T$18-'Bonding Program'!$U$18-'Bonding Program'!$Z$18,0)-IF(AND('Bonding Program'!$S$18=1,'Bonding Program'!$H$18&lt;='Bonding Program'!$C$8,AA$3=IF('Bonding Program'!$P$18&lt;&gt;"",'Bonding Program'!$P$18,'Bonding Program'!$C$8)),'Bonding Program'!$Z$18,0)+IF(AND('Bonding Program'!$P$18&lt;&gt;"",AA$3='Bonding Program'!$P$18,AA$3&lt;='Bonding Program'!$C$8),N('Bonding Program'!$O$18),0)</f>
        <v>0</v>
      </c>
      <c r="AB159" s="19" t="n">
        <f aca="false">IF(AND('Bonding Program'!$S$18=1,'Bonding Program'!$H$18&gt;'Bonding Program'!$C$8,AB$3='Bonding Program'!$H$18),'Bonding Program'!$T$18-'Bonding Program'!$U$18-'Bonding Program'!$Z$18,0)-IF(AND('Bonding Program'!$S$18=1,'Bonding Program'!$H$18&lt;='Bonding Program'!$C$8,AB$3=IF('Bonding Program'!$P$18&lt;&gt;"",'Bonding Program'!$P$18,'Bonding Program'!$C$8)),'Bonding Program'!$Z$18,0)+IF(AND('Bonding Program'!$P$18&lt;&gt;"",AB$3='Bonding Program'!$P$18,AB$3&lt;='Bonding Program'!$C$8),N('Bonding Program'!$O$18),0)</f>
        <v>0</v>
      </c>
      <c r="AC159" s="19" t="n">
        <f aca="false">IF(AND('Bonding Program'!$S$18=1,'Bonding Program'!$H$18&gt;'Bonding Program'!$C$8,AC$3='Bonding Program'!$H$18),'Bonding Program'!$T$18-'Bonding Program'!$U$18-'Bonding Program'!$Z$18,0)-IF(AND('Bonding Program'!$S$18=1,'Bonding Program'!$H$18&lt;='Bonding Program'!$C$8,AC$3=IF('Bonding Program'!$P$18&lt;&gt;"",'Bonding Program'!$P$18,'Bonding Program'!$C$8)),'Bonding Program'!$Z$18,0)+IF(AND('Bonding Program'!$P$18&lt;&gt;"",AC$3='Bonding Program'!$P$18,AC$3&lt;='Bonding Program'!$C$8),N('Bonding Program'!$O$18),0)</f>
        <v>0</v>
      </c>
      <c r="AD159" s="19" t="n">
        <f aca="false">IF(AND('Bonding Program'!$S$18=1,'Bonding Program'!$H$18&gt;'Bonding Program'!$C$8,AD$3='Bonding Program'!$H$18),'Bonding Program'!$T$18-'Bonding Program'!$U$18-'Bonding Program'!$Z$18,0)-IF(AND('Bonding Program'!$S$18=1,'Bonding Program'!$H$18&lt;='Bonding Program'!$C$8,AD$3=IF('Bonding Program'!$P$18&lt;&gt;"",'Bonding Program'!$P$18,'Bonding Program'!$C$8)),'Bonding Program'!$Z$18,0)+IF(AND('Bonding Program'!$P$18&lt;&gt;"",AD$3='Bonding Program'!$P$18,AD$3&lt;='Bonding Program'!$C$8),N('Bonding Program'!$O$18),0)</f>
        <v>0</v>
      </c>
      <c r="AE159" s="19" t="n">
        <f aca="false">IF(AND('Bonding Program'!$S$18=1,'Bonding Program'!$H$18&gt;'Bonding Program'!$C$8,AE$3='Bonding Program'!$H$18),'Bonding Program'!$T$18-'Bonding Program'!$U$18-'Bonding Program'!$Z$18,0)-IF(AND('Bonding Program'!$S$18=1,'Bonding Program'!$H$18&lt;='Bonding Program'!$C$8,AE$3=IF('Bonding Program'!$P$18&lt;&gt;"",'Bonding Program'!$P$18,'Bonding Program'!$C$8)),'Bonding Program'!$Z$18,0)+IF(AND('Bonding Program'!$P$18&lt;&gt;"",AE$3='Bonding Program'!$P$18,AE$3&lt;='Bonding Program'!$C$8),N('Bonding Program'!$O$18),0)</f>
        <v>0</v>
      </c>
      <c r="AF159" s="19" t="n">
        <f aca="false">IF(AND('Bonding Program'!$S$18=1,'Bonding Program'!$H$18&gt;'Bonding Program'!$C$8,AF$3='Bonding Program'!$H$18),'Bonding Program'!$T$18-'Bonding Program'!$U$18-'Bonding Program'!$Z$18,0)-IF(AND('Bonding Program'!$S$18=1,'Bonding Program'!$H$18&lt;='Bonding Program'!$C$8,AF$3=IF('Bonding Program'!$P$18&lt;&gt;"",'Bonding Program'!$P$18,'Bonding Program'!$C$8)),'Bonding Program'!$Z$18,0)+IF(AND('Bonding Program'!$P$18&lt;&gt;"",AF$3='Bonding Program'!$P$18,AF$3&lt;='Bonding Program'!$C$8),N('Bonding Program'!$O$18),0)</f>
        <v>0</v>
      </c>
      <c r="AG159" s="19" t="n">
        <f aca="false">IF(AND('Bonding Program'!$S$18=1,'Bonding Program'!$H$18&gt;'Bonding Program'!$C$8,AG$3='Bonding Program'!$H$18),'Bonding Program'!$T$18-'Bonding Program'!$U$18-'Bonding Program'!$Z$18,0)-IF(AND('Bonding Program'!$S$18=1,'Bonding Program'!$H$18&lt;='Bonding Program'!$C$8,AG$3=IF('Bonding Program'!$P$18&lt;&gt;"",'Bonding Program'!$P$18,'Bonding Program'!$C$8)),'Bonding Program'!$Z$18,0)+IF(AND('Bonding Program'!$P$18&lt;&gt;"",AG$3='Bonding Program'!$P$18,AG$3&lt;='Bonding Program'!$C$8),N('Bonding Program'!$O$18),0)</f>
        <v>0</v>
      </c>
      <c r="AH159" s="19" t="n">
        <f aca="false">IF(AND('Bonding Program'!$S$18=1,'Bonding Program'!$H$18&gt;'Bonding Program'!$C$8,AH$3='Bonding Program'!$H$18),'Bonding Program'!$T$18-'Bonding Program'!$U$18-'Bonding Program'!$Z$18,0)-IF(AND('Bonding Program'!$S$18=1,'Bonding Program'!$H$18&lt;='Bonding Program'!$C$8,AH$3=IF('Bonding Program'!$P$18&lt;&gt;"",'Bonding Program'!$P$18,'Bonding Program'!$C$8)),'Bonding Program'!$Z$18,0)+IF(AND('Bonding Program'!$P$18&lt;&gt;"",AH$3='Bonding Program'!$P$18,AH$3&lt;='Bonding Program'!$C$8),N('Bonding Program'!$O$18),0)</f>
        <v>0</v>
      </c>
      <c r="AI159" s="19" t="n">
        <f aca="false">IF(AND('Bonding Program'!$S$18=1,'Bonding Program'!$H$18&gt;'Bonding Program'!$C$8,AI$3='Bonding Program'!$H$18),'Bonding Program'!$T$18-'Bonding Program'!$U$18-'Bonding Program'!$Z$18,0)-IF(AND('Bonding Program'!$S$18=1,'Bonding Program'!$H$18&lt;='Bonding Program'!$C$8,AI$3=IF('Bonding Program'!$P$18&lt;&gt;"",'Bonding Program'!$P$18,'Bonding Program'!$C$8)),'Bonding Program'!$Z$18,0)+IF(AND('Bonding Program'!$P$18&lt;&gt;"",AI$3='Bonding Program'!$P$18,AI$3&lt;='Bonding Program'!$C$8),N('Bonding Program'!$O$18),0)</f>
        <v>0</v>
      </c>
      <c r="AJ159" s="19" t="n">
        <f aca="false">IF(AND('Bonding Program'!$S$18=1,'Bonding Program'!$H$18&gt;'Bonding Program'!$C$8,AJ$3='Bonding Program'!$H$18),'Bonding Program'!$T$18-'Bonding Program'!$U$18-'Bonding Program'!$Z$18,0)-IF(AND('Bonding Program'!$S$18=1,'Bonding Program'!$H$18&lt;='Bonding Program'!$C$8,AJ$3=IF('Bonding Program'!$P$18&lt;&gt;"",'Bonding Program'!$P$18,'Bonding Program'!$C$8)),'Bonding Program'!$Z$18,0)+IF(AND('Bonding Program'!$P$18&lt;&gt;"",AJ$3='Bonding Program'!$P$18,AJ$3&lt;='Bonding Program'!$C$8),N('Bonding Program'!$O$18),0)</f>
        <v>0</v>
      </c>
      <c r="AK159" s="19" t="n">
        <f aca="false">IF(AND('Bonding Program'!$S$18=1,'Bonding Program'!$H$18&gt;'Bonding Program'!$C$8,AK$3='Bonding Program'!$H$18),'Bonding Program'!$T$18-'Bonding Program'!$U$18-'Bonding Program'!$Z$18,0)-IF(AND('Bonding Program'!$S$18=1,'Bonding Program'!$H$18&lt;='Bonding Program'!$C$8,AK$3=IF('Bonding Program'!$P$18&lt;&gt;"",'Bonding Program'!$P$18,'Bonding Program'!$C$8)),'Bonding Program'!$Z$18,0)+IF(AND('Bonding Program'!$P$18&lt;&gt;"",AK$3='Bonding Program'!$P$18,AK$3&lt;='Bonding Program'!$C$8),N('Bonding Program'!$O$18),0)</f>
        <v>0</v>
      </c>
      <c r="AL159" s="19" t="n">
        <f aca="false">IF(AND('Bonding Program'!$S$18=1,'Bonding Program'!$H$18&gt;'Bonding Program'!$C$8,AL$3='Bonding Program'!$H$18),'Bonding Program'!$T$18-'Bonding Program'!$U$18-'Bonding Program'!$Z$18,0)-IF(AND('Bonding Program'!$S$18=1,'Bonding Program'!$H$18&lt;='Bonding Program'!$C$8,AL$3=IF('Bonding Program'!$P$18&lt;&gt;"",'Bonding Program'!$P$18,'Bonding Program'!$C$8)),'Bonding Program'!$Z$18,0)+IF(AND('Bonding Program'!$P$18&lt;&gt;"",AL$3='Bonding Program'!$P$18,AL$3&lt;='Bonding Program'!$C$8),N('Bonding Program'!$O$18),0)</f>
        <v>0</v>
      </c>
      <c r="AM159" s="19" t="n">
        <f aca="false">IF(AND('Bonding Program'!$S$18=1,'Bonding Program'!$H$18&gt;'Bonding Program'!$C$8,AM$3='Bonding Program'!$H$18),'Bonding Program'!$T$18-'Bonding Program'!$U$18-'Bonding Program'!$Z$18,0)-IF(AND('Bonding Program'!$S$18=1,'Bonding Program'!$H$18&lt;='Bonding Program'!$C$8,AM$3=IF('Bonding Program'!$P$18&lt;&gt;"",'Bonding Program'!$P$18,'Bonding Program'!$C$8)),'Bonding Program'!$Z$18,0)+IF(AND('Bonding Program'!$P$18&lt;&gt;"",AM$3='Bonding Program'!$P$18,AM$3&lt;='Bonding Program'!$C$8),N('Bonding Program'!$O$18),0)</f>
        <v>0</v>
      </c>
      <c r="AN159" s="19" t="n">
        <f aca="false">IF(AND('Bonding Program'!$S$18=1,'Bonding Program'!$H$18&gt;'Bonding Program'!$C$8,AN$3='Bonding Program'!$H$18),'Bonding Program'!$T$18-'Bonding Program'!$U$18-'Bonding Program'!$Z$18,0)-IF(AND('Bonding Program'!$S$18=1,'Bonding Program'!$H$18&lt;='Bonding Program'!$C$8,AN$3=IF('Bonding Program'!$P$18&lt;&gt;"",'Bonding Program'!$P$18,'Bonding Program'!$C$8)),'Bonding Program'!$Z$18,0)+IF(AND('Bonding Program'!$P$18&lt;&gt;"",AN$3='Bonding Program'!$P$18,AN$3&lt;='Bonding Program'!$C$8),N('Bonding Program'!$O$18),0)</f>
        <v>0</v>
      </c>
      <c r="AO159" s="19" t="n">
        <f aca="false">IF(AND('Bonding Program'!$S$18=1,'Bonding Program'!$H$18&gt;'Bonding Program'!$C$8,AO$3='Bonding Program'!$H$18),'Bonding Program'!$T$18-'Bonding Program'!$U$18-'Bonding Program'!$Z$18,0)-IF(AND('Bonding Program'!$S$18=1,'Bonding Program'!$H$18&lt;='Bonding Program'!$C$8,AO$3=IF('Bonding Program'!$P$18&lt;&gt;"",'Bonding Program'!$P$18,'Bonding Program'!$C$8)),'Bonding Program'!$Z$18,0)+IF(AND('Bonding Program'!$P$18&lt;&gt;"",AO$3='Bonding Program'!$P$18,AO$3&lt;='Bonding Program'!$C$8),N('Bonding Program'!$O$18),0)</f>
        <v>0</v>
      </c>
      <c r="AP159" s="19" t="n">
        <f aca="false">IF(AND('Bonding Program'!$S$18=1,'Bonding Program'!$H$18&gt;'Bonding Program'!$C$8,AP$3='Bonding Program'!$H$18),'Bonding Program'!$T$18-'Bonding Program'!$U$18-'Bonding Program'!$Z$18,0)-IF(AND('Bonding Program'!$S$18=1,'Bonding Program'!$H$18&lt;='Bonding Program'!$C$8,AP$3=IF('Bonding Program'!$P$18&lt;&gt;"",'Bonding Program'!$P$18,'Bonding Program'!$C$8)),'Bonding Program'!$Z$18,0)+IF(AND('Bonding Program'!$P$18&lt;&gt;"",AP$3='Bonding Program'!$P$18,AP$3&lt;='Bonding Program'!$C$8),N('Bonding Program'!$O$18),0)</f>
        <v>0</v>
      </c>
      <c r="AQ159" s="19" t="n">
        <f aca="false">IF(AND('Bonding Program'!$S$18=1,'Bonding Program'!$H$18&gt;'Bonding Program'!$C$8,AQ$3='Bonding Program'!$H$18),'Bonding Program'!$T$18-'Bonding Program'!$U$18-'Bonding Program'!$Z$18,0)-IF(AND('Bonding Program'!$S$18=1,'Bonding Program'!$H$18&lt;='Bonding Program'!$C$8,AQ$3=IF('Bonding Program'!$P$18&lt;&gt;"",'Bonding Program'!$P$18,'Bonding Program'!$C$8)),'Bonding Program'!$Z$18,0)+IF(AND('Bonding Program'!$P$18&lt;&gt;"",AQ$3='Bonding Program'!$P$18,AQ$3&lt;='Bonding Program'!$C$8),N('Bonding Program'!$O$18),0)</f>
        <v>0</v>
      </c>
      <c r="AR159" s="19" t="n">
        <f aca="false">IF(AND('Bonding Program'!$S$18=1,'Bonding Program'!$H$18&gt;'Bonding Program'!$C$8,AR$3='Bonding Program'!$H$18),'Bonding Program'!$T$18-'Bonding Program'!$U$18-'Bonding Program'!$Z$18,0)-IF(AND('Bonding Program'!$S$18=1,'Bonding Program'!$H$18&lt;='Bonding Program'!$C$8,AR$3=IF('Bonding Program'!$P$18&lt;&gt;"",'Bonding Program'!$P$18,'Bonding Program'!$C$8)),'Bonding Program'!$Z$18,0)+IF(AND('Bonding Program'!$P$18&lt;&gt;"",AR$3='Bonding Program'!$P$18,AR$3&lt;='Bonding Program'!$C$8),N('Bonding Program'!$O$18),0)</f>
        <v>0</v>
      </c>
      <c r="AS159" s="19" t="n">
        <f aca="false">IF(AND('Bonding Program'!$S$18=1,'Bonding Program'!$H$18&gt;'Bonding Program'!$C$8,AS$3='Bonding Program'!$H$18),'Bonding Program'!$T$18-'Bonding Program'!$U$18-'Bonding Program'!$Z$18,0)-IF(AND('Bonding Program'!$S$18=1,'Bonding Program'!$H$18&lt;='Bonding Program'!$C$8,AS$3=IF('Bonding Program'!$P$18&lt;&gt;"",'Bonding Program'!$P$18,'Bonding Program'!$C$8)),'Bonding Program'!$Z$18,0)+IF(AND('Bonding Program'!$P$18&lt;&gt;"",AS$3='Bonding Program'!$P$18,AS$3&lt;='Bonding Program'!$C$8),N('Bonding Program'!$O$18),0)</f>
        <v>0</v>
      </c>
      <c r="AT159" s="19" t="n">
        <f aca="false">IF(AND('Bonding Program'!$S$18=1,'Bonding Program'!$H$18&gt;'Bonding Program'!$C$8,AT$3='Bonding Program'!$H$18),'Bonding Program'!$T$18-'Bonding Program'!$U$18-'Bonding Program'!$Z$18,0)-IF(AND('Bonding Program'!$S$18=1,'Bonding Program'!$H$18&lt;='Bonding Program'!$C$8,AT$3=IF('Bonding Program'!$P$18&lt;&gt;"",'Bonding Program'!$P$18,'Bonding Program'!$C$8)),'Bonding Program'!$Z$18,0)+IF(AND('Bonding Program'!$P$18&lt;&gt;"",AT$3='Bonding Program'!$P$18,AT$3&lt;='Bonding Program'!$C$8),N('Bonding Program'!$O$18),0)</f>
        <v>0</v>
      </c>
      <c r="AU159" s="19" t="n">
        <f aca="false">IF(AND('Bonding Program'!$S$18=1,'Bonding Program'!$H$18&gt;'Bonding Program'!$C$8,AU$3='Bonding Program'!$H$18),'Bonding Program'!$T$18-'Bonding Program'!$U$18-'Bonding Program'!$Z$18,0)-IF(AND('Bonding Program'!$S$18=1,'Bonding Program'!$H$18&lt;='Bonding Program'!$C$8,AU$3=IF('Bonding Program'!$P$18&lt;&gt;"",'Bonding Program'!$P$18,'Bonding Program'!$C$8)),'Bonding Program'!$Z$18,0)+IF(AND('Bonding Program'!$P$18&lt;&gt;"",AU$3='Bonding Program'!$P$18,AU$3&lt;='Bonding Program'!$C$8),N('Bonding Program'!$O$18),0)</f>
        <v>0</v>
      </c>
      <c r="AV159" s="19" t="n">
        <f aca="false">IF(AND('Bonding Program'!$S$18=1,'Bonding Program'!$H$18&gt;'Bonding Program'!$C$8,AV$3='Bonding Program'!$H$18),'Bonding Program'!$T$18-'Bonding Program'!$U$18-'Bonding Program'!$Z$18,0)-IF(AND('Bonding Program'!$S$18=1,'Bonding Program'!$H$18&lt;='Bonding Program'!$C$8,AV$3=IF('Bonding Program'!$P$18&lt;&gt;"",'Bonding Program'!$P$18,'Bonding Program'!$C$8)),'Bonding Program'!$Z$18,0)+IF(AND('Bonding Program'!$P$18&lt;&gt;"",AV$3='Bonding Program'!$P$18,AV$3&lt;='Bonding Program'!$C$8),N('Bonding Program'!$O$18),0)</f>
        <v>0</v>
      </c>
      <c r="AW159" s="19" t="n">
        <f aca="false">IF(AND('Bonding Program'!$S$18=1,'Bonding Program'!$H$18&gt;'Bonding Program'!$C$8,AW$3='Bonding Program'!$H$18),'Bonding Program'!$T$18-'Bonding Program'!$U$18-'Bonding Program'!$Z$18,0)-IF(AND('Bonding Program'!$S$18=1,'Bonding Program'!$H$18&lt;='Bonding Program'!$C$8,AW$3=IF('Bonding Program'!$P$18&lt;&gt;"",'Bonding Program'!$P$18,'Bonding Program'!$C$8)),'Bonding Program'!$Z$18,0)+IF(AND('Bonding Program'!$P$18&lt;&gt;"",AW$3='Bonding Program'!$P$18,AW$3&lt;='Bonding Program'!$C$8),N('Bonding Program'!$O$18),0)</f>
        <v>0</v>
      </c>
      <c r="AX159" s="19" t="n">
        <f aca="false">IF(AND('Bonding Program'!$S$18=1,'Bonding Program'!$H$18&gt;'Bonding Program'!$C$8,AX$3='Bonding Program'!$H$18),'Bonding Program'!$T$18-'Bonding Program'!$U$18-'Bonding Program'!$Z$18,0)-IF(AND('Bonding Program'!$S$18=1,'Bonding Program'!$H$18&lt;='Bonding Program'!$C$8,AX$3=IF('Bonding Program'!$P$18&lt;&gt;"",'Bonding Program'!$P$18,'Bonding Program'!$C$8)),'Bonding Program'!$Z$18,0)+IF(AND('Bonding Program'!$P$18&lt;&gt;"",AX$3='Bonding Program'!$P$18,AX$3&lt;='Bonding Program'!$C$8),N('Bonding Program'!$O$18),0)</f>
        <v>0</v>
      </c>
      <c r="AY159" s="19" t="n">
        <f aca="false">IF(AND('Bonding Program'!$S$18=1,'Bonding Program'!$H$18&gt;'Bonding Program'!$C$8,AY$3='Bonding Program'!$H$18),'Bonding Program'!$T$18-'Bonding Program'!$U$18-'Bonding Program'!$Z$18,0)-IF(AND('Bonding Program'!$S$18=1,'Bonding Program'!$H$18&lt;='Bonding Program'!$C$8,AY$3=IF('Bonding Program'!$P$18&lt;&gt;"",'Bonding Program'!$P$18,'Bonding Program'!$C$8)),'Bonding Program'!$Z$18,0)+IF(AND('Bonding Program'!$P$18&lt;&gt;"",AY$3='Bonding Program'!$P$18,AY$3&lt;='Bonding Program'!$C$8),N('Bonding Program'!$O$18),0)</f>
        <v>0</v>
      </c>
      <c r="AZ159" s="19" t="n">
        <f aca="false">IF(AND('Bonding Program'!$S$18=1,'Bonding Program'!$H$18&gt;'Bonding Program'!$C$8,AZ$3='Bonding Program'!$H$18),'Bonding Program'!$T$18-'Bonding Program'!$U$18-'Bonding Program'!$Z$18,0)-IF(AND('Bonding Program'!$S$18=1,'Bonding Program'!$H$18&lt;='Bonding Program'!$C$8,AZ$3=IF('Bonding Program'!$P$18&lt;&gt;"",'Bonding Program'!$P$18,'Bonding Program'!$C$8)),'Bonding Program'!$Z$18,0)+IF(AND('Bonding Program'!$P$18&lt;&gt;"",AZ$3='Bonding Program'!$P$18,AZ$3&lt;='Bonding Program'!$C$8),N('Bonding Program'!$O$18),0)</f>
        <v>0</v>
      </c>
      <c r="BA159" s="19" t="n">
        <f aca="false">IF(AND('Bonding Program'!$S$18=1,'Bonding Program'!$H$18&gt;'Bonding Program'!$C$8,BA$3='Bonding Program'!$H$18),'Bonding Program'!$T$18-'Bonding Program'!$U$18-'Bonding Program'!$Z$18,0)-IF(AND('Bonding Program'!$S$18=1,'Bonding Program'!$H$18&lt;='Bonding Program'!$C$8,BA$3=IF('Bonding Program'!$P$18&lt;&gt;"",'Bonding Program'!$P$18,'Bonding Program'!$C$8)),'Bonding Program'!$Z$18,0)+IF(AND('Bonding Program'!$P$18&lt;&gt;"",BA$3='Bonding Program'!$P$18,BA$3&lt;='Bonding Program'!$C$8),N('Bonding Program'!$O$18),0)</f>
        <v>0</v>
      </c>
      <c r="BB159" s="19" t="n">
        <f aca="false">IF(AND('Bonding Program'!$S$18=1,'Bonding Program'!$H$18&gt;'Bonding Program'!$C$8,BB$3='Bonding Program'!$H$18),'Bonding Program'!$T$18-'Bonding Program'!$U$18-'Bonding Program'!$Z$18,0)-IF(AND('Bonding Program'!$S$18=1,'Bonding Program'!$H$18&lt;='Bonding Program'!$C$8,BB$3=IF('Bonding Program'!$P$18&lt;&gt;"",'Bonding Program'!$P$18,'Bonding Program'!$C$8)),'Bonding Program'!$Z$18,0)+IF(AND('Bonding Program'!$P$18&lt;&gt;"",BB$3='Bonding Program'!$P$18,BB$3&lt;='Bonding Program'!$C$8),N('Bonding Program'!$O$18),0)</f>
        <v>0</v>
      </c>
      <c r="BC159" s="19" t="n">
        <f aca="false">IF(AND('Bonding Program'!$S$18=1,'Bonding Program'!$H$18&gt;'Bonding Program'!$C$8,BC$3='Bonding Program'!$H$18),'Bonding Program'!$T$18-'Bonding Program'!$U$18-'Bonding Program'!$Z$18,0)-IF(AND('Bonding Program'!$S$18=1,'Bonding Program'!$H$18&lt;='Bonding Program'!$C$8,BC$3=IF('Bonding Program'!$P$18&lt;&gt;"",'Bonding Program'!$P$18,'Bonding Program'!$C$8)),'Bonding Program'!$Z$18,0)+IF(AND('Bonding Program'!$P$18&lt;&gt;"",BC$3='Bonding Program'!$P$18,BC$3&lt;='Bonding Program'!$C$8),N('Bonding Program'!$O$18),0)</f>
        <v>0</v>
      </c>
      <c r="BD159" s="19" t="n">
        <f aca="false">IF(AND('Bonding Program'!$S$18=1,'Bonding Program'!$H$18&gt;'Bonding Program'!$C$8,BD$3='Bonding Program'!$H$18),'Bonding Program'!$T$18-'Bonding Program'!$U$18-'Bonding Program'!$Z$18,0)-IF(AND('Bonding Program'!$S$18=1,'Bonding Program'!$H$18&lt;='Bonding Program'!$C$8,BD$3=IF('Bonding Program'!$P$18&lt;&gt;"",'Bonding Program'!$P$18,'Bonding Program'!$C$8)),'Bonding Program'!$Z$18,0)+IF(AND('Bonding Program'!$P$18&lt;&gt;"",BD$3='Bonding Program'!$P$18,BD$3&lt;='Bonding Program'!$C$8),N('Bonding Program'!$O$18),0)</f>
        <v>0</v>
      </c>
      <c r="BE159" s="19" t="n">
        <f aca="false">IF(AND('Bonding Program'!$S$18=1,'Bonding Program'!$H$18&gt;'Bonding Program'!$C$8,BE$3='Bonding Program'!$H$18),'Bonding Program'!$T$18-'Bonding Program'!$U$18-'Bonding Program'!$Z$18,0)-IF(AND('Bonding Program'!$S$18=1,'Bonding Program'!$H$18&lt;='Bonding Program'!$C$8,BE$3=IF('Bonding Program'!$P$18&lt;&gt;"",'Bonding Program'!$P$18,'Bonding Program'!$C$8)),'Bonding Program'!$Z$18,0)+IF(AND('Bonding Program'!$P$18&lt;&gt;"",BE$3='Bonding Program'!$P$18,BE$3&lt;='Bonding Program'!$C$8),N('Bonding Program'!$O$18),0)</f>
        <v>0</v>
      </c>
      <c r="BF159" s="19" t="n">
        <f aca="false">IF(AND('Bonding Program'!$S$18=1,'Bonding Program'!$H$18&gt;'Bonding Program'!$C$8,BF$3='Bonding Program'!$H$18),'Bonding Program'!$T$18-'Bonding Program'!$U$18-'Bonding Program'!$Z$18,0)-IF(AND('Bonding Program'!$S$18=1,'Bonding Program'!$H$18&lt;='Bonding Program'!$C$8,BF$3=IF('Bonding Program'!$P$18&lt;&gt;"",'Bonding Program'!$P$18,'Bonding Program'!$C$8)),'Bonding Program'!$Z$18,0)+IF(AND('Bonding Program'!$P$18&lt;&gt;"",BF$3='Bonding Program'!$P$18,BF$3&lt;='Bonding Program'!$C$8),N('Bonding Program'!$O$18),0)</f>
        <v>0</v>
      </c>
      <c r="BG159" s="19" t="n">
        <f aca="false">IF(AND('Bonding Program'!$S$18=1,'Bonding Program'!$H$18&gt;'Bonding Program'!$C$8,BG$3='Bonding Program'!$H$18),'Bonding Program'!$T$18-'Bonding Program'!$U$18-'Bonding Program'!$Z$18,0)-IF(AND('Bonding Program'!$S$18=1,'Bonding Program'!$H$18&lt;='Bonding Program'!$C$8,BG$3=IF('Bonding Program'!$P$18&lt;&gt;"",'Bonding Program'!$P$18,'Bonding Program'!$C$8)),'Bonding Program'!$Z$18,0)+IF(AND('Bonding Program'!$P$18&lt;&gt;"",BG$3='Bonding Program'!$P$18,BG$3&lt;='Bonding Program'!$C$8),N('Bonding Program'!$O$18),0)</f>
        <v>0</v>
      </c>
      <c r="BH159" s="19" t="n">
        <f aca="false">IF(AND('Bonding Program'!$S$18=1,'Bonding Program'!$H$18&gt;'Bonding Program'!$C$8,BH$3='Bonding Program'!$H$18),'Bonding Program'!$T$18-'Bonding Program'!$U$18-'Bonding Program'!$Z$18,0)-IF(AND('Bonding Program'!$S$18=1,'Bonding Program'!$H$18&lt;='Bonding Program'!$C$8,BH$3=IF('Bonding Program'!$P$18&lt;&gt;"",'Bonding Program'!$P$18,'Bonding Program'!$C$8)),'Bonding Program'!$Z$18,0)+IF(AND('Bonding Program'!$P$18&lt;&gt;"",BH$3='Bonding Program'!$P$18,BH$3&lt;='Bonding Program'!$C$8),N('Bonding Program'!$O$18),0)</f>
        <v>0</v>
      </c>
      <c r="BI159" s="19" t="n">
        <f aca="false">IF(AND('Bonding Program'!$S$18=1,'Bonding Program'!$H$18&gt;'Bonding Program'!$C$8,BI$3='Bonding Program'!$H$18),'Bonding Program'!$T$18-'Bonding Program'!$U$18-'Bonding Program'!$Z$18,0)-IF(AND('Bonding Program'!$S$18=1,'Bonding Program'!$H$18&lt;='Bonding Program'!$C$8,BI$3=IF('Bonding Program'!$P$18&lt;&gt;"",'Bonding Program'!$P$18,'Bonding Program'!$C$8)),'Bonding Program'!$Z$18,0)+IF(AND('Bonding Program'!$P$18&lt;&gt;"",BI$3='Bonding Program'!$P$18,BI$3&lt;='Bonding Program'!$C$8),N('Bonding Program'!$O$18),0)</f>
        <v>0</v>
      </c>
      <c r="BJ159" s="19" t="n">
        <f aca="false">IF(AND('Bonding Program'!$S$18=1,'Bonding Program'!$H$18&gt;'Bonding Program'!$C$8,BJ$3='Bonding Program'!$H$18),'Bonding Program'!$T$18-'Bonding Program'!$U$18-'Bonding Program'!$Z$18,0)-IF(AND('Bonding Program'!$S$18=1,'Bonding Program'!$H$18&lt;='Bonding Program'!$C$8,BJ$3=IF('Bonding Program'!$P$18&lt;&gt;"",'Bonding Program'!$P$18,'Bonding Program'!$C$8)),'Bonding Program'!$Z$18,0)+IF(AND('Bonding Program'!$P$18&lt;&gt;"",BJ$3='Bonding Program'!$P$18,BJ$3&lt;='Bonding Program'!$C$8),N('Bonding Program'!$O$18),0)</f>
        <v>0</v>
      </c>
      <c r="BK159" s="19" t="n">
        <f aca="false">IF(AND('Bonding Program'!$S$18=1,'Bonding Program'!$H$18&gt;'Bonding Program'!$C$8,BK$3='Bonding Program'!$H$18),'Bonding Program'!$T$18-'Bonding Program'!$U$18-'Bonding Program'!$Z$18,0)-IF(AND('Bonding Program'!$S$18=1,'Bonding Program'!$H$18&lt;='Bonding Program'!$C$8,BK$3=IF('Bonding Program'!$P$18&lt;&gt;"",'Bonding Program'!$P$18,'Bonding Program'!$C$8)),'Bonding Program'!$Z$18,0)+IF(AND('Bonding Program'!$P$18&lt;&gt;"",BK$3='Bonding Program'!$P$18,BK$3&lt;='Bonding Program'!$C$8),N('Bonding Program'!$O$18),0)</f>
        <v>0</v>
      </c>
      <c r="BL159" s="19" t="n">
        <f aca="false">IF(AND('Bonding Program'!$S$18=1,'Bonding Program'!$H$18&gt;'Bonding Program'!$C$8,BL$3='Bonding Program'!$H$18),'Bonding Program'!$T$18-'Bonding Program'!$U$18-'Bonding Program'!$Z$18,0)-IF(AND('Bonding Program'!$S$18=1,'Bonding Program'!$H$18&lt;='Bonding Program'!$C$8,BL$3=IF('Bonding Program'!$P$18&lt;&gt;"",'Bonding Program'!$P$18,'Bonding Program'!$C$8)),'Bonding Program'!$Z$18,0)+IF(AND('Bonding Program'!$P$18&lt;&gt;"",BL$3='Bonding Program'!$P$18,BL$3&lt;='Bonding Program'!$C$8),N('Bonding Program'!$O$18),0)</f>
        <v>0</v>
      </c>
      <c r="BM159" s="19" t="n">
        <f aca="false">IF(AND('Bonding Program'!$S$18=1,'Bonding Program'!$H$18&gt;'Bonding Program'!$C$8,BM$3='Bonding Program'!$H$18),'Bonding Program'!$T$18-'Bonding Program'!$U$18-'Bonding Program'!$Z$18,0)-IF(AND('Bonding Program'!$S$18=1,'Bonding Program'!$H$18&lt;='Bonding Program'!$C$8,BM$3=IF('Bonding Program'!$P$18&lt;&gt;"",'Bonding Program'!$P$18,'Bonding Program'!$C$8)),'Bonding Program'!$Z$18,0)+IF(AND('Bonding Program'!$P$18&lt;&gt;"",BM$3='Bonding Program'!$P$18,BM$3&lt;='Bonding Program'!$C$8),N('Bonding Program'!$O$18),0)</f>
        <v>0</v>
      </c>
      <c r="BN159" s="19" t="n">
        <f aca="false">IF(AND('Bonding Program'!$S$18=1,'Bonding Program'!$H$18&gt;'Bonding Program'!$C$8,BN$3='Bonding Program'!$H$18),'Bonding Program'!$T$18-'Bonding Program'!$U$18-'Bonding Program'!$Z$18,0)-IF(AND('Bonding Program'!$S$18=1,'Bonding Program'!$H$18&lt;='Bonding Program'!$C$8,BN$3=IF('Bonding Program'!$P$18&lt;&gt;"",'Bonding Program'!$P$18,'Bonding Program'!$C$8)),'Bonding Program'!$Z$18,0)+IF(AND('Bonding Program'!$P$18&lt;&gt;"",BN$3='Bonding Program'!$P$18,BN$3&lt;='Bonding Program'!$C$8),N('Bonding Program'!$O$18),0)</f>
        <v>0</v>
      </c>
      <c r="BO159" s="19" t="n">
        <f aca="false">IF(AND('Bonding Program'!$S$18=1,'Bonding Program'!$H$18&gt;'Bonding Program'!$C$8,BO$3='Bonding Program'!$H$18),'Bonding Program'!$T$18-'Bonding Program'!$U$18-'Bonding Program'!$Z$18,0)-IF(AND('Bonding Program'!$S$18=1,'Bonding Program'!$H$18&lt;='Bonding Program'!$C$8,BO$3=IF('Bonding Program'!$P$18&lt;&gt;"",'Bonding Program'!$P$18,'Bonding Program'!$C$8)),'Bonding Program'!$Z$18,0)+IF(AND('Bonding Program'!$P$18&lt;&gt;"",BO$3='Bonding Program'!$P$18,BO$3&lt;='Bonding Program'!$C$8),N('Bonding Program'!$O$18),0)</f>
        <v>0</v>
      </c>
      <c r="BP159" s="19" t="n">
        <f aca="false">IF(AND('Bonding Program'!$S$18=1,'Bonding Program'!$H$18&gt;'Bonding Program'!$C$8,BP$3='Bonding Program'!$H$18),'Bonding Program'!$T$18-'Bonding Program'!$U$18-'Bonding Program'!$Z$18,0)-IF(AND('Bonding Program'!$S$18=1,'Bonding Program'!$H$18&lt;='Bonding Program'!$C$8,BP$3=IF('Bonding Program'!$P$18&lt;&gt;"",'Bonding Program'!$P$18,'Bonding Program'!$C$8)),'Bonding Program'!$Z$18,0)+IF(AND('Bonding Program'!$P$18&lt;&gt;"",BP$3='Bonding Program'!$P$18,BP$3&lt;='Bonding Program'!$C$8),N('Bonding Program'!$O$18),0)</f>
        <v>0</v>
      </c>
      <c r="BQ159" s="19" t="n">
        <f aca="false">IF(AND('Bonding Program'!$S$18=1,'Bonding Program'!$H$18&gt;'Bonding Program'!$C$8,BQ$3='Bonding Program'!$H$18),'Bonding Program'!$T$18-'Bonding Program'!$U$18-'Bonding Program'!$Z$18,0)-IF(AND('Bonding Program'!$S$18=1,'Bonding Program'!$H$18&lt;='Bonding Program'!$C$8,BQ$3=IF('Bonding Program'!$P$18&lt;&gt;"",'Bonding Program'!$P$18,'Bonding Program'!$C$8)),'Bonding Program'!$Z$18,0)+IF(AND('Bonding Program'!$P$18&lt;&gt;"",BQ$3='Bonding Program'!$P$18,BQ$3&lt;='Bonding Program'!$C$8),N('Bonding Program'!$O$18),0)</f>
        <v>0</v>
      </c>
      <c r="BR159" s="19" t="n">
        <f aca="false">IF(AND('Bonding Program'!$S$18=1,'Bonding Program'!$H$18&gt;'Bonding Program'!$C$8,BR$3='Bonding Program'!$H$18),'Bonding Program'!$T$18-'Bonding Program'!$U$18-'Bonding Program'!$Z$18,0)-IF(AND('Bonding Program'!$S$18=1,'Bonding Program'!$H$18&lt;='Bonding Program'!$C$8,BR$3=IF('Bonding Program'!$P$18&lt;&gt;"",'Bonding Program'!$P$18,'Bonding Program'!$C$8)),'Bonding Program'!$Z$18,0)+IF(AND('Bonding Program'!$P$18&lt;&gt;"",BR$3='Bonding Program'!$P$18,BR$3&lt;='Bonding Program'!$C$8),N('Bonding Program'!$O$18),0)</f>
        <v>0</v>
      </c>
      <c r="BS159" s="19" t="n">
        <f aca="false">IF(AND('Bonding Program'!$S$18=1,'Bonding Program'!$H$18&gt;'Bonding Program'!$C$8,BS$3='Bonding Program'!$H$18),'Bonding Program'!$T$18-'Bonding Program'!$U$18-'Bonding Program'!$Z$18,0)-IF(AND('Bonding Program'!$S$18=1,'Bonding Program'!$H$18&lt;='Bonding Program'!$C$8,BS$3=IF('Bonding Program'!$P$18&lt;&gt;"",'Bonding Program'!$P$18,'Bonding Program'!$C$8)),'Bonding Program'!$Z$18,0)+IF(AND('Bonding Program'!$P$18&lt;&gt;"",BS$3='Bonding Program'!$P$18,BS$3&lt;='Bonding Program'!$C$8),N('Bonding Program'!$O$18),0)</f>
        <v>0</v>
      </c>
      <c r="BT159" s="19" t="n">
        <f aca="false">IF(AND('Bonding Program'!$S$18=1,'Bonding Program'!$H$18&gt;'Bonding Program'!$C$8,BT$3='Bonding Program'!$H$18),'Bonding Program'!$T$18-'Bonding Program'!$U$18-'Bonding Program'!$Z$18,0)-IF(AND('Bonding Program'!$S$18=1,'Bonding Program'!$H$18&lt;='Bonding Program'!$C$8,BT$3=IF('Bonding Program'!$P$18&lt;&gt;"",'Bonding Program'!$P$18,'Bonding Program'!$C$8)),'Bonding Program'!$Z$18,0)+IF(AND('Bonding Program'!$P$18&lt;&gt;"",BT$3='Bonding Program'!$P$18,BT$3&lt;='Bonding Program'!$C$8),N('Bonding Program'!$O$18),0)</f>
        <v>0</v>
      </c>
      <c r="BU159" s="19" t="n">
        <f aca="false">IF(AND('Bonding Program'!$S$18=1,'Bonding Program'!$H$18&gt;'Bonding Program'!$C$8,BU$3='Bonding Program'!$H$18),'Bonding Program'!$T$18-'Bonding Program'!$U$18-'Bonding Program'!$Z$18,0)-IF(AND('Bonding Program'!$S$18=1,'Bonding Program'!$H$18&lt;='Bonding Program'!$C$8,BU$3=IF('Bonding Program'!$P$18&lt;&gt;"",'Bonding Program'!$P$18,'Bonding Program'!$C$8)),'Bonding Program'!$Z$18,0)+IF(AND('Bonding Program'!$P$18&lt;&gt;"",BU$3='Bonding Program'!$P$18,BU$3&lt;='Bonding Program'!$C$8),N('Bonding Program'!$O$18),0)</f>
        <v>0</v>
      </c>
      <c r="BV159" s="19" t="n">
        <f aca="false">IF(AND('Bonding Program'!$S$18=1,'Bonding Program'!$H$18&gt;'Bonding Program'!$C$8,BV$3='Bonding Program'!$H$18),'Bonding Program'!$T$18-'Bonding Program'!$U$18-'Bonding Program'!$Z$18,0)-IF(AND('Bonding Program'!$S$18=1,'Bonding Program'!$H$18&lt;='Bonding Program'!$C$8,BV$3=IF('Bonding Program'!$P$18&lt;&gt;"",'Bonding Program'!$P$18,'Bonding Program'!$C$8)),'Bonding Program'!$Z$18,0)+IF(AND('Bonding Program'!$P$18&lt;&gt;"",BV$3='Bonding Program'!$P$18,BV$3&lt;='Bonding Program'!$C$8),N('Bonding Program'!$O$18),0)</f>
        <v>0</v>
      </c>
      <c r="BW159" s="19" t="n">
        <f aca="false">IF(AND('Bonding Program'!$S$18=1,'Bonding Program'!$H$18&gt;'Bonding Program'!$C$8,BW$3='Bonding Program'!$H$18),'Bonding Program'!$T$18-'Bonding Program'!$U$18-'Bonding Program'!$Z$18,0)-IF(AND('Bonding Program'!$S$18=1,'Bonding Program'!$H$18&lt;='Bonding Program'!$C$8,BW$3=IF('Bonding Program'!$P$18&lt;&gt;"",'Bonding Program'!$P$18,'Bonding Program'!$C$8)),'Bonding Program'!$Z$18,0)+IF(AND('Bonding Program'!$P$18&lt;&gt;"",BW$3='Bonding Program'!$P$18,BW$3&lt;='Bonding Program'!$C$8),N('Bonding Program'!$O$18),0)</f>
        <v>0</v>
      </c>
      <c r="BX159" s="19" t="n">
        <f aca="false">IF(AND('Bonding Program'!$S$18=1,'Bonding Program'!$H$18&gt;'Bonding Program'!$C$8,BX$3='Bonding Program'!$H$18),'Bonding Program'!$T$18-'Bonding Program'!$U$18-'Bonding Program'!$Z$18,0)-IF(AND('Bonding Program'!$S$18=1,'Bonding Program'!$H$18&lt;='Bonding Program'!$C$8,BX$3=IF('Bonding Program'!$P$18&lt;&gt;"",'Bonding Program'!$P$18,'Bonding Program'!$C$8)),'Bonding Program'!$Z$18,0)+IF(AND('Bonding Program'!$P$18&lt;&gt;"",BX$3='Bonding Program'!$P$18,BX$3&lt;='Bonding Program'!$C$8),N('Bonding Program'!$O$18),0)</f>
        <v>0</v>
      </c>
      <c r="BY159" s="19" t="n">
        <f aca="false">IF(AND('Bonding Program'!$S$18=1,'Bonding Program'!$H$18&gt;'Bonding Program'!$C$8,BY$3='Bonding Program'!$H$18),'Bonding Program'!$T$18-'Bonding Program'!$U$18-'Bonding Program'!$Z$18,0)-IF(AND('Bonding Program'!$S$18=1,'Bonding Program'!$H$18&lt;='Bonding Program'!$C$8,BY$3=IF('Bonding Program'!$P$18&lt;&gt;"",'Bonding Program'!$P$18,'Bonding Program'!$C$8)),'Bonding Program'!$Z$18,0)+IF(AND('Bonding Program'!$P$18&lt;&gt;"",BY$3='Bonding Program'!$P$18,BY$3&lt;='Bonding Program'!$C$8),N('Bonding Program'!$O$18),0)</f>
        <v>0</v>
      </c>
      <c r="BZ159" s="19" t="n">
        <f aca="false">IF(AND('Bonding Program'!$S$18=1,'Bonding Program'!$H$18&gt;'Bonding Program'!$C$8,BZ$3='Bonding Program'!$H$18),'Bonding Program'!$T$18-'Bonding Program'!$U$18-'Bonding Program'!$Z$18,0)-IF(AND('Bonding Program'!$S$18=1,'Bonding Program'!$H$18&lt;='Bonding Program'!$C$8,BZ$3=IF('Bonding Program'!$P$18&lt;&gt;"",'Bonding Program'!$P$18,'Bonding Program'!$C$8)),'Bonding Program'!$Z$18,0)+IF(AND('Bonding Program'!$P$18&lt;&gt;"",BZ$3='Bonding Program'!$P$18,BZ$3&lt;='Bonding Program'!$C$8),N('Bonding Program'!$O$18),0)</f>
        <v>0</v>
      </c>
      <c r="CA159" s="19" t="n">
        <f aca="false">IF(AND('Bonding Program'!$S$18=1,'Bonding Program'!$H$18&gt;'Bonding Program'!$C$8,CA$3='Bonding Program'!$H$18),'Bonding Program'!$T$18-'Bonding Program'!$U$18-'Bonding Program'!$Z$18,0)-IF(AND('Bonding Program'!$S$18=1,'Bonding Program'!$H$18&lt;='Bonding Program'!$C$8,CA$3=IF('Bonding Program'!$P$18&lt;&gt;"",'Bonding Program'!$P$18,'Bonding Program'!$C$8)),'Bonding Program'!$Z$18,0)+IF(AND('Bonding Program'!$P$18&lt;&gt;"",CA$3='Bonding Program'!$P$18,CA$3&lt;='Bonding Program'!$C$8),N('Bonding Program'!$O$18),0)</f>
        <v>0</v>
      </c>
      <c r="CB159" s="19" t="n">
        <f aca="false">IF(AND('Bonding Program'!$S$18=1,'Bonding Program'!$H$18&gt;'Bonding Program'!$C$8,CB$3='Bonding Program'!$H$18),'Bonding Program'!$T$18-'Bonding Program'!$U$18-'Bonding Program'!$Z$18,0)-IF(AND('Bonding Program'!$S$18=1,'Bonding Program'!$H$18&lt;='Bonding Program'!$C$8,CB$3=IF('Bonding Program'!$P$18&lt;&gt;"",'Bonding Program'!$P$18,'Bonding Program'!$C$8)),'Bonding Program'!$Z$18,0)+IF(AND('Bonding Program'!$P$18&lt;&gt;"",CB$3='Bonding Program'!$P$18,CB$3&lt;='Bonding Program'!$C$8),N('Bonding Program'!$O$18),0)</f>
        <v>0</v>
      </c>
      <c r="CC159" s="19" t="n">
        <f aca="false">IF(AND('Bonding Program'!$S$18=1,'Bonding Program'!$H$18&gt;'Bonding Program'!$C$8,CC$3='Bonding Program'!$H$18),'Bonding Program'!$T$18-'Bonding Program'!$U$18-'Bonding Program'!$Z$18,0)-IF(AND('Bonding Program'!$S$18=1,'Bonding Program'!$H$18&lt;='Bonding Program'!$C$8,CC$3=IF('Bonding Program'!$P$18&lt;&gt;"",'Bonding Program'!$P$18,'Bonding Program'!$C$8)),'Bonding Program'!$Z$18,0)+IF(AND('Bonding Program'!$P$18&lt;&gt;"",CC$3='Bonding Program'!$P$18,CC$3&lt;='Bonding Program'!$C$8),N('Bonding Program'!$O$18),0)</f>
        <v>0</v>
      </c>
      <c r="CD159" s="19" t="n">
        <f aca="false">IF(AND('Bonding Program'!$S$18=1,'Bonding Program'!$H$18&gt;'Bonding Program'!$C$8,CD$3='Bonding Program'!$H$18),'Bonding Program'!$T$18-'Bonding Program'!$U$18-'Bonding Program'!$Z$18,0)-IF(AND('Bonding Program'!$S$18=1,'Bonding Program'!$H$18&lt;='Bonding Program'!$C$8,CD$3=IF('Bonding Program'!$P$18&lt;&gt;"",'Bonding Program'!$P$18,'Bonding Program'!$C$8)),'Bonding Program'!$Z$18,0)+IF(AND('Bonding Program'!$P$18&lt;&gt;"",CD$3='Bonding Program'!$P$18,CD$3&lt;='Bonding Program'!$C$8),N('Bonding Program'!$O$18),0)</f>
        <v>0</v>
      </c>
      <c r="CE159" s="19" t="n">
        <f aca="false">IF(AND('Bonding Program'!$S$18=1,'Bonding Program'!$H$18&gt;'Bonding Program'!$C$8,CE$3='Bonding Program'!$H$18),'Bonding Program'!$T$18-'Bonding Program'!$U$18-'Bonding Program'!$Z$18,0)-IF(AND('Bonding Program'!$S$18=1,'Bonding Program'!$H$18&lt;='Bonding Program'!$C$8,CE$3=IF('Bonding Program'!$P$18&lt;&gt;"",'Bonding Program'!$P$18,'Bonding Program'!$C$8)),'Bonding Program'!$Z$18,0)+IF(AND('Bonding Program'!$P$18&lt;&gt;"",CE$3='Bonding Program'!$P$18,CE$3&lt;='Bonding Program'!$C$8),N('Bonding Program'!$O$18),0)</f>
        <v>0</v>
      </c>
      <c r="CF159" s="19" t="n">
        <f aca="false">IF(AND('Bonding Program'!$S$18=1,'Bonding Program'!$H$18&gt;'Bonding Program'!$C$8,CF$3='Bonding Program'!$H$18),'Bonding Program'!$T$18-'Bonding Program'!$U$18-'Bonding Program'!$Z$18,0)-IF(AND('Bonding Program'!$S$18=1,'Bonding Program'!$H$18&lt;='Bonding Program'!$C$8,CF$3=IF('Bonding Program'!$P$18&lt;&gt;"",'Bonding Program'!$P$18,'Bonding Program'!$C$8)),'Bonding Program'!$Z$18,0)+IF(AND('Bonding Program'!$P$18&lt;&gt;"",CF$3='Bonding Program'!$P$18,CF$3&lt;='Bonding Program'!$C$8),N('Bonding Program'!$O$18),0)</f>
        <v>0</v>
      </c>
      <c r="CG159" s="19" t="n">
        <f aca="false">IF(AND('Bonding Program'!$S$18=1,'Bonding Program'!$H$18&gt;'Bonding Program'!$C$8,CG$3='Bonding Program'!$H$18),'Bonding Program'!$T$18-'Bonding Program'!$U$18-'Bonding Program'!$Z$18,0)-IF(AND('Bonding Program'!$S$18=1,'Bonding Program'!$H$18&lt;='Bonding Program'!$C$8,CG$3=IF('Bonding Program'!$P$18&lt;&gt;"",'Bonding Program'!$P$18,'Bonding Program'!$C$8)),'Bonding Program'!$Z$18,0)+IF(AND('Bonding Program'!$P$18&lt;&gt;"",CG$3='Bonding Program'!$P$18,CG$3&lt;='Bonding Program'!$C$8),N('Bonding Program'!$O$18),0)</f>
        <v>0</v>
      </c>
      <c r="CH159" s="19" t="n">
        <f aca="false">IF(AND('Bonding Program'!$S$18=1,'Bonding Program'!$H$18&gt;'Bonding Program'!$C$8,CH$3='Bonding Program'!$H$18),'Bonding Program'!$T$18-'Bonding Program'!$U$18-'Bonding Program'!$Z$18,0)-IF(AND('Bonding Program'!$S$18=1,'Bonding Program'!$H$18&lt;='Bonding Program'!$C$8,CH$3=IF('Bonding Program'!$P$18&lt;&gt;"",'Bonding Program'!$P$18,'Bonding Program'!$C$8)),'Bonding Program'!$Z$18,0)+IF(AND('Bonding Program'!$P$18&lt;&gt;"",CH$3='Bonding Program'!$P$18,CH$3&lt;='Bonding Program'!$C$8),N('Bonding Program'!$O$18),0)</f>
        <v>0</v>
      </c>
      <c r="CI159" s="19" t="n">
        <f aca="false">IF(AND('Bonding Program'!$S$18=1,'Bonding Program'!$H$18&gt;'Bonding Program'!$C$8,CI$3='Bonding Program'!$H$18),'Bonding Program'!$T$18-'Bonding Program'!$U$18-'Bonding Program'!$Z$18,0)-IF(AND('Bonding Program'!$S$18=1,'Bonding Program'!$H$18&lt;='Bonding Program'!$C$8,CI$3=IF('Bonding Program'!$P$18&lt;&gt;"",'Bonding Program'!$P$18,'Bonding Program'!$C$8)),'Bonding Program'!$Z$18,0)+IF(AND('Bonding Program'!$P$18&lt;&gt;"",CI$3='Bonding Program'!$P$18,CI$3&lt;='Bonding Program'!$C$8),N('Bonding Program'!$O$18),0)</f>
        <v>0</v>
      </c>
      <c r="CJ159" s="19" t="n">
        <f aca="false">IF(AND('Bonding Program'!$S$18=1,'Bonding Program'!$H$18&gt;'Bonding Program'!$C$8,CJ$3='Bonding Program'!$H$18),'Bonding Program'!$T$18-'Bonding Program'!$U$18-'Bonding Program'!$Z$18,0)-IF(AND('Bonding Program'!$S$18=1,'Bonding Program'!$H$18&lt;='Bonding Program'!$C$8,CJ$3=IF('Bonding Program'!$P$18&lt;&gt;"",'Bonding Program'!$P$18,'Bonding Program'!$C$8)),'Bonding Program'!$Z$18,0)+IF(AND('Bonding Program'!$P$18&lt;&gt;"",CJ$3='Bonding Program'!$P$18,CJ$3&lt;='Bonding Program'!$C$8),N('Bonding Program'!$O$18),0)</f>
        <v>0</v>
      </c>
      <c r="CK159" s="19" t="n">
        <f aca="false">IF(AND('Bonding Program'!$S$18=1,'Bonding Program'!$H$18&gt;'Bonding Program'!$C$8,CK$3='Bonding Program'!$H$18),'Bonding Program'!$T$18-'Bonding Program'!$U$18-'Bonding Program'!$Z$18,0)-IF(AND('Bonding Program'!$S$18=1,'Bonding Program'!$H$18&lt;='Bonding Program'!$C$8,CK$3=IF('Bonding Program'!$P$18&lt;&gt;"",'Bonding Program'!$P$18,'Bonding Program'!$C$8)),'Bonding Program'!$Z$18,0)+IF(AND('Bonding Program'!$P$18&lt;&gt;"",CK$3='Bonding Program'!$P$18,CK$3&lt;='Bonding Program'!$C$8),N('Bonding Program'!$O$18),0)</f>
        <v>0</v>
      </c>
      <c r="CL159" s="19" t="n">
        <f aca="false">IF(AND('Bonding Program'!$S$18=1,'Bonding Program'!$H$18&gt;'Bonding Program'!$C$8,CL$3='Bonding Program'!$H$18),'Bonding Program'!$T$18-'Bonding Program'!$U$18-'Bonding Program'!$Z$18,0)-IF(AND('Bonding Program'!$S$18=1,'Bonding Program'!$H$18&lt;='Bonding Program'!$C$8,CL$3=IF('Bonding Program'!$P$18&lt;&gt;"",'Bonding Program'!$P$18,'Bonding Program'!$C$8)),'Bonding Program'!$Z$18,0)+IF(AND('Bonding Program'!$P$18&lt;&gt;"",CL$3='Bonding Program'!$P$18,CL$3&lt;='Bonding Program'!$C$8),N('Bonding Program'!$O$18),0)</f>
        <v>0</v>
      </c>
      <c r="CM159" s="19" t="n">
        <f aca="false">IF(AND('Bonding Program'!$S$18=1,'Bonding Program'!$H$18&gt;'Bonding Program'!$C$8,CM$3='Bonding Program'!$H$18),'Bonding Program'!$T$18-'Bonding Program'!$U$18-'Bonding Program'!$Z$18,0)-IF(AND('Bonding Program'!$S$18=1,'Bonding Program'!$H$18&lt;='Bonding Program'!$C$8,CM$3=IF('Bonding Program'!$P$18&lt;&gt;"",'Bonding Program'!$P$18,'Bonding Program'!$C$8)),'Bonding Program'!$Z$18,0)+IF(AND('Bonding Program'!$P$18&lt;&gt;"",CM$3='Bonding Program'!$P$18,CM$3&lt;='Bonding Program'!$C$8),N('Bonding Program'!$O$18),0)</f>
        <v>0</v>
      </c>
      <c r="CN159" s="19" t="n">
        <f aca="false">IF(AND('Bonding Program'!$S$18=1,'Bonding Program'!$H$18&gt;'Bonding Program'!$C$8,CN$3='Bonding Program'!$H$18),'Bonding Program'!$T$18-'Bonding Program'!$U$18-'Bonding Program'!$Z$18,0)-IF(AND('Bonding Program'!$S$18=1,'Bonding Program'!$H$18&lt;='Bonding Program'!$C$8,CN$3=IF('Bonding Program'!$P$18&lt;&gt;"",'Bonding Program'!$P$18,'Bonding Program'!$C$8)),'Bonding Program'!$Z$18,0)+IF(AND('Bonding Program'!$P$18&lt;&gt;"",CN$3='Bonding Program'!$P$18,CN$3&lt;='Bonding Program'!$C$8),N('Bonding Program'!$O$18),0)</f>
        <v>0</v>
      </c>
      <c r="CO159" s="19" t="n">
        <f aca="false">IF(AND('Bonding Program'!$S$18=1,'Bonding Program'!$H$18&gt;'Bonding Program'!$C$8,CO$3='Bonding Program'!$H$18),'Bonding Program'!$T$18-'Bonding Program'!$U$18-'Bonding Program'!$Z$18,0)-IF(AND('Bonding Program'!$S$18=1,'Bonding Program'!$H$18&lt;='Bonding Program'!$C$8,CO$3=IF('Bonding Program'!$P$18&lt;&gt;"",'Bonding Program'!$P$18,'Bonding Program'!$C$8)),'Bonding Program'!$Z$18,0)+IF(AND('Bonding Program'!$P$18&lt;&gt;"",CO$3='Bonding Program'!$P$18,CO$3&lt;='Bonding Program'!$C$8),N('Bonding Program'!$O$18),0)</f>
        <v>0</v>
      </c>
      <c r="CP159" s="19" t="n">
        <f aca="false">IF(AND('Bonding Program'!$S$18=1,'Bonding Program'!$H$18&gt;'Bonding Program'!$C$8,CP$3='Bonding Program'!$H$18),'Bonding Program'!$T$18-'Bonding Program'!$U$18-'Bonding Program'!$Z$18,0)-IF(AND('Bonding Program'!$S$18=1,'Bonding Program'!$H$18&lt;='Bonding Program'!$C$8,CP$3=IF('Bonding Program'!$P$18&lt;&gt;"",'Bonding Program'!$P$18,'Bonding Program'!$C$8)),'Bonding Program'!$Z$18,0)+IF(AND('Bonding Program'!$P$18&lt;&gt;"",CP$3='Bonding Program'!$P$18,CP$3&lt;='Bonding Program'!$C$8),N('Bonding Program'!$O$18),0)</f>
        <v>0</v>
      </c>
      <c r="CQ159" s="19" t="n">
        <f aca="false">IF(AND('Bonding Program'!$S$18=1,'Bonding Program'!$H$18&gt;'Bonding Program'!$C$8,CQ$3='Bonding Program'!$H$18),'Bonding Program'!$T$18-'Bonding Program'!$U$18-'Bonding Program'!$Z$18,0)-IF(AND('Bonding Program'!$S$18=1,'Bonding Program'!$H$18&lt;='Bonding Program'!$C$8,CQ$3=IF('Bonding Program'!$P$18&lt;&gt;"",'Bonding Program'!$P$18,'Bonding Program'!$C$8)),'Bonding Program'!$Z$18,0)+IF(AND('Bonding Program'!$P$18&lt;&gt;"",CQ$3='Bonding Program'!$P$18,CQ$3&lt;='Bonding Program'!$C$8),N('Bonding Program'!$O$18),0)</f>
        <v>0</v>
      </c>
      <c r="CR159" s="19" t="n">
        <f aca="false">IF(AND('Bonding Program'!$S$18=1,'Bonding Program'!$H$18&gt;'Bonding Program'!$C$8,CR$3='Bonding Program'!$H$18),'Bonding Program'!$T$18-'Bonding Program'!$U$18-'Bonding Program'!$Z$18,0)-IF(AND('Bonding Program'!$S$18=1,'Bonding Program'!$H$18&lt;='Bonding Program'!$C$8,CR$3=IF('Bonding Program'!$P$18&lt;&gt;"",'Bonding Program'!$P$18,'Bonding Program'!$C$8)),'Bonding Program'!$Z$18,0)+IF(AND('Bonding Program'!$P$18&lt;&gt;"",CR$3='Bonding Program'!$P$18,CR$3&lt;='Bonding Program'!$C$8),N('Bonding Program'!$O$18),0)</f>
        <v>0</v>
      </c>
      <c r="CS159" s="19" t="n">
        <f aca="false">IF(AND('Bonding Program'!$S$18=1,'Bonding Program'!$H$18&gt;'Bonding Program'!$C$8,CS$3='Bonding Program'!$H$18),'Bonding Program'!$T$18-'Bonding Program'!$U$18-'Bonding Program'!$Z$18,0)-IF(AND('Bonding Program'!$S$18=1,'Bonding Program'!$H$18&lt;='Bonding Program'!$C$8,CS$3=IF('Bonding Program'!$P$18&lt;&gt;"",'Bonding Program'!$P$18,'Bonding Program'!$C$8)),'Bonding Program'!$Z$18,0)+IF(AND('Bonding Program'!$P$18&lt;&gt;"",CS$3='Bonding Program'!$P$18,CS$3&lt;='Bonding Program'!$C$8),N('Bonding Program'!$O$18),0)</f>
        <v>0</v>
      </c>
      <c r="CT159" s="19" t="n">
        <f aca="false">IF(AND('Bonding Program'!$S$18=1,'Bonding Program'!$H$18&gt;'Bonding Program'!$C$8,CT$3='Bonding Program'!$H$18),'Bonding Program'!$T$18-'Bonding Program'!$U$18-'Bonding Program'!$Z$18,0)-IF(AND('Bonding Program'!$S$18=1,'Bonding Program'!$H$18&lt;='Bonding Program'!$C$8,CT$3=IF('Bonding Program'!$P$18&lt;&gt;"",'Bonding Program'!$P$18,'Bonding Program'!$C$8)),'Bonding Program'!$Z$18,0)+IF(AND('Bonding Program'!$P$18&lt;&gt;"",CT$3='Bonding Program'!$P$18,CT$3&lt;='Bonding Program'!$C$8),N('Bonding Program'!$O$18),0)</f>
        <v>0</v>
      </c>
      <c r="CU159" s="19" t="n">
        <f aca="false">IF(AND('Bonding Program'!$S$18=1,'Bonding Program'!$H$18&gt;'Bonding Program'!$C$8,CU$3='Bonding Program'!$H$18),'Bonding Program'!$T$18-'Bonding Program'!$U$18-'Bonding Program'!$Z$18,0)-IF(AND('Bonding Program'!$S$18=1,'Bonding Program'!$H$18&lt;='Bonding Program'!$C$8,CU$3=IF('Bonding Program'!$P$18&lt;&gt;"",'Bonding Program'!$P$18,'Bonding Program'!$C$8)),'Bonding Program'!$Z$18,0)+IF(AND('Bonding Program'!$P$18&lt;&gt;"",CU$3='Bonding Program'!$P$18,CU$3&lt;='Bonding Program'!$C$8),N('Bonding Program'!$O$18),0)</f>
        <v>0</v>
      </c>
      <c r="CV159" s="19" t="n">
        <f aca="false">IF(AND('Bonding Program'!$S$18=1,'Bonding Program'!$H$18&gt;'Bonding Program'!$C$8,CV$3='Bonding Program'!$H$18),'Bonding Program'!$T$18-'Bonding Program'!$U$18-'Bonding Program'!$Z$18,0)-IF(AND('Bonding Program'!$S$18=1,'Bonding Program'!$H$18&lt;='Bonding Program'!$C$8,CV$3=IF('Bonding Program'!$P$18&lt;&gt;"",'Bonding Program'!$P$18,'Bonding Program'!$C$8)),'Bonding Program'!$Z$18,0)+IF(AND('Bonding Program'!$P$18&lt;&gt;"",CV$3='Bonding Program'!$P$18,CV$3&lt;='Bonding Program'!$C$8),N('Bonding Program'!$O$18),0)</f>
        <v>0</v>
      </c>
      <c r="CW159" s="19" t="n">
        <f aca="false">IF(AND('Bonding Program'!$S$18=1,'Bonding Program'!$H$18&gt;'Bonding Program'!$C$8,CW$3='Bonding Program'!$H$18),'Bonding Program'!$T$18-'Bonding Program'!$U$18-'Bonding Program'!$Z$18,0)-IF(AND('Bonding Program'!$S$18=1,'Bonding Program'!$H$18&lt;='Bonding Program'!$C$8,CW$3=IF('Bonding Program'!$P$18&lt;&gt;"",'Bonding Program'!$P$18,'Bonding Program'!$C$8)),'Bonding Program'!$Z$18,0)+IF(AND('Bonding Program'!$P$18&lt;&gt;"",CW$3='Bonding Program'!$P$18,CW$3&lt;='Bonding Program'!$C$8),N('Bonding Program'!$O$18),0)</f>
        <v>0</v>
      </c>
      <c r="CX159" s="19" t="n">
        <f aca="false">IF(AND('Bonding Program'!$S$18=1,'Bonding Program'!$H$18&gt;'Bonding Program'!$C$8,CX$3='Bonding Program'!$H$18),'Bonding Program'!$T$18-'Bonding Program'!$U$18-'Bonding Program'!$Z$18,0)-IF(AND('Bonding Program'!$S$18=1,'Bonding Program'!$H$18&lt;='Bonding Program'!$C$8,CX$3=IF('Bonding Program'!$P$18&lt;&gt;"",'Bonding Program'!$P$18,'Bonding Program'!$C$8)),'Bonding Program'!$Z$18,0)+IF(AND('Bonding Program'!$P$18&lt;&gt;"",CX$3='Bonding Program'!$P$18,CX$3&lt;='Bonding Program'!$C$8),N('Bonding Program'!$O$18),0)</f>
        <v>0</v>
      </c>
      <c r="CY159" s="19" t="n">
        <f aca="false">IF(AND('Bonding Program'!$S$18=1,'Bonding Program'!$H$18&gt;'Bonding Program'!$C$8,CY$3='Bonding Program'!$H$18),'Bonding Program'!$T$18-'Bonding Program'!$U$18-'Bonding Program'!$Z$18,0)-IF(AND('Bonding Program'!$S$18=1,'Bonding Program'!$H$18&lt;='Bonding Program'!$C$8,CY$3=IF('Bonding Program'!$P$18&lt;&gt;"",'Bonding Program'!$P$18,'Bonding Program'!$C$8)),'Bonding Program'!$Z$18,0)+IF(AND('Bonding Program'!$P$18&lt;&gt;"",CY$3='Bonding Program'!$P$18,CY$3&lt;='Bonding Program'!$C$8),N('Bonding Program'!$O$18),0)</f>
        <v>0</v>
      </c>
      <c r="CZ159" s="19" t="n">
        <f aca="false">IF(AND('Bonding Program'!$S$18=1,'Bonding Program'!$H$18&gt;'Bonding Program'!$C$8,CZ$3='Bonding Program'!$H$18),'Bonding Program'!$T$18-'Bonding Program'!$U$18-'Bonding Program'!$Z$18,0)-IF(AND('Bonding Program'!$S$18=1,'Bonding Program'!$H$18&lt;='Bonding Program'!$C$8,CZ$3=IF('Bonding Program'!$P$18&lt;&gt;"",'Bonding Program'!$P$18,'Bonding Program'!$C$8)),'Bonding Program'!$Z$18,0)+IF(AND('Bonding Program'!$P$18&lt;&gt;"",CZ$3='Bonding Program'!$P$18,CZ$3&lt;='Bonding Program'!$C$8),N('Bonding Program'!$O$18),0)</f>
        <v>0</v>
      </c>
      <c r="DA159" s="19" t="n">
        <f aca="false">IF(AND('Bonding Program'!$S$18=1,'Bonding Program'!$H$18&gt;'Bonding Program'!$C$8,DA$3='Bonding Program'!$H$18),'Bonding Program'!$T$18-'Bonding Program'!$U$18-'Bonding Program'!$Z$18,0)-IF(AND('Bonding Program'!$S$18=1,'Bonding Program'!$H$18&lt;='Bonding Program'!$C$8,DA$3=IF('Bonding Program'!$P$18&lt;&gt;"",'Bonding Program'!$P$18,'Bonding Program'!$C$8)),'Bonding Program'!$Z$18,0)+IF(AND('Bonding Program'!$P$18&lt;&gt;"",DA$3='Bonding Program'!$P$18,DA$3&lt;='Bonding Program'!$C$8),N('Bonding Program'!$O$18),0)</f>
        <v>0</v>
      </c>
      <c r="DB159" s="19" t="n">
        <f aca="false">IF(AND('Bonding Program'!$S$18=1,'Bonding Program'!$H$18&gt;'Bonding Program'!$C$8,DB$3='Bonding Program'!$H$18),'Bonding Program'!$T$18-'Bonding Program'!$U$18-'Bonding Program'!$Z$18,0)-IF(AND('Bonding Program'!$S$18=1,'Bonding Program'!$H$18&lt;='Bonding Program'!$C$8,DB$3=IF('Bonding Program'!$P$18&lt;&gt;"",'Bonding Program'!$P$18,'Bonding Program'!$C$8)),'Bonding Program'!$Z$18,0)+IF(AND('Bonding Program'!$P$18&lt;&gt;"",DB$3='Bonding Program'!$P$18,DB$3&lt;='Bonding Program'!$C$8),N('Bonding Program'!$O$18),0)</f>
        <v>0</v>
      </c>
      <c r="DC159" s="19" t="n">
        <f aca="false">IF(AND('Bonding Program'!$S$18=1,'Bonding Program'!$H$18&gt;'Bonding Program'!$C$8,DC$3='Bonding Program'!$H$18),'Bonding Program'!$T$18-'Bonding Program'!$U$18-'Bonding Program'!$Z$18,0)-IF(AND('Bonding Program'!$S$18=1,'Bonding Program'!$H$18&lt;='Bonding Program'!$C$8,DC$3=IF('Bonding Program'!$P$18&lt;&gt;"",'Bonding Program'!$P$18,'Bonding Program'!$C$8)),'Bonding Program'!$Z$18,0)+IF(AND('Bonding Program'!$P$18&lt;&gt;"",DC$3='Bonding Program'!$P$18,DC$3&lt;='Bonding Program'!$C$8),N('Bonding Program'!$O$18),0)</f>
        <v>0</v>
      </c>
      <c r="DD159" s="19" t="n">
        <f aca="false">IF(AND('Bonding Program'!$S$18=1,'Bonding Program'!$H$18&gt;'Bonding Program'!$C$8,DD$3='Bonding Program'!$H$18),'Bonding Program'!$T$18-'Bonding Program'!$U$18-'Bonding Program'!$Z$18,0)-IF(AND('Bonding Program'!$S$18=1,'Bonding Program'!$H$18&lt;='Bonding Program'!$C$8,DD$3=IF('Bonding Program'!$P$18&lt;&gt;"",'Bonding Program'!$P$18,'Bonding Program'!$C$8)),'Bonding Program'!$Z$18,0)+IF(AND('Bonding Program'!$P$18&lt;&gt;"",DD$3='Bonding Program'!$P$18,DD$3&lt;='Bonding Program'!$C$8),N('Bonding Program'!$O$18),0)</f>
        <v>0</v>
      </c>
      <c r="DE159" s="19" t="n">
        <f aca="false">IF(AND('Bonding Program'!$S$18=1,'Bonding Program'!$H$18&gt;'Bonding Program'!$C$8,DE$3='Bonding Program'!$H$18),'Bonding Program'!$T$18-'Bonding Program'!$U$18-'Bonding Program'!$Z$18,0)-IF(AND('Bonding Program'!$S$18=1,'Bonding Program'!$H$18&lt;='Bonding Program'!$C$8,DE$3=IF('Bonding Program'!$P$18&lt;&gt;"",'Bonding Program'!$P$18,'Bonding Program'!$C$8)),'Bonding Program'!$Z$18,0)+IF(AND('Bonding Program'!$P$18&lt;&gt;"",DE$3='Bonding Program'!$P$18,DE$3&lt;='Bonding Program'!$C$8),N('Bonding Program'!$O$18),0)</f>
        <v>0</v>
      </c>
    </row>
    <row r="160" customFormat="false" ht="15" hidden="false" customHeight="true" outlineLevel="1" collapsed="false">
      <c r="A160" s="28" t="s">
        <v>15</v>
      </c>
      <c r="B160" s="19" t="n">
        <f aca="false">IF(AND('Bonding Program'!$S$19=1,'Bonding Program'!$H$19&gt;'Bonding Program'!$C$8,B$3='Bonding Program'!$H$19),'Bonding Program'!$T$19-'Bonding Program'!$U$19-'Bonding Program'!$Z$19,0)-IF(AND('Bonding Program'!$S$19=1,'Bonding Program'!$H$19&lt;='Bonding Program'!$C$8,B$3=IF('Bonding Program'!$P$19&lt;&gt;"",'Bonding Program'!$P$19,'Bonding Program'!$C$8)),'Bonding Program'!$Z$19,0)+IF(AND('Bonding Program'!$P$19&lt;&gt;"",B$3='Bonding Program'!$P$19,B$3&lt;='Bonding Program'!$C$8),N('Bonding Program'!$O$19),0)</f>
        <v>0</v>
      </c>
      <c r="C160" s="19" t="n">
        <f aca="false">IF(AND('Bonding Program'!$S$19=1,'Bonding Program'!$H$19&gt;'Bonding Program'!$C$8,C$3='Bonding Program'!$H$19),'Bonding Program'!$T$19-'Bonding Program'!$U$19-'Bonding Program'!$Z$19,0)-IF(AND('Bonding Program'!$S$19=1,'Bonding Program'!$H$19&lt;='Bonding Program'!$C$8,C$3=IF('Bonding Program'!$P$19&lt;&gt;"",'Bonding Program'!$P$19,'Bonding Program'!$C$8)),'Bonding Program'!$Z$19,0)+IF(AND('Bonding Program'!$P$19&lt;&gt;"",C$3='Bonding Program'!$P$19,C$3&lt;='Bonding Program'!$C$8),N('Bonding Program'!$O$19),0)</f>
        <v>0</v>
      </c>
      <c r="D160" s="19" t="n">
        <f aca="false">IF(AND('Bonding Program'!$S$19=1,'Bonding Program'!$H$19&gt;'Bonding Program'!$C$8,D$3='Bonding Program'!$H$19),'Bonding Program'!$T$19-'Bonding Program'!$U$19-'Bonding Program'!$Z$19,0)-IF(AND('Bonding Program'!$S$19=1,'Bonding Program'!$H$19&lt;='Bonding Program'!$C$8,D$3=IF('Bonding Program'!$P$19&lt;&gt;"",'Bonding Program'!$P$19,'Bonding Program'!$C$8)),'Bonding Program'!$Z$19,0)+IF(AND('Bonding Program'!$P$19&lt;&gt;"",D$3='Bonding Program'!$P$19,D$3&lt;='Bonding Program'!$C$8),N('Bonding Program'!$O$19),0)</f>
        <v>0</v>
      </c>
      <c r="E160" s="19" t="n">
        <f aca="false">IF(AND('Bonding Program'!$S$19=1,'Bonding Program'!$H$19&gt;'Bonding Program'!$C$8,E$3='Bonding Program'!$H$19),'Bonding Program'!$T$19-'Bonding Program'!$U$19-'Bonding Program'!$Z$19,0)-IF(AND('Bonding Program'!$S$19=1,'Bonding Program'!$H$19&lt;='Bonding Program'!$C$8,E$3=IF('Bonding Program'!$P$19&lt;&gt;"",'Bonding Program'!$P$19,'Bonding Program'!$C$8)),'Bonding Program'!$Z$19,0)+IF(AND('Bonding Program'!$P$19&lt;&gt;"",E$3='Bonding Program'!$P$19,E$3&lt;='Bonding Program'!$C$8),N('Bonding Program'!$O$19),0)</f>
        <v>0</v>
      </c>
      <c r="F160" s="19" t="n">
        <f aca="false">IF(AND('Bonding Program'!$S$19=1,'Bonding Program'!$H$19&gt;'Bonding Program'!$C$8,F$3='Bonding Program'!$H$19),'Bonding Program'!$T$19-'Bonding Program'!$U$19-'Bonding Program'!$Z$19,0)-IF(AND('Bonding Program'!$S$19=1,'Bonding Program'!$H$19&lt;='Bonding Program'!$C$8,F$3=IF('Bonding Program'!$P$19&lt;&gt;"",'Bonding Program'!$P$19,'Bonding Program'!$C$8)),'Bonding Program'!$Z$19,0)+IF(AND('Bonding Program'!$P$19&lt;&gt;"",F$3='Bonding Program'!$P$19,F$3&lt;='Bonding Program'!$C$8),N('Bonding Program'!$O$19),0)</f>
        <v>0</v>
      </c>
      <c r="G160" s="19" t="n">
        <f aca="false">IF(AND('Bonding Program'!$S$19=1,'Bonding Program'!$H$19&gt;'Bonding Program'!$C$8,G$3='Bonding Program'!$H$19),'Bonding Program'!$T$19-'Bonding Program'!$U$19-'Bonding Program'!$Z$19,0)-IF(AND('Bonding Program'!$S$19=1,'Bonding Program'!$H$19&lt;='Bonding Program'!$C$8,G$3=IF('Bonding Program'!$P$19&lt;&gt;"",'Bonding Program'!$P$19,'Bonding Program'!$C$8)),'Bonding Program'!$Z$19,0)+IF(AND('Bonding Program'!$P$19&lt;&gt;"",G$3='Bonding Program'!$P$19,G$3&lt;='Bonding Program'!$C$8),N('Bonding Program'!$O$19),0)</f>
        <v>0</v>
      </c>
      <c r="H160" s="19" t="n">
        <f aca="false">IF(AND('Bonding Program'!$S$19=1,'Bonding Program'!$H$19&gt;'Bonding Program'!$C$8,H$3='Bonding Program'!$H$19),'Bonding Program'!$T$19-'Bonding Program'!$U$19-'Bonding Program'!$Z$19,0)-IF(AND('Bonding Program'!$S$19=1,'Bonding Program'!$H$19&lt;='Bonding Program'!$C$8,H$3=IF('Bonding Program'!$P$19&lt;&gt;"",'Bonding Program'!$P$19,'Bonding Program'!$C$8)),'Bonding Program'!$Z$19,0)+IF(AND('Bonding Program'!$P$19&lt;&gt;"",H$3='Bonding Program'!$P$19,H$3&lt;='Bonding Program'!$C$8),N('Bonding Program'!$O$19),0)</f>
        <v>0</v>
      </c>
      <c r="I160" s="19" t="n">
        <f aca="false">IF(AND('Bonding Program'!$S$19=1,'Bonding Program'!$H$19&gt;'Bonding Program'!$C$8,I$3='Bonding Program'!$H$19),'Bonding Program'!$T$19-'Bonding Program'!$U$19-'Bonding Program'!$Z$19,0)-IF(AND('Bonding Program'!$S$19=1,'Bonding Program'!$H$19&lt;='Bonding Program'!$C$8,I$3=IF('Bonding Program'!$P$19&lt;&gt;"",'Bonding Program'!$P$19,'Bonding Program'!$C$8)),'Bonding Program'!$Z$19,0)+IF(AND('Bonding Program'!$P$19&lt;&gt;"",I$3='Bonding Program'!$P$19,I$3&lt;='Bonding Program'!$C$8),N('Bonding Program'!$O$19),0)</f>
        <v>0</v>
      </c>
      <c r="J160" s="19" t="n">
        <f aca="false">IF(AND('Bonding Program'!$S$19=1,'Bonding Program'!$H$19&gt;'Bonding Program'!$C$8,J$3='Bonding Program'!$H$19),'Bonding Program'!$T$19-'Bonding Program'!$U$19-'Bonding Program'!$Z$19,0)-IF(AND('Bonding Program'!$S$19=1,'Bonding Program'!$H$19&lt;='Bonding Program'!$C$8,J$3=IF('Bonding Program'!$P$19&lt;&gt;"",'Bonding Program'!$P$19,'Bonding Program'!$C$8)),'Bonding Program'!$Z$19,0)+IF(AND('Bonding Program'!$P$19&lt;&gt;"",J$3='Bonding Program'!$P$19,J$3&lt;='Bonding Program'!$C$8),N('Bonding Program'!$O$19),0)</f>
        <v>0</v>
      </c>
      <c r="K160" s="19" t="n">
        <f aca="false">IF(AND('Bonding Program'!$S$19=1,'Bonding Program'!$H$19&gt;'Bonding Program'!$C$8,K$3='Bonding Program'!$H$19),'Bonding Program'!$T$19-'Bonding Program'!$U$19-'Bonding Program'!$Z$19,0)-IF(AND('Bonding Program'!$S$19=1,'Bonding Program'!$H$19&lt;='Bonding Program'!$C$8,K$3=IF('Bonding Program'!$P$19&lt;&gt;"",'Bonding Program'!$P$19,'Bonding Program'!$C$8)),'Bonding Program'!$Z$19,0)+IF(AND('Bonding Program'!$P$19&lt;&gt;"",K$3='Bonding Program'!$P$19,K$3&lt;='Bonding Program'!$C$8),N('Bonding Program'!$O$19),0)</f>
        <v>0</v>
      </c>
      <c r="L160" s="19" t="n">
        <f aca="false">IF(AND('Bonding Program'!$S$19=1,'Bonding Program'!$H$19&gt;'Bonding Program'!$C$8,L$3='Bonding Program'!$H$19),'Bonding Program'!$T$19-'Bonding Program'!$U$19-'Bonding Program'!$Z$19,0)-IF(AND('Bonding Program'!$S$19=1,'Bonding Program'!$H$19&lt;='Bonding Program'!$C$8,L$3=IF('Bonding Program'!$P$19&lt;&gt;"",'Bonding Program'!$P$19,'Bonding Program'!$C$8)),'Bonding Program'!$Z$19,0)+IF(AND('Bonding Program'!$P$19&lt;&gt;"",L$3='Bonding Program'!$P$19,L$3&lt;='Bonding Program'!$C$8),N('Bonding Program'!$O$19),0)</f>
        <v>0</v>
      </c>
      <c r="M160" s="19" t="n">
        <f aca="false">IF(AND('Bonding Program'!$S$19=1,'Bonding Program'!$H$19&gt;'Bonding Program'!$C$8,M$3='Bonding Program'!$H$19),'Bonding Program'!$T$19-'Bonding Program'!$U$19-'Bonding Program'!$Z$19,0)-IF(AND('Bonding Program'!$S$19=1,'Bonding Program'!$H$19&lt;='Bonding Program'!$C$8,M$3=IF('Bonding Program'!$P$19&lt;&gt;"",'Bonding Program'!$P$19,'Bonding Program'!$C$8)),'Bonding Program'!$Z$19,0)+IF(AND('Bonding Program'!$P$19&lt;&gt;"",M$3='Bonding Program'!$P$19,M$3&lt;='Bonding Program'!$C$8),N('Bonding Program'!$O$19),0)</f>
        <v>-376823.150184729</v>
      </c>
      <c r="N160" s="19" t="n">
        <f aca="false">IF(AND('Bonding Program'!$S$19=1,'Bonding Program'!$H$19&gt;'Bonding Program'!$C$8,N$3='Bonding Program'!$H$19),'Bonding Program'!$T$19-'Bonding Program'!$U$19-'Bonding Program'!$Z$19,0)-IF(AND('Bonding Program'!$S$19=1,'Bonding Program'!$H$19&lt;='Bonding Program'!$C$8,N$3=IF('Bonding Program'!$P$19&lt;&gt;"",'Bonding Program'!$P$19,'Bonding Program'!$C$8)),'Bonding Program'!$Z$19,0)+IF(AND('Bonding Program'!$P$19&lt;&gt;"",N$3='Bonding Program'!$P$19,N$3&lt;='Bonding Program'!$C$8),N('Bonding Program'!$O$19),0)</f>
        <v>0</v>
      </c>
      <c r="O160" s="19" t="n">
        <f aca="false">IF(AND('Bonding Program'!$S$19=1,'Bonding Program'!$H$19&gt;'Bonding Program'!$C$8,O$3='Bonding Program'!$H$19),'Bonding Program'!$T$19-'Bonding Program'!$U$19-'Bonding Program'!$Z$19,0)-IF(AND('Bonding Program'!$S$19=1,'Bonding Program'!$H$19&lt;='Bonding Program'!$C$8,O$3=IF('Bonding Program'!$P$19&lt;&gt;"",'Bonding Program'!$P$19,'Bonding Program'!$C$8)),'Bonding Program'!$Z$19,0)+IF(AND('Bonding Program'!$P$19&lt;&gt;"",O$3='Bonding Program'!$P$19,O$3&lt;='Bonding Program'!$C$8),N('Bonding Program'!$O$19),0)</f>
        <v>0</v>
      </c>
      <c r="P160" s="19" t="n">
        <f aca="false">IF(AND('Bonding Program'!$S$19=1,'Bonding Program'!$H$19&gt;'Bonding Program'!$C$8,P$3='Bonding Program'!$H$19),'Bonding Program'!$T$19-'Bonding Program'!$U$19-'Bonding Program'!$Z$19,0)-IF(AND('Bonding Program'!$S$19=1,'Bonding Program'!$H$19&lt;='Bonding Program'!$C$8,P$3=IF('Bonding Program'!$P$19&lt;&gt;"",'Bonding Program'!$P$19,'Bonding Program'!$C$8)),'Bonding Program'!$Z$19,0)+IF(AND('Bonding Program'!$P$19&lt;&gt;"",P$3='Bonding Program'!$P$19,P$3&lt;='Bonding Program'!$C$8),N('Bonding Program'!$O$19),0)</f>
        <v>0</v>
      </c>
      <c r="Q160" s="19" t="n">
        <f aca="false">IF(AND('Bonding Program'!$S$19=1,'Bonding Program'!$H$19&gt;'Bonding Program'!$C$8,Q$3='Bonding Program'!$H$19),'Bonding Program'!$T$19-'Bonding Program'!$U$19-'Bonding Program'!$Z$19,0)-IF(AND('Bonding Program'!$S$19=1,'Bonding Program'!$H$19&lt;='Bonding Program'!$C$8,Q$3=IF('Bonding Program'!$P$19&lt;&gt;"",'Bonding Program'!$P$19,'Bonding Program'!$C$8)),'Bonding Program'!$Z$19,0)+IF(AND('Bonding Program'!$P$19&lt;&gt;"",Q$3='Bonding Program'!$P$19,Q$3&lt;='Bonding Program'!$C$8),N('Bonding Program'!$O$19),0)</f>
        <v>0</v>
      </c>
      <c r="R160" s="19" t="n">
        <f aca="false">IF(AND('Bonding Program'!$S$19=1,'Bonding Program'!$H$19&gt;'Bonding Program'!$C$8,R$3='Bonding Program'!$H$19),'Bonding Program'!$T$19-'Bonding Program'!$U$19-'Bonding Program'!$Z$19,0)-IF(AND('Bonding Program'!$S$19=1,'Bonding Program'!$H$19&lt;='Bonding Program'!$C$8,R$3=IF('Bonding Program'!$P$19&lt;&gt;"",'Bonding Program'!$P$19,'Bonding Program'!$C$8)),'Bonding Program'!$Z$19,0)+IF(AND('Bonding Program'!$P$19&lt;&gt;"",R$3='Bonding Program'!$P$19,R$3&lt;='Bonding Program'!$C$8),N('Bonding Program'!$O$19),0)</f>
        <v>0</v>
      </c>
      <c r="S160" s="19" t="n">
        <f aca="false">IF(AND('Bonding Program'!$S$19=1,'Bonding Program'!$H$19&gt;'Bonding Program'!$C$8,S$3='Bonding Program'!$H$19),'Bonding Program'!$T$19-'Bonding Program'!$U$19-'Bonding Program'!$Z$19,0)-IF(AND('Bonding Program'!$S$19=1,'Bonding Program'!$H$19&lt;='Bonding Program'!$C$8,S$3=IF('Bonding Program'!$P$19&lt;&gt;"",'Bonding Program'!$P$19,'Bonding Program'!$C$8)),'Bonding Program'!$Z$19,0)+IF(AND('Bonding Program'!$P$19&lt;&gt;"",S$3='Bonding Program'!$P$19,S$3&lt;='Bonding Program'!$C$8),N('Bonding Program'!$O$19),0)</f>
        <v>0</v>
      </c>
      <c r="T160" s="19" t="n">
        <f aca="false">IF(AND('Bonding Program'!$S$19=1,'Bonding Program'!$H$19&gt;'Bonding Program'!$C$8,T$3='Bonding Program'!$H$19),'Bonding Program'!$T$19-'Bonding Program'!$U$19-'Bonding Program'!$Z$19,0)-IF(AND('Bonding Program'!$S$19=1,'Bonding Program'!$H$19&lt;='Bonding Program'!$C$8,T$3=IF('Bonding Program'!$P$19&lt;&gt;"",'Bonding Program'!$P$19,'Bonding Program'!$C$8)),'Bonding Program'!$Z$19,0)+IF(AND('Bonding Program'!$P$19&lt;&gt;"",T$3='Bonding Program'!$P$19,T$3&lt;='Bonding Program'!$C$8),N('Bonding Program'!$O$19),0)</f>
        <v>0</v>
      </c>
      <c r="U160" s="19" t="n">
        <f aca="false">IF(AND('Bonding Program'!$S$19=1,'Bonding Program'!$H$19&gt;'Bonding Program'!$C$8,U$3='Bonding Program'!$H$19),'Bonding Program'!$T$19-'Bonding Program'!$U$19-'Bonding Program'!$Z$19,0)-IF(AND('Bonding Program'!$S$19=1,'Bonding Program'!$H$19&lt;='Bonding Program'!$C$8,U$3=IF('Bonding Program'!$P$19&lt;&gt;"",'Bonding Program'!$P$19,'Bonding Program'!$C$8)),'Bonding Program'!$Z$19,0)+IF(AND('Bonding Program'!$P$19&lt;&gt;"",U$3='Bonding Program'!$P$19,U$3&lt;='Bonding Program'!$C$8),N('Bonding Program'!$O$19),0)</f>
        <v>0</v>
      </c>
      <c r="V160" s="19" t="n">
        <f aca="false">IF(AND('Bonding Program'!$S$19=1,'Bonding Program'!$H$19&gt;'Bonding Program'!$C$8,V$3='Bonding Program'!$H$19),'Bonding Program'!$T$19-'Bonding Program'!$U$19-'Bonding Program'!$Z$19,0)-IF(AND('Bonding Program'!$S$19=1,'Bonding Program'!$H$19&lt;='Bonding Program'!$C$8,V$3=IF('Bonding Program'!$P$19&lt;&gt;"",'Bonding Program'!$P$19,'Bonding Program'!$C$8)),'Bonding Program'!$Z$19,0)+IF(AND('Bonding Program'!$P$19&lt;&gt;"",V$3='Bonding Program'!$P$19,V$3&lt;='Bonding Program'!$C$8),N('Bonding Program'!$O$19),0)</f>
        <v>0</v>
      </c>
      <c r="W160" s="19" t="n">
        <f aca="false">IF(AND('Bonding Program'!$S$19=1,'Bonding Program'!$H$19&gt;'Bonding Program'!$C$8,W$3='Bonding Program'!$H$19),'Bonding Program'!$T$19-'Bonding Program'!$U$19-'Bonding Program'!$Z$19,0)-IF(AND('Bonding Program'!$S$19=1,'Bonding Program'!$H$19&lt;='Bonding Program'!$C$8,W$3=IF('Bonding Program'!$P$19&lt;&gt;"",'Bonding Program'!$P$19,'Bonding Program'!$C$8)),'Bonding Program'!$Z$19,0)+IF(AND('Bonding Program'!$P$19&lt;&gt;"",W$3='Bonding Program'!$P$19,W$3&lt;='Bonding Program'!$C$8),N('Bonding Program'!$O$19),0)</f>
        <v>0</v>
      </c>
      <c r="X160" s="19" t="n">
        <f aca="false">IF(AND('Bonding Program'!$S$19=1,'Bonding Program'!$H$19&gt;'Bonding Program'!$C$8,X$3='Bonding Program'!$H$19),'Bonding Program'!$T$19-'Bonding Program'!$U$19-'Bonding Program'!$Z$19,0)-IF(AND('Bonding Program'!$S$19=1,'Bonding Program'!$H$19&lt;='Bonding Program'!$C$8,X$3=IF('Bonding Program'!$P$19&lt;&gt;"",'Bonding Program'!$P$19,'Bonding Program'!$C$8)),'Bonding Program'!$Z$19,0)+IF(AND('Bonding Program'!$P$19&lt;&gt;"",X$3='Bonding Program'!$P$19,X$3&lt;='Bonding Program'!$C$8),N('Bonding Program'!$O$19),0)</f>
        <v>0</v>
      </c>
      <c r="Y160" s="19" t="n">
        <f aca="false">IF(AND('Bonding Program'!$S$19=1,'Bonding Program'!$H$19&gt;'Bonding Program'!$C$8,Y$3='Bonding Program'!$H$19),'Bonding Program'!$T$19-'Bonding Program'!$U$19-'Bonding Program'!$Z$19,0)-IF(AND('Bonding Program'!$S$19=1,'Bonding Program'!$H$19&lt;='Bonding Program'!$C$8,Y$3=IF('Bonding Program'!$P$19&lt;&gt;"",'Bonding Program'!$P$19,'Bonding Program'!$C$8)),'Bonding Program'!$Z$19,0)+IF(AND('Bonding Program'!$P$19&lt;&gt;"",Y$3='Bonding Program'!$P$19,Y$3&lt;='Bonding Program'!$C$8),N('Bonding Program'!$O$19),0)</f>
        <v>0</v>
      </c>
      <c r="Z160" s="19" t="n">
        <f aca="false">IF(AND('Bonding Program'!$S$19=1,'Bonding Program'!$H$19&gt;'Bonding Program'!$C$8,Z$3='Bonding Program'!$H$19),'Bonding Program'!$T$19-'Bonding Program'!$U$19-'Bonding Program'!$Z$19,0)-IF(AND('Bonding Program'!$S$19=1,'Bonding Program'!$H$19&lt;='Bonding Program'!$C$8,Z$3=IF('Bonding Program'!$P$19&lt;&gt;"",'Bonding Program'!$P$19,'Bonding Program'!$C$8)),'Bonding Program'!$Z$19,0)+IF(AND('Bonding Program'!$P$19&lt;&gt;"",Z$3='Bonding Program'!$P$19,Z$3&lt;='Bonding Program'!$C$8),N('Bonding Program'!$O$19),0)</f>
        <v>0</v>
      </c>
      <c r="AA160" s="19" t="n">
        <f aca="false">IF(AND('Bonding Program'!$S$19=1,'Bonding Program'!$H$19&gt;'Bonding Program'!$C$8,AA$3='Bonding Program'!$H$19),'Bonding Program'!$T$19-'Bonding Program'!$U$19-'Bonding Program'!$Z$19,0)-IF(AND('Bonding Program'!$S$19=1,'Bonding Program'!$H$19&lt;='Bonding Program'!$C$8,AA$3=IF('Bonding Program'!$P$19&lt;&gt;"",'Bonding Program'!$P$19,'Bonding Program'!$C$8)),'Bonding Program'!$Z$19,0)+IF(AND('Bonding Program'!$P$19&lt;&gt;"",AA$3='Bonding Program'!$P$19,AA$3&lt;='Bonding Program'!$C$8),N('Bonding Program'!$O$19),0)</f>
        <v>0</v>
      </c>
      <c r="AB160" s="19" t="n">
        <f aca="false">IF(AND('Bonding Program'!$S$19=1,'Bonding Program'!$H$19&gt;'Bonding Program'!$C$8,AB$3='Bonding Program'!$H$19),'Bonding Program'!$T$19-'Bonding Program'!$U$19-'Bonding Program'!$Z$19,0)-IF(AND('Bonding Program'!$S$19=1,'Bonding Program'!$H$19&lt;='Bonding Program'!$C$8,AB$3=IF('Bonding Program'!$P$19&lt;&gt;"",'Bonding Program'!$P$19,'Bonding Program'!$C$8)),'Bonding Program'!$Z$19,0)+IF(AND('Bonding Program'!$P$19&lt;&gt;"",AB$3='Bonding Program'!$P$19,AB$3&lt;='Bonding Program'!$C$8),N('Bonding Program'!$O$19),0)</f>
        <v>0</v>
      </c>
      <c r="AC160" s="19" t="n">
        <f aca="false">IF(AND('Bonding Program'!$S$19=1,'Bonding Program'!$H$19&gt;'Bonding Program'!$C$8,AC$3='Bonding Program'!$H$19),'Bonding Program'!$T$19-'Bonding Program'!$U$19-'Bonding Program'!$Z$19,0)-IF(AND('Bonding Program'!$S$19=1,'Bonding Program'!$H$19&lt;='Bonding Program'!$C$8,AC$3=IF('Bonding Program'!$P$19&lt;&gt;"",'Bonding Program'!$P$19,'Bonding Program'!$C$8)),'Bonding Program'!$Z$19,0)+IF(AND('Bonding Program'!$P$19&lt;&gt;"",AC$3='Bonding Program'!$P$19,AC$3&lt;='Bonding Program'!$C$8),N('Bonding Program'!$O$19),0)</f>
        <v>0</v>
      </c>
      <c r="AD160" s="19" t="n">
        <f aca="false">IF(AND('Bonding Program'!$S$19=1,'Bonding Program'!$H$19&gt;'Bonding Program'!$C$8,AD$3='Bonding Program'!$H$19),'Bonding Program'!$T$19-'Bonding Program'!$U$19-'Bonding Program'!$Z$19,0)-IF(AND('Bonding Program'!$S$19=1,'Bonding Program'!$H$19&lt;='Bonding Program'!$C$8,AD$3=IF('Bonding Program'!$P$19&lt;&gt;"",'Bonding Program'!$P$19,'Bonding Program'!$C$8)),'Bonding Program'!$Z$19,0)+IF(AND('Bonding Program'!$P$19&lt;&gt;"",AD$3='Bonding Program'!$P$19,AD$3&lt;='Bonding Program'!$C$8),N('Bonding Program'!$O$19),0)</f>
        <v>0</v>
      </c>
      <c r="AE160" s="19" t="n">
        <f aca="false">IF(AND('Bonding Program'!$S$19=1,'Bonding Program'!$H$19&gt;'Bonding Program'!$C$8,AE$3='Bonding Program'!$H$19),'Bonding Program'!$T$19-'Bonding Program'!$U$19-'Bonding Program'!$Z$19,0)-IF(AND('Bonding Program'!$S$19=1,'Bonding Program'!$H$19&lt;='Bonding Program'!$C$8,AE$3=IF('Bonding Program'!$P$19&lt;&gt;"",'Bonding Program'!$P$19,'Bonding Program'!$C$8)),'Bonding Program'!$Z$19,0)+IF(AND('Bonding Program'!$P$19&lt;&gt;"",AE$3='Bonding Program'!$P$19,AE$3&lt;='Bonding Program'!$C$8),N('Bonding Program'!$O$19),0)</f>
        <v>0</v>
      </c>
      <c r="AF160" s="19" t="n">
        <f aca="false">IF(AND('Bonding Program'!$S$19=1,'Bonding Program'!$H$19&gt;'Bonding Program'!$C$8,AF$3='Bonding Program'!$H$19),'Bonding Program'!$T$19-'Bonding Program'!$U$19-'Bonding Program'!$Z$19,0)-IF(AND('Bonding Program'!$S$19=1,'Bonding Program'!$H$19&lt;='Bonding Program'!$C$8,AF$3=IF('Bonding Program'!$P$19&lt;&gt;"",'Bonding Program'!$P$19,'Bonding Program'!$C$8)),'Bonding Program'!$Z$19,0)+IF(AND('Bonding Program'!$P$19&lt;&gt;"",AF$3='Bonding Program'!$P$19,AF$3&lt;='Bonding Program'!$C$8),N('Bonding Program'!$O$19),0)</f>
        <v>0</v>
      </c>
      <c r="AG160" s="19" t="n">
        <f aca="false">IF(AND('Bonding Program'!$S$19=1,'Bonding Program'!$H$19&gt;'Bonding Program'!$C$8,AG$3='Bonding Program'!$H$19),'Bonding Program'!$T$19-'Bonding Program'!$U$19-'Bonding Program'!$Z$19,0)-IF(AND('Bonding Program'!$S$19=1,'Bonding Program'!$H$19&lt;='Bonding Program'!$C$8,AG$3=IF('Bonding Program'!$P$19&lt;&gt;"",'Bonding Program'!$P$19,'Bonding Program'!$C$8)),'Bonding Program'!$Z$19,0)+IF(AND('Bonding Program'!$P$19&lt;&gt;"",AG$3='Bonding Program'!$P$19,AG$3&lt;='Bonding Program'!$C$8),N('Bonding Program'!$O$19),0)</f>
        <v>0</v>
      </c>
      <c r="AH160" s="19" t="n">
        <f aca="false">IF(AND('Bonding Program'!$S$19=1,'Bonding Program'!$H$19&gt;'Bonding Program'!$C$8,AH$3='Bonding Program'!$H$19),'Bonding Program'!$T$19-'Bonding Program'!$U$19-'Bonding Program'!$Z$19,0)-IF(AND('Bonding Program'!$S$19=1,'Bonding Program'!$H$19&lt;='Bonding Program'!$C$8,AH$3=IF('Bonding Program'!$P$19&lt;&gt;"",'Bonding Program'!$P$19,'Bonding Program'!$C$8)),'Bonding Program'!$Z$19,0)+IF(AND('Bonding Program'!$P$19&lt;&gt;"",AH$3='Bonding Program'!$P$19,AH$3&lt;='Bonding Program'!$C$8),N('Bonding Program'!$O$19),0)</f>
        <v>0</v>
      </c>
      <c r="AI160" s="19" t="n">
        <f aca="false">IF(AND('Bonding Program'!$S$19=1,'Bonding Program'!$H$19&gt;'Bonding Program'!$C$8,AI$3='Bonding Program'!$H$19),'Bonding Program'!$T$19-'Bonding Program'!$U$19-'Bonding Program'!$Z$19,0)-IF(AND('Bonding Program'!$S$19=1,'Bonding Program'!$H$19&lt;='Bonding Program'!$C$8,AI$3=IF('Bonding Program'!$P$19&lt;&gt;"",'Bonding Program'!$P$19,'Bonding Program'!$C$8)),'Bonding Program'!$Z$19,0)+IF(AND('Bonding Program'!$P$19&lt;&gt;"",AI$3='Bonding Program'!$P$19,AI$3&lt;='Bonding Program'!$C$8),N('Bonding Program'!$O$19),0)</f>
        <v>0</v>
      </c>
      <c r="AJ160" s="19" t="n">
        <f aca="false">IF(AND('Bonding Program'!$S$19=1,'Bonding Program'!$H$19&gt;'Bonding Program'!$C$8,AJ$3='Bonding Program'!$H$19),'Bonding Program'!$T$19-'Bonding Program'!$U$19-'Bonding Program'!$Z$19,0)-IF(AND('Bonding Program'!$S$19=1,'Bonding Program'!$H$19&lt;='Bonding Program'!$C$8,AJ$3=IF('Bonding Program'!$P$19&lt;&gt;"",'Bonding Program'!$P$19,'Bonding Program'!$C$8)),'Bonding Program'!$Z$19,0)+IF(AND('Bonding Program'!$P$19&lt;&gt;"",AJ$3='Bonding Program'!$P$19,AJ$3&lt;='Bonding Program'!$C$8),N('Bonding Program'!$O$19),0)</f>
        <v>0</v>
      </c>
      <c r="AK160" s="19" t="n">
        <f aca="false">IF(AND('Bonding Program'!$S$19=1,'Bonding Program'!$H$19&gt;'Bonding Program'!$C$8,AK$3='Bonding Program'!$H$19),'Bonding Program'!$T$19-'Bonding Program'!$U$19-'Bonding Program'!$Z$19,0)-IF(AND('Bonding Program'!$S$19=1,'Bonding Program'!$H$19&lt;='Bonding Program'!$C$8,AK$3=IF('Bonding Program'!$P$19&lt;&gt;"",'Bonding Program'!$P$19,'Bonding Program'!$C$8)),'Bonding Program'!$Z$19,0)+IF(AND('Bonding Program'!$P$19&lt;&gt;"",AK$3='Bonding Program'!$P$19,AK$3&lt;='Bonding Program'!$C$8),N('Bonding Program'!$O$19),0)</f>
        <v>0</v>
      </c>
      <c r="AL160" s="19" t="n">
        <f aca="false">IF(AND('Bonding Program'!$S$19=1,'Bonding Program'!$H$19&gt;'Bonding Program'!$C$8,AL$3='Bonding Program'!$H$19),'Bonding Program'!$T$19-'Bonding Program'!$U$19-'Bonding Program'!$Z$19,0)-IF(AND('Bonding Program'!$S$19=1,'Bonding Program'!$H$19&lt;='Bonding Program'!$C$8,AL$3=IF('Bonding Program'!$P$19&lt;&gt;"",'Bonding Program'!$P$19,'Bonding Program'!$C$8)),'Bonding Program'!$Z$19,0)+IF(AND('Bonding Program'!$P$19&lt;&gt;"",AL$3='Bonding Program'!$P$19,AL$3&lt;='Bonding Program'!$C$8),N('Bonding Program'!$O$19),0)</f>
        <v>0</v>
      </c>
      <c r="AM160" s="19" t="n">
        <f aca="false">IF(AND('Bonding Program'!$S$19=1,'Bonding Program'!$H$19&gt;'Bonding Program'!$C$8,AM$3='Bonding Program'!$H$19),'Bonding Program'!$T$19-'Bonding Program'!$U$19-'Bonding Program'!$Z$19,0)-IF(AND('Bonding Program'!$S$19=1,'Bonding Program'!$H$19&lt;='Bonding Program'!$C$8,AM$3=IF('Bonding Program'!$P$19&lt;&gt;"",'Bonding Program'!$P$19,'Bonding Program'!$C$8)),'Bonding Program'!$Z$19,0)+IF(AND('Bonding Program'!$P$19&lt;&gt;"",AM$3='Bonding Program'!$P$19,AM$3&lt;='Bonding Program'!$C$8),N('Bonding Program'!$O$19),0)</f>
        <v>0</v>
      </c>
      <c r="AN160" s="19" t="n">
        <f aca="false">IF(AND('Bonding Program'!$S$19=1,'Bonding Program'!$H$19&gt;'Bonding Program'!$C$8,AN$3='Bonding Program'!$H$19),'Bonding Program'!$T$19-'Bonding Program'!$U$19-'Bonding Program'!$Z$19,0)-IF(AND('Bonding Program'!$S$19=1,'Bonding Program'!$H$19&lt;='Bonding Program'!$C$8,AN$3=IF('Bonding Program'!$P$19&lt;&gt;"",'Bonding Program'!$P$19,'Bonding Program'!$C$8)),'Bonding Program'!$Z$19,0)+IF(AND('Bonding Program'!$P$19&lt;&gt;"",AN$3='Bonding Program'!$P$19,AN$3&lt;='Bonding Program'!$C$8),N('Bonding Program'!$O$19),0)</f>
        <v>0</v>
      </c>
      <c r="AO160" s="19" t="n">
        <f aca="false">IF(AND('Bonding Program'!$S$19=1,'Bonding Program'!$H$19&gt;'Bonding Program'!$C$8,AO$3='Bonding Program'!$H$19),'Bonding Program'!$T$19-'Bonding Program'!$U$19-'Bonding Program'!$Z$19,0)-IF(AND('Bonding Program'!$S$19=1,'Bonding Program'!$H$19&lt;='Bonding Program'!$C$8,AO$3=IF('Bonding Program'!$P$19&lt;&gt;"",'Bonding Program'!$P$19,'Bonding Program'!$C$8)),'Bonding Program'!$Z$19,0)+IF(AND('Bonding Program'!$P$19&lt;&gt;"",AO$3='Bonding Program'!$P$19,AO$3&lt;='Bonding Program'!$C$8),N('Bonding Program'!$O$19),0)</f>
        <v>0</v>
      </c>
      <c r="AP160" s="19" t="n">
        <f aca="false">IF(AND('Bonding Program'!$S$19=1,'Bonding Program'!$H$19&gt;'Bonding Program'!$C$8,AP$3='Bonding Program'!$H$19),'Bonding Program'!$T$19-'Bonding Program'!$U$19-'Bonding Program'!$Z$19,0)-IF(AND('Bonding Program'!$S$19=1,'Bonding Program'!$H$19&lt;='Bonding Program'!$C$8,AP$3=IF('Bonding Program'!$P$19&lt;&gt;"",'Bonding Program'!$P$19,'Bonding Program'!$C$8)),'Bonding Program'!$Z$19,0)+IF(AND('Bonding Program'!$P$19&lt;&gt;"",AP$3='Bonding Program'!$P$19,AP$3&lt;='Bonding Program'!$C$8),N('Bonding Program'!$O$19),0)</f>
        <v>0</v>
      </c>
      <c r="AQ160" s="19" t="n">
        <f aca="false">IF(AND('Bonding Program'!$S$19=1,'Bonding Program'!$H$19&gt;'Bonding Program'!$C$8,AQ$3='Bonding Program'!$H$19),'Bonding Program'!$T$19-'Bonding Program'!$U$19-'Bonding Program'!$Z$19,0)-IF(AND('Bonding Program'!$S$19=1,'Bonding Program'!$H$19&lt;='Bonding Program'!$C$8,AQ$3=IF('Bonding Program'!$P$19&lt;&gt;"",'Bonding Program'!$P$19,'Bonding Program'!$C$8)),'Bonding Program'!$Z$19,0)+IF(AND('Bonding Program'!$P$19&lt;&gt;"",AQ$3='Bonding Program'!$P$19,AQ$3&lt;='Bonding Program'!$C$8),N('Bonding Program'!$O$19),0)</f>
        <v>0</v>
      </c>
      <c r="AR160" s="19" t="n">
        <f aca="false">IF(AND('Bonding Program'!$S$19=1,'Bonding Program'!$H$19&gt;'Bonding Program'!$C$8,AR$3='Bonding Program'!$H$19),'Bonding Program'!$T$19-'Bonding Program'!$U$19-'Bonding Program'!$Z$19,0)-IF(AND('Bonding Program'!$S$19=1,'Bonding Program'!$H$19&lt;='Bonding Program'!$C$8,AR$3=IF('Bonding Program'!$P$19&lt;&gt;"",'Bonding Program'!$P$19,'Bonding Program'!$C$8)),'Bonding Program'!$Z$19,0)+IF(AND('Bonding Program'!$P$19&lt;&gt;"",AR$3='Bonding Program'!$P$19,AR$3&lt;='Bonding Program'!$C$8),N('Bonding Program'!$O$19),0)</f>
        <v>0</v>
      </c>
      <c r="AS160" s="19" t="n">
        <f aca="false">IF(AND('Bonding Program'!$S$19=1,'Bonding Program'!$H$19&gt;'Bonding Program'!$C$8,AS$3='Bonding Program'!$H$19),'Bonding Program'!$T$19-'Bonding Program'!$U$19-'Bonding Program'!$Z$19,0)-IF(AND('Bonding Program'!$S$19=1,'Bonding Program'!$H$19&lt;='Bonding Program'!$C$8,AS$3=IF('Bonding Program'!$P$19&lt;&gt;"",'Bonding Program'!$P$19,'Bonding Program'!$C$8)),'Bonding Program'!$Z$19,0)+IF(AND('Bonding Program'!$P$19&lt;&gt;"",AS$3='Bonding Program'!$P$19,AS$3&lt;='Bonding Program'!$C$8),N('Bonding Program'!$O$19),0)</f>
        <v>0</v>
      </c>
      <c r="AT160" s="19" t="n">
        <f aca="false">IF(AND('Bonding Program'!$S$19=1,'Bonding Program'!$H$19&gt;'Bonding Program'!$C$8,AT$3='Bonding Program'!$H$19),'Bonding Program'!$T$19-'Bonding Program'!$U$19-'Bonding Program'!$Z$19,0)-IF(AND('Bonding Program'!$S$19=1,'Bonding Program'!$H$19&lt;='Bonding Program'!$C$8,AT$3=IF('Bonding Program'!$P$19&lt;&gt;"",'Bonding Program'!$P$19,'Bonding Program'!$C$8)),'Bonding Program'!$Z$19,0)+IF(AND('Bonding Program'!$P$19&lt;&gt;"",AT$3='Bonding Program'!$P$19,AT$3&lt;='Bonding Program'!$C$8),N('Bonding Program'!$O$19),0)</f>
        <v>0</v>
      </c>
      <c r="AU160" s="19" t="n">
        <f aca="false">IF(AND('Bonding Program'!$S$19=1,'Bonding Program'!$H$19&gt;'Bonding Program'!$C$8,AU$3='Bonding Program'!$H$19),'Bonding Program'!$T$19-'Bonding Program'!$U$19-'Bonding Program'!$Z$19,0)-IF(AND('Bonding Program'!$S$19=1,'Bonding Program'!$H$19&lt;='Bonding Program'!$C$8,AU$3=IF('Bonding Program'!$P$19&lt;&gt;"",'Bonding Program'!$P$19,'Bonding Program'!$C$8)),'Bonding Program'!$Z$19,0)+IF(AND('Bonding Program'!$P$19&lt;&gt;"",AU$3='Bonding Program'!$P$19,AU$3&lt;='Bonding Program'!$C$8),N('Bonding Program'!$O$19),0)</f>
        <v>0</v>
      </c>
      <c r="AV160" s="19" t="n">
        <f aca="false">IF(AND('Bonding Program'!$S$19=1,'Bonding Program'!$H$19&gt;'Bonding Program'!$C$8,AV$3='Bonding Program'!$H$19),'Bonding Program'!$T$19-'Bonding Program'!$U$19-'Bonding Program'!$Z$19,0)-IF(AND('Bonding Program'!$S$19=1,'Bonding Program'!$H$19&lt;='Bonding Program'!$C$8,AV$3=IF('Bonding Program'!$P$19&lt;&gt;"",'Bonding Program'!$P$19,'Bonding Program'!$C$8)),'Bonding Program'!$Z$19,0)+IF(AND('Bonding Program'!$P$19&lt;&gt;"",AV$3='Bonding Program'!$P$19,AV$3&lt;='Bonding Program'!$C$8),N('Bonding Program'!$O$19),0)</f>
        <v>0</v>
      </c>
      <c r="AW160" s="19" t="n">
        <f aca="false">IF(AND('Bonding Program'!$S$19=1,'Bonding Program'!$H$19&gt;'Bonding Program'!$C$8,AW$3='Bonding Program'!$H$19),'Bonding Program'!$T$19-'Bonding Program'!$U$19-'Bonding Program'!$Z$19,0)-IF(AND('Bonding Program'!$S$19=1,'Bonding Program'!$H$19&lt;='Bonding Program'!$C$8,AW$3=IF('Bonding Program'!$P$19&lt;&gt;"",'Bonding Program'!$P$19,'Bonding Program'!$C$8)),'Bonding Program'!$Z$19,0)+IF(AND('Bonding Program'!$P$19&lt;&gt;"",AW$3='Bonding Program'!$P$19,AW$3&lt;='Bonding Program'!$C$8),N('Bonding Program'!$O$19),0)</f>
        <v>0</v>
      </c>
      <c r="AX160" s="19" t="n">
        <f aca="false">IF(AND('Bonding Program'!$S$19=1,'Bonding Program'!$H$19&gt;'Bonding Program'!$C$8,AX$3='Bonding Program'!$H$19),'Bonding Program'!$T$19-'Bonding Program'!$U$19-'Bonding Program'!$Z$19,0)-IF(AND('Bonding Program'!$S$19=1,'Bonding Program'!$H$19&lt;='Bonding Program'!$C$8,AX$3=IF('Bonding Program'!$P$19&lt;&gt;"",'Bonding Program'!$P$19,'Bonding Program'!$C$8)),'Bonding Program'!$Z$19,0)+IF(AND('Bonding Program'!$P$19&lt;&gt;"",AX$3='Bonding Program'!$P$19,AX$3&lt;='Bonding Program'!$C$8),N('Bonding Program'!$O$19),0)</f>
        <v>0</v>
      </c>
      <c r="AY160" s="19" t="n">
        <f aca="false">IF(AND('Bonding Program'!$S$19=1,'Bonding Program'!$H$19&gt;'Bonding Program'!$C$8,AY$3='Bonding Program'!$H$19),'Bonding Program'!$T$19-'Bonding Program'!$U$19-'Bonding Program'!$Z$19,0)-IF(AND('Bonding Program'!$S$19=1,'Bonding Program'!$H$19&lt;='Bonding Program'!$C$8,AY$3=IF('Bonding Program'!$P$19&lt;&gt;"",'Bonding Program'!$P$19,'Bonding Program'!$C$8)),'Bonding Program'!$Z$19,0)+IF(AND('Bonding Program'!$P$19&lt;&gt;"",AY$3='Bonding Program'!$P$19,AY$3&lt;='Bonding Program'!$C$8),N('Bonding Program'!$O$19),0)</f>
        <v>0</v>
      </c>
      <c r="AZ160" s="19" t="n">
        <f aca="false">IF(AND('Bonding Program'!$S$19=1,'Bonding Program'!$H$19&gt;'Bonding Program'!$C$8,AZ$3='Bonding Program'!$H$19),'Bonding Program'!$T$19-'Bonding Program'!$U$19-'Bonding Program'!$Z$19,0)-IF(AND('Bonding Program'!$S$19=1,'Bonding Program'!$H$19&lt;='Bonding Program'!$C$8,AZ$3=IF('Bonding Program'!$P$19&lt;&gt;"",'Bonding Program'!$P$19,'Bonding Program'!$C$8)),'Bonding Program'!$Z$19,0)+IF(AND('Bonding Program'!$P$19&lt;&gt;"",AZ$3='Bonding Program'!$P$19,AZ$3&lt;='Bonding Program'!$C$8),N('Bonding Program'!$O$19),0)</f>
        <v>0</v>
      </c>
      <c r="BA160" s="19" t="n">
        <f aca="false">IF(AND('Bonding Program'!$S$19=1,'Bonding Program'!$H$19&gt;'Bonding Program'!$C$8,BA$3='Bonding Program'!$H$19),'Bonding Program'!$T$19-'Bonding Program'!$U$19-'Bonding Program'!$Z$19,0)-IF(AND('Bonding Program'!$S$19=1,'Bonding Program'!$H$19&lt;='Bonding Program'!$C$8,BA$3=IF('Bonding Program'!$P$19&lt;&gt;"",'Bonding Program'!$P$19,'Bonding Program'!$C$8)),'Bonding Program'!$Z$19,0)+IF(AND('Bonding Program'!$P$19&lt;&gt;"",BA$3='Bonding Program'!$P$19,BA$3&lt;='Bonding Program'!$C$8),N('Bonding Program'!$O$19),0)</f>
        <v>0</v>
      </c>
      <c r="BB160" s="19" t="n">
        <f aca="false">IF(AND('Bonding Program'!$S$19=1,'Bonding Program'!$H$19&gt;'Bonding Program'!$C$8,BB$3='Bonding Program'!$H$19),'Bonding Program'!$T$19-'Bonding Program'!$U$19-'Bonding Program'!$Z$19,0)-IF(AND('Bonding Program'!$S$19=1,'Bonding Program'!$H$19&lt;='Bonding Program'!$C$8,BB$3=IF('Bonding Program'!$P$19&lt;&gt;"",'Bonding Program'!$P$19,'Bonding Program'!$C$8)),'Bonding Program'!$Z$19,0)+IF(AND('Bonding Program'!$P$19&lt;&gt;"",BB$3='Bonding Program'!$P$19,BB$3&lt;='Bonding Program'!$C$8),N('Bonding Program'!$O$19),0)</f>
        <v>0</v>
      </c>
      <c r="BC160" s="19" t="n">
        <f aca="false">IF(AND('Bonding Program'!$S$19=1,'Bonding Program'!$H$19&gt;'Bonding Program'!$C$8,BC$3='Bonding Program'!$H$19),'Bonding Program'!$T$19-'Bonding Program'!$U$19-'Bonding Program'!$Z$19,0)-IF(AND('Bonding Program'!$S$19=1,'Bonding Program'!$H$19&lt;='Bonding Program'!$C$8,BC$3=IF('Bonding Program'!$P$19&lt;&gt;"",'Bonding Program'!$P$19,'Bonding Program'!$C$8)),'Bonding Program'!$Z$19,0)+IF(AND('Bonding Program'!$P$19&lt;&gt;"",BC$3='Bonding Program'!$P$19,BC$3&lt;='Bonding Program'!$C$8),N('Bonding Program'!$O$19),0)</f>
        <v>0</v>
      </c>
      <c r="BD160" s="19" t="n">
        <f aca="false">IF(AND('Bonding Program'!$S$19=1,'Bonding Program'!$H$19&gt;'Bonding Program'!$C$8,BD$3='Bonding Program'!$H$19),'Bonding Program'!$T$19-'Bonding Program'!$U$19-'Bonding Program'!$Z$19,0)-IF(AND('Bonding Program'!$S$19=1,'Bonding Program'!$H$19&lt;='Bonding Program'!$C$8,BD$3=IF('Bonding Program'!$P$19&lt;&gt;"",'Bonding Program'!$P$19,'Bonding Program'!$C$8)),'Bonding Program'!$Z$19,0)+IF(AND('Bonding Program'!$P$19&lt;&gt;"",BD$3='Bonding Program'!$P$19,BD$3&lt;='Bonding Program'!$C$8),N('Bonding Program'!$O$19),0)</f>
        <v>0</v>
      </c>
      <c r="BE160" s="19" t="n">
        <f aca="false">IF(AND('Bonding Program'!$S$19=1,'Bonding Program'!$H$19&gt;'Bonding Program'!$C$8,BE$3='Bonding Program'!$H$19),'Bonding Program'!$T$19-'Bonding Program'!$U$19-'Bonding Program'!$Z$19,0)-IF(AND('Bonding Program'!$S$19=1,'Bonding Program'!$H$19&lt;='Bonding Program'!$C$8,BE$3=IF('Bonding Program'!$P$19&lt;&gt;"",'Bonding Program'!$P$19,'Bonding Program'!$C$8)),'Bonding Program'!$Z$19,0)+IF(AND('Bonding Program'!$P$19&lt;&gt;"",BE$3='Bonding Program'!$P$19,BE$3&lt;='Bonding Program'!$C$8),N('Bonding Program'!$O$19),0)</f>
        <v>0</v>
      </c>
      <c r="BF160" s="19" t="n">
        <f aca="false">IF(AND('Bonding Program'!$S$19=1,'Bonding Program'!$H$19&gt;'Bonding Program'!$C$8,BF$3='Bonding Program'!$H$19),'Bonding Program'!$T$19-'Bonding Program'!$U$19-'Bonding Program'!$Z$19,0)-IF(AND('Bonding Program'!$S$19=1,'Bonding Program'!$H$19&lt;='Bonding Program'!$C$8,BF$3=IF('Bonding Program'!$P$19&lt;&gt;"",'Bonding Program'!$P$19,'Bonding Program'!$C$8)),'Bonding Program'!$Z$19,0)+IF(AND('Bonding Program'!$P$19&lt;&gt;"",BF$3='Bonding Program'!$P$19,BF$3&lt;='Bonding Program'!$C$8),N('Bonding Program'!$O$19),0)</f>
        <v>0</v>
      </c>
      <c r="BG160" s="19" t="n">
        <f aca="false">IF(AND('Bonding Program'!$S$19=1,'Bonding Program'!$H$19&gt;'Bonding Program'!$C$8,BG$3='Bonding Program'!$H$19),'Bonding Program'!$T$19-'Bonding Program'!$U$19-'Bonding Program'!$Z$19,0)-IF(AND('Bonding Program'!$S$19=1,'Bonding Program'!$H$19&lt;='Bonding Program'!$C$8,BG$3=IF('Bonding Program'!$P$19&lt;&gt;"",'Bonding Program'!$P$19,'Bonding Program'!$C$8)),'Bonding Program'!$Z$19,0)+IF(AND('Bonding Program'!$P$19&lt;&gt;"",BG$3='Bonding Program'!$P$19,BG$3&lt;='Bonding Program'!$C$8),N('Bonding Program'!$O$19),0)</f>
        <v>0</v>
      </c>
      <c r="BH160" s="19" t="n">
        <f aca="false">IF(AND('Bonding Program'!$S$19=1,'Bonding Program'!$H$19&gt;'Bonding Program'!$C$8,BH$3='Bonding Program'!$H$19),'Bonding Program'!$T$19-'Bonding Program'!$U$19-'Bonding Program'!$Z$19,0)-IF(AND('Bonding Program'!$S$19=1,'Bonding Program'!$H$19&lt;='Bonding Program'!$C$8,BH$3=IF('Bonding Program'!$P$19&lt;&gt;"",'Bonding Program'!$P$19,'Bonding Program'!$C$8)),'Bonding Program'!$Z$19,0)+IF(AND('Bonding Program'!$P$19&lt;&gt;"",BH$3='Bonding Program'!$P$19,BH$3&lt;='Bonding Program'!$C$8),N('Bonding Program'!$O$19),0)</f>
        <v>0</v>
      </c>
      <c r="BI160" s="19" t="n">
        <f aca="false">IF(AND('Bonding Program'!$S$19=1,'Bonding Program'!$H$19&gt;'Bonding Program'!$C$8,BI$3='Bonding Program'!$H$19),'Bonding Program'!$T$19-'Bonding Program'!$U$19-'Bonding Program'!$Z$19,0)-IF(AND('Bonding Program'!$S$19=1,'Bonding Program'!$H$19&lt;='Bonding Program'!$C$8,BI$3=IF('Bonding Program'!$P$19&lt;&gt;"",'Bonding Program'!$P$19,'Bonding Program'!$C$8)),'Bonding Program'!$Z$19,0)+IF(AND('Bonding Program'!$P$19&lt;&gt;"",BI$3='Bonding Program'!$P$19,BI$3&lt;='Bonding Program'!$C$8),N('Bonding Program'!$O$19),0)</f>
        <v>0</v>
      </c>
      <c r="BJ160" s="19" t="n">
        <f aca="false">IF(AND('Bonding Program'!$S$19=1,'Bonding Program'!$H$19&gt;'Bonding Program'!$C$8,BJ$3='Bonding Program'!$H$19),'Bonding Program'!$T$19-'Bonding Program'!$U$19-'Bonding Program'!$Z$19,0)-IF(AND('Bonding Program'!$S$19=1,'Bonding Program'!$H$19&lt;='Bonding Program'!$C$8,BJ$3=IF('Bonding Program'!$P$19&lt;&gt;"",'Bonding Program'!$P$19,'Bonding Program'!$C$8)),'Bonding Program'!$Z$19,0)+IF(AND('Bonding Program'!$P$19&lt;&gt;"",BJ$3='Bonding Program'!$P$19,BJ$3&lt;='Bonding Program'!$C$8),N('Bonding Program'!$O$19),0)</f>
        <v>0</v>
      </c>
      <c r="BK160" s="19" t="n">
        <f aca="false">IF(AND('Bonding Program'!$S$19=1,'Bonding Program'!$H$19&gt;'Bonding Program'!$C$8,BK$3='Bonding Program'!$H$19),'Bonding Program'!$T$19-'Bonding Program'!$U$19-'Bonding Program'!$Z$19,0)-IF(AND('Bonding Program'!$S$19=1,'Bonding Program'!$H$19&lt;='Bonding Program'!$C$8,BK$3=IF('Bonding Program'!$P$19&lt;&gt;"",'Bonding Program'!$P$19,'Bonding Program'!$C$8)),'Bonding Program'!$Z$19,0)+IF(AND('Bonding Program'!$P$19&lt;&gt;"",BK$3='Bonding Program'!$P$19,BK$3&lt;='Bonding Program'!$C$8),N('Bonding Program'!$O$19),0)</f>
        <v>0</v>
      </c>
      <c r="BL160" s="19" t="n">
        <f aca="false">IF(AND('Bonding Program'!$S$19=1,'Bonding Program'!$H$19&gt;'Bonding Program'!$C$8,BL$3='Bonding Program'!$H$19),'Bonding Program'!$T$19-'Bonding Program'!$U$19-'Bonding Program'!$Z$19,0)-IF(AND('Bonding Program'!$S$19=1,'Bonding Program'!$H$19&lt;='Bonding Program'!$C$8,BL$3=IF('Bonding Program'!$P$19&lt;&gt;"",'Bonding Program'!$P$19,'Bonding Program'!$C$8)),'Bonding Program'!$Z$19,0)+IF(AND('Bonding Program'!$P$19&lt;&gt;"",BL$3='Bonding Program'!$P$19,BL$3&lt;='Bonding Program'!$C$8),N('Bonding Program'!$O$19),0)</f>
        <v>0</v>
      </c>
      <c r="BM160" s="19" t="n">
        <f aca="false">IF(AND('Bonding Program'!$S$19=1,'Bonding Program'!$H$19&gt;'Bonding Program'!$C$8,BM$3='Bonding Program'!$H$19),'Bonding Program'!$T$19-'Bonding Program'!$U$19-'Bonding Program'!$Z$19,0)-IF(AND('Bonding Program'!$S$19=1,'Bonding Program'!$H$19&lt;='Bonding Program'!$C$8,BM$3=IF('Bonding Program'!$P$19&lt;&gt;"",'Bonding Program'!$P$19,'Bonding Program'!$C$8)),'Bonding Program'!$Z$19,0)+IF(AND('Bonding Program'!$P$19&lt;&gt;"",BM$3='Bonding Program'!$P$19,BM$3&lt;='Bonding Program'!$C$8),N('Bonding Program'!$O$19),0)</f>
        <v>0</v>
      </c>
      <c r="BN160" s="19" t="n">
        <f aca="false">IF(AND('Bonding Program'!$S$19=1,'Bonding Program'!$H$19&gt;'Bonding Program'!$C$8,BN$3='Bonding Program'!$H$19),'Bonding Program'!$T$19-'Bonding Program'!$U$19-'Bonding Program'!$Z$19,0)-IF(AND('Bonding Program'!$S$19=1,'Bonding Program'!$H$19&lt;='Bonding Program'!$C$8,BN$3=IF('Bonding Program'!$P$19&lt;&gt;"",'Bonding Program'!$P$19,'Bonding Program'!$C$8)),'Bonding Program'!$Z$19,0)+IF(AND('Bonding Program'!$P$19&lt;&gt;"",BN$3='Bonding Program'!$P$19,BN$3&lt;='Bonding Program'!$C$8),N('Bonding Program'!$O$19),0)</f>
        <v>0</v>
      </c>
      <c r="BO160" s="19" t="n">
        <f aca="false">IF(AND('Bonding Program'!$S$19=1,'Bonding Program'!$H$19&gt;'Bonding Program'!$C$8,BO$3='Bonding Program'!$H$19),'Bonding Program'!$T$19-'Bonding Program'!$U$19-'Bonding Program'!$Z$19,0)-IF(AND('Bonding Program'!$S$19=1,'Bonding Program'!$H$19&lt;='Bonding Program'!$C$8,BO$3=IF('Bonding Program'!$P$19&lt;&gt;"",'Bonding Program'!$P$19,'Bonding Program'!$C$8)),'Bonding Program'!$Z$19,0)+IF(AND('Bonding Program'!$P$19&lt;&gt;"",BO$3='Bonding Program'!$P$19,BO$3&lt;='Bonding Program'!$C$8),N('Bonding Program'!$O$19),0)</f>
        <v>0</v>
      </c>
      <c r="BP160" s="19" t="n">
        <f aca="false">IF(AND('Bonding Program'!$S$19=1,'Bonding Program'!$H$19&gt;'Bonding Program'!$C$8,BP$3='Bonding Program'!$H$19),'Bonding Program'!$T$19-'Bonding Program'!$U$19-'Bonding Program'!$Z$19,0)-IF(AND('Bonding Program'!$S$19=1,'Bonding Program'!$H$19&lt;='Bonding Program'!$C$8,BP$3=IF('Bonding Program'!$P$19&lt;&gt;"",'Bonding Program'!$P$19,'Bonding Program'!$C$8)),'Bonding Program'!$Z$19,0)+IF(AND('Bonding Program'!$P$19&lt;&gt;"",BP$3='Bonding Program'!$P$19,BP$3&lt;='Bonding Program'!$C$8),N('Bonding Program'!$O$19),0)</f>
        <v>0</v>
      </c>
      <c r="BQ160" s="19" t="n">
        <f aca="false">IF(AND('Bonding Program'!$S$19=1,'Bonding Program'!$H$19&gt;'Bonding Program'!$C$8,BQ$3='Bonding Program'!$H$19),'Bonding Program'!$T$19-'Bonding Program'!$U$19-'Bonding Program'!$Z$19,0)-IF(AND('Bonding Program'!$S$19=1,'Bonding Program'!$H$19&lt;='Bonding Program'!$C$8,BQ$3=IF('Bonding Program'!$P$19&lt;&gt;"",'Bonding Program'!$P$19,'Bonding Program'!$C$8)),'Bonding Program'!$Z$19,0)+IF(AND('Bonding Program'!$P$19&lt;&gt;"",BQ$3='Bonding Program'!$P$19,BQ$3&lt;='Bonding Program'!$C$8),N('Bonding Program'!$O$19),0)</f>
        <v>0</v>
      </c>
      <c r="BR160" s="19" t="n">
        <f aca="false">IF(AND('Bonding Program'!$S$19=1,'Bonding Program'!$H$19&gt;'Bonding Program'!$C$8,BR$3='Bonding Program'!$H$19),'Bonding Program'!$T$19-'Bonding Program'!$U$19-'Bonding Program'!$Z$19,0)-IF(AND('Bonding Program'!$S$19=1,'Bonding Program'!$H$19&lt;='Bonding Program'!$C$8,BR$3=IF('Bonding Program'!$P$19&lt;&gt;"",'Bonding Program'!$P$19,'Bonding Program'!$C$8)),'Bonding Program'!$Z$19,0)+IF(AND('Bonding Program'!$P$19&lt;&gt;"",BR$3='Bonding Program'!$P$19,BR$3&lt;='Bonding Program'!$C$8),N('Bonding Program'!$O$19),0)</f>
        <v>0</v>
      </c>
      <c r="BS160" s="19" t="n">
        <f aca="false">IF(AND('Bonding Program'!$S$19=1,'Bonding Program'!$H$19&gt;'Bonding Program'!$C$8,BS$3='Bonding Program'!$H$19),'Bonding Program'!$T$19-'Bonding Program'!$U$19-'Bonding Program'!$Z$19,0)-IF(AND('Bonding Program'!$S$19=1,'Bonding Program'!$H$19&lt;='Bonding Program'!$C$8,BS$3=IF('Bonding Program'!$P$19&lt;&gt;"",'Bonding Program'!$P$19,'Bonding Program'!$C$8)),'Bonding Program'!$Z$19,0)+IF(AND('Bonding Program'!$P$19&lt;&gt;"",BS$3='Bonding Program'!$P$19,BS$3&lt;='Bonding Program'!$C$8),N('Bonding Program'!$O$19),0)</f>
        <v>0</v>
      </c>
      <c r="BT160" s="19" t="n">
        <f aca="false">IF(AND('Bonding Program'!$S$19=1,'Bonding Program'!$H$19&gt;'Bonding Program'!$C$8,BT$3='Bonding Program'!$H$19),'Bonding Program'!$T$19-'Bonding Program'!$U$19-'Bonding Program'!$Z$19,0)-IF(AND('Bonding Program'!$S$19=1,'Bonding Program'!$H$19&lt;='Bonding Program'!$C$8,BT$3=IF('Bonding Program'!$P$19&lt;&gt;"",'Bonding Program'!$P$19,'Bonding Program'!$C$8)),'Bonding Program'!$Z$19,0)+IF(AND('Bonding Program'!$P$19&lt;&gt;"",BT$3='Bonding Program'!$P$19,BT$3&lt;='Bonding Program'!$C$8),N('Bonding Program'!$O$19),0)</f>
        <v>0</v>
      </c>
      <c r="BU160" s="19" t="n">
        <f aca="false">IF(AND('Bonding Program'!$S$19=1,'Bonding Program'!$H$19&gt;'Bonding Program'!$C$8,BU$3='Bonding Program'!$H$19),'Bonding Program'!$T$19-'Bonding Program'!$U$19-'Bonding Program'!$Z$19,0)-IF(AND('Bonding Program'!$S$19=1,'Bonding Program'!$H$19&lt;='Bonding Program'!$C$8,BU$3=IF('Bonding Program'!$P$19&lt;&gt;"",'Bonding Program'!$P$19,'Bonding Program'!$C$8)),'Bonding Program'!$Z$19,0)+IF(AND('Bonding Program'!$P$19&lt;&gt;"",BU$3='Bonding Program'!$P$19,BU$3&lt;='Bonding Program'!$C$8),N('Bonding Program'!$O$19),0)</f>
        <v>0</v>
      </c>
      <c r="BV160" s="19" t="n">
        <f aca="false">IF(AND('Bonding Program'!$S$19=1,'Bonding Program'!$H$19&gt;'Bonding Program'!$C$8,BV$3='Bonding Program'!$H$19),'Bonding Program'!$T$19-'Bonding Program'!$U$19-'Bonding Program'!$Z$19,0)-IF(AND('Bonding Program'!$S$19=1,'Bonding Program'!$H$19&lt;='Bonding Program'!$C$8,BV$3=IF('Bonding Program'!$P$19&lt;&gt;"",'Bonding Program'!$P$19,'Bonding Program'!$C$8)),'Bonding Program'!$Z$19,0)+IF(AND('Bonding Program'!$P$19&lt;&gt;"",BV$3='Bonding Program'!$P$19,BV$3&lt;='Bonding Program'!$C$8),N('Bonding Program'!$O$19),0)</f>
        <v>0</v>
      </c>
      <c r="BW160" s="19" t="n">
        <f aca="false">IF(AND('Bonding Program'!$S$19=1,'Bonding Program'!$H$19&gt;'Bonding Program'!$C$8,BW$3='Bonding Program'!$H$19),'Bonding Program'!$T$19-'Bonding Program'!$U$19-'Bonding Program'!$Z$19,0)-IF(AND('Bonding Program'!$S$19=1,'Bonding Program'!$H$19&lt;='Bonding Program'!$C$8,BW$3=IF('Bonding Program'!$P$19&lt;&gt;"",'Bonding Program'!$P$19,'Bonding Program'!$C$8)),'Bonding Program'!$Z$19,0)+IF(AND('Bonding Program'!$P$19&lt;&gt;"",BW$3='Bonding Program'!$P$19,BW$3&lt;='Bonding Program'!$C$8),N('Bonding Program'!$O$19),0)</f>
        <v>0</v>
      </c>
      <c r="BX160" s="19" t="n">
        <f aca="false">IF(AND('Bonding Program'!$S$19=1,'Bonding Program'!$H$19&gt;'Bonding Program'!$C$8,BX$3='Bonding Program'!$H$19),'Bonding Program'!$T$19-'Bonding Program'!$U$19-'Bonding Program'!$Z$19,0)-IF(AND('Bonding Program'!$S$19=1,'Bonding Program'!$H$19&lt;='Bonding Program'!$C$8,BX$3=IF('Bonding Program'!$P$19&lt;&gt;"",'Bonding Program'!$P$19,'Bonding Program'!$C$8)),'Bonding Program'!$Z$19,0)+IF(AND('Bonding Program'!$P$19&lt;&gt;"",BX$3='Bonding Program'!$P$19,BX$3&lt;='Bonding Program'!$C$8),N('Bonding Program'!$O$19),0)</f>
        <v>0</v>
      </c>
      <c r="BY160" s="19" t="n">
        <f aca="false">IF(AND('Bonding Program'!$S$19=1,'Bonding Program'!$H$19&gt;'Bonding Program'!$C$8,BY$3='Bonding Program'!$H$19),'Bonding Program'!$T$19-'Bonding Program'!$U$19-'Bonding Program'!$Z$19,0)-IF(AND('Bonding Program'!$S$19=1,'Bonding Program'!$H$19&lt;='Bonding Program'!$C$8,BY$3=IF('Bonding Program'!$P$19&lt;&gt;"",'Bonding Program'!$P$19,'Bonding Program'!$C$8)),'Bonding Program'!$Z$19,0)+IF(AND('Bonding Program'!$P$19&lt;&gt;"",BY$3='Bonding Program'!$P$19,BY$3&lt;='Bonding Program'!$C$8),N('Bonding Program'!$O$19),0)</f>
        <v>0</v>
      </c>
      <c r="BZ160" s="19" t="n">
        <f aca="false">IF(AND('Bonding Program'!$S$19=1,'Bonding Program'!$H$19&gt;'Bonding Program'!$C$8,BZ$3='Bonding Program'!$H$19),'Bonding Program'!$T$19-'Bonding Program'!$U$19-'Bonding Program'!$Z$19,0)-IF(AND('Bonding Program'!$S$19=1,'Bonding Program'!$H$19&lt;='Bonding Program'!$C$8,BZ$3=IF('Bonding Program'!$P$19&lt;&gt;"",'Bonding Program'!$P$19,'Bonding Program'!$C$8)),'Bonding Program'!$Z$19,0)+IF(AND('Bonding Program'!$P$19&lt;&gt;"",BZ$3='Bonding Program'!$P$19,BZ$3&lt;='Bonding Program'!$C$8),N('Bonding Program'!$O$19),0)</f>
        <v>0</v>
      </c>
      <c r="CA160" s="19" t="n">
        <f aca="false">IF(AND('Bonding Program'!$S$19=1,'Bonding Program'!$H$19&gt;'Bonding Program'!$C$8,CA$3='Bonding Program'!$H$19),'Bonding Program'!$T$19-'Bonding Program'!$U$19-'Bonding Program'!$Z$19,0)-IF(AND('Bonding Program'!$S$19=1,'Bonding Program'!$H$19&lt;='Bonding Program'!$C$8,CA$3=IF('Bonding Program'!$P$19&lt;&gt;"",'Bonding Program'!$P$19,'Bonding Program'!$C$8)),'Bonding Program'!$Z$19,0)+IF(AND('Bonding Program'!$P$19&lt;&gt;"",CA$3='Bonding Program'!$P$19,CA$3&lt;='Bonding Program'!$C$8),N('Bonding Program'!$O$19),0)</f>
        <v>0</v>
      </c>
      <c r="CB160" s="19" t="n">
        <f aca="false">IF(AND('Bonding Program'!$S$19=1,'Bonding Program'!$H$19&gt;'Bonding Program'!$C$8,CB$3='Bonding Program'!$H$19),'Bonding Program'!$T$19-'Bonding Program'!$U$19-'Bonding Program'!$Z$19,0)-IF(AND('Bonding Program'!$S$19=1,'Bonding Program'!$H$19&lt;='Bonding Program'!$C$8,CB$3=IF('Bonding Program'!$P$19&lt;&gt;"",'Bonding Program'!$P$19,'Bonding Program'!$C$8)),'Bonding Program'!$Z$19,0)+IF(AND('Bonding Program'!$P$19&lt;&gt;"",CB$3='Bonding Program'!$P$19,CB$3&lt;='Bonding Program'!$C$8),N('Bonding Program'!$O$19),0)</f>
        <v>0</v>
      </c>
      <c r="CC160" s="19" t="n">
        <f aca="false">IF(AND('Bonding Program'!$S$19=1,'Bonding Program'!$H$19&gt;'Bonding Program'!$C$8,CC$3='Bonding Program'!$H$19),'Bonding Program'!$T$19-'Bonding Program'!$U$19-'Bonding Program'!$Z$19,0)-IF(AND('Bonding Program'!$S$19=1,'Bonding Program'!$H$19&lt;='Bonding Program'!$C$8,CC$3=IF('Bonding Program'!$P$19&lt;&gt;"",'Bonding Program'!$P$19,'Bonding Program'!$C$8)),'Bonding Program'!$Z$19,0)+IF(AND('Bonding Program'!$P$19&lt;&gt;"",CC$3='Bonding Program'!$P$19,CC$3&lt;='Bonding Program'!$C$8),N('Bonding Program'!$O$19),0)</f>
        <v>0</v>
      </c>
      <c r="CD160" s="19" t="n">
        <f aca="false">IF(AND('Bonding Program'!$S$19=1,'Bonding Program'!$H$19&gt;'Bonding Program'!$C$8,CD$3='Bonding Program'!$H$19),'Bonding Program'!$T$19-'Bonding Program'!$U$19-'Bonding Program'!$Z$19,0)-IF(AND('Bonding Program'!$S$19=1,'Bonding Program'!$H$19&lt;='Bonding Program'!$C$8,CD$3=IF('Bonding Program'!$P$19&lt;&gt;"",'Bonding Program'!$P$19,'Bonding Program'!$C$8)),'Bonding Program'!$Z$19,0)+IF(AND('Bonding Program'!$P$19&lt;&gt;"",CD$3='Bonding Program'!$P$19,CD$3&lt;='Bonding Program'!$C$8),N('Bonding Program'!$O$19),0)</f>
        <v>0</v>
      </c>
      <c r="CE160" s="19" t="n">
        <f aca="false">IF(AND('Bonding Program'!$S$19=1,'Bonding Program'!$H$19&gt;'Bonding Program'!$C$8,CE$3='Bonding Program'!$H$19),'Bonding Program'!$T$19-'Bonding Program'!$U$19-'Bonding Program'!$Z$19,0)-IF(AND('Bonding Program'!$S$19=1,'Bonding Program'!$H$19&lt;='Bonding Program'!$C$8,CE$3=IF('Bonding Program'!$P$19&lt;&gt;"",'Bonding Program'!$P$19,'Bonding Program'!$C$8)),'Bonding Program'!$Z$19,0)+IF(AND('Bonding Program'!$P$19&lt;&gt;"",CE$3='Bonding Program'!$P$19,CE$3&lt;='Bonding Program'!$C$8),N('Bonding Program'!$O$19),0)</f>
        <v>0</v>
      </c>
      <c r="CF160" s="19" t="n">
        <f aca="false">IF(AND('Bonding Program'!$S$19=1,'Bonding Program'!$H$19&gt;'Bonding Program'!$C$8,CF$3='Bonding Program'!$H$19),'Bonding Program'!$T$19-'Bonding Program'!$U$19-'Bonding Program'!$Z$19,0)-IF(AND('Bonding Program'!$S$19=1,'Bonding Program'!$H$19&lt;='Bonding Program'!$C$8,CF$3=IF('Bonding Program'!$P$19&lt;&gt;"",'Bonding Program'!$P$19,'Bonding Program'!$C$8)),'Bonding Program'!$Z$19,0)+IF(AND('Bonding Program'!$P$19&lt;&gt;"",CF$3='Bonding Program'!$P$19,CF$3&lt;='Bonding Program'!$C$8),N('Bonding Program'!$O$19),0)</f>
        <v>0</v>
      </c>
      <c r="CG160" s="19" t="n">
        <f aca="false">IF(AND('Bonding Program'!$S$19=1,'Bonding Program'!$H$19&gt;'Bonding Program'!$C$8,CG$3='Bonding Program'!$H$19),'Bonding Program'!$T$19-'Bonding Program'!$U$19-'Bonding Program'!$Z$19,0)-IF(AND('Bonding Program'!$S$19=1,'Bonding Program'!$H$19&lt;='Bonding Program'!$C$8,CG$3=IF('Bonding Program'!$P$19&lt;&gt;"",'Bonding Program'!$P$19,'Bonding Program'!$C$8)),'Bonding Program'!$Z$19,0)+IF(AND('Bonding Program'!$P$19&lt;&gt;"",CG$3='Bonding Program'!$P$19,CG$3&lt;='Bonding Program'!$C$8),N('Bonding Program'!$O$19),0)</f>
        <v>0</v>
      </c>
      <c r="CH160" s="19" t="n">
        <f aca="false">IF(AND('Bonding Program'!$S$19=1,'Bonding Program'!$H$19&gt;'Bonding Program'!$C$8,CH$3='Bonding Program'!$H$19),'Bonding Program'!$T$19-'Bonding Program'!$U$19-'Bonding Program'!$Z$19,0)-IF(AND('Bonding Program'!$S$19=1,'Bonding Program'!$H$19&lt;='Bonding Program'!$C$8,CH$3=IF('Bonding Program'!$P$19&lt;&gt;"",'Bonding Program'!$P$19,'Bonding Program'!$C$8)),'Bonding Program'!$Z$19,0)+IF(AND('Bonding Program'!$P$19&lt;&gt;"",CH$3='Bonding Program'!$P$19,CH$3&lt;='Bonding Program'!$C$8),N('Bonding Program'!$O$19),0)</f>
        <v>0</v>
      </c>
      <c r="CI160" s="19" t="n">
        <f aca="false">IF(AND('Bonding Program'!$S$19=1,'Bonding Program'!$H$19&gt;'Bonding Program'!$C$8,CI$3='Bonding Program'!$H$19),'Bonding Program'!$T$19-'Bonding Program'!$U$19-'Bonding Program'!$Z$19,0)-IF(AND('Bonding Program'!$S$19=1,'Bonding Program'!$H$19&lt;='Bonding Program'!$C$8,CI$3=IF('Bonding Program'!$P$19&lt;&gt;"",'Bonding Program'!$P$19,'Bonding Program'!$C$8)),'Bonding Program'!$Z$19,0)+IF(AND('Bonding Program'!$P$19&lt;&gt;"",CI$3='Bonding Program'!$P$19,CI$3&lt;='Bonding Program'!$C$8),N('Bonding Program'!$O$19),0)</f>
        <v>0</v>
      </c>
      <c r="CJ160" s="19" t="n">
        <f aca="false">IF(AND('Bonding Program'!$S$19=1,'Bonding Program'!$H$19&gt;'Bonding Program'!$C$8,CJ$3='Bonding Program'!$H$19),'Bonding Program'!$T$19-'Bonding Program'!$U$19-'Bonding Program'!$Z$19,0)-IF(AND('Bonding Program'!$S$19=1,'Bonding Program'!$H$19&lt;='Bonding Program'!$C$8,CJ$3=IF('Bonding Program'!$P$19&lt;&gt;"",'Bonding Program'!$P$19,'Bonding Program'!$C$8)),'Bonding Program'!$Z$19,0)+IF(AND('Bonding Program'!$P$19&lt;&gt;"",CJ$3='Bonding Program'!$P$19,CJ$3&lt;='Bonding Program'!$C$8),N('Bonding Program'!$O$19),0)</f>
        <v>0</v>
      </c>
      <c r="CK160" s="19" t="n">
        <f aca="false">IF(AND('Bonding Program'!$S$19=1,'Bonding Program'!$H$19&gt;'Bonding Program'!$C$8,CK$3='Bonding Program'!$H$19),'Bonding Program'!$T$19-'Bonding Program'!$U$19-'Bonding Program'!$Z$19,0)-IF(AND('Bonding Program'!$S$19=1,'Bonding Program'!$H$19&lt;='Bonding Program'!$C$8,CK$3=IF('Bonding Program'!$P$19&lt;&gt;"",'Bonding Program'!$P$19,'Bonding Program'!$C$8)),'Bonding Program'!$Z$19,0)+IF(AND('Bonding Program'!$P$19&lt;&gt;"",CK$3='Bonding Program'!$P$19,CK$3&lt;='Bonding Program'!$C$8),N('Bonding Program'!$O$19),0)</f>
        <v>0</v>
      </c>
      <c r="CL160" s="19" t="n">
        <f aca="false">IF(AND('Bonding Program'!$S$19=1,'Bonding Program'!$H$19&gt;'Bonding Program'!$C$8,CL$3='Bonding Program'!$H$19),'Bonding Program'!$T$19-'Bonding Program'!$U$19-'Bonding Program'!$Z$19,0)-IF(AND('Bonding Program'!$S$19=1,'Bonding Program'!$H$19&lt;='Bonding Program'!$C$8,CL$3=IF('Bonding Program'!$P$19&lt;&gt;"",'Bonding Program'!$P$19,'Bonding Program'!$C$8)),'Bonding Program'!$Z$19,0)+IF(AND('Bonding Program'!$P$19&lt;&gt;"",CL$3='Bonding Program'!$P$19,CL$3&lt;='Bonding Program'!$C$8),N('Bonding Program'!$O$19),0)</f>
        <v>0</v>
      </c>
      <c r="CM160" s="19" t="n">
        <f aca="false">IF(AND('Bonding Program'!$S$19=1,'Bonding Program'!$H$19&gt;'Bonding Program'!$C$8,CM$3='Bonding Program'!$H$19),'Bonding Program'!$T$19-'Bonding Program'!$U$19-'Bonding Program'!$Z$19,0)-IF(AND('Bonding Program'!$S$19=1,'Bonding Program'!$H$19&lt;='Bonding Program'!$C$8,CM$3=IF('Bonding Program'!$P$19&lt;&gt;"",'Bonding Program'!$P$19,'Bonding Program'!$C$8)),'Bonding Program'!$Z$19,0)+IF(AND('Bonding Program'!$P$19&lt;&gt;"",CM$3='Bonding Program'!$P$19,CM$3&lt;='Bonding Program'!$C$8),N('Bonding Program'!$O$19),0)</f>
        <v>0</v>
      </c>
      <c r="CN160" s="19" t="n">
        <f aca="false">IF(AND('Bonding Program'!$S$19=1,'Bonding Program'!$H$19&gt;'Bonding Program'!$C$8,CN$3='Bonding Program'!$H$19),'Bonding Program'!$T$19-'Bonding Program'!$U$19-'Bonding Program'!$Z$19,0)-IF(AND('Bonding Program'!$S$19=1,'Bonding Program'!$H$19&lt;='Bonding Program'!$C$8,CN$3=IF('Bonding Program'!$P$19&lt;&gt;"",'Bonding Program'!$P$19,'Bonding Program'!$C$8)),'Bonding Program'!$Z$19,0)+IF(AND('Bonding Program'!$P$19&lt;&gt;"",CN$3='Bonding Program'!$P$19,CN$3&lt;='Bonding Program'!$C$8),N('Bonding Program'!$O$19),0)</f>
        <v>0</v>
      </c>
      <c r="CO160" s="19" t="n">
        <f aca="false">IF(AND('Bonding Program'!$S$19=1,'Bonding Program'!$H$19&gt;'Bonding Program'!$C$8,CO$3='Bonding Program'!$H$19),'Bonding Program'!$T$19-'Bonding Program'!$U$19-'Bonding Program'!$Z$19,0)-IF(AND('Bonding Program'!$S$19=1,'Bonding Program'!$H$19&lt;='Bonding Program'!$C$8,CO$3=IF('Bonding Program'!$P$19&lt;&gt;"",'Bonding Program'!$P$19,'Bonding Program'!$C$8)),'Bonding Program'!$Z$19,0)+IF(AND('Bonding Program'!$P$19&lt;&gt;"",CO$3='Bonding Program'!$P$19,CO$3&lt;='Bonding Program'!$C$8),N('Bonding Program'!$O$19),0)</f>
        <v>0</v>
      </c>
      <c r="CP160" s="19" t="n">
        <f aca="false">IF(AND('Bonding Program'!$S$19=1,'Bonding Program'!$H$19&gt;'Bonding Program'!$C$8,CP$3='Bonding Program'!$H$19),'Bonding Program'!$T$19-'Bonding Program'!$U$19-'Bonding Program'!$Z$19,0)-IF(AND('Bonding Program'!$S$19=1,'Bonding Program'!$H$19&lt;='Bonding Program'!$C$8,CP$3=IF('Bonding Program'!$P$19&lt;&gt;"",'Bonding Program'!$P$19,'Bonding Program'!$C$8)),'Bonding Program'!$Z$19,0)+IF(AND('Bonding Program'!$P$19&lt;&gt;"",CP$3='Bonding Program'!$P$19,CP$3&lt;='Bonding Program'!$C$8),N('Bonding Program'!$O$19),0)</f>
        <v>0</v>
      </c>
      <c r="CQ160" s="19" t="n">
        <f aca="false">IF(AND('Bonding Program'!$S$19=1,'Bonding Program'!$H$19&gt;'Bonding Program'!$C$8,CQ$3='Bonding Program'!$H$19),'Bonding Program'!$T$19-'Bonding Program'!$U$19-'Bonding Program'!$Z$19,0)-IF(AND('Bonding Program'!$S$19=1,'Bonding Program'!$H$19&lt;='Bonding Program'!$C$8,CQ$3=IF('Bonding Program'!$P$19&lt;&gt;"",'Bonding Program'!$P$19,'Bonding Program'!$C$8)),'Bonding Program'!$Z$19,0)+IF(AND('Bonding Program'!$P$19&lt;&gt;"",CQ$3='Bonding Program'!$P$19,CQ$3&lt;='Bonding Program'!$C$8),N('Bonding Program'!$O$19),0)</f>
        <v>0</v>
      </c>
      <c r="CR160" s="19" t="n">
        <f aca="false">IF(AND('Bonding Program'!$S$19=1,'Bonding Program'!$H$19&gt;'Bonding Program'!$C$8,CR$3='Bonding Program'!$H$19),'Bonding Program'!$T$19-'Bonding Program'!$U$19-'Bonding Program'!$Z$19,0)-IF(AND('Bonding Program'!$S$19=1,'Bonding Program'!$H$19&lt;='Bonding Program'!$C$8,CR$3=IF('Bonding Program'!$P$19&lt;&gt;"",'Bonding Program'!$P$19,'Bonding Program'!$C$8)),'Bonding Program'!$Z$19,0)+IF(AND('Bonding Program'!$P$19&lt;&gt;"",CR$3='Bonding Program'!$P$19,CR$3&lt;='Bonding Program'!$C$8),N('Bonding Program'!$O$19),0)</f>
        <v>0</v>
      </c>
      <c r="CS160" s="19" t="n">
        <f aca="false">IF(AND('Bonding Program'!$S$19=1,'Bonding Program'!$H$19&gt;'Bonding Program'!$C$8,CS$3='Bonding Program'!$H$19),'Bonding Program'!$T$19-'Bonding Program'!$U$19-'Bonding Program'!$Z$19,0)-IF(AND('Bonding Program'!$S$19=1,'Bonding Program'!$H$19&lt;='Bonding Program'!$C$8,CS$3=IF('Bonding Program'!$P$19&lt;&gt;"",'Bonding Program'!$P$19,'Bonding Program'!$C$8)),'Bonding Program'!$Z$19,0)+IF(AND('Bonding Program'!$P$19&lt;&gt;"",CS$3='Bonding Program'!$P$19,CS$3&lt;='Bonding Program'!$C$8),N('Bonding Program'!$O$19),0)</f>
        <v>0</v>
      </c>
      <c r="CT160" s="19" t="n">
        <f aca="false">IF(AND('Bonding Program'!$S$19=1,'Bonding Program'!$H$19&gt;'Bonding Program'!$C$8,CT$3='Bonding Program'!$H$19),'Bonding Program'!$T$19-'Bonding Program'!$U$19-'Bonding Program'!$Z$19,0)-IF(AND('Bonding Program'!$S$19=1,'Bonding Program'!$H$19&lt;='Bonding Program'!$C$8,CT$3=IF('Bonding Program'!$P$19&lt;&gt;"",'Bonding Program'!$P$19,'Bonding Program'!$C$8)),'Bonding Program'!$Z$19,0)+IF(AND('Bonding Program'!$P$19&lt;&gt;"",CT$3='Bonding Program'!$P$19,CT$3&lt;='Bonding Program'!$C$8),N('Bonding Program'!$O$19),0)</f>
        <v>0</v>
      </c>
      <c r="CU160" s="19" t="n">
        <f aca="false">IF(AND('Bonding Program'!$S$19=1,'Bonding Program'!$H$19&gt;'Bonding Program'!$C$8,CU$3='Bonding Program'!$H$19),'Bonding Program'!$T$19-'Bonding Program'!$U$19-'Bonding Program'!$Z$19,0)-IF(AND('Bonding Program'!$S$19=1,'Bonding Program'!$H$19&lt;='Bonding Program'!$C$8,CU$3=IF('Bonding Program'!$P$19&lt;&gt;"",'Bonding Program'!$P$19,'Bonding Program'!$C$8)),'Bonding Program'!$Z$19,0)+IF(AND('Bonding Program'!$P$19&lt;&gt;"",CU$3='Bonding Program'!$P$19,CU$3&lt;='Bonding Program'!$C$8),N('Bonding Program'!$O$19),0)</f>
        <v>0</v>
      </c>
      <c r="CV160" s="19" t="n">
        <f aca="false">IF(AND('Bonding Program'!$S$19=1,'Bonding Program'!$H$19&gt;'Bonding Program'!$C$8,CV$3='Bonding Program'!$H$19),'Bonding Program'!$T$19-'Bonding Program'!$U$19-'Bonding Program'!$Z$19,0)-IF(AND('Bonding Program'!$S$19=1,'Bonding Program'!$H$19&lt;='Bonding Program'!$C$8,CV$3=IF('Bonding Program'!$P$19&lt;&gt;"",'Bonding Program'!$P$19,'Bonding Program'!$C$8)),'Bonding Program'!$Z$19,0)+IF(AND('Bonding Program'!$P$19&lt;&gt;"",CV$3='Bonding Program'!$P$19,CV$3&lt;='Bonding Program'!$C$8),N('Bonding Program'!$O$19),0)</f>
        <v>0</v>
      </c>
      <c r="CW160" s="19" t="n">
        <f aca="false">IF(AND('Bonding Program'!$S$19=1,'Bonding Program'!$H$19&gt;'Bonding Program'!$C$8,CW$3='Bonding Program'!$H$19),'Bonding Program'!$T$19-'Bonding Program'!$U$19-'Bonding Program'!$Z$19,0)-IF(AND('Bonding Program'!$S$19=1,'Bonding Program'!$H$19&lt;='Bonding Program'!$C$8,CW$3=IF('Bonding Program'!$P$19&lt;&gt;"",'Bonding Program'!$P$19,'Bonding Program'!$C$8)),'Bonding Program'!$Z$19,0)+IF(AND('Bonding Program'!$P$19&lt;&gt;"",CW$3='Bonding Program'!$P$19,CW$3&lt;='Bonding Program'!$C$8),N('Bonding Program'!$O$19),0)</f>
        <v>0</v>
      </c>
      <c r="CX160" s="19" t="n">
        <f aca="false">IF(AND('Bonding Program'!$S$19=1,'Bonding Program'!$H$19&gt;'Bonding Program'!$C$8,CX$3='Bonding Program'!$H$19),'Bonding Program'!$T$19-'Bonding Program'!$U$19-'Bonding Program'!$Z$19,0)-IF(AND('Bonding Program'!$S$19=1,'Bonding Program'!$H$19&lt;='Bonding Program'!$C$8,CX$3=IF('Bonding Program'!$P$19&lt;&gt;"",'Bonding Program'!$P$19,'Bonding Program'!$C$8)),'Bonding Program'!$Z$19,0)+IF(AND('Bonding Program'!$P$19&lt;&gt;"",CX$3='Bonding Program'!$P$19,CX$3&lt;='Bonding Program'!$C$8),N('Bonding Program'!$O$19),0)</f>
        <v>0</v>
      </c>
      <c r="CY160" s="19" t="n">
        <f aca="false">IF(AND('Bonding Program'!$S$19=1,'Bonding Program'!$H$19&gt;'Bonding Program'!$C$8,CY$3='Bonding Program'!$H$19),'Bonding Program'!$T$19-'Bonding Program'!$U$19-'Bonding Program'!$Z$19,0)-IF(AND('Bonding Program'!$S$19=1,'Bonding Program'!$H$19&lt;='Bonding Program'!$C$8,CY$3=IF('Bonding Program'!$P$19&lt;&gt;"",'Bonding Program'!$P$19,'Bonding Program'!$C$8)),'Bonding Program'!$Z$19,0)+IF(AND('Bonding Program'!$P$19&lt;&gt;"",CY$3='Bonding Program'!$P$19,CY$3&lt;='Bonding Program'!$C$8),N('Bonding Program'!$O$19),0)</f>
        <v>0</v>
      </c>
      <c r="CZ160" s="19" t="n">
        <f aca="false">IF(AND('Bonding Program'!$S$19=1,'Bonding Program'!$H$19&gt;'Bonding Program'!$C$8,CZ$3='Bonding Program'!$H$19),'Bonding Program'!$T$19-'Bonding Program'!$U$19-'Bonding Program'!$Z$19,0)-IF(AND('Bonding Program'!$S$19=1,'Bonding Program'!$H$19&lt;='Bonding Program'!$C$8,CZ$3=IF('Bonding Program'!$P$19&lt;&gt;"",'Bonding Program'!$P$19,'Bonding Program'!$C$8)),'Bonding Program'!$Z$19,0)+IF(AND('Bonding Program'!$P$19&lt;&gt;"",CZ$3='Bonding Program'!$P$19,CZ$3&lt;='Bonding Program'!$C$8),N('Bonding Program'!$O$19),0)</f>
        <v>0</v>
      </c>
      <c r="DA160" s="19" t="n">
        <f aca="false">IF(AND('Bonding Program'!$S$19=1,'Bonding Program'!$H$19&gt;'Bonding Program'!$C$8,DA$3='Bonding Program'!$H$19),'Bonding Program'!$T$19-'Bonding Program'!$U$19-'Bonding Program'!$Z$19,0)-IF(AND('Bonding Program'!$S$19=1,'Bonding Program'!$H$19&lt;='Bonding Program'!$C$8,DA$3=IF('Bonding Program'!$P$19&lt;&gt;"",'Bonding Program'!$P$19,'Bonding Program'!$C$8)),'Bonding Program'!$Z$19,0)+IF(AND('Bonding Program'!$P$19&lt;&gt;"",DA$3='Bonding Program'!$P$19,DA$3&lt;='Bonding Program'!$C$8),N('Bonding Program'!$O$19),0)</f>
        <v>0</v>
      </c>
      <c r="DB160" s="19" t="n">
        <f aca="false">IF(AND('Bonding Program'!$S$19=1,'Bonding Program'!$H$19&gt;'Bonding Program'!$C$8,DB$3='Bonding Program'!$H$19),'Bonding Program'!$T$19-'Bonding Program'!$U$19-'Bonding Program'!$Z$19,0)-IF(AND('Bonding Program'!$S$19=1,'Bonding Program'!$H$19&lt;='Bonding Program'!$C$8,DB$3=IF('Bonding Program'!$P$19&lt;&gt;"",'Bonding Program'!$P$19,'Bonding Program'!$C$8)),'Bonding Program'!$Z$19,0)+IF(AND('Bonding Program'!$P$19&lt;&gt;"",DB$3='Bonding Program'!$P$19,DB$3&lt;='Bonding Program'!$C$8),N('Bonding Program'!$O$19),0)</f>
        <v>0</v>
      </c>
      <c r="DC160" s="19" t="n">
        <f aca="false">IF(AND('Bonding Program'!$S$19=1,'Bonding Program'!$H$19&gt;'Bonding Program'!$C$8,DC$3='Bonding Program'!$H$19),'Bonding Program'!$T$19-'Bonding Program'!$U$19-'Bonding Program'!$Z$19,0)-IF(AND('Bonding Program'!$S$19=1,'Bonding Program'!$H$19&lt;='Bonding Program'!$C$8,DC$3=IF('Bonding Program'!$P$19&lt;&gt;"",'Bonding Program'!$P$19,'Bonding Program'!$C$8)),'Bonding Program'!$Z$19,0)+IF(AND('Bonding Program'!$P$19&lt;&gt;"",DC$3='Bonding Program'!$P$19,DC$3&lt;='Bonding Program'!$C$8),N('Bonding Program'!$O$19),0)</f>
        <v>0</v>
      </c>
      <c r="DD160" s="19" t="n">
        <f aca="false">IF(AND('Bonding Program'!$S$19=1,'Bonding Program'!$H$19&gt;'Bonding Program'!$C$8,DD$3='Bonding Program'!$H$19),'Bonding Program'!$T$19-'Bonding Program'!$U$19-'Bonding Program'!$Z$19,0)-IF(AND('Bonding Program'!$S$19=1,'Bonding Program'!$H$19&lt;='Bonding Program'!$C$8,DD$3=IF('Bonding Program'!$P$19&lt;&gt;"",'Bonding Program'!$P$19,'Bonding Program'!$C$8)),'Bonding Program'!$Z$19,0)+IF(AND('Bonding Program'!$P$19&lt;&gt;"",DD$3='Bonding Program'!$P$19,DD$3&lt;='Bonding Program'!$C$8),N('Bonding Program'!$O$19),0)</f>
        <v>0</v>
      </c>
      <c r="DE160" s="19" t="n">
        <f aca="false">IF(AND('Bonding Program'!$S$19=1,'Bonding Program'!$H$19&gt;'Bonding Program'!$C$8,DE$3='Bonding Program'!$H$19),'Bonding Program'!$T$19-'Bonding Program'!$U$19-'Bonding Program'!$Z$19,0)-IF(AND('Bonding Program'!$S$19=1,'Bonding Program'!$H$19&lt;='Bonding Program'!$C$8,DE$3=IF('Bonding Program'!$P$19&lt;&gt;"",'Bonding Program'!$P$19,'Bonding Program'!$C$8)),'Bonding Program'!$Z$19,0)+IF(AND('Bonding Program'!$P$19&lt;&gt;"",DE$3='Bonding Program'!$P$19,DE$3&lt;='Bonding Program'!$C$8),N('Bonding Program'!$O$19),0)</f>
        <v>0</v>
      </c>
    </row>
    <row r="161" customFormat="false" ht="15" hidden="false" customHeight="true" outlineLevel="1" collapsed="false">
      <c r="A161" s="28" t="s">
        <v>16</v>
      </c>
      <c r="B161" s="19" t="n">
        <f aca="false">IF(AND('Bonding Program'!$S$20=1,'Bonding Program'!$H$20&gt;'Bonding Program'!$C$8,B$3='Bonding Program'!$H$20),'Bonding Program'!$T$20-'Bonding Program'!$U$20-'Bonding Program'!$Z$20,0)-IF(AND('Bonding Program'!$S$20=1,'Bonding Program'!$H$20&lt;='Bonding Program'!$C$8,B$3=IF('Bonding Program'!$P$20&lt;&gt;"",'Bonding Program'!$P$20,'Bonding Program'!$C$8)),'Bonding Program'!$Z$20,0)+IF(AND('Bonding Program'!$P$20&lt;&gt;"",B$3='Bonding Program'!$P$20,B$3&lt;='Bonding Program'!$C$8),N('Bonding Program'!$O$20),0)</f>
        <v>0</v>
      </c>
      <c r="C161" s="19" t="n">
        <f aca="false">IF(AND('Bonding Program'!$S$20=1,'Bonding Program'!$H$20&gt;'Bonding Program'!$C$8,C$3='Bonding Program'!$H$20),'Bonding Program'!$T$20-'Bonding Program'!$U$20-'Bonding Program'!$Z$20,0)-IF(AND('Bonding Program'!$S$20=1,'Bonding Program'!$H$20&lt;='Bonding Program'!$C$8,C$3=IF('Bonding Program'!$P$20&lt;&gt;"",'Bonding Program'!$P$20,'Bonding Program'!$C$8)),'Bonding Program'!$Z$20,0)+IF(AND('Bonding Program'!$P$20&lt;&gt;"",C$3='Bonding Program'!$P$20,C$3&lt;='Bonding Program'!$C$8),N('Bonding Program'!$O$20),0)</f>
        <v>0</v>
      </c>
      <c r="D161" s="19" t="n">
        <f aca="false">IF(AND('Bonding Program'!$S$20=1,'Bonding Program'!$H$20&gt;'Bonding Program'!$C$8,D$3='Bonding Program'!$H$20),'Bonding Program'!$T$20-'Bonding Program'!$U$20-'Bonding Program'!$Z$20,0)-IF(AND('Bonding Program'!$S$20=1,'Bonding Program'!$H$20&lt;='Bonding Program'!$C$8,D$3=IF('Bonding Program'!$P$20&lt;&gt;"",'Bonding Program'!$P$20,'Bonding Program'!$C$8)),'Bonding Program'!$Z$20,0)+IF(AND('Bonding Program'!$P$20&lt;&gt;"",D$3='Bonding Program'!$P$20,D$3&lt;='Bonding Program'!$C$8),N('Bonding Program'!$O$20),0)</f>
        <v>0</v>
      </c>
      <c r="E161" s="19" t="n">
        <f aca="false">IF(AND('Bonding Program'!$S$20=1,'Bonding Program'!$H$20&gt;'Bonding Program'!$C$8,E$3='Bonding Program'!$H$20),'Bonding Program'!$T$20-'Bonding Program'!$U$20-'Bonding Program'!$Z$20,0)-IF(AND('Bonding Program'!$S$20=1,'Bonding Program'!$H$20&lt;='Bonding Program'!$C$8,E$3=IF('Bonding Program'!$P$20&lt;&gt;"",'Bonding Program'!$P$20,'Bonding Program'!$C$8)),'Bonding Program'!$Z$20,0)+IF(AND('Bonding Program'!$P$20&lt;&gt;"",E$3='Bonding Program'!$P$20,E$3&lt;='Bonding Program'!$C$8),N('Bonding Program'!$O$20),0)</f>
        <v>0</v>
      </c>
      <c r="F161" s="19" t="n">
        <f aca="false">IF(AND('Bonding Program'!$S$20=1,'Bonding Program'!$H$20&gt;'Bonding Program'!$C$8,F$3='Bonding Program'!$H$20),'Bonding Program'!$T$20-'Bonding Program'!$U$20-'Bonding Program'!$Z$20,0)-IF(AND('Bonding Program'!$S$20=1,'Bonding Program'!$H$20&lt;='Bonding Program'!$C$8,F$3=IF('Bonding Program'!$P$20&lt;&gt;"",'Bonding Program'!$P$20,'Bonding Program'!$C$8)),'Bonding Program'!$Z$20,0)+IF(AND('Bonding Program'!$P$20&lt;&gt;"",F$3='Bonding Program'!$P$20,F$3&lt;='Bonding Program'!$C$8),N('Bonding Program'!$O$20),0)</f>
        <v>0</v>
      </c>
      <c r="G161" s="19" t="n">
        <f aca="false">IF(AND('Bonding Program'!$S$20=1,'Bonding Program'!$H$20&gt;'Bonding Program'!$C$8,G$3='Bonding Program'!$H$20),'Bonding Program'!$T$20-'Bonding Program'!$U$20-'Bonding Program'!$Z$20,0)-IF(AND('Bonding Program'!$S$20=1,'Bonding Program'!$H$20&lt;='Bonding Program'!$C$8,G$3=IF('Bonding Program'!$P$20&lt;&gt;"",'Bonding Program'!$P$20,'Bonding Program'!$C$8)),'Bonding Program'!$Z$20,0)+IF(AND('Bonding Program'!$P$20&lt;&gt;"",G$3='Bonding Program'!$P$20,G$3&lt;='Bonding Program'!$C$8),N('Bonding Program'!$O$20),0)</f>
        <v>0</v>
      </c>
      <c r="H161" s="19" t="n">
        <f aca="false">IF(AND('Bonding Program'!$S$20=1,'Bonding Program'!$H$20&gt;'Bonding Program'!$C$8,H$3='Bonding Program'!$H$20),'Bonding Program'!$T$20-'Bonding Program'!$U$20-'Bonding Program'!$Z$20,0)-IF(AND('Bonding Program'!$S$20=1,'Bonding Program'!$H$20&lt;='Bonding Program'!$C$8,H$3=IF('Bonding Program'!$P$20&lt;&gt;"",'Bonding Program'!$P$20,'Bonding Program'!$C$8)),'Bonding Program'!$Z$20,0)+IF(AND('Bonding Program'!$P$20&lt;&gt;"",H$3='Bonding Program'!$P$20,H$3&lt;='Bonding Program'!$C$8),N('Bonding Program'!$O$20),0)</f>
        <v>0</v>
      </c>
      <c r="I161" s="19" t="n">
        <f aca="false">IF(AND('Bonding Program'!$S$20=1,'Bonding Program'!$H$20&gt;'Bonding Program'!$C$8,I$3='Bonding Program'!$H$20),'Bonding Program'!$T$20-'Bonding Program'!$U$20-'Bonding Program'!$Z$20,0)-IF(AND('Bonding Program'!$S$20=1,'Bonding Program'!$H$20&lt;='Bonding Program'!$C$8,I$3=IF('Bonding Program'!$P$20&lt;&gt;"",'Bonding Program'!$P$20,'Bonding Program'!$C$8)),'Bonding Program'!$Z$20,0)+IF(AND('Bonding Program'!$P$20&lt;&gt;"",I$3='Bonding Program'!$P$20,I$3&lt;='Bonding Program'!$C$8),N('Bonding Program'!$O$20),0)</f>
        <v>0</v>
      </c>
      <c r="J161" s="19" t="n">
        <f aca="false">IF(AND('Bonding Program'!$S$20=1,'Bonding Program'!$H$20&gt;'Bonding Program'!$C$8,J$3='Bonding Program'!$H$20),'Bonding Program'!$T$20-'Bonding Program'!$U$20-'Bonding Program'!$Z$20,0)-IF(AND('Bonding Program'!$S$20=1,'Bonding Program'!$H$20&lt;='Bonding Program'!$C$8,J$3=IF('Bonding Program'!$P$20&lt;&gt;"",'Bonding Program'!$P$20,'Bonding Program'!$C$8)),'Bonding Program'!$Z$20,0)+IF(AND('Bonding Program'!$P$20&lt;&gt;"",J$3='Bonding Program'!$P$20,J$3&lt;='Bonding Program'!$C$8),N('Bonding Program'!$O$20),0)</f>
        <v>0</v>
      </c>
      <c r="K161" s="19" t="n">
        <f aca="false">IF(AND('Bonding Program'!$S$20=1,'Bonding Program'!$H$20&gt;'Bonding Program'!$C$8,K$3='Bonding Program'!$H$20),'Bonding Program'!$T$20-'Bonding Program'!$U$20-'Bonding Program'!$Z$20,0)-IF(AND('Bonding Program'!$S$20=1,'Bonding Program'!$H$20&lt;='Bonding Program'!$C$8,K$3=IF('Bonding Program'!$P$20&lt;&gt;"",'Bonding Program'!$P$20,'Bonding Program'!$C$8)),'Bonding Program'!$Z$20,0)+IF(AND('Bonding Program'!$P$20&lt;&gt;"",K$3='Bonding Program'!$P$20,K$3&lt;='Bonding Program'!$C$8),N('Bonding Program'!$O$20),0)</f>
        <v>0</v>
      </c>
      <c r="L161" s="19" t="n">
        <f aca="false">IF(AND('Bonding Program'!$S$20=1,'Bonding Program'!$H$20&gt;'Bonding Program'!$C$8,L$3='Bonding Program'!$H$20),'Bonding Program'!$T$20-'Bonding Program'!$U$20-'Bonding Program'!$Z$20,0)-IF(AND('Bonding Program'!$S$20=1,'Bonding Program'!$H$20&lt;='Bonding Program'!$C$8,L$3=IF('Bonding Program'!$P$20&lt;&gt;"",'Bonding Program'!$P$20,'Bonding Program'!$C$8)),'Bonding Program'!$Z$20,0)+IF(AND('Bonding Program'!$P$20&lt;&gt;"",L$3='Bonding Program'!$P$20,L$3&lt;='Bonding Program'!$C$8),N('Bonding Program'!$O$20),0)</f>
        <v>0</v>
      </c>
      <c r="M161" s="19" t="n">
        <f aca="false">IF(AND('Bonding Program'!$S$20=1,'Bonding Program'!$H$20&gt;'Bonding Program'!$C$8,M$3='Bonding Program'!$H$20),'Bonding Program'!$T$20-'Bonding Program'!$U$20-'Bonding Program'!$Z$20,0)-IF(AND('Bonding Program'!$S$20=1,'Bonding Program'!$H$20&lt;='Bonding Program'!$C$8,M$3=IF('Bonding Program'!$P$20&lt;&gt;"",'Bonding Program'!$P$20,'Bonding Program'!$C$8)),'Bonding Program'!$Z$20,0)+IF(AND('Bonding Program'!$P$20&lt;&gt;"",M$3='Bonding Program'!$P$20,M$3&lt;='Bonding Program'!$C$8),N('Bonding Program'!$O$20),0)</f>
        <v>0</v>
      </c>
      <c r="N161" s="19" t="n">
        <f aca="false">IF(AND('Bonding Program'!$S$20=1,'Bonding Program'!$H$20&gt;'Bonding Program'!$C$8,N$3='Bonding Program'!$H$20),'Bonding Program'!$T$20-'Bonding Program'!$U$20-'Bonding Program'!$Z$20,0)-IF(AND('Bonding Program'!$S$20=1,'Bonding Program'!$H$20&lt;='Bonding Program'!$C$8,N$3=IF('Bonding Program'!$P$20&lt;&gt;"",'Bonding Program'!$P$20,'Bonding Program'!$C$8)),'Bonding Program'!$Z$20,0)+IF(AND('Bonding Program'!$P$20&lt;&gt;"",N$3='Bonding Program'!$P$20,N$3&lt;='Bonding Program'!$C$8),N('Bonding Program'!$O$20),0)</f>
        <v>0</v>
      </c>
      <c r="O161" s="19" t="n">
        <f aca="false">IF(AND('Bonding Program'!$S$20=1,'Bonding Program'!$H$20&gt;'Bonding Program'!$C$8,O$3='Bonding Program'!$H$20),'Bonding Program'!$T$20-'Bonding Program'!$U$20-'Bonding Program'!$Z$20,0)-IF(AND('Bonding Program'!$S$20=1,'Bonding Program'!$H$20&lt;='Bonding Program'!$C$8,O$3=IF('Bonding Program'!$P$20&lt;&gt;"",'Bonding Program'!$P$20,'Bonding Program'!$C$8)),'Bonding Program'!$Z$20,0)+IF(AND('Bonding Program'!$P$20&lt;&gt;"",O$3='Bonding Program'!$P$20,O$3&lt;='Bonding Program'!$C$8),N('Bonding Program'!$O$20),0)</f>
        <v>0</v>
      </c>
      <c r="P161" s="19" t="n">
        <f aca="false">IF(AND('Bonding Program'!$S$20=1,'Bonding Program'!$H$20&gt;'Bonding Program'!$C$8,P$3='Bonding Program'!$H$20),'Bonding Program'!$T$20-'Bonding Program'!$U$20-'Bonding Program'!$Z$20,0)-IF(AND('Bonding Program'!$S$20=1,'Bonding Program'!$H$20&lt;='Bonding Program'!$C$8,P$3=IF('Bonding Program'!$P$20&lt;&gt;"",'Bonding Program'!$P$20,'Bonding Program'!$C$8)),'Bonding Program'!$Z$20,0)+IF(AND('Bonding Program'!$P$20&lt;&gt;"",P$3='Bonding Program'!$P$20,P$3&lt;='Bonding Program'!$C$8),N('Bonding Program'!$O$20),0)</f>
        <v>0</v>
      </c>
      <c r="Q161" s="19" t="n">
        <f aca="false">IF(AND('Bonding Program'!$S$20=1,'Bonding Program'!$H$20&gt;'Bonding Program'!$C$8,Q$3='Bonding Program'!$H$20),'Bonding Program'!$T$20-'Bonding Program'!$U$20-'Bonding Program'!$Z$20,0)-IF(AND('Bonding Program'!$S$20=1,'Bonding Program'!$H$20&lt;='Bonding Program'!$C$8,Q$3=IF('Bonding Program'!$P$20&lt;&gt;"",'Bonding Program'!$P$20,'Bonding Program'!$C$8)),'Bonding Program'!$Z$20,0)+IF(AND('Bonding Program'!$P$20&lt;&gt;"",Q$3='Bonding Program'!$P$20,Q$3&lt;='Bonding Program'!$C$8),N('Bonding Program'!$O$20),0)</f>
        <v>0</v>
      </c>
      <c r="R161" s="19" t="n">
        <f aca="false">IF(AND('Bonding Program'!$S$20=1,'Bonding Program'!$H$20&gt;'Bonding Program'!$C$8,R$3='Bonding Program'!$H$20),'Bonding Program'!$T$20-'Bonding Program'!$U$20-'Bonding Program'!$Z$20,0)-IF(AND('Bonding Program'!$S$20=1,'Bonding Program'!$H$20&lt;='Bonding Program'!$C$8,R$3=IF('Bonding Program'!$P$20&lt;&gt;"",'Bonding Program'!$P$20,'Bonding Program'!$C$8)),'Bonding Program'!$Z$20,0)+IF(AND('Bonding Program'!$P$20&lt;&gt;"",R$3='Bonding Program'!$P$20,R$3&lt;='Bonding Program'!$C$8),N('Bonding Program'!$O$20),0)</f>
        <v>0</v>
      </c>
      <c r="S161" s="19" t="n">
        <f aca="false">IF(AND('Bonding Program'!$S$20=1,'Bonding Program'!$H$20&gt;'Bonding Program'!$C$8,S$3='Bonding Program'!$H$20),'Bonding Program'!$T$20-'Bonding Program'!$U$20-'Bonding Program'!$Z$20,0)-IF(AND('Bonding Program'!$S$20=1,'Bonding Program'!$H$20&lt;='Bonding Program'!$C$8,S$3=IF('Bonding Program'!$P$20&lt;&gt;"",'Bonding Program'!$P$20,'Bonding Program'!$C$8)),'Bonding Program'!$Z$20,0)+IF(AND('Bonding Program'!$P$20&lt;&gt;"",S$3='Bonding Program'!$P$20,S$3&lt;='Bonding Program'!$C$8),N('Bonding Program'!$O$20),0)</f>
        <v>0</v>
      </c>
      <c r="T161" s="19" t="n">
        <f aca="false">IF(AND('Bonding Program'!$S$20=1,'Bonding Program'!$H$20&gt;'Bonding Program'!$C$8,T$3='Bonding Program'!$H$20),'Bonding Program'!$T$20-'Bonding Program'!$U$20-'Bonding Program'!$Z$20,0)-IF(AND('Bonding Program'!$S$20=1,'Bonding Program'!$H$20&lt;='Bonding Program'!$C$8,T$3=IF('Bonding Program'!$P$20&lt;&gt;"",'Bonding Program'!$P$20,'Bonding Program'!$C$8)),'Bonding Program'!$Z$20,0)+IF(AND('Bonding Program'!$P$20&lt;&gt;"",T$3='Bonding Program'!$P$20,T$3&lt;='Bonding Program'!$C$8),N('Bonding Program'!$O$20),0)</f>
        <v>0</v>
      </c>
      <c r="U161" s="19" t="n">
        <f aca="false">IF(AND('Bonding Program'!$S$20=1,'Bonding Program'!$H$20&gt;'Bonding Program'!$C$8,U$3='Bonding Program'!$H$20),'Bonding Program'!$T$20-'Bonding Program'!$U$20-'Bonding Program'!$Z$20,0)-IF(AND('Bonding Program'!$S$20=1,'Bonding Program'!$H$20&lt;='Bonding Program'!$C$8,U$3=IF('Bonding Program'!$P$20&lt;&gt;"",'Bonding Program'!$P$20,'Bonding Program'!$C$8)),'Bonding Program'!$Z$20,0)+IF(AND('Bonding Program'!$P$20&lt;&gt;"",U$3='Bonding Program'!$P$20,U$3&lt;='Bonding Program'!$C$8),N('Bonding Program'!$O$20),0)</f>
        <v>0</v>
      </c>
      <c r="V161" s="19" t="n">
        <f aca="false">IF(AND('Bonding Program'!$S$20=1,'Bonding Program'!$H$20&gt;'Bonding Program'!$C$8,V$3='Bonding Program'!$H$20),'Bonding Program'!$T$20-'Bonding Program'!$U$20-'Bonding Program'!$Z$20,0)-IF(AND('Bonding Program'!$S$20=1,'Bonding Program'!$H$20&lt;='Bonding Program'!$C$8,V$3=IF('Bonding Program'!$P$20&lt;&gt;"",'Bonding Program'!$P$20,'Bonding Program'!$C$8)),'Bonding Program'!$Z$20,0)+IF(AND('Bonding Program'!$P$20&lt;&gt;"",V$3='Bonding Program'!$P$20,V$3&lt;='Bonding Program'!$C$8),N('Bonding Program'!$O$20),0)</f>
        <v>0</v>
      </c>
      <c r="W161" s="19" t="n">
        <f aca="false">IF(AND('Bonding Program'!$S$20=1,'Bonding Program'!$H$20&gt;'Bonding Program'!$C$8,W$3='Bonding Program'!$H$20),'Bonding Program'!$T$20-'Bonding Program'!$U$20-'Bonding Program'!$Z$20,0)-IF(AND('Bonding Program'!$S$20=1,'Bonding Program'!$H$20&lt;='Bonding Program'!$C$8,W$3=IF('Bonding Program'!$P$20&lt;&gt;"",'Bonding Program'!$P$20,'Bonding Program'!$C$8)),'Bonding Program'!$Z$20,0)+IF(AND('Bonding Program'!$P$20&lt;&gt;"",W$3='Bonding Program'!$P$20,W$3&lt;='Bonding Program'!$C$8),N('Bonding Program'!$O$20),0)</f>
        <v>0</v>
      </c>
      <c r="X161" s="19" t="n">
        <f aca="false">IF(AND('Bonding Program'!$S$20=1,'Bonding Program'!$H$20&gt;'Bonding Program'!$C$8,X$3='Bonding Program'!$H$20),'Bonding Program'!$T$20-'Bonding Program'!$U$20-'Bonding Program'!$Z$20,0)-IF(AND('Bonding Program'!$S$20=1,'Bonding Program'!$H$20&lt;='Bonding Program'!$C$8,X$3=IF('Bonding Program'!$P$20&lt;&gt;"",'Bonding Program'!$P$20,'Bonding Program'!$C$8)),'Bonding Program'!$Z$20,0)+IF(AND('Bonding Program'!$P$20&lt;&gt;"",X$3='Bonding Program'!$P$20,X$3&lt;='Bonding Program'!$C$8),N('Bonding Program'!$O$20),0)</f>
        <v>0</v>
      </c>
      <c r="Y161" s="19" t="n">
        <f aca="false">IF(AND('Bonding Program'!$S$20=1,'Bonding Program'!$H$20&gt;'Bonding Program'!$C$8,Y$3='Bonding Program'!$H$20),'Bonding Program'!$T$20-'Bonding Program'!$U$20-'Bonding Program'!$Z$20,0)-IF(AND('Bonding Program'!$S$20=1,'Bonding Program'!$H$20&lt;='Bonding Program'!$C$8,Y$3=IF('Bonding Program'!$P$20&lt;&gt;"",'Bonding Program'!$P$20,'Bonding Program'!$C$8)),'Bonding Program'!$Z$20,0)+IF(AND('Bonding Program'!$P$20&lt;&gt;"",Y$3='Bonding Program'!$P$20,Y$3&lt;='Bonding Program'!$C$8),N('Bonding Program'!$O$20),0)</f>
        <v>0</v>
      </c>
      <c r="Z161" s="19" t="n">
        <f aca="false">IF(AND('Bonding Program'!$S$20=1,'Bonding Program'!$H$20&gt;'Bonding Program'!$C$8,Z$3='Bonding Program'!$H$20),'Bonding Program'!$T$20-'Bonding Program'!$U$20-'Bonding Program'!$Z$20,0)-IF(AND('Bonding Program'!$S$20=1,'Bonding Program'!$H$20&lt;='Bonding Program'!$C$8,Z$3=IF('Bonding Program'!$P$20&lt;&gt;"",'Bonding Program'!$P$20,'Bonding Program'!$C$8)),'Bonding Program'!$Z$20,0)+IF(AND('Bonding Program'!$P$20&lt;&gt;"",Z$3='Bonding Program'!$P$20,Z$3&lt;='Bonding Program'!$C$8),N('Bonding Program'!$O$20),0)</f>
        <v>0</v>
      </c>
      <c r="AA161" s="19" t="n">
        <f aca="false">IF(AND('Bonding Program'!$S$20=1,'Bonding Program'!$H$20&gt;'Bonding Program'!$C$8,AA$3='Bonding Program'!$H$20),'Bonding Program'!$T$20-'Bonding Program'!$U$20-'Bonding Program'!$Z$20,0)-IF(AND('Bonding Program'!$S$20=1,'Bonding Program'!$H$20&lt;='Bonding Program'!$C$8,AA$3=IF('Bonding Program'!$P$20&lt;&gt;"",'Bonding Program'!$P$20,'Bonding Program'!$C$8)),'Bonding Program'!$Z$20,0)+IF(AND('Bonding Program'!$P$20&lt;&gt;"",AA$3='Bonding Program'!$P$20,AA$3&lt;='Bonding Program'!$C$8),N('Bonding Program'!$O$20),0)</f>
        <v>0</v>
      </c>
      <c r="AB161" s="19" t="n">
        <f aca="false">IF(AND('Bonding Program'!$S$20=1,'Bonding Program'!$H$20&gt;'Bonding Program'!$C$8,AB$3='Bonding Program'!$H$20),'Bonding Program'!$T$20-'Bonding Program'!$U$20-'Bonding Program'!$Z$20,0)-IF(AND('Bonding Program'!$S$20=1,'Bonding Program'!$H$20&lt;='Bonding Program'!$C$8,AB$3=IF('Bonding Program'!$P$20&lt;&gt;"",'Bonding Program'!$P$20,'Bonding Program'!$C$8)),'Bonding Program'!$Z$20,0)+IF(AND('Bonding Program'!$P$20&lt;&gt;"",AB$3='Bonding Program'!$P$20,AB$3&lt;='Bonding Program'!$C$8),N('Bonding Program'!$O$20),0)</f>
        <v>0</v>
      </c>
      <c r="AC161" s="19" t="n">
        <f aca="false">IF(AND('Bonding Program'!$S$20=1,'Bonding Program'!$H$20&gt;'Bonding Program'!$C$8,AC$3='Bonding Program'!$H$20),'Bonding Program'!$T$20-'Bonding Program'!$U$20-'Bonding Program'!$Z$20,0)-IF(AND('Bonding Program'!$S$20=1,'Bonding Program'!$H$20&lt;='Bonding Program'!$C$8,AC$3=IF('Bonding Program'!$P$20&lt;&gt;"",'Bonding Program'!$P$20,'Bonding Program'!$C$8)),'Bonding Program'!$Z$20,0)+IF(AND('Bonding Program'!$P$20&lt;&gt;"",AC$3='Bonding Program'!$P$20,AC$3&lt;='Bonding Program'!$C$8),N('Bonding Program'!$O$20),0)</f>
        <v>0</v>
      </c>
      <c r="AD161" s="19" t="n">
        <f aca="false">IF(AND('Bonding Program'!$S$20=1,'Bonding Program'!$H$20&gt;'Bonding Program'!$C$8,AD$3='Bonding Program'!$H$20),'Bonding Program'!$T$20-'Bonding Program'!$U$20-'Bonding Program'!$Z$20,0)-IF(AND('Bonding Program'!$S$20=1,'Bonding Program'!$H$20&lt;='Bonding Program'!$C$8,AD$3=IF('Bonding Program'!$P$20&lt;&gt;"",'Bonding Program'!$P$20,'Bonding Program'!$C$8)),'Bonding Program'!$Z$20,0)+IF(AND('Bonding Program'!$P$20&lt;&gt;"",AD$3='Bonding Program'!$P$20,AD$3&lt;='Bonding Program'!$C$8),N('Bonding Program'!$O$20),0)</f>
        <v>0</v>
      </c>
      <c r="AE161" s="19" t="n">
        <f aca="false">IF(AND('Bonding Program'!$S$20=1,'Bonding Program'!$H$20&gt;'Bonding Program'!$C$8,AE$3='Bonding Program'!$H$20),'Bonding Program'!$T$20-'Bonding Program'!$U$20-'Bonding Program'!$Z$20,0)-IF(AND('Bonding Program'!$S$20=1,'Bonding Program'!$H$20&lt;='Bonding Program'!$C$8,AE$3=IF('Bonding Program'!$P$20&lt;&gt;"",'Bonding Program'!$P$20,'Bonding Program'!$C$8)),'Bonding Program'!$Z$20,0)+IF(AND('Bonding Program'!$P$20&lt;&gt;"",AE$3='Bonding Program'!$P$20,AE$3&lt;='Bonding Program'!$C$8),N('Bonding Program'!$O$20),0)</f>
        <v>0</v>
      </c>
      <c r="AF161" s="19" t="n">
        <f aca="false">IF(AND('Bonding Program'!$S$20=1,'Bonding Program'!$H$20&gt;'Bonding Program'!$C$8,AF$3='Bonding Program'!$H$20),'Bonding Program'!$T$20-'Bonding Program'!$U$20-'Bonding Program'!$Z$20,0)-IF(AND('Bonding Program'!$S$20=1,'Bonding Program'!$H$20&lt;='Bonding Program'!$C$8,AF$3=IF('Bonding Program'!$P$20&lt;&gt;"",'Bonding Program'!$P$20,'Bonding Program'!$C$8)),'Bonding Program'!$Z$20,0)+IF(AND('Bonding Program'!$P$20&lt;&gt;"",AF$3='Bonding Program'!$P$20,AF$3&lt;='Bonding Program'!$C$8),N('Bonding Program'!$O$20),0)</f>
        <v>0</v>
      </c>
      <c r="AG161" s="19" t="n">
        <f aca="false">IF(AND('Bonding Program'!$S$20=1,'Bonding Program'!$H$20&gt;'Bonding Program'!$C$8,AG$3='Bonding Program'!$H$20),'Bonding Program'!$T$20-'Bonding Program'!$U$20-'Bonding Program'!$Z$20,0)-IF(AND('Bonding Program'!$S$20=1,'Bonding Program'!$H$20&lt;='Bonding Program'!$C$8,AG$3=IF('Bonding Program'!$P$20&lt;&gt;"",'Bonding Program'!$P$20,'Bonding Program'!$C$8)),'Bonding Program'!$Z$20,0)+IF(AND('Bonding Program'!$P$20&lt;&gt;"",AG$3='Bonding Program'!$P$20,AG$3&lt;='Bonding Program'!$C$8),N('Bonding Program'!$O$20),0)</f>
        <v>0</v>
      </c>
      <c r="AH161" s="19" t="n">
        <f aca="false">IF(AND('Bonding Program'!$S$20=1,'Bonding Program'!$H$20&gt;'Bonding Program'!$C$8,AH$3='Bonding Program'!$H$20),'Bonding Program'!$T$20-'Bonding Program'!$U$20-'Bonding Program'!$Z$20,0)-IF(AND('Bonding Program'!$S$20=1,'Bonding Program'!$H$20&lt;='Bonding Program'!$C$8,AH$3=IF('Bonding Program'!$P$20&lt;&gt;"",'Bonding Program'!$P$20,'Bonding Program'!$C$8)),'Bonding Program'!$Z$20,0)+IF(AND('Bonding Program'!$P$20&lt;&gt;"",AH$3='Bonding Program'!$P$20,AH$3&lt;='Bonding Program'!$C$8),N('Bonding Program'!$O$20),0)</f>
        <v>0</v>
      </c>
      <c r="AI161" s="19" t="n">
        <f aca="false">IF(AND('Bonding Program'!$S$20=1,'Bonding Program'!$H$20&gt;'Bonding Program'!$C$8,AI$3='Bonding Program'!$H$20),'Bonding Program'!$T$20-'Bonding Program'!$U$20-'Bonding Program'!$Z$20,0)-IF(AND('Bonding Program'!$S$20=1,'Bonding Program'!$H$20&lt;='Bonding Program'!$C$8,AI$3=IF('Bonding Program'!$P$20&lt;&gt;"",'Bonding Program'!$P$20,'Bonding Program'!$C$8)),'Bonding Program'!$Z$20,0)+IF(AND('Bonding Program'!$P$20&lt;&gt;"",AI$3='Bonding Program'!$P$20,AI$3&lt;='Bonding Program'!$C$8),N('Bonding Program'!$O$20),0)</f>
        <v>0</v>
      </c>
      <c r="AJ161" s="19" t="n">
        <f aca="false">IF(AND('Bonding Program'!$S$20=1,'Bonding Program'!$H$20&gt;'Bonding Program'!$C$8,AJ$3='Bonding Program'!$H$20),'Bonding Program'!$T$20-'Bonding Program'!$U$20-'Bonding Program'!$Z$20,0)-IF(AND('Bonding Program'!$S$20=1,'Bonding Program'!$H$20&lt;='Bonding Program'!$C$8,AJ$3=IF('Bonding Program'!$P$20&lt;&gt;"",'Bonding Program'!$P$20,'Bonding Program'!$C$8)),'Bonding Program'!$Z$20,0)+IF(AND('Bonding Program'!$P$20&lt;&gt;"",AJ$3='Bonding Program'!$P$20,AJ$3&lt;='Bonding Program'!$C$8),N('Bonding Program'!$O$20),0)</f>
        <v>0</v>
      </c>
      <c r="AK161" s="19" t="n">
        <f aca="false">IF(AND('Bonding Program'!$S$20=1,'Bonding Program'!$H$20&gt;'Bonding Program'!$C$8,AK$3='Bonding Program'!$H$20),'Bonding Program'!$T$20-'Bonding Program'!$U$20-'Bonding Program'!$Z$20,0)-IF(AND('Bonding Program'!$S$20=1,'Bonding Program'!$H$20&lt;='Bonding Program'!$C$8,AK$3=IF('Bonding Program'!$P$20&lt;&gt;"",'Bonding Program'!$P$20,'Bonding Program'!$C$8)),'Bonding Program'!$Z$20,0)+IF(AND('Bonding Program'!$P$20&lt;&gt;"",AK$3='Bonding Program'!$P$20,AK$3&lt;='Bonding Program'!$C$8),N('Bonding Program'!$O$20),0)</f>
        <v>0</v>
      </c>
      <c r="AL161" s="19" t="n">
        <f aca="false">IF(AND('Bonding Program'!$S$20=1,'Bonding Program'!$H$20&gt;'Bonding Program'!$C$8,AL$3='Bonding Program'!$H$20),'Bonding Program'!$T$20-'Bonding Program'!$U$20-'Bonding Program'!$Z$20,0)-IF(AND('Bonding Program'!$S$20=1,'Bonding Program'!$H$20&lt;='Bonding Program'!$C$8,AL$3=IF('Bonding Program'!$P$20&lt;&gt;"",'Bonding Program'!$P$20,'Bonding Program'!$C$8)),'Bonding Program'!$Z$20,0)+IF(AND('Bonding Program'!$P$20&lt;&gt;"",AL$3='Bonding Program'!$P$20,AL$3&lt;='Bonding Program'!$C$8),N('Bonding Program'!$O$20),0)</f>
        <v>0</v>
      </c>
      <c r="AM161" s="19" t="n">
        <f aca="false">IF(AND('Bonding Program'!$S$20=1,'Bonding Program'!$H$20&gt;'Bonding Program'!$C$8,AM$3='Bonding Program'!$H$20),'Bonding Program'!$T$20-'Bonding Program'!$U$20-'Bonding Program'!$Z$20,0)-IF(AND('Bonding Program'!$S$20=1,'Bonding Program'!$H$20&lt;='Bonding Program'!$C$8,AM$3=IF('Bonding Program'!$P$20&lt;&gt;"",'Bonding Program'!$P$20,'Bonding Program'!$C$8)),'Bonding Program'!$Z$20,0)+IF(AND('Bonding Program'!$P$20&lt;&gt;"",AM$3='Bonding Program'!$P$20,AM$3&lt;='Bonding Program'!$C$8),N('Bonding Program'!$O$20),0)</f>
        <v>0</v>
      </c>
      <c r="AN161" s="19" t="n">
        <f aca="false">IF(AND('Bonding Program'!$S$20=1,'Bonding Program'!$H$20&gt;'Bonding Program'!$C$8,AN$3='Bonding Program'!$H$20),'Bonding Program'!$T$20-'Bonding Program'!$U$20-'Bonding Program'!$Z$20,0)-IF(AND('Bonding Program'!$S$20=1,'Bonding Program'!$H$20&lt;='Bonding Program'!$C$8,AN$3=IF('Bonding Program'!$P$20&lt;&gt;"",'Bonding Program'!$P$20,'Bonding Program'!$C$8)),'Bonding Program'!$Z$20,0)+IF(AND('Bonding Program'!$P$20&lt;&gt;"",AN$3='Bonding Program'!$P$20,AN$3&lt;='Bonding Program'!$C$8),N('Bonding Program'!$O$20),0)</f>
        <v>0</v>
      </c>
      <c r="AO161" s="19" t="n">
        <f aca="false">IF(AND('Bonding Program'!$S$20=1,'Bonding Program'!$H$20&gt;'Bonding Program'!$C$8,AO$3='Bonding Program'!$H$20),'Bonding Program'!$T$20-'Bonding Program'!$U$20-'Bonding Program'!$Z$20,0)-IF(AND('Bonding Program'!$S$20=1,'Bonding Program'!$H$20&lt;='Bonding Program'!$C$8,AO$3=IF('Bonding Program'!$P$20&lt;&gt;"",'Bonding Program'!$P$20,'Bonding Program'!$C$8)),'Bonding Program'!$Z$20,0)+IF(AND('Bonding Program'!$P$20&lt;&gt;"",AO$3='Bonding Program'!$P$20,AO$3&lt;='Bonding Program'!$C$8),N('Bonding Program'!$O$20),0)</f>
        <v>0</v>
      </c>
      <c r="AP161" s="19" t="n">
        <f aca="false">IF(AND('Bonding Program'!$S$20=1,'Bonding Program'!$H$20&gt;'Bonding Program'!$C$8,AP$3='Bonding Program'!$H$20),'Bonding Program'!$T$20-'Bonding Program'!$U$20-'Bonding Program'!$Z$20,0)-IF(AND('Bonding Program'!$S$20=1,'Bonding Program'!$H$20&lt;='Bonding Program'!$C$8,AP$3=IF('Bonding Program'!$P$20&lt;&gt;"",'Bonding Program'!$P$20,'Bonding Program'!$C$8)),'Bonding Program'!$Z$20,0)+IF(AND('Bonding Program'!$P$20&lt;&gt;"",AP$3='Bonding Program'!$P$20,AP$3&lt;='Bonding Program'!$C$8),N('Bonding Program'!$O$20),0)</f>
        <v>0</v>
      </c>
      <c r="AQ161" s="19" t="n">
        <f aca="false">IF(AND('Bonding Program'!$S$20=1,'Bonding Program'!$H$20&gt;'Bonding Program'!$C$8,AQ$3='Bonding Program'!$H$20),'Bonding Program'!$T$20-'Bonding Program'!$U$20-'Bonding Program'!$Z$20,0)-IF(AND('Bonding Program'!$S$20=1,'Bonding Program'!$H$20&lt;='Bonding Program'!$C$8,AQ$3=IF('Bonding Program'!$P$20&lt;&gt;"",'Bonding Program'!$P$20,'Bonding Program'!$C$8)),'Bonding Program'!$Z$20,0)+IF(AND('Bonding Program'!$P$20&lt;&gt;"",AQ$3='Bonding Program'!$P$20,AQ$3&lt;='Bonding Program'!$C$8),N('Bonding Program'!$O$20),0)</f>
        <v>0</v>
      </c>
      <c r="AR161" s="19" t="n">
        <f aca="false">IF(AND('Bonding Program'!$S$20=1,'Bonding Program'!$H$20&gt;'Bonding Program'!$C$8,AR$3='Bonding Program'!$H$20),'Bonding Program'!$T$20-'Bonding Program'!$U$20-'Bonding Program'!$Z$20,0)-IF(AND('Bonding Program'!$S$20=1,'Bonding Program'!$H$20&lt;='Bonding Program'!$C$8,AR$3=IF('Bonding Program'!$P$20&lt;&gt;"",'Bonding Program'!$P$20,'Bonding Program'!$C$8)),'Bonding Program'!$Z$20,0)+IF(AND('Bonding Program'!$P$20&lt;&gt;"",AR$3='Bonding Program'!$P$20,AR$3&lt;='Bonding Program'!$C$8),N('Bonding Program'!$O$20),0)</f>
        <v>0</v>
      </c>
      <c r="AS161" s="19" t="n">
        <f aca="false">IF(AND('Bonding Program'!$S$20=1,'Bonding Program'!$H$20&gt;'Bonding Program'!$C$8,AS$3='Bonding Program'!$H$20),'Bonding Program'!$T$20-'Bonding Program'!$U$20-'Bonding Program'!$Z$20,0)-IF(AND('Bonding Program'!$S$20=1,'Bonding Program'!$H$20&lt;='Bonding Program'!$C$8,AS$3=IF('Bonding Program'!$P$20&lt;&gt;"",'Bonding Program'!$P$20,'Bonding Program'!$C$8)),'Bonding Program'!$Z$20,0)+IF(AND('Bonding Program'!$P$20&lt;&gt;"",AS$3='Bonding Program'!$P$20,AS$3&lt;='Bonding Program'!$C$8),N('Bonding Program'!$O$20),0)</f>
        <v>0</v>
      </c>
      <c r="AT161" s="19" t="n">
        <f aca="false">IF(AND('Bonding Program'!$S$20=1,'Bonding Program'!$H$20&gt;'Bonding Program'!$C$8,AT$3='Bonding Program'!$H$20),'Bonding Program'!$T$20-'Bonding Program'!$U$20-'Bonding Program'!$Z$20,0)-IF(AND('Bonding Program'!$S$20=1,'Bonding Program'!$H$20&lt;='Bonding Program'!$C$8,AT$3=IF('Bonding Program'!$P$20&lt;&gt;"",'Bonding Program'!$P$20,'Bonding Program'!$C$8)),'Bonding Program'!$Z$20,0)+IF(AND('Bonding Program'!$P$20&lt;&gt;"",AT$3='Bonding Program'!$P$20,AT$3&lt;='Bonding Program'!$C$8),N('Bonding Program'!$O$20),0)</f>
        <v>0</v>
      </c>
      <c r="AU161" s="19" t="n">
        <f aca="false">IF(AND('Bonding Program'!$S$20=1,'Bonding Program'!$H$20&gt;'Bonding Program'!$C$8,AU$3='Bonding Program'!$H$20),'Bonding Program'!$T$20-'Bonding Program'!$U$20-'Bonding Program'!$Z$20,0)-IF(AND('Bonding Program'!$S$20=1,'Bonding Program'!$H$20&lt;='Bonding Program'!$C$8,AU$3=IF('Bonding Program'!$P$20&lt;&gt;"",'Bonding Program'!$P$20,'Bonding Program'!$C$8)),'Bonding Program'!$Z$20,0)+IF(AND('Bonding Program'!$P$20&lt;&gt;"",AU$3='Bonding Program'!$P$20,AU$3&lt;='Bonding Program'!$C$8),N('Bonding Program'!$O$20),0)</f>
        <v>0</v>
      </c>
      <c r="AV161" s="19" t="n">
        <f aca="false">IF(AND('Bonding Program'!$S$20=1,'Bonding Program'!$H$20&gt;'Bonding Program'!$C$8,AV$3='Bonding Program'!$H$20),'Bonding Program'!$T$20-'Bonding Program'!$U$20-'Bonding Program'!$Z$20,0)-IF(AND('Bonding Program'!$S$20=1,'Bonding Program'!$H$20&lt;='Bonding Program'!$C$8,AV$3=IF('Bonding Program'!$P$20&lt;&gt;"",'Bonding Program'!$P$20,'Bonding Program'!$C$8)),'Bonding Program'!$Z$20,0)+IF(AND('Bonding Program'!$P$20&lt;&gt;"",AV$3='Bonding Program'!$P$20,AV$3&lt;='Bonding Program'!$C$8),N('Bonding Program'!$O$20),0)</f>
        <v>0</v>
      </c>
      <c r="AW161" s="19" t="n">
        <f aca="false">IF(AND('Bonding Program'!$S$20=1,'Bonding Program'!$H$20&gt;'Bonding Program'!$C$8,AW$3='Bonding Program'!$H$20),'Bonding Program'!$T$20-'Bonding Program'!$U$20-'Bonding Program'!$Z$20,0)-IF(AND('Bonding Program'!$S$20=1,'Bonding Program'!$H$20&lt;='Bonding Program'!$C$8,AW$3=IF('Bonding Program'!$P$20&lt;&gt;"",'Bonding Program'!$P$20,'Bonding Program'!$C$8)),'Bonding Program'!$Z$20,0)+IF(AND('Bonding Program'!$P$20&lt;&gt;"",AW$3='Bonding Program'!$P$20,AW$3&lt;='Bonding Program'!$C$8),N('Bonding Program'!$O$20),0)</f>
        <v>0</v>
      </c>
      <c r="AX161" s="19" t="n">
        <f aca="false">IF(AND('Bonding Program'!$S$20=1,'Bonding Program'!$H$20&gt;'Bonding Program'!$C$8,AX$3='Bonding Program'!$H$20),'Bonding Program'!$T$20-'Bonding Program'!$U$20-'Bonding Program'!$Z$20,0)-IF(AND('Bonding Program'!$S$20=1,'Bonding Program'!$H$20&lt;='Bonding Program'!$C$8,AX$3=IF('Bonding Program'!$P$20&lt;&gt;"",'Bonding Program'!$P$20,'Bonding Program'!$C$8)),'Bonding Program'!$Z$20,0)+IF(AND('Bonding Program'!$P$20&lt;&gt;"",AX$3='Bonding Program'!$P$20,AX$3&lt;='Bonding Program'!$C$8),N('Bonding Program'!$O$20),0)</f>
        <v>0</v>
      </c>
      <c r="AY161" s="19" t="n">
        <f aca="false">IF(AND('Bonding Program'!$S$20=1,'Bonding Program'!$H$20&gt;'Bonding Program'!$C$8,AY$3='Bonding Program'!$H$20),'Bonding Program'!$T$20-'Bonding Program'!$U$20-'Bonding Program'!$Z$20,0)-IF(AND('Bonding Program'!$S$20=1,'Bonding Program'!$H$20&lt;='Bonding Program'!$C$8,AY$3=IF('Bonding Program'!$P$20&lt;&gt;"",'Bonding Program'!$P$20,'Bonding Program'!$C$8)),'Bonding Program'!$Z$20,0)+IF(AND('Bonding Program'!$P$20&lt;&gt;"",AY$3='Bonding Program'!$P$20,AY$3&lt;='Bonding Program'!$C$8),N('Bonding Program'!$O$20),0)</f>
        <v>0</v>
      </c>
      <c r="AZ161" s="19" t="n">
        <f aca="false">IF(AND('Bonding Program'!$S$20=1,'Bonding Program'!$H$20&gt;'Bonding Program'!$C$8,AZ$3='Bonding Program'!$H$20),'Bonding Program'!$T$20-'Bonding Program'!$U$20-'Bonding Program'!$Z$20,0)-IF(AND('Bonding Program'!$S$20=1,'Bonding Program'!$H$20&lt;='Bonding Program'!$C$8,AZ$3=IF('Bonding Program'!$P$20&lt;&gt;"",'Bonding Program'!$P$20,'Bonding Program'!$C$8)),'Bonding Program'!$Z$20,0)+IF(AND('Bonding Program'!$P$20&lt;&gt;"",AZ$3='Bonding Program'!$P$20,AZ$3&lt;='Bonding Program'!$C$8),N('Bonding Program'!$O$20),0)</f>
        <v>0</v>
      </c>
      <c r="BA161" s="19" t="n">
        <f aca="false">IF(AND('Bonding Program'!$S$20=1,'Bonding Program'!$H$20&gt;'Bonding Program'!$C$8,BA$3='Bonding Program'!$H$20),'Bonding Program'!$T$20-'Bonding Program'!$U$20-'Bonding Program'!$Z$20,0)-IF(AND('Bonding Program'!$S$20=1,'Bonding Program'!$H$20&lt;='Bonding Program'!$C$8,BA$3=IF('Bonding Program'!$P$20&lt;&gt;"",'Bonding Program'!$P$20,'Bonding Program'!$C$8)),'Bonding Program'!$Z$20,0)+IF(AND('Bonding Program'!$P$20&lt;&gt;"",BA$3='Bonding Program'!$P$20,BA$3&lt;='Bonding Program'!$C$8),N('Bonding Program'!$O$20),0)</f>
        <v>0</v>
      </c>
      <c r="BB161" s="19" t="n">
        <f aca="false">IF(AND('Bonding Program'!$S$20=1,'Bonding Program'!$H$20&gt;'Bonding Program'!$C$8,BB$3='Bonding Program'!$H$20),'Bonding Program'!$T$20-'Bonding Program'!$U$20-'Bonding Program'!$Z$20,0)-IF(AND('Bonding Program'!$S$20=1,'Bonding Program'!$H$20&lt;='Bonding Program'!$C$8,BB$3=IF('Bonding Program'!$P$20&lt;&gt;"",'Bonding Program'!$P$20,'Bonding Program'!$C$8)),'Bonding Program'!$Z$20,0)+IF(AND('Bonding Program'!$P$20&lt;&gt;"",BB$3='Bonding Program'!$P$20,BB$3&lt;='Bonding Program'!$C$8),N('Bonding Program'!$O$20),0)</f>
        <v>0</v>
      </c>
      <c r="BC161" s="19" t="n">
        <f aca="false">IF(AND('Bonding Program'!$S$20=1,'Bonding Program'!$H$20&gt;'Bonding Program'!$C$8,BC$3='Bonding Program'!$H$20),'Bonding Program'!$T$20-'Bonding Program'!$U$20-'Bonding Program'!$Z$20,0)-IF(AND('Bonding Program'!$S$20=1,'Bonding Program'!$H$20&lt;='Bonding Program'!$C$8,BC$3=IF('Bonding Program'!$P$20&lt;&gt;"",'Bonding Program'!$P$20,'Bonding Program'!$C$8)),'Bonding Program'!$Z$20,0)+IF(AND('Bonding Program'!$P$20&lt;&gt;"",BC$3='Bonding Program'!$P$20,BC$3&lt;='Bonding Program'!$C$8),N('Bonding Program'!$O$20),0)</f>
        <v>0</v>
      </c>
      <c r="BD161" s="19" t="n">
        <f aca="false">IF(AND('Bonding Program'!$S$20=1,'Bonding Program'!$H$20&gt;'Bonding Program'!$C$8,BD$3='Bonding Program'!$H$20),'Bonding Program'!$T$20-'Bonding Program'!$U$20-'Bonding Program'!$Z$20,0)-IF(AND('Bonding Program'!$S$20=1,'Bonding Program'!$H$20&lt;='Bonding Program'!$C$8,BD$3=IF('Bonding Program'!$P$20&lt;&gt;"",'Bonding Program'!$P$20,'Bonding Program'!$C$8)),'Bonding Program'!$Z$20,0)+IF(AND('Bonding Program'!$P$20&lt;&gt;"",BD$3='Bonding Program'!$P$20,BD$3&lt;='Bonding Program'!$C$8),N('Bonding Program'!$O$20),0)</f>
        <v>0</v>
      </c>
      <c r="BE161" s="19" t="n">
        <f aca="false">IF(AND('Bonding Program'!$S$20=1,'Bonding Program'!$H$20&gt;'Bonding Program'!$C$8,BE$3='Bonding Program'!$H$20),'Bonding Program'!$T$20-'Bonding Program'!$U$20-'Bonding Program'!$Z$20,0)-IF(AND('Bonding Program'!$S$20=1,'Bonding Program'!$H$20&lt;='Bonding Program'!$C$8,BE$3=IF('Bonding Program'!$P$20&lt;&gt;"",'Bonding Program'!$P$20,'Bonding Program'!$C$8)),'Bonding Program'!$Z$20,0)+IF(AND('Bonding Program'!$P$20&lt;&gt;"",BE$3='Bonding Program'!$P$20,BE$3&lt;='Bonding Program'!$C$8),N('Bonding Program'!$O$20),0)</f>
        <v>0</v>
      </c>
      <c r="BF161" s="19" t="n">
        <f aca="false">IF(AND('Bonding Program'!$S$20=1,'Bonding Program'!$H$20&gt;'Bonding Program'!$C$8,BF$3='Bonding Program'!$H$20),'Bonding Program'!$T$20-'Bonding Program'!$U$20-'Bonding Program'!$Z$20,0)-IF(AND('Bonding Program'!$S$20=1,'Bonding Program'!$H$20&lt;='Bonding Program'!$C$8,BF$3=IF('Bonding Program'!$P$20&lt;&gt;"",'Bonding Program'!$P$20,'Bonding Program'!$C$8)),'Bonding Program'!$Z$20,0)+IF(AND('Bonding Program'!$P$20&lt;&gt;"",BF$3='Bonding Program'!$P$20,BF$3&lt;='Bonding Program'!$C$8),N('Bonding Program'!$O$20),0)</f>
        <v>0</v>
      </c>
      <c r="BG161" s="19" t="n">
        <f aca="false">IF(AND('Bonding Program'!$S$20=1,'Bonding Program'!$H$20&gt;'Bonding Program'!$C$8,BG$3='Bonding Program'!$H$20),'Bonding Program'!$T$20-'Bonding Program'!$U$20-'Bonding Program'!$Z$20,0)-IF(AND('Bonding Program'!$S$20=1,'Bonding Program'!$H$20&lt;='Bonding Program'!$C$8,BG$3=IF('Bonding Program'!$P$20&lt;&gt;"",'Bonding Program'!$P$20,'Bonding Program'!$C$8)),'Bonding Program'!$Z$20,0)+IF(AND('Bonding Program'!$P$20&lt;&gt;"",BG$3='Bonding Program'!$P$20,BG$3&lt;='Bonding Program'!$C$8),N('Bonding Program'!$O$20),0)</f>
        <v>0</v>
      </c>
      <c r="BH161" s="19" t="n">
        <f aca="false">IF(AND('Bonding Program'!$S$20=1,'Bonding Program'!$H$20&gt;'Bonding Program'!$C$8,BH$3='Bonding Program'!$H$20),'Bonding Program'!$T$20-'Bonding Program'!$U$20-'Bonding Program'!$Z$20,0)-IF(AND('Bonding Program'!$S$20=1,'Bonding Program'!$H$20&lt;='Bonding Program'!$C$8,BH$3=IF('Bonding Program'!$P$20&lt;&gt;"",'Bonding Program'!$P$20,'Bonding Program'!$C$8)),'Bonding Program'!$Z$20,0)+IF(AND('Bonding Program'!$P$20&lt;&gt;"",BH$3='Bonding Program'!$P$20,BH$3&lt;='Bonding Program'!$C$8),N('Bonding Program'!$O$20),0)</f>
        <v>0</v>
      </c>
      <c r="BI161" s="19" t="n">
        <f aca="false">IF(AND('Bonding Program'!$S$20=1,'Bonding Program'!$H$20&gt;'Bonding Program'!$C$8,BI$3='Bonding Program'!$H$20),'Bonding Program'!$T$20-'Bonding Program'!$U$20-'Bonding Program'!$Z$20,0)-IF(AND('Bonding Program'!$S$20=1,'Bonding Program'!$H$20&lt;='Bonding Program'!$C$8,BI$3=IF('Bonding Program'!$P$20&lt;&gt;"",'Bonding Program'!$P$20,'Bonding Program'!$C$8)),'Bonding Program'!$Z$20,0)+IF(AND('Bonding Program'!$P$20&lt;&gt;"",BI$3='Bonding Program'!$P$20,BI$3&lt;='Bonding Program'!$C$8),N('Bonding Program'!$O$20),0)</f>
        <v>0</v>
      </c>
      <c r="BJ161" s="19" t="n">
        <f aca="false">IF(AND('Bonding Program'!$S$20=1,'Bonding Program'!$H$20&gt;'Bonding Program'!$C$8,BJ$3='Bonding Program'!$H$20),'Bonding Program'!$T$20-'Bonding Program'!$U$20-'Bonding Program'!$Z$20,0)-IF(AND('Bonding Program'!$S$20=1,'Bonding Program'!$H$20&lt;='Bonding Program'!$C$8,BJ$3=IF('Bonding Program'!$P$20&lt;&gt;"",'Bonding Program'!$P$20,'Bonding Program'!$C$8)),'Bonding Program'!$Z$20,0)+IF(AND('Bonding Program'!$P$20&lt;&gt;"",BJ$3='Bonding Program'!$P$20,BJ$3&lt;='Bonding Program'!$C$8),N('Bonding Program'!$O$20),0)</f>
        <v>0</v>
      </c>
      <c r="BK161" s="19" t="n">
        <f aca="false">IF(AND('Bonding Program'!$S$20=1,'Bonding Program'!$H$20&gt;'Bonding Program'!$C$8,BK$3='Bonding Program'!$H$20),'Bonding Program'!$T$20-'Bonding Program'!$U$20-'Bonding Program'!$Z$20,0)-IF(AND('Bonding Program'!$S$20=1,'Bonding Program'!$H$20&lt;='Bonding Program'!$C$8,BK$3=IF('Bonding Program'!$P$20&lt;&gt;"",'Bonding Program'!$P$20,'Bonding Program'!$C$8)),'Bonding Program'!$Z$20,0)+IF(AND('Bonding Program'!$P$20&lt;&gt;"",BK$3='Bonding Program'!$P$20,BK$3&lt;='Bonding Program'!$C$8),N('Bonding Program'!$O$20),0)</f>
        <v>0</v>
      </c>
      <c r="BL161" s="19" t="n">
        <f aca="false">IF(AND('Bonding Program'!$S$20=1,'Bonding Program'!$H$20&gt;'Bonding Program'!$C$8,BL$3='Bonding Program'!$H$20),'Bonding Program'!$T$20-'Bonding Program'!$U$20-'Bonding Program'!$Z$20,0)-IF(AND('Bonding Program'!$S$20=1,'Bonding Program'!$H$20&lt;='Bonding Program'!$C$8,BL$3=IF('Bonding Program'!$P$20&lt;&gt;"",'Bonding Program'!$P$20,'Bonding Program'!$C$8)),'Bonding Program'!$Z$20,0)+IF(AND('Bonding Program'!$P$20&lt;&gt;"",BL$3='Bonding Program'!$P$20,BL$3&lt;='Bonding Program'!$C$8),N('Bonding Program'!$O$20),0)</f>
        <v>0</v>
      </c>
      <c r="BM161" s="19" t="n">
        <f aca="false">IF(AND('Bonding Program'!$S$20=1,'Bonding Program'!$H$20&gt;'Bonding Program'!$C$8,BM$3='Bonding Program'!$H$20),'Bonding Program'!$T$20-'Bonding Program'!$U$20-'Bonding Program'!$Z$20,0)-IF(AND('Bonding Program'!$S$20=1,'Bonding Program'!$H$20&lt;='Bonding Program'!$C$8,BM$3=IF('Bonding Program'!$P$20&lt;&gt;"",'Bonding Program'!$P$20,'Bonding Program'!$C$8)),'Bonding Program'!$Z$20,0)+IF(AND('Bonding Program'!$P$20&lt;&gt;"",BM$3='Bonding Program'!$P$20,BM$3&lt;='Bonding Program'!$C$8),N('Bonding Program'!$O$20),0)</f>
        <v>0</v>
      </c>
      <c r="BN161" s="19" t="n">
        <f aca="false">IF(AND('Bonding Program'!$S$20=1,'Bonding Program'!$H$20&gt;'Bonding Program'!$C$8,BN$3='Bonding Program'!$H$20),'Bonding Program'!$T$20-'Bonding Program'!$U$20-'Bonding Program'!$Z$20,0)-IF(AND('Bonding Program'!$S$20=1,'Bonding Program'!$H$20&lt;='Bonding Program'!$C$8,BN$3=IF('Bonding Program'!$P$20&lt;&gt;"",'Bonding Program'!$P$20,'Bonding Program'!$C$8)),'Bonding Program'!$Z$20,0)+IF(AND('Bonding Program'!$P$20&lt;&gt;"",BN$3='Bonding Program'!$P$20,BN$3&lt;='Bonding Program'!$C$8),N('Bonding Program'!$O$20),0)</f>
        <v>0</v>
      </c>
      <c r="BO161" s="19" t="n">
        <f aca="false">IF(AND('Bonding Program'!$S$20=1,'Bonding Program'!$H$20&gt;'Bonding Program'!$C$8,BO$3='Bonding Program'!$H$20),'Bonding Program'!$T$20-'Bonding Program'!$U$20-'Bonding Program'!$Z$20,0)-IF(AND('Bonding Program'!$S$20=1,'Bonding Program'!$H$20&lt;='Bonding Program'!$C$8,BO$3=IF('Bonding Program'!$P$20&lt;&gt;"",'Bonding Program'!$P$20,'Bonding Program'!$C$8)),'Bonding Program'!$Z$20,0)+IF(AND('Bonding Program'!$P$20&lt;&gt;"",BO$3='Bonding Program'!$P$20,BO$3&lt;='Bonding Program'!$C$8),N('Bonding Program'!$O$20),0)</f>
        <v>0</v>
      </c>
      <c r="BP161" s="19" t="n">
        <f aca="false">IF(AND('Bonding Program'!$S$20=1,'Bonding Program'!$H$20&gt;'Bonding Program'!$C$8,BP$3='Bonding Program'!$H$20),'Bonding Program'!$T$20-'Bonding Program'!$U$20-'Bonding Program'!$Z$20,0)-IF(AND('Bonding Program'!$S$20=1,'Bonding Program'!$H$20&lt;='Bonding Program'!$C$8,BP$3=IF('Bonding Program'!$P$20&lt;&gt;"",'Bonding Program'!$P$20,'Bonding Program'!$C$8)),'Bonding Program'!$Z$20,0)+IF(AND('Bonding Program'!$P$20&lt;&gt;"",BP$3='Bonding Program'!$P$20,BP$3&lt;='Bonding Program'!$C$8),N('Bonding Program'!$O$20),0)</f>
        <v>0</v>
      </c>
      <c r="BQ161" s="19" t="n">
        <f aca="false">IF(AND('Bonding Program'!$S$20=1,'Bonding Program'!$H$20&gt;'Bonding Program'!$C$8,BQ$3='Bonding Program'!$H$20),'Bonding Program'!$T$20-'Bonding Program'!$U$20-'Bonding Program'!$Z$20,0)-IF(AND('Bonding Program'!$S$20=1,'Bonding Program'!$H$20&lt;='Bonding Program'!$C$8,BQ$3=IF('Bonding Program'!$P$20&lt;&gt;"",'Bonding Program'!$P$20,'Bonding Program'!$C$8)),'Bonding Program'!$Z$20,0)+IF(AND('Bonding Program'!$P$20&lt;&gt;"",BQ$3='Bonding Program'!$P$20,BQ$3&lt;='Bonding Program'!$C$8),N('Bonding Program'!$O$20),0)</f>
        <v>0</v>
      </c>
      <c r="BR161" s="19" t="n">
        <f aca="false">IF(AND('Bonding Program'!$S$20=1,'Bonding Program'!$H$20&gt;'Bonding Program'!$C$8,BR$3='Bonding Program'!$H$20),'Bonding Program'!$T$20-'Bonding Program'!$U$20-'Bonding Program'!$Z$20,0)-IF(AND('Bonding Program'!$S$20=1,'Bonding Program'!$H$20&lt;='Bonding Program'!$C$8,BR$3=IF('Bonding Program'!$P$20&lt;&gt;"",'Bonding Program'!$P$20,'Bonding Program'!$C$8)),'Bonding Program'!$Z$20,0)+IF(AND('Bonding Program'!$P$20&lt;&gt;"",BR$3='Bonding Program'!$P$20,BR$3&lt;='Bonding Program'!$C$8),N('Bonding Program'!$O$20),0)</f>
        <v>0</v>
      </c>
      <c r="BS161" s="19" t="n">
        <f aca="false">IF(AND('Bonding Program'!$S$20=1,'Bonding Program'!$H$20&gt;'Bonding Program'!$C$8,BS$3='Bonding Program'!$H$20),'Bonding Program'!$T$20-'Bonding Program'!$U$20-'Bonding Program'!$Z$20,0)-IF(AND('Bonding Program'!$S$20=1,'Bonding Program'!$H$20&lt;='Bonding Program'!$C$8,BS$3=IF('Bonding Program'!$P$20&lt;&gt;"",'Bonding Program'!$P$20,'Bonding Program'!$C$8)),'Bonding Program'!$Z$20,0)+IF(AND('Bonding Program'!$P$20&lt;&gt;"",BS$3='Bonding Program'!$P$20,BS$3&lt;='Bonding Program'!$C$8),N('Bonding Program'!$O$20),0)</f>
        <v>0</v>
      </c>
      <c r="BT161" s="19" t="n">
        <f aca="false">IF(AND('Bonding Program'!$S$20=1,'Bonding Program'!$H$20&gt;'Bonding Program'!$C$8,BT$3='Bonding Program'!$H$20),'Bonding Program'!$T$20-'Bonding Program'!$U$20-'Bonding Program'!$Z$20,0)-IF(AND('Bonding Program'!$S$20=1,'Bonding Program'!$H$20&lt;='Bonding Program'!$C$8,BT$3=IF('Bonding Program'!$P$20&lt;&gt;"",'Bonding Program'!$P$20,'Bonding Program'!$C$8)),'Bonding Program'!$Z$20,0)+IF(AND('Bonding Program'!$P$20&lt;&gt;"",BT$3='Bonding Program'!$P$20,BT$3&lt;='Bonding Program'!$C$8),N('Bonding Program'!$O$20),0)</f>
        <v>0</v>
      </c>
      <c r="BU161" s="19" t="n">
        <f aca="false">IF(AND('Bonding Program'!$S$20=1,'Bonding Program'!$H$20&gt;'Bonding Program'!$C$8,BU$3='Bonding Program'!$H$20),'Bonding Program'!$T$20-'Bonding Program'!$U$20-'Bonding Program'!$Z$20,0)-IF(AND('Bonding Program'!$S$20=1,'Bonding Program'!$H$20&lt;='Bonding Program'!$C$8,BU$3=IF('Bonding Program'!$P$20&lt;&gt;"",'Bonding Program'!$P$20,'Bonding Program'!$C$8)),'Bonding Program'!$Z$20,0)+IF(AND('Bonding Program'!$P$20&lt;&gt;"",BU$3='Bonding Program'!$P$20,BU$3&lt;='Bonding Program'!$C$8),N('Bonding Program'!$O$20),0)</f>
        <v>0</v>
      </c>
      <c r="BV161" s="19" t="n">
        <f aca="false">IF(AND('Bonding Program'!$S$20=1,'Bonding Program'!$H$20&gt;'Bonding Program'!$C$8,BV$3='Bonding Program'!$H$20),'Bonding Program'!$T$20-'Bonding Program'!$U$20-'Bonding Program'!$Z$20,0)-IF(AND('Bonding Program'!$S$20=1,'Bonding Program'!$H$20&lt;='Bonding Program'!$C$8,BV$3=IF('Bonding Program'!$P$20&lt;&gt;"",'Bonding Program'!$P$20,'Bonding Program'!$C$8)),'Bonding Program'!$Z$20,0)+IF(AND('Bonding Program'!$P$20&lt;&gt;"",BV$3='Bonding Program'!$P$20,BV$3&lt;='Bonding Program'!$C$8),N('Bonding Program'!$O$20),0)</f>
        <v>0</v>
      </c>
      <c r="BW161" s="19" t="n">
        <f aca="false">IF(AND('Bonding Program'!$S$20=1,'Bonding Program'!$H$20&gt;'Bonding Program'!$C$8,BW$3='Bonding Program'!$H$20),'Bonding Program'!$T$20-'Bonding Program'!$U$20-'Bonding Program'!$Z$20,0)-IF(AND('Bonding Program'!$S$20=1,'Bonding Program'!$H$20&lt;='Bonding Program'!$C$8,BW$3=IF('Bonding Program'!$P$20&lt;&gt;"",'Bonding Program'!$P$20,'Bonding Program'!$C$8)),'Bonding Program'!$Z$20,0)+IF(AND('Bonding Program'!$P$20&lt;&gt;"",BW$3='Bonding Program'!$P$20,BW$3&lt;='Bonding Program'!$C$8),N('Bonding Program'!$O$20),0)</f>
        <v>0</v>
      </c>
      <c r="BX161" s="19" t="n">
        <f aca="false">IF(AND('Bonding Program'!$S$20=1,'Bonding Program'!$H$20&gt;'Bonding Program'!$C$8,BX$3='Bonding Program'!$H$20),'Bonding Program'!$T$20-'Bonding Program'!$U$20-'Bonding Program'!$Z$20,0)-IF(AND('Bonding Program'!$S$20=1,'Bonding Program'!$H$20&lt;='Bonding Program'!$C$8,BX$3=IF('Bonding Program'!$P$20&lt;&gt;"",'Bonding Program'!$P$20,'Bonding Program'!$C$8)),'Bonding Program'!$Z$20,0)+IF(AND('Bonding Program'!$P$20&lt;&gt;"",BX$3='Bonding Program'!$P$20,BX$3&lt;='Bonding Program'!$C$8),N('Bonding Program'!$O$20),0)</f>
        <v>0</v>
      </c>
      <c r="BY161" s="19" t="n">
        <f aca="false">IF(AND('Bonding Program'!$S$20=1,'Bonding Program'!$H$20&gt;'Bonding Program'!$C$8,BY$3='Bonding Program'!$H$20),'Bonding Program'!$T$20-'Bonding Program'!$U$20-'Bonding Program'!$Z$20,0)-IF(AND('Bonding Program'!$S$20=1,'Bonding Program'!$H$20&lt;='Bonding Program'!$C$8,BY$3=IF('Bonding Program'!$P$20&lt;&gt;"",'Bonding Program'!$P$20,'Bonding Program'!$C$8)),'Bonding Program'!$Z$20,0)+IF(AND('Bonding Program'!$P$20&lt;&gt;"",BY$3='Bonding Program'!$P$20,BY$3&lt;='Bonding Program'!$C$8),N('Bonding Program'!$O$20),0)</f>
        <v>0</v>
      </c>
      <c r="BZ161" s="19" t="n">
        <f aca="false">IF(AND('Bonding Program'!$S$20=1,'Bonding Program'!$H$20&gt;'Bonding Program'!$C$8,BZ$3='Bonding Program'!$H$20),'Bonding Program'!$T$20-'Bonding Program'!$U$20-'Bonding Program'!$Z$20,0)-IF(AND('Bonding Program'!$S$20=1,'Bonding Program'!$H$20&lt;='Bonding Program'!$C$8,BZ$3=IF('Bonding Program'!$P$20&lt;&gt;"",'Bonding Program'!$P$20,'Bonding Program'!$C$8)),'Bonding Program'!$Z$20,0)+IF(AND('Bonding Program'!$P$20&lt;&gt;"",BZ$3='Bonding Program'!$P$20,BZ$3&lt;='Bonding Program'!$C$8),N('Bonding Program'!$O$20),0)</f>
        <v>0</v>
      </c>
      <c r="CA161" s="19" t="n">
        <f aca="false">IF(AND('Bonding Program'!$S$20=1,'Bonding Program'!$H$20&gt;'Bonding Program'!$C$8,CA$3='Bonding Program'!$H$20),'Bonding Program'!$T$20-'Bonding Program'!$U$20-'Bonding Program'!$Z$20,0)-IF(AND('Bonding Program'!$S$20=1,'Bonding Program'!$H$20&lt;='Bonding Program'!$C$8,CA$3=IF('Bonding Program'!$P$20&lt;&gt;"",'Bonding Program'!$P$20,'Bonding Program'!$C$8)),'Bonding Program'!$Z$20,0)+IF(AND('Bonding Program'!$P$20&lt;&gt;"",CA$3='Bonding Program'!$P$20,CA$3&lt;='Bonding Program'!$C$8),N('Bonding Program'!$O$20),0)</f>
        <v>0</v>
      </c>
      <c r="CB161" s="19" t="n">
        <f aca="false">IF(AND('Bonding Program'!$S$20=1,'Bonding Program'!$H$20&gt;'Bonding Program'!$C$8,CB$3='Bonding Program'!$H$20),'Bonding Program'!$T$20-'Bonding Program'!$U$20-'Bonding Program'!$Z$20,0)-IF(AND('Bonding Program'!$S$20=1,'Bonding Program'!$H$20&lt;='Bonding Program'!$C$8,CB$3=IF('Bonding Program'!$P$20&lt;&gt;"",'Bonding Program'!$P$20,'Bonding Program'!$C$8)),'Bonding Program'!$Z$20,0)+IF(AND('Bonding Program'!$P$20&lt;&gt;"",CB$3='Bonding Program'!$P$20,CB$3&lt;='Bonding Program'!$C$8),N('Bonding Program'!$O$20),0)</f>
        <v>0</v>
      </c>
      <c r="CC161" s="19" t="n">
        <f aca="false">IF(AND('Bonding Program'!$S$20=1,'Bonding Program'!$H$20&gt;'Bonding Program'!$C$8,CC$3='Bonding Program'!$H$20),'Bonding Program'!$T$20-'Bonding Program'!$U$20-'Bonding Program'!$Z$20,0)-IF(AND('Bonding Program'!$S$20=1,'Bonding Program'!$H$20&lt;='Bonding Program'!$C$8,CC$3=IF('Bonding Program'!$P$20&lt;&gt;"",'Bonding Program'!$P$20,'Bonding Program'!$C$8)),'Bonding Program'!$Z$20,0)+IF(AND('Bonding Program'!$P$20&lt;&gt;"",CC$3='Bonding Program'!$P$20,CC$3&lt;='Bonding Program'!$C$8),N('Bonding Program'!$O$20),0)</f>
        <v>0</v>
      </c>
      <c r="CD161" s="19" t="n">
        <f aca="false">IF(AND('Bonding Program'!$S$20=1,'Bonding Program'!$H$20&gt;'Bonding Program'!$C$8,CD$3='Bonding Program'!$H$20),'Bonding Program'!$T$20-'Bonding Program'!$U$20-'Bonding Program'!$Z$20,0)-IF(AND('Bonding Program'!$S$20=1,'Bonding Program'!$H$20&lt;='Bonding Program'!$C$8,CD$3=IF('Bonding Program'!$P$20&lt;&gt;"",'Bonding Program'!$P$20,'Bonding Program'!$C$8)),'Bonding Program'!$Z$20,0)+IF(AND('Bonding Program'!$P$20&lt;&gt;"",CD$3='Bonding Program'!$P$20,CD$3&lt;='Bonding Program'!$C$8),N('Bonding Program'!$O$20),0)</f>
        <v>0</v>
      </c>
      <c r="CE161" s="19" t="n">
        <f aca="false">IF(AND('Bonding Program'!$S$20=1,'Bonding Program'!$H$20&gt;'Bonding Program'!$C$8,CE$3='Bonding Program'!$H$20),'Bonding Program'!$T$20-'Bonding Program'!$U$20-'Bonding Program'!$Z$20,0)-IF(AND('Bonding Program'!$S$20=1,'Bonding Program'!$H$20&lt;='Bonding Program'!$C$8,CE$3=IF('Bonding Program'!$P$20&lt;&gt;"",'Bonding Program'!$P$20,'Bonding Program'!$C$8)),'Bonding Program'!$Z$20,0)+IF(AND('Bonding Program'!$P$20&lt;&gt;"",CE$3='Bonding Program'!$P$20,CE$3&lt;='Bonding Program'!$C$8),N('Bonding Program'!$O$20),0)</f>
        <v>0</v>
      </c>
      <c r="CF161" s="19" t="n">
        <f aca="false">IF(AND('Bonding Program'!$S$20=1,'Bonding Program'!$H$20&gt;'Bonding Program'!$C$8,CF$3='Bonding Program'!$H$20),'Bonding Program'!$T$20-'Bonding Program'!$U$20-'Bonding Program'!$Z$20,0)-IF(AND('Bonding Program'!$S$20=1,'Bonding Program'!$H$20&lt;='Bonding Program'!$C$8,CF$3=IF('Bonding Program'!$P$20&lt;&gt;"",'Bonding Program'!$P$20,'Bonding Program'!$C$8)),'Bonding Program'!$Z$20,0)+IF(AND('Bonding Program'!$P$20&lt;&gt;"",CF$3='Bonding Program'!$P$20,CF$3&lt;='Bonding Program'!$C$8),N('Bonding Program'!$O$20),0)</f>
        <v>0</v>
      </c>
      <c r="CG161" s="19" t="n">
        <f aca="false">IF(AND('Bonding Program'!$S$20=1,'Bonding Program'!$H$20&gt;'Bonding Program'!$C$8,CG$3='Bonding Program'!$H$20),'Bonding Program'!$T$20-'Bonding Program'!$U$20-'Bonding Program'!$Z$20,0)-IF(AND('Bonding Program'!$S$20=1,'Bonding Program'!$H$20&lt;='Bonding Program'!$C$8,CG$3=IF('Bonding Program'!$P$20&lt;&gt;"",'Bonding Program'!$P$20,'Bonding Program'!$C$8)),'Bonding Program'!$Z$20,0)+IF(AND('Bonding Program'!$P$20&lt;&gt;"",CG$3='Bonding Program'!$P$20,CG$3&lt;='Bonding Program'!$C$8),N('Bonding Program'!$O$20),0)</f>
        <v>0</v>
      </c>
      <c r="CH161" s="19" t="n">
        <f aca="false">IF(AND('Bonding Program'!$S$20=1,'Bonding Program'!$H$20&gt;'Bonding Program'!$C$8,CH$3='Bonding Program'!$H$20),'Bonding Program'!$T$20-'Bonding Program'!$U$20-'Bonding Program'!$Z$20,0)-IF(AND('Bonding Program'!$S$20=1,'Bonding Program'!$H$20&lt;='Bonding Program'!$C$8,CH$3=IF('Bonding Program'!$P$20&lt;&gt;"",'Bonding Program'!$P$20,'Bonding Program'!$C$8)),'Bonding Program'!$Z$20,0)+IF(AND('Bonding Program'!$P$20&lt;&gt;"",CH$3='Bonding Program'!$P$20,CH$3&lt;='Bonding Program'!$C$8),N('Bonding Program'!$O$20),0)</f>
        <v>0</v>
      </c>
      <c r="CI161" s="19" t="n">
        <f aca="false">IF(AND('Bonding Program'!$S$20=1,'Bonding Program'!$H$20&gt;'Bonding Program'!$C$8,CI$3='Bonding Program'!$H$20),'Bonding Program'!$T$20-'Bonding Program'!$U$20-'Bonding Program'!$Z$20,0)-IF(AND('Bonding Program'!$S$20=1,'Bonding Program'!$H$20&lt;='Bonding Program'!$C$8,CI$3=IF('Bonding Program'!$P$20&lt;&gt;"",'Bonding Program'!$P$20,'Bonding Program'!$C$8)),'Bonding Program'!$Z$20,0)+IF(AND('Bonding Program'!$P$20&lt;&gt;"",CI$3='Bonding Program'!$P$20,CI$3&lt;='Bonding Program'!$C$8),N('Bonding Program'!$O$20),0)</f>
        <v>0</v>
      </c>
      <c r="CJ161" s="19" t="n">
        <f aca="false">IF(AND('Bonding Program'!$S$20=1,'Bonding Program'!$H$20&gt;'Bonding Program'!$C$8,CJ$3='Bonding Program'!$H$20),'Bonding Program'!$T$20-'Bonding Program'!$U$20-'Bonding Program'!$Z$20,0)-IF(AND('Bonding Program'!$S$20=1,'Bonding Program'!$H$20&lt;='Bonding Program'!$C$8,CJ$3=IF('Bonding Program'!$P$20&lt;&gt;"",'Bonding Program'!$P$20,'Bonding Program'!$C$8)),'Bonding Program'!$Z$20,0)+IF(AND('Bonding Program'!$P$20&lt;&gt;"",CJ$3='Bonding Program'!$P$20,CJ$3&lt;='Bonding Program'!$C$8),N('Bonding Program'!$O$20),0)</f>
        <v>0</v>
      </c>
      <c r="CK161" s="19" t="n">
        <f aca="false">IF(AND('Bonding Program'!$S$20=1,'Bonding Program'!$H$20&gt;'Bonding Program'!$C$8,CK$3='Bonding Program'!$H$20),'Bonding Program'!$T$20-'Bonding Program'!$U$20-'Bonding Program'!$Z$20,0)-IF(AND('Bonding Program'!$S$20=1,'Bonding Program'!$H$20&lt;='Bonding Program'!$C$8,CK$3=IF('Bonding Program'!$P$20&lt;&gt;"",'Bonding Program'!$P$20,'Bonding Program'!$C$8)),'Bonding Program'!$Z$20,0)+IF(AND('Bonding Program'!$P$20&lt;&gt;"",CK$3='Bonding Program'!$P$20,CK$3&lt;='Bonding Program'!$C$8),N('Bonding Program'!$O$20),0)</f>
        <v>0</v>
      </c>
      <c r="CL161" s="19" t="n">
        <f aca="false">IF(AND('Bonding Program'!$S$20=1,'Bonding Program'!$H$20&gt;'Bonding Program'!$C$8,CL$3='Bonding Program'!$H$20),'Bonding Program'!$T$20-'Bonding Program'!$U$20-'Bonding Program'!$Z$20,0)-IF(AND('Bonding Program'!$S$20=1,'Bonding Program'!$H$20&lt;='Bonding Program'!$C$8,CL$3=IF('Bonding Program'!$P$20&lt;&gt;"",'Bonding Program'!$P$20,'Bonding Program'!$C$8)),'Bonding Program'!$Z$20,0)+IF(AND('Bonding Program'!$P$20&lt;&gt;"",CL$3='Bonding Program'!$P$20,CL$3&lt;='Bonding Program'!$C$8),N('Bonding Program'!$O$20),0)</f>
        <v>0</v>
      </c>
      <c r="CM161" s="19" t="n">
        <f aca="false">IF(AND('Bonding Program'!$S$20=1,'Bonding Program'!$H$20&gt;'Bonding Program'!$C$8,CM$3='Bonding Program'!$H$20),'Bonding Program'!$T$20-'Bonding Program'!$U$20-'Bonding Program'!$Z$20,0)-IF(AND('Bonding Program'!$S$20=1,'Bonding Program'!$H$20&lt;='Bonding Program'!$C$8,CM$3=IF('Bonding Program'!$P$20&lt;&gt;"",'Bonding Program'!$P$20,'Bonding Program'!$C$8)),'Bonding Program'!$Z$20,0)+IF(AND('Bonding Program'!$P$20&lt;&gt;"",CM$3='Bonding Program'!$P$20,CM$3&lt;='Bonding Program'!$C$8),N('Bonding Program'!$O$20),0)</f>
        <v>0</v>
      </c>
      <c r="CN161" s="19" t="n">
        <f aca="false">IF(AND('Bonding Program'!$S$20=1,'Bonding Program'!$H$20&gt;'Bonding Program'!$C$8,CN$3='Bonding Program'!$H$20),'Bonding Program'!$T$20-'Bonding Program'!$U$20-'Bonding Program'!$Z$20,0)-IF(AND('Bonding Program'!$S$20=1,'Bonding Program'!$H$20&lt;='Bonding Program'!$C$8,CN$3=IF('Bonding Program'!$P$20&lt;&gt;"",'Bonding Program'!$P$20,'Bonding Program'!$C$8)),'Bonding Program'!$Z$20,0)+IF(AND('Bonding Program'!$P$20&lt;&gt;"",CN$3='Bonding Program'!$P$20,CN$3&lt;='Bonding Program'!$C$8),N('Bonding Program'!$O$20),0)</f>
        <v>0</v>
      </c>
      <c r="CO161" s="19" t="n">
        <f aca="false">IF(AND('Bonding Program'!$S$20=1,'Bonding Program'!$H$20&gt;'Bonding Program'!$C$8,CO$3='Bonding Program'!$H$20),'Bonding Program'!$T$20-'Bonding Program'!$U$20-'Bonding Program'!$Z$20,0)-IF(AND('Bonding Program'!$S$20=1,'Bonding Program'!$H$20&lt;='Bonding Program'!$C$8,CO$3=IF('Bonding Program'!$P$20&lt;&gt;"",'Bonding Program'!$P$20,'Bonding Program'!$C$8)),'Bonding Program'!$Z$20,0)+IF(AND('Bonding Program'!$P$20&lt;&gt;"",CO$3='Bonding Program'!$P$20,CO$3&lt;='Bonding Program'!$C$8),N('Bonding Program'!$O$20),0)</f>
        <v>0</v>
      </c>
      <c r="CP161" s="19" t="n">
        <f aca="false">IF(AND('Bonding Program'!$S$20=1,'Bonding Program'!$H$20&gt;'Bonding Program'!$C$8,CP$3='Bonding Program'!$H$20),'Bonding Program'!$T$20-'Bonding Program'!$U$20-'Bonding Program'!$Z$20,0)-IF(AND('Bonding Program'!$S$20=1,'Bonding Program'!$H$20&lt;='Bonding Program'!$C$8,CP$3=IF('Bonding Program'!$P$20&lt;&gt;"",'Bonding Program'!$P$20,'Bonding Program'!$C$8)),'Bonding Program'!$Z$20,0)+IF(AND('Bonding Program'!$P$20&lt;&gt;"",CP$3='Bonding Program'!$P$20,CP$3&lt;='Bonding Program'!$C$8),N('Bonding Program'!$O$20),0)</f>
        <v>0</v>
      </c>
      <c r="CQ161" s="19" t="n">
        <f aca="false">IF(AND('Bonding Program'!$S$20=1,'Bonding Program'!$H$20&gt;'Bonding Program'!$C$8,CQ$3='Bonding Program'!$H$20),'Bonding Program'!$T$20-'Bonding Program'!$U$20-'Bonding Program'!$Z$20,0)-IF(AND('Bonding Program'!$S$20=1,'Bonding Program'!$H$20&lt;='Bonding Program'!$C$8,CQ$3=IF('Bonding Program'!$P$20&lt;&gt;"",'Bonding Program'!$P$20,'Bonding Program'!$C$8)),'Bonding Program'!$Z$20,0)+IF(AND('Bonding Program'!$P$20&lt;&gt;"",CQ$3='Bonding Program'!$P$20,CQ$3&lt;='Bonding Program'!$C$8),N('Bonding Program'!$O$20),0)</f>
        <v>0</v>
      </c>
      <c r="CR161" s="19" t="n">
        <f aca="false">IF(AND('Bonding Program'!$S$20=1,'Bonding Program'!$H$20&gt;'Bonding Program'!$C$8,CR$3='Bonding Program'!$H$20),'Bonding Program'!$T$20-'Bonding Program'!$U$20-'Bonding Program'!$Z$20,0)-IF(AND('Bonding Program'!$S$20=1,'Bonding Program'!$H$20&lt;='Bonding Program'!$C$8,CR$3=IF('Bonding Program'!$P$20&lt;&gt;"",'Bonding Program'!$P$20,'Bonding Program'!$C$8)),'Bonding Program'!$Z$20,0)+IF(AND('Bonding Program'!$P$20&lt;&gt;"",CR$3='Bonding Program'!$P$20,CR$3&lt;='Bonding Program'!$C$8),N('Bonding Program'!$O$20),0)</f>
        <v>0</v>
      </c>
      <c r="CS161" s="19" t="n">
        <f aca="false">IF(AND('Bonding Program'!$S$20=1,'Bonding Program'!$H$20&gt;'Bonding Program'!$C$8,CS$3='Bonding Program'!$H$20),'Bonding Program'!$T$20-'Bonding Program'!$U$20-'Bonding Program'!$Z$20,0)-IF(AND('Bonding Program'!$S$20=1,'Bonding Program'!$H$20&lt;='Bonding Program'!$C$8,CS$3=IF('Bonding Program'!$P$20&lt;&gt;"",'Bonding Program'!$P$20,'Bonding Program'!$C$8)),'Bonding Program'!$Z$20,0)+IF(AND('Bonding Program'!$P$20&lt;&gt;"",CS$3='Bonding Program'!$P$20,CS$3&lt;='Bonding Program'!$C$8),N('Bonding Program'!$O$20),0)</f>
        <v>0</v>
      </c>
      <c r="CT161" s="19" t="n">
        <f aca="false">IF(AND('Bonding Program'!$S$20=1,'Bonding Program'!$H$20&gt;'Bonding Program'!$C$8,CT$3='Bonding Program'!$H$20),'Bonding Program'!$T$20-'Bonding Program'!$U$20-'Bonding Program'!$Z$20,0)-IF(AND('Bonding Program'!$S$20=1,'Bonding Program'!$H$20&lt;='Bonding Program'!$C$8,CT$3=IF('Bonding Program'!$P$20&lt;&gt;"",'Bonding Program'!$P$20,'Bonding Program'!$C$8)),'Bonding Program'!$Z$20,0)+IF(AND('Bonding Program'!$P$20&lt;&gt;"",CT$3='Bonding Program'!$P$20,CT$3&lt;='Bonding Program'!$C$8),N('Bonding Program'!$O$20),0)</f>
        <v>0</v>
      </c>
      <c r="CU161" s="19" t="n">
        <f aca="false">IF(AND('Bonding Program'!$S$20=1,'Bonding Program'!$H$20&gt;'Bonding Program'!$C$8,CU$3='Bonding Program'!$H$20),'Bonding Program'!$T$20-'Bonding Program'!$U$20-'Bonding Program'!$Z$20,0)-IF(AND('Bonding Program'!$S$20=1,'Bonding Program'!$H$20&lt;='Bonding Program'!$C$8,CU$3=IF('Bonding Program'!$P$20&lt;&gt;"",'Bonding Program'!$P$20,'Bonding Program'!$C$8)),'Bonding Program'!$Z$20,0)+IF(AND('Bonding Program'!$P$20&lt;&gt;"",CU$3='Bonding Program'!$P$20,CU$3&lt;='Bonding Program'!$C$8),N('Bonding Program'!$O$20),0)</f>
        <v>0</v>
      </c>
      <c r="CV161" s="19" t="n">
        <f aca="false">IF(AND('Bonding Program'!$S$20=1,'Bonding Program'!$H$20&gt;'Bonding Program'!$C$8,CV$3='Bonding Program'!$H$20),'Bonding Program'!$T$20-'Bonding Program'!$U$20-'Bonding Program'!$Z$20,0)-IF(AND('Bonding Program'!$S$20=1,'Bonding Program'!$H$20&lt;='Bonding Program'!$C$8,CV$3=IF('Bonding Program'!$P$20&lt;&gt;"",'Bonding Program'!$P$20,'Bonding Program'!$C$8)),'Bonding Program'!$Z$20,0)+IF(AND('Bonding Program'!$P$20&lt;&gt;"",CV$3='Bonding Program'!$P$20,CV$3&lt;='Bonding Program'!$C$8),N('Bonding Program'!$O$20),0)</f>
        <v>0</v>
      </c>
      <c r="CW161" s="19" t="n">
        <f aca="false">IF(AND('Bonding Program'!$S$20=1,'Bonding Program'!$H$20&gt;'Bonding Program'!$C$8,CW$3='Bonding Program'!$H$20),'Bonding Program'!$T$20-'Bonding Program'!$U$20-'Bonding Program'!$Z$20,0)-IF(AND('Bonding Program'!$S$20=1,'Bonding Program'!$H$20&lt;='Bonding Program'!$C$8,CW$3=IF('Bonding Program'!$P$20&lt;&gt;"",'Bonding Program'!$P$20,'Bonding Program'!$C$8)),'Bonding Program'!$Z$20,0)+IF(AND('Bonding Program'!$P$20&lt;&gt;"",CW$3='Bonding Program'!$P$20,CW$3&lt;='Bonding Program'!$C$8),N('Bonding Program'!$O$20),0)</f>
        <v>0</v>
      </c>
      <c r="CX161" s="19" t="n">
        <f aca="false">IF(AND('Bonding Program'!$S$20=1,'Bonding Program'!$H$20&gt;'Bonding Program'!$C$8,CX$3='Bonding Program'!$H$20),'Bonding Program'!$T$20-'Bonding Program'!$U$20-'Bonding Program'!$Z$20,0)-IF(AND('Bonding Program'!$S$20=1,'Bonding Program'!$H$20&lt;='Bonding Program'!$C$8,CX$3=IF('Bonding Program'!$P$20&lt;&gt;"",'Bonding Program'!$P$20,'Bonding Program'!$C$8)),'Bonding Program'!$Z$20,0)+IF(AND('Bonding Program'!$P$20&lt;&gt;"",CX$3='Bonding Program'!$P$20,CX$3&lt;='Bonding Program'!$C$8),N('Bonding Program'!$O$20),0)</f>
        <v>0</v>
      </c>
      <c r="CY161" s="19" t="n">
        <f aca="false">IF(AND('Bonding Program'!$S$20=1,'Bonding Program'!$H$20&gt;'Bonding Program'!$C$8,CY$3='Bonding Program'!$H$20),'Bonding Program'!$T$20-'Bonding Program'!$U$20-'Bonding Program'!$Z$20,0)-IF(AND('Bonding Program'!$S$20=1,'Bonding Program'!$H$20&lt;='Bonding Program'!$C$8,CY$3=IF('Bonding Program'!$P$20&lt;&gt;"",'Bonding Program'!$P$20,'Bonding Program'!$C$8)),'Bonding Program'!$Z$20,0)+IF(AND('Bonding Program'!$P$20&lt;&gt;"",CY$3='Bonding Program'!$P$20,CY$3&lt;='Bonding Program'!$C$8),N('Bonding Program'!$O$20),0)</f>
        <v>0</v>
      </c>
      <c r="CZ161" s="19" t="n">
        <f aca="false">IF(AND('Bonding Program'!$S$20=1,'Bonding Program'!$H$20&gt;'Bonding Program'!$C$8,CZ$3='Bonding Program'!$H$20),'Bonding Program'!$T$20-'Bonding Program'!$U$20-'Bonding Program'!$Z$20,0)-IF(AND('Bonding Program'!$S$20=1,'Bonding Program'!$H$20&lt;='Bonding Program'!$C$8,CZ$3=IF('Bonding Program'!$P$20&lt;&gt;"",'Bonding Program'!$P$20,'Bonding Program'!$C$8)),'Bonding Program'!$Z$20,0)+IF(AND('Bonding Program'!$P$20&lt;&gt;"",CZ$3='Bonding Program'!$P$20,CZ$3&lt;='Bonding Program'!$C$8),N('Bonding Program'!$O$20),0)</f>
        <v>0</v>
      </c>
      <c r="DA161" s="19" t="n">
        <f aca="false">IF(AND('Bonding Program'!$S$20=1,'Bonding Program'!$H$20&gt;'Bonding Program'!$C$8,DA$3='Bonding Program'!$H$20),'Bonding Program'!$T$20-'Bonding Program'!$U$20-'Bonding Program'!$Z$20,0)-IF(AND('Bonding Program'!$S$20=1,'Bonding Program'!$H$20&lt;='Bonding Program'!$C$8,DA$3=IF('Bonding Program'!$P$20&lt;&gt;"",'Bonding Program'!$P$20,'Bonding Program'!$C$8)),'Bonding Program'!$Z$20,0)+IF(AND('Bonding Program'!$P$20&lt;&gt;"",DA$3='Bonding Program'!$P$20,DA$3&lt;='Bonding Program'!$C$8),N('Bonding Program'!$O$20),0)</f>
        <v>0</v>
      </c>
      <c r="DB161" s="19" t="n">
        <f aca="false">IF(AND('Bonding Program'!$S$20=1,'Bonding Program'!$H$20&gt;'Bonding Program'!$C$8,DB$3='Bonding Program'!$H$20),'Bonding Program'!$T$20-'Bonding Program'!$U$20-'Bonding Program'!$Z$20,0)-IF(AND('Bonding Program'!$S$20=1,'Bonding Program'!$H$20&lt;='Bonding Program'!$C$8,DB$3=IF('Bonding Program'!$P$20&lt;&gt;"",'Bonding Program'!$P$20,'Bonding Program'!$C$8)),'Bonding Program'!$Z$20,0)+IF(AND('Bonding Program'!$P$20&lt;&gt;"",DB$3='Bonding Program'!$P$20,DB$3&lt;='Bonding Program'!$C$8),N('Bonding Program'!$O$20),0)</f>
        <v>0</v>
      </c>
      <c r="DC161" s="19" t="n">
        <f aca="false">IF(AND('Bonding Program'!$S$20=1,'Bonding Program'!$H$20&gt;'Bonding Program'!$C$8,DC$3='Bonding Program'!$H$20),'Bonding Program'!$T$20-'Bonding Program'!$U$20-'Bonding Program'!$Z$20,0)-IF(AND('Bonding Program'!$S$20=1,'Bonding Program'!$H$20&lt;='Bonding Program'!$C$8,DC$3=IF('Bonding Program'!$P$20&lt;&gt;"",'Bonding Program'!$P$20,'Bonding Program'!$C$8)),'Bonding Program'!$Z$20,0)+IF(AND('Bonding Program'!$P$20&lt;&gt;"",DC$3='Bonding Program'!$P$20,DC$3&lt;='Bonding Program'!$C$8),N('Bonding Program'!$O$20),0)</f>
        <v>0</v>
      </c>
      <c r="DD161" s="19" t="n">
        <f aca="false">IF(AND('Bonding Program'!$S$20=1,'Bonding Program'!$H$20&gt;'Bonding Program'!$C$8,DD$3='Bonding Program'!$H$20),'Bonding Program'!$T$20-'Bonding Program'!$U$20-'Bonding Program'!$Z$20,0)-IF(AND('Bonding Program'!$S$20=1,'Bonding Program'!$H$20&lt;='Bonding Program'!$C$8,DD$3=IF('Bonding Program'!$P$20&lt;&gt;"",'Bonding Program'!$P$20,'Bonding Program'!$C$8)),'Bonding Program'!$Z$20,0)+IF(AND('Bonding Program'!$P$20&lt;&gt;"",DD$3='Bonding Program'!$P$20,DD$3&lt;='Bonding Program'!$C$8),N('Bonding Program'!$O$20),0)</f>
        <v>0</v>
      </c>
      <c r="DE161" s="19" t="n">
        <f aca="false">IF(AND('Bonding Program'!$S$20=1,'Bonding Program'!$H$20&gt;'Bonding Program'!$C$8,DE$3='Bonding Program'!$H$20),'Bonding Program'!$T$20-'Bonding Program'!$U$20-'Bonding Program'!$Z$20,0)-IF(AND('Bonding Program'!$S$20=1,'Bonding Program'!$H$20&lt;='Bonding Program'!$C$8,DE$3=IF('Bonding Program'!$P$20&lt;&gt;"",'Bonding Program'!$P$20,'Bonding Program'!$C$8)),'Bonding Program'!$Z$20,0)+IF(AND('Bonding Program'!$P$20&lt;&gt;"",DE$3='Bonding Program'!$P$20,DE$3&lt;='Bonding Program'!$C$8),N('Bonding Program'!$O$20),0)</f>
        <v>0</v>
      </c>
    </row>
    <row r="162" customFormat="false" ht="15" hidden="false" customHeight="true" outlineLevel="1" collapsed="false">
      <c r="A162" s="28" t="s">
        <v>17</v>
      </c>
      <c r="B162" s="19" t="n">
        <f aca="false">IF(AND('Bonding Program'!$S$21=1,'Bonding Program'!$H$21&gt;'Bonding Program'!$C$8,B$3='Bonding Program'!$H$21),'Bonding Program'!$T$21-'Bonding Program'!$U$21-'Bonding Program'!$Z$21,0)-IF(AND('Bonding Program'!$S$21=1,'Bonding Program'!$H$21&lt;='Bonding Program'!$C$8,B$3=IF('Bonding Program'!$P$21&lt;&gt;"",'Bonding Program'!$P$21,'Bonding Program'!$C$8)),'Bonding Program'!$Z$21,0)+IF(AND('Bonding Program'!$P$21&lt;&gt;"",B$3='Bonding Program'!$P$21,B$3&lt;='Bonding Program'!$C$8),N('Bonding Program'!$O$21),0)</f>
        <v>0</v>
      </c>
      <c r="C162" s="19" t="n">
        <f aca="false">IF(AND('Bonding Program'!$S$21=1,'Bonding Program'!$H$21&gt;'Bonding Program'!$C$8,C$3='Bonding Program'!$H$21),'Bonding Program'!$T$21-'Bonding Program'!$U$21-'Bonding Program'!$Z$21,0)-IF(AND('Bonding Program'!$S$21=1,'Bonding Program'!$H$21&lt;='Bonding Program'!$C$8,C$3=IF('Bonding Program'!$P$21&lt;&gt;"",'Bonding Program'!$P$21,'Bonding Program'!$C$8)),'Bonding Program'!$Z$21,0)+IF(AND('Bonding Program'!$P$21&lt;&gt;"",C$3='Bonding Program'!$P$21,C$3&lt;='Bonding Program'!$C$8),N('Bonding Program'!$O$21),0)</f>
        <v>0</v>
      </c>
      <c r="D162" s="19" t="n">
        <f aca="false">IF(AND('Bonding Program'!$S$21=1,'Bonding Program'!$H$21&gt;'Bonding Program'!$C$8,D$3='Bonding Program'!$H$21),'Bonding Program'!$T$21-'Bonding Program'!$U$21-'Bonding Program'!$Z$21,0)-IF(AND('Bonding Program'!$S$21=1,'Bonding Program'!$H$21&lt;='Bonding Program'!$C$8,D$3=IF('Bonding Program'!$P$21&lt;&gt;"",'Bonding Program'!$P$21,'Bonding Program'!$C$8)),'Bonding Program'!$Z$21,0)+IF(AND('Bonding Program'!$P$21&lt;&gt;"",D$3='Bonding Program'!$P$21,D$3&lt;='Bonding Program'!$C$8),N('Bonding Program'!$O$21),0)</f>
        <v>0</v>
      </c>
      <c r="E162" s="19" t="n">
        <f aca="false">IF(AND('Bonding Program'!$S$21=1,'Bonding Program'!$H$21&gt;'Bonding Program'!$C$8,E$3='Bonding Program'!$H$21),'Bonding Program'!$T$21-'Bonding Program'!$U$21-'Bonding Program'!$Z$21,0)-IF(AND('Bonding Program'!$S$21=1,'Bonding Program'!$H$21&lt;='Bonding Program'!$C$8,E$3=IF('Bonding Program'!$P$21&lt;&gt;"",'Bonding Program'!$P$21,'Bonding Program'!$C$8)),'Bonding Program'!$Z$21,0)+IF(AND('Bonding Program'!$P$21&lt;&gt;"",E$3='Bonding Program'!$P$21,E$3&lt;='Bonding Program'!$C$8),N('Bonding Program'!$O$21),0)</f>
        <v>0</v>
      </c>
      <c r="F162" s="19" t="n">
        <f aca="false">IF(AND('Bonding Program'!$S$21=1,'Bonding Program'!$H$21&gt;'Bonding Program'!$C$8,F$3='Bonding Program'!$H$21),'Bonding Program'!$T$21-'Bonding Program'!$U$21-'Bonding Program'!$Z$21,0)-IF(AND('Bonding Program'!$S$21=1,'Bonding Program'!$H$21&lt;='Bonding Program'!$C$8,F$3=IF('Bonding Program'!$P$21&lt;&gt;"",'Bonding Program'!$P$21,'Bonding Program'!$C$8)),'Bonding Program'!$Z$21,0)+IF(AND('Bonding Program'!$P$21&lt;&gt;"",F$3='Bonding Program'!$P$21,F$3&lt;='Bonding Program'!$C$8),N('Bonding Program'!$O$21),0)</f>
        <v>0</v>
      </c>
      <c r="G162" s="19" t="n">
        <f aca="false">IF(AND('Bonding Program'!$S$21=1,'Bonding Program'!$H$21&gt;'Bonding Program'!$C$8,G$3='Bonding Program'!$H$21),'Bonding Program'!$T$21-'Bonding Program'!$U$21-'Bonding Program'!$Z$21,0)-IF(AND('Bonding Program'!$S$21=1,'Bonding Program'!$H$21&lt;='Bonding Program'!$C$8,G$3=IF('Bonding Program'!$P$21&lt;&gt;"",'Bonding Program'!$P$21,'Bonding Program'!$C$8)),'Bonding Program'!$Z$21,0)+IF(AND('Bonding Program'!$P$21&lt;&gt;"",G$3='Bonding Program'!$P$21,G$3&lt;='Bonding Program'!$C$8),N('Bonding Program'!$O$21),0)</f>
        <v>0</v>
      </c>
      <c r="H162" s="19" t="n">
        <f aca="false">IF(AND('Bonding Program'!$S$21=1,'Bonding Program'!$H$21&gt;'Bonding Program'!$C$8,H$3='Bonding Program'!$H$21),'Bonding Program'!$T$21-'Bonding Program'!$U$21-'Bonding Program'!$Z$21,0)-IF(AND('Bonding Program'!$S$21=1,'Bonding Program'!$H$21&lt;='Bonding Program'!$C$8,H$3=IF('Bonding Program'!$P$21&lt;&gt;"",'Bonding Program'!$P$21,'Bonding Program'!$C$8)),'Bonding Program'!$Z$21,0)+IF(AND('Bonding Program'!$P$21&lt;&gt;"",H$3='Bonding Program'!$P$21,H$3&lt;='Bonding Program'!$C$8),N('Bonding Program'!$O$21),0)</f>
        <v>0</v>
      </c>
      <c r="I162" s="19" t="n">
        <f aca="false">IF(AND('Bonding Program'!$S$21=1,'Bonding Program'!$H$21&gt;'Bonding Program'!$C$8,I$3='Bonding Program'!$H$21),'Bonding Program'!$T$21-'Bonding Program'!$U$21-'Bonding Program'!$Z$21,0)-IF(AND('Bonding Program'!$S$21=1,'Bonding Program'!$H$21&lt;='Bonding Program'!$C$8,I$3=IF('Bonding Program'!$P$21&lt;&gt;"",'Bonding Program'!$P$21,'Bonding Program'!$C$8)),'Bonding Program'!$Z$21,0)+IF(AND('Bonding Program'!$P$21&lt;&gt;"",I$3='Bonding Program'!$P$21,I$3&lt;='Bonding Program'!$C$8),N('Bonding Program'!$O$21),0)</f>
        <v>0</v>
      </c>
      <c r="J162" s="19" t="n">
        <f aca="false">IF(AND('Bonding Program'!$S$21=1,'Bonding Program'!$H$21&gt;'Bonding Program'!$C$8,J$3='Bonding Program'!$H$21),'Bonding Program'!$T$21-'Bonding Program'!$U$21-'Bonding Program'!$Z$21,0)-IF(AND('Bonding Program'!$S$21=1,'Bonding Program'!$H$21&lt;='Bonding Program'!$C$8,J$3=IF('Bonding Program'!$P$21&lt;&gt;"",'Bonding Program'!$P$21,'Bonding Program'!$C$8)),'Bonding Program'!$Z$21,0)+IF(AND('Bonding Program'!$P$21&lt;&gt;"",J$3='Bonding Program'!$P$21,J$3&lt;='Bonding Program'!$C$8),N('Bonding Program'!$O$21),0)</f>
        <v>0</v>
      </c>
      <c r="K162" s="19" t="n">
        <f aca="false">IF(AND('Bonding Program'!$S$21=1,'Bonding Program'!$H$21&gt;'Bonding Program'!$C$8,K$3='Bonding Program'!$H$21),'Bonding Program'!$T$21-'Bonding Program'!$U$21-'Bonding Program'!$Z$21,0)-IF(AND('Bonding Program'!$S$21=1,'Bonding Program'!$H$21&lt;='Bonding Program'!$C$8,K$3=IF('Bonding Program'!$P$21&lt;&gt;"",'Bonding Program'!$P$21,'Bonding Program'!$C$8)),'Bonding Program'!$Z$21,0)+IF(AND('Bonding Program'!$P$21&lt;&gt;"",K$3='Bonding Program'!$P$21,K$3&lt;='Bonding Program'!$C$8),N('Bonding Program'!$O$21),0)</f>
        <v>0</v>
      </c>
      <c r="L162" s="19" t="n">
        <f aca="false">IF(AND('Bonding Program'!$S$21=1,'Bonding Program'!$H$21&gt;'Bonding Program'!$C$8,L$3='Bonding Program'!$H$21),'Bonding Program'!$T$21-'Bonding Program'!$U$21-'Bonding Program'!$Z$21,0)-IF(AND('Bonding Program'!$S$21=1,'Bonding Program'!$H$21&lt;='Bonding Program'!$C$8,L$3=IF('Bonding Program'!$P$21&lt;&gt;"",'Bonding Program'!$P$21,'Bonding Program'!$C$8)),'Bonding Program'!$Z$21,0)+IF(AND('Bonding Program'!$P$21&lt;&gt;"",L$3='Bonding Program'!$P$21,L$3&lt;='Bonding Program'!$C$8),N('Bonding Program'!$O$21),0)</f>
        <v>0</v>
      </c>
      <c r="M162" s="19" t="n">
        <f aca="false">IF(AND('Bonding Program'!$S$21=1,'Bonding Program'!$H$21&gt;'Bonding Program'!$C$8,M$3='Bonding Program'!$H$21),'Bonding Program'!$T$21-'Bonding Program'!$U$21-'Bonding Program'!$Z$21,0)-IF(AND('Bonding Program'!$S$21=1,'Bonding Program'!$H$21&lt;='Bonding Program'!$C$8,M$3=IF('Bonding Program'!$P$21&lt;&gt;"",'Bonding Program'!$P$21,'Bonding Program'!$C$8)),'Bonding Program'!$Z$21,0)+IF(AND('Bonding Program'!$P$21&lt;&gt;"",M$3='Bonding Program'!$P$21,M$3&lt;='Bonding Program'!$C$8),N('Bonding Program'!$O$21),0)</f>
        <v>0</v>
      </c>
      <c r="N162" s="19" t="n">
        <f aca="false">IF(AND('Bonding Program'!$S$21=1,'Bonding Program'!$H$21&gt;'Bonding Program'!$C$8,N$3='Bonding Program'!$H$21),'Bonding Program'!$T$21-'Bonding Program'!$U$21-'Bonding Program'!$Z$21,0)-IF(AND('Bonding Program'!$S$21=1,'Bonding Program'!$H$21&lt;='Bonding Program'!$C$8,N$3=IF('Bonding Program'!$P$21&lt;&gt;"",'Bonding Program'!$P$21,'Bonding Program'!$C$8)),'Bonding Program'!$Z$21,0)+IF(AND('Bonding Program'!$P$21&lt;&gt;"",N$3='Bonding Program'!$P$21,N$3&lt;='Bonding Program'!$C$8),N('Bonding Program'!$O$21),0)</f>
        <v>0</v>
      </c>
      <c r="O162" s="19" t="n">
        <f aca="false">IF(AND('Bonding Program'!$S$21=1,'Bonding Program'!$H$21&gt;'Bonding Program'!$C$8,O$3='Bonding Program'!$H$21),'Bonding Program'!$T$21-'Bonding Program'!$U$21-'Bonding Program'!$Z$21,0)-IF(AND('Bonding Program'!$S$21=1,'Bonding Program'!$H$21&lt;='Bonding Program'!$C$8,O$3=IF('Bonding Program'!$P$21&lt;&gt;"",'Bonding Program'!$P$21,'Bonding Program'!$C$8)),'Bonding Program'!$Z$21,0)+IF(AND('Bonding Program'!$P$21&lt;&gt;"",O$3='Bonding Program'!$P$21,O$3&lt;='Bonding Program'!$C$8),N('Bonding Program'!$O$21),0)</f>
        <v>0</v>
      </c>
      <c r="P162" s="19" t="n">
        <f aca="false">IF(AND('Bonding Program'!$S$21=1,'Bonding Program'!$H$21&gt;'Bonding Program'!$C$8,P$3='Bonding Program'!$H$21),'Bonding Program'!$T$21-'Bonding Program'!$U$21-'Bonding Program'!$Z$21,0)-IF(AND('Bonding Program'!$S$21=1,'Bonding Program'!$H$21&lt;='Bonding Program'!$C$8,P$3=IF('Bonding Program'!$P$21&lt;&gt;"",'Bonding Program'!$P$21,'Bonding Program'!$C$8)),'Bonding Program'!$Z$21,0)+IF(AND('Bonding Program'!$P$21&lt;&gt;"",P$3='Bonding Program'!$P$21,P$3&lt;='Bonding Program'!$C$8),N('Bonding Program'!$O$21),0)</f>
        <v>0</v>
      </c>
      <c r="Q162" s="19" t="n">
        <f aca="false">IF(AND('Bonding Program'!$S$21=1,'Bonding Program'!$H$21&gt;'Bonding Program'!$C$8,Q$3='Bonding Program'!$H$21),'Bonding Program'!$T$21-'Bonding Program'!$U$21-'Bonding Program'!$Z$21,0)-IF(AND('Bonding Program'!$S$21=1,'Bonding Program'!$H$21&lt;='Bonding Program'!$C$8,Q$3=IF('Bonding Program'!$P$21&lt;&gt;"",'Bonding Program'!$P$21,'Bonding Program'!$C$8)),'Bonding Program'!$Z$21,0)+IF(AND('Bonding Program'!$P$21&lt;&gt;"",Q$3='Bonding Program'!$P$21,Q$3&lt;='Bonding Program'!$C$8),N('Bonding Program'!$O$21),0)</f>
        <v>0</v>
      </c>
      <c r="R162" s="19" t="n">
        <f aca="false">IF(AND('Bonding Program'!$S$21=1,'Bonding Program'!$H$21&gt;'Bonding Program'!$C$8,R$3='Bonding Program'!$H$21),'Bonding Program'!$T$21-'Bonding Program'!$U$21-'Bonding Program'!$Z$21,0)-IF(AND('Bonding Program'!$S$21=1,'Bonding Program'!$H$21&lt;='Bonding Program'!$C$8,R$3=IF('Bonding Program'!$P$21&lt;&gt;"",'Bonding Program'!$P$21,'Bonding Program'!$C$8)),'Bonding Program'!$Z$21,0)+IF(AND('Bonding Program'!$P$21&lt;&gt;"",R$3='Bonding Program'!$P$21,R$3&lt;='Bonding Program'!$C$8),N('Bonding Program'!$O$21),0)</f>
        <v>0</v>
      </c>
      <c r="S162" s="19" t="n">
        <f aca="false">IF(AND('Bonding Program'!$S$21=1,'Bonding Program'!$H$21&gt;'Bonding Program'!$C$8,S$3='Bonding Program'!$H$21),'Bonding Program'!$T$21-'Bonding Program'!$U$21-'Bonding Program'!$Z$21,0)-IF(AND('Bonding Program'!$S$21=1,'Bonding Program'!$H$21&lt;='Bonding Program'!$C$8,S$3=IF('Bonding Program'!$P$21&lt;&gt;"",'Bonding Program'!$P$21,'Bonding Program'!$C$8)),'Bonding Program'!$Z$21,0)+IF(AND('Bonding Program'!$P$21&lt;&gt;"",S$3='Bonding Program'!$P$21,S$3&lt;='Bonding Program'!$C$8),N('Bonding Program'!$O$21),0)</f>
        <v>0</v>
      </c>
      <c r="T162" s="19" t="n">
        <f aca="false">IF(AND('Bonding Program'!$S$21=1,'Bonding Program'!$H$21&gt;'Bonding Program'!$C$8,T$3='Bonding Program'!$H$21),'Bonding Program'!$T$21-'Bonding Program'!$U$21-'Bonding Program'!$Z$21,0)-IF(AND('Bonding Program'!$S$21=1,'Bonding Program'!$H$21&lt;='Bonding Program'!$C$8,T$3=IF('Bonding Program'!$P$21&lt;&gt;"",'Bonding Program'!$P$21,'Bonding Program'!$C$8)),'Bonding Program'!$Z$21,0)+IF(AND('Bonding Program'!$P$21&lt;&gt;"",T$3='Bonding Program'!$P$21,T$3&lt;='Bonding Program'!$C$8),N('Bonding Program'!$O$21),0)</f>
        <v>0</v>
      </c>
      <c r="U162" s="19" t="n">
        <f aca="false">IF(AND('Bonding Program'!$S$21=1,'Bonding Program'!$H$21&gt;'Bonding Program'!$C$8,U$3='Bonding Program'!$H$21),'Bonding Program'!$T$21-'Bonding Program'!$U$21-'Bonding Program'!$Z$21,0)-IF(AND('Bonding Program'!$S$21=1,'Bonding Program'!$H$21&lt;='Bonding Program'!$C$8,U$3=IF('Bonding Program'!$P$21&lt;&gt;"",'Bonding Program'!$P$21,'Bonding Program'!$C$8)),'Bonding Program'!$Z$21,0)+IF(AND('Bonding Program'!$P$21&lt;&gt;"",U$3='Bonding Program'!$P$21,U$3&lt;='Bonding Program'!$C$8),N('Bonding Program'!$O$21),0)</f>
        <v>0</v>
      </c>
      <c r="V162" s="19" t="n">
        <f aca="false">IF(AND('Bonding Program'!$S$21=1,'Bonding Program'!$H$21&gt;'Bonding Program'!$C$8,V$3='Bonding Program'!$H$21),'Bonding Program'!$T$21-'Bonding Program'!$U$21-'Bonding Program'!$Z$21,0)-IF(AND('Bonding Program'!$S$21=1,'Bonding Program'!$H$21&lt;='Bonding Program'!$C$8,V$3=IF('Bonding Program'!$P$21&lt;&gt;"",'Bonding Program'!$P$21,'Bonding Program'!$C$8)),'Bonding Program'!$Z$21,0)+IF(AND('Bonding Program'!$P$21&lt;&gt;"",V$3='Bonding Program'!$P$21,V$3&lt;='Bonding Program'!$C$8),N('Bonding Program'!$O$21),0)</f>
        <v>0</v>
      </c>
      <c r="W162" s="19" t="n">
        <f aca="false">IF(AND('Bonding Program'!$S$21=1,'Bonding Program'!$H$21&gt;'Bonding Program'!$C$8,W$3='Bonding Program'!$H$21),'Bonding Program'!$T$21-'Bonding Program'!$U$21-'Bonding Program'!$Z$21,0)-IF(AND('Bonding Program'!$S$21=1,'Bonding Program'!$H$21&lt;='Bonding Program'!$C$8,W$3=IF('Bonding Program'!$P$21&lt;&gt;"",'Bonding Program'!$P$21,'Bonding Program'!$C$8)),'Bonding Program'!$Z$21,0)+IF(AND('Bonding Program'!$P$21&lt;&gt;"",W$3='Bonding Program'!$P$21,W$3&lt;='Bonding Program'!$C$8),N('Bonding Program'!$O$21),0)</f>
        <v>0</v>
      </c>
      <c r="X162" s="19" t="n">
        <f aca="false">IF(AND('Bonding Program'!$S$21=1,'Bonding Program'!$H$21&gt;'Bonding Program'!$C$8,X$3='Bonding Program'!$H$21),'Bonding Program'!$T$21-'Bonding Program'!$U$21-'Bonding Program'!$Z$21,0)-IF(AND('Bonding Program'!$S$21=1,'Bonding Program'!$H$21&lt;='Bonding Program'!$C$8,X$3=IF('Bonding Program'!$P$21&lt;&gt;"",'Bonding Program'!$P$21,'Bonding Program'!$C$8)),'Bonding Program'!$Z$21,0)+IF(AND('Bonding Program'!$P$21&lt;&gt;"",X$3='Bonding Program'!$P$21,X$3&lt;='Bonding Program'!$C$8),N('Bonding Program'!$O$21),0)</f>
        <v>0</v>
      </c>
      <c r="Y162" s="19" t="n">
        <f aca="false">IF(AND('Bonding Program'!$S$21=1,'Bonding Program'!$H$21&gt;'Bonding Program'!$C$8,Y$3='Bonding Program'!$H$21),'Bonding Program'!$T$21-'Bonding Program'!$U$21-'Bonding Program'!$Z$21,0)-IF(AND('Bonding Program'!$S$21=1,'Bonding Program'!$H$21&lt;='Bonding Program'!$C$8,Y$3=IF('Bonding Program'!$P$21&lt;&gt;"",'Bonding Program'!$P$21,'Bonding Program'!$C$8)),'Bonding Program'!$Z$21,0)+IF(AND('Bonding Program'!$P$21&lt;&gt;"",Y$3='Bonding Program'!$P$21,Y$3&lt;='Bonding Program'!$C$8),N('Bonding Program'!$O$21),0)</f>
        <v>0</v>
      </c>
      <c r="Z162" s="19" t="n">
        <f aca="false">IF(AND('Bonding Program'!$S$21=1,'Bonding Program'!$H$21&gt;'Bonding Program'!$C$8,Z$3='Bonding Program'!$H$21),'Bonding Program'!$T$21-'Bonding Program'!$U$21-'Bonding Program'!$Z$21,0)-IF(AND('Bonding Program'!$S$21=1,'Bonding Program'!$H$21&lt;='Bonding Program'!$C$8,Z$3=IF('Bonding Program'!$P$21&lt;&gt;"",'Bonding Program'!$P$21,'Bonding Program'!$C$8)),'Bonding Program'!$Z$21,0)+IF(AND('Bonding Program'!$P$21&lt;&gt;"",Z$3='Bonding Program'!$P$21,Z$3&lt;='Bonding Program'!$C$8),N('Bonding Program'!$O$21),0)</f>
        <v>0</v>
      </c>
      <c r="AA162" s="19" t="n">
        <f aca="false">IF(AND('Bonding Program'!$S$21=1,'Bonding Program'!$H$21&gt;'Bonding Program'!$C$8,AA$3='Bonding Program'!$H$21),'Bonding Program'!$T$21-'Bonding Program'!$U$21-'Bonding Program'!$Z$21,0)-IF(AND('Bonding Program'!$S$21=1,'Bonding Program'!$H$21&lt;='Bonding Program'!$C$8,AA$3=IF('Bonding Program'!$P$21&lt;&gt;"",'Bonding Program'!$P$21,'Bonding Program'!$C$8)),'Bonding Program'!$Z$21,0)+IF(AND('Bonding Program'!$P$21&lt;&gt;"",AA$3='Bonding Program'!$P$21,AA$3&lt;='Bonding Program'!$C$8),N('Bonding Program'!$O$21),0)</f>
        <v>0</v>
      </c>
      <c r="AB162" s="19" t="n">
        <f aca="false">IF(AND('Bonding Program'!$S$21=1,'Bonding Program'!$H$21&gt;'Bonding Program'!$C$8,AB$3='Bonding Program'!$H$21),'Bonding Program'!$T$21-'Bonding Program'!$U$21-'Bonding Program'!$Z$21,0)-IF(AND('Bonding Program'!$S$21=1,'Bonding Program'!$H$21&lt;='Bonding Program'!$C$8,AB$3=IF('Bonding Program'!$P$21&lt;&gt;"",'Bonding Program'!$P$21,'Bonding Program'!$C$8)),'Bonding Program'!$Z$21,0)+IF(AND('Bonding Program'!$P$21&lt;&gt;"",AB$3='Bonding Program'!$P$21,AB$3&lt;='Bonding Program'!$C$8),N('Bonding Program'!$O$21),0)</f>
        <v>0</v>
      </c>
      <c r="AC162" s="19" t="n">
        <f aca="false">IF(AND('Bonding Program'!$S$21=1,'Bonding Program'!$H$21&gt;'Bonding Program'!$C$8,AC$3='Bonding Program'!$H$21),'Bonding Program'!$T$21-'Bonding Program'!$U$21-'Bonding Program'!$Z$21,0)-IF(AND('Bonding Program'!$S$21=1,'Bonding Program'!$H$21&lt;='Bonding Program'!$C$8,AC$3=IF('Bonding Program'!$P$21&lt;&gt;"",'Bonding Program'!$P$21,'Bonding Program'!$C$8)),'Bonding Program'!$Z$21,0)+IF(AND('Bonding Program'!$P$21&lt;&gt;"",AC$3='Bonding Program'!$P$21,AC$3&lt;='Bonding Program'!$C$8),N('Bonding Program'!$O$21),0)</f>
        <v>0</v>
      </c>
      <c r="AD162" s="19" t="n">
        <f aca="false">IF(AND('Bonding Program'!$S$21=1,'Bonding Program'!$H$21&gt;'Bonding Program'!$C$8,AD$3='Bonding Program'!$H$21),'Bonding Program'!$T$21-'Bonding Program'!$U$21-'Bonding Program'!$Z$21,0)-IF(AND('Bonding Program'!$S$21=1,'Bonding Program'!$H$21&lt;='Bonding Program'!$C$8,AD$3=IF('Bonding Program'!$P$21&lt;&gt;"",'Bonding Program'!$P$21,'Bonding Program'!$C$8)),'Bonding Program'!$Z$21,0)+IF(AND('Bonding Program'!$P$21&lt;&gt;"",AD$3='Bonding Program'!$P$21,AD$3&lt;='Bonding Program'!$C$8),N('Bonding Program'!$O$21),0)</f>
        <v>0</v>
      </c>
      <c r="AE162" s="19" t="n">
        <f aca="false">IF(AND('Bonding Program'!$S$21=1,'Bonding Program'!$H$21&gt;'Bonding Program'!$C$8,AE$3='Bonding Program'!$H$21),'Bonding Program'!$T$21-'Bonding Program'!$U$21-'Bonding Program'!$Z$21,0)-IF(AND('Bonding Program'!$S$21=1,'Bonding Program'!$H$21&lt;='Bonding Program'!$C$8,AE$3=IF('Bonding Program'!$P$21&lt;&gt;"",'Bonding Program'!$P$21,'Bonding Program'!$C$8)),'Bonding Program'!$Z$21,0)+IF(AND('Bonding Program'!$P$21&lt;&gt;"",AE$3='Bonding Program'!$P$21,AE$3&lt;='Bonding Program'!$C$8),N('Bonding Program'!$O$21),0)</f>
        <v>0</v>
      </c>
      <c r="AF162" s="19" t="n">
        <f aca="false">IF(AND('Bonding Program'!$S$21=1,'Bonding Program'!$H$21&gt;'Bonding Program'!$C$8,AF$3='Bonding Program'!$H$21),'Bonding Program'!$T$21-'Bonding Program'!$U$21-'Bonding Program'!$Z$21,0)-IF(AND('Bonding Program'!$S$21=1,'Bonding Program'!$H$21&lt;='Bonding Program'!$C$8,AF$3=IF('Bonding Program'!$P$21&lt;&gt;"",'Bonding Program'!$P$21,'Bonding Program'!$C$8)),'Bonding Program'!$Z$21,0)+IF(AND('Bonding Program'!$P$21&lt;&gt;"",AF$3='Bonding Program'!$P$21,AF$3&lt;='Bonding Program'!$C$8),N('Bonding Program'!$O$21),0)</f>
        <v>0</v>
      </c>
      <c r="AG162" s="19" t="n">
        <f aca="false">IF(AND('Bonding Program'!$S$21=1,'Bonding Program'!$H$21&gt;'Bonding Program'!$C$8,AG$3='Bonding Program'!$H$21),'Bonding Program'!$T$21-'Bonding Program'!$U$21-'Bonding Program'!$Z$21,0)-IF(AND('Bonding Program'!$S$21=1,'Bonding Program'!$H$21&lt;='Bonding Program'!$C$8,AG$3=IF('Bonding Program'!$P$21&lt;&gt;"",'Bonding Program'!$P$21,'Bonding Program'!$C$8)),'Bonding Program'!$Z$21,0)+IF(AND('Bonding Program'!$P$21&lt;&gt;"",AG$3='Bonding Program'!$P$21,AG$3&lt;='Bonding Program'!$C$8),N('Bonding Program'!$O$21),0)</f>
        <v>0</v>
      </c>
      <c r="AH162" s="19" t="n">
        <f aca="false">IF(AND('Bonding Program'!$S$21=1,'Bonding Program'!$H$21&gt;'Bonding Program'!$C$8,AH$3='Bonding Program'!$H$21),'Bonding Program'!$T$21-'Bonding Program'!$U$21-'Bonding Program'!$Z$21,0)-IF(AND('Bonding Program'!$S$21=1,'Bonding Program'!$H$21&lt;='Bonding Program'!$C$8,AH$3=IF('Bonding Program'!$P$21&lt;&gt;"",'Bonding Program'!$P$21,'Bonding Program'!$C$8)),'Bonding Program'!$Z$21,0)+IF(AND('Bonding Program'!$P$21&lt;&gt;"",AH$3='Bonding Program'!$P$21,AH$3&lt;='Bonding Program'!$C$8),N('Bonding Program'!$O$21),0)</f>
        <v>0</v>
      </c>
      <c r="AI162" s="19" t="n">
        <f aca="false">IF(AND('Bonding Program'!$S$21=1,'Bonding Program'!$H$21&gt;'Bonding Program'!$C$8,AI$3='Bonding Program'!$H$21),'Bonding Program'!$T$21-'Bonding Program'!$U$21-'Bonding Program'!$Z$21,0)-IF(AND('Bonding Program'!$S$21=1,'Bonding Program'!$H$21&lt;='Bonding Program'!$C$8,AI$3=IF('Bonding Program'!$P$21&lt;&gt;"",'Bonding Program'!$P$21,'Bonding Program'!$C$8)),'Bonding Program'!$Z$21,0)+IF(AND('Bonding Program'!$P$21&lt;&gt;"",AI$3='Bonding Program'!$P$21,AI$3&lt;='Bonding Program'!$C$8),N('Bonding Program'!$O$21),0)</f>
        <v>0</v>
      </c>
      <c r="AJ162" s="19" t="n">
        <f aca="false">IF(AND('Bonding Program'!$S$21=1,'Bonding Program'!$H$21&gt;'Bonding Program'!$C$8,AJ$3='Bonding Program'!$H$21),'Bonding Program'!$T$21-'Bonding Program'!$U$21-'Bonding Program'!$Z$21,0)-IF(AND('Bonding Program'!$S$21=1,'Bonding Program'!$H$21&lt;='Bonding Program'!$C$8,AJ$3=IF('Bonding Program'!$P$21&lt;&gt;"",'Bonding Program'!$P$21,'Bonding Program'!$C$8)),'Bonding Program'!$Z$21,0)+IF(AND('Bonding Program'!$P$21&lt;&gt;"",AJ$3='Bonding Program'!$P$21,AJ$3&lt;='Bonding Program'!$C$8),N('Bonding Program'!$O$21),0)</f>
        <v>0</v>
      </c>
      <c r="AK162" s="19" t="n">
        <f aca="false">IF(AND('Bonding Program'!$S$21=1,'Bonding Program'!$H$21&gt;'Bonding Program'!$C$8,AK$3='Bonding Program'!$H$21),'Bonding Program'!$T$21-'Bonding Program'!$U$21-'Bonding Program'!$Z$21,0)-IF(AND('Bonding Program'!$S$21=1,'Bonding Program'!$H$21&lt;='Bonding Program'!$C$8,AK$3=IF('Bonding Program'!$P$21&lt;&gt;"",'Bonding Program'!$P$21,'Bonding Program'!$C$8)),'Bonding Program'!$Z$21,0)+IF(AND('Bonding Program'!$P$21&lt;&gt;"",AK$3='Bonding Program'!$P$21,AK$3&lt;='Bonding Program'!$C$8),N('Bonding Program'!$O$21),0)</f>
        <v>0</v>
      </c>
      <c r="AL162" s="19" t="n">
        <f aca="false">IF(AND('Bonding Program'!$S$21=1,'Bonding Program'!$H$21&gt;'Bonding Program'!$C$8,AL$3='Bonding Program'!$H$21),'Bonding Program'!$T$21-'Bonding Program'!$U$21-'Bonding Program'!$Z$21,0)-IF(AND('Bonding Program'!$S$21=1,'Bonding Program'!$H$21&lt;='Bonding Program'!$C$8,AL$3=IF('Bonding Program'!$P$21&lt;&gt;"",'Bonding Program'!$P$21,'Bonding Program'!$C$8)),'Bonding Program'!$Z$21,0)+IF(AND('Bonding Program'!$P$21&lt;&gt;"",AL$3='Bonding Program'!$P$21,AL$3&lt;='Bonding Program'!$C$8),N('Bonding Program'!$O$21),0)</f>
        <v>0</v>
      </c>
      <c r="AM162" s="19" t="n">
        <f aca="false">IF(AND('Bonding Program'!$S$21=1,'Bonding Program'!$H$21&gt;'Bonding Program'!$C$8,AM$3='Bonding Program'!$H$21),'Bonding Program'!$T$21-'Bonding Program'!$U$21-'Bonding Program'!$Z$21,0)-IF(AND('Bonding Program'!$S$21=1,'Bonding Program'!$H$21&lt;='Bonding Program'!$C$8,AM$3=IF('Bonding Program'!$P$21&lt;&gt;"",'Bonding Program'!$P$21,'Bonding Program'!$C$8)),'Bonding Program'!$Z$21,0)+IF(AND('Bonding Program'!$P$21&lt;&gt;"",AM$3='Bonding Program'!$P$21,AM$3&lt;='Bonding Program'!$C$8),N('Bonding Program'!$O$21),0)</f>
        <v>0</v>
      </c>
      <c r="AN162" s="19" t="n">
        <f aca="false">IF(AND('Bonding Program'!$S$21=1,'Bonding Program'!$H$21&gt;'Bonding Program'!$C$8,AN$3='Bonding Program'!$H$21),'Bonding Program'!$T$21-'Bonding Program'!$U$21-'Bonding Program'!$Z$21,0)-IF(AND('Bonding Program'!$S$21=1,'Bonding Program'!$H$21&lt;='Bonding Program'!$C$8,AN$3=IF('Bonding Program'!$P$21&lt;&gt;"",'Bonding Program'!$P$21,'Bonding Program'!$C$8)),'Bonding Program'!$Z$21,0)+IF(AND('Bonding Program'!$P$21&lt;&gt;"",AN$3='Bonding Program'!$P$21,AN$3&lt;='Bonding Program'!$C$8),N('Bonding Program'!$O$21),0)</f>
        <v>0</v>
      </c>
      <c r="AO162" s="19" t="n">
        <f aca="false">IF(AND('Bonding Program'!$S$21=1,'Bonding Program'!$H$21&gt;'Bonding Program'!$C$8,AO$3='Bonding Program'!$H$21),'Bonding Program'!$T$21-'Bonding Program'!$U$21-'Bonding Program'!$Z$21,0)-IF(AND('Bonding Program'!$S$21=1,'Bonding Program'!$H$21&lt;='Bonding Program'!$C$8,AO$3=IF('Bonding Program'!$P$21&lt;&gt;"",'Bonding Program'!$P$21,'Bonding Program'!$C$8)),'Bonding Program'!$Z$21,0)+IF(AND('Bonding Program'!$P$21&lt;&gt;"",AO$3='Bonding Program'!$P$21,AO$3&lt;='Bonding Program'!$C$8),N('Bonding Program'!$O$21),0)</f>
        <v>0</v>
      </c>
      <c r="AP162" s="19" t="n">
        <f aca="false">IF(AND('Bonding Program'!$S$21=1,'Bonding Program'!$H$21&gt;'Bonding Program'!$C$8,AP$3='Bonding Program'!$H$21),'Bonding Program'!$T$21-'Bonding Program'!$U$21-'Bonding Program'!$Z$21,0)-IF(AND('Bonding Program'!$S$21=1,'Bonding Program'!$H$21&lt;='Bonding Program'!$C$8,AP$3=IF('Bonding Program'!$P$21&lt;&gt;"",'Bonding Program'!$P$21,'Bonding Program'!$C$8)),'Bonding Program'!$Z$21,0)+IF(AND('Bonding Program'!$P$21&lt;&gt;"",AP$3='Bonding Program'!$P$21,AP$3&lt;='Bonding Program'!$C$8),N('Bonding Program'!$O$21),0)</f>
        <v>0</v>
      </c>
      <c r="AQ162" s="19" t="n">
        <f aca="false">IF(AND('Bonding Program'!$S$21=1,'Bonding Program'!$H$21&gt;'Bonding Program'!$C$8,AQ$3='Bonding Program'!$H$21),'Bonding Program'!$T$21-'Bonding Program'!$U$21-'Bonding Program'!$Z$21,0)-IF(AND('Bonding Program'!$S$21=1,'Bonding Program'!$H$21&lt;='Bonding Program'!$C$8,AQ$3=IF('Bonding Program'!$P$21&lt;&gt;"",'Bonding Program'!$P$21,'Bonding Program'!$C$8)),'Bonding Program'!$Z$21,0)+IF(AND('Bonding Program'!$P$21&lt;&gt;"",AQ$3='Bonding Program'!$P$21,AQ$3&lt;='Bonding Program'!$C$8),N('Bonding Program'!$O$21),0)</f>
        <v>0</v>
      </c>
      <c r="AR162" s="19" t="n">
        <f aca="false">IF(AND('Bonding Program'!$S$21=1,'Bonding Program'!$H$21&gt;'Bonding Program'!$C$8,AR$3='Bonding Program'!$H$21),'Bonding Program'!$T$21-'Bonding Program'!$U$21-'Bonding Program'!$Z$21,0)-IF(AND('Bonding Program'!$S$21=1,'Bonding Program'!$H$21&lt;='Bonding Program'!$C$8,AR$3=IF('Bonding Program'!$P$21&lt;&gt;"",'Bonding Program'!$P$21,'Bonding Program'!$C$8)),'Bonding Program'!$Z$21,0)+IF(AND('Bonding Program'!$P$21&lt;&gt;"",AR$3='Bonding Program'!$P$21,AR$3&lt;='Bonding Program'!$C$8),N('Bonding Program'!$O$21),0)</f>
        <v>0</v>
      </c>
      <c r="AS162" s="19" t="n">
        <f aca="false">IF(AND('Bonding Program'!$S$21=1,'Bonding Program'!$H$21&gt;'Bonding Program'!$C$8,AS$3='Bonding Program'!$H$21),'Bonding Program'!$T$21-'Bonding Program'!$U$21-'Bonding Program'!$Z$21,0)-IF(AND('Bonding Program'!$S$21=1,'Bonding Program'!$H$21&lt;='Bonding Program'!$C$8,AS$3=IF('Bonding Program'!$P$21&lt;&gt;"",'Bonding Program'!$P$21,'Bonding Program'!$C$8)),'Bonding Program'!$Z$21,0)+IF(AND('Bonding Program'!$P$21&lt;&gt;"",AS$3='Bonding Program'!$P$21,AS$3&lt;='Bonding Program'!$C$8),N('Bonding Program'!$O$21),0)</f>
        <v>0</v>
      </c>
      <c r="AT162" s="19" t="n">
        <f aca="false">IF(AND('Bonding Program'!$S$21=1,'Bonding Program'!$H$21&gt;'Bonding Program'!$C$8,AT$3='Bonding Program'!$H$21),'Bonding Program'!$T$21-'Bonding Program'!$U$21-'Bonding Program'!$Z$21,0)-IF(AND('Bonding Program'!$S$21=1,'Bonding Program'!$H$21&lt;='Bonding Program'!$C$8,AT$3=IF('Bonding Program'!$P$21&lt;&gt;"",'Bonding Program'!$P$21,'Bonding Program'!$C$8)),'Bonding Program'!$Z$21,0)+IF(AND('Bonding Program'!$P$21&lt;&gt;"",AT$3='Bonding Program'!$P$21,AT$3&lt;='Bonding Program'!$C$8),N('Bonding Program'!$O$21),0)</f>
        <v>0</v>
      </c>
      <c r="AU162" s="19" t="n">
        <f aca="false">IF(AND('Bonding Program'!$S$21=1,'Bonding Program'!$H$21&gt;'Bonding Program'!$C$8,AU$3='Bonding Program'!$H$21),'Bonding Program'!$T$21-'Bonding Program'!$U$21-'Bonding Program'!$Z$21,0)-IF(AND('Bonding Program'!$S$21=1,'Bonding Program'!$H$21&lt;='Bonding Program'!$C$8,AU$3=IF('Bonding Program'!$P$21&lt;&gt;"",'Bonding Program'!$P$21,'Bonding Program'!$C$8)),'Bonding Program'!$Z$21,0)+IF(AND('Bonding Program'!$P$21&lt;&gt;"",AU$3='Bonding Program'!$P$21,AU$3&lt;='Bonding Program'!$C$8),N('Bonding Program'!$O$21),0)</f>
        <v>0</v>
      </c>
      <c r="AV162" s="19" t="n">
        <f aca="false">IF(AND('Bonding Program'!$S$21=1,'Bonding Program'!$H$21&gt;'Bonding Program'!$C$8,AV$3='Bonding Program'!$H$21),'Bonding Program'!$T$21-'Bonding Program'!$U$21-'Bonding Program'!$Z$21,0)-IF(AND('Bonding Program'!$S$21=1,'Bonding Program'!$H$21&lt;='Bonding Program'!$C$8,AV$3=IF('Bonding Program'!$P$21&lt;&gt;"",'Bonding Program'!$P$21,'Bonding Program'!$C$8)),'Bonding Program'!$Z$21,0)+IF(AND('Bonding Program'!$P$21&lt;&gt;"",AV$3='Bonding Program'!$P$21,AV$3&lt;='Bonding Program'!$C$8),N('Bonding Program'!$O$21),0)</f>
        <v>0</v>
      </c>
      <c r="AW162" s="19" t="n">
        <f aca="false">IF(AND('Bonding Program'!$S$21=1,'Bonding Program'!$H$21&gt;'Bonding Program'!$C$8,AW$3='Bonding Program'!$H$21),'Bonding Program'!$T$21-'Bonding Program'!$U$21-'Bonding Program'!$Z$21,0)-IF(AND('Bonding Program'!$S$21=1,'Bonding Program'!$H$21&lt;='Bonding Program'!$C$8,AW$3=IF('Bonding Program'!$P$21&lt;&gt;"",'Bonding Program'!$P$21,'Bonding Program'!$C$8)),'Bonding Program'!$Z$21,0)+IF(AND('Bonding Program'!$P$21&lt;&gt;"",AW$3='Bonding Program'!$P$21,AW$3&lt;='Bonding Program'!$C$8),N('Bonding Program'!$O$21),0)</f>
        <v>0</v>
      </c>
      <c r="AX162" s="19" t="n">
        <f aca="false">IF(AND('Bonding Program'!$S$21=1,'Bonding Program'!$H$21&gt;'Bonding Program'!$C$8,AX$3='Bonding Program'!$H$21),'Bonding Program'!$T$21-'Bonding Program'!$U$21-'Bonding Program'!$Z$21,0)-IF(AND('Bonding Program'!$S$21=1,'Bonding Program'!$H$21&lt;='Bonding Program'!$C$8,AX$3=IF('Bonding Program'!$P$21&lt;&gt;"",'Bonding Program'!$P$21,'Bonding Program'!$C$8)),'Bonding Program'!$Z$21,0)+IF(AND('Bonding Program'!$P$21&lt;&gt;"",AX$3='Bonding Program'!$P$21,AX$3&lt;='Bonding Program'!$C$8),N('Bonding Program'!$O$21),0)</f>
        <v>0</v>
      </c>
      <c r="AY162" s="19" t="n">
        <f aca="false">IF(AND('Bonding Program'!$S$21=1,'Bonding Program'!$H$21&gt;'Bonding Program'!$C$8,AY$3='Bonding Program'!$H$21),'Bonding Program'!$T$21-'Bonding Program'!$U$21-'Bonding Program'!$Z$21,0)-IF(AND('Bonding Program'!$S$21=1,'Bonding Program'!$H$21&lt;='Bonding Program'!$C$8,AY$3=IF('Bonding Program'!$P$21&lt;&gt;"",'Bonding Program'!$P$21,'Bonding Program'!$C$8)),'Bonding Program'!$Z$21,0)+IF(AND('Bonding Program'!$P$21&lt;&gt;"",AY$3='Bonding Program'!$P$21,AY$3&lt;='Bonding Program'!$C$8),N('Bonding Program'!$O$21),0)</f>
        <v>0</v>
      </c>
      <c r="AZ162" s="19" t="n">
        <f aca="false">IF(AND('Bonding Program'!$S$21=1,'Bonding Program'!$H$21&gt;'Bonding Program'!$C$8,AZ$3='Bonding Program'!$H$21),'Bonding Program'!$T$21-'Bonding Program'!$U$21-'Bonding Program'!$Z$21,0)-IF(AND('Bonding Program'!$S$21=1,'Bonding Program'!$H$21&lt;='Bonding Program'!$C$8,AZ$3=IF('Bonding Program'!$P$21&lt;&gt;"",'Bonding Program'!$P$21,'Bonding Program'!$C$8)),'Bonding Program'!$Z$21,0)+IF(AND('Bonding Program'!$P$21&lt;&gt;"",AZ$3='Bonding Program'!$P$21,AZ$3&lt;='Bonding Program'!$C$8),N('Bonding Program'!$O$21),0)</f>
        <v>0</v>
      </c>
      <c r="BA162" s="19" t="n">
        <f aca="false">IF(AND('Bonding Program'!$S$21=1,'Bonding Program'!$H$21&gt;'Bonding Program'!$C$8,BA$3='Bonding Program'!$H$21),'Bonding Program'!$T$21-'Bonding Program'!$U$21-'Bonding Program'!$Z$21,0)-IF(AND('Bonding Program'!$S$21=1,'Bonding Program'!$H$21&lt;='Bonding Program'!$C$8,BA$3=IF('Bonding Program'!$P$21&lt;&gt;"",'Bonding Program'!$P$21,'Bonding Program'!$C$8)),'Bonding Program'!$Z$21,0)+IF(AND('Bonding Program'!$P$21&lt;&gt;"",BA$3='Bonding Program'!$P$21,BA$3&lt;='Bonding Program'!$C$8),N('Bonding Program'!$O$21),0)</f>
        <v>0</v>
      </c>
      <c r="BB162" s="19" t="n">
        <f aca="false">IF(AND('Bonding Program'!$S$21=1,'Bonding Program'!$H$21&gt;'Bonding Program'!$C$8,BB$3='Bonding Program'!$H$21),'Bonding Program'!$T$21-'Bonding Program'!$U$21-'Bonding Program'!$Z$21,0)-IF(AND('Bonding Program'!$S$21=1,'Bonding Program'!$H$21&lt;='Bonding Program'!$C$8,BB$3=IF('Bonding Program'!$P$21&lt;&gt;"",'Bonding Program'!$P$21,'Bonding Program'!$C$8)),'Bonding Program'!$Z$21,0)+IF(AND('Bonding Program'!$P$21&lt;&gt;"",BB$3='Bonding Program'!$P$21,BB$3&lt;='Bonding Program'!$C$8),N('Bonding Program'!$O$21),0)</f>
        <v>0</v>
      </c>
      <c r="BC162" s="19" t="n">
        <f aca="false">IF(AND('Bonding Program'!$S$21=1,'Bonding Program'!$H$21&gt;'Bonding Program'!$C$8,BC$3='Bonding Program'!$H$21),'Bonding Program'!$T$21-'Bonding Program'!$U$21-'Bonding Program'!$Z$21,0)-IF(AND('Bonding Program'!$S$21=1,'Bonding Program'!$H$21&lt;='Bonding Program'!$C$8,BC$3=IF('Bonding Program'!$P$21&lt;&gt;"",'Bonding Program'!$P$21,'Bonding Program'!$C$8)),'Bonding Program'!$Z$21,0)+IF(AND('Bonding Program'!$P$21&lt;&gt;"",BC$3='Bonding Program'!$P$21,BC$3&lt;='Bonding Program'!$C$8),N('Bonding Program'!$O$21),0)</f>
        <v>0</v>
      </c>
      <c r="BD162" s="19" t="n">
        <f aca="false">IF(AND('Bonding Program'!$S$21=1,'Bonding Program'!$H$21&gt;'Bonding Program'!$C$8,BD$3='Bonding Program'!$H$21),'Bonding Program'!$T$21-'Bonding Program'!$U$21-'Bonding Program'!$Z$21,0)-IF(AND('Bonding Program'!$S$21=1,'Bonding Program'!$H$21&lt;='Bonding Program'!$C$8,BD$3=IF('Bonding Program'!$P$21&lt;&gt;"",'Bonding Program'!$P$21,'Bonding Program'!$C$8)),'Bonding Program'!$Z$21,0)+IF(AND('Bonding Program'!$P$21&lt;&gt;"",BD$3='Bonding Program'!$P$21,BD$3&lt;='Bonding Program'!$C$8),N('Bonding Program'!$O$21),0)</f>
        <v>0</v>
      </c>
      <c r="BE162" s="19" t="n">
        <f aca="false">IF(AND('Bonding Program'!$S$21=1,'Bonding Program'!$H$21&gt;'Bonding Program'!$C$8,BE$3='Bonding Program'!$H$21),'Bonding Program'!$T$21-'Bonding Program'!$U$21-'Bonding Program'!$Z$21,0)-IF(AND('Bonding Program'!$S$21=1,'Bonding Program'!$H$21&lt;='Bonding Program'!$C$8,BE$3=IF('Bonding Program'!$P$21&lt;&gt;"",'Bonding Program'!$P$21,'Bonding Program'!$C$8)),'Bonding Program'!$Z$21,0)+IF(AND('Bonding Program'!$P$21&lt;&gt;"",BE$3='Bonding Program'!$P$21,BE$3&lt;='Bonding Program'!$C$8),N('Bonding Program'!$O$21),0)</f>
        <v>0</v>
      </c>
      <c r="BF162" s="19" t="n">
        <f aca="false">IF(AND('Bonding Program'!$S$21=1,'Bonding Program'!$H$21&gt;'Bonding Program'!$C$8,BF$3='Bonding Program'!$H$21),'Bonding Program'!$T$21-'Bonding Program'!$U$21-'Bonding Program'!$Z$21,0)-IF(AND('Bonding Program'!$S$21=1,'Bonding Program'!$H$21&lt;='Bonding Program'!$C$8,BF$3=IF('Bonding Program'!$P$21&lt;&gt;"",'Bonding Program'!$P$21,'Bonding Program'!$C$8)),'Bonding Program'!$Z$21,0)+IF(AND('Bonding Program'!$P$21&lt;&gt;"",BF$3='Bonding Program'!$P$21,BF$3&lt;='Bonding Program'!$C$8),N('Bonding Program'!$O$21),0)</f>
        <v>0</v>
      </c>
      <c r="BG162" s="19" t="n">
        <f aca="false">IF(AND('Bonding Program'!$S$21=1,'Bonding Program'!$H$21&gt;'Bonding Program'!$C$8,BG$3='Bonding Program'!$H$21),'Bonding Program'!$T$21-'Bonding Program'!$U$21-'Bonding Program'!$Z$21,0)-IF(AND('Bonding Program'!$S$21=1,'Bonding Program'!$H$21&lt;='Bonding Program'!$C$8,BG$3=IF('Bonding Program'!$P$21&lt;&gt;"",'Bonding Program'!$P$21,'Bonding Program'!$C$8)),'Bonding Program'!$Z$21,0)+IF(AND('Bonding Program'!$P$21&lt;&gt;"",BG$3='Bonding Program'!$P$21,BG$3&lt;='Bonding Program'!$C$8),N('Bonding Program'!$O$21),0)</f>
        <v>0</v>
      </c>
      <c r="BH162" s="19" t="n">
        <f aca="false">IF(AND('Bonding Program'!$S$21=1,'Bonding Program'!$H$21&gt;'Bonding Program'!$C$8,BH$3='Bonding Program'!$H$21),'Bonding Program'!$T$21-'Bonding Program'!$U$21-'Bonding Program'!$Z$21,0)-IF(AND('Bonding Program'!$S$21=1,'Bonding Program'!$H$21&lt;='Bonding Program'!$C$8,BH$3=IF('Bonding Program'!$P$21&lt;&gt;"",'Bonding Program'!$P$21,'Bonding Program'!$C$8)),'Bonding Program'!$Z$21,0)+IF(AND('Bonding Program'!$P$21&lt;&gt;"",BH$3='Bonding Program'!$P$21,BH$3&lt;='Bonding Program'!$C$8),N('Bonding Program'!$O$21),0)</f>
        <v>0</v>
      </c>
      <c r="BI162" s="19" t="n">
        <f aca="false">IF(AND('Bonding Program'!$S$21=1,'Bonding Program'!$H$21&gt;'Bonding Program'!$C$8,BI$3='Bonding Program'!$H$21),'Bonding Program'!$T$21-'Bonding Program'!$U$21-'Bonding Program'!$Z$21,0)-IF(AND('Bonding Program'!$S$21=1,'Bonding Program'!$H$21&lt;='Bonding Program'!$C$8,BI$3=IF('Bonding Program'!$P$21&lt;&gt;"",'Bonding Program'!$P$21,'Bonding Program'!$C$8)),'Bonding Program'!$Z$21,0)+IF(AND('Bonding Program'!$P$21&lt;&gt;"",BI$3='Bonding Program'!$P$21,BI$3&lt;='Bonding Program'!$C$8),N('Bonding Program'!$O$21),0)</f>
        <v>0</v>
      </c>
      <c r="BJ162" s="19" t="n">
        <f aca="false">IF(AND('Bonding Program'!$S$21=1,'Bonding Program'!$H$21&gt;'Bonding Program'!$C$8,BJ$3='Bonding Program'!$H$21),'Bonding Program'!$T$21-'Bonding Program'!$U$21-'Bonding Program'!$Z$21,0)-IF(AND('Bonding Program'!$S$21=1,'Bonding Program'!$H$21&lt;='Bonding Program'!$C$8,BJ$3=IF('Bonding Program'!$P$21&lt;&gt;"",'Bonding Program'!$P$21,'Bonding Program'!$C$8)),'Bonding Program'!$Z$21,0)+IF(AND('Bonding Program'!$P$21&lt;&gt;"",BJ$3='Bonding Program'!$P$21,BJ$3&lt;='Bonding Program'!$C$8),N('Bonding Program'!$O$21),0)</f>
        <v>0</v>
      </c>
      <c r="BK162" s="19" t="n">
        <f aca="false">IF(AND('Bonding Program'!$S$21=1,'Bonding Program'!$H$21&gt;'Bonding Program'!$C$8,BK$3='Bonding Program'!$H$21),'Bonding Program'!$T$21-'Bonding Program'!$U$21-'Bonding Program'!$Z$21,0)-IF(AND('Bonding Program'!$S$21=1,'Bonding Program'!$H$21&lt;='Bonding Program'!$C$8,BK$3=IF('Bonding Program'!$P$21&lt;&gt;"",'Bonding Program'!$P$21,'Bonding Program'!$C$8)),'Bonding Program'!$Z$21,0)+IF(AND('Bonding Program'!$P$21&lt;&gt;"",BK$3='Bonding Program'!$P$21,BK$3&lt;='Bonding Program'!$C$8),N('Bonding Program'!$O$21),0)</f>
        <v>0</v>
      </c>
      <c r="BL162" s="19" t="n">
        <f aca="false">IF(AND('Bonding Program'!$S$21=1,'Bonding Program'!$H$21&gt;'Bonding Program'!$C$8,BL$3='Bonding Program'!$H$21),'Bonding Program'!$T$21-'Bonding Program'!$U$21-'Bonding Program'!$Z$21,0)-IF(AND('Bonding Program'!$S$21=1,'Bonding Program'!$H$21&lt;='Bonding Program'!$C$8,BL$3=IF('Bonding Program'!$P$21&lt;&gt;"",'Bonding Program'!$P$21,'Bonding Program'!$C$8)),'Bonding Program'!$Z$21,0)+IF(AND('Bonding Program'!$P$21&lt;&gt;"",BL$3='Bonding Program'!$P$21,BL$3&lt;='Bonding Program'!$C$8),N('Bonding Program'!$O$21),0)</f>
        <v>0</v>
      </c>
      <c r="BM162" s="19" t="n">
        <f aca="false">IF(AND('Bonding Program'!$S$21=1,'Bonding Program'!$H$21&gt;'Bonding Program'!$C$8,BM$3='Bonding Program'!$H$21),'Bonding Program'!$T$21-'Bonding Program'!$U$21-'Bonding Program'!$Z$21,0)-IF(AND('Bonding Program'!$S$21=1,'Bonding Program'!$H$21&lt;='Bonding Program'!$C$8,BM$3=IF('Bonding Program'!$P$21&lt;&gt;"",'Bonding Program'!$P$21,'Bonding Program'!$C$8)),'Bonding Program'!$Z$21,0)+IF(AND('Bonding Program'!$P$21&lt;&gt;"",BM$3='Bonding Program'!$P$21,BM$3&lt;='Bonding Program'!$C$8),N('Bonding Program'!$O$21),0)</f>
        <v>0</v>
      </c>
      <c r="BN162" s="19" t="n">
        <f aca="false">IF(AND('Bonding Program'!$S$21=1,'Bonding Program'!$H$21&gt;'Bonding Program'!$C$8,BN$3='Bonding Program'!$H$21),'Bonding Program'!$T$21-'Bonding Program'!$U$21-'Bonding Program'!$Z$21,0)-IF(AND('Bonding Program'!$S$21=1,'Bonding Program'!$H$21&lt;='Bonding Program'!$C$8,BN$3=IF('Bonding Program'!$P$21&lt;&gt;"",'Bonding Program'!$P$21,'Bonding Program'!$C$8)),'Bonding Program'!$Z$21,0)+IF(AND('Bonding Program'!$P$21&lt;&gt;"",BN$3='Bonding Program'!$P$21,BN$3&lt;='Bonding Program'!$C$8),N('Bonding Program'!$O$21),0)</f>
        <v>0</v>
      </c>
      <c r="BO162" s="19" t="n">
        <f aca="false">IF(AND('Bonding Program'!$S$21=1,'Bonding Program'!$H$21&gt;'Bonding Program'!$C$8,BO$3='Bonding Program'!$H$21),'Bonding Program'!$T$21-'Bonding Program'!$U$21-'Bonding Program'!$Z$21,0)-IF(AND('Bonding Program'!$S$21=1,'Bonding Program'!$H$21&lt;='Bonding Program'!$C$8,BO$3=IF('Bonding Program'!$P$21&lt;&gt;"",'Bonding Program'!$P$21,'Bonding Program'!$C$8)),'Bonding Program'!$Z$21,0)+IF(AND('Bonding Program'!$P$21&lt;&gt;"",BO$3='Bonding Program'!$P$21,BO$3&lt;='Bonding Program'!$C$8),N('Bonding Program'!$O$21),0)</f>
        <v>0</v>
      </c>
      <c r="BP162" s="19" t="n">
        <f aca="false">IF(AND('Bonding Program'!$S$21=1,'Bonding Program'!$H$21&gt;'Bonding Program'!$C$8,BP$3='Bonding Program'!$H$21),'Bonding Program'!$T$21-'Bonding Program'!$U$21-'Bonding Program'!$Z$21,0)-IF(AND('Bonding Program'!$S$21=1,'Bonding Program'!$H$21&lt;='Bonding Program'!$C$8,BP$3=IF('Bonding Program'!$P$21&lt;&gt;"",'Bonding Program'!$P$21,'Bonding Program'!$C$8)),'Bonding Program'!$Z$21,0)+IF(AND('Bonding Program'!$P$21&lt;&gt;"",BP$3='Bonding Program'!$P$21,BP$3&lt;='Bonding Program'!$C$8),N('Bonding Program'!$O$21),0)</f>
        <v>0</v>
      </c>
      <c r="BQ162" s="19" t="n">
        <f aca="false">IF(AND('Bonding Program'!$S$21=1,'Bonding Program'!$H$21&gt;'Bonding Program'!$C$8,BQ$3='Bonding Program'!$H$21),'Bonding Program'!$T$21-'Bonding Program'!$U$21-'Bonding Program'!$Z$21,0)-IF(AND('Bonding Program'!$S$21=1,'Bonding Program'!$H$21&lt;='Bonding Program'!$C$8,BQ$3=IF('Bonding Program'!$P$21&lt;&gt;"",'Bonding Program'!$P$21,'Bonding Program'!$C$8)),'Bonding Program'!$Z$21,0)+IF(AND('Bonding Program'!$P$21&lt;&gt;"",BQ$3='Bonding Program'!$P$21,BQ$3&lt;='Bonding Program'!$C$8),N('Bonding Program'!$O$21),0)</f>
        <v>0</v>
      </c>
      <c r="BR162" s="19" t="n">
        <f aca="false">IF(AND('Bonding Program'!$S$21=1,'Bonding Program'!$H$21&gt;'Bonding Program'!$C$8,BR$3='Bonding Program'!$H$21),'Bonding Program'!$T$21-'Bonding Program'!$U$21-'Bonding Program'!$Z$21,0)-IF(AND('Bonding Program'!$S$21=1,'Bonding Program'!$H$21&lt;='Bonding Program'!$C$8,BR$3=IF('Bonding Program'!$P$21&lt;&gt;"",'Bonding Program'!$P$21,'Bonding Program'!$C$8)),'Bonding Program'!$Z$21,0)+IF(AND('Bonding Program'!$P$21&lt;&gt;"",BR$3='Bonding Program'!$P$21,BR$3&lt;='Bonding Program'!$C$8),N('Bonding Program'!$O$21),0)</f>
        <v>0</v>
      </c>
      <c r="BS162" s="19" t="n">
        <f aca="false">IF(AND('Bonding Program'!$S$21=1,'Bonding Program'!$H$21&gt;'Bonding Program'!$C$8,BS$3='Bonding Program'!$H$21),'Bonding Program'!$T$21-'Bonding Program'!$U$21-'Bonding Program'!$Z$21,0)-IF(AND('Bonding Program'!$S$21=1,'Bonding Program'!$H$21&lt;='Bonding Program'!$C$8,BS$3=IF('Bonding Program'!$P$21&lt;&gt;"",'Bonding Program'!$P$21,'Bonding Program'!$C$8)),'Bonding Program'!$Z$21,0)+IF(AND('Bonding Program'!$P$21&lt;&gt;"",BS$3='Bonding Program'!$P$21,BS$3&lt;='Bonding Program'!$C$8),N('Bonding Program'!$O$21),0)</f>
        <v>0</v>
      </c>
      <c r="BT162" s="19" t="n">
        <f aca="false">IF(AND('Bonding Program'!$S$21=1,'Bonding Program'!$H$21&gt;'Bonding Program'!$C$8,BT$3='Bonding Program'!$H$21),'Bonding Program'!$T$21-'Bonding Program'!$U$21-'Bonding Program'!$Z$21,0)-IF(AND('Bonding Program'!$S$21=1,'Bonding Program'!$H$21&lt;='Bonding Program'!$C$8,BT$3=IF('Bonding Program'!$P$21&lt;&gt;"",'Bonding Program'!$P$21,'Bonding Program'!$C$8)),'Bonding Program'!$Z$21,0)+IF(AND('Bonding Program'!$P$21&lt;&gt;"",BT$3='Bonding Program'!$P$21,BT$3&lt;='Bonding Program'!$C$8),N('Bonding Program'!$O$21),0)</f>
        <v>0</v>
      </c>
      <c r="BU162" s="19" t="n">
        <f aca="false">IF(AND('Bonding Program'!$S$21=1,'Bonding Program'!$H$21&gt;'Bonding Program'!$C$8,BU$3='Bonding Program'!$H$21),'Bonding Program'!$T$21-'Bonding Program'!$U$21-'Bonding Program'!$Z$21,0)-IF(AND('Bonding Program'!$S$21=1,'Bonding Program'!$H$21&lt;='Bonding Program'!$C$8,BU$3=IF('Bonding Program'!$P$21&lt;&gt;"",'Bonding Program'!$P$21,'Bonding Program'!$C$8)),'Bonding Program'!$Z$21,0)+IF(AND('Bonding Program'!$P$21&lt;&gt;"",BU$3='Bonding Program'!$P$21,BU$3&lt;='Bonding Program'!$C$8),N('Bonding Program'!$O$21),0)</f>
        <v>0</v>
      </c>
      <c r="BV162" s="19" t="n">
        <f aca="false">IF(AND('Bonding Program'!$S$21=1,'Bonding Program'!$H$21&gt;'Bonding Program'!$C$8,BV$3='Bonding Program'!$H$21),'Bonding Program'!$T$21-'Bonding Program'!$U$21-'Bonding Program'!$Z$21,0)-IF(AND('Bonding Program'!$S$21=1,'Bonding Program'!$H$21&lt;='Bonding Program'!$C$8,BV$3=IF('Bonding Program'!$P$21&lt;&gt;"",'Bonding Program'!$P$21,'Bonding Program'!$C$8)),'Bonding Program'!$Z$21,0)+IF(AND('Bonding Program'!$P$21&lt;&gt;"",BV$3='Bonding Program'!$P$21,BV$3&lt;='Bonding Program'!$C$8),N('Bonding Program'!$O$21),0)</f>
        <v>0</v>
      </c>
      <c r="BW162" s="19" t="n">
        <f aca="false">IF(AND('Bonding Program'!$S$21=1,'Bonding Program'!$H$21&gt;'Bonding Program'!$C$8,BW$3='Bonding Program'!$H$21),'Bonding Program'!$T$21-'Bonding Program'!$U$21-'Bonding Program'!$Z$21,0)-IF(AND('Bonding Program'!$S$21=1,'Bonding Program'!$H$21&lt;='Bonding Program'!$C$8,BW$3=IF('Bonding Program'!$P$21&lt;&gt;"",'Bonding Program'!$P$21,'Bonding Program'!$C$8)),'Bonding Program'!$Z$21,0)+IF(AND('Bonding Program'!$P$21&lt;&gt;"",BW$3='Bonding Program'!$P$21,BW$3&lt;='Bonding Program'!$C$8),N('Bonding Program'!$O$21),0)</f>
        <v>0</v>
      </c>
      <c r="BX162" s="19" t="n">
        <f aca="false">IF(AND('Bonding Program'!$S$21=1,'Bonding Program'!$H$21&gt;'Bonding Program'!$C$8,BX$3='Bonding Program'!$H$21),'Bonding Program'!$T$21-'Bonding Program'!$U$21-'Bonding Program'!$Z$21,0)-IF(AND('Bonding Program'!$S$21=1,'Bonding Program'!$H$21&lt;='Bonding Program'!$C$8,BX$3=IF('Bonding Program'!$P$21&lt;&gt;"",'Bonding Program'!$P$21,'Bonding Program'!$C$8)),'Bonding Program'!$Z$21,0)+IF(AND('Bonding Program'!$P$21&lt;&gt;"",BX$3='Bonding Program'!$P$21,BX$3&lt;='Bonding Program'!$C$8),N('Bonding Program'!$O$21),0)</f>
        <v>0</v>
      </c>
      <c r="BY162" s="19" t="n">
        <f aca="false">IF(AND('Bonding Program'!$S$21=1,'Bonding Program'!$H$21&gt;'Bonding Program'!$C$8,BY$3='Bonding Program'!$H$21),'Bonding Program'!$T$21-'Bonding Program'!$U$21-'Bonding Program'!$Z$21,0)-IF(AND('Bonding Program'!$S$21=1,'Bonding Program'!$H$21&lt;='Bonding Program'!$C$8,BY$3=IF('Bonding Program'!$P$21&lt;&gt;"",'Bonding Program'!$P$21,'Bonding Program'!$C$8)),'Bonding Program'!$Z$21,0)+IF(AND('Bonding Program'!$P$21&lt;&gt;"",BY$3='Bonding Program'!$P$21,BY$3&lt;='Bonding Program'!$C$8),N('Bonding Program'!$O$21),0)</f>
        <v>0</v>
      </c>
      <c r="BZ162" s="19" t="n">
        <f aca="false">IF(AND('Bonding Program'!$S$21=1,'Bonding Program'!$H$21&gt;'Bonding Program'!$C$8,BZ$3='Bonding Program'!$H$21),'Bonding Program'!$T$21-'Bonding Program'!$U$21-'Bonding Program'!$Z$21,0)-IF(AND('Bonding Program'!$S$21=1,'Bonding Program'!$H$21&lt;='Bonding Program'!$C$8,BZ$3=IF('Bonding Program'!$P$21&lt;&gt;"",'Bonding Program'!$P$21,'Bonding Program'!$C$8)),'Bonding Program'!$Z$21,0)+IF(AND('Bonding Program'!$P$21&lt;&gt;"",BZ$3='Bonding Program'!$P$21,BZ$3&lt;='Bonding Program'!$C$8),N('Bonding Program'!$O$21),0)</f>
        <v>0</v>
      </c>
      <c r="CA162" s="19" t="n">
        <f aca="false">IF(AND('Bonding Program'!$S$21=1,'Bonding Program'!$H$21&gt;'Bonding Program'!$C$8,CA$3='Bonding Program'!$H$21),'Bonding Program'!$T$21-'Bonding Program'!$U$21-'Bonding Program'!$Z$21,0)-IF(AND('Bonding Program'!$S$21=1,'Bonding Program'!$H$21&lt;='Bonding Program'!$C$8,CA$3=IF('Bonding Program'!$P$21&lt;&gt;"",'Bonding Program'!$P$21,'Bonding Program'!$C$8)),'Bonding Program'!$Z$21,0)+IF(AND('Bonding Program'!$P$21&lt;&gt;"",CA$3='Bonding Program'!$P$21,CA$3&lt;='Bonding Program'!$C$8),N('Bonding Program'!$O$21),0)</f>
        <v>0</v>
      </c>
      <c r="CB162" s="19" t="n">
        <f aca="false">IF(AND('Bonding Program'!$S$21=1,'Bonding Program'!$H$21&gt;'Bonding Program'!$C$8,CB$3='Bonding Program'!$H$21),'Bonding Program'!$T$21-'Bonding Program'!$U$21-'Bonding Program'!$Z$21,0)-IF(AND('Bonding Program'!$S$21=1,'Bonding Program'!$H$21&lt;='Bonding Program'!$C$8,CB$3=IF('Bonding Program'!$P$21&lt;&gt;"",'Bonding Program'!$P$21,'Bonding Program'!$C$8)),'Bonding Program'!$Z$21,0)+IF(AND('Bonding Program'!$P$21&lt;&gt;"",CB$3='Bonding Program'!$P$21,CB$3&lt;='Bonding Program'!$C$8),N('Bonding Program'!$O$21),0)</f>
        <v>0</v>
      </c>
      <c r="CC162" s="19" t="n">
        <f aca="false">IF(AND('Bonding Program'!$S$21=1,'Bonding Program'!$H$21&gt;'Bonding Program'!$C$8,CC$3='Bonding Program'!$H$21),'Bonding Program'!$T$21-'Bonding Program'!$U$21-'Bonding Program'!$Z$21,0)-IF(AND('Bonding Program'!$S$21=1,'Bonding Program'!$H$21&lt;='Bonding Program'!$C$8,CC$3=IF('Bonding Program'!$P$21&lt;&gt;"",'Bonding Program'!$P$21,'Bonding Program'!$C$8)),'Bonding Program'!$Z$21,0)+IF(AND('Bonding Program'!$P$21&lt;&gt;"",CC$3='Bonding Program'!$P$21,CC$3&lt;='Bonding Program'!$C$8),N('Bonding Program'!$O$21),0)</f>
        <v>0</v>
      </c>
      <c r="CD162" s="19" t="n">
        <f aca="false">IF(AND('Bonding Program'!$S$21=1,'Bonding Program'!$H$21&gt;'Bonding Program'!$C$8,CD$3='Bonding Program'!$H$21),'Bonding Program'!$T$21-'Bonding Program'!$U$21-'Bonding Program'!$Z$21,0)-IF(AND('Bonding Program'!$S$21=1,'Bonding Program'!$H$21&lt;='Bonding Program'!$C$8,CD$3=IF('Bonding Program'!$P$21&lt;&gt;"",'Bonding Program'!$P$21,'Bonding Program'!$C$8)),'Bonding Program'!$Z$21,0)+IF(AND('Bonding Program'!$P$21&lt;&gt;"",CD$3='Bonding Program'!$P$21,CD$3&lt;='Bonding Program'!$C$8),N('Bonding Program'!$O$21),0)</f>
        <v>0</v>
      </c>
      <c r="CE162" s="19" t="n">
        <f aca="false">IF(AND('Bonding Program'!$S$21=1,'Bonding Program'!$H$21&gt;'Bonding Program'!$C$8,CE$3='Bonding Program'!$H$21),'Bonding Program'!$T$21-'Bonding Program'!$U$21-'Bonding Program'!$Z$21,0)-IF(AND('Bonding Program'!$S$21=1,'Bonding Program'!$H$21&lt;='Bonding Program'!$C$8,CE$3=IF('Bonding Program'!$P$21&lt;&gt;"",'Bonding Program'!$P$21,'Bonding Program'!$C$8)),'Bonding Program'!$Z$21,0)+IF(AND('Bonding Program'!$P$21&lt;&gt;"",CE$3='Bonding Program'!$P$21,CE$3&lt;='Bonding Program'!$C$8),N('Bonding Program'!$O$21),0)</f>
        <v>0</v>
      </c>
      <c r="CF162" s="19" t="n">
        <f aca="false">IF(AND('Bonding Program'!$S$21=1,'Bonding Program'!$H$21&gt;'Bonding Program'!$C$8,CF$3='Bonding Program'!$H$21),'Bonding Program'!$T$21-'Bonding Program'!$U$21-'Bonding Program'!$Z$21,0)-IF(AND('Bonding Program'!$S$21=1,'Bonding Program'!$H$21&lt;='Bonding Program'!$C$8,CF$3=IF('Bonding Program'!$P$21&lt;&gt;"",'Bonding Program'!$P$21,'Bonding Program'!$C$8)),'Bonding Program'!$Z$21,0)+IF(AND('Bonding Program'!$P$21&lt;&gt;"",CF$3='Bonding Program'!$P$21,CF$3&lt;='Bonding Program'!$C$8),N('Bonding Program'!$O$21),0)</f>
        <v>0</v>
      </c>
      <c r="CG162" s="19" t="n">
        <f aca="false">IF(AND('Bonding Program'!$S$21=1,'Bonding Program'!$H$21&gt;'Bonding Program'!$C$8,CG$3='Bonding Program'!$H$21),'Bonding Program'!$T$21-'Bonding Program'!$U$21-'Bonding Program'!$Z$21,0)-IF(AND('Bonding Program'!$S$21=1,'Bonding Program'!$H$21&lt;='Bonding Program'!$C$8,CG$3=IF('Bonding Program'!$P$21&lt;&gt;"",'Bonding Program'!$P$21,'Bonding Program'!$C$8)),'Bonding Program'!$Z$21,0)+IF(AND('Bonding Program'!$P$21&lt;&gt;"",CG$3='Bonding Program'!$P$21,CG$3&lt;='Bonding Program'!$C$8),N('Bonding Program'!$O$21),0)</f>
        <v>0</v>
      </c>
      <c r="CH162" s="19" t="n">
        <f aca="false">IF(AND('Bonding Program'!$S$21=1,'Bonding Program'!$H$21&gt;'Bonding Program'!$C$8,CH$3='Bonding Program'!$H$21),'Bonding Program'!$T$21-'Bonding Program'!$U$21-'Bonding Program'!$Z$21,0)-IF(AND('Bonding Program'!$S$21=1,'Bonding Program'!$H$21&lt;='Bonding Program'!$C$8,CH$3=IF('Bonding Program'!$P$21&lt;&gt;"",'Bonding Program'!$P$21,'Bonding Program'!$C$8)),'Bonding Program'!$Z$21,0)+IF(AND('Bonding Program'!$P$21&lt;&gt;"",CH$3='Bonding Program'!$P$21,CH$3&lt;='Bonding Program'!$C$8),N('Bonding Program'!$O$21),0)</f>
        <v>0</v>
      </c>
      <c r="CI162" s="19" t="n">
        <f aca="false">IF(AND('Bonding Program'!$S$21=1,'Bonding Program'!$H$21&gt;'Bonding Program'!$C$8,CI$3='Bonding Program'!$H$21),'Bonding Program'!$T$21-'Bonding Program'!$U$21-'Bonding Program'!$Z$21,0)-IF(AND('Bonding Program'!$S$21=1,'Bonding Program'!$H$21&lt;='Bonding Program'!$C$8,CI$3=IF('Bonding Program'!$P$21&lt;&gt;"",'Bonding Program'!$P$21,'Bonding Program'!$C$8)),'Bonding Program'!$Z$21,0)+IF(AND('Bonding Program'!$P$21&lt;&gt;"",CI$3='Bonding Program'!$P$21,CI$3&lt;='Bonding Program'!$C$8),N('Bonding Program'!$O$21),0)</f>
        <v>0</v>
      </c>
      <c r="CJ162" s="19" t="n">
        <f aca="false">IF(AND('Bonding Program'!$S$21=1,'Bonding Program'!$H$21&gt;'Bonding Program'!$C$8,CJ$3='Bonding Program'!$H$21),'Bonding Program'!$T$21-'Bonding Program'!$U$21-'Bonding Program'!$Z$21,0)-IF(AND('Bonding Program'!$S$21=1,'Bonding Program'!$H$21&lt;='Bonding Program'!$C$8,CJ$3=IF('Bonding Program'!$P$21&lt;&gt;"",'Bonding Program'!$P$21,'Bonding Program'!$C$8)),'Bonding Program'!$Z$21,0)+IF(AND('Bonding Program'!$P$21&lt;&gt;"",CJ$3='Bonding Program'!$P$21,CJ$3&lt;='Bonding Program'!$C$8),N('Bonding Program'!$O$21),0)</f>
        <v>0</v>
      </c>
      <c r="CK162" s="19" t="n">
        <f aca="false">IF(AND('Bonding Program'!$S$21=1,'Bonding Program'!$H$21&gt;'Bonding Program'!$C$8,CK$3='Bonding Program'!$H$21),'Bonding Program'!$T$21-'Bonding Program'!$U$21-'Bonding Program'!$Z$21,0)-IF(AND('Bonding Program'!$S$21=1,'Bonding Program'!$H$21&lt;='Bonding Program'!$C$8,CK$3=IF('Bonding Program'!$P$21&lt;&gt;"",'Bonding Program'!$P$21,'Bonding Program'!$C$8)),'Bonding Program'!$Z$21,0)+IF(AND('Bonding Program'!$P$21&lt;&gt;"",CK$3='Bonding Program'!$P$21,CK$3&lt;='Bonding Program'!$C$8),N('Bonding Program'!$O$21),0)</f>
        <v>0</v>
      </c>
      <c r="CL162" s="19" t="n">
        <f aca="false">IF(AND('Bonding Program'!$S$21=1,'Bonding Program'!$H$21&gt;'Bonding Program'!$C$8,CL$3='Bonding Program'!$H$21),'Bonding Program'!$T$21-'Bonding Program'!$U$21-'Bonding Program'!$Z$21,0)-IF(AND('Bonding Program'!$S$21=1,'Bonding Program'!$H$21&lt;='Bonding Program'!$C$8,CL$3=IF('Bonding Program'!$P$21&lt;&gt;"",'Bonding Program'!$P$21,'Bonding Program'!$C$8)),'Bonding Program'!$Z$21,0)+IF(AND('Bonding Program'!$P$21&lt;&gt;"",CL$3='Bonding Program'!$P$21,CL$3&lt;='Bonding Program'!$C$8),N('Bonding Program'!$O$21),0)</f>
        <v>0</v>
      </c>
      <c r="CM162" s="19" t="n">
        <f aca="false">IF(AND('Bonding Program'!$S$21=1,'Bonding Program'!$H$21&gt;'Bonding Program'!$C$8,CM$3='Bonding Program'!$H$21),'Bonding Program'!$T$21-'Bonding Program'!$U$21-'Bonding Program'!$Z$21,0)-IF(AND('Bonding Program'!$S$21=1,'Bonding Program'!$H$21&lt;='Bonding Program'!$C$8,CM$3=IF('Bonding Program'!$P$21&lt;&gt;"",'Bonding Program'!$P$21,'Bonding Program'!$C$8)),'Bonding Program'!$Z$21,0)+IF(AND('Bonding Program'!$P$21&lt;&gt;"",CM$3='Bonding Program'!$P$21,CM$3&lt;='Bonding Program'!$C$8),N('Bonding Program'!$O$21),0)</f>
        <v>0</v>
      </c>
      <c r="CN162" s="19" t="n">
        <f aca="false">IF(AND('Bonding Program'!$S$21=1,'Bonding Program'!$H$21&gt;'Bonding Program'!$C$8,CN$3='Bonding Program'!$H$21),'Bonding Program'!$T$21-'Bonding Program'!$U$21-'Bonding Program'!$Z$21,0)-IF(AND('Bonding Program'!$S$21=1,'Bonding Program'!$H$21&lt;='Bonding Program'!$C$8,CN$3=IF('Bonding Program'!$P$21&lt;&gt;"",'Bonding Program'!$P$21,'Bonding Program'!$C$8)),'Bonding Program'!$Z$21,0)+IF(AND('Bonding Program'!$P$21&lt;&gt;"",CN$3='Bonding Program'!$P$21,CN$3&lt;='Bonding Program'!$C$8),N('Bonding Program'!$O$21),0)</f>
        <v>0</v>
      </c>
      <c r="CO162" s="19" t="n">
        <f aca="false">IF(AND('Bonding Program'!$S$21=1,'Bonding Program'!$H$21&gt;'Bonding Program'!$C$8,CO$3='Bonding Program'!$H$21),'Bonding Program'!$T$21-'Bonding Program'!$U$21-'Bonding Program'!$Z$21,0)-IF(AND('Bonding Program'!$S$21=1,'Bonding Program'!$H$21&lt;='Bonding Program'!$C$8,CO$3=IF('Bonding Program'!$P$21&lt;&gt;"",'Bonding Program'!$P$21,'Bonding Program'!$C$8)),'Bonding Program'!$Z$21,0)+IF(AND('Bonding Program'!$P$21&lt;&gt;"",CO$3='Bonding Program'!$P$21,CO$3&lt;='Bonding Program'!$C$8),N('Bonding Program'!$O$21),0)</f>
        <v>0</v>
      </c>
      <c r="CP162" s="19" t="n">
        <f aca="false">IF(AND('Bonding Program'!$S$21=1,'Bonding Program'!$H$21&gt;'Bonding Program'!$C$8,CP$3='Bonding Program'!$H$21),'Bonding Program'!$T$21-'Bonding Program'!$U$21-'Bonding Program'!$Z$21,0)-IF(AND('Bonding Program'!$S$21=1,'Bonding Program'!$H$21&lt;='Bonding Program'!$C$8,CP$3=IF('Bonding Program'!$P$21&lt;&gt;"",'Bonding Program'!$P$21,'Bonding Program'!$C$8)),'Bonding Program'!$Z$21,0)+IF(AND('Bonding Program'!$P$21&lt;&gt;"",CP$3='Bonding Program'!$P$21,CP$3&lt;='Bonding Program'!$C$8),N('Bonding Program'!$O$21),0)</f>
        <v>0</v>
      </c>
      <c r="CQ162" s="19" t="n">
        <f aca="false">IF(AND('Bonding Program'!$S$21=1,'Bonding Program'!$H$21&gt;'Bonding Program'!$C$8,CQ$3='Bonding Program'!$H$21),'Bonding Program'!$T$21-'Bonding Program'!$U$21-'Bonding Program'!$Z$21,0)-IF(AND('Bonding Program'!$S$21=1,'Bonding Program'!$H$21&lt;='Bonding Program'!$C$8,CQ$3=IF('Bonding Program'!$P$21&lt;&gt;"",'Bonding Program'!$P$21,'Bonding Program'!$C$8)),'Bonding Program'!$Z$21,0)+IF(AND('Bonding Program'!$P$21&lt;&gt;"",CQ$3='Bonding Program'!$P$21,CQ$3&lt;='Bonding Program'!$C$8),N('Bonding Program'!$O$21),0)</f>
        <v>0</v>
      </c>
      <c r="CR162" s="19" t="n">
        <f aca="false">IF(AND('Bonding Program'!$S$21=1,'Bonding Program'!$H$21&gt;'Bonding Program'!$C$8,CR$3='Bonding Program'!$H$21),'Bonding Program'!$T$21-'Bonding Program'!$U$21-'Bonding Program'!$Z$21,0)-IF(AND('Bonding Program'!$S$21=1,'Bonding Program'!$H$21&lt;='Bonding Program'!$C$8,CR$3=IF('Bonding Program'!$P$21&lt;&gt;"",'Bonding Program'!$P$21,'Bonding Program'!$C$8)),'Bonding Program'!$Z$21,0)+IF(AND('Bonding Program'!$P$21&lt;&gt;"",CR$3='Bonding Program'!$P$21,CR$3&lt;='Bonding Program'!$C$8),N('Bonding Program'!$O$21),0)</f>
        <v>0</v>
      </c>
      <c r="CS162" s="19" t="n">
        <f aca="false">IF(AND('Bonding Program'!$S$21=1,'Bonding Program'!$H$21&gt;'Bonding Program'!$C$8,CS$3='Bonding Program'!$H$21),'Bonding Program'!$T$21-'Bonding Program'!$U$21-'Bonding Program'!$Z$21,0)-IF(AND('Bonding Program'!$S$21=1,'Bonding Program'!$H$21&lt;='Bonding Program'!$C$8,CS$3=IF('Bonding Program'!$P$21&lt;&gt;"",'Bonding Program'!$P$21,'Bonding Program'!$C$8)),'Bonding Program'!$Z$21,0)+IF(AND('Bonding Program'!$P$21&lt;&gt;"",CS$3='Bonding Program'!$P$21,CS$3&lt;='Bonding Program'!$C$8),N('Bonding Program'!$O$21),0)</f>
        <v>0</v>
      </c>
      <c r="CT162" s="19" t="n">
        <f aca="false">IF(AND('Bonding Program'!$S$21=1,'Bonding Program'!$H$21&gt;'Bonding Program'!$C$8,CT$3='Bonding Program'!$H$21),'Bonding Program'!$T$21-'Bonding Program'!$U$21-'Bonding Program'!$Z$21,0)-IF(AND('Bonding Program'!$S$21=1,'Bonding Program'!$H$21&lt;='Bonding Program'!$C$8,CT$3=IF('Bonding Program'!$P$21&lt;&gt;"",'Bonding Program'!$P$21,'Bonding Program'!$C$8)),'Bonding Program'!$Z$21,0)+IF(AND('Bonding Program'!$P$21&lt;&gt;"",CT$3='Bonding Program'!$P$21,CT$3&lt;='Bonding Program'!$C$8),N('Bonding Program'!$O$21),0)</f>
        <v>0</v>
      </c>
      <c r="CU162" s="19" t="n">
        <f aca="false">IF(AND('Bonding Program'!$S$21=1,'Bonding Program'!$H$21&gt;'Bonding Program'!$C$8,CU$3='Bonding Program'!$H$21),'Bonding Program'!$T$21-'Bonding Program'!$U$21-'Bonding Program'!$Z$21,0)-IF(AND('Bonding Program'!$S$21=1,'Bonding Program'!$H$21&lt;='Bonding Program'!$C$8,CU$3=IF('Bonding Program'!$P$21&lt;&gt;"",'Bonding Program'!$P$21,'Bonding Program'!$C$8)),'Bonding Program'!$Z$21,0)+IF(AND('Bonding Program'!$P$21&lt;&gt;"",CU$3='Bonding Program'!$P$21,CU$3&lt;='Bonding Program'!$C$8),N('Bonding Program'!$O$21),0)</f>
        <v>0</v>
      </c>
      <c r="CV162" s="19" t="n">
        <f aca="false">IF(AND('Bonding Program'!$S$21=1,'Bonding Program'!$H$21&gt;'Bonding Program'!$C$8,CV$3='Bonding Program'!$H$21),'Bonding Program'!$T$21-'Bonding Program'!$U$21-'Bonding Program'!$Z$21,0)-IF(AND('Bonding Program'!$S$21=1,'Bonding Program'!$H$21&lt;='Bonding Program'!$C$8,CV$3=IF('Bonding Program'!$P$21&lt;&gt;"",'Bonding Program'!$P$21,'Bonding Program'!$C$8)),'Bonding Program'!$Z$21,0)+IF(AND('Bonding Program'!$P$21&lt;&gt;"",CV$3='Bonding Program'!$P$21,CV$3&lt;='Bonding Program'!$C$8),N('Bonding Program'!$O$21),0)</f>
        <v>0</v>
      </c>
      <c r="CW162" s="19" t="n">
        <f aca="false">IF(AND('Bonding Program'!$S$21=1,'Bonding Program'!$H$21&gt;'Bonding Program'!$C$8,CW$3='Bonding Program'!$H$21),'Bonding Program'!$T$21-'Bonding Program'!$U$21-'Bonding Program'!$Z$21,0)-IF(AND('Bonding Program'!$S$21=1,'Bonding Program'!$H$21&lt;='Bonding Program'!$C$8,CW$3=IF('Bonding Program'!$P$21&lt;&gt;"",'Bonding Program'!$P$21,'Bonding Program'!$C$8)),'Bonding Program'!$Z$21,0)+IF(AND('Bonding Program'!$P$21&lt;&gt;"",CW$3='Bonding Program'!$P$21,CW$3&lt;='Bonding Program'!$C$8),N('Bonding Program'!$O$21),0)</f>
        <v>0</v>
      </c>
      <c r="CX162" s="19" t="n">
        <f aca="false">IF(AND('Bonding Program'!$S$21=1,'Bonding Program'!$H$21&gt;'Bonding Program'!$C$8,CX$3='Bonding Program'!$H$21),'Bonding Program'!$T$21-'Bonding Program'!$U$21-'Bonding Program'!$Z$21,0)-IF(AND('Bonding Program'!$S$21=1,'Bonding Program'!$H$21&lt;='Bonding Program'!$C$8,CX$3=IF('Bonding Program'!$P$21&lt;&gt;"",'Bonding Program'!$P$21,'Bonding Program'!$C$8)),'Bonding Program'!$Z$21,0)+IF(AND('Bonding Program'!$P$21&lt;&gt;"",CX$3='Bonding Program'!$P$21,CX$3&lt;='Bonding Program'!$C$8),N('Bonding Program'!$O$21),0)</f>
        <v>0</v>
      </c>
      <c r="CY162" s="19" t="n">
        <f aca="false">IF(AND('Bonding Program'!$S$21=1,'Bonding Program'!$H$21&gt;'Bonding Program'!$C$8,CY$3='Bonding Program'!$H$21),'Bonding Program'!$T$21-'Bonding Program'!$U$21-'Bonding Program'!$Z$21,0)-IF(AND('Bonding Program'!$S$21=1,'Bonding Program'!$H$21&lt;='Bonding Program'!$C$8,CY$3=IF('Bonding Program'!$P$21&lt;&gt;"",'Bonding Program'!$P$21,'Bonding Program'!$C$8)),'Bonding Program'!$Z$21,0)+IF(AND('Bonding Program'!$P$21&lt;&gt;"",CY$3='Bonding Program'!$P$21,CY$3&lt;='Bonding Program'!$C$8),N('Bonding Program'!$O$21),0)</f>
        <v>0</v>
      </c>
      <c r="CZ162" s="19" t="n">
        <f aca="false">IF(AND('Bonding Program'!$S$21=1,'Bonding Program'!$H$21&gt;'Bonding Program'!$C$8,CZ$3='Bonding Program'!$H$21),'Bonding Program'!$T$21-'Bonding Program'!$U$21-'Bonding Program'!$Z$21,0)-IF(AND('Bonding Program'!$S$21=1,'Bonding Program'!$H$21&lt;='Bonding Program'!$C$8,CZ$3=IF('Bonding Program'!$P$21&lt;&gt;"",'Bonding Program'!$P$21,'Bonding Program'!$C$8)),'Bonding Program'!$Z$21,0)+IF(AND('Bonding Program'!$P$21&lt;&gt;"",CZ$3='Bonding Program'!$P$21,CZ$3&lt;='Bonding Program'!$C$8),N('Bonding Program'!$O$21),0)</f>
        <v>0</v>
      </c>
      <c r="DA162" s="19" t="n">
        <f aca="false">IF(AND('Bonding Program'!$S$21=1,'Bonding Program'!$H$21&gt;'Bonding Program'!$C$8,DA$3='Bonding Program'!$H$21),'Bonding Program'!$T$21-'Bonding Program'!$U$21-'Bonding Program'!$Z$21,0)-IF(AND('Bonding Program'!$S$21=1,'Bonding Program'!$H$21&lt;='Bonding Program'!$C$8,DA$3=IF('Bonding Program'!$P$21&lt;&gt;"",'Bonding Program'!$P$21,'Bonding Program'!$C$8)),'Bonding Program'!$Z$21,0)+IF(AND('Bonding Program'!$P$21&lt;&gt;"",DA$3='Bonding Program'!$P$21,DA$3&lt;='Bonding Program'!$C$8),N('Bonding Program'!$O$21),0)</f>
        <v>0</v>
      </c>
      <c r="DB162" s="19" t="n">
        <f aca="false">IF(AND('Bonding Program'!$S$21=1,'Bonding Program'!$H$21&gt;'Bonding Program'!$C$8,DB$3='Bonding Program'!$H$21),'Bonding Program'!$T$21-'Bonding Program'!$U$21-'Bonding Program'!$Z$21,0)-IF(AND('Bonding Program'!$S$21=1,'Bonding Program'!$H$21&lt;='Bonding Program'!$C$8,DB$3=IF('Bonding Program'!$P$21&lt;&gt;"",'Bonding Program'!$P$21,'Bonding Program'!$C$8)),'Bonding Program'!$Z$21,0)+IF(AND('Bonding Program'!$P$21&lt;&gt;"",DB$3='Bonding Program'!$P$21,DB$3&lt;='Bonding Program'!$C$8),N('Bonding Program'!$O$21),0)</f>
        <v>0</v>
      </c>
      <c r="DC162" s="19" t="n">
        <f aca="false">IF(AND('Bonding Program'!$S$21=1,'Bonding Program'!$H$21&gt;'Bonding Program'!$C$8,DC$3='Bonding Program'!$H$21),'Bonding Program'!$T$21-'Bonding Program'!$U$21-'Bonding Program'!$Z$21,0)-IF(AND('Bonding Program'!$S$21=1,'Bonding Program'!$H$21&lt;='Bonding Program'!$C$8,DC$3=IF('Bonding Program'!$P$21&lt;&gt;"",'Bonding Program'!$P$21,'Bonding Program'!$C$8)),'Bonding Program'!$Z$21,0)+IF(AND('Bonding Program'!$P$21&lt;&gt;"",DC$3='Bonding Program'!$P$21,DC$3&lt;='Bonding Program'!$C$8),N('Bonding Program'!$O$21),0)</f>
        <v>0</v>
      </c>
      <c r="DD162" s="19" t="n">
        <f aca="false">IF(AND('Bonding Program'!$S$21=1,'Bonding Program'!$H$21&gt;'Bonding Program'!$C$8,DD$3='Bonding Program'!$H$21),'Bonding Program'!$T$21-'Bonding Program'!$U$21-'Bonding Program'!$Z$21,0)-IF(AND('Bonding Program'!$S$21=1,'Bonding Program'!$H$21&lt;='Bonding Program'!$C$8,DD$3=IF('Bonding Program'!$P$21&lt;&gt;"",'Bonding Program'!$P$21,'Bonding Program'!$C$8)),'Bonding Program'!$Z$21,0)+IF(AND('Bonding Program'!$P$21&lt;&gt;"",DD$3='Bonding Program'!$P$21,DD$3&lt;='Bonding Program'!$C$8),N('Bonding Program'!$O$21),0)</f>
        <v>0</v>
      </c>
      <c r="DE162" s="19" t="n">
        <f aca="false">IF(AND('Bonding Program'!$S$21=1,'Bonding Program'!$H$21&gt;'Bonding Program'!$C$8,DE$3='Bonding Program'!$H$21),'Bonding Program'!$T$21-'Bonding Program'!$U$21-'Bonding Program'!$Z$21,0)-IF(AND('Bonding Program'!$S$21=1,'Bonding Program'!$H$21&lt;='Bonding Program'!$C$8,DE$3=IF('Bonding Program'!$P$21&lt;&gt;"",'Bonding Program'!$P$21,'Bonding Program'!$C$8)),'Bonding Program'!$Z$21,0)+IF(AND('Bonding Program'!$P$21&lt;&gt;"",DE$3='Bonding Program'!$P$21,DE$3&lt;='Bonding Program'!$C$8),N('Bonding Program'!$O$21),0)</f>
        <v>0</v>
      </c>
    </row>
    <row r="163" customFormat="false" ht="15" hidden="false" customHeight="true" outlineLevel="1" collapsed="false">
      <c r="A163" s="28" t="s">
        <v>18</v>
      </c>
      <c r="B163" s="19" t="n">
        <f aca="false">IF(AND('Bonding Program'!$S$22=1,'Bonding Program'!$H$22&gt;'Bonding Program'!$C$8,B$3='Bonding Program'!$H$22),'Bonding Program'!$T$22-'Bonding Program'!$U$22-'Bonding Program'!$Z$22,0)-IF(AND('Bonding Program'!$S$22=1,'Bonding Program'!$H$22&lt;='Bonding Program'!$C$8,B$3=IF('Bonding Program'!$P$22&lt;&gt;"",'Bonding Program'!$P$22,'Bonding Program'!$C$8)),'Bonding Program'!$Z$22,0)+IF(AND('Bonding Program'!$P$22&lt;&gt;"",B$3='Bonding Program'!$P$22,B$3&lt;='Bonding Program'!$C$8),N('Bonding Program'!$O$22),0)</f>
        <v>0</v>
      </c>
      <c r="C163" s="19" t="n">
        <f aca="false">IF(AND('Bonding Program'!$S$22=1,'Bonding Program'!$H$22&gt;'Bonding Program'!$C$8,C$3='Bonding Program'!$H$22),'Bonding Program'!$T$22-'Bonding Program'!$U$22-'Bonding Program'!$Z$22,0)-IF(AND('Bonding Program'!$S$22=1,'Bonding Program'!$H$22&lt;='Bonding Program'!$C$8,C$3=IF('Bonding Program'!$P$22&lt;&gt;"",'Bonding Program'!$P$22,'Bonding Program'!$C$8)),'Bonding Program'!$Z$22,0)+IF(AND('Bonding Program'!$P$22&lt;&gt;"",C$3='Bonding Program'!$P$22,C$3&lt;='Bonding Program'!$C$8),N('Bonding Program'!$O$22),0)</f>
        <v>0</v>
      </c>
      <c r="D163" s="19" t="n">
        <f aca="false">IF(AND('Bonding Program'!$S$22=1,'Bonding Program'!$H$22&gt;'Bonding Program'!$C$8,D$3='Bonding Program'!$H$22),'Bonding Program'!$T$22-'Bonding Program'!$U$22-'Bonding Program'!$Z$22,0)-IF(AND('Bonding Program'!$S$22=1,'Bonding Program'!$H$22&lt;='Bonding Program'!$C$8,D$3=IF('Bonding Program'!$P$22&lt;&gt;"",'Bonding Program'!$P$22,'Bonding Program'!$C$8)),'Bonding Program'!$Z$22,0)+IF(AND('Bonding Program'!$P$22&lt;&gt;"",D$3='Bonding Program'!$P$22,D$3&lt;='Bonding Program'!$C$8),N('Bonding Program'!$O$22),0)</f>
        <v>0</v>
      </c>
      <c r="E163" s="19" t="n">
        <f aca="false">IF(AND('Bonding Program'!$S$22=1,'Bonding Program'!$H$22&gt;'Bonding Program'!$C$8,E$3='Bonding Program'!$H$22),'Bonding Program'!$T$22-'Bonding Program'!$U$22-'Bonding Program'!$Z$22,0)-IF(AND('Bonding Program'!$S$22=1,'Bonding Program'!$H$22&lt;='Bonding Program'!$C$8,E$3=IF('Bonding Program'!$P$22&lt;&gt;"",'Bonding Program'!$P$22,'Bonding Program'!$C$8)),'Bonding Program'!$Z$22,0)+IF(AND('Bonding Program'!$P$22&lt;&gt;"",E$3='Bonding Program'!$P$22,E$3&lt;='Bonding Program'!$C$8),N('Bonding Program'!$O$22),0)</f>
        <v>0</v>
      </c>
      <c r="F163" s="19" t="n">
        <f aca="false">IF(AND('Bonding Program'!$S$22=1,'Bonding Program'!$H$22&gt;'Bonding Program'!$C$8,F$3='Bonding Program'!$H$22),'Bonding Program'!$T$22-'Bonding Program'!$U$22-'Bonding Program'!$Z$22,0)-IF(AND('Bonding Program'!$S$22=1,'Bonding Program'!$H$22&lt;='Bonding Program'!$C$8,F$3=IF('Bonding Program'!$P$22&lt;&gt;"",'Bonding Program'!$P$22,'Bonding Program'!$C$8)),'Bonding Program'!$Z$22,0)+IF(AND('Bonding Program'!$P$22&lt;&gt;"",F$3='Bonding Program'!$P$22,F$3&lt;='Bonding Program'!$C$8),N('Bonding Program'!$O$22),0)</f>
        <v>0</v>
      </c>
      <c r="G163" s="19" t="n">
        <f aca="false">IF(AND('Bonding Program'!$S$22=1,'Bonding Program'!$H$22&gt;'Bonding Program'!$C$8,G$3='Bonding Program'!$H$22),'Bonding Program'!$T$22-'Bonding Program'!$U$22-'Bonding Program'!$Z$22,0)-IF(AND('Bonding Program'!$S$22=1,'Bonding Program'!$H$22&lt;='Bonding Program'!$C$8,G$3=IF('Bonding Program'!$P$22&lt;&gt;"",'Bonding Program'!$P$22,'Bonding Program'!$C$8)),'Bonding Program'!$Z$22,0)+IF(AND('Bonding Program'!$P$22&lt;&gt;"",G$3='Bonding Program'!$P$22,G$3&lt;='Bonding Program'!$C$8),N('Bonding Program'!$O$22),0)</f>
        <v>0</v>
      </c>
      <c r="H163" s="19" t="n">
        <f aca="false">IF(AND('Bonding Program'!$S$22=1,'Bonding Program'!$H$22&gt;'Bonding Program'!$C$8,H$3='Bonding Program'!$H$22),'Bonding Program'!$T$22-'Bonding Program'!$U$22-'Bonding Program'!$Z$22,0)-IF(AND('Bonding Program'!$S$22=1,'Bonding Program'!$H$22&lt;='Bonding Program'!$C$8,H$3=IF('Bonding Program'!$P$22&lt;&gt;"",'Bonding Program'!$P$22,'Bonding Program'!$C$8)),'Bonding Program'!$Z$22,0)+IF(AND('Bonding Program'!$P$22&lt;&gt;"",H$3='Bonding Program'!$P$22,H$3&lt;='Bonding Program'!$C$8),N('Bonding Program'!$O$22),0)</f>
        <v>0</v>
      </c>
      <c r="I163" s="19" t="n">
        <f aca="false">IF(AND('Bonding Program'!$S$22=1,'Bonding Program'!$H$22&gt;'Bonding Program'!$C$8,I$3='Bonding Program'!$H$22),'Bonding Program'!$T$22-'Bonding Program'!$U$22-'Bonding Program'!$Z$22,0)-IF(AND('Bonding Program'!$S$22=1,'Bonding Program'!$H$22&lt;='Bonding Program'!$C$8,I$3=IF('Bonding Program'!$P$22&lt;&gt;"",'Bonding Program'!$P$22,'Bonding Program'!$C$8)),'Bonding Program'!$Z$22,0)+IF(AND('Bonding Program'!$P$22&lt;&gt;"",I$3='Bonding Program'!$P$22,I$3&lt;='Bonding Program'!$C$8),N('Bonding Program'!$O$22),0)</f>
        <v>0</v>
      </c>
      <c r="J163" s="19" t="n">
        <f aca="false">IF(AND('Bonding Program'!$S$22=1,'Bonding Program'!$H$22&gt;'Bonding Program'!$C$8,J$3='Bonding Program'!$H$22),'Bonding Program'!$T$22-'Bonding Program'!$U$22-'Bonding Program'!$Z$22,0)-IF(AND('Bonding Program'!$S$22=1,'Bonding Program'!$H$22&lt;='Bonding Program'!$C$8,J$3=IF('Bonding Program'!$P$22&lt;&gt;"",'Bonding Program'!$P$22,'Bonding Program'!$C$8)),'Bonding Program'!$Z$22,0)+IF(AND('Bonding Program'!$P$22&lt;&gt;"",J$3='Bonding Program'!$P$22,J$3&lt;='Bonding Program'!$C$8),N('Bonding Program'!$O$22),0)</f>
        <v>0</v>
      </c>
      <c r="K163" s="19" t="n">
        <f aca="false">IF(AND('Bonding Program'!$S$22=1,'Bonding Program'!$H$22&gt;'Bonding Program'!$C$8,K$3='Bonding Program'!$H$22),'Bonding Program'!$T$22-'Bonding Program'!$U$22-'Bonding Program'!$Z$22,0)-IF(AND('Bonding Program'!$S$22=1,'Bonding Program'!$H$22&lt;='Bonding Program'!$C$8,K$3=IF('Bonding Program'!$P$22&lt;&gt;"",'Bonding Program'!$P$22,'Bonding Program'!$C$8)),'Bonding Program'!$Z$22,0)+IF(AND('Bonding Program'!$P$22&lt;&gt;"",K$3='Bonding Program'!$P$22,K$3&lt;='Bonding Program'!$C$8),N('Bonding Program'!$O$22),0)</f>
        <v>0</v>
      </c>
      <c r="L163" s="19" t="n">
        <f aca="false">IF(AND('Bonding Program'!$S$22=1,'Bonding Program'!$H$22&gt;'Bonding Program'!$C$8,L$3='Bonding Program'!$H$22),'Bonding Program'!$T$22-'Bonding Program'!$U$22-'Bonding Program'!$Z$22,0)-IF(AND('Bonding Program'!$S$22=1,'Bonding Program'!$H$22&lt;='Bonding Program'!$C$8,L$3=IF('Bonding Program'!$P$22&lt;&gt;"",'Bonding Program'!$P$22,'Bonding Program'!$C$8)),'Bonding Program'!$Z$22,0)+IF(AND('Bonding Program'!$P$22&lt;&gt;"",L$3='Bonding Program'!$P$22,L$3&lt;='Bonding Program'!$C$8),N('Bonding Program'!$O$22),0)</f>
        <v>0</v>
      </c>
      <c r="M163" s="19" t="n">
        <f aca="false">IF(AND('Bonding Program'!$S$22=1,'Bonding Program'!$H$22&gt;'Bonding Program'!$C$8,M$3='Bonding Program'!$H$22),'Bonding Program'!$T$22-'Bonding Program'!$U$22-'Bonding Program'!$Z$22,0)-IF(AND('Bonding Program'!$S$22=1,'Bonding Program'!$H$22&lt;='Bonding Program'!$C$8,M$3=IF('Bonding Program'!$P$22&lt;&gt;"",'Bonding Program'!$P$22,'Bonding Program'!$C$8)),'Bonding Program'!$Z$22,0)+IF(AND('Bonding Program'!$P$22&lt;&gt;"",M$3='Bonding Program'!$P$22,M$3&lt;='Bonding Program'!$C$8),N('Bonding Program'!$O$22),0)</f>
        <v>0</v>
      </c>
      <c r="N163" s="19" t="n">
        <f aca="false">IF(AND('Bonding Program'!$S$22=1,'Bonding Program'!$H$22&gt;'Bonding Program'!$C$8,N$3='Bonding Program'!$H$22),'Bonding Program'!$T$22-'Bonding Program'!$U$22-'Bonding Program'!$Z$22,0)-IF(AND('Bonding Program'!$S$22=1,'Bonding Program'!$H$22&lt;='Bonding Program'!$C$8,N$3=IF('Bonding Program'!$P$22&lt;&gt;"",'Bonding Program'!$P$22,'Bonding Program'!$C$8)),'Bonding Program'!$Z$22,0)+IF(AND('Bonding Program'!$P$22&lt;&gt;"",N$3='Bonding Program'!$P$22,N$3&lt;='Bonding Program'!$C$8),N('Bonding Program'!$O$22),0)</f>
        <v>0</v>
      </c>
      <c r="O163" s="19" t="n">
        <f aca="false">IF(AND('Bonding Program'!$S$22=1,'Bonding Program'!$H$22&gt;'Bonding Program'!$C$8,O$3='Bonding Program'!$H$22),'Bonding Program'!$T$22-'Bonding Program'!$U$22-'Bonding Program'!$Z$22,0)-IF(AND('Bonding Program'!$S$22=1,'Bonding Program'!$H$22&lt;='Bonding Program'!$C$8,O$3=IF('Bonding Program'!$P$22&lt;&gt;"",'Bonding Program'!$P$22,'Bonding Program'!$C$8)),'Bonding Program'!$Z$22,0)+IF(AND('Bonding Program'!$P$22&lt;&gt;"",O$3='Bonding Program'!$P$22,O$3&lt;='Bonding Program'!$C$8),N('Bonding Program'!$O$22),0)</f>
        <v>0</v>
      </c>
      <c r="P163" s="19" t="n">
        <f aca="false">IF(AND('Bonding Program'!$S$22=1,'Bonding Program'!$H$22&gt;'Bonding Program'!$C$8,P$3='Bonding Program'!$H$22),'Bonding Program'!$T$22-'Bonding Program'!$U$22-'Bonding Program'!$Z$22,0)-IF(AND('Bonding Program'!$S$22=1,'Bonding Program'!$H$22&lt;='Bonding Program'!$C$8,P$3=IF('Bonding Program'!$P$22&lt;&gt;"",'Bonding Program'!$P$22,'Bonding Program'!$C$8)),'Bonding Program'!$Z$22,0)+IF(AND('Bonding Program'!$P$22&lt;&gt;"",P$3='Bonding Program'!$P$22,P$3&lt;='Bonding Program'!$C$8),N('Bonding Program'!$O$22),0)</f>
        <v>0</v>
      </c>
      <c r="Q163" s="19" t="n">
        <f aca="false">IF(AND('Bonding Program'!$S$22=1,'Bonding Program'!$H$22&gt;'Bonding Program'!$C$8,Q$3='Bonding Program'!$H$22),'Bonding Program'!$T$22-'Bonding Program'!$U$22-'Bonding Program'!$Z$22,0)-IF(AND('Bonding Program'!$S$22=1,'Bonding Program'!$H$22&lt;='Bonding Program'!$C$8,Q$3=IF('Bonding Program'!$P$22&lt;&gt;"",'Bonding Program'!$P$22,'Bonding Program'!$C$8)),'Bonding Program'!$Z$22,0)+IF(AND('Bonding Program'!$P$22&lt;&gt;"",Q$3='Bonding Program'!$P$22,Q$3&lt;='Bonding Program'!$C$8),N('Bonding Program'!$O$22),0)</f>
        <v>-802202.980665025</v>
      </c>
      <c r="R163" s="19" t="n">
        <f aca="false">IF(AND('Bonding Program'!$S$22=1,'Bonding Program'!$H$22&gt;'Bonding Program'!$C$8,R$3='Bonding Program'!$H$22),'Bonding Program'!$T$22-'Bonding Program'!$U$22-'Bonding Program'!$Z$22,0)-IF(AND('Bonding Program'!$S$22=1,'Bonding Program'!$H$22&lt;='Bonding Program'!$C$8,R$3=IF('Bonding Program'!$P$22&lt;&gt;"",'Bonding Program'!$P$22,'Bonding Program'!$C$8)),'Bonding Program'!$Z$22,0)+IF(AND('Bonding Program'!$P$22&lt;&gt;"",R$3='Bonding Program'!$P$22,R$3&lt;='Bonding Program'!$C$8),N('Bonding Program'!$O$22),0)</f>
        <v>0</v>
      </c>
      <c r="S163" s="19" t="n">
        <f aca="false">IF(AND('Bonding Program'!$S$22=1,'Bonding Program'!$H$22&gt;'Bonding Program'!$C$8,S$3='Bonding Program'!$H$22),'Bonding Program'!$T$22-'Bonding Program'!$U$22-'Bonding Program'!$Z$22,0)-IF(AND('Bonding Program'!$S$22=1,'Bonding Program'!$H$22&lt;='Bonding Program'!$C$8,S$3=IF('Bonding Program'!$P$22&lt;&gt;"",'Bonding Program'!$P$22,'Bonding Program'!$C$8)),'Bonding Program'!$Z$22,0)+IF(AND('Bonding Program'!$P$22&lt;&gt;"",S$3='Bonding Program'!$P$22,S$3&lt;='Bonding Program'!$C$8),N('Bonding Program'!$O$22),0)</f>
        <v>0</v>
      </c>
      <c r="T163" s="19" t="n">
        <f aca="false">IF(AND('Bonding Program'!$S$22=1,'Bonding Program'!$H$22&gt;'Bonding Program'!$C$8,T$3='Bonding Program'!$H$22),'Bonding Program'!$T$22-'Bonding Program'!$U$22-'Bonding Program'!$Z$22,0)-IF(AND('Bonding Program'!$S$22=1,'Bonding Program'!$H$22&lt;='Bonding Program'!$C$8,T$3=IF('Bonding Program'!$P$22&lt;&gt;"",'Bonding Program'!$P$22,'Bonding Program'!$C$8)),'Bonding Program'!$Z$22,0)+IF(AND('Bonding Program'!$P$22&lt;&gt;"",T$3='Bonding Program'!$P$22,T$3&lt;='Bonding Program'!$C$8),N('Bonding Program'!$O$22),0)</f>
        <v>0</v>
      </c>
      <c r="U163" s="19" t="n">
        <f aca="false">IF(AND('Bonding Program'!$S$22=1,'Bonding Program'!$H$22&gt;'Bonding Program'!$C$8,U$3='Bonding Program'!$H$22),'Bonding Program'!$T$22-'Bonding Program'!$U$22-'Bonding Program'!$Z$22,0)-IF(AND('Bonding Program'!$S$22=1,'Bonding Program'!$H$22&lt;='Bonding Program'!$C$8,U$3=IF('Bonding Program'!$P$22&lt;&gt;"",'Bonding Program'!$P$22,'Bonding Program'!$C$8)),'Bonding Program'!$Z$22,0)+IF(AND('Bonding Program'!$P$22&lt;&gt;"",U$3='Bonding Program'!$P$22,U$3&lt;='Bonding Program'!$C$8),N('Bonding Program'!$O$22),0)</f>
        <v>0</v>
      </c>
      <c r="V163" s="19" t="n">
        <f aca="false">IF(AND('Bonding Program'!$S$22=1,'Bonding Program'!$H$22&gt;'Bonding Program'!$C$8,V$3='Bonding Program'!$H$22),'Bonding Program'!$T$22-'Bonding Program'!$U$22-'Bonding Program'!$Z$22,0)-IF(AND('Bonding Program'!$S$22=1,'Bonding Program'!$H$22&lt;='Bonding Program'!$C$8,V$3=IF('Bonding Program'!$P$22&lt;&gt;"",'Bonding Program'!$P$22,'Bonding Program'!$C$8)),'Bonding Program'!$Z$22,0)+IF(AND('Bonding Program'!$P$22&lt;&gt;"",V$3='Bonding Program'!$P$22,V$3&lt;='Bonding Program'!$C$8),N('Bonding Program'!$O$22),0)</f>
        <v>0</v>
      </c>
      <c r="W163" s="19" t="n">
        <f aca="false">IF(AND('Bonding Program'!$S$22=1,'Bonding Program'!$H$22&gt;'Bonding Program'!$C$8,W$3='Bonding Program'!$H$22),'Bonding Program'!$T$22-'Bonding Program'!$U$22-'Bonding Program'!$Z$22,0)-IF(AND('Bonding Program'!$S$22=1,'Bonding Program'!$H$22&lt;='Bonding Program'!$C$8,W$3=IF('Bonding Program'!$P$22&lt;&gt;"",'Bonding Program'!$P$22,'Bonding Program'!$C$8)),'Bonding Program'!$Z$22,0)+IF(AND('Bonding Program'!$P$22&lt;&gt;"",W$3='Bonding Program'!$P$22,W$3&lt;='Bonding Program'!$C$8),N('Bonding Program'!$O$22),0)</f>
        <v>0</v>
      </c>
      <c r="X163" s="19" t="n">
        <f aca="false">IF(AND('Bonding Program'!$S$22=1,'Bonding Program'!$H$22&gt;'Bonding Program'!$C$8,X$3='Bonding Program'!$H$22),'Bonding Program'!$T$22-'Bonding Program'!$U$22-'Bonding Program'!$Z$22,0)-IF(AND('Bonding Program'!$S$22=1,'Bonding Program'!$H$22&lt;='Bonding Program'!$C$8,X$3=IF('Bonding Program'!$P$22&lt;&gt;"",'Bonding Program'!$P$22,'Bonding Program'!$C$8)),'Bonding Program'!$Z$22,0)+IF(AND('Bonding Program'!$P$22&lt;&gt;"",X$3='Bonding Program'!$P$22,X$3&lt;='Bonding Program'!$C$8),N('Bonding Program'!$O$22),0)</f>
        <v>0</v>
      </c>
      <c r="Y163" s="19" t="n">
        <f aca="false">IF(AND('Bonding Program'!$S$22=1,'Bonding Program'!$H$22&gt;'Bonding Program'!$C$8,Y$3='Bonding Program'!$H$22),'Bonding Program'!$T$22-'Bonding Program'!$U$22-'Bonding Program'!$Z$22,0)-IF(AND('Bonding Program'!$S$22=1,'Bonding Program'!$H$22&lt;='Bonding Program'!$C$8,Y$3=IF('Bonding Program'!$P$22&lt;&gt;"",'Bonding Program'!$P$22,'Bonding Program'!$C$8)),'Bonding Program'!$Z$22,0)+IF(AND('Bonding Program'!$P$22&lt;&gt;"",Y$3='Bonding Program'!$P$22,Y$3&lt;='Bonding Program'!$C$8),N('Bonding Program'!$O$22),0)</f>
        <v>0</v>
      </c>
      <c r="Z163" s="19" t="n">
        <f aca="false">IF(AND('Bonding Program'!$S$22=1,'Bonding Program'!$H$22&gt;'Bonding Program'!$C$8,Z$3='Bonding Program'!$H$22),'Bonding Program'!$T$22-'Bonding Program'!$U$22-'Bonding Program'!$Z$22,0)-IF(AND('Bonding Program'!$S$22=1,'Bonding Program'!$H$22&lt;='Bonding Program'!$C$8,Z$3=IF('Bonding Program'!$P$22&lt;&gt;"",'Bonding Program'!$P$22,'Bonding Program'!$C$8)),'Bonding Program'!$Z$22,0)+IF(AND('Bonding Program'!$P$22&lt;&gt;"",Z$3='Bonding Program'!$P$22,Z$3&lt;='Bonding Program'!$C$8),N('Bonding Program'!$O$22),0)</f>
        <v>0</v>
      </c>
      <c r="AA163" s="19" t="n">
        <f aca="false">IF(AND('Bonding Program'!$S$22=1,'Bonding Program'!$H$22&gt;'Bonding Program'!$C$8,AA$3='Bonding Program'!$H$22),'Bonding Program'!$T$22-'Bonding Program'!$U$22-'Bonding Program'!$Z$22,0)-IF(AND('Bonding Program'!$S$22=1,'Bonding Program'!$H$22&lt;='Bonding Program'!$C$8,AA$3=IF('Bonding Program'!$P$22&lt;&gt;"",'Bonding Program'!$P$22,'Bonding Program'!$C$8)),'Bonding Program'!$Z$22,0)+IF(AND('Bonding Program'!$P$22&lt;&gt;"",AA$3='Bonding Program'!$P$22,AA$3&lt;='Bonding Program'!$C$8),N('Bonding Program'!$O$22),0)</f>
        <v>0</v>
      </c>
      <c r="AB163" s="19" t="n">
        <f aca="false">IF(AND('Bonding Program'!$S$22=1,'Bonding Program'!$H$22&gt;'Bonding Program'!$C$8,AB$3='Bonding Program'!$H$22),'Bonding Program'!$T$22-'Bonding Program'!$U$22-'Bonding Program'!$Z$22,0)-IF(AND('Bonding Program'!$S$22=1,'Bonding Program'!$H$22&lt;='Bonding Program'!$C$8,AB$3=IF('Bonding Program'!$P$22&lt;&gt;"",'Bonding Program'!$P$22,'Bonding Program'!$C$8)),'Bonding Program'!$Z$22,0)+IF(AND('Bonding Program'!$P$22&lt;&gt;"",AB$3='Bonding Program'!$P$22,AB$3&lt;='Bonding Program'!$C$8),N('Bonding Program'!$O$22),0)</f>
        <v>0</v>
      </c>
      <c r="AC163" s="19" t="n">
        <f aca="false">IF(AND('Bonding Program'!$S$22=1,'Bonding Program'!$H$22&gt;'Bonding Program'!$C$8,AC$3='Bonding Program'!$H$22),'Bonding Program'!$T$22-'Bonding Program'!$U$22-'Bonding Program'!$Z$22,0)-IF(AND('Bonding Program'!$S$22=1,'Bonding Program'!$H$22&lt;='Bonding Program'!$C$8,AC$3=IF('Bonding Program'!$P$22&lt;&gt;"",'Bonding Program'!$P$22,'Bonding Program'!$C$8)),'Bonding Program'!$Z$22,0)+IF(AND('Bonding Program'!$P$22&lt;&gt;"",AC$3='Bonding Program'!$P$22,AC$3&lt;='Bonding Program'!$C$8),N('Bonding Program'!$O$22),0)</f>
        <v>0</v>
      </c>
      <c r="AD163" s="19" t="n">
        <f aca="false">IF(AND('Bonding Program'!$S$22=1,'Bonding Program'!$H$22&gt;'Bonding Program'!$C$8,AD$3='Bonding Program'!$H$22),'Bonding Program'!$T$22-'Bonding Program'!$U$22-'Bonding Program'!$Z$22,0)-IF(AND('Bonding Program'!$S$22=1,'Bonding Program'!$H$22&lt;='Bonding Program'!$C$8,AD$3=IF('Bonding Program'!$P$22&lt;&gt;"",'Bonding Program'!$P$22,'Bonding Program'!$C$8)),'Bonding Program'!$Z$22,0)+IF(AND('Bonding Program'!$P$22&lt;&gt;"",AD$3='Bonding Program'!$P$22,AD$3&lt;='Bonding Program'!$C$8),N('Bonding Program'!$O$22),0)</f>
        <v>0</v>
      </c>
      <c r="AE163" s="19" t="n">
        <f aca="false">IF(AND('Bonding Program'!$S$22=1,'Bonding Program'!$H$22&gt;'Bonding Program'!$C$8,AE$3='Bonding Program'!$H$22),'Bonding Program'!$T$22-'Bonding Program'!$U$22-'Bonding Program'!$Z$22,0)-IF(AND('Bonding Program'!$S$22=1,'Bonding Program'!$H$22&lt;='Bonding Program'!$C$8,AE$3=IF('Bonding Program'!$P$22&lt;&gt;"",'Bonding Program'!$P$22,'Bonding Program'!$C$8)),'Bonding Program'!$Z$22,0)+IF(AND('Bonding Program'!$P$22&lt;&gt;"",AE$3='Bonding Program'!$P$22,AE$3&lt;='Bonding Program'!$C$8),N('Bonding Program'!$O$22),0)</f>
        <v>0</v>
      </c>
      <c r="AF163" s="19" t="n">
        <f aca="false">IF(AND('Bonding Program'!$S$22=1,'Bonding Program'!$H$22&gt;'Bonding Program'!$C$8,AF$3='Bonding Program'!$H$22),'Bonding Program'!$T$22-'Bonding Program'!$U$22-'Bonding Program'!$Z$22,0)-IF(AND('Bonding Program'!$S$22=1,'Bonding Program'!$H$22&lt;='Bonding Program'!$C$8,AF$3=IF('Bonding Program'!$P$22&lt;&gt;"",'Bonding Program'!$P$22,'Bonding Program'!$C$8)),'Bonding Program'!$Z$22,0)+IF(AND('Bonding Program'!$P$22&lt;&gt;"",AF$3='Bonding Program'!$P$22,AF$3&lt;='Bonding Program'!$C$8),N('Bonding Program'!$O$22),0)</f>
        <v>0</v>
      </c>
      <c r="AG163" s="19" t="n">
        <f aca="false">IF(AND('Bonding Program'!$S$22=1,'Bonding Program'!$H$22&gt;'Bonding Program'!$C$8,AG$3='Bonding Program'!$H$22),'Bonding Program'!$T$22-'Bonding Program'!$U$22-'Bonding Program'!$Z$22,0)-IF(AND('Bonding Program'!$S$22=1,'Bonding Program'!$H$22&lt;='Bonding Program'!$C$8,AG$3=IF('Bonding Program'!$P$22&lt;&gt;"",'Bonding Program'!$P$22,'Bonding Program'!$C$8)),'Bonding Program'!$Z$22,0)+IF(AND('Bonding Program'!$P$22&lt;&gt;"",AG$3='Bonding Program'!$P$22,AG$3&lt;='Bonding Program'!$C$8),N('Bonding Program'!$O$22),0)</f>
        <v>0</v>
      </c>
      <c r="AH163" s="19" t="n">
        <f aca="false">IF(AND('Bonding Program'!$S$22=1,'Bonding Program'!$H$22&gt;'Bonding Program'!$C$8,AH$3='Bonding Program'!$H$22),'Bonding Program'!$T$22-'Bonding Program'!$U$22-'Bonding Program'!$Z$22,0)-IF(AND('Bonding Program'!$S$22=1,'Bonding Program'!$H$22&lt;='Bonding Program'!$C$8,AH$3=IF('Bonding Program'!$P$22&lt;&gt;"",'Bonding Program'!$P$22,'Bonding Program'!$C$8)),'Bonding Program'!$Z$22,0)+IF(AND('Bonding Program'!$P$22&lt;&gt;"",AH$3='Bonding Program'!$P$22,AH$3&lt;='Bonding Program'!$C$8),N('Bonding Program'!$O$22),0)</f>
        <v>0</v>
      </c>
      <c r="AI163" s="19" t="n">
        <f aca="false">IF(AND('Bonding Program'!$S$22=1,'Bonding Program'!$H$22&gt;'Bonding Program'!$C$8,AI$3='Bonding Program'!$H$22),'Bonding Program'!$T$22-'Bonding Program'!$U$22-'Bonding Program'!$Z$22,0)-IF(AND('Bonding Program'!$S$22=1,'Bonding Program'!$H$22&lt;='Bonding Program'!$C$8,AI$3=IF('Bonding Program'!$P$22&lt;&gt;"",'Bonding Program'!$P$22,'Bonding Program'!$C$8)),'Bonding Program'!$Z$22,0)+IF(AND('Bonding Program'!$P$22&lt;&gt;"",AI$3='Bonding Program'!$P$22,AI$3&lt;='Bonding Program'!$C$8),N('Bonding Program'!$O$22),0)</f>
        <v>0</v>
      </c>
      <c r="AJ163" s="19" t="n">
        <f aca="false">IF(AND('Bonding Program'!$S$22=1,'Bonding Program'!$H$22&gt;'Bonding Program'!$C$8,AJ$3='Bonding Program'!$H$22),'Bonding Program'!$T$22-'Bonding Program'!$U$22-'Bonding Program'!$Z$22,0)-IF(AND('Bonding Program'!$S$22=1,'Bonding Program'!$H$22&lt;='Bonding Program'!$C$8,AJ$3=IF('Bonding Program'!$P$22&lt;&gt;"",'Bonding Program'!$P$22,'Bonding Program'!$C$8)),'Bonding Program'!$Z$22,0)+IF(AND('Bonding Program'!$P$22&lt;&gt;"",AJ$3='Bonding Program'!$P$22,AJ$3&lt;='Bonding Program'!$C$8),N('Bonding Program'!$O$22),0)</f>
        <v>0</v>
      </c>
      <c r="AK163" s="19" t="n">
        <f aca="false">IF(AND('Bonding Program'!$S$22=1,'Bonding Program'!$H$22&gt;'Bonding Program'!$C$8,AK$3='Bonding Program'!$H$22),'Bonding Program'!$T$22-'Bonding Program'!$U$22-'Bonding Program'!$Z$22,0)-IF(AND('Bonding Program'!$S$22=1,'Bonding Program'!$H$22&lt;='Bonding Program'!$C$8,AK$3=IF('Bonding Program'!$P$22&lt;&gt;"",'Bonding Program'!$P$22,'Bonding Program'!$C$8)),'Bonding Program'!$Z$22,0)+IF(AND('Bonding Program'!$P$22&lt;&gt;"",AK$3='Bonding Program'!$P$22,AK$3&lt;='Bonding Program'!$C$8),N('Bonding Program'!$O$22),0)</f>
        <v>0</v>
      </c>
      <c r="AL163" s="19" t="n">
        <f aca="false">IF(AND('Bonding Program'!$S$22=1,'Bonding Program'!$H$22&gt;'Bonding Program'!$C$8,AL$3='Bonding Program'!$H$22),'Bonding Program'!$T$22-'Bonding Program'!$U$22-'Bonding Program'!$Z$22,0)-IF(AND('Bonding Program'!$S$22=1,'Bonding Program'!$H$22&lt;='Bonding Program'!$C$8,AL$3=IF('Bonding Program'!$P$22&lt;&gt;"",'Bonding Program'!$P$22,'Bonding Program'!$C$8)),'Bonding Program'!$Z$22,0)+IF(AND('Bonding Program'!$P$22&lt;&gt;"",AL$3='Bonding Program'!$P$22,AL$3&lt;='Bonding Program'!$C$8),N('Bonding Program'!$O$22),0)</f>
        <v>0</v>
      </c>
      <c r="AM163" s="19" t="n">
        <f aca="false">IF(AND('Bonding Program'!$S$22=1,'Bonding Program'!$H$22&gt;'Bonding Program'!$C$8,AM$3='Bonding Program'!$H$22),'Bonding Program'!$T$22-'Bonding Program'!$U$22-'Bonding Program'!$Z$22,0)-IF(AND('Bonding Program'!$S$22=1,'Bonding Program'!$H$22&lt;='Bonding Program'!$C$8,AM$3=IF('Bonding Program'!$P$22&lt;&gt;"",'Bonding Program'!$P$22,'Bonding Program'!$C$8)),'Bonding Program'!$Z$22,0)+IF(AND('Bonding Program'!$P$22&lt;&gt;"",AM$3='Bonding Program'!$P$22,AM$3&lt;='Bonding Program'!$C$8),N('Bonding Program'!$O$22),0)</f>
        <v>0</v>
      </c>
      <c r="AN163" s="19" t="n">
        <f aca="false">IF(AND('Bonding Program'!$S$22=1,'Bonding Program'!$H$22&gt;'Bonding Program'!$C$8,AN$3='Bonding Program'!$H$22),'Bonding Program'!$T$22-'Bonding Program'!$U$22-'Bonding Program'!$Z$22,0)-IF(AND('Bonding Program'!$S$22=1,'Bonding Program'!$H$22&lt;='Bonding Program'!$C$8,AN$3=IF('Bonding Program'!$P$22&lt;&gt;"",'Bonding Program'!$P$22,'Bonding Program'!$C$8)),'Bonding Program'!$Z$22,0)+IF(AND('Bonding Program'!$P$22&lt;&gt;"",AN$3='Bonding Program'!$P$22,AN$3&lt;='Bonding Program'!$C$8),N('Bonding Program'!$O$22),0)</f>
        <v>0</v>
      </c>
      <c r="AO163" s="19" t="n">
        <f aca="false">IF(AND('Bonding Program'!$S$22=1,'Bonding Program'!$H$22&gt;'Bonding Program'!$C$8,AO$3='Bonding Program'!$H$22),'Bonding Program'!$T$22-'Bonding Program'!$U$22-'Bonding Program'!$Z$22,0)-IF(AND('Bonding Program'!$S$22=1,'Bonding Program'!$H$22&lt;='Bonding Program'!$C$8,AO$3=IF('Bonding Program'!$P$22&lt;&gt;"",'Bonding Program'!$P$22,'Bonding Program'!$C$8)),'Bonding Program'!$Z$22,0)+IF(AND('Bonding Program'!$P$22&lt;&gt;"",AO$3='Bonding Program'!$P$22,AO$3&lt;='Bonding Program'!$C$8),N('Bonding Program'!$O$22),0)</f>
        <v>0</v>
      </c>
      <c r="AP163" s="19" t="n">
        <f aca="false">IF(AND('Bonding Program'!$S$22=1,'Bonding Program'!$H$22&gt;'Bonding Program'!$C$8,AP$3='Bonding Program'!$H$22),'Bonding Program'!$T$22-'Bonding Program'!$U$22-'Bonding Program'!$Z$22,0)-IF(AND('Bonding Program'!$S$22=1,'Bonding Program'!$H$22&lt;='Bonding Program'!$C$8,AP$3=IF('Bonding Program'!$P$22&lt;&gt;"",'Bonding Program'!$P$22,'Bonding Program'!$C$8)),'Bonding Program'!$Z$22,0)+IF(AND('Bonding Program'!$P$22&lt;&gt;"",AP$3='Bonding Program'!$P$22,AP$3&lt;='Bonding Program'!$C$8),N('Bonding Program'!$O$22),0)</f>
        <v>0</v>
      </c>
      <c r="AQ163" s="19" t="n">
        <f aca="false">IF(AND('Bonding Program'!$S$22=1,'Bonding Program'!$H$22&gt;'Bonding Program'!$C$8,AQ$3='Bonding Program'!$H$22),'Bonding Program'!$T$22-'Bonding Program'!$U$22-'Bonding Program'!$Z$22,0)-IF(AND('Bonding Program'!$S$22=1,'Bonding Program'!$H$22&lt;='Bonding Program'!$C$8,AQ$3=IF('Bonding Program'!$P$22&lt;&gt;"",'Bonding Program'!$P$22,'Bonding Program'!$C$8)),'Bonding Program'!$Z$22,0)+IF(AND('Bonding Program'!$P$22&lt;&gt;"",AQ$3='Bonding Program'!$P$22,AQ$3&lt;='Bonding Program'!$C$8),N('Bonding Program'!$O$22),0)</f>
        <v>0</v>
      </c>
      <c r="AR163" s="19" t="n">
        <f aca="false">IF(AND('Bonding Program'!$S$22=1,'Bonding Program'!$H$22&gt;'Bonding Program'!$C$8,AR$3='Bonding Program'!$H$22),'Bonding Program'!$T$22-'Bonding Program'!$U$22-'Bonding Program'!$Z$22,0)-IF(AND('Bonding Program'!$S$22=1,'Bonding Program'!$H$22&lt;='Bonding Program'!$C$8,AR$3=IF('Bonding Program'!$P$22&lt;&gt;"",'Bonding Program'!$P$22,'Bonding Program'!$C$8)),'Bonding Program'!$Z$22,0)+IF(AND('Bonding Program'!$P$22&lt;&gt;"",AR$3='Bonding Program'!$P$22,AR$3&lt;='Bonding Program'!$C$8),N('Bonding Program'!$O$22),0)</f>
        <v>0</v>
      </c>
      <c r="AS163" s="19" t="n">
        <f aca="false">IF(AND('Bonding Program'!$S$22=1,'Bonding Program'!$H$22&gt;'Bonding Program'!$C$8,AS$3='Bonding Program'!$H$22),'Bonding Program'!$T$22-'Bonding Program'!$U$22-'Bonding Program'!$Z$22,0)-IF(AND('Bonding Program'!$S$22=1,'Bonding Program'!$H$22&lt;='Bonding Program'!$C$8,AS$3=IF('Bonding Program'!$P$22&lt;&gt;"",'Bonding Program'!$P$22,'Bonding Program'!$C$8)),'Bonding Program'!$Z$22,0)+IF(AND('Bonding Program'!$P$22&lt;&gt;"",AS$3='Bonding Program'!$P$22,AS$3&lt;='Bonding Program'!$C$8),N('Bonding Program'!$O$22),0)</f>
        <v>0</v>
      </c>
      <c r="AT163" s="19" t="n">
        <f aca="false">IF(AND('Bonding Program'!$S$22=1,'Bonding Program'!$H$22&gt;'Bonding Program'!$C$8,AT$3='Bonding Program'!$H$22),'Bonding Program'!$T$22-'Bonding Program'!$U$22-'Bonding Program'!$Z$22,0)-IF(AND('Bonding Program'!$S$22=1,'Bonding Program'!$H$22&lt;='Bonding Program'!$C$8,AT$3=IF('Bonding Program'!$P$22&lt;&gt;"",'Bonding Program'!$P$22,'Bonding Program'!$C$8)),'Bonding Program'!$Z$22,0)+IF(AND('Bonding Program'!$P$22&lt;&gt;"",AT$3='Bonding Program'!$P$22,AT$3&lt;='Bonding Program'!$C$8),N('Bonding Program'!$O$22),0)</f>
        <v>0</v>
      </c>
      <c r="AU163" s="19" t="n">
        <f aca="false">IF(AND('Bonding Program'!$S$22=1,'Bonding Program'!$H$22&gt;'Bonding Program'!$C$8,AU$3='Bonding Program'!$H$22),'Bonding Program'!$T$22-'Bonding Program'!$U$22-'Bonding Program'!$Z$22,0)-IF(AND('Bonding Program'!$S$22=1,'Bonding Program'!$H$22&lt;='Bonding Program'!$C$8,AU$3=IF('Bonding Program'!$P$22&lt;&gt;"",'Bonding Program'!$P$22,'Bonding Program'!$C$8)),'Bonding Program'!$Z$22,0)+IF(AND('Bonding Program'!$P$22&lt;&gt;"",AU$3='Bonding Program'!$P$22,AU$3&lt;='Bonding Program'!$C$8),N('Bonding Program'!$O$22),0)</f>
        <v>0</v>
      </c>
      <c r="AV163" s="19" t="n">
        <f aca="false">IF(AND('Bonding Program'!$S$22=1,'Bonding Program'!$H$22&gt;'Bonding Program'!$C$8,AV$3='Bonding Program'!$H$22),'Bonding Program'!$T$22-'Bonding Program'!$U$22-'Bonding Program'!$Z$22,0)-IF(AND('Bonding Program'!$S$22=1,'Bonding Program'!$H$22&lt;='Bonding Program'!$C$8,AV$3=IF('Bonding Program'!$P$22&lt;&gt;"",'Bonding Program'!$P$22,'Bonding Program'!$C$8)),'Bonding Program'!$Z$22,0)+IF(AND('Bonding Program'!$P$22&lt;&gt;"",AV$3='Bonding Program'!$P$22,AV$3&lt;='Bonding Program'!$C$8),N('Bonding Program'!$O$22),0)</f>
        <v>0</v>
      </c>
      <c r="AW163" s="19" t="n">
        <f aca="false">IF(AND('Bonding Program'!$S$22=1,'Bonding Program'!$H$22&gt;'Bonding Program'!$C$8,AW$3='Bonding Program'!$H$22),'Bonding Program'!$T$22-'Bonding Program'!$U$22-'Bonding Program'!$Z$22,0)-IF(AND('Bonding Program'!$S$22=1,'Bonding Program'!$H$22&lt;='Bonding Program'!$C$8,AW$3=IF('Bonding Program'!$P$22&lt;&gt;"",'Bonding Program'!$P$22,'Bonding Program'!$C$8)),'Bonding Program'!$Z$22,0)+IF(AND('Bonding Program'!$P$22&lt;&gt;"",AW$3='Bonding Program'!$P$22,AW$3&lt;='Bonding Program'!$C$8),N('Bonding Program'!$O$22),0)</f>
        <v>0</v>
      </c>
      <c r="AX163" s="19" t="n">
        <f aca="false">IF(AND('Bonding Program'!$S$22=1,'Bonding Program'!$H$22&gt;'Bonding Program'!$C$8,AX$3='Bonding Program'!$H$22),'Bonding Program'!$T$22-'Bonding Program'!$U$22-'Bonding Program'!$Z$22,0)-IF(AND('Bonding Program'!$S$22=1,'Bonding Program'!$H$22&lt;='Bonding Program'!$C$8,AX$3=IF('Bonding Program'!$P$22&lt;&gt;"",'Bonding Program'!$P$22,'Bonding Program'!$C$8)),'Bonding Program'!$Z$22,0)+IF(AND('Bonding Program'!$P$22&lt;&gt;"",AX$3='Bonding Program'!$P$22,AX$3&lt;='Bonding Program'!$C$8),N('Bonding Program'!$O$22),0)</f>
        <v>0</v>
      </c>
      <c r="AY163" s="19" t="n">
        <f aca="false">IF(AND('Bonding Program'!$S$22=1,'Bonding Program'!$H$22&gt;'Bonding Program'!$C$8,AY$3='Bonding Program'!$H$22),'Bonding Program'!$T$22-'Bonding Program'!$U$22-'Bonding Program'!$Z$22,0)-IF(AND('Bonding Program'!$S$22=1,'Bonding Program'!$H$22&lt;='Bonding Program'!$C$8,AY$3=IF('Bonding Program'!$P$22&lt;&gt;"",'Bonding Program'!$P$22,'Bonding Program'!$C$8)),'Bonding Program'!$Z$22,0)+IF(AND('Bonding Program'!$P$22&lt;&gt;"",AY$3='Bonding Program'!$P$22,AY$3&lt;='Bonding Program'!$C$8),N('Bonding Program'!$O$22),0)</f>
        <v>0</v>
      </c>
      <c r="AZ163" s="19" t="n">
        <f aca="false">IF(AND('Bonding Program'!$S$22=1,'Bonding Program'!$H$22&gt;'Bonding Program'!$C$8,AZ$3='Bonding Program'!$H$22),'Bonding Program'!$T$22-'Bonding Program'!$U$22-'Bonding Program'!$Z$22,0)-IF(AND('Bonding Program'!$S$22=1,'Bonding Program'!$H$22&lt;='Bonding Program'!$C$8,AZ$3=IF('Bonding Program'!$P$22&lt;&gt;"",'Bonding Program'!$P$22,'Bonding Program'!$C$8)),'Bonding Program'!$Z$22,0)+IF(AND('Bonding Program'!$P$22&lt;&gt;"",AZ$3='Bonding Program'!$P$22,AZ$3&lt;='Bonding Program'!$C$8),N('Bonding Program'!$O$22),0)</f>
        <v>0</v>
      </c>
      <c r="BA163" s="19" t="n">
        <f aca="false">IF(AND('Bonding Program'!$S$22=1,'Bonding Program'!$H$22&gt;'Bonding Program'!$C$8,BA$3='Bonding Program'!$H$22),'Bonding Program'!$T$22-'Bonding Program'!$U$22-'Bonding Program'!$Z$22,0)-IF(AND('Bonding Program'!$S$22=1,'Bonding Program'!$H$22&lt;='Bonding Program'!$C$8,BA$3=IF('Bonding Program'!$P$22&lt;&gt;"",'Bonding Program'!$P$22,'Bonding Program'!$C$8)),'Bonding Program'!$Z$22,0)+IF(AND('Bonding Program'!$P$22&lt;&gt;"",BA$3='Bonding Program'!$P$22,BA$3&lt;='Bonding Program'!$C$8),N('Bonding Program'!$O$22),0)</f>
        <v>0</v>
      </c>
      <c r="BB163" s="19" t="n">
        <f aca="false">IF(AND('Bonding Program'!$S$22=1,'Bonding Program'!$H$22&gt;'Bonding Program'!$C$8,BB$3='Bonding Program'!$H$22),'Bonding Program'!$T$22-'Bonding Program'!$U$22-'Bonding Program'!$Z$22,0)-IF(AND('Bonding Program'!$S$22=1,'Bonding Program'!$H$22&lt;='Bonding Program'!$C$8,BB$3=IF('Bonding Program'!$P$22&lt;&gt;"",'Bonding Program'!$P$22,'Bonding Program'!$C$8)),'Bonding Program'!$Z$22,0)+IF(AND('Bonding Program'!$P$22&lt;&gt;"",BB$3='Bonding Program'!$P$22,BB$3&lt;='Bonding Program'!$C$8),N('Bonding Program'!$O$22),0)</f>
        <v>0</v>
      </c>
      <c r="BC163" s="19" t="n">
        <f aca="false">IF(AND('Bonding Program'!$S$22=1,'Bonding Program'!$H$22&gt;'Bonding Program'!$C$8,BC$3='Bonding Program'!$H$22),'Bonding Program'!$T$22-'Bonding Program'!$U$22-'Bonding Program'!$Z$22,0)-IF(AND('Bonding Program'!$S$22=1,'Bonding Program'!$H$22&lt;='Bonding Program'!$C$8,BC$3=IF('Bonding Program'!$P$22&lt;&gt;"",'Bonding Program'!$P$22,'Bonding Program'!$C$8)),'Bonding Program'!$Z$22,0)+IF(AND('Bonding Program'!$P$22&lt;&gt;"",BC$3='Bonding Program'!$P$22,BC$3&lt;='Bonding Program'!$C$8),N('Bonding Program'!$O$22),0)</f>
        <v>0</v>
      </c>
      <c r="BD163" s="19" t="n">
        <f aca="false">IF(AND('Bonding Program'!$S$22=1,'Bonding Program'!$H$22&gt;'Bonding Program'!$C$8,BD$3='Bonding Program'!$H$22),'Bonding Program'!$T$22-'Bonding Program'!$U$22-'Bonding Program'!$Z$22,0)-IF(AND('Bonding Program'!$S$22=1,'Bonding Program'!$H$22&lt;='Bonding Program'!$C$8,BD$3=IF('Bonding Program'!$P$22&lt;&gt;"",'Bonding Program'!$P$22,'Bonding Program'!$C$8)),'Bonding Program'!$Z$22,0)+IF(AND('Bonding Program'!$P$22&lt;&gt;"",BD$3='Bonding Program'!$P$22,BD$3&lt;='Bonding Program'!$C$8),N('Bonding Program'!$O$22),0)</f>
        <v>0</v>
      </c>
      <c r="BE163" s="19" t="n">
        <f aca="false">IF(AND('Bonding Program'!$S$22=1,'Bonding Program'!$H$22&gt;'Bonding Program'!$C$8,BE$3='Bonding Program'!$H$22),'Bonding Program'!$T$22-'Bonding Program'!$U$22-'Bonding Program'!$Z$22,0)-IF(AND('Bonding Program'!$S$22=1,'Bonding Program'!$H$22&lt;='Bonding Program'!$C$8,BE$3=IF('Bonding Program'!$P$22&lt;&gt;"",'Bonding Program'!$P$22,'Bonding Program'!$C$8)),'Bonding Program'!$Z$22,0)+IF(AND('Bonding Program'!$P$22&lt;&gt;"",BE$3='Bonding Program'!$P$22,BE$3&lt;='Bonding Program'!$C$8),N('Bonding Program'!$O$22),0)</f>
        <v>0</v>
      </c>
      <c r="BF163" s="19" t="n">
        <f aca="false">IF(AND('Bonding Program'!$S$22=1,'Bonding Program'!$H$22&gt;'Bonding Program'!$C$8,BF$3='Bonding Program'!$H$22),'Bonding Program'!$T$22-'Bonding Program'!$U$22-'Bonding Program'!$Z$22,0)-IF(AND('Bonding Program'!$S$22=1,'Bonding Program'!$H$22&lt;='Bonding Program'!$C$8,BF$3=IF('Bonding Program'!$P$22&lt;&gt;"",'Bonding Program'!$P$22,'Bonding Program'!$C$8)),'Bonding Program'!$Z$22,0)+IF(AND('Bonding Program'!$P$22&lt;&gt;"",BF$3='Bonding Program'!$P$22,BF$3&lt;='Bonding Program'!$C$8),N('Bonding Program'!$O$22),0)</f>
        <v>0</v>
      </c>
      <c r="BG163" s="19" t="n">
        <f aca="false">IF(AND('Bonding Program'!$S$22=1,'Bonding Program'!$H$22&gt;'Bonding Program'!$C$8,BG$3='Bonding Program'!$H$22),'Bonding Program'!$T$22-'Bonding Program'!$U$22-'Bonding Program'!$Z$22,0)-IF(AND('Bonding Program'!$S$22=1,'Bonding Program'!$H$22&lt;='Bonding Program'!$C$8,BG$3=IF('Bonding Program'!$P$22&lt;&gt;"",'Bonding Program'!$P$22,'Bonding Program'!$C$8)),'Bonding Program'!$Z$22,0)+IF(AND('Bonding Program'!$P$22&lt;&gt;"",BG$3='Bonding Program'!$P$22,BG$3&lt;='Bonding Program'!$C$8),N('Bonding Program'!$O$22),0)</f>
        <v>0</v>
      </c>
      <c r="BH163" s="19" t="n">
        <f aca="false">IF(AND('Bonding Program'!$S$22=1,'Bonding Program'!$H$22&gt;'Bonding Program'!$C$8,BH$3='Bonding Program'!$H$22),'Bonding Program'!$T$22-'Bonding Program'!$U$22-'Bonding Program'!$Z$22,0)-IF(AND('Bonding Program'!$S$22=1,'Bonding Program'!$H$22&lt;='Bonding Program'!$C$8,BH$3=IF('Bonding Program'!$P$22&lt;&gt;"",'Bonding Program'!$P$22,'Bonding Program'!$C$8)),'Bonding Program'!$Z$22,0)+IF(AND('Bonding Program'!$P$22&lt;&gt;"",BH$3='Bonding Program'!$P$22,BH$3&lt;='Bonding Program'!$C$8),N('Bonding Program'!$O$22),0)</f>
        <v>0</v>
      </c>
      <c r="BI163" s="19" t="n">
        <f aca="false">IF(AND('Bonding Program'!$S$22=1,'Bonding Program'!$H$22&gt;'Bonding Program'!$C$8,BI$3='Bonding Program'!$H$22),'Bonding Program'!$T$22-'Bonding Program'!$U$22-'Bonding Program'!$Z$22,0)-IF(AND('Bonding Program'!$S$22=1,'Bonding Program'!$H$22&lt;='Bonding Program'!$C$8,BI$3=IF('Bonding Program'!$P$22&lt;&gt;"",'Bonding Program'!$P$22,'Bonding Program'!$C$8)),'Bonding Program'!$Z$22,0)+IF(AND('Bonding Program'!$P$22&lt;&gt;"",BI$3='Bonding Program'!$P$22,BI$3&lt;='Bonding Program'!$C$8),N('Bonding Program'!$O$22),0)</f>
        <v>0</v>
      </c>
      <c r="BJ163" s="19" t="n">
        <f aca="false">IF(AND('Bonding Program'!$S$22=1,'Bonding Program'!$H$22&gt;'Bonding Program'!$C$8,BJ$3='Bonding Program'!$H$22),'Bonding Program'!$T$22-'Bonding Program'!$U$22-'Bonding Program'!$Z$22,0)-IF(AND('Bonding Program'!$S$22=1,'Bonding Program'!$H$22&lt;='Bonding Program'!$C$8,BJ$3=IF('Bonding Program'!$P$22&lt;&gt;"",'Bonding Program'!$P$22,'Bonding Program'!$C$8)),'Bonding Program'!$Z$22,0)+IF(AND('Bonding Program'!$P$22&lt;&gt;"",BJ$3='Bonding Program'!$P$22,BJ$3&lt;='Bonding Program'!$C$8),N('Bonding Program'!$O$22),0)</f>
        <v>0</v>
      </c>
      <c r="BK163" s="19" t="n">
        <f aca="false">IF(AND('Bonding Program'!$S$22=1,'Bonding Program'!$H$22&gt;'Bonding Program'!$C$8,BK$3='Bonding Program'!$H$22),'Bonding Program'!$T$22-'Bonding Program'!$U$22-'Bonding Program'!$Z$22,0)-IF(AND('Bonding Program'!$S$22=1,'Bonding Program'!$H$22&lt;='Bonding Program'!$C$8,BK$3=IF('Bonding Program'!$P$22&lt;&gt;"",'Bonding Program'!$P$22,'Bonding Program'!$C$8)),'Bonding Program'!$Z$22,0)+IF(AND('Bonding Program'!$P$22&lt;&gt;"",BK$3='Bonding Program'!$P$22,BK$3&lt;='Bonding Program'!$C$8),N('Bonding Program'!$O$22),0)</f>
        <v>0</v>
      </c>
      <c r="BL163" s="19" t="n">
        <f aca="false">IF(AND('Bonding Program'!$S$22=1,'Bonding Program'!$H$22&gt;'Bonding Program'!$C$8,BL$3='Bonding Program'!$H$22),'Bonding Program'!$T$22-'Bonding Program'!$U$22-'Bonding Program'!$Z$22,0)-IF(AND('Bonding Program'!$S$22=1,'Bonding Program'!$H$22&lt;='Bonding Program'!$C$8,BL$3=IF('Bonding Program'!$P$22&lt;&gt;"",'Bonding Program'!$P$22,'Bonding Program'!$C$8)),'Bonding Program'!$Z$22,0)+IF(AND('Bonding Program'!$P$22&lt;&gt;"",BL$3='Bonding Program'!$P$22,BL$3&lt;='Bonding Program'!$C$8),N('Bonding Program'!$O$22),0)</f>
        <v>0</v>
      </c>
      <c r="BM163" s="19" t="n">
        <f aca="false">IF(AND('Bonding Program'!$S$22=1,'Bonding Program'!$H$22&gt;'Bonding Program'!$C$8,BM$3='Bonding Program'!$H$22),'Bonding Program'!$T$22-'Bonding Program'!$U$22-'Bonding Program'!$Z$22,0)-IF(AND('Bonding Program'!$S$22=1,'Bonding Program'!$H$22&lt;='Bonding Program'!$C$8,BM$3=IF('Bonding Program'!$P$22&lt;&gt;"",'Bonding Program'!$P$22,'Bonding Program'!$C$8)),'Bonding Program'!$Z$22,0)+IF(AND('Bonding Program'!$P$22&lt;&gt;"",BM$3='Bonding Program'!$P$22,BM$3&lt;='Bonding Program'!$C$8),N('Bonding Program'!$O$22),0)</f>
        <v>0</v>
      </c>
      <c r="BN163" s="19" t="n">
        <f aca="false">IF(AND('Bonding Program'!$S$22=1,'Bonding Program'!$H$22&gt;'Bonding Program'!$C$8,BN$3='Bonding Program'!$H$22),'Bonding Program'!$T$22-'Bonding Program'!$U$22-'Bonding Program'!$Z$22,0)-IF(AND('Bonding Program'!$S$22=1,'Bonding Program'!$H$22&lt;='Bonding Program'!$C$8,BN$3=IF('Bonding Program'!$P$22&lt;&gt;"",'Bonding Program'!$P$22,'Bonding Program'!$C$8)),'Bonding Program'!$Z$22,0)+IF(AND('Bonding Program'!$P$22&lt;&gt;"",BN$3='Bonding Program'!$P$22,BN$3&lt;='Bonding Program'!$C$8),N('Bonding Program'!$O$22),0)</f>
        <v>0</v>
      </c>
      <c r="BO163" s="19" t="n">
        <f aca="false">IF(AND('Bonding Program'!$S$22=1,'Bonding Program'!$H$22&gt;'Bonding Program'!$C$8,BO$3='Bonding Program'!$H$22),'Bonding Program'!$T$22-'Bonding Program'!$U$22-'Bonding Program'!$Z$22,0)-IF(AND('Bonding Program'!$S$22=1,'Bonding Program'!$H$22&lt;='Bonding Program'!$C$8,BO$3=IF('Bonding Program'!$P$22&lt;&gt;"",'Bonding Program'!$P$22,'Bonding Program'!$C$8)),'Bonding Program'!$Z$22,0)+IF(AND('Bonding Program'!$P$22&lt;&gt;"",BO$3='Bonding Program'!$P$22,BO$3&lt;='Bonding Program'!$C$8),N('Bonding Program'!$O$22),0)</f>
        <v>0</v>
      </c>
      <c r="BP163" s="19" t="n">
        <f aca="false">IF(AND('Bonding Program'!$S$22=1,'Bonding Program'!$H$22&gt;'Bonding Program'!$C$8,BP$3='Bonding Program'!$H$22),'Bonding Program'!$T$22-'Bonding Program'!$U$22-'Bonding Program'!$Z$22,0)-IF(AND('Bonding Program'!$S$22=1,'Bonding Program'!$H$22&lt;='Bonding Program'!$C$8,BP$3=IF('Bonding Program'!$P$22&lt;&gt;"",'Bonding Program'!$P$22,'Bonding Program'!$C$8)),'Bonding Program'!$Z$22,0)+IF(AND('Bonding Program'!$P$22&lt;&gt;"",BP$3='Bonding Program'!$P$22,BP$3&lt;='Bonding Program'!$C$8),N('Bonding Program'!$O$22),0)</f>
        <v>0</v>
      </c>
      <c r="BQ163" s="19" t="n">
        <f aca="false">IF(AND('Bonding Program'!$S$22=1,'Bonding Program'!$H$22&gt;'Bonding Program'!$C$8,BQ$3='Bonding Program'!$H$22),'Bonding Program'!$T$22-'Bonding Program'!$U$22-'Bonding Program'!$Z$22,0)-IF(AND('Bonding Program'!$S$22=1,'Bonding Program'!$H$22&lt;='Bonding Program'!$C$8,BQ$3=IF('Bonding Program'!$P$22&lt;&gt;"",'Bonding Program'!$P$22,'Bonding Program'!$C$8)),'Bonding Program'!$Z$22,0)+IF(AND('Bonding Program'!$P$22&lt;&gt;"",BQ$3='Bonding Program'!$P$22,BQ$3&lt;='Bonding Program'!$C$8),N('Bonding Program'!$O$22),0)</f>
        <v>0</v>
      </c>
      <c r="BR163" s="19" t="n">
        <f aca="false">IF(AND('Bonding Program'!$S$22=1,'Bonding Program'!$H$22&gt;'Bonding Program'!$C$8,BR$3='Bonding Program'!$H$22),'Bonding Program'!$T$22-'Bonding Program'!$U$22-'Bonding Program'!$Z$22,0)-IF(AND('Bonding Program'!$S$22=1,'Bonding Program'!$H$22&lt;='Bonding Program'!$C$8,BR$3=IF('Bonding Program'!$P$22&lt;&gt;"",'Bonding Program'!$P$22,'Bonding Program'!$C$8)),'Bonding Program'!$Z$22,0)+IF(AND('Bonding Program'!$P$22&lt;&gt;"",BR$3='Bonding Program'!$P$22,BR$3&lt;='Bonding Program'!$C$8),N('Bonding Program'!$O$22),0)</f>
        <v>0</v>
      </c>
      <c r="BS163" s="19" t="n">
        <f aca="false">IF(AND('Bonding Program'!$S$22=1,'Bonding Program'!$H$22&gt;'Bonding Program'!$C$8,BS$3='Bonding Program'!$H$22),'Bonding Program'!$T$22-'Bonding Program'!$U$22-'Bonding Program'!$Z$22,0)-IF(AND('Bonding Program'!$S$22=1,'Bonding Program'!$H$22&lt;='Bonding Program'!$C$8,BS$3=IF('Bonding Program'!$P$22&lt;&gt;"",'Bonding Program'!$P$22,'Bonding Program'!$C$8)),'Bonding Program'!$Z$22,0)+IF(AND('Bonding Program'!$P$22&lt;&gt;"",BS$3='Bonding Program'!$P$22,BS$3&lt;='Bonding Program'!$C$8),N('Bonding Program'!$O$22),0)</f>
        <v>0</v>
      </c>
      <c r="BT163" s="19" t="n">
        <f aca="false">IF(AND('Bonding Program'!$S$22=1,'Bonding Program'!$H$22&gt;'Bonding Program'!$C$8,BT$3='Bonding Program'!$H$22),'Bonding Program'!$T$22-'Bonding Program'!$U$22-'Bonding Program'!$Z$22,0)-IF(AND('Bonding Program'!$S$22=1,'Bonding Program'!$H$22&lt;='Bonding Program'!$C$8,BT$3=IF('Bonding Program'!$P$22&lt;&gt;"",'Bonding Program'!$P$22,'Bonding Program'!$C$8)),'Bonding Program'!$Z$22,0)+IF(AND('Bonding Program'!$P$22&lt;&gt;"",BT$3='Bonding Program'!$P$22,BT$3&lt;='Bonding Program'!$C$8),N('Bonding Program'!$O$22),0)</f>
        <v>0</v>
      </c>
      <c r="BU163" s="19" t="n">
        <f aca="false">IF(AND('Bonding Program'!$S$22=1,'Bonding Program'!$H$22&gt;'Bonding Program'!$C$8,BU$3='Bonding Program'!$H$22),'Bonding Program'!$T$22-'Bonding Program'!$U$22-'Bonding Program'!$Z$22,0)-IF(AND('Bonding Program'!$S$22=1,'Bonding Program'!$H$22&lt;='Bonding Program'!$C$8,BU$3=IF('Bonding Program'!$P$22&lt;&gt;"",'Bonding Program'!$P$22,'Bonding Program'!$C$8)),'Bonding Program'!$Z$22,0)+IF(AND('Bonding Program'!$P$22&lt;&gt;"",BU$3='Bonding Program'!$P$22,BU$3&lt;='Bonding Program'!$C$8),N('Bonding Program'!$O$22),0)</f>
        <v>0</v>
      </c>
      <c r="BV163" s="19" t="n">
        <f aca="false">IF(AND('Bonding Program'!$S$22=1,'Bonding Program'!$H$22&gt;'Bonding Program'!$C$8,BV$3='Bonding Program'!$H$22),'Bonding Program'!$T$22-'Bonding Program'!$U$22-'Bonding Program'!$Z$22,0)-IF(AND('Bonding Program'!$S$22=1,'Bonding Program'!$H$22&lt;='Bonding Program'!$C$8,BV$3=IF('Bonding Program'!$P$22&lt;&gt;"",'Bonding Program'!$P$22,'Bonding Program'!$C$8)),'Bonding Program'!$Z$22,0)+IF(AND('Bonding Program'!$P$22&lt;&gt;"",BV$3='Bonding Program'!$P$22,BV$3&lt;='Bonding Program'!$C$8),N('Bonding Program'!$O$22),0)</f>
        <v>0</v>
      </c>
      <c r="BW163" s="19" t="n">
        <f aca="false">IF(AND('Bonding Program'!$S$22=1,'Bonding Program'!$H$22&gt;'Bonding Program'!$C$8,BW$3='Bonding Program'!$H$22),'Bonding Program'!$T$22-'Bonding Program'!$U$22-'Bonding Program'!$Z$22,0)-IF(AND('Bonding Program'!$S$22=1,'Bonding Program'!$H$22&lt;='Bonding Program'!$C$8,BW$3=IF('Bonding Program'!$P$22&lt;&gt;"",'Bonding Program'!$P$22,'Bonding Program'!$C$8)),'Bonding Program'!$Z$22,0)+IF(AND('Bonding Program'!$P$22&lt;&gt;"",BW$3='Bonding Program'!$P$22,BW$3&lt;='Bonding Program'!$C$8),N('Bonding Program'!$O$22),0)</f>
        <v>0</v>
      </c>
      <c r="BX163" s="19" t="n">
        <f aca="false">IF(AND('Bonding Program'!$S$22=1,'Bonding Program'!$H$22&gt;'Bonding Program'!$C$8,BX$3='Bonding Program'!$H$22),'Bonding Program'!$T$22-'Bonding Program'!$U$22-'Bonding Program'!$Z$22,0)-IF(AND('Bonding Program'!$S$22=1,'Bonding Program'!$H$22&lt;='Bonding Program'!$C$8,BX$3=IF('Bonding Program'!$P$22&lt;&gt;"",'Bonding Program'!$P$22,'Bonding Program'!$C$8)),'Bonding Program'!$Z$22,0)+IF(AND('Bonding Program'!$P$22&lt;&gt;"",BX$3='Bonding Program'!$P$22,BX$3&lt;='Bonding Program'!$C$8),N('Bonding Program'!$O$22),0)</f>
        <v>0</v>
      </c>
      <c r="BY163" s="19" t="n">
        <f aca="false">IF(AND('Bonding Program'!$S$22=1,'Bonding Program'!$H$22&gt;'Bonding Program'!$C$8,BY$3='Bonding Program'!$H$22),'Bonding Program'!$T$22-'Bonding Program'!$U$22-'Bonding Program'!$Z$22,0)-IF(AND('Bonding Program'!$S$22=1,'Bonding Program'!$H$22&lt;='Bonding Program'!$C$8,BY$3=IF('Bonding Program'!$P$22&lt;&gt;"",'Bonding Program'!$P$22,'Bonding Program'!$C$8)),'Bonding Program'!$Z$22,0)+IF(AND('Bonding Program'!$P$22&lt;&gt;"",BY$3='Bonding Program'!$P$22,BY$3&lt;='Bonding Program'!$C$8),N('Bonding Program'!$O$22),0)</f>
        <v>0</v>
      </c>
      <c r="BZ163" s="19" t="n">
        <f aca="false">IF(AND('Bonding Program'!$S$22=1,'Bonding Program'!$H$22&gt;'Bonding Program'!$C$8,BZ$3='Bonding Program'!$H$22),'Bonding Program'!$T$22-'Bonding Program'!$U$22-'Bonding Program'!$Z$22,0)-IF(AND('Bonding Program'!$S$22=1,'Bonding Program'!$H$22&lt;='Bonding Program'!$C$8,BZ$3=IF('Bonding Program'!$P$22&lt;&gt;"",'Bonding Program'!$P$22,'Bonding Program'!$C$8)),'Bonding Program'!$Z$22,0)+IF(AND('Bonding Program'!$P$22&lt;&gt;"",BZ$3='Bonding Program'!$P$22,BZ$3&lt;='Bonding Program'!$C$8),N('Bonding Program'!$O$22),0)</f>
        <v>0</v>
      </c>
      <c r="CA163" s="19" t="n">
        <f aca="false">IF(AND('Bonding Program'!$S$22=1,'Bonding Program'!$H$22&gt;'Bonding Program'!$C$8,CA$3='Bonding Program'!$H$22),'Bonding Program'!$T$22-'Bonding Program'!$U$22-'Bonding Program'!$Z$22,0)-IF(AND('Bonding Program'!$S$22=1,'Bonding Program'!$H$22&lt;='Bonding Program'!$C$8,CA$3=IF('Bonding Program'!$P$22&lt;&gt;"",'Bonding Program'!$P$22,'Bonding Program'!$C$8)),'Bonding Program'!$Z$22,0)+IF(AND('Bonding Program'!$P$22&lt;&gt;"",CA$3='Bonding Program'!$P$22,CA$3&lt;='Bonding Program'!$C$8),N('Bonding Program'!$O$22),0)</f>
        <v>0</v>
      </c>
      <c r="CB163" s="19" t="n">
        <f aca="false">IF(AND('Bonding Program'!$S$22=1,'Bonding Program'!$H$22&gt;'Bonding Program'!$C$8,CB$3='Bonding Program'!$H$22),'Bonding Program'!$T$22-'Bonding Program'!$U$22-'Bonding Program'!$Z$22,0)-IF(AND('Bonding Program'!$S$22=1,'Bonding Program'!$H$22&lt;='Bonding Program'!$C$8,CB$3=IF('Bonding Program'!$P$22&lt;&gt;"",'Bonding Program'!$P$22,'Bonding Program'!$C$8)),'Bonding Program'!$Z$22,0)+IF(AND('Bonding Program'!$P$22&lt;&gt;"",CB$3='Bonding Program'!$P$22,CB$3&lt;='Bonding Program'!$C$8),N('Bonding Program'!$O$22),0)</f>
        <v>0</v>
      </c>
      <c r="CC163" s="19" t="n">
        <f aca="false">IF(AND('Bonding Program'!$S$22=1,'Bonding Program'!$H$22&gt;'Bonding Program'!$C$8,CC$3='Bonding Program'!$H$22),'Bonding Program'!$T$22-'Bonding Program'!$U$22-'Bonding Program'!$Z$22,0)-IF(AND('Bonding Program'!$S$22=1,'Bonding Program'!$H$22&lt;='Bonding Program'!$C$8,CC$3=IF('Bonding Program'!$P$22&lt;&gt;"",'Bonding Program'!$P$22,'Bonding Program'!$C$8)),'Bonding Program'!$Z$22,0)+IF(AND('Bonding Program'!$P$22&lt;&gt;"",CC$3='Bonding Program'!$P$22,CC$3&lt;='Bonding Program'!$C$8),N('Bonding Program'!$O$22),0)</f>
        <v>0</v>
      </c>
      <c r="CD163" s="19" t="n">
        <f aca="false">IF(AND('Bonding Program'!$S$22=1,'Bonding Program'!$H$22&gt;'Bonding Program'!$C$8,CD$3='Bonding Program'!$H$22),'Bonding Program'!$T$22-'Bonding Program'!$U$22-'Bonding Program'!$Z$22,0)-IF(AND('Bonding Program'!$S$22=1,'Bonding Program'!$H$22&lt;='Bonding Program'!$C$8,CD$3=IF('Bonding Program'!$P$22&lt;&gt;"",'Bonding Program'!$P$22,'Bonding Program'!$C$8)),'Bonding Program'!$Z$22,0)+IF(AND('Bonding Program'!$P$22&lt;&gt;"",CD$3='Bonding Program'!$P$22,CD$3&lt;='Bonding Program'!$C$8),N('Bonding Program'!$O$22),0)</f>
        <v>0</v>
      </c>
      <c r="CE163" s="19" t="n">
        <f aca="false">IF(AND('Bonding Program'!$S$22=1,'Bonding Program'!$H$22&gt;'Bonding Program'!$C$8,CE$3='Bonding Program'!$H$22),'Bonding Program'!$T$22-'Bonding Program'!$U$22-'Bonding Program'!$Z$22,0)-IF(AND('Bonding Program'!$S$22=1,'Bonding Program'!$H$22&lt;='Bonding Program'!$C$8,CE$3=IF('Bonding Program'!$P$22&lt;&gt;"",'Bonding Program'!$P$22,'Bonding Program'!$C$8)),'Bonding Program'!$Z$22,0)+IF(AND('Bonding Program'!$P$22&lt;&gt;"",CE$3='Bonding Program'!$P$22,CE$3&lt;='Bonding Program'!$C$8),N('Bonding Program'!$O$22),0)</f>
        <v>0</v>
      </c>
      <c r="CF163" s="19" t="n">
        <f aca="false">IF(AND('Bonding Program'!$S$22=1,'Bonding Program'!$H$22&gt;'Bonding Program'!$C$8,CF$3='Bonding Program'!$H$22),'Bonding Program'!$T$22-'Bonding Program'!$U$22-'Bonding Program'!$Z$22,0)-IF(AND('Bonding Program'!$S$22=1,'Bonding Program'!$H$22&lt;='Bonding Program'!$C$8,CF$3=IF('Bonding Program'!$P$22&lt;&gt;"",'Bonding Program'!$P$22,'Bonding Program'!$C$8)),'Bonding Program'!$Z$22,0)+IF(AND('Bonding Program'!$P$22&lt;&gt;"",CF$3='Bonding Program'!$P$22,CF$3&lt;='Bonding Program'!$C$8),N('Bonding Program'!$O$22),0)</f>
        <v>0</v>
      </c>
      <c r="CG163" s="19" t="n">
        <f aca="false">IF(AND('Bonding Program'!$S$22=1,'Bonding Program'!$H$22&gt;'Bonding Program'!$C$8,CG$3='Bonding Program'!$H$22),'Bonding Program'!$T$22-'Bonding Program'!$U$22-'Bonding Program'!$Z$22,0)-IF(AND('Bonding Program'!$S$22=1,'Bonding Program'!$H$22&lt;='Bonding Program'!$C$8,CG$3=IF('Bonding Program'!$P$22&lt;&gt;"",'Bonding Program'!$P$22,'Bonding Program'!$C$8)),'Bonding Program'!$Z$22,0)+IF(AND('Bonding Program'!$P$22&lt;&gt;"",CG$3='Bonding Program'!$P$22,CG$3&lt;='Bonding Program'!$C$8),N('Bonding Program'!$O$22),0)</f>
        <v>0</v>
      </c>
      <c r="CH163" s="19" t="n">
        <f aca="false">IF(AND('Bonding Program'!$S$22=1,'Bonding Program'!$H$22&gt;'Bonding Program'!$C$8,CH$3='Bonding Program'!$H$22),'Bonding Program'!$T$22-'Bonding Program'!$U$22-'Bonding Program'!$Z$22,0)-IF(AND('Bonding Program'!$S$22=1,'Bonding Program'!$H$22&lt;='Bonding Program'!$C$8,CH$3=IF('Bonding Program'!$P$22&lt;&gt;"",'Bonding Program'!$P$22,'Bonding Program'!$C$8)),'Bonding Program'!$Z$22,0)+IF(AND('Bonding Program'!$P$22&lt;&gt;"",CH$3='Bonding Program'!$P$22,CH$3&lt;='Bonding Program'!$C$8),N('Bonding Program'!$O$22),0)</f>
        <v>0</v>
      </c>
      <c r="CI163" s="19" t="n">
        <f aca="false">IF(AND('Bonding Program'!$S$22=1,'Bonding Program'!$H$22&gt;'Bonding Program'!$C$8,CI$3='Bonding Program'!$H$22),'Bonding Program'!$T$22-'Bonding Program'!$U$22-'Bonding Program'!$Z$22,0)-IF(AND('Bonding Program'!$S$22=1,'Bonding Program'!$H$22&lt;='Bonding Program'!$C$8,CI$3=IF('Bonding Program'!$P$22&lt;&gt;"",'Bonding Program'!$P$22,'Bonding Program'!$C$8)),'Bonding Program'!$Z$22,0)+IF(AND('Bonding Program'!$P$22&lt;&gt;"",CI$3='Bonding Program'!$P$22,CI$3&lt;='Bonding Program'!$C$8),N('Bonding Program'!$O$22),0)</f>
        <v>0</v>
      </c>
      <c r="CJ163" s="19" t="n">
        <f aca="false">IF(AND('Bonding Program'!$S$22=1,'Bonding Program'!$H$22&gt;'Bonding Program'!$C$8,CJ$3='Bonding Program'!$H$22),'Bonding Program'!$T$22-'Bonding Program'!$U$22-'Bonding Program'!$Z$22,0)-IF(AND('Bonding Program'!$S$22=1,'Bonding Program'!$H$22&lt;='Bonding Program'!$C$8,CJ$3=IF('Bonding Program'!$P$22&lt;&gt;"",'Bonding Program'!$P$22,'Bonding Program'!$C$8)),'Bonding Program'!$Z$22,0)+IF(AND('Bonding Program'!$P$22&lt;&gt;"",CJ$3='Bonding Program'!$P$22,CJ$3&lt;='Bonding Program'!$C$8),N('Bonding Program'!$O$22),0)</f>
        <v>0</v>
      </c>
      <c r="CK163" s="19" t="n">
        <f aca="false">IF(AND('Bonding Program'!$S$22=1,'Bonding Program'!$H$22&gt;'Bonding Program'!$C$8,CK$3='Bonding Program'!$H$22),'Bonding Program'!$T$22-'Bonding Program'!$U$22-'Bonding Program'!$Z$22,0)-IF(AND('Bonding Program'!$S$22=1,'Bonding Program'!$H$22&lt;='Bonding Program'!$C$8,CK$3=IF('Bonding Program'!$P$22&lt;&gt;"",'Bonding Program'!$P$22,'Bonding Program'!$C$8)),'Bonding Program'!$Z$22,0)+IF(AND('Bonding Program'!$P$22&lt;&gt;"",CK$3='Bonding Program'!$P$22,CK$3&lt;='Bonding Program'!$C$8),N('Bonding Program'!$O$22),0)</f>
        <v>0</v>
      </c>
      <c r="CL163" s="19" t="n">
        <f aca="false">IF(AND('Bonding Program'!$S$22=1,'Bonding Program'!$H$22&gt;'Bonding Program'!$C$8,CL$3='Bonding Program'!$H$22),'Bonding Program'!$T$22-'Bonding Program'!$U$22-'Bonding Program'!$Z$22,0)-IF(AND('Bonding Program'!$S$22=1,'Bonding Program'!$H$22&lt;='Bonding Program'!$C$8,CL$3=IF('Bonding Program'!$P$22&lt;&gt;"",'Bonding Program'!$P$22,'Bonding Program'!$C$8)),'Bonding Program'!$Z$22,0)+IF(AND('Bonding Program'!$P$22&lt;&gt;"",CL$3='Bonding Program'!$P$22,CL$3&lt;='Bonding Program'!$C$8),N('Bonding Program'!$O$22),0)</f>
        <v>0</v>
      </c>
      <c r="CM163" s="19" t="n">
        <f aca="false">IF(AND('Bonding Program'!$S$22=1,'Bonding Program'!$H$22&gt;'Bonding Program'!$C$8,CM$3='Bonding Program'!$H$22),'Bonding Program'!$T$22-'Bonding Program'!$U$22-'Bonding Program'!$Z$22,0)-IF(AND('Bonding Program'!$S$22=1,'Bonding Program'!$H$22&lt;='Bonding Program'!$C$8,CM$3=IF('Bonding Program'!$P$22&lt;&gt;"",'Bonding Program'!$P$22,'Bonding Program'!$C$8)),'Bonding Program'!$Z$22,0)+IF(AND('Bonding Program'!$P$22&lt;&gt;"",CM$3='Bonding Program'!$P$22,CM$3&lt;='Bonding Program'!$C$8),N('Bonding Program'!$O$22),0)</f>
        <v>0</v>
      </c>
      <c r="CN163" s="19" t="n">
        <f aca="false">IF(AND('Bonding Program'!$S$22=1,'Bonding Program'!$H$22&gt;'Bonding Program'!$C$8,CN$3='Bonding Program'!$H$22),'Bonding Program'!$T$22-'Bonding Program'!$U$22-'Bonding Program'!$Z$22,0)-IF(AND('Bonding Program'!$S$22=1,'Bonding Program'!$H$22&lt;='Bonding Program'!$C$8,CN$3=IF('Bonding Program'!$P$22&lt;&gt;"",'Bonding Program'!$P$22,'Bonding Program'!$C$8)),'Bonding Program'!$Z$22,0)+IF(AND('Bonding Program'!$P$22&lt;&gt;"",CN$3='Bonding Program'!$P$22,CN$3&lt;='Bonding Program'!$C$8),N('Bonding Program'!$O$22),0)</f>
        <v>0</v>
      </c>
      <c r="CO163" s="19" t="n">
        <f aca="false">IF(AND('Bonding Program'!$S$22=1,'Bonding Program'!$H$22&gt;'Bonding Program'!$C$8,CO$3='Bonding Program'!$H$22),'Bonding Program'!$T$22-'Bonding Program'!$U$22-'Bonding Program'!$Z$22,0)-IF(AND('Bonding Program'!$S$22=1,'Bonding Program'!$H$22&lt;='Bonding Program'!$C$8,CO$3=IF('Bonding Program'!$P$22&lt;&gt;"",'Bonding Program'!$P$22,'Bonding Program'!$C$8)),'Bonding Program'!$Z$22,0)+IF(AND('Bonding Program'!$P$22&lt;&gt;"",CO$3='Bonding Program'!$P$22,CO$3&lt;='Bonding Program'!$C$8),N('Bonding Program'!$O$22),0)</f>
        <v>0</v>
      </c>
      <c r="CP163" s="19" t="n">
        <f aca="false">IF(AND('Bonding Program'!$S$22=1,'Bonding Program'!$H$22&gt;'Bonding Program'!$C$8,CP$3='Bonding Program'!$H$22),'Bonding Program'!$T$22-'Bonding Program'!$U$22-'Bonding Program'!$Z$22,0)-IF(AND('Bonding Program'!$S$22=1,'Bonding Program'!$H$22&lt;='Bonding Program'!$C$8,CP$3=IF('Bonding Program'!$P$22&lt;&gt;"",'Bonding Program'!$P$22,'Bonding Program'!$C$8)),'Bonding Program'!$Z$22,0)+IF(AND('Bonding Program'!$P$22&lt;&gt;"",CP$3='Bonding Program'!$P$22,CP$3&lt;='Bonding Program'!$C$8),N('Bonding Program'!$O$22),0)</f>
        <v>0</v>
      </c>
      <c r="CQ163" s="19" t="n">
        <f aca="false">IF(AND('Bonding Program'!$S$22=1,'Bonding Program'!$H$22&gt;'Bonding Program'!$C$8,CQ$3='Bonding Program'!$H$22),'Bonding Program'!$T$22-'Bonding Program'!$U$22-'Bonding Program'!$Z$22,0)-IF(AND('Bonding Program'!$S$22=1,'Bonding Program'!$H$22&lt;='Bonding Program'!$C$8,CQ$3=IF('Bonding Program'!$P$22&lt;&gt;"",'Bonding Program'!$P$22,'Bonding Program'!$C$8)),'Bonding Program'!$Z$22,0)+IF(AND('Bonding Program'!$P$22&lt;&gt;"",CQ$3='Bonding Program'!$P$22,CQ$3&lt;='Bonding Program'!$C$8),N('Bonding Program'!$O$22),0)</f>
        <v>0</v>
      </c>
      <c r="CR163" s="19" t="n">
        <f aca="false">IF(AND('Bonding Program'!$S$22=1,'Bonding Program'!$H$22&gt;'Bonding Program'!$C$8,CR$3='Bonding Program'!$H$22),'Bonding Program'!$T$22-'Bonding Program'!$U$22-'Bonding Program'!$Z$22,0)-IF(AND('Bonding Program'!$S$22=1,'Bonding Program'!$H$22&lt;='Bonding Program'!$C$8,CR$3=IF('Bonding Program'!$P$22&lt;&gt;"",'Bonding Program'!$P$22,'Bonding Program'!$C$8)),'Bonding Program'!$Z$22,0)+IF(AND('Bonding Program'!$P$22&lt;&gt;"",CR$3='Bonding Program'!$P$22,CR$3&lt;='Bonding Program'!$C$8),N('Bonding Program'!$O$22),0)</f>
        <v>0</v>
      </c>
      <c r="CS163" s="19" t="n">
        <f aca="false">IF(AND('Bonding Program'!$S$22=1,'Bonding Program'!$H$22&gt;'Bonding Program'!$C$8,CS$3='Bonding Program'!$H$22),'Bonding Program'!$T$22-'Bonding Program'!$U$22-'Bonding Program'!$Z$22,0)-IF(AND('Bonding Program'!$S$22=1,'Bonding Program'!$H$22&lt;='Bonding Program'!$C$8,CS$3=IF('Bonding Program'!$P$22&lt;&gt;"",'Bonding Program'!$P$22,'Bonding Program'!$C$8)),'Bonding Program'!$Z$22,0)+IF(AND('Bonding Program'!$P$22&lt;&gt;"",CS$3='Bonding Program'!$P$22,CS$3&lt;='Bonding Program'!$C$8),N('Bonding Program'!$O$22),0)</f>
        <v>0</v>
      </c>
      <c r="CT163" s="19" t="n">
        <f aca="false">IF(AND('Bonding Program'!$S$22=1,'Bonding Program'!$H$22&gt;'Bonding Program'!$C$8,CT$3='Bonding Program'!$H$22),'Bonding Program'!$T$22-'Bonding Program'!$U$22-'Bonding Program'!$Z$22,0)-IF(AND('Bonding Program'!$S$22=1,'Bonding Program'!$H$22&lt;='Bonding Program'!$C$8,CT$3=IF('Bonding Program'!$P$22&lt;&gt;"",'Bonding Program'!$P$22,'Bonding Program'!$C$8)),'Bonding Program'!$Z$22,0)+IF(AND('Bonding Program'!$P$22&lt;&gt;"",CT$3='Bonding Program'!$P$22,CT$3&lt;='Bonding Program'!$C$8),N('Bonding Program'!$O$22),0)</f>
        <v>0</v>
      </c>
      <c r="CU163" s="19" t="n">
        <f aca="false">IF(AND('Bonding Program'!$S$22=1,'Bonding Program'!$H$22&gt;'Bonding Program'!$C$8,CU$3='Bonding Program'!$H$22),'Bonding Program'!$T$22-'Bonding Program'!$U$22-'Bonding Program'!$Z$22,0)-IF(AND('Bonding Program'!$S$22=1,'Bonding Program'!$H$22&lt;='Bonding Program'!$C$8,CU$3=IF('Bonding Program'!$P$22&lt;&gt;"",'Bonding Program'!$P$22,'Bonding Program'!$C$8)),'Bonding Program'!$Z$22,0)+IF(AND('Bonding Program'!$P$22&lt;&gt;"",CU$3='Bonding Program'!$P$22,CU$3&lt;='Bonding Program'!$C$8),N('Bonding Program'!$O$22),0)</f>
        <v>0</v>
      </c>
      <c r="CV163" s="19" t="n">
        <f aca="false">IF(AND('Bonding Program'!$S$22=1,'Bonding Program'!$H$22&gt;'Bonding Program'!$C$8,CV$3='Bonding Program'!$H$22),'Bonding Program'!$T$22-'Bonding Program'!$U$22-'Bonding Program'!$Z$22,0)-IF(AND('Bonding Program'!$S$22=1,'Bonding Program'!$H$22&lt;='Bonding Program'!$C$8,CV$3=IF('Bonding Program'!$P$22&lt;&gt;"",'Bonding Program'!$P$22,'Bonding Program'!$C$8)),'Bonding Program'!$Z$22,0)+IF(AND('Bonding Program'!$P$22&lt;&gt;"",CV$3='Bonding Program'!$P$22,CV$3&lt;='Bonding Program'!$C$8),N('Bonding Program'!$O$22),0)</f>
        <v>0</v>
      </c>
      <c r="CW163" s="19" t="n">
        <f aca="false">IF(AND('Bonding Program'!$S$22=1,'Bonding Program'!$H$22&gt;'Bonding Program'!$C$8,CW$3='Bonding Program'!$H$22),'Bonding Program'!$T$22-'Bonding Program'!$U$22-'Bonding Program'!$Z$22,0)-IF(AND('Bonding Program'!$S$22=1,'Bonding Program'!$H$22&lt;='Bonding Program'!$C$8,CW$3=IF('Bonding Program'!$P$22&lt;&gt;"",'Bonding Program'!$P$22,'Bonding Program'!$C$8)),'Bonding Program'!$Z$22,0)+IF(AND('Bonding Program'!$P$22&lt;&gt;"",CW$3='Bonding Program'!$P$22,CW$3&lt;='Bonding Program'!$C$8),N('Bonding Program'!$O$22),0)</f>
        <v>0</v>
      </c>
      <c r="CX163" s="19" t="n">
        <f aca="false">IF(AND('Bonding Program'!$S$22=1,'Bonding Program'!$H$22&gt;'Bonding Program'!$C$8,CX$3='Bonding Program'!$H$22),'Bonding Program'!$T$22-'Bonding Program'!$U$22-'Bonding Program'!$Z$22,0)-IF(AND('Bonding Program'!$S$22=1,'Bonding Program'!$H$22&lt;='Bonding Program'!$C$8,CX$3=IF('Bonding Program'!$P$22&lt;&gt;"",'Bonding Program'!$P$22,'Bonding Program'!$C$8)),'Bonding Program'!$Z$22,0)+IF(AND('Bonding Program'!$P$22&lt;&gt;"",CX$3='Bonding Program'!$P$22,CX$3&lt;='Bonding Program'!$C$8),N('Bonding Program'!$O$22),0)</f>
        <v>0</v>
      </c>
      <c r="CY163" s="19" t="n">
        <f aca="false">IF(AND('Bonding Program'!$S$22=1,'Bonding Program'!$H$22&gt;'Bonding Program'!$C$8,CY$3='Bonding Program'!$H$22),'Bonding Program'!$T$22-'Bonding Program'!$U$22-'Bonding Program'!$Z$22,0)-IF(AND('Bonding Program'!$S$22=1,'Bonding Program'!$H$22&lt;='Bonding Program'!$C$8,CY$3=IF('Bonding Program'!$P$22&lt;&gt;"",'Bonding Program'!$P$22,'Bonding Program'!$C$8)),'Bonding Program'!$Z$22,0)+IF(AND('Bonding Program'!$P$22&lt;&gt;"",CY$3='Bonding Program'!$P$22,CY$3&lt;='Bonding Program'!$C$8),N('Bonding Program'!$O$22),0)</f>
        <v>0</v>
      </c>
      <c r="CZ163" s="19" t="n">
        <f aca="false">IF(AND('Bonding Program'!$S$22=1,'Bonding Program'!$H$22&gt;'Bonding Program'!$C$8,CZ$3='Bonding Program'!$H$22),'Bonding Program'!$T$22-'Bonding Program'!$U$22-'Bonding Program'!$Z$22,0)-IF(AND('Bonding Program'!$S$22=1,'Bonding Program'!$H$22&lt;='Bonding Program'!$C$8,CZ$3=IF('Bonding Program'!$P$22&lt;&gt;"",'Bonding Program'!$P$22,'Bonding Program'!$C$8)),'Bonding Program'!$Z$22,0)+IF(AND('Bonding Program'!$P$22&lt;&gt;"",CZ$3='Bonding Program'!$P$22,CZ$3&lt;='Bonding Program'!$C$8),N('Bonding Program'!$O$22),0)</f>
        <v>0</v>
      </c>
      <c r="DA163" s="19" t="n">
        <f aca="false">IF(AND('Bonding Program'!$S$22=1,'Bonding Program'!$H$22&gt;'Bonding Program'!$C$8,DA$3='Bonding Program'!$H$22),'Bonding Program'!$T$22-'Bonding Program'!$U$22-'Bonding Program'!$Z$22,0)-IF(AND('Bonding Program'!$S$22=1,'Bonding Program'!$H$22&lt;='Bonding Program'!$C$8,DA$3=IF('Bonding Program'!$P$22&lt;&gt;"",'Bonding Program'!$P$22,'Bonding Program'!$C$8)),'Bonding Program'!$Z$22,0)+IF(AND('Bonding Program'!$P$22&lt;&gt;"",DA$3='Bonding Program'!$P$22,DA$3&lt;='Bonding Program'!$C$8),N('Bonding Program'!$O$22),0)</f>
        <v>0</v>
      </c>
      <c r="DB163" s="19" t="n">
        <f aca="false">IF(AND('Bonding Program'!$S$22=1,'Bonding Program'!$H$22&gt;'Bonding Program'!$C$8,DB$3='Bonding Program'!$H$22),'Bonding Program'!$T$22-'Bonding Program'!$U$22-'Bonding Program'!$Z$22,0)-IF(AND('Bonding Program'!$S$22=1,'Bonding Program'!$H$22&lt;='Bonding Program'!$C$8,DB$3=IF('Bonding Program'!$P$22&lt;&gt;"",'Bonding Program'!$P$22,'Bonding Program'!$C$8)),'Bonding Program'!$Z$22,0)+IF(AND('Bonding Program'!$P$22&lt;&gt;"",DB$3='Bonding Program'!$P$22,DB$3&lt;='Bonding Program'!$C$8),N('Bonding Program'!$O$22),0)</f>
        <v>0</v>
      </c>
      <c r="DC163" s="19" t="n">
        <f aca="false">IF(AND('Bonding Program'!$S$22=1,'Bonding Program'!$H$22&gt;'Bonding Program'!$C$8,DC$3='Bonding Program'!$H$22),'Bonding Program'!$T$22-'Bonding Program'!$U$22-'Bonding Program'!$Z$22,0)-IF(AND('Bonding Program'!$S$22=1,'Bonding Program'!$H$22&lt;='Bonding Program'!$C$8,DC$3=IF('Bonding Program'!$P$22&lt;&gt;"",'Bonding Program'!$P$22,'Bonding Program'!$C$8)),'Bonding Program'!$Z$22,0)+IF(AND('Bonding Program'!$P$22&lt;&gt;"",DC$3='Bonding Program'!$P$22,DC$3&lt;='Bonding Program'!$C$8),N('Bonding Program'!$O$22),0)</f>
        <v>0</v>
      </c>
      <c r="DD163" s="19" t="n">
        <f aca="false">IF(AND('Bonding Program'!$S$22=1,'Bonding Program'!$H$22&gt;'Bonding Program'!$C$8,DD$3='Bonding Program'!$H$22),'Bonding Program'!$T$22-'Bonding Program'!$U$22-'Bonding Program'!$Z$22,0)-IF(AND('Bonding Program'!$S$22=1,'Bonding Program'!$H$22&lt;='Bonding Program'!$C$8,DD$3=IF('Bonding Program'!$P$22&lt;&gt;"",'Bonding Program'!$P$22,'Bonding Program'!$C$8)),'Bonding Program'!$Z$22,0)+IF(AND('Bonding Program'!$P$22&lt;&gt;"",DD$3='Bonding Program'!$P$22,DD$3&lt;='Bonding Program'!$C$8),N('Bonding Program'!$O$22),0)</f>
        <v>0</v>
      </c>
      <c r="DE163" s="19" t="n">
        <f aca="false">IF(AND('Bonding Program'!$S$22=1,'Bonding Program'!$H$22&gt;'Bonding Program'!$C$8,DE$3='Bonding Program'!$H$22),'Bonding Program'!$T$22-'Bonding Program'!$U$22-'Bonding Program'!$Z$22,0)-IF(AND('Bonding Program'!$S$22=1,'Bonding Program'!$H$22&lt;='Bonding Program'!$C$8,DE$3=IF('Bonding Program'!$P$22&lt;&gt;"",'Bonding Program'!$P$22,'Bonding Program'!$C$8)),'Bonding Program'!$Z$22,0)+IF(AND('Bonding Program'!$P$22&lt;&gt;"",DE$3='Bonding Program'!$P$22,DE$3&lt;='Bonding Program'!$C$8),N('Bonding Program'!$O$22),0)</f>
        <v>0</v>
      </c>
    </row>
    <row r="164" customFormat="false" ht="15" hidden="false" customHeight="true" outlineLevel="1" collapsed="false">
      <c r="A164" s="28" t="s">
        <v>19</v>
      </c>
      <c r="B164" s="19" t="n">
        <f aca="false">IF(AND('Bonding Program'!$S$23=1,'Bonding Program'!$H$23&gt;'Bonding Program'!$C$8,B$3='Bonding Program'!$H$23),'Bonding Program'!$T$23-'Bonding Program'!$U$23-'Bonding Program'!$Z$23,0)-IF(AND('Bonding Program'!$S$23=1,'Bonding Program'!$H$23&lt;='Bonding Program'!$C$8,B$3=IF('Bonding Program'!$P$23&lt;&gt;"",'Bonding Program'!$P$23,'Bonding Program'!$C$8)),'Bonding Program'!$Z$23,0)+IF(AND('Bonding Program'!$P$23&lt;&gt;"",B$3='Bonding Program'!$P$23,B$3&lt;='Bonding Program'!$C$8),N('Bonding Program'!$O$23),0)</f>
        <v>0</v>
      </c>
      <c r="C164" s="19" t="n">
        <f aca="false">IF(AND('Bonding Program'!$S$23=1,'Bonding Program'!$H$23&gt;'Bonding Program'!$C$8,C$3='Bonding Program'!$H$23),'Bonding Program'!$T$23-'Bonding Program'!$U$23-'Bonding Program'!$Z$23,0)-IF(AND('Bonding Program'!$S$23=1,'Bonding Program'!$H$23&lt;='Bonding Program'!$C$8,C$3=IF('Bonding Program'!$P$23&lt;&gt;"",'Bonding Program'!$P$23,'Bonding Program'!$C$8)),'Bonding Program'!$Z$23,0)+IF(AND('Bonding Program'!$P$23&lt;&gt;"",C$3='Bonding Program'!$P$23,C$3&lt;='Bonding Program'!$C$8),N('Bonding Program'!$O$23),0)</f>
        <v>0</v>
      </c>
      <c r="D164" s="19" t="n">
        <f aca="false">IF(AND('Bonding Program'!$S$23=1,'Bonding Program'!$H$23&gt;'Bonding Program'!$C$8,D$3='Bonding Program'!$H$23),'Bonding Program'!$T$23-'Bonding Program'!$U$23-'Bonding Program'!$Z$23,0)-IF(AND('Bonding Program'!$S$23=1,'Bonding Program'!$H$23&lt;='Bonding Program'!$C$8,D$3=IF('Bonding Program'!$P$23&lt;&gt;"",'Bonding Program'!$P$23,'Bonding Program'!$C$8)),'Bonding Program'!$Z$23,0)+IF(AND('Bonding Program'!$P$23&lt;&gt;"",D$3='Bonding Program'!$P$23,D$3&lt;='Bonding Program'!$C$8),N('Bonding Program'!$O$23),0)</f>
        <v>0</v>
      </c>
      <c r="E164" s="19" t="n">
        <f aca="false">IF(AND('Bonding Program'!$S$23=1,'Bonding Program'!$H$23&gt;'Bonding Program'!$C$8,E$3='Bonding Program'!$H$23),'Bonding Program'!$T$23-'Bonding Program'!$U$23-'Bonding Program'!$Z$23,0)-IF(AND('Bonding Program'!$S$23=1,'Bonding Program'!$H$23&lt;='Bonding Program'!$C$8,E$3=IF('Bonding Program'!$P$23&lt;&gt;"",'Bonding Program'!$P$23,'Bonding Program'!$C$8)),'Bonding Program'!$Z$23,0)+IF(AND('Bonding Program'!$P$23&lt;&gt;"",E$3='Bonding Program'!$P$23,E$3&lt;='Bonding Program'!$C$8),N('Bonding Program'!$O$23),0)</f>
        <v>0</v>
      </c>
      <c r="F164" s="19" t="n">
        <f aca="false">IF(AND('Bonding Program'!$S$23=1,'Bonding Program'!$H$23&gt;'Bonding Program'!$C$8,F$3='Bonding Program'!$H$23),'Bonding Program'!$T$23-'Bonding Program'!$U$23-'Bonding Program'!$Z$23,0)-IF(AND('Bonding Program'!$S$23=1,'Bonding Program'!$H$23&lt;='Bonding Program'!$C$8,F$3=IF('Bonding Program'!$P$23&lt;&gt;"",'Bonding Program'!$P$23,'Bonding Program'!$C$8)),'Bonding Program'!$Z$23,0)+IF(AND('Bonding Program'!$P$23&lt;&gt;"",F$3='Bonding Program'!$P$23,F$3&lt;='Bonding Program'!$C$8),N('Bonding Program'!$O$23),0)</f>
        <v>0</v>
      </c>
      <c r="G164" s="19" t="n">
        <f aca="false">IF(AND('Bonding Program'!$S$23=1,'Bonding Program'!$H$23&gt;'Bonding Program'!$C$8,G$3='Bonding Program'!$H$23),'Bonding Program'!$T$23-'Bonding Program'!$U$23-'Bonding Program'!$Z$23,0)-IF(AND('Bonding Program'!$S$23=1,'Bonding Program'!$H$23&lt;='Bonding Program'!$C$8,G$3=IF('Bonding Program'!$P$23&lt;&gt;"",'Bonding Program'!$P$23,'Bonding Program'!$C$8)),'Bonding Program'!$Z$23,0)+IF(AND('Bonding Program'!$P$23&lt;&gt;"",G$3='Bonding Program'!$P$23,G$3&lt;='Bonding Program'!$C$8),N('Bonding Program'!$O$23),0)</f>
        <v>0</v>
      </c>
      <c r="H164" s="19" t="n">
        <f aca="false">IF(AND('Bonding Program'!$S$23=1,'Bonding Program'!$H$23&gt;'Bonding Program'!$C$8,H$3='Bonding Program'!$H$23),'Bonding Program'!$T$23-'Bonding Program'!$U$23-'Bonding Program'!$Z$23,0)-IF(AND('Bonding Program'!$S$23=1,'Bonding Program'!$H$23&lt;='Bonding Program'!$C$8,H$3=IF('Bonding Program'!$P$23&lt;&gt;"",'Bonding Program'!$P$23,'Bonding Program'!$C$8)),'Bonding Program'!$Z$23,0)+IF(AND('Bonding Program'!$P$23&lt;&gt;"",H$3='Bonding Program'!$P$23,H$3&lt;='Bonding Program'!$C$8),N('Bonding Program'!$O$23),0)</f>
        <v>0</v>
      </c>
      <c r="I164" s="19" t="n">
        <f aca="false">IF(AND('Bonding Program'!$S$23=1,'Bonding Program'!$H$23&gt;'Bonding Program'!$C$8,I$3='Bonding Program'!$H$23),'Bonding Program'!$T$23-'Bonding Program'!$U$23-'Bonding Program'!$Z$23,0)-IF(AND('Bonding Program'!$S$23=1,'Bonding Program'!$H$23&lt;='Bonding Program'!$C$8,I$3=IF('Bonding Program'!$P$23&lt;&gt;"",'Bonding Program'!$P$23,'Bonding Program'!$C$8)),'Bonding Program'!$Z$23,0)+IF(AND('Bonding Program'!$P$23&lt;&gt;"",I$3='Bonding Program'!$P$23,I$3&lt;='Bonding Program'!$C$8),N('Bonding Program'!$O$23),0)</f>
        <v>0</v>
      </c>
      <c r="J164" s="19" t="n">
        <f aca="false">IF(AND('Bonding Program'!$S$23=1,'Bonding Program'!$H$23&gt;'Bonding Program'!$C$8,J$3='Bonding Program'!$H$23),'Bonding Program'!$T$23-'Bonding Program'!$U$23-'Bonding Program'!$Z$23,0)-IF(AND('Bonding Program'!$S$23=1,'Bonding Program'!$H$23&lt;='Bonding Program'!$C$8,J$3=IF('Bonding Program'!$P$23&lt;&gt;"",'Bonding Program'!$P$23,'Bonding Program'!$C$8)),'Bonding Program'!$Z$23,0)+IF(AND('Bonding Program'!$P$23&lt;&gt;"",J$3='Bonding Program'!$P$23,J$3&lt;='Bonding Program'!$C$8),N('Bonding Program'!$O$23),0)</f>
        <v>0</v>
      </c>
      <c r="K164" s="19" t="n">
        <f aca="false">IF(AND('Bonding Program'!$S$23=1,'Bonding Program'!$H$23&gt;'Bonding Program'!$C$8,K$3='Bonding Program'!$H$23),'Bonding Program'!$T$23-'Bonding Program'!$U$23-'Bonding Program'!$Z$23,0)-IF(AND('Bonding Program'!$S$23=1,'Bonding Program'!$H$23&lt;='Bonding Program'!$C$8,K$3=IF('Bonding Program'!$P$23&lt;&gt;"",'Bonding Program'!$P$23,'Bonding Program'!$C$8)),'Bonding Program'!$Z$23,0)+IF(AND('Bonding Program'!$P$23&lt;&gt;"",K$3='Bonding Program'!$P$23,K$3&lt;='Bonding Program'!$C$8),N('Bonding Program'!$O$23),0)</f>
        <v>0</v>
      </c>
      <c r="L164" s="19" t="n">
        <f aca="false">IF(AND('Bonding Program'!$S$23=1,'Bonding Program'!$H$23&gt;'Bonding Program'!$C$8,L$3='Bonding Program'!$H$23),'Bonding Program'!$T$23-'Bonding Program'!$U$23-'Bonding Program'!$Z$23,0)-IF(AND('Bonding Program'!$S$23=1,'Bonding Program'!$H$23&lt;='Bonding Program'!$C$8,L$3=IF('Bonding Program'!$P$23&lt;&gt;"",'Bonding Program'!$P$23,'Bonding Program'!$C$8)),'Bonding Program'!$Z$23,0)+IF(AND('Bonding Program'!$P$23&lt;&gt;"",L$3='Bonding Program'!$P$23,L$3&lt;='Bonding Program'!$C$8),N('Bonding Program'!$O$23),0)</f>
        <v>0</v>
      </c>
      <c r="M164" s="19" t="n">
        <f aca="false">IF(AND('Bonding Program'!$S$23=1,'Bonding Program'!$H$23&gt;'Bonding Program'!$C$8,M$3='Bonding Program'!$H$23),'Bonding Program'!$T$23-'Bonding Program'!$U$23-'Bonding Program'!$Z$23,0)-IF(AND('Bonding Program'!$S$23=1,'Bonding Program'!$H$23&lt;='Bonding Program'!$C$8,M$3=IF('Bonding Program'!$P$23&lt;&gt;"",'Bonding Program'!$P$23,'Bonding Program'!$C$8)),'Bonding Program'!$Z$23,0)+IF(AND('Bonding Program'!$P$23&lt;&gt;"",M$3='Bonding Program'!$P$23,M$3&lt;='Bonding Program'!$C$8),N('Bonding Program'!$O$23),0)</f>
        <v>0</v>
      </c>
      <c r="N164" s="19" t="n">
        <f aca="false">IF(AND('Bonding Program'!$S$23=1,'Bonding Program'!$H$23&gt;'Bonding Program'!$C$8,N$3='Bonding Program'!$H$23),'Bonding Program'!$T$23-'Bonding Program'!$U$23-'Bonding Program'!$Z$23,0)-IF(AND('Bonding Program'!$S$23=1,'Bonding Program'!$H$23&lt;='Bonding Program'!$C$8,N$3=IF('Bonding Program'!$P$23&lt;&gt;"",'Bonding Program'!$P$23,'Bonding Program'!$C$8)),'Bonding Program'!$Z$23,0)+IF(AND('Bonding Program'!$P$23&lt;&gt;"",N$3='Bonding Program'!$P$23,N$3&lt;='Bonding Program'!$C$8),N('Bonding Program'!$O$23),0)</f>
        <v>0</v>
      </c>
      <c r="O164" s="19" t="n">
        <f aca="false">IF(AND('Bonding Program'!$S$23=1,'Bonding Program'!$H$23&gt;'Bonding Program'!$C$8,O$3='Bonding Program'!$H$23),'Bonding Program'!$T$23-'Bonding Program'!$U$23-'Bonding Program'!$Z$23,0)-IF(AND('Bonding Program'!$S$23=1,'Bonding Program'!$H$23&lt;='Bonding Program'!$C$8,O$3=IF('Bonding Program'!$P$23&lt;&gt;"",'Bonding Program'!$P$23,'Bonding Program'!$C$8)),'Bonding Program'!$Z$23,0)+IF(AND('Bonding Program'!$P$23&lt;&gt;"",O$3='Bonding Program'!$P$23,O$3&lt;='Bonding Program'!$C$8),N('Bonding Program'!$O$23),0)</f>
        <v>0</v>
      </c>
      <c r="P164" s="19" t="n">
        <f aca="false">IF(AND('Bonding Program'!$S$23=1,'Bonding Program'!$H$23&gt;'Bonding Program'!$C$8,P$3='Bonding Program'!$H$23),'Bonding Program'!$T$23-'Bonding Program'!$U$23-'Bonding Program'!$Z$23,0)-IF(AND('Bonding Program'!$S$23=1,'Bonding Program'!$H$23&lt;='Bonding Program'!$C$8,P$3=IF('Bonding Program'!$P$23&lt;&gt;"",'Bonding Program'!$P$23,'Bonding Program'!$C$8)),'Bonding Program'!$Z$23,0)+IF(AND('Bonding Program'!$P$23&lt;&gt;"",P$3='Bonding Program'!$P$23,P$3&lt;='Bonding Program'!$C$8),N('Bonding Program'!$O$23),0)</f>
        <v>0</v>
      </c>
      <c r="Q164" s="19" t="n">
        <f aca="false">IF(AND('Bonding Program'!$S$23=1,'Bonding Program'!$H$23&gt;'Bonding Program'!$C$8,Q$3='Bonding Program'!$H$23),'Bonding Program'!$T$23-'Bonding Program'!$U$23-'Bonding Program'!$Z$23,0)-IF(AND('Bonding Program'!$S$23=1,'Bonding Program'!$H$23&lt;='Bonding Program'!$C$8,Q$3=IF('Bonding Program'!$P$23&lt;&gt;"",'Bonding Program'!$P$23,'Bonding Program'!$C$8)),'Bonding Program'!$Z$23,0)+IF(AND('Bonding Program'!$P$23&lt;&gt;"",Q$3='Bonding Program'!$P$23,Q$3&lt;='Bonding Program'!$C$8),N('Bonding Program'!$O$23),0)</f>
        <v>0</v>
      </c>
      <c r="R164" s="19" t="n">
        <f aca="false">IF(AND('Bonding Program'!$S$23=1,'Bonding Program'!$H$23&gt;'Bonding Program'!$C$8,R$3='Bonding Program'!$H$23),'Bonding Program'!$T$23-'Bonding Program'!$U$23-'Bonding Program'!$Z$23,0)-IF(AND('Bonding Program'!$S$23=1,'Bonding Program'!$H$23&lt;='Bonding Program'!$C$8,R$3=IF('Bonding Program'!$P$23&lt;&gt;"",'Bonding Program'!$P$23,'Bonding Program'!$C$8)),'Bonding Program'!$Z$23,0)+IF(AND('Bonding Program'!$P$23&lt;&gt;"",R$3='Bonding Program'!$P$23,R$3&lt;='Bonding Program'!$C$8),N('Bonding Program'!$O$23),0)</f>
        <v>0</v>
      </c>
      <c r="S164" s="19" t="n">
        <f aca="false">IF(AND('Bonding Program'!$S$23=1,'Bonding Program'!$H$23&gt;'Bonding Program'!$C$8,S$3='Bonding Program'!$H$23),'Bonding Program'!$T$23-'Bonding Program'!$U$23-'Bonding Program'!$Z$23,0)-IF(AND('Bonding Program'!$S$23=1,'Bonding Program'!$H$23&lt;='Bonding Program'!$C$8,S$3=IF('Bonding Program'!$P$23&lt;&gt;"",'Bonding Program'!$P$23,'Bonding Program'!$C$8)),'Bonding Program'!$Z$23,0)+IF(AND('Bonding Program'!$P$23&lt;&gt;"",S$3='Bonding Program'!$P$23,S$3&lt;='Bonding Program'!$C$8),N('Bonding Program'!$O$23),0)</f>
        <v>0</v>
      </c>
      <c r="T164" s="19" t="n">
        <f aca="false">IF(AND('Bonding Program'!$S$23=1,'Bonding Program'!$H$23&gt;'Bonding Program'!$C$8,T$3='Bonding Program'!$H$23),'Bonding Program'!$T$23-'Bonding Program'!$U$23-'Bonding Program'!$Z$23,0)-IF(AND('Bonding Program'!$S$23=1,'Bonding Program'!$H$23&lt;='Bonding Program'!$C$8,T$3=IF('Bonding Program'!$P$23&lt;&gt;"",'Bonding Program'!$P$23,'Bonding Program'!$C$8)),'Bonding Program'!$Z$23,0)+IF(AND('Bonding Program'!$P$23&lt;&gt;"",T$3='Bonding Program'!$P$23,T$3&lt;='Bonding Program'!$C$8),N('Bonding Program'!$O$23),0)</f>
        <v>0</v>
      </c>
      <c r="U164" s="19" t="n">
        <f aca="false">IF(AND('Bonding Program'!$S$23=1,'Bonding Program'!$H$23&gt;'Bonding Program'!$C$8,U$3='Bonding Program'!$H$23),'Bonding Program'!$T$23-'Bonding Program'!$U$23-'Bonding Program'!$Z$23,0)-IF(AND('Bonding Program'!$S$23=1,'Bonding Program'!$H$23&lt;='Bonding Program'!$C$8,U$3=IF('Bonding Program'!$P$23&lt;&gt;"",'Bonding Program'!$P$23,'Bonding Program'!$C$8)),'Bonding Program'!$Z$23,0)+IF(AND('Bonding Program'!$P$23&lt;&gt;"",U$3='Bonding Program'!$P$23,U$3&lt;='Bonding Program'!$C$8),N('Bonding Program'!$O$23),0)</f>
        <v>0</v>
      </c>
      <c r="V164" s="19" t="n">
        <f aca="false">IF(AND('Bonding Program'!$S$23=1,'Bonding Program'!$H$23&gt;'Bonding Program'!$C$8,V$3='Bonding Program'!$H$23),'Bonding Program'!$T$23-'Bonding Program'!$U$23-'Bonding Program'!$Z$23,0)-IF(AND('Bonding Program'!$S$23=1,'Bonding Program'!$H$23&lt;='Bonding Program'!$C$8,V$3=IF('Bonding Program'!$P$23&lt;&gt;"",'Bonding Program'!$P$23,'Bonding Program'!$C$8)),'Bonding Program'!$Z$23,0)+IF(AND('Bonding Program'!$P$23&lt;&gt;"",V$3='Bonding Program'!$P$23,V$3&lt;='Bonding Program'!$C$8),N('Bonding Program'!$O$23),0)</f>
        <v>0</v>
      </c>
      <c r="W164" s="19" t="n">
        <f aca="false">IF(AND('Bonding Program'!$S$23=1,'Bonding Program'!$H$23&gt;'Bonding Program'!$C$8,W$3='Bonding Program'!$H$23),'Bonding Program'!$T$23-'Bonding Program'!$U$23-'Bonding Program'!$Z$23,0)-IF(AND('Bonding Program'!$S$23=1,'Bonding Program'!$H$23&lt;='Bonding Program'!$C$8,W$3=IF('Bonding Program'!$P$23&lt;&gt;"",'Bonding Program'!$P$23,'Bonding Program'!$C$8)),'Bonding Program'!$Z$23,0)+IF(AND('Bonding Program'!$P$23&lt;&gt;"",W$3='Bonding Program'!$P$23,W$3&lt;='Bonding Program'!$C$8),N('Bonding Program'!$O$23),0)</f>
        <v>0</v>
      </c>
      <c r="X164" s="19" t="n">
        <f aca="false">IF(AND('Bonding Program'!$S$23=1,'Bonding Program'!$H$23&gt;'Bonding Program'!$C$8,X$3='Bonding Program'!$H$23),'Bonding Program'!$T$23-'Bonding Program'!$U$23-'Bonding Program'!$Z$23,0)-IF(AND('Bonding Program'!$S$23=1,'Bonding Program'!$H$23&lt;='Bonding Program'!$C$8,X$3=IF('Bonding Program'!$P$23&lt;&gt;"",'Bonding Program'!$P$23,'Bonding Program'!$C$8)),'Bonding Program'!$Z$23,0)+IF(AND('Bonding Program'!$P$23&lt;&gt;"",X$3='Bonding Program'!$P$23,X$3&lt;='Bonding Program'!$C$8),N('Bonding Program'!$O$23),0)</f>
        <v>0</v>
      </c>
      <c r="Y164" s="19" t="n">
        <f aca="false">IF(AND('Bonding Program'!$S$23=1,'Bonding Program'!$H$23&gt;'Bonding Program'!$C$8,Y$3='Bonding Program'!$H$23),'Bonding Program'!$T$23-'Bonding Program'!$U$23-'Bonding Program'!$Z$23,0)-IF(AND('Bonding Program'!$S$23=1,'Bonding Program'!$H$23&lt;='Bonding Program'!$C$8,Y$3=IF('Bonding Program'!$P$23&lt;&gt;"",'Bonding Program'!$P$23,'Bonding Program'!$C$8)),'Bonding Program'!$Z$23,0)+IF(AND('Bonding Program'!$P$23&lt;&gt;"",Y$3='Bonding Program'!$P$23,Y$3&lt;='Bonding Program'!$C$8),N('Bonding Program'!$O$23),0)</f>
        <v>0</v>
      </c>
      <c r="Z164" s="19" t="n">
        <f aca="false">IF(AND('Bonding Program'!$S$23=1,'Bonding Program'!$H$23&gt;'Bonding Program'!$C$8,Z$3='Bonding Program'!$H$23),'Bonding Program'!$T$23-'Bonding Program'!$U$23-'Bonding Program'!$Z$23,0)-IF(AND('Bonding Program'!$S$23=1,'Bonding Program'!$H$23&lt;='Bonding Program'!$C$8,Z$3=IF('Bonding Program'!$P$23&lt;&gt;"",'Bonding Program'!$P$23,'Bonding Program'!$C$8)),'Bonding Program'!$Z$23,0)+IF(AND('Bonding Program'!$P$23&lt;&gt;"",Z$3='Bonding Program'!$P$23,Z$3&lt;='Bonding Program'!$C$8),N('Bonding Program'!$O$23),0)</f>
        <v>0</v>
      </c>
      <c r="AA164" s="19" t="n">
        <f aca="false">IF(AND('Bonding Program'!$S$23=1,'Bonding Program'!$H$23&gt;'Bonding Program'!$C$8,AA$3='Bonding Program'!$H$23),'Bonding Program'!$T$23-'Bonding Program'!$U$23-'Bonding Program'!$Z$23,0)-IF(AND('Bonding Program'!$S$23=1,'Bonding Program'!$H$23&lt;='Bonding Program'!$C$8,AA$3=IF('Bonding Program'!$P$23&lt;&gt;"",'Bonding Program'!$P$23,'Bonding Program'!$C$8)),'Bonding Program'!$Z$23,0)+IF(AND('Bonding Program'!$P$23&lt;&gt;"",AA$3='Bonding Program'!$P$23,AA$3&lt;='Bonding Program'!$C$8),N('Bonding Program'!$O$23),0)</f>
        <v>0</v>
      </c>
      <c r="AB164" s="19" t="n">
        <f aca="false">IF(AND('Bonding Program'!$S$23=1,'Bonding Program'!$H$23&gt;'Bonding Program'!$C$8,AB$3='Bonding Program'!$H$23),'Bonding Program'!$T$23-'Bonding Program'!$U$23-'Bonding Program'!$Z$23,0)-IF(AND('Bonding Program'!$S$23=1,'Bonding Program'!$H$23&lt;='Bonding Program'!$C$8,AB$3=IF('Bonding Program'!$P$23&lt;&gt;"",'Bonding Program'!$P$23,'Bonding Program'!$C$8)),'Bonding Program'!$Z$23,0)+IF(AND('Bonding Program'!$P$23&lt;&gt;"",AB$3='Bonding Program'!$P$23,AB$3&lt;='Bonding Program'!$C$8),N('Bonding Program'!$O$23),0)</f>
        <v>0</v>
      </c>
      <c r="AC164" s="19" t="n">
        <f aca="false">IF(AND('Bonding Program'!$S$23=1,'Bonding Program'!$H$23&gt;'Bonding Program'!$C$8,AC$3='Bonding Program'!$H$23),'Bonding Program'!$T$23-'Bonding Program'!$U$23-'Bonding Program'!$Z$23,0)-IF(AND('Bonding Program'!$S$23=1,'Bonding Program'!$H$23&lt;='Bonding Program'!$C$8,AC$3=IF('Bonding Program'!$P$23&lt;&gt;"",'Bonding Program'!$P$23,'Bonding Program'!$C$8)),'Bonding Program'!$Z$23,0)+IF(AND('Bonding Program'!$P$23&lt;&gt;"",AC$3='Bonding Program'!$P$23,AC$3&lt;='Bonding Program'!$C$8),N('Bonding Program'!$O$23),0)</f>
        <v>0</v>
      </c>
      <c r="AD164" s="19" t="n">
        <f aca="false">IF(AND('Bonding Program'!$S$23=1,'Bonding Program'!$H$23&gt;'Bonding Program'!$C$8,AD$3='Bonding Program'!$H$23),'Bonding Program'!$T$23-'Bonding Program'!$U$23-'Bonding Program'!$Z$23,0)-IF(AND('Bonding Program'!$S$23=1,'Bonding Program'!$H$23&lt;='Bonding Program'!$C$8,AD$3=IF('Bonding Program'!$P$23&lt;&gt;"",'Bonding Program'!$P$23,'Bonding Program'!$C$8)),'Bonding Program'!$Z$23,0)+IF(AND('Bonding Program'!$P$23&lt;&gt;"",AD$3='Bonding Program'!$P$23,AD$3&lt;='Bonding Program'!$C$8),N('Bonding Program'!$O$23),0)</f>
        <v>0</v>
      </c>
      <c r="AE164" s="19" t="n">
        <f aca="false">IF(AND('Bonding Program'!$S$23=1,'Bonding Program'!$H$23&gt;'Bonding Program'!$C$8,AE$3='Bonding Program'!$H$23),'Bonding Program'!$T$23-'Bonding Program'!$U$23-'Bonding Program'!$Z$23,0)-IF(AND('Bonding Program'!$S$23=1,'Bonding Program'!$H$23&lt;='Bonding Program'!$C$8,AE$3=IF('Bonding Program'!$P$23&lt;&gt;"",'Bonding Program'!$P$23,'Bonding Program'!$C$8)),'Bonding Program'!$Z$23,0)+IF(AND('Bonding Program'!$P$23&lt;&gt;"",AE$3='Bonding Program'!$P$23,AE$3&lt;='Bonding Program'!$C$8),N('Bonding Program'!$O$23),0)</f>
        <v>-732873.342955665</v>
      </c>
      <c r="AF164" s="19" t="n">
        <f aca="false">IF(AND('Bonding Program'!$S$23=1,'Bonding Program'!$H$23&gt;'Bonding Program'!$C$8,AF$3='Bonding Program'!$H$23),'Bonding Program'!$T$23-'Bonding Program'!$U$23-'Bonding Program'!$Z$23,0)-IF(AND('Bonding Program'!$S$23=1,'Bonding Program'!$H$23&lt;='Bonding Program'!$C$8,AF$3=IF('Bonding Program'!$P$23&lt;&gt;"",'Bonding Program'!$P$23,'Bonding Program'!$C$8)),'Bonding Program'!$Z$23,0)+IF(AND('Bonding Program'!$P$23&lt;&gt;"",AF$3='Bonding Program'!$P$23,AF$3&lt;='Bonding Program'!$C$8),N('Bonding Program'!$O$23),0)</f>
        <v>0</v>
      </c>
      <c r="AG164" s="19" t="n">
        <f aca="false">IF(AND('Bonding Program'!$S$23=1,'Bonding Program'!$H$23&gt;'Bonding Program'!$C$8,AG$3='Bonding Program'!$H$23),'Bonding Program'!$T$23-'Bonding Program'!$U$23-'Bonding Program'!$Z$23,0)-IF(AND('Bonding Program'!$S$23=1,'Bonding Program'!$H$23&lt;='Bonding Program'!$C$8,AG$3=IF('Bonding Program'!$P$23&lt;&gt;"",'Bonding Program'!$P$23,'Bonding Program'!$C$8)),'Bonding Program'!$Z$23,0)+IF(AND('Bonding Program'!$P$23&lt;&gt;"",AG$3='Bonding Program'!$P$23,AG$3&lt;='Bonding Program'!$C$8),N('Bonding Program'!$O$23),0)</f>
        <v>0</v>
      </c>
      <c r="AH164" s="19" t="n">
        <f aca="false">IF(AND('Bonding Program'!$S$23=1,'Bonding Program'!$H$23&gt;'Bonding Program'!$C$8,AH$3='Bonding Program'!$H$23),'Bonding Program'!$T$23-'Bonding Program'!$U$23-'Bonding Program'!$Z$23,0)-IF(AND('Bonding Program'!$S$23=1,'Bonding Program'!$H$23&lt;='Bonding Program'!$C$8,AH$3=IF('Bonding Program'!$P$23&lt;&gt;"",'Bonding Program'!$P$23,'Bonding Program'!$C$8)),'Bonding Program'!$Z$23,0)+IF(AND('Bonding Program'!$P$23&lt;&gt;"",AH$3='Bonding Program'!$P$23,AH$3&lt;='Bonding Program'!$C$8),N('Bonding Program'!$O$23),0)</f>
        <v>0</v>
      </c>
      <c r="AI164" s="19" t="n">
        <f aca="false">IF(AND('Bonding Program'!$S$23=1,'Bonding Program'!$H$23&gt;'Bonding Program'!$C$8,AI$3='Bonding Program'!$H$23),'Bonding Program'!$T$23-'Bonding Program'!$U$23-'Bonding Program'!$Z$23,0)-IF(AND('Bonding Program'!$S$23=1,'Bonding Program'!$H$23&lt;='Bonding Program'!$C$8,AI$3=IF('Bonding Program'!$P$23&lt;&gt;"",'Bonding Program'!$P$23,'Bonding Program'!$C$8)),'Bonding Program'!$Z$23,0)+IF(AND('Bonding Program'!$P$23&lt;&gt;"",AI$3='Bonding Program'!$P$23,AI$3&lt;='Bonding Program'!$C$8),N('Bonding Program'!$O$23),0)</f>
        <v>0</v>
      </c>
      <c r="AJ164" s="19" t="n">
        <f aca="false">IF(AND('Bonding Program'!$S$23=1,'Bonding Program'!$H$23&gt;'Bonding Program'!$C$8,AJ$3='Bonding Program'!$H$23),'Bonding Program'!$T$23-'Bonding Program'!$U$23-'Bonding Program'!$Z$23,0)-IF(AND('Bonding Program'!$S$23=1,'Bonding Program'!$H$23&lt;='Bonding Program'!$C$8,AJ$3=IF('Bonding Program'!$P$23&lt;&gt;"",'Bonding Program'!$P$23,'Bonding Program'!$C$8)),'Bonding Program'!$Z$23,0)+IF(AND('Bonding Program'!$P$23&lt;&gt;"",AJ$3='Bonding Program'!$P$23,AJ$3&lt;='Bonding Program'!$C$8),N('Bonding Program'!$O$23),0)</f>
        <v>0</v>
      </c>
      <c r="AK164" s="19" t="n">
        <f aca="false">IF(AND('Bonding Program'!$S$23=1,'Bonding Program'!$H$23&gt;'Bonding Program'!$C$8,AK$3='Bonding Program'!$H$23),'Bonding Program'!$T$23-'Bonding Program'!$U$23-'Bonding Program'!$Z$23,0)-IF(AND('Bonding Program'!$S$23=1,'Bonding Program'!$H$23&lt;='Bonding Program'!$C$8,AK$3=IF('Bonding Program'!$P$23&lt;&gt;"",'Bonding Program'!$P$23,'Bonding Program'!$C$8)),'Bonding Program'!$Z$23,0)+IF(AND('Bonding Program'!$P$23&lt;&gt;"",AK$3='Bonding Program'!$P$23,AK$3&lt;='Bonding Program'!$C$8),N('Bonding Program'!$O$23),0)</f>
        <v>0</v>
      </c>
      <c r="AL164" s="19" t="n">
        <f aca="false">IF(AND('Bonding Program'!$S$23=1,'Bonding Program'!$H$23&gt;'Bonding Program'!$C$8,AL$3='Bonding Program'!$H$23),'Bonding Program'!$T$23-'Bonding Program'!$U$23-'Bonding Program'!$Z$23,0)-IF(AND('Bonding Program'!$S$23=1,'Bonding Program'!$H$23&lt;='Bonding Program'!$C$8,AL$3=IF('Bonding Program'!$P$23&lt;&gt;"",'Bonding Program'!$P$23,'Bonding Program'!$C$8)),'Bonding Program'!$Z$23,0)+IF(AND('Bonding Program'!$P$23&lt;&gt;"",AL$3='Bonding Program'!$P$23,AL$3&lt;='Bonding Program'!$C$8),N('Bonding Program'!$O$23),0)</f>
        <v>0</v>
      </c>
      <c r="AM164" s="19" t="n">
        <f aca="false">IF(AND('Bonding Program'!$S$23=1,'Bonding Program'!$H$23&gt;'Bonding Program'!$C$8,AM$3='Bonding Program'!$H$23),'Bonding Program'!$T$23-'Bonding Program'!$U$23-'Bonding Program'!$Z$23,0)-IF(AND('Bonding Program'!$S$23=1,'Bonding Program'!$H$23&lt;='Bonding Program'!$C$8,AM$3=IF('Bonding Program'!$P$23&lt;&gt;"",'Bonding Program'!$P$23,'Bonding Program'!$C$8)),'Bonding Program'!$Z$23,0)+IF(AND('Bonding Program'!$P$23&lt;&gt;"",AM$3='Bonding Program'!$P$23,AM$3&lt;='Bonding Program'!$C$8),N('Bonding Program'!$O$23),0)</f>
        <v>0</v>
      </c>
      <c r="AN164" s="19" t="n">
        <f aca="false">IF(AND('Bonding Program'!$S$23=1,'Bonding Program'!$H$23&gt;'Bonding Program'!$C$8,AN$3='Bonding Program'!$H$23),'Bonding Program'!$T$23-'Bonding Program'!$U$23-'Bonding Program'!$Z$23,0)-IF(AND('Bonding Program'!$S$23=1,'Bonding Program'!$H$23&lt;='Bonding Program'!$C$8,AN$3=IF('Bonding Program'!$P$23&lt;&gt;"",'Bonding Program'!$P$23,'Bonding Program'!$C$8)),'Bonding Program'!$Z$23,0)+IF(AND('Bonding Program'!$P$23&lt;&gt;"",AN$3='Bonding Program'!$P$23,AN$3&lt;='Bonding Program'!$C$8),N('Bonding Program'!$O$23),0)</f>
        <v>0</v>
      </c>
      <c r="AO164" s="19" t="n">
        <f aca="false">IF(AND('Bonding Program'!$S$23=1,'Bonding Program'!$H$23&gt;'Bonding Program'!$C$8,AO$3='Bonding Program'!$H$23),'Bonding Program'!$T$23-'Bonding Program'!$U$23-'Bonding Program'!$Z$23,0)-IF(AND('Bonding Program'!$S$23=1,'Bonding Program'!$H$23&lt;='Bonding Program'!$C$8,AO$3=IF('Bonding Program'!$P$23&lt;&gt;"",'Bonding Program'!$P$23,'Bonding Program'!$C$8)),'Bonding Program'!$Z$23,0)+IF(AND('Bonding Program'!$P$23&lt;&gt;"",AO$3='Bonding Program'!$P$23,AO$3&lt;='Bonding Program'!$C$8),N('Bonding Program'!$O$23),0)</f>
        <v>0</v>
      </c>
      <c r="AP164" s="19" t="n">
        <f aca="false">IF(AND('Bonding Program'!$S$23=1,'Bonding Program'!$H$23&gt;'Bonding Program'!$C$8,AP$3='Bonding Program'!$H$23),'Bonding Program'!$T$23-'Bonding Program'!$U$23-'Bonding Program'!$Z$23,0)-IF(AND('Bonding Program'!$S$23=1,'Bonding Program'!$H$23&lt;='Bonding Program'!$C$8,AP$3=IF('Bonding Program'!$P$23&lt;&gt;"",'Bonding Program'!$P$23,'Bonding Program'!$C$8)),'Bonding Program'!$Z$23,0)+IF(AND('Bonding Program'!$P$23&lt;&gt;"",AP$3='Bonding Program'!$P$23,AP$3&lt;='Bonding Program'!$C$8),N('Bonding Program'!$O$23),0)</f>
        <v>0</v>
      </c>
      <c r="AQ164" s="19" t="n">
        <f aca="false">IF(AND('Bonding Program'!$S$23=1,'Bonding Program'!$H$23&gt;'Bonding Program'!$C$8,AQ$3='Bonding Program'!$H$23),'Bonding Program'!$T$23-'Bonding Program'!$U$23-'Bonding Program'!$Z$23,0)-IF(AND('Bonding Program'!$S$23=1,'Bonding Program'!$H$23&lt;='Bonding Program'!$C$8,AQ$3=IF('Bonding Program'!$P$23&lt;&gt;"",'Bonding Program'!$P$23,'Bonding Program'!$C$8)),'Bonding Program'!$Z$23,0)+IF(AND('Bonding Program'!$P$23&lt;&gt;"",AQ$3='Bonding Program'!$P$23,AQ$3&lt;='Bonding Program'!$C$8),N('Bonding Program'!$O$23),0)</f>
        <v>0</v>
      </c>
      <c r="AR164" s="19" t="n">
        <f aca="false">IF(AND('Bonding Program'!$S$23=1,'Bonding Program'!$H$23&gt;'Bonding Program'!$C$8,AR$3='Bonding Program'!$H$23),'Bonding Program'!$T$23-'Bonding Program'!$U$23-'Bonding Program'!$Z$23,0)-IF(AND('Bonding Program'!$S$23=1,'Bonding Program'!$H$23&lt;='Bonding Program'!$C$8,AR$3=IF('Bonding Program'!$P$23&lt;&gt;"",'Bonding Program'!$P$23,'Bonding Program'!$C$8)),'Bonding Program'!$Z$23,0)+IF(AND('Bonding Program'!$P$23&lt;&gt;"",AR$3='Bonding Program'!$P$23,AR$3&lt;='Bonding Program'!$C$8),N('Bonding Program'!$O$23),0)</f>
        <v>0</v>
      </c>
      <c r="AS164" s="19" t="n">
        <f aca="false">IF(AND('Bonding Program'!$S$23=1,'Bonding Program'!$H$23&gt;'Bonding Program'!$C$8,AS$3='Bonding Program'!$H$23),'Bonding Program'!$T$23-'Bonding Program'!$U$23-'Bonding Program'!$Z$23,0)-IF(AND('Bonding Program'!$S$23=1,'Bonding Program'!$H$23&lt;='Bonding Program'!$C$8,AS$3=IF('Bonding Program'!$P$23&lt;&gt;"",'Bonding Program'!$P$23,'Bonding Program'!$C$8)),'Bonding Program'!$Z$23,0)+IF(AND('Bonding Program'!$P$23&lt;&gt;"",AS$3='Bonding Program'!$P$23,AS$3&lt;='Bonding Program'!$C$8),N('Bonding Program'!$O$23),0)</f>
        <v>0</v>
      </c>
      <c r="AT164" s="19" t="n">
        <f aca="false">IF(AND('Bonding Program'!$S$23=1,'Bonding Program'!$H$23&gt;'Bonding Program'!$C$8,AT$3='Bonding Program'!$H$23),'Bonding Program'!$T$23-'Bonding Program'!$U$23-'Bonding Program'!$Z$23,0)-IF(AND('Bonding Program'!$S$23=1,'Bonding Program'!$H$23&lt;='Bonding Program'!$C$8,AT$3=IF('Bonding Program'!$P$23&lt;&gt;"",'Bonding Program'!$P$23,'Bonding Program'!$C$8)),'Bonding Program'!$Z$23,0)+IF(AND('Bonding Program'!$P$23&lt;&gt;"",AT$3='Bonding Program'!$P$23,AT$3&lt;='Bonding Program'!$C$8),N('Bonding Program'!$O$23),0)</f>
        <v>0</v>
      </c>
      <c r="AU164" s="19" t="n">
        <f aca="false">IF(AND('Bonding Program'!$S$23=1,'Bonding Program'!$H$23&gt;'Bonding Program'!$C$8,AU$3='Bonding Program'!$H$23),'Bonding Program'!$T$23-'Bonding Program'!$U$23-'Bonding Program'!$Z$23,0)-IF(AND('Bonding Program'!$S$23=1,'Bonding Program'!$H$23&lt;='Bonding Program'!$C$8,AU$3=IF('Bonding Program'!$P$23&lt;&gt;"",'Bonding Program'!$P$23,'Bonding Program'!$C$8)),'Bonding Program'!$Z$23,0)+IF(AND('Bonding Program'!$P$23&lt;&gt;"",AU$3='Bonding Program'!$P$23,AU$3&lt;='Bonding Program'!$C$8),N('Bonding Program'!$O$23),0)</f>
        <v>0</v>
      </c>
      <c r="AV164" s="19" t="n">
        <f aca="false">IF(AND('Bonding Program'!$S$23=1,'Bonding Program'!$H$23&gt;'Bonding Program'!$C$8,AV$3='Bonding Program'!$H$23),'Bonding Program'!$T$23-'Bonding Program'!$U$23-'Bonding Program'!$Z$23,0)-IF(AND('Bonding Program'!$S$23=1,'Bonding Program'!$H$23&lt;='Bonding Program'!$C$8,AV$3=IF('Bonding Program'!$P$23&lt;&gt;"",'Bonding Program'!$P$23,'Bonding Program'!$C$8)),'Bonding Program'!$Z$23,0)+IF(AND('Bonding Program'!$P$23&lt;&gt;"",AV$3='Bonding Program'!$P$23,AV$3&lt;='Bonding Program'!$C$8),N('Bonding Program'!$O$23),0)</f>
        <v>0</v>
      </c>
      <c r="AW164" s="19" t="n">
        <f aca="false">IF(AND('Bonding Program'!$S$23=1,'Bonding Program'!$H$23&gt;'Bonding Program'!$C$8,AW$3='Bonding Program'!$H$23),'Bonding Program'!$T$23-'Bonding Program'!$U$23-'Bonding Program'!$Z$23,0)-IF(AND('Bonding Program'!$S$23=1,'Bonding Program'!$H$23&lt;='Bonding Program'!$C$8,AW$3=IF('Bonding Program'!$P$23&lt;&gt;"",'Bonding Program'!$P$23,'Bonding Program'!$C$8)),'Bonding Program'!$Z$23,0)+IF(AND('Bonding Program'!$P$23&lt;&gt;"",AW$3='Bonding Program'!$P$23,AW$3&lt;='Bonding Program'!$C$8),N('Bonding Program'!$O$23),0)</f>
        <v>0</v>
      </c>
      <c r="AX164" s="19" t="n">
        <f aca="false">IF(AND('Bonding Program'!$S$23=1,'Bonding Program'!$H$23&gt;'Bonding Program'!$C$8,AX$3='Bonding Program'!$H$23),'Bonding Program'!$T$23-'Bonding Program'!$U$23-'Bonding Program'!$Z$23,0)-IF(AND('Bonding Program'!$S$23=1,'Bonding Program'!$H$23&lt;='Bonding Program'!$C$8,AX$3=IF('Bonding Program'!$P$23&lt;&gt;"",'Bonding Program'!$P$23,'Bonding Program'!$C$8)),'Bonding Program'!$Z$23,0)+IF(AND('Bonding Program'!$P$23&lt;&gt;"",AX$3='Bonding Program'!$P$23,AX$3&lt;='Bonding Program'!$C$8),N('Bonding Program'!$O$23),0)</f>
        <v>0</v>
      </c>
      <c r="AY164" s="19" t="n">
        <f aca="false">IF(AND('Bonding Program'!$S$23=1,'Bonding Program'!$H$23&gt;'Bonding Program'!$C$8,AY$3='Bonding Program'!$H$23),'Bonding Program'!$T$23-'Bonding Program'!$U$23-'Bonding Program'!$Z$23,0)-IF(AND('Bonding Program'!$S$23=1,'Bonding Program'!$H$23&lt;='Bonding Program'!$C$8,AY$3=IF('Bonding Program'!$P$23&lt;&gt;"",'Bonding Program'!$P$23,'Bonding Program'!$C$8)),'Bonding Program'!$Z$23,0)+IF(AND('Bonding Program'!$P$23&lt;&gt;"",AY$3='Bonding Program'!$P$23,AY$3&lt;='Bonding Program'!$C$8),N('Bonding Program'!$O$23),0)</f>
        <v>0</v>
      </c>
      <c r="AZ164" s="19" t="n">
        <f aca="false">IF(AND('Bonding Program'!$S$23=1,'Bonding Program'!$H$23&gt;'Bonding Program'!$C$8,AZ$3='Bonding Program'!$H$23),'Bonding Program'!$T$23-'Bonding Program'!$U$23-'Bonding Program'!$Z$23,0)-IF(AND('Bonding Program'!$S$23=1,'Bonding Program'!$H$23&lt;='Bonding Program'!$C$8,AZ$3=IF('Bonding Program'!$P$23&lt;&gt;"",'Bonding Program'!$P$23,'Bonding Program'!$C$8)),'Bonding Program'!$Z$23,0)+IF(AND('Bonding Program'!$P$23&lt;&gt;"",AZ$3='Bonding Program'!$P$23,AZ$3&lt;='Bonding Program'!$C$8),N('Bonding Program'!$O$23),0)</f>
        <v>0</v>
      </c>
      <c r="BA164" s="19" t="n">
        <f aca="false">IF(AND('Bonding Program'!$S$23=1,'Bonding Program'!$H$23&gt;'Bonding Program'!$C$8,BA$3='Bonding Program'!$H$23),'Bonding Program'!$T$23-'Bonding Program'!$U$23-'Bonding Program'!$Z$23,0)-IF(AND('Bonding Program'!$S$23=1,'Bonding Program'!$H$23&lt;='Bonding Program'!$C$8,BA$3=IF('Bonding Program'!$P$23&lt;&gt;"",'Bonding Program'!$P$23,'Bonding Program'!$C$8)),'Bonding Program'!$Z$23,0)+IF(AND('Bonding Program'!$P$23&lt;&gt;"",BA$3='Bonding Program'!$P$23,BA$3&lt;='Bonding Program'!$C$8),N('Bonding Program'!$O$23),0)</f>
        <v>0</v>
      </c>
      <c r="BB164" s="19" t="n">
        <f aca="false">IF(AND('Bonding Program'!$S$23=1,'Bonding Program'!$H$23&gt;'Bonding Program'!$C$8,BB$3='Bonding Program'!$H$23),'Bonding Program'!$T$23-'Bonding Program'!$U$23-'Bonding Program'!$Z$23,0)-IF(AND('Bonding Program'!$S$23=1,'Bonding Program'!$H$23&lt;='Bonding Program'!$C$8,BB$3=IF('Bonding Program'!$P$23&lt;&gt;"",'Bonding Program'!$P$23,'Bonding Program'!$C$8)),'Bonding Program'!$Z$23,0)+IF(AND('Bonding Program'!$P$23&lt;&gt;"",BB$3='Bonding Program'!$P$23,BB$3&lt;='Bonding Program'!$C$8),N('Bonding Program'!$O$23),0)</f>
        <v>0</v>
      </c>
      <c r="BC164" s="19" t="n">
        <f aca="false">IF(AND('Bonding Program'!$S$23=1,'Bonding Program'!$H$23&gt;'Bonding Program'!$C$8,BC$3='Bonding Program'!$H$23),'Bonding Program'!$T$23-'Bonding Program'!$U$23-'Bonding Program'!$Z$23,0)-IF(AND('Bonding Program'!$S$23=1,'Bonding Program'!$H$23&lt;='Bonding Program'!$C$8,BC$3=IF('Bonding Program'!$P$23&lt;&gt;"",'Bonding Program'!$P$23,'Bonding Program'!$C$8)),'Bonding Program'!$Z$23,0)+IF(AND('Bonding Program'!$P$23&lt;&gt;"",BC$3='Bonding Program'!$P$23,BC$3&lt;='Bonding Program'!$C$8),N('Bonding Program'!$O$23),0)</f>
        <v>0</v>
      </c>
      <c r="BD164" s="19" t="n">
        <f aca="false">IF(AND('Bonding Program'!$S$23=1,'Bonding Program'!$H$23&gt;'Bonding Program'!$C$8,BD$3='Bonding Program'!$H$23),'Bonding Program'!$T$23-'Bonding Program'!$U$23-'Bonding Program'!$Z$23,0)-IF(AND('Bonding Program'!$S$23=1,'Bonding Program'!$H$23&lt;='Bonding Program'!$C$8,BD$3=IF('Bonding Program'!$P$23&lt;&gt;"",'Bonding Program'!$P$23,'Bonding Program'!$C$8)),'Bonding Program'!$Z$23,0)+IF(AND('Bonding Program'!$P$23&lt;&gt;"",BD$3='Bonding Program'!$P$23,BD$3&lt;='Bonding Program'!$C$8),N('Bonding Program'!$O$23),0)</f>
        <v>0</v>
      </c>
      <c r="BE164" s="19" t="n">
        <f aca="false">IF(AND('Bonding Program'!$S$23=1,'Bonding Program'!$H$23&gt;'Bonding Program'!$C$8,BE$3='Bonding Program'!$H$23),'Bonding Program'!$T$23-'Bonding Program'!$U$23-'Bonding Program'!$Z$23,0)-IF(AND('Bonding Program'!$S$23=1,'Bonding Program'!$H$23&lt;='Bonding Program'!$C$8,BE$3=IF('Bonding Program'!$P$23&lt;&gt;"",'Bonding Program'!$P$23,'Bonding Program'!$C$8)),'Bonding Program'!$Z$23,0)+IF(AND('Bonding Program'!$P$23&lt;&gt;"",BE$3='Bonding Program'!$P$23,BE$3&lt;='Bonding Program'!$C$8),N('Bonding Program'!$O$23),0)</f>
        <v>0</v>
      </c>
      <c r="BF164" s="19" t="n">
        <f aca="false">IF(AND('Bonding Program'!$S$23=1,'Bonding Program'!$H$23&gt;'Bonding Program'!$C$8,BF$3='Bonding Program'!$H$23),'Bonding Program'!$T$23-'Bonding Program'!$U$23-'Bonding Program'!$Z$23,0)-IF(AND('Bonding Program'!$S$23=1,'Bonding Program'!$H$23&lt;='Bonding Program'!$C$8,BF$3=IF('Bonding Program'!$P$23&lt;&gt;"",'Bonding Program'!$P$23,'Bonding Program'!$C$8)),'Bonding Program'!$Z$23,0)+IF(AND('Bonding Program'!$P$23&lt;&gt;"",BF$3='Bonding Program'!$P$23,BF$3&lt;='Bonding Program'!$C$8),N('Bonding Program'!$O$23),0)</f>
        <v>0</v>
      </c>
      <c r="BG164" s="19" t="n">
        <f aca="false">IF(AND('Bonding Program'!$S$23=1,'Bonding Program'!$H$23&gt;'Bonding Program'!$C$8,BG$3='Bonding Program'!$H$23),'Bonding Program'!$T$23-'Bonding Program'!$U$23-'Bonding Program'!$Z$23,0)-IF(AND('Bonding Program'!$S$23=1,'Bonding Program'!$H$23&lt;='Bonding Program'!$C$8,BG$3=IF('Bonding Program'!$P$23&lt;&gt;"",'Bonding Program'!$P$23,'Bonding Program'!$C$8)),'Bonding Program'!$Z$23,0)+IF(AND('Bonding Program'!$P$23&lt;&gt;"",BG$3='Bonding Program'!$P$23,BG$3&lt;='Bonding Program'!$C$8),N('Bonding Program'!$O$23),0)</f>
        <v>0</v>
      </c>
      <c r="BH164" s="19" t="n">
        <f aca="false">IF(AND('Bonding Program'!$S$23=1,'Bonding Program'!$H$23&gt;'Bonding Program'!$C$8,BH$3='Bonding Program'!$H$23),'Bonding Program'!$T$23-'Bonding Program'!$U$23-'Bonding Program'!$Z$23,0)-IF(AND('Bonding Program'!$S$23=1,'Bonding Program'!$H$23&lt;='Bonding Program'!$C$8,BH$3=IF('Bonding Program'!$P$23&lt;&gt;"",'Bonding Program'!$P$23,'Bonding Program'!$C$8)),'Bonding Program'!$Z$23,0)+IF(AND('Bonding Program'!$P$23&lt;&gt;"",BH$3='Bonding Program'!$P$23,BH$3&lt;='Bonding Program'!$C$8),N('Bonding Program'!$O$23),0)</f>
        <v>0</v>
      </c>
      <c r="BI164" s="19" t="n">
        <f aca="false">IF(AND('Bonding Program'!$S$23=1,'Bonding Program'!$H$23&gt;'Bonding Program'!$C$8,BI$3='Bonding Program'!$H$23),'Bonding Program'!$T$23-'Bonding Program'!$U$23-'Bonding Program'!$Z$23,0)-IF(AND('Bonding Program'!$S$23=1,'Bonding Program'!$H$23&lt;='Bonding Program'!$C$8,BI$3=IF('Bonding Program'!$P$23&lt;&gt;"",'Bonding Program'!$P$23,'Bonding Program'!$C$8)),'Bonding Program'!$Z$23,0)+IF(AND('Bonding Program'!$P$23&lt;&gt;"",BI$3='Bonding Program'!$P$23,BI$3&lt;='Bonding Program'!$C$8),N('Bonding Program'!$O$23),0)</f>
        <v>0</v>
      </c>
      <c r="BJ164" s="19" t="n">
        <f aca="false">IF(AND('Bonding Program'!$S$23=1,'Bonding Program'!$H$23&gt;'Bonding Program'!$C$8,BJ$3='Bonding Program'!$H$23),'Bonding Program'!$T$23-'Bonding Program'!$U$23-'Bonding Program'!$Z$23,0)-IF(AND('Bonding Program'!$S$23=1,'Bonding Program'!$H$23&lt;='Bonding Program'!$C$8,BJ$3=IF('Bonding Program'!$P$23&lt;&gt;"",'Bonding Program'!$P$23,'Bonding Program'!$C$8)),'Bonding Program'!$Z$23,0)+IF(AND('Bonding Program'!$P$23&lt;&gt;"",BJ$3='Bonding Program'!$P$23,BJ$3&lt;='Bonding Program'!$C$8),N('Bonding Program'!$O$23),0)</f>
        <v>0</v>
      </c>
      <c r="BK164" s="19" t="n">
        <f aca="false">IF(AND('Bonding Program'!$S$23=1,'Bonding Program'!$H$23&gt;'Bonding Program'!$C$8,BK$3='Bonding Program'!$H$23),'Bonding Program'!$T$23-'Bonding Program'!$U$23-'Bonding Program'!$Z$23,0)-IF(AND('Bonding Program'!$S$23=1,'Bonding Program'!$H$23&lt;='Bonding Program'!$C$8,BK$3=IF('Bonding Program'!$P$23&lt;&gt;"",'Bonding Program'!$P$23,'Bonding Program'!$C$8)),'Bonding Program'!$Z$23,0)+IF(AND('Bonding Program'!$P$23&lt;&gt;"",BK$3='Bonding Program'!$P$23,BK$3&lt;='Bonding Program'!$C$8),N('Bonding Program'!$O$23),0)</f>
        <v>0</v>
      </c>
      <c r="BL164" s="19" t="n">
        <f aca="false">IF(AND('Bonding Program'!$S$23=1,'Bonding Program'!$H$23&gt;'Bonding Program'!$C$8,BL$3='Bonding Program'!$H$23),'Bonding Program'!$T$23-'Bonding Program'!$U$23-'Bonding Program'!$Z$23,0)-IF(AND('Bonding Program'!$S$23=1,'Bonding Program'!$H$23&lt;='Bonding Program'!$C$8,BL$3=IF('Bonding Program'!$P$23&lt;&gt;"",'Bonding Program'!$P$23,'Bonding Program'!$C$8)),'Bonding Program'!$Z$23,0)+IF(AND('Bonding Program'!$P$23&lt;&gt;"",BL$3='Bonding Program'!$P$23,BL$3&lt;='Bonding Program'!$C$8),N('Bonding Program'!$O$23),0)</f>
        <v>0</v>
      </c>
      <c r="BM164" s="19" t="n">
        <f aca="false">IF(AND('Bonding Program'!$S$23=1,'Bonding Program'!$H$23&gt;'Bonding Program'!$C$8,BM$3='Bonding Program'!$H$23),'Bonding Program'!$T$23-'Bonding Program'!$U$23-'Bonding Program'!$Z$23,0)-IF(AND('Bonding Program'!$S$23=1,'Bonding Program'!$H$23&lt;='Bonding Program'!$C$8,BM$3=IF('Bonding Program'!$P$23&lt;&gt;"",'Bonding Program'!$P$23,'Bonding Program'!$C$8)),'Bonding Program'!$Z$23,0)+IF(AND('Bonding Program'!$P$23&lt;&gt;"",BM$3='Bonding Program'!$P$23,BM$3&lt;='Bonding Program'!$C$8),N('Bonding Program'!$O$23),0)</f>
        <v>0</v>
      </c>
      <c r="BN164" s="19" t="n">
        <f aca="false">IF(AND('Bonding Program'!$S$23=1,'Bonding Program'!$H$23&gt;'Bonding Program'!$C$8,BN$3='Bonding Program'!$H$23),'Bonding Program'!$T$23-'Bonding Program'!$U$23-'Bonding Program'!$Z$23,0)-IF(AND('Bonding Program'!$S$23=1,'Bonding Program'!$H$23&lt;='Bonding Program'!$C$8,BN$3=IF('Bonding Program'!$P$23&lt;&gt;"",'Bonding Program'!$P$23,'Bonding Program'!$C$8)),'Bonding Program'!$Z$23,0)+IF(AND('Bonding Program'!$P$23&lt;&gt;"",BN$3='Bonding Program'!$P$23,BN$3&lt;='Bonding Program'!$C$8),N('Bonding Program'!$O$23),0)</f>
        <v>0</v>
      </c>
      <c r="BO164" s="19" t="n">
        <f aca="false">IF(AND('Bonding Program'!$S$23=1,'Bonding Program'!$H$23&gt;'Bonding Program'!$C$8,BO$3='Bonding Program'!$H$23),'Bonding Program'!$T$23-'Bonding Program'!$U$23-'Bonding Program'!$Z$23,0)-IF(AND('Bonding Program'!$S$23=1,'Bonding Program'!$H$23&lt;='Bonding Program'!$C$8,BO$3=IF('Bonding Program'!$P$23&lt;&gt;"",'Bonding Program'!$P$23,'Bonding Program'!$C$8)),'Bonding Program'!$Z$23,0)+IF(AND('Bonding Program'!$P$23&lt;&gt;"",BO$3='Bonding Program'!$P$23,BO$3&lt;='Bonding Program'!$C$8),N('Bonding Program'!$O$23),0)</f>
        <v>0</v>
      </c>
      <c r="BP164" s="19" t="n">
        <f aca="false">IF(AND('Bonding Program'!$S$23=1,'Bonding Program'!$H$23&gt;'Bonding Program'!$C$8,BP$3='Bonding Program'!$H$23),'Bonding Program'!$T$23-'Bonding Program'!$U$23-'Bonding Program'!$Z$23,0)-IF(AND('Bonding Program'!$S$23=1,'Bonding Program'!$H$23&lt;='Bonding Program'!$C$8,BP$3=IF('Bonding Program'!$P$23&lt;&gt;"",'Bonding Program'!$P$23,'Bonding Program'!$C$8)),'Bonding Program'!$Z$23,0)+IF(AND('Bonding Program'!$P$23&lt;&gt;"",BP$3='Bonding Program'!$P$23,BP$3&lt;='Bonding Program'!$C$8),N('Bonding Program'!$O$23),0)</f>
        <v>0</v>
      </c>
      <c r="BQ164" s="19" t="n">
        <f aca="false">IF(AND('Bonding Program'!$S$23=1,'Bonding Program'!$H$23&gt;'Bonding Program'!$C$8,BQ$3='Bonding Program'!$H$23),'Bonding Program'!$T$23-'Bonding Program'!$U$23-'Bonding Program'!$Z$23,0)-IF(AND('Bonding Program'!$S$23=1,'Bonding Program'!$H$23&lt;='Bonding Program'!$C$8,BQ$3=IF('Bonding Program'!$P$23&lt;&gt;"",'Bonding Program'!$P$23,'Bonding Program'!$C$8)),'Bonding Program'!$Z$23,0)+IF(AND('Bonding Program'!$P$23&lt;&gt;"",BQ$3='Bonding Program'!$P$23,BQ$3&lt;='Bonding Program'!$C$8),N('Bonding Program'!$O$23),0)</f>
        <v>0</v>
      </c>
      <c r="BR164" s="19" t="n">
        <f aca="false">IF(AND('Bonding Program'!$S$23=1,'Bonding Program'!$H$23&gt;'Bonding Program'!$C$8,BR$3='Bonding Program'!$H$23),'Bonding Program'!$T$23-'Bonding Program'!$U$23-'Bonding Program'!$Z$23,0)-IF(AND('Bonding Program'!$S$23=1,'Bonding Program'!$H$23&lt;='Bonding Program'!$C$8,BR$3=IF('Bonding Program'!$P$23&lt;&gt;"",'Bonding Program'!$P$23,'Bonding Program'!$C$8)),'Bonding Program'!$Z$23,0)+IF(AND('Bonding Program'!$P$23&lt;&gt;"",BR$3='Bonding Program'!$P$23,BR$3&lt;='Bonding Program'!$C$8),N('Bonding Program'!$O$23),0)</f>
        <v>0</v>
      </c>
      <c r="BS164" s="19" t="n">
        <f aca="false">IF(AND('Bonding Program'!$S$23=1,'Bonding Program'!$H$23&gt;'Bonding Program'!$C$8,BS$3='Bonding Program'!$H$23),'Bonding Program'!$T$23-'Bonding Program'!$U$23-'Bonding Program'!$Z$23,0)-IF(AND('Bonding Program'!$S$23=1,'Bonding Program'!$H$23&lt;='Bonding Program'!$C$8,BS$3=IF('Bonding Program'!$P$23&lt;&gt;"",'Bonding Program'!$P$23,'Bonding Program'!$C$8)),'Bonding Program'!$Z$23,0)+IF(AND('Bonding Program'!$P$23&lt;&gt;"",BS$3='Bonding Program'!$P$23,BS$3&lt;='Bonding Program'!$C$8),N('Bonding Program'!$O$23),0)</f>
        <v>0</v>
      </c>
      <c r="BT164" s="19" t="n">
        <f aca="false">IF(AND('Bonding Program'!$S$23=1,'Bonding Program'!$H$23&gt;'Bonding Program'!$C$8,BT$3='Bonding Program'!$H$23),'Bonding Program'!$T$23-'Bonding Program'!$U$23-'Bonding Program'!$Z$23,0)-IF(AND('Bonding Program'!$S$23=1,'Bonding Program'!$H$23&lt;='Bonding Program'!$C$8,BT$3=IF('Bonding Program'!$P$23&lt;&gt;"",'Bonding Program'!$P$23,'Bonding Program'!$C$8)),'Bonding Program'!$Z$23,0)+IF(AND('Bonding Program'!$P$23&lt;&gt;"",BT$3='Bonding Program'!$P$23,BT$3&lt;='Bonding Program'!$C$8),N('Bonding Program'!$O$23),0)</f>
        <v>0</v>
      </c>
      <c r="BU164" s="19" t="n">
        <f aca="false">IF(AND('Bonding Program'!$S$23=1,'Bonding Program'!$H$23&gt;'Bonding Program'!$C$8,BU$3='Bonding Program'!$H$23),'Bonding Program'!$T$23-'Bonding Program'!$U$23-'Bonding Program'!$Z$23,0)-IF(AND('Bonding Program'!$S$23=1,'Bonding Program'!$H$23&lt;='Bonding Program'!$C$8,BU$3=IF('Bonding Program'!$P$23&lt;&gt;"",'Bonding Program'!$P$23,'Bonding Program'!$C$8)),'Bonding Program'!$Z$23,0)+IF(AND('Bonding Program'!$P$23&lt;&gt;"",BU$3='Bonding Program'!$P$23,BU$3&lt;='Bonding Program'!$C$8),N('Bonding Program'!$O$23),0)</f>
        <v>0</v>
      </c>
      <c r="BV164" s="19" t="n">
        <f aca="false">IF(AND('Bonding Program'!$S$23=1,'Bonding Program'!$H$23&gt;'Bonding Program'!$C$8,BV$3='Bonding Program'!$H$23),'Bonding Program'!$T$23-'Bonding Program'!$U$23-'Bonding Program'!$Z$23,0)-IF(AND('Bonding Program'!$S$23=1,'Bonding Program'!$H$23&lt;='Bonding Program'!$C$8,BV$3=IF('Bonding Program'!$P$23&lt;&gt;"",'Bonding Program'!$P$23,'Bonding Program'!$C$8)),'Bonding Program'!$Z$23,0)+IF(AND('Bonding Program'!$P$23&lt;&gt;"",BV$3='Bonding Program'!$P$23,BV$3&lt;='Bonding Program'!$C$8),N('Bonding Program'!$O$23),0)</f>
        <v>0</v>
      </c>
      <c r="BW164" s="19" t="n">
        <f aca="false">IF(AND('Bonding Program'!$S$23=1,'Bonding Program'!$H$23&gt;'Bonding Program'!$C$8,BW$3='Bonding Program'!$H$23),'Bonding Program'!$T$23-'Bonding Program'!$U$23-'Bonding Program'!$Z$23,0)-IF(AND('Bonding Program'!$S$23=1,'Bonding Program'!$H$23&lt;='Bonding Program'!$C$8,BW$3=IF('Bonding Program'!$P$23&lt;&gt;"",'Bonding Program'!$P$23,'Bonding Program'!$C$8)),'Bonding Program'!$Z$23,0)+IF(AND('Bonding Program'!$P$23&lt;&gt;"",BW$3='Bonding Program'!$P$23,BW$3&lt;='Bonding Program'!$C$8),N('Bonding Program'!$O$23),0)</f>
        <v>0</v>
      </c>
      <c r="BX164" s="19" t="n">
        <f aca="false">IF(AND('Bonding Program'!$S$23=1,'Bonding Program'!$H$23&gt;'Bonding Program'!$C$8,BX$3='Bonding Program'!$H$23),'Bonding Program'!$T$23-'Bonding Program'!$U$23-'Bonding Program'!$Z$23,0)-IF(AND('Bonding Program'!$S$23=1,'Bonding Program'!$H$23&lt;='Bonding Program'!$C$8,BX$3=IF('Bonding Program'!$P$23&lt;&gt;"",'Bonding Program'!$P$23,'Bonding Program'!$C$8)),'Bonding Program'!$Z$23,0)+IF(AND('Bonding Program'!$P$23&lt;&gt;"",BX$3='Bonding Program'!$P$23,BX$3&lt;='Bonding Program'!$C$8),N('Bonding Program'!$O$23),0)</f>
        <v>0</v>
      </c>
      <c r="BY164" s="19" t="n">
        <f aca="false">IF(AND('Bonding Program'!$S$23=1,'Bonding Program'!$H$23&gt;'Bonding Program'!$C$8,BY$3='Bonding Program'!$H$23),'Bonding Program'!$T$23-'Bonding Program'!$U$23-'Bonding Program'!$Z$23,0)-IF(AND('Bonding Program'!$S$23=1,'Bonding Program'!$H$23&lt;='Bonding Program'!$C$8,BY$3=IF('Bonding Program'!$P$23&lt;&gt;"",'Bonding Program'!$P$23,'Bonding Program'!$C$8)),'Bonding Program'!$Z$23,0)+IF(AND('Bonding Program'!$P$23&lt;&gt;"",BY$3='Bonding Program'!$P$23,BY$3&lt;='Bonding Program'!$C$8),N('Bonding Program'!$O$23),0)</f>
        <v>0</v>
      </c>
      <c r="BZ164" s="19" t="n">
        <f aca="false">IF(AND('Bonding Program'!$S$23=1,'Bonding Program'!$H$23&gt;'Bonding Program'!$C$8,BZ$3='Bonding Program'!$H$23),'Bonding Program'!$T$23-'Bonding Program'!$U$23-'Bonding Program'!$Z$23,0)-IF(AND('Bonding Program'!$S$23=1,'Bonding Program'!$H$23&lt;='Bonding Program'!$C$8,BZ$3=IF('Bonding Program'!$P$23&lt;&gt;"",'Bonding Program'!$P$23,'Bonding Program'!$C$8)),'Bonding Program'!$Z$23,0)+IF(AND('Bonding Program'!$P$23&lt;&gt;"",BZ$3='Bonding Program'!$P$23,BZ$3&lt;='Bonding Program'!$C$8),N('Bonding Program'!$O$23),0)</f>
        <v>0</v>
      </c>
      <c r="CA164" s="19" t="n">
        <f aca="false">IF(AND('Bonding Program'!$S$23=1,'Bonding Program'!$H$23&gt;'Bonding Program'!$C$8,CA$3='Bonding Program'!$H$23),'Bonding Program'!$T$23-'Bonding Program'!$U$23-'Bonding Program'!$Z$23,0)-IF(AND('Bonding Program'!$S$23=1,'Bonding Program'!$H$23&lt;='Bonding Program'!$C$8,CA$3=IF('Bonding Program'!$P$23&lt;&gt;"",'Bonding Program'!$P$23,'Bonding Program'!$C$8)),'Bonding Program'!$Z$23,0)+IF(AND('Bonding Program'!$P$23&lt;&gt;"",CA$3='Bonding Program'!$P$23,CA$3&lt;='Bonding Program'!$C$8),N('Bonding Program'!$O$23),0)</f>
        <v>0</v>
      </c>
      <c r="CB164" s="19" t="n">
        <f aca="false">IF(AND('Bonding Program'!$S$23=1,'Bonding Program'!$H$23&gt;'Bonding Program'!$C$8,CB$3='Bonding Program'!$H$23),'Bonding Program'!$T$23-'Bonding Program'!$U$23-'Bonding Program'!$Z$23,0)-IF(AND('Bonding Program'!$S$23=1,'Bonding Program'!$H$23&lt;='Bonding Program'!$C$8,CB$3=IF('Bonding Program'!$P$23&lt;&gt;"",'Bonding Program'!$P$23,'Bonding Program'!$C$8)),'Bonding Program'!$Z$23,0)+IF(AND('Bonding Program'!$P$23&lt;&gt;"",CB$3='Bonding Program'!$P$23,CB$3&lt;='Bonding Program'!$C$8),N('Bonding Program'!$O$23),0)</f>
        <v>0</v>
      </c>
      <c r="CC164" s="19" t="n">
        <f aca="false">IF(AND('Bonding Program'!$S$23=1,'Bonding Program'!$H$23&gt;'Bonding Program'!$C$8,CC$3='Bonding Program'!$H$23),'Bonding Program'!$T$23-'Bonding Program'!$U$23-'Bonding Program'!$Z$23,0)-IF(AND('Bonding Program'!$S$23=1,'Bonding Program'!$H$23&lt;='Bonding Program'!$C$8,CC$3=IF('Bonding Program'!$P$23&lt;&gt;"",'Bonding Program'!$P$23,'Bonding Program'!$C$8)),'Bonding Program'!$Z$23,0)+IF(AND('Bonding Program'!$P$23&lt;&gt;"",CC$3='Bonding Program'!$P$23,CC$3&lt;='Bonding Program'!$C$8),N('Bonding Program'!$O$23),0)</f>
        <v>0</v>
      </c>
      <c r="CD164" s="19" t="n">
        <f aca="false">IF(AND('Bonding Program'!$S$23=1,'Bonding Program'!$H$23&gt;'Bonding Program'!$C$8,CD$3='Bonding Program'!$H$23),'Bonding Program'!$T$23-'Bonding Program'!$U$23-'Bonding Program'!$Z$23,0)-IF(AND('Bonding Program'!$S$23=1,'Bonding Program'!$H$23&lt;='Bonding Program'!$C$8,CD$3=IF('Bonding Program'!$P$23&lt;&gt;"",'Bonding Program'!$P$23,'Bonding Program'!$C$8)),'Bonding Program'!$Z$23,0)+IF(AND('Bonding Program'!$P$23&lt;&gt;"",CD$3='Bonding Program'!$P$23,CD$3&lt;='Bonding Program'!$C$8),N('Bonding Program'!$O$23),0)</f>
        <v>0</v>
      </c>
      <c r="CE164" s="19" t="n">
        <f aca="false">IF(AND('Bonding Program'!$S$23=1,'Bonding Program'!$H$23&gt;'Bonding Program'!$C$8,CE$3='Bonding Program'!$H$23),'Bonding Program'!$T$23-'Bonding Program'!$U$23-'Bonding Program'!$Z$23,0)-IF(AND('Bonding Program'!$S$23=1,'Bonding Program'!$H$23&lt;='Bonding Program'!$C$8,CE$3=IF('Bonding Program'!$P$23&lt;&gt;"",'Bonding Program'!$P$23,'Bonding Program'!$C$8)),'Bonding Program'!$Z$23,0)+IF(AND('Bonding Program'!$P$23&lt;&gt;"",CE$3='Bonding Program'!$P$23,CE$3&lt;='Bonding Program'!$C$8),N('Bonding Program'!$O$23),0)</f>
        <v>0</v>
      </c>
      <c r="CF164" s="19" t="n">
        <f aca="false">IF(AND('Bonding Program'!$S$23=1,'Bonding Program'!$H$23&gt;'Bonding Program'!$C$8,CF$3='Bonding Program'!$H$23),'Bonding Program'!$T$23-'Bonding Program'!$U$23-'Bonding Program'!$Z$23,0)-IF(AND('Bonding Program'!$S$23=1,'Bonding Program'!$H$23&lt;='Bonding Program'!$C$8,CF$3=IF('Bonding Program'!$P$23&lt;&gt;"",'Bonding Program'!$P$23,'Bonding Program'!$C$8)),'Bonding Program'!$Z$23,0)+IF(AND('Bonding Program'!$P$23&lt;&gt;"",CF$3='Bonding Program'!$P$23,CF$3&lt;='Bonding Program'!$C$8),N('Bonding Program'!$O$23),0)</f>
        <v>0</v>
      </c>
      <c r="CG164" s="19" t="n">
        <f aca="false">IF(AND('Bonding Program'!$S$23=1,'Bonding Program'!$H$23&gt;'Bonding Program'!$C$8,CG$3='Bonding Program'!$H$23),'Bonding Program'!$T$23-'Bonding Program'!$U$23-'Bonding Program'!$Z$23,0)-IF(AND('Bonding Program'!$S$23=1,'Bonding Program'!$H$23&lt;='Bonding Program'!$C$8,CG$3=IF('Bonding Program'!$P$23&lt;&gt;"",'Bonding Program'!$P$23,'Bonding Program'!$C$8)),'Bonding Program'!$Z$23,0)+IF(AND('Bonding Program'!$P$23&lt;&gt;"",CG$3='Bonding Program'!$P$23,CG$3&lt;='Bonding Program'!$C$8),N('Bonding Program'!$O$23),0)</f>
        <v>0</v>
      </c>
      <c r="CH164" s="19" t="n">
        <f aca="false">IF(AND('Bonding Program'!$S$23=1,'Bonding Program'!$H$23&gt;'Bonding Program'!$C$8,CH$3='Bonding Program'!$H$23),'Bonding Program'!$T$23-'Bonding Program'!$U$23-'Bonding Program'!$Z$23,0)-IF(AND('Bonding Program'!$S$23=1,'Bonding Program'!$H$23&lt;='Bonding Program'!$C$8,CH$3=IF('Bonding Program'!$P$23&lt;&gt;"",'Bonding Program'!$P$23,'Bonding Program'!$C$8)),'Bonding Program'!$Z$23,0)+IF(AND('Bonding Program'!$P$23&lt;&gt;"",CH$3='Bonding Program'!$P$23,CH$3&lt;='Bonding Program'!$C$8),N('Bonding Program'!$O$23),0)</f>
        <v>0</v>
      </c>
      <c r="CI164" s="19" t="n">
        <f aca="false">IF(AND('Bonding Program'!$S$23=1,'Bonding Program'!$H$23&gt;'Bonding Program'!$C$8,CI$3='Bonding Program'!$H$23),'Bonding Program'!$T$23-'Bonding Program'!$U$23-'Bonding Program'!$Z$23,0)-IF(AND('Bonding Program'!$S$23=1,'Bonding Program'!$H$23&lt;='Bonding Program'!$C$8,CI$3=IF('Bonding Program'!$P$23&lt;&gt;"",'Bonding Program'!$P$23,'Bonding Program'!$C$8)),'Bonding Program'!$Z$23,0)+IF(AND('Bonding Program'!$P$23&lt;&gt;"",CI$3='Bonding Program'!$P$23,CI$3&lt;='Bonding Program'!$C$8),N('Bonding Program'!$O$23),0)</f>
        <v>0</v>
      </c>
      <c r="CJ164" s="19" t="n">
        <f aca="false">IF(AND('Bonding Program'!$S$23=1,'Bonding Program'!$H$23&gt;'Bonding Program'!$C$8,CJ$3='Bonding Program'!$H$23),'Bonding Program'!$T$23-'Bonding Program'!$U$23-'Bonding Program'!$Z$23,0)-IF(AND('Bonding Program'!$S$23=1,'Bonding Program'!$H$23&lt;='Bonding Program'!$C$8,CJ$3=IF('Bonding Program'!$P$23&lt;&gt;"",'Bonding Program'!$P$23,'Bonding Program'!$C$8)),'Bonding Program'!$Z$23,0)+IF(AND('Bonding Program'!$P$23&lt;&gt;"",CJ$3='Bonding Program'!$P$23,CJ$3&lt;='Bonding Program'!$C$8),N('Bonding Program'!$O$23),0)</f>
        <v>0</v>
      </c>
      <c r="CK164" s="19" t="n">
        <f aca="false">IF(AND('Bonding Program'!$S$23=1,'Bonding Program'!$H$23&gt;'Bonding Program'!$C$8,CK$3='Bonding Program'!$H$23),'Bonding Program'!$T$23-'Bonding Program'!$U$23-'Bonding Program'!$Z$23,0)-IF(AND('Bonding Program'!$S$23=1,'Bonding Program'!$H$23&lt;='Bonding Program'!$C$8,CK$3=IF('Bonding Program'!$P$23&lt;&gt;"",'Bonding Program'!$P$23,'Bonding Program'!$C$8)),'Bonding Program'!$Z$23,0)+IF(AND('Bonding Program'!$P$23&lt;&gt;"",CK$3='Bonding Program'!$P$23,CK$3&lt;='Bonding Program'!$C$8),N('Bonding Program'!$O$23),0)</f>
        <v>0</v>
      </c>
      <c r="CL164" s="19" t="n">
        <f aca="false">IF(AND('Bonding Program'!$S$23=1,'Bonding Program'!$H$23&gt;'Bonding Program'!$C$8,CL$3='Bonding Program'!$H$23),'Bonding Program'!$T$23-'Bonding Program'!$U$23-'Bonding Program'!$Z$23,0)-IF(AND('Bonding Program'!$S$23=1,'Bonding Program'!$H$23&lt;='Bonding Program'!$C$8,CL$3=IF('Bonding Program'!$P$23&lt;&gt;"",'Bonding Program'!$P$23,'Bonding Program'!$C$8)),'Bonding Program'!$Z$23,0)+IF(AND('Bonding Program'!$P$23&lt;&gt;"",CL$3='Bonding Program'!$P$23,CL$3&lt;='Bonding Program'!$C$8),N('Bonding Program'!$O$23),0)</f>
        <v>0</v>
      </c>
      <c r="CM164" s="19" t="n">
        <f aca="false">IF(AND('Bonding Program'!$S$23=1,'Bonding Program'!$H$23&gt;'Bonding Program'!$C$8,CM$3='Bonding Program'!$H$23),'Bonding Program'!$T$23-'Bonding Program'!$U$23-'Bonding Program'!$Z$23,0)-IF(AND('Bonding Program'!$S$23=1,'Bonding Program'!$H$23&lt;='Bonding Program'!$C$8,CM$3=IF('Bonding Program'!$P$23&lt;&gt;"",'Bonding Program'!$P$23,'Bonding Program'!$C$8)),'Bonding Program'!$Z$23,0)+IF(AND('Bonding Program'!$P$23&lt;&gt;"",CM$3='Bonding Program'!$P$23,CM$3&lt;='Bonding Program'!$C$8),N('Bonding Program'!$O$23),0)</f>
        <v>0</v>
      </c>
      <c r="CN164" s="19" t="n">
        <f aca="false">IF(AND('Bonding Program'!$S$23=1,'Bonding Program'!$H$23&gt;'Bonding Program'!$C$8,CN$3='Bonding Program'!$H$23),'Bonding Program'!$T$23-'Bonding Program'!$U$23-'Bonding Program'!$Z$23,0)-IF(AND('Bonding Program'!$S$23=1,'Bonding Program'!$H$23&lt;='Bonding Program'!$C$8,CN$3=IF('Bonding Program'!$P$23&lt;&gt;"",'Bonding Program'!$P$23,'Bonding Program'!$C$8)),'Bonding Program'!$Z$23,0)+IF(AND('Bonding Program'!$P$23&lt;&gt;"",CN$3='Bonding Program'!$P$23,CN$3&lt;='Bonding Program'!$C$8),N('Bonding Program'!$O$23),0)</f>
        <v>0</v>
      </c>
      <c r="CO164" s="19" t="n">
        <f aca="false">IF(AND('Bonding Program'!$S$23=1,'Bonding Program'!$H$23&gt;'Bonding Program'!$C$8,CO$3='Bonding Program'!$H$23),'Bonding Program'!$T$23-'Bonding Program'!$U$23-'Bonding Program'!$Z$23,0)-IF(AND('Bonding Program'!$S$23=1,'Bonding Program'!$H$23&lt;='Bonding Program'!$C$8,CO$3=IF('Bonding Program'!$P$23&lt;&gt;"",'Bonding Program'!$P$23,'Bonding Program'!$C$8)),'Bonding Program'!$Z$23,0)+IF(AND('Bonding Program'!$P$23&lt;&gt;"",CO$3='Bonding Program'!$P$23,CO$3&lt;='Bonding Program'!$C$8),N('Bonding Program'!$O$23),0)</f>
        <v>0</v>
      </c>
      <c r="CP164" s="19" t="n">
        <f aca="false">IF(AND('Bonding Program'!$S$23=1,'Bonding Program'!$H$23&gt;'Bonding Program'!$C$8,CP$3='Bonding Program'!$H$23),'Bonding Program'!$T$23-'Bonding Program'!$U$23-'Bonding Program'!$Z$23,0)-IF(AND('Bonding Program'!$S$23=1,'Bonding Program'!$H$23&lt;='Bonding Program'!$C$8,CP$3=IF('Bonding Program'!$P$23&lt;&gt;"",'Bonding Program'!$P$23,'Bonding Program'!$C$8)),'Bonding Program'!$Z$23,0)+IF(AND('Bonding Program'!$P$23&lt;&gt;"",CP$3='Bonding Program'!$P$23,CP$3&lt;='Bonding Program'!$C$8),N('Bonding Program'!$O$23),0)</f>
        <v>0</v>
      </c>
      <c r="CQ164" s="19" t="n">
        <f aca="false">IF(AND('Bonding Program'!$S$23=1,'Bonding Program'!$H$23&gt;'Bonding Program'!$C$8,CQ$3='Bonding Program'!$H$23),'Bonding Program'!$T$23-'Bonding Program'!$U$23-'Bonding Program'!$Z$23,0)-IF(AND('Bonding Program'!$S$23=1,'Bonding Program'!$H$23&lt;='Bonding Program'!$C$8,CQ$3=IF('Bonding Program'!$P$23&lt;&gt;"",'Bonding Program'!$P$23,'Bonding Program'!$C$8)),'Bonding Program'!$Z$23,0)+IF(AND('Bonding Program'!$P$23&lt;&gt;"",CQ$3='Bonding Program'!$P$23,CQ$3&lt;='Bonding Program'!$C$8),N('Bonding Program'!$O$23),0)</f>
        <v>0</v>
      </c>
      <c r="CR164" s="19" t="n">
        <f aca="false">IF(AND('Bonding Program'!$S$23=1,'Bonding Program'!$H$23&gt;'Bonding Program'!$C$8,CR$3='Bonding Program'!$H$23),'Bonding Program'!$T$23-'Bonding Program'!$U$23-'Bonding Program'!$Z$23,0)-IF(AND('Bonding Program'!$S$23=1,'Bonding Program'!$H$23&lt;='Bonding Program'!$C$8,CR$3=IF('Bonding Program'!$P$23&lt;&gt;"",'Bonding Program'!$P$23,'Bonding Program'!$C$8)),'Bonding Program'!$Z$23,0)+IF(AND('Bonding Program'!$P$23&lt;&gt;"",CR$3='Bonding Program'!$P$23,CR$3&lt;='Bonding Program'!$C$8),N('Bonding Program'!$O$23),0)</f>
        <v>0</v>
      </c>
      <c r="CS164" s="19" t="n">
        <f aca="false">IF(AND('Bonding Program'!$S$23=1,'Bonding Program'!$H$23&gt;'Bonding Program'!$C$8,CS$3='Bonding Program'!$H$23),'Bonding Program'!$T$23-'Bonding Program'!$U$23-'Bonding Program'!$Z$23,0)-IF(AND('Bonding Program'!$S$23=1,'Bonding Program'!$H$23&lt;='Bonding Program'!$C$8,CS$3=IF('Bonding Program'!$P$23&lt;&gt;"",'Bonding Program'!$P$23,'Bonding Program'!$C$8)),'Bonding Program'!$Z$23,0)+IF(AND('Bonding Program'!$P$23&lt;&gt;"",CS$3='Bonding Program'!$P$23,CS$3&lt;='Bonding Program'!$C$8),N('Bonding Program'!$O$23),0)</f>
        <v>0</v>
      </c>
      <c r="CT164" s="19" t="n">
        <f aca="false">IF(AND('Bonding Program'!$S$23=1,'Bonding Program'!$H$23&gt;'Bonding Program'!$C$8,CT$3='Bonding Program'!$H$23),'Bonding Program'!$T$23-'Bonding Program'!$U$23-'Bonding Program'!$Z$23,0)-IF(AND('Bonding Program'!$S$23=1,'Bonding Program'!$H$23&lt;='Bonding Program'!$C$8,CT$3=IF('Bonding Program'!$P$23&lt;&gt;"",'Bonding Program'!$P$23,'Bonding Program'!$C$8)),'Bonding Program'!$Z$23,0)+IF(AND('Bonding Program'!$P$23&lt;&gt;"",CT$3='Bonding Program'!$P$23,CT$3&lt;='Bonding Program'!$C$8),N('Bonding Program'!$O$23),0)</f>
        <v>0</v>
      </c>
      <c r="CU164" s="19" t="n">
        <f aca="false">IF(AND('Bonding Program'!$S$23=1,'Bonding Program'!$H$23&gt;'Bonding Program'!$C$8,CU$3='Bonding Program'!$H$23),'Bonding Program'!$T$23-'Bonding Program'!$U$23-'Bonding Program'!$Z$23,0)-IF(AND('Bonding Program'!$S$23=1,'Bonding Program'!$H$23&lt;='Bonding Program'!$C$8,CU$3=IF('Bonding Program'!$P$23&lt;&gt;"",'Bonding Program'!$P$23,'Bonding Program'!$C$8)),'Bonding Program'!$Z$23,0)+IF(AND('Bonding Program'!$P$23&lt;&gt;"",CU$3='Bonding Program'!$P$23,CU$3&lt;='Bonding Program'!$C$8),N('Bonding Program'!$O$23),0)</f>
        <v>0</v>
      </c>
      <c r="CV164" s="19" t="n">
        <f aca="false">IF(AND('Bonding Program'!$S$23=1,'Bonding Program'!$H$23&gt;'Bonding Program'!$C$8,CV$3='Bonding Program'!$H$23),'Bonding Program'!$T$23-'Bonding Program'!$U$23-'Bonding Program'!$Z$23,0)-IF(AND('Bonding Program'!$S$23=1,'Bonding Program'!$H$23&lt;='Bonding Program'!$C$8,CV$3=IF('Bonding Program'!$P$23&lt;&gt;"",'Bonding Program'!$P$23,'Bonding Program'!$C$8)),'Bonding Program'!$Z$23,0)+IF(AND('Bonding Program'!$P$23&lt;&gt;"",CV$3='Bonding Program'!$P$23,CV$3&lt;='Bonding Program'!$C$8),N('Bonding Program'!$O$23),0)</f>
        <v>0</v>
      </c>
      <c r="CW164" s="19" t="n">
        <f aca="false">IF(AND('Bonding Program'!$S$23=1,'Bonding Program'!$H$23&gt;'Bonding Program'!$C$8,CW$3='Bonding Program'!$H$23),'Bonding Program'!$T$23-'Bonding Program'!$U$23-'Bonding Program'!$Z$23,0)-IF(AND('Bonding Program'!$S$23=1,'Bonding Program'!$H$23&lt;='Bonding Program'!$C$8,CW$3=IF('Bonding Program'!$P$23&lt;&gt;"",'Bonding Program'!$P$23,'Bonding Program'!$C$8)),'Bonding Program'!$Z$23,0)+IF(AND('Bonding Program'!$P$23&lt;&gt;"",CW$3='Bonding Program'!$P$23,CW$3&lt;='Bonding Program'!$C$8),N('Bonding Program'!$O$23),0)</f>
        <v>0</v>
      </c>
      <c r="CX164" s="19" t="n">
        <f aca="false">IF(AND('Bonding Program'!$S$23=1,'Bonding Program'!$H$23&gt;'Bonding Program'!$C$8,CX$3='Bonding Program'!$H$23),'Bonding Program'!$T$23-'Bonding Program'!$U$23-'Bonding Program'!$Z$23,0)-IF(AND('Bonding Program'!$S$23=1,'Bonding Program'!$H$23&lt;='Bonding Program'!$C$8,CX$3=IF('Bonding Program'!$P$23&lt;&gt;"",'Bonding Program'!$P$23,'Bonding Program'!$C$8)),'Bonding Program'!$Z$23,0)+IF(AND('Bonding Program'!$P$23&lt;&gt;"",CX$3='Bonding Program'!$P$23,CX$3&lt;='Bonding Program'!$C$8),N('Bonding Program'!$O$23),0)</f>
        <v>0</v>
      </c>
      <c r="CY164" s="19" t="n">
        <f aca="false">IF(AND('Bonding Program'!$S$23=1,'Bonding Program'!$H$23&gt;'Bonding Program'!$C$8,CY$3='Bonding Program'!$H$23),'Bonding Program'!$T$23-'Bonding Program'!$U$23-'Bonding Program'!$Z$23,0)-IF(AND('Bonding Program'!$S$23=1,'Bonding Program'!$H$23&lt;='Bonding Program'!$C$8,CY$3=IF('Bonding Program'!$P$23&lt;&gt;"",'Bonding Program'!$P$23,'Bonding Program'!$C$8)),'Bonding Program'!$Z$23,0)+IF(AND('Bonding Program'!$P$23&lt;&gt;"",CY$3='Bonding Program'!$P$23,CY$3&lt;='Bonding Program'!$C$8),N('Bonding Program'!$O$23),0)</f>
        <v>0</v>
      </c>
      <c r="CZ164" s="19" t="n">
        <f aca="false">IF(AND('Bonding Program'!$S$23=1,'Bonding Program'!$H$23&gt;'Bonding Program'!$C$8,CZ$3='Bonding Program'!$H$23),'Bonding Program'!$T$23-'Bonding Program'!$U$23-'Bonding Program'!$Z$23,0)-IF(AND('Bonding Program'!$S$23=1,'Bonding Program'!$H$23&lt;='Bonding Program'!$C$8,CZ$3=IF('Bonding Program'!$P$23&lt;&gt;"",'Bonding Program'!$P$23,'Bonding Program'!$C$8)),'Bonding Program'!$Z$23,0)+IF(AND('Bonding Program'!$P$23&lt;&gt;"",CZ$3='Bonding Program'!$P$23,CZ$3&lt;='Bonding Program'!$C$8),N('Bonding Program'!$O$23),0)</f>
        <v>0</v>
      </c>
      <c r="DA164" s="19" t="n">
        <f aca="false">IF(AND('Bonding Program'!$S$23=1,'Bonding Program'!$H$23&gt;'Bonding Program'!$C$8,DA$3='Bonding Program'!$H$23),'Bonding Program'!$T$23-'Bonding Program'!$U$23-'Bonding Program'!$Z$23,0)-IF(AND('Bonding Program'!$S$23=1,'Bonding Program'!$H$23&lt;='Bonding Program'!$C$8,DA$3=IF('Bonding Program'!$P$23&lt;&gt;"",'Bonding Program'!$P$23,'Bonding Program'!$C$8)),'Bonding Program'!$Z$23,0)+IF(AND('Bonding Program'!$P$23&lt;&gt;"",DA$3='Bonding Program'!$P$23,DA$3&lt;='Bonding Program'!$C$8),N('Bonding Program'!$O$23),0)</f>
        <v>0</v>
      </c>
      <c r="DB164" s="19" t="n">
        <f aca="false">IF(AND('Bonding Program'!$S$23=1,'Bonding Program'!$H$23&gt;'Bonding Program'!$C$8,DB$3='Bonding Program'!$H$23),'Bonding Program'!$T$23-'Bonding Program'!$U$23-'Bonding Program'!$Z$23,0)-IF(AND('Bonding Program'!$S$23=1,'Bonding Program'!$H$23&lt;='Bonding Program'!$C$8,DB$3=IF('Bonding Program'!$P$23&lt;&gt;"",'Bonding Program'!$P$23,'Bonding Program'!$C$8)),'Bonding Program'!$Z$23,0)+IF(AND('Bonding Program'!$P$23&lt;&gt;"",DB$3='Bonding Program'!$P$23,DB$3&lt;='Bonding Program'!$C$8),N('Bonding Program'!$O$23),0)</f>
        <v>0</v>
      </c>
      <c r="DC164" s="19" t="n">
        <f aca="false">IF(AND('Bonding Program'!$S$23=1,'Bonding Program'!$H$23&gt;'Bonding Program'!$C$8,DC$3='Bonding Program'!$H$23),'Bonding Program'!$T$23-'Bonding Program'!$U$23-'Bonding Program'!$Z$23,0)-IF(AND('Bonding Program'!$S$23=1,'Bonding Program'!$H$23&lt;='Bonding Program'!$C$8,DC$3=IF('Bonding Program'!$P$23&lt;&gt;"",'Bonding Program'!$P$23,'Bonding Program'!$C$8)),'Bonding Program'!$Z$23,0)+IF(AND('Bonding Program'!$P$23&lt;&gt;"",DC$3='Bonding Program'!$P$23,DC$3&lt;='Bonding Program'!$C$8),N('Bonding Program'!$O$23),0)</f>
        <v>0</v>
      </c>
      <c r="DD164" s="19" t="n">
        <f aca="false">IF(AND('Bonding Program'!$S$23=1,'Bonding Program'!$H$23&gt;'Bonding Program'!$C$8,DD$3='Bonding Program'!$H$23),'Bonding Program'!$T$23-'Bonding Program'!$U$23-'Bonding Program'!$Z$23,0)-IF(AND('Bonding Program'!$S$23=1,'Bonding Program'!$H$23&lt;='Bonding Program'!$C$8,DD$3=IF('Bonding Program'!$P$23&lt;&gt;"",'Bonding Program'!$P$23,'Bonding Program'!$C$8)),'Bonding Program'!$Z$23,0)+IF(AND('Bonding Program'!$P$23&lt;&gt;"",DD$3='Bonding Program'!$P$23,DD$3&lt;='Bonding Program'!$C$8),N('Bonding Program'!$O$23),0)</f>
        <v>0</v>
      </c>
      <c r="DE164" s="19" t="n">
        <f aca="false">IF(AND('Bonding Program'!$S$23=1,'Bonding Program'!$H$23&gt;'Bonding Program'!$C$8,DE$3='Bonding Program'!$H$23),'Bonding Program'!$T$23-'Bonding Program'!$U$23-'Bonding Program'!$Z$23,0)-IF(AND('Bonding Program'!$S$23=1,'Bonding Program'!$H$23&lt;='Bonding Program'!$C$8,DE$3=IF('Bonding Program'!$P$23&lt;&gt;"",'Bonding Program'!$P$23,'Bonding Program'!$C$8)),'Bonding Program'!$Z$23,0)+IF(AND('Bonding Program'!$P$23&lt;&gt;"",DE$3='Bonding Program'!$P$23,DE$3&lt;='Bonding Program'!$C$8),N('Bonding Program'!$O$23),0)</f>
        <v>0</v>
      </c>
    </row>
    <row r="165" customFormat="false" ht="15" hidden="false" customHeight="true" outlineLevel="1" collapsed="false">
      <c r="A165" s="28" t="s">
        <v>20</v>
      </c>
      <c r="B165" s="19" t="n">
        <f aca="false">IF(AND('Bonding Program'!$S$24=1,'Bonding Program'!$H$24&gt;'Bonding Program'!$C$8,B$3='Bonding Program'!$H$24),'Bonding Program'!$T$24-'Bonding Program'!$U$24-'Bonding Program'!$Z$24,0)-IF(AND('Bonding Program'!$S$24=1,'Bonding Program'!$H$24&lt;='Bonding Program'!$C$8,B$3=IF('Bonding Program'!$P$24&lt;&gt;"",'Bonding Program'!$P$24,'Bonding Program'!$C$8)),'Bonding Program'!$Z$24,0)+IF(AND('Bonding Program'!$P$24&lt;&gt;"",B$3='Bonding Program'!$P$24,B$3&lt;='Bonding Program'!$C$8),N('Bonding Program'!$O$24),0)</f>
        <v>0</v>
      </c>
      <c r="C165" s="19" t="n">
        <f aca="false">IF(AND('Bonding Program'!$S$24=1,'Bonding Program'!$H$24&gt;'Bonding Program'!$C$8,C$3='Bonding Program'!$H$24),'Bonding Program'!$T$24-'Bonding Program'!$U$24-'Bonding Program'!$Z$24,0)-IF(AND('Bonding Program'!$S$24=1,'Bonding Program'!$H$24&lt;='Bonding Program'!$C$8,C$3=IF('Bonding Program'!$P$24&lt;&gt;"",'Bonding Program'!$P$24,'Bonding Program'!$C$8)),'Bonding Program'!$Z$24,0)+IF(AND('Bonding Program'!$P$24&lt;&gt;"",C$3='Bonding Program'!$P$24,C$3&lt;='Bonding Program'!$C$8),N('Bonding Program'!$O$24),0)</f>
        <v>0</v>
      </c>
      <c r="D165" s="19" t="n">
        <f aca="false">IF(AND('Bonding Program'!$S$24=1,'Bonding Program'!$H$24&gt;'Bonding Program'!$C$8,D$3='Bonding Program'!$H$24),'Bonding Program'!$T$24-'Bonding Program'!$U$24-'Bonding Program'!$Z$24,0)-IF(AND('Bonding Program'!$S$24=1,'Bonding Program'!$H$24&lt;='Bonding Program'!$C$8,D$3=IF('Bonding Program'!$P$24&lt;&gt;"",'Bonding Program'!$P$24,'Bonding Program'!$C$8)),'Bonding Program'!$Z$24,0)+IF(AND('Bonding Program'!$P$24&lt;&gt;"",D$3='Bonding Program'!$P$24,D$3&lt;='Bonding Program'!$C$8),N('Bonding Program'!$O$24),0)</f>
        <v>0</v>
      </c>
      <c r="E165" s="19" t="n">
        <f aca="false">IF(AND('Bonding Program'!$S$24=1,'Bonding Program'!$H$24&gt;'Bonding Program'!$C$8,E$3='Bonding Program'!$H$24),'Bonding Program'!$T$24-'Bonding Program'!$U$24-'Bonding Program'!$Z$24,0)-IF(AND('Bonding Program'!$S$24=1,'Bonding Program'!$H$24&lt;='Bonding Program'!$C$8,E$3=IF('Bonding Program'!$P$24&lt;&gt;"",'Bonding Program'!$P$24,'Bonding Program'!$C$8)),'Bonding Program'!$Z$24,0)+IF(AND('Bonding Program'!$P$24&lt;&gt;"",E$3='Bonding Program'!$P$24,E$3&lt;='Bonding Program'!$C$8),N('Bonding Program'!$O$24),0)</f>
        <v>0</v>
      </c>
      <c r="F165" s="19" t="n">
        <f aca="false">IF(AND('Bonding Program'!$S$24=1,'Bonding Program'!$H$24&gt;'Bonding Program'!$C$8,F$3='Bonding Program'!$H$24),'Bonding Program'!$T$24-'Bonding Program'!$U$24-'Bonding Program'!$Z$24,0)-IF(AND('Bonding Program'!$S$24=1,'Bonding Program'!$H$24&lt;='Bonding Program'!$C$8,F$3=IF('Bonding Program'!$P$24&lt;&gt;"",'Bonding Program'!$P$24,'Bonding Program'!$C$8)),'Bonding Program'!$Z$24,0)+IF(AND('Bonding Program'!$P$24&lt;&gt;"",F$3='Bonding Program'!$P$24,F$3&lt;='Bonding Program'!$C$8),N('Bonding Program'!$O$24),0)</f>
        <v>0</v>
      </c>
      <c r="G165" s="19" t="n">
        <f aca="false">IF(AND('Bonding Program'!$S$24=1,'Bonding Program'!$H$24&gt;'Bonding Program'!$C$8,G$3='Bonding Program'!$H$24),'Bonding Program'!$T$24-'Bonding Program'!$U$24-'Bonding Program'!$Z$24,0)-IF(AND('Bonding Program'!$S$24=1,'Bonding Program'!$H$24&lt;='Bonding Program'!$C$8,G$3=IF('Bonding Program'!$P$24&lt;&gt;"",'Bonding Program'!$P$24,'Bonding Program'!$C$8)),'Bonding Program'!$Z$24,0)+IF(AND('Bonding Program'!$P$24&lt;&gt;"",G$3='Bonding Program'!$P$24,G$3&lt;='Bonding Program'!$C$8),N('Bonding Program'!$O$24),0)</f>
        <v>0</v>
      </c>
      <c r="H165" s="19" t="n">
        <f aca="false">IF(AND('Bonding Program'!$S$24=1,'Bonding Program'!$H$24&gt;'Bonding Program'!$C$8,H$3='Bonding Program'!$H$24),'Bonding Program'!$T$24-'Bonding Program'!$U$24-'Bonding Program'!$Z$24,0)-IF(AND('Bonding Program'!$S$24=1,'Bonding Program'!$H$24&lt;='Bonding Program'!$C$8,H$3=IF('Bonding Program'!$P$24&lt;&gt;"",'Bonding Program'!$P$24,'Bonding Program'!$C$8)),'Bonding Program'!$Z$24,0)+IF(AND('Bonding Program'!$P$24&lt;&gt;"",H$3='Bonding Program'!$P$24,H$3&lt;='Bonding Program'!$C$8),N('Bonding Program'!$O$24),0)</f>
        <v>0</v>
      </c>
      <c r="I165" s="19" t="n">
        <f aca="false">IF(AND('Bonding Program'!$S$24=1,'Bonding Program'!$H$24&gt;'Bonding Program'!$C$8,I$3='Bonding Program'!$H$24),'Bonding Program'!$T$24-'Bonding Program'!$U$24-'Bonding Program'!$Z$24,0)-IF(AND('Bonding Program'!$S$24=1,'Bonding Program'!$H$24&lt;='Bonding Program'!$C$8,I$3=IF('Bonding Program'!$P$24&lt;&gt;"",'Bonding Program'!$P$24,'Bonding Program'!$C$8)),'Bonding Program'!$Z$24,0)+IF(AND('Bonding Program'!$P$24&lt;&gt;"",I$3='Bonding Program'!$P$24,I$3&lt;='Bonding Program'!$C$8),N('Bonding Program'!$O$24),0)</f>
        <v>0</v>
      </c>
      <c r="J165" s="19" t="n">
        <f aca="false">IF(AND('Bonding Program'!$S$24=1,'Bonding Program'!$H$24&gt;'Bonding Program'!$C$8,J$3='Bonding Program'!$H$24),'Bonding Program'!$T$24-'Bonding Program'!$U$24-'Bonding Program'!$Z$24,0)-IF(AND('Bonding Program'!$S$24=1,'Bonding Program'!$H$24&lt;='Bonding Program'!$C$8,J$3=IF('Bonding Program'!$P$24&lt;&gt;"",'Bonding Program'!$P$24,'Bonding Program'!$C$8)),'Bonding Program'!$Z$24,0)+IF(AND('Bonding Program'!$P$24&lt;&gt;"",J$3='Bonding Program'!$P$24,J$3&lt;='Bonding Program'!$C$8),N('Bonding Program'!$O$24),0)</f>
        <v>0</v>
      </c>
      <c r="K165" s="19" t="n">
        <f aca="false">IF(AND('Bonding Program'!$S$24=1,'Bonding Program'!$H$24&gt;'Bonding Program'!$C$8,K$3='Bonding Program'!$H$24),'Bonding Program'!$T$24-'Bonding Program'!$U$24-'Bonding Program'!$Z$24,0)-IF(AND('Bonding Program'!$S$24=1,'Bonding Program'!$H$24&lt;='Bonding Program'!$C$8,K$3=IF('Bonding Program'!$P$24&lt;&gt;"",'Bonding Program'!$P$24,'Bonding Program'!$C$8)),'Bonding Program'!$Z$24,0)+IF(AND('Bonding Program'!$P$24&lt;&gt;"",K$3='Bonding Program'!$P$24,K$3&lt;='Bonding Program'!$C$8),N('Bonding Program'!$O$24),0)</f>
        <v>0</v>
      </c>
      <c r="L165" s="19" t="n">
        <f aca="false">IF(AND('Bonding Program'!$S$24=1,'Bonding Program'!$H$24&gt;'Bonding Program'!$C$8,L$3='Bonding Program'!$H$24),'Bonding Program'!$T$24-'Bonding Program'!$U$24-'Bonding Program'!$Z$24,0)-IF(AND('Bonding Program'!$S$24=1,'Bonding Program'!$H$24&lt;='Bonding Program'!$C$8,L$3=IF('Bonding Program'!$P$24&lt;&gt;"",'Bonding Program'!$P$24,'Bonding Program'!$C$8)),'Bonding Program'!$Z$24,0)+IF(AND('Bonding Program'!$P$24&lt;&gt;"",L$3='Bonding Program'!$P$24,L$3&lt;='Bonding Program'!$C$8),N('Bonding Program'!$O$24),0)</f>
        <v>0</v>
      </c>
      <c r="M165" s="19" t="n">
        <f aca="false">IF(AND('Bonding Program'!$S$24=1,'Bonding Program'!$H$24&gt;'Bonding Program'!$C$8,M$3='Bonding Program'!$H$24),'Bonding Program'!$T$24-'Bonding Program'!$U$24-'Bonding Program'!$Z$24,0)-IF(AND('Bonding Program'!$S$24=1,'Bonding Program'!$H$24&lt;='Bonding Program'!$C$8,M$3=IF('Bonding Program'!$P$24&lt;&gt;"",'Bonding Program'!$P$24,'Bonding Program'!$C$8)),'Bonding Program'!$Z$24,0)+IF(AND('Bonding Program'!$P$24&lt;&gt;"",M$3='Bonding Program'!$P$24,M$3&lt;='Bonding Program'!$C$8),N('Bonding Program'!$O$24),0)</f>
        <v>0</v>
      </c>
      <c r="N165" s="19" t="n">
        <f aca="false">IF(AND('Bonding Program'!$S$24=1,'Bonding Program'!$H$24&gt;'Bonding Program'!$C$8,N$3='Bonding Program'!$H$24),'Bonding Program'!$T$24-'Bonding Program'!$U$24-'Bonding Program'!$Z$24,0)-IF(AND('Bonding Program'!$S$24=1,'Bonding Program'!$H$24&lt;='Bonding Program'!$C$8,N$3=IF('Bonding Program'!$P$24&lt;&gt;"",'Bonding Program'!$P$24,'Bonding Program'!$C$8)),'Bonding Program'!$Z$24,0)+IF(AND('Bonding Program'!$P$24&lt;&gt;"",N$3='Bonding Program'!$P$24,N$3&lt;='Bonding Program'!$C$8),N('Bonding Program'!$O$24),0)</f>
        <v>0</v>
      </c>
      <c r="O165" s="19" t="n">
        <f aca="false">IF(AND('Bonding Program'!$S$24=1,'Bonding Program'!$H$24&gt;'Bonding Program'!$C$8,O$3='Bonding Program'!$H$24),'Bonding Program'!$T$24-'Bonding Program'!$U$24-'Bonding Program'!$Z$24,0)-IF(AND('Bonding Program'!$S$24=1,'Bonding Program'!$H$24&lt;='Bonding Program'!$C$8,O$3=IF('Bonding Program'!$P$24&lt;&gt;"",'Bonding Program'!$P$24,'Bonding Program'!$C$8)),'Bonding Program'!$Z$24,0)+IF(AND('Bonding Program'!$P$24&lt;&gt;"",O$3='Bonding Program'!$P$24,O$3&lt;='Bonding Program'!$C$8),N('Bonding Program'!$O$24),0)</f>
        <v>0</v>
      </c>
      <c r="P165" s="19" t="n">
        <f aca="false">IF(AND('Bonding Program'!$S$24=1,'Bonding Program'!$H$24&gt;'Bonding Program'!$C$8,P$3='Bonding Program'!$H$24),'Bonding Program'!$T$24-'Bonding Program'!$U$24-'Bonding Program'!$Z$24,0)-IF(AND('Bonding Program'!$S$24=1,'Bonding Program'!$H$24&lt;='Bonding Program'!$C$8,P$3=IF('Bonding Program'!$P$24&lt;&gt;"",'Bonding Program'!$P$24,'Bonding Program'!$C$8)),'Bonding Program'!$Z$24,0)+IF(AND('Bonding Program'!$P$24&lt;&gt;"",P$3='Bonding Program'!$P$24,P$3&lt;='Bonding Program'!$C$8),N('Bonding Program'!$O$24),0)</f>
        <v>0</v>
      </c>
      <c r="Q165" s="19" t="n">
        <f aca="false">IF(AND('Bonding Program'!$S$24=1,'Bonding Program'!$H$24&gt;'Bonding Program'!$C$8,Q$3='Bonding Program'!$H$24),'Bonding Program'!$T$24-'Bonding Program'!$U$24-'Bonding Program'!$Z$24,0)-IF(AND('Bonding Program'!$S$24=1,'Bonding Program'!$H$24&lt;='Bonding Program'!$C$8,Q$3=IF('Bonding Program'!$P$24&lt;&gt;"",'Bonding Program'!$P$24,'Bonding Program'!$C$8)),'Bonding Program'!$Z$24,0)+IF(AND('Bonding Program'!$P$24&lt;&gt;"",Q$3='Bonding Program'!$P$24,Q$3&lt;='Bonding Program'!$C$8),N('Bonding Program'!$O$24),0)</f>
        <v>0</v>
      </c>
      <c r="R165" s="19" t="n">
        <f aca="false">IF(AND('Bonding Program'!$S$24=1,'Bonding Program'!$H$24&gt;'Bonding Program'!$C$8,R$3='Bonding Program'!$H$24),'Bonding Program'!$T$24-'Bonding Program'!$U$24-'Bonding Program'!$Z$24,0)-IF(AND('Bonding Program'!$S$24=1,'Bonding Program'!$H$24&lt;='Bonding Program'!$C$8,R$3=IF('Bonding Program'!$P$24&lt;&gt;"",'Bonding Program'!$P$24,'Bonding Program'!$C$8)),'Bonding Program'!$Z$24,0)+IF(AND('Bonding Program'!$P$24&lt;&gt;"",R$3='Bonding Program'!$P$24,R$3&lt;='Bonding Program'!$C$8),N('Bonding Program'!$O$24),0)</f>
        <v>-271425.438238916</v>
      </c>
      <c r="S165" s="19" t="n">
        <f aca="false">IF(AND('Bonding Program'!$S$24=1,'Bonding Program'!$H$24&gt;'Bonding Program'!$C$8,S$3='Bonding Program'!$H$24),'Bonding Program'!$T$24-'Bonding Program'!$U$24-'Bonding Program'!$Z$24,0)-IF(AND('Bonding Program'!$S$24=1,'Bonding Program'!$H$24&lt;='Bonding Program'!$C$8,S$3=IF('Bonding Program'!$P$24&lt;&gt;"",'Bonding Program'!$P$24,'Bonding Program'!$C$8)),'Bonding Program'!$Z$24,0)+IF(AND('Bonding Program'!$P$24&lt;&gt;"",S$3='Bonding Program'!$P$24,S$3&lt;='Bonding Program'!$C$8),N('Bonding Program'!$O$24),0)</f>
        <v>0</v>
      </c>
      <c r="T165" s="19" t="n">
        <f aca="false">IF(AND('Bonding Program'!$S$24=1,'Bonding Program'!$H$24&gt;'Bonding Program'!$C$8,T$3='Bonding Program'!$H$24),'Bonding Program'!$T$24-'Bonding Program'!$U$24-'Bonding Program'!$Z$24,0)-IF(AND('Bonding Program'!$S$24=1,'Bonding Program'!$H$24&lt;='Bonding Program'!$C$8,T$3=IF('Bonding Program'!$P$24&lt;&gt;"",'Bonding Program'!$P$24,'Bonding Program'!$C$8)),'Bonding Program'!$Z$24,0)+IF(AND('Bonding Program'!$P$24&lt;&gt;"",T$3='Bonding Program'!$P$24,T$3&lt;='Bonding Program'!$C$8),N('Bonding Program'!$O$24),0)</f>
        <v>0</v>
      </c>
      <c r="U165" s="19" t="n">
        <f aca="false">IF(AND('Bonding Program'!$S$24=1,'Bonding Program'!$H$24&gt;'Bonding Program'!$C$8,U$3='Bonding Program'!$H$24),'Bonding Program'!$T$24-'Bonding Program'!$U$24-'Bonding Program'!$Z$24,0)-IF(AND('Bonding Program'!$S$24=1,'Bonding Program'!$H$24&lt;='Bonding Program'!$C$8,U$3=IF('Bonding Program'!$P$24&lt;&gt;"",'Bonding Program'!$P$24,'Bonding Program'!$C$8)),'Bonding Program'!$Z$24,0)+IF(AND('Bonding Program'!$P$24&lt;&gt;"",U$3='Bonding Program'!$P$24,U$3&lt;='Bonding Program'!$C$8),N('Bonding Program'!$O$24),0)</f>
        <v>0</v>
      </c>
      <c r="V165" s="19" t="n">
        <f aca="false">IF(AND('Bonding Program'!$S$24=1,'Bonding Program'!$H$24&gt;'Bonding Program'!$C$8,V$3='Bonding Program'!$H$24),'Bonding Program'!$T$24-'Bonding Program'!$U$24-'Bonding Program'!$Z$24,0)-IF(AND('Bonding Program'!$S$24=1,'Bonding Program'!$H$24&lt;='Bonding Program'!$C$8,V$3=IF('Bonding Program'!$P$24&lt;&gt;"",'Bonding Program'!$P$24,'Bonding Program'!$C$8)),'Bonding Program'!$Z$24,0)+IF(AND('Bonding Program'!$P$24&lt;&gt;"",V$3='Bonding Program'!$P$24,V$3&lt;='Bonding Program'!$C$8),N('Bonding Program'!$O$24),0)</f>
        <v>0</v>
      </c>
      <c r="W165" s="19" t="n">
        <f aca="false">IF(AND('Bonding Program'!$S$24=1,'Bonding Program'!$H$24&gt;'Bonding Program'!$C$8,W$3='Bonding Program'!$H$24),'Bonding Program'!$T$24-'Bonding Program'!$U$24-'Bonding Program'!$Z$24,0)-IF(AND('Bonding Program'!$S$24=1,'Bonding Program'!$H$24&lt;='Bonding Program'!$C$8,W$3=IF('Bonding Program'!$P$24&lt;&gt;"",'Bonding Program'!$P$24,'Bonding Program'!$C$8)),'Bonding Program'!$Z$24,0)+IF(AND('Bonding Program'!$P$24&lt;&gt;"",W$3='Bonding Program'!$P$24,W$3&lt;='Bonding Program'!$C$8),N('Bonding Program'!$O$24),0)</f>
        <v>0</v>
      </c>
      <c r="X165" s="19" t="n">
        <f aca="false">IF(AND('Bonding Program'!$S$24=1,'Bonding Program'!$H$24&gt;'Bonding Program'!$C$8,X$3='Bonding Program'!$H$24),'Bonding Program'!$T$24-'Bonding Program'!$U$24-'Bonding Program'!$Z$24,0)-IF(AND('Bonding Program'!$S$24=1,'Bonding Program'!$H$24&lt;='Bonding Program'!$C$8,X$3=IF('Bonding Program'!$P$24&lt;&gt;"",'Bonding Program'!$P$24,'Bonding Program'!$C$8)),'Bonding Program'!$Z$24,0)+IF(AND('Bonding Program'!$P$24&lt;&gt;"",X$3='Bonding Program'!$P$24,X$3&lt;='Bonding Program'!$C$8),N('Bonding Program'!$O$24),0)</f>
        <v>0</v>
      </c>
      <c r="Y165" s="19" t="n">
        <f aca="false">IF(AND('Bonding Program'!$S$24=1,'Bonding Program'!$H$24&gt;'Bonding Program'!$C$8,Y$3='Bonding Program'!$H$24),'Bonding Program'!$T$24-'Bonding Program'!$U$24-'Bonding Program'!$Z$24,0)-IF(AND('Bonding Program'!$S$24=1,'Bonding Program'!$H$24&lt;='Bonding Program'!$C$8,Y$3=IF('Bonding Program'!$P$24&lt;&gt;"",'Bonding Program'!$P$24,'Bonding Program'!$C$8)),'Bonding Program'!$Z$24,0)+IF(AND('Bonding Program'!$P$24&lt;&gt;"",Y$3='Bonding Program'!$P$24,Y$3&lt;='Bonding Program'!$C$8),N('Bonding Program'!$O$24),0)</f>
        <v>0</v>
      </c>
      <c r="Z165" s="19" t="n">
        <f aca="false">IF(AND('Bonding Program'!$S$24=1,'Bonding Program'!$H$24&gt;'Bonding Program'!$C$8,Z$3='Bonding Program'!$H$24),'Bonding Program'!$T$24-'Bonding Program'!$U$24-'Bonding Program'!$Z$24,0)-IF(AND('Bonding Program'!$S$24=1,'Bonding Program'!$H$24&lt;='Bonding Program'!$C$8,Z$3=IF('Bonding Program'!$P$24&lt;&gt;"",'Bonding Program'!$P$24,'Bonding Program'!$C$8)),'Bonding Program'!$Z$24,0)+IF(AND('Bonding Program'!$P$24&lt;&gt;"",Z$3='Bonding Program'!$P$24,Z$3&lt;='Bonding Program'!$C$8),N('Bonding Program'!$O$24),0)</f>
        <v>0</v>
      </c>
      <c r="AA165" s="19" t="n">
        <f aca="false">IF(AND('Bonding Program'!$S$24=1,'Bonding Program'!$H$24&gt;'Bonding Program'!$C$8,AA$3='Bonding Program'!$H$24),'Bonding Program'!$T$24-'Bonding Program'!$U$24-'Bonding Program'!$Z$24,0)-IF(AND('Bonding Program'!$S$24=1,'Bonding Program'!$H$24&lt;='Bonding Program'!$C$8,AA$3=IF('Bonding Program'!$P$24&lt;&gt;"",'Bonding Program'!$P$24,'Bonding Program'!$C$8)),'Bonding Program'!$Z$24,0)+IF(AND('Bonding Program'!$P$24&lt;&gt;"",AA$3='Bonding Program'!$P$24,AA$3&lt;='Bonding Program'!$C$8),N('Bonding Program'!$O$24),0)</f>
        <v>0</v>
      </c>
      <c r="AB165" s="19" t="n">
        <f aca="false">IF(AND('Bonding Program'!$S$24=1,'Bonding Program'!$H$24&gt;'Bonding Program'!$C$8,AB$3='Bonding Program'!$H$24),'Bonding Program'!$T$24-'Bonding Program'!$U$24-'Bonding Program'!$Z$24,0)-IF(AND('Bonding Program'!$S$24=1,'Bonding Program'!$H$24&lt;='Bonding Program'!$C$8,AB$3=IF('Bonding Program'!$P$24&lt;&gt;"",'Bonding Program'!$P$24,'Bonding Program'!$C$8)),'Bonding Program'!$Z$24,0)+IF(AND('Bonding Program'!$P$24&lt;&gt;"",AB$3='Bonding Program'!$P$24,AB$3&lt;='Bonding Program'!$C$8),N('Bonding Program'!$O$24),0)</f>
        <v>0</v>
      </c>
      <c r="AC165" s="19" t="n">
        <f aca="false">IF(AND('Bonding Program'!$S$24=1,'Bonding Program'!$H$24&gt;'Bonding Program'!$C$8,AC$3='Bonding Program'!$H$24),'Bonding Program'!$T$24-'Bonding Program'!$U$24-'Bonding Program'!$Z$24,0)-IF(AND('Bonding Program'!$S$24=1,'Bonding Program'!$H$24&lt;='Bonding Program'!$C$8,AC$3=IF('Bonding Program'!$P$24&lt;&gt;"",'Bonding Program'!$P$24,'Bonding Program'!$C$8)),'Bonding Program'!$Z$24,0)+IF(AND('Bonding Program'!$P$24&lt;&gt;"",AC$3='Bonding Program'!$P$24,AC$3&lt;='Bonding Program'!$C$8),N('Bonding Program'!$O$24),0)</f>
        <v>0</v>
      </c>
      <c r="AD165" s="19" t="n">
        <f aca="false">IF(AND('Bonding Program'!$S$24=1,'Bonding Program'!$H$24&gt;'Bonding Program'!$C$8,AD$3='Bonding Program'!$H$24),'Bonding Program'!$T$24-'Bonding Program'!$U$24-'Bonding Program'!$Z$24,0)-IF(AND('Bonding Program'!$S$24=1,'Bonding Program'!$H$24&lt;='Bonding Program'!$C$8,AD$3=IF('Bonding Program'!$P$24&lt;&gt;"",'Bonding Program'!$P$24,'Bonding Program'!$C$8)),'Bonding Program'!$Z$24,0)+IF(AND('Bonding Program'!$P$24&lt;&gt;"",AD$3='Bonding Program'!$P$24,AD$3&lt;='Bonding Program'!$C$8),N('Bonding Program'!$O$24),0)</f>
        <v>0</v>
      </c>
      <c r="AE165" s="19" t="n">
        <f aca="false">IF(AND('Bonding Program'!$S$24=1,'Bonding Program'!$H$24&gt;'Bonding Program'!$C$8,AE$3='Bonding Program'!$H$24),'Bonding Program'!$T$24-'Bonding Program'!$U$24-'Bonding Program'!$Z$24,0)-IF(AND('Bonding Program'!$S$24=1,'Bonding Program'!$H$24&lt;='Bonding Program'!$C$8,AE$3=IF('Bonding Program'!$P$24&lt;&gt;"",'Bonding Program'!$P$24,'Bonding Program'!$C$8)),'Bonding Program'!$Z$24,0)+IF(AND('Bonding Program'!$P$24&lt;&gt;"",AE$3='Bonding Program'!$P$24,AE$3&lt;='Bonding Program'!$C$8),N('Bonding Program'!$O$24),0)</f>
        <v>0</v>
      </c>
      <c r="AF165" s="19" t="n">
        <f aca="false">IF(AND('Bonding Program'!$S$24=1,'Bonding Program'!$H$24&gt;'Bonding Program'!$C$8,AF$3='Bonding Program'!$H$24),'Bonding Program'!$T$24-'Bonding Program'!$U$24-'Bonding Program'!$Z$24,0)-IF(AND('Bonding Program'!$S$24=1,'Bonding Program'!$H$24&lt;='Bonding Program'!$C$8,AF$3=IF('Bonding Program'!$P$24&lt;&gt;"",'Bonding Program'!$P$24,'Bonding Program'!$C$8)),'Bonding Program'!$Z$24,0)+IF(AND('Bonding Program'!$P$24&lt;&gt;"",AF$3='Bonding Program'!$P$24,AF$3&lt;='Bonding Program'!$C$8),N('Bonding Program'!$O$24),0)</f>
        <v>0</v>
      </c>
      <c r="AG165" s="19" t="n">
        <f aca="false">IF(AND('Bonding Program'!$S$24=1,'Bonding Program'!$H$24&gt;'Bonding Program'!$C$8,AG$3='Bonding Program'!$H$24),'Bonding Program'!$T$24-'Bonding Program'!$U$24-'Bonding Program'!$Z$24,0)-IF(AND('Bonding Program'!$S$24=1,'Bonding Program'!$H$24&lt;='Bonding Program'!$C$8,AG$3=IF('Bonding Program'!$P$24&lt;&gt;"",'Bonding Program'!$P$24,'Bonding Program'!$C$8)),'Bonding Program'!$Z$24,0)+IF(AND('Bonding Program'!$P$24&lt;&gt;"",AG$3='Bonding Program'!$P$24,AG$3&lt;='Bonding Program'!$C$8),N('Bonding Program'!$O$24),0)</f>
        <v>0</v>
      </c>
      <c r="AH165" s="19" t="n">
        <f aca="false">IF(AND('Bonding Program'!$S$24=1,'Bonding Program'!$H$24&gt;'Bonding Program'!$C$8,AH$3='Bonding Program'!$H$24),'Bonding Program'!$T$24-'Bonding Program'!$U$24-'Bonding Program'!$Z$24,0)-IF(AND('Bonding Program'!$S$24=1,'Bonding Program'!$H$24&lt;='Bonding Program'!$C$8,AH$3=IF('Bonding Program'!$P$24&lt;&gt;"",'Bonding Program'!$P$24,'Bonding Program'!$C$8)),'Bonding Program'!$Z$24,0)+IF(AND('Bonding Program'!$P$24&lt;&gt;"",AH$3='Bonding Program'!$P$24,AH$3&lt;='Bonding Program'!$C$8),N('Bonding Program'!$O$24),0)</f>
        <v>0</v>
      </c>
      <c r="AI165" s="19" t="n">
        <f aca="false">IF(AND('Bonding Program'!$S$24=1,'Bonding Program'!$H$24&gt;'Bonding Program'!$C$8,AI$3='Bonding Program'!$H$24),'Bonding Program'!$T$24-'Bonding Program'!$U$24-'Bonding Program'!$Z$24,0)-IF(AND('Bonding Program'!$S$24=1,'Bonding Program'!$H$24&lt;='Bonding Program'!$C$8,AI$3=IF('Bonding Program'!$P$24&lt;&gt;"",'Bonding Program'!$P$24,'Bonding Program'!$C$8)),'Bonding Program'!$Z$24,0)+IF(AND('Bonding Program'!$P$24&lt;&gt;"",AI$3='Bonding Program'!$P$24,AI$3&lt;='Bonding Program'!$C$8),N('Bonding Program'!$O$24),0)</f>
        <v>0</v>
      </c>
      <c r="AJ165" s="19" t="n">
        <f aca="false">IF(AND('Bonding Program'!$S$24=1,'Bonding Program'!$H$24&gt;'Bonding Program'!$C$8,AJ$3='Bonding Program'!$H$24),'Bonding Program'!$T$24-'Bonding Program'!$U$24-'Bonding Program'!$Z$24,0)-IF(AND('Bonding Program'!$S$24=1,'Bonding Program'!$H$24&lt;='Bonding Program'!$C$8,AJ$3=IF('Bonding Program'!$P$24&lt;&gt;"",'Bonding Program'!$P$24,'Bonding Program'!$C$8)),'Bonding Program'!$Z$24,0)+IF(AND('Bonding Program'!$P$24&lt;&gt;"",AJ$3='Bonding Program'!$P$24,AJ$3&lt;='Bonding Program'!$C$8),N('Bonding Program'!$O$24),0)</f>
        <v>0</v>
      </c>
      <c r="AK165" s="19" t="n">
        <f aca="false">IF(AND('Bonding Program'!$S$24=1,'Bonding Program'!$H$24&gt;'Bonding Program'!$C$8,AK$3='Bonding Program'!$H$24),'Bonding Program'!$T$24-'Bonding Program'!$U$24-'Bonding Program'!$Z$24,0)-IF(AND('Bonding Program'!$S$24=1,'Bonding Program'!$H$24&lt;='Bonding Program'!$C$8,AK$3=IF('Bonding Program'!$P$24&lt;&gt;"",'Bonding Program'!$P$24,'Bonding Program'!$C$8)),'Bonding Program'!$Z$24,0)+IF(AND('Bonding Program'!$P$24&lt;&gt;"",AK$3='Bonding Program'!$P$24,AK$3&lt;='Bonding Program'!$C$8),N('Bonding Program'!$O$24),0)</f>
        <v>0</v>
      </c>
      <c r="AL165" s="19" t="n">
        <f aca="false">IF(AND('Bonding Program'!$S$24=1,'Bonding Program'!$H$24&gt;'Bonding Program'!$C$8,AL$3='Bonding Program'!$H$24),'Bonding Program'!$T$24-'Bonding Program'!$U$24-'Bonding Program'!$Z$24,0)-IF(AND('Bonding Program'!$S$24=1,'Bonding Program'!$H$24&lt;='Bonding Program'!$C$8,AL$3=IF('Bonding Program'!$P$24&lt;&gt;"",'Bonding Program'!$P$24,'Bonding Program'!$C$8)),'Bonding Program'!$Z$24,0)+IF(AND('Bonding Program'!$P$24&lt;&gt;"",AL$3='Bonding Program'!$P$24,AL$3&lt;='Bonding Program'!$C$8),N('Bonding Program'!$O$24),0)</f>
        <v>0</v>
      </c>
      <c r="AM165" s="19" t="n">
        <f aca="false">IF(AND('Bonding Program'!$S$24=1,'Bonding Program'!$H$24&gt;'Bonding Program'!$C$8,AM$3='Bonding Program'!$H$24),'Bonding Program'!$T$24-'Bonding Program'!$U$24-'Bonding Program'!$Z$24,0)-IF(AND('Bonding Program'!$S$24=1,'Bonding Program'!$H$24&lt;='Bonding Program'!$C$8,AM$3=IF('Bonding Program'!$P$24&lt;&gt;"",'Bonding Program'!$P$24,'Bonding Program'!$C$8)),'Bonding Program'!$Z$24,0)+IF(AND('Bonding Program'!$P$24&lt;&gt;"",AM$3='Bonding Program'!$P$24,AM$3&lt;='Bonding Program'!$C$8),N('Bonding Program'!$O$24),0)</f>
        <v>0</v>
      </c>
      <c r="AN165" s="19" t="n">
        <f aca="false">IF(AND('Bonding Program'!$S$24=1,'Bonding Program'!$H$24&gt;'Bonding Program'!$C$8,AN$3='Bonding Program'!$H$24),'Bonding Program'!$T$24-'Bonding Program'!$U$24-'Bonding Program'!$Z$24,0)-IF(AND('Bonding Program'!$S$24=1,'Bonding Program'!$H$24&lt;='Bonding Program'!$C$8,AN$3=IF('Bonding Program'!$P$24&lt;&gt;"",'Bonding Program'!$P$24,'Bonding Program'!$C$8)),'Bonding Program'!$Z$24,0)+IF(AND('Bonding Program'!$P$24&lt;&gt;"",AN$3='Bonding Program'!$P$24,AN$3&lt;='Bonding Program'!$C$8),N('Bonding Program'!$O$24),0)</f>
        <v>0</v>
      </c>
      <c r="AO165" s="19" t="n">
        <f aca="false">IF(AND('Bonding Program'!$S$24=1,'Bonding Program'!$H$24&gt;'Bonding Program'!$C$8,AO$3='Bonding Program'!$H$24),'Bonding Program'!$T$24-'Bonding Program'!$U$24-'Bonding Program'!$Z$24,0)-IF(AND('Bonding Program'!$S$24=1,'Bonding Program'!$H$24&lt;='Bonding Program'!$C$8,AO$3=IF('Bonding Program'!$P$24&lt;&gt;"",'Bonding Program'!$P$24,'Bonding Program'!$C$8)),'Bonding Program'!$Z$24,0)+IF(AND('Bonding Program'!$P$24&lt;&gt;"",AO$3='Bonding Program'!$P$24,AO$3&lt;='Bonding Program'!$C$8),N('Bonding Program'!$O$24),0)</f>
        <v>0</v>
      </c>
      <c r="AP165" s="19" t="n">
        <f aca="false">IF(AND('Bonding Program'!$S$24=1,'Bonding Program'!$H$24&gt;'Bonding Program'!$C$8,AP$3='Bonding Program'!$H$24),'Bonding Program'!$T$24-'Bonding Program'!$U$24-'Bonding Program'!$Z$24,0)-IF(AND('Bonding Program'!$S$24=1,'Bonding Program'!$H$24&lt;='Bonding Program'!$C$8,AP$3=IF('Bonding Program'!$P$24&lt;&gt;"",'Bonding Program'!$P$24,'Bonding Program'!$C$8)),'Bonding Program'!$Z$24,0)+IF(AND('Bonding Program'!$P$24&lt;&gt;"",AP$3='Bonding Program'!$P$24,AP$3&lt;='Bonding Program'!$C$8),N('Bonding Program'!$O$24),0)</f>
        <v>0</v>
      </c>
      <c r="AQ165" s="19" t="n">
        <f aca="false">IF(AND('Bonding Program'!$S$24=1,'Bonding Program'!$H$24&gt;'Bonding Program'!$C$8,AQ$3='Bonding Program'!$H$24),'Bonding Program'!$T$24-'Bonding Program'!$U$24-'Bonding Program'!$Z$24,0)-IF(AND('Bonding Program'!$S$24=1,'Bonding Program'!$H$24&lt;='Bonding Program'!$C$8,AQ$3=IF('Bonding Program'!$P$24&lt;&gt;"",'Bonding Program'!$P$24,'Bonding Program'!$C$8)),'Bonding Program'!$Z$24,0)+IF(AND('Bonding Program'!$P$24&lt;&gt;"",AQ$3='Bonding Program'!$P$24,AQ$3&lt;='Bonding Program'!$C$8),N('Bonding Program'!$O$24),0)</f>
        <v>0</v>
      </c>
      <c r="AR165" s="19" t="n">
        <f aca="false">IF(AND('Bonding Program'!$S$24=1,'Bonding Program'!$H$24&gt;'Bonding Program'!$C$8,AR$3='Bonding Program'!$H$24),'Bonding Program'!$T$24-'Bonding Program'!$U$24-'Bonding Program'!$Z$24,0)-IF(AND('Bonding Program'!$S$24=1,'Bonding Program'!$H$24&lt;='Bonding Program'!$C$8,AR$3=IF('Bonding Program'!$P$24&lt;&gt;"",'Bonding Program'!$P$24,'Bonding Program'!$C$8)),'Bonding Program'!$Z$24,0)+IF(AND('Bonding Program'!$P$24&lt;&gt;"",AR$3='Bonding Program'!$P$24,AR$3&lt;='Bonding Program'!$C$8),N('Bonding Program'!$O$24),0)</f>
        <v>0</v>
      </c>
      <c r="AS165" s="19" t="n">
        <f aca="false">IF(AND('Bonding Program'!$S$24=1,'Bonding Program'!$H$24&gt;'Bonding Program'!$C$8,AS$3='Bonding Program'!$H$24),'Bonding Program'!$T$24-'Bonding Program'!$U$24-'Bonding Program'!$Z$24,0)-IF(AND('Bonding Program'!$S$24=1,'Bonding Program'!$H$24&lt;='Bonding Program'!$C$8,AS$3=IF('Bonding Program'!$P$24&lt;&gt;"",'Bonding Program'!$P$24,'Bonding Program'!$C$8)),'Bonding Program'!$Z$24,0)+IF(AND('Bonding Program'!$P$24&lt;&gt;"",AS$3='Bonding Program'!$P$24,AS$3&lt;='Bonding Program'!$C$8),N('Bonding Program'!$O$24),0)</f>
        <v>0</v>
      </c>
      <c r="AT165" s="19" t="n">
        <f aca="false">IF(AND('Bonding Program'!$S$24=1,'Bonding Program'!$H$24&gt;'Bonding Program'!$C$8,AT$3='Bonding Program'!$H$24),'Bonding Program'!$T$24-'Bonding Program'!$U$24-'Bonding Program'!$Z$24,0)-IF(AND('Bonding Program'!$S$24=1,'Bonding Program'!$H$24&lt;='Bonding Program'!$C$8,AT$3=IF('Bonding Program'!$P$24&lt;&gt;"",'Bonding Program'!$P$24,'Bonding Program'!$C$8)),'Bonding Program'!$Z$24,0)+IF(AND('Bonding Program'!$P$24&lt;&gt;"",AT$3='Bonding Program'!$P$24,AT$3&lt;='Bonding Program'!$C$8),N('Bonding Program'!$O$24),0)</f>
        <v>0</v>
      </c>
      <c r="AU165" s="19" t="n">
        <f aca="false">IF(AND('Bonding Program'!$S$24=1,'Bonding Program'!$H$24&gt;'Bonding Program'!$C$8,AU$3='Bonding Program'!$H$24),'Bonding Program'!$T$24-'Bonding Program'!$U$24-'Bonding Program'!$Z$24,0)-IF(AND('Bonding Program'!$S$24=1,'Bonding Program'!$H$24&lt;='Bonding Program'!$C$8,AU$3=IF('Bonding Program'!$P$24&lt;&gt;"",'Bonding Program'!$P$24,'Bonding Program'!$C$8)),'Bonding Program'!$Z$24,0)+IF(AND('Bonding Program'!$P$24&lt;&gt;"",AU$3='Bonding Program'!$P$24,AU$3&lt;='Bonding Program'!$C$8),N('Bonding Program'!$O$24),0)</f>
        <v>0</v>
      </c>
      <c r="AV165" s="19" t="n">
        <f aca="false">IF(AND('Bonding Program'!$S$24=1,'Bonding Program'!$H$24&gt;'Bonding Program'!$C$8,AV$3='Bonding Program'!$H$24),'Bonding Program'!$T$24-'Bonding Program'!$U$24-'Bonding Program'!$Z$24,0)-IF(AND('Bonding Program'!$S$24=1,'Bonding Program'!$H$24&lt;='Bonding Program'!$C$8,AV$3=IF('Bonding Program'!$P$24&lt;&gt;"",'Bonding Program'!$P$24,'Bonding Program'!$C$8)),'Bonding Program'!$Z$24,0)+IF(AND('Bonding Program'!$P$24&lt;&gt;"",AV$3='Bonding Program'!$P$24,AV$3&lt;='Bonding Program'!$C$8),N('Bonding Program'!$O$24),0)</f>
        <v>0</v>
      </c>
      <c r="AW165" s="19" t="n">
        <f aca="false">IF(AND('Bonding Program'!$S$24=1,'Bonding Program'!$H$24&gt;'Bonding Program'!$C$8,AW$3='Bonding Program'!$H$24),'Bonding Program'!$T$24-'Bonding Program'!$U$24-'Bonding Program'!$Z$24,0)-IF(AND('Bonding Program'!$S$24=1,'Bonding Program'!$H$24&lt;='Bonding Program'!$C$8,AW$3=IF('Bonding Program'!$P$24&lt;&gt;"",'Bonding Program'!$P$24,'Bonding Program'!$C$8)),'Bonding Program'!$Z$24,0)+IF(AND('Bonding Program'!$P$24&lt;&gt;"",AW$3='Bonding Program'!$P$24,AW$3&lt;='Bonding Program'!$C$8),N('Bonding Program'!$O$24),0)</f>
        <v>0</v>
      </c>
      <c r="AX165" s="19" t="n">
        <f aca="false">IF(AND('Bonding Program'!$S$24=1,'Bonding Program'!$H$24&gt;'Bonding Program'!$C$8,AX$3='Bonding Program'!$H$24),'Bonding Program'!$T$24-'Bonding Program'!$U$24-'Bonding Program'!$Z$24,0)-IF(AND('Bonding Program'!$S$24=1,'Bonding Program'!$H$24&lt;='Bonding Program'!$C$8,AX$3=IF('Bonding Program'!$P$24&lt;&gt;"",'Bonding Program'!$P$24,'Bonding Program'!$C$8)),'Bonding Program'!$Z$24,0)+IF(AND('Bonding Program'!$P$24&lt;&gt;"",AX$3='Bonding Program'!$P$24,AX$3&lt;='Bonding Program'!$C$8),N('Bonding Program'!$O$24),0)</f>
        <v>0</v>
      </c>
      <c r="AY165" s="19" t="n">
        <f aca="false">IF(AND('Bonding Program'!$S$24=1,'Bonding Program'!$H$24&gt;'Bonding Program'!$C$8,AY$3='Bonding Program'!$H$24),'Bonding Program'!$T$24-'Bonding Program'!$U$24-'Bonding Program'!$Z$24,0)-IF(AND('Bonding Program'!$S$24=1,'Bonding Program'!$H$24&lt;='Bonding Program'!$C$8,AY$3=IF('Bonding Program'!$P$24&lt;&gt;"",'Bonding Program'!$P$24,'Bonding Program'!$C$8)),'Bonding Program'!$Z$24,0)+IF(AND('Bonding Program'!$P$24&lt;&gt;"",AY$3='Bonding Program'!$P$24,AY$3&lt;='Bonding Program'!$C$8),N('Bonding Program'!$O$24),0)</f>
        <v>0</v>
      </c>
      <c r="AZ165" s="19" t="n">
        <f aca="false">IF(AND('Bonding Program'!$S$24=1,'Bonding Program'!$H$24&gt;'Bonding Program'!$C$8,AZ$3='Bonding Program'!$H$24),'Bonding Program'!$T$24-'Bonding Program'!$U$24-'Bonding Program'!$Z$24,0)-IF(AND('Bonding Program'!$S$24=1,'Bonding Program'!$H$24&lt;='Bonding Program'!$C$8,AZ$3=IF('Bonding Program'!$P$24&lt;&gt;"",'Bonding Program'!$P$24,'Bonding Program'!$C$8)),'Bonding Program'!$Z$24,0)+IF(AND('Bonding Program'!$P$24&lt;&gt;"",AZ$3='Bonding Program'!$P$24,AZ$3&lt;='Bonding Program'!$C$8),N('Bonding Program'!$O$24),0)</f>
        <v>0</v>
      </c>
      <c r="BA165" s="19" t="n">
        <f aca="false">IF(AND('Bonding Program'!$S$24=1,'Bonding Program'!$H$24&gt;'Bonding Program'!$C$8,BA$3='Bonding Program'!$H$24),'Bonding Program'!$T$24-'Bonding Program'!$U$24-'Bonding Program'!$Z$24,0)-IF(AND('Bonding Program'!$S$24=1,'Bonding Program'!$H$24&lt;='Bonding Program'!$C$8,BA$3=IF('Bonding Program'!$P$24&lt;&gt;"",'Bonding Program'!$P$24,'Bonding Program'!$C$8)),'Bonding Program'!$Z$24,0)+IF(AND('Bonding Program'!$P$24&lt;&gt;"",BA$3='Bonding Program'!$P$24,BA$3&lt;='Bonding Program'!$C$8),N('Bonding Program'!$O$24),0)</f>
        <v>0</v>
      </c>
      <c r="BB165" s="19" t="n">
        <f aca="false">IF(AND('Bonding Program'!$S$24=1,'Bonding Program'!$H$24&gt;'Bonding Program'!$C$8,BB$3='Bonding Program'!$H$24),'Bonding Program'!$T$24-'Bonding Program'!$U$24-'Bonding Program'!$Z$24,0)-IF(AND('Bonding Program'!$S$24=1,'Bonding Program'!$H$24&lt;='Bonding Program'!$C$8,BB$3=IF('Bonding Program'!$P$24&lt;&gt;"",'Bonding Program'!$P$24,'Bonding Program'!$C$8)),'Bonding Program'!$Z$24,0)+IF(AND('Bonding Program'!$P$24&lt;&gt;"",BB$3='Bonding Program'!$P$24,BB$3&lt;='Bonding Program'!$C$8),N('Bonding Program'!$O$24),0)</f>
        <v>0</v>
      </c>
      <c r="BC165" s="19" t="n">
        <f aca="false">IF(AND('Bonding Program'!$S$24=1,'Bonding Program'!$H$24&gt;'Bonding Program'!$C$8,BC$3='Bonding Program'!$H$24),'Bonding Program'!$T$24-'Bonding Program'!$U$24-'Bonding Program'!$Z$24,0)-IF(AND('Bonding Program'!$S$24=1,'Bonding Program'!$H$24&lt;='Bonding Program'!$C$8,BC$3=IF('Bonding Program'!$P$24&lt;&gt;"",'Bonding Program'!$P$24,'Bonding Program'!$C$8)),'Bonding Program'!$Z$24,0)+IF(AND('Bonding Program'!$P$24&lt;&gt;"",BC$3='Bonding Program'!$P$24,BC$3&lt;='Bonding Program'!$C$8),N('Bonding Program'!$O$24),0)</f>
        <v>0</v>
      </c>
      <c r="BD165" s="19" t="n">
        <f aca="false">IF(AND('Bonding Program'!$S$24=1,'Bonding Program'!$H$24&gt;'Bonding Program'!$C$8,BD$3='Bonding Program'!$H$24),'Bonding Program'!$T$24-'Bonding Program'!$U$24-'Bonding Program'!$Z$24,0)-IF(AND('Bonding Program'!$S$24=1,'Bonding Program'!$H$24&lt;='Bonding Program'!$C$8,BD$3=IF('Bonding Program'!$P$24&lt;&gt;"",'Bonding Program'!$P$24,'Bonding Program'!$C$8)),'Bonding Program'!$Z$24,0)+IF(AND('Bonding Program'!$P$24&lt;&gt;"",BD$3='Bonding Program'!$P$24,BD$3&lt;='Bonding Program'!$C$8),N('Bonding Program'!$O$24),0)</f>
        <v>0</v>
      </c>
      <c r="BE165" s="19" t="n">
        <f aca="false">IF(AND('Bonding Program'!$S$24=1,'Bonding Program'!$H$24&gt;'Bonding Program'!$C$8,BE$3='Bonding Program'!$H$24),'Bonding Program'!$T$24-'Bonding Program'!$U$24-'Bonding Program'!$Z$24,0)-IF(AND('Bonding Program'!$S$24=1,'Bonding Program'!$H$24&lt;='Bonding Program'!$C$8,BE$3=IF('Bonding Program'!$P$24&lt;&gt;"",'Bonding Program'!$P$24,'Bonding Program'!$C$8)),'Bonding Program'!$Z$24,0)+IF(AND('Bonding Program'!$P$24&lt;&gt;"",BE$3='Bonding Program'!$P$24,BE$3&lt;='Bonding Program'!$C$8),N('Bonding Program'!$O$24),0)</f>
        <v>0</v>
      </c>
      <c r="BF165" s="19" t="n">
        <f aca="false">IF(AND('Bonding Program'!$S$24=1,'Bonding Program'!$H$24&gt;'Bonding Program'!$C$8,BF$3='Bonding Program'!$H$24),'Bonding Program'!$T$24-'Bonding Program'!$U$24-'Bonding Program'!$Z$24,0)-IF(AND('Bonding Program'!$S$24=1,'Bonding Program'!$H$24&lt;='Bonding Program'!$C$8,BF$3=IF('Bonding Program'!$P$24&lt;&gt;"",'Bonding Program'!$P$24,'Bonding Program'!$C$8)),'Bonding Program'!$Z$24,0)+IF(AND('Bonding Program'!$P$24&lt;&gt;"",BF$3='Bonding Program'!$P$24,BF$3&lt;='Bonding Program'!$C$8),N('Bonding Program'!$O$24),0)</f>
        <v>0</v>
      </c>
      <c r="BG165" s="19" t="n">
        <f aca="false">IF(AND('Bonding Program'!$S$24=1,'Bonding Program'!$H$24&gt;'Bonding Program'!$C$8,BG$3='Bonding Program'!$H$24),'Bonding Program'!$T$24-'Bonding Program'!$U$24-'Bonding Program'!$Z$24,0)-IF(AND('Bonding Program'!$S$24=1,'Bonding Program'!$H$24&lt;='Bonding Program'!$C$8,BG$3=IF('Bonding Program'!$P$24&lt;&gt;"",'Bonding Program'!$P$24,'Bonding Program'!$C$8)),'Bonding Program'!$Z$24,0)+IF(AND('Bonding Program'!$P$24&lt;&gt;"",BG$3='Bonding Program'!$P$24,BG$3&lt;='Bonding Program'!$C$8),N('Bonding Program'!$O$24),0)</f>
        <v>0</v>
      </c>
      <c r="BH165" s="19" t="n">
        <f aca="false">IF(AND('Bonding Program'!$S$24=1,'Bonding Program'!$H$24&gt;'Bonding Program'!$C$8,BH$3='Bonding Program'!$H$24),'Bonding Program'!$T$24-'Bonding Program'!$U$24-'Bonding Program'!$Z$24,0)-IF(AND('Bonding Program'!$S$24=1,'Bonding Program'!$H$24&lt;='Bonding Program'!$C$8,BH$3=IF('Bonding Program'!$P$24&lt;&gt;"",'Bonding Program'!$P$24,'Bonding Program'!$C$8)),'Bonding Program'!$Z$24,0)+IF(AND('Bonding Program'!$P$24&lt;&gt;"",BH$3='Bonding Program'!$P$24,BH$3&lt;='Bonding Program'!$C$8),N('Bonding Program'!$O$24),0)</f>
        <v>0</v>
      </c>
      <c r="BI165" s="19" t="n">
        <f aca="false">IF(AND('Bonding Program'!$S$24=1,'Bonding Program'!$H$24&gt;'Bonding Program'!$C$8,BI$3='Bonding Program'!$H$24),'Bonding Program'!$T$24-'Bonding Program'!$U$24-'Bonding Program'!$Z$24,0)-IF(AND('Bonding Program'!$S$24=1,'Bonding Program'!$H$24&lt;='Bonding Program'!$C$8,BI$3=IF('Bonding Program'!$P$24&lt;&gt;"",'Bonding Program'!$P$24,'Bonding Program'!$C$8)),'Bonding Program'!$Z$24,0)+IF(AND('Bonding Program'!$P$24&lt;&gt;"",BI$3='Bonding Program'!$P$24,BI$3&lt;='Bonding Program'!$C$8),N('Bonding Program'!$O$24),0)</f>
        <v>0</v>
      </c>
      <c r="BJ165" s="19" t="n">
        <f aca="false">IF(AND('Bonding Program'!$S$24=1,'Bonding Program'!$H$24&gt;'Bonding Program'!$C$8,BJ$3='Bonding Program'!$H$24),'Bonding Program'!$T$24-'Bonding Program'!$U$24-'Bonding Program'!$Z$24,0)-IF(AND('Bonding Program'!$S$24=1,'Bonding Program'!$H$24&lt;='Bonding Program'!$C$8,BJ$3=IF('Bonding Program'!$P$24&lt;&gt;"",'Bonding Program'!$P$24,'Bonding Program'!$C$8)),'Bonding Program'!$Z$24,0)+IF(AND('Bonding Program'!$P$24&lt;&gt;"",BJ$3='Bonding Program'!$P$24,BJ$3&lt;='Bonding Program'!$C$8),N('Bonding Program'!$O$24),0)</f>
        <v>0</v>
      </c>
      <c r="BK165" s="19" t="n">
        <f aca="false">IF(AND('Bonding Program'!$S$24=1,'Bonding Program'!$H$24&gt;'Bonding Program'!$C$8,BK$3='Bonding Program'!$H$24),'Bonding Program'!$T$24-'Bonding Program'!$U$24-'Bonding Program'!$Z$24,0)-IF(AND('Bonding Program'!$S$24=1,'Bonding Program'!$H$24&lt;='Bonding Program'!$C$8,BK$3=IF('Bonding Program'!$P$24&lt;&gt;"",'Bonding Program'!$P$24,'Bonding Program'!$C$8)),'Bonding Program'!$Z$24,0)+IF(AND('Bonding Program'!$P$24&lt;&gt;"",BK$3='Bonding Program'!$P$24,BK$3&lt;='Bonding Program'!$C$8),N('Bonding Program'!$O$24),0)</f>
        <v>0</v>
      </c>
      <c r="BL165" s="19" t="n">
        <f aca="false">IF(AND('Bonding Program'!$S$24=1,'Bonding Program'!$H$24&gt;'Bonding Program'!$C$8,BL$3='Bonding Program'!$H$24),'Bonding Program'!$T$24-'Bonding Program'!$U$24-'Bonding Program'!$Z$24,0)-IF(AND('Bonding Program'!$S$24=1,'Bonding Program'!$H$24&lt;='Bonding Program'!$C$8,BL$3=IF('Bonding Program'!$P$24&lt;&gt;"",'Bonding Program'!$P$24,'Bonding Program'!$C$8)),'Bonding Program'!$Z$24,0)+IF(AND('Bonding Program'!$P$24&lt;&gt;"",BL$3='Bonding Program'!$P$24,BL$3&lt;='Bonding Program'!$C$8),N('Bonding Program'!$O$24),0)</f>
        <v>0</v>
      </c>
      <c r="BM165" s="19" t="n">
        <f aca="false">IF(AND('Bonding Program'!$S$24=1,'Bonding Program'!$H$24&gt;'Bonding Program'!$C$8,BM$3='Bonding Program'!$H$24),'Bonding Program'!$T$24-'Bonding Program'!$U$24-'Bonding Program'!$Z$24,0)-IF(AND('Bonding Program'!$S$24=1,'Bonding Program'!$H$24&lt;='Bonding Program'!$C$8,BM$3=IF('Bonding Program'!$P$24&lt;&gt;"",'Bonding Program'!$P$24,'Bonding Program'!$C$8)),'Bonding Program'!$Z$24,0)+IF(AND('Bonding Program'!$P$24&lt;&gt;"",BM$3='Bonding Program'!$P$24,BM$3&lt;='Bonding Program'!$C$8),N('Bonding Program'!$O$24),0)</f>
        <v>0</v>
      </c>
      <c r="BN165" s="19" t="n">
        <f aca="false">IF(AND('Bonding Program'!$S$24=1,'Bonding Program'!$H$24&gt;'Bonding Program'!$C$8,BN$3='Bonding Program'!$H$24),'Bonding Program'!$T$24-'Bonding Program'!$U$24-'Bonding Program'!$Z$24,0)-IF(AND('Bonding Program'!$S$24=1,'Bonding Program'!$H$24&lt;='Bonding Program'!$C$8,BN$3=IF('Bonding Program'!$P$24&lt;&gt;"",'Bonding Program'!$P$24,'Bonding Program'!$C$8)),'Bonding Program'!$Z$24,0)+IF(AND('Bonding Program'!$P$24&lt;&gt;"",BN$3='Bonding Program'!$P$24,BN$3&lt;='Bonding Program'!$C$8),N('Bonding Program'!$O$24),0)</f>
        <v>0</v>
      </c>
      <c r="BO165" s="19" t="n">
        <f aca="false">IF(AND('Bonding Program'!$S$24=1,'Bonding Program'!$H$24&gt;'Bonding Program'!$C$8,BO$3='Bonding Program'!$H$24),'Bonding Program'!$T$24-'Bonding Program'!$U$24-'Bonding Program'!$Z$24,0)-IF(AND('Bonding Program'!$S$24=1,'Bonding Program'!$H$24&lt;='Bonding Program'!$C$8,BO$3=IF('Bonding Program'!$P$24&lt;&gt;"",'Bonding Program'!$P$24,'Bonding Program'!$C$8)),'Bonding Program'!$Z$24,0)+IF(AND('Bonding Program'!$P$24&lt;&gt;"",BO$3='Bonding Program'!$P$24,BO$3&lt;='Bonding Program'!$C$8),N('Bonding Program'!$O$24),0)</f>
        <v>0</v>
      </c>
      <c r="BP165" s="19" t="n">
        <f aca="false">IF(AND('Bonding Program'!$S$24=1,'Bonding Program'!$H$24&gt;'Bonding Program'!$C$8,BP$3='Bonding Program'!$H$24),'Bonding Program'!$T$24-'Bonding Program'!$U$24-'Bonding Program'!$Z$24,0)-IF(AND('Bonding Program'!$S$24=1,'Bonding Program'!$H$24&lt;='Bonding Program'!$C$8,BP$3=IF('Bonding Program'!$P$24&lt;&gt;"",'Bonding Program'!$P$24,'Bonding Program'!$C$8)),'Bonding Program'!$Z$24,0)+IF(AND('Bonding Program'!$P$24&lt;&gt;"",BP$3='Bonding Program'!$P$24,BP$3&lt;='Bonding Program'!$C$8),N('Bonding Program'!$O$24),0)</f>
        <v>0</v>
      </c>
      <c r="BQ165" s="19" t="n">
        <f aca="false">IF(AND('Bonding Program'!$S$24=1,'Bonding Program'!$H$24&gt;'Bonding Program'!$C$8,BQ$3='Bonding Program'!$H$24),'Bonding Program'!$T$24-'Bonding Program'!$U$24-'Bonding Program'!$Z$24,0)-IF(AND('Bonding Program'!$S$24=1,'Bonding Program'!$H$24&lt;='Bonding Program'!$C$8,BQ$3=IF('Bonding Program'!$P$24&lt;&gt;"",'Bonding Program'!$P$24,'Bonding Program'!$C$8)),'Bonding Program'!$Z$24,0)+IF(AND('Bonding Program'!$P$24&lt;&gt;"",BQ$3='Bonding Program'!$P$24,BQ$3&lt;='Bonding Program'!$C$8),N('Bonding Program'!$O$24),0)</f>
        <v>0</v>
      </c>
      <c r="BR165" s="19" t="n">
        <f aca="false">IF(AND('Bonding Program'!$S$24=1,'Bonding Program'!$H$24&gt;'Bonding Program'!$C$8,BR$3='Bonding Program'!$H$24),'Bonding Program'!$T$24-'Bonding Program'!$U$24-'Bonding Program'!$Z$24,0)-IF(AND('Bonding Program'!$S$24=1,'Bonding Program'!$H$24&lt;='Bonding Program'!$C$8,BR$3=IF('Bonding Program'!$P$24&lt;&gt;"",'Bonding Program'!$P$24,'Bonding Program'!$C$8)),'Bonding Program'!$Z$24,0)+IF(AND('Bonding Program'!$P$24&lt;&gt;"",BR$3='Bonding Program'!$P$24,BR$3&lt;='Bonding Program'!$C$8),N('Bonding Program'!$O$24),0)</f>
        <v>0</v>
      </c>
      <c r="BS165" s="19" t="n">
        <f aca="false">IF(AND('Bonding Program'!$S$24=1,'Bonding Program'!$H$24&gt;'Bonding Program'!$C$8,BS$3='Bonding Program'!$H$24),'Bonding Program'!$T$24-'Bonding Program'!$U$24-'Bonding Program'!$Z$24,0)-IF(AND('Bonding Program'!$S$24=1,'Bonding Program'!$H$24&lt;='Bonding Program'!$C$8,BS$3=IF('Bonding Program'!$P$24&lt;&gt;"",'Bonding Program'!$P$24,'Bonding Program'!$C$8)),'Bonding Program'!$Z$24,0)+IF(AND('Bonding Program'!$P$24&lt;&gt;"",BS$3='Bonding Program'!$P$24,BS$3&lt;='Bonding Program'!$C$8),N('Bonding Program'!$O$24),0)</f>
        <v>0</v>
      </c>
      <c r="BT165" s="19" t="n">
        <f aca="false">IF(AND('Bonding Program'!$S$24=1,'Bonding Program'!$H$24&gt;'Bonding Program'!$C$8,BT$3='Bonding Program'!$H$24),'Bonding Program'!$T$24-'Bonding Program'!$U$24-'Bonding Program'!$Z$24,0)-IF(AND('Bonding Program'!$S$24=1,'Bonding Program'!$H$24&lt;='Bonding Program'!$C$8,BT$3=IF('Bonding Program'!$P$24&lt;&gt;"",'Bonding Program'!$P$24,'Bonding Program'!$C$8)),'Bonding Program'!$Z$24,0)+IF(AND('Bonding Program'!$P$24&lt;&gt;"",BT$3='Bonding Program'!$P$24,BT$3&lt;='Bonding Program'!$C$8),N('Bonding Program'!$O$24),0)</f>
        <v>0</v>
      </c>
      <c r="BU165" s="19" t="n">
        <f aca="false">IF(AND('Bonding Program'!$S$24=1,'Bonding Program'!$H$24&gt;'Bonding Program'!$C$8,BU$3='Bonding Program'!$H$24),'Bonding Program'!$T$24-'Bonding Program'!$U$24-'Bonding Program'!$Z$24,0)-IF(AND('Bonding Program'!$S$24=1,'Bonding Program'!$H$24&lt;='Bonding Program'!$C$8,BU$3=IF('Bonding Program'!$P$24&lt;&gt;"",'Bonding Program'!$P$24,'Bonding Program'!$C$8)),'Bonding Program'!$Z$24,0)+IF(AND('Bonding Program'!$P$24&lt;&gt;"",BU$3='Bonding Program'!$P$24,BU$3&lt;='Bonding Program'!$C$8),N('Bonding Program'!$O$24),0)</f>
        <v>0</v>
      </c>
      <c r="BV165" s="19" t="n">
        <f aca="false">IF(AND('Bonding Program'!$S$24=1,'Bonding Program'!$H$24&gt;'Bonding Program'!$C$8,BV$3='Bonding Program'!$H$24),'Bonding Program'!$T$24-'Bonding Program'!$U$24-'Bonding Program'!$Z$24,0)-IF(AND('Bonding Program'!$S$24=1,'Bonding Program'!$H$24&lt;='Bonding Program'!$C$8,BV$3=IF('Bonding Program'!$P$24&lt;&gt;"",'Bonding Program'!$P$24,'Bonding Program'!$C$8)),'Bonding Program'!$Z$24,0)+IF(AND('Bonding Program'!$P$24&lt;&gt;"",BV$3='Bonding Program'!$P$24,BV$3&lt;='Bonding Program'!$C$8),N('Bonding Program'!$O$24),0)</f>
        <v>0</v>
      </c>
      <c r="BW165" s="19" t="n">
        <f aca="false">IF(AND('Bonding Program'!$S$24=1,'Bonding Program'!$H$24&gt;'Bonding Program'!$C$8,BW$3='Bonding Program'!$H$24),'Bonding Program'!$T$24-'Bonding Program'!$U$24-'Bonding Program'!$Z$24,0)-IF(AND('Bonding Program'!$S$24=1,'Bonding Program'!$H$24&lt;='Bonding Program'!$C$8,BW$3=IF('Bonding Program'!$P$24&lt;&gt;"",'Bonding Program'!$P$24,'Bonding Program'!$C$8)),'Bonding Program'!$Z$24,0)+IF(AND('Bonding Program'!$P$24&lt;&gt;"",BW$3='Bonding Program'!$P$24,BW$3&lt;='Bonding Program'!$C$8),N('Bonding Program'!$O$24),0)</f>
        <v>0</v>
      </c>
      <c r="BX165" s="19" t="n">
        <f aca="false">IF(AND('Bonding Program'!$S$24=1,'Bonding Program'!$H$24&gt;'Bonding Program'!$C$8,BX$3='Bonding Program'!$H$24),'Bonding Program'!$T$24-'Bonding Program'!$U$24-'Bonding Program'!$Z$24,0)-IF(AND('Bonding Program'!$S$24=1,'Bonding Program'!$H$24&lt;='Bonding Program'!$C$8,BX$3=IF('Bonding Program'!$P$24&lt;&gt;"",'Bonding Program'!$P$24,'Bonding Program'!$C$8)),'Bonding Program'!$Z$24,0)+IF(AND('Bonding Program'!$P$24&lt;&gt;"",BX$3='Bonding Program'!$P$24,BX$3&lt;='Bonding Program'!$C$8),N('Bonding Program'!$O$24),0)</f>
        <v>0</v>
      </c>
      <c r="BY165" s="19" t="n">
        <f aca="false">IF(AND('Bonding Program'!$S$24=1,'Bonding Program'!$H$24&gt;'Bonding Program'!$C$8,BY$3='Bonding Program'!$H$24),'Bonding Program'!$T$24-'Bonding Program'!$U$24-'Bonding Program'!$Z$24,0)-IF(AND('Bonding Program'!$S$24=1,'Bonding Program'!$H$24&lt;='Bonding Program'!$C$8,BY$3=IF('Bonding Program'!$P$24&lt;&gt;"",'Bonding Program'!$P$24,'Bonding Program'!$C$8)),'Bonding Program'!$Z$24,0)+IF(AND('Bonding Program'!$P$24&lt;&gt;"",BY$3='Bonding Program'!$P$24,BY$3&lt;='Bonding Program'!$C$8),N('Bonding Program'!$O$24),0)</f>
        <v>0</v>
      </c>
      <c r="BZ165" s="19" t="n">
        <f aca="false">IF(AND('Bonding Program'!$S$24=1,'Bonding Program'!$H$24&gt;'Bonding Program'!$C$8,BZ$3='Bonding Program'!$H$24),'Bonding Program'!$T$24-'Bonding Program'!$U$24-'Bonding Program'!$Z$24,0)-IF(AND('Bonding Program'!$S$24=1,'Bonding Program'!$H$24&lt;='Bonding Program'!$C$8,BZ$3=IF('Bonding Program'!$P$24&lt;&gt;"",'Bonding Program'!$P$24,'Bonding Program'!$C$8)),'Bonding Program'!$Z$24,0)+IF(AND('Bonding Program'!$P$24&lt;&gt;"",BZ$3='Bonding Program'!$P$24,BZ$3&lt;='Bonding Program'!$C$8),N('Bonding Program'!$O$24),0)</f>
        <v>0</v>
      </c>
      <c r="CA165" s="19" t="n">
        <f aca="false">IF(AND('Bonding Program'!$S$24=1,'Bonding Program'!$H$24&gt;'Bonding Program'!$C$8,CA$3='Bonding Program'!$H$24),'Bonding Program'!$T$24-'Bonding Program'!$U$24-'Bonding Program'!$Z$24,0)-IF(AND('Bonding Program'!$S$24=1,'Bonding Program'!$H$24&lt;='Bonding Program'!$C$8,CA$3=IF('Bonding Program'!$P$24&lt;&gt;"",'Bonding Program'!$P$24,'Bonding Program'!$C$8)),'Bonding Program'!$Z$24,0)+IF(AND('Bonding Program'!$P$24&lt;&gt;"",CA$3='Bonding Program'!$P$24,CA$3&lt;='Bonding Program'!$C$8),N('Bonding Program'!$O$24),0)</f>
        <v>0</v>
      </c>
      <c r="CB165" s="19" t="n">
        <f aca="false">IF(AND('Bonding Program'!$S$24=1,'Bonding Program'!$H$24&gt;'Bonding Program'!$C$8,CB$3='Bonding Program'!$H$24),'Bonding Program'!$T$24-'Bonding Program'!$U$24-'Bonding Program'!$Z$24,0)-IF(AND('Bonding Program'!$S$24=1,'Bonding Program'!$H$24&lt;='Bonding Program'!$C$8,CB$3=IF('Bonding Program'!$P$24&lt;&gt;"",'Bonding Program'!$P$24,'Bonding Program'!$C$8)),'Bonding Program'!$Z$24,0)+IF(AND('Bonding Program'!$P$24&lt;&gt;"",CB$3='Bonding Program'!$P$24,CB$3&lt;='Bonding Program'!$C$8),N('Bonding Program'!$O$24),0)</f>
        <v>0</v>
      </c>
      <c r="CC165" s="19" t="n">
        <f aca="false">IF(AND('Bonding Program'!$S$24=1,'Bonding Program'!$H$24&gt;'Bonding Program'!$C$8,CC$3='Bonding Program'!$H$24),'Bonding Program'!$T$24-'Bonding Program'!$U$24-'Bonding Program'!$Z$24,0)-IF(AND('Bonding Program'!$S$24=1,'Bonding Program'!$H$24&lt;='Bonding Program'!$C$8,CC$3=IF('Bonding Program'!$P$24&lt;&gt;"",'Bonding Program'!$P$24,'Bonding Program'!$C$8)),'Bonding Program'!$Z$24,0)+IF(AND('Bonding Program'!$P$24&lt;&gt;"",CC$3='Bonding Program'!$P$24,CC$3&lt;='Bonding Program'!$C$8),N('Bonding Program'!$O$24),0)</f>
        <v>0</v>
      </c>
      <c r="CD165" s="19" t="n">
        <f aca="false">IF(AND('Bonding Program'!$S$24=1,'Bonding Program'!$H$24&gt;'Bonding Program'!$C$8,CD$3='Bonding Program'!$H$24),'Bonding Program'!$T$24-'Bonding Program'!$U$24-'Bonding Program'!$Z$24,0)-IF(AND('Bonding Program'!$S$24=1,'Bonding Program'!$H$24&lt;='Bonding Program'!$C$8,CD$3=IF('Bonding Program'!$P$24&lt;&gt;"",'Bonding Program'!$P$24,'Bonding Program'!$C$8)),'Bonding Program'!$Z$24,0)+IF(AND('Bonding Program'!$P$24&lt;&gt;"",CD$3='Bonding Program'!$P$24,CD$3&lt;='Bonding Program'!$C$8),N('Bonding Program'!$O$24),0)</f>
        <v>0</v>
      </c>
      <c r="CE165" s="19" t="n">
        <f aca="false">IF(AND('Bonding Program'!$S$24=1,'Bonding Program'!$H$24&gt;'Bonding Program'!$C$8,CE$3='Bonding Program'!$H$24),'Bonding Program'!$T$24-'Bonding Program'!$U$24-'Bonding Program'!$Z$24,0)-IF(AND('Bonding Program'!$S$24=1,'Bonding Program'!$H$24&lt;='Bonding Program'!$C$8,CE$3=IF('Bonding Program'!$P$24&lt;&gt;"",'Bonding Program'!$P$24,'Bonding Program'!$C$8)),'Bonding Program'!$Z$24,0)+IF(AND('Bonding Program'!$P$24&lt;&gt;"",CE$3='Bonding Program'!$P$24,CE$3&lt;='Bonding Program'!$C$8),N('Bonding Program'!$O$24),0)</f>
        <v>0</v>
      </c>
      <c r="CF165" s="19" t="n">
        <f aca="false">IF(AND('Bonding Program'!$S$24=1,'Bonding Program'!$H$24&gt;'Bonding Program'!$C$8,CF$3='Bonding Program'!$H$24),'Bonding Program'!$T$24-'Bonding Program'!$U$24-'Bonding Program'!$Z$24,0)-IF(AND('Bonding Program'!$S$24=1,'Bonding Program'!$H$24&lt;='Bonding Program'!$C$8,CF$3=IF('Bonding Program'!$P$24&lt;&gt;"",'Bonding Program'!$P$24,'Bonding Program'!$C$8)),'Bonding Program'!$Z$24,0)+IF(AND('Bonding Program'!$P$24&lt;&gt;"",CF$3='Bonding Program'!$P$24,CF$3&lt;='Bonding Program'!$C$8),N('Bonding Program'!$O$24),0)</f>
        <v>0</v>
      </c>
      <c r="CG165" s="19" t="n">
        <f aca="false">IF(AND('Bonding Program'!$S$24=1,'Bonding Program'!$H$24&gt;'Bonding Program'!$C$8,CG$3='Bonding Program'!$H$24),'Bonding Program'!$T$24-'Bonding Program'!$U$24-'Bonding Program'!$Z$24,0)-IF(AND('Bonding Program'!$S$24=1,'Bonding Program'!$H$24&lt;='Bonding Program'!$C$8,CG$3=IF('Bonding Program'!$P$24&lt;&gt;"",'Bonding Program'!$P$24,'Bonding Program'!$C$8)),'Bonding Program'!$Z$24,0)+IF(AND('Bonding Program'!$P$24&lt;&gt;"",CG$3='Bonding Program'!$P$24,CG$3&lt;='Bonding Program'!$C$8),N('Bonding Program'!$O$24),0)</f>
        <v>0</v>
      </c>
      <c r="CH165" s="19" t="n">
        <f aca="false">IF(AND('Bonding Program'!$S$24=1,'Bonding Program'!$H$24&gt;'Bonding Program'!$C$8,CH$3='Bonding Program'!$H$24),'Bonding Program'!$T$24-'Bonding Program'!$U$24-'Bonding Program'!$Z$24,0)-IF(AND('Bonding Program'!$S$24=1,'Bonding Program'!$H$24&lt;='Bonding Program'!$C$8,CH$3=IF('Bonding Program'!$P$24&lt;&gt;"",'Bonding Program'!$P$24,'Bonding Program'!$C$8)),'Bonding Program'!$Z$24,0)+IF(AND('Bonding Program'!$P$24&lt;&gt;"",CH$3='Bonding Program'!$P$24,CH$3&lt;='Bonding Program'!$C$8),N('Bonding Program'!$O$24),0)</f>
        <v>0</v>
      </c>
      <c r="CI165" s="19" t="n">
        <f aca="false">IF(AND('Bonding Program'!$S$24=1,'Bonding Program'!$H$24&gt;'Bonding Program'!$C$8,CI$3='Bonding Program'!$H$24),'Bonding Program'!$T$24-'Bonding Program'!$U$24-'Bonding Program'!$Z$24,0)-IF(AND('Bonding Program'!$S$24=1,'Bonding Program'!$H$24&lt;='Bonding Program'!$C$8,CI$3=IF('Bonding Program'!$P$24&lt;&gt;"",'Bonding Program'!$P$24,'Bonding Program'!$C$8)),'Bonding Program'!$Z$24,0)+IF(AND('Bonding Program'!$P$24&lt;&gt;"",CI$3='Bonding Program'!$P$24,CI$3&lt;='Bonding Program'!$C$8),N('Bonding Program'!$O$24),0)</f>
        <v>0</v>
      </c>
      <c r="CJ165" s="19" t="n">
        <f aca="false">IF(AND('Bonding Program'!$S$24=1,'Bonding Program'!$H$24&gt;'Bonding Program'!$C$8,CJ$3='Bonding Program'!$H$24),'Bonding Program'!$T$24-'Bonding Program'!$U$24-'Bonding Program'!$Z$24,0)-IF(AND('Bonding Program'!$S$24=1,'Bonding Program'!$H$24&lt;='Bonding Program'!$C$8,CJ$3=IF('Bonding Program'!$P$24&lt;&gt;"",'Bonding Program'!$P$24,'Bonding Program'!$C$8)),'Bonding Program'!$Z$24,0)+IF(AND('Bonding Program'!$P$24&lt;&gt;"",CJ$3='Bonding Program'!$P$24,CJ$3&lt;='Bonding Program'!$C$8),N('Bonding Program'!$O$24),0)</f>
        <v>0</v>
      </c>
      <c r="CK165" s="19" t="n">
        <f aca="false">IF(AND('Bonding Program'!$S$24=1,'Bonding Program'!$H$24&gt;'Bonding Program'!$C$8,CK$3='Bonding Program'!$H$24),'Bonding Program'!$T$24-'Bonding Program'!$U$24-'Bonding Program'!$Z$24,0)-IF(AND('Bonding Program'!$S$24=1,'Bonding Program'!$H$24&lt;='Bonding Program'!$C$8,CK$3=IF('Bonding Program'!$P$24&lt;&gt;"",'Bonding Program'!$P$24,'Bonding Program'!$C$8)),'Bonding Program'!$Z$24,0)+IF(AND('Bonding Program'!$P$24&lt;&gt;"",CK$3='Bonding Program'!$P$24,CK$3&lt;='Bonding Program'!$C$8),N('Bonding Program'!$O$24),0)</f>
        <v>0</v>
      </c>
      <c r="CL165" s="19" t="n">
        <f aca="false">IF(AND('Bonding Program'!$S$24=1,'Bonding Program'!$H$24&gt;'Bonding Program'!$C$8,CL$3='Bonding Program'!$H$24),'Bonding Program'!$T$24-'Bonding Program'!$U$24-'Bonding Program'!$Z$24,0)-IF(AND('Bonding Program'!$S$24=1,'Bonding Program'!$H$24&lt;='Bonding Program'!$C$8,CL$3=IF('Bonding Program'!$P$24&lt;&gt;"",'Bonding Program'!$P$24,'Bonding Program'!$C$8)),'Bonding Program'!$Z$24,0)+IF(AND('Bonding Program'!$P$24&lt;&gt;"",CL$3='Bonding Program'!$P$24,CL$3&lt;='Bonding Program'!$C$8),N('Bonding Program'!$O$24),0)</f>
        <v>0</v>
      </c>
      <c r="CM165" s="19" t="n">
        <f aca="false">IF(AND('Bonding Program'!$S$24=1,'Bonding Program'!$H$24&gt;'Bonding Program'!$C$8,CM$3='Bonding Program'!$H$24),'Bonding Program'!$T$24-'Bonding Program'!$U$24-'Bonding Program'!$Z$24,0)-IF(AND('Bonding Program'!$S$24=1,'Bonding Program'!$H$24&lt;='Bonding Program'!$C$8,CM$3=IF('Bonding Program'!$P$24&lt;&gt;"",'Bonding Program'!$P$24,'Bonding Program'!$C$8)),'Bonding Program'!$Z$24,0)+IF(AND('Bonding Program'!$P$24&lt;&gt;"",CM$3='Bonding Program'!$P$24,CM$3&lt;='Bonding Program'!$C$8),N('Bonding Program'!$O$24),0)</f>
        <v>0</v>
      </c>
      <c r="CN165" s="19" t="n">
        <f aca="false">IF(AND('Bonding Program'!$S$24=1,'Bonding Program'!$H$24&gt;'Bonding Program'!$C$8,CN$3='Bonding Program'!$H$24),'Bonding Program'!$T$24-'Bonding Program'!$U$24-'Bonding Program'!$Z$24,0)-IF(AND('Bonding Program'!$S$24=1,'Bonding Program'!$H$24&lt;='Bonding Program'!$C$8,CN$3=IF('Bonding Program'!$P$24&lt;&gt;"",'Bonding Program'!$P$24,'Bonding Program'!$C$8)),'Bonding Program'!$Z$24,0)+IF(AND('Bonding Program'!$P$24&lt;&gt;"",CN$3='Bonding Program'!$P$24,CN$3&lt;='Bonding Program'!$C$8),N('Bonding Program'!$O$24),0)</f>
        <v>0</v>
      </c>
      <c r="CO165" s="19" t="n">
        <f aca="false">IF(AND('Bonding Program'!$S$24=1,'Bonding Program'!$H$24&gt;'Bonding Program'!$C$8,CO$3='Bonding Program'!$H$24),'Bonding Program'!$T$24-'Bonding Program'!$U$24-'Bonding Program'!$Z$24,0)-IF(AND('Bonding Program'!$S$24=1,'Bonding Program'!$H$24&lt;='Bonding Program'!$C$8,CO$3=IF('Bonding Program'!$P$24&lt;&gt;"",'Bonding Program'!$P$24,'Bonding Program'!$C$8)),'Bonding Program'!$Z$24,0)+IF(AND('Bonding Program'!$P$24&lt;&gt;"",CO$3='Bonding Program'!$P$24,CO$3&lt;='Bonding Program'!$C$8),N('Bonding Program'!$O$24),0)</f>
        <v>0</v>
      </c>
      <c r="CP165" s="19" t="n">
        <f aca="false">IF(AND('Bonding Program'!$S$24=1,'Bonding Program'!$H$24&gt;'Bonding Program'!$C$8,CP$3='Bonding Program'!$H$24),'Bonding Program'!$T$24-'Bonding Program'!$U$24-'Bonding Program'!$Z$24,0)-IF(AND('Bonding Program'!$S$24=1,'Bonding Program'!$H$24&lt;='Bonding Program'!$C$8,CP$3=IF('Bonding Program'!$P$24&lt;&gt;"",'Bonding Program'!$P$24,'Bonding Program'!$C$8)),'Bonding Program'!$Z$24,0)+IF(AND('Bonding Program'!$P$24&lt;&gt;"",CP$3='Bonding Program'!$P$24,CP$3&lt;='Bonding Program'!$C$8),N('Bonding Program'!$O$24),0)</f>
        <v>0</v>
      </c>
      <c r="CQ165" s="19" t="n">
        <f aca="false">IF(AND('Bonding Program'!$S$24=1,'Bonding Program'!$H$24&gt;'Bonding Program'!$C$8,CQ$3='Bonding Program'!$H$24),'Bonding Program'!$T$24-'Bonding Program'!$U$24-'Bonding Program'!$Z$24,0)-IF(AND('Bonding Program'!$S$24=1,'Bonding Program'!$H$24&lt;='Bonding Program'!$C$8,CQ$3=IF('Bonding Program'!$P$24&lt;&gt;"",'Bonding Program'!$P$24,'Bonding Program'!$C$8)),'Bonding Program'!$Z$24,0)+IF(AND('Bonding Program'!$P$24&lt;&gt;"",CQ$3='Bonding Program'!$P$24,CQ$3&lt;='Bonding Program'!$C$8),N('Bonding Program'!$O$24),0)</f>
        <v>0</v>
      </c>
      <c r="CR165" s="19" t="n">
        <f aca="false">IF(AND('Bonding Program'!$S$24=1,'Bonding Program'!$H$24&gt;'Bonding Program'!$C$8,CR$3='Bonding Program'!$H$24),'Bonding Program'!$T$24-'Bonding Program'!$U$24-'Bonding Program'!$Z$24,0)-IF(AND('Bonding Program'!$S$24=1,'Bonding Program'!$H$24&lt;='Bonding Program'!$C$8,CR$3=IF('Bonding Program'!$P$24&lt;&gt;"",'Bonding Program'!$P$24,'Bonding Program'!$C$8)),'Bonding Program'!$Z$24,0)+IF(AND('Bonding Program'!$P$24&lt;&gt;"",CR$3='Bonding Program'!$P$24,CR$3&lt;='Bonding Program'!$C$8),N('Bonding Program'!$O$24),0)</f>
        <v>0</v>
      </c>
      <c r="CS165" s="19" t="n">
        <f aca="false">IF(AND('Bonding Program'!$S$24=1,'Bonding Program'!$H$24&gt;'Bonding Program'!$C$8,CS$3='Bonding Program'!$H$24),'Bonding Program'!$T$24-'Bonding Program'!$U$24-'Bonding Program'!$Z$24,0)-IF(AND('Bonding Program'!$S$24=1,'Bonding Program'!$H$24&lt;='Bonding Program'!$C$8,CS$3=IF('Bonding Program'!$P$24&lt;&gt;"",'Bonding Program'!$P$24,'Bonding Program'!$C$8)),'Bonding Program'!$Z$24,0)+IF(AND('Bonding Program'!$P$24&lt;&gt;"",CS$3='Bonding Program'!$P$24,CS$3&lt;='Bonding Program'!$C$8),N('Bonding Program'!$O$24),0)</f>
        <v>0</v>
      </c>
      <c r="CT165" s="19" t="n">
        <f aca="false">IF(AND('Bonding Program'!$S$24=1,'Bonding Program'!$H$24&gt;'Bonding Program'!$C$8,CT$3='Bonding Program'!$H$24),'Bonding Program'!$T$24-'Bonding Program'!$U$24-'Bonding Program'!$Z$24,0)-IF(AND('Bonding Program'!$S$24=1,'Bonding Program'!$H$24&lt;='Bonding Program'!$C$8,CT$3=IF('Bonding Program'!$P$24&lt;&gt;"",'Bonding Program'!$P$24,'Bonding Program'!$C$8)),'Bonding Program'!$Z$24,0)+IF(AND('Bonding Program'!$P$24&lt;&gt;"",CT$3='Bonding Program'!$P$24,CT$3&lt;='Bonding Program'!$C$8),N('Bonding Program'!$O$24),0)</f>
        <v>0</v>
      </c>
      <c r="CU165" s="19" t="n">
        <f aca="false">IF(AND('Bonding Program'!$S$24=1,'Bonding Program'!$H$24&gt;'Bonding Program'!$C$8,CU$3='Bonding Program'!$H$24),'Bonding Program'!$T$24-'Bonding Program'!$U$24-'Bonding Program'!$Z$24,0)-IF(AND('Bonding Program'!$S$24=1,'Bonding Program'!$H$24&lt;='Bonding Program'!$C$8,CU$3=IF('Bonding Program'!$P$24&lt;&gt;"",'Bonding Program'!$P$24,'Bonding Program'!$C$8)),'Bonding Program'!$Z$24,0)+IF(AND('Bonding Program'!$P$24&lt;&gt;"",CU$3='Bonding Program'!$P$24,CU$3&lt;='Bonding Program'!$C$8),N('Bonding Program'!$O$24),0)</f>
        <v>0</v>
      </c>
      <c r="CV165" s="19" t="n">
        <f aca="false">IF(AND('Bonding Program'!$S$24=1,'Bonding Program'!$H$24&gt;'Bonding Program'!$C$8,CV$3='Bonding Program'!$H$24),'Bonding Program'!$T$24-'Bonding Program'!$U$24-'Bonding Program'!$Z$24,0)-IF(AND('Bonding Program'!$S$24=1,'Bonding Program'!$H$24&lt;='Bonding Program'!$C$8,CV$3=IF('Bonding Program'!$P$24&lt;&gt;"",'Bonding Program'!$P$24,'Bonding Program'!$C$8)),'Bonding Program'!$Z$24,0)+IF(AND('Bonding Program'!$P$24&lt;&gt;"",CV$3='Bonding Program'!$P$24,CV$3&lt;='Bonding Program'!$C$8),N('Bonding Program'!$O$24),0)</f>
        <v>0</v>
      </c>
      <c r="CW165" s="19" t="n">
        <f aca="false">IF(AND('Bonding Program'!$S$24=1,'Bonding Program'!$H$24&gt;'Bonding Program'!$C$8,CW$3='Bonding Program'!$H$24),'Bonding Program'!$T$24-'Bonding Program'!$U$24-'Bonding Program'!$Z$24,0)-IF(AND('Bonding Program'!$S$24=1,'Bonding Program'!$H$24&lt;='Bonding Program'!$C$8,CW$3=IF('Bonding Program'!$P$24&lt;&gt;"",'Bonding Program'!$P$24,'Bonding Program'!$C$8)),'Bonding Program'!$Z$24,0)+IF(AND('Bonding Program'!$P$24&lt;&gt;"",CW$3='Bonding Program'!$P$24,CW$3&lt;='Bonding Program'!$C$8),N('Bonding Program'!$O$24),0)</f>
        <v>0</v>
      </c>
      <c r="CX165" s="19" t="n">
        <f aca="false">IF(AND('Bonding Program'!$S$24=1,'Bonding Program'!$H$24&gt;'Bonding Program'!$C$8,CX$3='Bonding Program'!$H$24),'Bonding Program'!$T$24-'Bonding Program'!$U$24-'Bonding Program'!$Z$24,0)-IF(AND('Bonding Program'!$S$24=1,'Bonding Program'!$H$24&lt;='Bonding Program'!$C$8,CX$3=IF('Bonding Program'!$P$24&lt;&gt;"",'Bonding Program'!$P$24,'Bonding Program'!$C$8)),'Bonding Program'!$Z$24,0)+IF(AND('Bonding Program'!$P$24&lt;&gt;"",CX$3='Bonding Program'!$P$24,CX$3&lt;='Bonding Program'!$C$8),N('Bonding Program'!$O$24),0)</f>
        <v>0</v>
      </c>
      <c r="CY165" s="19" t="n">
        <f aca="false">IF(AND('Bonding Program'!$S$24=1,'Bonding Program'!$H$24&gt;'Bonding Program'!$C$8,CY$3='Bonding Program'!$H$24),'Bonding Program'!$T$24-'Bonding Program'!$U$24-'Bonding Program'!$Z$24,0)-IF(AND('Bonding Program'!$S$24=1,'Bonding Program'!$H$24&lt;='Bonding Program'!$C$8,CY$3=IF('Bonding Program'!$P$24&lt;&gt;"",'Bonding Program'!$P$24,'Bonding Program'!$C$8)),'Bonding Program'!$Z$24,0)+IF(AND('Bonding Program'!$P$24&lt;&gt;"",CY$3='Bonding Program'!$P$24,CY$3&lt;='Bonding Program'!$C$8),N('Bonding Program'!$O$24),0)</f>
        <v>0</v>
      </c>
      <c r="CZ165" s="19" t="n">
        <f aca="false">IF(AND('Bonding Program'!$S$24=1,'Bonding Program'!$H$24&gt;'Bonding Program'!$C$8,CZ$3='Bonding Program'!$H$24),'Bonding Program'!$T$24-'Bonding Program'!$U$24-'Bonding Program'!$Z$24,0)-IF(AND('Bonding Program'!$S$24=1,'Bonding Program'!$H$24&lt;='Bonding Program'!$C$8,CZ$3=IF('Bonding Program'!$P$24&lt;&gt;"",'Bonding Program'!$P$24,'Bonding Program'!$C$8)),'Bonding Program'!$Z$24,0)+IF(AND('Bonding Program'!$P$24&lt;&gt;"",CZ$3='Bonding Program'!$P$24,CZ$3&lt;='Bonding Program'!$C$8),N('Bonding Program'!$O$24),0)</f>
        <v>0</v>
      </c>
      <c r="DA165" s="19" t="n">
        <f aca="false">IF(AND('Bonding Program'!$S$24=1,'Bonding Program'!$H$24&gt;'Bonding Program'!$C$8,DA$3='Bonding Program'!$H$24),'Bonding Program'!$T$24-'Bonding Program'!$U$24-'Bonding Program'!$Z$24,0)-IF(AND('Bonding Program'!$S$24=1,'Bonding Program'!$H$24&lt;='Bonding Program'!$C$8,DA$3=IF('Bonding Program'!$P$24&lt;&gt;"",'Bonding Program'!$P$24,'Bonding Program'!$C$8)),'Bonding Program'!$Z$24,0)+IF(AND('Bonding Program'!$P$24&lt;&gt;"",DA$3='Bonding Program'!$P$24,DA$3&lt;='Bonding Program'!$C$8),N('Bonding Program'!$O$24),0)</f>
        <v>0</v>
      </c>
      <c r="DB165" s="19" t="n">
        <f aca="false">IF(AND('Bonding Program'!$S$24=1,'Bonding Program'!$H$24&gt;'Bonding Program'!$C$8,DB$3='Bonding Program'!$H$24),'Bonding Program'!$T$24-'Bonding Program'!$U$24-'Bonding Program'!$Z$24,0)-IF(AND('Bonding Program'!$S$24=1,'Bonding Program'!$H$24&lt;='Bonding Program'!$C$8,DB$3=IF('Bonding Program'!$P$24&lt;&gt;"",'Bonding Program'!$P$24,'Bonding Program'!$C$8)),'Bonding Program'!$Z$24,0)+IF(AND('Bonding Program'!$P$24&lt;&gt;"",DB$3='Bonding Program'!$P$24,DB$3&lt;='Bonding Program'!$C$8),N('Bonding Program'!$O$24),0)</f>
        <v>0</v>
      </c>
      <c r="DC165" s="19" t="n">
        <f aca="false">IF(AND('Bonding Program'!$S$24=1,'Bonding Program'!$H$24&gt;'Bonding Program'!$C$8,DC$3='Bonding Program'!$H$24),'Bonding Program'!$T$24-'Bonding Program'!$U$24-'Bonding Program'!$Z$24,0)-IF(AND('Bonding Program'!$S$24=1,'Bonding Program'!$H$24&lt;='Bonding Program'!$C$8,DC$3=IF('Bonding Program'!$P$24&lt;&gt;"",'Bonding Program'!$P$24,'Bonding Program'!$C$8)),'Bonding Program'!$Z$24,0)+IF(AND('Bonding Program'!$P$24&lt;&gt;"",DC$3='Bonding Program'!$P$24,DC$3&lt;='Bonding Program'!$C$8),N('Bonding Program'!$O$24),0)</f>
        <v>0</v>
      </c>
      <c r="DD165" s="19" t="n">
        <f aca="false">IF(AND('Bonding Program'!$S$24=1,'Bonding Program'!$H$24&gt;'Bonding Program'!$C$8,DD$3='Bonding Program'!$H$24),'Bonding Program'!$T$24-'Bonding Program'!$U$24-'Bonding Program'!$Z$24,0)-IF(AND('Bonding Program'!$S$24=1,'Bonding Program'!$H$24&lt;='Bonding Program'!$C$8,DD$3=IF('Bonding Program'!$P$24&lt;&gt;"",'Bonding Program'!$P$24,'Bonding Program'!$C$8)),'Bonding Program'!$Z$24,0)+IF(AND('Bonding Program'!$P$24&lt;&gt;"",DD$3='Bonding Program'!$P$24,DD$3&lt;='Bonding Program'!$C$8),N('Bonding Program'!$O$24),0)</f>
        <v>0</v>
      </c>
      <c r="DE165" s="19" t="n">
        <f aca="false">IF(AND('Bonding Program'!$S$24=1,'Bonding Program'!$H$24&gt;'Bonding Program'!$C$8,DE$3='Bonding Program'!$H$24),'Bonding Program'!$T$24-'Bonding Program'!$U$24-'Bonding Program'!$Z$24,0)-IF(AND('Bonding Program'!$S$24=1,'Bonding Program'!$H$24&lt;='Bonding Program'!$C$8,DE$3=IF('Bonding Program'!$P$24&lt;&gt;"",'Bonding Program'!$P$24,'Bonding Program'!$C$8)),'Bonding Program'!$Z$24,0)+IF(AND('Bonding Program'!$P$24&lt;&gt;"",DE$3='Bonding Program'!$P$24,DE$3&lt;='Bonding Program'!$C$8),N('Bonding Program'!$O$24),0)</f>
        <v>0</v>
      </c>
    </row>
    <row r="166" customFormat="false" ht="15" hidden="false" customHeight="true" outlineLevel="1" collapsed="false">
      <c r="A166" s="28" t="s">
        <v>21</v>
      </c>
      <c r="B166" s="19" t="n">
        <f aca="false">IF(AND('Bonding Program'!$S$25=1,'Bonding Program'!$H$25&gt;'Bonding Program'!$C$8,B$3='Bonding Program'!$H$25),'Bonding Program'!$T$25-'Bonding Program'!$U$25-'Bonding Program'!$Z$25,0)-IF(AND('Bonding Program'!$S$25=1,'Bonding Program'!$H$25&lt;='Bonding Program'!$C$8,B$3=IF('Bonding Program'!$P$25&lt;&gt;"",'Bonding Program'!$P$25,'Bonding Program'!$C$8)),'Bonding Program'!$Z$25,0)+IF(AND('Bonding Program'!$P$25&lt;&gt;"",B$3='Bonding Program'!$P$25,B$3&lt;='Bonding Program'!$C$8),N('Bonding Program'!$O$25),0)</f>
        <v>0</v>
      </c>
      <c r="C166" s="19" t="n">
        <f aca="false">IF(AND('Bonding Program'!$S$25=1,'Bonding Program'!$H$25&gt;'Bonding Program'!$C$8,C$3='Bonding Program'!$H$25),'Bonding Program'!$T$25-'Bonding Program'!$U$25-'Bonding Program'!$Z$25,0)-IF(AND('Bonding Program'!$S$25=1,'Bonding Program'!$H$25&lt;='Bonding Program'!$C$8,C$3=IF('Bonding Program'!$P$25&lt;&gt;"",'Bonding Program'!$P$25,'Bonding Program'!$C$8)),'Bonding Program'!$Z$25,0)+IF(AND('Bonding Program'!$P$25&lt;&gt;"",C$3='Bonding Program'!$P$25,C$3&lt;='Bonding Program'!$C$8),N('Bonding Program'!$O$25),0)</f>
        <v>0</v>
      </c>
      <c r="D166" s="19" t="n">
        <f aca="false">IF(AND('Bonding Program'!$S$25=1,'Bonding Program'!$H$25&gt;'Bonding Program'!$C$8,D$3='Bonding Program'!$H$25),'Bonding Program'!$T$25-'Bonding Program'!$U$25-'Bonding Program'!$Z$25,0)-IF(AND('Bonding Program'!$S$25=1,'Bonding Program'!$H$25&lt;='Bonding Program'!$C$8,D$3=IF('Bonding Program'!$P$25&lt;&gt;"",'Bonding Program'!$P$25,'Bonding Program'!$C$8)),'Bonding Program'!$Z$25,0)+IF(AND('Bonding Program'!$P$25&lt;&gt;"",D$3='Bonding Program'!$P$25,D$3&lt;='Bonding Program'!$C$8),N('Bonding Program'!$O$25),0)</f>
        <v>0</v>
      </c>
      <c r="E166" s="19" t="n">
        <f aca="false">IF(AND('Bonding Program'!$S$25=1,'Bonding Program'!$H$25&gt;'Bonding Program'!$C$8,E$3='Bonding Program'!$H$25),'Bonding Program'!$T$25-'Bonding Program'!$U$25-'Bonding Program'!$Z$25,0)-IF(AND('Bonding Program'!$S$25=1,'Bonding Program'!$H$25&lt;='Bonding Program'!$C$8,E$3=IF('Bonding Program'!$P$25&lt;&gt;"",'Bonding Program'!$P$25,'Bonding Program'!$C$8)),'Bonding Program'!$Z$25,0)+IF(AND('Bonding Program'!$P$25&lt;&gt;"",E$3='Bonding Program'!$P$25,E$3&lt;='Bonding Program'!$C$8),N('Bonding Program'!$O$25),0)</f>
        <v>0</v>
      </c>
      <c r="F166" s="19" t="n">
        <f aca="false">IF(AND('Bonding Program'!$S$25=1,'Bonding Program'!$H$25&gt;'Bonding Program'!$C$8,F$3='Bonding Program'!$H$25),'Bonding Program'!$T$25-'Bonding Program'!$U$25-'Bonding Program'!$Z$25,0)-IF(AND('Bonding Program'!$S$25=1,'Bonding Program'!$H$25&lt;='Bonding Program'!$C$8,F$3=IF('Bonding Program'!$P$25&lt;&gt;"",'Bonding Program'!$P$25,'Bonding Program'!$C$8)),'Bonding Program'!$Z$25,0)+IF(AND('Bonding Program'!$P$25&lt;&gt;"",F$3='Bonding Program'!$P$25,F$3&lt;='Bonding Program'!$C$8),N('Bonding Program'!$O$25),0)</f>
        <v>0</v>
      </c>
      <c r="G166" s="19" t="n">
        <f aca="false">IF(AND('Bonding Program'!$S$25=1,'Bonding Program'!$H$25&gt;'Bonding Program'!$C$8,G$3='Bonding Program'!$H$25),'Bonding Program'!$T$25-'Bonding Program'!$U$25-'Bonding Program'!$Z$25,0)-IF(AND('Bonding Program'!$S$25=1,'Bonding Program'!$H$25&lt;='Bonding Program'!$C$8,G$3=IF('Bonding Program'!$P$25&lt;&gt;"",'Bonding Program'!$P$25,'Bonding Program'!$C$8)),'Bonding Program'!$Z$25,0)+IF(AND('Bonding Program'!$P$25&lt;&gt;"",G$3='Bonding Program'!$P$25,G$3&lt;='Bonding Program'!$C$8),N('Bonding Program'!$O$25),0)</f>
        <v>0</v>
      </c>
      <c r="H166" s="19" t="n">
        <f aca="false">IF(AND('Bonding Program'!$S$25=1,'Bonding Program'!$H$25&gt;'Bonding Program'!$C$8,H$3='Bonding Program'!$H$25),'Bonding Program'!$T$25-'Bonding Program'!$U$25-'Bonding Program'!$Z$25,0)-IF(AND('Bonding Program'!$S$25=1,'Bonding Program'!$H$25&lt;='Bonding Program'!$C$8,H$3=IF('Bonding Program'!$P$25&lt;&gt;"",'Bonding Program'!$P$25,'Bonding Program'!$C$8)),'Bonding Program'!$Z$25,0)+IF(AND('Bonding Program'!$P$25&lt;&gt;"",H$3='Bonding Program'!$P$25,H$3&lt;='Bonding Program'!$C$8),N('Bonding Program'!$O$25),0)</f>
        <v>0</v>
      </c>
      <c r="I166" s="19" t="n">
        <f aca="false">IF(AND('Bonding Program'!$S$25=1,'Bonding Program'!$H$25&gt;'Bonding Program'!$C$8,I$3='Bonding Program'!$H$25),'Bonding Program'!$T$25-'Bonding Program'!$U$25-'Bonding Program'!$Z$25,0)-IF(AND('Bonding Program'!$S$25=1,'Bonding Program'!$H$25&lt;='Bonding Program'!$C$8,I$3=IF('Bonding Program'!$P$25&lt;&gt;"",'Bonding Program'!$P$25,'Bonding Program'!$C$8)),'Bonding Program'!$Z$25,0)+IF(AND('Bonding Program'!$P$25&lt;&gt;"",I$3='Bonding Program'!$P$25,I$3&lt;='Bonding Program'!$C$8),N('Bonding Program'!$O$25),0)</f>
        <v>0</v>
      </c>
      <c r="J166" s="19" t="n">
        <f aca="false">IF(AND('Bonding Program'!$S$25=1,'Bonding Program'!$H$25&gt;'Bonding Program'!$C$8,J$3='Bonding Program'!$H$25),'Bonding Program'!$T$25-'Bonding Program'!$U$25-'Bonding Program'!$Z$25,0)-IF(AND('Bonding Program'!$S$25=1,'Bonding Program'!$H$25&lt;='Bonding Program'!$C$8,J$3=IF('Bonding Program'!$P$25&lt;&gt;"",'Bonding Program'!$P$25,'Bonding Program'!$C$8)),'Bonding Program'!$Z$25,0)+IF(AND('Bonding Program'!$P$25&lt;&gt;"",J$3='Bonding Program'!$P$25,J$3&lt;='Bonding Program'!$C$8),N('Bonding Program'!$O$25),0)</f>
        <v>0</v>
      </c>
      <c r="K166" s="19" t="n">
        <f aca="false">IF(AND('Bonding Program'!$S$25=1,'Bonding Program'!$H$25&gt;'Bonding Program'!$C$8,K$3='Bonding Program'!$H$25),'Bonding Program'!$T$25-'Bonding Program'!$U$25-'Bonding Program'!$Z$25,0)-IF(AND('Bonding Program'!$S$25=1,'Bonding Program'!$H$25&lt;='Bonding Program'!$C$8,K$3=IF('Bonding Program'!$P$25&lt;&gt;"",'Bonding Program'!$P$25,'Bonding Program'!$C$8)),'Bonding Program'!$Z$25,0)+IF(AND('Bonding Program'!$P$25&lt;&gt;"",K$3='Bonding Program'!$P$25,K$3&lt;='Bonding Program'!$C$8),N('Bonding Program'!$O$25),0)</f>
        <v>0</v>
      </c>
      <c r="L166" s="19" t="n">
        <f aca="false">IF(AND('Bonding Program'!$S$25=1,'Bonding Program'!$H$25&gt;'Bonding Program'!$C$8,L$3='Bonding Program'!$H$25),'Bonding Program'!$T$25-'Bonding Program'!$U$25-'Bonding Program'!$Z$25,0)-IF(AND('Bonding Program'!$S$25=1,'Bonding Program'!$H$25&lt;='Bonding Program'!$C$8,L$3=IF('Bonding Program'!$P$25&lt;&gt;"",'Bonding Program'!$P$25,'Bonding Program'!$C$8)),'Bonding Program'!$Z$25,0)+IF(AND('Bonding Program'!$P$25&lt;&gt;"",L$3='Bonding Program'!$P$25,L$3&lt;='Bonding Program'!$C$8),N('Bonding Program'!$O$25),0)</f>
        <v>0</v>
      </c>
      <c r="M166" s="19" t="n">
        <f aca="false">IF(AND('Bonding Program'!$S$25=1,'Bonding Program'!$H$25&gt;'Bonding Program'!$C$8,M$3='Bonding Program'!$H$25),'Bonding Program'!$T$25-'Bonding Program'!$U$25-'Bonding Program'!$Z$25,0)-IF(AND('Bonding Program'!$S$25=1,'Bonding Program'!$H$25&lt;='Bonding Program'!$C$8,M$3=IF('Bonding Program'!$P$25&lt;&gt;"",'Bonding Program'!$P$25,'Bonding Program'!$C$8)),'Bonding Program'!$Z$25,0)+IF(AND('Bonding Program'!$P$25&lt;&gt;"",M$3='Bonding Program'!$P$25,M$3&lt;='Bonding Program'!$C$8),N('Bonding Program'!$O$25),0)</f>
        <v>0</v>
      </c>
      <c r="N166" s="19" t="n">
        <f aca="false">IF(AND('Bonding Program'!$S$25=1,'Bonding Program'!$H$25&gt;'Bonding Program'!$C$8,N$3='Bonding Program'!$H$25),'Bonding Program'!$T$25-'Bonding Program'!$U$25-'Bonding Program'!$Z$25,0)-IF(AND('Bonding Program'!$S$25=1,'Bonding Program'!$H$25&lt;='Bonding Program'!$C$8,N$3=IF('Bonding Program'!$P$25&lt;&gt;"",'Bonding Program'!$P$25,'Bonding Program'!$C$8)),'Bonding Program'!$Z$25,0)+IF(AND('Bonding Program'!$P$25&lt;&gt;"",N$3='Bonding Program'!$P$25,N$3&lt;='Bonding Program'!$C$8),N('Bonding Program'!$O$25),0)</f>
        <v>0</v>
      </c>
      <c r="O166" s="19" t="n">
        <f aca="false">IF(AND('Bonding Program'!$S$25=1,'Bonding Program'!$H$25&gt;'Bonding Program'!$C$8,O$3='Bonding Program'!$H$25),'Bonding Program'!$T$25-'Bonding Program'!$U$25-'Bonding Program'!$Z$25,0)-IF(AND('Bonding Program'!$S$25=1,'Bonding Program'!$H$25&lt;='Bonding Program'!$C$8,O$3=IF('Bonding Program'!$P$25&lt;&gt;"",'Bonding Program'!$P$25,'Bonding Program'!$C$8)),'Bonding Program'!$Z$25,0)+IF(AND('Bonding Program'!$P$25&lt;&gt;"",O$3='Bonding Program'!$P$25,O$3&lt;='Bonding Program'!$C$8),N('Bonding Program'!$O$25),0)</f>
        <v>0</v>
      </c>
      <c r="P166" s="19" t="n">
        <f aca="false">IF(AND('Bonding Program'!$S$25=1,'Bonding Program'!$H$25&gt;'Bonding Program'!$C$8,P$3='Bonding Program'!$H$25),'Bonding Program'!$T$25-'Bonding Program'!$U$25-'Bonding Program'!$Z$25,0)-IF(AND('Bonding Program'!$S$25=1,'Bonding Program'!$H$25&lt;='Bonding Program'!$C$8,P$3=IF('Bonding Program'!$P$25&lt;&gt;"",'Bonding Program'!$P$25,'Bonding Program'!$C$8)),'Bonding Program'!$Z$25,0)+IF(AND('Bonding Program'!$P$25&lt;&gt;"",P$3='Bonding Program'!$P$25,P$3&lt;='Bonding Program'!$C$8),N('Bonding Program'!$O$25),0)</f>
        <v>0</v>
      </c>
      <c r="Q166" s="19" t="n">
        <f aca="false">IF(AND('Bonding Program'!$S$25=1,'Bonding Program'!$H$25&gt;'Bonding Program'!$C$8,Q$3='Bonding Program'!$H$25),'Bonding Program'!$T$25-'Bonding Program'!$U$25-'Bonding Program'!$Z$25,0)-IF(AND('Bonding Program'!$S$25=1,'Bonding Program'!$H$25&lt;='Bonding Program'!$C$8,Q$3=IF('Bonding Program'!$P$25&lt;&gt;"",'Bonding Program'!$P$25,'Bonding Program'!$C$8)),'Bonding Program'!$Z$25,0)+IF(AND('Bonding Program'!$P$25&lt;&gt;"",Q$3='Bonding Program'!$P$25,Q$3&lt;='Bonding Program'!$C$8),N('Bonding Program'!$O$25),0)</f>
        <v>0</v>
      </c>
      <c r="R166" s="19" t="n">
        <f aca="false">IF(AND('Bonding Program'!$S$25=1,'Bonding Program'!$H$25&gt;'Bonding Program'!$C$8,R$3='Bonding Program'!$H$25),'Bonding Program'!$T$25-'Bonding Program'!$U$25-'Bonding Program'!$Z$25,0)-IF(AND('Bonding Program'!$S$25=1,'Bonding Program'!$H$25&lt;='Bonding Program'!$C$8,R$3=IF('Bonding Program'!$P$25&lt;&gt;"",'Bonding Program'!$P$25,'Bonding Program'!$C$8)),'Bonding Program'!$Z$25,0)+IF(AND('Bonding Program'!$P$25&lt;&gt;"",R$3='Bonding Program'!$P$25,R$3&lt;='Bonding Program'!$C$8),N('Bonding Program'!$O$25),0)</f>
        <v>0</v>
      </c>
      <c r="S166" s="19" t="n">
        <f aca="false">IF(AND('Bonding Program'!$S$25=1,'Bonding Program'!$H$25&gt;'Bonding Program'!$C$8,S$3='Bonding Program'!$H$25),'Bonding Program'!$T$25-'Bonding Program'!$U$25-'Bonding Program'!$Z$25,0)-IF(AND('Bonding Program'!$S$25=1,'Bonding Program'!$H$25&lt;='Bonding Program'!$C$8,S$3=IF('Bonding Program'!$P$25&lt;&gt;"",'Bonding Program'!$P$25,'Bonding Program'!$C$8)),'Bonding Program'!$Z$25,0)+IF(AND('Bonding Program'!$P$25&lt;&gt;"",S$3='Bonding Program'!$P$25,S$3&lt;='Bonding Program'!$C$8),N('Bonding Program'!$O$25),0)</f>
        <v>-200563.017426108</v>
      </c>
      <c r="T166" s="19" t="n">
        <f aca="false">IF(AND('Bonding Program'!$S$25=1,'Bonding Program'!$H$25&gt;'Bonding Program'!$C$8,T$3='Bonding Program'!$H$25),'Bonding Program'!$T$25-'Bonding Program'!$U$25-'Bonding Program'!$Z$25,0)-IF(AND('Bonding Program'!$S$25=1,'Bonding Program'!$H$25&lt;='Bonding Program'!$C$8,T$3=IF('Bonding Program'!$P$25&lt;&gt;"",'Bonding Program'!$P$25,'Bonding Program'!$C$8)),'Bonding Program'!$Z$25,0)+IF(AND('Bonding Program'!$P$25&lt;&gt;"",T$3='Bonding Program'!$P$25,T$3&lt;='Bonding Program'!$C$8),N('Bonding Program'!$O$25),0)</f>
        <v>0</v>
      </c>
      <c r="U166" s="19" t="n">
        <f aca="false">IF(AND('Bonding Program'!$S$25=1,'Bonding Program'!$H$25&gt;'Bonding Program'!$C$8,U$3='Bonding Program'!$H$25),'Bonding Program'!$T$25-'Bonding Program'!$U$25-'Bonding Program'!$Z$25,0)-IF(AND('Bonding Program'!$S$25=1,'Bonding Program'!$H$25&lt;='Bonding Program'!$C$8,U$3=IF('Bonding Program'!$P$25&lt;&gt;"",'Bonding Program'!$P$25,'Bonding Program'!$C$8)),'Bonding Program'!$Z$25,0)+IF(AND('Bonding Program'!$P$25&lt;&gt;"",U$3='Bonding Program'!$P$25,U$3&lt;='Bonding Program'!$C$8),N('Bonding Program'!$O$25),0)</f>
        <v>0</v>
      </c>
      <c r="V166" s="19" t="n">
        <f aca="false">IF(AND('Bonding Program'!$S$25=1,'Bonding Program'!$H$25&gt;'Bonding Program'!$C$8,V$3='Bonding Program'!$H$25),'Bonding Program'!$T$25-'Bonding Program'!$U$25-'Bonding Program'!$Z$25,0)-IF(AND('Bonding Program'!$S$25=1,'Bonding Program'!$H$25&lt;='Bonding Program'!$C$8,V$3=IF('Bonding Program'!$P$25&lt;&gt;"",'Bonding Program'!$P$25,'Bonding Program'!$C$8)),'Bonding Program'!$Z$25,0)+IF(AND('Bonding Program'!$P$25&lt;&gt;"",V$3='Bonding Program'!$P$25,V$3&lt;='Bonding Program'!$C$8),N('Bonding Program'!$O$25),0)</f>
        <v>0</v>
      </c>
      <c r="W166" s="19" t="n">
        <f aca="false">IF(AND('Bonding Program'!$S$25=1,'Bonding Program'!$H$25&gt;'Bonding Program'!$C$8,W$3='Bonding Program'!$H$25),'Bonding Program'!$T$25-'Bonding Program'!$U$25-'Bonding Program'!$Z$25,0)-IF(AND('Bonding Program'!$S$25=1,'Bonding Program'!$H$25&lt;='Bonding Program'!$C$8,W$3=IF('Bonding Program'!$P$25&lt;&gt;"",'Bonding Program'!$P$25,'Bonding Program'!$C$8)),'Bonding Program'!$Z$25,0)+IF(AND('Bonding Program'!$P$25&lt;&gt;"",W$3='Bonding Program'!$P$25,W$3&lt;='Bonding Program'!$C$8),N('Bonding Program'!$O$25),0)</f>
        <v>0</v>
      </c>
      <c r="X166" s="19" t="n">
        <f aca="false">IF(AND('Bonding Program'!$S$25=1,'Bonding Program'!$H$25&gt;'Bonding Program'!$C$8,X$3='Bonding Program'!$H$25),'Bonding Program'!$T$25-'Bonding Program'!$U$25-'Bonding Program'!$Z$25,0)-IF(AND('Bonding Program'!$S$25=1,'Bonding Program'!$H$25&lt;='Bonding Program'!$C$8,X$3=IF('Bonding Program'!$P$25&lt;&gt;"",'Bonding Program'!$P$25,'Bonding Program'!$C$8)),'Bonding Program'!$Z$25,0)+IF(AND('Bonding Program'!$P$25&lt;&gt;"",X$3='Bonding Program'!$P$25,X$3&lt;='Bonding Program'!$C$8),N('Bonding Program'!$O$25),0)</f>
        <v>0</v>
      </c>
      <c r="Y166" s="19" t="n">
        <f aca="false">IF(AND('Bonding Program'!$S$25=1,'Bonding Program'!$H$25&gt;'Bonding Program'!$C$8,Y$3='Bonding Program'!$H$25),'Bonding Program'!$T$25-'Bonding Program'!$U$25-'Bonding Program'!$Z$25,0)-IF(AND('Bonding Program'!$S$25=1,'Bonding Program'!$H$25&lt;='Bonding Program'!$C$8,Y$3=IF('Bonding Program'!$P$25&lt;&gt;"",'Bonding Program'!$P$25,'Bonding Program'!$C$8)),'Bonding Program'!$Z$25,0)+IF(AND('Bonding Program'!$P$25&lt;&gt;"",Y$3='Bonding Program'!$P$25,Y$3&lt;='Bonding Program'!$C$8),N('Bonding Program'!$O$25),0)</f>
        <v>0</v>
      </c>
      <c r="Z166" s="19" t="n">
        <f aca="false">IF(AND('Bonding Program'!$S$25=1,'Bonding Program'!$H$25&gt;'Bonding Program'!$C$8,Z$3='Bonding Program'!$H$25),'Bonding Program'!$T$25-'Bonding Program'!$U$25-'Bonding Program'!$Z$25,0)-IF(AND('Bonding Program'!$S$25=1,'Bonding Program'!$H$25&lt;='Bonding Program'!$C$8,Z$3=IF('Bonding Program'!$P$25&lt;&gt;"",'Bonding Program'!$P$25,'Bonding Program'!$C$8)),'Bonding Program'!$Z$25,0)+IF(AND('Bonding Program'!$P$25&lt;&gt;"",Z$3='Bonding Program'!$P$25,Z$3&lt;='Bonding Program'!$C$8),N('Bonding Program'!$O$25),0)</f>
        <v>0</v>
      </c>
      <c r="AA166" s="19" t="n">
        <f aca="false">IF(AND('Bonding Program'!$S$25=1,'Bonding Program'!$H$25&gt;'Bonding Program'!$C$8,AA$3='Bonding Program'!$H$25),'Bonding Program'!$T$25-'Bonding Program'!$U$25-'Bonding Program'!$Z$25,0)-IF(AND('Bonding Program'!$S$25=1,'Bonding Program'!$H$25&lt;='Bonding Program'!$C$8,AA$3=IF('Bonding Program'!$P$25&lt;&gt;"",'Bonding Program'!$P$25,'Bonding Program'!$C$8)),'Bonding Program'!$Z$25,0)+IF(AND('Bonding Program'!$P$25&lt;&gt;"",AA$3='Bonding Program'!$P$25,AA$3&lt;='Bonding Program'!$C$8),N('Bonding Program'!$O$25),0)</f>
        <v>0</v>
      </c>
      <c r="AB166" s="19" t="n">
        <f aca="false">IF(AND('Bonding Program'!$S$25=1,'Bonding Program'!$H$25&gt;'Bonding Program'!$C$8,AB$3='Bonding Program'!$H$25),'Bonding Program'!$T$25-'Bonding Program'!$U$25-'Bonding Program'!$Z$25,0)-IF(AND('Bonding Program'!$S$25=1,'Bonding Program'!$H$25&lt;='Bonding Program'!$C$8,AB$3=IF('Bonding Program'!$P$25&lt;&gt;"",'Bonding Program'!$P$25,'Bonding Program'!$C$8)),'Bonding Program'!$Z$25,0)+IF(AND('Bonding Program'!$P$25&lt;&gt;"",AB$3='Bonding Program'!$P$25,AB$3&lt;='Bonding Program'!$C$8),N('Bonding Program'!$O$25),0)</f>
        <v>0</v>
      </c>
      <c r="AC166" s="19" t="n">
        <f aca="false">IF(AND('Bonding Program'!$S$25=1,'Bonding Program'!$H$25&gt;'Bonding Program'!$C$8,AC$3='Bonding Program'!$H$25),'Bonding Program'!$T$25-'Bonding Program'!$U$25-'Bonding Program'!$Z$25,0)-IF(AND('Bonding Program'!$S$25=1,'Bonding Program'!$H$25&lt;='Bonding Program'!$C$8,AC$3=IF('Bonding Program'!$P$25&lt;&gt;"",'Bonding Program'!$P$25,'Bonding Program'!$C$8)),'Bonding Program'!$Z$25,0)+IF(AND('Bonding Program'!$P$25&lt;&gt;"",AC$3='Bonding Program'!$P$25,AC$3&lt;='Bonding Program'!$C$8),N('Bonding Program'!$O$25),0)</f>
        <v>0</v>
      </c>
      <c r="AD166" s="19" t="n">
        <f aca="false">IF(AND('Bonding Program'!$S$25=1,'Bonding Program'!$H$25&gt;'Bonding Program'!$C$8,AD$3='Bonding Program'!$H$25),'Bonding Program'!$T$25-'Bonding Program'!$U$25-'Bonding Program'!$Z$25,0)-IF(AND('Bonding Program'!$S$25=1,'Bonding Program'!$H$25&lt;='Bonding Program'!$C$8,AD$3=IF('Bonding Program'!$P$25&lt;&gt;"",'Bonding Program'!$P$25,'Bonding Program'!$C$8)),'Bonding Program'!$Z$25,0)+IF(AND('Bonding Program'!$P$25&lt;&gt;"",AD$3='Bonding Program'!$P$25,AD$3&lt;='Bonding Program'!$C$8),N('Bonding Program'!$O$25),0)</f>
        <v>0</v>
      </c>
      <c r="AE166" s="19" t="n">
        <f aca="false">IF(AND('Bonding Program'!$S$25=1,'Bonding Program'!$H$25&gt;'Bonding Program'!$C$8,AE$3='Bonding Program'!$H$25),'Bonding Program'!$T$25-'Bonding Program'!$U$25-'Bonding Program'!$Z$25,0)-IF(AND('Bonding Program'!$S$25=1,'Bonding Program'!$H$25&lt;='Bonding Program'!$C$8,AE$3=IF('Bonding Program'!$P$25&lt;&gt;"",'Bonding Program'!$P$25,'Bonding Program'!$C$8)),'Bonding Program'!$Z$25,0)+IF(AND('Bonding Program'!$P$25&lt;&gt;"",AE$3='Bonding Program'!$P$25,AE$3&lt;='Bonding Program'!$C$8),N('Bonding Program'!$O$25),0)</f>
        <v>0</v>
      </c>
      <c r="AF166" s="19" t="n">
        <f aca="false">IF(AND('Bonding Program'!$S$25=1,'Bonding Program'!$H$25&gt;'Bonding Program'!$C$8,AF$3='Bonding Program'!$H$25),'Bonding Program'!$T$25-'Bonding Program'!$U$25-'Bonding Program'!$Z$25,0)-IF(AND('Bonding Program'!$S$25=1,'Bonding Program'!$H$25&lt;='Bonding Program'!$C$8,AF$3=IF('Bonding Program'!$P$25&lt;&gt;"",'Bonding Program'!$P$25,'Bonding Program'!$C$8)),'Bonding Program'!$Z$25,0)+IF(AND('Bonding Program'!$P$25&lt;&gt;"",AF$3='Bonding Program'!$P$25,AF$3&lt;='Bonding Program'!$C$8),N('Bonding Program'!$O$25),0)</f>
        <v>0</v>
      </c>
      <c r="AG166" s="19" t="n">
        <f aca="false">IF(AND('Bonding Program'!$S$25=1,'Bonding Program'!$H$25&gt;'Bonding Program'!$C$8,AG$3='Bonding Program'!$H$25),'Bonding Program'!$T$25-'Bonding Program'!$U$25-'Bonding Program'!$Z$25,0)-IF(AND('Bonding Program'!$S$25=1,'Bonding Program'!$H$25&lt;='Bonding Program'!$C$8,AG$3=IF('Bonding Program'!$P$25&lt;&gt;"",'Bonding Program'!$P$25,'Bonding Program'!$C$8)),'Bonding Program'!$Z$25,0)+IF(AND('Bonding Program'!$P$25&lt;&gt;"",AG$3='Bonding Program'!$P$25,AG$3&lt;='Bonding Program'!$C$8),N('Bonding Program'!$O$25),0)</f>
        <v>0</v>
      </c>
      <c r="AH166" s="19" t="n">
        <f aca="false">IF(AND('Bonding Program'!$S$25=1,'Bonding Program'!$H$25&gt;'Bonding Program'!$C$8,AH$3='Bonding Program'!$H$25),'Bonding Program'!$T$25-'Bonding Program'!$U$25-'Bonding Program'!$Z$25,0)-IF(AND('Bonding Program'!$S$25=1,'Bonding Program'!$H$25&lt;='Bonding Program'!$C$8,AH$3=IF('Bonding Program'!$P$25&lt;&gt;"",'Bonding Program'!$P$25,'Bonding Program'!$C$8)),'Bonding Program'!$Z$25,0)+IF(AND('Bonding Program'!$P$25&lt;&gt;"",AH$3='Bonding Program'!$P$25,AH$3&lt;='Bonding Program'!$C$8),N('Bonding Program'!$O$25),0)</f>
        <v>0</v>
      </c>
      <c r="AI166" s="19" t="n">
        <f aca="false">IF(AND('Bonding Program'!$S$25=1,'Bonding Program'!$H$25&gt;'Bonding Program'!$C$8,AI$3='Bonding Program'!$H$25),'Bonding Program'!$T$25-'Bonding Program'!$U$25-'Bonding Program'!$Z$25,0)-IF(AND('Bonding Program'!$S$25=1,'Bonding Program'!$H$25&lt;='Bonding Program'!$C$8,AI$3=IF('Bonding Program'!$P$25&lt;&gt;"",'Bonding Program'!$P$25,'Bonding Program'!$C$8)),'Bonding Program'!$Z$25,0)+IF(AND('Bonding Program'!$P$25&lt;&gt;"",AI$3='Bonding Program'!$P$25,AI$3&lt;='Bonding Program'!$C$8),N('Bonding Program'!$O$25),0)</f>
        <v>0</v>
      </c>
      <c r="AJ166" s="19" t="n">
        <f aca="false">IF(AND('Bonding Program'!$S$25=1,'Bonding Program'!$H$25&gt;'Bonding Program'!$C$8,AJ$3='Bonding Program'!$H$25),'Bonding Program'!$T$25-'Bonding Program'!$U$25-'Bonding Program'!$Z$25,0)-IF(AND('Bonding Program'!$S$25=1,'Bonding Program'!$H$25&lt;='Bonding Program'!$C$8,AJ$3=IF('Bonding Program'!$P$25&lt;&gt;"",'Bonding Program'!$P$25,'Bonding Program'!$C$8)),'Bonding Program'!$Z$25,0)+IF(AND('Bonding Program'!$P$25&lt;&gt;"",AJ$3='Bonding Program'!$P$25,AJ$3&lt;='Bonding Program'!$C$8),N('Bonding Program'!$O$25),0)</f>
        <v>0</v>
      </c>
      <c r="AK166" s="19" t="n">
        <f aca="false">IF(AND('Bonding Program'!$S$25=1,'Bonding Program'!$H$25&gt;'Bonding Program'!$C$8,AK$3='Bonding Program'!$H$25),'Bonding Program'!$T$25-'Bonding Program'!$U$25-'Bonding Program'!$Z$25,0)-IF(AND('Bonding Program'!$S$25=1,'Bonding Program'!$H$25&lt;='Bonding Program'!$C$8,AK$3=IF('Bonding Program'!$P$25&lt;&gt;"",'Bonding Program'!$P$25,'Bonding Program'!$C$8)),'Bonding Program'!$Z$25,0)+IF(AND('Bonding Program'!$P$25&lt;&gt;"",AK$3='Bonding Program'!$P$25,AK$3&lt;='Bonding Program'!$C$8),N('Bonding Program'!$O$25),0)</f>
        <v>0</v>
      </c>
      <c r="AL166" s="19" t="n">
        <f aca="false">IF(AND('Bonding Program'!$S$25=1,'Bonding Program'!$H$25&gt;'Bonding Program'!$C$8,AL$3='Bonding Program'!$H$25),'Bonding Program'!$T$25-'Bonding Program'!$U$25-'Bonding Program'!$Z$25,0)-IF(AND('Bonding Program'!$S$25=1,'Bonding Program'!$H$25&lt;='Bonding Program'!$C$8,AL$3=IF('Bonding Program'!$P$25&lt;&gt;"",'Bonding Program'!$P$25,'Bonding Program'!$C$8)),'Bonding Program'!$Z$25,0)+IF(AND('Bonding Program'!$P$25&lt;&gt;"",AL$3='Bonding Program'!$P$25,AL$3&lt;='Bonding Program'!$C$8),N('Bonding Program'!$O$25),0)</f>
        <v>0</v>
      </c>
      <c r="AM166" s="19" t="n">
        <f aca="false">IF(AND('Bonding Program'!$S$25=1,'Bonding Program'!$H$25&gt;'Bonding Program'!$C$8,AM$3='Bonding Program'!$H$25),'Bonding Program'!$T$25-'Bonding Program'!$U$25-'Bonding Program'!$Z$25,0)-IF(AND('Bonding Program'!$S$25=1,'Bonding Program'!$H$25&lt;='Bonding Program'!$C$8,AM$3=IF('Bonding Program'!$P$25&lt;&gt;"",'Bonding Program'!$P$25,'Bonding Program'!$C$8)),'Bonding Program'!$Z$25,0)+IF(AND('Bonding Program'!$P$25&lt;&gt;"",AM$3='Bonding Program'!$P$25,AM$3&lt;='Bonding Program'!$C$8),N('Bonding Program'!$O$25),0)</f>
        <v>0</v>
      </c>
      <c r="AN166" s="19" t="n">
        <f aca="false">IF(AND('Bonding Program'!$S$25=1,'Bonding Program'!$H$25&gt;'Bonding Program'!$C$8,AN$3='Bonding Program'!$H$25),'Bonding Program'!$T$25-'Bonding Program'!$U$25-'Bonding Program'!$Z$25,0)-IF(AND('Bonding Program'!$S$25=1,'Bonding Program'!$H$25&lt;='Bonding Program'!$C$8,AN$3=IF('Bonding Program'!$P$25&lt;&gt;"",'Bonding Program'!$P$25,'Bonding Program'!$C$8)),'Bonding Program'!$Z$25,0)+IF(AND('Bonding Program'!$P$25&lt;&gt;"",AN$3='Bonding Program'!$P$25,AN$3&lt;='Bonding Program'!$C$8),N('Bonding Program'!$O$25),0)</f>
        <v>0</v>
      </c>
      <c r="AO166" s="19" t="n">
        <f aca="false">IF(AND('Bonding Program'!$S$25=1,'Bonding Program'!$H$25&gt;'Bonding Program'!$C$8,AO$3='Bonding Program'!$H$25),'Bonding Program'!$T$25-'Bonding Program'!$U$25-'Bonding Program'!$Z$25,0)-IF(AND('Bonding Program'!$S$25=1,'Bonding Program'!$H$25&lt;='Bonding Program'!$C$8,AO$3=IF('Bonding Program'!$P$25&lt;&gt;"",'Bonding Program'!$P$25,'Bonding Program'!$C$8)),'Bonding Program'!$Z$25,0)+IF(AND('Bonding Program'!$P$25&lt;&gt;"",AO$3='Bonding Program'!$P$25,AO$3&lt;='Bonding Program'!$C$8),N('Bonding Program'!$O$25),0)</f>
        <v>0</v>
      </c>
      <c r="AP166" s="19" t="n">
        <f aca="false">IF(AND('Bonding Program'!$S$25=1,'Bonding Program'!$H$25&gt;'Bonding Program'!$C$8,AP$3='Bonding Program'!$H$25),'Bonding Program'!$T$25-'Bonding Program'!$U$25-'Bonding Program'!$Z$25,0)-IF(AND('Bonding Program'!$S$25=1,'Bonding Program'!$H$25&lt;='Bonding Program'!$C$8,AP$3=IF('Bonding Program'!$P$25&lt;&gt;"",'Bonding Program'!$P$25,'Bonding Program'!$C$8)),'Bonding Program'!$Z$25,0)+IF(AND('Bonding Program'!$P$25&lt;&gt;"",AP$3='Bonding Program'!$P$25,AP$3&lt;='Bonding Program'!$C$8),N('Bonding Program'!$O$25),0)</f>
        <v>0</v>
      </c>
      <c r="AQ166" s="19" t="n">
        <f aca="false">IF(AND('Bonding Program'!$S$25=1,'Bonding Program'!$H$25&gt;'Bonding Program'!$C$8,AQ$3='Bonding Program'!$H$25),'Bonding Program'!$T$25-'Bonding Program'!$U$25-'Bonding Program'!$Z$25,0)-IF(AND('Bonding Program'!$S$25=1,'Bonding Program'!$H$25&lt;='Bonding Program'!$C$8,AQ$3=IF('Bonding Program'!$P$25&lt;&gt;"",'Bonding Program'!$P$25,'Bonding Program'!$C$8)),'Bonding Program'!$Z$25,0)+IF(AND('Bonding Program'!$P$25&lt;&gt;"",AQ$3='Bonding Program'!$P$25,AQ$3&lt;='Bonding Program'!$C$8),N('Bonding Program'!$O$25),0)</f>
        <v>0</v>
      </c>
      <c r="AR166" s="19" t="n">
        <f aca="false">IF(AND('Bonding Program'!$S$25=1,'Bonding Program'!$H$25&gt;'Bonding Program'!$C$8,AR$3='Bonding Program'!$H$25),'Bonding Program'!$T$25-'Bonding Program'!$U$25-'Bonding Program'!$Z$25,0)-IF(AND('Bonding Program'!$S$25=1,'Bonding Program'!$H$25&lt;='Bonding Program'!$C$8,AR$3=IF('Bonding Program'!$P$25&lt;&gt;"",'Bonding Program'!$P$25,'Bonding Program'!$C$8)),'Bonding Program'!$Z$25,0)+IF(AND('Bonding Program'!$P$25&lt;&gt;"",AR$3='Bonding Program'!$P$25,AR$3&lt;='Bonding Program'!$C$8),N('Bonding Program'!$O$25),0)</f>
        <v>0</v>
      </c>
      <c r="AS166" s="19" t="n">
        <f aca="false">IF(AND('Bonding Program'!$S$25=1,'Bonding Program'!$H$25&gt;'Bonding Program'!$C$8,AS$3='Bonding Program'!$H$25),'Bonding Program'!$T$25-'Bonding Program'!$U$25-'Bonding Program'!$Z$25,0)-IF(AND('Bonding Program'!$S$25=1,'Bonding Program'!$H$25&lt;='Bonding Program'!$C$8,AS$3=IF('Bonding Program'!$P$25&lt;&gt;"",'Bonding Program'!$P$25,'Bonding Program'!$C$8)),'Bonding Program'!$Z$25,0)+IF(AND('Bonding Program'!$P$25&lt;&gt;"",AS$3='Bonding Program'!$P$25,AS$3&lt;='Bonding Program'!$C$8),N('Bonding Program'!$O$25),0)</f>
        <v>0</v>
      </c>
      <c r="AT166" s="19" t="n">
        <f aca="false">IF(AND('Bonding Program'!$S$25=1,'Bonding Program'!$H$25&gt;'Bonding Program'!$C$8,AT$3='Bonding Program'!$H$25),'Bonding Program'!$T$25-'Bonding Program'!$U$25-'Bonding Program'!$Z$25,0)-IF(AND('Bonding Program'!$S$25=1,'Bonding Program'!$H$25&lt;='Bonding Program'!$C$8,AT$3=IF('Bonding Program'!$P$25&lt;&gt;"",'Bonding Program'!$P$25,'Bonding Program'!$C$8)),'Bonding Program'!$Z$25,0)+IF(AND('Bonding Program'!$P$25&lt;&gt;"",AT$3='Bonding Program'!$P$25,AT$3&lt;='Bonding Program'!$C$8),N('Bonding Program'!$O$25),0)</f>
        <v>0</v>
      </c>
      <c r="AU166" s="19" t="n">
        <f aca="false">IF(AND('Bonding Program'!$S$25=1,'Bonding Program'!$H$25&gt;'Bonding Program'!$C$8,AU$3='Bonding Program'!$H$25),'Bonding Program'!$T$25-'Bonding Program'!$U$25-'Bonding Program'!$Z$25,0)-IF(AND('Bonding Program'!$S$25=1,'Bonding Program'!$H$25&lt;='Bonding Program'!$C$8,AU$3=IF('Bonding Program'!$P$25&lt;&gt;"",'Bonding Program'!$P$25,'Bonding Program'!$C$8)),'Bonding Program'!$Z$25,0)+IF(AND('Bonding Program'!$P$25&lt;&gt;"",AU$3='Bonding Program'!$P$25,AU$3&lt;='Bonding Program'!$C$8),N('Bonding Program'!$O$25),0)</f>
        <v>0</v>
      </c>
      <c r="AV166" s="19" t="n">
        <f aca="false">IF(AND('Bonding Program'!$S$25=1,'Bonding Program'!$H$25&gt;'Bonding Program'!$C$8,AV$3='Bonding Program'!$H$25),'Bonding Program'!$T$25-'Bonding Program'!$U$25-'Bonding Program'!$Z$25,0)-IF(AND('Bonding Program'!$S$25=1,'Bonding Program'!$H$25&lt;='Bonding Program'!$C$8,AV$3=IF('Bonding Program'!$P$25&lt;&gt;"",'Bonding Program'!$P$25,'Bonding Program'!$C$8)),'Bonding Program'!$Z$25,0)+IF(AND('Bonding Program'!$P$25&lt;&gt;"",AV$3='Bonding Program'!$P$25,AV$3&lt;='Bonding Program'!$C$8),N('Bonding Program'!$O$25),0)</f>
        <v>0</v>
      </c>
      <c r="AW166" s="19" t="n">
        <f aca="false">IF(AND('Bonding Program'!$S$25=1,'Bonding Program'!$H$25&gt;'Bonding Program'!$C$8,AW$3='Bonding Program'!$H$25),'Bonding Program'!$T$25-'Bonding Program'!$U$25-'Bonding Program'!$Z$25,0)-IF(AND('Bonding Program'!$S$25=1,'Bonding Program'!$H$25&lt;='Bonding Program'!$C$8,AW$3=IF('Bonding Program'!$P$25&lt;&gt;"",'Bonding Program'!$P$25,'Bonding Program'!$C$8)),'Bonding Program'!$Z$25,0)+IF(AND('Bonding Program'!$P$25&lt;&gt;"",AW$3='Bonding Program'!$P$25,AW$3&lt;='Bonding Program'!$C$8),N('Bonding Program'!$O$25),0)</f>
        <v>0</v>
      </c>
      <c r="AX166" s="19" t="n">
        <f aca="false">IF(AND('Bonding Program'!$S$25=1,'Bonding Program'!$H$25&gt;'Bonding Program'!$C$8,AX$3='Bonding Program'!$H$25),'Bonding Program'!$T$25-'Bonding Program'!$U$25-'Bonding Program'!$Z$25,0)-IF(AND('Bonding Program'!$S$25=1,'Bonding Program'!$H$25&lt;='Bonding Program'!$C$8,AX$3=IF('Bonding Program'!$P$25&lt;&gt;"",'Bonding Program'!$P$25,'Bonding Program'!$C$8)),'Bonding Program'!$Z$25,0)+IF(AND('Bonding Program'!$P$25&lt;&gt;"",AX$3='Bonding Program'!$P$25,AX$3&lt;='Bonding Program'!$C$8),N('Bonding Program'!$O$25),0)</f>
        <v>0</v>
      </c>
      <c r="AY166" s="19" t="n">
        <f aca="false">IF(AND('Bonding Program'!$S$25=1,'Bonding Program'!$H$25&gt;'Bonding Program'!$C$8,AY$3='Bonding Program'!$H$25),'Bonding Program'!$T$25-'Bonding Program'!$U$25-'Bonding Program'!$Z$25,0)-IF(AND('Bonding Program'!$S$25=1,'Bonding Program'!$H$25&lt;='Bonding Program'!$C$8,AY$3=IF('Bonding Program'!$P$25&lt;&gt;"",'Bonding Program'!$P$25,'Bonding Program'!$C$8)),'Bonding Program'!$Z$25,0)+IF(AND('Bonding Program'!$P$25&lt;&gt;"",AY$3='Bonding Program'!$P$25,AY$3&lt;='Bonding Program'!$C$8),N('Bonding Program'!$O$25),0)</f>
        <v>0</v>
      </c>
      <c r="AZ166" s="19" t="n">
        <f aca="false">IF(AND('Bonding Program'!$S$25=1,'Bonding Program'!$H$25&gt;'Bonding Program'!$C$8,AZ$3='Bonding Program'!$H$25),'Bonding Program'!$T$25-'Bonding Program'!$U$25-'Bonding Program'!$Z$25,0)-IF(AND('Bonding Program'!$S$25=1,'Bonding Program'!$H$25&lt;='Bonding Program'!$C$8,AZ$3=IF('Bonding Program'!$P$25&lt;&gt;"",'Bonding Program'!$P$25,'Bonding Program'!$C$8)),'Bonding Program'!$Z$25,0)+IF(AND('Bonding Program'!$P$25&lt;&gt;"",AZ$3='Bonding Program'!$P$25,AZ$3&lt;='Bonding Program'!$C$8),N('Bonding Program'!$O$25),0)</f>
        <v>0</v>
      </c>
      <c r="BA166" s="19" t="n">
        <f aca="false">IF(AND('Bonding Program'!$S$25=1,'Bonding Program'!$H$25&gt;'Bonding Program'!$C$8,BA$3='Bonding Program'!$H$25),'Bonding Program'!$T$25-'Bonding Program'!$U$25-'Bonding Program'!$Z$25,0)-IF(AND('Bonding Program'!$S$25=1,'Bonding Program'!$H$25&lt;='Bonding Program'!$C$8,BA$3=IF('Bonding Program'!$P$25&lt;&gt;"",'Bonding Program'!$P$25,'Bonding Program'!$C$8)),'Bonding Program'!$Z$25,0)+IF(AND('Bonding Program'!$P$25&lt;&gt;"",BA$3='Bonding Program'!$P$25,BA$3&lt;='Bonding Program'!$C$8),N('Bonding Program'!$O$25),0)</f>
        <v>0</v>
      </c>
      <c r="BB166" s="19" t="n">
        <f aca="false">IF(AND('Bonding Program'!$S$25=1,'Bonding Program'!$H$25&gt;'Bonding Program'!$C$8,BB$3='Bonding Program'!$H$25),'Bonding Program'!$T$25-'Bonding Program'!$U$25-'Bonding Program'!$Z$25,0)-IF(AND('Bonding Program'!$S$25=1,'Bonding Program'!$H$25&lt;='Bonding Program'!$C$8,BB$3=IF('Bonding Program'!$P$25&lt;&gt;"",'Bonding Program'!$P$25,'Bonding Program'!$C$8)),'Bonding Program'!$Z$25,0)+IF(AND('Bonding Program'!$P$25&lt;&gt;"",BB$3='Bonding Program'!$P$25,BB$3&lt;='Bonding Program'!$C$8),N('Bonding Program'!$O$25),0)</f>
        <v>0</v>
      </c>
      <c r="BC166" s="19" t="n">
        <f aca="false">IF(AND('Bonding Program'!$S$25=1,'Bonding Program'!$H$25&gt;'Bonding Program'!$C$8,BC$3='Bonding Program'!$H$25),'Bonding Program'!$T$25-'Bonding Program'!$U$25-'Bonding Program'!$Z$25,0)-IF(AND('Bonding Program'!$S$25=1,'Bonding Program'!$H$25&lt;='Bonding Program'!$C$8,BC$3=IF('Bonding Program'!$P$25&lt;&gt;"",'Bonding Program'!$P$25,'Bonding Program'!$C$8)),'Bonding Program'!$Z$25,0)+IF(AND('Bonding Program'!$P$25&lt;&gt;"",BC$3='Bonding Program'!$P$25,BC$3&lt;='Bonding Program'!$C$8),N('Bonding Program'!$O$25),0)</f>
        <v>0</v>
      </c>
      <c r="BD166" s="19" t="n">
        <f aca="false">IF(AND('Bonding Program'!$S$25=1,'Bonding Program'!$H$25&gt;'Bonding Program'!$C$8,BD$3='Bonding Program'!$H$25),'Bonding Program'!$T$25-'Bonding Program'!$U$25-'Bonding Program'!$Z$25,0)-IF(AND('Bonding Program'!$S$25=1,'Bonding Program'!$H$25&lt;='Bonding Program'!$C$8,BD$3=IF('Bonding Program'!$P$25&lt;&gt;"",'Bonding Program'!$P$25,'Bonding Program'!$C$8)),'Bonding Program'!$Z$25,0)+IF(AND('Bonding Program'!$P$25&lt;&gt;"",BD$3='Bonding Program'!$P$25,BD$3&lt;='Bonding Program'!$C$8),N('Bonding Program'!$O$25),0)</f>
        <v>0</v>
      </c>
      <c r="BE166" s="19" t="n">
        <f aca="false">IF(AND('Bonding Program'!$S$25=1,'Bonding Program'!$H$25&gt;'Bonding Program'!$C$8,BE$3='Bonding Program'!$H$25),'Bonding Program'!$T$25-'Bonding Program'!$U$25-'Bonding Program'!$Z$25,0)-IF(AND('Bonding Program'!$S$25=1,'Bonding Program'!$H$25&lt;='Bonding Program'!$C$8,BE$3=IF('Bonding Program'!$P$25&lt;&gt;"",'Bonding Program'!$P$25,'Bonding Program'!$C$8)),'Bonding Program'!$Z$25,0)+IF(AND('Bonding Program'!$P$25&lt;&gt;"",BE$3='Bonding Program'!$P$25,BE$3&lt;='Bonding Program'!$C$8),N('Bonding Program'!$O$25),0)</f>
        <v>0</v>
      </c>
      <c r="BF166" s="19" t="n">
        <f aca="false">IF(AND('Bonding Program'!$S$25=1,'Bonding Program'!$H$25&gt;'Bonding Program'!$C$8,BF$3='Bonding Program'!$H$25),'Bonding Program'!$T$25-'Bonding Program'!$U$25-'Bonding Program'!$Z$25,0)-IF(AND('Bonding Program'!$S$25=1,'Bonding Program'!$H$25&lt;='Bonding Program'!$C$8,BF$3=IF('Bonding Program'!$P$25&lt;&gt;"",'Bonding Program'!$P$25,'Bonding Program'!$C$8)),'Bonding Program'!$Z$25,0)+IF(AND('Bonding Program'!$P$25&lt;&gt;"",BF$3='Bonding Program'!$P$25,BF$3&lt;='Bonding Program'!$C$8),N('Bonding Program'!$O$25),0)</f>
        <v>0</v>
      </c>
      <c r="BG166" s="19" t="n">
        <f aca="false">IF(AND('Bonding Program'!$S$25=1,'Bonding Program'!$H$25&gt;'Bonding Program'!$C$8,BG$3='Bonding Program'!$H$25),'Bonding Program'!$T$25-'Bonding Program'!$U$25-'Bonding Program'!$Z$25,0)-IF(AND('Bonding Program'!$S$25=1,'Bonding Program'!$H$25&lt;='Bonding Program'!$C$8,BG$3=IF('Bonding Program'!$P$25&lt;&gt;"",'Bonding Program'!$P$25,'Bonding Program'!$C$8)),'Bonding Program'!$Z$25,0)+IF(AND('Bonding Program'!$P$25&lt;&gt;"",BG$3='Bonding Program'!$P$25,BG$3&lt;='Bonding Program'!$C$8),N('Bonding Program'!$O$25),0)</f>
        <v>0</v>
      </c>
      <c r="BH166" s="19" t="n">
        <f aca="false">IF(AND('Bonding Program'!$S$25=1,'Bonding Program'!$H$25&gt;'Bonding Program'!$C$8,BH$3='Bonding Program'!$H$25),'Bonding Program'!$T$25-'Bonding Program'!$U$25-'Bonding Program'!$Z$25,0)-IF(AND('Bonding Program'!$S$25=1,'Bonding Program'!$H$25&lt;='Bonding Program'!$C$8,BH$3=IF('Bonding Program'!$P$25&lt;&gt;"",'Bonding Program'!$P$25,'Bonding Program'!$C$8)),'Bonding Program'!$Z$25,0)+IF(AND('Bonding Program'!$P$25&lt;&gt;"",BH$3='Bonding Program'!$P$25,BH$3&lt;='Bonding Program'!$C$8),N('Bonding Program'!$O$25),0)</f>
        <v>0</v>
      </c>
      <c r="BI166" s="19" t="n">
        <f aca="false">IF(AND('Bonding Program'!$S$25=1,'Bonding Program'!$H$25&gt;'Bonding Program'!$C$8,BI$3='Bonding Program'!$H$25),'Bonding Program'!$T$25-'Bonding Program'!$U$25-'Bonding Program'!$Z$25,0)-IF(AND('Bonding Program'!$S$25=1,'Bonding Program'!$H$25&lt;='Bonding Program'!$C$8,BI$3=IF('Bonding Program'!$P$25&lt;&gt;"",'Bonding Program'!$P$25,'Bonding Program'!$C$8)),'Bonding Program'!$Z$25,0)+IF(AND('Bonding Program'!$P$25&lt;&gt;"",BI$3='Bonding Program'!$P$25,BI$3&lt;='Bonding Program'!$C$8),N('Bonding Program'!$O$25),0)</f>
        <v>0</v>
      </c>
      <c r="BJ166" s="19" t="n">
        <f aca="false">IF(AND('Bonding Program'!$S$25=1,'Bonding Program'!$H$25&gt;'Bonding Program'!$C$8,BJ$3='Bonding Program'!$H$25),'Bonding Program'!$T$25-'Bonding Program'!$U$25-'Bonding Program'!$Z$25,0)-IF(AND('Bonding Program'!$S$25=1,'Bonding Program'!$H$25&lt;='Bonding Program'!$C$8,BJ$3=IF('Bonding Program'!$P$25&lt;&gt;"",'Bonding Program'!$P$25,'Bonding Program'!$C$8)),'Bonding Program'!$Z$25,0)+IF(AND('Bonding Program'!$P$25&lt;&gt;"",BJ$3='Bonding Program'!$P$25,BJ$3&lt;='Bonding Program'!$C$8),N('Bonding Program'!$O$25),0)</f>
        <v>0</v>
      </c>
      <c r="BK166" s="19" t="n">
        <f aca="false">IF(AND('Bonding Program'!$S$25=1,'Bonding Program'!$H$25&gt;'Bonding Program'!$C$8,BK$3='Bonding Program'!$H$25),'Bonding Program'!$T$25-'Bonding Program'!$U$25-'Bonding Program'!$Z$25,0)-IF(AND('Bonding Program'!$S$25=1,'Bonding Program'!$H$25&lt;='Bonding Program'!$C$8,BK$3=IF('Bonding Program'!$P$25&lt;&gt;"",'Bonding Program'!$P$25,'Bonding Program'!$C$8)),'Bonding Program'!$Z$25,0)+IF(AND('Bonding Program'!$P$25&lt;&gt;"",BK$3='Bonding Program'!$P$25,BK$3&lt;='Bonding Program'!$C$8),N('Bonding Program'!$O$25),0)</f>
        <v>0</v>
      </c>
      <c r="BL166" s="19" t="n">
        <f aca="false">IF(AND('Bonding Program'!$S$25=1,'Bonding Program'!$H$25&gt;'Bonding Program'!$C$8,BL$3='Bonding Program'!$H$25),'Bonding Program'!$T$25-'Bonding Program'!$U$25-'Bonding Program'!$Z$25,0)-IF(AND('Bonding Program'!$S$25=1,'Bonding Program'!$H$25&lt;='Bonding Program'!$C$8,BL$3=IF('Bonding Program'!$P$25&lt;&gt;"",'Bonding Program'!$P$25,'Bonding Program'!$C$8)),'Bonding Program'!$Z$25,0)+IF(AND('Bonding Program'!$P$25&lt;&gt;"",BL$3='Bonding Program'!$P$25,BL$3&lt;='Bonding Program'!$C$8),N('Bonding Program'!$O$25),0)</f>
        <v>0</v>
      </c>
      <c r="BM166" s="19" t="n">
        <f aca="false">IF(AND('Bonding Program'!$S$25=1,'Bonding Program'!$H$25&gt;'Bonding Program'!$C$8,BM$3='Bonding Program'!$H$25),'Bonding Program'!$T$25-'Bonding Program'!$U$25-'Bonding Program'!$Z$25,0)-IF(AND('Bonding Program'!$S$25=1,'Bonding Program'!$H$25&lt;='Bonding Program'!$C$8,BM$3=IF('Bonding Program'!$P$25&lt;&gt;"",'Bonding Program'!$P$25,'Bonding Program'!$C$8)),'Bonding Program'!$Z$25,0)+IF(AND('Bonding Program'!$P$25&lt;&gt;"",BM$3='Bonding Program'!$P$25,BM$3&lt;='Bonding Program'!$C$8),N('Bonding Program'!$O$25),0)</f>
        <v>0</v>
      </c>
      <c r="BN166" s="19" t="n">
        <f aca="false">IF(AND('Bonding Program'!$S$25=1,'Bonding Program'!$H$25&gt;'Bonding Program'!$C$8,BN$3='Bonding Program'!$H$25),'Bonding Program'!$T$25-'Bonding Program'!$U$25-'Bonding Program'!$Z$25,0)-IF(AND('Bonding Program'!$S$25=1,'Bonding Program'!$H$25&lt;='Bonding Program'!$C$8,BN$3=IF('Bonding Program'!$P$25&lt;&gt;"",'Bonding Program'!$P$25,'Bonding Program'!$C$8)),'Bonding Program'!$Z$25,0)+IF(AND('Bonding Program'!$P$25&lt;&gt;"",BN$3='Bonding Program'!$P$25,BN$3&lt;='Bonding Program'!$C$8),N('Bonding Program'!$O$25),0)</f>
        <v>0</v>
      </c>
      <c r="BO166" s="19" t="n">
        <f aca="false">IF(AND('Bonding Program'!$S$25=1,'Bonding Program'!$H$25&gt;'Bonding Program'!$C$8,BO$3='Bonding Program'!$H$25),'Bonding Program'!$T$25-'Bonding Program'!$U$25-'Bonding Program'!$Z$25,0)-IF(AND('Bonding Program'!$S$25=1,'Bonding Program'!$H$25&lt;='Bonding Program'!$C$8,BO$3=IF('Bonding Program'!$P$25&lt;&gt;"",'Bonding Program'!$P$25,'Bonding Program'!$C$8)),'Bonding Program'!$Z$25,0)+IF(AND('Bonding Program'!$P$25&lt;&gt;"",BO$3='Bonding Program'!$P$25,BO$3&lt;='Bonding Program'!$C$8),N('Bonding Program'!$O$25),0)</f>
        <v>0</v>
      </c>
      <c r="BP166" s="19" t="n">
        <f aca="false">IF(AND('Bonding Program'!$S$25=1,'Bonding Program'!$H$25&gt;'Bonding Program'!$C$8,BP$3='Bonding Program'!$H$25),'Bonding Program'!$T$25-'Bonding Program'!$U$25-'Bonding Program'!$Z$25,0)-IF(AND('Bonding Program'!$S$25=1,'Bonding Program'!$H$25&lt;='Bonding Program'!$C$8,BP$3=IF('Bonding Program'!$P$25&lt;&gt;"",'Bonding Program'!$P$25,'Bonding Program'!$C$8)),'Bonding Program'!$Z$25,0)+IF(AND('Bonding Program'!$P$25&lt;&gt;"",BP$3='Bonding Program'!$P$25,BP$3&lt;='Bonding Program'!$C$8),N('Bonding Program'!$O$25),0)</f>
        <v>0</v>
      </c>
      <c r="BQ166" s="19" t="n">
        <f aca="false">IF(AND('Bonding Program'!$S$25=1,'Bonding Program'!$H$25&gt;'Bonding Program'!$C$8,BQ$3='Bonding Program'!$H$25),'Bonding Program'!$T$25-'Bonding Program'!$U$25-'Bonding Program'!$Z$25,0)-IF(AND('Bonding Program'!$S$25=1,'Bonding Program'!$H$25&lt;='Bonding Program'!$C$8,BQ$3=IF('Bonding Program'!$P$25&lt;&gt;"",'Bonding Program'!$P$25,'Bonding Program'!$C$8)),'Bonding Program'!$Z$25,0)+IF(AND('Bonding Program'!$P$25&lt;&gt;"",BQ$3='Bonding Program'!$P$25,BQ$3&lt;='Bonding Program'!$C$8),N('Bonding Program'!$O$25),0)</f>
        <v>0</v>
      </c>
      <c r="BR166" s="19" t="n">
        <f aca="false">IF(AND('Bonding Program'!$S$25=1,'Bonding Program'!$H$25&gt;'Bonding Program'!$C$8,BR$3='Bonding Program'!$H$25),'Bonding Program'!$T$25-'Bonding Program'!$U$25-'Bonding Program'!$Z$25,0)-IF(AND('Bonding Program'!$S$25=1,'Bonding Program'!$H$25&lt;='Bonding Program'!$C$8,BR$3=IF('Bonding Program'!$P$25&lt;&gt;"",'Bonding Program'!$P$25,'Bonding Program'!$C$8)),'Bonding Program'!$Z$25,0)+IF(AND('Bonding Program'!$P$25&lt;&gt;"",BR$3='Bonding Program'!$P$25,BR$3&lt;='Bonding Program'!$C$8),N('Bonding Program'!$O$25),0)</f>
        <v>0</v>
      </c>
      <c r="BS166" s="19" t="n">
        <f aca="false">IF(AND('Bonding Program'!$S$25=1,'Bonding Program'!$H$25&gt;'Bonding Program'!$C$8,BS$3='Bonding Program'!$H$25),'Bonding Program'!$T$25-'Bonding Program'!$U$25-'Bonding Program'!$Z$25,0)-IF(AND('Bonding Program'!$S$25=1,'Bonding Program'!$H$25&lt;='Bonding Program'!$C$8,BS$3=IF('Bonding Program'!$P$25&lt;&gt;"",'Bonding Program'!$P$25,'Bonding Program'!$C$8)),'Bonding Program'!$Z$25,0)+IF(AND('Bonding Program'!$P$25&lt;&gt;"",BS$3='Bonding Program'!$P$25,BS$3&lt;='Bonding Program'!$C$8),N('Bonding Program'!$O$25),0)</f>
        <v>0</v>
      </c>
      <c r="BT166" s="19" t="n">
        <f aca="false">IF(AND('Bonding Program'!$S$25=1,'Bonding Program'!$H$25&gt;'Bonding Program'!$C$8,BT$3='Bonding Program'!$H$25),'Bonding Program'!$T$25-'Bonding Program'!$U$25-'Bonding Program'!$Z$25,0)-IF(AND('Bonding Program'!$S$25=1,'Bonding Program'!$H$25&lt;='Bonding Program'!$C$8,BT$3=IF('Bonding Program'!$P$25&lt;&gt;"",'Bonding Program'!$P$25,'Bonding Program'!$C$8)),'Bonding Program'!$Z$25,0)+IF(AND('Bonding Program'!$P$25&lt;&gt;"",BT$3='Bonding Program'!$P$25,BT$3&lt;='Bonding Program'!$C$8),N('Bonding Program'!$O$25),0)</f>
        <v>0</v>
      </c>
      <c r="BU166" s="19" t="n">
        <f aca="false">IF(AND('Bonding Program'!$S$25=1,'Bonding Program'!$H$25&gt;'Bonding Program'!$C$8,BU$3='Bonding Program'!$H$25),'Bonding Program'!$T$25-'Bonding Program'!$U$25-'Bonding Program'!$Z$25,0)-IF(AND('Bonding Program'!$S$25=1,'Bonding Program'!$H$25&lt;='Bonding Program'!$C$8,BU$3=IF('Bonding Program'!$P$25&lt;&gt;"",'Bonding Program'!$P$25,'Bonding Program'!$C$8)),'Bonding Program'!$Z$25,0)+IF(AND('Bonding Program'!$P$25&lt;&gt;"",BU$3='Bonding Program'!$P$25,BU$3&lt;='Bonding Program'!$C$8),N('Bonding Program'!$O$25),0)</f>
        <v>0</v>
      </c>
      <c r="BV166" s="19" t="n">
        <f aca="false">IF(AND('Bonding Program'!$S$25=1,'Bonding Program'!$H$25&gt;'Bonding Program'!$C$8,BV$3='Bonding Program'!$H$25),'Bonding Program'!$T$25-'Bonding Program'!$U$25-'Bonding Program'!$Z$25,0)-IF(AND('Bonding Program'!$S$25=1,'Bonding Program'!$H$25&lt;='Bonding Program'!$C$8,BV$3=IF('Bonding Program'!$P$25&lt;&gt;"",'Bonding Program'!$P$25,'Bonding Program'!$C$8)),'Bonding Program'!$Z$25,0)+IF(AND('Bonding Program'!$P$25&lt;&gt;"",BV$3='Bonding Program'!$P$25,BV$3&lt;='Bonding Program'!$C$8),N('Bonding Program'!$O$25),0)</f>
        <v>0</v>
      </c>
      <c r="BW166" s="19" t="n">
        <f aca="false">IF(AND('Bonding Program'!$S$25=1,'Bonding Program'!$H$25&gt;'Bonding Program'!$C$8,BW$3='Bonding Program'!$H$25),'Bonding Program'!$T$25-'Bonding Program'!$U$25-'Bonding Program'!$Z$25,0)-IF(AND('Bonding Program'!$S$25=1,'Bonding Program'!$H$25&lt;='Bonding Program'!$C$8,BW$3=IF('Bonding Program'!$P$25&lt;&gt;"",'Bonding Program'!$P$25,'Bonding Program'!$C$8)),'Bonding Program'!$Z$25,0)+IF(AND('Bonding Program'!$P$25&lt;&gt;"",BW$3='Bonding Program'!$P$25,BW$3&lt;='Bonding Program'!$C$8),N('Bonding Program'!$O$25),0)</f>
        <v>0</v>
      </c>
      <c r="BX166" s="19" t="n">
        <f aca="false">IF(AND('Bonding Program'!$S$25=1,'Bonding Program'!$H$25&gt;'Bonding Program'!$C$8,BX$3='Bonding Program'!$H$25),'Bonding Program'!$T$25-'Bonding Program'!$U$25-'Bonding Program'!$Z$25,0)-IF(AND('Bonding Program'!$S$25=1,'Bonding Program'!$H$25&lt;='Bonding Program'!$C$8,BX$3=IF('Bonding Program'!$P$25&lt;&gt;"",'Bonding Program'!$P$25,'Bonding Program'!$C$8)),'Bonding Program'!$Z$25,0)+IF(AND('Bonding Program'!$P$25&lt;&gt;"",BX$3='Bonding Program'!$P$25,BX$3&lt;='Bonding Program'!$C$8),N('Bonding Program'!$O$25),0)</f>
        <v>0</v>
      </c>
      <c r="BY166" s="19" t="n">
        <f aca="false">IF(AND('Bonding Program'!$S$25=1,'Bonding Program'!$H$25&gt;'Bonding Program'!$C$8,BY$3='Bonding Program'!$H$25),'Bonding Program'!$T$25-'Bonding Program'!$U$25-'Bonding Program'!$Z$25,0)-IF(AND('Bonding Program'!$S$25=1,'Bonding Program'!$H$25&lt;='Bonding Program'!$C$8,BY$3=IF('Bonding Program'!$P$25&lt;&gt;"",'Bonding Program'!$P$25,'Bonding Program'!$C$8)),'Bonding Program'!$Z$25,0)+IF(AND('Bonding Program'!$P$25&lt;&gt;"",BY$3='Bonding Program'!$P$25,BY$3&lt;='Bonding Program'!$C$8),N('Bonding Program'!$O$25),0)</f>
        <v>0</v>
      </c>
      <c r="BZ166" s="19" t="n">
        <f aca="false">IF(AND('Bonding Program'!$S$25=1,'Bonding Program'!$H$25&gt;'Bonding Program'!$C$8,BZ$3='Bonding Program'!$H$25),'Bonding Program'!$T$25-'Bonding Program'!$U$25-'Bonding Program'!$Z$25,0)-IF(AND('Bonding Program'!$S$25=1,'Bonding Program'!$H$25&lt;='Bonding Program'!$C$8,BZ$3=IF('Bonding Program'!$P$25&lt;&gt;"",'Bonding Program'!$P$25,'Bonding Program'!$C$8)),'Bonding Program'!$Z$25,0)+IF(AND('Bonding Program'!$P$25&lt;&gt;"",BZ$3='Bonding Program'!$P$25,BZ$3&lt;='Bonding Program'!$C$8),N('Bonding Program'!$O$25),0)</f>
        <v>0</v>
      </c>
      <c r="CA166" s="19" t="n">
        <f aca="false">IF(AND('Bonding Program'!$S$25=1,'Bonding Program'!$H$25&gt;'Bonding Program'!$C$8,CA$3='Bonding Program'!$H$25),'Bonding Program'!$T$25-'Bonding Program'!$U$25-'Bonding Program'!$Z$25,0)-IF(AND('Bonding Program'!$S$25=1,'Bonding Program'!$H$25&lt;='Bonding Program'!$C$8,CA$3=IF('Bonding Program'!$P$25&lt;&gt;"",'Bonding Program'!$P$25,'Bonding Program'!$C$8)),'Bonding Program'!$Z$25,0)+IF(AND('Bonding Program'!$P$25&lt;&gt;"",CA$3='Bonding Program'!$P$25,CA$3&lt;='Bonding Program'!$C$8),N('Bonding Program'!$O$25),0)</f>
        <v>0</v>
      </c>
      <c r="CB166" s="19" t="n">
        <f aca="false">IF(AND('Bonding Program'!$S$25=1,'Bonding Program'!$H$25&gt;'Bonding Program'!$C$8,CB$3='Bonding Program'!$H$25),'Bonding Program'!$T$25-'Bonding Program'!$U$25-'Bonding Program'!$Z$25,0)-IF(AND('Bonding Program'!$S$25=1,'Bonding Program'!$H$25&lt;='Bonding Program'!$C$8,CB$3=IF('Bonding Program'!$P$25&lt;&gt;"",'Bonding Program'!$P$25,'Bonding Program'!$C$8)),'Bonding Program'!$Z$25,0)+IF(AND('Bonding Program'!$P$25&lt;&gt;"",CB$3='Bonding Program'!$P$25,CB$3&lt;='Bonding Program'!$C$8),N('Bonding Program'!$O$25),0)</f>
        <v>0</v>
      </c>
      <c r="CC166" s="19" t="n">
        <f aca="false">IF(AND('Bonding Program'!$S$25=1,'Bonding Program'!$H$25&gt;'Bonding Program'!$C$8,CC$3='Bonding Program'!$H$25),'Bonding Program'!$T$25-'Bonding Program'!$U$25-'Bonding Program'!$Z$25,0)-IF(AND('Bonding Program'!$S$25=1,'Bonding Program'!$H$25&lt;='Bonding Program'!$C$8,CC$3=IF('Bonding Program'!$P$25&lt;&gt;"",'Bonding Program'!$P$25,'Bonding Program'!$C$8)),'Bonding Program'!$Z$25,0)+IF(AND('Bonding Program'!$P$25&lt;&gt;"",CC$3='Bonding Program'!$P$25,CC$3&lt;='Bonding Program'!$C$8),N('Bonding Program'!$O$25),0)</f>
        <v>0</v>
      </c>
      <c r="CD166" s="19" t="n">
        <f aca="false">IF(AND('Bonding Program'!$S$25=1,'Bonding Program'!$H$25&gt;'Bonding Program'!$C$8,CD$3='Bonding Program'!$H$25),'Bonding Program'!$T$25-'Bonding Program'!$U$25-'Bonding Program'!$Z$25,0)-IF(AND('Bonding Program'!$S$25=1,'Bonding Program'!$H$25&lt;='Bonding Program'!$C$8,CD$3=IF('Bonding Program'!$P$25&lt;&gt;"",'Bonding Program'!$P$25,'Bonding Program'!$C$8)),'Bonding Program'!$Z$25,0)+IF(AND('Bonding Program'!$P$25&lt;&gt;"",CD$3='Bonding Program'!$P$25,CD$3&lt;='Bonding Program'!$C$8),N('Bonding Program'!$O$25),0)</f>
        <v>0</v>
      </c>
      <c r="CE166" s="19" t="n">
        <f aca="false">IF(AND('Bonding Program'!$S$25=1,'Bonding Program'!$H$25&gt;'Bonding Program'!$C$8,CE$3='Bonding Program'!$H$25),'Bonding Program'!$T$25-'Bonding Program'!$U$25-'Bonding Program'!$Z$25,0)-IF(AND('Bonding Program'!$S$25=1,'Bonding Program'!$H$25&lt;='Bonding Program'!$C$8,CE$3=IF('Bonding Program'!$P$25&lt;&gt;"",'Bonding Program'!$P$25,'Bonding Program'!$C$8)),'Bonding Program'!$Z$25,0)+IF(AND('Bonding Program'!$P$25&lt;&gt;"",CE$3='Bonding Program'!$P$25,CE$3&lt;='Bonding Program'!$C$8),N('Bonding Program'!$O$25),0)</f>
        <v>0</v>
      </c>
      <c r="CF166" s="19" t="n">
        <f aca="false">IF(AND('Bonding Program'!$S$25=1,'Bonding Program'!$H$25&gt;'Bonding Program'!$C$8,CF$3='Bonding Program'!$H$25),'Bonding Program'!$T$25-'Bonding Program'!$U$25-'Bonding Program'!$Z$25,0)-IF(AND('Bonding Program'!$S$25=1,'Bonding Program'!$H$25&lt;='Bonding Program'!$C$8,CF$3=IF('Bonding Program'!$P$25&lt;&gt;"",'Bonding Program'!$P$25,'Bonding Program'!$C$8)),'Bonding Program'!$Z$25,0)+IF(AND('Bonding Program'!$P$25&lt;&gt;"",CF$3='Bonding Program'!$P$25,CF$3&lt;='Bonding Program'!$C$8),N('Bonding Program'!$O$25),0)</f>
        <v>0</v>
      </c>
      <c r="CG166" s="19" t="n">
        <f aca="false">IF(AND('Bonding Program'!$S$25=1,'Bonding Program'!$H$25&gt;'Bonding Program'!$C$8,CG$3='Bonding Program'!$H$25),'Bonding Program'!$T$25-'Bonding Program'!$U$25-'Bonding Program'!$Z$25,0)-IF(AND('Bonding Program'!$S$25=1,'Bonding Program'!$H$25&lt;='Bonding Program'!$C$8,CG$3=IF('Bonding Program'!$P$25&lt;&gt;"",'Bonding Program'!$P$25,'Bonding Program'!$C$8)),'Bonding Program'!$Z$25,0)+IF(AND('Bonding Program'!$P$25&lt;&gt;"",CG$3='Bonding Program'!$P$25,CG$3&lt;='Bonding Program'!$C$8),N('Bonding Program'!$O$25),0)</f>
        <v>0</v>
      </c>
      <c r="CH166" s="19" t="n">
        <f aca="false">IF(AND('Bonding Program'!$S$25=1,'Bonding Program'!$H$25&gt;'Bonding Program'!$C$8,CH$3='Bonding Program'!$H$25),'Bonding Program'!$T$25-'Bonding Program'!$U$25-'Bonding Program'!$Z$25,0)-IF(AND('Bonding Program'!$S$25=1,'Bonding Program'!$H$25&lt;='Bonding Program'!$C$8,CH$3=IF('Bonding Program'!$P$25&lt;&gt;"",'Bonding Program'!$P$25,'Bonding Program'!$C$8)),'Bonding Program'!$Z$25,0)+IF(AND('Bonding Program'!$P$25&lt;&gt;"",CH$3='Bonding Program'!$P$25,CH$3&lt;='Bonding Program'!$C$8),N('Bonding Program'!$O$25),0)</f>
        <v>0</v>
      </c>
      <c r="CI166" s="19" t="n">
        <f aca="false">IF(AND('Bonding Program'!$S$25=1,'Bonding Program'!$H$25&gt;'Bonding Program'!$C$8,CI$3='Bonding Program'!$H$25),'Bonding Program'!$T$25-'Bonding Program'!$U$25-'Bonding Program'!$Z$25,0)-IF(AND('Bonding Program'!$S$25=1,'Bonding Program'!$H$25&lt;='Bonding Program'!$C$8,CI$3=IF('Bonding Program'!$P$25&lt;&gt;"",'Bonding Program'!$P$25,'Bonding Program'!$C$8)),'Bonding Program'!$Z$25,0)+IF(AND('Bonding Program'!$P$25&lt;&gt;"",CI$3='Bonding Program'!$P$25,CI$3&lt;='Bonding Program'!$C$8),N('Bonding Program'!$O$25),0)</f>
        <v>0</v>
      </c>
      <c r="CJ166" s="19" t="n">
        <f aca="false">IF(AND('Bonding Program'!$S$25=1,'Bonding Program'!$H$25&gt;'Bonding Program'!$C$8,CJ$3='Bonding Program'!$H$25),'Bonding Program'!$T$25-'Bonding Program'!$U$25-'Bonding Program'!$Z$25,0)-IF(AND('Bonding Program'!$S$25=1,'Bonding Program'!$H$25&lt;='Bonding Program'!$C$8,CJ$3=IF('Bonding Program'!$P$25&lt;&gt;"",'Bonding Program'!$P$25,'Bonding Program'!$C$8)),'Bonding Program'!$Z$25,0)+IF(AND('Bonding Program'!$P$25&lt;&gt;"",CJ$3='Bonding Program'!$P$25,CJ$3&lt;='Bonding Program'!$C$8),N('Bonding Program'!$O$25),0)</f>
        <v>0</v>
      </c>
      <c r="CK166" s="19" t="n">
        <f aca="false">IF(AND('Bonding Program'!$S$25=1,'Bonding Program'!$H$25&gt;'Bonding Program'!$C$8,CK$3='Bonding Program'!$H$25),'Bonding Program'!$T$25-'Bonding Program'!$U$25-'Bonding Program'!$Z$25,0)-IF(AND('Bonding Program'!$S$25=1,'Bonding Program'!$H$25&lt;='Bonding Program'!$C$8,CK$3=IF('Bonding Program'!$P$25&lt;&gt;"",'Bonding Program'!$P$25,'Bonding Program'!$C$8)),'Bonding Program'!$Z$25,0)+IF(AND('Bonding Program'!$P$25&lt;&gt;"",CK$3='Bonding Program'!$P$25,CK$3&lt;='Bonding Program'!$C$8),N('Bonding Program'!$O$25),0)</f>
        <v>0</v>
      </c>
      <c r="CL166" s="19" t="n">
        <f aca="false">IF(AND('Bonding Program'!$S$25=1,'Bonding Program'!$H$25&gt;'Bonding Program'!$C$8,CL$3='Bonding Program'!$H$25),'Bonding Program'!$T$25-'Bonding Program'!$U$25-'Bonding Program'!$Z$25,0)-IF(AND('Bonding Program'!$S$25=1,'Bonding Program'!$H$25&lt;='Bonding Program'!$C$8,CL$3=IF('Bonding Program'!$P$25&lt;&gt;"",'Bonding Program'!$P$25,'Bonding Program'!$C$8)),'Bonding Program'!$Z$25,0)+IF(AND('Bonding Program'!$P$25&lt;&gt;"",CL$3='Bonding Program'!$P$25,CL$3&lt;='Bonding Program'!$C$8),N('Bonding Program'!$O$25),0)</f>
        <v>0</v>
      </c>
      <c r="CM166" s="19" t="n">
        <f aca="false">IF(AND('Bonding Program'!$S$25=1,'Bonding Program'!$H$25&gt;'Bonding Program'!$C$8,CM$3='Bonding Program'!$H$25),'Bonding Program'!$T$25-'Bonding Program'!$U$25-'Bonding Program'!$Z$25,0)-IF(AND('Bonding Program'!$S$25=1,'Bonding Program'!$H$25&lt;='Bonding Program'!$C$8,CM$3=IF('Bonding Program'!$P$25&lt;&gt;"",'Bonding Program'!$P$25,'Bonding Program'!$C$8)),'Bonding Program'!$Z$25,0)+IF(AND('Bonding Program'!$P$25&lt;&gt;"",CM$3='Bonding Program'!$P$25,CM$3&lt;='Bonding Program'!$C$8),N('Bonding Program'!$O$25),0)</f>
        <v>0</v>
      </c>
      <c r="CN166" s="19" t="n">
        <f aca="false">IF(AND('Bonding Program'!$S$25=1,'Bonding Program'!$H$25&gt;'Bonding Program'!$C$8,CN$3='Bonding Program'!$H$25),'Bonding Program'!$T$25-'Bonding Program'!$U$25-'Bonding Program'!$Z$25,0)-IF(AND('Bonding Program'!$S$25=1,'Bonding Program'!$H$25&lt;='Bonding Program'!$C$8,CN$3=IF('Bonding Program'!$P$25&lt;&gt;"",'Bonding Program'!$P$25,'Bonding Program'!$C$8)),'Bonding Program'!$Z$25,0)+IF(AND('Bonding Program'!$P$25&lt;&gt;"",CN$3='Bonding Program'!$P$25,CN$3&lt;='Bonding Program'!$C$8),N('Bonding Program'!$O$25),0)</f>
        <v>0</v>
      </c>
      <c r="CO166" s="19" t="n">
        <f aca="false">IF(AND('Bonding Program'!$S$25=1,'Bonding Program'!$H$25&gt;'Bonding Program'!$C$8,CO$3='Bonding Program'!$H$25),'Bonding Program'!$T$25-'Bonding Program'!$U$25-'Bonding Program'!$Z$25,0)-IF(AND('Bonding Program'!$S$25=1,'Bonding Program'!$H$25&lt;='Bonding Program'!$C$8,CO$3=IF('Bonding Program'!$P$25&lt;&gt;"",'Bonding Program'!$P$25,'Bonding Program'!$C$8)),'Bonding Program'!$Z$25,0)+IF(AND('Bonding Program'!$P$25&lt;&gt;"",CO$3='Bonding Program'!$P$25,CO$3&lt;='Bonding Program'!$C$8),N('Bonding Program'!$O$25),0)</f>
        <v>0</v>
      </c>
      <c r="CP166" s="19" t="n">
        <f aca="false">IF(AND('Bonding Program'!$S$25=1,'Bonding Program'!$H$25&gt;'Bonding Program'!$C$8,CP$3='Bonding Program'!$H$25),'Bonding Program'!$T$25-'Bonding Program'!$U$25-'Bonding Program'!$Z$25,0)-IF(AND('Bonding Program'!$S$25=1,'Bonding Program'!$H$25&lt;='Bonding Program'!$C$8,CP$3=IF('Bonding Program'!$P$25&lt;&gt;"",'Bonding Program'!$P$25,'Bonding Program'!$C$8)),'Bonding Program'!$Z$25,0)+IF(AND('Bonding Program'!$P$25&lt;&gt;"",CP$3='Bonding Program'!$P$25,CP$3&lt;='Bonding Program'!$C$8),N('Bonding Program'!$O$25),0)</f>
        <v>0</v>
      </c>
      <c r="CQ166" s="19" t="n">
        <f aca="false">IF(AND('Bonding Program'!$S$25=1,'Bonding Program'!$H$25&gt;'Bonding Program'!$C$8,CQ$3='Bonding Program'!$H$25),'Bonding Program'!$T$25-'Bonding Program'!$U$25-'Bonding Program'!$Z$25,0)-IF(AND('Bonding Program'!$S$25=1,'Bonding Program'!$H$25&lt;='Bonding Program'!$C$8,CQ$3=IF('Bonding Program'!$P$25&lt;&gt;"",'Bonding Program'!$P$25,'Bonding Program'!$C$8)),'Bonding Program'!$Z$25,0)+IF(AND('Bonding Program'!$P$25&lt;&gt;"",CQ$3='Bonding Program'!$P$25,CQ$3&lt;='Bonding Program'!$C$8),N('Bonding Program'!$O$25),0)</f>
        <v>0</v>
      </c>
      <c r="CR166" s="19" t="n">
        <f aca="false">IF(AND('Bonding Program'!$S$25=1,'Bonding Program'!$H$25&gt;'Bonding Program'!$C$8,CR$3='Bonding Program'!$H$25),'Bonding Program'!$T$25-'Bonding Program'!$U$25-'Bonding Program'!$Z$25,0)-IF(AND('Bonding Program'!$S$25=1,'Bonding Program'!$H$25&lt;='Bonding Program'!$C$8,CR$3=IF('Bonding Program'!$P$25&lt;&gt;"",'Bonding Program'!$P$25,'Bonding Program'!$C$8)),'Bonding Program'!$Z$25,0)+IF(AND('Bonding Program'!$P$25&lt;&gt;"",CR$3='Bonding Program'!$P$25,CR$3&lt;='Bonding Program'!$C$8),N('Bonding Program'!$O$25),0)</f>
        <v>0</v>
      </c>
      <c r="CS166" s="19" t="n">
        <f aca="false">IF(AND('Bonding Program'!$S$25=1,'Bonding Program'!$H$25&gt;'Bonding Program'!$C$8,CS$3='Bonding Program'!$H$25),'Bonding Program'!$T$25-'Bonding Program'!$U$25-'Bonding Program'!$Z$25,0)-IF(AND('Bonding Program'!$S$25=1,'Bonding Program'!$H$25&lt;='Bonding Program'!$C$8,CS$3=IF('Bonding Program'!$P$25&lt;&gt;"",'Bonding Program'!$P$25,'Bonding Program'!$C$8)),'Bonding Program'!$Z$25,0)+IF(AND('Bonding Program'!$P$25&lt;&gt;"",CS$3='Bonding Program'!$P$25,CS$3&lt;='Bonding Program'!$C$8),N('Bonding Program'!$O$25),0)</f>
        <v>0</v>
      </c>
      <c r="CT166" s="19" t="n">
        <f aca="false">IF(AND('Bonding Program'!$S$25=1,'Bonding Program'!$H$25&gt;'Bonding Program'!$C$8,CT$3='Bonding Program'!$H$25),'Bonding Program'!$T$25-'Bonding Program'!$U$25-'Bonding Program'!$Z$25,0)-IF(AND('Bonding Program'!$S$25=1,'Bonding Program'!$H$25&lt;='Bonding Program'!$C$8,CT$3=IF('Bonding Program'!$P$25&lt;&gt;"",'Bonding Program'!$P$25,'Bonding Program'!$C$8)),'Bonding Program'!$Z$25,0)+IF(AND('Bonding Program'!$P$25&lt;&gt;"",CT$3='Bonding Program'!$P$25,CT$3&lt;='Bonding Program'!$C$8),N('Bonding Program'!$O$25),0)</f>
        <v>0</v>
      </c>
      <c r="CU166" s="19" t="n">
        <f aca="false">IF(AND('Bonding Program'!$S$25=1,'Bonding Program'!$H$25&gt;'Bonding Program'!$C$8,CU$3='Bonding Program'!$H$25),'Bonding Program'!$T$25-'Bonding Program'!$U$25-'Bonding Program'!$Z$25,0)-IF(AND('Bonding Program'!$S$25=1,'Bonding Program'!$H$25&lt;='Bonding Program'!$C$8,CU$3=IF('Bonding Program'!$P$25&lt;&gt;"",'Bonding Program'!$P$25,'Bonding Program'!$C$8)),'Bonding Program'!$Z$25,0)+IF(AND('Bonding Program'!$P$25&lt;&gt;"",CU$3='Bonding Program'!$P$25,CU$3&lt;='Bonding Program'!$C$8),N('Bonding Program'!$O$25),0)</f>
        <v>0</v>
      </c>
      <c r="CV166" s="19" t="n">
        <f aca="false">IF(AND('Bonding Program'!$S$25=1,'Bonding Program'!$H$25&gt;'Bonding Program'!$C$8,CV$3='Bonding Program'!$H$25),'Bonding Program'!$T$25-'Bonding Program'!$U$25-'Bonding Program'!$Z$25,0)-IF(AND('Bonding Program'!$S$25=1,'Bonding Program'!$H$25&lt;='Bonding Program'!$C$8,CV$3=IF('Bonding Program'!$P$25&lt;&gt;"",'Bonding Program'!$P$25,'Bonding Program'!$C$8)),'Bonding Program'!$Z$25,0)+IF(AND('Bonding Program'!$P$25&lt;&gt;"",CV$3='Bonding Program'!$P$25,CV$3&lt;='Bonding Program'!$C$8),N('Bonding Program'!$O$25),0)</f>
        <v>0</v>
      </c>
      <c r="CW166" s="19" t="n">
        <f aca="false">IF(AND('Bonding Program'!$S$25=1,'Bonding Program'!$H$25&gt;'Bonding Program'!$C$8,CW$3='Bonding Program'!$H$25),'Bonding Program'!$T$25-'Bonding Program'!$U$25-'Bonding Program'!$Z$25,0)-IF(AND('Bonding Program'!$S$25=1,'Bonding Program'!$H$25&lt;='Bonding Program'!$C$8,CW$3=IF('Bonding Program'!$P$25&lt;&gt;"",'Bonding Program'!$P$25,'Bonding Program'!$C$8)),'Bonding Program'!$Z$25,0)+IF(AND('Bonding Program'!$P$25&lt;&gt;"",CW$3='Bonding Program'!$P$25,CW$3&lt;='Bonding Program'!$C$8),N('Bonding Program'!$O$25),0)</f>
        <v>0</v>
      </c>
      <c r="CX166" s="19" t="n">
        <f aca="false">IF(AND('Bonding Program'!$S$25=1,'Bonding Program'!$H$25&gt;'Bonding Program'!$C$8,CX$3='Bonding Program'!$H$25),'Bonding Program'!$T$25-'Bonding Program'!$U$25-'Bonding Program'!$Z$25,0)-IF(AND('Bonding Program'!$S$25=1,'Bonding Program'!$H$25&lt;='Bonding Program'!$C$8,CX$3=IF('Bonding Program'!$P$25&lt;&gt;"",'Bonding Program'!$P$25,'Bonding Program'!$C$8)),'Bonding Program'!$Z$25,0)+IF(AND('Bonding Program'!$P$25&lt;&gt;"",CX$3='Bonding Program'!$P$25,CX$3&lt;='Bonding Program'!$C$8),N('Bonding Program'!$O$25),0)</f>
        <v>0</v>
      </c>
      <c r="CY166" s="19" t="n">
        <f aca="false">IF(AND('Bonding Program'!$S$25=1,'Bonding Program'!$H$25&gt;'Bonding Program'!$C$8,CY$3='Bonding Program'!$H$25),'Bonding Program'!$T$25-'Bonding Program'!$U$25-'Bonding Program'!$Z$25,0)-IF(AND('Bonding Program'!$S$25=1,'Bonding Program'!$H$25&lt;='Bonding Program'!$C$8,CY$3=IF('Bonding Program'!$P$25&lt;&gt;"",'Bonding Program'!$P$25,'Bonding Program'!$C$8)),'Bonding Program'!$Z$25,0)+IF(AND('Bonding Program'!$P$25&lt;&gt;"",CY$3='Bonding Program'!$P$25,CY$3&lt;='Bonding Program'!$C$8),N('Bonding Program'!$O$25),0)</f>
        <v>0</v>
      </c>
      <c r="CZ166" s="19" t="n">
        <f aca="false">IF(AND('Bonding Program'!$S$25=1,'Bonding Program'!$H$25&gt;'Bonding Program'!$C$8,CZ$3='Bonding Program'!$H$25),'Bonding Program'!$T$25-'Bonding Program'!$U$25-'Bonding Program'!$Z$25,0)-IF(AND('Bonding Program'!$S$25=1,'Bonding Program'!$H$25&lt;='Bonding Program'!$C$8,CZ$3=IF('Bonding Program'!$P$25&lt;&gt;"",'Bonding Program'!$P$25,'Bonding Program'!$C$8)),'Bonding Program'!$Z$25,0)+IF(AND('Bonding Program'!$P$25&lt;&gt;"",CZ$3='Bonding Program'!$P$25,CZ$3&lt;='Bonding Program'!$C$8),N('Bonding Program'!$O$25),0)</f>
        <v>0</v>
      </c>
      <c r="DA166" s="19" t="n">
        <f aca="false">IF(AND('Bonding Program'!$S$25=1,'Bonding Program'!$H$25&gt;'Bonding Program'!$C$8,DA$3='Bonding Program'!$H$25),'Bonding Program'!$T$25-'Bonding Program'!$U$25-'Bonding Program'!$Z$25,0)-IF(AND('Bonding Program'!$S$25=1,'Bonding Program'!$H$25&lt;='Bonding Program'!$C$8,DA$3=IF('Bonding Program'!$P$25&lt;&gt;"",'Bonding Program'!$P$25,'Bonding Program'!$C$8)),'Bonding Program'!$Z$25,0)+IF(AND('Bonding Program'!$P$25&lt;&gt;"",DA$3='Bonding Program'!$P$25,DA$3&lt;='Bonding Program'!$C$8),N('Bonding Program'!$O$25),0)</f>
        <v>0</v>
      </c>
      <c r="DB166" s="19" t="n">
        <f aca="false">IF(AND('Bonding Program'!$S$25=1,'Bonding Program'!$H$25&gt;'Bonding Program'!$C$8,DB$3='Bonding Program'!$H$25),'Bonding Program'!$T$25-'Bonding Program'!$U$25-'Bonding Program'!$Z$25,0)-IF(AND('Bonding Program'!$S$25=1,'Bonding Program'!$H$25&lt;='Bonding Program'!$C$8,DB$3=IF('Bonding Program'!$P$25&lt;&gt;"",'Bonding Program'!$P$25,'Bonding Program'!$C$8)),'Bonding Program'!$Z$25,0)+IF(AND('Bonding Program'!$P$25&lt;&gt;"",DB$3='Bonding Program'!$P$25,DB$3&lt;='Bonding Program'!$C$8),N('Bonding Program'!$O$25),0)</f>
        <v>0</v>
      </c>
      <c r="DC166" s="19" t="n">
        <f aca="false">IF(AND('Bonding Program'!$S$25=1,'Bonding Program'!$H$25&gt;'Bonding Program'!$C$8,DC$3='Bonding Program'!$H$25),'Bonding Program'!$T$25-'Bonding Program'!$U$25-'Bonding Program'!$Z$25,0)-IF(AND('Bonding Program'!$S$25=1,'Bonding Program'!$H$25&lt;='Bonding Program'!$C$8,DC$3=IF('Bonding Program'!$P$25&lt;&gt;"",'Bonding Program'!$P$25,'Bonding Program'!$C$8)),'Bonding Program'!$Z$25,0)+IF(AND('Bonding Program'!$P$25&lt;&gt;"",DC$3='Bonding Program'!$P$25,DC$3&lt;='Bonding Program'!$C$8),N('Bonding Program'!$O$25),0)</f>
        <v>0</v>
      </c>
      <c r="DD166" s="19" t="n">
        <f aca="false">IF(AND('Bonding Program'!$S$25=1,'Bonding Program'!$H$25&gt;'Bonding Program'!$C$8,DD$3='Bonding Program'!$H$25),'Bonding Program'!$T$25-'Bonding Program'!$U$25-'Bonding Program'!$Z$25,0)-IF(AND('Bonding Program'!$S$25=1,'Bonding Program'!$H$25&lt;='Bonding Program'!$C$8,DD$3=IF('Bonding Program'!$P$25&lt;&gt;"",'Bonding Program'!$P$25,'Bonding Program'!$C$8)),'Bonding Program'!$Z$25,0)+IF(AND('Bonding Program'!$P$25&lt;&gt;"",DD$3='Bonding Program'!$P$25,DD$3&lt;='Bonding Program'!$C$8),N('Bonding Program'!$O$25),0)</f>
        <v>0</v>
      </c>
      <c r="DE166" s="19" t="n">
        <f aca="false">IF(AND('Bonding Program'!$S$25=1,'Bonding Program'!$H$25&gt;'Bonding Program'!$C$8,DE$3='Bonding Program'!$H$25),'Bonding Program'!$T$25-'Bonding Program'!$U$25-'Bonding Program'!$Z$25,0)-IF(AND('Bonding Program'!$S$25=1,'Bonding Program'!$H$25&lt;='Bonding Program'!$C$8,DE$3=IF('Bonding Program'!$P$25&lt;&gt;"",'Bonding Program'!$P$25,'Bonding Program'!$C$8)),'Bonding Program'!$Z$25,0)+IF(AND('Bonding Program'!$P$25&lt;&gt;"",DE$3='Bonding Program'!$P$25,DE$3&lt;='Bonding Program'!$C$8),N('Bonding Program'!$O$25),0)</f>
        <v>0</v>
      </c>
    </row>
    <row r="167" customFormat="false" ht="15" hidden="false" customHeight="true" outlineLevel="1" collapsed="false">
      <c r="A167" s="28" t="s">
        <v>22</v>
      </c>
      <c r="B167" s="19" t="n">
        <f aca="false">IF(AND('Bonding Program'!$S$26=1,'Bonding Program'!$H$26&gt;'Bonding Program'!$C$8,B$3='Bonding Program'!$H$26),'Bonding Program'!$T$26-'Bonding Program'!$U$26-'Bonding Program'!$Z$26,0)-IF(AND('Bonding Program'!$S$26=1,'Bonding Program'!$H$26&lt;='Bonding Program'!$C$8,B$3=IF('Bonding Program'!$P$26&lt;&gt;"",'Bonding Program'!$P$26,'Bonding Program'!$C$8)),'Bonding Program'!$Z$26,0)+IF(AND('Bonding Program'!$P$26&lt;&gt;"",B$3='Bonding Program'!$P$26,B$3&lt;='Bonding Program'!$C$8),N('Bonding Program'!$O$26),0)</f>
        <v>0</v>
      </c>
      <c r="C167" s="19" t="n">
        <f aca="false">IF(AND('Bonding Program'!$S$26=1,'Bonding Program'!$H$26&gt;'Bonding Program'!$C$8,C$3='Bonding Program'!$H$26),'Bonding Program'!$T$26-'Bonding Program'!$U$26-'Bonding Program'!$Z$26,0)-IF(AND('Bonding Program'!$S$26=1,'Bonding Program'!$H$26&lt;='Bonding Program'!$C$8,C$3=IF('Bonding Program'!$P$26&lt;&gt;"",'Bonding Program'!$P$26,'Bonding Program'!$C$8)),'Bonding Program'!$Z$26,0)+IF(AND('Bonding Program'!$P$26&lt;&gt;"",C$3='Bonding Program'!$P$26,C$3&lt;='Bonding Program'!$C$8),N('Bonding Program'!$O$26),0)</f>
        <v>0</v>
      </c>
      <c r="D167" s="19" t="n">
        <f aca="false">IF(AND('Bonding Program'!$S$26=1,'Bonding Program'!$H$26&gt;'Bonding Program'!$C$8,D$3='Bonding Program'!$H$26),'Bonding Program'!$T$26-'Bonding Program'!$U$26-'Bonding Program'!$Z$26,0)-IF(AND('Bonding Program'!$S$26=1,'Bonding Program'!$H$26&lt;='Bonding Program'!$C$8,D$3=IF('Bonding Program'!$P$26&lt;&gt;"",'Bonding Program'!$P$26,'Bonding Program'!$C$8)),'Bonding Program'!$Z$26,0)+IF(AND('Bonding Program'!$P$26&lt;&gt;"",D$3='Bonding Program'!$P$26,D$3&lt;='Bonding Program'!$C$8),N('Bonding Program'!$O$26),0)</f>
        <v>0</v>
      </c>
      <c r="E167" s="19" t="n">
        <f aca="false">IF(AND('Bonding Program'!$S$26=1,'Bonding Program'!$H$26&gt;'Bonding Program'!$C$8,E$3='Bonding Program'!$H$26),'Bonding Program'!$T$26-'Bonding Program'!$U$26-'Bonding Program'!$Z$26,0)-IF(AND('Bonding Program'!$S$26=1,'Bonding Program'!$H$26&lt;='Bonding Program'!$C$8,E$3=IF('Bonding Program'!$P$26&lt;&gt;"",'Bonding Program'!$P$26,'Bonding Program'!$C$8)),'Bonding Program'!$Z$26,0)+IF(AND('Bonding Program'!$P$26&lt;&gt;"",E$3='Bonding Program'!$P$26,E$3&lt;='Bonding Program'!$C$8),N('Bonding Program'!$O$26),0)</f>
        <v>0</v>
      </c>
      <c r="F167" s="19" t="n">
        <f aca="false">IF(AND('Bonding Program'!$S$26=1,'Bonding Program'!$H$26&gt;'Bonding Program'!$C$8,F$3='Bonding Program'!$H$26),'Bonding Program'!$T$26-'Bonding Program'!$U$26-'Bonding Program'!$Z$26,0)-IF(AND('Bonding Program'!$S$26=1,'Bonding Program'!$H$26&lt;='Bonding Program'!$C$8,F$3=IF('Bonding Program'!$P$26&lt;&gt;"",'Bonding Program'!$P$26,'Bonding Program'!$C$8)),'Bonding Program'!$Z$26,0)+IF(AND('Bonding Program'!$P$26&lt;&gt;"",F$3='Bonding Program'!$P$26,F$3&lt;='Bonding Program'!$C$8),N('Bonding Program'!$O$26),0)</f>
        <v>0</v>
      </c>
      <c r="G167" s="19" t="n">
        <f aca="false">IF(AND('Bonding Program'!$S$26=1,'Bonding Program'!$H$26&gt;'Bonding Program'!$C$8,G$3='Bonding Program'!$H$26),'Bonding Program'!$T$26-'Bonding Program'!$U$26-'Bonding Program'!$Z$26,0)-IF(AND('Bonding Program'!$S$26=1,'Bonding Program'!$H$26&lt;='Bonding Program'!$C$8,G$3=IF('Bonding Program'!$P$26&lt;&gt;"",'Bonding Program'!$P$26,'Bonding Program'!$C$8)),'Bonding Program'!$Z$26,0)+IF(AND('Bonding Program'!$P$26&lt;&gt;"",G$3='Bonding Program'!$P$26,G$3&lt;='Bonding Program'!$C$8),N('Bonding Program'!$O$26),0)</f>
        <v>0</v>
      </c>
      <c r="H167" s="19" t="n">
        <f aca="false">IF(AND('Bonding Program'!$S$26=1,'Bonding Program'!$H$26&gt;'Bonding Program'!$C$8,H$3='Bonding Program'!$H$26),'Bonding Program'!$T$26-'Bonding Program'!$U$26-'Bonding Program'!$Z$26,0)-IF(AND('Bonding Program'!$S$26=1,'Bonding Program'!$H$26&lt;='Bonding Program'!$C$8,H$3=IF('Bonding Program'!$P$26&lt;&gt;"",'Bonding Program'!$P$26,'Bonding Program'!$C$8)),'Bonding Program'!$Z$26,0)+IF(AND('Bonding Program'!$P$26&lt;&gt;"",H$3='Bonding Program'!$P$26,H$3&lt;='Bonding Program'!$C$8),N('Bonding Program'!$O$26),0)</f>
        <v>0</v>
      </c>
      <c r="I167" s="19" t="n">
        <f aca="false">IF(AND('Bonding Program'!$S$26=1,'Bonding Program'!$H$26&gt;'Bonding Program'!$C$8,I$3='Bonding Program'!$H$26),'Bonding Program'!$T$26-'Bonding Program'!$U$26-'Bonding Program'!$Z$26,0)-IF(AND('Bonding Program'!$S$26=1,'Bonding Program'!$H$26&lt;='Bonding Program'!$C$8,I$3=IF('Bonding Program'!$P$26&lt;&gt;"",'Bonding Program'!$P$26,'Bonding Program'!$C$8)),'Bonding Program'!$Z$26,0)+IF(AND('Bonding Program'!$P$26&lt;&gt;"",I$3='Bonding Program'!$P$26,I$3&lt;='Bonding Program'!$C$8),N('Bonding Program'!$O$26),0)</f>
        <v>0</v>
      </c>
      <c r="J167" s="19" t="n">
        <f aca="false">IF(AND('Bonding Program'!$S$26=1,'Bonding Program'!$H$26&gt;'Bonding Program'!$C$8,J$3='Bonding Program'!$H$26),'Bonding Program'!$T$26-'Bonding Program'!$U$26-'Bonding Program'!$Z$26,0)-IF(AND('Bonding Program'!$S$26=1,'Bonding Program'!$H$26&lt;='Bonding Program'!$C$8,J$3=IF('Bonding Program'!$P$26&lt;&gt;"",'Bonding Program'!$P$26,'Bonding Program'!$C$8)),'Bonding Program'!$Z$26,0)+IF(AND('Bonding Program'!$P$26&lt;&gt;"",J$3='Bonding Program'!$P$26,J$3&lt;='Bonding Program'!$C$8),N('Bonding Program'!$O$26),0)</f>
        <v>0</v>
      </c>
      <c r="K167" s="19" t="n">
        <f aca="false">IF(AND('Bonding Program'!$S$26=1,'Bonding Program'!$H$26&gt;'Bonding Program'!$C$8,K$3='Bonding Program'!$H$26),'Bonding Program'!$T$26-'Bonding Program'!$U$26-'Bonding Program'!$Z$26,0)-IF(AND('Bonding Program'!$S$26=1,'Bonding Program'!$H$26&lt;='Bonding Program'!$C$8,K$3=IF('Bonding Program'!$P$26&lt;&gt;"",'Bonding Program'!$P$26,'Bonding Program'!$C$8)),'Bonding Program'!$Z$26,0)+IF(AND('Bonding Program'!$P$26&lt;&gt;"",K$3='Bonding Program'!$P$26,K$3&lt;='Bonding Program'!$C$8),N('Bonding Program'!$O$26),0)</f>
        <v>0</v>
      </c>
      <c r="L167" s="19" t="n">
        <f aca="false">IF(AND('Bonding Program'!$S$26=1,'Bonding Program'!$H$26&gt;'Bonding Program'!$C$8,L$3='Bonding Program'!$H$26),'Bonding Program'!$T$26-'Bonding Program'!$U$26-'Bonding Program'!$Z$26,0)-IF(AND('Bonding Program'!$S$26=1,'Bonding Program'!$H$26&lt;='Bonding Program'!$C$8,L$3=IF('Bonding Program'!$P$26&lt;&gt;"",'Bonding Program'!$P$26,'Bonding Program'!$C$8)),'Bonding Program'!$Z$26,0)+IF(AND('Bonding Program'!$P$26&lt;&gt;"",L$3='Bonding Program'!$P$26,L$3&lt;='Bonding Program'!$C$8),N('Bonding Program'!$O$26),0)</f>
        <v>0</v>
      </c>
      <c r="M167" s="19" t="n">
        <f aca="false">IF(AND('Bonding Program'!$S$26=1,'Bonding Program'!$H$26&gt;'Bonding Program'!$C$8,M$3='Bonding Program'!$H$26),'Bonding Program'!$T$26-'Bonding Program'!$U$26-'Bonding Program'!$Z$26,0)-IF(AND('Bonding Program'!$S$26=1,'Bonding Program'!$H$26&lt;='Bonding Program'!$C$8,M$3=IF('Bonding Program'!$P$26&lt;&gt;"",'Bonding Program'!$P$26,'Bonding Program'!$C$8)),'Bonding Program'!$Z$26,0)+IF(AND('Bonding Program'!$P$26&lt;&gt;"",M$3='Bonding Program'!$P$26,M$3&lt;='Bonding Program'!$C$8),N('Bonding Program'!$O$26),0)</f>
        <v>0</v>
      </c>
      <c r="N167" s="19" t="n">
        <f aca="false">IF(AND('Bonding Program'!$S$26=1,'Bonding Program'!$H$26&gt;'Bonding Program'!$C$8,N$3='Bonding Program'!$H$26),'Bonding Program'!$T$26-'Bonding Program'!$U$26-'Bonding Program'!$Z$26,0)-IF(AND('Bonding Program'!$S$26=1,'Bonding Program'!$H$26&lt;='Bonding Program'!$C$8,N$3=IF('Bonding Program'!$P$26&lt;&gt;"",'Bonding Program'!$P$26,'Bonding Program'!$C$8)),'Bonding Program'!$Z$26,0)+IF(AND('Bonding Program'!$P$26&lt;&gt;"",N$3='Bonding Program'!$P$26,N$3&lt;='Bonding Program'!$C$8),N('Bonding Program'!$O$26),0)</f>
        <v>0</v>
      </c>
      <c r="O167" s="19" t="n">
        <f aca="false">IF(AND('Bonding Program'!$S$26=1,'Bonding Program'!$H$26&gt;'Bonding Program'!$C$8,O$3='Bonding Program'!$H$26),'Bonding Program'!$T$26-'Bonding Program'!$U$26-'Bonding Program'!$Z$26,0)-IF(AND('Bonding Program'!$S$26=1,'Bonding Program'!$H$26&lt;='Bonding Program'!$C$8,O$3=IF('Bonding Program'!$P$26&lt;&gt;"",'Bonding Program'!$P$26,'Bonding Program'!$C$8)),'Bonding Program'!$Z$26,0)+IF(AND('Bonding Program'!$P$26&lt;&gt;"",O$3='Bonding Program'!$P$26,O$3&lt;='Bonding Program'!$C$8),N('Bonding Program'!$O$26),0)</f>
        <v>0</v>
      </c>
      <c r="P167" s="19" t="n">
        <f aca="false">IF(AND('Bonding Program'!$S$26=1,'Bonding Program'!$H$26&gt;'Bonding Program'!$C$8,P$3='Bonding Program'!$H$26),'Bonding Program'!$T$26-'Bonding Program'!$U$26-'Bonding Program'!$Z$26,0)-IF(AND('Bonding Program'!$S$26=1,'Bonding Program'!$H$26&lt;='Bonding Program'!$C$8,P$3=IF('Bonding Program'!$P$26&lt;&gt;"",'Bonding Program'!$P$26,'Bonding Program'!$C$8)),'Bonding Program'!$Z$26,0)+IF(AND('Bonding Program'!$P$26&lt;&gt;"",P$3='Bonding Program'!$P$26,P$3&lt;='Bonding Program'!$C$8),N('Bonding Program'!$O$26),0)</f>
        <v>0</v>
      </c>
      <c r="Q167" s="19" t="n">
        <f aca="false">IF(AND('Bonding Program'!$S$26=1,'Bonding Program'!$H$26&gt;'Bonding Program'!$C$8,Q$3='Bonding Program'!$H$26),'Bonding Program'!$T$26-'Bonding Program'!$U$26-'Bonding Program'!$Z$26,0)-IF(AND('Bonding Program'!$S$26=1,'Bonding Program'!$H$26&lt;='Bonding Program'!$C$8,Q$3=IF('Bonding Program'!$P$26&lt;&gt;"",'Bonding Program'!$P$26,'Bonding Program'!$C$8)),'Bonding Program'!$Z$26,0)+IF(AND('Bonding Program'!$P$26&lt;&gt;"",Q$3='Bonding Program'!$P$26,Q$3&lt;='Bonding Program'!$C$8),N('Bonding Program'!$O$26),0)</f>
        <v>0</v>
      </c>
      <c r="R167" s="19" t="n">
        <f aca="false">IF(AND('Bonding Program'!$S$26=1,'Bonding Program'!$H$26&gt;'Bonding Program'!$C$8,R$3='Bonding Program'!$H$26),'Bonding Program'!$T$26-'Bonding Program'!$U$26-'Bonding Program'!$Z$26,0)-IF(AND('Bonding Program'!$S$26=1,'Bonding Program'!$H$26&lt;='Bonding Program'!$C$8,R$3=IF('Bonding Program'!$P$26&lt;&gt;"",'Bonding Program'!$P$26,'Bonding Program'!$C$8)),'Bonding Program'!$Z$26,0)+IF(AND('Bonding Program'!$P$26&lt;&gt;"",R$3='Bonding Program'!$P$26,R$3&lt;='Bonding Program'!$C$8),N('Bonding Program'!$O$26),0)</f>
        <v>0</v>
      </c>
      <c r="S167" s="19" t="n">
        <f aca="false">IF(AND('Bonding Program'!$S$26=1,'Bonding Program'!$H$26&gt;'Bonding Program'!$C$8,S$3='Bonding Program'!$H$26),'Bonding Program'!$T$26-'Bonding Program'!$U$26-'Bonding Program'!$Z$26,0)-IF(AND('Bonding Program'!$S$26=1,'Bonding Program'!$H$26&lt;='Bonding Program'!$C$8,S$3=IF('Bonding Program'!$P$26&lt;&gt;"",'Bonding Program'!$P$26,'Bonding Program'!$C$8)),'Bonding Program'!$Z$26,0)+IF(AND('Bonding Program'!$P$26&lt;&gt;"",S$3='Bonding Program'!$P$26,S$3&lt;='Bonding Program'!$C$8),N('Bonding Program'!$O$26),0)</f>
        <v>0</v>
      </c>
      <c r="T167" s="19" t="n">
        <f aca="false">IF(AND('Bonding Program'!$S$26=1,'Bonding Program'!$H$26&gt;'Bonding Program'!$C$8,T$3='Bonding Program'!$H$26),'Bonding Program'!$T$26-'Bonding Program'!$U$26-'Bonding Program'!$Z$26,0)-IF(AND('Bonding Program'!$S$26=1,'Bonding Program'!$H$26&lt;='Bonding Program'!$C$8,T$3=IF('Bonding Program'!$P$26&lt;&gt;"",'Bonding Program'!$P$26,'Bonding Program'!$C$8)),'Bonding Program'!$Z$26,0)+IF(AND('Bonding Program'!$P$26&lt;&gt;"",T$3='Bonding Program'!$P$26,T$3&lt;='Bonding Program'!$C$8),N('Bonding Program'!$O$26),0)</f>
        <v>-326836.756046798</v>
      </c>
      <c r="U167" s="19" t="n">
        <f aca="false">IF(AND('Bonding Program'!$S$26=1,'Bonding Program'!$H$26&gt;'Bonding Program'!$C$8,U$3='Bonding Program'!$H$26),'Bonding Program'!$T$26-'Bonding Program'!$U$26-'Bonding Program'!$Z$26,0)-IF(AND('Bonding Program'!$S$26=1,'Bonding Program'!$H$26&lt;='Bonding Program'!$C$8,U$3=IF('Bonding Program'!$P$26&lt;&gt;"",'Bonding Program'!$P$26,'Bonding Program'!$C$8)),'Bonding Program'!$Z$26,0)+IF(AND('Bonding Program'!$P$26&lt;&gt;"",U$3='Bonding Program'!$P$26,U$3&lt;='Bonding Program'!$C$8),N('Bonding Program'!$O$26),0)</f>
        <v>0</v>
      </c>
      <c r="V167" s="19" t="n">
        <f aca="false">IF(AND('Bonding Program'!$S$26=1,'Bonding Program'!$H$26&gt;'Bonding Program'!$C$8,V$3='Bonding Program'!$H$26),'Bonding Program'!$T$26-'Bonding Program'!$U$26-'Bonding Program'!$Z$26,0)-IF(AND('Bonding Program'!$S$26=1,'Bonding Program'!$H$26&lt;='Bonding Program'!$C$8,V$3=IF('Bonding Program'!$P$26&lt;&gt;"",'Bonding Program'!$P$26,'Bonding Program'!$C$8)),'Bonding Program'!$Z$26,0)+IF(AND('Bonding Program'!$P$26&lt;&gt;"",V$3='Bonding Program'!$P$26,V$3&lt;='Bonding Program'!$C$8),N('Bonding Program'!$O$26),0)</f>
        <v>0</v>
      </c>
      <c r="W167" s="19" t="n">
        <f aca="false">IF(AND('Bonding Program'!$S$26=1,'Bonding Program'!$H$26&gt;'Bonding Program'!$C$8,W$3='Bonding Program'!$H$26),'Bonding Program'!$T$26-'Bonding Program'!$U$26-'Bonding Program'!$Z$26,0)-IF(AND('Bonding Program'!$S$26=1,'Bonding Program'!$H$26&lt;='Bonding Program'!$C$8,W$3=IF('Bonding Program'!$P$26&lt;&gt;"",'Bonding Program'!$P$26,'Bonding Program'!$C$8)),'Bonding Program'!$Z$26,0)+IF(AND('Bonding Program'!$P$26&lt;&gt;"",W$3='Bonding Program'!$P$26,W$3&lt;='Bonding Program'!$C$8),N('Bonding Program'!$O$26),0)</f>
        <v>0</v>
      </c>
      <c r="X167" s="19" t="n">
        <f aca="false">IF(AND('Bonding Program'!$S$26=1,'Bonding Program'!$H$26&gt;'Bonding Program'!$C$8,X$3='Bonding Program'!$H$26),'Bonding Program'!$T$26-'Bonding Program'!$U$26-'Bonding Program'!$Z$26,0)-IF(AND('Bonding Program'!$S$26=1,'Bonding Program'!$H$26&lt;='Bonding Program'!$C$8,X$3=IF('Bonding Program'!$P$26&lt;&gt;"",'Bonding Program'!$P$26,'Bonding Program'!$C$8)),'Bonding Program'!$Z$26,0)+IF(AND('Bonding Program'!$P$26&lt;&gt;"",X$3='Bonding Program'!$P$26,X$3&lt;='Bonding Program'!$C$8),N('Bonding Program'!$O$26),0)</f>
        <v>0</v>
      </c>
      <c r="Y167" s="19" t="n">
        <f aca="false">IF(AND('Bonding Program'!$S$26=1,'Bonding Program'!$H$26&gt;'Bonding Program'!$C$8,Y$3='Bonding Program'!$H$26),'Bonding Program'!$T$26-'Bonding Program'!$U$26-'Bonding Program'!$Z$26,0)-IF(AND('Bonding Program'!$S$26=1,'Bonding Program'!$H$26&lt;='Bonding Program'!$C$8,Y$3=IF('Bonding Program'!$P$26&lt;&gt;"",'Bonding Program'!$P$26,'Bonding Program'!$C$8)),'Bonding Program'!$Z$26,0)+IF(AND('Bonding Program'!$P$26&lt;&gt;"",Y$3='Bonding Program'!$P$26,Y$3&lt;='Bonding Program'!$C$8),N('Bonding Program'!$O$26),0)</f>
        <v>0</v>
      </c>
      <c r="Z167" s="19" t="n">
        <f aca="false">IF(AND('Bonding Program'!$S$26=1,'Bonding Program'!$H$26&gt;'Bonding Program'!$C$8,Z$3='Bonding Program'!$H$26),'Bonding Program'!$T$26-'Bonding Program'!$U$26-'Bonding Program'!$Z$26,0)-IF(AND('Bonding Program'!$S$26=1,'Bonding Program'!$H$26&lt;='Bonding Program'!$C$8,Z$3=IF('Bonding Program'!$P$26&lt;&gt;"",'Bonding Program'!$P$26,'Bonding Program'!$C$8)),'Bonding Program'!$Z$26,0)+IF(AND('Bonding Program'!$P$26&lt;&gt;"",Z$3='Bonding Program'!$P$26,Z$3&lt;='Bonding Program'!$C$8),N('Bonding Program'!$O$26),0)</f>
        <v>0</v>
      </c>
      <c r="AA167" s="19" t="n">
        <f aca="false">IF(AND('Bonding Program'!$S$26=1,'Bonding Program'!$H$26&gt;'Bonding Program'!$C$8,AA$3='Bonding Program'!$H$26),'Bonding Program'!$T$26-'Bonding Program'!$U$26-'Bonding Program'!$Z$26,0)-IF(AND('Bonding Program'!$S$26=1,'Bonding Program'!$H$26&lt;='Bonding Program'!$C$8,AA$3=IF('Bonding Program'!$P$26&lt;&gt;"",'Bonding Program'!$P$26,'Bonding Program'!$C$8)),'Bonding Program'!$Z$26,0)+IF(AND('Bonding Program'!$P$26&lt;&gt;"",AA$3='Bonding Program'!$P$26,AA$3&lt;='Bonding Program'!$C$8),N('Bonding Program'!$O$26),0)</f>
        <v>0</v>
      </c>
      <c r="AB167" s="19" t="n">
        <f aca="false">IF(AND('Bonding Program'!$S$26=1,'Bonding Program'!$H$26&gt;'Bonding Program'!$C$8,AB$3='Bonding Program'!$H$26),'Bonding Program'!$T$26-'Bonding Program'!$U$26-'Bonding Program'!$Z$26,0)-IF(AND('Bonding Program'!$S$26=1,'Bonding Program'!$H$26&lt;='Bonding Program'!$C$8,AB$3=IF('Bonding Program'!$P$26&lt;&gt;"",'Bonding Program'!$P$26,'Bonding Program'!$C$8)),'Bonding Program'!$Z$26,0)+IF(AND('Bonding Program'!$P$26&lt;&gt;"",AB$3='Bonding Program'!$P$26,AB$3&lt;='Bonding Program'!$C$8),N('Bonding Program'!$O$26),0)</f>
        <v>0</v>
      </c>
      <c r="AC167" s="19" t="n">
        <f aca="false">IF(AND('Bonding Program'!$S$26=1,'Bonding Program'!$H$26&gt;'Bonding Program'!$C$8,AC$3='Bonding Program'!$H$26),'Bonding Program'!$T$26-'Bonding Program'!$U$26-'Bonding Program'!$Z$26,0)-IF(AND('Bonding Program'!$S$26=1,'Bonding Program'!$H$26&lt;='Bonding Program'!$C$8,AC$3=IF('Bonding Program'!$P$26&lt;&gt;"",'Bonding Program'!$P$26,'Bonding Program'!$C$8)),'Bonding Program'!$Z$26,0)+IF(AND('Bonding Program'!$P$26&lt;&gt;"",AC$3='Bonding Program'!$P$26,AC$3&lt;='Bonding Program'!$C$8),N('Bonding Program'!$O$26),0)</f>
        <v>0</v>
      </c>
      <c r="AD167" s="19" t="n">
        <f aca="false">IF(AND('Bonding Program'!$S$26=1,'Bonding Program'!$H$26&gt;'Bonding Program'!$C$8,AD$3='Bonding Program'!$H$26),'Bonding Program'!$T$26-'Bonding Program'!$U$26-'Bonding Program'!$Z$26,0)-IF(AND('Bonding Program'!$S$26=1,'Bonding Program'!$H$26&lt;='Bonding Program'!$C$8,AD$3=IF('Bonding Program'!$P$26&lt;&gt;"",'Bonding Program'!$P$26,'Bonding Program'!$C$8)),'Bonding Program'!$Z$26,0)+IF(AND('Bonding Program'!$P$26&lt;&gt;"",AD$3='Bonding Program'!$P$26,AD$3&lt;='Bonding Program'!$C$8),N('Bonding Program'!$O$26),0)</f>
        <v>0</v>
      </c>
      <c r="AE167" s="19" t="n">
        <f aca="false">IF(AND('Bonding Program'!$S$26=1,'Bonding Program'!$H$26&gt;'Bonding Program'!$C$8,AE$3='Bonding Program'!$H$26),'Bonding Program'!$T$26-'Bonding Program'!$U$26-'Bonding Program'!$Z$26,0)-IF(AND('Bonding Program'!$S$26=1,'Bonding Program'!$H$26&lt;='Bonding Program'!$C$8,AE$3=IF('Bonding Program'!$P$26&lt;&gt;"",'Bonding Program'!$P$26,'Bonding Program'!$C$8)),'Bonding Program'!$Z$26,0)+IF(AND('Bonding Program'!$P$26&lt;&gt;"",AE$3='Bonding Program'!$P$26,AE$3&lt;='Bonding Program'!$C$8),N('Bonding Program'!$O$26),0)</f>
        <v>0</v>
      </c>
      <c r="AF167" s="19" t="n">
        <f aca="false">IF(AND('Bonding Program'!$S$26=1,'Bonding Program'!$H$26&gt;'Bonding Program'!$C$8,AF$3='Bonding Program'!$H$26),'Bonding Program'!$T$26-'Bonding Program'!$U$26-'Bonding Program'!$Z$26,0)-IF(AND('Bonding Program'!$S$26=1,'Bonding Program'!$H$26&lt;='Bonding Program'!$C$8,AF$3=IF('Bonding Program'!$P$26&lt;&gt;"",'Bonding Program'!$P$26,'Bonding Program'!$C$8)),'Bonding Program'!$Z$26,0)+IF(AND('Bonding Program'!$P$26&lt;&gt;"",AF$3='Bonding Program'!$P$26,AF$3&lt;='Bonding Program'!$C$8),N('Bonding Program'!$O$26),0)</f>
        <v>0</v>
      </c>
      <c r="AG167" s="19" t="n">
        <f aca="false">IF(AND('Bonding Program'!$S$26=1,'Bonding Program'!$H$26&gt;'Bonding Program'!$C$8,AG$3='Bonding Program'!$H$26),'Bonding Program'!$T$26-'Bonding Program'!$U$26-'Bonding Program'!$Z$26,0)-IF(AND('Bonding Program'!$S$26=1,'Bonding Program'!$H$26&lt;='Bonding Program'!$C$8,AG$3=IF('Bonding Program'!$P$26&lt;&gt;"",'Bonding Program'!$P$26,'Bonding Program'!$C$8)),'Bonding Program'!$Z$26,0)+IF(AND('Bonding Program'!$P$26&lt;&gt;"",AG$3='Bonding Program'!$P$26,AG$3&lt;='Bonding Program'!$C$8),N('Bonding Program'!$O$26),0)</f>
        <v>0</v>
      </c>
      <c r="AH167" s="19" t="n">
        <f aca="false">IF(AND('Bonding Program'!$S$26=1,'Bonding Program'!$H$26&gt;'Bonding Program'!$C$8,AH$3='Bonding Program'!$H$26),'Bonding Program'!$T$26-'Bonding Program'!$U$26-'Bonding Program'!$Z$26,0)-IF(AND('Bonding Program'!$S$26=1,'Bonding Program'!$H$26&lt;='Bonding Program'!$C$8,AH$3=IF('Bonding Program'!$P$26&lt;&gt;"",'Bonding Program'!$P$26,'Bonding Program'!$C$8)),'Bonding Program'!$Z$26,0)+IF(AND('Bonding Program'!$P$26&lt;&gt;"",AH$3='Bonding Program'!$P$26,AH$3&lt;='Bonding Program'!$C$8),N('Bonding Program'!$O$26),0)</f>
        <v>0</v>
      </c>
      <c r="AI167" s="19" t="n">
        <f aca="false">IF(AND('Bonding Program'!$S$26=1,'Bonding Program'!$H$26&gt;'Bonding Program'!$C$8,AI$3='Bonding Program'!$H$26),'Bonding Program'!$T$26-'Bonding Program'!$U$26-'Bonding Program'!$Z$26,0)-IF(AND('Bonding Program'!$S$26=1,'Bonding Program'!$H$26&lt;='Bonding Program'!$C$8,AI$3=IF('Bonding Program'!$P$26&lt;&gt;"",'Bonding Program'!$P$26,'Bonding Program'!$C$8)),'Bonding Program'!$Z$26,0)+IF(AND('Bonding Program'!$P$26&lt;&gt;"",AI$3='Bonding Program'!$P$26,AI$3&lt;='Bonding Program'!$C$8),N('Bonding Program'!$O$26),0)</f>
        <v>0</v>
      </c>
      <c r="AJ167" s="19" t="n">
        <f aca="false">IF(AND('Bonding Program'!$S$26=1,'Bonding Program'!$H$26&gt;'Bonding Program'!$C$8,AJ$3='Bonding Program'!$H$26),'Bonding Program'!$T$26-'Bonding Program'!$U$26-'Bonding Program'!$Z$26,0)-IF(AND('Bonding Program'!$S$26=1,'Bonding Program'!$H$26&lt;='Bonding Program'!$C$8,AJ$3=IF('Bonding Program'!$P$26&lt;&gt;"",'Bonding Program'!$P$26,'Bonding Program'!$C$8)),'Bonding Program'!$Z$26,0)+IF(AND('Bonding Program'!$P$26&lt;&gt;"",AJ$3='Bonding Program'!$P$26,AJ$3&lt;='Bonding Program'!$C$8),N('Bonding Program'!$O$26),0)</f>
        <v>0</v>
      </c>
      <c r="AK167" s="19" t="n">
        <f aca="false">IF(AND('Bonding Program'!$S$26=1,'Bonding Program'!$H$26&gt;'Bonding Program'!$C$8,AK$3='Bonding Program'!$H$26),'Bonding Program'!$T$26-'Bonding Program'!$U$26-'Bonding Program'!$Z$26,0)-IF(AND('Bonding Program'!$S$26=1,'Bonding Program'!$H$26&lt;='Bonding Program'!$C$8,AK$3=IF('Bonding Program'!$P$26&lt;&gt;"",'Bonding Program'!$P$26,'Bonding Program'!$C$8)),'Bonding Program'!$Z$26,0)+IF(AND('Bonding Program'!$P$26&lt;&gt;"",AK$3='Bonding Program'!$P$26,AK$3&lt;='Bonding Program'!$C$8),N('Bonding Program'!$O$26),0)</f>
        <v>0</v>
      </c>
      <c r="AL167" s="19" t="n">
        <f aca="false">IF(AND('Bonding Program'!$S$26=1,'Bonding Program'!$H$26&gt;'Bonding Program'!$C$8,AL$3='Bonding Program'!$H$26),'Bonding Program'!$T$26-'Bonding Program'!$U$26-'Bonding Program'!$Z$26,0)-IF(AND('Bonding Program'!$S$26=1,'Bonding Program'!$H$26&lt;='Bonding Program'!$C$8,AL$3=IF('Bonding Program'!$P$26&lt;&gt;"",'Bonding Program'!$P$26,'Bonding Program'!$C$8)),'Bonding Program'!$Z$26,0)+IF(AND('Bonding Program'!$P$26&lt;&gt;"",AL$3='Bonding Program'!$P$26,AL$3&lt;='Bonding Program'!$C$8),N('Bonding Program'!$O$26),0)</f>
        <v>0</v>
      </c>
      <c r="AM167" s="19" t="n">
        <f aca="false">IF(AND('Bonding Program'!$S$26=1,'Bonding Program'!$H$26&gt;'Bonding Program'!$C$8,AM$3='Bonding Program'!$H$26),'Bonding Program'!$T$26-'Bonding Program'!$U$26-'Bonding Program'!$Z$26,0)-IF(AND('Bonding Program'!$S$26=1,'Bonding Program'!$H$26&lt;='Bonding Program'!$C$8,AM$3=IF('Bonding Program'!$P$26&lt;&gt;"",'Bonding Program'!$P$26,'Bonding Program'!$C$8)),'Bonding Program'!$Z$26,0)+IF(AND('Bonding Program'!$P$26&lt;&gt;"",AM$3='Bonding Program'!$P$26,AM$3&lt;='Bonding Program'!$C$8),N('Bonding Program'!$O$26),0)</f>
        <v>0</v>
      </c>
      <c r="AN167" s="19" t="n">
        <f aca="false">IF(AND('Bonding Program'!$S$26=1,'Bonding Program'!$H$26&gt;'Bonding Program'!$C$8,AN$3='Bonding Program'!$H$26),'Bonding Program'!$T$26-'Bonding Program'!$U$26-'Bonding Program'!$Z$26,0)-IF(AND('Bonding Program'!$S$26=1,'Bonding Program'!$H$26&lt;='Bonding Program'!$C$8,AN$3=IF('Bonding Program'!$P$26&lt;&gt;"",'Bonding Program'!$P$26,'Bonding Program'!$C$8)),'Bonding Program'!$Z$26,0)+IF(AND('Bonding Program'!$P$26&lt;&gt;"",AN$3='Bonding Program'!$P$26,AN$3&lt;='Bonding Program'!$C$8),N('Bonding Program'!$O$26),0)</f>
        <v>0</v>
      </c>
      <c r="AO167" s="19" t="n">
        <f aca="false">IF(AND('Bonding Program'!$S$26=1,'Bonding Program'!$H$26&gt;'Bonding Program'!$C$8,AO$3='Bonding Program'!$H$26),'Bonding Program'!$T$26-'Bonding Program'!$U$26-'Bonding Program'!$Z$26,0)-IF(AND('Bonding Program'!$S$26=1,'Bonding Program'!$H$26&lt;='Bonding Program'!$C$8,AO$3=IF('Bonding Program'!$P$26&lt;&gt;"",'Bonding Program'!$P$26,'Bonding Program'!$C$8)),'Bonding Program'!$Z$26,0)+IF(AND('Bonding Program'!$P$26&lt;&gt;"",AO$3='Bonding Program'!$P$26,AO$3&lt;='Bonding Program'!$C$8),N('Bonding Program'!$O$26),0)</f>
        <v>0</v>
      </c>
      <c r="AP167" s="19" t="n">
        <f aca="false">IF(AND('Bonding Program'!$S$26=1,'Bonding Program'!$H$26&gt;'Bonding Program'!$C$8,AP$3='Bonding Program'!$H$26),'Bonding Program'!$T$26-'Bonding Program'!$U$26-'Bonding Program'!$Z$26,0)-IF(AND('Bonding Program'!$S$26=1,'Bonding Program'!$H$26&lt;='Bonding Program'!$C$8,AP$3=IF('Bonding Program'!$P$26&lt;&gt;"",'Bonding Program'!$P$26,'Bonding Program'!$C$8)),'Bonding Program'!$Z$26,0)+IF(AND('Bonding Program'!$P$26&lt;&gt;"",AP$3='Bonding Program'!$P$26,AP$3&lt;='Bonding Program'!$C$8),N('Bonding Program'!$O$26),0)</f>
        <v>0</v>
      </c>
      <c r="AQ167" s="19" t="n">
        <f aca="false">IF(AND('Bonding Program'!$S$26=1,'Bonding Program'!$H$26&gt;'Bonding Program'!$C$8,AQ$3='Bonding Program'!$H$26),'Bonding Program'!$T$26-'Bonding Program'!$U$26-'Bonding Program'!$Z$26,0)-IF(AND('Bonding Program'!$S$26=1,'Bonding Program'!$H$26&lt;='Bonding Program'!$C$8,AQ$3=IF('Bonding Program'!$P$26&lt;&gt;"",'Bonding Program'!$P$26,'Bonding Program'!$C$8)),'Bonding Program'!$Z$26,0)+IF(AND('Bonding Program'!$P$26&lt;&gt;"",AQ$3='Bonding Program'!$P$26,AQ$3&lt;='Bonding Program'!$C$8),N('Bonding Program'!$O$26),0)</f>
        <v>0</v>
      </c>
      <c r="AR167" s="19" t="n">
        <f aca="false">IF(AND('Bonding Program'!$S$26=1,'Bonding Program'!$H$26&gt;'Bonding Program'!$C$8,AR$3='Bonding Program'!$H$26),'Bonding Program'!$T$26-'Bonding Program'!$U$26-'Bonding Program'!$Z$26,0)-IF(AND('Bonding Program'!$S$26=1,'Bonding Program'!$H$26&lt;='Bonding Program'!$C$8,AR$3=IF('Bonding Program'!$P$26&lt;&gt;"",'Bonding Program'!$P$26,'Bonding Program'!$C$8)),'Bonding Program'!$Z$26,0)+IF(AND('Bonding Program'!$P$26&lt;&gt;"",AR$3='Bonding Program'!$P$26,AR$3&lt;='Bonding Program'!$C$8),N('Bonding Program'!$O$26),0)</f>
        <v>0</v>
      </c>
      <c r="AS167" s="19" t="n">
        <f aca="false">IF(AND('Bonding Program'!$S$26=1,'Bonding Program'!$H$26&gt;'Bonding Program'!$C$8,AS$3='Bonding Program'!$H$26),'Bonding Program'!$T$26-'Bonding Program'!$U$26-'Bonding Program'!$Z$26,0)-IF(AND('Bonding Program'!$S$26=1,'Bonding Program'!$H$26&lt;='Bonding Program'!$C$8,AS$3=IF('Bonding Program'!$P$26&lt;&gt;"",'Bonding Program'!$P$26,'Bonding Program'!$C$8)),'Bonding Program'!$Z$26,0)+IF(AND('Bonding Program'!$P$26&lt;&gt;"",AS$3='Bonding Program'!$P$26,AS$3&lt;='Bonding Program'!$C$8),N('Bonding Program'!$O$26),0)</f>
        <v>0</v>
      </c>
      <c r="AT167" s="19" t="n">
        <f aca="false">IF(AND('Bonding Program'!$S$26=1,'Bonding Program'!$H$26&gt;'Bonding Program'!$C$8,AT$3='Bonding Program'!$H$26),'Bonding Program'!$T$26-'Bonding Program'!$U$26-'Bonding Program'!$Z$26,0)-IF(AND('Bonding Program'!$S$26=1,'Bonding Program'!$H$26&lt;='Bonding Program'!$C$8,AT$3=IF('Bonding Program'!$P$26&lt;&gt;"",'Bonding Program'!$P$26,'Bonding Program'!$C$8)),'Bonding Program'!$Z$26,0)+IF(AND('Bonding Program'!$P$26&lt;&gt;"",AT$3='Bonding Program'!$P$26,AT$3&lt;='Bonding Program'!$C$8),N('Bonding Program'!$O$26),0)</f>
        <v>0</v>
      </c>
      <c r="AU167" s="19" t="n">
        <f aca="false">IF(AND('Bonding Program'!$S$26=1,'Bonding Program'!$H$26&gt;'Bonding Program'!$C$8,AU$3='Bonding Program'!$H$26),'Bonding Program'!$T$26-'Bonding Program'!$U$26-'Bonding Program'!$Z$26,0)-IF(AND('Bonding Program'!$S$26=1,'Bonding Program'!$H$26&lt;='Bonding Program'!$C$8,AU$3=IF('Bonding Program'!$P$26&lt;&gt;"",'Bonding Program'!$P$26,'Bonding Program'!$C$8)),'Bonding Program'!$Z$26,0)+IF(AND('Bonding Program'!$P$26&lt;&gt;"",AU$3='Bonding Program'!$P$26,AU$3&lt;='Bonding Program'!$C$8),N('Bonding Program'!$O$26),0)</f>
        <v>0</v>
      </c>
      <c r="AV167" s="19" t="n">
        <f aca="false">IF(AND('Bonding Program'!$S$26=1,'Bonding Program'!$H$26&gt;'Bonding Program'!$C$8,AV$3='Bonding Program'!$H$26),'Bonding Program'!$T$26-'Bonding Program'!$U$26-'Bonding Program'!$Z$26,0)-IF(AND('Bonding Program'!$S$26=1,'Bonding Program'!$H$26&lt;='Bonding Program'!$C$8,AV$3=IF('Bonding Program'!$P$26&lt;&gt;"",'Bonding Program'!$P$26,'Bonding Program'!$C$8)),'Bonding Program'!$Z$26,0)+IF(AND('Bonding Program'!$P$26&lt;&gt;"",AV$3='Bonding Program'!$P$26,AV$3&lt;='Bonding Program'!$C$8),N('Bonding Program'!$O$26),0)</f>
        <v>0</v>
      </c>
      <c r="AW167" s="19" t="n">
        <f aca="false">IF(AND('Bonding Program'!$S$26=1,'Bonding Program'!$H$26&gt;'Bonding Program'!$C$8,AW$3='Bonding Program'!$H$26),'Bonding Program'!$T$26-'Bonding Program'!$U$26-'Bonding Program'!$Z$26,0)-IF(AND('Bonding Program'!$S$26=1,'Bonding Program'!$H$26&lt;='Bonding Program'!$C$8,AW$3=IF('Bonding Program'!$P$26&lt;&gt;"",'Bonding Program'!$P$26,'Bonding Program'!$C$8)),'Bonding Program'!$Z$26,0)+IF(AND('Bonding Program'!$P$26&lt;&gt;"",AW$3='Bonding Program'!$P$26,AW$3&lt;='Bonding Program'!$C$8),N('Bonding Program'!$O$26),0)</f>
        <v>0</v>
      </c>
      <c r="AX167" s="19" t="n">
        <f aca="false">IF(AND('Bonding Program'!$S$26=1,'Bonding Program'!$H$26&gt;'Bonding Program'!$C$8,AX$3='Bonding Program'!$H$26),'Bonding Program'!$T$26-'Bonding Program'!$U$26-'Bonding Program'!$Z$26,0)-IF(AND('Bonding Program'!$S$26=1,'Bonding Program'!$H$26&lt;='Bonding Program'!$C$8,AX$3=IF('Bonding Program'!$P$26&lt;&gt;"",'Bonding Program'!$P$26,'Bonding Program'!$C$8)),'Bonding Program'!$Z$26,0)+IF(AND('Bonding Program'!$P$26&lt;&gt;"",AX$3='Bonding Program'!$P$26,AX$3&lt;='Bonding Program'!$C$8),N('Bonding Program'!$O$26),0)</f>
        <v>0</v>
      </c>
      <c r="AY167" s="19" t="n">
        <f aca="false">IF(AND('Bonding Program'!$S$26=1,'Bonding Program'!$H$26&gt;'Bonding Program'!$C$8,AY$3='Bonding Program'!$H$26),'Bonding Program'!$T$26-'Bonding Program'!$U$26-'Bonding Program'!$Z$26,0)-IF(AND('Bonding Program'!$S$26=1,'Bonding Program'!$H$26&lt;='Bonding Program'!$C$8,AY$3=IF('Bonding Program'!$P$26&lt;&gt;"",'Bonding Program'!$P$26,'Bonding Program'!$C$8)),'Bonding Program'!$Z$26,0)+IF(AND('Bonding Program'!$P$26&lt;&gt;"",AY$3='Bonding Program'!$P$26,AY$3&lt;='Bonding Program'!$C$8),N('Bonding Program'!$O$26),0)</f>
        <v>0</v>
      </c>
      <c r="AZ167" s="19" t="n">
        <f aca="false">IF(AND('Bonding Program'!$S$26=1,'Bonding Program'!$H$26&gt;'Bonding Program'!$C$8,AZ$3='Bonding Program'!$H$26),'Bonding Program'!$T$26-'Bonding Program'!$U$26-'Bonding Program'!$Z$26,0)-IF(AND('Bonding Program'!$S$26=1,'Bonding Program'!$H$26&lt;='Bonding Program'!$C$8,AZ$3=IF('Bonding Program'!$P$26&lt;&gt;"",'Bonding Program'!$P$26,'Bonding Program'!$C$8)),'Bonding Program'!$Z$26,0)+IF(AND('Bonding Program'!$P$26&lt;&gt;"",AZ$3='Bonding Program'!$P$26,AZ$3&lt;='Bonding Program'!$C$8),N('Bonding Program'!$O$26),0)</f>
        <v>0</v>
      </c>
      <c r="BA167" s="19" t="n">
        <f aca="false">IF(AND('Bonding Program'!$S$26=1,'Bonding Program'!$H$26&gt;'Bonding Program'!$C$8,BA$3='Bonding Program'!$H$26),'Bonding Program'!$T$26-'Bonding Program'!$U$26-'Bonding Program'!$Z$26,0)-IF(AND('Bonding Program'!$S$26=1,'Bonding Program'!$H$26&lt;='Bonding Program'!$C$8,BA$3=IF('Bonding Program'!$P$26&lt;&gt;"",'Bonding Program'!$P$26,'Bonding Program'!$C$8)),'Bonding Program'!$Z$26,0)+IF(AND('Bonding Program'!$P$26&lt;&gt;"",BA$3='Bonding Program'!$P$26,BA$3&lt;='Bonding Program'!$C$8),N('Bonding Program'!$O$26),0)</f>
        <v>0</v>
      </c>
      <c r="BB167" s="19" t="n">
        <f aca="false">IF(AND('Bonding Program'!$S$26=1,'Bonding Program'!$H$26&gt;'Bonding Program'!$C$8,BB$3='Bonding Program'!$H$26),'Bonding Program'!$T$26-'Bonding Program'!$U$26-'Bonding Program'!$Z$26,0)-IF(AND('Bonding Program'!$S$26=1,'Bonding Program'!$H$26&lt;='Bonding Program'!$C$8,BB$3=IF('Bonding Program'!$P$26&lt;&gt;"",'Bonding Program'!$P$26,'Bonding Program'!$C$8)),'Bonding Program'!$Z$26,0)+IF(AND('Bonding Program'!$P$26&lt;&gt;"",BB$3='Bonding Program'!$P$26,BB$3&lt;='Bonding Program'!$C$8),N('Bonding Program'!$O$26),0)</f>
        <v>0</v>
      </c>
      <c r="BC167" s="19" t="n">
        <f aca="false">IF(AND('Bonding Program'!$S$26=1,'Bonding Program'!$H$26&gt;'Bonding Program'!$C$8,BC$3='Bonding Program'!$H$26),'Bonding Program'!$T$26-'Bonding Program'!$U$26-'Bonding Program'!$Z$26,0)-IF(AND('Bonding Program'!$S$26=1,'Bonding Program'!$H$26&lt;='Bonding Program'!$C$8,BC$3=IF('Bonding Program'!$P$26&lt;&gt;"",'Bonding Program'!$P$26,'Bonding Program'!$C$8)),'Bonding Program'!$Z$26,0)+IF(AND('Bonding Program'!$P$26&lt;&gt;"",BC$3='Bonding Program'!$P$26,BC$3&lt;='Bonding Program'!$C$8),N('Bonding Program'!$O$26),0)</f>
        <v>0</v>
      </c>
      <c r="BD167" s="19" t="n">
        <f aca="false">IF(AND('Bonding Program'!$S$26=1,'Bonding Program'!$H$26&gt;'Bonding Program'!$C$8,BD$3='Bonding Program'!$H$26),'Bonding Program'!$T$26-'Bonding Program'!$U$26-'Bonding Program'!$Z$26,0)-IF(AND('Bonding Program'!$S$26=1,'Bonding Program'!$H$26&lt;='Bonding Program'!$C$8,BD$3=IF('Bonding Program'!$P$26&lt;&gt;"",'Bonding Program'!$P$26,'Bonding Program'!$C$8)),'Bonding Program'!$Z$26,0)+IF(AND('Bonding Program'!$P$26&lt;&gt;"",BD$3='Bonding Program'!$P$26,BD$3&lt;='Bonding Program'!$C$8),N('Bonding Program'!$O$26),0)</f>
        <v>0</v>
      </c>
      <c r="BE167" s="19" t="n">
        <f aca="false">IF(AND('Bonding Program'!$S$26=1,'Bonding Program'!$H$26&gt;'Bonding Program'!$C$8,BE$3='Bonding Program'!$H$26),'Bonding Program'!$T$26-'Bonding Program'!$U$26-'Bonding Program'!$Z$26,0)-IF(AND('Bonding Program'!$S$26=1,'Bonding Program'!$H$26&lt;='Bonding Program'!$C$8,BE$3=IF('Bonding Program'!$P$26&lt;&gt;"",'Bonding Program'!$P$26,'Bonding Program'!$C$8)),'Bonding Program'!$Z$26,0)+IF(AND('Bonding Program'!$P$26&lt;&gt;"",BE$3='Bonding Program'!$P$26,BE$3&lt;='Bonding Program'!$C$8),N('Bonding Program'!$O$26),0)</f>
        <v>0</v>
      </c>
      <c r="BF167" s="19" t="n">
        <f aca="false">IF(AND('Bonding Program'!$S$26=1,'Bonding Program'!$H$26&gt;'Bonding Program'!$C$8,BF$3='Bonding Program'!$H$26),'Bonding Program'!$T$26-'Bonding Program'!$U$26-'Bonding Program'!$Z$26,0)-IF(AND('Bonding Program'!$S$26=1,'Bonding Program'!$H$26&lt;='Bonding Program'!$C$8,BF$3=IF('Bonding Program'!$P$26&lt;&gt;"",'Bonding Program'!$P$26,'Bonding Program'!$C$8)),'Bonding Program'!$Z$26,0)+IF(AND('Bonding Program'!$P$26&lt;&gt;"",BF$3='Bonding Program'!$P$26,BF$3&lt;='Bonding Program'!$C$8),N('Bonding Program'!$O$26),0)</f>
        <v>0</v>
      </c>
      <c r="BG167" s="19" t="n">
        <f aca="false">IF(AND('Bonding Program'!$S$26=1,'Bonding Program'!$H$26&gt;'Bonding Program'!$C$8,BG$3='Bonding Program'!$H$26),'Bonding Program'!$T$26-'Bonding Program'!$U$26-'Bonding Program'!$Z$26,0)-IF(AND('Bonding Program'!$S$26=1,'Bonding Program'!$H$26&lt;='Bonding Program'!$C$8,BG$3=IF('Bonding Program'!$P$26&lt;&gt;"",'Bonding Program'!$P$26,'Bonding Program'!$C$8)),'Bonding Program'!$Z$26,0)+IF(AND('Bonding Program'!$P$26&lt;&gt;"",BG$3='Bonding Program'!$P$26,BG$3&lt;='Bonding Program'!$C$8),N('Bonding Program'!$O$26),0)</f>
        <v>0</v>
      </c>
      <c r="BH167" s="19" t="n">
        <f aca="false">IF(AND('Bonding Program'!$S$26=1,'Bonding Program'!$H$26&gt;'Bonding Program'!$C$8,BH$3='Bonding Program'!$H$26),'Bonding Program'!$T$26-'Bonding Program'!$U$26-'Bonding Program'!$Z$26,0)-IF(AND('Bonding Program'!$S$26=1,'Bonding Program'!$H$26&lt;='Bonding Program'!$C$8,BH$3=IF('Bonding Program'!$P$26&lt;&gt;"",'Bonding Program'!$P$26,'Bonding Program'!$C$8)),'Bonding Program'!$Z$26,0)+IF(AND('Bonding Program'!$P$26&lt;&gt;"",BH$3='Bonding Program'!$P$26,BH$3&lt;='Bonding Program'!$C$8),N('Bonding Program'!$O$26),0)</f>
        <v>0</v>
      </c>
      <c r="BI167" s="19" t="n">
        <f aca="false">IF(AND('Bonding Program'!$S$26=1,'Bonding Program'!$H$26&gt;'Bonding Program'!$C$8,BI$3='Bonding Program'!$H$26),'Bonding Program'!$T$26-'Bonding Program'!$U$26-'Bonding Program'!$Z$26,0)-IF(AND('Bonding Program'!$S$26=1,'Bonding Program'!$H$26&lt;='Bonding Program'!$C$8,BI$3=IF('Bonding Program'!$P$26&lt;&gt;"",'Bonding Program'!$P$26,'Bonding Program'!$C$8)),'Bonding Program'!$Z$26,0)+IF(AND('Bonding Program'!$P$26&lt;&gt;"",BI$3='Bonding Program'!$P$26,BI$3&lt;='Bonding Program'!$C$8),N('Bonding Program'!$O$26),0)</f>
        <v>0</v>
      </c>
      <c r="BJ167" s="19" t="n">
        <f aca="false">IF(AND('Bonding Program'!$S$26=1,'Bonding Program'!$H$26&gt;'Bonding Program'!$C$8,BJ$3='Bonding Program'!$H$26),'Bonding Program'!$T$26-'Bonding Program'!$U$26-'Bonding Program'!$Z$26,0)-IF(AND('Bonding Program'!$S$26=1,'Bonding Program'!$H$26&lt;='Bonding Program'!$C$8,BJ$3=IF('Bonding Program'!$P$26&lt;&gt;"",'Bonding Program'!$P$26,'Bonding Program'!$C$8)),'Bonding Program'!$Z$26,0)+IF(AND('Bonding Program'!$P$26&lt;&gt;"",BJ$3='Bonding Program'!$P$26,BJ$3&lt;='Bonding Program'!$C$8),N('Bonding Program'!$O$26),0)</f>
        <v>0</v>
      </c>
      <c r="BK167" s="19" t="n">
        <f aca="false">IF(AND('Bonding Program'!$S$26=1,'Bonding Program'!$H$26&gt;'Bonding Program'!$C$8,BK$3='Bonding Program'!$H$26),'Bonding Program'!$T$26-'Bonding Program'!$U$26-'Bonding Program'!$Z$26,0)-IF(AND('Bonding Program'!$S$26=1,'Bonding Program'!$H$26&lt;='Bonding Program'!$C$8,BK$3=IF('Bonding Program'!$P$26&lt;&gt;"",'Bonding Program'!$P$26,'Bonding Program'!$C$8)),'Bonding Program'!$Z$26,0)+IF(AND('Bonding Program'!$P$26&lt;&gt;"",BK$3='Bonding Program'!$P$26,BK$3&lt;='Bonding Program'!$C$8),N('Bonding Program'!$O$26),0)</f>
        <v>0</v>
      </c>
      <c r="BL167" s="19" t="n">
        <f aca="false">IF(AND('Bonding Program'!$S$26=1,'Bonding Program'!$H$26&gt;'Bonding Program'!$C$8,BL$3='Bonding Program'!$H$26),'Bonding Program'!$T$26-'Bonding Program'!$U$26-'Bonding Program'!$Z$26,0)-IF(AND('Bonding Program'!$S$26=1,'Bonding Program'!$H$26&lt;='Bonding Program'!$C$8,BL$3=IF('Bonding Program'!$P$26&lt;&gt;"",'Bonding Program'!$P$26,'Bonding Program'!$C$8)),'Bonding Program'!$Z$26,0)+IF(AND('Bonding Program'!$P$26&lt;&gt;"",BL$3='Bonding Program'!$P$26,BL$3&lt;='Bonding Program'!$C$8),N('Bonding Program'!$O$26),0)</f>
        <v>0</v>
      </c>
      <c r="BM167" s="19" t="n">
        <f aca="false">IF(AND('Bonding Program'!$S$26=1,'Bonding Program'!$H$26&gt;'Bonding Program'!$C$8,BM$3='Bonding Program'!$H$26),'Bonding Program'!$T$26-'Bonding Program'!$U$26-'Bonding Program'!$Z$26,0)-IF(AND('Bonding Program'!$S$26=1,'Bonding Program'!$H$26&lt;='Bonding Program'!$C$8,BM$3=IF('Bonding Program'!$P$26&lt;&gt;"",'Bonding Program'!$P$26,'Bonding Program'!$C$8)),'Bonding Program'!$Z$26,0)+IF(AND('Bonding Program'!$P$26&lt;&gt;"",BM$3='Bonding Program'!$P$26,BM$3&lt;='Bonding Program'!$C$8),N('Bonding Program'!$O$26),0)</f>
        <v>0</v>
      </c>
      <c r="BN167" s="19" t="n">
        <f aca="false">IF(AND('Bonding Program'!$S$26=1,'Bonding Program'!$H$26&gt;'Bonding Program'!$C$8,BN$3='Bonding Program'!$H$26),'Bonding Program'!$T$26-'Bonding Program'!$U$26-'Bonding Program'!$Z$26,0)-IF(AND('Bonding Program'!$S$26=1,'Bonding Program'!$H$26&lt;='Bonding Program'!$C$8,BN$3=IF('Bonding Program'!$P$26&lt;&gt;"",'Bonding Program'!$P$26,'Bonding Program'!$C$8)),'Bonding Program'!$Z$26,0)+IF(AND('Bonding Program'!$P$26&lt;&gt;"",BN$3='Bonding Program'!$P$26,BN$3&lt;='Bonding Program'!$C$8),N('Bonding Program'!$O$26),0)</f>
        <v>0</v>
      </c>
      <c r="BO167" s="19" t="n">
        <f aca="false">IF(AND('Bonding Program'!$S$26=1,'Bonding Program'!$H$26&gt;'Bonding Program'!$C$8,BO$3='Bonding Program'!$H$26),'Bonding Program'!$T$26-'Bonding Program'!$U$26-'Bonding Program'!$Z$26,0)-IF(AND('Bonding Program'!$S$26=1,'Bonding Program'!$H$26&lt;='Bonding Program'!$C$8,BO$3=IF('Bonding Program'!$P$26&lt;&gt;"",'Bonding Program'!$P$26,'Bonding Program'!$C$8)),'Bonding Program'!$Z$26,0)+IF(AND('Bonding Program'!$P$26&lt;&gt;"",BO$3='Bonding Program'!$P$26,BO$3&lt;='Bonding Program'!$C$8),N('Bonding Program'!$O$26),0)</f>
        <v>0</v>
      </c>
      <c r="BP167" s="19" t="n">
        <f aca="false">IF(AND('Bonding Program'!$S$26=1,'Bonding Program'!$H$26&gt;'Bonding Program'!$C$8,BP$3='Bonding Program'!$H$26),'Bonding Program'!$T$26-'Bonding Program'!$U$26-'Bonding Program'!$Z$26,0)-IF(AND('Bonding Program'!$S$26=1,'Bonding Program'!$H$26&lt;='Bonding Program'!$C$8,BP$3=IF('Bonding Program'!$P$26&lt;&gt;"",'Bonding Program'!$P$26,'Bonding Program'!$C$8)),'Bonding Program'!$Z$26,0)+IF(AND('Bonding Program'!$P$26&lt;&gt;"",BP$3='Bonding Program'!$P$26,BP$3&lt;='Bonding Program'!$C$8),N('Bonding Program'!$O$26),0)</f>
        <v>0</v>
      </c>
      <c r="BQ167" s="19" t="n">
        <f aca="false">IF(AND('Bonding Program'!$S$26=1,'Bonding Program'!$H$26&gt;'Bonding Program'!$C$8,BQ$3='Bonding Program'!$H$26),'Bonding Program'!$T$26-'Bonding Program'!$U$26-'Bonding Program'!$Z$26,0)-IF(AND('Bonding Program'!$S$26=1,'Bonding Program'!$H$26&lt;='Bonding Program'!$C$8,BQ$3=IF('Bonding Program'!$P$26&lt;&gt;"",'Bonding Program'!$P$26,'Bonding Program'!$C$8)),'Bonding Program'!$Z$26,0)+IF(AND('Bonding Program'!$P$26&lt;&gt;"",BQ$3='Bonding Program'!$P$26,BQ$3&lt;='Bonding Program'!$C$8),N('Bonding Program'!$O$26),0)</f>
        <v>0</v>
      </c>
      <c r="BR167" s="19" t="n">
        <f aca="false">IF(AND('Bonding Program'!$S$26=1,'Bonding Program'!$H$26&gt;'Bonding Program'!$C$8,BR$3='Bonding Program'!$H$26),'Bonding Program'!$T$26-'Bonding Program'!$U$26-'Bonding Program'!$Z$26,0)-IF(AND('Bonding Program'!$S$26=1,'Bonding Program'!$H$26&lt;='Bonding Program'!$C$8,BR$3=IF('Bonding Program'!$P$26&lt;&gt;"",'Bonding Program'!$P$26,'Bonding Program'!$C$8)),'Bonding Program'!$Z$26,0)+IF(AND('Bonding Program'!$P$26&lt;&gt;"",BR$3='Bonding Program'!$P$26,BR$3&lt;='Bonding Program'!$C$8),N('Bonding Program'!$O$26),0)</f>
        <v>0</v>
      </c>
      <c r="BS167" s="19" t="n">
        <f aca="false">IF(AND('Bonding Program'!$S$26=1,'Bonding Program'!$H$26&gt;'Bonding Program'!$C$8,BS$3='Bonding Program'!$H$26),'Bonding Program'!$T$26-'Bonding Program'!$U$26-'Bonding Program'!$Z$26,0)-IF(AND('Bonding Program'!$S$26=1,'Bonding Program'!$H$26&lt;='Bonding Program'!$C$8,BS$3=IF('Bonding Program'!$P$26&lt;&gt;"",'Bonding Program'!$P$26,'Bonding Program'!$C$8)),'Bonding Program'!$Z$26,0)+IF(AND('Bonding Program'!$P$26&lt;&gt;"",BS$3='Bonding Program'!$P$26,BS$3&lt;='Bonding Program'!$C$8),N('Bonding Program'!$O$26),0)</f>
        <v>0</v>
      </c>
      <c r="BT167" s="19" t="n">
        <f aca="false">IF(AND('Bonding Program'!$S$26=1,'Bonding Program'!$H$26&gt;'Bonding Program'!$C$8,BT$3='Bonding Program'!$H$26),'Bonding Program'!$T$26-'Bonding Program'!$U$26-'Bonding Program'!$Z$26,0)-IF(AND('Bonding Program'!$S$26=1,'Bonding Program'!$H$26&lt;='Bonding Program'!$C$8,BT$3=IF('Bonding Program'!$P$26&lt;&gt;"",'Bonding Program'!$P$26,'Bonding Program'!$C$8)),'Bonding Program'!$Z$26,0)+IF(AND('Bonding Program'!$P$26&lt;&gt;"",BT$3='Bonding Program'!$P$26,BT$3&lt;='Bonding Program'!$C$8),N('Bonding Program'!$O$26),0)</f>
        <v>0</v>
      </c>
      <c r="BU167" s="19" t="n">
        <f aca="false">IF(AND('Bonding Program'!$S$26=1,'Bonding Program'!$H$26&gt;'Bonding Program'!$C$8,BU$3='Bonding Program'!$H$26),'Bonding Program'!$T$26-'Bonding Program'!$U$26-'Bonding Program'!$Z$26,0)-IF(AND('Bonding Program'!$S$26=1,'Bonding Program'!$H$26&lt;='Bonding Program'!$C$8,BU$3=IF('Bonding Program'!$P$26&lt;&gt;"",'Bonding Program'!$P$26,'Bonding Program'!$C$8)),'Bonding Program'!$Z$26,0)+IF(AND('Bonding Program'!$P$26&lt;&gt;"",BU$3='Bonding Program'!$P$26,BU$3&lt;='Bonding Program'!$C$8),N('Bonding Program'!$O$26),0)</f>
        <v>0</v>
      </c>
      <c r="BV167" s="19" t="n">
        <f aca="false">IF(AND('Bonding Program'!$S$26=1,'Bonding Program'!$H$26&gt;'Bonding Program'!$C$8,BV$3='Bonding Program'!$H$26),'Bonding Program'!$T$26-'Bonding Program'!$U$26-'Bonding Program'!$Z$26,0)-IF(AND('Bonding Program'!$S$26=1,'Bonding Program'!$H$26&lt;='Bonding Program'!$C$8,BV$3=IF('Bonding Program'!$P$26&lt;&gt;"",'Bonding Program'!$P$26,'Bonding Program'!$C$8)),'Bonding Program'!$Z$26,0)+IF(AND('Bonding Program'!$P$26&lt;&gt;"",BV$3='Bonding Program'!$P$26,BV$3&lt;='Bonding Program'!$C$8),N('Bonding Program'!$O$26),0)</f>
        <v>0</v>
      </c>
      <c r="BW167" s="19" t="n">
        <f aca="false">IF(AND('Bonding Program'!$S$26=1,'Bonding Program'!$H$26&gt;'Bonding Program'!$C$8,BW$3='Bonding Program'!$H$26),'Bonding Program'!$T$26-'Bonding Program'!$U$26-'Bonding Program'!$Z$26,0)-IF(AND('Bonding Program'!$S$26=1,'Bonding Program'!$H$26&lt;='Bonding Program'!$C$8,BW$3=IF('Bonding Program'!$P$26&lt;&gt;"",'Bonding Program'!$P$26,'Bonding Program'!$C$8)),'Bonding Program'!$Z$26,0)+IF(AND('Bonding Program'!$P$26&lt;&gt;"",BW$3='Bonding Program'!$P$26,BW$3&lt;='Bonding Program'!$C$8),N('Bonding Program'!$O$26),0)</f>
        <v>0</v>
      </c>
      <c r="BX167" s="19" t="n">
        <f aca="false">IF(AND('Bonding Program'!$S$26=1,'Bonding Program'!$H$26&gt;'Bonding Program'!$C$8,BX$3='Bonding Program'!$H$26),'Bonding Program'!$T$26-'Bonding Program'!$U$26-'Bonding Program'!$Z$26,0)-IF(AND('Bonding Program'!$S$26=1,'Bonding Program'!$H$26&lt;='Bonding Program'!$C$8,BX$3=IF('Bonding Program'!$P$26&lt;&gt;"",'Bonding Program'!$P$26,'Bonding Program'!$C$8)),'Bonding Program'!$Z$26,0)+IF(AND('Bonding Program'!$P$26&lt;&gt;"",BX$3='Bonding Program'!$P$26,BX$3&lt;='Bonding Program'!$C$8),N('Bonding Program'!$O$26),0)</f>
        <v>0</v>
      </c>
      <c r="BY167" s="19" t="n">
        <f aca="false">IF(AND('Bonding Program'!$S$26=1,'Bonding Program'!$H$26&gt;'Bonding Program'!$C$8,BY$3='Bonding Program'!$H$26),'Bonding Program'!$T$26-'Bonding Program'!$U$26-'Bonding Program'!$Z$26,0)-IF(AND('Bonding Program'!$S$26=1,'Bonding Program'!$H$26&lt;='Bonding Program'!$C$8,BY$3=IF('Bonding Program'!$P$26&lt;&gt;"",'Bonding Program'!$P$26,'Bonding Program'!$C$8)),'Bonding Program'!$Z$26,0)+IF(AND('Bonding Program'!$P$26&lt;&gt;"",BY$3='Bonding Program'!$P$26,BY$3&lt;='Bonding Program'!$C$8),N('Bonding Program'!$O$26),0)</f>
        <v>0</v>
      </c>
      <c r="BZ167" s="19" t="n">
        <f aca="false">IF(AND('Bonding Program'!$S$26=1,'Bonding Program'!$H$26&gt;'Bonding Program'!$C$8,BZ$3='Bonding Program'!$H$26),'Bonding Program'!$T$26-'Bonding Program'!$U$26-'Bonding Program'!$Z$26,0)-IF(AND('Bonding Program'!$S$26=1,'Bonding Program'!$H$26&lt;='Bonding Program'!$C$8,BZ$3=IF('Bonding Program'!$P$26&lt;&gt;"",'Bonding Program'!$P$26,'Bonding Program'!$C$8)),'Bonding Program'!$Z$26,0)+IF(AND('Bonding Program'!$P$26&lt;&gt;"",BZ$3='Bonding Program'!$P$26,BZ$3&lt;='Bonding Program'!$C$8),N('Bonding Program'!$O$26),0)</f>
        <v>0</v>
      </c>
      <c r="CA167" s="19" t="n">
        <f aca="false">IF(AND('Bonding Program'!$S$26=1,'Bonding Program'!$H$26&gt;'Bonding Program'!$C$8,CA$3='Bonding Program'!$H$26),'Bonding Program'!$T$26-'Bonding Program'!$U$26-'Bonding Program'!$Z$26,0)-IF(AND('Bonding Program'!$S$26=1,'Bonding Program'!$H$26&lt;='Bonding Program'!$C$8,CA$3=IF('Bonding Program'!$P$26&lt;&gt;"",'Bonding Program'!$P$26,'Bonding Program'!$C$8)),'Bonding Program'!$Z$26,0)+IF(AND('Bonding Program'!$P$26&lt;&gt;"",CA$3='Bonding Program'!$P$26,CA$3&lt;='Bonding Program'!$C$8),N('Bonding Program'!$O$26),0)</f>
        <v>0</v>
      </c>
      <c r="CB167" s="19" t="n">
        <f aca="false">IF(AND('Bonding Program'!$S$26=1,'Bonding Program'!$H$26&gt;'Bonding Program'!$C$8,CB$3='Bonding Program'!$H$26),'Bonding Program'!$T$26-'Bonding Program'!$U$26-'Bonding Program'!$Z$26,0)-IF(AND('Bonding Program'!$S$26=1,'Bonding Program'!$H$26&lt;='Bonding Program'!$C$8,CB$3=IF('Bonding Program'!$P$26&lt;&gt;"",'Bonding Program'!$P$26,'Bonding Program'!$C$8)),'Bonding Program'!$Z$26,0)+IF(AND('Bonding Program'!$P$26&lt;&gt;"",CB$3='Bonding Program'!$P$26,CB$3&lt;='Bonding Program'!$C$8),N('Bonding Program'!$O$26),0)</f>
        <v>0</v>
      </c>
      <c r="CC167" s="19" t="n">
        <f aca="false">IF(AND('Bonding Program'!$S$26=1,'Bonding Program'!$H$26&gt;'Bonding Program'!$C$8,CC$3='Bonding Program'!$H$26),'Bonding Program'!$T$26-'Bonding Program'!$U$26-'Bonding Program'!$Z$26,0)-IF(AND('Bonding Program'!$S$26=1,'Bonding Program'!$H$26&lt;='Bonding Program'!$C$8,CC$3=IF('Bonding Program'!$P$26&lt;&gt;"",'Bonding Program'!$P$26,'Bonding Program'!$C$8)),'Bonding Program'!$Z$26,0)+IF(AND('Bonding Program'!$P$26&lt;&gt;"",CC$3='Bonding Program'!$P$26,CC$3&lt;='Bonding Program'!$C$8),N('Bonding Program'!$O$26),0)</f>
        <v>0</v>
      </c>
      <c r="CD167" s="19" t="n">
        <f aca="false">IF(AND('Bonding Program'!$S$26=1,'Bonding Program'!$H$26&gt;'Bonding Program'!$C$8,CD$3='Bonding Program'!$H$26),'Bonding Program'!$T$26-'Bonding Program'!$U$26-'Bonding Program'!$Z$26,0)-IF(AND('Bonding Program'!$S$26=1,'Bonding Program'!$H$26&lt;='Bonding Program'!$C$8,CD$3=IF('Bonding Program'!$P$26&lt;&gt;"",'Bonding Program'!$P$26,'Bonding Program'!$C$8)),'Bonding Program'!$Z$26,0)+IF(AND('Bonding Program'!$P$26&lt;&gt;"",CD$3='Bonding Program'!$P$26,CD$3&lt;='Bonding Program'!$C$8),N('Bonding Program'!$O$26),0)</f>
        <v>0</v>
      </c>
      <c r="CE167" s="19" t="n">
        <f aca="false">IF(AND('Bonding Program'!$S$26=1,'Bonding Program'!$H$26&gt;'Bonding Program'!$C$8,CE$3='Bonding Program'!$H$26),'Bonding Program'!$T$26-'Bonding Program'!$U$26-'Bonding Program'!$Z$26,0)-IF(AND('Bonding Program'!$S$26=1,'Bonding Program'!$H$26&lt;='Bonding Program'!$C$8,CE$3=IF('Bonding Program'!$P$26&lt;&gt;"",'Bonding Program'!$P$26,'Bonding Program'!$C$8)),'Bonding Program'!$Z$26,0)+IF(AND('Bonding Program'!$P$26&lt;&gt;"",CE$3='Bonding Program'!$P$26,CE$3&lt;='Bonding Program'!$C$8),N('Bonding Program'!$O$26),0)</f>
        <v>0</v>
      </c>
      <c r="CF167" s="19" t="n">
        <f aca="false">IF(AND('Bonding Program'!$S$26=1,'Bonding Program'!$H$26&gt;'Bonding Program'!$C$8,CF$3='Bonding Program'!$H$26),'Bonding Program'!$T$26-'Bonding Program'!$U$26-'Bonding Program'!$Z$26,0)-IF(AND('Bonding Program'!$S$26=1,'Bonding Program'!$H$26&lt;='Bonding Program'!$C$8,CF$3=IF('Bonding Program'!$P$26&lt;&gt;"",'Bonding Program'!$P$26,'Bonding Program'!$C$8)),'Bonding Program'!$Z$26,0)+IF(AND('Bonding Program'!$P$26&lt;&gt;"",CF$3='Bonding Program'!$P$26,CF$3&lt;='Bonding Program'!$C$8),N('Bonding Program'!$O$26),0)</f>
        <v>0</v>
      </c>
      <c r="CG167" s="19" t="n">
        <f aca="false">IF(AND('Bonding Program'!$S$26=1,'Bonding Program'!$H$26&gt;'Bonding Program'!$C$8,CG$3='Bonding Program'!$H$26),'Bonding Program'!$T$26-'Bonding Program'!$U$26-'Bonding Program'!$Z$26,0)-IF(AND('Bonding Program'!$S$26=1,'Bonding Program'!$H$26&lt;='Bonding Program'!$C$8,CG$3=IF('Bonding Program'!$P$26&lt;&gt;"",'Bonding Program'!$P$26,'Bonding Program'!$C$8)),'Bonding Program'!$Z$26,0)+IF(AND('Bonding Program'!$P$26&lt;&gt;"",CG$3='Bonding Program'!$P$26,CG$3&lt;='Bonding Program'!$C$8),N('Bonding Program'!$O$26),0)</f>
        <v>0</v>
      </c>
      <c r="CH167" s="19" t="n">
        <f aca="false">IF(AND('Bonding Program'!$S$26=1,'Bonding Program'!$H$26&gt;'Bonding Program'!$C$8,CH$3='Bonding Program'!$H$26),'Bonding Program'!$T$26-'Bonding Program'!$U$26-'Bonding Program'!$Z$26,0)-IF(AND('Bonding Program'!$S$26=1,'Bonding Program'!$H$26&lt;='Bonding Program'!$C$8,CH$3=IF('Bonding Program'!$P$26&lt;&gt;"",'Bonding Program'!$P$26,'Bonding Program'!$C$8)),'Bonding Program'!$Z$26,0)+IF(AND('Bonding Program'!$P$26&lt;&gt;"",CH$3='Bonding Program'!$P$26,CH$3&lt;='Bonding Program'!$C$8),N('Bonding Program'!$O$26),0)</f>
        <v>0</v>
      </c>
      <c r="CI167" s="19" t="n">
        <f aca="false">IF(AND('Bonding Program'!$S$26=1,'Bonding Program'!$H$26&gt;'Bonding Program'!$C$8,CI$3='Bonding Program'!$H$26),'Bonding Program'!$T$26-'Bonding Program'!$U$26-'Bonding Program'!$Z$26,0)-IF(AND('Bonding Program'!$S$26=1,'Bonding Program'!$H$26&lt;='Bonding Program'!$C$8,CI$3=IF('Bonding Program'!$P$26&lt;&gt;"",'Bonding Program'!$P$26,'Bonding Program'!$C$8)),'Bonding Program'!$Z$26,0)+IF(AND('Bonding Program'!$P$26&lt;&gt;"",CI$3='Bonding Program'!$P$26,CI$3&lt;='Bonding Program'!$C$8),N('Bonding Program'!$O$26),0)</f>
        <v>0</v>
      </c>
      <c r="CJ167" s="19" t="n">
        <f aca="false">IF(AND('Bonding Program'!$S$26=1,'Bonding Program'!$H$26&gt;'Bonding Program'!$C$8,CJ$3='Bonding Program'!$H$26),'Bonding Program'!$T$26-'Bonding Program'!$U$26-'Bonding Program'!$Z$26,0)-IF(AND('Bonding Program'!$S$26=1,'Bonding Program'!$H$26&lt;='Bonding Program'!$C$8,CJ$3=IF('Bonding Program'!$P$26&lt;&gt;"",'Bonding Program'!$P$26,'Bonding Program'!$C$8)),'Bonding Program'!$Z$26,0)+IF(AND('Bonding Program'!$P$26&lt;&gt;"",CJ$3='Bonding Program'!$P$26,CJ$3&lt;='Bonding Program'!$C$8),N('Bonding Program'!$O$26),0)</f>
        <v>0</v>
      </c>
      <c r="CK167" s="19" t="n">
        <f aca="false">IF(AND('Bonding Program'!$S$26=1,'Bonding Program'!$H$26&gt;'Bonding Program'!$C$8,CK$3='Bonding Program'!$H$26),'Bonding Program'!$T$26-'Bonding Program'!$U$26-'Bonding Program'!$Z$26,0)-IF(AND('Bonding Program'!$S$26=1,'Bonding Program'!$H$26&lt;='Bonding Program'!$C$8,CK$3=IF('Bonding Program'!$P$26&lt;&gt;"",'Bonding Program'!$P$26,'Bonding Program'!$C$8)),'Bonding Program'!$Z$26,0)+IF(AND('Bonding Program'!$P$26&lt;&gt;"",CK$3='Bonding Program'!$P$26,CK$3&lt;='Bonding Program'!$C$8),N('Bonding Program'!$O$26),0)</f>
        <v>0</v>
      </c>
      <c r="CL167" s="19" t="n">
        <f aca="false">IF(AND('Bonding Program'!$S$26=1,'Bonding Program'!$H$26&gt;'Bonding Program'!$C$8,CL$3='Bonding Program'!$H$26),'Bonding Program'!$T$26-'Bonding Program'!$U$26-'Bonding Program'!$Z$26,0)-IF(AND('Bonding Program'!$S$26=1,'Bonding Program'!$H$26&lt;='Bonding Program'!$C$8,CL$3=IF('Bonding Program'!$P$26&lt;&gt;"",'Bonding Program'!$P$26,'Bonding Program'!$C$8)),'Bonding Program'!$Z$26,0)+IF(AND('Bonding Program'!$P$26&lt;&gt;"",CL$3='Bonding Program'!$P$26,CL$3&lt;='Bonding Program'!$C$8),N('Bonding Program'!$O$26),0)</f>
        <v>0</v>
      </c>
      <c r="CM167" s="19" t="n">
        <f aca="false">IF(AND('Bonding Program'!$S$26=1,'Bonding Program'!$H$26&gt;'Bonding Program'!$C$8,CM$3='Bonding Program'!$H$26),'Bonding Program'!$T$26-'Bonding Program'!$U$26-'Bonding Program'!$Z$26,0)-IF(AND('Bonding Program'!$S$26=1,'Bonding Program'!$H$26&lt;='Bonding Program'!$C$8,CM$3=IF('Bonding Program'!$P$26&lt;&gt;"",'Bonding Program'!$P$26,'Bonding Program'!$C$8)),'Bonding Program'!$Z$26,0)+IF(AND('Bonding Program'!$P$26&lt;&gt;"",CM$3='Bonding Program'!$P$26,CM$3&lt;='Bonding Program'!$C$8),N('Bonding Program'!$O$26),0)</f>
        <v>0</v>
      </c>
      <c r="CN167" s="19" t="n">
        <f aca="false">IF(AND('Bonding Program'!$S$26=1,'Bonding Program'!$H$26&gt;'Bonding Program'!$C$8,CN$3='Bonding Program'!$H$26),'Bonding Program'!$T$26-'Bonding Program'!$U$26-'Bonding Program'!$Z$26,0)-IF(AND('Bonding Program'!$S$26=1,'Bonding Program'!$H$26&lt;='Bonding Program'!$C$8,CN$3=IF('Bonding Program'!$P$26&lt;&gt;"",'Bonding Program'!$P$26,'Bonding Program'!$C$8)),'Bonding Program'!$Z$26,0)+IF(AND('Bonding Program'!$P$26&lt;&gt;"",CN$3='Bonding Program'!$P$26,CN$3&lt;='Bonding Program'!$C$8),N('Bonding Program'!$O$26),0)</f>
        <v>0</v>
      </c>
      <c r="CO167" s="19" t="n">
        <f aca="false">IF(AND('Bonding Program'!$S$26=1,'Bonding Program'!$H$26&gt;'Bonding Program'!$C$8,CO$3='Bonding Program'!$H$26),'Bonding Program'!$T$26-'Bonding Program'!$U$26-'Bonding Program'!$Z$26,0)-IF(AND('Bonding Program'!$S$26=1,'Bonding Program'!$H$26&lt;='Bonding Program'!$C$8,CO$3=IF('Bonding Program'!$P$26&lt;&gt;"",'Bonding Program'!$P$26,'Bonding Program'!$C$8)),'Bonding Program'!$Z$26,0)+IF(AND('Bonding Program'!$P$26&lt;&gt;"",CO$3='Bonding Program'!$P$26,CO$3&lt;='Bonding Program'!$C$8),N('Bonding Program'!$O$26),0)</f>
        <v>0</v>
      </c>
      <c r="CP167" s="19" t="n">
        <f aca="false">IF(AND('Bonding Program'!$S$26=1,'Bonding Program'!$H$26&gt;'Bonding Program'!$C$8,CP$3='Bonding Program'!$H$26),'Bonding Program'!$T$26-'Bonding Program'!$U$26-'Bonding Program'!$Z$26,0)-IF(AND('Bonding Program'!$S$26=1,'Bonding Program'!$H$26&lt;='Bonding Program'!$C$8,CP$3=IF('Bonding Program'!$P$26&lt;&gt;"",'Bonding Program'!$P$26,'Bonding Program'!$C$8)),'Bonding Program'!$Z$26,0)+IF(AND('Bonding Program'!$P$26&lt;&gt;"",CP$3='Bonding Program'!$P$26,CP$3&lt;='Bonding Program'!$C$8),N('Bonding Program'!$O$26),0)</f>
        <v>0</v>
      </c>
      <c r="CQ167" s="19" t="n">
        <f aca="false">IF(AND('Bonding Program'!$S$26=1,'Bonding Program'!$H$26&gt;'Bonding Program'!$C$8,CQ$3='Bonding Program'!$H$26),'Bonding Program'!$T$26-'Bonding Program'!$U$26-'Bonding Program'!$Z$26,0)-IF(AND('Bonding Program'!$S$26=1,'Bonding Program'!$H$26&lt;='Bonding Program'!$C$8,CQ$3=IF('Bonding Program'!$P$26&lt;&gt;"",'Bonding Program'!$P$26,'Bonding Program'!$C$8)),'Bonding Program'!$Z$26,0)+IF(AND('Bonding Program'!$P$26&lt;&gt;"",CQ$3='Bonding Program'!$P$26,CQ$3&lt;='Bonding Program'!$C$8),N('Bonding Program'!$O$26),0)</f>
        <v>0</v>
      </c>
      <c r="CR167" s="19" t="n">
        <f aca="false">IF(AND('Bonding Program'!$S$26=1,'Bonding Program'!$H$26&gt;'Bonding Program'!$C$8,CR$3='Bonding Program'!$H$26),'Bonding Program'!$T$26-'Bonding Program'!$U$26-'Bonding Program'!$Z$26,0)-IF(AND('Bonding Program'!$S$26=1,'Bonding Program'!$H$26&lt;='Bonding Program'!$C$8,CR$3=IF('Bonding Program'!$P$26&lt;&gt;"",'Bonding Program'!$P$26,'Bonding Program'!$C$8)),'Bonding Program'!$Z$26,0)+IF(AND('Bonding Program'!$P$26&lt;&gt;"",CR$3='Bonding Program'!$P$26,CR$3&lt;='Bonding Program'!$C$8),N('Bonding Program'!$O$26),0)</f>
        <v>0</v>
      </c>
      <c r="CS167" s="19" t="n">
        <f aca="false">IF(AND('Bonding Program'!$S$26=1,'Bonding Program'!$H$26&gt;'Bonding Program'!$C$8,CS$3='Bonding Program'!$H$26),'Bonding Program'!$T$26-'Bonding Program'!$U$26-'Bonding Program'!$Z$26,0)-IF(AND('Bonding Program'!$S$26=1,'Bonding Program'!$H$26&lt;='Bonding Program'!$C$8,CS$3=IF('Bonding Program'!$P$26&lt;&gt;"",'Bonding Program'!$P$26,'Bonding Program'!$C$8)),'Bonding Program'!$Z$26,0)+IF(AND('Bonding Program'!$P$26&lt;&gt;"",CS$3='Bonding Program'!$P$26,CS$3&lt;='Bonding Program'!$C$8),N('Bonding Program'!$O$26),0)</f>
        <v>0</v>
      </c>
      <c r="CT167" s="19" t="n">
        <f aca="false">IF(AND('Bonding Program'!$S$26=1,'Bonding Program'!$H$26&gt;'Bonding Program'!$C$8,CT$3='Bonding Program'!$H$26),'Bonding Program'!$T$26-'Bonding Program'!$U$26-'Bonding Program'!$Z$26,0)-IF(AND('Bonding Program'!$S$26=1,'Bonding Program'!$H$26&lt;='Bonding Program'!$C$8,CT$3=IF('Bonding Program'!$P$26&lt;&gt;"",'Bonding Program'!$P$26,'Bonding Program'!$C$8)),'Bonding Program'!$Z$26,0)+IF(AND('Bonding Program'!$P$26&lt;&gt;"",CT$3='Bonding Program'!$P$26,CT$3&lt;='Bonding Program'!$C$8),N('Bonding Program'!$O$26),0)</f>
        <v>0</v>
      </c>
      <c r="CU167" s="19" t="n">
        <f aca="false">IF(AND('Bonding Program'!$S$26=1,'Bonding Program'!$H$26&gt;'Bonding Program'!$C$8,CU$3='Bonding Program'!$H$26),'Bonding Program'!$T$26-'Bonding Program'!$U$26-'Bonding Program'!$Z$26,0)-IF(AND('Bonding Program'!$S$26=1,'Bonding Program'!$H$26&lt;='Bonding Program'!$C$8,CU$3=IF('Bonding Program'!$P$26&lt;&gt;"",'Bonding Program'!$P$26,'Bonding Program'!$C$8)),'Bonding Program'!$Z$26,0)+IF(AND('Bonding Program'!$P$26&lt;&gt;"",CU$3='Bonding Program'!$P$26,CU$3&lt;='Bonding Program'!$C$8),N('Bonding Program'!$O$26),0)</f>
        <v>0</v>
      </c>
      <c r="CV167" s="19" t="n">
        <f aca="false">IF(AND('Bonding Program'!$S$26=1,'Bonding Program'!$H$26&gt;'Bonding Program'!$C$8,CV$3='Bonding Program'!$H$26),'Bonding Program'!$T$26-'Bonding Program'!$U$26-'Bonding Program'!$Z$26,0)-IF(AND('Bonding Program'!$S$26=1,'Bonding Program'!$H$26&lt;='Bonding Program'!$C$8,CV$3=IF('Bonding Program'!$P$26&lt;&gt;"",'Bonding Program'!$P$26,'Bonding Program'!$C$8)),'Bonding Program'!$Z$26,0)+IF(AND('Bonding Program'!$P$26&lt;&gt;"",CV$3='Bonding Program'!$P$26,CV$3&lt;='Bonding Program'!$C$8),N('Bonding Program'!$O$26),0)</f>
        <v>0</v>
      </c>
      <c r="CW167" s="19" t="n">
        <f aca="false">IF(AND('Bonding Program'!$S$26=1,'Bonding Program'!$H$26&gt;'Bonding Program'!$C$8,CW$3='Bonding Program'!$H$26),'Bonding Program'!$T$26-'Bonding Program'!$U$26-'Bonding Program'!$Z$26,0)-IF(AND('Bonding Program'!$S$26=1,'Bonding Program'!$H$26&lt;='Bonding Program'!$C$8,CW$3=IF('Bonding Program'!$P$26&lt;&gt;"",'Bonding Program'!$P$26,'Bonding Program'!$C$8)),'Bonding Program'!$Z$26,0)+IF(AND('Bonding Program'!$P$26&lt;&gt;"",CW$3='Bonding Program'!$P$26,CW$3&lt;='Bonding Program'!$C$8),N('Bonding Program'!$O$26),0)</f>
        <v>0</v>
      </c>
      <c r="CX167" s="19" t="n">
        <f aca="false">IF(AND('Bonding Program'!$S$26=1,'Bonding Program'!$H$26&gt;'Bonding Program'!$C$8,CX$3='Bonding Program'!$H$26),'Bonding Program'!$T$26-'Bonding Program'!$U$26-'Bonding Program'!$Z$26,0)-IF(AND('Bonding Program'!$S$26=1,'Bonding Program'!$H$26&lt;='Bonding Program'!$C$8,CX$3=IF('Bonding Program'!$P$26&lt;&gt;"",'Bonding Program'!$P$26,'Bonding Program'!$C$8)),'Bonding Program'!$Z$26,0)+IF(AND('Bonding Program'!$P$26&lt;&gt;"",CX$3='Bonding Program'!$P$26,CX$3&lt;='Bonding Program'!$C$8),N('Bonding Program'!$O$26),0)</f>
        <v>0</v>
      </c>
      <c r="CY167" s="19" t="n">
        <f aca="false">IF(AND('Bonding Program'!$S$26=1,'Bonding Program'!$H$26&gt;'Bonding Program'!$C$8,CY$3='Bonding Program'!$H$26),'Bonding Program'!$T$26-'Bonding Program'!$U$26-'Bonding Program'!$Z$26,0)-IF(AND('Bonding Program'!$S$26=1,'Bonding Program'!$H$26&lt;='Bonding Program'!$C$8,CY$3=IF('Bonding Program'!$P$26&lt;&gt;"",'Bonding Program'!$P$26,'Bonding Program'!$C$8)),'Bonding Program'!$Z$26,0)+IF(AND('Bonding Program'!$P$26&lt;&gt;"",CY$3='Bonding Program'!$P$26,CY$3&lt;='Bonding Program'!$C$8),N('Bonding Program'!$O$26),0)</f>
        <v>0</v>
      </c>
      <c r="CZ167" s="19" t="n">
        <f aca="false">IF(AND('Bonding Program'!$S$26=1,'Bonding Program'!$H$26&gt;'Bonding Program'!$C$8,CZ$3='Bonding Program'!$H$26),'Bonding Program'!$T$26-'Bonding Program'!$U$26-'Bonding Program'!$Z$26,0)-IF(AND('Bonding Program'!$S$26=1,'Bonding Program'!$H$26&lt;='Bonding Program'!$C$8,CZ$3=IF('Bonding Program'!$P$26&lt;&gt;"",'Bonding Program'!$P$26,'Bonding Program'!$C$8)),'Bonding Program'!$Z$26,0)+IF(AND('Bonding Program'!$P$26&lt;&gt;"",CZ$3='Bonding Program'!$P$26,CZ$3&lt;='Bonding Program'!$C$8),N('Bonding Program'!$O$26),0)</f>
        <v>0</v>
      </c>
      <c r="DA167" s="19" t="n">
        <f aca="false">IF(AND('Bonding Program'!$S$26=1,'Bonding Program'!$H$26&gt;'Bonding Program'!$C$8,DA$3='Bonding Program'!$H$26),'Bonding Program'!$T$26-'Bonding Program'!$U$26-'Bonding Program'!$Z$26,0)-IF(AND('Bonding Program'!$S$26=1,'Bonding Program'!$H$26&lt;='Bonding Program'!$C$8,DA$3=IF('Bonding Program'!$P$26&lt;&gt;"",'Bonding Program'!$P$26,'Bonding Program'!$C$8)),'Bonding Program'!$Z$26,0)+IF(AND('Bonding Program'!$P$26&lt;&gt;"",DA$3='Bonding Program'!$P$26,DA$3&lt;='Bonding Program'!$C$8),N('Bonding Program'!$O$26),0)</f>
        <v>0</v>
      </c>
      <c r="DB167" s="19" t="n">
        <f aca="false">IF(AND('Bonding Program'!$S$26=1,'Bonding Program'!$H$26&gt;'Bonding Program'!$C$8,DB$3='Bonding Program'!$H$26),'Bonding Program'!$T$26-'Bonding Program'!$U$26-'Bonding Program'!$Z$26,0)-IF(AND('Bonding Program'!$S$26=1,'Bonding Program'!$H$26&lt;='Bonding Program'!$C$8,DB$3=IF('Bonding Program'!$P$26&lt;&gt;"",'Bonding Program'!$P$26,'Bonding Program'!$C$8)),'Bonding Program'!$Z$26,0)+IF(AND('Bonding Program'!$P$26&lt;&gt;"",DB$3='Bonding Program'!$P$26,DB$3&lt;='Bonding Program'!$C$8),N('Bonding Program'!$O$26),0)</f>
        <v>0</v>
      </c>
      <c r="DC167" s="19" t="n">
        <f aca="false">IF(AND('Bonding Program'!$S$26=1,'Bonding Program'!$H$26&gt;'Bonding Program'!$C$8,DC$3='Bonding Program'!$H$26),'Bonding Program'!$T$26-'Bonding Program'!$U$26-'Bonding Program'!$Z$26,0)-IF(AND('Bonding Program'!$S$26=1,'Bonding Program'!$H$26&lt;='Bonding Program'!$C$8,DC$3=IF('Bonding Program'!$P$26&lt;&gt;"",'Bonding Program'!$P$26,'Bonding Program'!$C$8)),'Bonding Program'!$Z$26,0)+IF(AND('Bonding Program'!$P$26&lt;&gt;"",DC$3='Bonding Program'!$P$26,DC$3&lt;='Bonding Program'!$C$8),N('Bonding Program'!$O$26),0)</f>
        <v>0</v>
      </c>
      <c r="DD167" s="19" t="n">
        <f aca="false">IF(AND('Bonding Program'!$S$26=1,'Bonding Program'!$H$26&gt;'Bonding Program'!$C$8,DD$3='Bonding Program'!$H$26),'Bonding Program'!$T$26-'Bonding Program'!$U$26-'Bonding Program'!$Z$26,0)-IF(AND('Bonding Program'!$S$26=1,'Bonding Program'!$H$26&lt;='Bonding Program'!$C$8,DD$3=IF('Bonding Program'!$P$26&lt;&gt;"",'Bonding Program'!$P$26,'Bonding Program'!$C$8)),'Bonding Program'!$Z$26,0)+IF(AND('Bonding Program'!$P$26&lt;&gt;"",DD$3='Bonding Program'!$P$26,DD$3&lt;='Bonding Program'!$C$8),N('Bonding Program'!$O$26),0)</f>
        <v>0</v>
      </c>
      <c r="DE167" s="19" t="n">
        <f aca="false">IF(AND('Bonding Program'!$S$26=1,'Bonding Program'!$H$26&gt;'Bonding Program'!$C$8,DE$3='Bonding Program'!$H$26),'Bonding Program'!$T$26-'Bonding Program'!$U$26-'Bonding Program'!$Z$26,0)-IF(AND('Bonding Program'!$S$26=1,'Bonding Program'!$H$26&lt;='Bonding Program'!$C$8,DE$3=IF('Bonding Program'!$P$26&lt;&gt;"",'Bonding Program'!$P$26,'Bonding Program'!$C$8)),'Bonding Program'!$Z$26,0)+IF(AND('Bonding Program'!$P$26&lt;&gt;"",DE$3='Bonding Program'!$P$26,DE$3&lt;='Bonding Program'!$C$8),N('Bonding Program'!$O$26),0)</f>
        <v>0</v>
      </c>
    </row>
    <row r="168" customFormat="false" ht="15" hidden="false" customHeight="true" outlineLevel="1" collapsed="false">
      <c r="A168" s="28" t="s">
        <v>23</v>
      </c>
      <c r="B168" s="19" t="n">
        <f aca="false">IF(AND('Bonding Program'!$S$27=1,'Bonding Program'!$H$27&gt;'Bonding Program'!$C$8,B$3='Bonding Program'!$H$27),'Bonding Program'!$T$27-'Bonding Program'!$U$27-'Bonding Program'!$Z$27,0)-IF(AND('Bonding Program'!$S$27=1,'Bonding Program'!$H$27&lt;='Bonding Program'!$C$8,B$3=IF('Bonding Program'!$P$27&lt;&gt;"",'Bonding Program'!$P$27,'Bonding Program'!$C$8)),'Bonding Program'!$Z$27,0)+IF(AND('Bonding Program'!$P$27&lt;&gt;"",B$3='Bonding Program'!$P$27,B$3&lt;='Bonding Program'!$C$8),N('Bonding Program'!$O$27),0)</f>
        <v>0</v>
      </c>
      <c r="C168" s="19" t="n">
        <f aca="false">IF(AND('Bonding Program'!$S$27=1,'Bonding Program'!$H$27&gt;'Bonding Program'!$C$8,C$3='Bonding Program'!$H$27),'Bonding Program'!$T$27-'Bonding Program'!$U$27-'Bonding Program'!$Z$27,0)-IF(AND('Bonding Program'!$S$27=1,'Bonding Program'!$H$27&lt;='Bonding Program'!$C$8,C$3=IF('Bonding Program'!$P$27&lt;&gt;"",'Bonding Program'!$P$27,'Bonding Program'!$C$8)),'Bonding Program'!$Z$27,0)+IF(AND('Bonding Program'!$P$27&lt;&gt;"",C$3='Bonding Program'!$P$27,C$3&lt;='Bonding Program'!$C$8),N('Bonding Program'!$O$27),0)</f>
        <v>0</v>
      </c>
      <c r="D168" s="19" t="n">
        <f aca="false">IF(AND('Bonding Program'!$S$27=1,'Bonding Program'!$H$27&gt;'Bonding Program'!$C$8,D$3='Bonding Program'!$H$27),'Bonding Program'!$T$27-'Bonding Program'!$U$27-'Bonding Program'!$Z$27,0)-IF(AND('Bonding Program'!$S$27=1,'Bonding Program'!$H$27&lt;='Bonding Program'!$C$8,D$3=IF('Bonding Program'!$P$27&lt;&gt;"",'Bonding Program'!$P$27,'Bonding Program'!$C$8)),'Bonding Program'!$Z$27,0)+IF(AND('Bonding Program'!$P$27&lt;&gt;"",D$3='Bonding Program'!$P$27,D$3&lt;='Bonding Program'!$C$8),N('Bonding Program'!$O$27),0)</f>
        <v>0</v>
      </c>
      <c r="E168" s="19" t="n">
        <f aca="false">IF(AND('Bonding Program'!$S$27=1,'Bonding Program'!$H$27&gt;'Bonding Program'!$C$8,E$3='Bonding Program'!$H$27),'Bonding Program'!$T$27-'Bonding Program'!$U$27-'Bonding Program'!$Z$27,0)-IF(AND('Bonding Program'!$S$27=1,'Bonding Program'!$H$27&lt;='Bonding Program'!$C$8,E$3=IF('Bonding Program'!$P$27&lt;&gt;"",'Bonding Program'!$P$27,'Bonding Program'!$C$8)),'Bonding Program'!$Z$27,0)+IF(AND('Bonding Program'!$P$27&lt;&gt;"",E$3='Bonding Program'!$P$27,E$3&lt;='Bonding Program'!$C$8),N('Bonding Program'!$O$27),0)</f>
        <v>0</v>
      </c>
      <c r="F168" s="19" t="n">
        <f aca="false">IF(AND('Bonding Program'!$S$27=1,'Bonding Program'!$H$27&gt;'Bonding Program'!$C$8,F$3='Bonding Program'!$H$27),'Bonding Program'!$T$27-'Bonding Program'!$U$27-'Bonding Program'!$Z$27,0)-IF(AND('Bonding Program'!$S$27=1,'Bonding Program'!$H$27&lt;='Bonding Program'!$C$8,F$3=IF('Bonding Program'!$P$27&lt;&gt;"",'Bonding Program'!$P$27,'Bonding Program'!$C$8)),'Bonding Program'!$Z$27,0)+IF(AND('Bonding Program'!$P$27&lt;&gt;"",F$3='Bonding Program'!$P$27,F$3&lt;='Bonding Program'!$C$8),N('Bonding Program'!$O$27),0)</f>
        <v>0</v>
      </c>
      <c r="G168" s="19" t="n">
        <f aca="false">IF(AND('Bonding Program'!$S$27=1,'Bonding Program'!$H$27&gt;'Bonding Program'!$C$8,G$3='Bonding Program'!$H$27),'Bonding Program'!$T$27-'Bonding Program'!$U$27-'Bonding Program'!$Z$27,0)-IF(AND('Bonding Program'!$S$27=1,'Bonding Program'!$H$27&lt;='Bonding Program'!$C$8,G$3=IF('Bonding Program'!$P$27&lt;&gt;"",'Bonding Program'!$P$27,'Bonding Program'!$C$8)),'Bonding Program'!$Z$27,0)+IF(AND('Bonding Program'!$P$27&lt;&gt;"",G$3='Bonding Program'!$P$27,G$3&lt;='Bonding Program'!$C$8),N('Bonding Program'!$O$27),0)</f>
        <v>0</v>
      </c>
      <c r="H168" s="19" t="n">
        <f aca="false">IF(AND('Bonding Program'!$S$27=1,'Bonding Program'!$H$27&gt;'Bonding Program'!$C$8,H$3='Bonding Program'!$H$27),'Bonding Program'!$T$27-'Bonding Program'!$U$27-'Bonding Program'!$Z$27,0)-IF(AND('Bonding Program'!$S$27=1,'Bonding Program'!$H$27&lt;='Bonding Program'!$C$8,H$3=IF('Bonding Program'!$P$27&lt;&gt;"",'Bonding Program'!$P$27,'Bonding Program'!$C$8)),'Bonding Program'!$Z$27,0)+IF(AND('Bonding Program'!$P$27&lt;&gt;"",H$3='Bonding Program'!$P$27,H$3&lt;='Bonding Program'!$C$8),N('Bonding Program'!$O$27),0)</f>
        <v>0</v>
      </c>
      <c r="I168" s="19" t="n">
        <f aca="false">IF(AND('Bonding Program'!$S$27=1,'Bonding Program'!$H$27&gt;'Bonding Program'!$C$8,I$3='Bonding Program'!$H$27),'Bonding Program'!$T$27-'Bonding Program'!$U$27-'Bonding Program'!$Z$27,0)-IF(AND('Bonding Program'!$S$27=1,'Bonding Program'!$H$27&lt;='Bonding Program'!$C$8,I$3=IF('Bonding Program'!$P$27&lt;&gt;"",'Bonding Program'!$P$27,'Bonding Program'!$C$8)),'Bonding Program'!$Z$27,0)+IF(AND('Bonding Program'!$P$27&lt;&gt;"",I$3='Bonding Program'!$P$27,I$3&lt;='Bonding Program'!$C$8),N('Bonding Program'!$O$27),0)</f>
        <v>0</v>
      </c>
      <c r="J168" s="19" t="n">
        <f aca="false">IF(AND('Bonding Program'!$S$27=1,'Bonding Program'!$H$27&gt;'Bonding Program'!$C$8,J$3='Bonding Program'!$H$27),'Bonding Program'!$T$27-'Bonding Program'!$U$27-'Bonding Program'!$Z$27,0)-IF(AND('Bonding Program'!$S$27=1,'Bonding Program'!$H$27&lt;='Bonding Program'!$C$8,J$3=IF('Bonding Program'!$P$27&lt;&gt;"",'Bonding Program'!$P$27,'Bonding Program'!$C$8)),'Bonding Program'!$Z$27,0)+IF(AND('Bonding Program'!$P$27&lt;&gt;"",J$3='Bonding Program'!$P$27,J$3&lt;='Bonding Program'!$C$8),N('Bonding Program'!$O$27),0)</f>
        <v>0</v>
      </c>
      <c r="K168" s="19" t="n">
        <f aca="false">IF(AND('Bonding Program'!$S$27=1,'Bonding Program'!$H$27&gt;'Bonding Program'!$C$8,K$3='Bonding Program'!$H$27),'Bonding Program'!$T$27-'Bonding Program'!$U$27-'Bonding Program'!$Z$27,0)-IF(AND('Bonding Program'!$S$27=1,'Bonding Program'!$H$27&lt;='Bonding Program'!$C$8,K$3=IF('Bonding Program'!$P$27&lt;&gt;"",'Bonding Program'!$P$27,'Bonding Program'!$C$8)),'Bonding Program'!$Z$27,0)+IF(AND('Bonding Program'!$P$27&lt;&gt;"",K$3='Bonding Program'!$P$27,K$3&lt;='Bonding Program'!$C$8),N('Bonding Program'!$O$27),0)</f>
        <v>0</v>
      </c>
      <c r="L168" s="19" t="n">
        <f aca="false">IF(AND('Bonding Program'!$S$27=1,'Bonding Program'!$H$27&gt;'Bonding Program'!$C$8,L$3='Bonding Program'!$H$27),'Bonding Program'!$T$27-'Bonding Program'!$U$27-'Bonding Program'!$Z$27,0)-IF(AND('Bonding Program'!$S$27=1,'Bonding Program'!$H$27&lt;='Bonding Program'!$C$8,L$3=IF('Bonding Program'!$P$27&lt;&gt;"",'Bonding Program'!$P$27,'Bonding Program'!$C$8)),'Bonding Program'!$Z$27,0)+IF(AND('Bonding Program'!$P$27&lt;&gt;"",L$3='Bonding Program'!$P$27,L$3&lt;='Bonding Program'!$C$8),N('Bonding Program'!$O$27),0)</f>
        <v>0</v>
      </c>
      <c r="M168" s="19" t="n">
        <f aca="false">IF(AND('Bonding Program'!$S$27=1,'Bonding Program'!$H$27&gt;'Bonding Program'!$C$8,M$3='Bonding Program'!$H$27),'Bonding Program'!$T$27-'Bonding Program'!$U$27-'Bonding Program'!$Z$27,0)-IF(AND('Bonding Program'!$S$27=1,'Bonding Program'!$H$27&lt;='Bonding Program'!$C$8,M$3=IF('Bonding Program'!$P$27&lt;&gt;"",'Bonding Program'!$P$27,'Bonding Program'!$C$8)),'Bonding Program'!$Z$27,0)+IF(AND('Bonding Program'!$P$27&lt;&gt;"",M$3='Bonding Program'!$P$27,M$3&lt;='Bonding Program'!$C$8),N('Bonding Program'!$O$27),0)</f>
        <v>0</v>
      </c>
      <c r="N168" s="19" t="n">
        <f aca="false">IF(AND('Bonding Program'!$S$27=1,'Bonding Program'!$H$27&gt;'Bonding Program'!$C$8,N$3='Bonding Program'!$H$27),'Bonding Program'!$T$27-'Bonding Program'!$U$27-'Bonding Program'!$Z$27,0)-IF(AND('Bonding Program'!$S$27=1,'Bonding Program'!$H$27&lt;='Bonding Program'!$C$8,N$3=IF('Bonding Program'!$P$27&lt;&gt;"",'Bonding Program'!$P$27,'Bonding Program'!$C$8)),'Bonding Program'!$Z$27,0)+IF(AND('Bonding Program'!$P$27&lt;&gt;"",N$3='Bonding Program'!$P$27,N$3&lt;='Bonding Program'!$C$8),N('Bonding Program'!$O$27),0)</f>
        <v>0</v>
      </c>
      <c r="O168" s="19" t="n">
        <f aca="false">IF(AND('Bonding Program'!$S$27=1,'Bonding Program'!$H$27&gt;'Bonding Program'!$C$8,O$3='Bonding Program'!$H$27),'Bonding Program'!$T$27-'Bonding Program'!$U$27-'Bonding Program'!$Z$27,0)-IF(AND('Bonding Program'!$S$27=1,'Bonding Program'!$H$27&lt;='Bonding Program'!$C$8,O$3=IF('Bonding Program'!$P$27&lt;&gt;"",'Bonding Program'!$P$27,'Bonding Program'!$C$8)),'Bonding Program'!$Z$27,0)+IF(AND('Bonding Program'!$P$27&lt;&gt;"",O$3='Bonding Program'!$P$27,O$3&lt;='Bonding Program'!$C$8),N('Bonding Program'!$O$27),0)</f>
        <v>0</v>
      </c>
      <c r="P168" s="19" t="n">
        <f aca="false">IF(AND('Bonding Program'!$S$27=1,'Bonding Program'!$H$27&gt;'Bonding Program'!$C$8,P$3='Bonding Program'!$H$27),'Bonding Program'!$T$27-'Bonding Program'!$U$27-'Bonding Program'!$Z$27,0)-IF(AND('Bonding Program'!$S$27=1,'Bonding Program'!$H$27&lt;='Bonding Program'!$C$8,P$3=IF('Bonding Program'!$P$27&lt;&gt;"",'Bonding Program'!$P$27,'Bonding Program'!$C$8)),'Bonding Program'!$Z$27,0)+IF(AND('Bonding Program'!$P$27&lt;&gt;"",P$3='Bonding Program'!$P$27,P$3&lt;='Bonding Program'!$C$8),N('Bonding Program'!$O$27),0)</f>
        <v>0</v>
      </c>
      <c r="Q168" s="19" t="n">
        <f aca="false">IF(AND('Bonding Program'!$S$27=1,'Bonding Program'!$H$27&gt;'Bonding Program'!$C$8,Q$3='Bonding Program'!$H$27),'Bonding Program'!$T$27-'Bonding Program'!$U$27-'Bonding Program'!$Z$27,0)-IF(AND('Bonding Program'!$S$27=1,'Bonding Program'!$H$27&lt;='Bonding Program'!$C$8,Q$3=IF('Bonding Program'!$P$27&lt;&gt;"",'Bonding Program'!$P$27,'Bonding Program'!$C$8)),'Bonding Program'!$Z$27,0)+IF(AND('Bonding Program'!$P$27&lt;&gt;"",Q$3='Bonding Program'!$P$27,Q$3&lt;='Bonding Program'!$C$8),N('Bonding Program'!$O$27),0)</f>
        <v>0</v>
      </c>
      <c r="R168" s="19" t="n">
        <f aca="false">IF(AND('Bonding Program'!$S$27=1,'Bonding Program'!$H$27&gt;'Bonding Program'!$C$8,R$3='Bonding Program'!$H$27),'Bonding Program'!$T$27-'Bonding Program'!$U$27-'Bonding Program'!$Z$27,0)-IF(AND('Bonding Program'!$S$27=1,'Bonding Program'!$H$27&lt;='Bonding Program'!$C$8,R$3=IF('Bonding Program'!$P$27&lt;&gt;"",'Bonding Program'!$P$27,'Bonding Program'!$C$8)),'Bonding Program'!$Z$27,0)+IF(AND('Bonding Program'!$P$27&lt;&gt;"",R$3='Bonding Program'!$P$27,R$3&lt;='Bonding Program'!$C$8),N('Bonding Program'!$O$27),0)</f>
        <v>0</v>
      </c>
      <c r="S168" s="19" t="n">
        <f aca="false">IF(AND('Bonding Program'!$S$27=1,'Bonding Program'!$H$27&gt;'Bonding Program'!$C$8,S$3='Bonding Program'!$H$27),'Bonding Program'!$T$27-'Bonding Program'!$U$27-'Bonding Program'!$Z$27,0)-IF(AND('Bonding Program'!$S$27=1,'Bonding Program'!$H$27&lt;='Bonding Program'!$C$8,S$3=IF('Bonding Program'!$P$27&lt;&gt;"",'Bonding Program'!$P$27,'Bonding Program'!$C$8)),'Bonding Program'!$Z$27,0)+IF(AND('Bonding Program'!$P$27&lt;&gt;"",S$3='Bonding Program'!$P$27,S$3&lt;='Bonding Program'!$C$8),N('Bonding Program'!$O$27),0)</f>
        <v>0</v>
      </c>
      <c r="T168" s="19" t="n">
        <f aca="false">IF(AND('Bonding Program'!$S$27=1,'Bonding Program'!$H$27&gt;'Bonding Program'!$C$8,T$3='Bonding Program'!$H$27),'Bonding Program'!$T$27-'Bonding Program'!$U$27-'Bonding Program'!$Z$27,0)-IF(AND('Bonding Program'!$S$27=1,'Bonding Program'!$H$27&lt;='Bonding Program'!$C$8,T$3=IF('Bonding Program'!$P$27&lt;&gt;"",'Bonding Program'!$P$27,'Bonding Program'!$C$8)),'Bonding Program'!$Z$27,0)+IF(AND('Bonding Program'!$P$27&lt;&gt;"",T$3='Bonding Program'!$P$27,T$3&lt;='Bonding Program'!$C$8),N('Bonding Program'!$O$27),0)</f>
        <v>0</v>
      </c>
      <c r="U168" s="19" t="n">
        <f aca="false">IF(AND('Bonding Program'!$S$27=1,'Bonding Program'!$H$27&gt;'Bonding Program'!$C$8,U$3='Bonding Program'!$H$27),'Bonding Program'!$T$27-'Bonding Program'!$U$27-'Bonding Program'!$Z$27,0)-IF(AND('Bonding Program'!$S$27=1,'Bonding Program'!$H$27&lt;='Bonding Program'!$C$8,U$3=IF('Bonding Program'!$P$27&lt;&gt;"",'Bonding Program'!$P$27,'Bonding Program'!$C$8)),'Bonding Program'!$Z$27,0)+IF(AND('Bonding Program'!$P$27&lt;&gt;"",U$3='Bonding Program'!$P$27,U$3&lt;='Bonding Program'!$C$8),N('Bonding Program'!$O$27),0)</f>
        <v>0</v>
      </c>
      <c r="V168" s="19" t="n">
        <f aca="false">IF(AND('Bonding Program'!$S$27=1,'Bonding Program'!$H$27&gt;'Bonding Program'!$C$8,V$3='Bonding Program'!$H$27),'Bonding Program'!$T$27-'Bonding Program'!$U$27-'Bonding Program'!$Z$27,0)-IF(AND('Bonding Program'!$S$27=1,'Bonding Program'!$H$27&lt;='Bonding Program'!$C$8,V$3=IF('Bonding Program'!$P$27&lt;&gt;"",'Bonding Program'!$P$27,'Bonding Program'!$C$8)),'Bonding Program'!$Z$27,0)+IF(AND('Bonding Program'!$P$27&lt;&gt;"",V$3='Bonding Program'!$P$27,V$3&lt;='Bonding Program'!$C$8),N('Bonding Program'!$O$27),0)</f>
        <v>0</v>
      </c>
      <c r="W168" s="19" t="n">
        <f aca="false">IF(AND('Bonding Program'!$S$27=1,'Bonding Program'!$H$27&gt;'Bonding Program'!$C$8,W$3='Bonding Program'!$H$27),'Bonding Program'!$T$27-'Bonding Program'!$U$27-'Bonding Program'!$Z$27,0)-IF(AND('Bonding Program'!$S$27=1,'Bonding Program'!$H$27&lt;='Bonding Program'!$C$8,W$3=IF('Bonding Program'!$P$27&lt;&gt;"",'Bonding Program'!$P$27,'Bonding Program'!$C$8)),'Bonding Program'!$Z$27,0)+IF(AND('Bonding Program'!$P$27&lt;&gt;"",W$3='Bonding Program'!$P$27,W$3&lt;='Bonding Program'!$C$8),N('Bonding Program'!$O$27),0)</f>
        <v>0</v>
      </c>
      <c r="X168" s="19" t="n">
        <f aca="false">IF(AND('Bonding Program'!$S$27=1,'Bonding Program'!$H$27&gt;'Bonding Program'!$C$8,X$3='Bonding Program'!$H$27),'Bonding Program'!$T$27-'Bonding Program'!$U$27-'Bonding Program'!$Z$27,0)-IF(AND('Bonding Program'!$S$27=1,'Bonding Program'!$H$27&lt;='Bonding Program'!$C$8,X$3=IF('Bonding Program'!$P$27&lt;&gt;"",'Bonding Program'!$P$27,'Bonding Program'!$C$8)),'Bonding Program'!$Z$27,0)+IF(AND('Bonding Program'!$P$27&lt;&gt;"",X$3='Bonding Program'!$P$27,X$3&lt;='Bonding Program'!$C$8),N('Bonding Program'!$O$27),0)</f>
        <v>0</v>
      </c>
      <c r="Y168" s="19" t="n">
        <f aca="false">IF(AND('Bonding Program'!$S$27=1,'Bonding Program'!$H$27&gt;'Bonding Program'!$C$8,Y$3='Bonding Program'!$H$27),'Bonding Program'!$T$27-'Bonding Program'!$U$27-'Bonding Program'!$Z$27,0)-IF(AND('Bonding Program'!$S$27=1,'Bonding Program'!$H$27&lt;='Bonding Program'!$C$8,Y$3=IF('Bonding Program'!$P$27&lt;&gt;"",'Bonding Program'!$P$27,'Bonding Program'!$C$8)),'Bonding Program'!$Z$27,0)+IF(AND('Bonding Program'!$P$27&lt;&gt;"",Y$3='Bonding Program'!$P$27,Y$3&lt;='Bonding Program'!$C$8),N('Bonding Program'!$O$27),0)</f>
        <v>0</v>
      </c>
      <c r="Z168" s="19" t="n">
        <f aca="false">IF(AND('Bonding Program'!$S$27=1,'Bonding Program'!$H$27&gt;'Bonding Program'!$C$8,Z$3='Bonding Program'!$H$27),'Bonding Program'!$T$27-'Bonding Program'!$U$27-'Bonding Program'!$Z$27,0)-IF(AND('Bonding Program'!$S$27=1,'Bonding Program'!$H$27&lt;='Bonding Program'!$C$8,Z$3=IF('Bonding Program'!$P$27&lt;&gt;"",'Bonding Program'!$P$27,'Bonding Program'!$C$8)),'Bonding Program'!$Z$27,0)+IF(AND('Bonding Program'!$P$27&lt;&gt;"",Z$3='Bonding Program'!$P$27,Z$3&lt;='Bonding Program'!$C$8),N('Bonding Program'!$O$27),0)</f>
        <v>0</v>
      </c>
      <c r="AA168" s="19" t="n">
        <f aca="false">IF(AND('Bonding Program'!$S$27=1,'Bonding Program'!$H$27&gt;'Bonding Program'!$C$8,AA$3='Bonding Program'!$H$27),'Bonding Program'!$T$27-'Bonding Program'!$U$27-'Bonding Program'!$Z$27,0)-IF(AND('Bonding Program'!$S$27=1,'Bonding Program'!$H$27&lt;='Bonding Program'!$C$8,AA$3=IF('Bonding Program'!$P$27&lt;&gt;"",'Bonding Program'!$P$27,'Bonding Program'!$C$8)),'Bonding Program'!$Z$27,0)+IF(AND('Bonding Program'!$P$27&lt;&gt;"",AA$3='Bonding Program'!$P$27,AA$3&lt;='Bonding Program'!$C$8),N('Bonding Program'!$O$27),0)</f>
        <v>0</v>
      </c>
      <c r="AB168" s="19" t="n">
        <f aca="false">IF(AND('Bonding Program'!$S$27=1,'Bonding Program'!$H$27&gt;'Bonding Program'!$C$8,AB$3='Bonding Program'!$H$27),'Bonding Program'!$T$27-'Bonding Program'!$U$27-'Bonding Program'!$Z$27,0)-IF(AND('Bonding Program'!$S$27=1,'Bonding Program'!$H$27&lt;='Bonding Program'!$C$8,AB$3=IF('Bonding Program'!$P$27&lt;&gt;"",'Bonding Program'!$P$27,'Bonding Program'!$C$8)),'Bonding Program'!$Z$27,0)+IF(AND('Bonding Program'!$P$27&lt;&gt;"",AB$3='Bonding Program'!$P$27,AB$3&lt;='Bonding Program'!$C$8),N('Bonding Program'!$O$27),0)</f>
        <v>0</v>
      </c>
      <c r="AC168" s="19" t="n">
        <f aca="false">IF(AND('Bonding Program'!$S$27=1,'Bonding Program'!$H$27&gt;'Bonding Program'!$C$8,AC$3='Bonding Program'!$H$27),'Bonding Program'!$T$27-'Bonding Program'!$U$27-'Bonding Program'!$Z$27,0)-IF(AND('Bonding Program'!$S$27=1,'Bonding Program'!$H$27&lt;='Bonding Program'!$C$8,AC$3=IF('Bonding Program'!$P$27&lt;&gt;"",'Bonding Program'!$P$27,'Bonding Program'!$C$8)),'Bonding Program'!$Z$27,0)+IF(AND('Bonding Program'!$P$27&lt;&gt;"",AC$3='Bonding Program'!$P$27,AC$3&lt;='Bonding Program'!$C$8),N('Bonding Program'!$O$27),0)</f>
        <v>0</v>
      </c>
      <c r="AD168" s="19" t="n">
        <f aca="false">IF(AND('Bonding Program'!$S$27=1,'Bonding Program'!$H$27&gt;'Bonding Program'!$C$8,AD$3='Bonding Program'!$H$27),'Bonding Program'!$T$27-'Bonding Program'!$U$27-'Bonding Program'!$Z$27,0)-IF(AND('Bonding Program'!$S$27=1,'Bonding Program'!$H$27&lt;='Bonding Program'!$C$8,AD$3=IF('Bonding Program'!$P$27&lt;&gt;"",'Bonding Program'!$P$27,'Bonding Program'!$C$8)),'Bonding Program'!$Z$27,0)+IF(AND('Bonding Program'!$P$27&lt;&gt;"",AD$3='Bonding Program'!$P$27,AD$3&lt;='Bonding Program'!$C$8),N('Bonding Program'!$O$27),0)</f>
        <v>0</v>
      </c>
      <c r="AE168" s="19" t="n">
        <f aca="false">IF(AND('Bonding Program'!$S$27=1,'Bonding Program'!$H$27&gt;'Bonding Program'!$C$8,AE$3='Bonding Program'!$H$27),'Bonding Program'!$T$27-'Bonding Program'!$U$27-'Bonding Program'!$Z$27,0)-IF(AND('Bonding Program'!$S$27=1,'Bonding Program'!$H$27&lt;='Bonding Program'!$C$8,AE$3=IF('Bonding Program'!$P$27&lt;&gt;"",'Bonding Program'!$P$27,'Bonding Program'!$C$8)),'Bonding Program'!$Z$27,0)+IF(AND('Bonding Program'!$P$27&lt;&gt;"",AE$3='Bonding Program'!$P$27,AE$3&lt;='Bonding Program'!$C$8),N('Bonding Program'!$O$27),0)</f>
        <v>0</v>
      </c>
      <c r="AF168" s="19" t="n">
        <f aca="false">IF(AND('Bonding Program'!$S$27=1,'Bonding Program'!$H$27&gt;'Bonding Program'!$C$8,AF$3='Bonding Program'!$H$27),'Bonding Program'!$T$27-'Bonding Program'!$U$27-'Bonding Program'!$Z$27,0)-IF(AND('Bonding Program'!$S$27=1,'Bonding Program'!$H$27&lt;='Bonding Program'!$C$8,AF$3=IF('Bonding Program'!$P$27&lt;&gt;"",'Bonding Program'!$P$27,'Bonding Program'!$C$8)),'Bonding Program'!$Z$27,0)+IF(AND('Bonding Program'!$P$27&lt;&gt;"",AF$3='Bonding Program'!$P$27,AF$3&lt;='Bonding Program'!$C$8),N('Bonding Program'!$O$27),0)</f>
        <v>0</v>
      </c>
      <c r="AG168" s="19" t="n">
        <f aca="false">IF(AND('Bonding Program'!$S$27=1,'Bonding Program'!$H$27&gt;'Bonding Program'!$C$8,AG$3='Bonding Program'!$H$27),'Bonding Program'!$T$27-'Bonding Program'!$U$27-'Bonding Program'!$Z$27,0)-IF(AND('Bonding Program'!$S$27=1,'Bonding Program'!$H$27&lt;='Bonding Program'!$C$8,AG$3=IF('Bonding Program'!$P$27&lt;&gt;"",'Bonding Program'!$P$27,'Bonding Program'!$C$8)),'Bonding Program'!$Z$27,0)+IF(AND('Bonding Program'!$P$27&lt;&gt;"",AG$3='Bonding Program'!$P$27,AG$3&lt;='Bonding Program'!$C$8),N('Bonding Program'!$O$27),0)</f>
        <v>0</v>
      </c>
      <c r="AH168" s="19" t="n">
        <f aca="false">IF(AND('Bonding Program'!$S$27=1,'Bonding Program'!$H$27&gt;'Bonding Program'!$C$8,AH$3='Bonding Program'!$H$27),'Bonding Program'!$T$27-'Bonding Program'!$U$27-'Bonding Program'!$Z$27,0)-IF(AND('Bonding Program'!$S$27=1,'Bonding Program'!$H$27&lt;='Bonding Program'!$C$8,AH$3=IF('Bonding Program'!$P$27&lt;&gt;"",'Bonding Program'!$P$27,'Bonding Program'!$C$8)),'Bonding Program'!$Z$27,0)+IF(AND('Bonding Program'!$P$27&lt;&gt;"",AH$3='Bonding Program'!$P$27,AH$3&lt;='Bonding Program'!$C$8),N('Bonding Program'!$O$27),0)</f>
        <v>0</v>
      </c>
      <c r="AI168" s="19" t="n">
        <f aca="false">IF(AND('Bonding Program'!$S$27=1,'Bonding Program'!$H$27&gt;'Bonding Program'!$C$8,AI$3='Bonding Program'!$H$27),'Bonding Program'!$T$27-'Bonding Program'!$U$27-'Bonding Program'!$Z$27,0)-IF(AND('Bonding Program'!$S$27=1,'Bonding Program'!$H$27&lt;='Bonding Program'!$C$8,AI$3=IF('Bonding Program'!$P$27&lt;&gt;"",'Bonding Program'!$P$27,'Bonding Program'!$C$8)),'Bonding Program'!$Z$27,0)+IF(AND('Bonding Program'!$P$27&lt;&gt;"",AI$3='Bonding Program'!$P$27,AI$3&lt;='Bonding Program'!$C$8),N('Bonding Program'!$O$27),0)</f>
        <v>0</v>
      </c>
      <c r="AJ168" s="19" t="n">
        <f aca="false">IF(AND('Bonding Program'!$S$27=1,'Bonding Program'!$H$27&gt;'Bonding Program'!$C$8,AJ$3='Bonding Program'!$H$27),'Bonding Program'!$T$27-'Bonding Program'!$U$27-'Bonding Program'!$Z$27,0)-IF(AND('Bonding Program'!$S$27=1,'Bonding Program'!$H$27&lt;='Bonding Program'!$C$8,AJ$3=IF('Bonding Program'!$P$27&lt;&gt;"",'Bonding Program'!$P$27,'Bonding Program'!$C$8)),'Bonding Program'!$Z$27,0)+IF(AND('Bonding Program'!$P$27&lt;&gt;"",AJ$3='Bonding Program'!$P$27,AJ$3&lt;='Bonding Program'!$C$8),N('Bonding Program'!$O$27),0)</f>
        <v>0</v>
      </c>
      <c r="AK168" s="19" t="n">
        <f aca="false">IF(AND('Bonding Program'!$S$27=1,'Bonding Program'!$H$27&gt;'Bonding Program'!$C$8,AK$3='Bonding Program'!$H$27),'Bonding Program'!$T$27-'Bonding Program'!$U$27-'Bonding Program'!$Z$27,0)-IF(AND('Bonding Program'!$S$27=1,'Bonding Program'!$H$27&lt;='Bonding Program'!$C$8,AK$3=IF('Bonding Program'!$P$27&lt;&gt;"",'Bonding Program'!$P$27,'Bonding Program'!$C$8)),'Bonding Program'!$Z$27,0)+IF(AND('Bonding Program'!$P$27&lt;&gt;"",AK$3='Bonding Program'!$P$27,AK$3&lt;='Bonding Program'!$C$8),N('Bonding Program'!$O$27),0)</f>
        <v>0</v>
      </c>
      <c r="AL168" s="19" t="n">
        <f aca="false">IF(AND('Bonding Program'!$S$27=1,'Bonding Program'!$H$27&gt;'Bonding Program'!$C$8,AL$3='Bonding Program'!$H$27),'Bonding Program'!$T$27-'Bonding Program'!$U$27-'Bonding Program'!$Z$27,0)-IF(AND('Bonding Program'!$S$27=1,'Bonding Program'!$H$27&lt;='Bonding Program'!$C$8,AL$3=IF('Bonding Program'!$P$27&lt;&gt;"",'Bonding Program'!$P$27,'Bonding Program'!$C$8)),'Bonding Program'!$Z$27,0)+IF(AND('Bonding Program'!$P$27&lt;&gt;"",AL$3='Bonding Program'!$P$27,AL$3&lt;='Bonding Program'!$C$8),N('Bonding Program'!$O$27),0)</f>
        <v>0</v>
      </c>
      <c r="AM168" s="19" t="n">
        <f aca="false">IF(AND('Bonding Program'!$S$27=1,'Bonding Program'!$H$27&gt;'Bonding Program'!$C$8,AM$3='Bonding Program'!$H$27),'Bonding Program'!$T$27-'Bonding Program'!$U$27-'Bonding Program'!$Z$27,0)-IF(AND('Bonding Program'!$S$27=1,'Bonding Program'!$H$27&lt;='Bonding Program'!$C$8,AM$3=IF('Bonding Program'!$P$27&lt;&gt;"",'Bonding Program'!$P$27,'Bonding Program'!$C$8)),'Bonding Program'!$Z$27,0)+IF(AND('Bonding Program'!$P$27&lt;&gt;"",AM$3='Bonding Program'!$P$27,AM$3&lt;='Bonding Program'!$C$8),N('Bonding Program'!$O$27),0)</f>
        <v>0</v>
      </c>
      <c r="AN168" s="19" t="n">
        <f aca="false">IF(AND('Bonding Program'!$S$27=1,'Bonding Program'!$H$27&gt;'Bonding Program'!$C$8,AN$3='Bonding Program'!$H$27),'Bonding Program'!$T$27-'Bonding Program'!$U$27-'Bonding Program'!$Z$27,0)-IF(AND('Bonding Program'!$S$27=1,'Bonding Program'!$H$27&lt;='Bonding Program'!$C$8,AN$3=IF('Bonding Program'!$P$27&lt;&gt;"",'Bonding Program'!$P$27,'Bonding Program'!$C$8)),'Bonding Program'!$Z$27,0)+IF(AND('Bonding Program'!$P$27&lt;&gt;"",AN$3='Bonding Program'!$P$27,AN$3&lt;='Bonding Program'!$C$8),N('Bonding Program'!$O$27),0)</f>
        <v>0</v>
      </c>
      <c r="AO168" s="19" t="n">
        <f aca="false">IF(AND('Bonding Program'!$S$27=1,'Bonding Program'!$H$27&gt;'Bonding Program'!$C$8,AO$3='Bonding Program'!$H$27),'Bonding Program'!$T$27-'Bonding Program'!$U$27-'Bonding Program'!$Z$27,0)-IF(AND('Bonding Program'!$S$27=1,'Bonding Program'!$H$27&lt;='Bonding Program'!$C$8,AO$3=IF('Bonding Program'!$P$27&lt;&gt;"",'Bonding Program'!$P$27,'Bonding Program'!$C$8)),'Bonding Program'!$Z$27,0)+IF(AND('Bonding Program'!$P$27&lt;&gt;"",AO$3='Bonding Program'!$P$27,AO$3&lt;='Bonding Program'!$C$8),N('Bonding Program'!$O$27),0)</f>
        <v>0</v>
      </c>
      <c r="AP168" s="19" t="n">
        <f aca="false">IF(AND('Bonding Program'!$S$27=1,'Bonding Program'!$H$27&gt;'Bonding Program'!$C$8,AP$3='Bonding Program'!$H$27),'Bonding Program'!$T$27-'Bonding Program'!$U$27-'Bonding Program'!$Z$27,0)-IF(AND('Bonding Program'!$S$27=1,'Bonding Program'!$H$27&lt;='Bonding Program'!$C$8,AP$3=IF('Bonding Program'!$P$27&lt;&gt;"",'Bonding Program'!$P$27,'Bonding Program'!$C$8)),'Bonding Program'!$Z$27,0)+IF(AND('Bonding Program'!$P$27&lt;&gt;"",AP$3='Bonding Program'!$P$27,AP$3&lt;='Bonding Program'!$C$8),N('Bonding Program'!$O$27),0)</f>
        <v>0</v>
      </c>
      <c r="AQ168" s="19" t="n">
        <f aca="false">IF(AND('Bonding Program'!$S$27=1,'Bonding Program'!$H$27&gt;'Bonding Program'!$C$8,AQ$3='Bonding Program'!$H$27),'Bonding Program'!$T$27-'Bonding Program'!$U$27-'Bonding Program'!$Z$27,0)-IF(AND('Bonding Program'!$S$27=1,'Bonding Program'!$H$27&lt;='Bonding Program'!$C$8,AQ$3=IF('Bonding Program'!$P$27&lt;&gt;"",'Bonding Program'!$P$27,'Bonding Program'!$C$8)),'Bonding Program'!$Z$27,0)+IF(AND('Bonding Program'!$P$27&lt;&gt;"",AQ$3='Bonding Program'!$P$27,AQ$3&lt;='Bonding Program'!$C$8),N('Bonding Program'!$O$27),0)</f>
        <v>0</v>
      </c>
      <c r="AR168" s="19" t="n">
        <f aca="false">IF(AND('Bonding Program'!$S$27=1,'Bonding Program'!$H$27&gt;'Bonding Program'!$C$8,AR$3='Bonding Program'!$H$27),'Bonding Program'!$T$27-'Bonding Program'!$U$27-'Bonding Program'!$Z$27,0)-IF(AND('Bonding Program'!$S$27=1,'Bonding Program'!$H$27&lt;='Bonding Program'!$C$8,AR$3=IF('Bonding Program'!$P$27&lt;&gt;"",'Bonding Program'!$P$27,'Bonding Program'!$C$8)),'Bonding Program'!$Z$27,0)+IF(AND('Bonding Program'!$P$27&lt;&gt;"",AR$3='Bonding Program'!$P$27,AR$3&lt;='Bonding Program'!$C$8),N('Bonding Program'!$O$27),0)</f>
        <v>0</v>
      </c>
      <c r="AS168" s="19" t="n">
        <f aca="false">IF(AND('Bonding Program'!$S$27=1,'Bonding Program'!$H$27&gt;'Bonding Program'!$C$8,AS$3='Bonding Program'!$H$27),'Bonding Program'!$T$27-'Bonding Program'!$U$27-'Bonding Program'!$Z$27,0)-IF(AND('Bonding Program'!$S$27=1,'Bonding Program'!$H$27&lt;='Bonding Program'!$C$8,AS$3=IF('Bonding Program'!$P$27&lt;&gt;"",'Bonding Program'!$P$27,'Bonding Program'!$C$8)),'Bonding Program'!$Z$27,0)+IF(AND('Bonding Program'!$P$27&lt;&gt;"",AS$3='Bonding Program'!$P$27,AS$3&lt;='Bonding Program'!$C$8),N('Bonding Program'!$O$27),0)</f>
        <v>0</v>
      </c>
      <c r="AT168" s="19" t="n">
        <f aca="false">IF(AND('Bonding Program'!$S$27=1,'Bonding Program'!$H$27&gt;'Bonding Program'!$C$8,AT$3='Bonding Program'!$H$27),'Bonding Program'!$T$27-'Bonding Program'!$U$27-'Bonding Program'!$Z$27,0)-IF(AND('Bonding Program'!$S$27=1,'Bonding Program'!$H$27&lt;='Bonding Program'!$C$8,AT$3=IF('Bonding Program'!$P$27&lt;&gt;"",'Bonding Program'!$P$27,'Bonding Program'!$C$8)),'Bonding Program'!$Z$27,0)+IF(AND('Bonding Program'!$P$27&lt;&gt;"",AT$3='Bonding Program'!$P$27,AT$3&lt;='Bonding Program'!$C$8),N('Bonding Program'!$O$27),0)</f>
        <v>0</v>
      </c>
      <c r="AU168" s="19" t="n">
        <f aca="false">IF(AND('Bonding Program'!$S$27=1,'Bonding Program'!$H$27&gt;'Bonding Program'!$C$8,AU$3='Bonding Program'!$H$27),'Bonding Program'!$T$27-'Bonding Program'!$U$27-'Bonding Program'!$Z$27,0)-IF(AND('Bonding Program'!$S$27=1,'Bonding Program'!$H$27&lt;='Bonding Program'!$C$8,AU$3=IF('Bonding Program'!$P$27&lt;&gt;"",'Bonding Program'!$P$27,'Bonding Program'!$C$8)),'Bonding Program'!$Z$27,0)+IF(AND('Bonding Program'!$P$27&lt;&gt;"",AU$3='Bonding Program'!$P$27,AU$3&lt;='Bonding Program'!$C$8),N('Bonding Program'!$O$27),0)</f>
        <v>0</v>
      </c>
      <c r="AV168" s="19" t="n">
        <f aca="false">IF(AND('Bonding Program'!$S$27=1,'Bonding Program'!$H$27&gt;'Bonding Program'!$C$8,AV$3='Bonding Program'!$H$27),'Bonding Program'!$T$27-'Bonding Program'!$U$27-'Bonding Program'!$Z$27,0)-IF(AND('Bonding Program'!$S$27=1,'Bonding Program'!$H$27&lt;='Bonding Program'!$C$8,AV$3=IF('Bonding Program'!$P$27&lt;&gt;"",'Bonding Program'!$P$27,'Bonding Program'!$C$8)),'Bonding Program'!$Z$27,0)+IF(AND('Bonding Program'!$P$27&lt;&gt;"",AV$3='Bonding Program'!$P$27,AV$3&lt;='Bonding Program'!$C$8),N('Bonding Program'!$O$27),0)</f>
        <v>0</v>
      </c>
      <c r="AW168" s="19" t="n">
        <f aca="false">IF(AND('Bonding Program'!$S$27=1,'Bonding Program'!$H$27&gt;'Bonding Program'!$C$8,AW$3='Bonding Program'!$H$27),'Bonding Program'!$T$27-'Bonding Program'!$U$27-'Bonding Program'!$Z$27,0)-IF(AND('Bonding Program'!$S$27=1,'Bonding Program'!$H$27&lt;='Bonding Program'!$C$8,AW$3=IF('Bonding Program'!$P$27&lt;&gt;"",'Bonding Program'!$P$27,'Bonding Program'!$C$8)),'Bonding Program'!$Z$27,0)+IF(AND('Bonding Program'!$P$27&lt;&gt;"",AW$3='Bonding Program'!$P$27,AW$3&lt;='Bonding Program'!$C$8),N('Bonding Program'!$O$27),0)</f>
        <v>0</v>
      </c>
      <c r="AX168" s="19" t="n">
        <f aca="false">IF(AND('Bonding Program'!$S$27=1,'Bonding Program'!$H$27&gt;'Bonding Program'!$C$8,AX$3='Bonding Program'!$H$27),'Bonding Program'!$T$27-'Bonding Program'!$U$27-'Bonding Program'!$Z$27,0)-IF(AND('Bonding Program'!$S$27=1,'Bonding Program'!$H$27&lt;='Bonding Program'!$C$8,AX$3=IF('Bonding Program'!$P$27&lt;&gt;"",'Bonding Program'!$P$27,'Bonding Program'!$C$8)),'Bonding Program'!$Z$27,0)+IF(AND('Bonding Program'!$P$27&lt;&gt;"",AX$3='Bonding Program'!$P$27,AX$3&lt;='Bonding Program'!$C$8),N('Bonding Program'!$O$27),0)</f>
        <v>0</v>
      </c>
      <c r="AY168" s="19" t="n">
        <f aca="false">IF(AND('Bonding Program'!$S$27=1,'Bonding Program'!$H$27&gt;'Bonding Program'!$C$8,AY$3='Bonding Program'!$H$27),'Bonding Program'!$T$27-'Bonding Program'!$U$27-'Bonding Program'!$Z$27,0)-IF(AND('Bonding Program'!$S$27=1,'Bonding Program'!$H$27&lt;='Bonding Program'!$C$8,AY$3=IF('Bonding Program'!$P$27&lt;&gt;"",'Bonding Program'!$P$27,'Bonding Program'!$C$8)),'Bonding Program'!$Z$27,0)+IF(AND('Bonding Program'!$P$27&lt;&gt;"",AY$3='Bonding Program'!$P$27,AY$3&lt;='Bonding Program'!$C$8),N('Bonding Program'!$O$27),0)</f>
        <v>0</v>
      </c>
      <c r="AZ168" s="19" t="n">
        <f aca="false">IF(AND('Bonding Program'!$S$27=1,'Bonding Program'!$H$27&gt;'Bonding Program'!$C$8,AZ$3='Bonding Program'!$H$27),'Bonding Program'!$T$27-'Bonding Program'!$U$27-'Bonding Program'!$Z$27,0)-IF(AND('Bonding Program'!$S$27=1,'Bonding Program'!$H$27&lt;='Bonding Program'!$C$8,AZ$3=IF('Bonding Program'!$P$27&lt;&gt;"",'Bonding Program'!$P$27,'Bonding Program'!$C$8)),'Bonding Program'!$Z$27,0)+IF(AND('Bonding Program'!$P$27&lt;&gt;"",AZ$3='Bonding Program'!$P$27,AZ$3&lt;='Bonding Program'!$C$8),N('Bonding Program'!$O$27),0)</f>
        <v>0</v>
      </c>
      <c r="BA168" s="19" t="n">
        <f aca="false">IF(AND('Bonding Program'!$S$27=1,'Bonding Program'!$H$27&gt;'Bonding Program'!$C$8,BA$3='Bonding Program'!$H$27),'Bonding Program'!$T$27-'Bonding Program'!$U$27-'Bonding Program'!$Z$27,0)-IF(AND('Bonding Program'!$S$27=1,'Bonding Program'!$H$27&lt;='Bonding Program'!$C$8,BA$3=IF('Bonding Program'!$P$27&lt;&gt;"",'Bonding Program'!$P$27,'Bonding Program'!$C$8)),'Bonding Program'!$Z$27,0)+IF(AND('Bonding Program'!$P$27&lt;&gt;"",BA$3='Bonding Program'!$P$27,BA$3&lt;='Bonding Program'!$C$8),N('Bonding Program'!$O$27),0)</f>
        <v>0</v>
      </c>
      <c r="BB168" s="19" t="n">
        <f aca="false">IF(AND('Bonding Program'!$S$27=1,'Bonding Program'!$H$27&gt;'Bonding Program'!$C$8,BB$3='Bonding Program'!$H$27),'Bonding Program'!$T$27-'Bonding Program'!$U$27-'Bonding Program'!$Z$27,0)-IF(AND('Bonding Program'!$S$27=1,'Bonding Program'!$H$27&lt;='Bonding Program'!$C$8,BB$3=IF('Bonding Program'!$P$27&lt;&gt;"",'Bonding Program'!$P$27,'Bonding Program'!$C$8)),'Bonding Program'!$Z$27,0)+IF(AND('Bonding Program'!$P$27&lt;&gt;"",BB$3='Bonding Program'!$P$27,BB$3&lt;='Bonding Program'!$C$8),N('Bonding Program'!$O$27),0)</f>
        <v>0</v>
      </c>
      <c r="BC168" s="19" t="n">
        <f aca="false">IF(AND('Bonding Program'!$S$27=1,'Bonding Program'!$H$27&gt;'Bonding Program'!$C$8,BC$3='Bonding Program'!$H$27),'Bonding Program'!$T$27-'Bonding Program'!$U$27-'Bonding Program'!$Z$27,0)-IF(AND('Bonding Program'!$S$27=1,'Bonding Program'!$H$27&lt;='Bonding Program'!$C$8,BC$3=IF('Bonding Program'!$P$27&lt;&gt;"",'Bonding Program'!$P$27,'Bonding Program'!$C$8)),'Bonding Program'!$Z$27,0)+IF(AND('Bonding Program'!$P$27&lt;&gt;"",BC$3='Bonding Program'!$P$27,BC$3&lt;='Bonding Program'!$C$8),N('Bonding Program'!$O$27),0)</f>
        <v>0</v>
      </c>
      <c r="BD168" s="19" t="n">
        <f aca="false">IF(AND('Bonding Program'!$S$27=1,'Bonding Program'!$H$27&gt;'Bonding Program'!$C$8,BD$3='Bonding Program'!$H$27),'Bonding Program'!$T$27-'Bonding Program'!$U$27-'Bonding Program'!$Z$27,0)-IF(AND('Bonding Program'!$S$27=1,'Bonding Program'!$H$27&lt;='Bonding Program'!$C$8,BD$3=IF('Bonding Program'!$P$27&lt;&gt;"",'Bonding Program'!$P$27,'Bonding Program'!$C$8)),'Bonding Program'!$Z$27,0)+IF(AND('Bonding Program'!$P$27&lt;&gt;"",BD$3='Bonding Program'!$P$27,BD$3&lt;='Bonding Program'!$C$8),N('Bonding Program'!$O$27),0)</f>
        <v>0</v>
      </c>
      <c r="BE168" s="19" t="n">
        <f aca="false">IF(AND('Bonding Program'!$S$27=1,'Bonding Program'!$H$27&gt;'Bonding Program'!$C$8,BE$3='Bonding Program'!$H$27),'Bonding Program'!$T$27-'Bonding Program'!$U$27-'Bonding Program'!$Z$27,0)-IF(AND('Bonding Program'!$S$27=1,'Bonding Program'!$H$27&lt;='Bonding Program'!$C$8,BE$3=IF('Bonding Program'!$P$27&lt;&gt;"",'Bonding Program'!$P$27,'Bonding Program'!$C$8)),'Bonding Program'!$Z$27,0)+IF(AND('Bonding Program'!$P$27&lt;&gt;"",BE$3='Bonding Program'!$P$27,BE$3&lt;='Bonding Program'!$C$8),N('Bonding Program'!$O$27),0)</f>
        <v>0</v>
      </c>
      <c r="BF168" s="19" t="n">
        <f aca="false">IF(AND('Bonding Program'!$S$27=1,'Bonding Program'!$H$27&gt;'Bonding Program'!$C$8,BF$3='Bonding Program'!$H$27),'Bonding Program'!$T$27-'Bonding Program'!$U$27-'Bonding Program'!$Z$27,0)-IF(AND('Bonding Program'!$S$27=1,'Bonding Program'!$H$27&lt;='Bonding Program'!$C$8,BF$3=IF('Bonding Program'!$P$27&lt;&gt;"",'Bonding Program'!$P$27,'Bonding Program'!$C$8)),'Bonding Program'!$Z$27,0)+IF(AND('Bonding Program'!$P$27&lt;&gt;"",BF$3='Bonding Program'!$P$27,BF$3&lt;='Bonding Program'!$C$8),N('Bonding Program'!$O$27),0)</f>
        <v>0</v>
      </c>
      <c r="BG168" s="19" t="n">
        <f aca="false">IF(AND('Bonding Program'!$S$27=1,'Bonding Program'!$H$27&gt;'Bonding Program'!$C$8,BG$3='Bonding Program'!$H$27),'Bonding Program'!$T$27-'Bonding Program'!$U$27-'Bonding Program'!$Z$27,0)-IF(AND('Bonding Program'!$S$27=1,'Bonding Program'!$H$27&lt;='Bonding Program'!$C$8,BG$3=IF('Bonding Program'!$P$27&lt;&gt;"",'Bonding Program'!$P$27,'Bonding Program'!$C$8)),'Bonding Program'!$Z$27,0)+IF(AND('Bonding Program'!$P$27&lt;&gt;"",BG$3='Bonding Program'!$P$27,BG$3&lt;='Bonding Program'!$C$8),N('Bonding Program'!$O$27),0)</f>
        <v>0</v>
      </c>
      <c r="BH168" s="19" t="n">
        <f aca="false">IF(AND('Bonding Program'!$S$27=1,'Bonding Program'!$H$27&gt;'Bonding Program'!$C$8,BH$3='Bonding Program'!$H$27),'Bonding Program'!$T$27-'Bonding Program'!$U$27-'Bonding Program'!$Z$27,0)-IF(AND('Bonding Program'!$S$27=1,'Bonding Program'!$H$27&lt;='Bonding Program'!$C$8,BH$3=IF('Bonding Program'!$P$27&lt;&gt;"",'Bonding Program'!$P$27,'Bonding Program'!$C$8)),'Bonding Program'!$Z$27,0)+IF(AND('Bonding Program'!$P$27&lt;&gt;"",BH$3='Bonding Program'!$P$27,BH$3&lt;='Bonding Program'!$C$8),N('Bonding Program'!$O$27),0)</f>
        <v>0</v>
      </c>
      <c r="BI168" s="19" t="n">
        <f aca="false">IF(AND('Bonding Program'!$S$27=1,'Bonding Program'!$H$27&gt;'Bonding Program'!$C$8,BI$3='Bonding Program'!$H$27),'Bonding Program'!$T$27-'Bonding Program'!$U$27-'Bonding Program'!$Z$27,0)-IF(AND('Bonding Program'!$S$27=1,'Bonding Program'!$H$27&lt;='Bonding Program'!$C$8,BI$3=IF('Bonding Program'!$P$27&lt;&gt;"",'Bonding Program'!$P$27,'Bonding Program'!$C$8)),'Bonding Program'!$Z$27,0)+IF(AND('Bonding Program'!$P$27&lt;&gt;"",BI$3='Bonding Program'!$P$27,BI$3&lt;='Bonding Program'!$C$8),N('Bonding Program'!$O$27),0)</f>
        <v>0</v>
      </c>
      <c r="BJ168" s="19" t="n">
        <f aca="false">IF(AND('Bonding Program'!$S$27=1,'Bonding Program'!$H$27&gt;'Bonding Program'!$C$8,BJ$3='Bonding Program'!$H$27),'Bonding Program'!$T$27-'Bonding Program'!$U$27-'Bonding Program'!$Z$27,0)-IF(AND('Bonding Program'!$S$27=1,'Bonding Program'!$H$27&lt;='Bonding Program'!$C$8,BJ$3=IF('Bonding Program'!$P$27&lt;&gt;"",'Bonding Program'!$P$27,'Bonding Program'!$C$8)),'Bonding Program'!$Z$27,0)+IF(AND('Bonding Program'!$P$27&lt;&gt;"",BJ$3='Bonding Program'!$P$27,BJ$3&lt;='Bonding Program'!$C$8),N('Bonding Program'!$O$27),0)</f>
        <v>0</v>
      </c>
      <c r="BK168" s="19" t="n">
        <f aca="false">IF(AND('Bonding Program'!$S$27=1,'Bonding Program'!$H$27&gt;'Bonding Program'!$C$8,BK$3='Bonding Program'!$H$27),'Bonding Program'!$T$27-'Bonding Program'!$U$27-'Bonding Program'!$Z$27,0)-IF(AND('Bonding Program'!$S$27=1,'Bonding Program'!$H$27&lt;='Bonding Program'!$C$8,BK$3=IF('Bonding Program'!$P$27&lt;&gt;"",'Bonding Program'!$P$27,'Bonding Program'!$C$8)),'Bonding Program'!$Z$27,0)+IF(AND('Bonding Program'!$P$27&lt;&gt;"",BK$3='Bonding Program'!$P$27,BK$3&lt;='Bonding Program'!$C$8),N('Bonding Program'!$O$27),0)</f>
        <v>0</v>
      </c>
      <c r="BL168" s="19" t="n">
        <f aca="false">IF(AND('Bonding Program'!$S$27=1,'Bonding Program'!$H$27&gt;'Bonding Program'!$C$8,BL$3='Bonding Program'!$H$27),'Bonding Program'!$T$27-'Bonding Program'!$U$27-'Bonding Program'!$Z$27,0)-IF(AND('Bonding Program'!$S$27=1,'Bonding Program'!$H$27&lt;='Bonding Program'!$C$8,BL$3=IF('Bonding Program'!$P$27&lt;&gt;"",'Bonding Program'!$P$27,'Bonding Program'!$C$8)),'Bonding Program'!$Z$27,0)+IF(AND('Bonding Program'!$P$27&lt;&gt;"",BL$3='Bonding Program'!$P$27,BL$3&lt;='Bonding Program'!$C$8),N('Bonding Program'!$O$27),0)</f>
        <v>0</v>
      </c>
      <c r="BM168" s="19" t="n">
        <f aca="false">IF(AND('Bonding Program'!$S$27=1,'Bonding Program'!$H$27&gt;'Bonding Program'!$C$8,BM$3='Bonding Program'!$H$27),'Bonding Program'!$T$27-'Bonding Program'!$U$27-'Bonding Program'!$Z$27,0)-IF(AND('Bonding Program'!$S$27=1,'Bonding Program'!$H$27&lt;='Bonding Program'!$C$8,BM$3=IF('Bonding Program'!$P$27&lt;&gt;"",'Bonding Program'!$P$27,'Bonding Program'!$C$8)),'Bonding Program'!$Z$27,0)+IF(AND('Bonding Program'!$P$27&lt;&gt;"",BM$3='Bonding Program'!$P$27,BM$3&lt;='Bonding Program'!$C$8),N('Bonding Program'!$O$27),0)</f>
        <v>0</v>
      </c>
      <c r="BN168" s="19" t="n">
        <f aca="false">IF(AND('Bonding Program'!$S$27=1,'Bonding Program'!$H$27&gt;'Bonding Program'!$C$8,BN$3='Bonding Program'!$H$27),'Bonding Program'!$T$27-'Bonding Program'!$U$27-'Bonding Program'!$Z$27,0)-IF(AND('Bonding Program'!$S$27=1,'Bonding Program'!$H$27&lt;='Bonding Program'!$C$8,BN$3=IF('Bonding Program'!$P$27&lt;&gt;"",'Bonding Program'!$P$27,'Bonding Program'!$C$8)),'Bonding Program'!$Z$27,0)+IF(AND('Bonding Program'!$P$27&lt;&gt;"",BN$3='Bonding Program'!$P$27,BN$3&lt;='Bonding Program'!$C$8),N('Bonding Program'!$O$27),0)</f>
        <v>0</v>
      </c>
      <c r="BO168" s="19" t="n">
        <f aca="false">IF(AND('Bonding Program'!$S$27=1,'Bonding Program'!$H$27&gt;'Bonding Program'!$C$8,BO$3='Bonding Program'!$H$27),'Bonding Program'!$T$27-'Bonding Program'!$U$27-'Bonding Program'!$Z$27,0)-IF(AND('Bonding Program'!$S$27=1,'Bonding Program'!$H$27&lt;='Bonding Program'!$C$8,BO$3=IF('Bonding Program'!$P$27&lt;&gt;"",'Bonding Program'!$P$27,'Bonding Program'!$C$8)),'Bonding Program'!$Z$27,0)+IF(AND('Bonding Program'!$P$27&lt;&gt;"",BO$3='Bonding Program'!$P$27,BO$3&lt;='Bonding Program'!$C$8),N('Bonding Program'!$O$27),0)</f>
        <v>0</v>
      </c>
      <c r="BP168" s="19" t="n">
        <f aca="false">IF(AND('Bonding Program'!$S$27=1,'Bonding Program'!$H$27&gt;'Bonding Program'!$C$8,BP$3='Bonding Program'!$H$27),'Bonding Program'!$T$27-'Bonding Program'!$U$27-'Bonding Program'!$Z$27,0)-IF(AND('Bonding Program'!$S$27=1,'Bonding Program'!$H$27&lt;='Bonding Program'!$C$8,BP$3=IF('Bonding Program'!$P$27&lt;&gt;"",'Bonding Program'!$P$27,'Bonding Program'!$C$8)),'Bonding Program'!$Z$27,0)+IF(AND('Bonding Program'!$P$27&lt;&gt;"",BP$3='Bonding Program'!$P$27,BP$3&lt;='Bonding Program'!$C$8),N('Bonding Program'!$O$27),0)</f>
        <v>0</v>
      </c>
      <c r="BQ168" s="19" t="n">
        <f aca="false">IF(AND('Bonding Program'!$S$27=1,'Bonding Program'!$H$27&gt;'Bonding Program'!$C$8,BQ$3='Bonding Program'!$H$27),'Bonding Program'!$T$27-'Bonding Program'!$U$27-'Bonding Program'!$Z$27,0)-IF(AND('Bonding Program'!$S$27=1,'Bonding Program'!$H$27&lt;='Bonding Program'!$C$8,BQ$3=IF('Bonding Program'!$P$27&lt;&gt;"",'Bonding Program'!$P$27,'Bonding Program'!$C$8)),'Bonding Program'!$Z$27,0)+IF(AND('Bonding Program'!$P$27&lt;&gt;"",BQ$3='Bonding Program'!$P$27,BQ$3&lt;='Bonding Program'!$C$8),N('Bonding Program'!$O$27),0)</f>
        <v>0</v>
      </c>
      <c r="BR168" s="19" t="n">
        <f aca="false">IF(AND('Bonding Program'!$S$27=1,'Bonding Program'!$H$27&gt;'Bonding Program'!$C$8,BR$3='Bonding Program'!$H$27),'Bonding Program'!$T$27-'Bonding Program'!$U$27-'Bonding Program'!$Z$27,0)-IF(AND('Bonding Program'!$S$27=1,'Bonding Program'!$H$27&lt;='Bonding Program'!$C$8,BR$3=IF('Bonding Program'!$P$27&lt;&gt;"",'Bonding Program'!$P$27,'Bonding Program'!$C$8)),'Bonding Program'!$Z$27,0)+IF(AND('Bonding Program'!$P$27&lt;&gt;"",BR$3='Bonding Program'!$P$27,BR$3&lt;='Bonding Program'!$C$8),N('Bonding Program'!$O$27),0)</f>
        <v>0</v>
      </c>
      <c r="BS168" s="19" t="n">
        <f aca="false">IF(AND('Bonding Program'!$S$27=1,'Bonding Program'!$H$27&gt;'Bonding Program'!$C$8,BS$3='Bonding Program'!$H$27),'Bonding Program'!$T$27-'Bonding Program'!$U$27-'Bonding Program'!$Z$27,0)-IF(AND('Bonding Program'!$S$27=1,'Bonding Program'!$H$27&lt;='Bonding Program'!$C$8,BS$3=IF('Bonding Program'!$P$27&lt;&gt;"",'Bonding Program'!$P$27,'Bonding Program'!$C$8)),'Bonding Program'!$Z$27,0)+IF(AND('Bonding Program'!$P$27&lt;&gt;"",BS$3='Bonding Program'!$P$27,BS$3&lt;='Bonding Program'!$C$8),N('Bonding Program'!$O$27),0)</f>
        <v>0</v>
      </c>
      <c r="BT168" s="19" t="n">
        <f aca="false">IF(AND('Bonding Program'!$S$27=1,'Bonding Program'!$H$27&gt;'Bonding Program'!$C$8,BT$3='Bonding Program'!$H$27),'Bonding Program'!$T$27-'Bonding Program'!$U$27-'Bonding Program'!$Z$27,0)-IF(AND('Bonding Program'!$S$27=1,'Bonding Program'!$H$27&lt;='Bonding Program'!$C$8,BT$3=IF('Bonding Program'!$P$27&lt;&gt;"",'Bonding Program'!$P$27,'Bonding Program'!$C$8)),'Bonding Program'!$Z$27,0)+IF(AND('Bonding Program'!$P$27&lt;&gt;"",BT$3='Bonding Program'!$P$27,BT$3&lt;='Bonding Program'!$C$8),N('Bonding Program'!$O$27),0)</f>
        <v>0</v>
      </c>
      <c r="BU168" s="19" t="n">
        <f aca="false">IF(AND('Bonding Program'!$S$27=1,'Bonding Program'!$H$27&gt;'Bonding Program'!$C$8,BU$3='Bonding Program'!$H$27),'Bonding Program'!$T$27-'Bonding Program'!$U$27-'Bonding Program'!$Z$27,0)-IF(AND('Bonding Program'!$S$27=1,'Bonding Program'!$H$27&lt;='Bonding Program'!$C$8,BU$3=IF('Bonding Program'!$P$27&lt;&gt;"",'Bonding Program'!$P$27,'Bonding Program'!$C$8)),'Bonding Program'!$Z$27,0)+IF(AND('Bonding Program'!$P$27&lt;&gt;"",BU$3='Bonding Program'!$P$27,BU$3&lt;='Bonding Program'!$C$8),N('Bonding Program'!$O$27),0)</f>
        <v>0</v>
      </c>
      <c r="BV168" s="19" t="n">
        <f aca="false">IF(AND('Bonding Program'!$S$27=1,'Bonding Program'!$H$27&gt;'Bonding Program'!$C$8,BV$3='Bonding Program'!$H$27),'Bonding Program'!$T$27-'Bonding Program'!$U$27-'Bonding Program'!$Z$27,0)-IF(AND('Bonding Program'!$S$27=1,'Bonding Program'!$H$27&lt;='Bonding Program'!$C$8,BV$3=IF('Bonding Program'!$P$27&lt;&gt;"",'Bonding Program'!$P$27,'Bonding Program'!$C$8)),'Bonding Program'!$Z$27,0)+IF(AND('Bonding Program'!$P$27&lt;&gt;"",BV$3='Bonding Program'!$P$27,BV$3&lt;='Bonding Program'!$C$8),N('Bonding Program'!$O$27),0)</f>
        <v>0</v>
      </c>
      <c r="BW168" s="19" t="n">
        <f aca="false">IF(AND('Bonding Program'!$S$27=1,'Bonding Program'!$H$27&gt;'Bonding Program'!$C$8,BW$3='Bonding Program'!$H$27),'Bonding Program'!$T$27-'Bonding Program'!$U$27-'Bonding Program'!$Z$27,0)-IF(AND('Bonding Program'!$S$27=1,'Bonding Program'!$H$27&lt;='Bonding Program'!$C$8,BW$3=IF('Bonding Program'!$P$27&lt;&gt;"",'Bonding Program'!$P$27,'Bonding Program'!$C$8)),'Bonding Program'!$Z$27,0)+IF(AND('Bonding Program'!$P$27&lt;&gt;"",BW$3='Bonding Program'!$P$27,BW$3&lt;='Bonding Program'!$C$8),N('Bonding Program'!$O$27),0)</f>
        <v>0</v>
      </c>
      <c r="BX168" s="19" t="n">
        <f aca="false">IF(AND('Bonding Program'!$S$27=1,'Bonding Program'!$H$27&gt;'Bonding Program'!$C$8,BX$3='Bonding Program'!$H$27),'Bonding Program'!$T$27-'Bonding Program'!$U$27-'Bonding Program'!$Z$27,0)-IF(AND('Bonding Program'!$S$27=1,'Bonding Program'!$H$27&lt;='Bonding Program'!$C$8,BX$3=IF('Bonding Program'!$P$27&lt;&gt;"",'Bonding Program'!$P$27,'Bonding Program'!$C$8)),'Bonding Program'!$Z$27,0)+IF(AND('Bonding Program'!$P$27&lt;&gt;"",BX$3='Bonding Program'!$P$27,BX$3&lt;='Bonding Program'!$C$8),N('Bonding Program'!$O$27),0)</f>
        <v>0</v>
      </c>
      <c r="BY168" s="19" t="n">
        <f aca="false">IF(AND('Bonding Program'!$S$27=1,'Bonding Program'!$H$27&gt;'Bonding Program'!$C$8,BY$3='Bonding Program'!$H$27),'Bonding Program'!$T$27-'Bonding Program'!$U$27-'Bonding Program'!$Z$27,0)-IF(AND('Bonding Program'!$S$27=1,'Bonding Program'!$H$27&lt;='Bonding Program'!$C$8,BY$3=IF('Bonding Program'!$P$27&lt;&gt;"",'Bonding Program'!$P$27,'Bonding Program'!$C$8)),'Bonding Program'!$Z$27,0)+IF(AND('Bonding Program'!$P$27&lt;&gt;"",BY$3='Bonding Program'!$P$27,BY$3&lt;='Bonding Program'!$C$8),N('Bonding Program'!$O$27),0)</f>
        <v>0</v>
      </c>
      <c r="BZ168" s="19" t="n">
        <f aca="false">IF(AND('Bonding Program'!$S$27=1,'Bonding Program'!$H$27&gt;'Bonding Program'!$C$8,BZ$3='Bonding Program'!$H$27),'Bonding Program'!$T$27-'Bonding Program'!$U$27-'Bonding Program'!$Z$27,0)-IF(AND('Bonding Program'!$S$27=1,'Bonding Program'!$H$27&lt;='Bonding Program'!$C$8,BZ$3=IF('Bonding Program'!$P$27&lt;&gt;"",'Bonding Program'!$P$27,'Bonding Program'!$C$8)),'Bonding Program'!$Z$27,0)+IF(AND('Bonding Program'!$P$27&lt;&gt;"",BZ$3='Bonding Program'!$P$27,BZ$3&lt;='Bonding Program'!$C$8),N('Bonding Program'!$O$27),0)</f>
        <v>0</v>
      </c>
      <c r="CA168" s="19" t="n">
        <f aca="false">IF(AND('Bonding Program'!$S$27=1,'Bonding Program'!$H$27&gt;'Bonding Program'!$C$8,CA$3='Bonding Program'!$H$27),'Bonding Program'!$T$27-'Bonding Program'!$U$27-'Bonding Program'!$Z$27,0)-IF(AND('Bonding Program'!$S$27=1,'Bonding Program'!$H$27&lt;='Bonding Program'!$C$8,CA$3=IF('Bonding Program'!$P$27&lt;&gt;"",'Bonding Program'!$P$27,'Bonding Program'!$C$8)),'Bonding Program'!$Z$27,0)+IF(AND('Bonding Program'!$P$27&lt;&gt;"",CA$3='Bonding Program'!$P$27,CA$3&lt;='Bonding Program'!$C$8),N('Bonding Program'!$O$27),0)</f>
        <v>0</v>
      </c>
      <c r="CB168" s="19" t="n">
        <f aca="false">IF(AND('Bonding Program'!$S$27=1,'Bonding Program'!$H$27&gt;'Bonding Program'!$C$8,CB$3='Bonding Program'!$H$27),'Bonding Program'!$T$27-'Bonding Program'!$U$27-'Bonding Program'!$Z$27,0)-IF(AND('Bonding Program'!$S$27=1,'Bonding Program'!$H$27&lt;='Bonding Program'!$C$8,CB$3=IF('Bonding Program'!$P$27&lt;&gt;"",'Bonding Program'!$P$27,'Bonding Program'!$C$8)),'Bonding Program'!$Z$27,0)+IF(AND('Bonding Program'!$P$27&lt;&gt;"",CB$3='Bonding Program'!$P$27,CB$3&lt;='Bonding Program'!$C$8),N('Bonding Program'!$O$27),0)</f>
        <v>0</v>
      </c>
      <c r="CC168" s="19" t="n">
        <f aca="false">IF(AND('Bonding Program'!$S$27=1,'Bonding Program'!$H$27&gt;'Bonding Program'!$C$8,CC$3='Bonding Program'!$H$27),'Bonding Program'!$T$27-'Bonding Program'!$U$27-'Bonding Program'!$Z$27,0)-IF(AND('Bonding Program'!$S$27=1,'Bonding Program'!$H$27&lt;='Bonding Program'!$C$8,CC$3=IF('Bonding Program'!$P$27&lt;&gt;"",'Bonding Program'!$P$27,'Bonding Program'!$C$8)),'Bonding Program'!$Z$27,0)+IF(AND('Bonding Program'!$P$27&lt;&gt;"",CC$3='Bonding Program'!$P$27,CC$3&lt;='Bonding Program'!$C$8),N('Bonding Program'!$O$27),0)</f>
        <v>0</v>
      </c>
      <c r="CD168" s="19" t="n">
        <f aca="false">IF(AND('Bonding Program'!$S$27=1,'Bonding Program'!$H$27&gt;'Bonding Program'!$C$8,CD$3='Bonding Program'!$H$27),'Bonding Program'!$T$27-'Bonding Program'!$U$27-'Bonding Program'!$Z$27,0)-IF(AND('Bonding Program'!$S$27=1,'Bonding Program'!$H$27&lt;='Bonding Program'!$C$8,CD$3=IF('Bonding Program'!$P$27&lt;&gt;"",'Bonding Program'!$P$27,'Bonding Program'!$C$8)),'Bonding Program'!$Z$27,0)+IF(AND('Bonding Program'!$P$27&lt;&gt;"",CD$3='Bonding Program'!$P$27,CD$3&lt;='Bonding Program'!$C$8),N('Bonding Program'!$O$27),0)</f>
        <v>0</v>
      </c>
      <c r="CE168" s="19" t="n">
        <f aca="false">IF(AND('Bonding Program'!$S$27=1,'Bonding Program'!$H$27&gt;'Bonding Program'!$C$8,CE$3='Bonding Program'!$H$27),'Bonding Program'!$T$27-'Bonding Program'!$U$27-'Bonding Program'!$Z$27,0)-IF(AND('Bonding Program'!$S$27=1,'Bonding Program'!$H$27&lt;='Bonding Program'!$C$8,CE$3=IF('Bonding Program'!$P$27&lt;&gt;"",'Bonding Program'!$P$27,'Bonding Program'!$C$8)),'Bonding Program'!$Z$27,0)+IF(AND('Bonding Program'!$P$27&lt;&gt;"",CE$3='Bonding Program'!$P$27,CE$3&lt;='Bonding Program'!$C$8),N('Bonding Program'!$O$27),0)</f>
        <v>0</v>
      </c>
      <c r="CF168" s="19" t="n">
        <f aca="false">IF(AND('Bonding Program'!$S$27=1,'Bonding Program'!$H$27&gt;'Bonding Program'!$C$8,CF$3='Bonding Program'!$H$27),'Bonding Program'!$T$27-'Bonding Program'!$U$27-'Bonding Program'!$Z$27,0)-IF(AND('Bonding Program'!$S$27=1,'Bonding Program'!$H$27&lt;='Bonding Program'!$C$8,CF$3=IF('Bonding Program'!$P$27&lt;&gt;"",'Bonding Program'!$P$27,'Bonding Program'!$C$8)),'Bonding Program'!$Z$27,0)+IF(AND('Bonding Program'!$P$27&lt;&gt;"",CF$3='Bonding Program'!$P$27,CF$3&lt;='Bonding Program'!$C$8),N('Bonding Program'!$O$27),0)</f>
        <v>0</v>
      </c>
      <c r="CG168" s="19" t="n">
        <f aca="false">IF(AND('Bonding Program'!$S$27=1,'Bonding Program'!$H$27&gt;'Bonding Program'!$C$8,CG$3='Bonding Program'!$H$27),'Bonding Program'!$T$27-'Bonding Program'!$U$27-'Bonding Program'!$Z$27,0)-IF(AND('Bonding Program'!$S$27=1,'Bonding Program'!$H$27&lt;='Bonding Program'!$C$8,CG$3=IF('Bonding Program'!$P$27&lt;&gt;"",'Bonding Program'!$P$27,'Bonding Program'!$C$8)),'Bonding Program'!$Z$27,0)+IF(AND('Bonding Program'!$P$27&lt;&gt;"",CG$3='Bonding Program'!$P$27,CG$3&lt;='Bonding Program'!$C$8),N('Bonding Program'!$O$27),0)</f>
        <v>0</v>
      </c>
      <c r="CH168" s="19" t="n">
        <f aca="false">IF(AND('Bonding Program'!$S$27=1,'Bonding Program'!$H$27&gt;'Bonding Program'!$C$8,CH$3='Bonding Program'!$H$27),'Bonding Program'!$T$27-'Bonding Program'!$U$27-'Bonding Program'!$Z$27,0)-IF(AND('Bonding Program'!$S$27=1,'Bonding Program'!$H$27&lt;='Bonding Program'!$C$8,CH$3=IF('Bonding Program'!$P$27&lt;&gt;"",'Bonding Program'!$P$27,'Bonding Program'!$C$8)),'Bonding Program'!$Z$27,0)+IF(AND('Bonding Program'!$P$27&lt;&gt;"",CH$3='Bonding Program'!$P$27,CH$3&lt;='Bonding Program'!$C$8),N('Bonding Program'!$O$27),0)</f>
        <v>0</v>
      </c>
      <c r="CI168" s="19" t="n">
        <f aca="false">IF(AND('Bonding Program'!$S$27=1,'Bonding Program'!$H$27&gt;'Bonding Program'!$C$8,CI$3='Bonding Program'!$H$27),'Bonding Program'!$T$27-'Bonding Program'!$U$27-'Bonding Program'!$Z$27,0)-IF(AND('Bonding Program'!$S$27=1,'Bonding Program'!$H$27&lt;='Bonding Program'!$C$8,CI$3=IF('Bonding Program'!$P$27&lt;&gt;"",'Bonding Program'!$P$27,'Bonding Program'!$C$8)),'Bonding Program'!$Z$27,0)+IF(AND('Bonding Program'!$P$27&lt;&gt;"",CI$3='Bonding Program'!$P$27,CI$3&lt;='Bonding Program'!$C$8),N('Bonding Program'!$O$27),0)</f>
        <v>0</v>
      </c>
      <c r="CJ168" s="19" t="n">
        <f aca="false">IF(AND('Bonding Program'!$S$27=1,'Bonding Program'!$H$27&gt;'Bonding Program'!$C$8,CJ$3='Bonding Program'!$H$27),'Bonding Program'!$T$27-'Bonding Program'!$U$27-'Bonding Program'!$Z$27,0)-IF(AND('Bonding Program'!$S$27=1,'Bonding Program'!$H$27&lt;='Bonding Program'!$C$8,CJ$3=IF('Bonding Program'!$P$27&lt;&gt;"",'Bonding Program'!$P$27,'Bonding Program'!$C$8)),'Bonding Program'!$Z$27,0)+IF(AND('Bonding Program'!$P$27&lt;&gt;"",CJ$3='Bonding Program'!$P$27,CJ$3&lt;='Bonding Program'!$C$8),N('Bonding Program'!$O$27),0)</f>
        <v>0</v>
      </c>
      <c r="CK168" s="19" t="n">
        <f aca="false">IF(AND('Bonding Program'!$S$27=1,'Bonding Program'!$H$27&gt;'Bonding Program'!$C$8,CK$3='Bonding Program'!$H$27),'Bonding Program'!$T$27-'Bonding Program'!$U$27-'Bonding Program'!$Z$27,0)-IF(AND('Bonding Program'!$S$27=1,'Bonding Program'!$H$27&lt;='Bonding Program'!$C$8,CK$3=IF('Bonding Program'!$P$27&lt;&gt;"",'Bonding Program'!$P$27,'Bonding Program'!$C$8)),'Bonding Program'!$Z$27,0)+IF(AND('Bonding Program'!$P$27&lt;&gt;"",CK$3='Bonding Program'!$P$27,CK$3&lt;='Bonding Program'!$C$8),N('Bonding Program'!$O$27),0)</f>
        <v>0</v>
      </c>
      <c r="CL168" s="19" t="n">
        <f aca="false">IF(AND('Bonding Program'!$S$27=1,'Bonding Program'!$H$27&gt;'Bonding Program'!$C$8,CL$3='Bonding Program'!$H$27),'Bonding Program'!$T$27-'Bonding Program'!$U$27-'Bonding Program'!$Z$27,0)-IF(AND('Bonding Program'!$S$27=1,'Bonding Program'!$H$27&lt;='Bonding Program'!$C$8,CL$3=IF('Bonding Program'!$P$27&lt;&gt;"",'Bonding Program'!$P$27,'Bonding Program'!$C$8)),'Bonding Program'!$Z$27,0)+IF(AND('Bonding Program'!$P$27&lt;&gt;"",CL$3='Bonding Program'!$P$27,CL$3&lt;='Bonding Program'!$C$8),N('Bonding Program'!$O$27),0)</f>
        <v>0</v>
      </c>
      <c r="CM168" s="19" t="n">
        <f aca="false">IF(AND('Bonding Program'!$S$27=1,'Bonding Program'!$H$27&gt;'Bonding Program'!$C$8,CM$3='Bonding Program'!$H$27),'Bonding Program'!$T$27-'Bonding Program'!$U$27-'Bonding Program'!$Z$27,0)-IF(AND('Bonding Program'!$S$27=1,'Bonding Program'!$H$27&lt;='Bonding Program'!$C$8,CM$3=IF('Bonding Program'!$P$27&lt;&gt;"",'Bonding Program'!$P$27,'Bonding Program'!$C$8)),'Bonding Program'!$Z$27,0)+IF(AND('Bonding Program'!$P$27&lt;&gt;"",CM$3='Bonding Program'!$P$27,CM$3&lt;='Bonding Program'!$C$8),N('Bonding Program'!$O$27),0)</f>
        <v>0</v>
      </c>
      <c r="CN168" s="19" t="n">
        <f aca="false">IF(AND('Bonding Program'!$S$27=1,'Bonding Program'!$H$27&gt;'Bonding Program'!$C$8,CN$3='Bonding Program'!$H$27),'Bonding Program'!$T$27-'Bonding Program'!$U$27-'Bonding Program'!$Z$27,0)-IF(AND('Bonding Program'!$S$27=1,'Bonding Program'!$H$27&lt;='Bonding Program'!$C$8,CN$3=IF('Bonding Program'!$P$27&lt;&gt;"",'Bonding Program'!$P$27,'Bonding Program'!$C$8)),'Bonding Program'!$Z$27,0)+IF(AND('Bonding Program'!$P$27&lt;&gt;"",CN$3='Bonding Program'!$P$27,CN$3&lt;='Bonding Program'!$C$8),N('Bonding Program'!$O$27),0)</f>
        <v>0</v>
      </c>
      <c r="CO168" s="19" t="n">
        <f aca="false">IF(AND('Bonding Program'!$S$27=1,'Bonding Program'!$H$27&gt;'Bonding Program'!$C$8,CO$3='Bonding Program'!$H$27),'Bonding Program'!$T$27-'Bonding Program'!$U$27-'Bonding Program'!$Z$27,0)-IF(AND('Bonding Program'!$S$27=1,'Bonding Program'!$H$27&lt;='Bonding Program'!$C$8,CO$3=IF('Bonding Program'!$P$27&lt;&gt;"",'Bonding Program'!$P$27,'Bonding Program'!$C$8)),'Bonding Program'!$Z$27,0)+IF(AND('Bonding Program'!$P$27&lt;&gt;"",CO$3='Bonding Program'!$P$27,CO$3&lt;='Bonding Program'!$C$8),N('Bonding Program'!$O$27),0)</f>
        <v>0</v>
      </c>
      <c r="CP168" s="19" t="n">
        <f aca="false">IF(AND('Bonding Program'!$S$27=1,'Bonding Program'!$H$27&gt;'Bonding Program'!$C$8,CP$3='Bonding Program'!$H$27),'Bonding Program'!$T$27-'Bonding Program'!$U$27-'Bonding Program'!$Z$27,0)-IF(AND('Bonding Program'!$S$27=1,'Bonding Program'!$H$27&lt;='Bonding Program'!$C$8,CP$3=IF('Bonding Program'!$P$27&lt;&gt;"",'Bonding Program'!$P$27,'Bonding Program'!$C$8)),'Bonding Program'!$Z$27,0)+IF(AND('Bonding Program'!$P$27&lt;&gt;"",CP$3='Bonding Program'!$P$27,CP$3&lt;='Bonding Program'!$C$8),N('Bonding Program'!$O$27),0)</f>
        <v>0</v>
      </c>
      <c r="CQ168" s="19" t="n">
        <f aca="false">IF(AND('Bonding Program'!$S$27=1,'Bonding Program'!$H$27&gt;'Bonding Program'!$C$8,CQ$3='Bonding Program'!$H$27),'Bonding Program'!$T$27-'Bonding Program'!$U$27-'Bonding Program'!$Z$27,0)-IF(AND('Bonding Program'!$S$27=1,'Bonding Program'!$H$27&lt;='Bonding Program'!$C$8,CQ$3=IF('Bonding Program'!$P$27&lt;&gt;"",'Bonding Program'!$P$27,'Bonding Program'!$C$8)),'Bonding Program'!$Z$27,0)+IF(AND('Bonding Program'!$P$27&lt;&gt;"",CQ$3='Bonding Program'!$P$27,CQ$3&lt;='Bonding Program'!$C$8),N('Bonding Program'!$O$27),0)</f>
        <v>0</v>
      </c>
      <c r="CR168" s="19" t="n">
        <f aca="false">IF(AND('Bonding Program'!$S$27=1,'Bonding Program'!$H$27&gt;'Bonding Program'!$C$8,CR$3='Bonding Program'!$H$27),'Bonding Program'!$T$27-'Bonding Program'!$U$27-'Bonding Program'!$Z$27,0)-IF(AND('Bonding Program'!$S$27=1,'Bonding Program'!$H$27&lt;='Bonding Program'!$C$8,CR$3=IF('Bonding Program'!$P$27&lt;&gt;"",'Bonding Program'!$P$27,'Bonding Program'!$C$8)),'Bonding Program'!$Z$27,0)+IF(AND('Bonding Program'!$P$27&lt;&gt;"",CR$3='Bonding Program'!$P$27,CR$3&lt;='Bonding Program'!$C$8),N('Bonding Program'!$O$27),0)</f>
        <v>0</v>
      </c>
      <c r="CS168" s="19" t="n">
        <f aca="false">IF(AND('Bonding Program'!$S$27=1,'Bonding Program'!$H$27&gt;'Bonding Program'!$C$8,CS$3='Bonding Program'!$H$27),'Bonding Program'!$T$27-'Bonding Program'!$U$27-'Bonding Program'!$Z$27,0)-IF(AND('Bonding Program'!$S$27=1,'Bonding Program'!$H$27&lt;='Bonding Program'!$C$8,CS$3=IF('Bonding Program'!$P$27&lt;&gt;"",'Bonding Program'!$P$27,'Bonding Program'!$C$8)),'Bonding Program'!$Z$27,0)+IF(AND('Bonding Program'!$P$27&lt;&gt;"",CS$3='Bonding Program'!$P$27,CS$3&lt;='Bonding Program'!$C$8),N('Bonding Program'!$O$27),0)</f>
        <v>0</v>
      </c>
      <c r="CT168" s="19" t="n">
        <f aca="false">IF(AND('Bonding Program'!$S$27=1,'Bonding Program'!$H$27&gt;'Bonding Program'!$C$8,CT$3='Bonding Program'!$H$27),'Bonding Program'!$T$27-'Bonding Program'!$U$27-'Bonding Program'!$Z$27,0)-IF(AND('Bonding Program'!$S$27=1,'Bonding Program'!$H$27&lt;='Bonding Program'!$C$8,CT$3=IF('Bonding Program'!$P$27&lt;&gt;"",'Bonding Program'!$P$27,'Bonding Program'!$C$8)),'Bonding Program'!$Z$27,0)+IF(AND('Bonding Program'!$P$27&lt;&gt;"",CT$3='Bonding Program'!$P$27,CT$3&lt;='Bonding Program'!$C$8),N('Bonding Program'!$O$27),0)</f>
        <v>0</v>
      </c>
      <c r="CU168" s="19" t="n">
        <f aca="false">IF(AND('Bonding Program'!$S$27=1,'Bonding Program'!$H$27&gt;'Bonding Program'!$C$8,CU$3='Bonding Program'!$H$27),'Bonding Program'!$T$27-'Bonding Program'!$U$27-'Bonding Program'!$Z$27,0)-IF(AND('Bonding Program'!$S$27=1,'Bonding Program'!$H$27&lt;='Bonding Program'!$C$8,CU$3=IF('Bonding Program'!$P$27&lt;&gt;"",'Bonding Program'!$P$27,'Bonding Program'!$C$8)),'Bonding Program'!$Z$27,0)+IF(AND('Bonding Program'!$P$27&lt;&gt;"",CU$3='Bonding Program'!$P$27,CU$3&lt;='Bonding Program'!$C$8),N('Bonding Program'!$O$27),0)</f>
        <v>0</v>
      </c>
      <c r="CV168" s="19" t="n">
        <f aca="false">IF(AND('Bonding Program'!$S$27=1,'Bonding Program'!$H$27&gt;'Bonding Program'!$C$8,CV$3='Bonding Program'!$H$27),'Bonding Program'!$T$27-'Bonding Program'!$U$27-'Bonding Program'!$Z$27,0)-IF(AND('Bonding Program'!$S$27=1,'Bonding Program'!$H$27&lt;='Bonding Program'!$C$8,CV$3=IF('Bonding Program'!$P$27&lt;&gt;"",'Bonding Program'!$P$27,'Bonding Program'!$C$8)),'Bonding Program'!$Z$27,0)+IF(AND('Bonding Program'!$P$27&lt;&gt;"",CV$3='Bonding Program'!$P$27,CV$3&lt;='Bonding Program'!$C$8),N('Bonding Program'!$O$27),0)</f>
        <v>0</v>
      </c>
      <c r="CW168" s="19" t="n">
        <f aca="false">IF(AND('Bonding Program'!$S$27=1,'Bonding Program'!$H$27&gt;'Bonding Program'!$C$8,CW$3='Bonding Program'!$H$27),'Bonding Program'!$T$27-'Bonding Program'!$U$27-'Bonding Program'!$Z$27,0)-IF(AND('Bonding Program'!$S$27=1,'Bonding Program'!$H$27&lt;='Bonding Program'!$C$8,CW$3=IF('Bonding Program'!$P$27&lt;&gt;"",'Bonding Program'!$P$27,'Bonding Program'!$C$8)),'Bonding Program'!$Z$27,0)+IF(AND('Bonding Program'!$P$27&lt;&gt;"",CW$3='Bonding Program'!$P$27,CW$3&lt;='Bonding Program'!$C$8),N('Bonding Program'!$O$27),0)</f>
        <v>0</v>
      </c>
      <c r="CX168" s="19" t="n">
        <f aca="false">IF(AND('Bonding Program'!$S$27=1,'Bonding Program'!$H$27&gt;'Bonding Program'!$C$8,CX$3='Bonding Program'!$H$27),'Bonding Program'!$T$27-'Bonding Program'!$U$27-'Bonding Program'!$Z$27,0)-IF(AND('Bonding Program'!$S$27=1,'Bonding Program'!$H$27&lt;='Bonding Program'!$C$8,CX$3=IF('Bonding Program'!$P$27&lt;&gt;"",'Bonding Program'!$P$27,'Bonding Program'!$C$8)),'Bonding Program'!$Z$27,0)+IF(AND('Bonding Program'!$P$27&lt;&gt;"",CX$3='Bonding Program'!$P$27,CX$3&lt;='Bonding Program'!$C$8),N('Bonding Program'!$O$27),0)</f>
        <v>0</v>
      </c>
      <c r="CY168" s="19" t="n">
        <f aca="false">IF(AND('Bonding Program'!$S$27=1,'Bonding Program'!$H$27&gt;'Bonding Program'!$C$8,CY$3='Bonding Program'!$H$27),'Bonding Program'!$T$27-'Bonding Program'!$U$27-'Bonding Program'!$Z$27,0)-IF(AND('Bonding Program'!$S$27=1,'Bonding Program'!$H$27&lt;='Bonding Program'!$C$8,CY$3=IF('Bonding Program'!$P$27&lt;&gt;"",'Bonding Program'!$P$27,'Bonding Program'!$C$8)),'Bonding Program'!$Z$27,0)+IF(AND('Bonding Program'!$P$27&lt;&gt;"",CY$3='Bonding Program'!$P$27,CY$3&lt;='Bonding Program'!$C$8),N('Bonding Program'!$O$27),0)</f>
        <v>0</v>
      </c>
      <c r="CZ168" s="19" t="n">
        <f aca="false">IF(AND('Bonding Program'!$S$27=1,'Bonding Program'!$H$27&gt;'Bonding Program'!$C$8,CZ$3='Bonding Program'!$H$27),'Bonding Program'!$T$27-'Bonding Program'!$U$27-'Bonding Program'!$Z$27,0)-IF(AND('Bonding Program'!$S$27=1,'Bonding Program'!$H$27&lt;='Bonding Program'!$C$8,CZ$3=IF('Bonding Program'!$P$27&lt;&gt;"",'Bonding Program'!$P$27,'Bonding Program'!$C$8)),'Bonding Program'!$Z$27,0)+IF(AND('Bonding Program'!$P$27&lt;&gt;"",CZ$3='Bonding Program'!$P$27,CZ$3&lt;='Bonding Program'!$C$8),N('Bonding Program'!$O$27),0)</f>
        <v>0</v>
      </c>
      <c r="DA168" s="19" t="n">
        <f aca="false">IF(AND('Bonding Program'!$S$27=1,'Bonding Program'!$H$27&gt;'Bonding Program'!$C$8,DA$3='Bonding Program'!$H$27),'Bonding Program'!$T$27-'Bonding Program'!$U$27-'Bonding Program'!$Z$27,0)-IF(AND('Bonding Program'!$S$27=1,'Bonding Program'!$H$27&lt;='Bonding Program'!$C$8,DA$3=IF('Bonding Program'!$P$27&lt;&gt;"",'Bonding Program'!$P$27,'Bonding Program'!$C$8)),'Bonding Program'!$Z$27,0)+IF(AND('Bonding Program'!$P$27&lt;&gt;"",DA$3='Bonding Program'!$P$27,DA$3&lt;='Bonding Program'!$C$8),N('Bonding Program'!$O$27),0)</f>
        <v>0</v>
      </c>
      <c r="DB168" s="19" t="n">
        <f aca="false">IF(AND('Bonding Program'!$S$27=1,'Bonding Program'!$H$27&gt;'Bonding Program'!$C$8,DB$3='Bonding Program'!$H$27),'Bonding Program'!$T$27-'Bonding Program'!$U$27-'Bonding Program'!$Z$27,0)-IF(AND('Bonding Program'!$S$27=1,'Bonding Program'!$H$27&lt;='Bonding Program'!$C$8,DB$3=IF('Bonding Program'!$P$27&lt;&gt;"",'Bonding Program'!$P$27,'Bonding Program'!$C$8)),'Bonding Program'!$Z$27,0)+IF(AND('Bonding Program'!$P$27&lt;&gt;"",DB$3='Bonding Program'!$P$27,DB$3&lt;='Bonding Program'!$C$8),N('Bonding Program'!$O$27),0)</f>
        <v>0</v>
      </c>
      <c r="DC168" s="19" t="n">
        <f aca="false">IF(AND('Bonding Program'!$S$27=1,'Bonding Program'!$H$27&gt;'Bonding Program'!$C$8,DC$3='Bonding Program'!$H$27),'Bonding Program'!$T$27-'Bonding Program'!$U$27-'Bonding Program'!$Z$27,0)-IF(AND('Bonding Program'!$S$27=1,'Bonding Program'!$H$27&lt;='Bonding Program'!$C$8,DC$3=IF('Bonding Program'!$P$27&lt;&gt;"",'Bonding Program'!$P$27,'Bonding Program'!$C$8)),'Bonding Program'!$Z$27,0)+IF(AND('Bonding Program'!$P$27&lt;&gt;"",DC$3='Bonding Program'!$P$27,DC$3&lt;='Bonding Program'!$C$8),N('Bonding Program'!$O$27),0)</f>
        <v>0</v>
      </c>
      <c r="DD168" s="19" t="n">
        <f aca="false">IF(AND('Bonding Program'!$S$27=1,'Bonding Program'!$H$27&gt;'Bonding Program'!$C$8,DD$3='Bonding Program'!$H$27),'Bonding Program'!$T$27-'Bonding Program'!$U$27-'Bonding Program'!$Z$27,0)-IF(AND('Bonding Program'!$S$27=1,'Bonding Program'!$H$27&lt;='Bonding Program'!$C$8,DD$3=IF('Bonding Program'!$P$27&lt;&gt;"",'Bonding Program'!$P$27,'Bonding Program'!$C$8)),'Bonding Program'!$Z$27,0)+IF(AND('Bonding Program'!$P$27&lt;&gt;"",DD$3='Bonding Program'!$P$27,DD$3&lt;='Bonding Program'!$C$8),N('Bonding Program'!$O$27),0)</f>
        <v>0</v>
      </c>
      <c r="DE168" s="19" t="n">
        <f aca="false">IF(AND('Bonding Program'!$S$27=1,'Bonding Program'!$H$27&gt;'Bonding Program'!$C$8,DE$3='Bonding Program'!$H$27),'Bonding Program'!$T$27-'Bonding Program'!$U$27-'Bonding Program'!$Z$27,0)-IF(AND('Bonding Program'!$S$27=1,'Bonding Program'!$H$27&lt;='Bonding Program'!$C$8,DE$3=IF('Bonding Program'!$P$27&lt;&gt;"",'Bonding Program'!$P$27,'Bonding Program'!$C$8)),'Bonding Program'!$Z$27,0)+IF(AND('Bonding Program'!$P$27&lt;&gt;"",DE$3='Bonding Program'!$P$27,DE$3&lt;='Bonding Program'!$C$8),N('Bonding Program'!$O$27),0)</f>
        <v>0</v>
      </c>
    </row>
    <row r="169" customFormat="false" ht="15" hidden="false" customHeight="true" outlineLevel="1" collapsed="false">
      <c r="A169" s="28" t="s">
        <v>24</v>
      </c>
      <c r="B169" s="19" t="n">
        <f aca="false">IF(AND('Bonding Program'!$S$28=1,'Bonding Program'!$H$28&gt;'Bonding Program'!$C$8,B$3='Bonding Program'!$H$28),'Bonding Program'!$T$28-'Bonding Program'!$U$28-'Bonding Program'!$Z$28,0)-IF(AND('Bonding Program'!$S$28=1,'Bonding Program'!$H$28&lt;='Bonding Program'!$C$8,B$3=IF('Bonding Program'!$P$28&lt;&gt;"",'Bonding Program'!$P$28,'Bonding Program'!$C$8)),'Bonding Program'!$Z$28,0)+IF(AND('Bonding Program'!$P$28&lt;&gt;"",B$3='Bonding Program'!$P$28,B$3&lt;='Bonding Program'!$C$8),N('Bonding Program'!$O$28),0)</f>
        <v>0</v>
      </c>
      <c r="C169" s="19" t="n">
        <f aca="false">IF(AND('Bonding Program'!$S$28=1,'Bonding Program'!$H$28&gt;'Bonding Program'!$C$8,C$3='Bonding Program'!$H$28),'Bonding Program'!$T$28-'Bonding Program'!$U$28-'Bonding Program'!$Z$28,0)-IF(AND('Bonding Program'!$S$28=1,'Bonding Program'!$H$28&lt;='Bonding Program'!$C$8,C$3=IF('Bonding Program'!$P$28&lt;&gt;"",'Bonding Program'!$P$28,'Bonding Program'!$C$8)),'Bonding Program'!$Z$28,0)+IF(AND('Bonding Program'!$P$28&lt;&gt;"",C$3='Bonding Program'!$P$28,C$3&lt;='Bonding Program'!$C$8),N('Bonding Program'!$O$28),0)</f>
        <v>0</v>
      </c>
      <c r="D169" s="19" t="n">
        <f aca="false">IF(AND('Bonding Program'!$S$28=1,'Bonding Program'!$H$28&gt;'Bonding Program'!$C$8,D$3='Bonding Program'!$H$28),'Bonding Program'!$T$28-'Bonding Program'!$U$28-'Bonding Program'!$Z$28,0)-IF(AND('Bonding Program'!$S$28=1,'Bonding Program'!$H$28&lt;='Bonding Program'!$C$8,D$3=IF('Bonding Program'!$P$28&lt;&gt;"",'Bonding Program'!$P$28,'Bonding Program'!$C$8)),'Bonding Program'!$Z$28,0)+IF(AND('Bonding Program'!$P$28&lt;&gt;"",D$3='Bonding Program'!$P$28,D$3&lt;='Bonding Program'!$C$8),N('Bonding Program'!$O$28),0)</f>
        <v>0</v>
      </c>
      <c r="E169" s="19" t="n">
        <f aca="false">IF(AND('Bonding Program'!$S$28=1,'Bonding Program'!$H$28&gt;'Bonding Program'!$C$8,E$3='Bonding Program'!$H$28),'Bonding Program'!$T$28-'Bonding Program'!$U$28-'Bonding Program'!$Z$28,0)-IF(AND('Bonding Program'!$S$28=1,'Bonding Program'!$H$28&lt;='Bonding Program'!$C$8,E$3=IF('Bonding Program'!$P$28&lt;&gt;"",'Bonding Program'!$P$28,'Bonding Program'!$C$8)),'Bonding Program'!$Z$28,0)+IF(AND('Bonding Program'!$P$28&lt;&gt;"",E$3='Bonding Program'!$P$28,E$3&lt;='Bonding Program'!$C$8),N('Bonding Program'!$O$28),0)</f>
        <v>0</v>
      </c>
      <c r="F169" s="19" t="n">
        <f aca="false">IF(AND('Bonding Program'!$S$28=1,'Bonding Program'!$H$28&gt;'Bonding Program'!$C$8,F$3='Bonding Program'!$H$28),'Bonding Program'!$T$28-'Bonding Program'!$U$28-'Bonding Program'!$Z$28,0)-IF(AND('Bonding Program'!$S$28=1,'Bonding Program'!$H$28&lt;='Bonding Program'!$C$8,F$3=IF('Bonding Program'!$P$28&lt;&gt;"",'Bonding Program'!$P$28,'Bonding Program'!$C$8)),'Bonding Program'!$Z$28,0)+IF(AND('Bonding Program'!$P$28&lt;&gt;"",F$3='Bonding Program'!$P$28,F$3&lt;='Bonding Program'!$C$8),N('Bonding Program'!$O$28),0)</f>
        <v>0</v>
      </c>
      <c r="G169" s="19" t="n">
        <f aca="false">IF(AND('Bonding Program'!$S$28=1,'Bonding Program'!$H$28&gt;'Bonding Program'!$C$8,G$3='Bonding Program'!$H$28),'Bonding Program'!$T$28-'Bonding Program'!$U$28-'Bonding Program'!$Z$28,0)-IF(AND('Bonding Program'!$S$28=1,'Bonding Program'!$H$28&lt;='Bonding Program'!$C$8,G$3=IF('Bonding Program'!$P$28&lt;&gt;"",'Bonding Program'!$P$28,'Bonding Program'!$C$8)),'Bonding Program'!$Z$28,0)+IF(AND('Bonding Program'!$P$28&lt;&gt;"",G$3='Bonding Program'!$P$28,G$3&lt;='Bonding Program'!$C$8),N('Bonding Program'!$O$28),0)</f>
        <v>0</v>
      </c>
      <c r="H169" s="19" t="n">
        <f aca="false">IF(AND('Bonding Program'!$S$28=1,'Bonding Program'!$H$28&gt;'Bonding Program'!$C$8,H$3='Bonding Program'!$H$28),'Bonding Program'!$T$28-'Bonding Program'!$U$28-'Bonding Program'!$Z$28,0)-IF(AND('Bonding Program'!$S$28=1,'Bonding Program'!$H$28&lt;='Bonding Program'!$C$8,H$3=IF('Bonding Program'!$P$28&lt;&gt;"",'Bonding Program'!$P$28,'Bonding Program'!$C$8)),'Bonding Program'!$Z$28,0)+IF(AND('Bonding Program'!$P$28&lt;&gt;"",H$3='Bonding Program'!$P$28,H$3&lt;='Bonding Program'!$C$8),N('Bonding Program'!$O$28),0)</f>
        <v>0</v>
      </c>
      <c r="I169" s="19" t="n">
        <f aca="false">IF(AND('Bonding Program'!$S$28=1,'Bonding Program'!$H$28&gt;'Bonding Program'!$C$8,I$3='Bonding Program'!$H$28),'Bonding Program'!$T$28-'Bonding Program'!$U$28-'Bonding Program'!$Z$28,0)-IF(AND('Bonding Program'!$S$28=1,'Bonding Program'!$H$28&lt;='Bonding Program'!$C$8,I$3=IF('Bonding Program'!$P$28&lt;&gt;"",'Bonding Program'!$P$28,'Bonding Program'!$C$8)),'Bonding Program'!$Z$28,0)+IF(AND('Bonding Program'!$P$28&lt;&gt;"",I$3='Bonding Program'!$P$28,I$3&lt;='Bonding Program'!$C$8),N('Bonding Program'!$O$28),0)</f>
        <v>0</v>
      </c>
      <c r="J169" s="19" t="n">
        <f aca="false">IF(AND('Bonding Program'!$S$28=1,'Bonding Program'!$H$28&gt;'Bonding Program'!$C$8,J$3='Bonding Program'!$H$28),'Bonding Program'!$T$28-'Bonding Program'!$U$28-'Bonding Program'!$Z$28,0)-IF(AND('Bonding Program'!$S$28=1,'Bonding Program'!$H$28&lt;='Bonding Program'!$C$8,J$3=IF('Bonding Program'!$P$28&lt;&gt;"",'Bonding Program'!$P$28,'Bonding Program'!$C$8)),'Bonding Program'!$Z$28,0)+IF(AND('Bonding Program'!$P$28&lt;&gt;"",J$3='Bonding Program'!$P$28,J$3&lt;='Bonding Program'!$C$8),N('Bonding Program'!$O$28),0)</f>
        <v>0</v>
      </c>
      <c r="K169" s="19" t="n">
        <f aca="false">IF(AND('Bonding Program'!$S$28=1,'Bonding Program'!$H$28&gt;'Bonding Program'!$C$8,K$3='Bonding Program'!$H$28),'Bonding Program'!$T$28-'Bonding Program'!$U$28-'Bonding Program'!$Z$28,0)-IF(AND('Bonding Program'!$S$28=1,'Bonding Program'!$H$28&lt;='Bonding Program'!$C$8,K$3=IF('Bonding Program'!$P$28&lt;&gt;"",'Bonding Program'!$P$28,'Bonding Program'!$C$8)),'Bonding Program'!$Z$28,0)+IF(AND('Bonding Program'!$P$28&lt;&gt;"",K$3='Bonding Program'!$P$28,K$3&lt;='Bonding Program'!$C$8),N('Bonding Program'!$O$28),0)</f>
        <v>0</v>
      </c>
      <c r="L169" s="19" t="n">
        <f aca="false">IF(AND('Bonding Program'!$S$28=1,'Bonding Program'!$H$28&gt;'Bonding Program'!$C$8,L$3='Bonding Program'!$H$28),'Bonding Program'!$T$28-'Bonding Program'!$U$28-'Bonding Program'!$Z$28,0)-IF(AND('Bonding Program'!$S$28=1,'Bonding Program'!$H$28&lt;='Bonding Program'!$C$8,L$3=IF('Bonding Program'!$P$28&lt;&gt;"",'Bonding Program'!$P$28,'Bonding Program'!$C$8)),'Bonding Program'!$Z$28,0)+IF(AND('Bonding Program'!$P$28&lt;&gt;"",L$3='Bonding Program'!$P$28,L$3&lt;='Bonding Program'!$C$8),N('Bonding Program'!$O$28),0)</f>
        <v>0</v>
      </c>
      <c r="M169" s="19" t="n">
        <f aca="false">IF(AND('Bonding Program'!$S$28=1,'Bonding Program'!$H$28&gt;'Bonding Program'!$C$8,M$3='Bonding Program'!$H$28),'Bonding Program'!$T$28-'Bonding Program'!$U$28-'Bonding Program'!$Z$28,0)-IF(AND('Bonding Program'!$S$28=1,'Bonding Program'!$H$28&lt;='Bonding Program'!$C$8,M$3=IF('Bonding Program'!$P$28&lt;&gt;"",'Bonding Program'!$P$28,'Bonding Program'!$C$8)),'Bonding Program'!$Z$28,0)+IF(AND('Bonding Program'!$P$28&lt;&gt;"",M$3='Bonding Program'!$P$28,M$3&lt;='Bonding Program'!$C$8),N('Bonding Program'!$O$28),0)</f>
        <v>0</v>
      </c>
      <c r="N169" s="19" t="n">
        <f aca="false">IF(AND('Bonding Program'!$S$28=1,'Bonding Program'!$H$28&gt;'Bonding Program'!$C$8,N$3='Bonding Program'!$H$28),'Bonding Program'!$T$28-'Bonding Program'!$U$28-'Bonding Program'!$Z$28,0)-IF(AND('Bonding Program'!$S$28=1,'Bonding Program'!$H$28&lt;='Bonding Program'!$C$8,N$3=IF('Bonding Program'!$P$28&lt;&gt;"",'Bonding Program'!$P$28,'Bonding Program'!$C$8)),'Bonding Program'!$Z$28,0)+IF(AND('Bonding Program'!$P$28&lt;&gt;"",N$3='Bonding Program'!$P$28,N$3&lt;='Bonding Program'!$C$8),N('Bonding Program'!$O$28),0)</f>
        <v>0</v>
      </c>
      <c r="O169" s="19" t="n">
        <f aca="false">IF(AND('Bonding Program'!$S$28=1,'Bonding Program'!$H$28&gt;'Bonding Program'!$C$8,O$3='Bonding Program'!$H$28),'Bonding Program'!$T$28-'Bonding Program'!$U$28-'Bonding Program'!$Z$28,0)-IF(AND('Bonding Program'!$S$28=1,'Bonding Program'!$H$28&lt;='Bonding Program'!$C$8,O$3=IF('Bonding Program'!$P$28&lt;&gt;"",'Bonding Program'!$P$28,'Bonding Program'!$C$8)),'Bonding Program'!$Z$28,0)+IF(AND('Bonding Program'!$P$28&lt;&gt;"",O$3='Bonding Program'!$P$28,O$3&lt;='Bonding Program'!$C$8),N('Bonding Program'!$O$28),0)</f>
        <v>0</v>
      </c>
      <c r="P169" s="19" t="n">
        <f aca="false">IF(AND('Bonding Program'!$S$28=1,'Bonding Program'!$H$28&gt;'Bonding Program'!$C$8,P$3='Bonding Program'!$H$28),'Bonding Program'!$T$28-'Bonding Program'!$U$28-'Bonding Program'!$Z$28,0)-IF(AND('Bonding Program'!$S$28=1,'Bonding Program'!$H$28&lt;='Bonding Program'!$C$8,P$3=IF('Bonding Program'!$P$28&lt;&gt;"",'Bonding Program'!$P$28,'Bonding Program'!$C$8)),'Bonding Program'!$Z$28,0)+IF(AND('Bonding Program'!$P$28&lt;&gt;"",P$3='Bonding Program'!$P$28,P$3&lt;='Bonding Program'!$C$8),N('Bonding Program'!$O$28),0)</f>
        <v>0</v>
      </c>
      <c r="Q169" s="19" t="n">
        <f aca="false">IF(AND('Bonding Program'!$S$28=1,'Bonding Program'!$H$28&gt;'Bonding Program'!$C$8,Q$3='Bonding Program'!$H$28),'Bonding Program'!$T$28-'Bonding Program'!$U$28-'Bonding Program'!$Z$28,0)-IF(AND('Bonding Program'!$S$28=1,'Bonding Program'!$H$28&lt;='Bonding Program'!$C$8,Q$3=IF('Bonding Program'!$P$28&lt;&gt;"",'Bonding Program'!$P$28,'Bonding Program'!$C$8)),'Bonding Program'!$Z$28,0)+IF(AND('Bonding Program'!$P$28&lt;&gt;"",Q$3='Bonding Program'!$P$28,Q$3&lt;='Bonding Program'!$C$8),N('Bonding Program'!$O$28),0)</f>
        <v>0</v>
      </c>
      <c r="R169" s="19" t="n">
        <f aca="false">IF(AND('Bonding Program'!$S$28=1,'Bonding Program'!$H$28&gt;'Bonding Program'!$C$8,R$3='Bonding Program'!$H$28),'Bonding Program'!$T$28-'Bonding Program'!$U$28-'Bonding Program'!$Z$28,0)-IF(AND('Bonding Program'!$S$28=1,'Bonding Program'!$H$28&lt;='Bonding Program'!$C$8,R$3=IF('Bonding Program'!$P$28&lt;&gt;"",'Bonding Program'!$P$28,'Bonding Program'!$C$8)),'Bonding Program'!$Z$28,0)+IF(AND('Bonding Program'!$P$28&lt;&gt;"",R$3='Bonding Program'!$P$28,R$3&lt;='Bonding Program'!$C$8),N('Bonding Program'!$O$28),0)</f>
        <v>0</v>
      </c>
      <c r="S169" s="19" t="n">
        <f aca="false">IF(AND('Bonding Program'!$S$28=1,'Bonding Program'!$H$28&gt;'Bonding Program'!$C$8,S$3='Bonding Program'!$H$28),'Bonding Program'!$T$28-'Bonding Program'!$U$28-'Bonding Program'!$Z$28,0)-IF(AND('Bonding Program'!$S$28=1,'Bonding Program'!$H$28&lt;='Bonding Program'!$C$8,S$3=IF('Bonding Program'!$P$28&lt;&gt;"",'Bonding Program'!$P$28,'Bonding Program'!$C$8)),'Bonding Program'!$Z$28,0)+IF(AND('Bonding Program'!$P$28&lt;&gt;"",S$3='Bonding Program'!$P$28,S$3&lt;='Bonding Program'!$C$8),N('Bonding Program'!$O$28),0)</f>
        <v>0</v>
      </c>
      <c r="T169" s="19" t="n">
        <f aca="false">IF(AND('Bonding Program'!$S$28=1,'Bonding Program'!$H$28&gt;'Bonding Program'!$C$8,T$3='Bonding Program'!$H$28),'Bonding Program'!$T$28-'Bonding Program'!$U$28-'Bonding Program'!$Z$28,0)-IF(AND('Bonding Program'!$S$28=1,'Bonding Program'!$H$28&lt;='Bonding Program'!$C$8,T$3=IF('Bonding Program'!$P$28&lt;&gt;"",'Bonding Program'!$P$28,'Bonding Program'!$C$8)),'Bonding Program'!$Z$28,0)+IF(AND('Bonding Program'!$P$28&lt;&gt;"",T$3='Bonding Program'!$P$28,T$3&lt;='Bonding Program'!$C$8),N('Bonding Program'!$O$28),0)</f>
        <v>0</v>
      </c>
      <c r="U169" s="19" t="n">
        <f aca="false">IF(AND('Bonding Program'!$S$28=1,'Bonding Program'!$H$28&gt;'Bonding Program'!$C$8,U$3='Bonding Program'!$H$28),'Bonding Program'!$T$28-'Bonding Program'!$U$28-'Bonding Program'!$Z$28,0)-IF(AND('Bonding Program'!$S$28=1,'Bonding Program'!$H$28&lt;='Bonding Program'!$C$8,U$3=IF('Bonding Program'!$P$28&lt;&gt;"",'Bonding Program'!$P$28,'Bonding Program'!$C$8)),'Bonding Program'!$Z$28,0)+IF(AND('Bonding Program'!$P$28&lt;&gt;"",U$3='Bonding Program'!$P$28,U$3&lt;='Bonding Program'!$C$8),N('Bonding Program'!$O$28),0)</f>
        <v>0</v>
      </c>
      <c r="V169" s="19" t="n">
        <f aca="false">IF(AND('Bonding Program'!$S$28=1,'Bonding Program'!$H$28&gt;'Bonding Program'!$C$8,V$3='Bonding Program'!$H$28),'Bonding Program'!$T$28-'Bonding Program'!$U$28-'Bonding Program'!$Z$28,0)-IF(AND('Bonding Program'!$S$28=1,'Bonding Program'!$H$28&lt;='Bonding Program'!$C$8,V$3=IF('Bonding Program'!$P$28&lt;&gt;"",'Bonding Program'!$P$28,'Bonding Program'!$C$8)),'Bonding Program'!$Z$28,0)+IF(AND('Bonding Program'!$P$28&lt;&gt;"",V$3='Bonding Program'!$P$28,V$3&lt;='Bonding Program'!$C$8),N('Bonding Program'!$O$28),0)</f>
        <v>0</v>
      </c>
      <c r="W169" s="19" t="n">
        <f aca="false">IF(AND('Bonding Program'!$S$28=1,'Bonding Program'!$H$28&gt;'Bonding Program'!$C$8,W$3='Bonding Program'!$H$28),'Bonding Program'!$T$28-'Bonding Program'!$U$28-'Bonding Program'!$Z$28,0)-IF(AND('Bonding Program'!$S$28=1,'Bonding Program'!$H$28&lt;='Bonding Program'!$C$8,W$3=IF('Bonding Program'!$P$28&lt;&gt;"",'Bonding Program'!$P$28,'Bonding Program'!$C$8)),'Bonding Program'!$Z$28,0)+IF(AND('Bonding Program'!$P$28&lt;&gt;"",W$3='Bonding Program'!$P$28,W$3&lt;='Bonding Program'!$C$8),N('Bonding Program'!$O$28),0)</f>
        <v>0</v>
      </c>
      <c r="X169" s="19" t="n">
        <f aca="false">IF(AND('Bonding Program'!$S$28=1,'Bonding Program'!$H$28&gt;'Bonding Program'!$C$8,X$3='Bonding Program'!$H$28),'Bonding Program'!$T$28-'Bonding Program'!$U$28-'Bonding Program'!$Z$28,0)-IF(AND('Bonding Program'!$S$28=1,'Bonding Program'!$H$28&lt;='Bonding Program'!$C$8,X$3=IF('Bonding Program'!$P$28&lt;&gt;"",'Bonding Program'!$P$28,'Bonding Program'!$C$8)),'Bonding Program'!$Z$28,0)+IF(AND('Bonding Program'!$P$28&lt;&gt;"",X$3='Bonding Program'!$P$28,X$3&lt;='Bonding Program'!$C$8),N('Bonding Program'!$O$28),0)</f>
        <v>0</v>
      </c>
      <c r="Y169" s="19" t="n">
        <f aca="false">IF(AND('Bonding Program'!$S$28=1,'Bonding Program'!$H$28&gt;'Bonding Program'!$C$8,Y$3='Bonding Program'!$H$28),'Bonding Program'!$T$28-'Bonding Program'!$U$28-'Bonding Program'!$Z$28,0)-IF(AND('Bonding Program'!$S$28=1,'Bonding Program'!$H$28&lt;='Bonding Program'!$C$8,Y$3=IF('Bonding Program'!$P$28&lt;&gt;"",'Bonding Program'!$P$28,'Bonding Program'!$C$8)),'Bonding Program'!$Z$28,0)+IF(AND('Bonding Program'!$P$28&lt;&gt;"",Y$3='Bonding Program'!$P$28,Y$3&lt;='Bonding Program'!$C$8),N('Bonding Program'!$O$28),0)</f>
        <v>0</v>
      </c>
      <c r="Z169" s="19" t="n">
        <f aca="false">IF(AND('Bonding Program'!$S$28=1,'Bonding Program'!$H$28&gt;'Bonding Program'!$C$8,Z$3='Bonding Program'!$H$28),'Bonding Program'!$T$28-'Bonding Program'!$U$28-'Bonding Program'!$Z$28,0)-IF(AND('Bonding Program'!$S$28=1,'Bonding Program'!$H$28&lt;='Bonding Program'!$C$8,Z$3=IF('Bonding Program'!$P$28&lt;&gt;"",'Bonding Program'!$P$28,'Bonding Program'!$C$8)),'Bonding Program'!$Z$28,0)+IF(AND('Bonding Program'!$P$28&lt;&gt;"",Z$3='Bonding Program'!$P$28,Z$3&lt;='Bonding Program'!$C$8),N('Bonding Program'!$O$28),0)</f>
        <v>0</v>
      </c>
      <c r="AA169" s="19" t="n">
        <f aca="false">IF(AND('Bonding Program'!$S$28=1,'Bonding Program'!$H$28&gt;'Bonding Program'!$C$8,AA$3='Bonding Program'!$H$28),'Bonding Program'!$T$28-'Bonding Program'!$U$28-'Bonding Program'!$Z$28,0)-IF(AND('Bonding Program'!$S$28=1,'Bonding Program'!$H$28&lt;='Bonding Program'!$C$8,AA$3=IF('Bonding Program'!$P$28&lt;&gt;"",'Bonding Program'!$P$28,'Bonding Program'!$C$8)),'Bonding Program'!$Z$28,0)+IF(AND('Bonding Program'!$P$28&lt;&gt;"",AA$3='Bonding Program'!$P$28,AA$3&lt;='Bonding Program'!$C$8),N('Bonding Program'!$O$28),0)</f>
        <v>0</v>
      </c>
      <c r="AB169" s="19" t="n">
        <f aca="false">IF(AND('Bonding Program'!$S$28=1,'Bonding Program'!$H$28&gt;'Bonding Program'!$C$8,AB$3='Bonding Program'!$H$28),'Bonding Program'!$T$28-'Bonding Program'!$U$28-'Bonding Program'!$Z$28,0)-IF(AND('Bonding Program'!$S$28=1,'Bonding Program'!$H$28&lt;='Bonding Program'!$C$8,AB$3=IF('Bonding Program'!$P$28&lt;&gt;"",'Bonding Program'!$P$28,'Bonding Program'!$C$8)),'Bonding Program'!$Z$28,0)+IF(AND('Bonding Program'!$P$28&lt;&gt;"",AB$3='Bonding Program'!$P$28,AB$3&lt;='Bonding Program'!$C$8),N('Bonding Program'!$O$28),0)</f>
        <v>0</v>
      </c>
      <c r="AC169" s="19" t="n">
        <f aca="false">IF(AND('Bonding Program'!$S$28=1,'Bonding Program'!$H$28&gt;'Bonding Program'!$C$8,AC$3='Bonding Program'!$H$28),'Bonding Program'!$T$28-'Bonding Program'!$U$28-'Bonding Program'!$Z$28,0)-IF(AND('Bonding Program'!$S$28=1,'Bonding Program'!$H$28&lt;='Bonding Program'!$C$8,AC$3=IF('Bonding Program'!$P$28&lt;&gt;"",'Bonding Program'!$P$28,'Bonding Program'!$C$8)),'Bonding Program'!$Z$28,0)+IF(AND('Bonding Program'!$P$28&lt;&gt;"",AC$3='Bonding Program'!$P$28,AC$3&lt;='Bonding Program'!$C$8),N('Bonding Program'!$O$28),0)</f>
        <v>0</v>
      </c>
      <c r="AD169" s="19" t="n">
        <f aca="false">IF(AND('Bonding Program'!$S$28=1,'Bonding Program'!$H$28&gt;'Bonding Program'!$C$8,AD$3='Bonding Program'!$H$28),'Bonding Program'!$T$28-'Bonding Program'!$U$28-'Bonding Program'!$Z$28,0)-IF(AND('Bonding Program'!$S$28=1,'Bonding Program'!$H$28&lt;='Bonding Program'!$C$8,AD$3=IF('Bonding Program'!$P$28&lt;&gt;"",'Bonding Program'!$P$28,'Bonding Program'!$C$8)),'Bonding Program'!$Z$28,0)+IF(AND('Bonding Program'!$P$28&lt;&gt;"",AD$3='Bonding Program'!$P$28,AD$3&lt;='Bonding Program'!$C$8),N('Bonding Program'!$O$28),0)</f>
        <v>0</v>
      </c>
      <c r="AE169" s="19" t="n">
        <f aca="false">IF(AND('Bonding Program'!$S$28=1,'Bonding Program'!$H$28&gt;'Bonding Program'!$C$8,AE$3='Bonding Program'!$H$28),'Bonding Program'!$T$28-'Bonding Program'!$U$28-'Bonding Program'!$Z$28,0)-IF(AND('Bonding Program'!$S$28=1,'Bonding Program'!$H$28&lt;='Bonding Program'!$C$8,AE$3=IF('Bonding Program'!$P$28&lt;&gt;"",'Bonding Program'!$P$28,'Bonding Program'!$C$8)),'Bonding Program'!$Z$28,0)+IF(AND('Bonding Program'!$P$28&lt;&gt;"",AE$3='Bonding Program'!$P$28,AE$3&lt;='Bonding Program'!$C$8),N('Bonding Program'!$O$28),0)</f>
        <v>0</v>
      </c>
      <c r="AF169" s="19" t="n">
        <f aca="false">IF(AND('Bonding Program'!$S$28=1,'Bonding Program'!$H$28&gt;'Bonding Program'!$C$8,AF$3='Bonding Program'!$H$28),'Bonding Program'!$T$28-'Bonding Program'!$U$28-'Bonding Program'!$Z$28,0)-IF(AND('Bonding Program'!$S$28=1,'Bonding Program'!$H$28&lt;='Bonding Program'!$C$8,AF$3=IF('Bonding Program'!$P$28&lt;&gt;"",'Bonding Program'!$P$28,'Bonding Program'!$C$8)),'Bonding Program'!$Z$28,0)+IF(AND('Bonding Program'!$P$28&lt;&gt;"",AF$3='Bonding Program'!$P$28,AF$3&lt;='Bonding Program'!$C$8),N('Bonding Program'!$O$28),0)</f>
        <v>0</v>
      </c>
      <c r="AG169" s="19" t="n">
        <f aca="false">IF(AND('Bonding Program'!$S$28=1,'Bonding Program'!$H$28&gt;'Bonding Program'!$C$8,AG$3='Bonding Program'!$H$28),'Bonding Program'!$T$28-'Bonding Program'!$U$28-'Bonding Program'!$Z$28,0)-IF(AND('Bonding Program'!$S$28=1,'Bonding Program'!$H$28&lt;='Bonding Program'!$C$8,AG$3=IF('Bonding Program'!$P$28&lt;&gt;"",'Bonding Program'!$P$28,'Bonding Program'!$C$8)),'Bonding Program'!$Z$28,0)+IF(AND('Bonding Program'!$P$28&lt;&gt;"",AG$3='Bonding Program'!$P$28,AG$3&lt;='Bonding Program'!$C$8),N('Bonding Program'!$O$28),0)</f>
        <v>0</v>
      </c>
      <c r="AH169" s="19" t="n">
        <f aca="false">IF(AND('Bonding Program'!$S$28=1,'Bonding Program'!$H$28&gt;'Bonding Program'!$C$8,AH$3='Bonding Program'!$H$28),'Bonding Program'!$T$28-'Bonding Program'!$U$28-'Bonding Program'!$Z$28,0)-IF(AND('Bonding Program'!$S$28=1,'Bonding Program'!$H$28&lt;='Bonding Program'!$C$8,AH$3=IF('Bonding Program'!$P$28&lt;&gt;"",'Bonding Program'!$P$28,'Bonding Program'!$C$8)),'Bonding Program'!$Z$28,0)+IF(AND('Bonding Program'!$P$28&lt;&gt;"",AH$3='Bonding Program'!$P$28,AH$3&lt;='Bonding Program'!$C$8),N('Bonding Program'!$O$28),0)</f>
        <v>0</v>
      </c>
      <c r="AI169" s="19" t="n">
        <f aca="false">IF(AND('Bonding Program'!$S$28=1,'Bonding Program'!$H$28&gt;'Bonding Program'!$C$8,AI$3='Bonding Program'!$H$28),'Bonding Program'!$T$28-'Bonding Program'!$U$28-'Bonding Program'!$Z$28,0)-IF(AND('Bonding Program'!$S$28=1,'Bonding Program'!$H$28&lt;='Bonding Program'!$C$8,AI$3=IF('Bonding Program'!$P$28&lt;&gt;"",'Bonding Program'!$P$28,'Bonding Program'!$C$8)),'Bonding Program'!$Z$28,0)+IF(AND('Bonding Program'!$P$28&lt;&gt;"",AI$3='Bonding Program'!$P$28,AI$3&lt;='Bonding Program'!$C$8),N('Bonding Program'!$O$28),0)</f>
        <v>0</v>
      </c>
      <c r="AJ169" s="19" t="n">
        <f aca="false">IF(AND('Bonding Program'!$S$28=1,'Bonding Program'!$H$28&gt;'Bonding Program'!$C$8,AJ$3='Bonding Program'!$H$28),'Bonding Program'!$T$28-'Bonding Program'!$U$28-'Bonding Program'!$Z$28,0)-IF(AND('Bonding Program'!$S$28=1,'Bonding Program'!$H$28&lt;='Bonding Program'!$C$8,AJ$3=IF('Bonding Program'!$P$28&lt;&gt;"",'Bonding Program'!$P$28,'Bonding Program'!$C$8)),'Bonding Program'!$Z$28,0)+IF(AND('Bonding Program'!$P$28&lt;&gt;"",AJ$3='Bonding Program'!$P$28,AJ$3&lt;='Bonding Program'!$C$8),N('Bonding Program'!$O$28),0)</f>
        <v>0</v>
      </c>
      <c r="AK169" s="19" t="n">
        <f aca="false">IF(AND('Bonding Program'!$S$28=1,'Bonding Program'!$H$28&gt;'Bonding Program'!$C$8,AK$3='Bonding Program'!$H$28),'Bonding Program'!$T$28-'Bonding Program'!$U$28-'Bonding Program'!$Z$28,0)-IF(AND('Bonding Program'!$S$28=1,'Bonding Program'!$H$28&lt;='Bonding Program'!$C$8,AK$3=IF('Bonding Program'!$P$28&lt;&gt;"",'Bonding Program'!$P$28,'Bonding Program'!$C$8)),'Bonding Program'!$Z$28,0)+IF(AND('Bonding Program'!$P$28&lt;&gt;"",AK$3='Bonding Program'!$P$28,AK$3&lt;='Bonding Program'!$C$8),N('Bonding Program'!$O$28),0)</f>
        <v>0</v>
      </c>
      <c r="AL169" s="19" t="n">
        <f aca="false">IF(AND('Bonding Program'!$S$28=1,'Bonding Program'!$H$28&gt;'Bonding Program'!$C$8,AL$3='Bonding Program'!$H$28),'Bonding Program'!$T$28-'Bonding Program'!$U$28-'Bonding Program'!$Z$28,0)-IF(AND('Bonding Program'!$S$28=1,'Bonding Program'!$H$28&lt;='Bonding Program'!$C$8,AL$3=IF('Bonding Program'!$P$28&lt;&gt;"",'Bonding Program'!$P$28,'Bonding Program'!$C$8)),'Bonding Program'!$Z$28,0)+IF(AND('Bonding Program'!$P$28&lt;&gt;"",AL$3='Bonding Program'!$P$28,AL$3&lt;='Bonding Program'!$C$8),N('Bonding Program'!$O$28),0)</f>
        <v>0</v>
      </c>
      <c r="AM169" s="19" t="n">
        <f aca="false">IF(AND('Bonding Program'!$S$28=1,'Bonding Program'!$H$28&gt;'Bonding Program'!$C$8,AM$3='Bonding Program'!$H$28),'Bonding Program'!$T$28-'Bonding Program'!$U$28-'Bonding Program'!$Z$28,0)-IF(AND('Bonding Program'!$S$28=1,'Bonding Program'!$H$28&lt;='Bonding Program'!$C$8,AM$3=IF('Bonding Program'!$P$28&lt;&gt;"",'Bonding Program'!$P$28,'Bonding Program'!$C$8)),'Bonding Program'!$Z$28,0)+IF(AND('Bonding Program'!$P$28&lt;&gt;"",AM$3='Bonding Program'!$P$28,AM$3&lt;='Bonding Program'!$C$8),N('Bonding Program'!$O$28),0)</f>
        <v>0</v>
      </c>
      <c r="AN169" s="19" t="n">
        <f aca="false">IF(AND('Bonding Program'!$S$28=1,'Bonding Program'!$H$28&gt;'Bonding Program'!$C$8,AN$3='Bonding Program'!$H$28),'Bonding Program'!$T$28-'Bonding Program'!$U$28-'Bonding Program'!$Z$28,0)-IF(AND('Bonding Program'!$S$28=1,'Bonding Program'!$H$28&lt;='Bonding Program'!$C$8,AN$3=IF('Bonding Program'!$P$28&lt;&gt;"",'Bonding Program'!$P$28,'Bonding Program'!$C$8)),'Bonding Program'!$Z$28,0)+IF(AND('Bonding Program'!$P$28&lt;&gt;"",AN$3='Bonding Program'!$P$28,AN$3&lt;='Bonding Program'!$C$8),N('Bonding Program'!$O$28),0)</f>
        <v>0</v>
      </c>
      <c r="AO169" s="19" t="n">
        <f aca="false">IF(AND('Bonding Program'!$S$28=1,'Bonding Program'!$H$28&gt;'Bonding Program'!$C$8,AO$3='Bonding Program'!$H$28),'Bonding Program'!$T$28-'Bonding Program'!$U$28-'Bonding Program'!$Z$28,0)-IF(AND('Bonding Program'!$S$28=1,'Bonding Program'!$H$28&lt;='Bonding Program'!$C$8,AO$3=IF('Bonding Program'!$P$28&lt;&gt;"",'Bonding Program'!$P$28,'Bonding Program'!$C$8)),'Bonding Program'!$Z$28,0)+IF(AND('Bonding Program'!$P$28&lt;&gt;"",AO$3='Bonding Program'!$P$28,AO$3&lt;='Bonding Program'!$C$8),N('Bonding Program'!$O$28),0)</f>
        <v>0</v>
      </c>
      <c r="AP169" s="19" t="n">
        <f aca="false">IF(AND('Bonding Program'!$S$28=1,'Bonding Program'!$H$28&gt;'Bonding Program'!$C$8,AP$3='Bonding Program'!$H$28),'Bonding Program'!$T$28-'Bonding Program'!$U$28-'Bonding Program'!$Z$28,0)-IF(AND('Bonding Program'!$S$28=1,'Bonding Program'!$H$28&lt;='Bonding Program'!$C$8,AP$3=IF('Bonding Program'!$P$28&lt;&gt;"",'Bonding Program'!$P$28,'Bonding Program'!$C$8)),'Bonding Program'!$Z$28,0)+IF(AND('Bonding Program'!$P$28&lt;&gt;"",AP$3='Bonding Program'!$P$28,AP$3&lt;='Bonding Program'!$C$8),N('Bonding Program'!$O$28),0)</f>
        <v>0</v>
      </c>
      <c r="AQ169" s="19" t="n">
        <f aca="false">IF(AND('Bonding Program'!$S$28=1,'Bonding Program'!$H$28&gt;'Bonding Program'!$C$8,AQ$3='Bonding Program'!$H$28),'Bonding Program'!$T$28-'Bonding Program'!$U$28-'Bonding Program'!$Z$28,0)-IF(AND('Bonding Program'!$S$28=1,'Bonding Program'!$H$28&lt;='Bonding Program'!$C$8,AQ$3=IF('Bonding Program'!$P$28&lt;&gt;"",'Bonding Program'!$P$28,'Bonding Program'!$C$8)),'Bonding Program'!$Z$28,0)+IF(AND('Bonding Program'!$P$28&lt;&gt;"",AQ$3='Bonding Program'!$P$28,AQ$3&lt;='Bonding Program'!$C$8),N('Bonding Program'!$O$28),0)</f>
        <v>0</v>
      </c>
      <c r="AR169" s="19" t="n">
        <f aca="false">IF(AND('Bonding Program'!$S$28=1,'Bonding Program'!$H$28&gt;'Bonding Program'!$C$8,AR$3='Bonding Program'!$H$28),'Bonding Program'!$T$28-'Bonding Program'!$U$28-'Bonding Program'!$Z$28,0)-IF(AND('Bonding Program'!$S$28=1,'Bonding Program'!$H$28&lt;='Bonding Program'!$C$8,AR$3=IF('Bonding Program'!$P$28&lt;&gt;"",'Bonding Program'!$P$28,'Bonding Program'!$C$8)),'Bonding Program'!$Z$28,0)+IF(AND('Bonding Program'!$P$28&lt;&gt;"",AR$3='Bonding Program'!$P$28,AR$3&lt;='Bonding Program'!$C$8),N('Bonding Program'!$O$28),0)</f>
        <v>0</v>
      </c>
      <c r="AS169" s="19" t="n">
        <f aca="false">IF(AND('Bonding Program'!$S$28=1,'Bonding Program'!$H$28&gt;'Bonding Program'!$C$8,AS$3='Bonding Program'!$H$28),'Bonding Program'!$T$28-'Bonding Program'!$U$28-'Bonding Program'!$Z$28,0)-IF(AND('Bonding Program'!$S$28=1,'Bonding Program'!$H$28&lt;='Bonding Program'!$C$8,AS$3=IF('Bonding Program'!$P$28&lt;&gt;"",'Bonding Program'!$P$28,'Bonding Program'!$C$8)),'Bonding Program'!$Z$28,0)+IF(AND('Bonding Program'!$P$28&lt;&gt;"",AS$3='Bonding Program'!$P$28,AS$3&lt;='Bonding Program'!$C$8),N('Bonding Program'!$O$28),0)</f>
        <v>0</v>
      </c>
      <c r="AT169" s="19" t="n">
        <f aca="false">IF(AND('Bonding Program'!$S$28=1,'Bonding Program'!$H$28&gt;'Bonding Program'!$C$8,AT$3='Bonding Program'!$H$28),'Bonding Program'!$T$28-'Bonding Program'!$U$28-'Bonding Program'!$Z$28,0)-IF(AND('Bonding Program'!$S$28=1,'Bonding Program'!$H$28&lt;='Bonding Program'!$C$8,AT$3=IF('Bonding Program'!$P$28&lt;&gt;"",'Bonding Program'!$P$28,'Bonding Program'!$C$8)),'Bonding Program'!$Z$28,0)+IF(AND('Bonding Program'!$P$28&lt;&gt;"",AT$3='Bonding Program'!$P$28,AT$3&lt;='Bonding Program'!$C$8),N('Bonding Program'!$O$28),0)</f>
        <v>0</v>
      </c>
      <c r="AU169" s="19" t="n">
        <f aca="false">IF(AND('Bonding Program'!$S$28=1,'Bonding Program'!$H$28&gt;'Bonding Program'!$C$8,AU$3='Bonding Program'!$H$28),'Bonding Program'!$T$28-'Bonding Program'!$U$28-'Bonding Program'!$Z$28,0)-IF(AND('Bonding Program'!$S$28=1,'Bonding Program'!$H$28&lt;='Bonding Program'!$C$8,AU$3=IF('Bonding Program'!$P$28&lt;&gt;"",'Bonding Program'!$P$28,'Bonding Program'!$C$8)),'Bonding Program'!$Z$28,0)+IF(AND('Bonding Program'!$P$28&lt;&gt;"",AU$3='Bonding Program'!$P$28,AU$3&lt;='Bonding Program'!$C$8),N('Bonding Program'!$O$28),0)</f>
        <v>0</v>
      </c>
      <c r="AV169" s="19" t="n">
        <f aca="false">IF(AND('Bonding Program'!$S$28=1,'Bonding Program'!$H$28&gt;'Bonding Program'!$C$8,AV$3='Bonding Program'!$H$28),'Bonding Program'!$T$28-'Bonding Program'!$U$28-'Bonding Program'!$Z$28,0)-IF(AND('Bonding Program'!$S$28=1,'Bonding Program'!$H$28&lt;='Bonding Program'!$C$8,AV$3=IF('Bonding Program'!$P$28&lt;&gt;"",'Bonding Program'!$P$28,'Bonding Program'!$C$8)),'Bonding Program'!$Z$28,0)+IF(AND('Bonding Program'!$P$28&lt;&gt;"",AV$3='Bonding Program'!$P$28,AV$3&lt;='Bonding Program'!$C$8),N('Bonding Program'!$O$28),0)</f>
        <v>0</v>
      </c>
      <c r="AW169" s="19" t="n">
        <f aca="false">IF(AND('Bonding Program'!$S$28=1,'Bonding Program'!$H$28&gt;'Bonding Program'!$C$8,AW$3='Bonding Program'!$H$28),'Bonding Program'!$T$28-'Bonding Program'!$U$28-'Bonding Program'!$Z$28,0)-IF(AND('Bonding Program'!$S$28=1,'Bonding Program'!$H$28&lt;='Bonding Program'!$C$8,AW$3=IF('Bonding Program'!$P$28&lt;&gt;"",'Bonding Program'!$P$28,'Bonding Program'!$C$8)),'Bonding Program'!$Z$28,0)+IF(AND('Bonding Program'!$P$28&lt;&gt;"",AW$3='Bonding Program'!$P$28,AW$3&lt;='Bonding Program'!$C$8),N('Bonding Program'!$O$28),0)</f>
        <v>0</v>
      </c>
      <c r="AX169" s="19" t="n">
        <f aca="false">IF(AND('Bonding Program'!$S$28=1,'Bonding Program'!$H$28&gt;'Bonding Program'!$C$8,AX$3='Bonding Program'!$H$28),'Bonding Program'!$T$28-'Bonding Program'!$U$28-'Bonding Program'!$Z$28,0)-IF(AND('Bonding Program'!$S$28=1,'Bonding Program'!$H$28&lt;='Bonding Program'!$C$8,AX$3=IF('Bonding Program'!$P$28&lt;&gt;"",'Bonding Program'!$P$28,'Bonding Program'!$C$8)),'Bonding Program'!$Z$28,0)+IF(AND('Bonding Program'!$P$28&lt;&gt;"",AX$3='Bonding Program'!$P$28,AX$3&lt;='Bonding Program'!$C$8),N('Bonding Program'!$O$28),0)</f>
        <v>0</v>
      </c>
      <c r="AY169" s="19" t="n">
        <f aca="false">IF(AND('Bonding Program'!$S$28=1,'Bonding Program'!$H$28&gt;'Bonding Program'!$C$8,AY$3='Bonding Program'!$H$28),'Bonding Program'!$T$28-'Bonding Program'!$U$28-'Bonding Program'!$Z$28,0)-IF(AND('Bonding Program'!$S$28=1,'Bonding Program'!$H$28&lt;='Bonding Program'!$C$8,AY$3=IF('Bonding Program'!$P$28&lt;&gt;"",'Bonding Program'!$P$28,'Bonding Program'!$C$8)),'Bonding Program'!$Z$28,0)+IF(AND('Bonding Program'!$P$28&lt;&gt;"",AY$3='Bonding Program'!$P$28,AY$3&lt;='Bonding Program'!$C$8),N('Bonding Program'!$O$28),0)</f>
        <v>0</v>
      </c>
      <c r="AZ169" s="19" t="n">
        <f aca="false">IF(AND('Bonding Program'!$S$28=1,'Bonding Program'!$H$28&gt;'Bonding Program'!$C$8,AZ$3='Bonding Program'!$H$28),'Bonding Program'!$T$28-'Bonding Program'!$U$28-'Bonding Program'!$Z$28,0)-IF(AND('Bonding Program'!$S$28=1,'Bonding Program'!$H$28&lt;='Bonding Program'!$C$8,AZ$3=IF('Bonding Program'!$P$28&lt;&gt;"",'Bonding Program'!$P$28,'Bonding Program'!$C$8)),'Bonding Program'!$Z$28,0)+IF(AND('Bonding Program'!$P$28&lt;&gt;"",AZ$3='Bonding Program'!$P$28,AZ$3&lt;='Bonding Program'!$C$8),N('Bonding Program'!$O$28),0)</f>
        <v>0</v>
      </c>
      <c r="BA169" s="19" t="n">
        <f aca="false">IF(AND('Bonding Program'!$S$28=1,'Bonding Program'!$H$28&gt;'Bonding Program'!$C$8,BA$3='Bonding Program'!$H$28),'Bonding Program'!$T$28-'Bonding Program'!$U$28-'Bonding Program'!$Z$28,0)-IF(AND('Bonding Program'!$S$28=1,'Bonding Program'!$H$28&lt;='Bonding Program'!$C$8,BA$3=IF('Bonding Program'!$P$28&lt;&gt;"",'Bonding Program'!$P$28,'Bonding Program'!$C$8)),'Bonding Program'!$Z$28,0)+IF(AND('Bonding Program'!$P$28&lt;&gt;"",BA$3='Bonding Program'!$P$28,BA$3&lt;='Bonding Program'!$C$8),N('Bonding Program'!$O$28),0)</f>
        <v>0</v>
      </c>
      <c r="BB169" s="19" t="n">
        <f aca="false">IF(AND('Bonding Program'!$S$28=1,'Bonding Program'!$H$28&gt;'Bonding Program'!$C$8,BB$3='Bonding Program'!$H$28),'Bonding Program'!$T$28-'Bonding Program'!$U$28-'Bonding Program'!$Z$28,0)-IF(AND('Bonding Program'!$S$28=1,'Bonding Program'!$H$28&lt;='Bonding Program'!$C$8,BB$3=IF('Bonding Program'!$P$28&lt;&gt;"",'Bonding Program'!$P$28,'Bonding Program'!$C$8)),'Bonding Program'!$Z$28,0)+IF(AND('Bonding Program'!$P$28&lt;&gt;"",BB$3='Bonding Program'!$P$28,BB$3&lt;='Bonding Program'!$C$8),N('Bonding Program'!$O$28),0)</f>
        <v>0</v>
      </c>
      <c r="BC169" s="19" t="n">
        <f aca="false">IF(AND('Bonding Program'!$S$28=1,'Bonding Program'!$H$28&gt;'Bonding Program'!$C$8,BC$3='Bonding Program'!$H$28),'Bonding Program'!$T$28-'Bonding Program'!$U$28-'Bonding Program'!$Z$28,0)-IF(AND('Bonding Program'!$S$28=1,'Bonding Program'!$H$28&lt;='Bonding Program'!$C$8,BC$3=IF('Bonding Program'!$P$28&lt;&gt;"",'Bonding Program'!$P$28,'Bonding Program'!$C$8)),'Bonding Program'!$Z$28,0)+IF(AND('Bonding Program'!$P$28&lt;&gt;"",BC$3='Bonding Program'!$P$28,BC$3&lt;='Bonding Program'!$C$8),N('Bonding Program'!$O$28),0)</f>
        <v>0</v>
      </c>
      <c r="BD169" s="19" t="n">
        <f aca="false">IF(AND('Bonding Program'!$S$28=1,'Bonding Program'!$H$28&gt;'Bonding Program'!$C$8,BD$3='Bonding Program'!$H$28),'Bonding Program'!$T$28-'Bonding Program'!$U$28-'Bonding Program'!$Z$28,0)-IF(AND('Bonding Program'!$S$28=1,'Bonding Program'!$H$28&lt;='Bonding Program'!$C$8,BD$3=IF('Bonding Program'!$P$28&lt;&gt;"",'Bonding Program'!$P$28,'Bonding Program'!$C$8)),'Bonding Program'!$Z$28,0)+IF(AND('Bonding Program'!$P$28&lt;&gt;"",BD$3='Bonding Program'!$P$28,BD$3&lt;='Bonding Program'!$C$8),N('Bonding Program'!$O$28),0)</f>
        <v>0</v>
      </c>
      <c r="BE169" s="19" t="n">
        <f aca="false">IF(AND('Bonding Program'!$S$28=1,'Bonding Program'!$H$28&gt;'Bonding Program'!$C$8,BE$3='Bonding Program'!$H$28),'Bonding Program'!$T$28-'Bonding Program'!$U$28-'Bonding Program'!$Z$28,0)-IF(AND('Bonding Program'!$S$28=1,'Bonding Program'!$H$28&lt;='Bonding Program'!$C$8,BE$3=IF('Bonding Program'!$P$28&lt;&gt;"",'Bonding Program'!$P$28,'Bonding Program'!$C$8)),'Bonding Program'!$Z$28,0)+IF(AND('Bonding Program'!$P$28&lt;&gt;"",BE$3='Bonding Program'!$P$28,BE$3&lt;='Bonding Program'!$C$8),N('Bonding Program'!$O$28),0)</f>
        <v>0</v>
      </c>
      <c r="BF169" s="19" t="n">
        <f aca="false">IF(AND('Bonding Program'!$S$28=1,'Bonding Program'!$H$28&gt;'Bonding Program'!$C$8,BF$3='Bonding Program'!$H$28),'Bonding Program'!$T$28-'Bonding Program'!$U$28-'Bonding Program'!$Z$28,0)-IF(AND('Bonding Program'!$S$28=1,'Bonding Program'!$H$28&lt;='Bonding Program'!$C$8,BF$3=IF('Bonding Program'!$P$28&lt;&gt;"",'Bonding Program'!$P$28,'Bonding Program'!$C$8)),'Bonding Program'!$Z$28,0)+IF(AND('Bonding Program'!$P$28&lt;&gt;"",BF$3='Bonding Program'!$P$28,BF$3&lt;='Bonding Program'!$C$8),N('Bonding Program'!$O$28),0)</f>
        <v>0</v>
      </c>
      <c r="BG169" s="19" t="n">
        <f aca="false">IF(AND('Bonding Program'!$S$28=1,'Bonding Program'!$H$28&gt;'Bonding Program'!$C$8,BG$3='Bonding Program'!$H$28),'Bonding Program'!$T$28-'Bonding Program'!$U$28-'Bonding Program'!$Z$28,0)-IF(AND('Bonding Program'!$S$28=1,'Bonding Program'!$H$28&lt;='Bonding Program'!$C$8,BG$3=IF('Bonding Program'!$P$28&lt;&gt;"",'Bonding Program'!$P$28,'Bonding Program'!$C$8)),'Bonding Program'!$Z$28,0)+IF(AND('Bonding Program'!$P$28&lt;&gt;"",BG$3='Bonding Program'!$P$28,BG$3&lt;='Bonding Program'!$C$8),N('Bonding Program'!$O$28),0)</f>
        <v>0</v>
      </c>
      <c r="BH169" s="19" t="n">
        <f aca="false">IF(AND('Bonding Program'!$S$28=1,'Bonding Program'!$H$28&gt;'Bonding Program'!$C$8,BH$3='Bonding Program'!$H$28),'Bonding Program'!$T$28-'Bonding Program'!$U$28-'Bonding Program'!$Z$28,0)-IF(AND('Bonding Program'!$S$28=1,'Bonding Program'!$H$28&lt;='Bonding Program'!$C$8,BH$3=IF('Bonding Program'!$P$28&lt;&gt;"",'Bonding Program'!$P$28,'Bonding Program'!$C$8)),'Bonding Program'!$Z$28,0)+IF(AND('Bonding Program'!$P$28&lt;&gt;"",BH$3='Bonding Program'!$P$28,BH$3&lt;='Bonding Program'!$C$8),N('Bonding Program'!$O$28),0)</f>
        <v>0</v>
      </c>
      <c r="BI169" s="19" t="n">
        <f aca="false">IF(AND('Bonding Program'!$S$28=1,'Bonding Program'!$H$28&gt;'Bonding Program'!$C$8,BI$3='Bonding Program'!$H$28),'Bonding Program'!$T$28-'Bonding Program'!$U$28-'Bonding Program'!$Z$28,0)-IF(AND('Bonding Program'!$S$28=1,'Bonding Program'!$H$28&lt;='Bonding Program'!$C$8,BI$3=IF('Bonding Program'!$P$28&lt;&gt;"",'Bonding Program'!$P$28,'Bonding Program'!$C$8)),'Bonding Program'!$Z$28,0)+IF(AND('Bonding Program'!$P$28&lt;&gt;"",BI$3='Bonding Program'!$P$28,BI$3&lt;='Bonding Program'!$C$8),N('Bonding Program'!$O$28),0)</f>
        <v>0</v>
      </c>
      <c r="BJ169" s="19" t="n">
        <f aca="false">IF(AND('Bonding Program'!$S$28=1,'Bonding Program'!$H$28&gt;'Bonding Program'!$C$8,BJ$3='Bonding Program'!$H$28),'Bonding Program'!$T$28-'Bonding Program'!$U$28-'Bonding Program'!$Z$28,0)-IF(AND('Bonding Program'!$S$28=1,'Bonding Program'!$H$28&lt;='Bonding Program'!$C$8,BJ$3=IF('Bonding Program'!$P$28&lt;&gt;"",'Bonding Program'!$P$28,'Bonding Program'!$C$8)),'Bonding Program'!$Z$28,0)+IF(AND('Bonding Program'!$P$28&lt;&gt;"",BJ$3='Bonding Program'!$P$28,BJ$3&lt;='Bonding Program'!$C$8),N('Bonding Program'!$O$28),0)</f>
        <v>0</v>
      </c>
      <c r="BK169" s="19" t="n">
        <f aca="false">IF(AND('Bonding Program'!$S$28=1,'Bonding Program'!$H$28&gt;'Bonding Program'!$C$8,BK$3='Bonding Program'!$H$28),'Bonding Program'!$T$28-'Bonding Program'!$U$28-'Bonding Program'!$Z$28,0)-IF(AND('Bonding Program'!$S$28=1,'Bonding Program'!$H$28&lt;='Bonding Program'!$C$8,BK$3=IF('Bonding Program'!$P$28&lt;&gt;"",'Bonding Program'!$P$28,'Bonding Program'!$C$8)),'Bonding Program'!$Z$28,0)+IF(AND('Bonding Program'!$P$28&lt;&gt;"",BK$3='Bonding Program'!$P$28,BK$3&lt;='Bonding Program'!$C$8),N('Bonding Program'!$O$28),0)</f>
        <v>0</v>
      </c>
      <c r="BL169" s="19" t="n">
        <f aca="false">IF(AND('Bonding Program'!$S$28=1,'Bonding Program'!$H$28&gt;'Bonding Program'!$C$8,BL$3='Bonding Program'!$H$28),'Bonding Program'!$T$28-'Bonding Program'!$U$28-'Bonding Program'!$Z$28,0)-IF(AND('Bonding Program'!$S$28=1,'Bonding Program'!$H$28&lt;='Bonding Program'!$C$8,BL$3=IF('Bonding Program'!$P$28&lt;&gt;"",'Bonding Program'!$P$28,'Bonding Program'!$C$8)),'Bonding Program'!$Z$28,0)+IF(AND('Bonding Program'!$P$28&lt;&gt;"",BL$3='Bonding Program'!$P$28,BL$3&lt;='Bonding Program'!$C$8),N('Bonding Program'!$O$28),0)</f>
        <v>0</v>
      </c>
      <c r="BM169" s="19" t="n">
        <f aca="false">IF(AND('Bonding Program'!$S$28=1,'Bonding Program'!$H$28&gt;'Bonding Program'!$C$8,BM$3='Bonding Program'!$H$28),'Bonding Program'!$T$28-'Bonding Program'!$U$28-'Bonding Program'!$Z$28,0)-IF(AND('Bonding Program'!$S$28=1,'Bonding Program'!$H$28&lt;='Bonding Program'!$C$8,BM$3=IF('Bonding Program'!$P$28&lt;&gt;"",'Bonding Program'!$P$28,'Bonding Program'!$C$8)),'Bonding Program'!$Z$28,0)+IF(AND('Bonding Program'!$P$28&lt;&gt;"",BM$3='Bonding Program'!$P$28,BM$3&lt;='Bonding Program'!$C$8),N('Bonding Program'!$O$28),0)</f>
        <v>0</v>
      </c>
      <c r="BN169" s="19" t="n">
        <f aca="false">IF(AND('Bonding Program'!$S$28=1,'Bonding Program'!$H$28&gt;'Bonding Program'!$C$8,BN$3='Bonding Program'!$H$28),'Bonding Program'!$T$28-'Bonding Program'!$U$28-'Bonding Program'!$Z$28,0)-IF(AND('Bonding Program'!$S$28=1,'Bonding Program'!$H$28&lt;='Bonding Program'!$C$8,BN$3=IF('Bonding Program'!$P$28&lt;&gt;"",'Bonding Program'!$P$28,'Bonding Program'!$C$8)),'Bonding Program'!$Z$28,0)+IF(AND('Bonding Program'!$P$28&lt;&gt;"",BN$3='Bonding Program'!$P$28,BN$3&lt;='Bonding Program'!$C$8),N('Bonding Program'!$O$28),0)</f>
        <v>0</v>
      </c>
      <c r="BO169" s="19" t="n">
        <f aca="false">IF(AND('Bonding Program'!$S$28=1,'Bonding Program'!$H$28&gt;'Bonding Program'!$C$8,BO$3='Bonding Program'!$H$28),'Bonding Program'!$T$28-'Bonding Program'!$U$28-'Bonding Program'!$Z$28,0)-IF(AND('Bonding Program'!$S$28=1,'Bonding Program'!$H$28&lt;='Bonding Program'!$C$8,BO$3=IF('Bonding Program'!$P$28&lt;&gt;"",'Bonding Program'!$P$28,'Bonding Program'!$C$8)),'Bonding Program'!$Z$28,0)+IF(AND('Bonding Program'!$P$28&lt;&gt;"",BO$3='Bonding Program'!$P$28,BO$3&lt;='Bonding Program'!$C$8),N('Bonding Program'!$O$28),0)</f>
        <v>0</v>
      </c>
      <c r="BP169" s="19" t="n">
        <f aca="false">IF(AND('Bonding Program'!$S$28=1,'Bonding Program'!$H$28&gt;'Bonding Program'!$C$8,BP$3='Bonding Program'!$H$28),'Bonding Program'!$T$28-'Bonding Program'!$U$28-'Bonding Program'!$Z$28,0)-IF(AND('Bonding Program'!$S$28=1,'Bonding Program'!$H$28&lt;='Bonding Program'!$C$8,BP$3=IF('Bonding Program'!$P$28&lt;&gt;"",'Bonding Program'!$P$28,'Bonding Program'!$C$8)),'Bonding Program'!$Z$28,0)+IF(AND('Bonding Program'!$P$28&lt;&gt;"",BP$3='Bonding Program'!$P$28,BP$3&lt;='Bonding Program'!$C$8),N('Bonding Program'!$O$28),0)</f>
        <v>0</v>
      </c>
      <c r="BQ169" s="19" t="n">
        <f aca="false">IF(AND('Bonding Program'!$S$28=1,'Bonding Program'!$H$28&gt;'Bonding Program'!$C$8,BQ$3='Bonding Program'!$H$28),'Bonding Program'!$T$28-'Bonding Program'!$U$28-'Bonding Program'!$Z$28,0)-IF(AND('Bonding Program'!$S$28=1,'Bonding Program'!$H$28&lt;='Bonding Program'!$C$8,BQ$3=IF('Bonding Program'!$P$28&lt;&gt;"",'Bonding Program'!$P$28,'Bonding Program'!$C$8)),'Bonding Program'!$Z$28,0)+IF(AND('Bonding Program'!$P$28&lt;&gt;"",BQ$3='Bonding Program'!$P$28,BQ$3&lt;='Bonding Program'!$C$8),N('Bonding Program'!$O$28),0)</f>
        <v>0</v>
      </c>
      <c r="BR169" s="19" t="n">
        <f aca="false">IF(AND('Bonding Program'!$S$28=1,'Bonding Program'!$H$28&gt;'Bonding Program'!$C$8,BR$3='Bonding Program'!$H$28),'Bonding Program'!$T$28-'Bonding Program'!$U$28-'Bonding Program'!$Z$28,0)-IF(AND('Bonding Program'!$S$28=1,'Bonding Program'!$H$28&lt;='Bonding Program'!$C$8,BR$3=IF('Bonding Program'!$P$28&lt;&gt;"",'Bonding Program'!$P$28,'Bonding Program'!$C$8)),'Bonding Program'!$Z$28,0)+IF(AND('Bonding Program'!$P$28&lt;&gt;"",BR$3='Bonding Program'!$P$28,BR$3&lt;='Bonding Program'!$C$8),N('Bonding Program'!$O$28),0)</f>
        <v>0</v>
      </c>
      <c r="BS169" s="19" t="n">
        <f aca="false">IF(AND('Bonding Program'!$S$28=1,'Bonding Program'!$H$28&gt;'Bonding Program'!$C$8,BS$3='Bonding Program'!$H$28),'Bonding Program'!$T$28-'Bonding Program'!$U$28-'Bonding Program'!$Z$28,0)-IF(AND('Bonding Program'!$S$28=1,'Bonding Program'!$H$28&lt;='Bonding Program'!$C$8,BS$3=IF('Bonding Program'!$P$28&lt;&gt;"",'Bonding Program'!$P$28,'Bonding Program'!$C$8)),'Bonding Program'!$Z$28,0)+IF(AND('Bonding Program'!$P$28&lt;&gt;"",BS$3='Bonding Program'!$P$28,BS$3&lt;='Bonding Program'!$C$8),N('Bonding Program'!$O$28),0)</f>
        <v>0</v>
      </c>
      <c r="BT169" s="19" t="n">
        <f aca="false">IF(AND('Bonding Program'!$S$28=1,'Bonding Program'!$H$28&gt;'Bonding Program'!$C$8,BT$3='Bonding Program'!$H$28),'Bonding Program'!$T$28-'Bonding Program'!$U$28-'Bonding Program'!$Z$28,0)-IF(AND('Bonding Program'!$S$28=1,'Bonding Program'!$H$28&lt;='Bonding Program'!$C$8,BT$3=IF('Bonding Program'!$P$28&lt;&gt;"",'Bonding Program'!$P$28,'Bonding Program'!$C$8)),'Bonding Program'!$Z$28,0)+IF(AND('Bonding Program'!$P$28&lt;&gt;"",BT$3='Bonding Program'!$P$28,BT$3&lt;='Bonding Program'!$C$8),N('Bonding Program'!$O$28),0)</f>
        <v>0</v>
      </c>
      <c r="BU169" s="19" t="n">
        <f aca="false">IF(AND('Bonding Program'!$S$28=1,'Bonding Program'!$H$28&gt;'Bonding Program'!$C$8,BU$3='Bonding Program'!$H$28),'Bonding Program'!$T$28-'Bonding Program'!$U$28-'Bonding Program'!$Z$28,0)-IF(AND('Bonding Program'!$S$28=1,'Bonding Program'!$H$28&lt;='Bonding Program'!$C$8,BU$3=IF('Bonding Program'!$P$28&lt;&gt;"",'Bonding Program'!$P$28,'Bonding Program'!$C$8)),'Bonding Program'!$Z$28,0)+IF(AND('Bonding Program'!$P$28&lt;&gt;"",BU$3='Bonding Program'!$P$28,BU$3&lt;='Bonding Program'!$C$8),N('Bonding Program'!$O$28),0)</f>
        <v>0</v>
      </c>
      <c r="BV169" s="19" t="n">
        <f aca="false">IF(AND('Bonding Program'!$S$28=1,'Bonding Program'!$H$28&gt;'Bonding Program'!$C$8,BV$3='Bonding Program'!$H$28),'Bonding Program'!$T$28-'Bonding Program'!$U$28-'Bonding Program'!$Z$28,0)-IF(AND('Bonding Program'!$S$28=1,'Bonding Program'!$H$28&lt;='Bonding Program'!$C$8,BV$3=IF('Bonding Program'!$P$28&lt;&gt;"",'Bonding Program'!$P$28,'Bonding Program'!$C$8)),'Bonding Program'!$Z$28,0)+IF(AND('Bonding Program'!$P$28&lt;&gt;"",BV$3='Bonding Program'!$P$28,BV$3&lt;='Bonding Program'!$C$8),N('Bonding Program'!$O$28),0)</f>
        <v>0</v>
      </c>
      <c r="BW169" s="19" t="n">
        <f aca="false">IF(AND('Bonding Program'!$S$28=1,'Bonding Program'!$H$28&gt;'Bonding Program'!$C$8,BW$3='Bonding Program'!$H$28),'Bonding Program'!$T$28-'Bonding Program'!$U$28-'Bonding Program'!$Z$28,0)-IF(AND('Bonding Program'!$S$28=1,'Bonding Program'!$H$28&lt;='Bonding Program'!$C$8,BW$3=IF('Bonding Program'!$P$28&lt;&gt;"",'Bonding Program'!$P$28,'Bonding Program'!$C$8)),'Bonding Program'!$Z$28,0)+IF(AND('Bonding Program'!$P$28&lt;&gt;"",BW$3='Bonding Program'!$P$28,BW$3&lt;='Bonding Program'!$C$8),N('Bonding Program'!$O$28),0)</f>
        <v>0</v>
      </c>
      <c r="BX169" s="19" t="n">
        <f aca="false">IF(AND('Bonding Program'!$S$28=1,'Bonding Program'!$H$28&gt;'Bonding Program'!$C$8,BX$3='Bonding Program'!$H$28),'Bonding Program'!$T$28-'Bonding Program'!$U$28-'Bonding Program'!$Z$28,0)-IF(AND('Bonding Program'!$S$28=1,'Bonding Program'!$H$28&lt;='Bonding Program'!$C$8,BX$3=IF('Bonding Program'!$P$28&lt;&gt;"",'Bonding Program'!$P$28,'Bonding Program'!$C$8)),'Bonding Program'!$Z$28,0)+IF(AND('Bonding Program'!$P$28&lt;&gt;"",BX$3='Bonding Program'!$P$28,BX$3&lt;='Bonding Program'!$C$8),N('Bonding Program'!$O$28),0)</f>
        <v>0</v>
      </c>
      <c r="BY169" s="19" t="n">
        <f aca="false">IF(AND('Bonding Program'!$S$28=1,'Bonding Program'!$H$28&gt;'Bonding Program'!$C$8,BY$3='Bonding Program'!$H$28),'Bonding Program'!$T$28-'Bonding Program'!$U$28-'Bonding Program'!$Z$28,0)-IF(AND('Bonding Program'!$S$28=1,'Bonding Program'!$H$28&lt;='Bonding Program'!$C$8,BY$3=IF('Bonding Program'!$P$28&lt;&gt;"",'Bonding Program'!$P$28,'Bonding Program'!$C$8)),'Bonding Program'!$Z$28,0)+IF(AND('Bonding Program'!$P$28&lt;&gt;"",BY$3='Bonding Program'!$P$28,BY$3&lt;='Bonding Program'!$C$8),N('Bonding Program'!$O$28),0)</f>
        <v>0</v>
      </c>
      <c r="BZ169" s="19" t="n">
        <f aca="false">IF(AND('Bonding Program'!$S$28=1,'Bonding Program'!$H$28&gt;'Bonding Program'!$C$8,BZ$3='Bonding Program'!$H$28),'Bonding Program'!$T$28-'Bonding Program'!$U$28-'Bonding Program'!$Z$28,0)-IF(AND('Bonding Program'!$S$28=1,'Bonding Program'!$H$28&lt;='Bonding Program'!$C$8,BZ$3=IF('Bonding Program'!$P$28&lt;&gt;"",'Bonding Program'!$P$28,'Bonding Program'!$C$8)),'Bonding Program'!$Z$28,0)+IF(AND('Bonding Program'!$P$28&lt;&gt;"",BZ$3='Bonding Program'!$P$28,BZ$3&lt;='Bonding Program'!$C$8),N('Bonding Program'!$O$28),0)</f>
        <v>0</v>
      </c>
      <c r="CA169" s="19" t="n">
        <f aca="false">IF(AND('Bonding Program'!$S$28=1,'Bonding Program'!$H$28&gt;'Bonding Program'!$C$8,CA$3='Bonding Program'!$H$28),'Bonding Program'!$T$28-'Bonding Program'!$U$28-'Bonding Program'!$Z$28,0)-IF(AND('Bonding Program'!$S$28=1,'Bonding Program'!$H$28&lt;='Bonding Program'!$C$8,CA$3=IF('Bonding Program'!$P$28&lt;&gt;"",'Bonding Program'!$P$28,'Bonding Program'!$C$8)),'Bonding Program'!$Z$28,0)+IF(AND('Bonding Program'!$P$28&lt;&gt;"",CA$3='Bonding Program'!$P$28,CA$3&lt;='Bonding Program'!$C$8),N('Bonding Program'!$O$28),0)</f>
        <v>0</v>
      </c>
      <c r="CB169" s="19" t="n">
        <f aca="false">IF(AND('Bonding Program'!$S$28=1,'Bonding Program'!$H$28&gt;'Bonding Program'!$C$8,CB$3='Bonding Program'!$H$28),'Bonding Program'!$T$28-'Bonding Program'!$U$28-'Bonding Program'!$Z$28,0)-IF(AND('Bonding Program'!$S$28=1,'Bonding Program'!$H$28&lt;='Bonding Program'!$C$8,CB$3=IF('Bonding Program'!$P$28&lt;&gt;"",'Bonding Program'!$P$28,'Bonding Program'!$C$8)),'Bonding Program'!$Z$28,0)+IF(AND('Bonding Program'!$P$28&lt;&gt;"",CB$3='Bonding Program'!$P$28,CB$3&lt;='Bonding Program'!$C$8),N('Bonding Program'!$O$28),0)</f>
        <v>0</v>
      </c>
      <c r="CC169" s="19" t="n">
        <f aca="false">IF(AND('Bonding Program'!$S$28=1,'Bonding Program'!$H$28&gt;'Bonding Program'!$C$8,CC$3='Bonding Program'!$H$28),'Bonding Program'!$T$28-'Bonding Program'!$U$28-'Bonding Program'!$Z$28,0)-IF(AND('Bonding Program'!$S$28=1,'Bonding Program'!$H$28&lt;='Bonding Program'!$C$8,CC$3=IF('Bonding Program'!$P$28&lt;&gt;"",'Bonding Program'!$P$28,'Bonding Program'!$C$8)),'Bonding Program'!$Z$28,0)+IF(AND('Bonding Program'!$P$28&lt;&gt;"",CC$3='Bonding Program'!$P$28,CC$3&lt;='Bonding Program'!$C$8),N('Bonding Program'!$O$28),0)</f>
        <v>0</v>
      </c>
      <c r="CD169" s="19" t="n">
        <f aca="false">IF(AND('Bonding Program'!$S$28=1,'Bonding Program'!$H$28&gt;'Bonding Program'!$C$8,CD$3='Bonding Program'!$H$28),'Bonding Program'!$T$28-'Bonding Program'!$U$28-'Bonding Program'!$Z$28,0)-IF(AND('Bonding Program'!$S$28=1,'Bonding Program'!$H$28&lt;='Bonding Program'!$C$8,CD$3=IF('Bonding Program'!$P$28&lt;&gt;"",'Bonding Program'!$P$28,'Bonding Program'!$C$8)),'Bonding Program'!$Z$28,0)+IF(AND('Bonding Program'!$P$28&lt;&gt;"",CD$3='Bonding Program'!$P$28,CD$3&lt;='Bonding Program'!$C$8),N('Bonding Program'!$O$28),0)</f>
        <v>0</v>
      </c>
      <c r="CE169" s="19" t="n">
        <f aca="false">IF(AND('Bonding Program'!$S$28=1,'Bonding Program'!$H$28&gt;'Bonding Program'!$C$8,CE$3='Bonding Program'!$H$28),'Bonding Program'!$T$28-'Bonding Program'!$U$28-'Bonding Program'!$Z$28,0)-IF(AND('Bonding Program'!$S$28=1,'Bonding Program'!$H$28&lt;='Bonding Program'!$C$8,CE$3=IF('Bonding Program'!$P$28&lt;&gt;"",'Bonding Program'!$P$28,'Bonding Program'!$C$8)),'Bonding Program'!$Z$28,0)+IF(AND('Bonding Program'!$P$28&lt;&gt;"",CE$3='Bonding Program'!$P$28,CE$3&lt;='Bonding Program'!$C$8),N('Bonding Program'!$O$28),0)</f>
        <v>0</v>
      </c>
      <c r="CF169" s="19" t="n">
        <f aca="false">IF(AND('Bonding Program'!$S$28=1,'Bonding Program'!$H$28&gt;'Bonding Program'!$C$8,CF$3='Bonding Program'!$H$28),'Bonding Program'!$T$28-'Bonding Program'!$U$28-'Bonding Program'!$Z$28,0)-IF(AND('Bonding Program'!$S$28=1,'Bonding Program'!$H$28&lt;='Bonding Program'!$C$8,CF$3=IF('Bonding Program'!$P$28&lt;&gt;"",'Bonding Program'!$P$28,'Bonding Program'!$C$8)),'Bonding Program'!$Z$28,0)+IF(AND('Bonding Program'!$P$28&lt;&gt;"",CF$3='Bonding Program'!$P$28,CF$3&lt;='Bonding Program'!$C$8),N('Bonding Program'!$O$28),0)</f>
        <v>0</v>
      </c>
      <c r="CG169" s="19" t="n">
        <f aca="false">IF(AND('Bonding Program'!$S$28=1,'Bonding Program'!$H$28&gt;'Bonding Program'!$C$8,CG$3='Bonding Program'!$H$28),'Bonding Program'!$T$28-'Bonding Program'!$U$28-'Bonding Program'!$Z$28,0)-IF(AND('Bonding Program'!$S$28=1,'Bonding Program'!$H$28&lt;='Bonding Program'!$C$8,CG$3=IF('Bonding Program'!$P$28&lt;&gt;"",'Bonding Program'!$P$28,'Bonding Program'!$C$8)),'Bonding Program'!$Z$28,0)+IF(AND('Bonding Program'!$P$28&lt;&gt;"",CG$3='Bonding Program'!$P$28,CG$3&lt;='Bonding Program'!$C$8),N('Bonding Program'!$O$28),0)</f>
        <v>0</v>
      </c>
      <c r="CH169" s="19" t="n">
        <f aca="false">IF(AND('Bonding Program'!$S$28=1,'Bonding Program'!$H$28&gt;'Bonding Program'!$C$8,CH$3='Bonding Program'!$H$28),'Bonding Program'!$T$28-'Bonding Program'!$U$28-'Bonding Program'!$Z$28,0)-IF(AND('Bonding Program'!$S$28=1,'Bonding Program'!$H$28&lt;='Bonding Program'!$C$8,CH$3=IF('Bonding Program'!$P$28&lt;&gt;"",'Bonding Program'!$P$28,'Bonding Program'!$C$8)),'Bonding Program'!$Z$28,0)+IF(AND('Bonding Program'!$P$28&lt;&gt;"",CH$3='Bonding Program'!$P$28,CH$3&lt;='Bonding Program'!$C$8),N('Bonding Program'!$O$28),0)</f>
        <v>0</v>
      </c>
      <c r="CI169" s="19" t="n">
        <f aca="false">IF(AND('Bonding Program'!$S$28=1,'Bonding Program'!$H$28&gt;'Bonding Program'!$C$8,CI$3='Bonding Program'!$H$28),'Bonding Program'!$T$28-'Bonding Program'!$U$28-'Bonding Program'!$Z$28,0)-IF(AND('Bonding Program'!$S$28=1,'Bonding Program'!$H$28&lt;='Bonding Program'!$C$8,CI$3=IF('Bonding Program'!$P$28&lt;&gt;"",'Bonding Program'!$P$28,'Bonding Program'!$C$8)),'Bonding Program'!$Z$28,0)+IF(AND('Bonding Program'!$P$28&lt;&gt;"",CI$3='Bonding Program'!$P$28,CI$3&lt;='Bonding Program'!$C$8),N('Bonding Program'!$O$28),0)</f>
        <v>0</v>
      </c>
      <c r="CJ169" s="19" t="n">
        <f aca="false">IF(AND('Bonding Program'!$S$28=1,'Bonding Program'!$H$28&gt;'Bonding Program'!$C$8,CJ$3='Bonding Program'!$H$28),'Bonding Program'!$T$28-'Bonding Program'!$U$28-'Bonding Program'!$Z$28,0)-IF(AND('Bonding Program'!$S$28=1,'Bonding Program'!$H$28&lt;='Bonding Program'!$C$8,CJ$3=IF('Bonding Program'!$P$28&lt;&gt;"",'Bonding Program'!$P$28,'Bonding Program'!$C$8)),'Bonding Program'!$Z$28,0)+IF(AND('Bonding Program'!$P$28&lt;&gt;"",CJ$3='Bonding Program'!$P$28,CJ$3&lt;='Bonding Program'!$C$8),N('Bonding Program'!$O$28),0)</f>
        <v>0</v>
      </c>
      <c r="CK169" s="19" t="n">
        <f aca="false">IF(AND('Bonding Program'!$S$28=1,'Bonding Program'!$H$28&gt;'Bonding Program'!$C$8,CK$3='Bonding Program'!$H$28),'Bonding Program'!$T$28-'Bonding Program'!$U$28-'Bonding Program'!$Z$28,0)-IF(AND('Bonding Program'!$S$28=1,'Bonding Program'!$H$28&lt;='Bonding Program'!$C$8,CK$3=IF('Bonding Program'!$P$28&lt;&gt;"",'Bonding Program'!$P$28,'Bonding Program'!$C$8)),'Bonding Program'!$Z$28,0)+IF(AND('Bonding Program'!$P$28&lt;&gt;"",CK$3='Bonding Program'!$P$28,CK$3&lt;='Bonding Program'!$C$8),N('Bonding Program'!$O$28),0)</f>
        <v>0</v>
      </c>
      <c r="CL169" s="19" t="n">
        <f aca="false">IF(AND('Bonding Program'!$S$28=1,'Bonding Program'!$H$28&gt;'Bonding Program'!$C$8,CL$3='Bonding Program'!$H$28),'Bonding Program'!$T$28-'Bonding Program'!$U$28-'Bonding Program'!$Z$28,0)-IF(AND('Bonding Program'!$S$28=1,'Bonding Program'!$H$28&lt;='Bonding Program'!$C$8,CL$3=IF('Bonding Program'!$P$28&lt;&gt;"",'Bonding Program'!$P$28,'Bonding Program'!$C$8)),'Bonding Program'!$Z$28,0)+IF(AND('Bonding Program'!$P$28&lt;&gt;"",CL$3='Bonding Program'!$P$28,CL$3&lt;='Bonding Program'!$C$8),N('Bonding Program'!$O$28),0)</f>
        <v>0</v>
      </c>
      <c r="CM169" s="19" t="n">
        <f aca="false">IF(AND('Bonding Program'!$S$28=1,'Bonding Program'!$H$28&gt;'Bonding Program'!$C$8,CM$3='Bonding Program'!$H$28),'Bonding Program'!$T$28-'Bonding Program'!$U$28-'Bonding Program'!$Z$28,0)-IF(AND('Bonding Program'!$S$28=1,'Bonding Program'!$H$28&lt;='Bonding Program'!$C$8,CM$3=IF('Bonding Program'!$P$28&lt;&gt;"",'Bonding Program'!$P$28,'Bonding Program'!$C$8)),'Bonding Program'!$Z$28,0)+IF(AND('Bonding Program'!$P$28&lt;&gt;"",CM$3='Bonding Program'!$P$28,CM$3&lt;='Bonding Program'!$C$8),N('Bonding Program'!$O$28),0)</f>
        <v>0</v>
      </c>
      <c r="CN169" s="19" t="n">
        <f aca="false">IF(AND('Bonding Program'!$S$28=1,'Bonding Program'!$H$28&gt;'Bonding Program'!$C$8,CN$3='Bonding Program'!$H$28),'Bonding Program'!$T$28-'Bonding Program'!$U$28-'Bonding Program'!$Z$28,0)-IF(AND('Bonding Program'!$S$28=1,'Bonding Program'!$H$28&lt;='Bonding Program'!$C$8,CN$3=IF('Bonding Program'!$P$28&lt;&gt;"",'Bonding Program'!$P$28,'Bonding Program'!$C$8)),'Bonding Program'!$Z$28,0)+IF(AND('Bonding Program'!$P$28&lt;&gt;"",CN$3='Bonding Program'!$P$28,CN$3&lt;='Bonding Program'!$C$8),N('Bonding Program'!$O$28),0)</f>
        <v>0</v>
      </c>
      <c r="CO169" s="19" t="n">
        <f aca="false">IF(AND('Bonding Program'!$S$28=1,'Bonding Program'!$H$28&gt;'Bonding Program'!$C$8,CO$3='Bonding Program'!$H$28),'Bonding Program'!$T$28-'Bonding Program'!$U$28-'Bonding Program'!$Z$28,0)-IF(AND('Bonding Program'!$S$28=1,'Bonding Program'!$H$28&lt;='Bonding Program'!$C$8,CO$3=IF('Bonding Program'!$P$28&lt;&gt;"",'Bonding Program'!$P$28,'Bonding Program'!$C$8)),'Bonding Program'!$Z$28,0)+IF(AND('Bonding Program'!$P$28&lt;&gt;"",CO$3='Bonding Program'!$P$28,CO$3&lt;='Bonding Program'!$C$8),N('Bonding Program'!$O$28),0)</f>
        <v>0</v>
      </c>
      <c r="CP169" s="19" t="n">
        <f aca="false">IF(AND('Bonding Program'!$S$28=1,'Bonding Program'!$H$28&gt;'Bonding Program'!$C$8,CP$3='Bonding Program'!$H$28),'Bonding Program'!$T$28-'Bonding Program'!$U$28-'Bonding Program'!$Z$28,0)-IF(AND('Bonding Program'!$S$28=1,'Bonding Program'!$H$28&lt;='Bonding Program'!$C$8,CP$3=IF('Bonding Program'!$P$28&lt;&gt;"",'Bonding Program'!$P$28,'Bonding Program'!$C$8)),'Bonding Program'!$Z$28,0)+IF(AND('Bonding Program'!$P$28&lt;&gt;"",CP$3='Bonding Program'!$P$28,CP$3&lt;='Bonding Program'!$C$8),N('Bonding Program'!$O$28),0)</f>
        <v>0</v>
      </c>
      <c r="CQ169" s="19" t="n">
        <f aca="false">IF(AND('Bonding Program'!$S$28=1,'Bonding Program'!$H$28&gt;'Bonding Program'!$C$8,CQ$3='Bonding Program'!$H$28),'Bonding Program'!$T$28-'Bonding Program'!$U$28-'Bonding Program'!$Z$28,0)-IF(AND('Bonding Program'!$S$28=1,'Bonding Program'!$H$28&lt;='Bonding Program'!$C$8,CQ$3=IF('Bonding Program'!$P$28&lt;&gt;"",'Bonding Program'!$P$28,'Bonding Program'!$C$8)),'Bonding Program'!$Z$28,0)+IF(AND('Bonding Program'!$P$28&lt;&gt;"",CQ$3='Bonding Program'!$P$28,CQ$3&lt;='Bonding Program'!$C$8),N('Bonding Program'!$O$28),0)</f>
        <v>0</v>
      </c>
      <c r="CR169" s="19" t="n">
        <f aca="false">IF(AND('Bonding Program'!$S$28=1,'Bonding Program'!$H$28&gt;'Bonding Program'!$C$8,CR$3='Bonding Program'!$H$28),'Bonding Program'!$T$28-'Bonding Program'!$U$28-'Bonding Program'!$Z$28,0)-IF(AND('Bonding Program'!$S$28=1,'Bonding Program'!$H$28&lt;='Bonding Program'!$C$8,CR$3=IF('Bonding Program'!$P$28&lt;&gt;"",'Bonding Program'!$P$28,'Bonding Program'!$C$8)),'Bonding Program'!$Z$28,0)+IF(AND('Bonding Program'!$P$28&lt;&gt;"",CR$3='Bonding Program'!$P$28,CR$3&lt;='Bonding Program'!$C$8),N('Bonding Program'!$O$28),0)</f>
        <v>0</v>
      </c>
      <c r="CS169" s="19" t="n">
        <f aca="false">IF(AND('Bonding Program'!$S$28=1,'Bonding Program'!$H$28&gt;'Bonding Program'!$C$8,CS$3='Bonding Program'!$H$28),'Bonding Program'!$T$28-'Bonding Program'!$U$28-'Bonding Program'!$Z$28,0)-IF(AND('Bonding Program'!$S$28=1,'Bonding Program'!$H$28&lt;='Bonding Program'!$C$8,CS$3=IF('Bonding Program'!$P$28&lt;&gt;"",'Bonding Program'!$P$28,'Bonding Program'!$C$8)),'Bonding Program'!$Z$28,0)+IF(AND('Bonding Program'!$P$28&lt;&gt;"",CS$3='Bonding Program'!$P$28,CS$3&lt;='Bonding Program'!$C$8),N('Bonding Program'!$O$28),0)</f>
        <v>0</v>
      </c>
      <c r="CT169" s="19" t="n">
        <f aca="false">IF(AND('Bonding Program'!$S$28=1,'Bonding Program'!$H$28&gt;'Bonding Program'!$C$8,CT$3='Bonding Program'!$H$28),'Bonding Program'!$T$28-'Bonding Program'!$U$28-'Bonding Program'!$Z$28,0)-IF(AND('Bonding Program'!$S$28=1,'Bonding Program'!$H$28&lt;='Bonding Program'!$C$8,CT$3=IF('Bonding Program'!$P$28&lt;&gt;"",'Bonding Program'!$P$28,'Bonding Program'!$C$8)),'Bonding Program'!$Z$28,0)+IF(AND('Bonding Program'!$P$28&lt;&gt;"",CT$3='Bonding Program'!$P$28,CT$3&lt;='Bonding Program'!$C$8),N('Bonding Program'!$O$28),0)</f>
        <v>0</v>
      </c>
      <c r="CU169" s="19" t="n">
        <f aca="false">IF(AND('Bonding Program'!$S$28=1,'Bonding Program'!$H$28&gt;'Bonding Program'!$C$8,CU$3='Bonding Program'!$H$28),'Bonding Program'!$T$28-'Bonding Program'!$U$28-'Bonding Program'!$Z$28,0)-IF(AND('Bonding Program'!$S$28=1,'Bonding Program'!$H$28&lt;='Bonding Program'!$C$8,CU$3=IF('Bonding Program'!$P$28&lt;&gt;"",'Bonding Program'!$P$28,'Bonding Program'!$C$8)),'Bonding Program'!$Z$28,0)+IF(AND('Bonding Program'!$P$28&lt;&gt;"",CU$3='Bonding Program'!$P$28,CU$3&lt;='Bonding Program'!$C$8),N('Bonding Program'!$O$28),0)</f>
        <v>0</v>
      </c>
      <c r="CV169" s="19" t="n">
        <f aca="false">IF(AND('Bonding Program'!$S$28=1,'Bonding Program'!$H$28&gt;'Bonding Program'!$C$8,CV$3='Bonding Program'!$H$28),'Bonding Program'!$T$28-'Bonding Program'!$U$28-'Bonding Program'!$Z$28,0)-IF(AND('Bonding Program'!$S$28=1,'Bonding Program'!$H$28&lt;='Bonding Program'!$C$8,CV$3=IF('Bonding Program'!$P$28&lt;&gt;"",'Bonding Program'!$P$28,'Bonding Program'!$C$8)),'Bonding Program'!$Z$28,0)+IF(AND('Bonding Program'!$P$28&lt;&gt;"",CV$3='Bonding Program'!$P$28,CV$3&lt;='Bonding Program'!$C$8),N('Bonding Program'!$O$28),0)</f>
        <v>0</v>
      </c>
      <c r="CW169" s="19" t="n">
        <f aca="false">IF(AND('Bonding Program'!$S$28=1,'Bonding Program'!$H$28&gt;'Bonding Program'!$C$8,CW$3='Bonding Program'!$H$28),'Bonding Program'!$T$28-'Bonding Program'!$U$28-'Bonding Program'!$Z$28,0)-IF(AND('Bonding Program'!$S$28=1,'Bonding Program'!$H$28&lt;='Bonding Program'!$C$8,CW$3=IF('Bonding Program'!$P$28&lt;&gt;"",'Bonding Program'!$P$28,'Bonding Program'!$C$8)),'Bonding Program'!$Z$28,0)+IF(AND('Bonding Program'!$P$28&lt;&gt;"",CW$3='Bonding Program'!$P$28,CW$3&lt;='Bonding Program'!$C$8),N('Bonding Program'!$O$28),0)</f>
        <v>0</v>
      </c>
      <c r="CX169" s="19" t="n">
        <f aca="false">IF(AND('Bonding Program'!$S$28=1,'Bonding Program'!$H$28&gt;'Bonding Program'!$C$8,CX$3='Bonding Program'!$H$28),'Bonding Program'!$T$28-'Bonding Program'!$U$28-'Bonding Program'!$Z$28,0)-IF(AND('Bonding Program'!$S$28=1,'Bonding Program'!$H$28&lt;='Bonding Program'!$C$8,CX$3=IF('Bonding Program'!$P$28&lt;&gt;"",'Bonding Program'!$P$28,'Bonding Program'!$C$8)),'Bonding Program'!$Z$28,0)+IF(AND('Bonding Program'!$P$28&lt;&gt;"",CX$3='Bonding Program'!$P$28,CX$3&lt;='Bonding Program'!$C$8),N('Bonding Program'!$O$28),0)</f>
        <v>0</v>
      </c>
      <c r="CY169" s="19" t="n">
        <f aca="false">IF(AND('Bonding Program'!$S$28=1,'Bonding Program'!$H$28&gt;'Bonding Program'!$C$8,CY$3='Bonding Program'!$H$28),'Bonding Program'!$T$28-'Bonding Program'!$U$28-'Bonding Program'!$Z$28,0)-IF(AND('Bonding Program'!$S$28=1,'Bonding Program'!$H$28&lt;='Bonding Program'!$C$8,CY$3=IF('Bonding Program'!$P$28&lt;&gt;"",'Bonding Program'!$P$28,'Bonding Program'!$C$8)),'Bonding Program'!$Z$28,0)+IF(AND('Bonding Program'!$P$28&lt;&gt;"",CY$3='Bonding Program'!$P$28,CY$3&lt;='Bonding Program'!$C$8),N('Bonding Program'!$O$28),0)</f>
        <v>0</v>
      </c>
      <c r="CZ169" s="19" t="n">
        <f aca="false">IF(AND('Bonding Program'!$S$28=1,'Bonding Program'!$H$28&gt;'Bonding Program'!$C$8,CZ$3='Bonding Program'!$H$28),'Bonding Program'!$T$28-'Bonding Program'!$U$28-'Bonding Program'!$Z$28,0)-IF(AND('Bonding Program'!$S$28=1,'Bonding Program'!$H$28&lt;='Bonding Program'!$C$8,CZ$3=IF('Bonding Program'!$P$28&lt;&gt;"",'Bonding Program'!$P$28,'Bonding Program'!$C$8)),'Bonding Program'!$Z$28,0)+IF(AND('Bonding Program'!$P$28&lt;&gt;"",CZ$3='Bonding Program'!$P$28,CZ$3&lt;='Bonding Program'!$C$8),N('Bonding Program'!$O$28),0)</f>
        <v>0</v>
      </c>
      <c r="DA169" s="19" t="n">
        <f aca="false">IF(AND('Bonding Program'!$S$28=1,'Bonding Program'!$H$28&gt;'Bonding Program'!$C$8,DA$3='Bonding Program'!$H$28),'Bonding Program'!$T$28-'Bonding Program'!$U$28-'Bonding Program'!$Z$28,0)-IF(AND('Bonding Program'!$S$28=1,'Bonding Program'!$H$28&lt;='Bonding Program'!$C$8,DA$3=IF('Bonding Program'!$P$28&lt;&gt;"",'Bonding Program'!$P$28,'Bonding Program'!$C$8)),'Bonding Program'!$Z$28,0)+IF(AND('Bonding Program'!$P$28&lt;&gt;"",DA$3='Bonding Program'!$P$28,DA$3&lt;='Bonding Program'!$C$8),N('Bonding Program'!$O$28),0)</f>
        <v>0</v>
      </c>
      <c r="DB169" s="19" t="n">
        <f aca="false">IF(AND('Bonding Program'!$S$28=1,'Bonding Program'!$H$28&gt;'Bonding Program'!$C$8,DB$3='Bonding Program'!$H$28),'Bonding Program'!$T$28-'Bonding Program'!$U$28-'Bonding Program'!$Z$28,0)-IF(AND('Bonding Program'!$S$28=1,'Bonding Program'!$H$28&lt;='Bonding Program'!$C$8,DB$3=IF('Bonding Program'!$P$28&lt;&gt;"",'Bonding Program'!$P$28,'Bonding Program'!$C$8)),'Bonding Program'!$Z$28,0)+IF(AND('Bonding Program'!$P$28&lt;&gt;"",DB$3='Bonding Program'!$P$28,DB$3&lt;='Bonding Program'!$C$8),N('Bonding Program'!$O$28),0)</f>
        <v>0</v>
      </c>
      <c r="DC169" s="19" t="n">
        <f aca="false">IF(AND('Bonding Program'!$S$28=1,'Bonding Program'!$H$28&gt;'Bonding Program'!$C$8,DC$3='Bonding Program'!$H$28),'Bonding Program'!$T$28-'Bonding Program'!$U$28-'Bonding Program'!$Z$28,0)-IF(AND('Bonding Program'!$S$28=1,'Bonding Program'!$H$28&lt;='Bonding Program'!$C$8,DC$3=IF('Bonding Program'!$P$28&lt;&gt;"",'Bonding Program'!$P$28,'Bonding Program'!$C$8)),'Bonding Program'!$Z$28,0)+IF(AND('Bonding Program'!$P$28&lt;&gt;"",DC$3='Bonding Program'!$P$28,DC$3&lt;='Bonding Program'!$C$8),N('Bonding Program'!$O$28),0)</f>
        <v>0</v>
      </c>
      <c r="DD169" s="19" t="n">
        <f aca="false">IF(AND('Bonding Program'!$S$28=1,'Bonding Program'!$H$28&gt;'Bonding Program'!$C$8,DD$3='Bonding Program'!$H$28),'Bonding Program'!$T$28-'Bonding Program'!$U$28-'Bonding Program'!$Z$28,0)-IF(AND('Bonding Program'!$S$28=1,'Bonding Program'!$H$28&lt;='Bonding Program'!$C$8,DD$3=IF('Bonding Program'!$P$28&lt;&gt;"",'Bonding Program'!$P$28,'Bonding Program'!$C$8)),'Bonding Program'!$Z$28,0)+IF(AND('Bonding Program'!$P$28&lt;&gt;"",DD$3='Bonding Program'!$P$28,DD$3&lt;='Bonding Program'!$C$8),N('Bonding Program'!$O$28),0)</f>
        <v>0</v>
      </c>
      <c r="DE169" s="19" t="n">
        <f aca="false">IF(AND('Bonding Program'!$S$28=1,'Bonding Program'!$H$28&gt;'Bonding Program'!$C$8,DE$3='Bonding Program'!$H$28),'Bonding Program'!$T$28-'Bonding Program'!$U$28-'Bonding Program'!$Z$28,0)-IF(AND('Bonding Program'!$S$28=1,'Bonding Program'!$H$28&lt;='Bonding Program'!$C$8,DE$3=IF('Bonding Program'!$P$28&lt;&gt;"",'Bonding Program'!$P$28,'Bonding Program'!$C$8)),'Bonding Program'!$Z$28,0)+IF(AND('Bonding Program'!$P$28&lt;&gt;"",DE$3='Bonding Program'!$P$28,DE$3&lt;='Bonding Program'!$C$8),N('Bonding Program'!$O$28),0)</f>
        <v>0</v>
      </c>
    </row>
    <row r="170" customFormat="false" ht="15" hidden="false" customHeight="true" outlineLevel="1" collapsed="false">
      <c r="A170" s="28" t="s">
        <v>25</v>
      </c>
      <c r="B170" s="19" t="n">
        <f aca="false">IF(AND('Bonding Program'!$S$29=1,'Bonding Program'!$H$29&gt;'Bonding Program'!$C$8,B$3='Bonding Program'!$H$29),'Bonding Program'!$T$29-'Bonding Program'!$U$29-'Bonding Program'!$Z$29,0)-IF(AND('Bonding Program'!$S$29=1,'Bonding Program'!$H$29&lt;='Bonding Program'!$C$8,B$3=IF('Bonding Program'!$P$29&lt;&gt;"",'Bonding Program'!$P$29,'Bonding Program'!$C$8)),'Bonding Program'!$Z$29,0)+IF(AND('Bonding Program'!$P$29&lt;&gt;"",B$3='Bonding Program'!$P$29,B$3&lt;='Bonding Program'!$C$8),N('Bonding Program'!$O$29),0)</f>
        <v>0</v>
      </c>
      <c r="C170" s="19" t="n">
        <f aca="false">IF(AND('Bonding Program'!$S$29=1,'Bonding Program'!$H$29&gt;'Bonding Program'!$C$8,C$3='Bonding Program'!$H$29),'Bonding Program'!$T$29-'Bonding Program'!$U$29-'Bonding Program'!$Z$29,0)-IF(AND('Bonding Program'!$S$29=1,'Bonding Program'!$H$29&lt;='Bonding Program'!$C$8,C$3=IF('Bonding Program'!$P$29&lt;&gt;"",'Bonding Program'!$P$29,'Bonding Program'!$C$8)),'Bonding Program'!$Z$29,0)+IF(AND('Bonding Program'!$P$29&lt;&gt;"",C$3='Bonding Program'!$P$29,C$3&lt;='Bonding Program'!$C$8),N('Bonding Program'!$O$29),0)</f>
        <v>0</v>
      </c>
      <c r="D170" s="19" t="n">
        <f aca="false">IF(AND('Bonding Program'!$S$29=1,'Bonding Program'!$H$29&gt;'Bonding Program'!$C$8,D$3='Bonding Program'!$H$29),'Bonding Program'!$T$29-'Bonding Program'!$U$29-'Bonding Program'!$Z$29,0)-IF(AND('Bonding Program'!$S$29=1,'Bonding Program'!$H$29&lt;='Bonding Program'!$C$8,D$3=IF('Bonding Program'!$P$29&lt;&gt;"",'Bonding Program'!$P$29,'Bonding Program'!$C$8)),'Bonding Program'!$Z$29,0)+IF(AND('Bonding Program'!$P$29&lt;&gt;"",D$3='Bonding Program'!$P$29,D$3&lt;='Bonding Program'!$C$8),N('Bonding Program'!$O$29),0)</f>
        <v>0</v>
      </c>
      <c r="E170" s="19" t="n">
        <f aca="false">IF(AND('Bonding Program'!$S$29=1,'Bonding Program'!$H$29&gt;'Bonding Program'!$C$8,E$3='Bonding Program'!$H$29),'Bonding Program'!$T$29-'Bonding Program'!$U$29-'Bonding Program'!$Z$29,0)-IF(AND('Bonding Program'!$S$29=1,'Bonding Program'!$H$29&lt;='Bonding Program'!$C$8,E$3=IF('Bonding Program'!$P$29&lt;&gt;"",'Bonding Program'!$P$29,'Bonding Program'!$C$8)),'Bonding Program'!$Z$29,0)+IF(AND('Bonding Program'!$P$29&lt;&gt;"",E$3='Bonding Program'!$P$29,E$3&lt;='Bonding Program'!$C$8),N('Bonding Program'!$O$29),0)</f>
        <v>0</v>
      </c>
      <c r="F170" s="19" t="n">
        <f aca="false">IF(AND('Bonding Program'!$S$29=1,'Bonding Program'!$H$29&gt;'Bonding Program'!$C$8,F$3='Bonding Program'!$H$29),'Bonding Program'!$T$29-'Bonding Program'!$U$29-'Bonding Program'!$Z$29,0)-IF(AND('Bonding Program'!$S$29=1,'Bonding Program'!$H$29&lt;='Bonding Program'!$C$8,F$3=IF('Bonding Program'!$P$29&lt;&gt;"",'Bonding Program'!$P$29,'Bonding Program'!$C$8)),'Bonding Program'!$Z$29,0)+IF(AND('Bonding Program'!$P$29&lt;&gt;"",F$3='Bonding Program'!$P$29,F$3&lt;='Bonding Program'!$C$8),N('Bonding Program'!$O$29),0)</f>
        <v>0</v>
      </c>
      <c r="G170" s="19" t="n">
        <f aca="false">IF(AND('Bonding Program'!$S$29=1,'Bonding Program'!$H$29&gt;'Bonding Program'!$C$8,G$3='Bonding Program'!$H$29),'Bonding Program'!$T$29-'Bonding Program'!$U$29-'Bonding Program'!$Z$29,0)-IF(AND('Bonding Program'!$S$29=1,'Bonding Program'!$H$29&lt;='Bonding Program'!$C$8,G$3=IF('Bonding Program'!$P$29&lt;&gt;"",'Bonding Program'!$P$29,'Bonding Program'!$C$8)),'Bonding Program'!$Z$29,0)+IF(AND('Bonding Program'!$P$29&lt;&gt;"",G$3='Bonding Program'!$P$29,G$3&lt;='Bonding Program'!$C$8),N('Bonding Program'!$O$29),0)</f>
        <v>0</v>
      </c>
      <c r="H170" s="19" t="n">
        <f aca="false">IF(AND('Bonding Program'!$S$29=1,'Bonding Program'!$H$29&gt;'Bonding Program'!$C$8,H$3='Bonding Program'!$H$29),'Bonding Program'!$T$29-'Bonding Program'!$U$29-'Bonding Program'!$Z$29,0)-IF(AND('Bonding Program'!$S$29=1,'Bonding Program'!$H$29&lt;='Bonding Program'!$C$8,H$3=IF('Bonding Program'!$P$29&lt;&gt;"",'Bonding Program'!$P$29,'Bonding Program'!$C$8)),'Bonding Program'!$Z$29,0)+IF(AND('Bonding Program'!$P$29&lt;&gt;"",H$3='Bonding Program'!$P$29,H$3&lt;='Bonding Program'!$C$8),N('Bonding Program'!$O$29),0)</f>
        <v>0</v>
      </c>
      <c r="I170" s="19" t="n">
        <f aca="false">IF(AND('Bonding Program'!$S$29=1,'Bonding Program'!$H$29&gt;'Bonding Program'!$C$8,I$3='Bonding Program'!$H$29),'Bonding Program'!$T$29-'Bonding Program'!$U$29-'Bonding Program'!$Z$29,0)-IF(AND('Bonding Program'!$S$29=1,'Bonding Program'!$H$29&lt;='Bonding Program'!$C$8,I$3=IF('Bonding Program'!$P$29&lt;&gt;"",'Bonding Program'!$P$29,'Bonding Program'!$C$8)),'Bonding Program'!$Z$29,0)+IF(AND('Bonding Program'!$P$29&lt;&gt;"",I$3='Bonding Program'!$P$29,I$3&lt;='Bonding Program'!$C$8),N('Bonding Program'!$O$29),0)</f>
        <v>0</v>
      </c>
      <c r="J170" s="19" t="n">
        <f aca="false">IF(AND('Bonding Program'!$S$29=1,'Bonding Program'!$H$29&gt;'Bonding Program'!$C$8,J$3='Bonding Program'!$H$29),'Bonding Program'!$T$29-'Bonding Program'!$U$29-'Bonding Program'!$Z$29,0)-IF(AND('Bonding Program'!$S$29=1,'Bonding Program'!$H$29&lt;='Bonding Program'!$C$8,J$3=IF('Bonding Program'!$P$29&lt;&gt;"",'Bonding Program'!$P$29,'Bonding Program'!$C$8)),'Bonding Program'!$Z$29,0)+IF(AND('Bonding Program'!$P$29&lt;&gt;"",J$3='Bonding Program'!$P$29,J$3&lt;='Bonding Program'!$C$8),N('Bonding Program'!$O$29),0)</f>
        <v>0</v>
      </c>
      <c r="K170" s="19" t="n">
        <f aca="false">IF(AND('Bonding Program'!$S$29=1,'Bonding Program'!$H$29&gt;'Bonding Program'!$C$8,K$3='Bonding Program'!$H$29),'Bonding Program'!$T$29-'Bonding Program'!$U$29-'Bonding Program'!$Z$29,0)-IF(AND('Bonding Program'!$S$29=1,'Bonding Program'!$H$29&lt;='Bonding Program'!$C$8,K$3=IF('Bonding Program'!$P$29&lt;&gt;"",'Bonding Program'!$P$29,'Bonding Program'!$C$8)),'Bonding Program'!$Z$29,0)+IF(AND('Bonding Program'!$P$29&lt;&gt;"",K$3='Bonding Program'!$P$29,K$3&lt;='Bonding Program'!$C$8),N('Bonding Program'!$O$29),0)</f>
        <v>0</v>
      </c>
      <c r="L170" s="19" t="n">
        <f aca="false">IF(AND('Bonding Program'!$S$29=1,'Bonding Program'!$H$29&gt;'Bonding Program'!$C$8,L$3='Bonding Program'!$H$29),'Bonding Program'!$T$29-'Bonding Program'!$U$29-'Bonding Program'!$Z$29,0)-IF(AND('Bonding Program'!$S$29=1,'Bonding Program'!$H$29&lt;='Bonding Program'!$C$8,L$3=IF('Bonding Program'!$P$29&lt;&gt;"",'Bonding Program'!$P$29,'Bonding Program'!$C$8)),'Bonding Program'!$Z$29,0)+IF(AND('Bonding Program'!$P$29&lt;&gt;"",L$3='Bonding Program'!$P$29,L$3&lt;='Bonding Program'!$C$8),N('Bonding Program'!$O$29),0)</f>
        <v>0</v>
      </c>
      <c r="M170" s="19" t="n">
        <f aca="false">IF(AND('Bonding Program'!$S$29=1,'Bonding Program'!$H$29&gt;'Bonding Program'!$C$8,M$3='Bonding Program'!$H$29),'Bonding Program'!$T$29-'Bonding Program'!$U$29-'Bonding Program'!$Z$29,0)-IF(AND('Bonding Program'!$S$29=1,'Bonding Program'!$H$29&lt;='Bonding Program'!$C$8,M$3=IF('Bonding Program'!$P$29&lt;&gt;"",'Bonding Program'!$P$29,'Bonding Program'!$C$8)),'Bonding Program'!$Z$29,0)+IF(AND('Bonding Program'!$P$29&lt;&gt;"",M$3='Bonding Program'!$P$29,M$3&lt;='Bonding Program'!$C$8),N('Bonding Program'!$O$29),0)</f>
        <v>0</v>
      </c>
      <c r="N170" s="19" t="n">
        <f aca="false">IF(AND('Bonding Program'!$S$29=1,'Bonding Program'!$H$29&gt;'Bonding Program'!$C$8,N$3='Bonding Program'!$H$29),'Bonding Program'!$T$29-'Bonding Program'!$U$29-'Bonding Program'!$Z$29,0)-IF(AND('Bonding Program'!$S$29=1,'Bonding Program'!$H$29&lt;='Bonding Program'!$C$8,N$3=IF('Bonding Program'!$P$29&lt;&gt;"",'Bonding Program'!$P$29,'Bonding Program'!$C$8)),'Bonding Program'!$Z$29,0)+IF(AND('Bonding Program'!$P$29&lt;&gt;"",N$3='Bonding Program'!$P$29,N$3&lt;='Bonding Program'!$C$8),N('Bonding Program'!$O$29),0)</f>
        <v>0</v>
      </c>
      <c r="O170" s="19" t="n">
        <f aca="false">IF(AND('Bonding Program'!$S$29=1,'Bonding Program'!$H$29&gt;'Bonding Program'!$C$8,O$3='Bonding Program'!$H$29),'Bonding Program'!$T$29-'Bonding Program'!$U$29-'Bonding Program'!$Z$29,0)-IF(AND('Bonding Program'!$S$29=1,'Bonding Program'!$H$29&lt;='Bonding Program'!$C$8,O$3=IF('Bonding Program'!$P$29&lt;&gt;"",'Bonding Program'!$P$29,'Bonding Program'!$C$8)),'Bonding Program'!$Z$29,0)+IF(AND('Bonding Program'!$P$29&lt;&gt;"",O$3='Bonding Program'!$P$29,O$3&lt;='Bonding Program'!$C$8),N('Bonding Program'!$O$29),0)</f>
        <v>0</v>
      </c>
      <c r="P170" s="19" t="n">
        <f aca="false">IF(AND('Bonding Program'!$S$29=1,'Bonding Program'!$H$29&gt;'Bonding Program'!$C$8,P$3='Bonding Program'!$H$29),'Bonding Program'!$T$29-'Bonding Program'!$U$29-'Bonding Program'!$Z$29,0)-IF(AND('Bonding Program'!$S$29=1,'Bonding Program'!$H$29&lt;='Bonding Program'!$C$8,P$3=IF('Bonding Program'!$P$29&lt;&gt;"",'Bonding Program'!$P$29,'Bonding Program'!$C$8)),'Bonding Program'!$Z$29,0)+IF(AND('Bonding Program'!$P$29&lt;&gt;"",P$3='Bonding Program'!$P$29,P$3&lt;='Bonding Program'!$C$8),N('Bonding Program'!$O$29),0)</f>
        <v>0</v>
      </c>
      <c r="Q170" s="19" t="n">
        <f aca="false">IF(AND('Bonding Program'!$S$29=1,'Bonding Program'!$H$29&gt;'Bonding Program'!$C$8,Q$3='Bonding Program'!$H$29),'Bonding Program'!$T$29-'Bonding Program'!$U$29-'Bonding Program'!$Z$29,0)-IF(AND('Bonding Program'!$S$29=1,'Bonding Program'!$H$29&lt;='Bonding Program'!$C$8,Q$3=IF('Bonding Program'!$P$29&lt;&gt;"",'Bonding Program'!$P$29,'Bonding Program'!$C$8)),'Bonding Program'!$Z$29,0)+IF(AND('Bonding Program'!$P$29&lt;&gt;"",Q$3='Bonding Program'!$P$29,Q$3&lt;='Bonding Program'!$C$8),N('Bonding Program'!$O$29),0)</f>
        <v>0</v>
      </c>
      <c r="R170" s="19" t="n">
        <f aca="false">IF(AND('Bonding Program'!$S$29=1,'Bonding Program'!$H$29&gt;'Bonding Program'!$C$8,R$3='Bonding Program'!$H$29),'Bonding Program'!$T$29-'Bonding Program'!$U$29-'Bonding Program'!$Z$29,0)-IF(AND('Bonding Program'!$S$29=1,'Bonding Program'!$H$29&lt;='Bonding Program'!$C$8,R$3=IF('Bonding Program'!$P$29&lt;&gt;"",'Bonding Program'!$P$29,'Bonding Program'!$C$8)),'Bonding Program'!$Z$29,0)+IF(AND('Bonding Program'!$P$29&lt;&gt;"",R$3='Bonding Program'!$P$29,R$3&lt;='Bonding Program'!$C$8),N('Bonding Program'!$O$29),0)</f>
        <v>0</v>
      </c>
      <c r="S170" s="19" t="n">
        <f aca="false">IF(AND('Bonding Program'!$S$29=1,'Bonding Program'!$H$29&gt;'Bonding Program'!$C$8,S$3='Bonding Program'!$H$29),'Bonding Program'!$T$29-'Bonding Program'!$U$29-'Bonding Program'!$Z$29,0)-IF(AND('Bonding Program'!$S$29=1,'Bonding Program'!$H$29&lt;='Bonding Program'!$C$8,S$3=IF('Bonding Program'!$P$29&lt;&gt;"",'Bonding Program'!$P$29,'Bonding Program'!$C$8)),'Bonding Program'!$Z$29,0)+IF(AND('Bonding Program'!$P$29&lt;&gt;"",S$3='Bonding Program'!$P$29,S$3&lt;='Bonding Program'!$C$8),N('Bonding Program'!$O$29),0)</f>
        <v>0</v>
      </c>
      <c r="T170" s="19" t="n">
        <f aca="false">IF(AND('Bonding Program'!$S$29=1,'Bonding Program'!$H$29&gt;'Bonding Program'!$C$8,T$3='Bonding Program'!$H$29),'Bonding Program'!$T$29-'Bonding Program'!$U$29-'Bonding Program'!$Z$29,0)-IF(AND('Bonding Program'!$S$29=1,'Bonding Program'!$H$29&lt;='Bonding Program'!$C$8,T$3=IF('Bonding Program'!$P$29&lt;&gt;"",'Bonding Program'!$P$29,'Bonding Program'!$C$8)),'Bonding Program'!$Z$29,0)+IF(AND('Bonding Program'!$P$29&lt;&gt;"",T$3='Bonding Program'!$P$29,T$3&lt;='Bonding Program'!$C$8),N('Bonding Program'!$O$29),0)</f>
        <v>0</v>
      </c>
      <c r="U170" s="19" t="n">
        <f aca="false">IF(AND('Bonding Program'!$S$29=1,'Bonding Program'!$H$29&gt;'Bonding Program'!$C$8,U$3='Bonding Program'!$H$29),'Bonding Program'!$T$29-'Bonding Program'!$U$29-'Bonding Program'!$Z$29,0)-IF(AND('Bonding Program'!$S$29=1,'Bonding Program'!$H$29&lt;='Bonding Program'!$C$8,U$3=IF('Bonding Program'!$P$29&lt;&gt;"",'Bonding Program'!$P$29,'Bonding Program'!$C$8)),'Bonding Program'!$Z$29,0)+IF(AND('Bonding Program'!$P$29&lt;&gt;"",U$3='Bonding Program'!$P$29,U$3&lt;='Bonding Program'!$C$8),N('Bonding Program'!$O$29),0)</f>
        <v>0</v>
      </c>
      <c r="V170" s="19" t="n">
        <f aca="false">IF(AND('Bonding Program'!$S$29=1,'Bonding Program'!$H$29&gt;'Bonding Program'!$C$8,V$3='Bonding Program'!$H$29),'Bonding Program'!$T$29-'Bonding Program'!$U$29-'Bonding Program'!$Z$29,0)-IF(AND('Bonding Program'!$S$29=1,'Bonding Program'!$H$29&lt;='Bonding Program'!$C$8,V$3=IF('Bonding Program'!$P$29&lt;&gt;"",'Bonding Program'!$P$29,'Bonding Program'!$C$8)),'Bonding Program'!$Z$29,0)+IF(AND('Bonding Program'!$P$29&lt;&gt;"",V$3='Bonding Program'!$P$29,V$3&lt;='Bonding Program'!$C$8),N('Bonding Program'!$O$29),0)</f>
        <v>0</v>
      </c>
      <c r="W170" s="19" t="n">
        <f aca="false">IF(AND('Bonding Program'!$S$29=1,'Bonding Program'!$H$29&gt;'Bonding Program'!$C$8,W$3='Bonding Program'!$H$29),'Bonding Program'!$T$29-'Bonding Program'!$U$29-'Bonding Program'!$Z$29,0)-IF(AND('Bonding Program'!$S$29=1,'Bonding Program'!$H$29&lt;='Bonding Program'!$C$8,W$3=IF('Bonding Program'!$P$29&lt;&gt;"",'Bonding Program'!$P$29,'Bonding Program'!$C$8)),'Bonding Program'!$Z$29,0)+IF(AND('Bonding Program'!$P$29&lt;&gt;"",W$3='Bonding Program'!$P$29,W$3&lt;='Bonding Program'!$C$8),N('Bonding Program'!$O$29),0)</f>
        <v>0</v>
      </c>
      <c r="X170" s="19" t="n">
        <f aca="false">IF(AND('Bonding Program'!$S$29=1,'Bonding Program'!$H$29&gt;'Bonding Program'!$C$8,X$3='Bonding Program'!$H$29),'Bonding Program'!$T$29-'Bonding Program'!$U$29-'Bonding Program'!$Z$29,0)-IF(AND('Bonding Program'!$S$29=1,'Bonding Program'!$H$29&lt;='Bonding Program'!$C$8,X$3=IF('Bonding Program'!$P$29&lt;&gt;"",'Bonding Program'!$P$29,'Bonding Program'!$C$8)),'Bonding Program'!$Z$29,0)+IF(AND('Bonding Program'!$P$29&lt;&gt;"",X$3='Bonding Program'!$P$29,X$3&lt;='Bonding Program'!$C$8),N('Bonding Program'!$O$29),0)</f>
        <v>0</v>
      </c>
      <c r="Y170" s="19" t="n">
        <f aca="false">IF(AND('Bonding Program'!$S$29=1,'Bonding Program'!$H$29&gt;'Bonding Program'!$C$8,Y$3='Bonding Program'!$H$29),'Bonding Program'!$T$29-'Bonding Program'!$U$29-'Bonding Program'!$Z$29,0)-IF(AND('Bonding Program'!$S$29=1,'Bonding Program'!$H$29&lt;='Bonding Program'!$C$8,Y$3=IF('Bonding Program'!$P$29&lt;&gt;"",'Bonding Program'!$P$29,'Bonding Program'!$C$8)),'Bonding Program'!$Z$29,0)+IF(AND('Bonding Program'!$P$29&lt;&gt;"",Y$3='Bonding Program'!$P$29,Y$3&lt;='Bonding Program'!$C$8),N('Bonding Program'!$O$29),0)</f>
        <v>0</v>
      </c>
      <c r="Z170" s="19" t="n">
        <f aca="false">IF(AND('Bonding Program'!$S$29=1,'Bonding Program'!$H$29&gt;'Bonding Program'!$C$8,Z$3='Bonding Program'!$H$29),'Bonding Program'!$T$29-'Bonding Program'!$U$29-'Bonding Program'!$Z$29,0)-IF(AND('Bonding Program'!$S$29=1,'Bonding Program'!$H$29&lt;='Bonding Program'!$C$8,Z$3=IF('Bonding Program'!$P$29&lt;&gt;"",'Bonding Program'!$P$29,'Bonding Program'!$C$8)),'Bonding Program'!$Z$29,0)+IF(AND('Bonding Program'!$P$29&lt;&gt;"",Z$3='Bonding Program'!$P$29,Z$3&lt;='Bonding Program'!$C$8),N('Bonding Program'!$O$29),0)</f>
        <v>0</v>
      </c>
      <c r="AA170" s="19" t="n">
        <f aca="false">IF(AND('Bonding Program'!$S$29=1,'Bonding Program'!$H$29&gt;'Bonding Program'!$C$8,AA$3='Bonding Program'!$H$29),'Bonding Program'!$T$29-'Bonding Program'!$U$29-'Bonding Program'!$Z$29,0)-IF(AND('Bonding Program'!$S$29=1,'Bonding Program'!$H$29&lt;='Bonding Program'!$C$8,AA$3=IF('Bonding Program'!$P$29&lt;&gt;"",'Bonding Program'!$P$29,'Bonding Program'!$C$8)),'Bonding Program'!$Z$29,0)+IF(AND('Bonding Program'!$P$29&lt;&gt;"",AA$3='Bonding Program'!$P$29,AA$3&lt;='Bonding Program'!$C$8),N('Bonding Program'!$O$29),0)</f>
        <v>0</v>
      </c>
      <c r="AB170" s="19" t="n">
        <f aca="false">IF(AND('Bonding Program'!$S$29=1,'Bonding Program'!$H$29&gt;'Bonding Program'!$C$8,AB$3='Bonding Program'!$H$29),'Bonding Program'!$T$29-'Bonding Program'!$U$29-'Bonding Program'!$Z$29,0)-IF(AND('Bonding Program'!$S$29=1,'Bonding Program'!$H$29&lt;='Bonding Program'!$C$8,AB$3=IF('Bonding Program'!$P$29&lt;&gt;"",'Bonding Program'!$P$29,'Bonding Program'!$C$8)),'Bonding Program'!$Z$29,0)+IF(AND('Bonding Program'!$P$29&lt;&gt;"",AB$3='Bonding Program'!$P$29,AB$3&lt;='Bonding Program'!$C$8),N('Bonding Program'!$O$29),0)</f>
        <v>0</v>
      </c>
      <c r="AC170" s="19" t="n">
        <f aca="false">IF(AND('Bonding Program'!$S$29=1,'Bonding Program'!$H$29&gt;'Bonding Program'!$C$8,AC$3='Bonding Program'!$H$29),'Bonding Program'!$T$29-'Bonding Program'!$U$29-'Bonding Program'!$Z$29,0)-IF(AND('Bonding Program'!$S$29=1,'Bonding Program'!$H$29&lt;='Bonding Program'!$C$8,AC$3=IF('Bonding Program'!$P$29&lt;&gt;"",'Bonding Program'!$P$29,'Bonding Program'!$C$8)),'Bonding Program'!$Z$29,0)+IF(AND('Bonding Program'!$P$29&lt;&gt;"",AC$3='Bonding Program'!$P$29,AC$3&lt;='Bonding Program'!$C$8),N('Bonding Program'!$O$29),0)</f>
        <v>0</v>
      </c>
      <c r="AD170" s="19" t="n">
        <f aca="false">IF(AND('Bonding Program'!$S$29=1,'Bonding Program'!$H$29&gt;'Bonding Program'!$C$8,AD$3='Bonding Program'!$H$29),'Bonding Program'!$T$29-'Bonding Program'!$U$29-'Bonding Program'!$Z$29,0)-IF(AND('Bonding Program'!$S$29=1,'Bonding Program'!$H$29&lt;='Bonding Program'!$C$8,AD$3=IF('Bonding Program'!$P$29&lt;&gt;"",'Bonding Program'!$P$29,'Bonding Program'!$C$8)),'Bonding Program'!$Z$29,0)+IF(AND('Bonding Program'!$P$29&lt;&gt;"",AD$3='Bonding Program'!$P$29,AD$3&lt;='Bonding Program'!$C$8),N('Bonding Program'!$O$29),0)</f>
        <v>0</v>
      </c>
      <c r="AE170" s="19" t="n">
        <f aca="false">IF(AND('Bonding Program'!$S$29=1,'Bonding Program'!$H$29&gt;'Bonding Program'!$C$8,AE$3='Bonding Program'!$H$29),'Bonding Program'!$T$29-'Bonding Program'!$U$29-'Bonding Program'!$Z$29,0)-IF(AND('Bonding Program'!$S$29=1,'Bonding Program'!$H$29&lt;='Bonding Program'!$C$8,AE$3=IF('Bonding Program'!$P$29&lt;&gt;"",'Bonding Program'!$P$29,'Bonding Program'!$C$8)),'Bonding Program'!$Z$29,0)+IF(AND('Bonding Program'!$P$29&lt;&gt;"",AE$3='Bonding Program'!$P$29,AE$3&lt;='Bonding Program'!$C$8),N('Bonding Program'!$O$29),0)</f>
        <v>0</v>
      </c>
      <c r="AF170" s="19" t="n">
        <f aca="false">IF(AND('Bonding Program'!$S$29=1,'Bonding Program'!$H$29&gt;'Bonding Program'!$C$8,AF$3='Bonding Program'!$H$29),'Bonding Program'!$T$29-'Bonding Program'!$U$29-'Bonding Program'!$Z$29,0)-IF(AND('Bonding Program'!$S$29=1,'Bonding Program'!$H$29&lt;='Bonding Program'!$C$8,AF$3=IF('Bonding Program'!$P$29&lt;&gt;"",'Bonding Program'!$P$29,'Bonding Program'!$C$8)),'Bonding Program'!$Z$29,0)+IF(AND('Bonding Program'!$P$29&lt;&gt;"",AF$3='Bonding Program'!$P$29,AF$3&lt;='Bonding Program'!$C$8),N('Bonding Program'!$O$29),0)</f>
        <v>0</v>
      </c>
      <c r="AG170" s="19" t="n">
        <f aca="false">IF(AND('Bonding Program'!$S$29=1,'Bonding Program'!$H$29&gt;'Bonding Program'!$C$8,AG$3='Bonding Program'!$H$29),'Bonding Program'!$T$29-'Bonding Program'!$U$29-'Bonding Program'!$Z$29,0)-IF(AND('Bonding Program'!$S$29=1,'Bonding Program'!$H$29&lt;='Bonding Program'!$C$8,AG$3=IF('Bonding Program'!$P$29&lt;&gt;"",'Bonding Program'!$P$29,'Bonding Program'!$C$8)),'Bonding Program'!$Z$29,0)+IF(AND('Bonding Program'!$P$29&lt;&gt;"",AG$3='Bonding Program'!$P$29,AG$3&lt;='Bonding Program'!$C$8),N('Bonding Program'!$O$29),0)</f>
        <v>0</v>
      </c>
      <c r="AH170" s="19" t="n">
        <f aca="false">IF(AND('Bonding Program'!$S$29=1,'Bonding Program'!$H$29&gt;'Bonding Program'!$C$8,AH$3='Bonding Program'!$H$29),'Bonding Program'!$T$29-'Bonding Program'!$U$29-'Bonding Program'!$Z$29,0)-IF(AND('Bonding Program'!$S$29=1,'Bonding Program'!$H$29&lt;='Bonding Program'!$C$8,AH$3=IF('Bonding Program'!$P$29&lt;&gt;"",'Bonding Program'!$P$29,'Bonding Program'!$C$8)),'Bonding Program'!$Z$29,0)+IF(AND('Bonding Program'!$P$29&lt;&gt;"",AH$3='Bonding Program'!$P$29,AH$3&lt;='Bonding Program'!$C$8),N('Bonding Program'!$O$29),0)</f>
        <v>0</v>
      </c>
      <c r="AI170" s="19" t="n">
        <f aca="false">IF(AND('Bonding Program'!$S$29=1,'Bonding Program'!$H$29&gt;'Bonding Program'!$C$8,AI$3='Bonding Program'!$H$29),'Bonding Program'!$T$29-'Bonding Program'!$U$29-'Bonding Program'!$Z$29,0)-IF(AND('Bonding Program'!$S$29=1,'Bonding Program'!$H$29&lt;='Bonding Program'!$C$8,AI$3=IF('Bonding Program'!$P$29&lt;&gt;"",'Bonding Program'!$P$29,'Bonding Program'!$C$8)),'Bonding Program'!$Z$29,0)+IF(AND('Bonding Program'!$P$29&lt;&gt;"",AI$3='Bonding Program'!$P$29,AI$3&lt;='Bonding Program'!$C$8),N('Bonding Program'!$O$29),0)</f>
        <v>0</v>
      </c>
      <c r="AJ170" s="19" t="n">
        <f aca="false">IF(AND('Bonding Program'!$S$29=1,'Bonding Program'!$H$29&gt;'Bonding Program'!$C$8,AJ$3='Bonding Program'!$H$29),'Bonding Program'!$T$29-'Bonding Program'!$U$29-'Bonding Program'!$Z$29,0)-IF(AND('Bonding Program'!$S$29=1,'Bonding Program'!$H$29&lt;='Bonding Program'!$C$8,AJ$3=IF('Bonding Program'!$P$29&lt;&gt;"",'Bonding Program'!$P$29,'Bonding Program'!$C$8)),'Bonding Program'!$Z$29,0)+IF(AND('Bonding Program'!$P$29&lt;&gt;"",AJ$3='Bonding Program'!$P$29,AJ$3&lt;='Bonding Program'!$C$8),N('Bonding Program'!$O$29),0)</f>
        <v>0</v>
      </c>
      <c r="AK170" s="19" t="n">
        <f aca="false">IF(AND('Bonding Program'!$S$29=1,'Bonding Program'!$H$29&gt;'Bonding Program'!$C$8,AK$3='Bonding Program'!$H$29),'Bonding Program'!$T$29-'Bonding Program'!$U$29-'Bonding Program'!$Z$29,0)-IF(AND('Bonding Program'!$S$29=1,'Bonding Program'!$H$29&lt;='Bonding Program'!$C$8,AK$3=IF('Bonding Program'!$P$29&lt;&gt;"",'Bonding Program'!$P$29,'Bonding Program'!$C$8)),'Bonding Program'!$Z$29,0)+IF(AND('Bonding Program'!$P$29&lt;&gt;"",AK$3='Bonding Program'!$P$29,AK$3&lt;='Bonding Program'!$C$8),N('Bonding Program'!$O$29),0)</f>
        <v>0</v>
      </c>
      <c r="AL170" s="19" t="n">
        <f aca="false">IF(AND('Bonding Program'!$S$29=1,'Bonding Program'!$H$29&gt;'Bonding Program'!$C$8,AL$3='Bonding Program'!$H$29),'Bonding Program'!$T$29-'Bonding Program'!$U$29-'Bonding Program'!$Z$29,0)-IF(AND('Bonding Program'!$S$29=1,'Bonding Program'!$H$29&lt;='Bonding Program'!$C$8,AL$3=IF('Bonding Program'!$P$29&lt;&gt;"",'Bonding Program'!$P$29,'Bonding Program'!$C$8)),'Bonding Program'!$Z$29,0)+IF(AND('Bonding Program'!$P$29&lt;&gt;"",AL$3='Bonding Program'!$P$29,AL$3&lt;='Bonding Program'!$C$8),N('Bonding Program'!$O$29),0)</f>
        <v>0</v>
      </c>
      <c r="AM170" s="19" t="n">
        <f aca="false">IF(AND('Bonding Program'!$S$29=1,'Bonding Program'!$H$29&gt;'Bonding Program'!$C$8,AM$3='Bonding Program'!$H$29),'Bonding Program'!$T$29-'Bonding Program'!$U$29-'Bonding Program'!$Z$29,0)-IF(AND('Bonding Program'!$S$29=1,'Bonding Program'!$H$29&lt;='Bonding Program'!$C$8,AM$3=IF('Bonding Program'!$P$29&lt;&gt;"",'Bonding Program'!$P$29,'Bonding Program'!$C$8)),'Bonding Program'!$Z$29,0)+IF(AND('Bonding Program'!$P$29&lt;&gt;"",AM$3='Bonding Program'!$P$29,AM$3&lt;='Bonding Program'!$C$8),N('Bonding Program'!$O$29),0)</f>
        <v>0</v>
      </c>
      <c r="AN170" s="19" t="n">
        <f aca="false">IF(AND('Bonding Program'!$S$29=1,'Bonding Program'!$H$29&gt;'Bonding Program'!$C$8,AN$3='Bonding Program'!$H$29),'Bonding Program'!$T$29-'Bonding Program'!$U$29-'Bonding Program'!$Z$29,0)-IF(AND('Bonding Program'!$S$29=1,'Bonding Program'!$H$29&lt;='Bonding Program'!$C$8,AN$3=IF('Bonding Program'!$P$29&lt;&gt;"",'Bonding Program'!$P$29,'Bonding Program'!$C$8)),'Bonding Program'!$Z$29,0)+IF(AND('Bonding Program'!$P$29&lt;&gt;"",AN$3='Bonding Program'!$P$29,AN$3&lt;='Bonding Program'!$C$8),N('Bonding Program'!$O$29),0)</f>
        <v>0</v>
      </c>
      <c r="AO170" s="19" t="n">
        <f aca="false">IF(AND('Bonding Program'!$S$29=1,'Bonding Program'!$H$29&gt;'Bonding Program'!$C$8,AO$3='Bonding Program'!$H$29),'Bonding Program'!$T$29-'Bonding Program'!$U$29-'Bonding Program'!$Z$29,0)-IF(AND('Bonding Program'!$S$29=1,'Bonding Program'!$H$29&lt;='Bonding Program'!$C$8,AO$3=IF('Bonding Program'!$P$29&lt;&gt;"",'Bonding Program'!$P$29,'Bonding Program'!$C$8)),'Bonding Program'!$Z$29,0)+IF(AND('Bonding Program'!$P$29&lt;&gt;"",AO$3='Bonding Program'!$P$29,AO$3&lt;='Bonding Program'!$C$8),N('Bonding Program'!$O$29),0)</f>
        <v>0</v>
      </c>
      <c r="AP170" s="19" t="n">
        <f aca="false">IF(AND('Bonding Program'!$S$29=1,'Bonding Program'!$H$29&gt;'Bonding Program'!$C$8,AP$3='Bonding Program'!$H$29),'Bonding Program'!$T$29-'Bonding Program'!$U$29-'Bonding Program'!$Z$29,0)-IF(AND('Bonding Program'!$S$29=1,'Bonding Program'!$H$29&lt;='Bonding Program'!$C$8,AP$3=IF('Bonding Program'!$P$29&lt;&gt;"",'Bonding Program'!$P$29,'Bonding Program'!$C$8)),'Bonding Program'!$Z$29,0)+IF(AND('Bonding Program'!$P$29&lt;&gt;"",AP$3='Bonding Program'!$P$29,AP$3&lt;='Bonding Program'!$C$8),N('Bonding Program'!$O$29),0)</f>
        <v>0</v>
      </c>
      <c r="AQ170" s="19" t="n">
        <f aca="false">IF(AND('Bonding Program'!$S$29=1,'Bonding Program'!$H$29&gt;'Bonding Program'!$C$8,AQ$3='Bonding Program'!$H$29),'Bonding Program'!$T$29-'Bonding Program'!$U$29-'Bonding Program'!$Z$29,0)-IF(AND('Bonding Program'!$S$29=1,'Bonding Program'!$H$29&lt;='Bonding Program'!$C$8,AQ$3=IF('Bonding Program'!$P$29&lt;&gt;"",'Bonding Program'!$P$29,'Bonding Program'!$C$8)),'Bonding Program'!$Z$29,0)+IF(AND('Bonding Program'!$P$29&lt;&gt;"",AQ$3='Bonding Program'!$P$29,AQ$3&lt;='Bonding Program'!$C$8),N('Bonding Program'!$O$29),0)</f>
        <v>0</v>
      </c>
      <c r="AR170" s="19" t="n">
        <f aca="false">IF(AND('Bonding Program'!$S$29=1,'Bonding Program'!$H$29&gt;'Bonding Program'!$C$8,AR$3='Bonding Program'!$H$29),'Bonding Program'!$T$29-'Bonding Program'!$U$29-'Bonding Program'!$Z$29,0)-IF(AND('Bonding Program'!$S$29=1,'Bonding Program'!$H$29&lt;='Bonding Program'!$C$8,AR$3=IF('Bonding Program'!$P$29&lt;&gt;"",'Bonding Program'!$P$29,'Bonding Program'!$C$8)),'Bonding Program'!$Z$29,0)+IF(AND('Bonding Program'!$P$29&lt;&gt;"",AR$3='Bonding Program'!$P$29,AR$3&lt;='Bonding Program'!$C$8),N('Bonding Program'!$O$29),0)</f>
        <v>0</v>
      </c>
      <c r="AS170" s="19" t="n">
        <f aca="false">IF(AND('Bonding Program'!$S$29=1,'Bonding Program'!$H$29&gt;'Bonding Program'!$C$8,AS$3='Bonding Program'!$H$29),'Bonding Program'!$T$29-'Bonding Program'!$U$29-'Bonding Program'!$Z$29,0)-IF(AND('Bonding Program'!$S$29=1,'Bonding Program'!$H$29&lt;='Bonding Program'!$C$8,AS$3=IF('Bonding Program'!$P$29&lt;&gt;"",'Bonding Program'!$P$29,'Bonding Program'!$C$8)),'Bonding Program'!$Z$29,0)+IF(AND('Bonding Program'!$P$29&lt;&gt;"",AS$3='Bonding Program'!$P$29,AS$3&lt;='Bonding Program'!$C$8),N('Bonding Program'!$O$29),0)</f>
        <v>0</v>
      </c>
      <c r="AT170" s="19" t="n">
        <f aca="false">IF(AND('Bonding Program'!$S$29=1,'Bonding Program'!$H$29&gt;'Bonding Program'!$C$8,AT$3='Bonding Program'!$H$29),'Bonding Program'!$T$29-'Bonding Program'!$U$29-'Bonding Program'!$Z$29,0)-IF(AND('Bonding Program'!$S$29=1,'Bonding Program'!$H$29&lt;='Bonding Program'!$C$8,AT$3=IF('Bonding Program'!$P$29&lt;&gt;"",'Bonding Program'!$P$29,'Bonding Program'!$C$8)),'Bonding Program'!$Z$29,0)+IF(AND('Bonding Program'!$P$29&lt;&gt;"",AT$3='Bonding Program'!$P$29,AT$3&lt;='Bonding Program'!$C$8),N('Bonding Program'!$O$29),0)</f>
        <v>0</v>
      </c>
      <c r="AU170" s="19" t="n">
        <f aca="false">IF(AND('Bonding Program'!$S$29=1,'Bonding Program'!$H$29&gt;'Bonding Program'!$C$8,AU$3='Bonding Program'!$H$29),'Bonding Program'!$T$29-'Bonding Program'!$U$29-'Bonding Program'!$Z$29,0)-IF(AND('Bonding Program'!$S$29=1,'Bonding Program'!$H$29&lt;='Bonding Program'!$C$8,AU$3=IF('Bonding Program'!$P$29&lt;&gt;"",'Bonding Program'!$P$29,'Bonding Program'!$C$8)),'Bonding Program'!$Z$29,0)+IF(AND('Bonding Program'!$P$29&lt;&gt;"",AU$3='Bonding Program'!$P$29,AU$3&lt;='Bonding Program'!$C$8),N('Bonding Program'!$O$29),0)</f>
        <v>0</v>
      </c>
      <c r="AV170" s="19" t="n">
        <f aca="false">IF(AND('Bonding Program'!$S$29=1,'Bonding Program'!$H$29&gt;'Bonding Program'!$C$8,AV$3='Bonding Program'!$H$29),'Bonding Program'!$T$29-'Bonding Program'!$U$29-'Bonding Program'!$Z$29,0)-IF(AND('Bonding Program'!$S$29=1,'Bonding Program'!$H$29&lt;='Bonding Program'!$C$8,AV$3=IF('Bonding Program'!$P$29&lt;&gt;"",'Bonding Program'!$P$29,'Bonding Program'!$C$8)),'Bonding Program'!$Z$29,0)+IF(AND('Bonding Program'!$P$29&lt;&gt;"",AV$3='Bonding Program'!$P$29,AV$3&lt;='Bonding Program'!$C$8),N('Bonding Program'!$O$29),0)</f>
        <v>0</v>
      </c>
      <c r="AW170" s="19" t="n">
        <f aca="false">IF(AND('Bonding Program'!$S$29=1,'Bonding Program'!$H$29&gt;'Bonding Program'!$C$8,AW$3='Bonding Program'!$H$29),'Bonding Program'!$T$29-'Bonding Program'!$U$29-'Bonding Program'!$Z$29,0)-IF(AND('Bonding Program'!$S$29=1,'Bonding Program'!$H$29&lt;='Bonding Program'!$C$8,AW$3=IF('Bonding Program'!$P$29&lt;&gt;"",'Bonding Program'!$P$29,'Bonding Program'!$C$8)),'Bonding Program'!$Z$29,0)+IF(AND('Bonding Program'!$P$29&lt;&gt;"",AW$3='Bonding Program'!$P$29,AW$3&lt;='Bonding Program'!$C$8),N('Bonding Program'!$O$29),0)</f>
        <v>0</v>
      </c>
      <c r="AX170" s="19" t="n">
        <f aca="false">IF(AND('Bonding Program'!$S$29=1,'Bonding Program'!$H$29&gt;'Bonding Program'!$C$8,AX$3='Bonding Program'!$H$29),'Bonding Program'!$T$29-'Bonding Program'!$U$29-'Bonding Program'!$Z$29,0)-IF(AND('Bonding Program'!$S$29=1,'Bonding Program'!$H$29&lt;='Bonding Program'!$C$8,AX$3=IF('Bonding Program'!$P$29&lt;&gt;"",'Bonding Program'!$P$29,'Bonding Program'!$C$8)),'Bonding Program'!$Z$29,0)+IF(AND('Bonding Program'!$P$29&lt;&gt;"",AX$3='Bonding Program'!$P$29,AX$3&lt;='Bonding Program'!$C$8),N('Bonding Program'!$O$29),0)</f>
        <v>0</v>
      </c>
      <c r="AY170" s="19" t="n">
        <f aca="false">IF(AND('Bonding Program'!$S$29=1,'Bonding Program'!$H$29&gt;'Bonding Program'!$C$8,AY$3='Bonding Program'!$H$29),'Bonding Program'!$T$29-'Bonding Program'!$U$29-'Bonding Program'!$Z$29,0)-IF(AND('Bonding Program'!$S$29=1,'Bonding Program'!$H$29&lt;='Bonding Program'!$C$8,AY$3=IF('Bonding Program'!$P$29&lt;&gt;"",'Bonding Program'!$P$29,'Bonding Program'!$C$8)),'Bonding Program'!$Z$29,0)+IF(AND('Bonding Program'!$P$29&lt;&gt;"",AY$3='Bonding Program'!$P$29,AY$3&lt;='Bonding Program'!$C$8),N('Bonding Program'!$O$29),0)</f>
        <v>0</v>
      </c>
      <c r="AZ170" s="19" t="n">
        <f aca="false">IF(AND('Bonding Program'!$S$29=1,'Bonding Program'!$H$29&gt;'Bonding Program'!$C$8,AZ$3='Bonding Program'!$H$29),'Bonding Program'!$T$29-'Bonding Program'!$U$29-'Bonding Program'!$Z$29,0)-IF(AND('Bonding Program'!$S$29=1,'Bonding Program'!$H$29&lt;='Bonding Program'!$C$8,AZ$3=IF('Bonding Program'!$P$29&lt;&gt;"",'Bonding Program'!$P$29,'Bonding Program'!$C$8)),'Bonding Program'!$Z$29,0)+IF(AND('Bonding Program'!$P$29&lt;&gt;"",AZ$3='Bonding Program'!$P$29,AZ$3&lt;='Bonding Program'!$C$8),N('Bonding Program'!$O$29),0)</f>
        <v>0</v>
      </c>
      <c r="BA170" s="19" t="n">
        <f aca="false">IF(AND('Bonding Program'!$S$29=1,'Bonding Program'!$H$29&gt;'Bonding Program'!$C$8,BA$3='Bonding Program'!$H$29),'Bonding Program'!$T$29-'Bonding Program'!$U$29-'Bonding Program'!$Z$29,0)-IF(AND('Bonding Program'!$S$29=1,'Bonding Program'!$H$29&lt;='Bonding Program'!$C$8,BA$3=IF('Bonding Program'!$P$29&lt;&gt;"",'Bonding Program'!$P$29,'Bonding Program'!$C$8)),'Bonding Program'!$Z$29,0)+IF(AND('Bonding Program'!$P$29&lt;&gt;"",BA$3='Bonding Program'!$P$29,BA$3&lt;='Bonding Program'!$C$8),N('Bonding Program'!$O$29),0)</f>
        <v>0</v>
      </c>
      <c r="BB170" s="19" t="n">
        <f aca="false">IF(AND('Bonding Program'!$S$29=1,'Bonding Program'!$H$29&gt;'Bonding Program'!$C$8,BB$3='Bonding Program'!$H$29),'Bonding Program'!$T$29-'Bonding Program'!$U$29-'Bonding Program'!$Z$29,0)-IF(AND('Bonding Program'!$S$29=1,'Bonding Program'!$H$29&lt;='Bonding Program'!$C$8,BB$3=IF('Bonding Program'!$P$29&lt;&gt;"",'Bonding Program'!$P$29,'Bonding Program'!$C$8)),'Bonding Program'!$Z$29,0)+IF(AND('Bonding Program'!$P$29&lt;&gt;"",BB$3='Bonding Program'!$P$29,BB$3&lt;='Bonding Program'!$C$8),N('Bonding Program'!$O$29),0)</f>
        <v>0</v>
      </c>
      <c r="BC170" s="19" t="n">
        <f aca="false">IF(AND('Bonding Program'!$S$29=1,'Bonding Program'!$H$29&gt;'Bonding Program'!$C$8,BC$3='Bonding Program'!$H$29),'Bonding Program'!$T$29-'Bonding Program'!$U$29-'Bonding Program'!$Z$29,0)-IF(AND('Bonding Program'!$S$29=1,'Bonding Program'!$H$29&lt;='Bonding Program'!$C$8,BC$3=IF('Bonding Program'!$P$29&lt;&gt;"",'Bonding Program'!$P$29,'Bonding Program'!$C$8)),'Bonding Program'!$Z$29,0)+IF(AND('Bonding Program'!$P$29&lt;&gt;"",BC$3='Bonding Program'!$P$29,BC$3&lt;='Bonding Program'!$C$8),N('Bonding Program'!$O$29),0)</f>
        <v>0</v>
      </c>
      <c r="BD170" s="19" t="n">
        <f aca="false">IF(AND('Bonding Program'!$S$29=1,'Bonding Program'!$H$29&gt;'Bonding Program'!$C$8,BD$3='Bonding Program'!$H$29),'Bonding Program'!$T$29-'Bonding Program'!$U$29-'Bonding Program'!$Z$29,0)-IF(AND('Bonding Program'!$S$29=1,'Bonding Program'!$H$29&lt;='Bonding Program'!$C$8,BD$3=IF('Bonding Program'!$P$29&lt;&gt;"",'Bonding Program'!$P$29,'Bonding Program'!$C$8)),'Bonding Program'!$Z$29,0)+IF(AND('Bonding Program'!$P$29&lt;&gt;"",BD$3='Bonding Program'!$P$29,BD$3&lt;='Bonding Program'!$C$8),N('Bonding Program'!$O$29),0)</f>
        <v>0</v>
      </c>
      <c r="BE170" s="19" t="n">
        <f aca="false">IF(AND('Bonding Program'!$S$29=1,'Bonding Program'!$H$29&gt;'Bonding Program'!$C$8,BE$3='Bonding Program'!$H$29),'Bonding Program'!$T$29-'Bonding Program'!$U$29-'Bonding Program'!$Z$29,0)-IF(AND('Bonding Program'!$S$29=1,'Bonding Program'!$H$29&lt;='Bonding Program'!$C$8,BE$3=IF('Bonding Program'!$P$29&lt;&gt;"",'Bonding Program'!$P$29,'Bonding Program'!$C$8)),'Bonding Program'!$Z$29,0)+IF(AND('Bonding Program'!$P$29&lt;&gt;"",BE$3='Bonding Program'!$P$29,BE$3&lt;='Bonding Program'!$C$8),N('Bonding Program'!$O$29),0)</f>
        <v>0</v>
      </c>
      <c r="BF170" s="19" t="n">
        <f aca="false">IF(AND('Bonding Program'!$S$29=1,'Bonding Program'!$H$29&gt;'Bonding Program'!$C$8,BF$3='Bonding Program'!$H$29),'Bonding Program'!$T$29-'Bonding Program'!$U$29-'Bonding Program'!$Z$29,0)-IF(AND('Bonding Program'!$S$29=1,'Bonding Program'!$H$29&lt;='Bonding Program'!$C$8,BF$3=IF('Bonding Program'!$P$29&lt;&gt;"",'Bonding Program'!$P$29,'Bonding Program'!$C$8)),'Bonding Program'!$Z$29,0)+IF(AND('Bonding Program'!$P$29&lt;&gt;"",BF$3='Bonding Program'!$P$29,BF$3&lt;='Bonding Program'!$C$8),N('Bonding Program'!$O$29),0)</f>
        <v>0</v>
      </c>
      <c r="BG170" s="19" t="n">
        <f aca="false">IF(AND('Bonding Program'!$S$29=1,'Bonding Program'!$H$29&gt;'Bonding Program'!$C$8,BG$3='Bonding Program'!$H$29),'Bonding Program'!$T$29-'Bonding Program'!$U$29-'Bonding Program'!$Z$29,0)-IF(AND('Bonding Program'!$S$29=1,'Bonding Program'!$H$29&lt;='Bonding Program'!$C$8,BG$3=IF('Bonding Program'!$P$29&lt;&gt;"",'Bonding Program'!$P$29,'Bonding Program'!$C$8)),'Bonding Program'!$Z$29,0)+IF(AND('Bonding Program'!$P$29&lt;&gt;"",BG$3='Bonding Program'!$P$29,BG$3&lt;='Bonding Program'!$C$8),N('Bonding Program'!$O$29),0)</f>
        <v>0</v>
      </c>
      <c r="BH170" s="19" t="n">
        <f aca="false">IF(AND('Bonding Program'!$S$29=1,'Bonding Program'!$H$29&gt;'Bonding Program'!$C$8,BH$3='Bonding Program'!$H$29),'Bonding Program'!$T$29-'Bonding Program'!$U$29-'Bonding Program'!$Z$29,0)-IF(AND('Bonding Program'!$S$29=1,'Bonding Program'!$H$29&lt;='Bonding Program'!$C$8,BH$3=IF('Bonding Program'!$P$29&lt;&gt;"",'Bonding Program'!$P$29,'Bonding Program'!$C$8)),'Bonding Program'!$Z$29,0)+IF(AND('Bonding Program'!$P$29&lt;&gt;"",BH$3='Bonding Program'!$P$29,BH$3&lt;='Bonding Program'!$C$8),N('Bonding Program'!$O$29),0)</f>
        <v>0</v>
      </c>
      <c r="BI170" s="19" t="n">
        <f aca="false">IF(AND('Bonding Program'!$S$29=1,'Bonding Program'!$H$29&gt;'Bonding Program'!$C$8,BI$3='Bonding Program'!$H$29),'Bonding Program'!$T$29-'Bonding Program'!$U$29-'Bonding Program'!$Z$29,0)-IF(AND('Bonding Program'!$S$29=1,'Bonding Program'!$H$29&lt;='Bonding Program'!$C$8,BI$3=IF('Bonding Program'!$P$29&lt;&gt;"",'Bonding Program'!$P$29,'Bonding Program'!$C$8)),'Bonding Program'!$Z$29,0)+IF(AND('Bonding Program'!$P$29&lt;&gt;"",BI$3='Bonding Program'!$P$29,BI$3&lt;='Bonding Program'!$C$8),N('Bonding Program'!$O$29),0)</f>
        <v>0</v>
      </c>
      <c r="BJ170" s="19" t="n">
        <f aca="false">IF(AND('Bonding Program'!$S$29=1,'Bonding Program'!$H$29&gt;'Bonding Program'!$C$8,BJ$3='Bonding Program'!$H$29),'Bonding Program'!$T$29-'Bonding Program'!$U$29-'Bonding Program'!$Z$29,0)-IF(AND('Bonding Program'!$S$29=1,'Bonding Program'!$H$29&lt;='Bonding Program'!$C$8,BJ$3=IF('Bonding Program'!$P$29&lt;&gt;"",'Bonding Program'!$P$29,'Bonding Program'!$C$8)),'Bonding Program'!$Z$29,0)+IF(AND('Bonding Program'!$P$29&lt;&gt;"",BJ$3='Bonding Program'!$P$29,BJ$3&lt;='Bonding Program'!$C$8),N('Bonding Program'!$O$29),0)</f>
        <v>0</v>
      </c>
      <c r="BK170" s="19" t="n">
        <f aca="false">IF(AND('Bonding Program'!$S$29=1,'Bonding Program'!$H$29&gt;'Bonding Program'!$C$8,BK$3='Bonding Program'!$H$29),'Bonding Program'!$T$29-'Bonding Program'!$U$29-'Bonding Program'!$Z$29,0)-IF(AND('Bonding Program'!$S$29=1,'Bonding Program'!$H$29&lt;='Bonding Program'!$C$8,BK$3=IF('Bonding Program'!$P$29&lt;&gt;"",'Bonding Program'!$P$29,'Bonding Program'!$C$8)),'Bonding Program'!$Z$29,0)+IF(AND('Bonding Program'!$P$29&lt;&gt;"",BK$3='Bonding Program'!$P$29,BK$3&lt;='Bonding Program'!$C$8),N('Bonding Program'!$O$29),0)</f>
        <v>0</v>
      </c>
      <c r="BL170" s="19" t="n">
        <f aca="false">IF(AND('Bonding Program'!$S$29=1,'Bonding Program'!$H$29&gt;'Bonding Program'!$C$8,BL$3='Bonding Program'!$H$29),'Bonding Program'!$T$29-'Bonding Program'!$U$29-'Bonding Program'!$Z$29,0)-IF(AND('Bonding Program'!$S$29=1,'Bonding Program'!$H$29&lt;='Bonding Program'!$C$8,BL$3=IF('Bonding Program'!$P$29&lt;&gt;"",'Bonding Program'!$P$29,'Bonding Program'!$C$8)),'Bonding Program'!$Z$29,0)+IF(AND('Bonding Program'!$P$29&lt;&gt;"",BL$3='Bonding Program'!$P$29,BL$3&lt;='Bonding Program'!$C$8),N('Bonding Program'!$O$29),0)</f>
        <v>0</v>
      </c>
      <c r="BM170" s="19" t="n">
        <f aca="false">IF(AND('Bonding Program'!$S$29=1,'Bonding Program'!$H$29&gt;'Bonding Program'!$C$8,BM$3='Bonding Program'!$H$29),'Bonding Program'!$T$29-'Bonding Program'!$U$29-'Bonding Program'!$Z$29,0)-IF(AND('Bonding Program'!$S$29=1,'Bonding Program'!$H$29&lt;='Bonding Program'!$C$8,BM$3=IF('Bonding Program'!$P$29&lt;&gt;"",'Bonding Program'!$P$29,'Bonding Program'!$C$8)),'Bonding Program'!$Z$29,0)+IF(AND('Bonding Program'!$P$29&lt;&gt;"",BM$3='Bonding Program'!$P$29,BM$3&lt;='Bonding Program'!$C$8),N('Bonding Program'!$O$29),0)</f>
        <v>0</v>
      </c>
      <c r="BN170" s="19" t="n">
        <f aca="false">IF(AND('Bonding Program'!$S$29=1,'Bonding Program'!$H$29&gt;'Bonding Program'!$C$8,BN$3='Bonding Program'!$H$29),'Bonding Program'!$T$29-'Bonding Program'!$U$29-'Bonding Program'!$Z$29,0)-IF(AND('Bonding Program'!$S$29=1,'Bonding Program'!$H$29&lt;='Bonding Program'!$C$8,BN$3=IF('Bonding Program'!$P$29&lt;&gt;"",'Bonding Program'!$P$29,'Bonding Program'!$C$8)),'Bonding Program'!$Z$29,0)+IF(AND('Bonding Program'!$P$29&lt;&gt;"",BN$3='Bonding Program'!$P$29,BN$3&lt;='Bonding Program'!$C$8),N('Bonding Program'!$O$29),0)</f>
        <v>0</v>
      </c>
      <c r="BO170" s="19" t="n">
        <f aca="false">IF(AND('Bonding Program'!$S$29=1,'Bonding Program'!$H$29&gt;'Bonding Program'!$C$8,BO$3='Bonding Program'!$H$29),'Bonding Program'!$T$29-'Bonding Program'!$U$29-'Bonding Program'!$Z$29,0)-IF(AND('Bonding Program'!$S$29=1,'Bonding Program'!$H$29&lt;='Bonding Program'!$C$8,BO$3=IF('Bonding Program'!$P$29&lt;&gt;"",'Bonding Program'!$P$29,'Bonding Program'!$C$8)),'Bonding Program'!$Z$29,0)+IF(AND('Bonding Program'!$P$29&lt;&gt;"",BO$3='Bonding Program'!$P$29,BO$3&lt;='Bonding Program'!$C$8),N('Bonding Program'!$O$29),0)</f>
        <v>0</v>
      </c>
      <c r="BP170" s="19" t="n">
        <f aca="false">IF(AND('Bonding Program'!$S$29=1,'Bonding Program'!$H$29&gt;'Bonding Program'!$C$8,BP$3='Bonding Program'!$H$29),'Bonding Program'!$T$29-'Bonding Program'!$U$29-'Bonding Program'!$Z$29,0)-IF(AND('Bonding Program'!$S$29=1,'Bonding Program'!$H$29&lt;='Bonding Program'!$C$8,BP$3=IF('Bonding Program'!$P$29&lt;&gt;"",'Bonding Program'!$P$29,'Bonding Program'!$C$8)),'Bonding Program'!$Z$29,0)+IF(AND('Bonding Program'!$P$29&lt;&gt;"",BP$3='Bonding Program'!$P$29,BP$3&lt;='Bonding Program'!$C$8),N('Bonding Program'!$O$29),0)</f>
        <v>0</v>
      </c>
      <c r="BQ170" s="19" t="n">
        <f aca="false">IF(AND('Bonding Program'!$S$29=1,'Bonding Program'!$H$29&gt;'Bonding Program'!$C$8,BQ$3='Bonding Program'!$H$29),'Bonding Program'!$T$29-'Bonding Program'!$U$29-'Bonding Program'!$Z$29,0)-IF(AND('Bonding Program'!$S$29=1,'Bonding Program'!$H$29&lt;='Bonding Program'!$C$8,BQ$3=IF('Bonding Program'!$P$29&lt;&gt;"",'Bonding Program'!$P$29,'Bonding Program'!$C$8)),'Bonding Program'!$Z$29,0)+IF(AND('Bonding Program'!$P$29&lt;&gt;"",BQ$3='Bonding Program'!$P$29,BQ$3&lt;='Bonding Program'!$C$8),N('Bonding Program'!$O$29),0)</f>
        <v>0</v>
      </c>
      <c r="BR170" s="19" t="n">
        <f aca="false">IF(AND('Bonding Program'!$S$29=1,'Bonding Program'!$H$29&gt;'Bonding Program'!$C$8,BR$3='Bonding Program'!$H$29),'Bonding Program'!$T$29-'Bonding Program'!$U$29-'Bonding Program'!$Z$29,0)-IF(AND('Bonding Program'!$S$29=1,'Bonding Program'!$H$29&lt;='Bonding Program'!$C$8,BR$3=IF('Bonding Program'!$P$29&lt;&gt;"",'Bonding Program'!$P$29,'Bonding Program'!$C$8)),'Bonding Program'!$Z$29,0)+IF(AND('Bonding Program'!$P$29&lt;&gt;"",BR$3='Bonding Program'!$P$29,BR$3&lt;='Bonding Program'!$C$8),N('Bonding Program'!$O$29),0)</f>
        <v>0</v>
      </c>
      <c r="BS170" s="19" t="n">
        <f aca="false">IF(AND('Bonding Program'!$S$29=1,'Bonding Program'!$H$29&gt;'Bonding Program'!$C$8,BS$3='Bonding Program'!$H$29),'Bonding Program'!$T$29-'Bonding Program'!$U$29-'Bonding Program'!$Z$29,0)-IF(AND('Bonding Program'!$S$29=1,'Bonding Program'!$H$29&lt;='Bonding Program'!$C$8,BS$3=IF('Bonding Program'!$P$29&lt;&gt;"",'Bonding Program'!$P$29,'Bonding Program'!$C$8)),'Bonding Program'!$Z$29,0)+IF(AND('Bonding Program'!$P$29&lt;&gt;"",BS$3='Bonding Program'!$P$29,BS$3&lt;='Bonding Program'!$C$8),N('Bonding Program'!$O$29),0)</f>
        <v>0</v>
      </c>
      <c r="BT170" s="19" t="n">
        <f aca="false">IF(AND('Bonding Program'!$S$29=1,'Bonding Program'!$H$29&gt;'Bonding Program'!$C$8,BT$3='Bonding Program'!$H$29),'Bonding Program'!$T$29-'Bonding Program'!$U$29-'Bonding Program'!$Z$29,0)-IF(AND('Bonding Program'!$S$29=1,'Bonding Program'!$H$29&lt;='Bonding Program'!$C$8,BT$3=IF('Bonding Program'!$P$29&lt;&gt;"",'Bonding Program'!$P$29,'Bonding Program'!$C$8)),'Bonding Program'!$Z$29,0)+IF(AND('Bonding Program'!$P$29&lt;&gt;"",BT$3='Bonding Program'!$P$29,BT$3&lt;='Bonding Program'!$C$8),N('Bonding Program'!$O$29),0)</f>
        <v>0</v>
      </c>
      <c r="BU170" s="19" t="n">
        <f aca="false">IF(AND('Bonding Program'!$S$29=1,'Bonding Program'!$H$29&gt;'Bonding Program'!$C$8,BU$3='Bonding Program'!$H$29),'Bonding Program'!$T$29-'Bonding Program'!$U$29-'Bonding Program'!$Z$29,0)-IF(AND('Bonding Program'!$S$29=1,'Bonding Program'!$H$29&lt;='Bonding Program'!$C$8,BU$3=IF('Bonding Program'!$P$29&lt;&gt;"",'Bonding Program'!$P$29,'Bonding Program'!$C$8)),'Bonding Program'!$Z$29,0)+IF(AND('Bonding Program'!$P$29&lt;&gt;"",BU$3='Bonding Program'!$P$29,BU$3&lt;='Bonding Program'!$C$8),N('Bonding Program'!$O$29),0)</f>
        <v>0</v>
      </c>
      <c r="BV170" s="19" t="n">
        <f aca="false">IF(AND('Bonding Program'!$S$29=1,'Bonding Program'!$H$29&gt;'Bonding Program'!$C$8,BV$3='Bonding Program'!$H$29),'Bonding Program'!$T$29-'Bonding Program'!$U$29-'Bonding Program'!$Z$29,0)-IF(AND('Bonding Program'!$S$29=1,'Bonding Program'!$H$29&lt;='Bonding Program'!$C$8,BV$3=IF('Bonding Program'!$P$29&lt;&gt;"",'Bonding Program'!$P$29,'Bonding Program'!$C$8)),'Bonding Program'!$Z$29,0)+IF(AND('Bonding Program'!$P$29&lt;&gt;"",BV$3='Bonding Program'!$P$29,BV$3&lt;='Bonding Program'!$C$8),N('Bonding Program'!$O$29),0)</f>
        <v>0</v>
      </c>
      <c r="BW170" s="19" t="n">
        <f aca="false">IF(AND('Bonding Program'!$S$29=1,'Bonding Program'!$H$29&gt;'Bonding Program'!$C$8,BW$3='Bonding Program'!$H$29),'Bonding Program'!$T$29-'Bonding Program'!$U$29-'Bonding Program'!$Z$29,0)-IF(AND('Bonding Program'!$S$29=1,'Bonding Program'!$H$29&lt;='Bonding Program'!$C$8,BW$3=IF('Bonding Program'!$P$29&lt;&gt;"",'Bonding Program'!$P$29,'Bonding Program'!$C$8)),'Bonding Program'!$Z$29,0)+IF(AND('Bonding Program'!$P$29&lt;&gt;"",BW$3='Bonding Program'!$P$29,BW$3&lt;='Bonding Program'!$C$8),N('Bonding Program'!$O$29),0)</f>
        <v>0</v>
      </c>
      <c r="BX170" s="19" t="n">
        <f aca="false">IF(AND('Bonding Program'!$S$29=1,'Bonding Program'!$H$29&gt;'Bonding Program'!$C$8,BX$3='Bonding Program'!$H$29),'Bonding Program'!$T$29-'Bonding Program'!$U$29-'Bonding Program'!$Z$29,0)-IF(AND('Bonding Program'!$S$29=1,'Bonding Program'!$H$29&lt;='Bonding Program'!$C$8,BX$3=IF('Bonding Program'!$P$29&lt;&gt;"",'Bonding Program'!$P$29,'Bonding Program'!$C$8)),'Bonding Program'!$Z$29,0)+IF(AND('Bonding Program'!$P$29&lt;&gt;"",BX$3='Bonding Program'!$P$29,BX$3&lt;='Bonding Program'!$C$8),N('Bonding Program'!$O$29),0)</f>
        <v>0</v>
      </c>
      <c r="BY170" s="19" t="n">
        <f aca="false">IF(AND('Bonding Program'!$S$29=1,'Bonding Program'!$H$29&gt;'Bonding Program'!$C$8,BY$3='Bonding Program'!$H$29),'Bonding Program'!$T$29-'Bonding Program'!$U$29-'Bonding Program'!$Z$29,0)-IF(AND('Bonding Program'!$S$29=1,'Bonding Program'!$H$29&lt;='Bonding Program'!$C$8,BY$3=IF('Bonding Program'!$P$29&lt;&gt;"",'Bonding Program'!$P$29,'Bonding Program'!$C$8)),'Bonding Program'!$Z$29,0)+IF(AND('Bonding Program'!$P$29&lt;&gt;"",BY$3='Bonding Program'!$P$29,BY$3&lt;='Bonding Program'!$C$8),N('Bonding Program'!$O$29),0)</f>
        <v>0</v>
      </c>
      <c r="BZ170" s="19" t="n">
        <f aca="false">IF(AND('Bonding Program'!$S$29=1,'Bonding Program'!$H$29&gt;'Bonding Program'!$C$8,BZ$3='Bonding Program'!$H$29),'Bonding Program'!$T$29-'Bonding Program'!$U$29-'Bonding Program'!$Z$29,0)-IF(AND('Bonding Program'!$S$29=1,'Bonding Program'!$H$29&lt;='Bonding Program'!$C$8,BZ$3=IF('Bonding Program'!$P$29&lt;&gt;"",'Bonding Program'!$P$29,'Bonding Program'!$C$8)),'Bonding Program'!$Z$29,0)+IF(AND('Bonding Program'!$P$29&lt;&gt;"",BZ$3='Bonding Program'!$P$29,BZ$3&lt;='Bonding Program'!$C$8),N('Bonding Program'!$O$29),0)</f>
        <v>0</v>
      </c>
      <c r="CA170" s="19" t="n">
        <f aca="false">IF(AND('Bonding Program'!$S$29=1,'Bonding Program'!$H$29&gt;'Bonding Program'!$C$8,CA$3='Bonding Program'!$H$29),'Bonding Program'!$T$29-'Bonding Program'!$U$29-'Bonding Program'!$Z$29,0)-IF(AND('Bonding Program'!$S$29=1,'Bonding Program'!$H$29&lt;='Bonding Program'!$C$8,CA$3=IF('Bonding Program'!$P$29&lt;&gt;"",'Bonding Program'!$P$29,'Bonding Program'!$C$8)),'Bonding Program'!$Z$29,0)+IF(AND('Bonding Program'!$P$29&lt;&gt;"",CA$3='Bonding Program'!$P$29,CA$3&lt;='Bonding Program'!$C$8),N('Bonding Program'!$O$29),0)</f>
        <v>0</v>
      </c>
      <c r="CB170" s="19" t="n">
        <f aca="false">IF(AND('Bonding Program'!$S$29=1,'Bonding Program'!$H$29&gt;'Bonding Program'!$C$8,CB$3='Bonding Program'!$H$29),'Bonding Program'!$T$29-'Bonding Program'!$U$29-'Bonding Program'!$Z$29,0)-IF(AND('Bonding Program'!$S$29=1,'Bonding Program'!$H$29&lt;='Bonding Program'!$C$8,CB$3=IF('Bonding Program'!$P$29&lt;&gt;"",'Bonding Program'!$P$29,'Bonding Program'!$C$8)),'Bonding Program'!$Z$29,0)+IF(AND('Bonding Program'!$P$29&lt;&gt;"",CB$3='Bonding Program'!$P$29,CB$3&lt;='Bonding Program'!$C$8),N('Bonding Program'!$O$29),0)</f>
        <v>0</v>
      </c>
      <c r="CC170" s="19" t="n">
        <f aca="false">IF(AND('Bonding Program'!$S$29=1,'Bonding Program'!$H$29&gt;'Bonding Program'!$C$8,CC$3='Bonding Program'!$H$29),'Bonding Program'!$T$29-'Bonding Program'!$U$29-'Bonding Program'!$Z$29,0)-IF(AND('Bonding Program'!$S$29=1,'Bonding Program'!$H$29&lt;='Bonding Program'!$C$8,CC$3=IF('Bonding Program'!$P$29&lt;&gt;"",'Bonding Program'!$P$29,'Bonding Program'!$C$8)),'Bonding Program'!$Z$29,0)+IF(AND('Bonding Program'!$P$29&lt;&gt;"",CC$3='Bonding Program'!$P$29,CC$3&lt;='Bonding Program'!$C$8),N('Bonding Program'!$O$29),0)</f>
        <v>0</v>
      </c>
      <c r="CD170" s="19" t="n">
        <f aca="false">IF(AND('Bonding Program'!$S$29=1,'Bonding Program'!$H$29&gt;'Bonding Program'!$C$8,CD$3='Bonding Program'!$H$29),'Bonding Program'!$T$29-'Bonding Program'!$U$29-'Bonding Program'!$Z$29,0)-IF(AND('Bonding Program'!$S$29=1,'Bonding Program'!$H$29&lt;='Bonding Program'!$C$8,CD$3=IF('Bonding Program'!$P$29&lt;&gt;"",'Bonding Program'!$P$29,'Bonding Program'!$C$8)),'Bonding Program'!$Z$29,0)+IF(AND('Bonding Program'!$P$29&lt;&gt;"",CD$3='Bonding Program'!$P$29,CD$3&lt;='Bonding Program'!$C$8),N('Bonding Program'!$O$29),0)</f>
        <v>0</v>
      </c>
      <c r="CE170" s="19" t="n">
        <f aca="false">IF(AND('Bonding Program'!$S$29=1,'Bonding Program'!$H$29&gt;'Bonding Program'!$C$8,CE$3='Bonding Program'!$H$29),'Bonding Program'!$T$29-'Bonding Program'!$U$29-'Bonding Program'!$Z$29,0)-IF(AND('Bonding Program'!$S$29=1,'Bonding Program'!$H$29&lt;='Bonding Program'!$C$8,CE$3=IF('Bonding Program'!$P$29&lt;&gt;"",'Bonding Program'!$P$29,'Bonding Program'!$C$8)),'Bonding Program'!$Z$29,0)+IF(AND('Bonding Program'!$P$29&lt;&gt;"",CE$3='Bonding Program'!$P$29,CE$3&lt;='Bonding Program'!$C$8),N('Bonding Program'!$O$29),0)</f>
        <v>0</v>
      </c>
      <c r="CF170" s="19" t="n">
        <f aca="false">IF(AND('Bonding Program'!$S$29=1,'Bonding Program'!$H$29&gt;'Bonding Program'!$C$8,CF$3='Bonding Program'!$H$29),'Bonding Program'!$T$29-'Bonding Program'!$U$29-'Bonding Program'!$Z$29,0)-IF(AND('Bonding Program'!$S$29=1,'Bonding Program'!$H$29&lt;='Bonding Program'!$C$8,CF$3=IF('Bonding Program'!$P$29&lt;&gt;"",'Bonding Program'!$P$29,'Bonding Program'!$C$8)),'Bonding Program'!$Z$29,0)+IF(AND('Bonding Program'!$P$29&lt;&gt;"",CF$3='Bonding Program'!$P$29,CF$3&lt;='Bonding Program'!$C$8),N('Bonding Program'!$O$29),0)</f>
        <v>0</v>
      </c>
      <c r="CG170" s="19" t="n">
        <f aca="false">IF(AND('Bonding Program'!$S$29=1,'Bonding Program'!$H$29&gt;'Bonding Program'!$C$8,CG$3='Bonding Program'!$H$29),'Bonding Program'!$T$29-'Bonding Program'!$U$29-'Bonding Program'!$Z$29,0)-IF(AND('Bonding Program'!$S$29=1,'Bonding Program'!$H$29&lt;='Bonding Program'!$C$8,CG$3=IF('Bonding Program'!$P$29&lt;&gt;"",'Bonding Program'!$P$29,'Bonding Program'!$C$8)),'Bonding Program'!$Z$29,0)+IF(AND('Bonding Program'!$P$29&lt;&gt;"",CG$3='Bonding Program'!$P$29,CG$3&lt;='Bonding Program'!$C$8),N('Bonding Program'!$O$29),0)</f>
        <v>0</v>
      </c>
      <c r="CH170" s="19" t="n">
        <f aca="false">IF(AND('Bonding Program'!$S$29=1,'Bonding Program'!$H$29&gt;'Bonding Program'!$C$8,CH$3='Bonding Program'!$H$29),'Bonding Program'!$T$29-'Bonding Program'!$U$29-'Bonding Program'!$Z$29,0)-IF(AND('Bonding Program'!$S$29=1,'Bonding Program'!$H$29&lt;='Bonding Program'!$C$8,CH$3=IF('Bonding Program'!$P$29&lt;&gt;"",'Bonding Program'!$P$29,'Bonding Program'!$C$8)),'Bonding Program'!$Z$29,0)+IF(AND('Bonding Program'!$P$29&lt;&gt;"",CH$3='Bonding Program'!$P$29,CH$3&lt;='Bonding Program'!$C$8),N('Bonding Program'!$O$29),0)</f>
        <v>0</v>
      </c>
      <c r="CI170" s="19" t="n">
        <f aca="false">IF(AND('Bonding Program'!$S$29=1,'Bonding Program'!$H$29&gt;'Bonding Program'!$C$8,CI$3='Bonding Program'!$H$29),'Bonding Program'!$T$29-'Bonding Program'!$U$29-'Bonding Program'!$Z$29,0)-IF(AND('Bonding Program'!$S$29=1,'Bonding Program'!$H$29&lt;='Bonding Program'!$C$8,CI$3=IF('Bonding Program'!$P$29&lt;&gt;"",'Bonding Program'!$P$29,'Bonding Program'!$C$8)),'Bonding Program'!$Z$29,0)+IF(AND('Bonding Program'!$P$29&lt;&gt;"",CI$3='Bonding Program'!$P$29,CI$3&lt;='Bonding Program'!$C$8),N('Bonding Program'!$O$29),0)</f>
        <v>0</v>
      </c>
      <c r="CJ170" s="19" t="n">
        <f aca="false">IF(AND('Bonding Program'!$S$29=1,'Bonding Program'!$H$29&gt;'Bonding Program'!$C$8,CJ$3='Bonding Program'!$H$29),'Bonding Program'!$T$29-'Bonding Program'!$U$29-'Bonding Program'!$Z$29,0)-IF(AND('Bonding Program'!$S$29=1,'Bonding Program'!$H$29&lt;='Bonding Program'!$C$8,CJ$3=IF('Bonding Program'!$P$29&lt;&gt;"",'Bonding Program'!$P$29,'Bonding Program'!$C$8)),'Bonding Program'!$Z$29,0)+IF(AND('Bonding Program'!$P$29&lt;&gt;"",CJ$3='Bonding Program'!$P$29,CJ$3&lt;='Bonding Program'!$C$8),N('Bonding Program'!$O$29),0)</f>
        <v>0</v>
      </c>
      <c r="CK170" s="19" t="n">
        <f aca="false">IF(AND('Bonding Program'!$S$29=1,'Bonding Program'!$H$29&gt;'Bonding Program'!$C$8,CK$3='Bonding Program'!$H$29),'Bonding Program'!$T$29-'Bonding Program'!$U$29-'Bonding Program'!$Z$29,0)-IF(AND('Bonding Program'!$S$29=1,'Bonding Program'!$H$29&lt;='Bonding Program'!$C$8,CK$3=IF('Bonding Program'!$P$29&lt;&gt;"",'Bonding Program'!$P$29,'Bonding Program'!$C$8)),'Bonding Program'!$Z$29,0)+IF(AND('Bonding Program'!$P$29&lt;&gt;"",CK$3='Bonding Program'!$P$29,CK$3&lt;='Bonding Program'!$C$8),N('Bonding Program'!$O$29),0)</f>
        <v>0</v>
      </c>
      <c r="CL170" s="19" t="n">
        <f aca="false">IF(AND('Bonding Program'!$S$29=1,'Bonding Program'!$H$29&gt;'Bonding Program'!$C$8,CL$3='Bonding Program'!$H$29),'Bonding Program'!$T$29-'Bonding Program'!$U$29-'Bonding Program'!$Z$29,0)-IF(AND('Bonding Program'!$S$29=1,'Bonding Program'!$H$29&lt;='Bonding Program'!$C$8,CL$3=IF('Bonding Program'!$P$29&lt;&gt;"",'Bonding Program'!$P$29,'Bonding Program'!$C$8)),'Bonding Program'!$Z$29,0)+IF(AND('Bonding Program'!$P$29&lt;&gt;"",CL$3='Bonding Program'!$P$29,CL$3&lt;='Bonding Program'!$C$8),N('Bonding Program'!$O$29),0)</f>
        <v>0</v>
      </c>
      <c r="CM170" s="19" t="n">
        <f aca="false">IF(AND('Bonding Program'!$S$29=1,'Bonding Program'!$H$29&gt;'Bonding Program'!$C$8,CM$3='Bonding Program'!$H$29),'Bonding Program'!$T$29-'Bonding Program'!$U$29-'Bonding Program'!$Z$29,0)-IF(AND('Bonding Program'!$S$29=1,'Bonding Program'!$H$29&lt;='Bonding Program'!$C$8,CM$3=IF('Bonding Program'!$P$29&lt;&gt;"",'Bonding Program'!$P$29,'Bonding Program'!$C$8)),'Bonding Program'!$Z$29,0)+IF(AND('Bonding Program'!$P$29&lt;&gt;"",CM$3='Bonding Program'!$P$29,CM$3&lt;='Bonding Program'!$C$8),N('Bonding Program'!$O$29),0)</f>
        <v>0</v>
      </c>
      <c r="CN170" s="19" t="n">
        <f aca="false">IF(AND('Bonding Program'!$S$29=1,'Bonding Program'!$H$29&gt;'Bonding Program'!$C$8,CN$3='Bonding Program'!$H$29),'Bonding Program'!$T$29-'Bonding Program'!$U$29-'Bonding Program'!$Z$29,0)-IF(AND('Bonding Program'!$S$29=1,'Bonding Program'!$H$29&lt;='Bonding Program'!$C$8,CN$3=IF('Bonding Program'!$P$29&lt;&gt;"",'Bonding Program'!$P$29,'Bonding Program'!$C$8)),'Bonding Program'!$Z$29,0)+IF(AND('Bonding Program'!$P$29&lt;&gt;"",CN$3='Bonding Program'!$P$29,CN$3&lt;='Bonding Program'!$C$8),N('Bonding Program'!$O$29),0)</f>
        <v>0</v>
      </c>
      <c r="CO170" s="19" t="n">
        <f aca="false">IF(AND('Bonding Program'!$S$29=1,'Bonding Program'!$H$29&gt;'Bonding Program'!$C$8,CO$3='Bonding Program'!$H$29),'Bonding Program'!$T$29-'Bonding Program'!$U$29-'Bonding Program'!$Z$29,0)-IF(AND('Bonding Program'!$S$29=1,'Bonding Program'!$H$29&lt;='Bonding Program'!$C$8,CO$3=IF('Bonding Program'!$P$29&lt;&gt;"",'Bonding Program'!$P$29,'Bonding Program'!$C$8)),'Bonding Program'!$Z$29,0)+IF(AND('Bonding Program'!$P$29&lt;&gt;"",CO$3='Bonding Program'!$P$29,CO$3&lt;='Bonding Program'!$C$8),N('Bonding Program'!$O$29),0)</f>
        <v>0</v>
      </c>
      <c r="CP170" s="19" t="n">
        <f aca="false">IF(AND('Bonding Program'!$S$29=1,'Bonding Program'!$H$29&gt;'Bonding Program'!$C$8,CP$3='Bonding Program'!$H$29),'Bonding Program'!$T$29-'Bonding Program'!$U$29-'Bonding Program'!$Z$29,0)-IF(AND('Bonding Program'!$S$29=1,'Bonding Program'!$H$29&lt;='Bonding Program'!$C$8,CP$3=IF('Bonding Program'!$P$29&lt;&gt;"",'Bonding Program'!$P$29,'Bonding Program'!$C$8)),'Bonding Program'!$Z$29,0)+IF(AND('Bonding Program'!$P$29&lt;&gt;"",CP$3='Bonding Program'!$P$29,CP$3&lt;='Bonding Program'!$C$8),N('Bonding Program'!$O$29),0)</f>
        <v>0</v>
      </c>
      <c r="CQ170" s="19" t="n">
        <f aca="false">IF(AND('Bonding Program'!$S$29=1,'Bonding Program'!$H$29&gt;'Bonding Program'!$C$8,CQ$3='Bonding Program'!$H$29),'Bonding Program'!$T$29-'Bonding Program'!$U$29-'Bonding Program'!$Z$29,0)-IF(AND('Bonding Program'!$S$29=1,'Bonding Program'!$H$29&lt;='Bonding Program'!$C$8,CQ$3=IF('Bonding Program'!$P$29&lt;&gt;"",'Bonding Program'!$P$29,'Bonding Program'!$C$8)),'Bonding Program'!$Z$29,0)+IF(AND('Bonding Program'!$P$29&lt;&gt;"",CQ$3='Bonding Program'!$P$29,CQ$3&lt;='Bonding Program'!$C$8),N('Bonding Program'!$O$29),0)</f>
        <v>0</v>
      </c>
      <c r="CR170" s="19" t="n">
        <f aca="false">IF(AND('Bonding Program'!$S$29=1,'Bonding Program'!$H$29&gt;'Bonding Program'!$C$8,CR$3='Bonding Program'!$H$29),'Bonding Program'!$T$29-'Bonding Program'!$U$29-'Bonding Program'!$Z$29,0)-IF(AND('Bonding Program'!$S$29=1,'Bonding Program'!$H$29&lt;='Bonding Program'!$C$8,CR$3=IF('Bonding Program'!$P$29&lt;&gt;"",'Bonding Program'!$P$29,'Bonding Program'!$C$8)),'Bonding Program'!$Z$29,0)+IF(AND('Bonding Program'!$P$29&lt;&gt;"",CR$3='Bonding Program'!$P$29,CR$3&lt;='Bonding Program'!$C$8),N('Bonding Program'!$O$29),0)</f>
        <v>0</v>
      </c>
      <c r="CS170" s="19" t="n">
        <f aca="false">IF(AND('Bonding Program'!$S$29=1,'Bonding Program'!$H$29&gt;'Bonding Program'!$C$8,CS$3='Bonding Program'!$H$29),'Bonding Program'!$T$29-'Bonding Program'!$U$29-'Bonding Program'!$Z$29,0)-IF(AND('Bonding Program'!$S$29=1,'Bonding Program'!$H$29&lt;='Bonding Program'!$C$8,CS$3=IF('Bonding Program'!$P$29&lt;&gt;"",'Bonding Program'!$P$29,'Bonding Program'!$C$8)),'Bonding Program'!$Z$29,0)+IF(AND('Bonding Program'!$P$29&lt;&gt;"",CS$3='Bonding Program'!$P$29,CS$3&lt;='Bonding Program'!$C$8),N('Bonding Program'!$O$29),0)</f>
        <v>0</v>
      </c>
      <c r="CT170" s="19" t="n">
        <f aca="false">IF(AND('Bonding Program'!$S$29=1,'Bonding Program'!$H$29&gt;'Bonding Program'!$C$8,CT$3='Bonding Program'!$H$29),'Bonding Program'!$T$29-'Bonding Program'!$U$29-'Bonding Program'!$Z$29,0)-IF(AND('Bonding Program'!$S$29=1,'Bonding Program'!$H$29&lt;='Bonding Program'!$C$8,CT$3=IF('Bonding Program'!$P$29&lt;&gt;"",'Bonding Program'!$P$29,'Bonding Program'!$C$8)),'Bonding Program'!$Z$29,0)+IF(AND('Bonding Program'!$P$29&lt;&gt;"",CT$3='Bonding Program'!$P$29,CT$3&lt;='Bonding Program'!$C$8),N('Bonding Program'!$O$29),0)</f>
        <v>0</v>
      </c>
      <c r="CU170" s="19" t="n">
        <f aca="false">IF(AND('Bonding Program'!$S$29=1,'Bonding Program'!$H$29&gt;'Bonding Program'!$C$8,CU$3='Bonding Program'!$H$29),'Bonding Program'!$T$29-'Bonding Program'!$U$29-'Bonding Program'!$Z$29,0)-IF(AND('Bonding Program'!$S$29=1,'Bonding Program'!$H$29&lt;='Bonding Program'!$C$8,CU$3=IF('Bonding Program'!$P$29&lt;&gt;"",'Bonding Program'!$P$29,'Bonding Program'!$C$8)),'Bonding Program'!$Z$29,0)+IF(AND('Bonding Program'!$P$29&lt;&gt;"",CU$3='Bonding Program'!$P$29,CU$3&lt;='Bonding Program'!$C$8),N('Bonding Program'!$O$29),0)</f>
        <v>0</v>
      </c>
      <c r="CV170" s="19" t="n">
        <f aca="false">IF(AND('Bonding Program'!$S$29=1,'Bonding Program'!$H$29&gt;'Bonding Program'!$C$8,CV$3='Bonding Program'!$H$29),'Bonding Program'!$T$29-'Bonding Program'!$U$29-'Bonding Program'!$Z$29,0)-IF(AND('Bonding Program'!$S$29=1,'Bonding Program'!$H$29&lt;='Bonding Program'!$C$8,CV$3=IF('Bonding Program'!$P$29&lt;&gt;"",'Bonding Program'!$P$29,'Bonding Program'!$C$8)),'Bonding Program'!$Z$29,0)+IF(AND('Bonding Program'!$P$29&lt;&gt;"",CV$3='Bonding Program'!$P$29,CV$3&lt;='Bonding Program'!$C$8),N('Bonding Program'!$O$29),0)</f>
        <v>0</v>
      </c>
      <c r="CW170" s="19" t="n">
        <f aca="false">IF(AND('Bonding Program'!$S$29=1,'Bonding Program'!$H$29&gt;'Bonding Program'!$C$8,CW$3='Bonding Program'!$H$29),'Bonding Program'!$T$29-'Bonding Program'!$U$29-'Bonding Program'!$Z$29,0)-IF(AND('Bonding Program'!$S$29=1,'Bonding Program'!$H$29&lt;='Bonding Program'!$C$8,CW$3=IF('Bonding Program'!$P$29&lt;&gt;"",'Bonding Program'!$P$29,'Bonding Program'!$C$8)),'Bonding Program'!$Z$29,0)+IF(AND('Bonding Program'!$P$29&lt;&gt;"",CW$3='Bonding Program'!$P$29,CW$3&lt;='Bonding Program'!$C$8),N('Bonding Program'!$O$29),0)</f>
        <v>0</v>
      </c>
      <c r="CX170" s="19" t="n">
        <f aca="false">IF(AND('Bonding Program'!$S$29=1,'Bonding Program'!$H$29&gt;'Bonding Program'!$C$8,CX$3='Bonding Program'!$H$29),'Bonding Program'!$T$29-'Bonding Program'!$U$29-'Bonding Program'!$Z$29,0)-IF(AND('Bonding Program'!$S$29=1,'Bonding Program'!$H$29&lt;='Bonding Program'!$C$8,CX$3=IF('Bonding Program'!$P$29&lt;&gt;"",'Bonding Program'!$P$29,'Bonding Program'!$C$8)),'Bonding Program'!$Z$29,0)+IF(AND('Bonding Program'!$P$29&lt;&gt;"",CX$3='Bonding Program'!$P$29,CX$3&lt;='Bonding Program'!$C$8),N('Bonding Program'!$O$29),0)</f>
        <v>0</v>
      </c>
      <c r="CY170" s="19" t="n">
        <f aca="false">IF(AND('Bonding Program'!$S$29=1,'Bonding Program'!$H$29&gt;'Bonding Program'!$C$8,CY$3='Bonding Program'!$H$29),'Bonding Program'!$T$29-'Bonding Program'!$U$29-'Bonding Program'!$Z$29,0)-IF(AND('Bonding Program'!$S$29=1,'Bonding Program'!$H$29&lt;='Bonding Program'!$C$8,CY$3=IF('Bonding Program'!$P$29&lt;&gt;"",'Bonding Program'!$P$29,'Bonding Program'!$C$8)),'Bonding Program'!$Z$29,0)+IF(AND('Bonding Program'!$P$29&lt;&gt;"",CY$3='Bonding Program'!$P$29,CY$3&lt;='Bonding Program'!$C$8),N('Bonding Program'!$O$29),0)</f>
        <v>0</v>
      </c>
      <c r="CZ170" s="19" t="n">
        <f aca="false">IF(AND('Bonding Program'!$S$29=1,'Bonding Program'!$H$29&gt;'Bonding Program'!$C$8,CZ$3='Bonding Program'!$H$29),'Bonding Program'!$T$29-'Bonding Program'!$U$29-'Bonding Program'!$Z$29,0)-IF(AND('Bonding Program'!$S$29=1,'Bonding Program'!$H$29&lt;='Bonding Program'!$C$8,CZ$3=IF('Bonding Program'!$P$29&lt;&gt;"",'Bonding Program'!$P$29,'Bonding Program'!$C$8)),'Bonding Program'!$Z$29,0)+IF(AND('Bonding Program'!$P$29&lt;&gt;"",CZ$3='Bonding Program'!$P$29,CZ$3&lt;='Bonding Program'!$C$8),N('Bonding Program'!$O$29),0)</f>
        <v>0</v>
      </c>
      <c r="DA170" s="19" t="n">
        <f aca="false">IF(AND('Bonding Program'!$S$29=1,'Bonding Program'!$H$29&gt;'Bonding Program'!$C$8,DA$3='Bonding Program'!$H$29),'Bonding Program'!$T$29-'Bonding Program'!$U$29-'Bonding Program'!$Z$29,0)-IF(AND('Bonding Program'!$S$29=1,'Bonding Program'!$H$29&lt;='Bonding Program'!$C$8,DA$3=IF('Bonding Program'!$P$29&lt;&gt;"",'Bonding Program'!$P$29,'Bonding Program'!$C$8)),'Bonding Program'!$Z$29,0)+IF(AND('Bonding Program'!$P$29&lt;&gt;"",DA$3='Bonding Program'!$P$29,DA$3&lt;='Bonding Program'!$C$8),N('Bonding Program'!$O$29),0)</f>
        <v>0</v>
      </c>
      <c r="DB170" s="19" t="n">
        <f aca="false">IF(AND('Bonding Program'!$S$29=1,'Bonding Program'!$H$29&gt;'Bonding Program'!$C$8,DB$3='Bonding Program'!$H$29),'Bonding Program'!$T$29-'Bonding Program'!$U$29-'Bonding Program'!$Z$29,0)-IF(AND('Bonding Program'!$S$29=1,'Bonding Program'!$H$29&lt;='Bonding Program'!$C$8,DB$3=IF('Bonding Program'!$P$29&lt;&gt;"",'Bonding Program'!$P$29,'Bonding Program'!$C$8)),'Bonding Program'!$Z$29,0)+IF(AND('Bonding Program'!$P$29&lt;&gt;"",DB$3='Bonding Program'!$P$29,DB$3&lt;='Bonding Program'!$C$8),N('Bonding Program'!$O$29),0)</f>
        <v>0</v>
      </c>
      <c r="DC170" s="19" t="n">
        <f aca="false">IF(AND('Bonding Program'!$S$29=1,'Bonding Program'!$H$29&gt;'Bonding Program'!$C$8,DC$3='Bonding Program'!$H$29),'Bonding Program'!$T$29-'Bonding Program'!$U$29-'Bonding Program'!$Z$29,0)-IF(AND('Bonding Program'!$S$29=1,'Bonding Program'!$H$29&lt;='Bonding Program'!$C$8,DC$3=IF('Bonding Program'!$P$29&lt;&gt;"",'Bonding Program'!$P$29,'Bonding Program'!$C$8)),'Bonding Program'!$Z$29,0)+IF(AND('Bonding Program'!$P$29&lt;&gt;"",DC$3='Bonding Program'!$P$29,DC$3&lt;='Bonding Program'!$C$8),N('Bonding Program'!$O$29),0)</f>
        <v>0</v>
      </c>
      <c r="DD170" s="19" t="n">
        <f aca="false">IF(AND('Bonding Program'!$S$29=1,'Bonding Program'!$H$29&gt;'Bonding Program'!$C$8,DD$3='Bonding Program'!$H$29),'Bonding Program'!$T$29-'Bonding Program'!$U$29-'Bonding Program'!$Z$29,0)-IF(AND('Bonding Program'!$S$29=1,'Bonding Program'!$H$29&lt;='Bonding Program'!$C$8,DD$3=IF('Bonding Program'!$P$29&lt;&gt;"",'Bonding Program'!$P$29,'Bonding Program'!$C$8)),'Bonding Program'!$Z$29,0)+IF(AND('Bonding Program'!$P$29&lt;&gt;"",DD$3='Bonding Program'!$P$29,DD$3&lt;='Bonding Program'!$C$8),N('Bonding Program'!$O$29),0)</f>
        <v>0</v>
      </c>
      <c r="DE170" s="19" t="n">
        <f aca="false">IF(AND('Bonding Program'!$S$29=1,'Bonding Program'!$H$29&gt;'Bonding Program'!$C$8,DE$3='Bonding Program'!$H$29),'Bonding Program'!$T$29-'Bonding Program'!$U$29-'Bonding Program'!$Z$29,0)-IF(AND('Bonding Program'!$S$29=1,'Bonding Program'!$H$29&lt;='Bonding Program'!$C$8,DE$3=IF('Bonding Program'!$P$29&lt;&gt;"",'Bonding Program'!$P$29,'Bonding Program'!$C$8)),'Bonding Program'!$Z$29,0)+IF(AND('Bonding Program'!$P$29&lt;&gt;"",DE$3='Bonding Program'!$P$29,DE$3&lt;='Bonding Program'!$C$8),N('Bonding Program'!$O$29),0)</f>
        <v>0</v>
      </c>
    </row>
    <row r="171" customFormat="false" ht="15" hidden="false" customHeight="true" outlineLevel="1" collapsed="false">
      <c r="A171" s="28" t="s">
        <v>26</v>
      </c>
      <c r="B171" s="19" t="n">
        <f aca="false">IF(AND('Bonding Program'!$S$30=1,'Bonding Program'!$H$30&gt;'Bonding Program'!$C$8,B$3='Bonding Program'!$H$30),'Bonding Program'!$T$30-'Bonding Program'!$U$30-'Bonding Program'!$Z$30,0)-IF(AND('Bonding Program'!$S$30=1,'Bonding Program'!$H$30&lt;='Bonding Program'!$C$8,B$3=IF('Bonding Program'!$P$30&lt;&gt;"",'Bonding Program'!$P$30,'Bonding Program'!$C$8)),'Bonding Program'!$Z$30,0)+IF(AND('Bonding Program'!$P$30&lt;&gt;"",B$3='Bonding Program'!$P$30,B$3&lt;='Bonding Program'!$C$8),N('Bonding Program'!$O$30),0)</f>
        <v>0</v>
      </c>
      <c r="C171" s="19" t="n">
        <f aca="false">IF(AND('Bonding Program'!$S$30=1,'Bonding Program'!$H$30&gt;'Bonding Program'!$C$8,C$3='Bonding Program'!$H$30),'Bonding Program'!$T$30-'Bonding Program'!$U$30-'Bonding Program'!$Z$30,0)-IF(AND('Bonding Program'!$S$30=1,'Bonding Program'!$H$30&lt;='Bonding Program'!$C$8,C$3=IF('Bonding Program'!$P$30&lt;&gt;"",'Bonding Program'!$P$30,'Bonding Program'!$C$8)),'Bonding Program'!$Z$30,0)+IF(AND('Bonding Program'!$P$30&lt;&gt;"",C$3='Bonding Program'!$P$30,C$3&lt;='Bonding Program'!$C$8),N('Bonding Program'!$O$30),0)</f>
        <v>0</v>
      </c>
      <c r="D171" s="19" t="n">
        <f aca="false">IF(AND('Bonding Program'!$S$30=1,'Bonding Program'!$H$30&gt;'Bonding Program'!$C$8,D$3='Bonding Program'!$H$30),'Bonding Program'!$T$30-'Bonding Program'!$U$30-'Bonding Program'!$Z$30,0)-IF(AND('Bonding Program'!$S$30=1,'Bonding Program'!$H$30&lt;='Bonding Program'!$C$8,D$3=IF('Bonding Program'!$P$30&lt;&gt;"",'Bonding Program'!$P$30,'Bonding Program'!$C$8)),'Bonding Program'!$Z$30,0)+IF(AND('Bonding Program'!$P$30&lt;&gt;"",D$3='Bonding Program'!$P$30,D$3&lt;='Bonding Program'!$C$8),N('Bonding Program'!$O$30),0)</f>
        <v>0</v>
      </c>
      <c r="E171" s="19" t="n">
        <f aca="false">IF(AND('Bonding Program'!$S$30=1,'Bonding Program'!$H$30&gt;'Bonding Program'!$C$8,E$3='Bonding Program'!$H$30),'Bonding Program'!$T$30-'Bonding Program'!$U$30-'Bonding Program'!$Z$30,0)-IF(AND('Bonding Program'!$S$30=1,'Bonding Program'!$H$30&lt;='Bonding Program'!$C$8,E$3=IF('Bonding Program'!$P$30&lt;&gt;"",'Bonding Program'!$P$30,'Bonding Program'!$C$8)),'Bonding Program'!$Z$30,0)+IF(AND('Bonding Program'!$P$30&lt;&gt;"",E$3='Bonding Program'!$P$30,E$3&lt;='Bonding Program'!$C$8),N('Bonding Program'!$O$30),0)</f>
        <v>0</v>
      </c>
      <c r="F171" s="19" t="n">
        <f aca="false">IF(AND('Bonding Program'!$S$30=1,'Bonding Program'!$H$30&gt;'Bonding Program'!$C$8,F$3='Bonding Program'!$H$30),'Bonding Program'!$T$30-'Bonding Program'!$U$30-'Bonding Program'!$Z$30,0)-IF(AND('Bonding Program'!$S$30=1,'Bonding Program'!$H$30&lt;='Bonding Program'!$C$8,F$3=IF('Bonding Program'!$P$30&lt;&gt;"",'Bonding Program'!$P$30,'Bonding Program'!$C$8)),'Bonding Program'!$Z$30,0)+IF(AND('Bonding Program'!$P$30&lt;&gt;"",F$3='Bonding Program'!$P$30,F$3&lt;='Bonding Program'!$C$8),N('Bonding Program'!$O$30),0)</f>
        <v>0</v>
      </c>
      <c r="G171" s="19" t="n">
        <f aca="false">IF(AND('Bonding Program'!$S$30=1,'Bonding Program'!$H$30&gt;'Bonding Program'!$C$8,G$3='Bonding Program'!$H$30),'Bonding Program'!$T$30-'Bonding Program'!$U$30-'Bonding Program'!$Z$30,0)-IF(AND('Bonding Program'!$S$30=1,'Bonding Program'!$H$30&lt;='Bonding Program'!$C$8,G$3=IF('Bonding Program'!$P$30&lt;&gt;"",'Bonding Program'!$P$30,'Bonding Program'!$C$8)),'Bonding Program'!$Z$30,0)+IF(AND('Bonding Program'!$P$30&lt;&gt;"",G$3='Bonding Program'!$P$30,G$3&lt;='Bonding Program'!$C$8),N('Bonding Program'!$O$30),0)</f>
        <v>0</v>
      </c>
      <c r="H171" s="19" t="n">
        <f aca="false">IF(AND('Bonding Program'!$S$30=1,'Bonding Program'!$H$30&gt;'Bonding Program'!$C$8,H$3='Bonding Program'!$H$30),'Bonding Program'!$T$30-'Bonding Program'!$U$30-'Bonding Program'!$Z$30,0)-IF(AND('Bonding Program'!$S$30=1,'Bonding Program'!$H$30&lt;='Bonding Program'!$C$8,H$3=IF('Bonding Program'!$P$30&lt;&gt;"",'Bonding Program'!$P$30,'Bonding Program'!$C$8)),'Bonding Program'!$Z$30,0)+IF(AND('Bonding Program'!$P$30&lt;&gt;"",H$3='Bonding Program'!$P$30,H$3&lt;='Bonding Program'!$C$8),N('Bonding Program'!$O$30),0)</f>
        <v>0</v>
      </c>
      <c r="I171" s="19" t="n">
        <f aca="false">IF(AND('Bonding Program'!$S$30=1,'Bonding Program'!$H$30&gt;'Bonding Program'!$C$8,I$3='Bonding Program'!$H$30),'Bonding Program'!$T$30-'Bonding Program'!$U$30-'Bonding Program'!$Z$30,0)-IF(AND('Bonding Program'!$S$30=1,'Bonding Program'!$H$30&lt;='Bonding Program'!$C$8,I$3=IF('Bonding Program'!$P$30&lt;&gt;"",'Bonding Program'!$P$30,'Bonding Program'!$C$8)),'Bonding Program'!$Z$30,0)+IF(AND('Bonding Program'!$P$30&lt;&gt;"",I$3='Bonding Program'!$P$30,I$3&lt;='Bonding Program'!$C$8),N('Bonding Program'!$O$30),0)</f>
        <v>0</v>
      </c>
      <c r="J171" s="19" t="n">
        <f aca="false">IF(AND('Bonding Program'!$S$30=1,'Bonding Program'!$H$30&gt;'Bonding Program'!$C$8,J$3='Bonding Program'!$H$30),'Bonding Program'!$T$30-'Bonding Program'!$U$30-'Bonding Program'!$Z$30,0)-IF(AND('Bonding Program'!$S$30=1,'Bonding Program'!$H$30&lt;='Bonding Program'!$C$8,J$3=IF('Bonding Program'!$P$30&lt;&gt;"",'Bonding Program'!$P$30,'Bonding Program'!$C$8)),'Bonding Program'!$Z$30,0)+IF(AND('Bonding Program'!$P$30&lt;&gt;"",J$3='Bonding Program'!$P$30,J$3&lt;='Bonding Program'!$C$8),N('Bonding Program'!$O$30),0)</f>
        <v>0</v>
      </c>
      <c r="K171" s="19" t="n">
        <f aca="false">IF(AND('Bonding Program'!$S$30=1,'Bonding Program'!$H$30&gt;'Bonding Program'!$C$8,K$3='Bonding Program'!$H$30),'Bonding Program'!$T$30-'Bonding Program'!$U$30-'Bonding Program'!$Z$30,0)-IF(AND('Bonding Program'!$S$30=1,'Bonding Program'!$H$30&lt;='Bonding Program'!$C$8,K$3=IF('Bonding Program'!$P$30&lt;&gt;"",'Bonding Program'!$P$30,'Bonding Program'!$C$8)),'Bonding Program'!$Z$30,0)+IF(AND('Bonding Program'!$P$30&lt;&gt;"",K$3='Bonding Program'!$P$30,K$3&lt;='Bonding Program'!$C$8),N('Bonding Program'!$O$30),0)</f>
        <v>0</v>
      </c>
      <c r="L171" s="19" t="n">
        <f aca="false">IF(AND('Bonding Program'!$S$30=1,'Bonding Program'!$H$30&gt;'Bonding Program'!$C$8,L$3='Bonding Program'!$H$30),'Bonding Program'!$T$30-'Bonding Program'!$U$30-'Bonding Program'!$Z$30,0)-IF(AND('Bonding Program'!$S$30=1,'Bonding Program'!$H$30&lt;='Bonding Program'!$C$8,L$3=IF('Bonding Program'!$P$30&lt;&gt;"",'Bonding Program'!$P$30,'Bonding Program'!$C$8)),'Bonding Program'!$Z$30,0)+IF(AND('Bonding Program'!$P$30&lt;&gt;"",L$3='Bonding Program'!$P$30,L$3&lt;='Bonding Program'!$C$8),N('Bonding Program'!$O$30),0)</f>
        <v>0</v>
      </c>
      <c r="M171" s="19" t="n">
        <f aca="false">IF(AND('Bonding Program'!$S$30=1,'Bonding Program'!$H$30&gt;'Bonding Program'!$C$8,M$3='Bonding Program'!$H$30),'Bonding Program'!$T$30-'Bonding Program'!$U$30-'Bonding Program'!$Z$30,0)-IF(AND('Bonding Program'!$S$30=1,'Bonding Program'!$H$30&lt;='Bonding Program'!$C$8,M$3=IF('Bonding Program'!$P$30&lt;&gt;"",'Bonding Program'!$P$30,'Bonding Program'!$C$8)),'Bonding Program'!$Z$30,0)+IF(AND('Bonding Program'!$P$30&lt;&gt;"",M$3='Bonding Program'!$P$30,M$3&lt;='Bonding Program'!$C$8),N('Bonding Program'!$O$30),0)</f>
        <v>0</v>
      </c>
      <c r="N171" s="19" t="n">
        <f aca="false">IF(AND('Bonding Program'!$S$30=1,'Bonding Program'!$H$30&gt;'Bonding Program'!$C$8,N$3='Bonding Program'!$H$30),'Bonding Program'!$T$30-'Bonding Program'!$U$30-'Bonding Program'!$Z$30,0)-IF(AND('Bonding Program'!$S$30=1,'Bonding Program'!$H$30&lt;='Bonding Program'!$C$8,N$3=IF('Bonding Program'!$P$30&lt;&gt;"",'Bonding Program'!$P$30,'Bonding Program'!$C$8)),'Bonding Program'!$Z$30,0)+IF(AND('Bonding Program'!$P$30&lt;&gt;"",N$3='Bonding Program'!$P$30,N$3&lt;='Bonding Program'!$C$8),N('Bonding Program'!$O$30),0)</f>
        <v>0</v>
      </c>
      <c r="O171" s="19" t="n">
        <f aca="false">IF(AND('Bonding Program'!$S$30=1,'Bonding Program'!$H$30&gt;'Bonding Program'!$C$8,O$3='Bonding Program'!$H$30),'Bonding Program'!$T$30-'Bonding Program'!$U$30-'Bonding Program'!$Z$30,0)-IF(AND('Bonding Program'!$S$30=1,'Bonding Program'!$H$30&lt;='Bonding Program'!$C$8,O$3=IF('Bonding Program'!$P$30&lt;&gt;"",'Bonding Program'!$P$30,'Bonding Program'!$C$8)),'Bonding Program'!$Z$30,0)+IF(AND('Bonding Program'!$P$30&lt;&gt;"",O$3='Bonding Program'!$P$30,O$3&lt;='Bonding Program'!$C$8),N('Bonding Program'!$O$30),0)</f>
        <v>0</v>
      </c>
      <c r="P171" s="19" t="n">
        <f aca="false">IF(AND('Bonding Program'!$S$30=1,'Bonding Program'!$H$30&gt;'Bonding Program'!$C$8,P$3='Bonding Program'!$H$30),'Bonding Program'!$T$30-'Bonding Program'!$U$30-'Bonding Program'!$Z$30,0)-IF(AND('Bonding Program'!$S$30=1,'Bonding Program'!$H$30&lt;='Bonding Program'!$C$8,P$3=IF('Bonding Program'!$P$30&lt;&gt;"",'Bonding Program'!$P$30,'Bonding Program'!$C$8)),'Bonding Program'!$Z$30,0)+IF(AND('Bonding Program'!$P$30&lt;&gt;"",P$3='Bonding Program'!$P$30,P$3&lt;='Bonding Program'!$C$8),N('Bonding Program'!$O$30),0)</f>
        <v>0</v>
      </c>
      <c r="Q171" s="19" t="n">
        <f aca="false">IF(AND('Bonding Program'!$S$30=1,'Bonding Program'!$H$30&gt;'Bonding Program'!$C$8,Q$3='Bonding Program'!$H$30),'Bonding Program'!$T$30-'Bonding Program'!$U$30-'Bonding Program'!$Z$30,0)-IF(AND('Bonding Program'!$S$30=1,'Bonding Program'!$H$30&lt;='Bonding Program'!$C$8,Q$3=IF('Bonding Program'!$P$30&lt;&gt;"",'Bonding Program'!$P$30,'Bonding Program'!$C$8)),'Bonding Program'!$Z$30,0)+IF(AND('Bonding Program'!$P$30&lt;&gt;"",Q$3='Bonding Program'!$P$30,Q$3&lt;='Bonding Program'!$C$8),N('Bonding Program'!$O$30),0)</f>
        <v>0</v>
      </c>
      <c r="R171" s="19" t="n">
        <f aca="false">IF(AND('Bonding Program'!$S$30=1,'Bonding Program'!$H$30&gt;'Bonding Program'!$C$8,R$3='Bonding Program'!$H$30),'Bonding Program'!$T$30-'Bonding Program'!$U$30-'Bonding Program'!$Z$30,0)-IF(AND('Bonding Program'!$S$30=1,'Bonding Program'!$H$30&lt;='Bonding Program'!$C$8,R$3=IF('Bonding Program'!$P$30&lt;&gt;"",'Bonding Program'!$P$30,'Bonding Program'!$C$8)),'Bonding Program'!$Z$30,0)+IF(AND('Bonding Program'!$P$30&lt;&gt;"",R$3='Bonding Program'!$P$30,R$3&lt;='Bonding Program'!$C$8),N('Bonding Program'!$O$30),0)</f>
        <v>0</v>
      </c>
      <c r="S171" s="19" t="n">
        <f aca="false">IF(AND('Bonding Program'!$S$30=1,'Bonding Program'!$H$30&gt;'Bonding Program'!$C$8,S$3='Bonding Program'!$H$30),'Bonding Program'!$T$30-'Bonding Program'!$U$30-'Bonding Program'!$Z$30,0)-IF(AND('Bonding Program'!$S$30=1,'Bonding Program'!$H$30&lt;='Bonding Program'!$C$8,S$3=IF('Bonding Program'!$P$30&lt;&gt;"",'Bonding Program'!$P$30,'Bonding Program'!$C$8)),'Bonding Program'!$Z$30,0)+IF(AND('Bonding Program'!$P$30&lt;&gt;"",S$3='Bonding Program'!$P$30,S$3&lt;='Bonding Program'!$C$8),N('Bonding Program'!$O$30),0)</f>
        <v>0</v>
      </c>
      <c r="T171" s="19" t="n">
        <f aca="false">IF(AND('Bonding Program'!$S$30=1,'Bonding Program'!$H$30&gt;'Bonding Program'!$C$8,T$3='Bonding Program'!$H$30),'Bonding Program'!$T$30-'Bonding Program'!$U$30-'Bonding Program'!$Z$30,0)-IF(AND('Bonding Program'!$S$30=1,'Bonding Program'!$H$30&lt;='Bonding Program'!$C$8,T$3=IF('Bonding Program'!$P$30&lt;&gt;"",'Bonding Program'!$P$30,'Bonding Program'!$C$8)),'Bonding Program'!$Z$30,0)+IF(AND('Bonding Program'!$P$30&lt;&gt;"",T$3='Bonding Program'!$P$30,T$3&lt;='Bonding Program'!$C$8),N('Bonding Program'!$O$30),0)</f>
        <v>0</v>
      </c>
      <c r="U171" s="19" t="n">
        <f aca="false">IF(AND('Bonding Program'!$S$30=1,'Bonding Program'!$H$30&gt;'Bonding Program'!$C$8,U$3='Bonding Program'!$H$30),'Bonding Program'!$T$30-'Bonding Program'!$U$30-'Bonding Program'!$Z$30,0)-IF(AND('Bonding Program'!$S$30=1,'Bonding Program'!$H$30&lt;='Bonding Program'!$C$8,U$3=IF('Bonding Program'!$P$30&lt;&gt;"",'Bonding Program'!$P$30,'Bonding Program'!$C$8)),'Bonding Program'!$Z$30,0)+IF(AND('Bonding Program'!$P$30&lt;&gt;"",U$3='Bonding Program'!$P$30,U$3&lt;='Bonding Program'!$C$8),N('Bonding Program'!$O$30),0)</f>
        <v>0</v>
      </c>
      <c r="V171" s="19" t="n">
        <f aca="false">IF(AND('Bonding Program'!$S$30=1,'Bonding Program'!$H$30&gt;'Bonding Program'!$C$8,V$3='Bonding Program'!$H$30),'Bonding Program'!$T$30-'Bonding Program'!$U$30-'Bonding Program'!$Z$30,0)-IF(AND('Bonding Program'!$S$30=1,'Bonding Program'!$H$30&lt;='Bonding Program'!$C$8,V$3=IF('Bonding Program'!$P$30&lt;&gt;"",'Bonding Program'!$P$30,'Bonding Program'!$C$8)),'Bonding Program'!$Z$30,0)+IF(AND('Bonding Program'!$P$30&lt;&gt;"",V$3='Bonding Program'!$P$30,V$3&lt;='Bonding Program'!$C$8),N('Bonding Program'!$O$30),0)</f>
        <v>0</v>
      </c>
      <c r="W171" s="19" t="n">
        <f aca="false">IF(AND('Bonding Program'!$S$30=1,'Bonding Program'!$H$30&gt;'Bonding Program'!$C$8,W$3='Bonding Program'!$H$30),'Bonding Program'!$T$30-'Bonding Program'!$U$30-'Bonding Program'!$Z$30,0)-IF(AND('Bonding Program'!$S$30=1,'Bonding Program'!$H$30&lt;='Bonding Program'!$C$8,W$3=IF('Bonding Program'!$P$30&lt;&gt;"",'Bonding Program'!$P$30,'Bonding Program'!$C$8)),'Bonding Program'!$Z$30,0)+IF(AND('Bonding Program'!$P$30&lt;&gt;"",W$3='Bonding Program'!$P$30,W$3&lt;='Bonding Program'!$C$8),N('Bonding Program'!$O$30),0)</f>
        <v>0</v>
      </c>
      <c r="X171" s="19" t="n">
        <f aca="false">IF(AND('Bonding Program'!$S$30=1,'Bonding Program'!$H$30&gt;'Bonding Program'!$C$8,X$3='Bonding Program'!$H$30),'Bonding Program'!$T$30-'Bonding Program'!$U$30-'Bonding Program'!$Z$30,0)-IF(AND('Bonding Program'!$S$30=1,'Bonding Program'!$H$30&lt;='Bonding Program'!$C$8,X$3=IF('Bonding Program'!$P$30&lt;&gt;"",'Bonding Program'!$P$30,'Bonding Program'!$C$8)),'Bonding Program'!$Z$30,0)+IF(AND('Bonding Program'!$P$30&lt;&gt;"",X$3='Bonding Program'!$P$30,X$3&lt;='Bonding Program'!$C$8),N('Bonding Program'!$O$30),0)</f>
        <v>0</v>
      </c>
      <c r="Y171" s="19" t="n">
        <f aca="false">IF(AND('Bonding Program'!$S$30=1,'Bonding Program'!$H$30&gt;'Bonding Program'!$C$8,Y$3='Bonding Program'!$H$30),'Bonding Program'!$T$30-'Bonding Program'!$U$30-'Bonding Program'!$Z$30,0)-IF(AND('Bonding Program'!$S$30=1,'Bonding Program'!$H$30&lt;='Bonding Program'!$C$8,Y$3=IF('Bonding Program'!$P$30&lt;&gt;"",'Bonding Program'!$P$30,'Bonding Program'!$C$8)),'Bonding Program'!$Z$30,0)+IF(AND('Bonding Program'!$P$30&lt;&gt;"",Y$3='Bonding Program'!$P$30,Y$3&lt;='Bonding Program'!$C$8),N('Bonding Program'!$O$30),0)</f>
        <v>0</v>
      </c>
      <c r="Z171" s="19" t="n">
        <f aca="false">IF(AND('Bonding Program'!$S$30=1,'Bonding Program'!$H$30&gt;'Bonding Program'!$C$8,Z$3='Bonding Program'!$H$30),'Bonding Program'!$T$30-'Bonding Program'!$U$30-'Bonding Program'!$Z$30,0)-IF(AND('Bonding Program'!$S$30=1,'Bonding Program'!$H$30&lt;='Bonding Program'!$C$8,Z$3=IF('Bonding Program'!$P$30&lt;&gt;"",'Bonding Program'!$P$30,'Bonding Program'!$C$8)),'Bonding Program'!$Z$30,0)+IF(AND('Bonding Program'!$P$30&lt;&gt;"",Z$3='Bonding Program'!$P$30,Z$3&lt;='Bonding Program'!$C$8),N('Bonding Program'!$O$30),0)</f>
        <v>0</v>
      </c>
      <c r="AA171" s="19" t="n">
        <f aca="false">IF(AND('Bonding Program'!$S$30=1,'Bonding Program'!$H$30&gt;'Bonding Program'!$C$8,AA$3='Bonding Program'!$H$30),'Bonding Program'!$T$30-'Bonding Program'!$U$30-'Bonding Program'!$Z$30,0)-IF(AND('Bonding Program'!$S$30=1,'Bonding Program'!$H$30&lt;='Bonding Program'!$C$8,AA$3=IF('Bonding Program'!$P$30&lt;&gt;"",'Bonding Program'!$P$30,'Bonding Program'!$C$8)),'Bonding Program'!$Z$30,0)+IF(AND('Bonding Program'!$P$30&lt;&gt;"",AA$3='Bonding Program'!$P$30,AA$3&lt;='Bonding Program'!$C$8),N('Bonding Program'!$O$30),0)</f>
        <v>0</v>
      </c>
      <c r="AB171" s="19" t="n">
        <f aca="false">IF(AND('Bonding Program'!$S$30=1,'Bonding Program'!$H$30&gt;'Bonding Program'!$C$8,AB$3='Bonding Program'!$H$30),'Bonding Program'!$T$30-'Bonding Program'!$U$30-'Bonding Program'!$Z$30,0)-IF(AND('Bonding Program'!$S$30=1,'Bonding Program'!$H$30&lt;='Bonding Program'!$C$8,AB$3=IF('Bonding Program'!$P$30&lt;&gt;"",'Bonding Program'!$P$30,'Bonding Program'!$C$8)),'Bonding Program'!$Z$30,0)+IF(AND('Bonding Program'!$P$30&lt;&gt;"",AB$3='Bonding Program'!$P$30,AB$3&lt;='Bonding Program'!$C$8),N('Bonding Program'!$O$30),0)</f>
        <v>0</v>
      </c>
      <c r="AC171" s="19" t="n">
        <f aca="false">IF(AND('Bonding Program'!$S$30=1,'Bonding Program'!$H$30&gt;'Bonding Program'!$C$8,AC$3='Bonding Program'!$H$30),'Bonding Program'!$T$30-'Bonding Program'!$U$30-'Bonding Program'!$Z$30,0)-IF(AND('Bonding Program'!$S$30=1,'Bonding Program'!$H$30&lt;='Bonding Program'!$C$8,AC$3=IF('Bonding Program'!$P$30&lt;&gt;"",'Bonding Program'!$P$30,'Bonding Program'!$C$8)),'Bonding Program'!$Z$30,0)+IF(AND('Bonding Program'!$P$30&lt;&gt;"",AC$3='Bonding Program'!$P$30,AC$3&lt;='Bonding Program'!$C$8),N('Bonding Program'!$O$30),0)</f>
        <v>0</v>
      </c>
      <c r="AD171" s="19" t="n">
        <f aca="false">IF(AND('Bonding Program'!$S$30=1,'Bonding Program'!$H$30&gt;'Bonding Program'!$C$8,AD$3='Bonding Program'!$H$30),'Bonding Program'!$T$30-'Bonding Program'!$U$30-'Bonding Program'!$Z$30,0)-IF(AND('Bonding Program'!$S$30=1,'Bonding Program'!$H$30&lt;='Bonding Program'!$C$8,AD$3=IF('Bonding Program'!$P$30&lt;&gt;"",'Bonding Program'!$P$30,'Bonding Program'!$C$8)),'Bonding Program'!$Z$30,0)+IF(AND('Bonding Program'!$P$30&lt;&gt;"",AD$3='Bonding Program'!$P$30,AD$3&lt;='Bonding Program'!$C$8),N('Bonding Program'!$O$30),0)</f>
        <v>0</v>
      </c>
      <c r="AE171" s="19" t="n">
        <f aca="false">IF(AND('Bonding Program'!$S$30=1,'Bonding Program'!$H$30&gt;'Bonding Program'!$C$8,AE$3='Bonding Program'!$H$30),'Bonding Program'!$T$30-'Bonding Program'!$U$30-'Bonding Program'!$Z$30,0)-IF(AND('Bonding Program'!$S$30=1,'Bonding Program'!$H$30&lt;='Bonding Program'!$C$8,AE$3=IF('Bonding Program'!$P$30&lt;&gt;"",'Bonding Program'!$P$30,'Bonding Program'!$C$8)),'Bonding Program'!$Z$30,0)+IF(AND('Bonding Program'!$P$30&lt;&gt;"",AE$3='Bonding Program'!$P$30,AE$3&lt;='Bonding Program'!$C$8),N('Bonding Program'!$O$30),0)</f>
        <v>0</v>
      </c>
      <c r="AF171" s="19" t="n">
        <f aca="false">IF(AND('Bonding Program'!$S$30=1,'Bonding Program'!$H$30&gt;'Bonding Program'!$C$8,AF$3='Bonding Program'!$H$30),'Bonding Program'!$T$30-'Bonding Program'!$U$30-'Bonding Program'!$Z$30,0)-IF(AND('Bonding Program'!$S$30=1,'Bonding Program'!$H$30&lt;='Bonding Program'!$C$8,AF$3=IF('Bonding Program'!$P$30&lt;&gt;"",'Bonding Program'!$P$30,'Bonding Program'!$C$8)),'Bonding Program'!$Z$30,0)+IF(AND('Bonding Program'!$P$30&lt;&gt;"",AF$3='Bonding Program'!$P$30,AF$3&lt;='Bonding Program'!$C$8),N('Bonding Program'!$O$30),0)</f>
        <v>0</v>
      </c>
      <c r="AG171" s="19" t="n">
        <f aca="false">IF(AND('Bonding Program'!$S$30=1,'Bonding Program'!$H$30&gt;'Bonding Program'!$C$8,AG$3='Bonding Program'!$H$30),'Bonding Program'!$T$30-'Bonding Program'!$U$30-'Bonding Program'!$Z$30,0)-IF(AND('Bonding Program'!$S$30=1,'Bonding Program'!$H$30&lt;='Bonding Program'!$C$8,AG$3=IF('Bonding Program'!$P$30&lt;&gt;"",'Bonding Program'!$P$30,'Bonding Program'!$C$8)),'Bonding Program'!$Z$30,0)+IF(AND('Bonding Program'!$P$30&lt;&gt;"",AG$3='Bonding Program'!$P$30,AG$3&lt;='Bonding Program'!$C$8),N('Bonding Program'!$O$30),0)</f>
        <v>0</v>
      </c>
      <c r="AH171" s="19" t="n">
        <f aca="false">IF(AND('Bonding Program'!$S$30=1,'Bonding Program'!$H$30&gt;'Bonding Program'!$C$8,AH$3='Bonding Program'!$H$30),'Bonding Program'!$T$30-'Bonding Program'!$U$30-'Bonding Program'!$Z$30,0)-IF(AND('Bonding Program'!$S$30=1,'Bonding Program'!$H$30&lt;='Bonding Program'!$C$8,AH$3=IF('Bonding Program'!$P$30&lt;&gt;"",'Bonding Program'!$P$30,'Bonding Program'!$C$8)),'Bonding Program'!$Z$30,0)+IF(AND('Bonding Program'!$P$30&lt;&gt;"",AH$3='Bonding Program'!$P$30,AH$3&lt;='Bonding Program'!$C$8),N('Bonding Program'!$O$30),0)</f>
        <v>0</v>
      </c>
      <c r="AI171" s="19" t="n">
        <f aca="false">IF(AND('Bonding Program'!$S$30=1,'Bonding Program'!$H$30&gt;'Bonding Program'!$C$8,AI$3='Bonding Program'!$H$30),'Bonding Program'!$T$30-'Bonding Program'!$U$30-'Bonding Program'!$Z$30,0)-IF(AND('Bonding Program'!$S$30=1,'Bonding Program'!$H$30&lt;='Bonding Program'!$C$8,AI$3=IF('Bonding Program'!$P$30&lt;&gt;"",'Bonding Program'!$P$30,'Bonding Program'!$C$8)),'Bonding Program'!$Z$30,0)+IF(AND('Bonding Program'!$P$30&lt;&gt;"",AI$3='Bonding Program'!$P$30,AI$3&lt;='Bonding Program'!$C$8),N('Bonding Program'!$O$30),0)</f>
        <v>0</v>
      </c>
      <c r="AJ171" s="19" t="n">
        <f aca="false">IF(AND('Bonding Program'!$S$30=1,'Bonding Program'!$H$30&gt;'Bonding Program'!$C$8,AJ$3='Bonding Program'!$H$30),'Bonding Program'!$T$30-'Bonding Program'!$U$30-'Bonding Program'!$Z$30,0)-IF(AND('Bonding Program'!$S$30=1,'Bonding Program'!$H$30&lt;='Bonding Program'!$C$8,AJ$3=IF('Bonding Program'!$P$30&lt;&gt;"",'Bonding Program'!$P$30,'Bonding Program'!$C$8)),'Bonding Program'!$Z$30,0)+IF(AND('Bonding Program'!$P$30&lt;&gt;"",AJ$3='Bonding Program'!$P$30,AJ$3&lt;='Bonding Program'!$C$8),N('Bonding Program'!$O$30),0)</f>
        <v>0</v>
      </c>
      <c r="AK171" s="19" t="n">
        <f aca="false">IF(AND('Bonding Program'!$S$30=1,'Bonding Program'!$H$30&gt;'Bonding Program'!$C$8,AK$3='Bonding Program'!$H$30),'Bonding Program'!$T$30-'Bonding Program'!$U$30-'Bonding Program'!$Z$30,0)-IF(AND('Bonding Program'!$S$30=1,'Bonding Program'!$H$30&lt;='Bonding Program'!$C$8,AK$3=IF('Bonding Program'!$P$30&lt;&gt;"",'Bonding Program'!$P$30,'Bonding Program'!$C$8)),'Bonding Program'!$Z$30,0)+IF(AND('Bonding Program'!$P$30&lt;&gt;"",AK$3='Bonding Program'!$P$30,AK$3&lt;='Bonding Program'!$C$8),N('Bonding Program'!$O$30),0)</f>
        <v>0</v>
      </c>
      <c r="AL171" s="19" t="n">
        <f aca="false">IF(AND('Bonding Program'!$S$30=1,'Bonding Program'!$H$30&gt;'Bonding Program'!$C$8,AL$3='Bonding Program'!$H$30),'Bonding Program'!$T$30-'Bonding Program'!$U$30-'Bonding Program'!$Z$30,0)-IF(AND('Bonding Program'!$S$30=1,'Bonding Program'!$H$30&lt;='Bonding Program'!$C$8,AL$3=IF('Bonding Program'!$P$30&lt;&gt;"",'Bonding Program'!$P$30,'Bonding Program'!$C$8)),'Bonding Program'!$Z$30,0)+IF(AND('Bonding Program'!$P$30&lt;&gt;"",AL$3='Bonding Program'!$P$30,AL$3&lt;='Bonding Program'!$C$8),N('Bonding Program'!$O$30),0)</f>
        <v>0</v>
      </c>
      <c r="AM171" s="19" t="n">
        <f aca="false">IF(AND('Bonding Program'!$S$30=1,'Bonding Program'!$H$30&gt;'Bonding Program'!$C$8,AM$3='Bonding Program'!$H$30),'Bonding Program'!$T$30-'Bonding Program'!$U$30-'Bonding Program'!$Z$30,0)-IF(AND('Bonding Program'!$S$30=1,'Bonding Program'!$H$30&lt;='Bonding Program'!$C$8,AM$3=IF('Bonding Program'!$P$30&lt;&gt;"",'Bonding Program'!$P$30,'Bonding Program'!$C$8)),'Bonding Program'!$Z$30,0)+IF(AND('Bonding Program'!$P$30&lt;&gt;"",AM$3='Bonding Program'!$P$30,AM$3&lt;='Bonding Program'!$C$8),N('Bonding Program'!$O$30),0)</f>
        <v>0</v>
      </c>
      <c r="AN171" s="19" t="n">
        <f aca="false">IF(AND('Bonding Program'!$S$30=1,'Bonding Program'!$H$30&gt;'Bonding Program'!$C$8,AN$3='Bonding Program'!$H$30),'Bonding Program'!$T$30-'Bonding Program'!$U$30-'Bonding Program'!$Z$30,0)-IF(AND('Bonding Program'!$S$30=1,'Bonding Program'!$H$30&lt;='Bonding Program'!$C$8,AN$3=IF('Bonding Program'!$P$30&lt;&gt;"",'Bonding Program'!$P$30,'Bonding Program'!$C$8)),'Bonding Program'!$Z$30,0)+IF(AND('Bonding Program'!$P$30&lt;&gt;"",AN$3='Bonding Program'!$P$30,AN$3&lt;='Bonding Program'!$C$8),N('Bonding Program'!$O$30),0)</f>
        <v>0</v>
      </c>
      <c r="AO171" s="19" t="n">
        <f aca="false">IF(AND('Bonding Program'!$S$30=1,'Bonding Program'!$H$30&gt;'Bonding Program'!$C$8,AO$3='Bonding Program'!$H$30),'Bonding Program'!$T$30-'Bonding Program'!$U$30-'Bonding Program'!$Z$30,0)-IF(AND('Bonding Program'!$S$30=1,'Bonding Program'!$H$30&lt;='Bonding Program'!$C$8,AO$3=IF('Bonding Program'!$P$30&lt;&gt;"",'Bonding Program'!$P$30,'Bonding Program'!$C$8)),'Bonding Program'!$Z$30,0)+IF(AND('Bonding Program'!$P$30&lt;&gt;"",AO$3='Bonding Program'!$P$30,AO$3&lt;='Bonding Program'!$C$8),N('Bonding Program'!$O$30),0)</f>
        <v>0</v>
      </c>
      <c r="AP171" s="19" t="n">
        <f aca="false">IF(AND('Bonding Program'!$S$30=1,'Bonding Program'!$H$30&gt;'Bonding Program'!$C$8,AP$3='Bonding Program'!$H$30),'Bonding Program'!$T$30-'Bonding Program'!$U$30-'Bonding Program'!$Z$30,0)-IF(AND('Bonding Program'!$S$30=1,'Bonding Program'!$H$30&lt;='Bonding Program'!$C$8,AP$3=IF('Bonding Program'!$P$30&lt;&gt;"",'Bonding Program'!$P$30,'Bonding Program'!$C$8)),'Bonding Program'!$Z$30,0)+IF(AND('Bonding Program'!$P$30&lt;&gt;"",AP$3='Bonding Program'!$P$30,AP$3&lt;='Bonding Program'!$C$8),N('Bonding Program'!$O$30),0)</f>
        <v>0</v>
      </c>
      <c r="AQ171" s="19" t="n">
        <f aca="false">IF(AND('Bonding Program'!$S$30=1,'Bonding Program'!$H$30&gt;'Bonding Program'!$C$8,AQ$3='Bonding Program'!$H$30),'Bonding Program'!$T$30-'Bonding Program'!$U$30-'Bonding Program'!$Z$30,0)-IF(AND('Bonding Program'!$S$30=1,'Bonding Program'!$H$30&lt;='Bonding Program'!$C$8,AQ$3=IF('Bonding Program'!$P$30&lt;&gt;"",'Bonding Program'!$P$30,'Bonding Program'!$C$8)),'Bonding Program'!$Z$30,0)+IF(AND('Bonding Program'!$P$30&lt;&gt;"",AQ$3='Bonding Program'!$P$30,AQ$3&lt;='Bonding Program'!$C$8),N('Bonding Program'!$O$30),0)</f>
        <v>0</v>
      </c>
      <c r="AR171" s="19" t="n">
        <f aca="false">IF(AND('Bonding Program'!$S$30=1,'Bonding Program'!$H$30&gt;'Bonding Program'!$C$8,AR$3='Bonding Program'!$H$30),'Bonding Program'!$T$30-'Bonding Program'!$U$30-'Bonding Program'!$Z$30,0)-IF(AND('Bonding Program'!$S$30=1,'Bonding Program'!$H$30&lt;='Bonding Program'!$C$8,AR$3=IF('Bonding Program'!$P$30&lt;&gt;"",'Bonding Program'!$P$30,'Bonding Program'!$C$8)),'Bonding Program'!$Z$30,0)+IF(AND('Bonding Program'!$P$30&lt;&gt;"",AR$3='Bonding Program'!$P$30,AR$3&lt;='Bonding Program'!$C$8),N('Bonding Program'!$O$30),0)</f>
        <v>0</v>
      </c>
      <c r="AS171" s="19" t="n">
        <f aca="false">IF(AND('Bonding Program'!$S$30=1,'Bonding Program'!$H$30&gt;'Bonding Program'!$C$8,AS$3='Bonding Program'!$H$30),'Bonding Program'!$T$30-'Bonding Program'!$U$30-'Bonding Program'!$Z$30,0)-IF(AND('Bonding Program'!$S$30=1,'Bonding Program'!$H$30&lt;='Bonding Program'!$C$8,AS$3=IF('Bonding Program'!$P$30&lt;&gt;"",'Bonding Program'!$P$30,'Bonding Program'!$C$8)),'Bonding Program'!$Z$30,0)+IF(AND('Bonding Program'!$P$30&lt;&gt;"",AS$3='Bonding Program'!$P$30,AS$3&lt;='Bonding Program'!$C$8),N('Bonding Program'!$O$30),0)</f>
        <v>0</v>
      </c>
      <c r="AT171" s="19" t="n">
        <f aca="false">IF(AND('Bonding Program'!$S$30=1,'Bonding Program'!$H$30&gt;'Bonding Program'!$C$8,AT$3='Bonding Program'!$H$30),'Bonding Program'!$T$30-'Bonding Program'!$U$30-'Bonding Program'!$Z$30,0)-IF(AND('Bonding Program'!$S$30=1,'Bonding Program'!$H$30&lt;='Bonding Program'!$C$8,AT$3=IF('Bonding Program'!$P$30&lt;&gt;"",'Bonding Program'!$P$30,'Bonding Program'!$C$8)),'Bonding Program'!$Z$30,0)+IF(AND('Bonding Program'!$P$30&lt;&gt;"",AT$3='Bonding Program'!$P$30,AT$3&lt;='Bonding Program'!$C$8),N('Bonding Program'!$O$30),0)</f>
        <v>0</v>
      </c>
      <c r="AU171" s="19" t="n">
        <f aca="false">IF(AND('Bonding Program'!$S$30=1,'Bonding Program'!$H$30&gt;'Bonding Program'!$C$8,AU$3='Bonding Program'!$H$30),'Bonding Program'!$T$30-'Bonding Program'!$U$30-'Bonding Program'!$Z$30,0)-IF(AND('Bonding Program'!$S$30=1,'Bonding Program'!$H$30&lt;='Bonding Program'!$C$8,AU$3=IF('Bonding Program'!$P$30&lt;&gt;"",'Bonding Program'!$P$30,'Bonding Program'!$C$8)),'Bonding Program'!$Z$30,0)+IF(AND('Bonding Program'!$P$30&lt;&gt;"",AU$3='Bonding Program'!$P$30,AU$3&lt;='Bonding Program'!$C$8),N('Bonding Program'!$O$30),0)</f>
        <v>0</v>
      </c>
      <c r="AV171" s="19" t="n">
        <f aca="false">IF(AND('Bonding Program'!$S$30=1,'Bonding Program'!$H$30&gt;'Bonding Program'!$C$8,AV$3='Bonding Program'!$H$30),'Bonding Program'!$T$30-'Bonding Program'!$U$30-'Bonding Program'!$Z$30,0)-IF(AND('Bonding Program'!$S$30=1,'Bonding Program'!$H$30&lt;='Bonding Program'!$C$8,AV$3=IF('Bonding Program'!$P$30&lt;&gt;"",'Bonding Program'!$P$30,'Bonding Program'!$C$8)),'Bonding Program'!$Z$30,0)+IF(AND('Bonding Program'!$P$30&lt;&gt;"",AV$3='Bonding Program'!$P$30,AV$3&lt;='Bonding Program'!$C$8),N('Bonding Program'!$O$30),0)</f>
        <v>0</v>
      </c>
      <c r="AW171" s="19" t="n">
        <f aca="false">IF(AND('Bonding Program'!$S$30=1,'Bonding Program'!$H$30&gt;'Bonding Program'!$C$8,AW$3='Bonding Program'!$H$30),'Bonding Program'!$T$30-'Bonding Program'!$U$30-'Bonding Program'!$Z$30,0)-IF(AND('Bonding Program'!$S$30=1,'Bonding Program'!$H$30&lt;='Bonding Program'!$C$8,AW$3=IF('Bonding Program'!$P$30&lt;&gt;"",'Bonding Program'!$P$30,'Bonding Program'!$C$8)),'Bonding Program'!$Z$30,0)+IF(AND('Bonding Program'!$P$30&lt;&gt;"",AW$3='Bonding Program'!$P$30,AW$3&lt;='Bonding Program'!$C$8),N('Bonding Program'!$O$30),0)</f>
        <v>0</v>
      </c>
      <c r="AX171" s="19" t="n">
        <f aca="false">IF(AND('Bonding Program'!$S$30=1,'Bonding Program'!$H$30&gt;'Bonding Program'!$C$8,AX$3='Bonding Program'!$H$30),'Bonding Program'!$T$30-'Bonding Program'!$U$30-'Bonding Program'!$Z$30,0)-IF(AND('Bonding Program'!$S$30=1,'Bonding Program'!$H$30&lt;='Bonding Program'!$C$8,AX$3=IF('Bonding Program'!$P$30&lt;&gt;"",'Bonding Program'!$P$30,'Bonding Program'!$C$8)),'Bonding Program'!$Z$30,0)+IF(AND('Bonding Program'!$P$30&lt;&gt;"",AX$3='Bonding Program'!$P$30,AX$3&lt;='Bonding Program'!$C$8),N('Bonding Program'!$O$30),0)</f>
        <v>0</v>
      </c>
      <c r="AY171" s="19" t="n">
        <f aca="false">IF(AND('Bonding Program'!$S$30=1,'Bonding Program'!$H$30&gt;'Bonding Program'!$C$8,AY$3='Bonding Program'!$H$30),'Bonding Program'!$T$30-'Bonding Program'!$U$30-'Bonding Program'!$Z$30,0)-IF(AND('Bonding Program'!$S$30=1,'Bonding Program'!$H$30&lt;='Bonding Program'!$C$8,AY$3=IF('Bonding Program'!$P$30&lt;&gt;"",'Bonding Program'!$P$30,'Bonding Program'!$C$8)),'Bonding Program'!$Z$30,0)+IF(AND('Bonding Program'!$P$30&lt;&gt;"",AY$3='Bonding Program'!$P$30,AY$3&lt;='Bonding Program'!$C$8),N('Bonding Program'!$O$30),0)</f>
        <v>0</v>
      </c>
      <c r="AZ171" s="19" t="n">
        <f aca="false">IF(AND('Bonding Program'!$S$30=1,'Bonding Program'!$H$30&gt;'Bonding Program'!$C$8,AZ$3='Bonding Program'!$H$30),'Bonding Program'!$T$30-'Bonding Program'!$U$30-'Bonding Program'!$Z$30,0)-IF(AND('Bonding Program'!$S$30=1,'Bonding Program'!$H$30&lt;='Bonding Program'!$C$8,AZ$3=IF('Bonding Program'!$P$30&lt;&gt;"",'Bonding Program'!$P$30,'Bonding Program'!$C$8)),'Bonding Program'!$Z$30,0)+IF(AND('Bonding Program'!$P$30&lt;&gt;"",AZ$3='Bonding Program'!$P$30,AZ$3&lt;='Bonding Program'!$C$8),N('Bonding Program'!$O$30),0)</f>
        <v>0</v>
      </c>
      <c r="BA171" s="19" t="n">
        <f aca="false">IF(AND('Bonding Program'!$S$30=1,'Bonding Program'!$H$30&gt;'Bonding Program'!$C$8,BA$3='Bonding Program'!$H$30),'Bonding Program'!$T$30-'Bonding Program'!$U$30-'Bonding Program'!$Z$30,0)-IF(AND('Bonding Program'!$S$30=1,'Bonding Program'!$H$30&lt;='Bonding Program'!$C$8,BA$3=IF('Bonding Program'!$P$30&lt;&gt;"",'Bonding Program'!$P$30,'Bonding Program'!$C$8)),'Bonding Program'!$Z$30,0)+IF(AND('Bonding Program'!$P$30&lt;&gt;"",BA$3='Bonding Program'!$P$30,BA$3&lt;='Bonding Program'!$C$8),N('Bonding Program'!$O$30),0)</f>
        <v>0</v>
      </c>
      <c r="BB171" s="19" t="n">
        <f aca="false">IF(AND('Bonding Program'!$S$30=1,'Bonding Program'!$H$30&gt;'Bonding Program'!$C$8,BB$3='Bonding Program'!$H$30),'Bonding Program'!$T$30-'Bonding Program'!$U$30-'Bonding Program'!$Z$30,0)-IF(AND('Bonding Program'!$S$30=1,'Bonding Program'!$H$30&lt;='Bonding Program'!$C$8,BB$3=IF('Bonding Program'!$P$30&lt;&gt;"",'Bonding Program'!$P$30,'Bonding Program'!$C$8)),'Bonding Program'!$Z$30,0)+IF(AND('Bonding Program'!$P$30&lt;&gt;"",BB$3='Bonding Program'!$P$30,BB$3&lt;='Bonding Program'!$C$8),N('Bonding Program'!$O$30),0)</f>
        <v>0</v>
      </c>
      <c r="BC171" s="19" t="n">
        <f aca="false">IF(AND('Bonding Program'!$S$30=1,'Bonding Program'!$H$30&gt;'Bonding Program'!$C$8,BC$3='Bonding Program'!$H$30),'Bonding Program'!$T$30-'Bonding Program'!$U$30-'Bonding Program'!$Z$30,0)-IF(AND('Bonding Program'!$S$30=1,'Bonding Program'!$H$30&lt;='Bonding Program'!$C$8,BC$3=IF('Bonding Program'!$P$30&lt;&gt;"",'Bonding Program'!$P$30,'Bonding Program'!$C$8)),'Bonding Program'!$Z$30,0)+IF(AND('Bonding Program'!$P$30&lt;&gt;"",BC$3='Bonding Program'!$P$30,BC$3&lt;='Bonding Program'!$C$8),N('Bonding Program'!$O$30),0)</f>
        <v>0</v>
      </c>
      <c r="BD171" s="19" t="n">
        <f aca="false">IF(AND('Bonding Program'!$S$30=1,'Bonding Program'!$H$30&gt;'Bonding Program'!$C$8,BD$3='Bonding Program'!$H$30),'Bonding Program'!$T$30-'Bonding Program'!$U$30-'Bonding Program'!$Z$30,0)-IF(AND('Bonding Program'!$S$30=1,'Bonding Program'!$H$30&lt;='Bonding Program'!$C$8,BD$3=IF('Bonding Program'!$P$30&lt;&gt;"",'Bonding Program'!$P$30,'Bonding Program'!$C$8)),'Bonding Program'!$Z$30,0)+IF(AND('Bonding Program'!$P$30&lt;&gt;"",BD$3='Bonding Program'!$P$30,BD$3&lt;='Bonding Program'!$C$8),N('Bonding Program'!$O$30),0)</f>
        <v>0</v>
      </c>
      <c r="BE171" s="19" t="n">
        <f aca="false">IF(AND('Bonding Program'!$S$30=1,'Bonding Program'!$H$30&gt;'Bonding Program'!$C$8,BE$3='Bonding Program'!$H$30),'Bonding Program'!$T$30-'Bonding Program'!$U$30-'Bonding Program'!$Z$30,0)-IF(AND('Bonding Program'!$S$30=1,'Bonding Program'!$H$30&lt;='Bonding Program'!$C$8,BE$3=IF('Bonding Program'!$P$30&lt;&gt;"",'Bonding Program'!$P$30,'Bonding Program'!$C$8)),'Bonding Program'!$Z$30,0)+IF(AND('Bonding Program'!$P$30&lt;&gt;"",BE$3='Bonding Program'!$P$30,BE$3&lt;='Bonding Program'!$C$8),N('Bonding Program'!$O$30),0)</f>
        <v>0</v>
      </c>
      <c r="BF171" s="19" t="n">
        <f aca="false">IF(AND('Bonding Program'!$S$30=1,'Bonding Program'!$H$30&gt;'Bonding Program'!$C$8,BF$3='Bonding Program'!$H$30),'Bonding Program'!$T$30-'Bonding Program'!$U$30-'Bonding Program'!$Z$30,0)-IF(AND('Bonding Program'!$S$30=1,'Bonding Program'!$H$30&lt;='Bonding Program'!$C$8,BF$3=IF('Bonding Program'!$P$30&lt;&gt;"",'Bonding Program'!$P$30,'Bonding Program'!$C$8)),'Bonding Program'!$Z$30,0)+IF(AND('Bonding Program'!$P$30&lt;&gt;"",BF$3='Bonding Program'!$P$30,BF$3&lt;='Bonding Program'!$C$8),N('Bonding Program'!$O$30),0)</f>
        <v>0</v>
      </c>
      <c r="BG171" s="19" t="n">
        <f aca="false">IF(AND('Bonding Program'!$S$30=1,'Bonding Program'!$H$30&gt;'Bonding Program'!$C$8,BG$3='Bonding Program'!$H$30),'Bonding Program'!$T$30-'Bonding Program'!$U$30-'Bonding Program'!$Z$30,0)-IF(AND('Bonding Program'!$S$30=1,'Bonding Program'!$H$30&lt;='Bonding Program'!$C$8,BG$3=IF('Bonding Program'!$P$30&lt;&gt;"",'Bonding Program'!$P$30,'Bonding Program'!$C$8)),'Bonding Program'!$Z$30,0)+IF(AND('Bonding Program'!$P$30&lt;&gt;"",BG$3='Bonding Program'!$P$30,BG$3&lt;='Bonding Program'!$C$8),N('Bonding Program'!$O$30),0)</f>
        <v>0</v>
      </c>
      <c r="BH171" s="19" t="n">
        <f aca="false">IF(AND('Bonding Program'!$S$30=1,'Bonding Program'!$H$30&gt;'Bonding Program'!$C$8,BH$3='Bonding Program'!$H$30),'Bonding Program'!$T$30-'Bonding Program'!$U$30-'Bonding Program'!$Z$30,0)-IF(AND('Bonding Program'!$S$30=1,'Bonding Program'!$H$30&lt;='Bonding Program'!$C$8,BH$3=IF('Bonding Program'!$P$30&lt;&gt;"",'Bonding Program'!$P$30,'Bonding Program'!$C$8)),'Bonding Program'!$Z$30,0)+IF(AND('Bonding Program'!$P$30&lt;&gt;"",BH$3='Bonding Program'!$P$30,BH$3&lt;='Bonding Program'!$C$8),N('Bonding Program'!$O$30),0)</f>
        <v>0</v>
      </c>
      <c r="BI171" s="19" t="n">
        <f aca="false">IF(AND('Bonding Program'!$S$30=1,'Bonding Program'!$H$30&gt;'Bonding Program'!$C$8,BI$3='Bonding Program'!$H$30),'Bonding Program'!$T$30-'Bonding Program'!$U$30-'Bonding Program'!$Z$30,0)-IF(AND('Bonding Program'!$S$30=1,'Bonding Program'!$H$30&lt;='Bonding Program'!$C$8,BI$3=IF('Bonding Program'!$P$30&lt;&gt;"",'Bonding Program'!$P$30,'Bonding Program'!$C$8)),'Bonding Program'!$Z$30,0)+IF(AND('Bonding Program'!$P$30&lt;&gt;"",BI$3='Bonding Program'!$P$30,BI$3&lt;='Bonding Program'!$C$8),N('Bonding Program'!$O$30),0)</f>
        <v>0</v>
      </c>
      <c r="BJ171" s="19" t="n">
        <f aca="false">IF(AND('Bonding Program'!$S$30=1,'Bonding Program'!$H$30&gt;'Bonding Program'!$C$8,BJ$3='Bonding Program'!$H$30),'Bonding Program'!$T$30-'Bonding Program'!$U$30-'Bonding Program'!$Z$30,0)-IF(AND('Bonding Program'!$S$30=1,'Bonding Program'!$H$30&lt;='Bonding Program'!$C$8,BJ$3=IF('Bonding Program'!$P$30&lt;&gt;"",'Bonding Program'!$P$30,'Bonding Program'!$C$8)),'Bonding Program'!$Z$30,0)+IF(AND('Bonding Program'!$P$30&lt;&gt;"",BJ$3='Bonding Program'!$P$30,BJ$3&lt;='Bonding Program'!$C$8),N('Bonding Program'!$O$30),0)</f>
        <v>0</v>
      </c>
      <c r="BK171" s="19" t="n">
        <f aca="false">IF(AND('Bonding Program'!$S$30=1,'Bonding Program'!$H$30&gt;'Bonding Program'!$C$8,BK$3='Bonding Program'!$H$30),'Bonding Program'!$T$30-'Bonding Program'!$U$30-'Bonding Program'!$Z$30,0)-IF(AND('Bonding Program'!$S$30=1,'Bonding Program'!$H$30&lt;='Bonding Program'!$C$8,BK$3=IF('Bonding Program'!$P$30&lt;&gt;"",'Bonding Program'!$P$30,'Bonding Program'!$C$8)),'Bonding Program'!$Z$30,0)+IF(AND('Bonding Program'!$P$30&lt;&gt;"",BK$3='Bonding Program'!$P$30,BK$3&lt;='Bonding Program'!$C$8),N('Bonding Program'!$O$30),0)</f>
        <v>0</v>
      </c>
      <c r="BL171" s="19" t="n">
        <f aca="false">IF(AND('Bonding Program'!$S$30=1,'Bonding Program'!$H$30&gt;'Bonding Program'!$C$8,BL$3='Bonding Program'!$H$30),'Bonding Program'!$T$30-'Bonding Program'!$U$30-'Bonding Program'!$Z$30,0)-IF(AND('Bonding Program'!$S$30=1,'Bonding Program'!$H$30&lt;='Bonding Program'!$C$8,BL$3=IF('Bonding Program'!$P$30&lt;&gt;"",'Bonding Program'!$P$30,'Bonding Program'!$C$8)),'Bonding Program'!$Z$30,0)+IF(AND('Bonding Program'!$P$30&lt;&gt;"",BL$3='Bonding Program'!$P$30,BL$3&lt;='Bonding Program'!$C$8),N('Bonding Program'!$O$30),0)</f>
        <v>0</v>
      </c>
      <c r="BM171" s="19" t="n">
        <f aca="false">IF(AND('Bonding Program'!$S$30=1,'Bonding Program'!$H$30&gt;'Bonding Program'!$C$8,BM$3='Bonding Program'!$H$30),'Bonding Program'!$T$30-'Bonding Program'!$U$30-'Bonding Program'!$Z$30,0)-IF(AND('Bonding Program'!$S$30=1,'Bonding Program'!$H$30&lt;='Bonding Program'!$C$8,BM$3=IF('Bonding Program'!$P$30&lt;&gt;"",'Bonding Program'!$P$30,'Bonding Program'!$C$8)),'Bonding Program'!$Z$30,0)+IF(AND('Bonding Program'!$P$30&lt;&gt;"",BM$3='Bonding Program'!$P$30,BM$3&lt;='Bonding Program'!$C$8),N('Bonding Program'!$O$30),0)</f>
        <v>0</v>
      </c>
      <c r="BN171" s="19" t="n">
        <f aca="false">IF(AND('Bonding Program'!$S$30=1,'Bonding Program'!$H$30&gt;'Bonding Program'!$C$8,BN$3='Bonding Program'!$H$30),'Bonding Program'!$T$30-'Bonding Program'!$U$30-'Bonding Program'!$Z$30,0)-IF(AND('Bonding Program'!$S$30=1,'Bonding Program'!$H$30&lt;='Bonding Program'!$C$8,BN$3=IF('Bonding Program'!$P$30&lt;&gt;"",'Bonding Program'!$P$30,'Bonding Program'!$C$8)),'Bonding Program'!$Z$30,0)+IF(AND('Bonding Program'!$P$30&lt;&gt;"",BN$3='Bonding Program'!$P$30,BN$3&lt;='Bonding Program'!$C$8),N('Bonding Program'!$O$30),0)</f>
        <v>0</v>
      </c>
      <c r="BO171" s="19" t="n">
        <f aca="false">IF(AND('Bonding Program'!$S$30=1,'Bonding Program'!$H$30&gt;'Bonding Program'!$C$8,BO$3='Bonding Program'!$H$30),'Bonding Program'!$T$30-'Bonding Program'!$U$30-'Bonding Program'!$Z$30,0)-IF(AND('Bonding Program'!$S$30=1,'Bonding Program'!$H$30&lt;='Bonding Program'!$C$8,BO$3=IF('Bonding Program'!$P$30&lt;&gt;"",'Bonding Program'!$P$30,'Bonding Program'!$C$8)),'Bonding Program'!$Z$30,0)+IF(AND('Bonding Program'!$P$30&lt;&gt;"",BO$3='Bonding Program'!$P$30,BO$3&lt;='Bonding Program'!$C$8),N('Bonding Program'!$O$30),0)</f>
        <v>0</v>
      </c>
      <c r="BP171" s="19" t="n">
        <f aca="false">IF(AND('Bonding Program'!$S$30=1,'Bonding Program'!$H$30&gt;'Bonding Program'!$C$8,BP$3='Bonding Program'!$H$30),'Bonding Program'!$T$30-'Bonding Program'!$U$30-'Bonding Program'!$Z$30,0)-IF(AND('Bonding Program'!$S$30=1,'Bonding Program'!$H$30&lt;='Bonding Program'!$C$8,BP$3=IF('Bonding Program'!$P$30&lt;&gt;"",'Bonding Program'!$P$30,'Bonding Program'!$C$8)),'Bonding Program'!$Z$30,0)+IF(AND('Bonding Program'!$P$30&lt;&gt;"",BP$3='Bonding Program'!$P$30,BP$3&lt;='Bonding Program'!$C$8),N('Bonding Program'!$O$30),0)</f>
        <v>0</v>
      </c>
      <c r="BQ171" s="19" t="n">
        <f aca="false">IF(AND('Bonding Program'!$S$30=1,'Bonding Program'!$H$30&gt;'Bonding Program'!$C$8,BQ$3='Bonding Program'!$H$30),'Bonding Program'!$T$30-'Bonding Program'!$U$30-'Bonding Program'!$Z$30,0)-IF(AND('Bonding Program'!$S$30=1,'Bonding Program'!$H$30&lt;='Bonding Program'!$C$8,BQ$3=IF('Bonding Program'!$P$30&lt;&gt;"",'Bonding Program'!$P$30,'Bonding Program'!$C$8)),'Bonding Program'!$Z$30,0)+IF(AND('Bonding Program'!$P$30&lt;&gt;"",BQ$3='Bonding Program'!$P$30,BQ$3&lt;='Bonding Program'!$C$8),N('Bonding Program'!$O$30),0)</f>
        <v>0</v>
      </c>
      <c r="BR171" s="19" t="n">
        <f aca="false">IF(AND('Bonding Program'!$S$30=1,'Bonding Program'!$H$30&gt;'Bonding Program'!$C$8,BR$3='Bonding Program'!$H$30),'Bonding Program'!$T$30-'Bonding Program'!$U$30-'Bonding Program'!$Z$30,0)-IF(AND('Bonding Program'!$S$30=1,'Bonding Program'!$H$30&lt;='Bonding Program'!$C$8,BR$3=IF('Bonding Program'!$P$30&lt;&gt;"",'Bonding Program'!$P$30,'Bonding Program'!$C$8)),'Bonding Program'!$Z$30,0)+IF(AND('Bonding Program'!$P$30&lt;&gt;"",BR$3='Bonding Program'!$P$30,BR$3&lt;='Bonding Program'!$C$8),N('Bonding Program'!$O$30),0)</f>
        <v>0</v>
      </c>
      <c r="BS171" s="19" t="n">
        <f aca="false">IF(AND('Bonding Program'!$S$30=1,'Bonding Program'!$H$30&gt;'Bonding Program'!$C$8,BS$3='Bonding Program'!$H$30),'Bonding Program'!$T$30-'Bonding Program'!$U$30-'Bonding Program'!$Z$30,0)-IF(AND('Bonding Program'!$S$30=1,'Bonding Program'!$H$30&lt;='Bonding Program'!$C$8,BS$3=IF('Bonding Program'!$P$30&lt;&gt;"",'Bonding Program'!$P$30,'Bonding Program'!$C$8)),'Bonding Program'!$Z$30,0)+IF(AND('Bonding Program'!$P$30&lt;&gt;"",BS$3='Bonding Program'!$P$30,BS$3&lt;='Bonding Program'!$C$8),N('Bonding Program'!$O$30),0)</f>
        <v>0</v>
      </c>
      <c r="BT171" s="19" t="n">
        <f aca="false">IF(AND('Bonding Program'!$S$30=1,'Bonding Program'!$H$30&gt;'Bonding Program'!$C$8,BT$3='Bonding Program'!$H$30),'Bonding Program'!$T$30-'Bonding Program'!$U$30-'Bonding Program'!$Z$30,0)-IF(AND('Bonding Program'!$S$30=1,'Bonding Program'!$H$30&lt;='Bonding Program'!$C$8,BT$3=IF('Bonding Program'!$P$30&lt;&gt;"",'Bonding Program'!$P$30,'Bonding Program'!$C$8)),'Bonding Program'!$Z$30,0)+IF(AND('Bonding Program'!$P$30&lt;&gt;"",BT$3='Bonding Program'!$P$30,BT$3&lt;='Bonding Program'!$C$8),N('Bonding Program'!$O$30),0)</f>
        <v>0</v>
      </c>
      <c r="BU171" s="19" t="n">
        <f aca="false">IF(AND('Bonding Program'!$S$30=1,'Bonding Program'!$H$30&gt;'Bonding Program'!$C$8,BU$3='Bonding Program'!$H$30),'Bonding Program'!$T$30-'Bonding Program'!$U$30-'Bonding Program'!$Z$30,0)-IF(AND('Bonding Program'!$S$30=1,'Bonding Program'!$H$30&lt;='Bonding Program'!$C$8,BU$3=IF('Bonding Program'!$P$30&lt;&gt;"",'Bonding Program'!$P$30,'Bonding Program'!$C$8)),'Bonding Program'!$Z$30,0)+IF(AND('Bonding Program'!$P$30&lt;&gt;"",BU$3='Bonding Program'!$P$30,BU$3&lt;='Bonding Program'!$C$8),N('Bonding Program'!$O$30),0)</f>
        <v>0</v>
      </c>
      <c r="BV171" s="19" t="n">
        <f aca="false">IF(AND('Bonding Program'!$S$30=1,'Bonding Program'!$H$30&gt;'Bonding Program'!$C$8,BV$3='Bonding Program'!$H$30),'Bonding Program'!$T$30-'Bonding Program'!$U$30-'Bonding Program'!$Z$30,0)-IF(AND('Bonding Program'!$S$30=1,'Bonding Program'!$H$30&lt;='Bonding Program'!$C$8,BV$3=IF('Bonding Program'!$P$30&lt;&gt;"",'Bonding Program'!$P$30,'Bonding Program'!$C$8)),'Bonding Program'!$Z$30,0)+IF(AND('Bonding Program'!$P$30&lt;&gt;"",BV$3='Bonding Program'!$P$30,BV$3&lt;='Bonding Program'!$C$8),N('Bonding Program'!$O$30),0)</f>
        <v>0</v>
      </c>
      <c r="BW171" s="19" t="n">
        <f aca="false">IF(AND('Bonding Program'!$S$30=1,'Bonding Program'!$H$30&gt;'Bonding Program'!$C$8,BW$3='Bonding Program'!$H$30),'Bonding Program'!$T$30-'Bonding Program'!$U$30-'Bonding Program'!$Z$30,0)-IF(AND('Bonding Program'!$S$30=1,'Bonding Program'!$H$30&lt;='Bonding Program'!$C$8,BW$3=IF('Bonding Program'!$P$30&lt;&gt;"",'Bonding Program'!$P$30,'Bonding Program'!$C$8)),'Bonding Program'!$Z$30,0)+IF(AND('Bonding Program'!$P$30&lt;&gt;"",BW$3='Bonding Program'!$P$30,BW$3&lt;='Bonding Program'!$C$8),N('Bonding Program'!$O$30),0)</f>
        <v>0</v>
      </c>
      <c r="BX171" s="19" t="n">
        <f aca="false">IF(AND('Bonding Program'!$S$30=1,'Bonding Program'!$H$30&gt;'Bonding Program'!$C$8,BX$3='Bonding Program'!$H$30),'Bonding Program'!$T$30-'Bonding Program'!$U$30-'Bonding Program'!$Z$30,0)-IF(AND('Bonding Program'!$S$30=1,'Bonding Program'!$H$30&lt;='Bonding Program'!$C$8,BX$3=IF('Bonding Program'!$P$30&lt;&gt;"",'Bonding Program'!$P$30,'Bonding Program'!$C$8)),'Bonding Program'!$Z$30,0)+IF(AND('Bonding Program'!$P$30&lt;&gt;"",BX$3='Bonding Program'!$P$30,BX$3&lt;='Bonding Program'!$C$8),N('Bonding Program'!$O$30),0)</f>
        <v>0</v>
      </c>
      <c r="BY171" s="19" t="n">
        <f aca="false">IF(AND('Bonding Program'!$S$30=1,'Bonding Program'!$H$30&gt;'Bonding Program'!$C$8,BY$3='Bonding Program'!$H$30),'Bonding Program'!$T$30-'Bonding Program'!$U$30-'Bonding Program'!$Z$30,0)-IF(AND('Bonding Program'!$S$30=1,'Bonding Program'!$H$30&lt;='Bonding Program'!$C$8,BY$3=IF('Bonding Program'!$P$30&lt;&gt;"",'Bonding Program'!$P$30,'Bonding Program'!$C$8)),'Bonding Program'!$Z$30,0)+IF(AND('Bonding Program'!$P$30&lt;&gt;"",BY$3='Bonding Program'!$P$30,BY$3&lt;='Bonding Program'!$C$8),N('Bonding Program'!$O$30),0)</f>
        <v>0</v>
      </c>
      <c r="BZ171" s="19" t="n">
        <f aca="false">IF(AND('Bonding Program'!$S$30=1,'Bonding Program'!$H$30&gt;'Bonding Program'!$C$8,BZ$3='Bonding Program'!$H$30),'Bonding Program'!$T$30-'Bonding Program'!$U$30-'Bonding Program'!$Z$30,0)-IF(AND('Bonding Program'!$S$30=1,'Bonding Program'!$H$30&lt;='Bonding Program'!$C$8,BZ$3=IF('Bonding Program'!$P$30&lt;&gt;"",'Bonding Program'!$P$30,'Bonding Program'!$C$8)),'Bonding Program'!$Z$30,0)+IF(AND('Bonding Program'!$P$30&lt;&gt;"",BZ$3='Bonding Program'!$P$30,BZ$3&lt;='Bonding Program'!$C$8),N('Bonding Program'!$O$30),0)</f>
        <v>0</v>
      </c>
      <c r="CA171" s="19" t="n">
        <f aca="false">IF(AND('Bonding Program'!$S$30=1,'Bonding Program'!$H$30&gt;'Bonding Program'!$C$8,CA$3='Bonding Program'!$H$30),'Bonding Program'!$T$30-'Bonding Program'!$U$30-'Bonding Program'!$Z$30,0)-IF(AND('Bonding Program'!$S$30=1,'Bonding Program'!$H$30&lt;='Bonding Program'!$C$8,CA$3=IF('Bonding Program'!$P$30&lt;&gt;"",'Bonding Program'!$P$30,'Bonding Program'!$C$8)),'Bonding Program'!$Z$30,0)+IF(AND('Bonding Program'!$P$30&lt;&gt;"",CA$3='Bonding Program'!$P$30,CA$3&lt;='Bonding Program'!$C$8),N('Bonding Program'!$O$30),0)</f>
        <v>0</v>
      </c>
      <c r="CB171" s="19" t="n">
        <f aca="false">IF(AND('Bonding Program'!$S$30=1,'Bonding Program'!$H$30&gt;'Bonding Program'!$C$8,CB$3='Bonding Program'!$H$30),'Bonding Program'!$T$30-'Bonding Program'!$U$30-'Bonding Program'!$Z$30,0)-IF(AND('Bonding Program'!$S$30=1,'Bonding Program'!$H$30&lt;='Bonding Program'!$C$8,CB$3=IF('Bonding Program'!$P$30&lt;&gt;"",'Bonding Program'!$P$30,'Bonding Program'!$C$8)),'Bonding Program'!$Z$30,0)+IF(AND('Bonding Program'!$P$30&lt;&gt;"",CB$3='Bonding Program'!$P$30,CB$3&lt;='Bonding Program'!$C$8),N('Bonding Program'!$O$30),0)</f>
        <v>0</v>
      </c>
      <c r="CC171" s="19" t="n">
        <f aca="false">IF(AND('Bonding Program'!$S$30=1,'Bonding Program'!$H$30&gt;'Bonding Program'!$C$8,CC$3='Bonding Program'!$H$30),'Bonding Program'!$T$30-'Bonding Program'!$U$30-'Bonding Program'!$Z$30,0)-IF(AND('Bonding Program'!$S$30=1,'Bonding Program'!$H$30&lt;='Bonding Program'!$C$8,CC$3=IF('Bonding Program'!$P$30&lt;&gt;"",'Bonding Program'!$P$30,'Bonding Program'!$C$8)),'Bonding Program'!$Z$30,0)+IF(AND('Bonding Program'!$P$30&lt;&gt;"",CC$3='Bonding Program'!$P$30,CC$3&lt;='Bonding Program'!$C$8),N('Bonding Program'!$O$30),0)</f>
        <v>0</v>
      </c>
      <c r="CD171" s="19" t="n">
        <f aca="false">IF(AND('Bonding Program'!$S$30=1,'Bonding Program'!$H$30&gt;'Bonding Program'!$C$8,CD$3='Bonding Program'!$H$30),'Bonding Program'!$T$30-'Bonding Program'!$U$30-'Bonding Program'!$Z$30,0)-IF(AND('Bonding Program'!$S$30=1,'Bonding Program'!$H$30&lt;='Bonding Program'!$C$8,CD$3=IF('Bonding Program'!$P$30&lt;&gt;"",'Bonding Program'!$P$30,'Bonding Program'!$C$8)),'Bonding Program'!$Z$30,0)+IF(AND('Bonding Program'!$P$30&lt;&gt;"",CD$3='Bonding Program'!$P$30,CD$3&lt;='Bonding Program'!$C$8),N('Bonding Program'!$O$30),0)</f>
        <v>0</v>
      </c>
      <c r="CE171" s="19" t="n">
        <f aca="false">IF(AND('Bonding Program'!$S$30=1,'Bonding Program'!$H$30&gt;'Bonding Program'!$C$8,CE$3='Bonding Program'!$H$30),'Bonding Program'!$T$30-'Bonding Program'!$U$30-'Bonding Program'!$Z$30,0)-IF(AND('Bonding Program'!$S$30=1,'Bonding Program'!$H$30&lt;='Bonding Program'!$C$8,CE$3=IF('Bonding Program'!$P$30&lt;&gt;"",'Bonding Program'!$P$30,'Bonding Program'!$C$8)),'Bonding Program'!$Z$30,0)+IF(AND('Bonding Program'!$P$30&lt;&gt;"",CE$3='Bonding Program'!$P$30,CE$3&lt;='Bonding Program'!$C$8),N('Bonding Program'!$O$30),0)</f>
        <v>0</v>
      </c>
      <c r="CF171" s="19" t="n">
        <f aca="false">IF(AND('Bonding Program'!$S$30=1,'Bonding Program'!$H$30&gt;'Bonding Program'!$C$8,CF$3='Bonding Program'!$H$30),'Bonding Program'!$T$30-'Bonding Program'!$U$30-'Bonding Program'!$Z$30,0)-IF(AND('Bonding Program'!$S$30=1,'Bonding Program'!$H$30&lt;='Bonding Program'!$C$8,CF$3=IF('Bonding Program'!$P$30&lt;&gt;"",'Bonding Program'!$P$30,'Bonding Program'!$C$8)),'Bonding Program'!$Z$30,0)+IF(AND('Bonding Program'!$P$30&lt;&gt;"",CF$3='Bonding Program'!$P$30,CF$3&lt;='Bonding Program'!$C$8),N('Bonding Program'!$O$30),0)</f>
        <v>0</v>
      </c>
      <c r="CG171" s="19" t="n">
        <f aca="false">IF(AND('Bonding Program'!$S$30=1,'Bonding Program'!$H$30&gt;'Bonding Program'!$C$8,CG$3='Bonding Program'!$H$30),'Bonding Program'!$T$30-'Bonding Program'!$U$30-'Bonding Program'!$Z$30,0)-IF(AND('Bonding Program'!$S$30=1,'Bonding Program'!$H$30&lt;='Bonding Program'!$C$8,CG$3=IF('Bonding Program'!$P$30&lt;&gt;"",'Bonding Program'!$P$30,'Bonding Program'!$C$8)),'Bonding Program'!$Z$30,0)+IF(AND('Bonding Program'!$P$30&lt;&gt;"",CG$3='Bonding Program'!$P$30,CG$3&lt;='Bonding Program'!$C$8),N('Bonding Program'!$O$30),0)</f>
        <v>0</v>
      </c>
      <c r="CH171" s="19" t="n">
        <f aca="false">IF(AND('Bonding Program'!$S$30=1,'Bonding Program'!$H$30&gt;'Bonding Program'!$C$8,CH$3='Bonding Program'!$H$30),'Bonding Program'!$T$30-'Bonding Program'!$U$30-'Bonding Program'!$Z$30,0)-IF(AND('Bonding Program'!$S$30=1,'Bonding Program'!$H$30&lt;='Bonding Program'!$C$8,CH$3=IF('Bonding Program'!$P$30&lt;&gt;"",'Bonding Program'!$P$30,'Bonding Program'!$C$8)),'Bonding Program'!$Z$30,0)+IF(AND('Bonding Program'!$P$30&lt;&gt;"",CH$3='Bonding Program'!$P$30,CH$3&lt;='Bonding Program'!$C$8),N('Bonding Program'!$O$30),0)</f>
        <v>0</v>
      </c>
      <c r="CI171" s="19" t="n">
        <f aca="false">IF(AND('Bonding Program'!$S$30=1,'Bonding Program'!$H$30&gt;'Bonding Program'!$C$8,CI$3='Bonding Program'!$H$30),'Bonding Program'!$T$30-'Bonding Program'!$U$30-'Bonding Program'!$Z$30,0)-IF(AND('Bonding Program'!$S$30=1,'Bonding Program'!$H$30&lt;='Bonding Program'!$C$8,CI$3=IF('Bonding Program'!$P$30&lt;&gt;"",'Bonding Program'!$P$30,'Bonding Program'!$C$8)),'Bonding Program'!$Z$30,0)+IF(AND('Bonding Program'!$P$30&lt;&gt;"",CI$3='Bonding Program'!$P$30,CI$3&lt;='Bonding Program'!$C$8),N('Bonding Program'!$O$30),0)</f>
        <v>0</v>
      </c>
      <c r="CJ171" s="19" t="n">
        <f aca="false">IF(AND('Bonding Program'!$S$30=1,'Bonding Program'!$H$30&gt;'Bonding Program'!$C$8,CJ$3='Bonding Program'!$H$30),'Bonding Program'!$T$30-'Bonding Program'!$U$30-'Bonding Program'!$Z$30,0)-IF(AND('Bonding Program'!$S$30=1,'Bonding Program'!$H$30&lt;='Bonding Program'!$C$8,CJ$3=IF('Bonding Program'!$P$30&lt;&gt;"",'Bonding Program'!$P$30,'Bonding Program'!$C$8)),'Bonding Program'!$Z$30,0)+IF(AND('Bonding Program'!$P$30&lt;&gt;"",CJ$3='Bonding Program'!$P$30,CJ$3&lt;='Bonding Program'!$C$8),N('Bonding Program'!$O$30),0)</f>
        <v>0</v>
      </c>
      <c r="CK171" s="19" t="n">
        <f aca="false">IF(AND('Bonding Program'!$S$30=1,'Bonding Program'!$H$30&gt;'Bonding Program'!$C$8,CK$3='Bonding Program'!$H$30),'Bonding Program'!$T$30-'Bonding Program'!$U$30-'Bonding Program'!$Z$30,0)-IF(AND('Bonding Program'!$S$30=1,'Bonding Program'!$H$30&lt;='Bonding Program'!$C$8,CK$3=IF('Bonding Program'!$P$30&lt;&gt;"",'Bonding Program'!$P$30,'Bonding Program'!$C$8)),'Bonding Program'!$Z$30,0)+IF(AND('Bonding Program'!$P$30&lt;&gt;"",CK$3='Bonding Program'!$P$30,CK$3&lt;='Bonding Program'!$C$8),N('Bonding Program'!$O$30),0)</f>
        <v>0</v>
      </c>
      <c r="CL171" s="19" t="n">
        <f aca="false">IF(AND('Bonding Program'!$S$30=1,'Bonding Program'!$H$30&gt;'Bonding Program'!$C$8,CL$3='Bonding Program'!$H$30),'Bonding Program'!$T$30-'Bonding Program'!$U$30-'Bonding Program'!$Z$30,0)-IF(AND('Bonding Program'!$S$30=1,'Bonding Program'!$H$30&lt;='Bonding Program'!$C$8,CL$3=IF('Bonding Program'!$P$30&lt;&gt;"",'Bonding Program'!$P$30,'Bonding Program'!$C$8)),'Bonding Program'!$Z$30,0)+IF(AND('Bonding Program'!$P$30&lt;&gt;"",CL$3='Bonding Program'!$P$30,CL$3&lt;='Bonding Program'!$C$8),N('Bonding Program'!$O$30),0)</f>
        <v>0</v>
      </c>
      <c r="CM171" s="19" t="n">
        <f aca="false">IF(AND('Bonding Program'!$S$30=1,'Bonding Program'!$H$30&gt;'Bonding Program'!$C$8,CM$3='Bonding Program'!$H$30),'Bonding Program'!$T$30-'Bonding Program'!$U$30-'Bonding Program'!$Z$30,0)-IF(AND('Bonding Program'!$S$30=1,'Bonding Program'!$H$30&lt;='Bonding Program'!$C$8,CM$3=IF('Bonding Program'!$P$30&lt;&gt;"",'Bonding Program'!$P$30,'Bonding Program'!$C$8)),'Bonding Program'!$Z$30,0)+IF(AND('Bonding Program'!$P$30&lt;&gt;"",CM$3='Bonding Program'!$P$30,CM$3&lt;='Bonding Program'!$C$8),N('Bonding Program'!$O$30),0)</f>
        <v>0</v>
      </c>
      <c r="CN171" s="19" t="n">
        <f aca="false">IF(AND('Bonding Program'!$S$30=1,'Bonding Program'!$H$30&gt;'Bonding Program'!$C$8,CN$3='Bonding Program'!$H$30),'Bonding Program'!$T$30-'Bonding Program'!$U$30-'Bonding Program'!$Z$30,0)-IF(AND('Bonding Program'!$S$30=1,'Bonding Program'!$H$30&lt;='Bonding Program'!$C$8,CN$3=IF('Bonding Program'!$P$30&lt;&gt;"",'Bonding Program'!$P$30,'Bonding Program'!$C$8)),'Bonding Program'!$Z$30,0)+IF(AND('Bonding Program'!$P$30&lt;&gt;"",CN$3='Bonding Program'!$P$30,CN$3&lt;='Bonding Program'!$C$8),N('Bonding Program'!$O$30),0)</f>
        <v>0</v>
      </c>
      <c r="CO171" s="19" t="n">
        <f aca="false">IF(AND('Bonding Program'!$S$30=1,'Bonding Program'!$H$30&gt;'Bonding Program'!$C$8,CO$3='Bonding Program'!$H$30),'Bonding Program'!$T$30-'Bonding Program'!$U$30-'Bonding Program'!$Z$30,0)-IF(AND('Bonding Program'!$S$30=1,'Bonding Program'!$H$30&lt;='Bonding Program'!$C$8,CO$3=IF('Bonding Program'!$P$30&lt;&gt;"",'Bonding Program'!$P$30,'Bonding Program'!$C$8)),'Bonding Program'!$Z$30,0)+IF(AND('Bonding Program'!$P$30&lt;&gt;"",CO$3='Bonding Program'!$P$30,CO$3&lt;='Bonding Program'!$C$8),N('Bonding Program'!$O$30),0)</f>
        <v>0</v>
      </c>
      <c r="CP171" s="19" t="n">
        <f aca="false">IF(AND('Bonding Program'!$S$30=1,'Bonding Program'!$H$30&gt;'Bonding Program'!$C$8,CP$3='Bonding Program'!$H$30),'Bonding Program'!$T$30-'Bonding Program'!$U$30-'Bonding Program'!$Z$30,0)-IF(AND('Bonding Program'!$S$30=1,'Bonding Program'!$H$30&lt;='Bonding Program'!$C$8,CP$3=IF('Bonding Program'!$P$30&lt;&gt;"",'Bonding Program'!$P$30,'Bonding Program'!$C$8)),'Bonding Program'!$Z$30,0)+IF(AND('Bonding Program'!$P$30&lt;&gt;"",CP$3='Bonding Program'!$P$30,CP$3&lt;='Bonding Program'!$C$8),N('Bonding Program'!$O$30),0)</f>
        <v>0</v>
      </c>
      <c r="CQ171" s="19" t="n">
        <f aca="false">IF(AND('Bonding Program'!$S$30=1,'Bonding Program'!$H$30&gt;'Bonding Program'!$C$8,CQ$3='Bonding Program'!$H$30),'Bonding Program'!$T$30-'Bonding Program'!$U$30-'Bonding Program'!$Z$30,0)-IF(AND('Bonding Program'!$S$30=1,'Bonding Program'!$H$30&lt;='Bonding Program'!$C$8,CQ$3=IF('Bonding Program'!$P$30&lt;&gt;"",'Bonding Program'!$P$30,'Bonding Program'!$C$8)),'Bonding Program'!$Z$30,0)+IF(AND('Bonding Program'!$P$30&lt;&gt;"",CQ$3='Bonding Program'!$P$30,CQ$3&lt;='Bonding Program'!$C$8),N('Bonding Program'!$O$30),0)</f>
        <v>0</v>
      </c>
      <c r="CR171" s="19" t="n">
        <f aca="false">IF(AND('Bonding Program'!$S$30=1,'Bonding Program'!$H$30&gt;'Bonding Program'!$C$8,CR$3='Bonding Program'!$H$30),'Bonding Program'!$T$30-'Bonding Program'!$U$30-'Bonding Program'!$Z$30,0)-IF(AND('Bonding Program'!$S$30=1,'Bonding Program'!$H$30&lt;='Bonding Program'!$C$8,CR$3=IF('Bonding Program'!$P$30&lt;&gt;"",'Bonding Program'!$P$30,'Bonding Program'!$C$8)),'Bonding Program'!$Z$30,0)+IF(AND('Bonding Program'!$P$30&lt;&gt;"",CR$3='Bonding Program'!$P$30,CR$3&lt;='Bonding Program'!$C$8),N('Bonding Program'!$O$30),0)</f>
        <v>0</v>
      </c>
      <c r="CS171" s="19" t="n">
        <f aca="false">IF(AND('Bonding Program'!$S$30=1,'Bonding Program'!$H$30&gt;'Bonding Program'!$C$8,CS$3='Bonding Program'!$H$30),'Bonding Program'!$T$30-'Bonding Program'!$U$30-'Bonding Program'!$Z$30,0)-IF(AND('Bonding Program'!$S$30=1,'Bonding Program'!$H$30&lt;='Bonding Program'!$C$8,CS$3=IF('Bonding Program'!$P$30&lt;&gt;"",'Bonding Program'!$P$30,'Bonding Program'!$C$8)),'Bonding Program'!$Z$30,0)+IF(AND('Bonding Program'!$P$30&lt;&gt;"",CS$3='Bonding Program'!$P$30,CS$3&lt;='Bonding Program'!$C$8),N('Bonding Program'!$O$30),0)</f>
        <v>0</v>
      </c>
      <c r="CT171" s="19" t="n">
        <f aca="false">IF(AND('Bonding Program'!$S$30=1,'Bonding Program'!$H$30&gt;'Bonding Program'!$C$8,CT$3='Bonding Program'!$H$30),'Bonding Program'!$T$30-'Bonding Program'!$U$30-'Bonding Program'!$Z$30,0)-IF(AND('Bonding Program'!$S$30=1,'Bonding Program'!$H$30&lt;='Bonding Program'!$C$8,CT$3=IF('Bonding Program'!$P$30&lt;&gt;"",'Bonding Program'!$P$30,'Bonding Program'!$C$8)),'Bonding Program'!$Z$30,0)+IF(AND('Bonding Program'!$P$30&lt;&gt;"",CT$3='Bonding Program'!$P$30,CT$3&lt;='Bonding Program'!$C$8),N('Bonding Program'!$O$30),0)</f>
        <v>0</v>
      </c>
      <c r="CU171" s="19" t="n">
        <f aca="false">IF(AND('Bonding Program'!$S$30=1,'Bonding Program'!$H$30&gt;'Bonding Program'!$C$8,CU$3='Bonding Program'!$H$30),'Bonding Program'!$T$30-'Bonding Program'!$U$30-'Bonding Program'!$Z$30,0)-IF(AND('Bonding Program'!$S$30=1,'Bonding Program'!$H$30&lt;='Bonding Program'!$C$8,CU$3=IF('Bonding Program'!$P$30&lt;&gt;"",'Bonding Program'!$P$30,'Bonding Program'!$C$8)),'Bonding Program'!$Z$30,0)+IF(AND('Bonding Program'!$P$30&lt;&gt;"",CU$3='Bonding Program'!$P$30,CU$3&lt;='Bonding Program'!$C$8),N('Bonding Program'!$O$30),0)</f>
        <v>0</v>
      </c>
      <c r="CV171" s="19" t="n">
        <f aca="false">IF(AND('Bonding Program'!$S$30=1,'Bonding Program'!$H$30&gt;'Bonding Program'!$C$8,CV$3='Bonding Program'!$H$30),'Bonding Program'!$T$30-'Bonding Program'!$U$30-'Bonding Program'!$Z$30,0)-IF(AND('Bonding Program'!$S$30=1,'Bonding Program'!$H$30&lt;='Bonding Program'!$C$8,CV$3=IF('Bonding Program'!$P$30&lt;&gt;"",'Bonding Program'!$P$30,'Bonding Program'!$C$8)),'Bonding Program'!$Z$30,0)+IF(AND('Bonding Program'!$P$30&lt;&gt;"",CV$3='Bonding Program'!$P$30,CV$3&lt;='Bonding Program'!$C$8),N('Bonding Program'!$O$30),0)</f>
        <v>0</v>
      </c>
      <c r="CW171" s="19" t="n">
        <f aca="false">IF(AND('Bonding Program'!$S$30=1,'Bonding Program'!$H$30&gt;'Bonding Program'!$C$8,CW$3='Bonding Program'!$H$30),'Bonding Program'!$T$30-'Bonding Program'!$U$30-'Bonding Program'!$Z$30,0)-IF(AND('Bonding Program'!$S$30=1,'Bonding Program'!$H$30&lt;='Bonding Program'!$C$8,CW$3=IF('Bonding Program'!$P$30&lt;&gt;"",'Bonding Program'!$P$30,'Bonding Program'!$C$8)),'Bonding Program'!$Z$30,0)+IF(AND('Bonding Program'!$P$30&lt;&gt;"",CW$3='Bonding Program'!$P$30,CW$3&lt;='Bonding Program'!$C$8),N('Bonding Program'!$O$30),0)</f>
        <v>0</v>
      </c>
      <c r="CX171" s="19" t="n">
        <f aca="false">IF(AND('Bonding Program'!$S$30=1,'Bonding Program'!$H$30&gt;'Bonding Program'!$C$8,CX$3='Bonding Program'!$H$30),'Bonding Program'!$T$30-'Bonding Program'!$U$30-'Bonding Program'!$Z$30,0)-IF(AND('Bonding Program'!$S$30=1,'Bonding Program'!$H$30&lt;='Bonding Program'!$C$8,CX$3=IF('Bonding Program'!$P$30&lt;&gt;"",'Bonding Program'!$P$30,'Bonding Program'!$C$8)),'Bonding Program'!$Z$30,0)+IF(AND('Bonding Program'!$P$30&lt;&gt;"",CX$3='Bonding Program'!$P$30,CX$3&lt;='Bonding Program'!$C$8),N('Bonding Program'!$O$30),0)</f>
        <v>0</v>
      </c>
      <c r="CY171" s="19" t="n">
        <f aca="false">IF(AND('Bonding Program'!$S$30=1,'Bonding Program'!$H$30&gt;'Bonding Program'!$C$8,CY$3='Bonding Program'!$H$30),'Bonding Program'!$T$30-'Bonding Program'!$U$30-'Bonding Program'!$Z$30,0)-IF(AND('Bonding Program'!$S$30=1,'Bonding Program'!$H$30&lt;='Bonding Program'!$C$8,CY$3=IF('Bonding Program'!$P$30&lt;&gt;"",'Bonding Program'!$P$30,'Bonding Program'!$C$8)),'Bonding Program'!$Z$30,0)+IF(AND('Bonding Program'!$P$30&lt;&gt;"",CY$3='Bonding Program'!$P$30,CY$3&lt;='Bonding Program'!$C$8),N('Bonding Program'!$O$30),0)</f>
        <v>0</v>
      </c>
      <c r="CZ171" s="19" t="n">
        <f aca="false">IF(AND('Bonding Program'!$S$30=1,'Bonding Program'!$H$30&gt;'Bonding Program'!$C$8,CZ$3='Bonding Program'!$H$30),'Bonding Program'!$T$30-'Bonding Program'!$U$30-'Bonding Program'!$Z$30,0)-IF(AND('Bonding Program'!$S$30=1,'Bonding Program'!$H$30&lt;='Bonding Program'!$C$8,CZ$3=IF('Bonding Program'!$P$30&lt;&gt;"",'Bonding Program'!$P$30,'Bonding Program'!$C$8)),'Bonding Program'!$Z$30,0)+IF(AND('Bonding Program'!$P$30&lt;&gt;"",CZ$3='Bonding Program'!$P$30,CZ$3&lt;='Bonding Program'!$C$8),N('Bonding Program'!$O$30),0)</f>
        <v>0</v>
      </c>
      <c r="DA171" s="19" t="n">
        <f aca="false">IF(AND('Bonding Program'!$S$30=1,'Bonding Program'!$H$30&gt;'Bonding Program'!$C$8,DA$3='Bonding Program'!$H$30),'Bonding Program'!$T$30-'Bonding Program'!$U$30-'Bonding Program'!$Z$30,0)-IF(AND('Bonding Program'!$S$30=1,'Bonding Program'!$H$30&lt;='Bonding Program'!$C$8,DA$3=IF('Bonding Program'!$P$30&lt;&gt;"",'Bonding Program'!$P$30,'Bonding Program'!$C$8)),'Bonding Program'!$Z$30,0)+IF(AND('Bonding Program'!$P$30&lt;&gt;"",DA$3='Bonding Program'!$P$30,DA$3&lt;='Bonding Program'!$C$8),N('Bonding Program'!$O$30),0)</f>
        <v>0</v>
      </c>
      <c r="DB171" s="19" t="n">
        <f aca="false">IF(AND('Bonding Program'!$S$30=1,'Bonding Program'!$H$30&gt;'Bonding Program'!$C$8,DB$3='Bonding Program'!$H$30),'Bonding Program'!$T$30-'Bonding Program'!$U$30-'Bonding Program'!$Z$30,0)-IF(AND('Bonding Program'!$S$30=1,'Bonding Program'!$H$30&lt;='Bonding Program'!$C$8,DB$3=IF('Bonding Program'!$P$30&lt;&gt;"",'Bonding Program'!$P$30,'Bonding Program'!$C$8)),'Bonding Program'!$Z$30,0)+IF(AND('Bonding Program'!$P$30&lt;&gt;"",DB$3='Bonding Program'!$P$30,DB$3&lt;='Bonding Program'!$C$8),N('Bonding Program'!$O$30),0)</f>
        <v>0</v>
      </c>
      <c r="DC171" s="19" t="n">
        <f aca="false">IF(AND('Bonding Program'!$S$30=1,'Bonding Program'!$H$30&gt;'Bonding Program'!$C$8,DC$3='Bonding Program'!$H$30),'Bonding Program'!$T$30-'Bonding Program'!$U$30-'Bonding Program'!$Z$30,0)-IF(AND('Bonding Program'!$S$30=1,'Bonding Program'!$H$30&lt;='Bonding Program'!$C$8,DC$3=IF('Bonding Program'!$P$30&lt;&gt;"",'Bonding Program'!$P$30,'Bonding Program'!$C$8)),'Bonding Program'!$Z$30,0)+IF(AND('Bonding Program'!$P$30&lt;&gt;"",DC$3='Bonding Program'!$P$30,DC$3&lt;='Bonding Program'!$C$8),N('Bonding Program'!$O$30),0)</f>
        <v>0</v>
      </c>
      <c r="DD171" s="19" t="n">
        <f aca="false">IF(AND('Bonding Program'!$S$30=1,'Bonding Program'!$H$30&gt;'Bonding Program'!$C$8,DD$3='Bonding Program'!$H$30),'Bonding Program'!$T$30-'Bonding Program'!$U$30-'Bonding Program'!$Z$30,0)-IF(AND('Bonding Program'!$S$30=1,'Bonding Program'!$H$30&lt;='Bonding Program'!$C$8,DD$3=IF('Bonding Program'!$P$30&lt;&gt;"",'Bonding Program'!$P$30,'Bonding Program'!$C$8)),'Bonding Program'!$Z$30,0)+IF(AND('Bonding Program'!$P$30&lt;&gt;"",DD$3='Bonding Program'!$P$30,DD$3&lt;='Bonding Program'!$C$8),N('Bonding Program'!$O$30),0)</f>
        <v>0</v>
      </c>
      <c r="DE171" s="19" t="n">
        <f aca="false">IF(AND('Bonding Program'!$S$30=1,'Bonding Program'!$H$30&gt;'Bonding Program'!$C$8,DE$3='Bonding Program'!$H$30),'Bonding Program'!$T$30-'Bonding Program'!$U$30-'Bonding Program'!$Z$30,0)-IF(AND('Bonding Program'!$S$30=1,'Bonding Program'!$H$30&lt;='Bonding Program'!$C$8,DE$3=IF('Bonding Program'!$P$30&lt;&gt;"",'Bonding Program'!$P$30,'Bonding Program'!$C$8)),'Bonding Program'!$Z$30,0)+IF(AND('Bonding Program'!$P$30&lt;&gt;"",DE$3='Bonding Program'!$P$30,DE$3&lt;='Bonding Program'!$C$8),N('Bonding Program'!$O$30),0)</f>
        <v>0</v>
      </c>
    </row>
    <row r="172" customFormat="false" ht="15" hidden="false" customHeight="true" outlineLevel="1" collapsed="false">
      <c r="A172" s="28" t="s">
        <v>27</v>
      </c>
      <c r="B172" s="19" t="n">
        <f aca="false">IF(AND('Bonding Program'!$S$31=1,'Bonding Program'!$H$31&gt;'Bonding Program'!$C$8,B$3='Bonding Program'!$H$31),'Bonding Program'!$T$31-'Bonding Program'!$U$31-'Bonding Program'!$Z$31,0)-IF(AND('Bonding Program'!$S$31=1,'Bonding Program'!$H$31&lt;='Bonding Program'!$C$8,B$3=IF('Bonding Program'!$P$31&lt;&gt;"",'Bonding Program'!$P$31,'Bonding Program'!$C$8)),'Bonding Program'!$Z$31,0)+IF(AND('Bonding Program'!$P$31&lt;&gt;"",B$3='Bonding Program'!$P$31,B$3&lt;='Bonding Program'!$C$8),N('Bonding Program'!$O$31),0)</f>
        <v>0</v>
      </c>
      <c r="C172" s="19" t="n">
        <f aca="false">IF(AND('Bonding Program'!$S$31=1,'Bonding Program'!$H$31&gt;'Bonding Program'!$C$8,C$3='Bonding Program'!$H$31),'Bonding Program'!$T$31-'Bonding Program'!$U$31-'Bonding Program'!$Z$31,0)-IF(AND('Bonding Program'!$S$31=1,'Bonding Program'!$H$31&lt;='Bonding Program'!$C$8,C$3=IF('Bonding Program'!$P$31&lt;&gt;"",'Bonding Program'!$P$31,'Bonding Program'!$C$8)),'Bonding Program'!$Z$31,0)+IF(AND('Bonding Program'!$P$31&lt;&gt;"",C$3='Bonding Program'!$P$31,C$3&lt;='Bonding Program'!$C$8),N('Bonding Program'!$O$31),0)</f>
        <v>0</v>
      </c>
      <c r="D172" s="19" t="n">
        <f aca="false">IF(AND('Bonding Program'!$S$31=1,'Bonding Program'!$H$31&gt;'Bonding Program'!$C$8,D$3='Bonding Program'!$H$31),'Bonding Program'!$T$31-'Bonding Program'!$U$31-'Bonding Program'!$Z$31,0)-IF(AND('Bonding Program'!$S$31=1,'Bonding Program'!$H$31&lt;='Bonding Program'!$C$8,D$3=IF('Bonding Program'!$P$31&lt;&gt;"",'Bonding Program'!$P$31,'Bonding Program'!$C$8)),'Bonding Program'!$Z$31,0)+IF(AND('Bonding Program'!$P$31&lt;&gt;"",D$3='Bonding Program'!$P$31,D$3&lt;='Bonding Program'!$C$8),N('Bonding Program'!$O$31),0)</f>
        <v>0</v>
      </c>
      <c r="E172" s="19" t="n">
        <f aca="false">IF(AND('Bonding Program'!$S$31=1,'Bonding Program'!$H$31&gt;'Bonding Program'!$C$8,E$3='Bonding Program'!$H$31),'Bonding Program'!$T$31-'Bonding Program'!$U$31-'Bonding Program'!$Z$31,0)-IF(AND('Bonding Program'!$S$31=1,'Bonding Program'!$H$31&lt;='Bonding Program'!$C$8,E$3=IF('Bonding Program'!$P$31&lt;&gt;"",'Bonding Program'!$P$31,'Bonding Program'!$C$8)),'Bonding Program'!$Z$31,0)+IF(AND('Bonding Program'!$P$31&lt;&gt;"",E$3='Bonding Program'!$P$31,E$3&lt;='Bonding Program'!$C$8),N('Bonding Program'!$O$31),0)</f>
        <v>0</v>
      </c>
      <c r="F172" s="19" t="n">
        <f aca="false">IF(AND('Bonding Program'!$S$31=1,'Bonding Program'!$H$31&gt;'Bonding Program'!$C$8,F$3='Bonding Program'!$H$31),'Bonding Program'!$T$31-'Bonding Program'!$U$31-'Bonding Program'!$Z$31,0)-IF(AND('Bonding Program'!$S$31=1,'Bonding Program'!$H$31&lt;='Bonding Program'!$C$8,F$3=IF('Bonding Program'!$P$31&lt;&gt;"",'Bonding Program'!$P$31,'Bonding Program'!$C$8)),'Bonding Program'!$Z$31,0)+IF(AND('Bonding Program'!$P$31&lt;&gt;"",F$3='Bonding Program'!$P$31,F$3&lt;='Bonding Program'!$C$8),N('Bonding Program'!$O$31),0)</f>
        <v>0</v>
      </c>
      <c r="G172" s="19" t="n">
        <f aca="false">IF(AND('Bonding Program'!$S$31=1,'Bonding Program'!$H$31&gt;'Bonding Program'!$C$8,G$3='Bonding Program'!$H$31),'Bonding Program'!$T$31-'Bonding Program'!$U$31-'Bonding Program'!$Z$31,0)-IF(AND('Bonding Program'!$S$31=1,'Bonding Program'!$H$31&lt;='Bonding Program'!$C$8,G$3=IF('Bonding Program'!$P$31&lt;&gt;"",'Bonding Program'!$P$31,'Bonding Program'!$C$8)),'Bonding Program'!$Z$31,0)+IF(AND('Bonding Program'!$P$31&lt;&gt;"",G$3='Bonding Program'!$P$31,G$3&lt;='Bonding Program'!$C$8),N('Bonding Program'!$O$31),0)</f>
        <v>0</v>
      </c>
      <c r="H172" s="19" t="n">
        <f aca="false">IF(AND('Bonding Program'!$S$31=1,'Bonding Program'!$H$31&gt;'Bonding Program'!$C$8,H$3='Bonding Program'!$H$31),'Bonding Program'!$T$31-'Bonding Program'!$U$31-'Bonding Program'!$Z$31,0)-IF(AND('Bonding Program'!$S$31=1,'Bonding Program'!$H$31&lt;='Bonding Program'!$C$8,H$3=IF('Bonding Program'!$P$31&lt;&gt;"",'Bonding Program'!$P$31,'Bonding Program'!$C$8)),'Bonding Program'!$Z$31,0)+IF(AND('Bonding Program'!$P$31&lt;&gt;"",H$3='Bonding Program'!$P$31,H$3&lt;='Bonding Program'!$C$8),N('Bonding Program'!$O$31),0)</f>
        <v>0</v>
      </c>
      <c r="I172" s="19" t="n">
        <f aca="false">IF(AND('Bonding Program'!$S$31=1,'Bonding Program'!$H$31&gt;'Bonding Program'!$C$8,I$3='Bonding Program'!$H$31),'Bonding Program'!$T$31-'Bonding Program'!$U$31-'Bonding Program'!$Z$31,0)-IF(AND('Bonding Program'!$S$31=1,'Bonding Program'!$H$31&lt;='Bonding Program'!$C$8,I$3=IF('Bonding Program'!$P$31&lt;&gt;"",'Bonding Program'!$P$31,'Bonding Program'!$C$8)),'Bonding Program'!$Z$31,0)+IF(AND('Bonding Program'!$P$31&lt;&gt;"",I$3='Bonding Program'!$P$31,I$3&lt;='Bonding Program'!$C$8),N('Bonding Program'!$O$31),0)</f>
        <v>0</v>
      </c>
      <c r="J172" s="19" t="n">
        <f aca="false">IF(AND('Bonding Program'!$S$31=1,'Bonding Program'!$H$31&gt;'Bonding Program'!$C$8,J$3='Bonding Program'!$H$31),'Bonding Program'!$T$31-'Bonding Program'!$U$31-'Bonding Program'!$Z$31,0)-IF(AND('Bonding Program'!$S$31=1,'Bonding Program'!$H$31&lt;='Bonding Program'!$C$8,J$3=IF('Bonding Program'!$P$31&lt;&gt;"",'Bonding Program'!$P$31,'Bonding Program'!$C$8)),'Bonding Program'!$Z$31,0)+IF(AND('Bonding Program'!$P$31&lt;&gt;"",J$3='Bonding Program'!$P$31,J$3&lt;='Bonding Program'!$C$8),N('Bonding Program'!$O$31),0)</f>
        <v>0</v>
      </c>
      <c r="K172" s="19" t="n">
        <f aca="false">IF(AND('Bonding Program'!$S$31=1,'Bonding Program'!$H$31&gt;'Bonding Program'!$C$8,K$3='Bonding Program'!$H$31),'Bonding Program'!$T$31-'Bonding Program'!$U$31-'Bonding Program'!$Z$31,0)-IF(AND('Bonding Program'!$S$31=1,'Bonding Program'!$H$31&lt;='Bonding Program'!$C$8,K$3=IF('Bonding Program'!$P$31&lt;&gt;"",'Bonding Program'!$P$31,'Bonding Program'!$C$8)),'Bonding Program'!$Z$31,0)+IF(AND('Bonding Program'!$P$31&lt;&gt;"",K$3='Bonding Program'!$P$31,K$3&lt;='Bonding Program'!$C$8),N('Bonding Program'!$O$31),0)</f>
        <v>0</v>
      </c>
      <c r="L172" s="19" t="n">
        <f aca="false">IF(AND('Bonding Program'!$S$31=1,'Bonding Program'!$H$31&gt;'Bonding Program'!$C$8,L$3='Bonding Program'!$H$31),'Bonding Program'!$T$31-'Bonding Program'!$U$31-'Bonding Program'!$Z$31,0)-IF(AND('Bonding Program'!$S$31=1,'Bonding Program'!$H$31&lt;='Bonding Program'!$C$8,L$3=IF('Bonding Program'!$P$31&lt;&gt;"",'Bonding Program'!$P$31,'Bonding Program'!$C$8)),'Bonding Program'!$Z$31,0)+IF(AND('Bonding Program'!$P$31&lt;&gt;"",L$3='Bonding Program'!$P$31,L$3&lt;='Bonding Program'!$C$8),N('Bonding Program'!$O$31),0)</f>
        <v>0</v>
      </c>
      <c r="M172" s="19" t="n">
        <f aca="false">IF(AND('Bonding Program'!$S$31=1,'Bonding Program'!$H$31&gt;'Bonding Program'!$C$8,M$3='Bonding Program'!$H$31),'Bonding Program'!$T$31-'Bonding Program'!$U$31-'Bonding Program'!$Z$31,0)-IF(AND('Bonding Program'!$S$31=1,'Bonding Program'!$H$31&lt;='Bonding Program'!$C$8,M$3=IF('Bonding Program'!$P$31&lt;&gt;"",'Bonding Program'!$P$31,'Bonding Program'!$C$8)),'Bonding Program'!$Z$31,0)+IF(AND('Bonding Program'!$P$31&lt;&gt;"",M$3='Bonding Program'!$P$31,M$3&lt;='Bonding Program'!$C$8),N('Bonding Program'!$O$31),0)</f>
        <v>0</v>
      </c>
      <c r="N172" s="19" t="n">
        <f aca="false">IF(AND('Bonding Program'!$S$31=1,'Bonding Program'!$H$31&gt;'Bonding Program'!$C$8,N$3='Bonding Program'!$H$31),'Bonding Program'!$T$31-'Bonding Program'!$U$31-'Bonding Program'!$Z$31,0)-IF(AND('Bonding Program'!$S$31=1,'Bonding Program'!$H$31&lt;='Bonding Program'!$C$8,N$3=IF('Bonding Program'!$P$31&lt;&gt;"",'Bonding Program'!$P$31,'Bonding Program'!$C$8)),'Bonding Program'!$Z$31,0)+IF(AND('Bonding Program'!$P$31&lt;&gt;"",N$3='Bonding Program'!$P$31,N$3&lt;='Bonding Program'!$C$8),N('Bonding Program'!$O$31),0)</f>
        <v>0</v>
      </c>
      <c r="O172" s="19" t="n">
        <f aca="false">IF(AND('Bonding Program'!$S$31=1,'Bonding Program'!$H$31&gt;'Bonding Program'!$C$8,O$3='Bonding Program'!$H$31),'Bonding Program'!$T$31-'Bonding Program'!$U$31-'Bonding Program'!$Z$31,0)-IF(AND('Bonding Program'!$S$31=1,'Bonding Program'!$H$31&lt;='Bonding Program'!$C$8,O$3=IF('Bonding Program'!$P$31&lt;&gt;"",'Bonding Program'!$P$31,'Bonding Program'!$C$8)),'Bonding Program'!$Z$31,0)+IF(AND('Bonding Program'!$P$31&lt;&gt;"",O$3='Bonding Program'!$P$31,O$3&lt;='Bonding Program'!$C$8),N('Bonding Program'!$O$31),0)</f>
        <v>0</v>
      </c>
      <c r="P172" s="19" t="n">
        <f aca="false">IF(AND('Bonding Program'!$S$31=1,'Bonding Program'!$H$31&gt;'Bonding Program'!$C$8,P$3='Bonding Program'!$H$31),'Bonding Program'!$T$31-'Bonding Program'!$U$31-'Bonding Program'!$Z$31,0)-IF(AND('Bonding Program'!$S$31=1,'Bonding Program'!$H$31&lt;='Bonding Program'!$C$8,P$3=IF('Bonding Program'!$P$31&lt;&gt;"",'Bonding Program'!$P$31,'Bonding Program'!$C$8)),'Bonding Program'!$Z$31,0)+IF(AND('Bonding Program'!$P$31&lt;&gt;"",P$3='Bonding Program'!$P$31,P$3&lt;='Bonding Program'!$C$8),N('Bonding Program'!$O$31),0)</f>
        <v>0</v>
      </c>
      <c r="Q172" s="19" t="n">
        <f aca="false">IF(AND('Bonding Program'!$S$31=1,'Bonding Program'!$H$31&gt;'Bonding Program'!$C$8,Q$3='Bonding Program'!$H$31),'Bonding Program'!$T$31-'Bonding Program'!$U$31-'Bonding Program'!$Z$31,0)-IF(AND('Bonding Program'!$S$31=1,'Bonding Program'!$H$31&lt;='Bonding Program'!$C$8,Q$3=IF('Bonding Program'!$P$31&lt;&gt;"",'Bonding Program'!$P$31,'Bonding Program'!$C$8)),'Bonding Program'!$Z$31,0)+IF(AND('Bonding Program'!$P$31&lt;&gt;"",Q$3='Bonding Program'!$P$31,Q$3&lt;='Bonding Program'!$C$8),N('Bonding Program'!$O$31),0)</f>
        <v>0</v>
      </c>
      <c r="R172" s="19" t="n">
        <f aca="false">IF(AND('Bonding Program'!$S$31=1,'Bonding Program'!$H$31&gt;'Bonding Program'!$C$8,R$3='Bonding Program'!$H$31),'Bonding Program'!$T$31-'Bonding Program'!$U$31-'Bonding Program'!$Z$31,0)-IF(AND('Bonding Program'!$S$31=1,'Bonding Program'!$H$31&lt;='Bonding Program'!$C$8,R$3=IF('Bonding Program'!$P$31&lt;&gt;"",'Bonding Program'!$P$31,'Bonding Program'!$C$8)),'Bonding Program'!$Z$31,0)+IF(AND('Bonding Program'!$P$31&lt;&gt;"",R$3='Bonding Program'!$P$31,R$3&lt;='Bonding Program'!$C$8),N('Bonding Program'!$O$31),0)</f>
        <v>0</v>
      </c>
      <c r="S172" s="19" t="n">
        <f aca="false">IF(AND('Bonding Program'!$S$31=1,'Bonding Program'!$H$31&gt;'Bonding Program'!$C$8,S$3='Bonding Program'!$H$31),'Bonding Program'!$T$31-'Bonding Program'!$U$31-'Bonding Program'!$Z$31,0)-IF(AND('Bonding Program'!$S$31=1,'Bonding Program'!$H$31&lt;='Bonding Program'!$C$8,S$3=IF('Bonding Program'!$P$31&lt;&gt;"",'Bonding Program'!$P$31,'Bonding Program'!$C$8)),'Bonding Program'!$Z$31,0)+IF(AND('Bonding Program'!$P$31&lt;&gt;"",S$3='Bonding Program'!$P$31,S$3&lt;='Bonding Program'!$C$8),N('Bonding Program'!$O$31),0)</f>
        <v>0</v>
      </c>
      <c r="T172" s="19" t="n">
        <f aca="false">IF(AND('Bonding Program'!$S$31=1,'Bonding Program'!$H$31&gt;'Bonding Program'!$C$8,T$3='Bonding Program'!$H$31),'Bonding Program'!$T$31-'Bonding Program'!$U$31-'Bonding Program'!$Z$31,0)-IF(AND('Bonding Program'!$S$31=1,'Bonding Program'!$H$31&lt;='Bonding Program'!$C$8,T$3=IF('Bonding Program'!$P$31&lt;&gt;"",'Bonding Program'!$P$31,'Bonding Program'!$C$8)),'Bonding Program'!$Z$31,0)+IF(AND('Bonding Program'!$P$31&lt;&gt;"",T$3='Bonding Program'!$P$31,T$3&lt;='Bonding Program'!$C$8),N('Bonding Program'!$O$31),0)</f>
        <v>0</v>
      </c>
      <c r="U172" s="19" t="n">
        <f aca="false">IF(AND('Bonding Program'!$S$31=1,'Bonding Program'!$H$31&gt;'Bonding Program'!$C$8,U$3='Bonding Program'!$H$31),'Bonding Program'!$T$31-'Bonding Program'!$U$31-'Bonding Program'!$Z$31,0)-IF(AND('Bonding Program'!$S$31=1,'Bonding Program'!$H$31&lt;='Bonding Program'!$C$8,U$3=IF('Bonding Program'!$P$31&lt;&gt;"",'Bonding Program'!$P$31,'Bonding Program'!$C$8)),'Bonding Program'!$Z$31,0)+IF(AND('Bonding Program'!$P$31&lt;&gt;"",U$3='Bonding Program'!$P$31,U$3&lt;='Bonding Program'!$C$8),N('Bonding Program'!$O$31),0)</f>
        <v>0</v>
      </c>
      <c r="V172" s="19" t="n">
        <f aca="false">IF(AND('Bonding Program'!$S$31=1,'Bonding Program'!$H$31&gt;'Bonding Program'!$C$8,V$3='Bonding Program'!$H$31),'Bonding Program'!$T$31-'Bonding Program'!$U$31-'Bonding Program'!$Z$31,0)-IF(AND('Bonding Program'!$S$31=1,'Bonding Program'!$H$31&lt;='Bonding Program'!$C$8,V$3=IF('Bonding Program'!$P$31&lt;&gt;"",'Bonding Program'!$P$31,'Bonding Program'!$C$8)),'Bonding Program'!$Z$31,0)+IF(AND('Bonding Program'!$P$31&lt;&gt;"",V$3='Bonding Program'!$P$31,V$3&lt;='Bonding Program'!$C$8),N('Bonding Program'!$O$31),0)</f>
        <v>0</v>
      </c>
      <c r="W172" s="19" t="n">
        <f aca="false">IF(AND('Bonding Program'!$S$31=1,'Bonding Program'!$H$31&gt;'Bonding Program'!$C$8,W$3='Bonding Program'!$H$31),'Bonding Program'!$T$31-'Bonding Program'!$U$31-'Bonding Program'!$Z$31,0)-IF(AND('Bonding Program'!$S$31=1,'Bonding Program'!$H$31&lt;='Bonding Program'!$C$8,W$3=IF('Bonding Program'!$P$31&lt;&gt;"",'Bonding Program'!$P$31,'Bonding Program'!$C$8)),'Bonding Program'!$Z$31,0)+IF(AND('Bonding Program'!$P$31&lt;&gt;"",W$3='Bonding Program'!$P$31,W$3&lt;='Bonding Program'!$C$8),N('Bonding Program'!$O$31),0)</f>
        <v>0</v>
      </c>
      <c r="X172" s="19" t="n">
        <f aca="false">IF(AND('Bonding Program'!$S$31=1,'Bonding Program'!$H$31&gt;'Bonding Program'!$C$8,X$3='Bonding Program'!$H$31),'Bonding Program'!$T$31-'Bonding Program'!$U$31-'Bonding Program'!$Z$31,0)-IF(AND('Bonding Program'!$S$31=1,'Bonding Program'!$H$31&lt;='Bonding Program'!$C$8,X$3=IF('Bonding Program'!$P$31&lt;&gt;"",'Bonding Program'!$P$31,'Bonding Program'!$C$8)),'Bonding Program'!$Z$31,0)+IF(AND('Bonding Program'!$P$31&lt;&gt;"",X$3='Bonding Program'!$P$31,X$3&lt;='Bonding Program'!$C$8),N('Bonding Program'!$O$31),0)</f>
        <v>0</v>
      </c>
      <c r="Y172" s="19" t="n">
        <f aca="false">IF(AND('Bonding Program'!$S$31=1,'Bonding Program'!$H$31&gt;'Bonding Program'!$C$8,Y$3='Bonding Program'!$H$31),'Bonding Program'!$T$31-'Bonding Program'!$U$31-'Bonding Program'!$Z$31,0)-IF(AND('Bonding Program'!$S$31=1,'Bonding Program'!$H$31&lt;='Bonding Program'!$C$8,Y$3=IF('Bonding Program'!$P$31&lt;&gt;"",'Bonding Program'!$P$31,'Bonding Program'!$C$8)),'Bonding Program'!$Z$31,0)+IF(AND('Bonding Program'!$P$31&lt;&gt;"",Y$3='Bonding Program'!$P$31,Y$3&lt;='Bonding Program'!$C$8),N('Bonding Program'!$O$31),0)</f>
        <v>0</v>
      </c>
      <c r="Z172" s="19" t="n">
        <f aca="false">IF(AND('Bonding Program'!$S$31=1,'Bonding Program'!$H$31&gt;'Bonding Program'!$C$8,Z$3='Bonding Program'!$H$31),'Bonding Program'!$T$31-'Bonding Program'!$U$31-'Bonding Program'!$Z$31,0)-IF(AND('Bonding Program'!$S$31=1,'Bonding Program'!$H$31&lt;='Bonding Program'!$C$8,Z$3=IF('Bonding Program'!$P$31&lt;&gt;"",'Bonding Program'!$P$31,'Bonding Program'!$C$8)),'Bonding Program'!$Z$31,0)+IF(AND('Bonding Program'!$P$31&lt;&gt;"",Z$3='Bonding Program'!$P$31,Z$3&lt;='Bonding Program'!$C$8),N('Bonding Program'!$O$31),0)</f>
        <v>0</v>
      </c>
      <c r="AA172" s="19" t="n">
        <f aca="false">IF(AND('Bonding Program'!$S$31=1,'Bonding Program'!$H$31&gt;'Bonding Program'!$C$8,AA$3='Bonding Program'!$H$31),'Bonding Program'!$T$31-'Bonding Program'!$U$31-'Bonding Program'!$Z$31,0)-IF(AND('Bonding Program'!$S$31=1,'Bonding Program'!$H$31&lt;='Bonding Program'!$C$8,AA$3=IF('Bonding Program'!$P$31&lt;&gt;"",'Bonding Program'!$P$31,'Bonding Program'!$C$8)),'Bonding Program'!$Z$31,0)+IF(AND('Bonding Program'!$P$31&lt;&gt;"",AA$3='Bonding Program'!$P$31,AA$3&lt;='Bonding Program'!$C$8),N('Bonding Program'!$O$31),0)</f>
        <v>0</v>
      </c>
      <c r="AB172" s="19" t="n">
        <f aca="false">IF(AND('Bonding Program'!$S$31=1,'Bonding Program'!$H$31&gt;'Bonding Program'!$C$8,AB$3='Bonding Program'!$H$31),'Bonding Program'!$T$31-'Bonding Program'!$U$31-'Bonding Program'!$Z$31,0)-IF(AND('Bonding Program'!$S$31=1,'Bonding Program'!$H$31&lt;='Bonding Program'!$C$8,AB$3=IF('Bonding Program'!$P$31&lt;&gt;"",'Bonding Program'!$P$31,'Bonding Program'!$C$8)),'Bonding Program'!$Z$31,0)+IF(AND('Bonding Program'!$P$31&lt;&gt;"",AB$3='Bonding Program'!$P$31,AB$3&lt;='Bonding Program'!$C$8),N('Bonding Program'!$O$31),0)</f>
        <v>0</v>
      </c>
      <c r="AC172" s="19" t="n">
        <f aca="false">IF(AND('Bonding Program'!$S$31=1,'Bonding Program'!$H$31&gt;'Bonding Program'!$C$8,AC$3='Bonding Program'!$H$31),'Bonding Program'!$T$31-'Bonding Program'!$U$31-'Bonding Program'!$Z$31,0)-IF(AND('Bonding Program'!$S$31=1,'Bonding Program'!$H$31&lt;='Bonding Program'!$C$8,AC$3=IF('Bonding Program'!$P$31&lt;&gt;"",'Bonding Program'!$P$31,'Bonding Program'!$C$8)),'Bonding Program'!$Z$31,0)+IF(AND('Bonding Program'!$P$31&lt;&gt;"",AC$3='Bonding Program'!$P$31,AC$3&lt;='Bonding Program'!$C$8),N('Bonding Program'!$O$31),0)</f>
        <v>0</v>
      </c>
      <c r="AD172" s="19" t="n">
        <f aca="false">IF(AND('Bonding Program'!$S$31=1,'Bonding Program'!$H$31&gt;'Bonding Program'!$C$8,AD$3='Bonding Program'!$H$31),'Bonding Program'!$T$31-'Bonding Program'!$U$31-'Bonding Program'!$Z$31,0)-IF(AND('Bonding Program'!$S$31=1,'Bonding Program'!$H$31&lt;='Bonding Program'!$C$8,AD$3=IF('Bonding Program'!$P$31&lt;&gt;"",'Bonding Program'!$P$31,'Bonding Program'!$C$8)),'Bonding Program'!$Z$31,0)+IF(AND('Bonding Program'!$P$31&lt;&gt;"",AD$3='Bonding Program'!$P$31,AD$3&lt;='Bonding Program'!$C$8),N('Bonding Program'!$O$31),0)</f>
        <v>0</v>
      </c>
      <c r="AE172" s="19" t="n">
        <f aca="false">IF(AND('Bonding Program'!$S$31=1,'Bonding Program'!$H$31&gt;'Bonding Program'!$C$8,AE$3='Bonding Program'!$H$31),'Bonding Program'!$T$31-'Bonding Program'!$U$31-'Bonding Program'!$Z$31,0)-IF(AND('Bonding Program'!$S$31=1,'Bonding Program'!$H$31&lt;='Bonding Program'!$C$8,AE$3=IF('Bonding Program'!$P$31&lt;&gt;"",'Bonding Program'!$P$31,'Bonding Program'!$C$8)),'Bonding Program'!$Z$31,0)+IF(AND('Bonding Program'!$P$31&lt;&gt;"",AE$3='Bonding Program'!$P$31,AE$3&lt;='Bonding Program'!$C$8),N('Bonding Program'!$O$31),0)</f>
        <v>0</v>
      </c>
      <c r="AF172" s="19" t="n">
        <f aca="false">IF(AND('Bonding Program'!$S$31=1,'Bonding Program'!$H$31&gt;'Bonding Program'!$C$8,AF$3='Bonding Program'!$H$31),'Bonding Program'!$T$31-'Bonding Program'!$U$31-'Bonding Program'!$Z$31,0)-IF(AND('Bonding Program'!$S$31=1,'Bonding Program'!$H$31&lt;='Bonding Program'!$C$8,AF$3=IF('Bonding Program'!$P$31&lt;&gt;"",'Bonding Program'!$P$31,'Bonding Program'!$C$8)),'Bonding Program'!$Z$31,0)+IF(AND('Bonding Program'!$P$31&lt;&gt;"",AF$3='Bonding Program'!$P$31,AF$3&lt;='Bonding Program'!$C$8),N('Bonding Program'!$O$31),0)</f>
        <v>0</v>
      </c>
      <c r="AG172" s="19" t="n">
        <f aca="false">IF(AND('Bonding Program'!$S$31=1,'Bonding Program'!$H$31&gt;'Bonding Program'!$C$8,AG$3='Bonding Program'!$H$31),'Bonding Program'!$T$31-'Bonding Program'!$U$31-'Bonding Program'!$Z$31,0)-IF(AND('Bonding Program'!$S$31=1,'Bonding Program'!$H$31&lt;='Bonding Program'!$C$8,AG$3=IF('Bonding Program'!$P$31&lt;&gt;"",'Bonding Program'!$P$31,'Bonding Program'!$C$8)),'Bonding Program'!$Z$31,0)+IF(AND('Bonding Program'!$P$31&lt;&gt;"",AG$3='Bonding Program'!$P$31,AG$3&lt;='Bonding Program'!$C$8),N('Bonding Program'!$O$31),0)</f>
        <v>0</v>
      </c>
      <c r="AH172" s="19" t="n">
        <f aca="false">IF(AND('Bonding Program'!$S$31=1,'Bonding Program'!$H$31&gt;'Bonding Program'!$C$8,AH$3='Bonding Program'!$H$31),'Bonding Program'!$T$31-'Bonding Program'!$U$31-'Bonding Program'!$Z$31,0)-IF(AND('Bonding Program'!$S$31=1,'Bonding Program'!$H$31&lt;='Bonding Program'!$C$8,AH$3=IF('Bonding Program'!$P$31&lt;&gt;"",'Bonding Program'!$P$31,'Bonding Program'!$C$8)),'Bonding Program'!$Z$31,0)+IF(AND('Bonding Program'!$P$31&lt;&gt;"",AH$3='Bonding Program'!$P$31,AH$3&lt;='Bonding Program'!$C$8),N('Bonding Program'!$O$31),0)</f>
        <v>0</v>
      </c>
      <c r="AI172" s="19" t="n">
        <f aca="false">IF(AND('Bonding Program'!$S$31=1,'Bonding Program'!$H$31&gt;'Bonding Program'!$C$8,AI$3='Bonding Program'!$H$31),'Bonding Program'!$T$31-'Bonding Program'!$U$31-'Bonding Program'!$Z$31,0)-IF(AND('Bonding Program'!$S$31=1,'Bonding Program'!$H$31&lt;='Bonding Program'!$C$8,AI$3=IF('Bonding Program'!$P$31&lt;&gt;"",'Bonding Program'!$P$31,'Bonding Program'!$C$8)),'Bonding Program'!$Z$31,0)+IF(AND('Bonding Program'!$P$31&lt;&gt;"",AI$3='Bonding Program'!$P$31,AI$3&lt;='Bonding Program'!$C$8),N('Bonding Program'!$O$31),0)</f>
        <v>0</v>
      </c>
      <c r="AJ172" s="19" t="n">
        <f aca="false">IF(AND('Bonding Program'!$S$31=1,'Bonding Program'!$H$31&gt;'Bonding Program'!$C$8,AJ$3='Bonding Program'!$H$31),'Bonding Program'!$T$31-'Bonding Program'!$U$31-'Bonding Program'!$Z$31,0)-IF(AND('Bonding Program'!$S$31=1,'Bonding Program'!$H$31&lt;='Bonding Program'!$C$8,AJ$3=IF('Bonding Program'!$P$31&lt;&gt;"",'Bonding Program'!$P$31,'Bonding Program'!$C$8)),'Bonding Program'!$Z$31,0)+IF(AND('Bonding Program'!$P$31&lt;&gt;"",AJ$3='Bonding Program'!$P$31,AJ$3&lt;='Bonding Program'!$C$8),N('Bonding Program'!$O$31),0)</f>
        <v>0</v>
      </c>
      <c r="AK172" s="19" t="n">
        <f aca="false">IF(AND('Bonding Program'!$S$31=1,'Bonding Program'!$H$31&gt;'Bonding Program'!$C$8,AK$3='Bonding Program'!$H$31),'Bonding Program'!$T$31-'Bonding Program'!$U$31-'Bonding Program'!$Z$31,0)-IF(AND('Bonding Program'!$S$31=1,'Bonding Program'!$H$31&lt;='Bonding Program'!$C$8,AK$3=IF('Bonding Program'!$P$31&lt;&gt;"",'Bonding Program'!$P$31,'Bonding Program'!$C$8)),'Bonding Program'!$Z$31,0)+IF(AND('Bonding Program'!$P$31&lt;&gt;"",AK$3='Bonding Program'!$P$31,AK$3&lt;='Bonding Program'!$C$8),N('Bonding Program'!$O$31),0)</f>
        <v>0</v>
      </c>
      <c r="AL172" s="19" t="n">
        <f aca="false">IF(AND('Bonding Program'!$S$31=1,'Bonding Program'!$H$31&gt;'Bonding Program'!$C$8,AL$3='Bonding Program'!$H$31),'Bonding Program'!$T$31-'Bonding Program'!$U$31-'Bonding Program'!$Z$31,0)-IF(AND('Bonding Program'!$S$31=1,'Bonding Program'!$H$31&lt;='Bonding Program'!$C$8,AL$3=IF('Bonding Program'!$P$31&lt;&gt;"",'Bonding Program'!$P$31,'Bonding Program'!$C$8)),'Bonding Program'!$Z$31,0)+IF(AND('Bonding Program'!$P$31&lt;&gt;"",AL$3='Bonding Program'!$P$31,AL$3&lt;='Bonding Program'!$C$8),N('Bonding Program'!$O$31),0)</f>
        <v>0</v>
      </c>
      <c r="AM172" s="19" t="n">
        <f aca="false">IF(AND('Bonding Program'!$S$31=1,'Bonding Program'!$H$31&gt;'Bonding Program'!$C$8,AM$3='Bonding Program'!$H$31),'Bonding Program'!$T$31-'Bonding Program'!$U$31-'Bonding Program'!$Z$31,0)-IF(AND('Bonding Program'!$S$31=1,'Bonding Program'!$H$31&lt;='Bonding Program'!$C$8,AM$3=IF('Bonding Program'!$P$31&lt;&gt;"",'Bonding Program'!$P$31,'Bonding Program'!$C$8)),'Bonding Program'!$Z$31,0)+IF(AND('Bonding Program'!$P$31&lt;&gt;"",AM$3='Bonding Program'!$P$31,AM$3&lt;='Bonding Program'!$C$8),N('Bonding Program'!$O$31),0)</f>
        <v>0</v>
      </c>
      <c r="AN172" s="19" t="n">
        <f aca="false">IF(AND('Bonding Program'!$S$31=1,'Bonding Program'!$H$31&gt;'Bonding Program'!$C$8,AN$3='Bonding Program'!$H$31),'Bonding Program'!$T$31-'Bonding Program'!$U$31-'Bonding Program'!$Z$31,0)-IF(AND('Bonding Program'!$S$31=1,'Bonding Program'!$H$31&lt;='Bonding Program'!$C$8,AN$3=IF('Bonding Program'!$P$31&lt;&gt;"",'Bonding Program'!$P$31,'Bonding Program'!$C$8)),'Bonding Program'!$Z$31,0)+IF(AND('Bonding Program'!$P$31&lt;&gt;"",AN$3='Bonding Program'!$P$31,AN$3&lt;='Bonding Program'!$C$8),N('Bonding Program'!$O$31),0)</f>
        <v>0</v>
      </c>
      <c r="AO172" s="19" t="n">
        <f aca="false">IF(AND('Bonding Program'!$S$31=1,'Bonding Program'!$H$31&gt;'Bonding Program'!$C$8,AO$3='Bonding Program'!$H$31),'Bonding Program'!$T$31-'Bonding Program'!$U$31-'Bonding Program'!$Z$31,0)-IF(AND('Bonding Program'!$S$31=1,'Bonding Program'!$H$31&lt;='Bonding Program'!$C$8,AO$3=IF('Bonding Program'!$P$31&lt;&gt;"",'Bonding Program'!$P$31,'Bonding Program'!$C$8)),'Bonding Program'!$Z$31,0)+IF(AND('Bonding Program'!$P$31&lt;&gt;"",AO$3='Bonding Program'!$P$31,AO$3&lt;='Bonding Program'!$C$8),N('Bonding Program'!$O$31),0)</f>
        <v>0</v>
      </c>
      <c r="AP172" s="19" t="n">
        <f aca="false">IF(AND('Bonding Program'!$S$31=1,'Bonding Program'!$H$31&gt;'Bonding Program'!$C$8,AP$3='Bonding Program'!$H$31),'Bonding Program'!$T$31-'Bonding Program'!$U$31-'Bonding Program'!$Z$31,0)-IF(AND('Bonding Program'!$S$31=1,'Bonding Program'!$H$31&lt;='Bonding Program'!$C$8,AP$3=IF('Bonding Program'!$P$31&lt;&gt;"",'Bonding Program'!$P$31,'Bonding Program'!$C$8)),'Bonding Program'!$Z$31,0)+IF(AND('Bonding Program'!$P$31&lt;&gt;"",AP$3='Bonding Program'!$P$31,AP$3&lt;='Bonding Program'!$C$8),N('Bonding Program'!$O$31),0)</f>
        <v>0</v>
      </c>
      <c r="AQ172" s="19" t="n">
        <f aca="false">IF(AND('Bonding Program'!$S$31=1,'Bonding Program'!$H$31&gt;'Bonding Program'!$C$8,AQ$3='Bonding Program'!$H$31),'Bonding Program'!$T$31-'Bonding Program'!$U$31-'Bonding Program'!$Z$31,0)-IF(AND('Bonding Program'!$S$31=1,'Bonding Program'!$H$31&lt;='Bonding Program'!$C$8,AQ$3=IF('Bonding Program'!$P$31&lt;&gt;"",'Bonding Program'!$P$31,'Bonding Program'!$C$8)),'Bonding Program'!$Z$31,0)+IF(AND('Bonding Program'!$P$31&lt;&gt;"",AQ$3='Bonding Program'!$P$31,AQ$3&lt;='Bonding Program'!$C$8),N('Bonding Program'!$O$31),0)</f>
        <v>0</v>
      </c>
      <c r="AR172" s="19" t="n">
        <f aca="false">IF(AND('Bonding Program'!$S$31=1,'Bonding Program'!$H$31&gt;'Bonding Program'!$C$8,AR$3='Bonding Program'!$H$31),'Bonding Program'!$T$31-'Bonding Program'!$U$31-'Bonding Program'!$Z$31,0)-IF(AND('Bonding Program'!$S$31=1,'Bonding Program'!$H$31&lt;='Bonding Program'!$C$8,AR$3=IF('Bonding Program'!$P$31&lt;&gt;"",'Bonding Program'!$P$31,'Bonding Program'!$C$8)),'Bonding Program'!$Z$31,0)+IF(AND('Bonding Program'!$P$31&lt;&gt;"",AR$3='Bonding Program'!$P$31,AR$3&lt;='Bonding Program'!$C$8),N('Bonding Program'!$O$31),0)</f>
        <v>0</v>
      </c>
      <c r="AS172" s="19" t="n">
        <f aca="false">IF(AND('Bonding Program'!$S$31=1,'Bonding Program'!$H$31&gt;'Bonding Program'!$C$8,AS$3='Bonding Program'!$H$31),'Bonding Program'!$T$31-'Bonding Program'!$U$31-'Bonding Program'!$Z$31,0)-IF(AND('Bonding Program'!$S$31=1,'Bonding Program'!$H$31&lt;='Bonding Program'!$C$8,AS$3=IF('Bonding Program'!$P$31&lt;&gt;"",'Bonding Program'!$P$31,'Bonding Program'!$C$8)),'Bonding Program'!$Z$31,0)+IF(AND('Bonding Program'!$P$31&lt;&gt;"",AS$3='Bonding Program'!$P$31,AS$3&lt;='Bonding Program'!$C$8),N('Bonding Program'!$O$31),0)</f>
        <v>0</v>
      </c>
      <c r="AT172" s="19" t="n">
        <f aca="false">IF(AND('Bonding Program'!$S$31=1,'Bonding Program'!$H$31&gt;'Bonding Program'!$C$8,AT$3='Bonding Program'!$H$31),'Bonding Program'!$T$31-'Bonding Program'!$U$31-'Bonding Program'!$Z$31,0)-IF(AND('Bonding Program'!$S$31=1,'Bonding Program'!$H$31&lt;='Bonding Program'!$C$8,AT$3=IF('Bonding Program'!$P$31&lt;&gt;"",'Bonding Program'!$P$31,'Bonding Program'!$C$8)),'Bonding Program'!$Z$31,0)+IF(AND('Bonding Program'!$P$31&lt;&gt;"",AT$3='Bonding Program'!$P$31,AT$3&lt;='Bonding Program'!$C$8),N('Bonding Program'!$O$31),0)</f>
        <v>0</v>
      </c>
      <c r="AU172" s="19" t="n">
        <f aca="false">IF(AND('Bonding Program'!$S$31=1,'Bonding Program'!$H$31&gt;'Bonding Program'!$C$8,AU$3='Bonding Program'!$H$31),'Bonding Program'!$T$31-'Bonding Program'!$U$31-'Bonding Program'!$Z$31,0)-IF(AND('Bonding Program'!$S$31=1,'Bonding Program'!$H$31&lt;='Bonding Program'!$C$8,AU$3=IF('Bonding Program'!$P$31&lt;&gt;"",'Bonding Program'!$P$31,'Bonding Program'!$C$8)),'Bonding Program'!$Z$31,0)+IF(AND('Bonding Program'!$P$31&lt;&gt;"",AU$3='Bonding Program'!$P$31,AU$3&lt;='Bonding Program'!$C$8),N('Bonding Program'!$O$31),0)</f>
        <v>0</v>
      </c>
      <c r="AV172" s="19" t="n">
        <f aca="false">IF(AND('Bonding Program'!$S$31=1,'Bonding Program'!$H$31&gt;'Bonding Program'!$C$8,AV$3='Bonding Program'!$H$31),'Bonding Program'!$T$31-'Bonding Program'!$U$31-'Bonding Program'!$Z$31,0)-IF(AND('Bonding Program'!$S$31=1,'Bonding Program'!$H$31&lt;='Bonding Program'!$C$8,AV$3=IF('Bonding Program'!$P$31&lt;&gt;"",'Bonding Program'!$P$31,'Bonding Program'!$C$8)),'Bonding Program'!$Z$31,0)+IF(AND('Bonding Program'!$P$31&lt;&gt;"",AV$3='Bonding Program'!$P$31,AV$3&lt;='Bonding Program'!$C$8),N('Bonding Program'!$O$31),0)</f>
        <v>0</v>
      </c>
      <c r="AW172" s="19" t="n">
        <f aca="false">IF(AND('Bonding Program'!$S$31=1,'Bonding Program'!$H$31&gt;'Bonding Program'!$C$8,AW$3='Bonding Program'!$H$31),'Bonding Program'!$T$31-'Bonding Program'!$U$31-'Bonding Program'!$Z$31,0)-IF(AND('Bonding Program'!$S$31=1,'Bonding Program'!$H$31&lt;='Bonding Program'!$C$8,AW$3=IF('Bonding Program'!$P$31&lt;&gt;"",'Bonding Program'!$P$31,'Bonding Program'!$C$8)),'Bonding Program'!$Z$31,0)+IF(AND('Bonding Program'!$P$31&lt;&gt;"",AW$3='Bonding Program'!$P$31,AW$3&lt;='Bonding Program'!$C$8),N('Bonding Program'!$O$31),0)</f>
        <v>0</v>
      </c>
      <c r="AX172" s="19" t="n">
        <f aca="false">IF(AND('Bonding Program'!$S$31=1,'Bonding Program'!$H$31&gt;'Bonding Program'!$C$8,AX$3='Bonding Program'!$H$31),'Bonding Program'!$T$31-'Bonding Program'!$U$31-'Bonding Program'!$Z$31,0)-IF(AND('Bonding Program'!$S$31=1,'Bonding Program'!$H$31&lt;='Bonding Program'!$C$8,AX$3=IF('Bonding Program'!$P$31&lt;&gt;"",'Bonding Program'!$P$31,'Bonding Program'!$C$8)),'Bonding Program'!$Z$31,0)+IF(AND('Bonding Program'!$P$31&lt;&gt;"",AX$3='Bonding Program'!$P$31,AX$3&lt;='Bonding Program'!$C$8),N('Bonding Program'!$O$31),0)</f>
        <v>0</v>
      </c>
      <c r="AY172" s="19" t="n">
        <f aca="false">IF(AND('Bonding Program'!$S$31=1,'Bonding Program'!$H$31&gt;'Bonding Program'!$C$8,AY$3='Bonding Program'!$H$31),'Bonding Program'!$T$31-'Bonding Program'!$U$31-'Bonding Program'!$Z$31,0)-IF(AND('Bonding Program'!$S$31=1,'Bonding Program'!$H$31&lt;='Bonding Program'!$C$8,AY$3=IF('Bonding Program'!$P$31&lt;&gt;"",'Bonding Program'!$P$31,'Bonding Program'!$C$8)),'Bonding Program'!$Z$31,0)+IF(AND('Bonding Program'!$P$31&lt;&gt;"",AY$3='Bonding Program'!$P$31,AY$3&lt;='Bonding Program'!$C$8),N('Bonding Program'!$O$31),0)</f>
        <v>0</v>
      </c>
      <c r="AZ172" s="19" t="n">
        <f aca="false">IF(AND('Bonding Program'!$S$31=1,'Bonding Program'!$H$31&gt;'Bonding Program'!$C$8,AZ$3='Bonding Program'!$H$31),'Bonding Program'!$T$31-'Bonding Program'!$U$31-'Bonding Program'!$Z$31,0)-IF(AND('Bonding Program'!$S$31=1,'Bonding Program'!$H$31&lt;='Bonding Program'!$C$8,AZ$3=IF('Bonding Program'!$P$31&lt;&gt;"",'Bonding Program'!$P$31,'Bonding Program'!$C$8)),'Bonding Program'!$Z$31,0)+IF(AND('Bonding Program'!$P$31&lt;&gt;"",AZ$3='Bonding Program'!$P$31,AZ$3&lt;='Bonding Program'!$C$8),N('Bonding Program'!$O$31),0)</f>
        <v>0</v>
      </c>
      <c r="BA172" s="19" t="n">
        <f aca="false">IF(AND('Bonding Program'!$S$31=1,'Bonding Program'!$H$31&gt;'Bonding Program'!$C$8,BA$3='Bonding Program'!$H$31),'Bonding Program'!$T$31-'Bonding Program'!$U$31-'Bonding Program'!$Z$31,0)-IF(AND('Bonding Program'!$S$31=1,'Bonding Program'!$H$31&lt;='Bonding Program'!$C$8,BA$3=IF('Bonding Program'!$P$31&lt;&gt;"",'Bonding Program'!$P$31,'Bonding Program'!$C$8)),'Bonding Program'!$Z$31,0)+IF(AND('Bonding Program'!$P$31&lt;&gt;"",BA$3='Bonding Program'!$P$31,BA$3&lt;='Bonding Program'!$C$8),N('Bonding Program'!$O$31),0)</f>
        <v>0</v>
      </c>
      <c r="BB172" s="19" t="n">
        <f aca="false">IF(AND('Bonding Program'!$S$31=1,'Bonding Program'!$H$31&gt;'Bonding Program'!$C$8,BB$3='Bonding Program'!$H$31),'Bonding Program'!$T$31-'Bonding Program'!$U$31-'Bonding Program'!$Z$31,0)-IF(AND('Bonding Program'!$S$31=1,'Bonding Program'!$H$31&lt;='Bonding Program'!$C$8,BB$3=IF('Bonding Program'!$P$31&lt;&gt;"",'Bonding Program'!$P$31,'Bonding Program'!$C$8)),'Bonding Program'!$Z$31,0)+IF(AND('Bonding Program'!$P$31&lt;&gt;"",BB$3='Bonding Program'!$P$31,BB$3&lt;='Bonding Program'!$C$8),N('Bonding Program'!$O$31),0)</f>
        <v>0</v>
      </c>
      <c r="BC172" s="19" t="n">
        <f aca="false">IF(AND('Bonding Program'!$S$31=1,'Bonding Program'!$H$31&gt;'Bonding Program'!$C$8,BC$3='Bonding Program'!$H$31),'Bonding Program'!$T$31-'Bonding Program'!$U$31-'Bonding Program'!$Z$31,0)-IF(AND('Bonding Program'!$S$31=1,'Bonding Program'!$H$31&lt;='Bonding Program'!$C$8,BC$3=IF('Bonding Program'!$P$31&lt;&gt;"",'Bonding Program'!$P$31,'Bonding Program'!$C$8)),'Bonding Program'!$Z$31,0)+IF(AND('Bonding Program'!$P$31&lt;&gt;"",BC$3='Bonding Program'!$P$31,BC$3&lt;='Bonding Program'!$C$8),N('Bonding Program'!$O$31),0)</f>
        <v>0</v>
      </c>
      <c r="BD172" s="19" t="n">
        <f aca="false">IF(AND('Bonding Program'!$S$31=1,'Bonding Program'!$H$31&gt;'Bonding Program'!$C$8,BD$3='Bonding Program'!$H$31),'Bonding Program'!$T$31-'Bonding Program'!$U$31-'Bonding Program'!$Z$31,0)-IF(AND('Bonding Program'!$S$31=1,'Bonding Program'!$H$31&lt;='Bonding Program'!$C$8,BD$3=IF('Bonding Program'!$P$31&lt;&gt;"",'Bonding Program'!$P$31,'Bonding Program'!$C$8)),'Bonding Program'!$Z$31,0)+IF(AND('Bonding Program'!$P$31&lt;&gt;"",BD$3='Bonding Program'!$P$31,BD$3&lt;='Bonding Program'!$C$8),N('Bonding Program'!$O$31),0)</f>
        <v>0</v>
      </c>
      <c r="BE172" s="19" t="n">
        <f aca="false">IF(AND('Bonding Program'!$S$31=1,'Bonding Program'!$H$31&gt;'Bonding Program'!$C$8,BE$3='Bonding Program'!$H$31),'Bonding Program'!$T$31-'Bonding Program'!$U$31-'Bonding Program'!$Z$31,0)-IF(AND('Bonding Program'!$S$31=1,'Bonding Program'!$H$31&lt;='Bonding Program'!$C$8,BE$3=IF('Bonding Program'!$P$31&lt;&gt;"",'Bonding Program'!$P$31,'Bonding Program'!$C$8)),'Bonding Program'!$Z$31,0)+IF(AND('Bonding Program'!$P$31&lt;&gt;"",BE$3='Bonding Program'!$P$31,BE$3&lt;='Bonding Program'!$C$8),N('Bonding Program'!$O$31),0)</f>
        <v>0</v>
      </c>
      <c r="BF172" s="19" t="n">
        <f aca="false">IF(AND('Bonding Program'!$S$31=1,'Bonding Program'!$H$31&gt;'Bonding Program'!$C$8,BF$3='Bonding Program'!$H$31),'Bonding Program'!$T$31-'Bonding Program'!$U$31-'Bonding Program'!$Z$31,0)-IF(AND('Bonding Program'!$S$31=1,'Bonding Program'!$H$31&lt;='Bonding Program'!$C$8,BF$3=IF('Bonding Program'!$P$31&lt;&gt;"",'Bonding Program'!$P$31,'Bonding Program'!$C$8)),'Bonding Program'!$Z$31,0)+IF(AND('Bonding Program'!$P$31&lt;&gt;"",BF$3='Bonding Program'!$P$31,BF$3&lt;='Bonding Program'!$C$8),N('Bonding Program'!$O$31),0)</f>
        <v>0</v>
      </c>
      <c r="BG172" s="19" t="n">
        <f aca="false">IF(AND('Bonding Program'!$S$31=1,'Bonding Program'!$H$31&gt;'Bonding Program'!$C$8,BG$3='Bonding Program'!$H$31),'Bonding Program'!$T$31-'Bonding Program'!$U$31-'Bonding Program'!$Z$31,0)-IF(AND('Bonding Program'!$S$31=1,'Bonding Program'!$H$31&lt;='Bonding Program'!$C$8,BG$3=IF('Bonding Program'!$P$31&lt;&gt;"",'Bonding Program'!$P$31,'Bonding Program'!$C$8)),'Bonding Program'!$Z$31,0)+IF(AND('Bonding Program'!$P$31&lt;&gt;"",BG$3='Bonding Program'!$P$31,BG$3&lt;='Bonding Program'!$C$8),N('Bonding Program'!$O$31),0)</f>
        <v>0</v>
      </c>
      <c r="BH172" s="19" t="n">
        <f aca="false">IF(AND('Bonding Program'!$S$31=1,'Bonding Program'!$H$31&gt;'Bonding Program'!$C$8,BH$3='Bonding Program'!$H$31),'Bonding Program'!$T$31-'Bonding Program'!$U$31-'Bonding Program'!$Z$31,0)-IF(AND('Bonding Program'!$S$31=1,'Bonding Program'!$H$31&lt;='Bonding Program'!$C$8,BH$3=IF('Bonding Program'!$P$31&lt;&gt;"",'Bonding Program'!$P$31,'Bonding Program'!$C$8)),'Bonding Program'!$Z$31,0)+IF(AND('Bonding Program'!$P$31&lt;&gt;"",BH$3='Bonding Program'!$P$31,BH$3&lt;='Bonding Program'!$C$8),N('Bonding Program'!$O$31),0)</f>
        <v>0</v>
      </c>
      <c r="BI172" s="19" t="n">
        <f aca="false">IF(AND('Bonding Program'!$S$31=1,'Bonding Program'!$H$31&gt;'Bonding Program'!$C$8,BI$3='Bonding Program'!$H$31),'Bonding Program'!$T$31-'Bonding Program'!$U$31-'Bonding Program'!$Z$31,0)-IF(AND('Bonding Program'!$S$31=1,'Bonding Program'!$H$31&lt;='Bonding Program'!$C$8,BI$3=IF('Bonding Program'!$P$31&lt;&gt;"",'Bonding Program'!$P$31,'Bonding Program'!$C$8)),'Bonding Program'!$Z$31,0)+IF(AND('Bonding Program'!$P$31&lt;&gt;"",BI$3='Bonding Program'!$P$31,BI$3&lt;='Bonding Program'!$C$8),N('Bonding Program'!$O$31),0)</f>
        <v>0</v>
      </c>
      <c r="BJ172" s="19" t="n">
        <f aca="false">IF(AND('Bonding Program'!$S$31=1,'Bonding Program'!$H$31&gt;'Bonding Program'!$C$8,BJ$3='Bonding Program'!$H$31),'Bonding Program'!$T$31-'Bonding Program'!$U$31-'Bonding Program'!$Z$31,0)-IF(AND('Bonding Program'!$S$31=1,'Bonding Program'!$H$31&lt;='Bonding Program'!$C$8,BJ$3=IF('Bonding Program'!$P$31&lt;&gt;"",'Bonding Program'!$P$31,'Bonding Program'!$C$8)),'Bonding Program'!$Z$31,0)+IF(AND('Bonding Program'!$P$31&lt;&gt;"",BJ$3='Bonding Program'!$P$31,BJ$3&lt;='Bonding Program'!$C$8),N('Bonding Program'!$O$31),0)</f>
        <v>0</v>
      </c>
      <c r="BK172" s="19" t="n">
        <f aca="false">IF(AND('Bonding Program'!$S$31=1,'Bonding Program'!$H$31&gt;'Bonding Program'!$C$8,BK$3='Bonding Program'!$H$31),'Bonding Program'!$T$31-'Bonding Program'!$U$31-'Bonding Program'!$Z$31,0)-IF(AND('Bonding Program'!$S$31=1,'Bonding Program'!$H$31&lt;='Bonding Program'!$C$8,BK$3=IF('Bonding Program'!$P$31&lt;&gt;"",'Bonding Program'!$P$31,'Bonding Program'!$C$8)),'Bonding Program'!$Z$31,0)+IF(AND('Bonding Program'!$P$31&lt;&gt;"",BK$3='Bonding Program'!$P$31,BK$3&lt;='Bonding Program'!$C$8),N('Bonding Program'!$O$31),0)</f>
        <v>0</v>
      </c>
      <c r="BL172" s="19" t="n">
        <f aca="false">IF(AND('Bonding Program'!$S$31=1,'Bonding Program'!$H$31&gt;'Bonding Program'!$C$8,BL$3='Bonding Program'!$H$31),'Bonding Program'!$T$31-'Bonding Program'!$U$31-'Bonding Program'!$Z$31,0)-IF(AND('Bonding Program'!$S$31=1,'Bonding Program'!$H$31&lt;='Bonding Program'!$C$8,BL$3=IF('Bonding Program'!$P$31&lt;&gt;"",'Bonding Program'!$P$31,'Bonding Program'!$C$8)),'Bonding Program'!$Z$31,0)+IF(AND('Bonding Program'!$P$31&lt;&gt;"",BL$3='Bonding Program'!$P$31,BL$3&lt;='Bonding Program'!$C$8),N('Bonding Program'!$O$31),0)</f>
        <v>0</v>
      </c>
      <c r="BM172" s="19" t="n">
        <f aca="false">IF(AND('Bonding Program'!$S$31=1,'Bonding Program'!$H$31&gt;'Bonding Program'!$C$8,BM$3='Bonding Program'!$H$31),'Bonding Program'!$T$31-'Bonding Program'!$U$31-'Bonding Program'!$Z$31,0)-IF(AND('Bonding Program'!$S$31=1,'Bonding Program'!$H$31&lt;='Bonding Program'!$C$8,BM$3=IF('Bonding Program'!$P$31&lt;&gt;"",'Bonding Program'!$P$31,'Bonding Program'!$C$8)),'Bonding Program'!$Z$31,0)+IF(AND('Bonding Program'!$P$31&lt;&gt;"",BM$3='Bonding Program'!$P$31,BM$3&lt;='Bonding Program'!$C$8),N('Bonding Program'!$O$31),0)</f>
        <v>0</v>
      </c>
      <c r="BN172" s="19" t="n">
        <f aca="false">IF(AND('Bonding Program'!$S$31=1,'Bonding Program'!$H$31&gt;'Bonding Program'!$C$8,BN$3='Bonding Program'!$H$31),'Bonding Program'!$T$31-'Bonding Program'!$U$31-'Bonding Program'!$Z$31,0)-IF(AND('Bonding Program'!$S$31=1,'Bonding Program'!$H$31&lt;='Bonding Program'!$C$8,BN$3=IF('Bonding Program'!$P$31&lt;&gt;"",'Bonding Program'!$P$31,'Bonding Program'!$C$8)),'Bonding Program'!$Z$31,0)+IF(AND('Bonding Program'!$P$31&lt;&gt;"",BN$3='Bonding Program'!$P$31,BN$3&lt;='Bonding Program'!$C$8),N('Bonding Program'!$O$31),0)</f>
        <v>0</v>
      </c>
      <c r="BO172" s="19" t="n">
        <f aca="false">IF(AND('Bonding Program'!$S$31=1,'Bonding Program'!$H$31&gt;'Bonding Program'!$C$8,BO$3='Bonding Program'!$H$31),'Bonding Program'!$T$31-'Bonding Program'!$U$31-'Bonding Program'!$Z$31,0)-IF(AND('Bonding Program'!$S$31=1,'Bonding Program'!$H$31&lt;='Bonding Program'!$C$8,BO$3=IF('Bonding Program'!$P$31&lt;&gt;"",'Bonding Program'!$P$31,'Bonding Program'!$C$8)),'Bonding Program'!$Z$31,0)+IF(AND('Bonding Program'!$P$31&lt;&gt;"",BO$3='Bonding Program'!$P$31,BO$3&lt;='Bonding Program'!$C$8),N('Bonding Program'!$O$31),0)</f>
        <v>0</v>
      </c>
      <c r="BP172" s="19" t="n">
        <f aca="false">IF(AND('Bonding Program'!$S$31=1,'Bonding Program'!$H$31&gt;'Bonding Program'!$C$8,BP$3='Bonding Program'!$H$31),'Bonding Program'!$T$31-'Bonding Program'!$U$31-'Bonding Program'!$Z$31,0)-IF(AND('Bonding Program'!$S$31=1,'Bonding Program'!$H$31&lt;='Bonding Program'!$C$8,BP$3=IF('Bonding Program'!$P$31&lt;&gt;"",'Bonding Program'!$P$31,'Bonding Program'!$C$8)),'Bonding Program'!$Z$31,0)+IF(AND('Bonding Program'!$P$31&lt;&gt;"",BP$3='Bonding Program'!$P$31,BP$3&lt;='Bonding Program'!$C$8),N('Bonding Program'!$O$31),0)</f>
        <v>0</v>
      </c>
      <c r="BQ172" s="19" t="n">
        <f aca="false">IF(AND('Bonding Program'!$S$31=1,'Bonding Program'!$H$31&gt;'Bonding Program'!$C$8,BQ$3='Bonding Program'!$H$31),'Bonding Program'!$T$31-'Bonding Program'!$U$31-'Bonding Program'!$Z$31,0)-IF(AND('Bonding Program'!$S$31=1,'Bonding Program'!$H$31&lt;='Bonding Program'!$C$8,BQ$3=IF('Bonding Program'!$P$31&lt;&gt;"",'Bonding Program'!$P$31,'Bonding Program'!$C$8)),'Bonding Program'!$Z$31,0)+IF(AND('Bonding Program'!$P$31&lt;&gt;"",BQ$3='Bonding Program'!$P$31,BQ$3&lt;='Bonding Program'!$C$8),N('Bonding Program'!$O$31),0)</f>
        <v>0</v>
      </c>
      <c r="BR172" s="19" t="n">
        <f aca="false">IF(AND('Bonding Program'!$S$31=1,'Bonding Program'!$H$31&gt;'Bonding Program'!$C$8,BR$3='Bonding Program'!$H$31),'Bonding Program'!$T$31-'Bonding Program'!$U$31-'Bonding Program'!$Z$31,0)-IF(AND('Bonding Program'!$S$31=1,'Bonding Program'!$H$31&lt;='Bonding Program'!$C$8,BR$3=IF('Bonding Program'!$P$31&lt;&gt;"",'Bonding Program'!$P$31,'Bonding Program'!$C$8)),'Bonding Program'!$Z$31,0)+IF(AND('Bonding Program'!$P$31&lt;&gt;"",BR$3='Bonding Program'!$P$31,BR$3&lt;='Bonding Program'!$C$8),N('Bonding Program'!$O$31),0)</f>
        <v>0</v>
      </c>
      <c r="BS172" s="19" t="n">
        <f aca="false">IF(AND('Bonding Program'!$S$31=1,'Bonding Program'!$H$31&gt;'Bonding Program'!$C$8,BS$3='Bonding Program'!$H$31),'Bonding Program'!$T$31-'Bonding Program'!$U$31-'Bonding Program'!$Z$31,0)-IF(AND('Bonding Program'!$S$31=1,'Bonding Program'!$H$31&lt;='Bonding Program'!$C$8,BS$3=IF('Bonding Program'!$P$31&lt;&gt;"",'Bonding Program'!$P$31,'Bonding Program'!$C$8)),'Bonding Program'!$Z$31,0)+IF(AND('Bonding Program'!$P$31&lt;&gt;"",BS$3='Bonding Program'!$P$31,BS$3&lt;='Bonding Program'!$C$8),N('Bonding Program'!$O$31),0)</f>
        <v>0</v>
      </c>
      <c r="BT172" s="19" t="n">
        <f aca="false">IF(AND('Bonding Program'!$S$31=1,'Bonding Program'!$H$31&gt;'Bonding Program'!$C$8,BT$3='Bonding Program'!$H$31),'Bonding Program'!$T$31-'Bonding Program'!$U$31-'Bonding Program'!$Z$31,0)-IF(AND('Bonding Program'!$S$31=1,'Bonding Program'!$H$31&lt;='Bonding Program'!$C$8,BT$3=IF('Bonding Program'!$P$31&lt;&gt;"",'Bonding Program'!$P$31,'Bonding Program'!$C$8)),'Bonding Program'!$Z$31,0)+IF(AND('Bonding Program'!$P$31&lt;&gt;"",BT$3='Bonding Program'!$P$31,BT$3&lt;='Bonding Program'!$C$8),N('Bonding Program'!$O$31),0)</f>
        <v>0</v>
      </c>
      <c r="BU172" s="19" t="n">
        <f aca="false">IF(AND('Bonding Program'!$S$31=1,'Bonding Program'!$H$31&gt;'Bonding Program'!$C$8,BU$3='Bonding Program'!$H$31),'Bonding Program'!$T$31-'Bonding Program'!$U$31-'Bonding Program'!$Z$31,0)-IF(AND('Bonding Program'!$S$31=1,'Bonding Program'!$H$31&lt;='Bonding Program'!$C$8,BU$3=IF('Bonding Program'!$P$31&lt;&gt;"",'Bonding Program'!$P$31,'Bonding Program'!$C$8)),'Bonding Program'!$Z$31,0)+IF(AND('Bonding Program'!$P$31&lt;&gt;"",BU$3='Bonding Program'!$P$31,BU$3&lt;='Bonding Program'!$C$8),N('Bonding Program'!$O$31),0)</f>
        <v>0</v>
      </c>
      <c r="BV172" s="19" t="n">
        <f aca="false">IF(AND('Bonding Program'!$S$31=1,'Bonding Program'!$H$31&gt;'Bonding Program'!$C$8,BV$3='Bonding Program'!$H$31),'Bonding Program'!$T$31-'Bonding Program'!$U$31-'Bonding Program'!$Z$31,0)-IF(AND('Bonding Program'!$S$31=1,'Bonding Program'!$H$31&lt;='Bonding Program'!$C$8,BV$3=IF('Bonding Program'!$P$31&lt;&gt;"",'Bonding Program'!$P$31,'Bonding Program'!$C$8)),'Bonding Program'!$Z$31,0)+IF(AND('Bonding Program'!$P$31&lt;&gt;"",BV$3='Bonding Program'!$P$31,BV$3&lt;='Bonding Program'!$C$8),N('Bonding Program'!$O$31),0)</f>
        <v>0</v>
      </c>
      <c r="BW172" s="19" t="n">
        <f aca="false">IF(AND('Bonding Program'!$S$31=1,'Bonding Program'!$H$31&gt;'Bonding Program'!$C$8,BW$3='Bonding Program'!$H$31),'Bonding Program'!$T$31-'Bonding Program'!$U$31-'Bonding Program'!$Z$31,0)-IF(AND('Bonding Program'!$S$31=1,'Bonding Program'!$H$31&lt;='Bonding Program'!$C$8,BW$3=IF('Bonding Program'!$P$31&lt;&gt;"",'Bonding Program'!$P$31,'Bonding Program'!$C$8)),'Bonding Program'!$Z$31,0)+IF(AND('Bonding Program'!$P$31&lt;&gt;"",BW$3='Bonding Program'!$P$31,BW$3&lt;='Bonding Program'!$C$8),N('Bonding Program'!$O$31),0)</f>
        <v>0</v>
      </c>
      <c r="BX172" s="19" t="n">
        <f aca="false">IF(AND('Bonding Program'!$S$31=1,'Bonding Program'!$H$31&gt;'Bonding Program'!$C$8,BX$3='Bonding Program'!$H$31),'Bonding Program'!$T$31-'Bonding Program'!$U$31-'Bonding Program'!$Z$31,0)-IF(AND('Bonding Program'!$S$31=1,'Bonding Program'!$H$31&lt;='Bonding Program'!$C$8,BX$3=IF('Bonding Program'!$P$31&lt;&gt;"",'Bonding Program'!$P$31,'Bonding Program'!$C$8)),'Bonding Program'!$Z$31,0)+IF(AND('Bonding Program'!$P$31&lt;&gt;"",BX$3='Bonding Program'!$P$31,BX$3&lt;='Bonding Program'!$C$8),N('Bonding Program'!$O$31),0)</f>
        <v>0</v>
      </c>
      <c r="BY172" s="19" t="n">
        <f aca="false">IF(AND('Bonding Program'!$S$31=1,'Bonding Program'!$H$31&gt;'Bonding Program'!$C$8,BY$3='Bonding Program'!$H$31),'Bonding Program'!$T$31-'Bonding Program'!$U$31-'Bonding Program'!$Z$31,0)-IF(AND('Bonding Program'!$S$31=1,'Bonding Program'!$H$31&lt;='Bonding Program'!$C$8,BY$3=IF('Bonding Program'!$P$31&lt;&gt;"",'Bonding Program'!$P$31,'Bonding Program'!$C$8)),'Bonding Program'!$Z$31,0)+IF(AND('Bonding Program'!$P$31&lt;&gt;"",BY$3='Bonding Program'!$P$31,BY$3&lt;='Bonding Program'!$C$8),N('Bonding Program'!$O$31),0)</f>
        <v>0</v>
      </c>
      <c r="BZ172" s="19" t="n">
        <f aca="false">IF(AND('Bonding Program'!$S$31=1,'Bonding Program'!$H$31&gt;'Bonding Program'!$C$8,BZ$3='Bonding Program'!$H$31),'Bonding Program'!$T$31-'Bonding Program'!$U$31-'Bonding Program'!$Z$31,0)-IF(AND('Bonding Program'!$S$31=1,'Bonding Program'!$H$31&lt;='Bonding Program'!$C$8,BZ$3=IF('Bonding Program'!$P$31&lt;&gt;"",'Bonding Program'!$P$31,'Bonding Program'!$C$8)),'Bonding Program'!$Z$31,0)+IF(AND('Bonding Program'!$P$31&lt;&gt;"",BZ$3='Bonding Program'!$P$31,BZ$3&lt;='Bonding Program'!$C$8),N('Bonding Program'!$O$31),0)</f>
        <v>0</v>
      </c>
      <c r="CA172" s="19" t="n">
        <f aca="false">IF(AND('Bonding Program'!$S$31=1,'Bonding Program'!$H$31&gt;'Bonding Program'!$C$8,CA$3='Bonding Program'!$H$31),'Bonding Program'!$T$31-'Bonding Program'!$U$31-'Bonding Program'!$Z$31,0)-IF(AND('Bonding Program'!$S$31=1,'Bonding Program'!$H$31&lt;='Bonding Program'!$C$8,CA$3=IF('Bonding Program'!$P$31&lt;&gt;"",'Bonding Program'!$P$31,'Bonding Program'!$C$8)),'Bonding Program'!$Z$31,0)+IF(AND('Bonding Program'!$P$31&lt;&gt;"",CA$3='Bonding Program'!$P$31,CA$3&lt;='Bonding Program'!$C$8),N('Bonding Program'!$O$31),0)</f>
        <v>0</v>
      </c>
      <c r="CB172" s="19" t="n">
        <f aca="false">IF(AND('Bonding Program'!$S$31=1,'Bonding Program'!$H$31&gt;'Bonding Program'!$C$8,CB$3='Bonding Program'!$H$31),'Bonding Program'!$T$31-'Bonding Program'!$U$31-'Bonding Program'!$Z$31,0)-IF(AND('Bonding Program'!$S$31=1,'Bonding Program'!$H$31&lt;='Bonding Program'!$C$8,CB$3=IF('Bonding Program'!$P$31&lt;&gt;"",'Bonding Program'!$P$31,'Bonding Program'!$C$8)),'Bonding Program'!$Z$31,0)+IF(AND('Bonding Program'!$P$31&lt;&gt;"",CB$3='Bonding Program'!$P$31,CB$3&lt;='Bonding Program'!$C$8),N('Bonding Program'!$O$31),0)</f>
        <v>0</v>
      </c>
      <c r="CC172" s="19" t="n">
        <f aca="false">IF(AND('Bonding Program'!$S$31=1,'Bonding Program'!$H$31&gt;'Bonding Program'!$C$8,CC$3='Bonding Program'!$H$31),'Bonding Program'!$T$31-'Bonding Program'!$U$31-'Bonding Program'!$Z$31,0)-IF(AND('Bonding Program'!$S$31=1,'Bonding Program'!$H$31&lt;='Bonding Program'!$C$8,CC$3=IF('Bonding Program'!$P$31&lt;&gt;"",'Bonding Program'!$P$31,'Bonding Program'!$C$8)),'Bonding Program'!$Z$31,0)+IF(AND('Bonding Program'!$P$31&lt;&gt;"",CC$3='Bonding Program'!$P$31,CC$3&lt;='Bonding Program'!$C$8),N('Bonding Program'!$O$31),0)</f>
        <v>0</v>
      </c>
      <c r="CD172" s="19" t="n">
        <f aca="false">IF(AND('Bonding Program'!$S$31=1,'Bonding Program'!$H$31&gt;'Bonding Program'!$C$8,CD$3='Bonding Program'!$H$31),'Bonding Program'!$T$31-'Bonding Program'!$U$31-'Bonding Program'!$Z$31,0)-IF(AND('Bonding Program'!$S$31=1,'Bonding Program'!$H$31&lt;='Bonding Program'!$C$8,CD$3=IF('Bonding Program'!$P$31&lt;&gt;"",'Bonding Program'!$P$31,'Bonding Program'!$C$8)),'Bonding Program'!$Z$31,0)+IF(AND('Bonding Program'!$P$31&lt;&gt;"",CD$3='Bonding Program'!$P$31,CD$3&lt;='Bonding Program'!$C$8),N('Bonding Program'!$O$31),0)</f>
        <v>0</v>
      </c>
      <c r="CE172" s="19" t="n">
        <f aca="false">IF(AND('Bonding Program'!$S$31=1,'Bonding Program'!$H$31&gt;'Bonding Program'!$C$8,CE$3='Bonding Program'!$H$31),'Bonding Program'!$T$31-'Bonding Program'!$U$31-'Bonding Program'!$Z$31,0)-IF(AND('Bonding Program'!$S$31=1,'Bonding Program'!$H$31&lt;='Bonding Program'!$C$8,CE$3=IF('Bonding Program'!$P$31&lt;&gt;"",'Bonding Program'!$P$31,'Bonding Program'!$C$8)),'Bonding Program'!$Z$31,0)+IF(AND('Bonding Program'!$P$31&lt;&gt;"",CE$3='Bonding Program'!$P$31,CE$3&lt;='Bonding Program'!$C$8),N('Bonding Program'!$O$31),0)</f>
        <v>0</v>
      </c>
      <c r="CF172" s="19" t="n">
        <f aca="false">IF(AND('Bonding Program'!$S$31=1,'Bonding Program'!$H$31&gt;'Bonding Program'!$C$8,CF$3='Bonding Program'!$H$31),'Bonding Program'!$T$31-'Bonding Program'!$U$31-'Bonding Program'!$Z$31,0)-IF(AND('Bonding Program'!$S$31=1,'Bonding Program'!$H$31&lt;='Bonding Program'!$C$8,CF$3=IF('Bonding Program'!$P$31&lt;&gt;"",'Bonding Program'!$P$31,'Bonding Program'!$C$8)),'Bonding Program'!$Z$31,0)+IF(AND('Bonding Program'!$P$31&lt;&gt;"",CF$3='Bonding Program'!$P$31,CF$3&lt;='Bonding Program'!$C$8),N('Bonding Program'!$O$31),0)</f>
        <v>0</v>
      </c>
      <c r="CG172" s="19" t="n">
        <f aca="false">IF(AND('Bonding Program'!$S$31=1,'Bonding Program'!$H$31&gt;'Bonding Program'!$C$8,CG$3='Bonding Program'!$H$31),'Bonding Program'!$T$31-'Bonding Program'!$U$31-'Bonding Program'!$Z$31,0)-IF(AND('Bonding Program'!$S$31=1,'Bonding Program'!$H$31&lt;='Bonding Program'!$C$8,CG$3=IF('Bonding Program'!$P$31&lt;&gt;"",'Bonding Program'!$P$31,'Bonding Program'!$C$8)),'Bonding Program'!$Z$31,0)+IF(AND('Bonding Program'!$P$31&lt;&gt;"",CG$3='Bonding Program'!$P$31,CG$3&lt;='Bonding Program'!$C$8),N('Bonding Program'!$O$31),0)</f>
        <v>0</v>
      </c>
      <c r="CH172" s="19" t="n">
        <f aca="false">IF(AND('Bonding Program'!$S$31=1,'Bonding Program'!$H$31&gt;'Bonding Program'!$C$8,CH$3='Bonding Program'!$H$31),'Bonding Program'!$T$31-'Bonding Program'!$U$31-'Bonding Program'!$Z$31,0)-IF(AND('Bonding Program'!$S$31=1,'Bonding Program'!$H$31&lt;='Bonding Program'!$C$8,CH$3=IF('Bonding Program'!$P$31&lt;&gt;"",'Bonding Program'!$P$31,'Bonding Program'!$C$8)),'Bonding Program'!$Z$31,0)+IF(AND('Bonding Program'!$P$31&lt;&gt;"",CH$3='Bonding Program'!$P$31,CH$3&lt;='Bonding Program'!$C$8),N('Bonding Program'!$O$31),0)</f>
        <v>0</v>
      </c>
      <c r="CI172" s="19" t="n">
        <f aca="false">IF(AND('Bonding Program'!$S$31=1,'Bonding Program'!$H$31&gt;'Bonding Program'!$C$8,CI$3='Bonding Program'!$H$31),'Bonding Program'!$T$31-'Bonding Program'!$U$31-'Bonding Program'!$Z$31,0)-IF(AND('Bonding Program'!$S$31=1,'Bonding Program'!$H$31&lt;='Bonding Program'!$C$8,CI$3=IF('Bonding Program'!$P$31&lt;&gt;"",'Bonding Program'!$P$31,'Bonding Program'!$C$8)),'Bonding Program'!$Z$31,0)+IF(AND('Bonding Program'!$P$31&lt;&gt;"",CI$3='Bonding Program'!$P$31,CI$3&lt;='Bonding Program'!$C$8),N('Bonding Program'!$O$31),0)</f>
        <v>0</v>
      </c>
      <c r="CJ172" s="19" t="n">
        <f aca="false">IF(AND('Bonding Program'!$S$31=1,'Bonding Program'!$H$31&gt;'Bonding Program'!$C$8,CJ$3='Bonding Program'!$H$31),'Bonding Program'!$T$31-'Bonding Program'!$U$31-'Bonding Program'!$Z$31,0)-IF(AND('Bonding Program'!$S$31=1,'Bonding Program'!$H$31&lt;='Bonding Program'!$C$8,CJ$3=IF('Bonding Program'!$P$31&lt;&gt;"",'Bonding Program'!$P$31,'Bonding Program'!$C$8)),'Bonding Program'!$Z$31,0)+IF(AND('Bonding Program'!$P$31&lt;&gt;"",CJ$3='Bonding Program'!$P$31,CJ$3&lt;='Bonding Program'!$C$8),N('Bonding Program'!$O$31),0)</f>
        <v>0</v>
      </c>
      <c r="CK172" s="19" t="n">
        <f aca="false">IF(AND('Bonding Program'!$S$31=1,'Bonding Program'!$H$31&gt;'Bonding Program'!$C$8,CK$3='Bonding Program'!$H$31),'Bonding Program'!$T$31-'Bonding Program'!$U$31-'Bonding Program'!$Z$31,0)-IF(AND('Bonding Program'!$S$31=1,'Bonding Program'!$H$31&lt;='Bonding Program'!$C$8,CK$3=IF('Bonding Program'!$P$31&lt;&gt;"",'Bonding Program'!$P$31,'Bonding Program'!$C$8)),'Bonding Program'!$Z$31,0)+IF(AND('Bonding Program'!$P$31&lt;&gt;"",CK$3='Bonding Program'!$P$31,CK$3&lt;='Bonding Program'!$C$8),N('Bonding Program'!$O$31),0)</f>
        <v>0</v>
      </c>
      <c r="CL172" s="19" t="n">
        <f aca="false">IF(AND('Bonding Program'!$S$31=1,'Bonding Program'!$H$31&gt;'Bonding Program'!$C$8,CL$3='Bonding Program'!$H$31),'Bonding Program'!$T$31-'Bonding Program'!$U$31-'Bonding Program'!$Z$31,0)-IF(AND('Bonding Program'!$S$31=1,'Bonding Program'!$H$31&lt;='Bonding Program'!$C$8,CL$3=IF('Bonding Program'!$P$31&lt;&gt;"",'Bonding Program'!$P$31,'Bonding Program'!$C$8)),'Bonding Program'!$Z$31,0)+IF(AND('Bonding Program'!$P$31&lt;&gt;"",CL$3='Bonding Program'!$P$31,CL$3&lt;='Bonding Program'!$C$8),N('Bonding Program'!$O$31),0)</f>
        <v>0</v>
      </c>
      <c r="CM172" s="19" t="n">
        <f aca="false">IF(AND('Bonding Program'!$S$31=1,'Bonding Program'!$H$31&gt;'Bonding Program'!$C$8,CM$3='Bonding Program'!$H$31),'Bonding Program'!$T$31-'Bonding Program'!$U$31-'Bonding Program'!$Z$31,0)-IF(AND('Bonding Program'!$S$31=1,'Bonding Program'!$H$31&lt;='Bonding Program'!$C$8,CM$3=IF('Bonding Program'!$P$31&lt;&gt;"",'Bonding Program'!$P$31,'Bonding Program'!$C$8)),'Bonding Program'!$Z$31,0)+IF(AND('Bonding Program'!$P$31&lt;&gt;"",CM$3='Bonding Program'!$P$31,CM$3&lt;='Bonding Program'!$C$8),N('Bonding Program'!$O$31),0)</f>
        <v>0</v>
      </c>
      <c r="CN172" s="19" t="n">
        <f aca="false">IF(AND('Bonding Program'!$S$31=1,'Bonding Program'!$H$31&gt;'Bonding Program'!$C$8,CN$3='Bonding Program'!$H$31),'Bonding Program'!$T$31-'Bonding Program'!$U$31-'Bonding Program'!$Z$31,0)-IF(AND('Bonding Program'!$S$31=1,'Bonding Program'!$H$31&lt;='Bonding Program'!$C$8,CN$3=IF('Bonding Program'!$P$31&lt;&gt;"",'Bonding Program'!$P$31,'Bonding Program'!$C$8)),'Bonding Program'!$Z$31,0)+IF(AND('Bonding Program'!$P$31&lt;&gt;"",CN$3='Bonding Program'!$P$31,CN$3&lt;='Bonding Program'!$C$8),N('Bonding Program'!$O$31),0)</f>
        <v>0</v>
      </c>
      <c r="CO172" s="19" t="n">
        <f aca="false">IF(AND('Bonding Program'!$S$31=1,'Bonding Program'!$H$31&gt;'Bonding Program'!$C$8,CO$3='Bonding Program'!$H$31),'Bonding Program'!$T$31-'Bonding Program'!$U$31-'Bonding Program'!$Z$31,0)-IF(AND('Bonding Program'!$S$31=1,'Bonding Program'!$H$31&lt;='Bonding Program'!$C$8,CO$3=IF('Bonding Program'!$P$31&lt;&gt;"",'Bonding Program'!$P$31,'Bonding Program'!$C$8)),'Bonding Program'!$Z$31,0)+IF(AND('Bonding Program'!$P$31&lt;&gt;"",CO$3='Bonding Program'!$P$31,CO$3&lt;='Bonding Program'!$C$8),N('Bonding Program'!$O$31),0)</f>
        <v>0</v>
      </c>
      <c r="CP172" s="19" t="n">
        <f aca="false">IF(AND('Bonding Program'!$S$31=1,'Bonding Program'!$H$31&gt;'Bonding Program'!$C$8,CP$3='Bonding Program'!$H$31),'Bonding Program'!$T$31-'Bonding Program'!$U$31-'Bonding Program'!$Z$31,0)-IF(AND('Bonding Program'!$S$31=1,'Bonding Program'!$H$31&lt;='Bonding Program'!$C$8,CP$3=IF('Bonding Program'!$P$31&lt;&gt;"",'Bonding Program'!$P$31,'Bonding Program'!$C$8)),'Bonding Program'!$Z$31,0)+IF(AND('Bonding Program'!$P$31&lt;&gt;"",CP$3='Bonding Program'!$P$31,CP$3&lt;='Bonding Program'!$C$8),N('Bonding Program'!$O$31),0)</f>
        <v>0</v>
      </c>
      <c r="CQ172" s="19" t="n">
        <f aca="false">IF(AND('Bonding Program'!$S$31=1,'Bonding Program'!$H$31&gt;'Bonding Program'!$C$8,CQ$3='Bonding Program'!$H$31),'Bonding Program'!$T$31-'Bonding Program'!$U$31-'Bonding Program'!$Z$31,0)-IF(AND('Bonding Program'!$S$31=1,'Bonding Program'!$H$31&lt;='Bonding Program'!$C$8,CQ$3=IF('Bonding Program'!$P$31&lt;&gt;"",'Bonding Program'!$P$31,'Bonding Program'!$C$8)),'Bonding Program'!$Z$31,0)+IF(AND('Bonding Program'!$P$31&lt;&gt;"",CQ$3='Bonding Program'!$P$31,CQ$3&lt;='Bonding Program'!$C$8),N('Bonding Program'!$O$31),0)</f>
        <v>0</v>
      </c>
      <c r="CR172" s="19" t="n">
        <f aca="false">IF(AND('Bonding Program'!$S$31=1,'Bonding Program'!$H$31&gt;'Bonding Program'!$C$8,CR$3='Bonding Program'!$H$31),'Bonding Program'!$T$31-'Bonding Program'!$U$31-'Bonding Program'!$Z$31,0)-IF(AND('Bonding Program'!$S$31=1,'Bonding Program'!$H$31&lt;='Bonding Program'!$C$8,CR$3=IF('Bonding Program'!$P$31&lt;&gt;"",'Bonding Program'!$P$31,'Bonding Program'!$C$8)),'Bonding Program'!$Z$31,0)+IF(AND('Bonding Program'!$P$31&lt;&gt;"",CR$3='Bonding Program'!$P$31,CR$3&lt;='Bonding Program'!$C$8),N('Bonding Program'!$O$31),0)</f>
        <v>0</v>
      </c>
      <c r="CS172" s="19" t="n">
        <f aca="false">IF(AND('Bonding Program'!$S$31=1,'Bonding Program'!$H$31&gt;'Bonding Program'!$C$8,CS$3='Bonding Program'!$H$31),'Bonding Program'!$T$31-'Bonding Program'!$U$31-'Bonding Program'!$Z$31,0)-IF(AND('Bonding Program'!$S$31=1,'Bonding Program'!$H$31&lt;='Bonding Program'!$C$8,CS$3=IF('Bonding Program'!$P$31&lt;&gt;"",'Bonding Program'!$P$31,'Bonding Program'!$C$8)),'Bonding Program'!$Z$31,0)+IF(AND('Bonding Program'!$P$31&lt;&gt;"",CS$3='Bonding Program'!$P$31,CS$3&lt;='Bonding Program'!$C$8),N('Bonding Program'!$O$31),0)</f>
        <v>0</v>
      </c>
      <c r="CT172" s="19" t="n">
        <f aca="false">IF(AND('Bonding Program'!$S$31=1,'Bonding Program'!$H$31&gt;'Bonding Program'!$C$8,CT$3='Bonding Program'!$H$31),'Bonding Program'!$T$31-'Bonding Program'!$U$31-'Bonding Program'!$Z$31,0)-IF(AND('Bonding Program'!$S$31=1,'Bonding Program'!$H$31&lt;='Bonding Program'!$C$8,CT$3=IF('Bonding Program'!$P$31&lt;&gt;"",'Bonding Program'!$P$31,'Bonding Program'!$C$8)),'Bonding Program'!$Z$31,0)+IF(AND('Bonding Program'!$P$31&lt;&gt;"",CT$3='Bonding Program'!$P$31,CT$3&lt;='Bonding Program'!$C$8),N('Bonding Program'!$O$31),0)</f>
        <v>0</v>
      </c>
      <c r="CU172" s="19" t="n">
        <f aca="false">IF(AND('Bonding Program'!$S$31=1,'Bonding Program'!$H$31&gt;'Bonding Program'!$C$8,CU$3='Bonding Program'!$H$31),'Bonding Program'!$T$31-'Bonding Program'!$U$31-'Bonding Program'!$Z$31,0)-IF(AND('Bonding Program'!$S$31=1,'Bonding Program'!$H$31&lt;='Bonding Program'!$C$8,CU$3=IF('Bonding Program'!$P$31&lt;&gt;"",'Bonding Program'!$P$31,'Bonding Program'!$C$8)),'Bonding Program'!$Z$31,0)+IF(AND('Bonding Program'!$P$31&lt;&gt;"",CU$3='Bonding Program'!$P$31,CU$3&lt;='Bonding Program'!$C$8),N('Bonding Program'!$O$31),0)</f>
        <v>0</v>
      </c>
      <c r="CV172" s="19" t="n">
        <f aca="false">IF(AND('Bonding Program'!$S$31=1,'Bonding Program'!$H$31&gt;'Bonding Program'!$C$8,CV$3='Bonding Program'!$H$31),'Bonding Program'!$T$31-'Bonding Program'!$U$31-'Bonding Program'!$Z$31,0)-IF(AND('Bonding Program'!$S$31=1,'Bonding Program'!$H$31&lt;='Bonding Program'!$C$8,CV$3=IF('Bonding Program'!$P$31&lt;&gt;"",'Bonding Program'!$P$31,'Bonding Program'!$C$8)),'Bonding Program'!$Z$31,0)+IF(AND('Bonding Program'!$P$31&lt;&gt;"",CV$3='Bonding Program'!$P$31,CV$3&lt;='Bonding Program'!$C$8),N('Bonding Program'!$O$31),0)</f>
        <v>0</v>
      </c>
      <c r="CW172" s="19" t="n">
        <f aca="false">IF(AND('Bonding Program'!$S$31=1,'Bonding Program'!$H$31&gt;'Bonding Program'!$C$8,CW$3='Bonding Program'!$H$31),'Bonding Program'!$T$31-'Bonding Program'!$U$31-'Bonding Program'!$Z$31,0)-IF(AND('Bonding Program'!$S$31=1,'Bonding Program'!$H$31&lt;='Bonding Program'!$C$8,CW$3=IF('Bonding Program'!$P$31&lt;&gt;"",'Bonding Program'!$P$31,'Bonding Program'!$C$8)),'Bonding Program'!$Z$31,0)+IF(AND('Bonding Program'!$P$31&lt;&gt;"",CW$3='Bonding Program'!$P$31,CW$3&lt;='Bonding Program'!$C$8),N('Bonding Program'!$O$31),0)</f>
        <v>0</v>
      </c>
      <c r="CX172" s="19" t="n">
        <f aca="false">IF(AND('Bonding Program'!$S$31=1,'Bonding Program'!$H$31&gt;'Bonding Program'!$C$8,CX$3='Bonding Program'!$H$31),'Bonding Program'!$T$31-'Bonding Program'!$U$31-'Bonding Program'!$Z$31,0)-IF(AND('Bonding Program'!$S$31=1,'Bonding Program'!$H$31&lt;='Bonding Program'!$C$8,CX$3=IF('Bonding Program'!$P$31&lt;&gt;"",'Bonding Program'!$P$31,'Bonding Program'!$C$8)),'Bonding Program'!$Z$31,0)+IF(AND('Bonding Program'!$P$31&lt;&gt;"",CX$3='Bonding Program'!$P$31,CX$3&lt;='Bonding Program'!$C$8),N('Bonding Program'!$O$31),0)</f>
        <v>0</v>
      </c>
      <c r="CY172" s="19" t="n">
        <f aca="false">IF(AND('Bonding Program'!$S$31=1,'Bonding Program'!$H$31&gt;'Bonding Program'!$C$8,CY$3='Bonding Program'!$H$31),'Bonding Program'!$T$31-'Bonding Program'!$U$31-'Bonding Program'!$Z$31,0)-IF(AND('Bonding Program'!$S$31=1,'Bonding Program'!$H$31&lt;='Bonding Program'!$C$8,CY$3=IF('Bonding Program'!$P$31&lt;&gt;"",'Bonding Program'!$P$31,'Bonding Program'!$C$8)),'Bonding Program'!$Z$31,0)+IF(AND('Bonding Program'!$P$31&lt;&gt;"",CY$3='Bonding Program'!$P$31,CY$3&lt;='Bonding Program'!$C$8),N('Bonding Program'!$O$31),0)</f>
        <v>0</v>
      </c>
      <c r="CZ172" s="19" t="n">
        <f aca="false">IF(AND('Bonding Program'!$S$31=1,'Bonding Program'!$H$31&gt;'Bonding Program'!$C$8,CZ$3='Bonding Program'!$H$31),'Bonding Program'!$T$31-'Bonding Program'!$U$31-'Bonding Program'!$Z$31,0)-IF(AND('Bonding Program'!$S$31=1,'Bonding Program'!$H$31&lt;='Bonding Program'!$C$8,CZ$3=IF('Bonding Program'!$P$31&lt;&gt;"",'Bonding Program'!$P$31,'Bonding Program'!$C$8)),'Bonding Program'!$Z$31,0)+IF(AND('Bonding Program'!$P$31&lt;&gt;"",CZ$3='Bonding Program'!$P$31,CZ$3&lt;='Bonding Program'!$C$8),N('Bonding Program'!$O$31),0)</f>
        <v>0</v>
      </c>
      <c r="DA172" s="19" t="n">
        <f aca="false">IF(AND('Bonding Program'!$S$31=1,'Bonding Program'!$H$31&gt;'Bonding Program'!$C$8,DA$3='Bonding Program'!$H$31),'Bonding Program'!$T$31-'Bonding Program'!$U$31-'Bonding Program'!$Z$31,0)-IF(AND('Bonding Program'!$S$31=1,'Bonding Program'!$H$31&lt;='Bonding Program'!$C$8,DA$3=IF('Bonding Program'!$P$31&lt;&gt;"",'Bonding Program'!$P$31,'Bonding Program'!$C$8)),'Bonding Program'!$Z$31,0)+IF(AND('Bonding Program'!$P$31&lt;&gt;"",DA$3='Bonding Program'!$P$31,DA$3&lt;='Bonding Program'!$C$8),N('Bonding Program'!$O$31),0)</f>
        <v>0</v>
      </c>
      <c r="DB172" s="19" t="n">
        <f aca="false">IF(AND('Bonding Program'!$S$31=1,'Bonding Program'!$H$31&gt;'Bonding Program'!$C$8,DB$3='Bonding Program'!$H$31),'Bonding Program'!$T$31-'Bonding Program'!$U$31-'Bonding Program'!$Z$31,0)-IF(AND('Bonding Program'!$S$31=1,'Bonding Program'!$H$31&lt;='Bonding Program'!$C$8,DB$3=IF('Bonding Program'!$P$31&lt;&gt;"",'Bonding Program'!$P$31,'Bonding Program'!$C$8)),'Bonding Program'!$Z$31,0)+IF(AND('Bonding Program'!$P$31&lt;&gt;"",DB$3='Bonding Program'!$P$31,DB$3&lt;='Bonding Program'!$C$8),N('Bonding Program'!$O$31),0)</f>
        <v>0</v>
      </c>
      <c r="DC172" s="19" t="n">
        <f aca="false">IF(AND('Bonding Program'!$S$31=1,'Bonding Program'!$H$31&gt;'Bonding Program'!$C$8,DC$3='Bonding Program'!$H$31),'Bonding Program'!$T$31-'Bonding Program'!$U$31-'Bonding Program'!$Z$31,0)-IF(AND('Bonding Program'!$S$31=1,'Bonding Program'!$H$31&lt;='Bonding Program'!$C$8,DC$3=IF('Bonding Program'!$P$31&lt;&gt;"",'Bonding Program'!$P$31,'Bonding Program'!$C$8)),'Bonding Program'!$Z$31,0)+IF(AND('Bonding Program'!$P$31&lt;&gt;"",DC$3='Bonding Program'!$P$31,DC$3&lt;='Bonding Program'!$C$8),N('Bonding Program'!$O$31),0)</f>
        <v>0</v>
      </c>
      <c r="DD172" s="19" t="n">
        <f aca="false">IF(AND('Bonding Program'!$S$31=1,'Bonding Program'!$H$31&gt;'Bonding Program'!$C$8,DD$3='Bonding Program'!$H$31),'Bonding Program'!$T$31-'Bonding Program'!$U$31-'Bonding Program'!$Z$31,0)-IF(AND('Bonding Program'!$S$31=1,'Bonding Program'!$H$31&lt;='Bonding Program'!$C$8,DD$3=IF('Bonding Program'!$P$31&lt;&gt;"",'Bonding Program'!$P$31,'Bonding Program'!$C$8)),'Bonding Program'!$Z$31,0)+IF(AND('Bonding Program'!$P$31&lt;&gt;"",DD$3='Bonding Program'!$P$31,DD$3&lt;='Bonding Program'!$C$8),N('Bonding Program'!$O$31),0)</f>
        <v>0</v>
      </c>
      <c r="DE172" s="19" t="n">
        <f aca="false">IF(AND('Bonding Program'!$S$31=1,'Bonding Program'!$H$31&gt;'Bonding Program'!$C$8,DE$3='Bonding Program'!$H$31),'Bonding Program'!$T$31-'Bonding Program'!$U$31-'Bonding Program'!$Z$31,0)-IF(AND('Bonding Program'!$S$31=1,'Bonding Program'!$H$31&lt;='Bonding Program'!$C$8,DE$3=IF('Bonding Program'!$P$31&lt;&gt;"",'Bonding Program'!$P$31,'Bonding Program'!$C$8)),'Bonding Program'!$Z$31,0)+IF(AND('Bonding Program'!$P$31&lt;&gt;"",DE$3='Bonding Program'!$P$31,DE$3&lt;='Bonding Program'!$C$8),N('Bonding Program'!$O$31),0)</f>
        <v>0</v>
      </c>
    </row>
    <row r="173" customFormat="false" ht="15" hidden="false" customHeight="true" outlineLevel="1" collapsed="false">
      <c r="A173" s="28" t="s">
        <v>28</v>
      </c>
      <c r="B173" s="19" t="n">
        <f aca="false">IF(AND('Bonding Program'!$S$32=1,'Bonding Program'!$H$32&gt;'Bonding Program'!$C$8,B$3='Bonding Program'!$H$32),'Bonding Program'!$T$32-'Bonding Program'!$U$32-'Bonding Program'!$Z$32,0)-IF(AND('Bonding Program'!$S$32=1,'Bonding Program'!$H$32&lt;='Bonding Program'!$C$8,B$3=IF('Bonding Program'!$P$32&lt;&gt;"",'Bonding Program'!$P$32,'Bonding Program'!$C$8)),'Bonding Program'!$Z$32,0)+IF(AND('Bonding Program'!$P$32&lt;&gt;"",B$3='Bonding Program'!$P$32,B$3&lt;='Bonding Program'!$C$8),N('Bonding Program'!$O$32),0)</f>
        <v>0</v>
      </c>
      <c r="C173" s="19" t="n">
        <f aca="false">IF(AND('Bonding Program'!$S$32=1,'Bonding Program'!$H$32&gt;'Bonding Program'!$C$8,C$3='Bonding Program'!$H$32),'Bonding Program'!$T$32-'Bonding Program'!$U$32-'Bonding Program'!$Z$32,0)-IF(AND('Bonding Program'!$S$32=1,'Bonding Program'!$H$32&lt;='Bonding Program'!$C$8,C$3=IF('Bonding Program'!$P$32&lt;&gt;"",'Bonding Program'!$P$32,'Bonding Program'!$C$8)),'Bonding Program'!$Z$32,0)+IF(AND('Bonding Program'!$P$32&lt;&gt;"",C$3='Bonding Program'!$P$32,C$3&lt;='Bonding Program'!$C$8),N('Bonding Program'!$O$32),0)</f>
        <v>0</v>
      </c>
      <c r="D173" s="19" t="n">
        <f aca="false">IF(AND('Bonding Program'!$S$32=1,'Bonding Program'!$H$32&gt;'Bonding Program'!$C$8,D$3='Bonding Program'!$H$32),'Bonding Program'!$T$32-'Bonding Program'!$U$32-'Bonding Program'!$Z$32,0)-IF(AND('Bonding Program'!$S$32=1,'Bonding Program'!$H$32&lt;='Bonding Program'!$C$8,D$3=IF('Bonding Program'!$P$32&lt;&gt;"",'Bonding Program'!$P$32,'Bonding Program'!$C$8)),'Bonding Program'!$Z$32,0)+IF(AND('Bonding Program'!$P$32&lt;&gt;"",D$3='Bonding Program'!$P$32,D$3&lt;='Bonding Program'!$C$8),N('Bonding Program'!$O$32),0)</f>
        <v>0</v>
      </c>
      <c r="E173" s="19" t="n">
        <f aca="false">IF(AND('Bonding Program'!$S$32=1,'Bonding Program'!$H$32&gt;'Bonding Program'!$C$8,E$3='Bonding Program'!$H$32),'Bonding Program'!$T$32-'Bonding Program'!$U$32-'Bonding Program'!$Z$32,0)-IF(AND('Bonding Program'!$S$32=1,'Bonding Program'!$H$32&lt;='Bonding Program'!$C$8,E$3=IF('Bonding Program'!$P$32&lt;&gt;"",'Bonding Program'!$P$32,'Bonding Program'!$C$8)),'Bonding Program'!$Z$32,0)+IF(AND('Bonding Program'!$P$32&lt;&gt;"",E$3='Bonding Program'!$P$32,E$3&lt;='Bonding Program'!$C$8),N('Bonding Program'!$O$32),0)</f>
        <v>0</v>
      </c>
      <c r="F173" s="19" t="n">
        <f aca="false">IF(AND('Bonding Program'!$S$32=1,'Bonding Program'!$H$32&gt;'Bonding Program'!$C$8,F$3='Bonding Program'!$H$32),'Bonding Program'!$T$32-'Bonding Program'!$U$32-'Bonding Program'!$Z$32,0)-IF(AND('Bonding Program'!$S$32=1,'Bonding Program'!$H$32&lt;='Bonding Program'!$C$8,F$3=IF('Bonding Program'!$P$32&lt;&gt;"",'Bonding Program'!$P$32,'Bonding Program'!$C$8)),'Bonding Program'!$Z$32,0)+IF(AND('Bonding Program'!$P$32&lt;&gt;"",F$3='Bonding Program'!$P$32,F$3&lt;='Bonding Program'!$C$8),N('Bonding Program'!$O$32),0)</f>
        <v>0</v>
      </c>
      <c r="G173" s="19" t="n">
        <f aca="false">IF(AND('Bonding Program'!$S$32=1,'Bonding Program'!$H$32&gt;'Bonding Program'!$C$8,G$3='Bonding Program'!$H$32),'Bonding Program'!$T$32-'Bonding Program'!$U$32-'Bonding Program'!$Z$32,0)-IF(AND('Bonding Program'!$S$32=1,'Bonding Program'!$H$32&lt;='Bonding Program'!$C$8,G$3=IF('Bonding Program'!$P$32&lt;&gt;"",'Bonding Program'!$P$32,'Bonding Program'!$C$8)),'Bonding Program'!$Z$32,0)+IF(AND('Bonding Program'!$P$32&lt;&gt;"",G$3='Bonding Program'!$P$32,G$3&lt;='Bonding Program'!$C$8),N('Bonding Program'!$O$32),0)</f>
        <v>0</v>
      </c>
      <c r="H173" s="19" t="n">
        <f aca="false">IF(AND('Bonding Program'!$S$32=1,'Bonding Program'!$H$32&gt;'Bonding Program'!$C$8,H$3='Bonding Program'!$H$32),'Bonding Program'!$T$32-'Bonding Program'!$U$32-'Bonding Program'!$Z$32,0)-IF(AND('Bonding Program'!$S$32=1,'Bonding Program'!$H$32&lt;='Bonding Program'!$C$8,H$3=IF('Bonding Program'!$P$32&lt;&gt;"",'Bonding Program'!$P$32,'Bonding Program'!$C$8)),'Bonding Program'!$Z$32,0)+IF(AND('Bonding Program'!$P$32&lt;&gt;"",H$3='Bonding Program'!$P$32,H$3&lt;='Bonding Program'!$C$8),N('Bonding Program'!$O$32),0)</f>
        <v>0</v>
      </c>
      <c r="I173" s="19" t="n">
        <f aca="false">IF(AND('Bonding Program'!$S$32=1,'Bonding Program'!$H$32&gt;'Bonding Program'!$C$8,I$3='Bonding Program'!$H$32),'Bonding Program'!$T$32-'Bonding Program'!$U$32-'Bonding Program'!$Z$32,0)-IF(AND('Bonding Program'!$S$32=1,'Bonding Program'!$H$32&lt;='Bonding Program'!$C$8,I$3=IF('Bonding Program'!$P$32&lt;&gt;"",'Bonding Program'!$P$32,'Bonding Program'!$C$8)),'Bonding Program'!$Z$32,0)+IF(AND('Bonding Program'!$P$32&lt;&gt;"",I$3='Bonding Program'!$P$32,I$3&lt;='Bonding Program'!$C$8),N('Bonding Program'!$O$32),0)</f>
        <v>0</v>
      </c>
      <c r="J173" s="19" t="n">
        <f aca="false">IF(AND('Bonding Program'!$S$32=1,'Bonding Program'!$H$32&gt;'Bonding Program'!$C$8,J$3='Bonding Program'!$H$32),'Bonding Program'!$T$32-'Bonding Program'!$U$32-'Bonding Program'!$Z$32,0)-IF(AND('Bonding Program'!$S$32=1,'Bonding Program'!$H$32&lt;='Bonding Program'!$C$8,J$3=IF('Bonding Program'!$P$32&lt;&gt;"",'Bonding Program'!$P$32,'Bonding Program'!$C$8)),'Bonding Program'!$Z$32,0)+IF(AND('Bonding Program'!$P$32&lt;&gt;"",J$3='Bonding Program'!$P$32,J$3&lt;='Bonding Program'!$C$8),N('Bonding Program'!$O$32),0)</f>
        <v>0</v>
      </c>
      <c r="K173" s="19" t="n">
        <f aca="false">IF(AND('Bonding Program'!$S$32=1,'Bonding Program'!$H$32&gt;'Bonding Program'!$C$8,K$3='Bonding Program'!$H$32),'Bonding Program'!$T$32-'Bonding Program'!$U$32-'Bonding Program'!$Z$32,0)-IF(AND('Bonding Program'!$S$32=1,'Bonding Program'!$H$32&lt;='Bonding Program'!$C$8,K$3=IF('Bonding Program'!$P$32&lt;&gt;"",'Bonding Program'!$P$32,'Bonding Program'!$C$8)),'Bonding Program'!$Z$32,0)+IF(AND('Bonding Program'!$P$32&lt;&gt;"",K$3='Bonding Program'!$P$32,K$3&lt;='Bonding Program'!$C$8),N('Bonding Program'!$O$32),0)</f>
        <v>0</v>
      </c>
      <c r="L173" s="19" t="n">
        <f aca="false">IF(AND('Bonding Program'!$S$32=1,'Bonding Program'!$H$32&gt;'Bonding Program'!$C$8,L$3='Bonding Program'!$H$32),'Bonding Program'!$T$32-'Bonding Program'!$U$32-'Bonding Program'!$Z$32,0)-IF(AND('Bonding Program'!$S$32=1,'Bonding Program'!$H$32&lt;='Bonding Program'!$C$8,L$3=IF('Bonding Program'!$P$32&lt;&gt;"",'Bonding Program'!$P$32,'Bonding Program'!$C$8)),'Bonding Program'!$Z$32,0)+IF(AND('Bonding Program'!$P$32&lt;&gt;"",L$3='Bonding Program'!$P$32,L$3&lt;='Bonding Program'!$C$8),N('Bonding Program'!$O$32),0)</f>
        <v>0</v>
      </c>
      <c r="M173" s="19" t="n">
        <f aca="false">IF(AND('Bonding Program'!$S$32=1,'Bonding Program'!$H$32&gt;'Bonding Program'!$C$8,M$3='Bonding Program'!$H$32),'Bonding Program'!$T$32-'Bonding Program'!$U$32-'Bonding Program'!$Z$32,0)-IF(AND('Bonding Program'!$S$32=1,'Bonding Program'!$H$32&lt;='Bonding Program'!$C$8,M$3=IF('Bonding Program'!$P$32&lt;&gt;"",'Bonding Program'!$P$32,'Bonding Program'!$C$8)),'Bonding Program'!$Z$32,0)+IF(AND('Bonding Program'!$P$32&lt;&gt;"",M$3='Bonding Program'!$P$32,M$3&lt;='Bonding Program'!$C$8),N('Bonding Program'!$O$32),0)</f>
        <v>0</v>
      </c>
      <c r="N173" s="19" t="n">
        <f aca="false">IF(AND('Bonding Program'!$S$32=1,'Bonding Program'!$H$32&gt;'Bonding Program'!$C$8,N$3='Bonding Program'!$H$32),'Bonding Program'!$T$32-'Bonding Program'!$U$32-'Bonding Program'!$Z$32,0)-IF(AND('Bonding Program'!$S$32=1,'Bonding Program'!$H$32&lt;='Bonding Program'!$C$8,N$3=IF('Bonding Program'!$P$32&lt;&gt;"",'Bonding Program'!$P$32,'Bonding Program'!$C$8)),'Bonding Program'!$Z$32,0)+IF(AND('Bonding Program'!$P$32&lt;&gt;"",N$3='Bonding Program'!$P$32,N$3&lt;='Bonding Program'!$C$8),N('Bonding Program'!$O$32),0)</f>
        <v>0</v>
      </c>
      <c r="O173" s="19" t="n">
        <f aca="false">IF(AND('Bonding Program'!$S$32=1,'Bonding Program'!$H$32&gt;'Bonding Program'!$C$8,O$3='Bonding Program'!$H$32),'Bonding Program'!$T$32-'Bonding Program'!$U$32-'Bonding Program'!$Z$32,0)-IF(AND('Bonding Program'!$S$32=1,'Bonding Program'!$H$32&lt;='Bonding Program'!$C$8,O$3=IF('Bonding Program'!$P$32&lt;&gt;"",'Bonding Program'!$P$32,'Bonding Program'!$C$8)),'Bonding Program'!$Z$32,0)+IF(AND('Bonding Program'!$P$32&lt;&gt;"",O$3='Bonding Program'!$P$32,O$3&lt;='Bonding Program'!$C$8),N('Bonding Program'!$O$32),0)</f>
        <v>0</v>
      </c>
      <c r="P173" s="19" t="n">
        <f aca="false">IF(AND('Bonding Program'!$S$32=1,'Bonding Program'!$H$32&gt;'Bonding Program'!$C$8,P$3='Bonding Program'!$H$32),'Bonding Program'!$T$32-'Bonding Program'!$U$32-'Bonding Program'!$Z$32,0)-IF(AND('Bonding Program'!$S$32=1,'Bonding Program'!$H$32&lt;='Bonding Program'!$C$8,P$3=IF('Bonding Program'!$P$32&lt;&gt;"",'Bonding Program'!$P$32,'Bonding Program'!$C$8)),'Bonding Program'!$Z$32,0)+IF(AND('Bonding Program'!$P$32&lt;&gt;"",P$3='Bonding Program'!$P$32,P$3&lt;='Bonding Program'!$C$8),N('Bonding Program'!$O$32),0)</f>
        <v>0</v>
      </c>
      <c r="Q173" s="19" t="n">
        <f aca="false">IF(AND('Bonding Program'!$S$32=1,'Bonding Program'!$H$32&gt;'Bonding Program'!$C$8,Q$3='Bonding Program'!$H$32),'Bonding Program'!$T$32-'Bonding Program'!$U$32-'Bonding Program'!$Z$32,0)-IF(AND('Bonding Program'!$S$32=1,'Bonding Program'!$H$32&lt;='Bonding Program'!$C$8,Q$3=IF('Bonding Program'!$P$32&lt;&gt;"",'Bonding Program'!$P$32,'Bonding Program'!$C$8)),'Bonding Program'!$Z$32,0)+IF(AND('Bonding Program'!$P$32&lt;&gt;"",Q$3='Bonding Program'!$P$32,Q$3&lt;='Bonding Program'!$C$8),N('Bonding Program'!$O$32),0)</f>
        <v>0</v>
      </c>
      <c r="R173" s="19" t="n">
        <f aca="false">IF(AND('Bonding Program'!$S$32=1,'Bonding Program'!$H$32&gt;'Bonding Program'!$C$8,R$3='Bonding Program'!$H$32),'Bonding Program'!$T$32-'Bonding Program'!$U$32-'Bonding Program'!$Z$32,0)-IF(AND('Bonding Program'!$S$32=1,'Bonding Program'!$H$32&lt;='Bonding Program'!$C$8,R$3=IF('Bonding Program'!$P$32&lt;&gt;"",'Bonding Program'!$P$32,'Bonding Program'!$C$8)),'Bonding Program'!$Z$32,0)+IF(AND('Bonding Program'!$P$32&lt;&gt;"",R$3='Bonding Program'!$P$32,R$3&lt;='Bonding Program'!$C$8),N('Bonding Program'!$O$32),0)</f>
        <v>0</v>
      </c>
      <c r="S173" s="19" t="n">
        <f aca="false">IF(AND('Bonding Program'!$S$32=1,'Bonding Program'!$H$32&gt;'Bonding Program'!$C$8,S$3='Bonding Program'!$H$32),'Bonding Program'!$T$32-'Bonding Program'!$U$32-'Bonding Program'!$Z$32,0)-IF(AND('Bonding Program'!$S$32=1,'Bonding Program'!$H$32&lt;='Bonding Program'!$C$8,S$3=IF('Bonding Program'!$P$32&lt;&gt;"",'Bonding Program'!$P$32,'Bonding Program'!$C$8)),'Bonding Program'!$Z$32,0)+IF(AND('Bonding Program'!$P$32&lt;&gt;"",S$3='Bonding Program'!$P$32,S$3&lt;='Bonding Program'!$C$8),N('Bonding Program'!$O$32),0)</f>
        <v>0</v>
      </c>
      <c r="T173" s="19" t="n">
        <f aca="false">IF(AND('Bonding Program'!$S$32=1,'Bonding Program'!$H$32&gt;'Bonding Program'!$C$8,T$3='Bonding Program'!$H$32),'Bonding Program'!$T$32-'Bonding Program'!$U$32-'Bonding Program'!$Z$32,0)-IF(AND('Bonding Program'!$S$32=1,'Bonding Program'!$H$32&lt;='Bonding Program'!$C$8,T$3=IF('Bonding Program'!$P$32&lt;&gt;"",'Bonding Program'!$P$32,'Bonding Program'!$C$8)),'Bonding Program'!$Z$32,0)+IF(AND('Bonding Program'!$P$32&lt;&gt;"",T$3='Bonding Program'!$P$32,T$3&lt;='Bonding Program'!$C$8),N('Bonding Program'!$O$32),0)</f>
        <v>0</v>
      </c>
      <c r="U173" s="19" t="n">
        <f aca="false">IF(AND('Bonding Program'!$S$32=1,'Bonding Program'!$H$32&gt;'Bonding Program'!$C$8,U$3='Bonding Program'!$H$32),'Bonding Program'!$T$32-'Bonding Program'!$U$32-'Bonding Program'!$Z$32,0)-IF(AND('Bonding Program'!$S$32=1,'Bonding Program'!$H$32&lt;='Bonding Program'!$C$8,U$3=IF('Bonding Program'!$P$32&lt;&gt;"",'Bonding Program'!$P$32,'Bonding Program'!$C$8)),'Bonding Program'!$Z$32,0)+IF(AND('Bonding Program'!$P$32&lt;&gt;"",U$3='Bonding Program'!$P$32,U$3&lt;='Bonding Program'!$C$8),N('Bonding Program'!$O$32),0)</f>
        <v>0</v>
      </c>
      <c r="V173" s="19" t="n">
        <f aca="false">IF(AND('Bonding Program'!$S$32=1,'Bonding Program'!$H$32&gt;'Bonding Program'!$C$8,V$3='Bonding Program'!$H$32),'Bonding Program'!$T$32-'Bonding Program'!$U$32-'Bonding Program'!$Z$32,0)-IF(AND('Bonding Program'!$S$32=1,'Bonding Program'!$H$32&lt;='Bonding Program'!$C$8,V$3=IF('Bonding Program'!$P$32&lt;&gt;"",'Bonding Program'!$P$32,'Bonding Program'!$C$8)),'Bonding Program'!$Z$32,0)+IF(AND('Bonding Program'!$P$32&lt;&gt;"",V$3='Bonding Program'!$P$32,V$3&lt;='Bonding Program'!$C$8),N('Bonding Program'!$O$32),0)</f>
        <v>0</v>
      </c>
      <c r="W173" s="19" t="n">
        <f aca="false">IF(AND('Bonding Program'!$S$32=1,'Bonding Program'!$H$32&gt;'Bonding Program'!$C$8,W$3='Bonding Program'!$H$32),'Bonding Program'!$T$32-'Bonding Program'!$U$32-'Bonding Program'!$Z$32,0)-IF(AND('Bonding Program'!$S$32=1,'Bonding Program'!$H$32&lt;='Bonding Program'!$C$8,W$3=IF('Bonding Program'!$P$32&lt;&gt;"",'Bonding Program'!$P$32,'Bonding Program'!$C$8)),'Bonding Program'!$Z$32,0)+IF(AND('Bonding Program'!$P$32&lt;&gt;"",W$3='Bonding Program'!$P$32,W$3&lt;='Bonding Program'!$C$8),N('Bonding Program'!$O$32),0)</f>
        <v>0</v>
      </c>
      <c r="X173" s="19" t="n">
        <f aca="false">IF(AND('Bonding Program'!$S$32=1,'Bonding Program'!$H$32&gt;'Bonding Program'!$C$8,X$3='Bonding Program'!$H$32),'Bonding Program'!$T$32-'Bonding Program'!$U$32-'Bonding Program'!$Z$32,0)-IF(AND('Bonding Program'!$S$32=1,'Bonding Program'!$H$32&lt;='Bonding Program'!$C$8,X$3=IF('Bonding Program'!$P$32&lt;&gt;"",'Bonding Program'!$P$32,'Bonding Program'!$C$8)),'Bonding Program'!$Z$32,0)+IF(AND('Bonding Program'!$P$32&lt;&gt;"",X$3='Bonding Program'!$P$32,X$3&lt;='Bonding Program'!$C$8),N('Bonding Program'!$O$32),0)</f>
        <v>0</v>
      </c>
      <c r="Y173" s="19" t="n">
        <f aca="false">IF(AND('Bonding Program'!$S$32=1,'Bonding Program'!$H$32&gt;'Bonding Program'!$C$8,Y$3='Bonding Program'!$H$32),'Bonding Program'!$T$32-'Bonding Program'!$U$32-'Bonding Program'!$Z$32,0)-IF(AND('Bonding Program'!$S$32=1,'Bonding Program'!$H$32&lt;='Bonding Program'!$C$8,Y$3=IF('Bonding Program'!$P$32&lt;&gt;"",'Bonding Program'!$P$32,'Bonding Program'!$C$8)),'Bonding Program'!$Z$32,0)+IF(AND('Bonding Program'!$P$32&lt;&gt;"",Y$3='Bonding Program'!$P$32,Y$3&lt;='Bonding Program'!$C$8),N('Bonding Program'!$O$32),0)</f>
        <v>0</v>
      </c>
      <c r="Z173" s="19" t="n">
        <f aca="false">IF(AND('Bonding Program'!$S$32=1,'Bonding Program'!$H$32&gt;'Bonding Program'!$C$8,Z$3='Bonding Program'!$H$32),'Bonding Program'!$T$32-'Bonding Program'!$U$32-'Bonding Program'!$Z$32,0)-IF(AND('Bonding Program'!$S$32=1,'Bonding Program'!$H$32&lt;='Bonding Program'!$C$8,Z$3=IF('Bonding Program'!$P$32&lt;&gt;"",'Bonding Program'!$P$32,'Bonding Program'!$C$8)),'Bonding Program'!$Z$32,0)+IF(AND('Bonding Program'!$P$32&lt;&gt;"",Z$3='Bonding Program'!$P$32,Z$3&lt;='Bonding Program'!$C$8),N('Bonding Program'!$O$32),0)</f>
        <v>0</v>
      </c>
      <c r="AA173" s="19" t="n">
        <f aca="false">IF(AND('Bonding Program'!$S$32=1,'Bonding Program'!$H$32&gt;'Bonding Program'!$C$8,AA$3='Bonding Program'!$H$32),'Bonding Program'!$T$32-'Bonding Program'!$U$32-'Bonding Program'!$Z$32,0)-IF(AND('Bonding Program'!$S$32=1,'Bonding Program'!$H$32&lt;='Bonding Program'!$C$8,AA$3=IF('Bonding Program'!$P$32&lt;&gt;"",'Bonding Program'!$P$32,'Bonding Program'!$C$8)),'Bonding Program'!$Z$32,0)+IF(AND('Bonding Program'!$P$32&lt;&gt;"",AA$3='Bonding Program'!$P$32,AA$3&lt;='Bonding Program'!$C$8),N('Bonding Program'!$O$32),0)</f>
        <v>0</v>
      </c>
      <c r="AB173" s="19" t="n">
        <f aca="false">IF(AND('Bonding Program'!$S$32=1,'Bonding Program'!$H$32&gt;'Bonding Program'!$C$8,AB$3='Bonding Program'!$H$32),'Bonding Program'!$T$32-'Bonding Program'!$U$32-'Bonding Program'!$Z$32,0)-IF(AND('Bonding Program'!$S$32=1,'Bonding Program'!$H$32&lt;='Bonding Program'!$C$8,AB$3=IF('Bonding Program'!$P$32&lt;&gt;"",'Bonding Program'!$P$32,'Bonding Program'!$C$8)),'Bonding Program'!$Z$32,0)+IF(AND('Bonding Program'!$P$32&lt;&gt;"",AB$3='Bonding Program'!$P$32,AB$3&lt;='Bonding Program'!$C$8),N('Bonding Program'!$O$32),0)</f>
        <v>0</v>
      </c>
      <c r="AC173" s="19" t="n">
        <f aca="false">IF(AND('Bonding Program'!$S$32=1,'Bonding Program'!$H$32&gt;'Bonding Program'!$C$8,AC$3='Bonding Program'!$H$32),'Bonding Program'!$T$32-'Bonding Program'!$U$32-'Bonding Program'!$Z$32,0)-IF(AND('Bonding Program'!$S$32=1,'Bonding Program'!$H$32&lt;='Bonding Program'!$C$8,AC$3=IF('Bonding Program'!$P$32&lt;&gt;"",'Bonding Program'!$P$32,'Bonding Program'!$C$8)),'Bonding Program'!$Z$32,0)+IF(AND('Bonding Program'!$P$32&lt;&gt;"",AC$3='Bonding Program'!$P$32,AC$3&lt;='Bonding Program'!$C$8),N('Bonding Program'!$O$32),0)</f>
        <v>0</v>
      </c>
      <c r="AD173" s="19" t="n">
        <f aca="false">IF(AND('Bonding Program'!$S$32=1,'Bonding Program'!$H$32&gt;'Bonding Program'!$C$8,AD$3='Bonding Program'!$H$32),'Bonding Program'!$T$32-'Bonding Program'!$U$32-'Bonding Program'!$Z$32,0)-IF(AND('Bonding Program'!$S$32=1,'Bonding Program'!$H$32&lt;='Bonding Program'!$C$8,AD$3=IF('Bonding Program'!$P$32&lt;&gt;"",'Bonding Program'!$P$32,'Bonding Program'!$C$8)),'Bonding Program'!$Z$32,0)+IF(AND('Bonding Program'!$P$32&lt;&gt;"",AD$3='Bonding Program'!$P$32,AD$3&lt;='Bonding Program'!$C$8),N('Bonding Program'!$O$32),0)</f>
        <v>0</v>
      </c>
      <c r="AE173" s="19" t="n">
        <f aca="false">IF(AND('Bonding Program'!$S$32=1,'Bonding Program'!$H$32&gt;'Bonding Program'!$C$8,AE$3='Bonding Program'!$H$32),'Bonding Program'!$T$32-'Bonding Program'!$U$32-'Bonding Program'!$Z$32,0)-IF(AND('Bonding Program'!$S$32=1,'Bonding Program'!$H$32&lt;='Bonding Program'!$C$8,AE$3=IF('Bonding Program'!$P$32&lt;&gt;"",'Bonding Program'!$P$32,'Bonding Program'!$C$8)),'Bonding Program'!$Z$32,0)+IF(AND('Bonding Program'!$P$32&lt;&gt;"",AE$3='Bonding Program'!$P$32,AE$3&lt;='Bonding Program'!$C$8),N('Bonding Program'!$O$32),0)</f>
        <v>0</v>
      </c>
      <c r="AF173" s="19" t="n">
        <f aca="false">IF(AND('Bonding Program'!$S$32=1,'Bonding Program'!$H$32&gt;'Bonding Program'!$C$8,AF$3='Bonding Program'!$H$32),'Bonding Program'!$T$32-'Bonding Program'!$U$32-'Bonding Program'!$Z$32,0)-IF(AND('Bonding Program'!$S$32=1,'Bonding Program'!$H$32&lt;='Bonding Program'!$C$8,AF$3=IF('Bonding Program'!$P$32&lt;&gt;"",'Bonding Program'!$P$32,'Bonding Program'!$C$8)),'Bonding Program'!$Z$32,0)+IF(AND('Bonding Program'!$P$32&lt;&gt;"",AF$3='Bonding Program'!$P$32,AF$3&lt;='Bonding Program'!$C$8),N('Bonding Program'!$O$32),0)</f>
        <v>0</v>
      </c>
      <c r="AG173" s="19" t="n">
        <f aca="false">IF(AND('Bonding Program'!$S$32=1,'Bonding Program'!$H$32&gt;'Bonding Program'!$C$8,AG$3='Bonding Program'!$H$32),'Bonding Program'!$T$32-'Bonding Program'!$U$32-'Bonding Program'!$Z$32,0)-IF(AND('Bonding Program'!$S$32=1,'Bonding Program'!$H$32&lt;='Bonding Program'!$C$8,AG$3=IF('Bonding Program'!$P$32&lt;&gt;"",'Bonding Program'!$P$32,'Bonding Program'!$C$8)),'Bonding Program'!$Z$32,0)+IF(AND('Bonding Program'!$P$32&lt;&gt;"",AG$3='Bonding Program'!$P$32,AG$3&lt;='Bonding Program'!$C$8),N('Bonding Program'!$O$32),0)</f>
        <v>0</v>
      </c>
      <c r="AH173" s="19" t="n">
        <f aca="false">IF(AND('Bonding Program'!$S$32=1,'Bonding Program'!$H$32&gt;'Bonding Program'!$C$8,AH$3='Bonding Program'!$H$32),'Bonding Program'!$T$32-'Bonding Program'!$U$32-'Bonding Program'!$Z$32,0)-IF(AND('Bonding Program'!$S$32=1,'Bonding Program'!$H$32&lt;='Bonding Program'!$C$8,AH$3=IF('Bonding Program'!$P$32&lt;&gt;"",'Bonding Program'!$P$32,'Bonding Program'!$C$8)),'Bonding Program'!$Z$32,0)+IF(AND('Bonding Program'!$P$32&lt;&gt;"",AH$3='Bonding Program'!$P$32,AH$3&lt;='Bonding Program'!$C$8),N('Bonding Program'!$O$32),0)</f>
        <v>0</v>
      </c>
      <c r="AI173" s="19" t="n">
        <f aca="false">IF(AND('Bonding Program'!$S$32=1,'Bonding Program'!$H$32&gt;'Bonding Program'!$C$8,AI$3='Bonding Program'!$H$32),'Bonding Program'!$T$32-'Bonding Program'!$U$32-'Bonding Program'!$Z$32,0)-IF(AND('Bonding Program'!$S$32=1,'Bonding Program'!$H$32&lt;='Bonding Program'!$C$8,AI$3=IF('Bonding Program'!$P$32&lt;&gt;"",'Bonding Program'!$P$32,'Bonding Program'!$C$8)),'Bonding Program'!$Z$32,0)+IF(AND('Bonding Program'!$P$32&lt;&gt;"",AI$3='Bonding Program'!$P$32,AI$3&lt;='Bonding Program'!$C$8),N('Bonding Program'!$O$32),0)</f>
        <v>0</v>
      </c>
      <c r="AJ173" s="19" t="n">
        <f aca="false">IF(AND('Bonding Program'!$S$32=1,'Bonding Program'!$H$32&gt;'Bonding Program'!$C$8,AJ$3='Bonding Program'!$H$32),'Bonding Program'!$T$32-'Bonding Program'!$U$32-'Bonding Program'!$Z$32,0)-IF(AND('Bonding Program'!$S$32=1,'Bonding Program'!$H$32&lt;='Bonding Program'!$C$8,AJ$3=IF('Bonding Program'!$P$32&lt;&gt;"",'Bonding Program'!$P$32,'Bonding Program'!$C$8)),'Bonding Program'!$Z$32,0)+IF(AND('Bonding Program'!$P$32&lt;&gt;"",AJ$3='Bonding Program'!$P$32,AJ$3&lt;='Bonding Program'!$C$8),N('Bonding Program'!$O$32),0)</f>
        <v>0</v>
      </c>
      <c r="AK173" s="19" t="n">
        <f aca="false">IF(AND('Bonding Program'!$S$32=1,'Bonding Program'!$H$32&gt;'Bonding Program'!$C$8,AK$3='Bonding Program'!$H$32),'Bonding Program'!$T$32-'Bonding Program'!$U$32-'Bonding Program'!$Z$32,0)-IF(AND('Bonding Program'!$S$32=1,'Bonding Program'!$H$32&lt;='Bonding Program'!$C$8,AK$3=IF('Bonding Program'!$P$32&lt;&gt;"",'Bonding Program'!$P$32,'Bonding Program'!$C$8)),'Bonding Program'!$Z$32,0)+IF(AND('Bonding Program'!$P$32&lt;&gt;"",AK$3='Bonding Program'!$P$32,AK$3&lt;='Bonding Program'!$C$8),N('Bonding Program'!$O$32),0)</f>
        <v>0</v>
      </c>
      <c r="AL173" s="19" t="n">
        <f aca="false">IF(AND('Bonding Program'!$S$32=1,'Bonding Program'!$H$32&gt;'Bonding Program'!$C$8,AL$3='Bonding Program'!$H$32),'Bonding Program'!$T$32-'Bonding Program'!$U$32-'Bonding Program'!$Z$32,0)-IF(AND('Bonding Program'!$S$32=1,'Bonding Program'!$H$32&lt;='Bonding Program'!$C$8,AL$3=IF('Bonding Program'!$P$32&lt;&gt;"",'Bonding Program'!$P$32,'Bonding Program'!$C$8)),'Bonding Program'!$Z$32,0)+IF(AND('Bonding Program'!$P$32&lt;&gt;"",AL$3='Bonding Program'!$P$32,AL$3&lt;='Bonding Program'!$C$8),N('Bonding Program'!$O$32),0)</f>
        <v>0</v>
      </c>
      <c r="AM173" s="19" t="n">
        <f aca="false">IF(AND('Bonding Program'!$S$32=1,'Bonding Program'!$H$32&gt;'Bonding Program'!$C$8,AM$3='Bonding Program'!$H$32),'Bonding Program'!$T$32-'Bonding Program'!$U$32-'Bonding Program'!$Z$32,0)-IF(AND('Bonding Program'!$S$32=1,'Bonding Program'!$H$32&lt;='Bonding Program'!$C$8,AM$3=IF('Bonding Program'!$P$32&lt;&gt;"",'Bonding Program'!$P$32,'Bonding Program'!$C$8)),'Bonding Program'!$Z$32,0)+IF(AND('Bonding Program'!$P$32&lt;&gt;"",AM$3='Bonding Program'!$P$32,AM$3&lt;='Bonding Program'!$C$8),N('Bonding Program'!$O$32),0)</f>
        <v>0</v>
      </c>
      <c r="AN173" s="19" t="n">
        <f aca="false">IF(AND('Bonding Program'!$S$32=1,'Bonding Program'!$H$32&gt;'Bonding Program'!$C$8,AN$3='Bonding Program'!$H$32),'Bonding Program'!$T$32-'Bonding Program'!$U$32-'Bonding Program'!$Z$32,0)-IF(AND('Bonding Program'!$S$32=1,'Bonding Program'!$H$32&lt;='Bonding Program'!$C$8,AN$3=IF('Bonding Program'!$P$32&lt;&gt;"",'Bonding Program'!$P$32,'Bonding Program'!$C$8)),'Bonding Program'!$Z$32,0)+IF(AND('Bonding Program'!$P$32&lt;&gt;"",AN$3='Bonding Program'!$P$32,AN$3&lt;='Bonding Program'!$C$8),N('Bonding Program'!$O$32),0)</f>
        <v>0</v>
      </c>
      <c r="AO173" s="19" t="n">
        <f aca="false">IF(AND('Bonding Program'!$S$32=1,'Bonding Program'!$H$32&gt;'Bonding Program'!$C$8,AO$3='Bonding Program'!$H$32),'Bonding Program'!$T$32-'Bonding Program'!$U$32-'Bonding Program'!$Z$32,0)-IF(AND('Bonding Program'!$S$32=1,'Bonding Program'!$H$32&lt;='Bonding Program'!$C$8,AO$3=IF('Bonding Program'!$P$32&lt;&gt;"",'Bonding Program'!$P$32,'Bonding Program'!$C$8)),'Bonding Program'!$Z$32,0)+IF(AND('Bonding Program'!$P$32&lt;&gt;"",AO$3='Bonding Program'!$P$32,AO$3&lt;='Bonding Program'!$C$8),N('Bonding Program'!$O$32),0)</f>
        <v>0</v>
      </c>
      <c r="AP173" s="19" t="n">
        <f aca="false">IF(AND('Bonding Program'!$S$32=1,'Bonding Program'!$H$32&gt;'Bonding Program'!$C$8,AP$3='Bonding Program'!$H$32),'Bonding Program'!$T$32-'Bonding Program'!$U$32-'Bonding Program'!$Z$32,0)-IF(AND('Bonding Program'!$S$32=1,'Bonding Program'!$H$32&lt;='Bonding Program'!$C$8,AP$3=IF('Bonding Program'!$P$32&lt;&gt;"",'Bonding Program'!$P$32,'Bonding Program'!$C$8)),'Bonding Program'!$Z$32,0)+IF(AND('Bonding Program'!$P$32&lt;&gt;"",AP$3='Bonding Program'!$P$32,AP$3&lt;='Bonding Program'!$C$8),N('Bonding Program'!$O$32),0)</f>
        <v>0</v>
      </c>
      <c r="AQ173" s="19" t="n">
        <f aca="false">IF(AND('Bonding Program'!$S$32=1,'Bonding Program'!$H$32&gt;'Bonding Program'!$C$8,AQ$3='Bonding Program'!$H$32),'Bonding Program'!$T$32-'Bonding Program'!$U$32-'Bonding Program'!$Z$32,0)-IF(AND('Bonding Program'!$S$32=1,'Bonding Program'!$H$32&lt;='Bonding Program'!$C$8,AQ$3=IF('Bonding Program'!$P$32&lt;&gt;"",'Bonding Program'!$P$32,'Bonding Program'!$C$8)),'Bonding Program'!$Z$32,0)+IF(AND('Bonding Program'!$P$32&lt;&gt;"",AQ$3='Bonding Program'!$P$32,AQ$3&lt;='Bonding Program'!$C$8),N('Bonding Program'!$O$32),0)</f>
        <v>0</v>
      </c>
      <c r="AR173" s="19" t="n">
        <f aca="false">IF(AND('Bonding Program'!$S$32=1,'Bonding Program'!$H$32&gt;'Bonding Program'!$C$8,AR$3='Bonding Program'!$H$32),'Bonding Program'!$T$32-'Bonding Program'!$U$32-'Bonding Program'!$Z$32,0)-IF(AND('Bonding Program'!$S$32=1,'Bonding Program'!$H$32&lt;='Bonding Program'!$C$8,AR$3=IF('Bonding Program'!$P$32&lt;&gt;"",'Bonding Program'!$P$32,'Bonding Program'!$C$8)),'Bonding Program'!$Z$32,0)+IF(AND('Bonding Program'!$P$32&lt;&gt;"",AR$3='Bonding Program'!$P$32,AR$3&lt;='Bonding Program'!$C$8),N('Bonding Program'!$O$32),0)</f>
        <v>0</v>
      </c>
      <c r="AS173" s="19" t="n">
        <f aca="false">IF(AND('Bonding Program'!$S$32=1,'Bonding Program'!$H$32&gt;'Bonding Program'!$C$8,AS$3='Bonding Program'!$H$32),'Bonding Program'!$T$32-'Bonding Program'!$U$32-'Bonding Program'!$Z$32,0)-IF(AND('Bonding Program'!$S$32=1,'Bonding Program'!$H$32&lt;='Bonding Program'!$C$8,AS$3=IF('Bonding Program'!$P$32&lt;&gt;"",'Bonding Program'!$P$32,'Bonding Program'!$C$8)),'Bonding Program'!$Z$32,0)+IF(AND('Bonding Program'!$P$32&lt;&gt;"",AS$3='Bonding Program'!$P$32,AS$3&lt;='Bonding Program'!$C$8),N('Bonding Program'!$O$32),0)</f>
        <v>0</v>
      </c>
      <c r="AT173" s="19" t="n">
        <f aca="false">IF(AND('Bonding Program'!$S$32=1,'Bonding Program'!$H$32&gt;'Bonding Program'!$C$8,AT$3='Bonding Program'!$H$32),'Bonding Program'!$T$32-'Bonding Program'!$U$32-'Bonding Program'!$Z$32,0)-IF(AND('Bonding Program'!$S$32=1,'Bonding Program'!$H$32&lt;='Bonding Program'!$C$8,AT$3=IF('Bonding Program'!$P$32&lt;&gt;"",'Bonding Program'!$P$32,'Bonding Program'!$C$8)),'Bonding Program'!$Z$32,0)+IF(AND('Bonding Program'!$P$32&lt;&gt;"",AT$3='Bonding Program'!$P$32,AT$3&lt;='Bonding Program'!$C$8),N('Bonding Program'!$O$32),0)</f>
        <v>0</v>
      </c>
      <c r="AU173" s="19" t="n">
        <f aca="false">IF(AND('Bonding Program'!$S$32=1,'Bonding Program'!$H$32&gt;'Bonding Program'!$C$8,AU$3='Bonding Program'!$H$32),'Bonding Program'!$T$32-'Bonding Program'!$U$32-'Bonding Program'!$Z$32,0)-IF(AND('Bonding Program'!$S$32=1,'Bonding Program'!$H$32&lt;='Bonding Program'!$C$8,AU$3=IF('Bonding Program'!$P$32&lt;&gt;"",'Bonding Program'!$P$32,'Bonding Program'!$C$8)),'Bonding Program'!$Z$32,0)+IF(AND('Bonding Program'!$P$32&lt;&gt;"",AU$3='Bonding Program'!$P$32,AU$3&lt;='Bonding Program'!$C$8),N('Bonding Program'!$O$32),0)</f>
        <v>0</v>
      </c>
      <c r="AV173" s="19" t="n">
        <f aca="false">IF(AND('Bonding Program'!$S$32=1,'Bonding Program'!$H$32&gt;'Bonding Program'!$C$8,AV$3='Bonding Program'!$H$32),'Bonding Program'!$T$32-'Bonding Program'!$U$32-'Bonding Program'!$Z$32,0)-IF(AND('Bonding Program'!$S$32=1,'Bonding Program'!$H$32&lt;='Bonding Program'!$C$8,AV$3=IF('Bonding Program'!$P$32&lt;&gt;"",'Bonding Program'!$P$32,'Bonding Program'!$C$8)),'Bonding Program'!$Z$32,0)+IF(AND('Bonding Program'!$P$32&lt;&gt;"",AV$3='Bonding Program'!$P$32,AV$3&lt;='Bonding Program'!$C$8),N('Bonding Program'!$O$32),0)</f>
        <v>0</v>
      </c>
      <c r="AW173" s="19" t="n">
        <f aca="false">IF(AND('Bonding Program'!$S$32=1,'Bonding Program'!$H$32&gt;'Bonding Program'!$C$8,AW$3='Bonding Program'!$H$32),'Bonding Program'!$T$32-'Bonding Program'!$U$32-'Bonding Program'!$Z$32,0)-IF(AND('Bonding Program'!$S$32=1,'Bonding Program'!$H$32&lt;='Bonding Program'!$C$8,AW$3=IF('Bonding Program'!$P$32&lt;&gt;"",'Bonding Program'!$P$32,'Bonding Program'!$C$8)),'Bonding Program'!$Z$32,0)+IF(AND('Bonding Program'!$P$32&lt;&gt;"",AW$3='Bonding Program'!$P$32,AW$3&lt;='Bonding Program'!$C$8),N('Bonding Program'!$O$32),0)</f>
        <v>0</v>
      </c>
      <c r="AX173" s="19" t="n">
        <f aca="false">IF(AND('Bonding Program'!$S$32=1,'Bonding Program'!$H$32&gt;'Bonding Program'!$C$8,AX$3='Bonding Program'!$H$32),'Bonding Program'!$T$32-'Bonding Program'!$U$32-'Bonding Program'!$Z$32,0)-IF(AND('Bonding Program'!$S$32=1,'Bonding Program'!$H$32&lt;='Bonding Program'!$C$8,AX$3=IF('Bonding Program'!$P$32&lt;&gt;"",'Bonding Program'!$P$32,'Bonding Program'!$C$8)),'Bonding Program'!$Z$32,0)+IF(AND('Bonding Program'!$P$32&lt;&gt;"",AX$3='Bonding Program'!$P$32,AX$3&lt;='Bonding Program'!$C$8),N('Bonding Program'!$O$32),0)</f>
        <v>0</v>
      </c>
      <c r="AY173" s="19" t="n">
        <f aca="false">IF(AND('Bonding Program'!$S$32=1,'Bonding Program'!$H$32&gt;'Bonding Program'!$C$8,AY$3='Bonding Program'!$H$32),'Bonding Program'!$T$32-'Bonding Program'!$U$32-'Bonding Program'!$Z$32,0)-IF(AND('Bonding Program'!$S$32=1,'Bonding Program'!$H$32&lt;='Bonding Program'!$C$8,AY$3=IF('Bonding Program'!$P$32&lt;&gt;"",'Bonding Program'!$P$32,'Bonding Program'!$C$8)),'Bonding Program'!$Z$32,0)+IF(AND('Bonding Program'!$P$32&lt;&gt;"",AY$3='Bonding Program'!$P$32,AY$3&lt;='Bonding Program'!$C$8),N('Bonding Program'!$O$32),0)</f>
        <v>0</v>
      </c>
      <c r="AZ173" s="19" t="n">
        <f aca="false">IF(AND('Bonding Program'!$S$32=1,'Bonding Program'!$H$32&gt;'Bonding Program'!$C$8,AZ$3='Bonding Program'!$H$32),'Bonding Program'!$T$32-'Bonding Program'!$U$32-'Bonding Program'!$Z$32,0)-IF(AND('Bonding Program'!$S$32=1,'Bonding Program'!$H$32&lt;='Bonding Program'!$C$8,AZ$3=IF('Bonding Program'!$P$32&lt;&gt;"",'Bonding Program'!$P$32,'Bonding Program'!$C$8)),'Bonding Program'!$Z$32,0)+IF(AND('Bonding Program'!$P$32&lt;&gt;"",AZ$3='Bonding Program'!$P$32,AZ$3&lt;='Bonding Program'!$C$8),N('Bonding Program'!$O$32),0)</f>
        <v>0</v>
      </c>
      <c r="BA173" s="19" t="n">
        <f aca="false">IF(AND('Bonding Program'!$S$32=1,'Bonding Program'!$H$32&gt;'Bonding Program'!$C$8,BA$3='Bonding Program'!$H$32),'Bonding Program'!$T$32-'Bonding Program'!$U$32-'Bonding Program'!$Z$32,0)-IF(AND('Bonding Program'!$S$32=1,'Bonding Program'!$H$32&lt;='Bonding Program'!$C$8,BA$3=IF('Bonding Program'!$P$32&lt;&gt;"",'Bonding Program'!$P$32,'Bonding Program'!$C$8)),'Bonding Program'!$Z$32,0)+IF(AND('Bonding Program'!$P$32&lt;&gt;"",BA$3='Bonding Program'!$P$32,BA$3&lt;='Bonding Program'!$C$8),N('Bonding Program'!$O$32),0)</f>
        <v>0</v>
      </c>
      <c r="BB173" s="19" t="n">
        <f aca="false">IF(AND('Bonding Program'!$S$32=1,'Bonding Program'!$H$32&gt;'Bonding Program'!$C$8,BB$3='Bonding Program'!$H$32),'Bonding Program'!$T$32-'Bonding Program'!$U$32-'Bonding Program'!$Z$32,0)-IF(AND('Bonding Program'!$S$32=1,'Bonding Program'!$H$32&lt;='Bonding Program'!$C$8,BB$3=IF('Bonding Program'!$P$32&lt;&gt;"",'Bonding Program'!$P$32,'Bonding Program'!$C$8)),'Bonding Program'!$Z$32,0)+IF(AND('Bonding Program'!$P$32&lt;&gt;"",BB$3='Bonding Program'!$P$32,BB$3&lt;='Bonding Program'!$C$8),N('Bonding Program'!$O$32),0)</f>
        <v>0</v>
      </c>
      <c r="BC173" s="19" t="n">
        <f aca="false">IF(AND('Bonding Program'!$S$32=1,'Bonding Program'!$H$32&gt;'Bonding Program'!$C$8,BC$3='Bonding Program'!$H$32),'Bonding Program'!$T$32-'Bonding Program'!$U$32-'Bonding Program'!$Z$32,0)-IF(AND('Bonding Program'!$S$32=1,'Bonding Program'!$H$32&lt;='Bonding Program'!$C$8,BC$3=IF('Bonding Program'!$P$32&lt;&gt;"",'Bonding Program'!$P$32,'Bonding Program'!$C$8)),'Bonding Program'!$Z$32,0)+IF(AND('Bonding Program'!$P$32&lt;&gt;"",BC$3='Bonding Program'!$P$32,BC$3&lt;='Bonding Program'!$C$8),N('Bonding Program'!$O$32),0)</f>
        <v>0</v>
      </c>
      <c r="BD173" s="19" t="n">
        <f aca="false">IF(AND('Bonding Program'!$S$32=1,'Bonding Program'!$H$32&gt;'Bonding Program'!$C$8,BD$3='Bonding Program'!$H$32),'Bonding Program'!$T$32-'Bonding Program'!$U$32-'Bonding Program'!$Z$32,0)-IF(AND('Bonding Program'!$S$32=1,'Bonding Program'!$H$32&lt;='Bonding Program'!$C$8,BD$3=IF('Bonding Program'!$P$32&lt;&gt;"",'Bonding Program'!$P$32,'Bonding Program'!$C$8)),'Bonding Program'!$Z$32,0)+IF(AND('Bonding Program'!$P$32&lt;&gt;"",BD$3='Bonding Program'!$P$32,BD$3&lt;='Bonding Program'!$C$8),N('Bonding Program'!$O$32),0)</f>
        <v>0</v>
      </c>
      <c r="BE173" s="19" t="n">
        <f aca="false">IF(AND('Bonding Program'!$S$32=1,'Bonding Program'!$H$32&gt;'Bonding Program'!$C$8,BE$3='Bonding Program'!$H$32),'Bonding Program'!$T$32-'Bonding Program'!$U$32-'Bonding Program'!$Z$32,0)-IF(AND('Bonding Program'!$S$32=1,'Bonding Program'!$H$32&lt;='Bonding Program'!$C$8,BE$3=IF('Bonding Program'!$P$32&lt;&gt;"",'Bonding Program'!$P$32,'Bonding Program'!$C$8)),'Bonding Program'!$Z$32,0)+IF(AND('Bonding Program'!$P$32&lt;&gt;"",BE$3='Bonding Program'!$P$32,BE$3&lt;='Bonding Program'!$C$8),N('Bonding Program'!$O$32),0)</f>
        <v>0</v>
      </c>
      <c r="BF173" s="19" t="n">
        <f aca="false">IF(AND('Bonding Program'!$S$32=1,'Bonding Program'!$H$32&gt;'Bonding Program'!$C$8,BF$3='Bonding Program'!$H$32),'Bonding Program'!$T$32-'Bonding Program'!$U$32-'Bonding Program'!$Z$32,0)-IF(AND('Bonding Program'!$S$32=1,'Bonding Program'!$H$32&lt;='Bonding Program'!$C$8,BF$3=IF('Bonding Program'!$P$32&lt;&gt;"",'Bonding Program'!$P$32,'Bonding Program'!$C$8)),'Bonding Program'!$Z$32,0)+IF(AND('Bonding Program'!$P$32&lt;&gt;"",BF$3='Bonding Program'!$P$32,BF$3&lt;='Bonding Program'!$C$8),N('Bonding Program'!$O$32),0)</f>
        <v>0</v>
      </c>
      <c r="BG173" s="19" t="n">
        <f aca="false">IF(AND('Bonding Program'!$S$32=1,'Bonding Program'!$H$32&gt;'Bonding Program'!$C$8,BG$3='Bonding Program'!$H$32),'Bonding Program'!$T$32-'Bonding Program'!$U$32-'Bonding Program'!$Z$32,0)-IF(AND('Bonding Program'!$S$32=1,'Bonding Program'!$H$32&lt;='Bonding Program'!$C$8,BG$3=IF('Bonding Program'!$P$32&lt;&gt;"",'Bonding Program'!$P$32,'Bonding Program'!$C$8)),'Bonding Program'!$Z$32,0)+IF(AND('Bonding Program'!$P$32&lt;&gt;"",BG$3='Bonding Program'!$P$32,BG$3&lt;='Bonding Program'!$C$8),N('Bonding Program'!$O$32),0)</f>
        <v>0</v>
      </c>
      <c r="BH173" s="19" t="n">
        <f aca="false">IF(AND('Bonding Program'!$S$32=1,'Bonding Program'!$H$32&gt;'Bonding Program'!$C$8,BH$3='Bonding Program'!$H$32),'Bonding Program'!$T$32-'Bonding Program'!$U$32-'Bonding Program'!$Z$32,0)-IF(AND('Bonding Program'!$S$32=1,'Bonding Program'!$H$32&lt;='Bonding Program'!$C$8,BH$3=IF('Bonding Program'!$P$32&lt;&gt;"",'Bonding Program'!$P$32,'Bonding Program'!$C$8)),'Bonding Program'!$Z$32,0)+IF(AND('Bonding Program'!$P$32&lt;&gt;"",BH$3='Bonding Program'!$P$32,BH$3&lt;='Bonding Program'!$C$8),N('Bonding Program'!$O$32),0)</f>
        <v>0</v>
      </c>
      <c r="BI173" s="19" t="n">
        <f aca="false">IF(AND('Bonding Program'!$S$32=1,'Bonding Program'!$H$32&gt;'Bonding Program'!$C$8,BI$3='Bonding Program'!$H$32),'Bonding Program'!$T$32-'Bonding Program'!$U$32-'Bonding Program'!$Z$32,0)-IF(AND('Bonding Program'!$S$32=1,'Bonding Program'!$H$32&lt;='Bonding Program'!$C$8,BI$3=IF('Bonding Program'!$P$32&lt;&gt;"",'Bonding Program'!$P$32,'Bonding Program'!$C$8)),'Bonding Program'!$Z$32,0)+IF(AND('Bonding Program'!$P$32&lt;&gt;"",BI$3='Bonding Program'!$P$32,BI$3&lt;='Bonding Program'!$C$8),N('Bonding Program'!$O$32),0)</f>
        <v>0</v>
      </c>
      <c r="BJ173" s="19" t="n">
        <f aca="false">IF(AND('Bonding Program'!$S$32=1,'Bonding Program'!$H$32&gt;'Bonding Program'!$C$8,BJ$3='Bonding Program'!$H$32),'Bonding Program'!$T$32-'Bonding Program'!$U$32-'Bonding Program'!$Z$32,0)-IF(AND('Bonding Program'!$S$32=1,'Bonding Program'!$H$32&lt;='Bonding Program'!$C$8,BJ$3=IF('Bonding Program'!$P$32&lt;&gt;"",'Bonding Program'!$P$32,'Bonding Program'!$C$8)),'Bonding Program'!$Z$32,0)+IF(AND('Bonding Program'!$P$32&lt;&gt;"",BJ$3='Bonding Program'!$P$32,BJ$3&lt;='Bonding Program'!$C$8),N('Bonding Program'!$O$32),0)</f>
        <v>0</v>
      </c>
      <c r="BK173" s="19" t="n">
        <f aca="false">IF(AND('Bonding Program'!$S$32=1,'Bonding Program'!$H$32&gt;'Bonding Program'!$C$8,BK$3='Bonding Program'!$H$32),'Bonding Program'!$T$32-'Bonding Program'!$U$32-'Bonding Program'!$Z$32,0)-IF(AND('Bonding Program'!$S$32=1,'Bonding Program'!$H$32&lt;='Bonding Program'!$C$8,BK$3=IF('Bonding Program'!$P$32&lt;&gt;"",'Bonding Program'!$P$32,'Bonding Program'!$C$8)),'Bonding Program'!$Z$32,0)+IF(AND('Bonding Program'!$P$32&lt;&gt;"",BK$3='Bonding Program'!$P$32,BK$3&lt;='Bonding Program'!$C$8),N('Bonding Program'!$O$32),0)</f>
        <v>0</v>
      </c>
      <c r="BL173" s="19" t="n">
        <f aca="false">IF(AND('Bonding Program'!$S$32=1,'Bonding Program'!$H$32&gt;'Bonding Program'!$C$8,BL$3='Bonding Program'!$H$32),'Bonding Program'!$T$32-'Bonding Program'!$U$32-'Bonding Program'!$Z$32,0)-IF(AND('Bonding Program'!$S$32=1,'Bonding Program'!$H$32&lt;='Bonding Program'!$C$8,BL$3=IF('Bonding Program'!$P$32&lt;&gt;"",'Bonding Program'!$P$32,'Bonding Program'!$C$8)),'Bonding Program'!$Z$32,0)+IF(AND('Bonding Program'!$P$32&lt;&gt;"",BL$3='Bonding Program'!$P$32,BL$3&lt;='Bonding Program'!$C$8),N('Bonding Program'!$O$32),0)</f>
        <v>0</v>
      </c>
      <c r="BM173" s="19" t="n">
        <f aca="false">IF(AND('Bonding Program'!$S$32=1,'Bonding Program'!$H$32&gt;'Bonding Program'!$C$8,BM$3='Bonding Program'!$H$32),'Bonding Program'!$T$32-'Bonding Program'!$U$32-'Bonding Program'!$Z$32,0)-IF(AND('Bonding Program'!$S$32=1,'Bonding Program'!$H$32&lt;='Bonding Program'!$C$8,BM$3=IF('Bonding Program'!$P$32&lt;&gt;"",'Bonding Program'!$P$32,'Bonding Program'!$C$8)),'Bonding Program'!$Z$32,0)+IF(AND('Bonding Program'!$P$32&lt;&gt;"",BM$3='Bonding Program'!$P$32,BM$3&lt;='Bonding Program'!$C$8),N('Bonding Program'!$O$32),0)</f>
        <v>0</v>
      </c>
      <c r="BN173" s="19" t="n">
        <f aca="false">IF(AND('Bonding Program'!$S$32=1,'Bonding Program'!$H$32&gt;'Bonding Program'!$C$8,BN$3='Bonding Program'!$H$32),'Bonding Program'!$T$32-'Bonding Program'!$U$32-'Bonding Program'!$Z$32,0)-IF(AND('Bonding Program'!$S$32=1,'Bonding Program'!$H$32&lt;='Bonding Program'!$C$8,BN$3=IF('Bonding Program'!$P$32&lt;&gt;"",'Bonding Program'!$P$32,'Bonding Program'!$C$8)),'Bonding Program'!$Z$32,0)+IF(AND('Bonding Program'!$P$32&lt;&gt;"",BN$3='Bonding Program'!$P$32,BN$3&lt;='Bonding Program'!$C$8),N('Bonding Program'!$O$32),0)</f>
        <v>0</v>
      </c>
      <c r="BO173" s="19" t="n">
        <f aca="false">IF(AND('Bonding Program'!$S$32=1,'Bonding Program'!$H$32&gt;'Bonding Program'!$C$8,BO$3='Bonding Program'!$H$32),'Bonding Program'!$T$32-'Bonding Program'!$U$32-'Bonding Program'!$Z$32,0)-IF(AND('Bonding Program'!$S$32=1,'Bonding Program'!$H$32&lt;='Bonding Program'!$C$8,BO$3=IF('Bonding Program'!$P$32&lt;&gt;"",'Bonding Program'!$P$32,'Bonding Program'!$C$8)),'Bonding Program'!$Z$32,0)+IF(AND('Bonding Program'!$P$32&lt;&gt;"",BO$3='Bonding Program'!$P$32,BO$3&lt;='Bonding Program'!$C$8),N('Bonding Program'!$O$32),0)</f>
        <v>0</v>
      </c>
      <c r="BP173" s="19" t="n">
        <f aca="false">IF(AND('Bonding Program'!$S$32=1,'Bonding Program'!$H$32&gt;'Bonding Program'!$C$8,BP$3='Bonding Program'!$H$32),'Bonding Program'!$T$32-'Bonding Program'!$U$32-'Bonding Program'!$Z$32,0)-IF(AND('Bonding Program'!$S$32=1,'Bonding Program'!$H$32&lt;='Bonding Program'!$C$8,BP$3=IF('Bonding Program'!$P$32&lt;&gt;"",'Bonding Program'!$P$32,'Bonding Program'!$C$8)),'Bonding Program'!$Z$32,0)+IF(AND('Bonding Program'!$P$32&lt;&gt;"",BP$3='Bonding Program'!$P$32,BP$3&lt;='Bonding Program'!$C$8),N('Bonding Program'!$O$32),0)</f>
        <v>0</v>
      </c>
      <c r="BQ173" s="19" t="n">
        <f aca="false">IF(AND('Bonding Program'!$S$32=1,'Bonding Program'!$H$32&gt;'Bonding Program'!$C$8,BQ$3='Bonding Program'!$H$32),'Bonding Program'!$T$32-'Bonding Program'!$U$32-'Bonding Program'!$Z$32,0)-IF(AND('Bonding Program'!$S$32=1,'Bonding Program'!$H$32&lt;='Bonding Program'!$C$8,BQ$3=IF('Bonding Program'!$P$32&lt;&gt;"",'Bonding Program'!$P$32,'Bonding Program'!$C$8)),'Bonding Program'!$Z$32,0)+IF(AND('Bonding Program'!$P$32&lt;&gt;"",BQ$3='Bonding Program'!$P$32,BQ$3&lt;='Bonding Program'!$C$8),N('Bonding Program'!$O$32),0)</f>
        <v>0</v>
      </c>
      <c r="BR173" s="19" t="n">
        <f aca="false">IF(AND('Bonding Program'!$S$32=1,'Bonding Program'!$H$32&gt;'Bonding Program'!$C$8,BR$3='Bonding Program'!$H$32),'Bonding Program'!$T$32-'Bonding Program'!$U$32-'Bonding Program'!$Z$32,0)-IF(AND('Bonding Program'!$S$32=1,'Bonding Program'!$H$32&lt;='Bonding Program'!$C$8,BR$3=IF('Bonding Program'!$P$32&lt;&gt;"",'Bonding Program'!$P$32,'Bonding Program'!$C$8)),'Bonding Program'!$Z$32,0)+IF(AND('Bonding Program'!$P$32&lt;&gt;"",BR$3='Bonding Program'!$P$32,BR$3&lt;='Bonding Program'!$C$8),N('Bonding Program'!$O$32),0)</f>
        <v>0</v>
      </c>
      <c r="BS173" s="19" t="n">
        <f aca="false">IF(AND('Bonding Program'!$S$32=1,'Bonding Program'!$H$32&gt;'Bonding Program'!$C$8,BS$3='Bonding Program'!$H$32),'Bonding Program'!$T$32-'Bonding Program'!$U$32-'Bonding Program'!$Z$32,0)-IF(AND('Bonding Program'!$S$32=1,'Bonding Program'!$H$32&lt;='Bonding Program'!$C$8,BS$3=IF('Bonding Program'!$P$32&lt;&gt;"",'Bonding Program'!$P$32,'Bonding Program'!$C$8)),'Bonding Program'!$Z$32,0)+IF(AND('Bonding Program'!$P$32&lt;&gt;"",BS$3='Bonding Program'!$P$32,BS$3&lt;='Bonding Program'!$C$8),N('Bonding Program'!$O$32),0)</f>
        <v>0</v>
      </c>
      <c r="BT173" s="19" t="n">
        <f aca="false">IF(AND('Bonding Program'!$S$32=1,'Bonding Program'!$H$32&gt;'Bonding Program'!$C$8,BT$3='Bonding Program'!$H$32),'Bonding Program'!$T$32-'Bonding Program'!$U$32-'Bonding Program'!$Z$32,0)-IF(AND('Bonding Program'!$S$32=1,'Bonding Program'!$H$32&lt;='Bonding Program'!$C$8,BT$3=IF('Bonding Program'!$P$32&lt;&gt;"",'Bonding Program'!$P$32,'Bonding Program'!$C$8)),'Bonding Program'!$Z$32,0)+IF(AND('Bonding Program'!$P$32&lt;&gt;"",BT$3='Bonding Program'!$P$32,BT$3&lt;='Bonding Program'!$C$8),N('Bonding Program'!$O$32),0)</f>
        <v>0</v>
      </c>
      <c r="BU173" s="19" t="n">
        <f aca="false">IF(AND('Bonding Program'!$S$32=1,'Bonding Program'!$H$32&gt;'Bonding Program'!$C$8,BU$3='Bonding Program'!$H$32),'Bonding Program'!$T$32-'Bonding Program'!$U$32-'Bonding Program'!$Z$32,0)-IF(AND('Bonding Program'!$S$32=1,'Bonding Program'!$H$32&lt;='Bonding Program'!$C$8,BU$3=IF('Bonding Program'!$P$32&lt;&gt;"",'Bonding Program'!$P$32,'Bonding Program'!$C$8)),'Bonding Program'!$Z$32,0)+IF(AND('Bonding Program'!$P$32&lt;&gt;"",BU$3='Bonding Program'!$P$32,BU$3&lt;='Bonding Program'!$C$8),N('Bonding Program'!$O$32),0)</f>
        <v>0</v>
      </c>
      <c r="BV173" s="19" t="n">
        <f aca="false">IF(AND('Bonding Program'!$S$32=1,'Bonding Program'!$H$32&gt;'Bonding Program'!$C$8,BV$3='Bonding Program'!$H$32),'Bonding Program'!$T$32-'Bonding Program'!$U$32-'Bonding Program'!$Z$32,0)-IF(AND('Bonding Program'!$S$32=1,'Bonding Program'!$H$32&lt;='Bonding Program'!$C$8,BV$3=IF('Bonding Program'!$P$32&lt;&gt;"",'Bonding Program'!$P$32,'Bonding Program'!$C$8)),'Bonding Program'!$Z$32,0)+IF(AND('Bonding Program'!$P$32&lt;&gt;"",BV$3='Bonding Program'!$P$32,BV$3&lt;='Bonding Program'!$C$8),N('Bonding Program'!$O$32),0)</f>
        <v>0</v>
      </c>
      <c r="BW173" s="19" t="n">
        <f aca="false">IF(AND('Bonding Program'!$S$32=1,'Bonding Program'!$H$32&gt;'Bonding Program'!$C$8,BW$3='Bonding Program'!$H$32),'Bonding Program'!$T$32-'Bonding Program'!$U$32-'Bonding Program'!$Z$32,0)-IF(AND('Bonding Program'!$S$32=1,'Bonding Program'!$H$32&lt;='Bonding Program'!$C$8,BW$3=IF('Bonding Program'!$P$32&lt;&gt;"",'Bonding Program'!$P$32,'Bonding Program'!$C$8)),'Bonding Program'!$Z$32,0)+IF(AND('Bonding Program'!$P$32&lt;&gt;"",BW$3='Bonding Program'!$P$32,BW$3&lt;='Bonding Program'!$C$8),N('Bonding Program'!$O$32),0)</f>
        <v>0</v>
      </c>
      <c r="BX173" s="19" t="n">
        <f aca="false">IF(AND('Bonding Program'!$S$32=1,'Bonding Program'!$H$32&gt;'Bonding Program'!$C$8,BX$3='Bonding Program'!$H$32),'Bonding Program'!$T$32-'Bonding Program'!$U$32-'Bonding Program'!$Z$32,0)-IF(AND('Bonding Program'!$S$32=1,'Bonding Program'!$H$32&lt;='Bonding Program'!$C$8,BX$3=IF('Bonding Program'!$P$32&lt;&gt;"",'Bonding Program'!$P$32,'Bonding Program'!$C$8)),'Bonding Program'!$Z$32,0)+IF(AND('Bonding Program'!$P$32&lt;&gt;"",BX$3='Bonding Program'!$P$32,BX$3&lt;='Bonding Program'!$C$8),N('Bonding Program'!$O$32),0)</f>
        <v>0</v>
      </c>
      <c r="BY173" s="19" t="n">
        <f aca="false">IF(AND('Bonding Program'!$S$32=1,'Bonding Program'!$H$32&gt;'Bonding Program'!$C$8,BY$3='Bonding Program'!$H$32),'Bonding Program'!$T$32-'Bonding Program'!$U$32-'Bonding Program'!$Z$32,0)-IF(AND('Bonding Program'!$S$32=1,'Bonding Program'!$H$32&lt;='Bonding Program'!$C$8,BY$3=IF('Bonding Program'!$P$32&lt;&gt;"",'Bonding Program'!$P$32,'Bonding Program'!$C$8)),'Bonding Program'!$Z$32,0)+IF(AND('Bonding Program'!$P$32&lt;&gt;"",BY$3='Bonding Program'!$P$32,BY$3&lt;='Bonding Program'!$C$8),N('Bonding Program'!$O$32),0)</f>
        <v>0</v>
      </c>
      <c r="BZ173" s="19" t="n">
        <f aca="false">IF(AND('Bonding Program'!$S$32=1,'Bonding Program'!$H$32&gt;'Bonding Program'!$C$8,BZ$3='Bonding Program'!$H$32),'Bonding Program'!$T$32-'Bonding Program'!$U$32-'Bonding Program'!$Z$32,0)-IF(AND('Bonding Program'!$S$32=1,'Bonding Program'!$H$32&lt;='Bonding Program'!$C$8,BZ$3=IF('Bonding Program'!$P$32&lt;&gt;"",'Bonding Program'!$P$32,'Bonding Program'!$C$8)),'Bonding Program'!$Z$32,0)+IF(AND('Bonding Program'!$P$32&lt;&gt;"",BZ$3='Bonding Program'!$P$32,BZ$3&lt;='Bonding Program'!$C$8),N('Bonding Program'!$O$32),0)</f>
        <v>0</v>
      </c>
      <c r="CA173" s="19" t="n">
        <f aca="false">IF(AND('Bonding Program'!$S$32=1,'Bonding Program'!$H$32&gt;'Bonding Program'!$C$8,CA$3='Bonding Program'!$H$32),'Bonding Program'!$T$32-'Bonding Program'!$U$32-'Bonding Program'!$Z$32,0)-IF(AND('Bonding Program'!$S$32=1,'Bonding Program'!$H$32&lt;='Bonding Program'!$C$8,CA$3=IF('Bonding Program'!$P$32&lt;&gt;"",'Bonding Program'!$P$32,'Bonding Program'!$C$8)),'Bonding Program'!$Z$32,0)+IF(AND('Bonding Program'!$P$32&lt;&gt;"",CA$3='Bonding Program'!$P$32,CA$3&lt;='Bonding Program'!$C$8),N('Bonding Program'!$O$32),0)</f>
        <v>0</v>
      </c>
      <c r="CB173" s="19" t="n">
        <f aca="false">IF(AND('Bonding Program'!$S$32=1,'Bonding Program'!$H$32&gt;'Bonding Program'!$C$8,CB$3='Bonding Program'!$H$32),'Bonding Program'!$T$32-'Bonding Program'!$U$32-'Bonding Program'!$Z$32,0)-IF(AND('Bonding Program'!$S$32=1,'Bonding Program'!$H$32&lt;='Bonding Program'!$C$8,CB$3=IF('Bonding Program'!$P$32&lt;&gt;"",'Bonding Program'!$P$32,'Bonding Program'!$C$8)),'Bonding Program'!$Z$32,0)+IF(AND('Bonding Program'!$P$32&lt;&gt;"",CB$3='Bonding Program'!$P$32,CB$3&lt;='Bonding Program'!$C$8),N('Bonding Program'!$O$32),0)</f>
        <v>0</v>
      </c>
      <c r="CC173" s="19" t="n">
        <f aca="false">IF(AND('Bonding Program'!$S$32=1,'Bonding Program'!$H$32&gt;'Bonding Program'!$C$8,CC$3='Bonding Program'!$H$32),'Bonding Program'!$T$32-'Bonding Program'!$U$32-'Bonding Program'!$Z$32,0)-IF(AND('Bonding Program'!$S$32=1,'Bonding Program'!$H$32&lt;='Bonding Program'!$C$8,CC$3=IF('Bonding Program'!$P$32&lt;&gt;"",'Bonding Program'!$P$32,'Bonding Program'!$C$8)),'Bonding Program'!$Z$32,0)+IF(AND('Bonding Program'!$P$32&lt;&gt;"",CC$3='Bonding Program'!$P$32,CC$3&lt;='Bonding Program'!$C$8),N('Bonding Program'!$O$32),0)</f>
        <v>0</v>
      </c>
      <c r="CD173" s="19" t="n">
        <f aca="false">IF(AND('Bonding Program'!$S$32=1,'Bonding Program'!$H$32&gt;'Bonding Program'!$C$8,CD$3='Bonding Program'!$H$32),'Bonding Program'!$T$32-'Bonding Program'!$U$32-'Bonding Program'!$Z$32,0)-IF(AND('Bonding Program'!$S$32=1,'Bonding Program'!$H$32&lt;='Bonding Program'!$C$8,CD$3=IF('Bonding Program'!$P$32&lt;&gt;"",'Bonding Program'!$P$32,'Bonding Program'!$C$8)),'Bonding Program'!$Z$32,0)+IF(AND('Bonding Program'!$P$32&lt;&gt;"",CD$3='Bonding Program'!$P$32,CD$3&lt;='Bonding Program'!$C$8),N('Bonding Program'!$O$32),0)</f>
        <v>0</v>
      </c>
      <c r="CE173" s="19" t="n">
        <f aca="false">IF(AND('Bonding Program'!$S$32=1,'Bonding Program'!$H$32&gt;'Bonding Program'!$C$8,CE$3='Bonding Program'!$H$32),'Bonding Program'!$T$32-'Bonding Program'!$U$32-'Bonding Program'!$Z$32,0)-IF(AND('Bonding Program'!$S$32=1,'Bonding Program'!$H$32&lt;='Bonding Program'!$C$8,CE$3=IF('Bonding Program'!$P$32&lt;&gt;"",'Bonding Program'!$P$32,'Bonding Program'!$C$8)),'Bonding Program'!$Z$32,0)+IF(AND('Bonding Program'!$P$32&lt;&gt;"",CE$3='Bonding Program'!$P$32,CE$3&lt;='Bonding Program'!$C$8),N('Bonding Program'!$O$32),0)</f>
        <v>0</v>
      </c>
      <c r="CF173" s="19" t="n">
        <f aca="false">IF(AND('Bonding Program'!$S$32=1,'Bonding Program'!$H$32&gt;'Bonding Program'!$C$8,CF$3='Bonding Program'!$H$32),'Bonding Program'!$T$32-'Bonding Program'!$U$32-'Bonding Program'!$Z$32,0)-IF(AND('Bonding Program'!$S$32=1,'Bonding Program'!$H$32&lt;='Bonding Program'!$C$8,CF$3=IF('Bonding Program'!$P$32&lt;&gt;"",'Bonding Program'!$P$32,'Bonding Program'!$C$8)),'Bonding Program'!$Z$32,0)+IF(AND('Bonding Program'!$P$32&lt;&gt;"",CF$3='Bonding Program'!$P$32,CF$3&lt;='Bonding Program'!$C$8),N('Bonding Program'!$O$32),0)</f>
        <v>0</v>
      </c>
      <c r="CG173" s="19" t="n">
        <f aca="false">IF(AND('Bonding Program'!$S$32=1,'Bonding Program'!$H$32&gt;'Bonding Program'!$C$8,CG$3='Bonding Program'!$H$32),'Bonding Program'!$T$32-'Bonding Program'!$U$32-'Bonding Program'!$Z$32,0)-IF(AND('Bonding Program'!$S$32=1,'Bonding Program'!$H$32&lt;='Bonding Program'!$C$8,CG$3=IF('Bonding Program'!$P$32&lt;&gt;"",'Bonding Program'!$P$32,'Bonding Program'!$C$8)),'Bonding Program'!$Z$32,0)+IF(AND('Bonding Program'!$P$32&lt;&gt;"",CG$3='Bonding Program'!$P$32,CG$3&lt;='Bonding Program'!$C$8),N('Bonding Program'!$O$32),0)</f>
        <v>0</v>
      </c>
      <c r="CH173" s="19" t="n">
        <f aca="false">IF(AND('Bonding Program'!$S$32=1,'Bonding Program'!$H$32&gt;'Bonding Program'!$C$8,CH$3='Bonding Program'!$H$32),'Bonding Program'!$T$32-'Bonding Program'!$U$32-'Bonding Program'!$Z$32,0)-IF(AND('Bonding Program'!$S$32=1,'Bonding Program'!$H$32&lt;='Bonding Program'!$C$8,CH$3=IF('Bonding Program'!$P$32&lt;&gt;"",'Bonding Program'!$P$32,'Bonding Program'!$C$8)),'Bonding Program'!$Z$32,0)+IF(AND('Bonding Program'!$P$32&lt;&gt;"",CH$3='Bonding Program'!$P$32,CH$3&lt;='Bonding Program'!$C$8),N('Bonding Program'!$O$32),0)</f>
        <v>0</v>
      </c>
      <c r="CI173" s="19" t="n">
        <f aca="false">IF(AND('Bonding Program'!$S$32=1,'Bonding Program'!$H$32&gt;'Bonding Program'!$C$8,CI$3='Bonding Program'!$H$32),'Bonding Program'!$T$32-'Bonding Program'!$U$32-'Bonding Program'!$Z$32,0)-IF(AND('Bonding Program'!$S$32=1,'Bonding Program'!$H$32&lt;='Bonding Program'!$C$8,CI$3=IF('Bonding Program'!$P$32&lt;&gt;"",'Bonding Program'!$P$32,'Bonding Program'!$C$8)),'Bonding Program'!$Z$32,0)+IF(AND('Bonding Program'!$P$32&lt;&gt;"",CI$3='Bonding Program'!$P$32,CI$3&lt;='Bonding Program'!$C$8),N('Bonding Program'!$O$32),0)</f>
        <v>0</v>
      </c>
      <c r="CJ173" s="19" t="n">
        <f aca="false">IF(AND('Bonding Program'!$S$32=1,'Bonding Program'!$H$32&gt;'Bonding Program'!$C$8,CJ$3='Bonding Program'!$H$32),'Bonding Program'!$T$32-'Bonding Program'!$U$32-'Bonding Program'!$Z$32,0)-IF(AND('Bonding Program'!$S$32=1,'Bonding Program'!$H$32&lt;='Bonding Program'!$C$8,CJ$3=IF('Bonding Program'!$P$32&lt;&gt;"",'Bonding Program'!$P$32,'Bonding Program'!$C$8)),'Bonding Program'!$Z$32,0)+IF(AND('Bonding Program'!$P$32&lt;&gt;"",CJ$3='Bonding Program'!$P$32,CJ$3&lt;='Bonding Program'!$C$8),N('Bonding Program'!$O$32),0)</f>
        <v>0</v>
      </c>
      <c r="CK173" s="19" t="n">
        <f aca="false">IF(AND('Bonding Program'!$S$32=1,'Bonding Program'!$H$32&gt;'Bonding Program'!$C$8,CK$3='Bonding Program'!$H$32),'Bonding Program'!$T$32-'Bonding Program'!$U$32-'Bonding Program'!$Z$32,0)-IF(AND('Bonding Program'!$S$32=1,'Bonding Program'!$H$32&lt;='Bonding Program'!$C$8,CK$3=IF('Bonding Program'!$P$32&lt;&gt;"",'Bonding Program'!$P$32,'Bonding Program'!$C$8)),'Bonding Program'!$Z$32,0)+IF(AND('Bonding Program'!$P$32&lt;&gt;"",CK$3='Bonding Program'!$P$32,CK$3&lt;='Bonding Program'!$C$8),N('Bonding Program'!$O$32),0)</f>
        <v>0</v>
      </c>
      <c r="CL173" s="19" t="n">
        <f aca="false">IF(AND('Bonding Program'!$S$32=1,'Bonding Program'!$H$32&gt;'Bonding Program'!$C$8,CL$3='Bonding Program'!$H$32),'Bonding Program'!$T$32-'Bonding Program'!$U$32-'Bonding Program'!$Z$32,0)-IF(AND('Bonding Program'!$S$32=1,'Bonding Program'!$H$32&lt;='Bonding Program'!$C$8,CL$3=IF('Bonding Program'!$P$32&lt;&gt;"",'Bonding Program'!$P$32,'Bonding Program'!$C$8)),'Bonding Program'!$Z$32,0)+IF(AND('Bonding Program'!$P$32&lt;&gt;"",CL$3='Bonding Program'!$P$32,CL$3&lt;='Bonding Program'!$C$8),N('Bonding Program'!$O$32),0)</f>
        <v>0</v>
      </c>
      <c r="CM173" s="19" t="n">
        <f aca="false">IF(AND('Bonding Program'!$S$32=1,'Bonding Program'!$H$32&gt;'Bonding Program'!$C$8,CM$3='Bonding Program'!$H$32),'Bonding Program'!$T$32-'Bonding Program'!$U$32-'Bonding Program'!$Z$32,0)-IF(AND('Bonding Program'!$S$32=1,'Bonding Program'!$H$32&lt;='Bonding Program'!$C$8,CM$3=IF('Bonding Program'!$P$32&lt;&gt;"",'Bonding Program'!$P$32,'Bonding Program'!$C$8)),'Bonding Program'!$Z$32,0)+IF(AND('Bonding Program'!$P$32&lt;&gt;"",CM$3='Bonding Program'!$P$32,CM$3&lt;='Bonding Program'!$C$8),N('Bonding Program'!$O$32),0)</f>
        <v>0</v>
      </c>
      <c r="CN173" s="19" t="n">
        <f aca="false">IF(AND('Bonding Program'!$S$32=1,'Bonding Program'!$H$32&gt;'Bonding Program'!$C$8,CN$3='Bonding Program'!$H$32),'Bonding Program'!$T$32-'Bonding Program'!$U$32-'Bonding Program'!$Z$32,0)-IF(AND('Bonding Program'!$S$32=1,'Bonding Program'!$H$32&lt;='Bonding Program'!$C$8,CN$3=IF('Bonding Program'!$P$32&lt;&gt;"",'Bonding Program'!$P$32,'Bonding Program'!$C$8)),'Bonding Program'!$Z$32,0)+IF(AND('Bonding Program'!$P$32&lt;&gt;"",CN$3='Bonding Program'!$P$32,CN$3&lt;='Bonding Program'!$C$8),N('Bonding Program'!$O$32),0)</f>
        <v>0</v>
      </c>
      <c r="CO173" s="19" t="n">
        <f aca="false">IF(AND('Bonding Program'!$S$32=1,'Bonding Program'!$H$32&gt;'Bonding Program'!$C$8,CO$3='Bonding Program'!$H$32),'Bonding Program'!$T$32-'Bonding Program'!$U$32-'Bonding Program'!$Z$32,0)-IF(AND('Bonding Program'!$S$32=1,'Bonding Program'!$H$32&lt;='Bonding Program'!$C$8,CO$3=IF('Bonding Program'!$P$32&lt;&gt;"",'Bonding Program'!$P$32,'Bonding Program'!$C$8)),'Bonding Program'!$Z$32,0)+IF(AND('Bonding Program'!$P$32&lt;&gt;"",CO$3='Bonding Program'!$P$32,CO$3&lt;='Bonding Program'!$C$8),N('Bonding Program'!$O$32),0)</f>
        <v>0</v>
      </c>
      <c r="CP173" s="19" t="n">
        <f aca="false">IF(AND('Bonding Program'!$S$32=1,'Bonding Program'!$H$32&gt;'Bonding Program'!$C$8,CP$3='Bonding Program'!$H$32),'Bonding Program'!$T$32-'Bonding Program'!$U$32-'Bonding Program'!$Z$32,0)-IF(AND('Bonding Program'!$S$32=1,'Bonding Program'!$H$32&lt;='Bonding Program'!$C$8,CP$3=IF('Bonding Program'!$P$32&lt;&gt;"",'Bonding Program'!$P$32,'Bonding Program'!$C$8)),'Bonding Program'!$Z$32,0)+IF(AND('Bonding Program'!$P$32&lt;&gt;"",CP$3='Bonding Program'!$P$32,CP$3&lt;='Bonding Program'!$C$8),N('Bonding Program'!$O$32),0)</f>
        <v>0</v>
      </c>
      <c r="CQ173" s="19" t="n">
        <f aca="false">IF(AND('Bonding Program'!$S$32=1,'Bonding Program'!$H$32&gt;'Bonding Program'!$C$8,CQ$3='Bonding Program'!$H$32),'Bonding Program'!$T$32-'Bonding Program'!$U$32-'Bonding Program'!$Z$32,0)-IF(AND('Bonding Program'!$S$32=1,'Bonding Program'!$H$32&lt;='Bonding Program'!$C$8,CQ$3=IF('Bonding Program'!$P$32&lt;&gt;"",'Bonding Program'!$P$32,'Bonding Program'!$C$8)),'Bonding Program'!$Z$32,0)+IF(AND('Bonding Program'!$P$32&lt;&gt;"",CQ$3='Bonding Program'!$P$32,CQ$3&lt;='Bonding Program'!$C$8),N('Bonding Program'!$O$32),0)</f>
        <v>0</v>
      </c>
      <c r="CR173" s="19" t="n">
        <f aca="false">IF(AND('Bonding Program'!$S$32=1,'Bonding Program'!$H$32&gt;'Bonding Program'!$C$8,CR$3='Bonding Program'!$H$32),'Bonding Program'!$T$32-'Bonding Program'!$U$32-'Bonding Program'!$Z$32,0)-IF(AND('Bonding Program'!$S$32=1,'Bonding Program'!$H$32&lt;='Bonding Program'!$C$8,CR$3=IF('Bonding Program'!$P$32&lt;&gt;"",'Bonding Program'!$P$32,'Bonding Program'!$C$8)),'Bonding Program'!$Z$32,0)+IF(AND('Bonding Program'!$P$32&lt;&gt;"",CR$3='Bonding Program'!$P$32,CR$3&lt;='Bonding Program'!$C$8),N('Bonding Program'!$O$32),0)</f>
        <v>0</v>
      </c>
      <c r="CS173" s="19" t="n">
        <f aca="false">IF(AND('Bonding Program'!$S$32=1,'Bonding Program'!$H$32&gt;'Bonding Program'!$C$8,CS$3='Bonding Program'!$H$32),'Bonding Program'!$T$32-'Bonding Program'!$U$32-'Bonding Program'!$Z$32,0)-IF(AND('Bonding Program'!$S$32=1,'Bonding Program'!$H$32&lt;='Bonding Program'!$C$8,CS$3=IF('Bonding Program'!$P$32&lt;&gt;"",'Bonding Program'!$P$32,'Bonding Program'!$C$8)),'Bonding Program'!$Z$32,0)+IF(AND('Bonding Program'!$P$32&lt;&gt;"",CS$3='Bonding Program'!$P$32,CS$3&lt;='Bonding Program'!$C$8),N('Bonding Program'!$O$32),0)</f>
        <v>0</v>
      </c>
      <c r="CT173" s="19" t="n">
        <f aca="false">IF(AND('Bonding Program'!$S$32=1,'Bonding Program'!$H$32&gt;'Bonding Program'!$C$8,CT$3='Bonding Program'!$H$32),'Bonding Program'!$T$32-'Bonding Program'!$U$32-'Bonding Program'!$Z$32,0)-IF(AND('Bonding Program'!$S$32=1,'Bonding Program'!$H$32&lt;='Bonding Program'!$C$8,CT$3=IF('Bonding Program'!$P$32&lt;&gt;"",'Bonding Program'!$P$32,'Bonding Program'!$C$8)),'Bonding Program'!$Z$32,0)+IF(AND('Bonding Program'!$P$32&lt;&gt;"",CT$3='Bonding Program'!$P$32,CT$3&lt;='Bonding Program'!$C$8),N('Bonding Program'!$O$32),0)</f>
        <v>0</v>
      </c>
      <c r="CU173" s="19" t="n">
        <f aca="false">IF(AND('Bonding Program'!$S$32=1,'Bonding Program'!$H$32&gt;'Bonding Program'!$C$8,CU$3='Bonding Program'!$H$32),'Bonding Program'!$T$32-'Bonding Program'!$U$32-'Bonding Program'!$Z$32,0)-IF(AND('Bonding Program'!$S$32=1,'Bonding Program'!$H$32&lt;='Bonding Program'!$C$8,CU$3=IF('Bonding Program'!$P$32&lt;&gt;"",'Bonding Program'!$P$32,'Bonding Program'!$C$8)),'Bonding Program'!$Z$32,0)+IF(AND('Bonding Program'!$P$32&lt;&gt;"",CU$3='Bonding Program'!$P$32,CU$3&lt;='Bonding Program'!$C$8),N('Bonding Program'!$O$32),0)</f>
        <v>0</v>
      </c>
      <c r="CV173" s="19" t="n">
        <f aca="false">IF(AND('Bonding Program'!$S$32=1,'Bonding Program'!$H$32&gt;'Bonding Program'!$C$8,CV$3='Bonding Program'!$H$32),'Bonding Program'!$T$32-'Bonding Program'!$U$32-'Bonding Program'!$Z$32,0)-IF(AND('Bonding Program'!$S$32=1,'Bonding Program'!$H$32&lt;='Bonding Program'!$C$8,CV$3=IF('Bonding Program'!$P$32&lt;&gt;"",'Bonding Program'!$P$32,'Bonding Program'!$C$8)),'Bonding Program'!$Z$32,0)+IF(AND('Bonding Program'!$P$32&lt;&gt;"",CV$3='Bonding Program'!$P$32,CV$3&lt;='Bonding Program'!$C$8),N('Bonding Program'!$O$32),0)</f>
        <v>0</v>
      </c>
      <c r="CW173" s="19" t="n">
        <f aca="false">IF(AND('Bonding Program'!$S$32=1,'Bonding Program'!$H$32&gt;'Bonding Program'!$C$8,CW$3='Bonding Program'!$H$32),'Bonding Program'!$T$32-'Bonding Program'!$U$32-'Bonding Program'!$Z$32,0)-IF(AND('Bonding Program'!$S$32=1,'Bonding Program'!$H$32&lt;='Bonding Program'!$C$8,CW$3=IF('Bonding Program'!$P$32&lt;&gt;"",'Bonding Program'!$P$32,'Bonding Program'!$C$8)),'Bonding Program'!$Z$32,0)+IF(AND('Bonding Program'!$P$32&lt;&gt;"",CW$3='Bonding Program'!$P$32,CW$3&lt;='Bonding Program'!$C$8),N('Bonding Program'!$O$32),0)</f>
        <v>0</v>
      </c>
      <c r="CX173" s="19" t="n">
        <f aca="false">IF(AND('Bonding Program'!$S$32=1,'Bonding Program'!$H$32&gt;'Bonding Program'!$C$8,CX$3='Bonding Program'!$H$32),'Bonding Program'!$T$32-'Bonding Program'!$U$32-'Bonding Program'!$Z$32,0)-IF(AND('Bonding Program'!$S$32=1,'Bonding Program'!$H$32&lt;='Bonding Program'!$C$8,CX$3=IF('Bonding Program'!$P$32&lt;&gt;"",'Bonding Program'!$P$32,'Bonding Program'!$C$8)),'Bonding Program'!$Z$32,0)+IF(AND('Bonding Program'!$P$32&lt;&gt;"",CX$3='Bonding Program'!$P$32,CX$3&lt;='Bonding Program'!$C$8),N('Bonding Program'!$O$32),0)</f>
        <v>0</v>
      </c>
      <c r="CY173" s="19" t="n">
        <f aca="false">IF(AND('Bonding Program'!$S$32=1,'Bonding Program'!$H$32&gt;'Bonding Program'!$C$8,CY$3='Bonding Program'!$H$32),'Bonding Program'!$T$32-'Bonding Program'!$U$32-'Bonding Program'!$Z$32,0)-IF(AND('Bonding Program'!$S$32=1,'Bonding Program'!$H$32&lt;='Bonding Program'!$C$8,CY$3=IF('Bonding Program'!$P$32&lt;&gt;"",'Bonding Program'!$P$32,'Bonding Program'!$C$8)),'Bonding Program'!$Z$32,0)+IF(AND('Bonding Program'!$P$32&lt;&gt;"",CY$3='Bonding Program'!$P$32,CY$3&lt;='Bonding Program'!$C$8),N('Bonding Program'!$O$32),0)</f>
        <v>0</v>
      </c>
      <c r="CZ173" s="19" t="n">
        <f aca="false">IF(AND('Bonding Program'!$S$32=1,'Bonding Program'!$H$32&gt;'Bonding Program'!$C$8,CZ$3='Bonding Program'!$H$32),'Bonding Program'!$T$32-'Bonding Program'!$U$32-'Bonding Program'!$Z$32,0)-IF(AND('Bonding Program'!$S$32=1,'Bonding Program'!$H$32&lt;='Bonding Program'!$C$8,CZ$3=IF('Bonding Program'!$P$32&lt;&gt;"",'Bonding Program'!$P$32,'Bonding Program'!$C$8)),'Bonding Program'!$Z$32,0)+IF(AND('Bonding Program'!$P$32&lt;&gt;"",CZ$3='Bonding Program'!$P$32,CZ$3&lt;='Bonding Program'!$C$8),N('Bonding Program'!$O$32),0)</f>
        <v>0</v>
      </c>
      <c r="DA173" s="19" t="n">
        <f aca="false">IF(AND('Bonding Program'!$S$32=1,'Bonding Program'!$H$32&gt;'Bonding Program'!$C$8,DA$3='Bonding Program'!$H$32),'Bonding Program'!$T$32-'Bonding Program'!$U$32-'Bonding Program'!$Z$32,0)-IF(AND('Bonding Program'!$S$32=1,'Bonding Program'!$H$32&lt;='Bonding Program'!$C$8,DA$3=IF('Bonding Program'!$P$32&lt;&gt;"",'Bonding Program'!$P$32,'Bonding Program'!$C$8)),'Bonding Program'!$Z$32,0)+IF(AND('Bonding Program'!$P$32&lt;&gt;"",DA$3='Bonding Program'!$P$32,DA$3&lt;='Bonding Program'!$C$8),N('Bonding Program'!$O$32),0)</f>
        <v>0</v>
      </c>
      <c r="DB173" s="19" t="n">
        <f aca="false">IF(AND('Bonding Program'!$S$32=1,'Bonding Program'!$H$32&gt;'Bonding Program'!$C$8,DB$3='Bonding Program'!$H$32),'Bonding Program'!$T$32-'Bonding Program'!$U$32-'Bonding Program'!$Z$32,0)-IF(AND('Bonding Program'!$S$32=1,'Bonding Program'!$H$32&lt;='Bonding Program'!$C$8,DB$3=IF('Bonding Program'!$P$32&lt;&gt;"",'Bonding Program'!$P$32,'Bonding Program'!$C$8)),'Bonding Program'!$Z$32,0)+IF(AND('Bonding Program'!$P$32&lt;&gt;"",DB$3='Bonding Program'!$P$32,DB$3&lt;='Bonding Program'!$C$8),N('Bonding Program'!$O$32),0)</f>
        <v>0</v>
      </c>
      <c r="DC173" s="19" t="n">
        <f aca="false">IF(AND('Bonding Program'!$S$32=1,'Bonding Program'!$H$32&gt;'Bonding Program'!$C$8,DC$3='Bonding Program'!$H$32),'Bonding Program'!$T$32-'Bonding Program'!$U$32-'Bonding Program'!$Z$32,0)-IF(AND('Bonding Program'!$S$32=1,'Bonding Program'!$H$32&lt;='Bonding Program'!$C$8,DC$3=IF('Bonding Program'!$P$32&lt;&gt;"",'Bonding Program'!$P$32,'Bonding Program'!$C$8)),'Bonding Program'!$Z$32,0)+IF(AND('Bonding Program'!$P$32&lt;&gt;"",DC$3='Bonding Program'!$P$32,DC$3&lt;='Bonding Program'!$C$8),N('Bonding Program'!$O$32),0)</f>
        <v>0</v>
      </c>
      <c r="DD173" s="19" t="n">
        <f aca="false">IF(AND('Bonding Program'!$S$32=1,'Bonding Program'!$H$32&gt;'Bonding Program'!$C$8,DD$3='Bonding Program'!$H$32),'Bonding Program'!$T$32-'Bonding Program'!$U$32-'Bonding Program'!$Z$32,0)-IF(AND('Bonding Program'!$S$32=1,'Bonding Program'!$H$32&lt;='Bonding Program'!$C$8,DD$3=IF('Bonding Program'!$P$32&lt;&gt;"",'Bonding Program'!$P$32,'Bonding Program'!$C$8)),'Bonding Program'!$Z$32,0)+IF(AND('Bonding Program'!$P$32&lt;&gt;"",DD$3='Bonding Program'!$P$32,DD$3&lt;='Bonding Program'!$C$8),N('Bonding Program'!$O$32),0)</f>
        <v>0</v>
      </c>
      <c r="DE173" s="19" t="n">
        <f aca="false">IF(AND('Bonding Program'!$S$32=1,'Bonding Program'!$H$32&gt;'Bonding Program'!$C$8,DE$3='Bonding Program'!$H$32),'Bonding Program'!$T$32-'Bonding Program'!$U$32-'Bonding Program'!$Z$32,0)-IF(AND('Bonding Program'!$S$32=1,'Bonding Program'!$H$32&lt;='Bonding Program'!$C$8,DE$3=IF('Bonding Program'!$P$32&lt;&gt;"",'Bonding Program'!$P$32,'Bonding Program'!$C$8)),'Bonding Program'!$Z$32,0)+IF(AND('Bonding Program'!$P$32&lt;&gt;"",DE$3='Bonding Program'!$P$32,DE$3&lt;='Bonding Program'!$C$8),N('Bonding Program'!$O$32),0)</f>
        <v>0</v>
      </c>
    </row>
    <row r="174" customFormat="false" ht="15" hidden="false" customHeight="true" outlineLevel="1" collapsed="false">
      <c r="A174" s="28" t="s">
        <v>29</v>
      </c>
      <c r="B174" s="19" t="n">
        <f aca="false">IF(AND('Bonding Program'!$S$33=1,'Bonding Program'!$H$33&gt;'Bonding Program'!$C$8,B$3='Bonding Program'!$H$33),'Bonding Program'!$T$33-'Bonding Program'!$U$33-'Bonding Program'!$Z$33,0)-IF(AND('Bonding Program'!$S$33=1,'Bonding Program'!$H$33&lt;='Bonding Program'!$C$8,B$3=IF('Bonding Program'!$P$33&lt;&gt;"",'Bonding Program'!$P$33,'Bonding Program'!$C$8)),'Bonding Program'!$Z$33,0)+IF(AND('Bonding Program'!$P$33&lt;&gt;"",B$3='Bonding Program'!$P$33,B$3&lt;='Bonding Program'!$C$8),N('Bonding Program'!$O$33),0)</f>
        <v>0</v>
      </c>
      <c r="C174" s="19" t="n">
        <f aca="false">IF(AND('Bonding Program'!$S$33=1,'Bonding Program'!$H$33&gt;'Bonding Program'!$C$8,C$3='Bonding Program'!$H$33),'Bonding Program'!$T$33-'Bonding Program'!$U$33-'Bonding Program'!$Z$33,0)-IF(AND('Bonding Program'!$S$33=1,'Bonding Program'!$H$33&lt;='Bonding Program'!$C$8,C$3=IF('Bonding Program'!$P$33&lt;&gt;"",'Bonding Program'!$P$33,'Bonding Program'!$C$8)),'Bonding Program'!$Z$33,0)+IF(AND('Bonding Program'!$P$33&lt;&gt;"",C$3='Bonding Program'!$P$33,C$3&lt;='Bonding Program'!$C$8),N('Bonding Program'!$O$33),0)</f>
        <v>0</v>
      </c>
      <c r="D174" s="19" t="n">
        <f aca="false">IF(AND('Bonding Program'!$S$33=1,'Bonding Program'!$H$33&gt;'Bonding Program'!$C$8,D$3='Bonding Program'!$H$33),'Bonding Program'!$T$33-'Bonding Program'!$U$33-'Bonding Program'!$Z$33,0)-IF(AND('Bonding Program'!$S$33=1,'Bonding Program'!$H$33&lt;='Bonding Program'!$C$8,D$3=IF('Bonding Program'!$P$33&lt;&gt;"",'Bonding Program'!$P$33,'Bonding Program'!$C$8)),'Bonding Program'!$Z$33,0)+IF(AND('Bonding Program'!$P$33&lt;&gt;"",D$3='Bonding Program'!$P$33,D$3&lt;='Bonding Program'!$C$8),N('Bonding Program'!$O$33),0)</f>
        <v>0</v>
      </c>
      <c r="E174" s="19" t="n">
        <f aca="false">IF(AND('Bonding Program'!$S$33=1,'Bonding Program'!$H$33&gt;'Bonding Program'!$C$8,E$3='Bonding Program'!$H$33),'Bonding Program'!$T$33-'Bonding Program'!$U$33-'Bonding Program'!$Z$33,0)-IF(AND('Bonding Program'!$S$33=1,'Bonding Program'!$H$33&lt;='Bonding Program'!$C$8,E$3=IF('Bonding Program'!$P$33&lt;&gt;"",'Bonding Program'!$P$33,'Bonding Program'!$C$8)),'Bonding Program'!$Z$33,0)+IF(AND('Bonding Program'!$P$33&lt;&gt;"",E$3='Bonding Program'!$P$33,E$3&lt;='Bonding Program'!$C$8),N('Bonding Program'!$O$33),0)</f>
        <v>0</v>
      </c>
      <c r="F174" s="19" t="n">
        <f aca="false">IF(AND('Bonding Program'!$S$33=1,'Bonding Program'!$H$33&gt;'Bonding Program'!$C$8,F$3='Bonding Program'!$H$33),'Bonding Program'!$T$33-'Bonding Program'!$U$33-'Bonding Program'!$Z$33,0)-IF(AND('Bonding Program'!$S$33=1,'Bonding Program'!$H$33&lt;='Bonding Program'!$C$8,F$3=IF('Bonding Program'!$P$33&lt;&gt;"",'Bonding Program'!$P$33,'Bonding Program'!$C$8)),'Bonding Program'!$Z$33,0)+IF(AND('Bonding Program'!$P$33&lt;&gt;"",F$3='Bonding Program'!$P$33,F$3&lt;='Bonding Program'!$C$8),N('Bonding Program'!$O$33),0)</f>
        <v>0</v>
      </c>
      <c r="G174" s="19" t="n">
        <f aca="false">IF(AND('Bonding Program'!$S$33=1,'Bonding Program'!$H$33&gt;'Bonding Program'!$C$8,G$3='Bonding Program'!$H$33),'Bonding Program'!$T$33-'Bonding Program'!$U$33-'Bonding Program'!$Z$33,0)-IF(AND('Bonding Program'!$S$33=1,'Bonding Program'!$H$33&lt;='Bonding Program'!$C$8,G$3=IF('Bonding Program'!$P$33&lt;&gt;"",'Bonding Program'!$P$33,'Bonding Program'!$C$8)),'Bonding Program'!$Z$33,0)+IF(AND('Bonding Program'!$P$33&lt;&gt;"",G$3='Bonding Program'!$P$33,G$3&lt;='Bonding Program'!$C$8),N('Bonding Program'!$O$33),0)</f>
        <v>0</v>
      </c>
      <c r="H174" s="19" t="n">
        <f aca="false">IF(AND('Bonding Program'!$S$33=1,'Bonding Program'!$H$33&gt;'Bonding Program'!$C$8,H$3='Bonding Program'!$H$33),'Bonding Program'!$T$33-'Bonding Program'!$U$33-'Bonding Program'!$Z$33,0)-IF(AND('Bonding Program'!$S$33=1,'Bonding Program'!$H$33&lt;='Bonding Program'!$C$8,H$3=IF('Bonding Program'!$P$33&lt;&gt;"",'Bonding Program'!$P$33,'Bonding Program'!$C$8)),'Bonding Program'!$Z$33,0)+IF(AND('Bonding Program'!$P$33&lt;&gt;"",H$3='Bonding Program'!$P$33,H$3&lt;='Bonding Program'!$C$8),N('Bonding Program'!$O$33),0)</f>
        <v>0</v>
      </c>
      <c r="I174" s="19" t="n">
        <f aca="false">IF(AND('Bonding Program'!$S$33=1,'Bonding Program'!$H$33&gt;'Bonding Program'!$C$8,I$3='Bonding Program'!$H$33),'Bonding Program'!$T$33-'Bonding Program'!$U$33-'Bonding Program'!$Z$33,0)-IF(AND('Bonding Program'!$S$33=1,'Bonding Program'!$H$33&lt;='Bonding Program'!$C$8,I$3=IF('Bonding Program'!$P$33&lt;&gt;"",'Bonding Program'!$P$33,'Bonding Program'!$C$8)),'Bonding Program'!$Z$33,0)+IF(AND('Bonding Program'!$P$33&lt;&gt;"",I$3='Bonding Program'!$P$33,I$3&lt;='Bonding Program'!$C$8),N('Bonding Program'!$O$33),0)</f>
        <v>0</v>
      </c>
      <c r="J174" s="19" t="n">
        <f aca="false">IF(AND('Bonding Program'!$S$33=1,'Bonding Program'!$H$33&gt;'Bonding Program'!$C$8,J$3='Bonding Program'!$H$33),'Bonding Program'!$T$33-'Bonding Program'!$U$33-'Bonding Program'!$Z$33,0)-IF(AND('Bonding Program'!$S$33=1,'Bonding Program'!$H$33&lt;='Bonding Program'!$C$8,J$3=IF('Bonding Program'!$P$33&lt;&gt;"",'Bonding Program'!$P$33,'Bonding Program'!$C$8)),'Bonding Program'!$Z$33,0)+IF(AND('Bonding Program'!$P$33&lt;&gt;"",J$3='Bonding Program'!$P$33,J$3&lt;='Bonding Program'!$C$8),N('Bonding Program'!$O$33),0)</f>
        <v>0</v>
      </c>
      <c r="K174" s="19" t="n">
        <f aca="false">IF(AND('Bonding Program'!$S$33=1,'Bonding Program'!$H$33&gt;'Bonding Program'!$C$8,K$3='Bonding Program'!$H$33),'Bonding Program'!$T$33-'Bonding Program'!$U$33-'Bonding Program'!$Z$33,0)-IF(AND('Bonding Program'!$S$33=1,'Bonding Program'!$H$33&lt;='Bonding Program'!$C$8,K$3=IF('Bonding Program'!$P$33&lt;&gt;"",'Bonding Program'!$P$33,'Bonding Program'!$C$8)),'Bonding Program'!$Z$33,0)+IF(AND('Bonding Program'!$P$33&lt;&gt;"",K$3='Bonding Program'!$P$33,K$3&lt;='Bonding Program'!$C$8),N('Bonding Program'!$O$33),0)</f>
        <v>0</v>
      </c>
      <c r="L174" s="19" t="n">
        <f aca="false">IF(AND('Bonding Program'!$S$33=1,'Bonding Program'!$H$33&gt;'Bonding Program'!$C$8,L$3='Bonding Program'!$H$33),'Bonding Program'!$T$33-'Bonding Program'!$U$33-'Bonding Program'!$Z$33,0)-IF(AND('Bonding Program'!$S$33=1,'Bonding Program'!$H$33&lt;='Bonding Program'!$C$8,L$3=IF('Bonding Program'!$P$33&lt;&gt;"",'Bonding Program'!$P$33,'Bonding Program'!$C$8)),'Bonding Program'!$Z$33,0)+IF(AND('Bonding Program'!$P$33&lt;&gt;"",L$3='Bonding Program'!$P$33,L$3&lt;='Bonding Program'!$C$8),N('Bonding Program'!$O$33),0)</f>
        <v>0</v>
      </c>
      <c r="M174" s="19" t="n">
        <f aca="false">IF(AND('Bonding Program'!$S$33=1,'Bonding Program'!$H$33&gt;'Bonding Program'!$C$8,M$3='Bonding Program'!$H$33),'Bonding Program'!$T$33-'Bonding Program'!$U$33-'Bonding Program'!$Z$33,0)-IF(AND('Bonding Program'!$S$33=1,'Bonding Program'!$H$33&lt;='Bonding Program'!$C$8,M$3=IF('Bonding Program'!$P$33&lt;&gt;"",'Bonding Program'!$P$33,'Bonding Program'!$C$8)),'Bonding Program'!$Z$33,0)+IF(AND('Bonding Program'!$P$33&lt;&gt;"",M$3='Bonding Program'!$P$33,M$3&lt;='Bonding Program'!$C$8),N('Bonding Program'!$O$33),0)</f>
        <v>0</v>
      </c>
      <c r="N174" s="19" t="n">
        <f aca="false">IF(AND('Bonding Program'!$S$33=1,'Bonding Program'!$H$33&gt;'Bonding Program'!$C$8,N$3='Bonding Program'!$H$33),'Bonding Program'!$T$33-'Bonding Program'!$U$33-'Bonding Program'!$Z$33,0)-IF(AND('Bonding Program'!$S$33=1,'Bonding Program'!$H$33&lt;='Bonding Program'!$C$8,N$3=IF('Bonding Program'!$P$33&lt;&gt;"",'Bonding Program'!$P$33,'Bonding Program'!$C$8)),'Bonding Program'!$Z$33,0)+IF(AND('Bonding Program'!$P$33&lt;&gt;"",N$3='Bonding Program'!$P$33,N$3&lt;='Bonding Program'!$C$8),N('Bonding Program'!$O$33),0)</f>
        <v>0</v>
      </c>
      <c r="O174" s="19" t="n">
        <f aca="false">IF(AND('Bonding Program'!$S$33=1,'Bonding Program'!$H$33&gt;'Bonding Program'!$C$8,O$3='Bonding Program'!$H$33),'Bonding Program'!$T$33-'Bonding Program'!$U$33-'Bonding Program'!$Z$33,0)-IF(AND('Bonding Program'!$S$33=1,'Bonding Program'!$H$33&lt;='Bonding Program'!$C$8,O$3=IF('Bonding Program'!$P$33&lt;&gt;"",'Bonding Program'!$P$33,'Bonding Program'!$C$8)),'Bonding Program'!$Z$33,0)+IF(AND('Bonding Program'!$P$33&lt;&gt;"",O$3='Bonding Program'!$P$33,O$3&lt;='Bonding Program'!$C$8),N('Bonding Program'!$O$33),0)</f>
        <v>0</v>
      </c>
      <c r="P174" s="19" t="n">
        <f aca="false">IF(AND('Bonding Program'!$S$33=1,'Bonding Program'!$H$33&gt;'Bonding Program'!$C$8,P$3='Bonding Program'!$H$33),'Bonding Program'!$T$33-'Bonding Program'!$U$33-'Bonding Program'!$Z$33,0)-IF(AND('Bonding Program'!$S$33=1,'Bonding Program'!$H$33&lt;='Bonding Program'!$C$8,P$3=IF('Bonding Program'!$P$33&lt;&gt;"",'Bonding Program'!$P$33,'Bonding Program'!$C$8)),'Bonding Program'!$Z$33,0)+IF(AND('Bonding Program'!$P$33&lt;&gt;"",P$3='Bonding Program'!$P$33,P$3&lt;='Bonding Program'!$C$8),N('Bonding Program'!$O$33),0)</f>
        <v>0</v>
      </c>
      <c r="Q174" s="19" t="n">
        <f aca="false">IF(AND('Bonding Program'!$S$33=1,'Bonding Program'!$H$33&gt;'Bonding Program'!$C$8,Q$3='Bonding Program'!$H$33),'Bonding Program'!$T$33-'Bonding Program'!$U$33-'Bonding Program'!$Z$33,0)-IF(AND('Bonding Program'!$S$33=1,'Bonding Program'!$H$33&lt;='Bonding Program'!$C$8,Q$3=IF('Bonding Program'!$P$33&lt;&gt;"",'Bonding Program'!$P$33,'Bonding Program'!$C$8)),'Bonding Program'!$Z$33,0)+IF(AND('Bonding Program'!$P$33&lt;&gt;"",Q$3='Bonding Program'!$P$33,Q$3&lt;='Bonding Program'!$C$8),N('Bonding Program'!$O$33),0)</f>
        <v>0</v>
      </c>
      <c r="R174" s="19" t="n">
        <f aca="false">IF(AND('Bonding Program'!$S$33=1,'Bonding Program'!$H$33&gt;'Bonding Program'!$C$8,R$3='Bonding Program'!$H$33),'Bonding Program'!$T$33-'Bonding Program'!$U$33-'Bonding Program'!$Z$33,0)-IF(AND('Bonding Program'!$S$33=1,'Bonding Program'!$H$33&lt;='Bonding Program'!$C$8,R$3=IF('Bonding Program'!$P$33&lt;&gt;"",'Bonding Program'!$P$33,'Bonding Program'!$C$8)),'Bonding Program'!$Z$33,0)+IF(AND('Bonding Program'!$P$33&lt;&gt;"",R$3='Bonding Program'!$P$33,R$3&lt;='Bonding Program'!$C$8),N('Bonding Program'!$O$33),0)</f>
        <v>0</v>
      </c>
      <c r="S174" s="19" t="n">
        <f aca="false">IF(AND('Bonding Program'!$S$33=1,'Bonding Program'!$H$33&gt;'Bonding Program'!$C$8,S$3='Bonding Program'!$H$33),'Bonding Program'!$T$33-'Bonding Program'!$U$33-'Bonding Program'!$Z$33,0)-IF(AND('Bonding Program'!$S$33=1,'Bonding Program'!$H$33&lt;='Bonding Program'!$C$8,S$3=IF('Bonding Program'!$P$33&lt;&gt;"",'Bonding Program'!$P$33,'Bonding Program'!$C$8)),'Bonding Program'!$Z$33,0)+IF(AND('Bonding Program'!$P$33&lt;&gt;"",S$3='Bonding Program'!$P$33,S$3&lt;='Bonding Program'!$C$8),N('Bonding Program'!$O$33),0)</f>
        <v>0</v>
      </c>
      <c r="T174" s="19" t="n">
        <f aca="false">IF(AND('Bonding Program'!$S$33=1,'Bonding Program'!$H$33&gt;'Bonding Program'!$C$8,T$3='Bonding Program'!$H$33),'Bonding Program'!$T$33-'Bonding Program'!$U$33-'Bonding Program'!$Z$33,0)-IF(AND('Bonding Program'!$S$33=1,'Bonding Program'!$H$33&lt;='Bonding Program'!$C$8,T$3=IF('Bonding Program'!$P$33&lt;&gt;"",'Bonding Program'!$P$33,'Bonding Program'!$C$8)),'Bonding Program'!$Z$33,0)+IF(AND('Bonding Program'!$P$33&lt;&gt;"",T$3='Bonding Program'!$P$33,T$3&lt;='Bonding Program'!$C$8),N('Bonding Program'!$O$33),0)</f>
        <v>0</v>
      </c>
      <c r="U174" s="19" t="n">
        <f aca="false">IF(AND('Bonding Program'!$S$33=1,'Bonding Program'!$H$33&gt;'Bonding Program'!$C$8,U$3='Bonding Program'!$H$33),'Bonding Program'!$T$33-'Bonding Program'!$U$33-'Bonding Program'!$Z$33,0)-IF(AND('Bonding Program'!$S$33=1,'Bonding Program'!$H$33&lt;='Bonding Program'!$C$8,U$3=IF('Bonding Program'!$P$33&lt;&gt;"",'Bonding Program'!$P$33,'Bonding Program'!$C$8)),'Bonding Program'!$Z$33,0)+IF(AND('Bonding Program'!$P$33&lt;&gt;"",U$3='Bonding Program'!$P$33,U$3&lt;='Bonding Program'!$C$8),N('Bonding Program'!$O$33),0)</f>
        <v>0</v>
      </c>
      <c r="V174" s="19" t="n">
        <f aca="false">IF(AND('Bonding Program'!$S$33=1,'Bonding Program'!$H$33&gt;'Bonding Program'!$C$8,V$3='Bonding Program'!$H$33),'Bonding Program'!$T$33-'Bonding Program'!$U$33-'Bonding Program'!$Z$33,0)-IF(AND('Bonding Program'!$S$33=1,'Bonding Program'!$H$33&lt;='Bonding Program'!$C$8,V$3=IF('Bonding Program'!$P$33&lt;&gt;"",'Bonding Program'!$P$33,'Bonding Program'!$C$8)),'Bonding Program'!$Z$33,0)+IF(AND('Bonding Program'!$P$33&lt;&gt;"",V$3='Bonding Program'!$P$33,V$3&lt;='Bonding Program'!$C$8),N('Bonding Program'!$O$33),0)</f>
        <v>0</v>
      </c>
      <c r="W174" s="19" t="n">
        <f aca="false">IF(AND('Bonding Program'!$S$33=1,'Bonding Program'!$H$33&gt;'Bonding Program'!$C$8,W$3='Bonding Program'!$H$33),'Bonding Program'!$T$33-'Bonding Program'!$U$33-'Bonding Program'!$Z$33,0)-IF(AND('Bonding Program'!$S$33=1,'Bonding Program'!$H$33&lt;='Bonding Program'!$C$8,W$3=IF('Bonding Program'!$P$33&lt;&gt;"",'Bonding Program'!$P$33,'Bonding Program'!$C$8)),'Bonding Program'!$Z$33,0)+IF(AND('Bonding Program'!$P$33&lt;&gt;"",W$3='Bonding Program'!$P$33,W$3&lt;='Bonding Program'!$C$8),N('Bonding Program'!$O$33),0)</f>
        <v>0</v>
      </c>
      <c r="X174" s="19" t="n">
        <f aca="false">IF(AND('Bonding Program'!$S$33=1,'Bonding Program'!$H$33&gt;'Bonding Program'!$C$8,X$3='Bonding Program'!$H$33),'Bonding Program'!$T$33-'Bonding Program'!$U$33-'Bonding Program'!$Z$33,0)-IF(AND('Bonding Program'!$S$33=1,'Bonding Program'!$H$33&lt;='Bonding Program'!$C$8,X$3=IF('Bonding Program'!$P$33&lt;&gt;"",'Bonding Program'!$P$33,'Bonding Program'!$C$8)),'Bonding Program'!$Z$33,0)+IF(AND('Bonding Program'!$P$33&lt;&gt;"",X$3='Bonding Program'!$P$33,X$3&lt;='Bonding Program'!$C$8),N('Bonding Program'!$O$33),0)</f>
        <v>0</v>
      </c>
      <c r="Y174" s="19" t="n">
        <f aca="false">IF(AND('Bonding Program'!$S$33=1,'Bonding Program'!$H$33&gt;'Bonding Program'!$C$8,Y$3='Bonding Program'!$H$33),'Bonding Program'!$T$33-'Bonding Program'!$U$33-'Bonding Program'!$Z$33,0)-IF(AND('Bonding Program'!$S$33=1,'Bonding Program'!$H$33&lt;='Bonding Program'!$C$8,Y$3=IF('Bonding Program'!$P$33&lt;&gt;"",'Bonding Program'!$P$33,'Bonding Program'!$C$8)),'Bonding Program'!$Z$33,0)+IF(AND('Bonding Program'!$P$33&lt;&gt;"",Y$3='Bonding Program'!$P$33,Y$3&lt;='Bonding Program'!$C$8),N('Bonding Program'!$O$33),0)</f>
        <v>0</v>
      </c>
      <c r="Z174" s="19" t="n">
        <f aca="false">IF(AND('Bonding Program'!$S$33=1,'Bonding Program'!$H$33&gt;'Bonding Program'!$C$8,Z$3='Bonding Program'!$H$33),'Bonding Program'!$T$33-'Bonding Program'!$U$33-'Bonding Program'!$Z$33,0)-IF(AND('Bonding Program'!$S$33=1,'Bonding Program'!$H$33&lt;='Bonding Program'!$C$8,Z$3=IF('Bonding Program'!$P$33&lt;&gt;"",'Bonding Program'!$P$33,'Bonding Program'!$C$8)),'Bonding Program'!$Z$33,0)+IF(AND('Bonding Program'!$P$33&lt;&gt;"",Z$3='Bonding Program'!$P$33,Z$3&lt;='Bonding Program'!$C$8),N('Bonding Program'!$O$33),0)</f>
        <v>0</v>
      </c>
      <c r="AA174" s="19" t="n">
        <f aca="false">IF(AND('Bonding Program'!$S$33=1,'Bonding Program'!$H$33&gt;'Bonding Program'!$C$8,AA$3='Bonding Program'!$H$33),'Bonding Program'!$T$33-'Bonding Program'!$U$33-'Bonding Program'!$Z$33,0)-IF(AND('Bonding Program'!$S$33=1,'Bonding Program'!$H$33&lt;='Bonding Program'!$C$8,AA$3=IF('Bonding Program'!$P$33&lt;&gt;"",'Bonding Program'!$P$33,'Bonding Program'!$C$8)),'Bonding Program'!$Z$33,0)+IF(AND('Bonding Program'!$P$33&lt;&gt;"",AA$3='Bonding Program'!$P$33,AA$3&lt;='Bonding Program'!$C$8),N('Bonding Program'!$O$33),0)</f>
        <v>0</v>
      </c>
      <c r="AB174" s="19" t="n">
        <f aca="false">IF(AND('Bonding Program'!$S$33=1,'Bonding Program'!$H$33&gt;'Bonding Program'!$C$8,AB$3='Bonding Program'!$H$33),'Bonding Program'!$T$33-'Bonding Program'!$U$33-'Bonding Program'!$Z$33,0)-IF(AND('Bonding Program'!$S$33=1,'Bonding Program'!$H$33&lt;='Bonding Program'!$C$8,AB$3=IF('Bonding Program'!$P$33&lt;&gt;"",'Bonding Program'!$P$33,'Bonding Program'!$C$8)),'Bonding Program'!$Z$33,0)+IF(AND('Bonding Program'!$P$33&lt;&gt;"",AB$3='Bonding Program'!$P$33,AB$3&lt;='Bonding Program'!$C$8),N('Bonding Program'!$O$33),0)</f>
        <v>0</v>
      </c>
      <c r="AC174" s="19" t="n">
        <f aca="false">IF(AND('Bonding Program'!$S$33=1,'Bonding Program'!$H$33&gt;'Bonding Program'!$C$8,AC$3='Bonding Program'!$H$33),'Bonding Program'!$T$33-'Bonding Program'!$U$33-'Bonding Program'!$Z$33,0)-IF(AND('Bonding Program'!$S$33=1,'Bonding Program'!$H$33&lt;='Bonding Program'!$C$8,AC$3=IF('Bonding Program'!$P$33&lt;&gt;"",'Bonding Program'!$P$33,'Bonding Program'!$C$8)),'Bonding Program'!$Z$33,0)+IF(AND('Bonding Program'!$P$33&lt;&gt;"",AC$3='Bonding Program'!$P$33,AC$3&lt;='Bonding Program'!$C$8),N('Bonding Program'!$O$33),0)</f>
        <v>0</v>
      </c>
      <c r="AD174" s="19" t="n">
        <f aca="false">IF(AND('Bonding Program'!$S$33=1,'Bonding Program'!$H$33&gt;'Bonding Program'!$C$8,AD$3='Bonding Program'!$H$33),'Bonding Program'!$T$33-'Bonding Program'!$U$33-'Bonding Program'!$Z$33,0)-IF(AND('Bonding Program'!$S$33=1,'Bonding Program'!$H$33&lt;='Bonding Program'!$C$8,AD$3=IF('Bonding Program'!$P$33&lt;&gt;"",'Bonding Program'!$P$33,'Bonding Program'!$C$8)),'Bonding Program'!$Z$33,0)+IF(AND('Bonding Program'!$P$33&lt;&gt;"",AD$3='Bonding Program'!$P$33,AD$3&lt;='Bonding Program'!$C$8),N('Bonding Program'!$O$33),0)</f>
        <v>0</v>
      </c>
      <c r="AE174" s="19" t="n">
        <f aca="false">IF(AND('Bonding Program'!$S$33=1,'Bonding Program'!$H$33&gt;'Bonding Program'!$C$8,AE$3='Bonding Program'!$H$33),'Bonding Program'!$T$33-'Bonding Program'!$U$33-'Bonding Program'!$Z$33,0)-IF(AND('Bonding Program'!$S$33=1,'Bonding Program'!$H$33&lt;='Bonding Program'!$C$8,AE$3=IF('Bonding Program'!$P$33&lt;&gt;"",'Bonding Program'!$P$33,'Bonding Program'!$C$8)),'Bonding Program'!$Z$33,0)+IF(AND('Bonding Program'!$P$33&lt;&gt;"",AE$3='Bonding Program'!$P$33,AE$3&lt;='Bonding Program'!$C$8),N('Bonding Program'!$O$33),0)</f>
        <v>0</v>
      </c>
      <c r="AF174" s="19" t="n">
        <f aca="false">IF(AND('Bonding Program'!$S$33=1,'Bonding Program'!$H$33&gt;'Bonding Program'!$C$8,AF$3='Bonding Program'!$H$33),'Bonding Program'!$T$33-'Bonding Program'!$U$33-'Bonding Program'!$Z$33,0)-IF(AND('Bonding Program'!$S$33=1,'Bonding Program'!$H$33&lt;='Bonding Program'!$C$8,AF$3=IF('Bonding Program'!$P$33&lt;&gt;"",'Bonding Program'!$P$33,'Bonding Program'!$C$8)),'Bonding Program'!$Z$33,0)+IF(AND('Bonding Program'!$P$33&lt;&gt;"",AF$3='Bonding Program'!$P$33,AF$3&lt;='Bonding Program'!$C$8),N('Bonding Program'!$O$33),0)</f>
        <v>0</v>
      </c>
      <c r="AG174" s="19" t="n">
        <f aca="false">IF(AND('Bonding Program'!$S$33=1,'Bonding Program'!$H$33&gt;'Bonding Program'!$C$8,AG$3='Bonding Program'!$H$33),'Bonding Program'!$T$33-'Bonding Program'!$U$33-'Bonding Program'!$Z$33,0)-IF(AND('Bonding Program'!$S$33=1,'Bonding Program'!$H$33&lt;='Bonding Program'!$C$8,AG$3=IF('Bonding Program'!$P$33&lt;&gt;"",'Bonding Program'!$P$33,'Bonding Program'!$C$8)),'Bonding Program'!$Z$33,0)+IF(AND('Bonding Program'!$P$33&lt;&gt;"",AG$3='Bonding Program'!$P$33,AG$3&lt;='Bonding Program'!$C$8),N('Bonding Program'!$O$33),0)</f>
        <v>0</v>
      </c>
      <c r="AH174" s="19" t="n">
        <f aca="false">IF(AND('Bonding Program'!$S$33=1,'Bonding Program'!$H$33&gt;'Bonding Program'!$C$8,AH$3='Bonding Program'!$H$33),'Bonding Program'!$T$33-'Bonding Program'!$U$33-'Bonding Program'!$Z$33,0)-IF(AND('Bonding Program'!$S$33=1,'Bonding Program'!$H$33&lt;='Bonding Program'!$C$8,AH$3=IF('Bonding Program'!$P$33&lt;&gt;"",'Bonding Program'!$P$33,'Bonding Program'!$C$8)),'Bonding Program'!$Z$33,0)+IF(AND('Bonding Program'!$P$33&lt;&gt;"",AH$3='Bonding Program'!$P$33,AH$3&lt;='Bonding Program'!$C$8),N('Bonding Program'!$O$33),0)</f>
        <v>0</v>
      </c>
      <c r="AI174" s="19" t="n">
        <f aca="false">IF(AND('Bonding Program'!$S$33=1,'Bonding Program'!$H$33&gt;'Bonding Program'!$C$8,AI$3='Bonding Program'!$H$33),'Bonding Program'!$T$33-'Bonding Program'!$U$33-'Bonding Program'!$Z$33,0)-IF(AND('Bonding Program'!$S$33=1,'Bonding Program'!$H$33&lt;='Bonding Program'!$C$8,AI$3=IF('Bonding Program'!$P$33&lt;&gt;"",'Bonding Program'!$P$33,'Bonding Program'!$C$8)),'Bonding Program'!$Z$33,0)+IF(AND('Bonding Program'!$P$33&lt;&gt;"",AI$3='Bonding Program'!$P$33,AI$3&lt;='Bonding Program'!$C$8),N('Bonding Program'!$O$33),0)</f>
        <v>0</v>
      </c>
      <c r="AJ174" s="19" t="n">
        <f aca="false">IF(AND('Bonding Program'!$S$33=1,'Bonding Program'!$H$33&gt;'Bonding Program'!$C$8,AJ$3='Bonding Program'!$H$33),'Bonding Program'!$T$33-'Bonding Program'!$U$33-'Bonding Program'!$Z$33,0)-IF(AND('Bonding Program'!$S$33=1,'Bonding Program'!$H$33&lt;='Bonding Program'!$C$8,AJ$3=IF('Bonding Program'!$P$33&lt;&gt;"",'Bonding Program'!$P$33,'Bonding Program'!$C$8)),'Bonding Program'!$Z$33,0)+IF(AND('Bonding Program'!$P$33&lt;&gt;"",AJ$3='Bonding Program'!$P$33,AJ$3&lt;='Bonding Program'!$C$8),N('Bonding Program'!$O$33),0)</f>
        <v>0</v>
      </c>
      <c r="AK174" s="19" t="n">
        <f aca="false">IF(AND('Bonding Program'!$S$33=1,'Bonding Program'!$H$33&gt;'Bonding Program'!$C$8,AK$3='Bonding Program'!$H$33),'Bonding Program'!$T$33-'Bonding Program'!$U$33-'Bonding Program'!$Z$33,0)-IF(AND('Bonding Program'!$S$33=1,'Bonding Program'!$H$33&lt;='Bonding Program'!$C$8,AK$3=IF('Bonding Program'!$P$33&lt;&gt;"",'Bonding Program'!$P$33,'Bonding Program'!$C$8)),'Bonding Program'!$Z$33,0)+IF(AND('Bonding Program'!$P$33&lt;&gt;"",AK$3='Bonding Program'!$P$33,AK$3&lt;='Bonding Program'!$C$8),N('Bonding Program'!$O$33),0)</f>
        <v>0</v>
      </c>
      <c r="AL174" s="19" t="n">
        <f aca="false">IF(AND('Bonding Program'!$S$33=1,'Bonding Program'!$H$33&gt;'Bonding Program'!$C$8,AL$3='Bonding Program'!$H$33),'Bonding Program'!$T$33-'Bonding Program'!$U$33-'Bonding Program'!$Z$33,0)-IF(AND('Bonding Program'!$S$33=1,'Bonding Program'!$H$33&lt;='Bonding Program'!$C$8,AL$3=IF('Bonding Program'!$P$33&lt;&gt;"",'Bonding Program'!$P$33,'Bonding Program'!$C$8)),'Bonding Program'!$Z$33,0)+IF(AND('Bonding Program'!$P$33&lt;&gt;"",AL$3='Bonding Program'!$P$33,AL$3&lt;='Bonding Program'!$C$8),N('Bonding Program'!$O$33),0)</f>
        <v>0</v>
      </c>
      <c r="AM174" s="19" t="n">
        <f aca="false">IF(AND('Bonding Program'!$S$33=1,'Bonding Program'!$H$33&gt;'Bonding Program'!$C$8,AM$3='Bonding Program'!$H$33),'Bonding Program'!$T$33-'Bonding Program'!$U$33-'Bonding Program'!$Z$33,0)-IF(AND('Bonding Program'!$S$33=1,'Bonding Program'!$H$33&lt;='Bonding Program'!$C$8,AM$3=IF('Bonding Program'!$P$33&lt;&gt;"",'Bonding Program'!$P$33,'Bonding Program'!$C$8)),'Bonding Program'!$Z$33,0)+IF(AND('Bonding Program'!$P$33&lt;&gt;"",AM$3='Bonding Program'!$P$33,AM$3&lt;='Bonding Program'!$C$8),N('Bonding Program'!$O$33),0)</f>
        <v>0</v>
      </c>
      <c r="AN174" s="19" t="n">
        <f aca="false">IF(AND('Bonding Program'!$S$33=1,'Bonding Program'!$H$33&gt;'Bonding Program'!$C$8,AN$3='Bonding Program'!$H$33),'Bonding Program'!$T$33-'Bonding Program'!$U$33-'Bonding Program'!$Z$33,0)-IF(AND('Bonding Program'!$S$33=1,'Bonding Program'!$H$33&lt;='Bonding Program'!$C$8,AN$3=IF('Bonding Program'!$P$33&lt;&gt;"",'Bonding Program'!$P$33,'Bonding Program'!$C$8)),'Bonding Program'!$Z$33,0)+IF(AND('Bonding Program'!$P$33&lt;&gt;"",AN$3='Bonding Program'!$P$33,AN$3&lt;='Bonding Program'!$C$8),N('Bonding Program'!$O$33),0)</f>
        <v>0</v>
      </c>
      <c r="AO174" s="19" t="n">
        <f aca="false">IF(AND('Bonding Program'!$S$33=1,'Bonding Program'!$H$33&gt;'Bonding Program'!$C$8,AO$3='Bonding Program'!$H$33),'Bonding Program'!$T$33-'Bonding Program'!$U$33-'Bonding Program'!$Z$33,0)-IF(AND('Bonding Program'!$S$33=1,'Bonding Program'!$H$33&lt;='Bonding Program'!$C$8,AO$3=IF('Bonding Program'!$P$33&lt;&gt;"",'Bonding Program'!$P$33,'Bonding Program'!$C$8)),'Bonding Program'!$Z$33,0)+IF(AND('Bonding Program'!$P$33&lt;&gt;"",AO$3='Bonding Program'!$P$33,AO$3&lt;='Bonding Program'!$C$8),N('Bonding Program'!$O$33),0)</f>
        <v>0</v>
      </c>
      <c r="AP174" s="19" t="n">
        <f aca="false">IF(AND('Bonding Program'!$S$33=1,'Bonding Program'!$H$33&gt;'Bonding Program'!$C$8,AP$3='Bonding Program'!$H$33),'Bonding Program'!$T$33-'Bonding Program'!$U$33-'Bonding Program'!$Z$33,0)-IF(AND('Bonding Program'!$S$33=1,'Bonding Program'!$H$33&lt;='Bonding Program'!$C$8,AP$3=IF('Bonding Program'!$P$33&lt;&gt;"",'Bonding Program'!$P$33,'Bonding Program'!$C$8)),'Bonding Program'!$Z$33,0)+IF(AND('Bonding Program'!$P$33&lt;&gt;"",AP$3='Bonding Program'!$P$33,AP$3&lt;='Bonding Program'!$C$8),N('Bonding Program'!$O$33),0)</f>
        <v>0</v>
      </c>
      <c r="AQ174" s="19" t="n">
        <f aca="false">IF(AND('Bonding Program'!$S$33=1,'Bonding Program'!$H$33&gt;'Bonding Program'!$C$8,AQ$3='Bonding Program'!$H$33),'Bonding Program'!$T$33-'Bonding Program'!$U$33-'Bonding Program'!$Z$33,0)-IF(AND('Bonding Program'!$S$33=1,'Bonding Program'!$H$33&lt;='Bonding Program'!$C$8,AQ$3=IF('Bonding Program'!$P$33&lt;&gt;"",'Bonding Program'!$P$33,'Bonding Program'!$C$8)),'Bonding Program'!$Z$33,0)+IF(AND('Bonding Program'!$P$33&lt;&gt;"",AQ$3='Bonding Program'!$P$33,AQ$3&lt;='Bonding Program'!$C$8),N('Bonding Program'!$O$33),0)</f>
        <v>0</v>
      </c>
      <c r="AR174" s="19" t="n">
        <f aca="false">IF(AND('Bonding Program'!$S$33=1,'Bonding Program'!$H$33&gt;'Bonding Program'!$C$8,AR$3='Bonding Program'!$H$33),'Bonding Program'!$T$33-'Bonding Program'!$U$33-'Bonding Program'!$Z$33,0)-IF(AND('Bonding Program'!$S$33=1,'Bonding Program'!$H$33&lt;='Bonding Program'!$C$8,AR$3=IF('Bonding Program'!$P$33&lt;&gt;"",'Bonding Program'!$P$33,'Bonding Program'!$C$8)),'Bonding Program'!$Z$33,0)+IF(AND('Bonding Program'!$P$33&lt;&gt;"",AR$3='Bonding Program'!$P$33,AR$3&lt;='Bonding Program'!$C$8),N('Bonding Program'!$O$33),0)</f>
        <v>0</v>
      </c>
      <c r="AS174" s="19" t="n">
        <f aca="false">IF(AND('Bonding Program'!$S$33=1,'Bonding Program'!$H$33&gt;'Bonding Program'!$C$8,AS$3='Bonding Program'!$H$33),'Bonding Program'!$T$33-'Bonding Program'!$U$33-'Bonding Program'!$Z$33,0)-IF(AND('Bonding Program'!$S$33=1,'Bonding Program'!$H$33&lt;='Bonding Program'!$C$8,AS$3=IF('Bonding Program'!$P$33&lt;&gt;"",'Bonding Program'!$P$33,'Bonding Program'!$C$8)),'Bonding Program'!$Z$33,0)+IF(AND('Bonding Program'!$P$33&lt;&gt;"",AS$3='Bonding Program'!$P$33,AS$3&lt;='Bonding Program'!$C$8),N('Bonding Program'!$O$33),0)</f>
        <v>0</v>
      </c>
      <c r="AT174" s="19" t="n">
        <f aca="false">IF(AND('Bonding Program'!$S$33=1,'Bonding Program'!$H$33&gt;'Bonding Program'!$C$8,AT$3='Bonding Program'!$H$33),'Bonding Program'!$T$33-'Bonding Program'!$U$33-'Bonding Program'!$Z$33,0)-IF(AND('Bonding Program'!$S$33=1,'Bonding Program'!$H$33&lt;='Bonding Program'!$C$8,AT$3=IF('Bonding Program'!$P$33&lt;&gt;"",'Bonding Program'!$P$33,'Bonding Program'!$C$8)),'Bonding Program'!$Z$33,0)+IF(AND('Bonding Program'!$P$33&lt;&gt;"",AT$3='Bonding Program'!$P$33,AT$3&lt;='Bonding Program'!$C$8),N('Bonding Program'!$O$33),0)</f>
        <v>0</v>
      </c>
      <c r="AU174" s="19" t="n">
        <f aca="false">IF(AND('Bonding Program'!$S$33=1,'Bonding Program'!$H$33&gt;'Bonding Program'!$C$8,AU$3='Bonding Program'!$H$33),'Bonding Program'!$T$33-'Bonding Program'!$U$33-'Bonding Program'!$Z$33,0)-IF(AND('Bonding Program'!$S$33=1,'Bonding Program'!$H$33&lt;='Bonding Program'!$C$8,AU$3=IF('Bonding Program'!$P$33&lt;&gt;"",'Bonding Program'!$P$33,'Bonding Program'!$C$8)),'Bonding Program'!$Z$33,0)+IF(AND('Bonding Program'!$P$33&lt;&gt;"",AU$3='Bonding Program'!$P$33,AU$3&lt;='Bonding Program'!$C$8),N('Bonding Program'!$O$33),0)</f>
        <v>0</v>
      </c>
      <c r="AV174" s="19" t="n">
        <f aca="false">IF(AND('Bonding Program'!$S$33=1,'Bonding Program'!$H$33&gt;'Bonding Program'!$C$8,AV$3='Bonding Program'!$H$33),'Bonding Program'!$T$33-'Bonding Program'!$U$33-'Bonding Program'!$Z$33,0)-IF(AND('Bonding Program'!$S$33=1,'Bonding Program'!$H$33&lt;='Bonding Program'!$C$8,AV$3=IF('Bonding Program'!$P$33&lt;&gt;"",'Bonding Program'!$P$33,'Bonding Program'!$C$8)),'Bonding Program'!$Z$33,0)+IF(AND('Bonding Program'!$P$33&lt;&gt;"",AV$3='Bonding Program'!$P$33,AV$3&lt;='Bonding Program'!$C$8),N('Bonding Program'!$O$33),0)</f>
        <v>0</v>
      </c>
      <c r="AW174" s="19" t="n">
        <f aca="false">IF(AND('Bonding Program'!$S$33=1,'Bonding Program'!$H$33&gt;'Bonding Program'!$C$8,AW$3='Bonding Program'!$H$33),'Bonding Program'!$T$33-'Bonding Program'!$U$33-'Bonding Program'!$Z$33,0)-IF(AND('Bonding Program'!$S$33=1,'Bonding Program'!$H$33&lt;='Bonding Program'!$C$8,AW$3=IF('Bonding Program'!$P$33&lt;&gt;"",'Bonding Program'!$P$33,'Bonding Program'!$C$8)),'Bonding Program'!$Z$33,0)+IF(AND('Bonding Program'!$P$33&lt;&gt;"",AW$3='Bonding Program'!$P$33,AW$3&lt;='Bonding Program'!$C$8),N('Bonding Program'!$O$33),0)</f>
        <v>0</v>
      </c>
      <c r="AX174" s="19" t="n">
        <f aca="false">IF(AND('Bonding Program'!$S$33=1,'Bonding Program'!$H$33&gt;'Bonding Program'!$C$8,AX$3='Bonding Program'!$H$33),'Bonding Program'!$T$33-'Bonding Program'!$U$33-'Bonding Program'!$Z$33,0)-IF(AND('Bonding Program'!$S$33=1,'Bonding Program'!$H$33&lt;='Bonding Program'!$C$8,AX$3=IF('Bonding Program'!$P$33&lt;&gt;"",'Bonding Program'!$P$33,'Bonding Program'!$C$8)),'Bonding Program'!$Z$33,0)+IF(AND('Bonding Program'!$P$33&lt;&gt;"",AX$3='Bonding Program'!$P$33,AX$3&lt;='Bonding Program'!$C$8),N('Bonding Program'!$O$33),0)</f>
        <v>0</v>
      </c>
      <c r="AY174" s="19" t="n">
        <f aca="false">IF(AND('Bonding Program'!$S$33=1,'Bonding Program'!$H$33&gt;'Bonding Program'!$C$8,AY$3='Bonding Program'!$H$33),'Bonding Program'!$T$33-'Bonding Program'!$U$33-'Bonding Program'!$Z$33,0)-IF(AND('Bonding Program'!$S$33=1,'Bonding Program'!$H$33&lt;='Bonding Program'!$C$8,AY$3=IF('Bonding Program'!$P$33&lt;&gt;"",'Bonding Program'!$P$33,'Bonding Program'!$C$8)),'Bonding Program'!$Z$33,0)+IF(AND('Bonding Program'!$P$33&lt;&gt;"",AY$3='Bonding Program'!$P$33,AY$3&lt;='Bonding Program'!$C$8),N('Bonding Program'!$O$33),0)</f>
        <v>0</v>
      </c>
      <c r="AZ174" s="19" t="n">
        <f aca="false">IF(AND('Bonding Program'!$S$33=1,'Bonding Program'!$H$33&gt;'Bonding Program'!$C$8,AZ$3='Bonding Program'!$H$33),'Bonding Program'!$T$33-'Bonding Program'!$U$33-'Bonding Program'!$Z$33,0)-IF(AND('Bonding Program'!$S$33=1,'Bonding Program'!$H$33&lt;='Bonding Program'!$C$8,AZ$3=IF('Bonding Program'!$P$33&lt;&gt;"",'Bonding Program'!$P$33,'Bonding Program'!$C$8)),'Bonding Program'!$Z$33,0)+IF(AND('Bonding Program'!$P$33&lt;&gt;"",AZ$3='Bonding Program'!$P$33,AZ$3&lt;='Bonding Program'!$C$8),N('Bonding Program'!$O$33),0)</f>
        <v>0</v>
      </c>
      <c r="BA174" s="19" t="n">
        <f aca="false">IF(AND('Bonding Program'!$S$33=1,'Bonding Program'!$H$33&gt;'Bonding Program'!$C$8,BA$3='Bonding Program'!$H$33),'Bonding Program'!$T$33-'Bonding Program'!$U$33-'Bonding Program'!$Z$33,0)-IF(AND('Bonding Program'!$S$33=1,'Bonding Program'!$H$33&lt;='Bonding Program'!$C$8,BA$3=IF('Bonding Program'!$P$33&lt;&gt;"",'Bonding Program'!$P$33,'Bonding Program'!$C$8)),'Bonding Program'!$Z$33,0)+IF(AND('Bonding Program'!$P$33&lt;&gt;"",BA$3='Bonding Program'!$P$33,BA$3&lt;='Bonding Program'!$C$8),N('Bonding Program'!$O$33),0)</f>
        <v>0</v>
      </c>
      <c r="BB174" s="19" t="n">
        <f aca="false">IF(AND('Bonding Program'!$S$33=1,'Bonding Program'!$H$33&gt;'Bonding Program'!$C$8,BB$3='Bonding Program'!$H$33),'Bonding Program'!$T$33-'Bonding Program'!$U$33-'Bonding Program'!$Z$33,0)-IF(AND('Bonding Program'!$S$33=1,'Bonding Program'!$H$33&lt;='Bonding Program'!$C$8,BB$3=IF('Bonding Program'!$P$33&lt;&gt;"",'Bonding Program'!$P$33,'Bonding Program'!$C$8)),'Bonding Program'!$Z$33,0)+IF(AND('Bonding Program'!$P$33&lt;&gt;"",BB$3='Bonding Program'!$P$33,BB$3&lt;='Bonding Program'!$C$8),N('Bonding Program'!$O$33),0)</f>
        <v>0</v>
      </c>
      <c r="BC174" s="19" t="n">
        <f aca="false">IF(AND('Bonding Program'!$S$33=1,'Bonding Program'!$H$33&gt;'Bonding Program'!$C$8,BC$3='Bonding Program'!$H$33),'Bonding Program'!$T$33-'Bonding Program'!$U$33-'Bonding Program'!$Z$33,0)-IF(AND('Bonding Program'!$S$33=1,'Bonding Program'!$H$33&lt;='Bonding Program'!$C$8,BC$3=IF('Bonding Program'!$P$33&lt;&gt;"",'Bonding Program'!$P$33,'Bonding Program'!$C$8)),'Bonding Program'!$Z$33,0)+IF(AND('Bonding Program'!$P$33&lt;&gt;"",BC$3='Bonding Program'!$P$33,BC$3&lt;='Bonding Program'!$C$8),N('Bonding Program'!$O$33),0)</f>
        <v>0</v>
      </c>
      <c r="BD174" s="19" t="n">
        <f aca="false">IF(AND('Bonding Program'!$S$33=1,'Bonding Program'!$H$33&gt;'Bonding Program'!$C$8,BD$3='Bonding Program'!$H$33),'Bonding Program'!$T$33-'Bonding Program'!$U$33-'Bonding Program'!$Z$33,0)-IF(AND('Bonding Program'!$S$33=1,'Bonding Program'!$H$33&lt;='Bonding Program'!$C$8,BD$3=IF('Bonding Program'!$P$33&lt;&gt;"",'Bonding Program'!$P$33,'Bonding Program'!$C$8)),'Bonding Program'!$Z$33,0)+IF(AND('Bonding Program'!$P$33&lt;&gt;"",BD$3='Bonding Program'!$P$33,BD$3&lt;='Bonding Program'!$C$8),N('Bonding Program'!$O$33),0)</f>
        <v>0</v>
      </c>
      <c r="BE174" s="19" t="n">
        <f aca="false">IF(AND('Bonding Program'!$S$33=1,'Bonding Program'!$H$33&gt;'Bonding Program'!$C$8,BE$3='Bonding Program'!$H$33),'Bonding Program'!$T$33-'Bonding Program'!$U$33-'Bonding Program'!$Z$33,0)-IF(AND('Bonding Program'!$S$33=1,'Bonding Program'!$H$33&lt;='Bonding Program'!$C$8,BE$3=IF('Bonding Program'!$P$33&lt;&gt;"",'Bonding Program'!$P$33,'Bonding Program'!$C$8)),'Bonding Program'!$Z$33,0)+IF(AND('Bonding Program'!$P$33&lt;&gt;"",BE$3='Bonding Program'!$P$33,BE$3&lt;='Bonding Program'!$C$8),N('Bonding Program'!$O$33),0)</f>
        <v>0</v>
      </c>
      <c r="BF174" s="19" t="n">
        <f aca="false">IF(AND('Bonding Program'!$S$33=1,'Bonding Program'!$H$33&gt;'Bonding Program'!$C$8,BF$3='Bonding Program'!$H$33),'Bonding Program'!$T$33-'Bonding Program'!$U$33-'Bonding Program'!$Z$33,0)-IF(AND('Bonding Program'!$S$33=1,'Bonding Program'!$H$33&lt;='Bonding Program'!$C$8,BF$3=IF('Bonding Program'!$P$33&lt;&gt;"",'Bonding Program'!$P$33,'Bonding Program'!$C$8)),'Bonding Program'!$Z$33,0)+IF(AND('Bonding Program'!$P$33&lt;&gt;"",BF$3='Bonding Program'!$P$33,BF$3&lt;='Bonding Program'!$C$8),N('Bonding Program'!$O$33),0)</f>
        <v>0</v>
      </c>
      <c r="BG174" s="19" t="n">
        <f aca="false">IF(AND('Bonding Program'!$S$33=1,'Bonding Program'!$H$33&gt;'Bonding Program'!$C$8,BG$3='Bonding Program'!$H$33),'Bonding Program'!$T$33-'Bonding Program'!$U$33-'Bonding Program'!$Z$33,0)-IF(AND('Bonding Program'!$S$33=1,'Bonding Program'!$H$33&lt;='Bonding Program'!$C$8,BG$3=IF('Bonding Program'!$P$33&lt;&gt;"",'Bonding Program'!$P$33,'Bonding Program'!$C$8)),'Bonding Program'!$Z$33,0)+IF(AND('Bonding Program'!$P$33&lt;&gt;"",BG$3='Bonding Program'!$P$33,BG$3&lt;='Bonding Program'!$C$8),N('Bonding Program'!$O$33),0)</f>
        <v>0</v>
      </c>
      <c r="BH174" s="19" t="n">
        <f aca="false">IF(AND('Bonding Program'!$S$33=1,'Bonding Program'!$H$33&gt;'Bonding Program'!$C$8,BH$3='Bonding Program'!$H$33),'Bonding Program'!$T$33-'Bonding Program'!$U$33-'Bonding Program'!$Z$33,0)-IF(AND('Bonding Program'!$S$33=1,'Bonding Program'!$H$33&lt;='Bonding Program'!$C$8,BH$3=IF('Bonding Program'!$P$33&lt;&gt;"",'Bonding Program'!$P$33,'Bonding Program'!$C$8)),'Bonding Program'!$Z$33,0)+IF(AND('Bonding Program'!$P$33&lt;&gt;"",BH$3='Bonding Program'!$P$33,BH$3&lt;='Bonding Program'!$C$8),N('Bonding Program'!$O$33),0)</f>
        <v>0</v>
      </c>
      <c r="BI174" s="19" t="n">
        <f aca="false">IF(AND('Bonding Program'!$S$33=1,'Bonding Program'!$H$33&gt;'Bonding Program'!$C$8,BI$3='Bonding Program'!$H$33),'Bonding Program'!$T$33-'Bonding Program'!$U$33-'Bonding Program'!$Z$33,0)-IF(AND('Bonding Program'!$S$33=1,'Bonding Program'!$H$33&lt;='Bonding Program'!$C$8,BI$3=IF('Bonding Program'!$P$33&lt;&gt;"",'Bonding Program'!$P$33,'Bonding Program'!$C$8)),'Bonding Program'!$Z$33,0)+IF(AND('Bonding Program'!$P$33&lt;&gt;"",BI$3='Bonding Program'!$P$33,BI$3&lt;='Bonding Program'!$C$8),N('Bonding Program'!$O$33),0)</f>
        <v>0</v>
      </c>
      <c r="BJ174" s="19" t="n">
        <f aca="false">IF(AND('Bonding Program'!$S$33=1,'Bonding Program'!$H$33&gt;'Bonding Program'!$C$8,BJ$3='Bonding Program'!$H$33),'Bonding Program'!$T$33-'Bonding Program'!$U$33-'Bonding Program'!$Z$33,0)-IF(AND('Bonding Program'!$S$33=1,'Bonding Program'!$H$33&lt;='Bonding Program'!$C$8,BJ$3=IF('Bonding Program'!$P$33&lt;&gt;"",'Bonding Program'!$P$33,'Bonding Program'!$C$8)),'Bonding Program'!$Z$33,0)+IF(AND('Bonding Program'!$P$33&lt;&gt;"",BJ$3='Bonding Program'!$P$33,BJ$3&lt;='Bonding Program'!$C$8),N('Bonding Program'!$O$33),0)</f>
        <v>0</v>
      </c>
      <c r="BK174" s="19" t="n">
        <f aca="false">IF(AND('Bonding Program'!$S$33=1,'Bonding Program'!$H$33&gt;'Bonding Program'!$C$8,BK$3='Bonding Program'!$H$33),'Bonding Program'!$T$33-'Bonding Program'!$U$33-'Bonding Program'!$Z$33,0)-IF(AND('Bonding Program'!$S$33=1,'Bonding Program'!$H$33&lt;='Bonding Program'!$C$8,BK$3=IF('Bonding Program'!$P$33&lt;&gt;"",'Bonding Program'!$P$33,'Bonding Program'!$C$8)),'Bonding Program'!$Z$33,0)+IF(AND('Bonding Program'!$P$33&lt;&gt;"",BK$3='Bonding Program'!$P$33,BK$3&lt;='Bonding Program'!$C$8),N('Bonding Program'!$O$33),0)</f>
        <v>0</v>
      </c>
      <c r="BL174" s="19" t="n">
        <f aca="false">IF(AND('Bonding Program'!$S$33=1,'Bonding Program'!$H$33&gt;'Bonding Program'!$C$8,BL$3='Bonding Program'!$H$33),'Bonding Program'!$T$33-'Bonding Program'!$U$33-'Bonding Program'!$Z$33,0)-IF(AND('Bonding Program'!$S$33=1,'Bonding Program'!$H$33&lt;='Bonding Program'!$C$8,BL$3=IF('Bonding Program'!$P$33&lt;&gt;"",'Bonding Program'!$P$33,'Bonding Program'!$C$8)),'Bonding Program'!$Z$33,0)+IF(AND('Bonding Program'!$P$33&lt;&gt;"",BL$3='Bonding Program'!$P$33,BL$3&lt;='Bonding Program'!$C$8),N('Bonding Program'!$O$33),0)</f>
        <v>0</v>
      </c>
      <c r="BM174" s="19" t="n">
        <f aca="false">IF(AND('Bonding Program'!$S$33=1,'Bonding Program'!$H$33&gt;'Bonding Program'!$C$8,BM$3='Bonding Program'!$H$33),'Bonding Program'!$T$33-'Bonding Program'!$U$33-'Bonding Program'!$Z$33,0)-IF(AND('Bonding Program'!$S$33=1,'Bonding Program'!$H$33&lt;='Bonding Program'!$C$8,BM$3=IF('Bonding Program'!$P$33&lt;&gt;"",'Bonding Program'!$P$33,'Bonding Program'!$C$8)),'Bonding Program'!$Z$33,0)+IF(AND('Bonding Program'!$P$33&lt;&gt;"",BM$3='Bonding Program'!$P$33,BM$3&lt;='Bonding Program'!$C$8),N('Bonding Program'!$O$33),0)</f>
        <v>0</v>
      </c>
      <c r="BN174" s="19" t="n">
        <f aca="false">IF(AND('Bonding Program'!$S$33=1,'Bonding Program'!$H$33&gt;'Bonding Program'!$C$8,BN$3='Bonding Program'!$H$33),'Bonding Program'!$T$33-'Bonding Program'!$U$33-'Bonding Program'!$Z$33,0)-IF(AND('Bonding Program'!$S$33=1,'Bonding Program'!$H$33&lt;='Bonding Program'!$C$8,BN$3=IF('Bonding Program'!$P$33&lt;&gt;"",'Bonding Program'!$P$33,'Bonding Program'!$C$8)),'Bonding Program'!$Z$33,0)+IF(AND('Bonding Program'!$P$33&lt;&gt;"",BN$3='Bonding Program'!$P$33,BN$3&lt;='Bonding Program'!$C$8),N('Bonding Program'!$O$33),0)</f>
        <v>0</v>
      </c>
      <c r="BO174" s="19" t="n">
        <f aca="false">IF(AND('Bonding Program'!$S$33=1,'Bonding Program'!$H$33&gt;'Bonding Program'!$C$8,BO$3='Bonding Program'!$H$33),'Bonding Program'!$T$33-'Bonding Program'!$U$33-'Bonding Program'!$Z$33,0)-IF(AND('Bonding Program'!$S$33=1,'Bonding Program'!$H$33&lt;='Bonding Program'!$C$8,BO$3=IF('Bonding Program'!$P$33&lt;&gt;"",'Bonding Program'!$P$33,'Bonding Program'!$C$8)),'Bonding Program'!$Z$33,0)+IF(AND('Bonding Program'!$P$33&lt;&gt;"",BO$3='Bonding Program'!$P$33,BO$3&lt;='Bonding Program'!$C$8),N('Bonding Program'!$O$33),0)</f>
        <v>0</v>
      </c>
      <c r="BP174" s="19" t="n">
        <f aca="false">IF(AND('Bonding Program'!$S$33=1,'Bonding Program'!$H$33&gt;'Bonding Program'!$C$8,BP$3='Bonding Program'!$H$33),'Bonding Program'!$T$33-'Bonding Program'!$U$33-'Bonding Program'!$Z$33,0)-IF(AND('Bonding Program'!$S$33=1,'Bonding Program'!$H$33&lt;='Bonding Program'!$C$8,BP$3=IF('Bonding Program'!$P$33&lt;&gt;"",'Bonding Program'!$P$33,'Bonding Program'!$C$8)),'Bonding Program'!$Z$33,0)+IF(AND('Bonding Program'!$P$33&lt;&gt;"",BP$3='Bonding Program'!$P$33,BP$3&lt;='Bonding Program'!$C$8),N('Bonding Program'!$O$33),0)</f>
        <v>0</v>
      </c>
      <c r="BQ174" s="19" t="n">
        <f aca="false">IF(AND('Bonding Program'!$S$33=1,'Bonding Program'!$H$33&gt;'Bonding Program'!$C$8,BQ$3='Bonding Program'!$H$33),'Bonding Program'!$T$33-'Bonding Program'!$U$33-'Bonding Program'!$Z$33,0)-IF(AND('Bonding Program'!$S$33=1,'Bonding Program'!$H$33&lt;='Bonding Program'!$C$8,BQ$3=IF('Bonding Program'!$P$33&lt;&gt;"",'Bonding Program'!$P$33,'Bonding Program'!$C$8)),'Bonding Program'!$Z$33,0)+IF(AND('Bonding Program'!$P$33&lt;&gt;"",BQ$3='Bonding Program'!$P$33,BQ$3&lt;='Bonding Program'!$C$8),N('Bonding Program'!$O$33),0)</f>
        <v>0</v>
      </c>
      <c r="BR174" s="19" t="n">
        <f aca="false">IF(AND('Bonding Program'!$S$33=1,'Bonding Program'!$H$33&gt;'Bonding Program'!$C$8,BR$3='Bonding Program'!$H$33),'Bonding Program'!$T$33-'Bonding Program'!$U$33-'Bonding Program'!$Z$33,0)-IF(AND('Bonding Program'!$S$33=1,'Bonding Program'!$H$33&lt;='Bonding Program'!$C$8,BR$3=IF('Bonding Program'!$P$33&lt;&gt;"",'Bonding Program'!$P$33,'Bonding Program'!$C$8)),'Bonding Program'!$Z$33,0)+IF(AND('Bonding Program'!$P$33&lt;&gt;"",BR$3='Bonding Program'!$P$33,BR$3&lt;='Bonding Program'!$C$8),N('Bonding Program'!$O$33),0)</f>
        <v>0</v>
      </c>
      <c r="BS174" s="19" t="n">
        <f aca="false">IF(AND('Bonding Program'!$S$33=1,'Bonding Program'!$H$33&gt;'Bonding Program'!$C$8,BS$3='Bonding Program'!$H$33),'Bonding Program'!$T$33-'Bonding Program'!$U$33-'Bonding Program'!$Z$33,0)-IF(AND('Bonding Program'!$S$33=1,'Bonding Program'!$H$33&lt;='Bonding Program'!$C$8,BS$3=IF('Bonding Program'!$P$33&lt;&gt;"",'Bonding Program'!$P$33,'Bonding Program'!$C$8)),'Bonding Program'!$Z$33,0)+IF(AND('Bonding Program'!$P$33&lt;&gt;"",BS$3='Bonding Program'!$P$33,BS$3&lt;='Bonding Program'!$C$8),N('Bonding Program'!$O$33),0)</f>
        <v>0</v>
      </c>
      <c r="BT174" s="19" t="n">
        <f aca="false">IF(AND('Bonding Program'!$S$33=1,'Bonding Program'!$H$33&gt;'Bonding Program'!$C$8,BT$3='Bonding Program'!$H$33),'Bonding Program'!$T$33-'Bonding Program'!$U$33-'Bonding Program'!$Z$33,0)-IF(AND('Bonding Program'!$S$33=1,'Bonding Program'!$H$33&lt;='Bonding Program'!$C$8,BT$3=IF('Bonding Program'!$P$33&lt;&gt;"",'Bonding Program'!$P$33,'Bonding Program'!$C$8)),'Bonding Program'!$Z$33,0)+IF(AND('Bonding Program'!$P$33&lt;&gt;"",BT$3='Bonding Program'!$P$33,BT$3&lt;='Bonding Program'!$C$8),N('Bonding Program'!$O$33),0)</f>
        <v>0</v>
      </c>
      <c r="BU174" s="19" t="n">
        <f aca="false">IF(AND('Bonding Program'!$S$33=1,'Bonding Program'!$H$33&gt;'Bonding Program'!$C$8,BU$3='Bonding Program'!$H$33),'Bonding Program'!$T$33-'Bonding Program'!$U$33-'Bonding Program'!$Z$33,0)-IF(AND('Bonding Program'!$S$33=1,'Bonding Program'!$H$33&lt;='Bonding Program'!$C$8,BU$3=IF('Bonding Program'!$P$33&lt;&gt;"",'Bonding Program'!$P$33,'Bonding Program'!$C$8)),'Bonding Program'!$Z$33,0)+IF(AND('Bonding Program'!$P$33&lt;&gt;"",BU$3='Bonding Program'!$P$33,BU$3&lt;='Bonding Program'!$C$8),N('Bonding Program'!$O$33),0)</f>
        <v>0</v>
      </c>
      <c r="BV174" s="19" t="n">
        <f aca="false">IF(AND('Bonding Program'!$S$33=1,'Bonding Program'!$H$33&gt;'Bonding Program'!$C$8,BV$3='Bonding Program'!$H$33),'Bonding Program'!$T$33-'Bonding Program'!$U$33-'Bonding Program'!$Z$33,0)-IF(AND('Bonding Program'!$S$33=1,'Bonding Program'!$H$33&lt;='Bonding Program'!$C$8,BV$3=IF('Bonding Program'!$P$33&lt;&gt;"",'Bonding Program'!$P$33,'Bonding Program'!$C$8)),'Bonding Program'!$Z$33,0)+IF(AND('Bonding Program'!$P$33&lt;&gt;"",BV$3='Bonding Program'!$P$33,BV$3&lt;='Bonding Program'!$C$8),N('Bonding Program'!$O$33),0)</f>
        <v>0</v>
      </c>
      <c r="BW174" s="19" t="n">
        <f aca="false">IF(AND('Bonding Program'!$S$33=1,'Bonding Program'!$H$33&gt;'Bonding Program'!$C$8,BW$3='Bonding Program'!$H$33),'Bonding Program'!$T$33-'Bonding Program'!$U$33-'Bonding Program'!$Z$33,0)-IF(AND('Bonding Program'!$S$33=1,'Bonding Program'!$H$33&lt;='Bonding Program'!$C$8,BW$3=IF('Bonding Program'!$P$33&lt;&gt;"",'Bonding Program'!$P$33,'Bonding Program'!$C$8)),'Bonding Program'!$Z$33,0)+IF(AND('Bonding Program'!$P$33&lt;&gt;"",BW$3='Bonding Program'!$P$33,BW$3&lt;='Bonding Program'!$C$8),N('Bonding Program'!$O$33),0)</f>
        <v>0</v>
      </c>
      <c r="BX174" s="19" t="n">
        <f aca="false">IF(AND('Bonding Program'!$S$33=1,'Bonding Program'!$H$33&gt;'Bonding Program'!$C$8,BX$3='Bonding Program'!$H$33),'Bonding Program'!$T$33-'Bonding Program'!$U$33-'Bonding Program'!$Z$33,0)-IF(AND('Bonding Program'!$S$33=1,'Bonding Program'!$H$33&lt;='Bonding Program'!$C$8,BX$3=IF('Bonding Program'!$P$33&lt;&gt;"",'Bonding Program'!$P$33,'Bonding Program'!$C$8)),'Bonding Program'!$Z$33,0)+IF(AND('Bonding Program'!$P$33&lt;&gt;"",BX$3='Bonding Program'!$P$33,BX$3&lt;='Bonding Program'!$C$8),N('Bonding Program'!$O$33),0)</f>
        <v>0</v>
      </c>
      <c r="BY174" s="19" t="n">
        <f aca="false">IF(AND('Bonding Program'!$S$33=1,'Bonding Program'!$H$33&gt;'Bonding Program'!$C$8,BY$3='Bonding Program'!$H$33),'Bonding Program'!$T$33-'Bonding Program'!$U$33-'Bonding Program'!$Z$33,0)-IF(AND('Bonding Program'!$S$33=1,'Bonding Program'!$H$33&lt;='Bonding Program'!$C$8,BY$3=IF('Bonding Program'!$P$33&lt;&gt;"",'Bonding Program'!$P$33,'Bonding Program'!$C$8)),'Bonding Program'!$Z$33,0)+IF(AND('Bonding Program'!$P$33&lt;&gt;"",BY$3='Bonding Program'!$P$33,BY$3&lt;='Bonding Program'!$C$8),N('Bonding Program'!$O$33),0)</f>
        <v>0</v>
      </c>
      <c r="BZ174" s="19" t="n">
        <f aca="false">IF(AND('Bonding Program'!$S$33=1,'Bonding Program'!$H$33&gt;'Bonding Program'!$C$8,BZ$3='Bonding Program'!$H$33),'Bonding Program'!$T$33-'Bonding Program'!$U$33-'Bonding Program'!$Z$33,0)-IF(AND('Bonding Program'!$S$33=1,'Bonding Program'!$H$33&lt;='Bonding Program'!$C$8,BZ$3=IF('Bonding Program'!$P$33&lt;&gt;"",'Bonding Program'!$P$33,'Bonding Program'!$C$8)),'Bonding Program'!$Z$33,0)+IF(AND('Bonding Program'!$P$33&lt;&gt;"",BZ$3='Bonding Program'!$P$33,BZ$3&lt;='Bonding Program'!$C$8),N('Bonding Program'!$O$33),0)</f>
        <v>0</v>
      </c>
      <c r="CA174" s="19" t="n">
        <f aca="false">IF(AND('Bonding Program'!$S$33=1,'Bonding Program'!$H$33&gt;'Bonding Program'!$C$8,CA$3='Bonding Program'!$H$33),'Bonding Program'!$T$33-'Bonding Program'!$U$33-'Bonding Program'!$Z$33,0)-IF(AND('Bonding Program'!$S$33=1,'Bonding Program'!$H$33&lt;='Bonding Program'!$C$8,CA$3=IF('Bonding Program'!$P$33&lt;&gt;"",'Bonding Program'!$P$33,'Bonding Program'!$C$8)),'Bonding Program'!$Z$33,0)+IF(AND('Bonding Program'!$P$33&lt;&gt;"",CA$3='Bonding Program'!$P$33,CA$3&lt;='Bonding Program'!$C$8),N('Bonding Program'!$O$33),0)</f>
        <v>0</v>
      </c>
      <c r="CB174" s="19" t="n">
        <f aca="false">IF(AND('Bonding Program'!$S$33=1,'Bonding Program'!$H$33&gt;'Bonding Program'!$C$8,CB$3='Bonding Program'!$H$33),'Bonding Program'!$T$33-'Bonding Program'!$U$33-'Bonding Program'!$Z$33,0)-IF(AND('Bonding Program'!$S$33=1,'Bonding Program'!$H$33&lt;='Bonding Program'!$C$8,CB$3=IF('Bonding Program'!$P$33&lt;&gt;"",'Bonding Program'!$P$33,'Bonding Program'!$C$8)),'Bonding Program'!$Z$33,0)+IF(AND('Bonding Program'!$P$33&lt;&gt;"",CB$3='Bonding Program'!$P$33,CB$3&lt;='Bonding Program'!$C$8),N('Bonding Program'!$O$33),0)</f>
        <v>0</v>
      </c>
      <c r="CC174" s="19" t="n">
        <f aca="false">IF(AND('Bonding Program'!$S$33=1,'Bonding Program'!$H$33&gt;'Bonding Program'!$C$8,CC$3='Bonding Program'!$H$33),'Bonding Program'!$T$33-'Bonding Program'!$U$33-'Bonding Program'!$Z$33,0)-IF(AND('Bonding Program'!$S$33=1,'Bonding Program'!$H$33&lt;='Bonding Program'!$C$8,CC$3=IF('Bonding Program'!$P$33&lt;&gt;"",'Bonding Program'!$P$33,'Bonding Program'!$C$8)),'Bonding Program'!$Z$33,0)+IF(AND('Bonding Program'!$P$33&lt;&gt;"",CC$3='Bonding Program'!$P$33,CC$3&lt;='Bonding Program'!$C$8),N('Bonding Program'!$O$33),0)</f>
        <v>0</v>
      </c>
      <c r="CD174" s="19" t="n">
        <f aca="false">IF(AND('Bonding Program'!$S$33=1,'Bonding Program'!$H$33&gt;'Bonding Program'!$C$8,CD$3='Bonding Program'!$H$33),'Bonding Program'!$T$33-'Bonding Program'!$U$33-'Bonding Program'!$Z$33,0)-IF(AND('Bonding Program'!$S$33=1,'Bonding Program'!$H$33&lt;='Bonding Program'!$C$8,CD$3=IF('Bonding Program'!$P$33&lt;&gt;"",'Bonding Program'!$P$33,'Bonding Program'!$C$8)),'Bonding Program'!$Z$33,0)+IF(AND('Bonding Program'!$P$33&lt;&gt;"",CD$3='Bonding Program'!$P$33,CD$3&lt;='Bonding Program'!$C$8),N('Bonding Program'!$O$33),0)</f>
        <v>0</v>
      </c>
      <c r="CE174" s="19" t="n">
        <f aca="false">IF(AND('Bonding Program'!$S$33=1,'Bonding Program'!$H$33&gt;'Bonding Program'!$C$8,CE$3='Bonding Program'!$H$33),'Bonding Program'!$T$33-'Bonding Program'!$U$33-'Bonding Program'!$Z$33,0)-IF(AND('Bonding Program'!$S$33=1,'Bonding Program'!$H$33&lt;='Bonding Program'!$C$8,CE$3=IF('Bonding Program'!$P$33&lt;&gt;"",'Bonding Program'!$P$33,'Bonding Program'!$C$8)),'Bonding Program'!$Z$33,0)+IF(AND('Bonding Program'!$P$33&lt;&gt;"",CE$3='Bonding Program'!$P$33,CE$3&lt;='Bonding Program'!$C$8),N('Bonding Program'!$O$33),0)</f>
        <v>0</v>
      </c>
      <c r="CF174" s="19" t="n">
        <f aca="false">IF(AND('Bonding Program'!$S$33=1,'Bonding Program'!$H$33&gt;'Bonding Program'!$C$8,CF$3='Bonding Program'!$H$33),'Bonding Program'!$T$33-'Bonding Program'!$U$33-'Bonding Program'!$Z$33,0)-IF(AND('Bonding Program'!$S$33=1,'Bonding Program'!$H$33&lt;='Bonding Program'!$C$8,CF$3=IF('Bonding Program'!$P$33&lt;&gt;"",'Bonding Program'!$P$33,'Bonding Program'!$C$8)),'Bonding Program'!$Z$33,0)+IF(AND('Bonding Program'!$P$33&lt;&gt;"",CF$3='Bonding Program'!$P$33,CF$3&lt;='Bonding Program'!$C$8),N('Bonding Program'!$O$33),0)</f>
        <v>0</v>
      </c>
      <c r="CG174" s="19" t="n">
        <f aca="false">IF(AND('Bonding Program'!$S$33=1,'Bonding Program'!$H$33&gt;'Bonding Program'!$C$8,CG$3='Bonding Program'!$H$33),'Bonding Program'!$T$33-'Bonding Program'!$U$33-'Bonding Program'!$Z$33,0)-IF(AND('Bonding Program'!$S$33=1,'Bonding Program'!$H$33&lt;='Bonding Program'!$C$8,CG$3=IF('Bonding Program'!$P$33&lt;&gt;"",'Bonding Program'!$P$33,'Bonding Program'!$C$8)),'Bonding Program'!$Z$33,0)+IF(AND('Bonding Program'!$P$33&lt;&gt;"",CG$3='Bonding Program'!$P$33,CG$3&lt;='Bonding Program'!$C$8),N('Bonding Program'!$O$33),0)</f>
        <v>0</v>
      </c>
      <c r="CH174" s="19" t="n">
        <f aca="false">IF(AND('Bonding Program'!$S$33=1,'Bonding Program'!$H$33&gt;'Bonding Program'!$C$8,CH$3='Bonding Program'!$H$33),'Bonding Program'!$T$33-'Bonding Program'!$U$33-'Bonding Program'!$Z$33,0)-IF(AND('Bonding Program'!$S$33=1,'Bonding Program'!$H$33&lt;='Bonding Program'!$C$8,CH$3=IF('Bonding Program'!$P$33&lt;&gt;"",'Bonding Program'!$P$33,'Bonding Program'!$C$8)),'Bonding Program'!$Z$33,0)+IF(AND('Bonding Program'!$P$33&lt;&gt;"",CH$3='Bonding Program'!$P$33,CH$3&lt;='Bonding Program'!$C$8),N('Bonding Program'!$O$33),0)</f>
        <v>0</v>
      </c>
      <c r="CI174" s="19" t="n">
        <f aca="false">IF(AND('Bonding Program'!$S$33=1,'Bonding Program'!$H$33&gt;'Bonding Program'!$C$8,CI$3='Bonding Program'!$H$33),'Bonding Program'!$T$33-'Bonding Program'!$U$33-'Bonding Program'!$Z$33,0)-IF(AND('Bonding Program'!$S$33=1,'Bonding Program'!$H$33&lt;='Bonding Program'!$C$8,CI$3=IF('Bonding Program'!$P$33&lt;&gt;"",'Bonding Program'!$P$33,'Bonding Program'!$C$8)),'Bonding Program'!$Z$33,0)+IF(AND('Bonding Program'!$P$33&lt;&gt;"",CI$3='Bonding Program'!$P$33,CI$3&lt;='Bonding Program'!$C$8),N('Bonding Program'!$O$33),0)</f>
        <v>0</v>
      </c>
      <c r="CJ174" s="19" t="n">
        <f aca="false">IF(AND('Bonding Program'!$S$33=1,'Bonding Program'!$H$33&gt;'Bonding Program'!$C$8,CJ$3='Bonding Program'!$H$33),'Bonding Program'!$T$33-'Bonding Program'!$U$33-'Bonding Program'!$Z$33,0)-IF(AND('Bonding Program'!$S$33=1,'Bonding Program'!$H$33&lt;='Bonding Program'!$C$8,CJ$3=IF('Bonding Program'!$P$33&lt;&gt;"",'Bonding Program'!$P$33,'Bonding Program'!$C$8)),'Bonding Program'!$Z$33,0)+IF(AND('Bonding Program'!$P$33&lt;&gt;"",CJ$3='Bonding Program'!$P$33,CJ$3&lt;='Bonding Program'!$C$8),N('Bonding Program'!$O$33),0)</f>
        <v>0</v>
      </c>
      <c r="CK174" s="19" t="n">
        <f aca="false">IF(AND('Bonding Program'!$S$33=1,'Bonding Program'!$H$33&gt;'Bonding Program'!$C$8,CK$3='Bonding Program'!$H$33),'Bonding Program'!$T$33-'Bonding Program'!$U$33-'Bonding Program'!$Z$33,0)-IF(AND('Bonding Program'!$S$33=1,'Bonding Program'!$H$33&lt;='Bonding Program'!$C$8,CK$3=IF('Bonding Program'!$P$33&lt;&gt;"",'Bonding Program'!$P$33,'Bonding Program'!$C$8)),'Bonding Program'!$Z$33,0)+IF(AND('Bonding Program'!$P$33&lt;&gt;"",CK$3='Bonding Program'!$P$33,CK$3&lt;='Bonding Program'!$C$8),N('Bonding Program'!$O$33),0)</f>
        <v>0</v>
      </c>
      <c r="CL174" s="19" t="n">
        <f aca="false">IF(AND('Bonding Program'!$S$33=1,'Bonding Program'!$H$33&gt;'Bonding Program'!$C$8,CL$3='Bonding Program'!$H$33),'Bonding Program'!$T$33-'Bonding Program'!$U$33-'Bonding Program'!$Z$33,0)-IF(AND('Bonding Program'!$S$33=1,'Bonding Program'!$H$33&lt;='Bonding Program'!$C$8,CL$3=IF('Bonding Program'!$P$33&lt;&gt;"",'Bonding Program'!$P$33,'Bonding Program'!$C$8)),'Bonding Program'!$Z$33,0)+IF(AND('Bonding Program'!$P$33&lt;&gt;"",CL$3='Bonding Program'!$P$33,CL$3&lt;='Bonding Program'!$C$8),N('Bonding Program'!$O$33),0)</f>
        <v>0</v>
      </c>
      <c r="CM174" s="19" t="n">
        <f aca="false">IF(AND('Bonding Program'!$S$33=1,'Bonding Program'!$H$33&gt;'Bonding Program'!$C$8,CM$3='Bonding Program'!$H$33),'Bonding Program'!$T$33-'Bonding Program'!$U$33-'Bonding Program'!$Z$33,0)-IF(AND('Bonding Program'!$S$33=1,'Bonding Program'!$H$33&lt;='Bonding Program'!$C$8,CM$3=IF('Bonding Program'!$P$33&lt;&gt;"",'Bonding Program'!$P$33,'Bonding Program'!$C$8)),'Bonding Program'!$Z$33,0)+IF(AND('Bonding Program'!$P$33&lt;&gt;"",CM$3='Bonding Program'!$P$33,CM$3&lt;='Bonding Program'!$C$8),N('Bonding Program'!$O$33),0)</f>
        <v>0</v>
      </c>
      <c r="CN174" s="19" t="n">
        <f aca="false">IF(AND('Bonding Program'!$S$33=1,'Bonding Program'!$H$33&gt;'Bonding Program'!$C$8,CN$3='Bonding Program'!$H$33),'Bonding Program'!$T$33-'Bonding Program'!$U$33-'Bonding Program'!$Z$33,0)-IF(AND('Bonding Program'!$S$33=1,'Bonding Program'!$H$33&lt;='Bonding Program'!$C$8,CN$3=IF('Bonding Program'!$P$33&lt;&gt;"",'Bonding Program'!$P$33,'Bonding Program'!$C$8)),'Bonding Program'!$Z$33,0)+IF(AND('Bonding Program'!$P$33&lt;&gt;"",CN$3='Bonding Program'!$P$33,CN$3&lt;='Bonding Program'!$C$8),N('Bonding Program'!$O$33),0)</f>
        <v>0</v>
      </c>
      <c r="CO174" s="19" t="n">
        <f aca="false">IF(AND('Bonding Program'!$S$33=1,'Bonding Program'!$H$33&gt;'Bonding Program'!$C$8,CO$3='Bonding Program'!$H$33),'Bonding Program'!$T$33-'Bonding Program'!$U$33-'Bonding Program'!$Z$33,0)-IF(AND('Bonding Program'!$S$33=1,'Bonding Program'!$H$33&lt;='Bonding Program'!$C$8,CO$3=IF('Bonding Program'!$P$33&lt;&gt;"",'Bonding Program'!$P$33,'Bonding Program'!$C$8)),'Bonding Program'!$Z$33,0)+IF(AND('Bonding Program'!$P$33&lt;&gt;"",CO$3='Bonding Program'!$P$33,CO$3&lt;='Bonding Program'!$C$8),N('Bonding Program'!$O$33),0)</f>
        <v>0</v>
      </c>
      <c r="CP174" s="19" t="n">
        <f aca="false">IF(AND('Bonding Program'!$S$33=1,'Bonding Program'!$H$33&gt;'Bonding Program'!$C$8,CP$3='Bonding Program'!$H$33),'Bonding Program'!$T$33-'Bonding Program'!$U$33-'Bonding Program'!$Z$33,0)-IF(AND('Bonding Program'!$S$33=1,'Bonding Program'!$H$33&lt;='Bonding Program'!$C$8,CP$3=IF('Bonding Program'!$P$33&lt;&gt;"",'Bonding Program'!$P$33,'Bonding Program'!$C$8)),'Bonding Program'!$Z$33,0)+IF(AND('Bonding Program'!$P$33&lt;&gt;"",CP$3='Bonding Program'!$P$33,CP$3&lt;='Bonding Program'!$C$8),N('Bonding Program'!$O$33),0)</f>
        <v>0</v>
      </c>
      <c r="CQ174" s="19" t="n">
        <f aca="false">IF(AND('Bonding Program'!$S$33=1,'Bonding Program'!$H$33&gt;'Bonding Program'!$C$8,CQ$3='Bonding Program'!$H$33),'Bonding Program'!$T$33-'Bonding Program'!$U$33-'Bonding Program'!$Z$33,0)-IF(AND('Bonding Program'!$S$33=1,'Bonding Program'!$H$33&lt;='Bonding Program'!$C$8,CQ$3=IF('Bonding Program'!$P$33&lt;&gt;"",'Bonding Program'!$P$33,'Bonding Program'!$C$8)),'Bonding Program'!$Z$33,0)+IF(AND('Bonding Program'!$P$33&lt;&gt;"",CQ$3='Bonding Program'!$P$33,CQ$3&lt;='Bonding Program'!$C$8),N('Bonding Program'!$O$33),0)</f>
        <v>0</v>
      </c>
      <c r="CR174" s="19" t="n">
        <f aca="false">IF(AND('Bonding Program'!$S$33=1,'Bonding Program'!$H$33&gt;'Bonding Program'!$C$8,CR$3='Bonding Program'!$H$33),'Bonding Program'!$T$33-'Bonding Program'!$U$33-'Bonding Program'!$Z$33,0)-IF(AND('Bonding Program'!$S$33=1,'Bonding Program'!$H$33&lt;='Bonding Program'!$C$8,CR$3=IF('Bonding Program'!$P$33&lt;&gt;"",'Bonding Program'!$P$33,'Bonding Program'!$C$8)),'Bonding Program'!$Z$33,0)+IF(AND('Bonding Program'!$P$33&lt;&gt;"",CR$3='Bonding Program'!$P$33,CR$3&lt;='Bonding Program'!$C$8),N('Bonding Program'!$O$33),0)</f>
        <v>0</v>
      </c>
      <c r="CS174" s="19" t="n">
        <f aca="false">IF(AND('Bonding Program'!$S$33=1,'Bonding Program'!$H$33&gt;'Bonding Program'!$C$8,CS$3='Bonding Program'!$H$33),'Bonding Program'!$T$33-'Bonding Program'!$U$33-'Bonding Program'!$Z$33,0)-IF(AND('Bonding Program'!$S$33=1,'Bonding Program'!$H$33&lt;='Bonding Program'!$C$8,CS$3=IF('Bonding Program'!$P$33&lt;&gt;"",'Bonding Program'!$P$33,'Bonding Program'!$C$8)),'Bonding Program'!$Z$33,0)+IF(AND('Bonding Program'!$P$33&lt;&gt;"",CS$3='Bonding Program'!$P$33,CS$3&lt;='Bonding Program'!$C$8),N('Bonding Program'!$O$33),0)</f>
        <v>0</v>
      </c>
      <c r="CT174" s="19" t="n">
        <f aca="false">IF(AND('Bonding Program'!$S$33=1,'Bonding Program'!$H$33&gt;'Bonding Program'!$C$8,CT$3='Bonding Program'!$H$33),'Bonding Program'!$T$33-'Bonding Program'!$U$33-'Bonding Program'!$Z$33,0)-IF(AND('Bonding Program'!$S$33=1,'Bonding Program'!$H$33&lt;='Bonding Program'!$C$8,CT$3=IF('Bonding Program'!$P$33&lt;&gt;"",'Bonding Program'!$P$33,'Bonding Program'!$C$8)),'Bonding Program'!$Z$33,0)+IF(AND('Bonding Program'!$P$33&lt;&gt;"",CT$3='Bonding Program'!$P$33,CT$3&lt;='Bonding Program'!$C$8),N('Bonding Program'!$O$33),0)</f>
        <v>0</v>
      </c>
      <c r="CU174" s="19" t="n">
        <f aca="false">IF(AND('Bonding Program'!$S$33=1,'Bonding Program'!$H$33&gt;'Bonding Program'!$C$8,CU$3='Bonding Program'!$H$33),'Bonding Program'!$T$33-'Bonding Program'!$U$33-'Bonding Program'!$Z$33,0)-IF(AND('Bonding Program'!$S$33=1,'Bonding Program'!$H$33&lt;='Bonding Program'!$C$8,CU$3=IF('Bonding Program'!$P$33&lt;&gt;"",'Bonding Program'!$P$33,'Bonding Program'!$C$8)),'Bonding Program'!$Z$33,0)+IF(AND('Bonding Program'!$P$33&lt;&gt;"",CU$3='Bonding Program'!$P$33,CU$3&lt;='Bonding Program'!$C$8),N('Bonding Program'!$O$33),0)</f>
        <v>0</v>
      </c>
      <c r="CV174" s="19" t="n">
        <f aca="false">IF(AND('Bonding Program'!$S$33=1,'Bonding Program'!$H$33&gt;'Bonding Program'!$C$8,CV$3='Bonding Program'!$H$33),'Bonding Program'!$T$33-'Bonding Program'!$U$33-'Bonding Program'!$Z$33,0)-IF(AND('Bonding Program'!$S$33=1,'Bonding Program'!$H$33&lt;='Bonding Program'!$C$8,CV$3=IF('Bonding Program'!$P$33&lt;&gt;"",'Bonding Program'!$P$33,'Bonding Program'!$C$8)),'Bonding Program'!$Z$33,0)+IF(AND('Bonding Program'!$P$33&lt;&gt;"",CV$3='Bonding Program'!$P$33,CV$3&lt;='Bonding Program'!$C$8),N('Bonding Program'!$O$33),0)</f>
        <v>0</v>
      </c>
      <c r="CW174" s="19" t="n">
        <f aca="false">IF(AND('Bonding Program'!$S$33=1,'Bonding Program'!$H$33&gt;'Bonding Program'!$C$8,CW$3='Bonding Program'!$H$33),'Bonding Program'!$T$33-'Bonding Program'!$U$33-'Bonding Program'!$Z$33,0)-IF(AND('Bonding Program'!$S$33=1,'Bonding Program'!$H$33&lt;='Bonding Program'!$C$8,CW$3=IF('Bonding Program'!$P$33&lt;&gt;"",'Bonding Program'!$P$33,'Bonding Program'!$C$8)),'Bonding Program'!$Z$33,0)+IF(AND('Bonding Program'!$P$33&lt;&gt;"",CW$3='Bonding Program'!$P$33,CW$3&lt;='Bonding Program'!$C$8),N('Bonding Program'!$O$33),0)</f>
        <v>0</v>
      </c>
      <c r="CX174" s="19" t="n">
        <f aca="false">IF(AND('Bonding Program'!$S$33=1,'Bonding Program'!$H$33&gt;'Bonding Program'!$C$8,CX$3='Bonding Program'!$H$33),'Bonding Program'!$T$33-'Bonding Program'!$U$33-'Bonding Program'!$Z$33,0)-IF(AND('Bonding Program'!$S$33=1,'Bonding Program'!$H$33&lt;='Bonding Program'!$C$8,CX$3=IF('Bonding Program'!$P$33&lt;&gt;"",'Bonding Program'!$P$33,'Bonding Program'!$C$8)),'Bonding Program'!$Z$33,0)+IF(AND('Bonding Program'!$P$33&lt;&gt;"",CX$3='Bonding Program'!$P$33,CX$3&lt;='Bonding Program'!$C$8),N('Bonding Program'!$O$33),0)</f>
        <v>0</v>
      </c>
      <c r="CY174" s="19" t="n">
        <f aca="false">IF(AND('Bonding Program'!$S$33=1,'Bonding Program'!$H$33&gt;'Bonding Program'!$C$8,CY$3='Bonding Program'!$H$33),'Bonding Program'!$T$33-'Bonding Program'!$U$33-'Bonding Program'!$Z$33,0)-IF(AND('Bonding Program'!$S$33=1,'Bonding Program'!$H$33&lt;='Bonding Program'!$C$8,CY$3=IF('Bonding Program'!$P$33&lt;&gt;"",'Bonding Program'!$P$33,'Bonding Program'!$C$8)),'Bonding Program'!$Z$33,0)+IF(AND('Bonding Program'!$P$33&lt;&gt;"",CY$3='Bonding Program'!$P$33,CY$3&lt;='Bonding Program'!$C$8),N('Bonding Program'!$O$33),0)</f>
        <v>0</v>
      </c>
      <c r="CZ174" s="19" t="n">
        <f aca="false">IF(AND('Bonding Program'!$S$33=1,'Bonding Program'!$H$33&gt;'Bonding Program'!$C$8,CZ$3='Bonding Program'!$H$33),'Bonding Program'!$T$33-'Bonding Program'!$U$33-'Bonding Program'!$Z$33,0)-IF(AND('Bonding Program'!$S$33=1,'Bonding Program'!$H$33&lt;='Bonding Program'!$C$8,CZ$3=IF('Bonding Program'!$P$33&lt;&gt;"",'Bonding Program'!$P$33,'Bonding Program'!$C$8)),'Bonding Program'!$Z$33,0)+IF(AND('Bonding Program'!$P$33&lt;&gt;"",CZ$3='Bonding Program'!$P$33,CZ$3&lt;='Bonding Program'!$C$8),N('Bonding Program'!$O$33),0)</f>
        <v>0</v>
      </c>
      <c r="DA174" s="19" t="n">
        <f aca="false">IF(AND('Bonding Program'!$S$33=1,'Bonding Program'!$H$33&gt;'Bonding Program'!$C$8,DA$3='Bonding Program'!$H$33),'Bonding Program'!$T$33-'Bonding Program'!$U$33-'Bonding Program'!$Z$33,0)-IF(AND('Bonding Program'!$S$33=1,'Bonding Program'!$H$33&lt;='Bonding Program'!$C$8,DA$3=IF('Bonding Program'!$P$33&lt;&gt;"",'Bonding Program'!$P$33,'Bonding Program'!$C$8)),'Bonding Program'!$Z$33,0)+IF(AND('Bonding Program'!$P$33&lt;&gt;"",DA$3='Bonding Program'!$P$33,DA$3&lt;='Bonding Program'!$C$8),N('Bonding Program'!$O$33),0)</f>
        <v>0</v>
      </c>
      <c r="DB174" s="19" t="n">
        <f aca="false">IF(AND('Bonding Program'!$S$33=1,'Bonding Program'!$H$33&gt;'Bonding Program'!$C$8,DB$3='Bonding Program'!$H$33),'Bonding Program'!$T$33-'Bonding Program'!$U$33-'Bonding Program'!$Z$33,0)-IF(AND('Bonding Program'!$S$33=1,'Bonding Program'!$H$33&lt;='Bonding Program'!$C$8,DB$3=IF('Bonding Program'!$P$33&lt;&gt;"",'Bonding Program'!$P$33,'Bonding Program'!$C$8)),'Bonding Program'!$Z$33,0)+IF(AND('Bonding Program'!$P$33&lt;&gt;"",DB$3='Bonding Program'!$P$33,DB$3&lt;='Bonding Program'!$C$8),N('Bonding Program'!$O$33),0)</f>
        <v>0</v>
      </c>
      <c r="DC174" s="19" t="n">
        <f aca="false">IF(AND('Bonding Program'!$S$33=1,'Bonding Program'!$H$33&gt;'Bonding Program'!$C$8,DC$3='Bonding Program'!$H$33),'Bonding Program'!$T$33-'Bonding Program'!$U$33-'Bonding Program'!$Z$33,0)-IF(AND('Bonding Program'!$S$33=1,'Bonding Program'!$H$33&lt;='Bonding Program'!$C$8,DC$3=IF('Bonding Program'!$P$33&lt;&gt;"",'Bonding Program'!$P$33,'Bonding Program'!$C$8)),'Bonding Program'!$Z$33,0)+IF(AND('Bonding Program'!$P$33&lt;&gt;"",DC$3='Bonding Program'!$P$33,DC$3&lt;='Bonding Program'!$C$8),N('Bonding Program'!$O$33),0)</f>
        <v>0</v>
      </c>
      <c r="DD174" s="19" t="n">
        <f aca="false">IF(AND('Bonding Program'!$S$33=1,'Bonding Program'!$H$33&gt;'Bonding Program'!$C$8,DD$3='Bonding Program'!$H$33),'Bonding Program'!$T$33-'Bonding Program'!$U$33-'Bonding Program'!$Z$33,0)-IF(AND('Bonding Program'!$S$33=1,'Bonding Program'!$H$33&lt;='Bonding Program'!$C$8,DD$3=IF('Bonding Program'!$P$33&lt;&gt;"",'Bonding Program'!$P$33,'Bonding Program'!$C$8)),'Bonding Program'!$Z$33,0)+IF(AND('Bonding Program'!$P$33&lt;&gt;"",DD$3='Bonding Program'!$P$33,DD$3&lt;='Bonding Program'!$C$8),N('Bonding Program'!$O$33),0)</f>
        <v>0</v>
      </c>
      <c r="DE174" s="19" t="n">
        <f aca="false">IF(AND('Bonding Program'!$S$33=1,'Bonding Program'!$H$33&gt;'Bonding Program'!$C$8,DE$3='Bonding Program'!$H$33),'Bonding Program'!$T$33-'Bonding Program'!$U$33-'Bonding Program'!$Z$33,0)-IF(AND('Bonding Program'!$S$33=1,'Bonding Program'!$H$33&lt;='Bonding Program'!$C$8,DE$3=IF('Bonding Program'!$P$33&lt;&gt;"",'Bonding Program'!$P$33,'Bonding Program'!$C$8)),'Bonding Program'!$Z$33,0)+IF(AND('Bonding Program'!$P$33&lt;&gt;"",DE$3='Bonding Program'!$P$33,DE$3&lt;='Bonding Program'!$C$8),N('Bonding Program'!$O$33),0)</f>
        <v>0</v>
      </c>
    </row>
    <row r="175" customFormat="false" ht="15" hidden="false" customHeight="true" outlineLevel="1" collapsed="false">
      <c r="A175" s="28" t="s">
        <v>30</v>
      </c>
      <c r="B175" s="19" t="n">
        <f aca="false">IF(AND('Bonding Program'!$S$34=1,'Bonding Program'!$H$34&gt;'Bonding Program'!$C$8,B$3='Bonding Program'!$H$34),'Bonding Program'!$T$34-'Bonding Program'!$U$34-'Bonding Program'!$Z$34,0)-IF(AND('Bonding Program'!$S$34=1,'Bonding Program'!$H$34&lt;='Bonding Program'!$C$8,B$3=IF('Bonding Program'!$P$34&lt;&gt;"",'Bonding Program'!$P$34,'Bonding Program'!$C$8)),'Bonding Program'!$Z$34,0)+IF(AND('Bonding Program'!$P$34&lt;&gt;"",B$3='Bonding Program'!$P$34,B$3&lt;='Bonding Program'!$C$8),N('Bonding Program'!$O$34),0)</f>
        <v>0</v>
      </c>
      <c r="C175" s="19" t="n">
        <f aca="false">IF(AND('Bonding Program'!$S$34=1,'Bonding Program'!$H$34&gt;'Bonding Program'!$C$8,C$3='Bonding Program'!$H$34),'Bonding Program'!$T$34-'Bonding Program'!$U$34-'Bonding Program'!$Z$34,0)-IF(AND('Bonding Program'!$S$34=1,'Bonding Program'!$H$34&lt;='Bonding Program'!$C$8,C$3=IF('Bonding Program'!$P$34&lt;&gt;"",'Bonding Program'!$P$34,'Bonding Program'!$C$8)),'Bonding Program'!$Z$34,0)+IF(AND('Bonding Program'!$P$34&lt;&gt;"",C$3='Bonding Program'!$P$34,C$3&lt;='Bonding Program'!$C$8),N('Bonding Program'!$O$34),0)</f>
        <v>0</v>
      </c>
      <c r="D175" s="19" t="n">
        <f aca="false">IF(AND('Bonding Program'!$S$34=1,'Bonding Program'!$H$34&gt;'Bonding Program'!$C$8,D$3='Bonding Program'!$H$34),'Bonding Program'!$T$34-'Bonding Program'!$U$34-'Bonding Program'!$Z$34,0)-IF(AND('Bonding Program'!$S$34=1,'Bonding Program'!$H$34&lt;='Bonding Program'!$C$8,D$3=IF('Bonding Program'!$P$34&lt;&gt;"",'Bonding Program'!$P$34,'Bonding Program'!$C$8)),'Bonding Program'!$Z$34,0)+IF(AND('Bonding Program'!$P$34&lt;&gt;"",D$3='Bonding Program'!$P$34,D$3&lt;='Bonding Program'!$C$8),N('Bonding Program'!$O$34),0)</f>
        <v>0</v>
      </c>
      <c r="E175" s="19" t="n">
        <f aca="false">IF(AND('Bonding Program'!$S$34=1,'Bonding Program'!$H$34&gt;'Bonding Program'!$C$8,E$3='Bonding Program'!$H$34),'Bonding Program'!$T$34-'Bonding Program'!$U$34-'Bonding Program'!$Z$34,0)-IF(AND('Bonding Program'!$S$34=1,'Bonding Program'!$H$34&lt;='Bonding Program'!$C$8,E$3=IF('Bonding Program'!$P$34&lt;&gt;"",'Bonding Program'!$P$34,'Bonding Program'!$C$8)),'Bonding Program'!$Z$34,0)+IF(AND('Bonding Program'!$P$34&lt;&gt;"",E$3='Bonding Program'!$P$34,E$3&lt;='Bonding Program'!$C$8),N('Bonding Program'!$O$34),0)</f>
        <v>0</v>
      </c>
      <c r="F175" s="19" t="n">
        <f aca="false">IF(AND('Bonding Program'!$S$34=1,'Bonding Program'!$H$34&gt;'Bonding Program'!$C$8,F$3='Bonding Program'!$H$34),'Bonding Program'!$T$34-'Bonding Program'!$U$34-'Bonding Program'!$Z$34,0)-IF(AND('Bonding Program'!$S$34=1,'Bonding Program'!$H$34&lt;='Bonding Program'!$C$8,F$3=IF('Bonding Program'!$P$34&lt;&gt;"",'Bonding Program'!$P$34,'Bonding Program'!$C$8)),'Bonding Program'!$Z$34,0)+IF(AND('Bonding Program'!$P$34&lt;&gt;"",F$3='Bonding Program'!$P$34,F$3&lt;='Bonding Program'!$C$8),N('Bonding Program'!$O$34),0)</f>
        <v>0</v>
      </c>
      <c r="G175" s="19" t="n">
        <f aca="false">IF(AND('Bonding Program'!$S$34=1,'Bonding Program'!$H$34&gt;'Bonding Program'!$C$8,G$3='Bonding Program'!$H$34),'Bonding Program'!$T$34-'Bonding Program'!$U$34-'Bonding Program'!$Z$34,0)-IF(AND('Bonding Program'!$S$34=1,'Bonding Program'!$H$34&lt;='Bonding Program'!$C$8,G$3=IF('Bonding Program'!$P$34&lt;&gt;"",'Bonding Program'!$P$34,'Bonding Program'!$C$8)),'Bonding Program'!$Z$34,0)+IF(AND('Bonding Program'!$P$34&lt;&gt;"",G$3='Bonding Program'!$P$34,G$3&lt;='Bonding Program'!$C$8),N('Bonding Program'!$O$34),0)</f>
        <v>0</v>
      </c>
      <c r="H175" s="19" t="n">
        <f aca="false">IF(AND('Bonding Program'!$S$34=1,'Bonding Program'!$H$34&gt;'Bonding Program'!$C$8,H$3='Bonding Program'!$H$34),'Bonding Program'!$T$34-'Bonding Program'!$U$34-'Bonding Program'!$Z$34,0)-IF(AND('Bonding Program'!$S$34=1,'Bonding Program'!$H$34&lt;='Bonding Program'!$C$8,H$3=IF('Bonding Program'!$P$34&lt;&gt;"",'Bonding Program'!$P$34,'Bonding Program'!$C$8)),'Bonding Program'!$Z$34,0)+IF(AND('Bonding Program'!$P$34&lt;&gt;"",H$3='Bonding Program'!$P$34,H$3&lt;='Bonding Program'!$C$8),N('Bonding Program'!$O$34),0)</f>
        <v>0</v>
      </c>
      <c r="I175" s="19" t="n">
        <f aca="false">IF(AND('Bonding Program'!$S$34=1,'Bonding Program'!$H$34&gt;'Bonding Program'!$C$8,I$3='Bonding Program'!$H$34),'Bonding Program'!$T$34-'Bonding Program'!$U$34-'Bonding Program'!$Z$34,0)-IF(AND('Bonding Program'!$S$34=1,'Bonding Program'!$H$34&lt;='Bonding Program'!$C$8,I$3=IF('Bonding Program'!$P$34&lt;&gt;"",'Bonding Program'!$P$34,'Bonding Program'!$C$8)),'Bonding Program'!$Z$34,0)+IF(AND('Bonding Program'!$P$34&lt;&gt;"",I$3='Bonding Program'!$P$34,I$3&lt;='Bonding Program'!$C$8),N('Bonding Program'!$O$34),0)</f>
        <v>0</v>
      </c>
      <c r="J175" s="19" t="n">
        <f aca="false">IF(AND('Bonding Program'!$S$34=1,'Bonding Program'!$H$34&gt;'Bonding Program'!$C$8,J$3='Bonding Program'!$H$34),'Bonding Program'!$T$34-'Bonding Program'!$U$34-'Bonding Program'!$Z$34,0)-IF(AND('Bonding Program'!$S$34=1,'Bonding Program'!$H$34&lt;='Bonding Program'!$C$8,J$3=IF('Bonding Program'!$P$34&lt;&gt;"",'Bonding Program'!$P$34,'Bonding Program'!$C$8)),'Bonding Program'!$Z$34,0)+IF(AND('Bonding Program'!$P$34&lt;&gt;"",J$3='Bonding Program'!$P$34,J$3&lt;='Bonding Program'!$C$8),N('Bonding Program'!$O$34),0)</f>
        <v>0</v>
      </c>
      <c r="K175" s="19" t="n">
        <f aca="false">IF(AND('Bonding Program'!$S$34=1,'Bonding Program'!$H$34&gt;'Bonding Program'!$C$8,K$3='Bonding Program'!$H$34),'Bonding Program'!$T$34-'Bonding Program'!$U$34-'Bonding Program'!$Z$34,0)-IF(AND('Bonding Program'!$S$34=1,'Bonding Program'!$H$34&lt;='Bonding Program'!$C$8,K$3=IF('Bonding Program'!$P$34&lt;&gt;"",'Bonding Program'!$P$34,'Bonding Program'!$C$8)),'Bonding Program'!$Z$34,0)+IF(AND('Bonding Program'!$P$34&lt;&gt;"",K$3='Bonding Program'!$P$34,K$3&lt;='Bonding Program'!$C$8),N('Bonding Program'!$O$34),0)</f>
        <v>0</v>
      </c>
      <c r="L175" s="19" t="n">
        <f aca="false">IF(AND('Bonding Program'!$S$34=1,'Bonding Program'!$H$34&gt;'Bonding Program'!$C$8,L$3='Bonding Program'!$H$34),'Bonding Program'!$T$34-'Bonding Program'!$U$34-'Bonding Program'!$Z$34,0)-IF(AND('Bonding Program'!$S$34=1,'Bonding Program'!$H$34&lt;='Bonding Program'!$C$8,L$3=IF('Bonding Program'!$P$34&lt;&gt;"",'Bonding Program'!$P$34,'Bonding Program'!$C$8)),'Bonding Program'!$Z$34,0)+IF(AND('Bonding Program'!$P$34&lt;&gt;"",L$3='Bonding Program'!$P$34,L$3&lt;='Bonding Program'!$C$8),N('Bonding Program'!$O$34),0)</f>
        <v>0</v>
      </c>
      <c r="M175" s="19" t="n">
        <f aca="false">IF(AND('Bonding Program'!$S$34=1,'Bonding Program'!$H$34&gt;'Bonding Program'!$C$8,M$3='Bonding Program'!$H$34),'Bonding Program'!$T$34-'Bonding Program'!$U$34-'Bonding Program'!$Z$34,0)-IF(AND('Bonding Program'!$S$34=1,'Bonding Program'!$H$34&lt;='Bonding Program'!$C$8,M$3=IF('Bonding Program'!$P$34&lt;&gt;"",'Bonding Program'!$P$34,'Bonding Program'!$C$8)),'Bonding Program'!$Z$34,0)+IF(AND('Bonding Program'!$P$34&lt;&gt;"",M$3='Bonding Program'!$P$34,M$3&lt;='Bonding Program'!$C$8),N('Bonding Program'!$O$34),0)</f>
        <v>0</v>
      </c>
      <c r="N175" s="19" t="n">
        <f aca="false">IF(AND('Bonding Program'!$S$34=1,'Bonding Program'!$H$34&gt;'Bonding Program'!$C$8,N$3='Bonding Program'!$H$34),'Bonding Program'!$T$34-'Bonding Program'!$U$34-'Bonding Program'!$Z$34,0)-IF(AND('Bonding Program'!$S$34=1,'Bonding Program'!$H$34&lt;='Bonding Program'!$C$8,N$3=IF('Bonding Program'!$P$34&lt;&gt;"",'Bonding Program'!$P$34,'Bonding Program'!$C$8)),'Bonding Program'!$Z$34,0)+IF(AND('Bonding Program'!$P$34&lt;&gt;"",N$3='Bonding Program'!$P$34,N$3&lt;='Bonding Program'!$C$8),N('Bonding Program'!$O$34),0)</f>
        <v>0</v>
      </c>
      <c r="O175" s="19" t="n">
        <f aca="false">IF(AND('Bonding Program'!$S$34=1,'Bonding Program'!$H$34&gt;'Bonding Program'!$C$8,O$3='Bonding Program'!$H$34),'Bonding Program'!$T$34-'Bonding Program'!$U$34-'Bonding Program'!$Z$34,0)-IF(AND('Bonding Program'!$S$34=1,'Bonding Program'!$H$34&lt;='Bonding Program'!$C$8,O$3=IF('Bonding Program'!$P$34&lt;&gt;"",'Bonding Program'!$P$34,'Bonding Program'!$C$8)),'Bonding Program'!$Z$34,0)+IF(AND('Bonding Program'!$P$34&lt;&gt;"",O$3='Bonding Program'!$P$34,O$3&lt;='Bonding Program'!$C$8),N('Bonding Program'!$O$34),0)</f>
        <v>0</v>
      </c>
      <c r="P175" s="19" t="n">
        <f aca="false">IF(AND('Bonding Program'!$S$34=1,'Bonding Program'!$H$34&gt;'Bonding Program'!$C$8,P$3='Bonding Program'!$H$34),'Bonding Program'!$T$34-'Bonding Program'!$U$34-'Bonding Program'!$Z$34,0)-IF(AND('Bonding Program'!$S$34=1,'Bonding Program'!$H$34&lt;='Bonding Program'!$C$8,P$3=IF('Bonding Program'!$P$34&lt;&gt;"",'Bonding Program'!$P$34,'Bonding Program'!$C$8)),'Bonding Program'!$Z$34,0)+IF(AND('Bonding Program'!$P$34&lt;&gt;"",P$3='Bonding Program'!$P$34,P$3&lt;='Bonding Program'!$C$8),N('Bonding Program'!$O$34),0)</f>
        <v>0</v>
      </c>
      <c r="Q175" s="19" t="n">
        <f aca="false">IF(AND('Bonding Program'!$S$34=1,'Bonding Program'!$H$34&gt;'Bonding Program'!$C$8,Q$3='Bonding Program'!$H$34),'Bonding Program'!$T$34-'Bonding Program'!$U$34-'Bonding Program'!$Z$34,0)-IF(AND('Bonding Program'!$S$34=1,'Bonding Program'!$H$34&lt;='Bonding Program'!$C$8,Q$3=IF('Bonding Program'!$P$34&lt;&gt;"",'Bonding Program'!$P$34,'Bonding Program'!$C$8)),'Bonding Program'!$Z$34,0)+IF(AND('Bonding Program'!$P$34&lt;&gt;"",Q$3='Bonding Program'!$P$34,Q$3&lt;='Bonding Program'!$C$8),N('Bonding Program'!$O$34),0)</f>
        <v>0</v>
      </c>
      <c r="R175" s="19" t="n">
        <f aca="false">IF(AND('Bonding Program'!$S$34=1,'Bonding Program'!$H$34&gt;'Bonding Program'!$C$8,R$3='Bonding Program'!$H$34),'Bonding Program'!$T$34-'Bonding Program'!$U$34-'Bonding Program'!$Z$34,0)-IF(AND('Bonding Program'!$S$34=1,'Bonding Program'!$H$34&lt;='Bonding Program'!$C$8,R$3=IF('Bonding Program'!$P$34&lt;&gt;"",'Bonding Program'!$P$34,'Bonding Program'!$C$8)),'Bonding Program'!$Z$34,0)+IF(AND('Bonding Program'!$P$34&lt;&gt;"",R$3='Bonding Program'!$P$34,R$3&lt;='Bonding Program'!$C$8),N('Bonding Program'!$O$34),0)</f>
        <v>0</v>
      </c>
      <c r="S175" s="19" t="n">
        <f aca="false">IF(AND('Bonding Program'!$S$34=1,'Bonding Program'!$H$34&gt;'Bonding Program'!$C$8,S$3='Bonding Program'!$H$34),'Bonding Program'!$T$34-'Bonding Program'!$U$34-'Bonding Program'!$Z$34,0)-IF(AND('Bonding Program'!$S$34=1,'Bonding Program'!$H$34&lt;='Bonding Program'!$C$8,S$3=IF('Bonding Program'!$P$34&lt;&gt;"",'Bonding Program'!$P$34,'Bonding Program'!$C$8)),'Bonding Program'!$Z$34,0)+IF(AND('Bonding Program'!$P$34&lt;&gt;"",S$3='Bonding Program'!$P$34,S$3&lt;='Bonding Program'!$C$8),N('Bonding Program'!$O$34),0)</f>
        <v>0</v>
      </c>
      <c r="T175" s="19" t="n">
        <f aca="false">IF(AND('Bonding Program'!$S$34=1,'Bonding Program'!$H$34&gt;'Bonding Program'!$C$8,T$3='Bonding Program'!$H$34),'Bonding Program'!$T$34-'Bonding Program'!$U$34-'Bonding Program'!$Z$34,0)-IF(AND('Bonding Program'!$S$34=1,'Bonding Program'!$H$34&lt;='Bonding Program'!$C$8,T$3=IF('Bonding Program'!$P$34&lt;&gt;"",'Bonding Program'!$P$34,'Bonding Program'!$C$8)),'Bonding Program'!$Z$34,0)+IF(AND('Bonding Program'!$P$34&lt;&gt;"",T$3='Bonding Program'!$P$34,T$3&lt;='Bonding Program'!$C$8),N('Bonding Program'!$O$34),0)</f>
        <v>0</v>
      </c>
      <c r="U175" s="19" t="n">
        <f aca="false">IF(AND('Bonding Program'!$S$34=1,'Bonding Program'!$H$34&gt;'Bonding Program'!$C$8,U$3='Bonding Program'!$H$34),'Bonding Program'!$T$34-'Bonding Program'!$U$34-'Bonding Program'!$Z$34,0)-IF(AND('Bonding Program'!$S$34=1,'Bonding Program'!$H$34&lt;='Bonding Program'!$C$8,U$3=IF('Bonding Program'!$P$34&lt;&gt;"",'Bonding Program'!$P$34,'Bonding Program'!$C$8)),'Bonding Program'!$Z$34,0)+IF(AND('Bonding Program'!$P$34&lt;&gt;"",U$3='Bonding Program'!$P$34,U$3&lt;='Bonding Program'!$C$8),N('Bonding Program'!$O$34),0)</f>
        <v>0</v>
      </c>
      <c r="V175" s="19" t="n">
        <f aca="false">IF(AND('Bonding Program'!$S$34=1,'Bonding Program'!$H$34&gt;'Bonding Program'!$C$8,V$3='Bonding Program'!$H$34),'Bonding Program'!$T$34-'Bonding Program'!$U$34-'Bonding Program'!$Z$34,0)-IF(AND('Bonding Program'!$S$34=1,'Bonding Program'!$H$34&lt;='Bonding Program'!$C$8,V$3=IF('Bonding Program'!$P$34&lt;&gt;"",'Bonding Program'!$P$34,'Bonding Program'!$C$8)),'Bonding Program'!$Z$34,0)+IF(AND('Bonding Program'!$P$34&lt;&gt;"",V$3='Bonding Program'!$P$34,V$3&lt;='Bonding Program'!$C$8),N('Bonding Program'!$O$34),0)</f>
        <v>0</v>
      </c>
      <c r="W175" s="19" t="n">
        <f aca="false">IF(AND('Bonding Program'!$S$34=1,'Bonding Program'!$H$34&gt;'Bonding Program'!$C$8,W$3='Bonding Program'!$H$34),'Bonding Program'!$T$34-'Bonding Program'!$U$34-'Bonding Program'!$Z$34,0)-IF(AND('Bonding Program'!$S$34=1,'Bonding Program'!$H$34&lt;='Bonding Program'!$C$8,W$3=IF('Bonding Program'!$P$34&lt;&gt;"",'Bonding Program'!$P$34,'Bonding Program'!$C$8)),'Bonding Program'!$Z$34,0)+IF(AND('Bonding Program'!$P$34&lt;&gt;"",W$3='Bonding Program'!$P$34,W$3&lt;='Bonding Program'!$C$8),N('Bonding Program'!$O$34),0)</f>
        <v>0</v>
      </c>
      <c r="X175" s="19" t="n">
        <f aca="false">IF(AND('Bonding Program'!$S$34=1,'Bonding Program'!$H$34&gt;'Bonding Program'!$C$8,X$3='Bonding Program'!$H$34),'Bonding Program'!$T$34-'Bonding Program'!$U$34-'Bonding Program'!$Z$34,0)-IF(AND('Bonding Program'!$S$34=1,'Bonding Program'!$H$34&lt;='Bonding Program'!$C$8,X$3=IF('Bonding Program'!$P$34&lt;&gt;"",'Bonding Program'!$P$34,'Bonding Program'!$C$8)),'Bonding Program'!$Z$34,0)+IF(AND('Bonding Program'!$P$34&lt;&gt;"",X$3='Bonding Program'!$P$34,X$3&lt;='Bonding Program'!$C$8),N('Bonding Program'!$O$34),0)</f>
        <v>0</v>
      </c>
      <c r="Y175" s="19" t="n">
        <f aca="false">IF(AND('Bonding Program'!$S$34=1,'Bonding Program'!$H$34&gt;'Bonding Program'!$C$8,Y$3='Bonding Program'!$H$34),'Bonding Program'!$T$34-'Bonding Program'!$U$34-'Bonding Program'!$Z$34,0)-IF(AND('Bonding Program'!$S$34=1,'Bonding Program'!$H$34&lt;='Bonding Program'!$C$8,Y$3=IF('Bonding Program'!$P$34&lt;&gt;"",'Bonding Program'!$P$34,'Bonding Program'!$C$8)),'Bonding Program'!$Z$34,0)+IF(AND('Bonding Program'!$P$34&lt;&gt;"",Y$3='Bonding Program'!$P$34,Y$3&lt;='Bonding Program'!$C$8),N('Bonding Program'!$O$34),0)</f>
        <v>0</v>
      </c>
      <c r="Z175" s="19" t="n">
        <f aca="false">IF(AND('Bonding Program'!$S$34=1,'Bonding Program'!$H$34&gt;'Bonding Program'!$C$8,Z$3='Bonding Program'!$H$34),'Bonding Program'!$T$34-'Bonding Program'!$U$34-'Bonding Program'!$Z$34,0)-IF(AND('Bonding Program'!$S$34=1,'Bonding Program'!$H$34&lt;='Bonding Program'!$C$8,Z$3=IF('Bonding Program'!$P$34&lt;&gt;"",'Bonding Program'!$P$34,'Bonding Program'!$C$8)),'Bonding Program'!$Z$34,0)+IF(AND('Bonding Program'!$P$34&lt;&gt;"",Z$3='Bonding Program'!$P$34,Z$3&lt;='Bonding Program'!$C$8),N('Bonding Program'!$O$34),0)</f>
        <v>0</v>
      </c>
      <c r="AA175" s="19" t="n">
        <f aca="false">IF(AND('Bonding Program'!$S$34=1,'Bonding Program'!$H$34&gt;'Bonding Program'!$C$8,AA$3='Bonding Program'!$H$34),'Bonding Program'!$T$34-'Bonding Program'!$U$34-'Bonding Program'!$Z$34,0)-IF(AND('Bonding Program'!$S$34=1,'Bonding Program'!$H$34&lt;='Bonding Program'!$C$8,AA$3=IF('Bonding Program'!$P$34&lt;&gt;"",'Bonding Program'!$P$34,'Bonding Program'!$C$8)),'Bonding Program'!$Z$34,0)+IF(AND('Bonding Program'!$P$34&lt;&gt;"",AA$3='Bonding Program'!$P$34,AA$3&lt;='Bonding Program'!$C$8),N('Bonding Program'!$O$34),0)</f>
        <v>0</v>
      </c>
      <c r="AB175" s="19" t="n">
        <f aca="false">IF(AND('Bonding Program'!$S$34=1,'Bonding Program'!$H$34&gt;'Bonding Program'!$C$8,AB$3='Bonding Program'!$H$34),'Bonding Program'!$T$34-'Bonding Program'!$U$34-'Bonding Program'!$Z$34,0)-IF(AND('Bonding Program'!$S$34=1,'Bonding Program'!$H$34&lt;='Bonding Program'!$C$8,AB$3=IF('Bonding Program'!$P$34&lt;&gt;"",'Bonding Program'!$P$34,'Bonding Program'!$C$8)),'Bonding Program'!$Z$34,0)+IF(AND('Bonding Program'!$P$34&lt;&gt;"",AB$3='Bonding Program'!$P$34,AB$3&lt;='Bonding Program'!$C$8),N('Bonding Program'!$O$34),0)</f>
        <v>0</v>
      </c>
      <c r="AC175" s="19" t="n">
        <f aca="false">IF(AND('Bonding Program'!$S$34=1,'Bonding Program'!$H$34&gt;'Bonding Program'!$C$8,AC$3='Bonding Program'!$H$34),'Bonding Program'!$T$34-'Bonding Program'!$U$34-'Bonding Program'!$Z$34,0)-IF(AND('Bonding Program'!$S$34=1,'Bonding Program'!$H$34&lt;='Bonding Program'!$C$8,AC$3=IF('Bonding Program'!$P$34&lt;&gt;"",'Bonding Program'!$P$34,'Bonding Program'!$C$8)),'Bonding Program'!$Z$34,0)+IF(AND('Bonding Program'!$P$34&lt;&gt;"",AC$3='Bonding Program'!$P$34,AC$3&lt;='Bonding Program'!$C$8),N('Bonding Program'!$O$34),0)</f>
        <v>0</v>
      </c>
      <c r="AD175" s="19" t="n">
        <f aca="false">IF(AND('Bonding Program'!$S$34=1,'Bonding Program'!$H$34&gt;'Bonding Program'!$C$8,AD$3='Bonding Program'!$H$34),'Bonding Program'!$T$34-'Bonding Program'!$U$34-'Bonding Program'!$Z$34,0)-IF(AND('Bonding Program'!$S$34=1,'Bonding Program'!$H$34&lt;='Bonding Program'!$C$8,AD$3=IF('Bonding Program'!$P$34&lt;&gt;"",'Bonding Program'!$P$34,'Bonding Program'!$C$8)),'Bonding Program'!$Z$34,0)+IF(AND('Bonding Program'!$P$34&lt;&gt;"",AD$3='Bonding Program'!$P$34,AD$3&lt;='Bonding Program'!$C$8),N('Bonding Program'!$O$34),0)</f>
        <v>0</v>
      </c>
      <c r="AE175" s="19" t="n">
        <f aca="false">IF(AND('Bonding Program'!$S$34=1,'Bonding Program'!$H$34&gt;'Bonding Program'!$C$8,AE$3='Bonding Program'!$H$34),'Bonding Program'!$T$34-'Bonding Program'!$U$34-'Bonding Program'!$Z$34,0)-IF(AND('Bonding Program'!$S$34=1,'Bonding Program'!$H$34&lt;='Bonding Program'!$C$8,AE$3=IF('Bonding Program'!$P$34&lt;&gt;"",'Bonding Program'!$P$34,'Bonding Program'!$C$8)),'Bonding Program'!$Z$34,0)+IF(AND('Bonding Program'!$P$34&lt;&gt;"",AE$3='Bonding Program'!$P$34,AE$3&lt;='Bonding Program'!$C$8),N('Bonding Program'!$O$34),0)</f>
        <v>0</v>
      </c>
      <c r="AF175" s="19" t="n">
        <f aca="false">IF(AND('Bonding Program'!$S$34=1,'Bonding Program'!$H$34&gt;'Bonding Program'!$C$8,AF$3='Bonding Program'!$H$34),'Bonding Program'!$T$34-'Bonding Program'!$U$34-'Bonding Program'!$Z$34,0)-IF(AND('Bonding Program'!$S$34=1,'Bonding Program'!$H$34&lt;='Bonding Program'!$C$8,AF$3=IF('Bonding Program'!$P$34&lt;&gt;"",'Bonding Program'!$P$34,'Bonding Program'!$C$8)),'Bonding Program'!$Z$34,0)+IF(AND('Bonding Program'!$P$34&lt;&gt;"",AF$3='Bonding Program'!$P$34,AF$3&lt;='Bonding Program'!$C$8),N('Bonding Program'!$O$34),0)</f>
        <v>0</v>
      </c>
      <c r="AG175" s="19" t="n">
        <f aca="false">IF(AND('Bonding Program'!$S$34=1,'Bonding Program'!$H$34&gt;'Bonding Program'!$C$8,AG$3='Bonding Program'!$H$34),'Bonding Program'!$T$34-'Bonding Program'!$U$34-'Bonding Program'!$Z$34,0)-IF(AND('Bonding Program'!$S$34=1,'Bonding Program'!$H$34&lt;='Bonding Program'!$C$8,AG$3=IF('Bonding Program'!$P$34&lt;&gt;"",'Bonding Program'!$P$34,'Bonding Program'!$C$8)),'Bonding Program'!$Z$34,0)+IF(AND('Bonding Program'!$P$34&lt;&gt;"",AG$3='Bonding Program'!$P$34,AG$3&lt;='Bonding Program'!$C$8),N('Bonding Program'!$O$34),0)</f>
        <v>0</v>
      </c>
      <c r="AH175" s="19" t="n">
        <f aca="false">IF(AND('Bonding Program'!$S$34=1,'Bonding Program'!$H$34&gt;'Bonding Program'!$C$8,AH$3='Bonding Program'!$H$34),'Bonding Program'!$T$34-'Bonding Program'!$U$34-'Bonding Program'!$Z$34,0)-IF(AND('Bonding Program'!$S$34=1,'Bonding Program'!$H$34&lt;='Bonding Program'!$C$8,AH$3=IF('Bonding Program'!$P$34&lt;&gt;"",'Bonding Program'!$P$34,'Bonding Program'!$C$8)),'Bonding Program'!$Z$34,0)+IF(AND('Bonding Program'!$P$34&lt;&gt;"",AH$3='Bonding Program'!$P$34,AH$3&lt;='Bonding Program'!$C$8),N('Bonding Program'!$O$34),0)</f>
        <v>0</v>
      </c>
      <c r="AI175" s="19" t="n">
        <f aca="false">IF(AND('Bonding Program'!$S$34=1,'Bonding Program'!$H$34&gt;'Bonding Program'!$C$8,AI$3='Bonding Program'!$H$34),'Bonding Program'!$T$34-'Bonding Program'!$U$34-'Bonding Program'!$Z$34,0)-IF(AND('Bonding Program'!$S$34=1,'Bonding Program'!$H$34&lt;='Bonding Program'!$C$8,AI$3=IF('Bonding Program'!$P$34&lt;&gt;"",'Bonding Program'!$P$34,'Bonding Program'!$C$8)),'Bonding Program'!$Z$34,0)+IF(AND('Bonding Program'!$P$34&lt;&gt;"",AI$3='Bonding Program'!$P$34,AI$3&lt;='Bonding Program'!$C$8),N('Bonding Program'!$O$34),0)</f>
        <v>0</v>
      </c>
      <c r="AJ175" s="19" t="n">
        <f aca="false">IF(AND('Bonding Program'!$S$34=1,'Bonding Program'!$H$34&gt;'Bonding Program'!$C$8,AJ$3='Bonding Program'!$H$34),'Bonding Program'!$T$34-'Bonding Program'!$U$34-'Bonding Program'!$Z$34,0)-IF(AND('Bonding Program'!$S$34=1,'Bonding Program'!$H$34&lt;='Bonding Program'!$C$8,AJ$3=IF('Bonding Program'!$P$34&lt;&gt;"",'Bonding Program'!$P$34,'Bonding Program'!$C$8)),'Bonding Program'!$Z$34,0)+IF(AND('Bonding Program'!$P$34&lt;&gt;"",AJ$3='Bonding Program'!$P$34,AJ$3&lt;='Bonding Program'!$C$8),N('Bonding Program'!$O$34),0)</f>
        <v>0</v>
      </c>
      <c r="AK175" s="19" t="n">
        <f aca="false">IF(AND('Bonding Program'!$S$34=1,'Bonding Program'!$H$34&gt;'Bonding Program'!$C$8,AK$3='Bonding Program'!$H$34),'Bonding Program'!$T$34-'Bonding Program'!$U$34-'Bonding Program'!$Z$34,0)-IF(AND('Bonding Program'!$S$34=1,'Bonding Program'!$H$34&lt;='Bonding Program'!$C$8,AK$3=IF('Bonding Program'!$P$34&lt;&gt;"",'Bonding Program'!$P$34,'Bonding Program'!$C$8)),'Bonding Program'!$Z$34,0)+IF(AND('Bonding Program'!$P$34&lt;&gt;"",AK$3='Bonding Program'!$P$34,AK$3&lt;='Bonding Program'!$C$8),N('Bonding Program'!$O$34),0)</f>
        <v>0</v>
      </c>
      <c r="AL175" s="19" t="n">
        <f aca="false">IF(AND('Bonding Program'!$S$34=1,'Bonding Program'!$H$34&gt;'Bonding Program'!$C$8,AL$3='Bonding Program'!$H$34),'Bonding Program'!$T$34-'Bonding Program'!$U$34-'Bonding Program'!$Z$34,0)-IF(AND('Bonding Program'!$S$34=1,'Bonding Program'!$H$34&lt;='Bonding Program'!$C$8,AL$3=IF('Bonding Program'!$P$34&lt;&gt;"",'Bonding Program'!$P$34,'Bonding Program'!$C$8)),'Bonding Program'!$Z$34,0)+IF(AND('Bonding Program'!$P$34&lt;&gt;"",AL$3='Bonding Program'!$P$34,AL$3&lt;='Bonding Program'!$C$8),N('Bonding Program'!$O$34),0)</f>
        <v>0</v>
      </c>
      <c r="AM175" s="19" t="n">
        <f aca="false">IF(AND('Bonding Program'!$S$34=1,'Bonding Program'!$H$34&gt;'Bonding Program'!$C$8,AM$3='Bonding Program'!$H$34),'Bonding Program'!$T$34-'Bonding Program'!$U$34-'Bonding Program'!$Z$34,0)-IF(AND('Bonding Program'!$S$34=1,'Bonding Program'!$H$34&lt;='Bonding Program'!$C$8,AM$3=IF('Bonding Program'!$P$34&lt;&gt;"",'Bonding Program'!$P$34,'Bonding Program'!$C$8)),'Bonding Program'!$Z$34,0)+IF(AND('Bonding Program'!$P$34&lt;&gt;"",AM$3='Bonding Program'!$P$34,AM$3&lt;='Bonding Program'!$C$8),N('Bonding Program'!$O$34),0)</f>
        <v>0</v>
      </c>
      <c r="AN175" s="19" t="n">
        <f aca="false">IF(AND('Bonding Program'!$S$34=1,'Bonding Program'!$H$34&gt;'Bonding Program'!$C$8,AN$3='Bonding Program'!$H$34),'Bonding Program'!$T$34-'Bonding Program'!$U$34-'Bonding Program'!$Z$34,0)-IF(AND('Bonding Program'!$S$34=1,'Bonding Program'!$H$34&lt;='Bonding Program'!$C$8,AN$3=IF('Bonding Program'!$P$34&lt;&gt;"",'Bonding Program'!$P$34,'Bonding Program'!$C$8)),'Bonding Program'!$Z$34,0)+IF(AND('Bonding Program'!$P$34&lt;&gt;"",AN$3='Bonding Program'!$P$34,AN$3&lt;='Bonding Program'!$C$8),N('Bonding Program'!$O$34),0)</f>
        <v>0</v>
      </c>
      <c r="AO175" s="19" t="n">
        <f aca="false">IF(AND('Bonding Program'!$S$34=1,'Bonding Program'!$H$34&gt;'Bonding Program'!$C$8,AO$3='Bonding Program'!$H$34),'Bonding Program'!$T$34-'Bonding Program'!$U$34-'Bonding Program'!$Z$34,0)-IF(AND('Bonding Program'!$S$34=1,'Bonding Program'!$H$34&lt;='Bonding Program'!$C$8,AO$3=IF('Bonding Program'!$P$34&lt;&gt;"",'Bonding Program'!$P$34,'Bonding Program'!$C$8)),'Bonding Program'!$Z$34,0)+IF(AND('Bonding Program'!$P$34&lt;&gt;"",AO$3='Bonding Program'!$P$34,AO$3&lt;='Bonding Program'!$C$8),N('Bonding Program'!$O$34),0)</f>
        <v>0</v>
      </c>
      <c r="AP175" s="19" t="n">
        <f aca="false">IF(AND('Bonding Program'!$S$34=1,'Bonding Program'!$H$34&gt;'Bonding Program'!$C$8,AP$3='Bonding Program'!$H$34),'Bonding Program'!$T$34-'Bonding Program'!$U$34-'Bonding Program'!$Z$34,0)-IF(AND('Bonding Program'!$S$34=1,'Bonding Program'!$H$34&lt;='Bonding Program'!$C$8,AP$3=IF('Bonding Program'!$P$34&lt;&gt;"",'Bonding Program'!$P$34,'Bonding Program'!$C$8)),'Bonding Program'!$Z$34,0)+IF(AND('Bonding Program'!$P$34&lt;&gt;"",AP$3='Bonding Program'!$P$34,AP$3&lt;='Bonding Program'!$C$8),N('Bonding Program'!$O$34),0)</f>
        <v>0</v>
      </c>
      <c r="AQ175" s="19" t="n">
        <f aca="false">IF(AND('Bonding Program'!$S$34=1,'Bonding Program'!$H$34&gt;'Bonding Program'!$C$8,AQ$3='Bonding Program'!$H$34),'Bonding Program'!$T$34-'Bonding Program'!$U$34-'Bonding Program'!$Z$34,0)-IF(AND('Bonding Program'!$S$34=1,'Bonding Program'!$H$34&lt;='Bonding Program'!$C$8,AQ$3=IF('Bonding Program'!$P$34&lt;&gt;"",'Bonding Program'!$P$34,'Bonding Program'!$C$8)),'Bonding Program'!$Z$34,0)+IF(AND('Bonding Program'!$P$34&lt;&gt;"",AQ$3='Bonding Program'!$P$34,AQ$3&lt;='Bonding Program'!$C$8),N('Bonding Program'!$O$34),0)</f>
        <v>0</v>
      </c>
      <c r="AR175" s="19" t="n">
        <f aca="false">IF(AND('Bonding Program'!$S$34=1,'Bonding Program'!$H$34&gt;'Bonding Program'!$C$8,AR$3='Bonding Program'!$H$34),'Bonding Program'!$T$34-'Bonding Program'!$U$34-'Bonding Program'!$Z$34,0)-IF(AND('Bonding Program'!$S$34=1,'Bonding Program'!$H$34&lt;='Bonding Program'!$C$8,AR$3=IF('Bonding Program'!$P$34&lt;&gt;"",'Bonding Program'!$P$34,'Bonding Program'!$C$8)),'Bonding Program'!$Z$34,0)+IF(AND('Bonding Program'!$P$34&lt;&gt;"",AR$3='Bonding Program'!$P$34,AR$3&lt;='Bonding Program'!$C$8),N('Bonding Program'!$O$34),0)</f>
        <v>0</v>
      </c>
      <c r="AS175" s="19" t="n">
        <f aca="false">IF(AND('Bonding Program'!$S$34=1,'Bonding Program'!$H$34&gt;'Bonding Program'!$C$8,AS$3='Bonding Program'!$H$34),'Bonding Program'!$T$34-'Bonding Program'!$U$34-'Bonding Program'!$Z$34,0)-IF(AND('Bonding Program'!$S$34=1,'Bonding Program'!$H$34&lt;='Bonding Program'!$C$8,AS$3=IF('Bonding Program'!$P$34&lt;&gt;"",'Bonding Program'!$P$34,'Bonding Program'!$C$8)),'Bonding Program'!$Z$34,0)+IF(AND('Bonding Program'!$P$34&lt;&gt;"",AS$3='Bonding Program'!$P$34,AS$3&lt;='Bonding Program'!$C$8),N('Bonding Program'!$O$34),0)</f>
        <v>0</v>
      </c>
      <c r="AT175" s="19" t="n">
        <f aca="false">IF(AND('Bonding Program'!$S$34=1,'Bonding Program'!$H$34&gt;'Bonding Program'!$C$8,AT$3='Bonding Program'!$H$34),'Bonding Program'!$T$34-'Bonding Program'!$U$34-'Bonding Program'!$Z$34,0)-IF(AND('Bonding Program'!$S$34=1,'Bonding Program'!$H$34&lt;='Bonding Program'!$C$8,AT$3=IF('Bonding Program'!$P$34&lt;&gt;"",'Bonding Program'!$P$34,'Bonding Program'!$C$8)),'Bonding Program'!$Z$34,0)+IF(AND('Bonding Program'!$P$34&lt;&gt;"",AT$3='Bonding Program'!$P$34,AT$3&lt;='Bonding Program'!$C$8),N('Bonding Program'!$O$34),0)</f>
        <v>0</v>
      </c>
      <c r="AU175" s="19" t="n">
        <f aca="false">IF(AND('Bonding Program'!$S$34=1,'Bonding Program'!$H$34&gt;'Bonding Program'!$C$8,AU$3='Bonding Program'!$H$34),'Bonding Program'!$T$34-'Bonding Program'!$U$34-'Bonding Program'!$Z$34,0)-IF(AND('Bonding Program'!$S$34=1,'Bonding Program'!$H$34&lt;='Bonding Program'!$C$8,AU$3=IF('Bonding Program'!$P$34&lt;&gt;"",'Bonding Program'!$P$34,'Bonding Program'!$C$8)),'Bonding Program'!$Z$34,0)+IF(AND('Bonding Program'!$P$34&lt;&gt;"",AU$3='Bonding Program'!$P$34,AU$3&lt;='Bonding Program'!$C$8),N('Bonding Program'!$O$34),0)</f>
        <v>0</v>
      </c>
      <c r="AV175" s="19" t="n">
        <f aca="false">IF(AND('Bonding Program'!$S$34=1,'Bonding Program'!$H$34&gt;'Bonding Program'!$C$8,AV$3='Bonding Program'!$H$34),'Bonding Program'!$T$34-'Bonding Program'!$U$34-'Bonding Program'!$Z$34,0)-IF(AND('Bonding Program'!$S$34=1,'Bonding Program'!$H$34&lt;='Bonding Program'!$C$8,AV$3=IF('Bonding Program'!$P$34&lt;&gt;"",'Bonding Program'!$P$34,'Bonding Program'!$C$8)),'Bonding Program'!$Z$34,0)+IF(AND('Bonding Program'!$P$34&lt;&gt;"",AV$3='Bonding Program'!$P$34,AV$3&lt;='Bonding Program'!$C$8),N('Bonding Program'!$O$34),0)</f>
        <v>0</v>
      </c>
      <c r="AW175" s="19" t="n">
        <f aca="false">IF(AND('Bonding Program'!$S$34=1,'Bonding Program'!$H$34&gt;'Bonding Program'!$C$8,AW$3='Bonding Program'!$H$34),'Bonding Program'!$T$34-'Bonding Program'!$U$34-'Bonding Program'!$Z$34,0)-IF(AND('Bonding Program'!$S$34=1,'Bonding Program'!$H$34&lt;='Bonding Program'!$C$8,AW$3=IF('Bonding Program'!$P$34&lt;&gt;"",'Bonding Program'!$P$34,'Bonding Program'!$C$8)),'Bonding Program'!$Z$34,0)+IF(AND('Bonding Program'!$P$34&lt;&gt;"",AW$3='Bonding Program'!$P$34,AW$3&lt;='Bonding Program'!$C$8),N('Bonding Program'!$O$34),0)</f>
        <v>0</v>
      </c>
      <c r="AX175" s="19" t="n">
        <f aca="false">IF(AND('Bonding Program'!$S$34=1,'Bonding Program'!$H$34&gt;'Bonding Program'!$C$8,AX$3='Bonding Program'!$H$34),'Bonding Program'!$T$34-'Bonding Program'!$U$34-'Bonding Program'!$Z$34,0)-IF(AND('Bonding Program'!$S$34=1,'Bonding Program'!$H$34&lt;='Bonding Program'!$C$8,AX$3=IF('Bonding Program'!$P$34&lt;&gt;"",'Bonding Program'!$P$34,'Bonding Program'!$C$8)),'Bonding Program'!$Z$34,0)+IF(AND('Bonding Program'!$P$34&lt;&gt;"",AX$3='Bonding Program'!$P$34,AX$3&lt;='Bonding Program'!$C$8),N('Bonding Program'!$O$34),0)</f>
        <v>0</v>
      </c>
      <c r="AY175" s="19" t="n">
        <f aca="false">IF(AND('Bonding Program'!$S$34=1,'Bonding Program'!$H$34&gt;'Bonding Program'!$C$8,AY$3='Bonding Program'!$H$34),'Bonding Program'!$T$34-'Bonding Program'!$U$34-'Bonding Program'!$Z$34,0)-IF(AND('Bonding Program'!$S$34=1,'Bonding Program'!$H$34&lt;='Bonding Program'!$C$8,AY$3=IF('Bonding Program'!$P$34&lt;&gt;"",'Bonding Program'!$P$34,'Bonding Program'!$C$8)),'Bonding Program'!$Z$34,0)+IF(AND('Bonding Program'!$P$34&lt;&gt;"",AY$3='Bonding Program'!$P$34,AY$3&lt;='Bonding Program'!$C$8),N('Bonding Program'!$O$34),0)</f>
        <v>0</v>
      </c>
      <c r="AZ175" s="19" t="n">
        <f aca="false">IF(AND('Bonding Program'!$S$34=1,'Bonding Program'!$H$34&gt;'Bonding Program'!$C$8,AZ$3='Bonding Program'!$H$34),'Bonding Program'!$T$34-'Bonding Program'!$U$34-'Bonding Program'!$Z$34,0)-IF(AND('Bonding Program'!$S$34=1,'Bonding Program'!$H$34&lt;='Bonding Program'!$C$8,AZ$3=IF('Bonding Program'!$P$34&lt;&gt;"",'Bonding Program'!$P$34,'Bonding Program'!$C$8)),'Bonding Program'!$Z$34,0)+IF(AND('Bonding Program'!$P$34&lt;&gt;"",AZ$3='Bonding Program'!$P$34,AZ$3&lt;='Bonding Program'!$C$8),N('Bonding Program'!$O$34),0)</f>
        <v>0</v>
      </c>
      <c r="BA175" s="19" t="n">
        <f aca="false">IF(AND('Bonding Program'!$S$34=1,'Bonding Program'!$H$34&gt;'Bonding Program'!$C$8,BA$3='Bonding Program'!$H$34),'Bonding Program'!$T$34-'Bonding Program'!$U$34-'Bonding Program'!$Z$34,0)-IF(AND('Bonding Program'!$S$34=1,'Bonding Program'!$H$34&lt;='Bonding Program'!$C$8,BA$3=IF('Bonding Program'!$P$34&lt;&gt;"",'Bonding Program'!$P$34,'Bonding Program'!$C$8)),'Bonding Program'!$Z$34,0)+IF(AND('Bonding Program'!$P$34&lt;&gt;"",BA$3='Bonding Program'!$P$34,BA$3&lt;='Bonding Program'!$C$8),N('Bonding Program'!$O$34),0)</f>
        <v>0</v>
      </c>
      <c r="BB175" s="19" t="n">
        <f aca="false">IF(AND('Bonding Program'!$S$34=1,'Bonding Program'!$H$34&gt;'Bonding Program'!$C$8,BB$3='Bonding Program'!$H$34),'Bonding Program'!$T$34-'Bonding Program'!$U$34-'Bonding Program'!$Z$34,0)-IF(AND('Bonding Program'!$S$34=1,'Bonding Program'!$H$34&lt;='Bonding Program'!$C$8,BB$3=IF('Bonding Program'!$P$34&lt;&gt;"",'Bonding Program'!$P$34,'Bonding Program'!$C$8)),'Bonding Program'!$Z$34,0)+IF(AND('Bonding Program'!$P$34&lt;&gt;"",BB$3='Bonding Program'!$P$34,BB$3&lt;='Bonding Program'!$C$8),N('Bonding Program'!$O$34),0)</f>
        <v>0</v>
      </c>
      <c r="BC175" s="19" t="n">
        <f aca="false">IF(AND('Bonding Program'!$S$34=1,'Bonding Program'!$H$34&gt;'Bonding Program'!$C$8,BC$3='Bonding Program'!$H$34),'Bonding Program'!$T$34-'Bonding Program'!$U$34-'Bonding Program'!$Z$34,0)-IF(AND('Bonding Program'!$S$34=1,'Bonding Program'!$H$34&lt;='Bonding Program'!$C$8,BC$3=IF('Bonding Program'!$P$34&lt;&gt;"",'Bonding Program'!$P$34,'Bonding Program'!$C$8)),'Bonding Program'!$Z$34,0)+IF(AND('Bonding Program'!$P$34&lt;&gt;"",BC$3='Bonding Program'!$P$34,BC$3&lt;='Bonding Program'!$C$8),N('Bonding Program'!$O$34),0)</f>
        <v>0</v>
      </c>
      <c r="BD175" s="19" t="n">
        <f aca="false">IF(AND('Bonding Program'!$S$34=1,'Bonding Program'!$H$34&gt;'Bonding Program'!$C$8,BD$3='Bonding Program'!$H$34),'Bonding Program'!$T$34-'Bonding Program'!$U$34-'Bonding Program'!$Z$34,0)-IF(AND('Bonding Program'!$S$34=1,'Bonding Program'!$H$34&lt;='Bonding Program'!$C$8,BD$3=IF('Bonding Program'!$P$34&lt;&gt;"",'Bonding Program'!$P$34,'Bonding Program'!$C$8)),'Bonding Program'!$Z$34,0)+IF(AND('Bonding Program'!$P$34&lt;&gt;"",BD$3='Bonding Program'!$P$34,BD$3&lt;='Bonding Program'!$C$8),N('Bonding Program'!$O$34),0)</f>
        <v>0</v>
      </c>
      <c r="BE175" s="19" t="n">
        <f aca="false">IF(AND('Bonding Program'!$S$34=1,'Bonding Program'!$H$34&gt;'Bonding Program'!$C$8,BE$3='Bonding Program'!$H$34),'Bonding Program'!$T$34-'Bonding Program'!$U$34-'Bonding Program'!$Z$34,0)-IF(AND('Bonding Program'!$S$34=1,'Bonding Program'!$H$34&lt;='Bonding Program'!$C$8,BE$3=IF('Bonding Program'!$P$34&lt;&gt;"",'Bonding Program'!$P$34,'Bonding Program'!$C$8)),'Bonding Program'!$Z$34,0)+IF(AND('Bonding Program'!$P$34&lt;&gt;"",BE$3='Bonding Program'!$P$34,BE$3&lt;='Bonding Program'!$C$8),N('Bonding Program'!$O$34),0)</f>
        <v>0</v>
      </c>
      <c r="BF175" s="19" t="n">
        <f aca="false">IF(AND('Bonding Program'!$S$34=1,'Bonding Program'!$H$34&gt;'Bonding Program'!$C$8,BF$3='Bonding Program'!$H$34),'Bonding Program'!$T$34-'Bonding Program'!$U$34-'Bonding Program'!$Z$34,0)-IF(AND('Bonding Program'!$S$34=1,'Bonding Program'!$H$34&lt;='Bonding Program'!$C$8,BF$3=IF('Bonding Program'!$P$34&lt;&gt;"",'Bonding Program'!$P$34,'Bonding Program'!$C$8)),'Bonding Program'!$Z$34,0)+IF(AND('Bonding Program'!$P$34&lt;&gt;"",BF$3='Bonding Program'!$P$34,BF$3&lt;='Bonding Program'!$C$8),N('Bonding Program'!$O$34),0)</f>
        <v>0</v>
      </c>
      <c r="BG175" s="19" t="n">
        <f aca="false">IF(AND('Bonding Program'!$S$34=1,'Bonding Program'!$H$34&gt;'Bonding Program'!$C$8,BG$3='Bonding Program'!$H$34),'Bonding Program'!$T$34-'Bonding Program'!$U$34-'Bonding Program'!$Z$34,0)-IF(AND('Bonding Program'!$S$34=1,'Bonding Program'!$H$34&lt;='Bonding Program'!$C$8,BG$3=IF('Bonding Program'!$P$34&lt;&gt;"",'Bonding Program'!$P$34,'Bonding Program'!$C$8)),'Bonding Program'!$Z$34,0)+IF(AND('Bonding Program'!$P$34&lt;&gt;"",BG$3='Bonding Program'!$P$34,BG$3&lt;='Bonding Program'!$C$8),N('Bonding Program'!$O$34),0)</f>
        <v>0</v>
      </c>
      <c r="BH175" s="19" t="n">
        <f aca="false">IF(AND('Bonding Program'!$S$34=1,'Bonding Program'!$H$34&gt;'Bonding Program'!$C$8,BH$3='Bonding Program'!$H$34),'Bonding Program'!$T$34-'Bonding Program'!$U$34-'Bonding Program'!$Z$34,0)-IF(AND('Bonding Program'!$S$34=1,'Bonding Program'!$H$34&lt;='Bonding Program'!$C$8,BH$3=IF('Bonding Program'!$P$34&lt;&gt;"",'Bonding Program'!$P$34,'Bonding Program'!$C$8)),'Bonding Program'!$Z$34,0)+IF(AND('Bonding Program'!$P$34&lt;&gt;"",BH$3='Bonding Program'!$P$34,BH$3&lt;='Bonding Program'!$C$8),N('Bonding Program'!$O$34),0)</f>
        <v>0</v>
      </c>
      <c r="BI175" s="19" t="n">
        <f aca="false">IF(AND('Bonding Program'!$S$34=1,'Bonding Program'!$H$34&gt;'Bonding Program'!$C$8,BI$3='Bonding Program'!$H$34),'Bonding Program'!$T$34-'Bonding Program'!$U$34-'Bonding Program'!$Z$34,0)-IF(AND('Bonding Program'!$S$34=1,'Bonding Program'!$H$34&lt;='Bonding Program'!$C$8,BI$3=IF('Bonding Program'!$P$34&lt;&gt;"",'Bonding Program'!$P$34,'Bonding Program'!$C$8)),'Bonding Program'!$Z$34,0)+IF(AND('Bonding Program'!$P$34&lt;&gt;"",BI$3='Bonding Program'!$P$34,BI$3&lt;='Bonding Program'!$C$8),N('Bonding Program'!$O$34),0)</f>
        <v>0</v>
      </c>
      <c r="BJ175" s="19" t="n">
        <f aca="false">IF(AND('Bonding Program'!$S$34=1,'Bonding Program'!$H$34&gt;'Bonding Program'!$C$8,BJ$3='Bonding Program'!$H$34),'Bonding Program'!$T$34-'Bonding Program'!$U$34-'Bonding Program'!$Z$34,0)-IF(AND('Bonding Program'!$S$34=1,'Bonding Program'!$H$34&lt;='Bonding Program'!$C$8,BJ$3=IF('Bonding Program'!$P$34&lt;&gt;"",'Bonding Program'!$P$34,'Bonding Program'!$C$8)),'Bonding Program'!$Z$34,0)+IF(AND('Bonding Program'!$P$34&lt;&gt;"",BJ$3='Bonding Program'!$P$34,BJ$3&lt;='Bonding Program'!$C$8),N('Bonding Program'!$O$34),0)</f>
        <v>0</v>
      </c>
      <c r="BK175" s="19" t="n">
        <f aca="false">IF(AND('Bonding Program'!$S$34=1,'Bonding Program'!$H$34&gt;'Bonding Program'!$C$8,BK$3='Bonding Program'!$H$34),'Bonding Program'!$T$34-'Bonding Program'!$U$34-'Bonding Program'!$Z$34,0)-IF(AND('Bonding Program'!$S$34=1,'Bonding Program'!$H$34&lt;='Bonding Program'!$C$8,BK$3=IF('Bonding Program'!$P$34&lt;&gt;"",'Bonding Program'!$P$34,'Bonding Program'!$C$8)),'Bonding Program'!$Z$34,0)+IF(AND('Bonding Program'!$P$34&lt;&gt;"",BK$3='Bonding Program'!$P$34,BK$3&lt;='Bonding Program'!$C$8),N('Bonding Program'!$O$34),0)</f>
        <v>0</v>
      </c>
      <c r="BL175" s="19" t="n">
        <f aca="false">IF(AND('Bonding Program'!$S$34=1,'Bonding Program'!$H$34&gt;'Bonding Program'!$C$8,BL$3='Bonding Program'!$H$34),'Bonding Program'!$T$34-'Bonding Program'!$U$34-'Bonding Program'!$Z$34,0)-IF(AND('Bonding Program'!$S$34=1,'Bonding Program'!$H$34&lt;='Bonding Program'!$C$8,BL$3=IF('Bonding Program'!$P$34&lt;&gt;"",'Bonding Program'!$P$34,'Bonding Program'!$C$8)),'Bonding Program'!$Z$34,0)+IF(AND('Bonding Program'!$P$34&lt;&gt;"",BL$3='Bonding Program'!$P$34,BL$3&lt;='Bonding Program'!$C$8),N('Bonding Program'!$O$34),0)</f>
        <v>0</v>
      </c>
      <c r="BM175" s="19" t="n">
        <f aca="false">IF(AND('Bonding Program'!$S$34=1,'Bonding Program'!$H$34&gt;'Bonding Program'!$C$8,BM$3='Bonding Program'!$H$34),'Bonding Program'!$T$34-'Bonding Program'!$U$34-'Bonding Program'!$Z$34,0)-IF(AND('Bonding Program'!$S$34=1,'Bonding Program'!$H$34&lt;='Bonding Program'!$C$8,BM$3=IF('Bonding Program'!$P$34&lt;&gt;"",'Bonding Program'!$P$34,'Bonding Program'!$C$8)),'Bonding Program'!$Z$34,0)+IF(AND('Bonding Program'!$P$34&lt;&gt;"",BM$3='Bonding Program'!$P$34,BM$3&lt;='Bonding Program'!$C$8),N('Bonding Program'!$O$34),0)</f>
        <v>0</v>
      </c>
      <c r="BN175" s="19" t="n">
        <f aca="false">IF(AND('Bonding Program'!$S$34=1,'Bonding Program'!$H$34&gt;'Bonding Program'!$C$8,BN$3='Bonding Program'!$H$34),'Bonding Program'!$T$34-'Bonding Program'!$U$34-'Bonding Program'!$Z$34,0)-IF(AND('Bonding Program'!$S$34=1,'Bonding Program'!$H$34&lt;='Bonding Program'!$C$8,BN$3=IF('Bonding Program'!$P$34&lt;&gt;"",'Bonding Program'!$P$34,'Bonding Program'!$C$8)),'Bonding Program'!$Z$34,0)+IF(AND('Bonding Program'!$P$34&lt;&gt;"",BN$3='Bonding Program'!$P$34,BN$3&lt;='Bonding Program'!$C$8),N('Bonding Program'!$O$34),0)</f>
        <v>0</v>
      </c>
      <c r="BO175" s="19" t="n">
        <f aca="false">IF(AND('Bonding Program'!$S$34=1,'Bonding Program'!$H$34&gt;'Bonding Program'!$C$8,BO$3='Bonding Program'!$H$34),'Bonding Program'!$T$34-'Bonding Program'!$U$34-'Bonding Program'!$Z$34,0)-IF(AND('Bonding Program'!$S$34=1,'Bonding Program'!$H$34&lt;='Bonding Program'!$C$8,BO$3=IF('Bonding Program'!$P$34&lt;&gt;"",'Bonding Program'!$P$34,'Bonding Program'!$C$8)),'Bonding Program'!$Z$34,0)+IF(AND('Bonding Program'!$P$34&lt;&gt;"",BO$3='Bonding Program'!$P$34,BO$3&lt;='Bonding Program'!$C$8),N('Bonding Program'!$O$34),0)</f>
        <v>0</v>
      </c>
      <c r="BP175" s="19" t="n">
        <f aca="false">IF(AND('Bonding Program'!$S$34=1,'Bonding Program'!$H$34&gt;'Bonding Program'!$C$8,BP$3='Bonding Program'!$H$34),'Bonding Program'!$T$34-'Bonding Program'!$U$34-'Bonding Program'!$Z$34,0)-IF(AND('Bonding Program'!$S$34=1,'Bonding Program'!$H$34&lt;='Bonding Program'!$C$8,BP$3=IF('Bonding Program'!$P$34&lt;&gt;"",'Bonding Program'!$P$34,'Bonding Program'!$C$8)),'Bonding Program'!$Z$34,0)+IF(AND('Bonding Program'!$P$34&lt;&gt;"",BP$3='Bonding Program'!$P$34,BP$3&lt;='Bonding Program'!$C$8),N('Bonding Program'!$O$34),0)</f>
        <v>0</v>
      </c>
      <c r="BQ175" s="19" t="n">
        <f aca="false">IF(AND('Bonding Program'!$S$34=1,'Bonding Program'!$H$34&gt;'Bonding Program'!$C$8,BQ$3='Bonding Program'!$H$34),'Bonding Program'!$T$34-'Bonding Program'!$U$34-'Bonding Program'!$Z$34,0)-IF(AND('Bonding Program'!$S$34=1,'Bonding Program'!$H$34&lt;='Bonding Program'!$C$8,BQ$3=IF('Bonding Program'!$P$34&lt;&gt;"",'Bonding Program'!$P$34,'Bonding Program'!$C$8)),'Bonding Program'!$Z$34,0)+IF(AND('Bonding Program'!$P$34&lt;&gt;"",BQ$3='Bonding Program'!$P$34,BQ$3&lt;='Bonding Program'!$C$8),N('Bonding Program'!$O$34),0)</f>
        <v>0</v>
      </c>
      <c r="BR175" s="19" t="n">
        <f aca="false">IF(AND('Bonding Program'!$S$34=1,'Bonding Program'!$H$34&gt;'Bonding Program'!$C$8,BR$3='Bonding Program'!$H$34),'Bonding Program'!$T$34-'Bonding Program'!$U$34-'Bonding Program'!$Z$34,0)-IF(AND('Bonding Program'!$S$34=1,'Bonding Program'!$H$34&lt;='Bonding Program'!$C$8,BR$3=IF('Bonding Program'!$P$34&lt;&gt;"",'Bonding Program'!$P$34,'Bonding Program'!$C$8)),'Bonding Program'!$Z$34,0)+IF(AND('Bonding Program'!$P$34&lt;&gt;"",BR$3='Bonding Program'!$P$34,BR$3&lt;='Bonding Program'!$C$8),N('Bonding Program'!$O$34),0)</f>
        <v>0</v>
      </c>
      <c r="BS175" s="19" t="n">
        <f aca="false">IF(AND('Bonding Program'!$S$34=1,'Bonding Program'!$H$34&gt;'Bonding Program'!$C$8,BS$3='Bonding Program'!$H$34),'Bonding Program'!$T$34-'Bonding Program'!$U$34-'Bonding Program'!$Z$34,0)-IF(AND('Bonding Program'!$S$34=1,'Bonding Program'!$H$34&lt;='Bonding Program'!$C$8,BS$3=IF('Bonding Program'!$P$34&lt;&gt;"",'Bonding Program'!$P$34,'Bonding Program'!$C$8)),'Bonding Program'!$Z$34,0)+IF(AND('Bonding Program'!$P$34&lt;&gt;"",BS$3='Bonding Program'!$P$34,BS$3&lt;='Bonding Program'!$C$8),N('Bonding Program'!$O$34),0)</f>
        <v>0</v>
      </c>
      <c r="BT175" s="19" t="n">
        <f aca="false">IF(AND('Bonding Program'!$S$34=1,'Bonding Program'!$H$34&gt;'Bonding Program'!$C$8,BT$3='Bonding Program'!$H$34),'Bonding Program'!$T$34-'Bonding Program'!$U$34-'Bonding Program'!$Z$34,0)-IF(AND('Bonding Program'!$S$34=1,'Bonding Program'!$H$34&lt;='Bonding Program'!$C$8,BT$3=IF('Bonding Program'!$P$34&lt;&gt;"",'Bonding Program'!$P$34,'Bonding Program'!$C$8)),'Bonding Program'!$Z$34,0)+IF(AND('Bonding Program'!$P$34&lt;&gt;"",BT$3='Bonding Program'!$P$34,BT$3&lt;='Bonding Program'!$C$8),N('Bonding Program'!$O$34),0)</f>
        <v>0</v>
      </c>
      <c r="BU175" s="19" t="n">
        <f aca="false">IF(AND('Bonding Program'!$S$34=1,'Bonding Program'!$H$34&gt;'Bonding Program'!$C$8,BU$3='Bonding Program'!$H$34),'Bonding Program'!$T$34-'Bonding Program'!$U$34-'Bonding Program'!$Z$34,0)-IF(AND('Bonding Program'!$S$34=1,'Bonding Program'!$H$34&lt;='Bonding Program'!$C$8,BU$3=IF('Bonding Program'!$P$34&lt;&gt;"",'Bonding Program'!$P$34,'Bonding Program'!$C$8)),'Bonding Program'!$Z$34,0)+IF(AND('Bonding Program'!$P$34&lt;&gt;"",BU$3='Bonding Program'!$P$34,BU$3&lt;='Bonding Program'!$C$8),N('Bonding Program'!$O$34),0)</f>
        <v>0</v>
      </c>
      <c r="BV175" s="19" t="n">
        <f aca="false">IF(AND('Bonding Program'!$S$34=1,'Bonding Program'!$H$34&gt;'Bonding Program'!$C$8,BV$3='Bonding Program'!$H$34),'Bonding Program'!$T$34-'Bonding Program'!$U$34-'Bonding Program'!$Z$34,0)-IF(AND('Bonding Program'!$S$34=1,'Bonding Program'!$H$34&lt;='Bonding Program'!$C$8,BV$3=IF('Bonding Program'!$P$34&lt;&gt;"",'Bonding Program'!$P$34,'Bonding Program'!$C$8)),'Bonding Program'!$Z$34,0)+IF(AND('Bonding Program'!$P$34&lt;&gt;"",BV$3='Bonding Program'!$P$34,BV$3&lt;='Bonding Program'!$C$8),N('Bonding Program'!$O$34),0)</f>
        <v>0</v>
      </c>
      <c r="BW175" s="19" t="n">
        <f aca="false">IF(AND('Bonding Program'!$S$34=1,'Bonding Program'!$H$34&gt;'Bonding Program'!$C$8,BW$3='Bonding Program'!$H$34),'Bonding Program'!$T$34-'Bonding Program'!$U$34-'Bonding Program'!$Z$34,0)-IF(AND('Bonding Program'!$S$34=1,'Bonding Program'!$H$34&lt;='Bonding Program'!$C$8,BW$3=IF('Bonding Program'!$P$34&lt;&gt;"",'Bonding Program'!$P$34,'Bonding Program'!$C$8)),'Bonding Program'!$Z$34,0)+IF(AND('Bonding Program'!$P$34&lt;&gt;"",BW$3='Bonding Program'!$P$34,BW$3&lt;='Bonding Program'!$C$8),N('Bonding Program'!$O$34),0)</f>
        <v>0</v>
      </c>
      <c r="BX175" s="19" t="n">
        <f aca="false">IF(AND('Bonding Program'!$S$34=1,'Bonding Program'!$H$34&gt;'Bonding Program'!$C$8,BX$3='Bonding Program'!$H$34),'Bonding Program'!$T$34-'Bonding Program'!$U$34-'Bonding Program'!$Z$34,0)-IF(AND('Bonding Program'!$S$34=1,'Bonding Program'!$H$34&lt;='Bonding Program'!$C$8,BX$3=IF('Bonding Program'!$P$34&lt;&gt;"",'Bonding Program'!$P$34,'Bonding Program'!$C$8)),'Bonding Program'!$Z$34,0)+IF(AND('Bonding Program'!$P$34&lt;&gt;"",BX$3='Bonding Program'!$P$34,BX$3&lt;='Bonding Program'!$C$8),N('Bonding Program'!$O$34),0)</f>
        <v>0</v>
      </c>
      <c r="BY175" s="19" t="n">
        <f aca="false">IF(AND('Bonding Program'!$S$34=1,'Bonding Program'!$H$34&gt;'Bonding Program'!$C$8,BY$3='Bonding Program'!$H$34),'Bonding Program'!$T$34-'Bonding Program'!$U$34-'Bonding Program'!$Z$34,0)-IF(AND('Bonding Program'!$S$34=1,'Bonding Program'!$H$34&lt;='Bonding Program'!$C$8,BY$3=IF('Bonding Program'!$P$34&lt;&gt;"",'Bonding Program'!$P$34,'Bonding Program'!$C$8)),'Bonding Program'!$Z$34,0)+IF(AND('Bonding Program'!$P$34&lt;&gt;"",BY$3='Bonding Program'!$P$34,BY$3&lt;='Bonding Program'!$C$8),N('Bonding Program'!$O$34),0)</f>
        <v>0</v>
      </c>
      <c r="BZ175" s="19" t="n">
        <f aca="false">IF(AND('Bonding Program'!$S$34=1,'Bonding Program'!$H$34&gt;'Bonding Program'!$C$8,BZ$3='Bonding Program'!$H$34),'Bonding Program'!$T$34-'Bonding Program'!$U$34-'Bonding Program'!$Z$34,0)-IF(AND('Bonding Program'!$S$34=1,'Bonding Program'!$H$34&lt;='Bonding Program'!$C$8,BZ$3=IF('Bonding Program'!$P$34&lt;&gt;"",'Bonding Program'!$P$34,'Bonding Program'!$C$8)),'Bonding Program'!$Z$34,0)+IF(AND('Bonding Program'!$P$34&lt;&gt;"",BZ$3='Bonding Program'!$P$34,BZ$3&lt;='Bonding Program'!$C$8),N('Bonding Program'!$O$34),0)</f>
        <v>0</v>
      </c>
      <c r="CA175" s="19" t="n">
        <f aca="false">IF(AND('Bonding Program'!$S$34=1,'Bonding Program'!$H$34&gt;'Bonding Program'!$C$8,CA$3='Bonding Program'!$H$34),'Bonding Program'!$T$34-'Bonding Program'!$U$34-'Bonding Program'!$Z$34,0)-IF(AND('Bonding Program'!$S$34=1,'Bonding Program'!$H$34&lt;='Bonding Program'!$C$8,CA$3=IF('Bonding Program'!$P$34&lt;&gt;"",'Bonding Program'!$P$34,'Bonding Program'!$C$8)),'Bonding Program'!$Z$34,0)+IF(AND('Bonding Program'!$P$34&lt;&gt;"",CA$3='Bonding Program'!$P$34,CA$3&lt;='Bonding Program'!$C$8),N('Bonding Program'!$O$34),0)</f>
        <v>0</v>
      </c>
      <c r="CB175" s="19" t="n">
        <f aca="false">IF(AND('Bonding Program'!$S$34=1,'Bonding Program'!$H$34&gt;'Bonding Program'!$C$8,CB$3='Bonding Program'!$H$34),'Bonding Program'!$T$34-'Bonding Program'!$U$34-'Bonding Program'!$Z$34,0)-IF(AND('Bonding Program'!$S$34=1,'Bonding Program'!$H$34&lt;='Bonding Program'!$C$8,CB$3=IF('Bonding Program'!$P$34&lt;&gt;"",'Bonding Program'!$P$34,'Bonding Program'!$C$8)),'Bonding Program'!$Z$34,0)+IF(AND('Bonding Program'!$P$34&lt;&gt;"",CB$3='Bonding Program'!$P$34,CB$3&lt;='Bonding Program'!$C$8),N('Bonding Program'!$O$34),0)</f>
        <v>0</v>
      </c>
      <c r="CC175" s="19" t="n">
        <f aca="false">IF(AND('Bonding Program'!$S$34=1,'Bonding Program'!$H$34&gt;'Bonding Program'!$C$8,CC$3='Bonding Program'!$H$34),'Bonding Program'!$T$34-'Bonding Program'!$U$34-'Bonding Program'!$Z$34,0)-IF(AND('Bonding Program'!$S$34=1,'Bonding Program'!$H$34&lt;='Bonding Program'!$C$8,CC$3=IF('Bonding Program'!$P$34&lt;&gt;"",'Bonding Program'!$P$34,'Bonding Program'!$C$8)),'Bonding Program'!$Z$34,0)+IF(AND('Bonding Program'!$P$34&lt;&gt;"",CC$3='Bonding Program'!$P$34,CC$3&lt;='Bonding Program'!$C$8),N('Bonding Program'!$O$34),0)</f>
        <v>0</v>
      </c>
      <c r="CD175" s="19" t="n">
        <f aca="false">IF(AND('Bonding Program'!$S$34=1,'Bonding Program'!$H$34&gt;'Bonding Program'!$C$8,CD$3='Bonding Program'!$H$34),'Bonding Program'!$T$34-'Bonding Program'!$U$34-'Bonding Program'!$Z$34,0)-IF(AND('Bonding Program'!$S$34=1,'Bonding Program'!$H$34&lt;='Bonding Program'!$C$8,CD$3=IF('Bonding Program'!$P$34&lt;&gt;"",'Bonding Program'!$P$34,'Bonding Program'!$C$8)),'Bonding Program'!$Z$34,0)+IF(AND('Bonding Program'!$P$34&lt;&gt;"",CD$3='Bonding Program'!$P$34,CD$3&lt;='Bonding Program'!$C$8),N('Bonding Program'!$O$34),0)</f>
        <v>0</v>
      </c>
      <c r="CE175" s="19" t="n">
        <f aca="false">IF(AND('Bonding Program'!$S$34=1,'Bonding Program'!$H$34&gt;'Bonding Program'!$C$8,CE$3='Bonding Program'!$H$34),'Bonding Program'!$T$34-'Bonding Program'!$U$34-'Bonding Program'!$Z$34,0)-IF(AND('Bonding Program'!$S$34=1,'Bonding Program'!$H$34&lt;='Bonding Program'!$C$8,CE$3=IF('Bonding Program'!$P$34&lt;&gt;"",'Bonding Program'!$P$34,'Bonding Program'!$C$8)),'Bonding Program'!$Z$34,0)+IF(AND('Bonding Program'!$P$34&lt;&gt;"",CE$3='Bonding Program'!$P$34,CE$3&lt;='Bonding Program'!$C$8),N('Bonding Program'!$O$34),0)</f>
        <v>0</v>
      </c>
      <c r="CF175" s="19" t="n">
        <f aca="false">IF(AND('Bonding Program'!$S$34=1,'Bonding Program'!$H$34&gt;'Bonding Program'!$C$8,CF$3='Bonding Program'!$H$34),'Bonding Program'!$T$34-'Bonding Program'!$U$34-'Bonding Program'!$Z$34,0)-IF(AND('Bonding Program'!$S$34=1,'Bonding Program'!$H$34&lt;='Bonding Program'!$C$8,CF$3=IF('Bonding Program'!$P$34&lt;&gt;"",'Bonding Program'!$P$34,'Bonding Program'!$C$8)),'Bonding Program'!$Z$34,0)+IF(AND('Bonding Program'!$P$34&lt;&gt;"",CF$3='Bonding Program'!$P$34,CF$3&lt;='Bonding Program'!$C$8),N('Bonding Program'!$O$34),0)</f>
        <v>0</v>
      </c>
      <c r="CG175" s="19" t="n">
        <f aca="false">IF(AND('Bonding Program'!$S$34=1,'Bonding Program'!$H$34&gt;'Bonding Program'!$C$8,CG$3='Bonding Program'!$H$34),'Bonding Program'!$T$34-'Bonding Program'!$U$34-'Bonding Program'!$Z$34,0)-IF(AND('Bonding Program'!$S$34=1,'Bonding Program'!$H$34&lt;='Bonding Program'!$C$8,CG$3=IF('Bonding Program'!$P$34&lt;&gt;"",'Bonding Program'!$P$34,'Bonding Program'!$C$8)),'Bonding Program'!$Z$34,0)+IF(AND('Bonding Program'!$P$34&lt;&gt;"",CG$3='Bonding Program'!$P$34,CG$3&lt;='Bonding Program'!$C$8),N('Bonding Program'!$O$34),0)</f>
        <v>0</v>
      </c>
      <c r="CH175" s="19" t="n">
        <f aca="false">IF(AND('Bonding Program'!$S$34=1,'Bonding Program'!$H$34&gt;'Bonding Program'!$C$8,CH$3='Bonding Program'!$H$34),'Bonding Program'!$T$34-'Bonding Program'!$U$34-'Bonding Program'!$Z$34,0)-IF(AND('Bonding Program'!$S$34=1,'Bonding Program'!$H$34&lt;='Bonding Program'!$C$8,CH$3=IF('Bonding Program'!$P$34&lt;&gt;"",'Bonding Program'!$P$34,'Bonding Program'!$C$8)),'Bonding Program'!$Z$34,0)+IF(AND('Bonding Program'!$P$34&lt;&gt;"",CH$3='Bonding Program'!$P$34,CH$3&lt;='Bonding Program'!$C$8),N('Bonding Program'!$O$34),0)</f>
        <v>0</v>
      </c>
      <c r="CI175" s="19" t="n">
        <f aca="false">IF(AND('Bonding Program'!$S$34=1,'Bonding Program'!$H$34&gt;'Bonding Program'!$C$8,CI$3='Bonding Program'!$H$34),'Bonding Program'!$T$34-'Bonding Program'!$U$34-'Bonding Program'!$Z$34,0)-IF(AND('Bonding Program'!$S$34=1,'Bonding Program'!$H$34&lt;='Bonding Program'!$C$8,CI$3=IF('Bonding Program'!$P$34&lt;&gt;"",'Bonding Program'!$P$34,'Bonding Program'!$C$8)),'Bonding Program'!$Z$34,0)+IF(AND('Bonding Program'!$P$34&lt;&gt;"",CI$3='Bonding Program'!$P$34,CI$3&lt;='Bonding Program'!$C$8),N('Bonding Program'!$O$34),0)</f>
        <v>0</v>
      </c>
      <c r="CJ175" s="19" t="n">
        <f aca="false">IF(AND('Bonding Program'!$S$34=1,'Bonding Program'!$H$34&gt;'Bonding Program'!$C$8,CJ$3='Bonding Program'!$H$34),'Bonding Program'!$T$34-'Bonding Program'!$U$34-'Bonding Program'!$Z$34,0)-IF(AND('Bonding Program'!$S$34=1,'Bonding Program'!$H$34&lt;='Bonding Program'!$C$8,CJ$3=IF('Bonding Program'!$P$34&lt;&gt;"",'Bonding Program'!$P$34,'Bonding Program'!$C$8)),'Bonding Program'!$Z$34,0)+IF(AND('Bonding Program'!$P$34&lt;&gt;"",CJ$3='Bonding Program'!$P$34,CJ$3&lt;='Bonding Program'!$C$8),N('Bonding Program'!$O$34),0)</f>
        <v>0</v>
      </c>
      <c r="CK175" s="19" t="n">
        <f aca="false">IF(AND('Bonding Program'!$S$34=1,'Bonding Program'!$H$34&gt;'Bonding Program'!$C$8,CK$3='Bonding Program'!$H$34),'Bonding Program'!$T$34-'Bonding Program'!$U$34-'Bonding Program'!$Z$34,0)-IF(AND('Bonding Program'!$S$34=1,'Bonding Program'!$H$34&lt;='Bonding Program'!$C$8,CK$3=IF('Bonding Program'!$P$34&lt;&gt;"",'Bonding Program'!$P$34,'Bonding Program'!$C$8)),'Bonding Program'!$Z$34,0)+IF(AND('Bonding Program'!$P$34&lt;&gt;"",CK$3='Bonding Program'!$P$34,CK$3&lt;='Bonding Program'!$C$8),N('Bonding Program'!$O$34),0)</f>
        <v>0</v>
      </c>
      <c r="CL175" s="19" t="n">
        <f aca="false">IF(AND('Bonding Program'!$S$34=1,'Bonding Program'!$H$34&gt;'Bonding Program'!$C$8,CL$3='Bonding Program'!$H$34),'Bonding Program'!$T$34-'Bonding Program'!$U$34-'Bonding Program'!$Z$34,0)-IF(AND('Bonding Program'!$S$34=1,'Bonding Program'!$H$34&lt;='Bonding Program'!$C$8,CL$3=IF('Bonding Program'!$P$34&lt;&gt;"",'Bonding Program'!$P$34,'Bonding Program'!$C$8)),'Bonding Program'!$Z$34,0)+IF(AND('Bonding Program'!$P$34&lt;&gt;"",CL$3='Bonding Program'!$P$34,CL$3&lt;='Bonding Program'!$C$8),N('Bonding Program'!$O$34),0)</f>
        <v>0</v>
      </c>
      <c r="CM175" s="19" t="n">
        <f aca="false">IF(AND('Bonding Program'!$S$34=1,'Bonding Program'!$H$34&gt;'Bonding Program'!$C$8,CM$3='Bonding Program'!$H$34),'Bonding Program'!$T$34-'Bonding Program'!$U$34-'Bonding Program'!$Z$34,0)-IF(AND('Bonding Program'!$S$34=1,'Bonding Program'!$H$34&lt;='Bonding Program'!$C$8,CM$3=IF('Bonding Program'!$P$34&lt;&gt;"",'Bonding Program'!$P$34,'Bonding Program'!$C$8)),'Bonding Program'!$Z$34,0)+IF(AND('Bonding Program'!$P$34&lt;&gt;"",CM$3='Bonding Program'!$P$34,CM$3&lt;='Bonding Program'!$C$8),N('Bonding Program'!$O$34),0)</f>
        <v>0</v>
      </c>
      <c r="CN175" s="19" t="n">
        <f aca="false">IF(AND('Bonding Program'!$S$34=1,'Bonding Program'!$H$34&gt;'Bonding Program'!$C$8,CN$3='Bonding Program'!$H$34),'Bonding Program'!$T$34-'Bonding Program'!$U$34-'Bonding Program'!$Z$34,0)-IF(AND('Bonding Program'!$S$34=1,'Bonding Program'!$H$34&lt;='Bonding Program'!$C$8,CN$3=IF('Bonding Program'!$P$34&lt;&gt;"",'Bonding Program'!$P$34,'Bonding Program'!$C$8)),'Bonding Program'!$Z$34,0)+IF(AND('Bonding Program'!$P$34&lt;&gt;"",CN$3='Bonding Program'!$P$34,CN$3&lt;='Bonding Program'!$C$8),N('Bonding Program'!$O$34),0)</f>
        <v>0</v>
      </c>
      <c r="CO175" s="19" t="n">
        <f aca="false">IF(AND('Bonding Program'!$S$34=1,'Bonding Program'!$H$34&gt;'Bonding Program'!$C$8,CO$3='Bonding Program'!$H$34),'Bonding Program'!$T$34-'Bonding Program'!$U$34-'Bonding Program'!$Z$34,0)-IF(AND('Bonding Program'!$S$34=1,'Bonding Program'!$H$34&lt;='Bonding Program'!$C$8,CO$3=IF('Bonding Program'!$P$34&lt;&gt;"",'Bonding Program'!$P$34,'Bonding Program'!$C$8)),'Bonding Program'!$Z$34,0)+IF(AND('Bonding Program'!$P$34&lt;&gt;"",CO$3='Bonding Program'!$P$34,CO$3&lt;='Bonding Program'!$C$8),N('Bonding Program'!$O$34),0)</f>
        <v>0</v>
      </c>
      <c r="CP175" s="19" t="n">
        <f aca="false">IF(AND('Bonding Program'!$S$34=1,'Bonding Program'!$H$34&gt;'Bonding Program'!$C$8,CP$3='Bonding Program'!$H$34),'Bonding Program'!$T$34-'Bonding Program'!$U$34-'Bonding Program'!$Z$34,0)-IF(AND('Bonding Program'!$S$34=1,'Bonding Program'!$H$34&lt;='Bonding Program'!$C$8,CP$3=IF('Bonding Program'!$P$34&lt;&gt;"",'Bonding Program'!$P$34,'Bonding Program'!$C$8)),'Bonding Program'!$Z$34,0)+IF(AND('Bonding Program'!$P$34&lt;&gt;"",CP$3='Bonding Program'!$P$34,CP$3&lt;='Bonding Program'!$C$8),N('Bonding Program'!$O$34),0)</f>
        <v>0</v>
      </c>
      <c r="CQ175" s="19" t="n">
        <f aca="false">IF(AND('Bonding Program'!$S$34=1,'Bonding Program'!$H$34&gt;'Bonding Program'!$C$8,CQ$3='Bonding Program'!$H$34),'Bonding Program'!$T$34-'Bonding Program'!$U$34-'Bonding Program'!$Z$34,0)-IF(AND('Bonding Program'!$S$34=1,'Bonding Program'!$H$34&lt;='Bonding Program'!$C$8,CQ$3=IF('Bonding Program'!$P$34&lt;&gt;"",'Bonding Program'!$P$34,'Bonding Program'!$C$8)),'Bonding Program'!$Z$34,0)+IF(AND('Bonding Program'!$P$34&lt;&gt;"",CQ$3='Bonding Program'!$P$34,CQ$3&lt;='Bonding Program'!$C$8),N('Bonding Program'!$O$34),0)</f>
        <v>0</v>
      </c>
      <c r="CR175" s="19" t="n">
        <f aca="false">IF(AND('Bonding Program'!$S$34=1,'Bonding Program'!$H$34&gt;'Bonding Program'!$C$8,CR$3='Bonding Program'!$H$34),'Bonding Program'!$T$34-'Bonding Program'!$U$34-'Bonding Program'!$Z$34,0)-IF(AND('Bonding Program'!$S$34=1,'Bonding Program'!$H$34&lt;='Bonding Program'!$C$8,CR$3=IF('Bonding Program'!$P$34&lt;&gt;"",'Bonding Program'!$P$34,'Bonding Program'!$C$8)),'Bonding Program'!$Z$34,0)+IF(AND('Bonding Program'!$P$34&lt;&gt;"",CR$3='Bonding Program'!$P$34,CR$3&lt;='Bonding Program'!$C$8),N('Bonding Program'!$O$34),0)</f>
        <v>0</v>
      </c>
      <c r="CS175" s="19" t="n">
        <f aca="false">IF(AND('Bonding Program'!$S$34=1,'Bonding Program'!$H$34&gt;'Bonding Program'!$C$8,CS$3='Bonding Program'!$H$34),'Bonding Program'!$T$34-'Bonding Program'!$U$34-'Bonding Program'!$Z$34,0)-IF(AND('Bonding Program'!$S$34=1,'Bonding Program'!$H$34&lt;='Bonding Program'!$C$8,CS$3=IF('Bonding Program'!$P$34&lt;&gt;"",'Bonding Program'!$P$34,'Bonding Program'!$C$8)),'Bonding Program'!$Z$34,0)+IF(AND('Bonding Program'!$P$34&lt;&gt;"",CS$3='Bonding Program'!$P$34,CS$3&lt;='Bonding Program'!$C$8),N('Bonding Program'!$O$34),0)</f>
        <v>0</v>
      </c>
      <c r="CT175" s="19" t="n">
        <f aca="false">IF(AND('Bonding Program'!$S$34=1,'Bonding Program'!$H$34&gt;'Bonding Program'!$C$8,CT$3='Bonding Program'!$H$34),'Bonding Program'!$T$34-'Bonding Program'!$U$34-'Bonding Program'!$Z$34,0)-IF(AND('Bonding Program'!$S$34=1,'Bonding Program'!$H$34&lt;='Bonding Program'!$C$8,CT$3=IF('Bonding Program'!$P$34&lt;&gt;"",'Bonding Program'!$P$34,'Bonding Program'!$C$8)),'Bonding Program'!$Z$34,0)+IF(AND('Bonding Program'!$P$34&lt;&gt;"",CT$3='Bonding Program'!$P$34,CT$3&lt;='Bonding Program'!$C$8),N('Bonding Program'!$O$34),0)</f>
        <v>0</v>
      </c>
      <c r="CU175" s="19" t="n">
        <f aca="false">IF(AND('Bonding Program'!$S$34=1,'Bonding Program'!$H$34&gt;'Bonding Program'!$C$8,CU$3='Bonding Program'!$H$34),'Bonding Program'!$T$34-'Bonding Program'!$U$34-'Bonding Program'!$Z$34,0)-IF(AND('Bonding Program'!$S$34=1,'Bonding Program'!$H$34&lt;='Bonding Program'!$C$8,CU$3=IF('Bonding Program'!$P$34&lt;&gt;"",'Bonding Program'!$P$34,'Bonding Program'!$C$8)),'Bonding Program'!$Z$34,0)+IF(AND('Bonding Program'!$P$34&lt;&gt;"",CU$3='Bonding Program'!$P$34,CU$3&lt;='Bonding Program'!$C$8),N('Bonding Program'!$O$34),0)</f>
        <v>0</v>
      </c>
      <c r="CV175" s="19" t="n">
        <f aca="false">IF(AND('Bonding Program'!$S$34=1,'Bonding Program'!$H$34&gt;'Bonding Program'!$C$8,CV$3='Bonding Program'!$H$34),'Bonding Program'!$T$34-'Bonding Program'!$U$34-'Bonding Program'!$Z$34,0)-IF(AND('Bonding Program'!$S$34=1,'Bonding Program'!$H$34&lt;='Bonding Program'!$C$8,CV$3=IF('Bonding Program'!$P$34&lt;&gt;"",'Bonding Program'!$P$34,'Bonding Program'!$C$8)),'Bonding Program'!$Z$34,0)+IF(AND('Bonding Program'!$P$34&lt;&gt;"",CV$3='Bonding Program'!$P$34,CV$3&lt;='Bonding Program'!$C$8),N('Bonding Program'!$O$34),0)</f>
        <v>0</v>
      </c>
      <c r="CW175" s="19" t="n">
        <f aca="false">IF(AND('Bonding Program'!$S$34=1,'Bonding Program'!$H$34&gt;'Bonding Program'!$C$8,CW$3='Bonding Program'!$H$34),'Bonding Program'!$T$34-'Bonding Program'!$U$34-'Bonding Program'!$Z$34,0)-IF(AND('Bonding Program'!$S$34=1,'Bonding Program'!$H$34&lt;='Bonding Program'!$C$8,CW$3=IF('Bonding Program'!$P$34&lt;&gt;"",'Bonding Program'!$P$34,'Bonding Program'!$C$8)),'Bonding Program'!$Z$34,0)+IF(AND('Bonding Program'!$P$34&lt;&gt;"",CW$3='Bonding Program'!$P$34,CW$3&lt;='Bonding Program'!$C$8),N('Bonding Program'!$O$34),0)</f>
        <v>0</v>
      </c>
      <c r="CX175" s="19" t="n">
        <f aca="false">IF(AND('Bonding Program'!$S$34=1,'Bonding Program'!$H$34&gt;'Bonding Program'!$C$8,CX$3='Bonding Program'!$H$34),'Bonding Program'!$T$34-'Bonding Program'!$U$34-'Bonding Program'!$Z$34,0)-IF(AND('Bonding Program'!$S$34=1,'Bonding Program'!$H$34&lt;='Bonding Program'!$C$8,CX$3=IF('Bonding Program'!$P$34&lt;&gt;"",'Bonding Program'!$P$34,'Bonding Program'!$C$8)),'Bonding Program'!$Z$34,0)+IF(AND('Bonding Program'!$P$34&lt;&gt;"",CX$3='Bonding Program'!$P$34,CX$3&lt;='Bonding Program'!$C$8),N('Bonding Program'!$O$34),0)</f>
        <v>0</v>
      </c>
      <c r="CY175" s="19" t="n">
        <f aca="false">IF(AND('Bonding Program'!$S$34=1,'Bonding Program'!$H$34&gt;'Bonding Program'!$C$8,CY$3='Bonding Program'!$H$34),'Bonding Program'!$T$34-'Bonding Program'!$U$34-'Bonding Program'!$Z$34,0)-IF(AND('Bonding Program'!$S$34=1,'Bonding Program'!$H$34&lt;='Bonding Program'!$C$8,CY$3=IF('Bonding Program'!$P$34&lt;&gt;"",'Bonding Program'!$P$34,'Bonding Program'!$C$8)),'Bonding Program'!$Z$34,0)+IF(AND('Bonding Program'!$P$34&lt;&gt;"",CY$3='Bonding Program'!$P$34,CY$3&lt;='Bonding Program'!$C$8),N('Bonding Program'!$O$34),0)</f>
        <v>0</v>
      </c>
      <c r="CZ175" s="19" t="n">
        <f aca="false">IF(AND('Bonding Program'!$S$34=1,'Bonding Program'!$H$34&gt;'Bonding Program'!$C$8,CZ$3='Bonding Program'!$H$34),'Bonding Program'!$T$34-'Bonding Program'!$U$34-'Bonding Program'!$Z$34,0)-IF(AND('Bonding Program'!$S$34=1,'Bonding Program'!$H$34&lt;='Bonding Program'!$C$8,CZ$3=IF('Bonding Program'!$P$34&lt;&gt;"",'Bonding Program'!$P$34,'Bonding Program'!$C$8)),'Bonding Program'!$Z$34,0)+IF(AND('Bonding Program'!$P$34&lt;&gt;"",CZ$3='Bonding Program'!$P$34,CZ$3&lt;='Bonding Program'!$C$8),N('Bonding Program'!$O$34),0)</f>
        <v>0</v>
      </c>
      <c r="DA175" s="19" t="n">
        <f aca="false">IF(AND('Bonding Program'!$S$34=1,'Bonding Program'!$H$34&gt;'Bonding Program'!$C$8,DA$3='Bonding Program'!$H$34),'Bonding Program'!$T$34-'Bonding Program'!$U$34-'Bonding Program'!$Z$34,0)-IF(AND('Bonding Program'!$S$34=1,'Bonding Program'!$H$34&lt;='Bonding Program'!$C$8,DA$3=IF('Bonding Program'!$P$34&lt;&gt;"",'Bonding Program'!$P$34,'Bonding Program'!$C$8)),'Bonding Program'!$Z$34,0)+IF(AND('Bonding Program'!$P$34&lt;&gt;"",DA$3='Bonding Program'!$P$34,DA$3&lt;='Bonding Program'!$C$8),N('Bonding Program'!$O$34),0)</f>
        <v>0</v>
      </c>
      <c r="DB175" s="19" t="n">
        <f aca="false">IF(AND('Bonding Program'!$S$34=1,'Bonding Program'!$H$34&gt;'Bonding Program'!$C$8,DB$3='Bonding Program'!$H$34),'Bonding Program'!$T$34-'Bonding Program'!$U$34-'Bonding Program'!$Z$34,0)-IF(AND('Bonding Program'!$S$34=1,'Bonding Program'!$H$34&lt;='Bonding Program'!$C$8,DB$3=IF('Bonding Program'!$P$34&lt;&gt;"",'Bonding Program'!$P$34,'Bonding Program'!$C$8)),'Bonding Program'!$Z$34,0)+IF(AND('Bonding Program'!$P$34&lt;&gt;"",DB$3='Bonding Program'!$P$34,DB$3&lt;='Bonding Program'!$C$8),N('Bonding Program'!$O$34),0)</f>
        <v>0</v>
      </c>
      <c r="DC175" s="19" t="n">
        <f aca="false">IF(AND('Bonding Program'!$S$34=1,'Bonding Program'!$H$34&gt;'Bonding Program'!$C$8,DC$3='Bonding Program'!$H$34),'Bonding Program'!$T$34-'Bonding Program'!$U$34-'Bonding Program'!$Z$34,0)-IF(AND('Bonding Program'!$S$34=1,'Bonding Program'!$H$34&lt;='Bonding Program'!$C$8,DC$3=IF('Bonding Program'!$P$34&lt;&gt;"",'Bonding Program'!$P$34,'Bonding Program'!$C$8)),'Bonding Program'!$Z$34,0)+IF(AND('Bonding Program'!$P$34&lt;&gt;"",DC$3='Bonding Program'!$P$34,DC$3&lt;='Bonding Program'!$C$8),N('Bonding Program'!$O$34),0)</f>
        <v>0</v>
      </c>
      <c r="DD175" s="19" t="n">
        <f aca="false">IF(AND('Bonding Program'!$S$34=1,'Bonding Program'!$H$34&gt;'Bonding Program'!$C$8,DD$3='Bonding Program'!$H$34),'Bonding Program'!$T$34-'Bonding Program'!$U$34-'Bonding Program'!$Z$34,0)-IF(AND('Bonding Program'!$S$34=1,'Bonding Program'!$H$34&lt;='Bonding Program'!$C$8,DD$3=IF('Bonding Program'!$P$34&lt;&gt;"",'Bonding Program'!$P$34,'Bonding Program'!$C$8)),'Bonding Program'!$Z$34,0)+IF(AND('Bonding Program'!$P$34&lt;&gt;"",DD$3='Bonding Program'!$P$34,DD$3&lt;='Bonding Program'!$C$8),N('Bonding Program'!$O$34),0)</f>
        <v>0</v>
      </c>
      <c r="DE175" s="19" t="n">
        <f aca="false">IF(AND('Bonding Program'!$S$34=1,'Bonding Program'!$H$34&gt;'Bonding Program'!$C$8,DE$3='Bonding Program'!$H$34),'Bonding Program'!$T$34-'Bonding Program'!$U$34-'Bonding Program'!$Z$34,0)-IF(AND('Bonding Program'!$S$34=1,'Bonding Program'!$H$34&lt;='Bonding Program'!$C$8,DE$3=IF('Bonding Program'!$P$34&lt;&gt;"",'Bonding Program'!$P$34,'Bonding Program'!$C$8)),'Bonding Program'!$Z$34,0)+IF(AND('Bonding Program'!$P$34&lt;&gt;"",DE$3='Bonding Program'!$P$34,DE$3&lt;='Bonding Program'!$C$8),N('Bonding Program'!$O$34),0)</f>
        <v>0</v>
      </c>
    </row>
    <row r="176" customFormat="false" ht="15" hidden="false" customHeight="true" outlineLevel="1" collapsed="false">
      <c r="A176" s="28" t="s">
        <v>31</v>
      </c>
      <c r="B176" s="19" t="n">
        <f aca="false">IF(AND('Bonding Program'!$S$35=1,'Bonding Program'!$H$35&gt;'Bonding Program'!$C$8,B$3='Bonding Program'!$H$35),'Bonding Program'!$T$35-'Bonding Program'!$U$35-'Bonding Program'!$Z$35,0)-IF(AND('Bonding Program'!$S$35=1,'Bonding Program'!$H$35&lt;='Bonding Program'!$C$8,B$3=IF('Bonding Program'!$P$35&lt;&gt;"",'Bonding Program'!$P$35,'Bonding Program'!$C$8)),'Bonding Program'!$Z$35,0)+IF(AND('Bonding Program'!$P$35&lt;&gt;"",B$3='Bonding Program'!$P$35,B$3&lt;='Bonding Program'!$C$8),N('Bonding Program'!$O$35),0)</f>
        <v>0</v>
      </c>
      <c r="C176" s="19" t="n">
        <f aca="false">IF(AND('Bonding Program'!$S$35=1,'Bonding Program'!$H$35&gt;'Bonding Program'!$C$8,C$3='Bonding Program'!$H$35),'Bonding Program'!$T$35-'Bonding Program'!$U$35-'Bonding Program'!$Z$35,0)-IF(AND('Bonding Program'!$S$35=1,'Bonding Program'!$H$35&lt;='Bonding Program'!$C$8,C$3=IF('Bonding Program'!$P$35&lt;&gt;"",'Bonding Program'!$P$35,'Bonding Program'!$C$8)),'Bonding Program'!$Z$35,0)+IF(AND('Bonding Program'!$P$35&lt;&gt;"",C$3='Bonding Program'!$P$35,C$3&lt;='Bonding Program'!$C$8),N('Bonding Program'!$O$35),0)</f>
        <v>0</v>
      </c>
      <c r="D176" s="19" t="n">
        <f aca="false">IF(AND('Bonding Program'!$S$35=1,'Bonding Program'!$H$35&gt;'Bonding Program'!$C$8,D$3='Bonding Program'!$H$35),'Bonding Program'!$T$35-'Bonding Program'!$U$35-'Bonding Program'!$Z$35,0)-IF(AND('Bonding Program'!$S$35=1,'Bonding Program'!$H$35&lt;='Bonding Program'!$C$8,D$3=IF('Bonding Program'!$P$35&lt;&gt;"",'Bonding Program'!$P$35,'Bonding Program'!$C$8)),'Bonding Program'!$Z$35,0)+IF(AND('Bonding Program'!$P$35&lt;&gt;"",D$3='Bonding Program'!$P$35,D$3&lt;='Bonding Program'!$C$8),N('Bonding Program'!$O$35),0)</f>
        <v>0</v>
      </c>
      <c r="E176" s="19" t="n">
        <f aca="false">IF(AND('Bonding Program'!$S$35=1,'Bonding Program'!$H$35&gt;'Bonding Program'!$C$8,E$3='Bonding Program'!$H$35),'Bonding Program'!$T$35-'Bonding Program'!$U$35-'Bonding Program'!$Z$35,0)-IF(AND('Bonding Program'!$S$35=1,'Bonding Program'!$H$35&lt;='Bonding Program'!$C$8,E$3=IF('Bonding Program'!$P$35&lt;&gt;"",'Bonding Program'!$P$35,'Bonding Program'!$C$8)),'Bonding Program'!$Z$35,0)+IF(AND('Bonding Program'!$P$35&lt;&gt;"",E$3='Bonding Program'!$P$35,E$3&lt;='Bonding Program'!$C$8),N('Bonding Program'!$O$35),0)</f>
        <v>0</v>
      </c>
      <c r="F176" s="19" t="n">
        <f aca="false">IF(AND('Bonding Program'!$S$35=1,'Bonding Program'!$H$35&gt;'Bonding Program'!$C$8,F$3='Bonding Program'!$H$35),'Bonding Program'!$T$35-'Bonding Program'!$U$35-'Bonding Program'!$Z$35,0)-IF(AND('Bonding Program'!$S$35=1,'Bonding Program'!$H$35&lt;='Bonding Program'!$C$8,F$3=IF('Bonding Program'!$P$35&lt;&gt;"",'Bonding Program'!$P$35,'Bonding Program'!$C$8)),'Bonding Program'!$Z$35,0)+IF(AND('Bonding Program'!$P$35&lt;&gt;"",F$3='Bonding Program'!$P$35,F$3&lt;='Bonding Program'!$C$8),N('Bonding Program'!$O$35),0)</f>
        <v>0</v>
      </c>
      <c r="G176" s="19" t="n">
        <f aca="false">IF(AND('Bonding Program'!$S$35=1,'Bonding Program'!$H$35&gt;'Bonding Program'!$C$8,G$3='Bonding Program'!$H$35),'Bonding Program'!$T$35-'Bonding Program'!$U$35-'Bonding Program'!$Z$35,0)-IF(AND('Bonding Program'!$S$35=1,'Bonding Program'!$H$35&lt;='Bonding Program'!$C$8,G$3=IF('Bonding Program'!$P$35&lt;&gt;"",'Bonding Program'!$P$35,'Bonding Program'!$C$8)),'Bonding Program'!$Z$35,0)+IF(AND('Bonding Program'!$P$35&lt;&gt;"",G$3='Bonding Program'!$P$35,G$3&lt;='Bonding Program'!$C$8),N('Bonding Program'!$O$35),0)</f>
        <v>0</v>
      </c>
      <c r="H176" s="19" t="n">
        <f aca="false">IF(AND('Bonding Program'!$S$35=1,'Bonding Program'!$H$35&gt;'Bonding Program'!$C$8,H$3='Bonding Program'!$H$35),'Bonding Program'!$T$35-'Bonding Program'!$U$35-'Bonding Program'!$Z$35,0)-IF(AND('Bonding Program'!$S$35=1,'Bonding Program'!$H$35&lt;='Bonding Program'!$C$8,H$3=IF('Bonding Program'!$P$35&lt;&gt;"",'Bonding Program'!$P$35,'Bonding Program'!$C$8)),'Bonding Program'!$Z$35,0)+IF(AND('Bonding Program'!$P$35&lt;&gt;"",H$3='Bonding Program'!$P$35,H$3&lt;='Bonding Program'!$C$8),N('Bonding Program'!$O$35),0)</f>
        <v>0</v>
      </c>
      <c r="I176" s="19" t="n">
        <f aca="false">IF(AND('Bonding Program'!$S$35=1,'Bonding Program'!$H$35&gt;'Bonding Program'!$C$8,I$3='Bonding Program'!$H$35),'Bonding Program'!$T$35-'Bonding Program'!$U$35-'Bonding Program'!$Z$35,0)-IF(AND('Bonding Program'!$S$35=1,'Bonding Program'!$H$35&lt;='Bonding Program'!$C$8,I$3=IF('Bonding Program'!$P$35&lt;&gt;"",'Bonding Program'!$P$35,'Bonding Program'!$C$8)),'Bonding Program'!$Z$35,0)+IF(AND('Bonding Program'!$P$35&lt;&gt;"",I$3='Bonding Program'!$P$35,I$3&lt;='Bonding Program'!$C$8),N('Bonding Program'!$O$35),0)</f>
        <v>0</v>
      </c>
      <c r="J176" s="19" t="n">
        <f aca="false">IF(AND('Bonding Program'!$S$35=1,'Bonding Program'!$H$35&gt;'Bonding Program'!$C$8,J$3='Bonding Program'!$H$35),'Bonding Program'!$T$35-'Bonding Program'!$U$35-'Bonding Program'!$Z$35,0)-IF(AND('Bonding Program'!$S$35=1,'Bonding Program'!$H$35&lt;='Bonding Program'!$C$8,J$3=IF('Bonding Program'!$P$35&lt;&gt;"",'Bonding Program'!$P$35,'Bonding Program'!$C$8)),'Bonding Program'!$Z$35,0)+IF(AND('Bonding Program'!$P$35&lt;&gt;"",J$3='Bonding Program'!$P$35,J$3&lt;='Bonding Program'!$C$8),N('Bonding Program'!$O$35),0)</f>
        <v>0</v>
      </c>
      <c r="K176" s="19" t="n">
        <f aca="false">IF(AND('Bonding Program'!$S$35=1,'Bonding Program'!$H$35&gt;'Bonding Program'!$C$8,K$3='Bonding Program'!$H$35),'Bonding Program'!$T$35-'Bonding Program'!$U$35-'Bonding Program'!$Z$35,0)-IF(AND('Bonding Program'!$S$35=1,'Bonding Program'!$H$35&lt;='Bonding Program'!$C$8,K$3=IF('Bonding Program'!$P$35&lt;&gt;"",'Bonding Program'!$P$35,'Bonding Program'!$C$8)),'Bonding Program'!$Z$35,0)+IF(AND('Bonding Program'!$P$35&lt;&gt;"",K$3='Bonding Program'!$P$35,K$3&lt;='Bonding Program'!$C$8),N('Bonding Program'!$O$35),0)</f>
        <v>0</v>
      </c>
      <c r="L176" s="19" t="n">
        <f aca="false">IF(AND('Bonding Program'!$S$35=1,'Bonding Program'!$H$35&gt;'Bonding Program'!$C$8,L$3='Bonding Program'!$H$35),'Bonding Program'!$T$35-'Bonding Program'!$U$35-'Bonding Program'!$Z$35,0)-IF(AND('Bonding Program'!$S$35=1,'Bonding Program'!$H$35&lt;='Bonding Program'!$C$8,L$3=IF('Bonding Program'!$P$35&lt;&gt;"",'Bonding Program'!$P$35,'Bonding Program'!$C$8)),'Bonding Program'!$Z$35,0)+IF(AND('Bonding Program'!$P$35&lt;&gt;"",L$3='Bonding Program'!$P$35,L$3&lt;='Bonding Program'!$C$8),N('Bonding Program'!$O$35),0)</f>
        <v>0</v>
      </c>
      <c r="M176" s="19" t="n">
        <f aca="false">IF(AND('Bonding Program'!$S$35=1,'Bonding Program'!$H$35&gt;'Bonding Program'!$C$8,M$3='Bonding Program'!$H$35),'Bonding Program'!$T$35-'Bonding Program'!$U$35-'Bonding Program'!$Z$35,0)-IF(AND('Bonding Program'!$S$35=1,'Bonding Program'!$H$35&lt;='Bonding Program'!$C$8,M$3=IF('Bonding Program'!$P$35&lt;&gt;"",'Bonding Program'!$P$35,'Bonding Program'!$C$8)),'Bonding Program'!$Z$35,0)+IF(AND('Bonding Program'!$P$35&lt;&gt;"",M$3='Bonding Program'!$P$35,M$3&lt;='Bonding Program'!$C$8),N('Bonding Program'!$O$35),0)</f>
        <v>0</v>
      </c>
      <c r="N176" s="19" t="n">
        <f aca="false">IF(AND('Bonding Program'!$S$35=1,'Bonding Program'!$H$35&gt;'Bonding Program'!$C$8,N$3='Bonding Program'!$H$35),'Bonding Program'!$T$35-'Bonding Program'!$U$35-'Bonding Program'!$Z$35,0)-IF(AND('Bonding Program'!$S$35=1,'Bonding Program'!$H$35&lt;='Bonding Program'!$C$8,N$3=IF('Bonding Program'!$P$35&lt;&gt;"",'Bonding Program'!$P$35,'Bonding Program'!$C$8)),'Bonding Program'!$Z$35,0)+IF(AND('Bonding Program'!$P$35&lt;&gt;"",N$3='Bonding Program'!$P$35,N$3&lt;='Bonding Program'!$C$8),N('Bonding Program'!$O$35),0)</f>
        <v>0</v>
      </c>
      <c r="O176" s="19" t="n">
        <f aca="false">IF(AND('Bonding Program'!$S$35=1,'Bonding Program'!$H$35&gt;'Bonding Program'!$C$8,O$3='Bonding Program'!$H$35),'Bonding Program'!$T$35-'Bonding Program'!$U$35-'Bonding Program'!$Z$35,0)-IF(AND('Bonding Program'!$S$35=1,'Bonding Program'!$H$35&lt;='Bonding Program'!$C$8,O$3=IF('Bonding Program'!$P$35&lt;&gt;"",'Bonding Program'!$P$35,'Bonding Program'!$C$8)),'Bonding Program'!$Z$35,0)+IF(AND('Bonding Program'!$P$35&lt;&gt;"",O$3='Bonding Program'!$P$35,O$3&lt;='Bonding Program'!$C$8),N('Bonding Program'!$O$35),0)</f>
        <v>0</v>
      </c>
      <c r="P176" s="19" t="n">
        <f aca="false">IF(AND('Bonding Program'!$S$35=1,'Bonding Program'!$H$35&gt;'Bonding Program'!$C$8,P$3='Bonding Program'!$H$35),'Bonding Program'!$T$35-'Bonding Program'!$U$35-'Bonding Program'!$Z$35,0)-IF(AND('Bonding Program'!$S$35=1,'Bonding Program'!$H$35&lt;='Bonding Program'!$C$8,P$3=IF('Bonding Program'!$P$35&lt;&gt;"",'Bonding Program'!$P$35,'Bonding Program'!$C$8)),'Bonding Program'!$Z$35,0)+IF(AND('Bonding Program'!$P$35&lt;&gt;"",P$3='Bonding Program'!$P$35,P$3&lt;='Bonding Program'!$C$8),N('Bonding Program'!$O$35),0)</f>
        <v>0</v>
      </c>
      <c r="Q176" s="19" t="n">
        <f aca="false">IF(AND('Bonding Program'!$S$35=1,'Bonding Program'!$H$35&gt;'Bonding Program'!$C$8,Q$3='Bonding Program'!$H$35),'Bonding Program'!$T$35-'Bonding Program'!$U$35-'Bonding Program'!$Z$35,0)-IF(AND('Bonding Program'!$S$35=1,'Bonding Program'!$H$35&lt;='Bonding Program'!$C$8,Q$3=IF('Bonding Program'!$P$35&lt;&gt;"",'Bonding Program'!$P$35,'Bonding Program'!$C$8)),'Bonding Program'!$Z$35,0)+IF(AND('Bonding Program'!$P$35&lt;&gt;"",Q$3='Bonding Program'!$P$35,Q$3&lt;='Bonding Program'!$C$8),N('Bonding Program'!$O$35),0)</f>
        <v>0</v>
      </c>
      <c r="R176" s="19" t="n">
        <f aca="false">IF(AND('Bonding Program'!$S$35=1,'Bonding Program'!$H$35&gt;'Bonding Program'!$C$8,R$3='Bonding Program'!$H$35),'Bonding Program'!$T$35-'Bonding Program'!$U$35-'Bonding Program'!$Z$35,0)-IF(AND('Bonding Program'!$S$35=1,'Bonding Program'!$H$35&lt;='Bonding Program'!$C$8,R$3=IF('Bonding Program'!$P$35&lt;&gt;"",'Bonding Program'!$P$35,'Bonding Program'!$C$8)),'Bonding Program'!$Z$35,0)+IF(AND('Bonding Program'!$P$35&lt;&gt;"",R$3='Bonding Program'!$P$35,R$3&lt;='Bonding Program'!$C$8),N('Bonding Program'!$O$35),0)</f>
        <v>0</v>
      </c>
      <c r="S176" s="19" t="n">
        <f aca="false">IF(AND('Bonding Program'!$S$35=1,'Bonding Program'!$H$35&gt;'Bonding Program'!$C$8,S$3='Bonding Program'!$H$35),'Bonding Program'!$T$35-'Bonding Program'!$U$35-'Bonding Program'!$Z$35,0)-IF(AND('Bonding Program'!$S$35=1,'Bonding Program'!$H$35&lt;='Bonding Program'!$C$8,S$3=IF('Bonding Program'!$P$35&lt;&gt;"",'Bonding Program'!$P$35,'Bonding Program'!$C$8)),'Bonding Program'!$Z$35,0)+IF(AND('Bonding Program'!$P$35&lt;&gt;"",S$3='Bonding Program'!$P$35,S$3&lt;='Bonding Program'!$C$8),N('Bonding Program'!$O$35),0)</f>
        <v>0</v>
      </c>
      <c r="T176" s="19" t="n">
        <f aca="false">IF(AND('Bonding Program'!$S$35=1,'Bonding Program'!$H$35&gt;'Bonding Program'!$C$8,T$3='Bonding Program'!$H$35),'Bonding Program'!$T$35-'Bonding Program'!$U$35-'Bonding Program'!$Z$35,0)-IF(AND('Bonding Program'!$S$35=1,'Bonding Program'!$H$35&lt;='Bonding Program'!$C$8,T$3=IF('Bonding Program'!$P$35&lt;&gt;"",'Bonding Program'!$P$35,'Bonding Program'!$C$8)),'Bonding Program'!$Z$35,0)+IF(AND('Bonding Program'!$P$35&lt;&gt;"",T$3='Bonding Program'!$P$35,T$3&lt;='Bonding Program'!$C$8),N('Bonding Program'!$O$35),0)</f>
        <v>0</v>
      </c>
      <c r="U176" s="19" t="n">
        <f aca="false">IF(AND('Bonding Program'!$S$35=1,'Bonding Program'!$H$35&gt;'Bonding Program'!$C$8,U$3='Bonding Program'!$H$35),'Bonding Program'!$T$35-'Bonding Program'!$U$35-'Bonding Program'!$Z$35,0)-IF(AND('Bonding Program'!$S$35=1,'Bonding Program'!$H$35&lt;='Bonding Program'!$C$8,U$3=IF('Bonding Program'!$P$35&lt;&gt;"",'Bonding Program'!$P$35,'Bonding Program'!$C$8)),'Bonding Program'!$Z$35,0)+IF(AND('Bonding Program'!$P$35&lt;&gt;"",U$3='Bonding Program'!$P$35,U$3&lt;='Bonding Program'!$C$8),N('Bonding Program'!$O$35),0)</f>
        <v>0</v>
      </c>
      <c r="V176" s="19" t="n">
        <f aca="false">IF(AND('Bonding Program'!$S$35=1,'Bonding Program'!$H$35&gt;'Bonding Program'!$C$8,V$3='Bonding Program'!$H$35),'Bonding Program'!$T$35-'Bonding Program'!$U$35-'Bonding Program'!$Z$35,0)-IF(AND('Bonding Program'!$S$35=1,'Bonding Program'!$H$35&lt;='Bonding Program'!$C$8,V$3=IF('Bonding Program'!$P$35&lt;&gt;"",'Bonding Program'!$P$35,'Bonding Program'!$C$8)),'Bonding Program'!$Z$35,0)+IF(AND('Bonding Program'!$P$35&lt;&gt;"",V$3='Bonding Program'!$P$35,V$3&lt;='Bonding Program'!$C$8),N('Bonding Program'!$O$35),0)</f>
        <v>0</v>
      </c>
      <c r="W176" s="19" t="n">
        <f aca="false">IF(AND('Bonding Program'!$S$35=1,'Bonding Program'!$H$35&gt;'Bonding Program'!$C$8,W$3='Bonding Program'!$H$35),'Bonding Program'!$T$35-'Bonding Program'!$U$35-'Bonding Program'!$Z$35,0)-IF(AND('Bonding Program'!$S$35=1,'Bonding Program'!$H$35&lt;='Bonding Program'!$C$8,W$3=IF('Bonding Program'!$P$35&lt;&gt;"",'Bonding Program'!$P$35,'Bonding Program'!$C$8)),'Bonding Program'!$Z$35,0)+IF(AND('Bonding Program'!$P$35&lt;&gt;"",W$3='Bonding Program'!$P$35,W$3&lt;='Bonding Program'!$C$8),N('Bonding Program'!$O$35),0)</f>
        <v>0</v>
      </c>
      <c r="X176" s="19" t="n">
        <f aca="false">IF(AND('Bonding Program'!$S$35=1,'Bonding Program'!$H$35&gt;'Bonding Program'!$C$8,X$3='Bonding Program'!$H$35),'Bonding Program'!$T$35-'Bonding Program'!$U$35-'Bonding Program'!$Z$35,0)-IF(AND('Bonding Program'!$S$35=1,'Bonding Program'!$H$35&lt;='Bonding Program'!$C$8,X$3=IF('Bonding Program'!$P$35&lt;&gt;"",'Bonding Program'!$P$35,'Bonding Program'!$C$8)),'Bonding Program'!$Z$35,0)+IF(AND('Bonding Program'!$P$35&lt;&gt;"",X$3='Bonding Program'!$P$35,X$3&lt;='Bonding Program'!$C$8),N('Bonding Program'!$O$35),0)</f>
        <v>0</v>
      </c>
      <c r="Y176" s="19" t="n">
        <f aca="false">IF(AND('Bonding Program'!$S$35=1,'Bonding Program'!$H$35&gt;'Bonding Program'!$C$8,Y$3='Bonding Program'!$H$35),'Bonding Program'!$T$35-'Bonding Program'!$U$35-'Bonding Program'!$Z$35,0)-IF(AND('Bonding Program'!$S$35=1,'Bonding Program'!$H$35&lt;='Bonding Program'!$C$8,Y$3=IF('Bonding Program'!$P$35&lt;&gt;"",'Bonding Program'!$P$35,'Bonding Program'!$C$8)),'Bonding Program'!$Z$35,0)+IF(AND('Bonding Program'!$P$35&lt;&gt;"",Y$3='Bonding Program'!$P$35,Y$3&lt;='Bonding Program'!$C$8),N('Bonding Program'!$O$35),0)</f>
        <v>0</v>
      </c>
      <c r="Z176" s="19" t="n">
        <f aca="false">IF(AND('Bonding Program'!$S$35=1,'Bonding Program'!$H$35&gt;'Bonding Program'!$C$8,Z$3='Bonding Program'!$H$35),'Bonding Program'!$T$35-'Bonding Program'!$U$35-'Bonding Program'!$Z$35,0)-IF(AND('Bonding Program'!$S$35=1,'Bonding Program'!$H$35&lt;='Bonding Program'!$C$8,Z$3=IF('Bonding Program'!$P$35&lt;&gt;"",'Bonding Program'!$P$35,'Bonding Program'!$C$8)),'Bonding Program'!$Z$35,0)+IF(AND('Bonding Program'!$P$35&lt;&gt;"",Z$3='Bonding Program'!$P$35,Z$3&lt;='Bonding Program'!$C$8),N('Bonding Program'!$O$35),0)</f>
        <v>0</v>
      </c>
      <c r="AA176" s="19" t="n">
        <f aca="false">IF(AND('Bonding Program'!$S$35=1,'Bonding Program'!$H$35&gt;'Bonding Program'!$C$8,AA$3='Bonding Program'!$H$35),'Bonding Program'!$T$35-'Bonding Program'!$U$35-'Bonding Program'!$Z$35,0)-IF(AND('Bonding Program'!$S$35=1,'Bonding Program'!$H$35&lt;='Bonding Program'!$C$8,AA$3=IF('Bonding Program'!$P$35&lt;&gt;"",'Bonding Program'!$P$35,'Bonding Program'!$C$8)),'Bonding Program'!$Z$35,0)+IF(AND('Bonding Program'!$P$35&lt;&gt;"",AA$3='Bonding Program'!$P$35,AA$3&lt;='Bonding Program'!$C$8),N('Bonding Program'!$O$35),0)</f>
        <v>0</v>
      </c>
      <c r="AB176" s="19" t="n">
        <f aca="false">IF(AND('Bonding Program'!$S$35=1,'Bonding Program'!$H$35&gt;'Bonding Program'!$C$8,AB$3='Bonding Program'!$H$35),'Bonding Program'!$T$35-'Bonding Program'!$U$35-'Bonding Program'!$Z$35,0)-IF(AND('Bonding Program'!$S$35=1,'Bonding Program'!$H$35&lt;='Bonding Program'!$C$8,AB$3=IF('Bonding Program'!$P$35&lt;&gt;"",'Bonding Program'!$P$35,'Bonding Program'!$C$8)),'Bonding Program'!$Z$35,0)+IF(AND('Bonding Program'!$P$35&lt;&gt;"",AB$3='Bonding Program'!$P$35,AB$3&lt;='Bonding Program'!$C$8),N('Bonding Program'!$O$35),0)</f>
        <v>0</v>
      </c>
      <c r="AC176" s="19" t="n">
        <f aca="false">IF(AND('Bonding Program'!$S$35=1,'Bonding Program'!$H$35&gt;'Bonding Program'!$C$8,AC$3='Bonding Program'!$H$35),'Bonding Program'!$T$35-'Bonding Program'!$U$35-'Bonding Program'!$Z$35,0)-IF(AND('Bonding Program'!$S$35=1,'Bonding Program'!$H$35&lt;='Bonding Program'!$C$8,AC$3=IF('Bonding Program'!$P$35&lt;&gt;"",'Bonding Program'!$P$35,'Bonding Program'!$C$8)),'Bonding Program'!$Z$35,0)+IF(AND('Bonding Program'!$P$35&lt;&gt;"",AC$3='Bonding Program'!$P$35,AC$3&lt;='Bonding Program'!$C$8),N('Bonding Program'!$O$35),0)</f>
        <v>0</v>
      </c>
      <c r="AD176" s="19" t="n">
        <f aca="false">IF(AND('Bonding Program'!$S$35=1,'Bonding Program'!$H$35&gt;'Bonding Program'!$C$8,AD$3='Bonding Program'!$H$35),'Bonding Program'!$T$35-'Bonding Program'!$U$35-'Bonding Program'!$Z$35,0)-IF(AND('Bonding Program'!$S$35=1,'Bonding Program'!$H$35&lt;='Bonding Program'!$C$8,AD$3=IF('Bonding Program'!$P$35&lt;&gt;"",'Bonding Program'!$P$35,'Bonding Program'!$C$8)),'Bonding Program'!$Z$35,0)+IF(AND('Bonding Program'!$P$35&lt;&gt;"",AD$3='Bonding Program'!$P$35,AD$3&lt;='Bonding Program'!$C$8),N('Bonding Program'!$O$35),0)</f>
        <v>0</v>
      </c>
      <c r="AE176" s="19" t="n">
        <f aca="false">IF(AND('Bonding Program'!$S$35=1,'Bonding Program'!$H$35&gt;'Bonding Program'!$C$8,AE$3='Bonding Program'!$H$35),'Bonding Program'!$T$35-'Bonding Program'!$U$35-'Bonding Program'!$Z$35,0)-IF(AND('Bonding Program'!$S$35=1,'Bonding Program'!$H$35&lt;='Bonding Program'!$C$8,AE$3=IF('Bonding Program'!$P$35&lt;&gt;"",'Bonding Program'!$P$35,'Bonding Program'!$C$8)),'Bonding Program'!$Z$35,0)+IF(AND('Bonding Program'!$P$35&lt;&gt;"",AE$3='Bonding Program'!$P$35,AE$3&lt;='Bonding Program'!$C$8),N('Bonding Program'!$O$35),0)</f>
        <v>0</v>
      </c>
      <c r="AF176" s="19" t="n">
        <f aca="false">IF(AND('Bonding Program'!$S$35=1,'Bonding Program'!$H$35&gt;'Bonding Program'!$C$8,AF$3='Bonding Program'!$H$35),'Bonding Program'!$T$35-'Bonding Program'!$U$35-'Bonding Program'!$Z$35,0)-IF(AND('Bonding Program'!$S$35=1,'Bonding Program'!$H$35&lt;='Bonding Program'!$C$8,AF$3=IF('Bonding Program'!$P$35&lt;&gt;"",'Bonding Program'!$P$35,'Bonding Program'!$C$8)),'Bonding Program'!$Z$35,0)+IF(AND('Bonding Program'!$P$35&lt;&gt;"",AF$3='Bonding Program'!$P$35,AF$3&lt;='Bonding Program'!$C$8),N('Bonding Program'!$O$35),0)</f>
        <v>0</v>
      </c>
      <c r="AG176" s="19" t="n">
        <f aca="false">IF(AND('Bonding Program'!$S$35=1,'Bonding Program'!$H$35&gt;'Bonding Program'!$C$8,AG$3='Bonding Program'!$H$35),'Bonding Program'!$T$35-'Bonding Program'!$U$35-'Bonding Program'!$Z$35,0)-IF(AND('Bonding Program'!$S$35=1,'Bonding Program'!$H$35&lt;='Bonding Program'!$C$8,AG$3=IF('Bonding Program'!$P$35&lt;&gt;"",'Bonding Program'!$P$35,'Bonding Program'!$C$8)),'Bonding Program'!$Z$35,0)+IF(AND('Bonding Program'!$P$35&lt;&gt;"",AG$3='Bonding Program'!$P$35,AG$3&lt;='Bonding Program'!$C$8),N('Bonding Program'!$O$35),0)</f>
        <v>0</v>
      </c>
      <c r="AH176" s="19" t="n">
        <f aca="false">IF(AND('Bonding Program'!$S$35=1,'Bonding Program'!$H$35&gt;'Bonding Program'!$C$8,AH$3='Bonding Program'!$H$35),'Bonding Program'!$T$35-'Bonding Program'!$U$35-'Bonding Program'!$Z$35,0)-IF(AND('Bonding Program'!$S$35=1,'Bonding Program'!$H$35&lt;='Bonding Program'!$C$8,AH$3=IF('Bonding Program'!$P$35&lt;&gt;"",'Bonding Program'!$P$35,'Bonding Program'!$C$8)),'Bonding Program'!$Z$35,0)+IF(AND('Bonding Program'!$P$35&lt;&gt;"",AH$3='Bonding Program'!$P$35,AH$3&lt;='Bonding Program'!$C$8),N('Bonding Program'!$O$35),0)</f>
        <v>0</v>
      </c>
      <c r="AI176" s="19" t="n">
        <f aca="false">IF(AND('Bonding Program'!$S$35=1,'Bonding Program'!$H$35&gt;'Bonding Program'!$C$8,AI$3='Bonding Program'!$H$35),'Bonding Program'!$T$35-'Bonding Program'!$U$35-'Bonding Program'!$Z$35,0)-IF(AND('Bonding Program'!$S$35=1,'Bonding Program'!$H$35&lt;='Bonding Program'!$C$8,AI$3=IF('Bonding Program'!$P$35&lt;&gt;"",'Bonding Program'!$P$35,'Bonding Program'!$C$8)),'Bonding Program'!$Z$35,0)+IF(AND('Bonding Program'!$P$35&lt;&gt;"",AI$3='Bonding Program'!$P$35,AI$3&lt;='Bonding Program'!$C$8),N('Bonding Program'!$O$35),0)</f>
        <v>0</v>
      </c>
      <c r="AJ176" s="19" t="n">
        <f aca="false">IF(AND('Bonding Program'!$S$35=1,'Bonding Program'!$H$35&gt;'Bonding Program'!$C$8,AJ$3='Bonding Program'!$H$35),'Bonding Program'!$T$35-'Bonding Program'!$U$35-'Bonding Program'!$Z$35,0)-IF(AND('Bonding Program'!$S$35=1,'Bonding Program'!$H$35&lt;='Bonding Program'!$C$8,AJ$3=IF('Bonding Program'!$P$35&lt;&gt;"",'Bonding Program'!$P$35,'Bonding Program'!$C$8)),'Bonding Program'!$Z$35,0)+IF(AND('Bonding Program'!$P$35&lt;&gt;"",AJ$3='Bonding Program'!$P$35,AJ$3&lt;='Bonding Program'!$C$8),N('Bonding Program'!$O$35),0)</f>
        <v>-265825.123152709</v>
      </c>
      <c r="AK176" s="19" t="n">
        <f aca="false">IF(AND('Bonding Program'!$S$35=1,'Bonding Program'!$H$35&gt;'Bonding Program'!$C$8,AK$3='Bonding Program'!$H$35),'Bonding Program'!$T$35-'Bonding Program'!$U$35-'Bonding Program'!$Z$35,0)-IF(AND('Bonding Program'!$S$35=1,'Bonding Program'!$H$35&lt;='Bonding Program'!$C$8,AK$3=IF('Bonding Program'!$P$35&lt;&gt;"",'Bonding Program'!$P$35,'Bonding Program'!$C$8)),'Bonding Program'!$Z$35,0)+IF(AND('Bonding Program'!$P$35&lt;&gt;"",AK$3='Bonding Program'!$P$35,AK$3&lt;='Bonding Program'!$C$8),N('Bonding Program'!$O$35),0)</f>
        <v>0</v>
      </c>
      <c r="AL176" s="19" t="n">
        <f aca="false">IF(AND('Bonding Program'!$S$35=1,'Bonding Program'!$H$35&gt;'Bonding Program'!$C$8,AL$3='Bonding Program'!$H$35),'Bonding Program'!$T$35-'Bonding Program'!$U$35-'Bonding Program'!$Z$35,0)-IF(AND('Bonding Program'!$S$35=1,'Bonding Program'!$H$35&lt;='Bonding Program'!$C$8,AL$3=IF('Bonding Program'!$P$35&lt;&gt;"",'Bonding Program'!$P$35,'Bonding Program'!$C$8)),'Bonding Program'!$Z$35,0)+IF(AND('Bonding Program'!$P$35&lt;&gt;"",AL$3='Bonding Program'!$P$35,AL$3&lt;='Bonding Program'!$C$8),N('Bonding Program'!$O$35),0)</f>
        <v>0</v>
      </c>
      <c r="AM176" s="19" t="n">
        <f aca="false">IF(AND('Bonding Program'!$S$35=1,'Bonding Program'!$H$35&gt;'Bonding Program'!$C$8,AM$3='Bonding Program'!$H$35),'Bonding Program'!$T$35-'Bonding Program'!$U$35-'Bonding Program'!$Z$35,0)-IF(AND('Bonding Program'!$S$35=1,'Bonding Program'!$H$35&lt;='Bonding Program'!$C$8,AM$3=IF('Bonding Program'!$P$35&lt;&gt;"",'Bonding Program'!$P$35,'Bonding Program'!$C$8)),'Bonding Program'!$Z$35,0)+IF(AND('Bonding Program'!$P$35&lt;&gt;"",AM$3='Bonding Program'!$P$35,AM$3&lt;='Bonding Program'!$C$8),N('Bonding Program'!$O$35),0)</f>
        <v>0</v>
      </c>
      <c r="AN176" s="19" t="n">
        <f aca="false">IF(AND('Bonding Program'!$S$35=1,'Bonding Program'!$H$35&gt;'Bonding Program'!$C$8,AN$3='Bonding Program'!$H$35),'Bonding Program'!$T$35-'Bonding Program'!$U$35-'Bonding Program'!$Z$35,0)-IF(AND('Bonding Program'!$S$35=1,'Bonding Program'!$H$35&lt;='Bonding Program'!$C$8,AN$3=IF('Bonding Program'!$P$35&lt;&gt;"",'Bonding Program'!$P$35,'Bonding Program'!$C$8)),'Bonding Program'!$Z$35,0)+IF(AND('Bonding Program'!$P$35&lt;&gt;"",AN$3='Bonding Program'!$P$35,AN$3&lt;='Bonding Program'!$C$8),N('Bonding Program'!$O$35),0)</f>
        <v>0</v>
      </c>
      <c r="AO176" s="19" t="n">
        <f aca="false">IF(AND('Bonding Program'!$S$35=1,'Bonding Program'!$H$35&gt;'Bonding Program'!$C$8,AO$3='Bonding Program'!$H$35),'Bonding Program'!$T$35-'Bonding Program'!$U$35-'Bonding Program'!$Z$35,0)-IF(AND('Bonding Program'!$S$35=1,'Bonding Program'!$H$35&lt;='Bonding Program'!$C$8,AO$3=IF('Bonding Program'!$P$35&lt;&gt;"",'Bonding Program'!$P$35,'Bonding Program'!$C$8)),'Bonding Program'!$Z$35,0)+IF(AND('Bonding Program'!$P$35&lt;&gt;"",AO$3='Bonding Program'!$P$35,AO$3&lt;='Bonding Program'!$C$8),N('Bonding Program'!$O$35),0)</f>
        <v>0</v>
      </c>
      <c r="AP176" s="19" t="n">
        <f aca="false">IF(AND('Bonding Program'!$S$35=1,'Bonding Program'!$H$35&gt;'Bonding Program'!$C$8,AP$3='Bonding Program'!$H$35),'Bonding Program'!$T$35-'Bonding Program'!$U$35-'Bonding Program'!$Z$35,0)-IF(AND('Bonding Program'!$S$35=1,'Bonding Program'!$H$35&lt;='Bonding Program'!$C$8,AP$3=IF('Bonding Program'!$P$35&lt;&gt;"",'Bonding Program'!$P$35,'Bonding Program'!$C$8)),'Bonding Program'!$Z$35,0)+IF(AND('Bonding Program'!$P$35&lt;&gt;"",AP$3='Bonding Program'!$P$35,AP$3&lt;='Bonding Program'!$C$8),N('Bonding Program'!$O$35),0)</f>
        <v>0</v>
      </c>
      <c r="AQ176" s="19" t="n">
        <f aca="false">IF(AND('Bonding Program'!$S$35=1,'Bonding Program'!$H$35&gt;'Bonding Program'!$C$8,AQ$3='Bonding Program'!$H$35),'Bonding Program'!$T$35-'Bonding Program'!$U$35-'Bonding Program'!$Z$35,0)-IF(AND('Bonding Program'!$S$35=1,'Bonding Program'!$H$35&lt;='Bonding Program'!$C$8,AQ$3=IF('Bonding Program'!$P$35&lt;&gt;"",'Bonding Program'!$P$35,'Bonding Program'!$C$8)),'Bonding Program'!$Z$35,0)+IF(AND('Bonding Program'!$P$35&lt;&gt;"",AQ$3='Bonding Program'!$P$35,AQ$3&lt;='Bonding Program'!$C$8),N('Bonding Program'!$O$35),0)</f>
        <v>0</v>
      </c>
      <c r="AR176" s="19" t="n">
        <f aca="false">IF(AND('Bonding Program'!$S$35=1,'Bonding Program'!$H$35&gt;'Bonding Program'!$C$8,AR$3='Bonding Program'!$H$35),'Bonding Program'!$T$35-'Bonding Program'!$U$35-'Bonding Program'!$Z$35,0)-IF(AND('Bonding Program'!$S$35=1,'Bonding Program'!$H$35&lt;='Bonding Program'!$C$8,AR$3=IF('Bonding Program'!$P$35&lt;&gt;"",'Bonding Program'!$P$35,'Bonding Program'!$C$8)),'Bonding Program'!$Z$35,0)+IF(AND('Bonding Program'!$P$35&lt;&gt;"",AR$3='Bonding Program'!$P$35,AR$3&lt;='Bonding Program'!$C$8),N('Bonding Program'!$O$35),0)</f>
        <v>0</v>
      </c>
      <c r="AS176" s="19" t="n">
        <f aca="false">IF(AND('Bonding Program'!$S$35=1,'Bonding Program'!$H$35&gt;'Bonding Program'!$C$8,AS$3='Bonding Program'!$H$35),'Bonding Program'!$T$35-'Bonding Program'!$U$35-'Bonding Program'!$Z$35,0)-IF(AND('Bonding Program'!$S$35=1,'Bonding Program'!$H$35&lt;='Bonding Program'!$C$8,AS$3=IF('Bonding Program'!$P$35&lt;&gt;"",'Bonding Program'!$P$35,'Bonding Program'!$C$8)),'Bonding Program'!$Z$35,0)+IF(AND('Bonding Program'!$P$35&lt;&gt;"",AS$3='Bonding Program'!$P$35,AS$3&lt;='Bonding Program'!$C$8),N('Bonding Program'!$O$35),0)</f>
        <v>0</v>
      </c>
      <c r="AT176" s="19" t="n">
        <f aca="false">IF(AND('Bonding Program'!$S$35=1,'Bonding Program'!$H$35&gt;'Bonding Program'!$C$8,AT$3='Bonding Program'!$H$35),'Bonding Program'!$T$35-'Bonding Program'!$U$35-'Bonding Program'!$Z$35,0)-IF(AND('Bonding Program'!$S$35=1,'Bonding Program'!$H$35&lt;='Bonding Program'!$C$8,AT$3=IF('Bonding Program'!$P$35&lt;&gt;"",'Bonding Program'!$P$35,'Bonding Program'!$C$8)),'Bonding Program'!$Z$35,0)+IF(AND('Bonding Program'!$P$35&lt;&gt;"",AT$3='Bonding Program'!$P$35,AT$3&lt;='Bonding Program'!$C$8),N('Bonding Program'!$O$35),0)</f>
        <v>0</v>
      </c>
      <c r="AU176" s="19" t="n">
        <f aca="false">IF(AND('Bonding Program'!$S$35=1,'Bonding Program'!$H$35&gt;'Bonding Program'!$C$8,AU$3='Bonding Program'!$H$35),'Bonding Program'!$T$35-'Bonding Program'!$U$35-'Bonding Program'!$Z$35,0)-IF(AND('Bonding Program'!$S$35=1,'Bonding Program'!$H$35&lt;='Bonding Program'!$C$8,AU$3=IF('Bonding Program'!$P$35&lt;&gt;"",'Bonding Program'!$P$35,'Bonding Program'!$C$8)),'Bonding Program'!$Z$35,0)+IF(AND('Bonding Program'!$P$35&lt;&gt;"",AU$3='Bonding Program'!$P$35,AU$3&lt;='Bonding Program'!$C$8),N('Bonding Program'!$O$35),0)</f>
        <v>0</v>
      </c>
      <c r="AV176" s="19" t="n">
        <f aca="false">IF(AND('Bonding Program'!$S$35=1,'Bonding Program'!$H$35&gt;'Bonding Program'!$C$8,AV$3='Bonding Program'!$H$35),'Bonding Program'!$T$35-'Bonding Program'!$U$35-'Bonding Program'!$Z$35,0)-IF(AND('Bonding Program'!$S$35=1,'Bonding Program'!$H$35&lt;='Bonding Program'!$C$8,AV$3=IF('Bonding Program'!$P$35&lt;&gt;"",'Bonding Program'!$P$35,'Bonding Program'!$C$8)),'Bonding Program'!$Z$35,0)+IF(AND('Bonding Program'!$P$35&lt;&gt;"",AV$3='Bonding Program'!$P$35,AV$3&lt;='Bonding Program'!$C$8),N('Bonding Program'!$O$35),0)</f>
        <v>0</v>
      </c>
      <c r="AW176" s="19" t="n">
        <f aca="false">IF(AND('Bonding Program'!$S$35=1,'Bonding Program'!$H$35&gt;'Bonding Program'!$C$8,AW$3='Bonding Program'!$H$35),'Bonding Program'!$T$35-'Bonding Program'!$U$35-'Bonding Program'!$Z$35,0)-IF(AND('Bonding Program'!$S$35=1,'Bonding Program'!$H$35&lt;='Bonding Program'!$C$8,AW$3=IF('Bonding Program'!$P$35&lt;&gt;"",'Bonding Program'!$P$35,'Bonding Program'!$C$8)),'Bonding Program'!$Z$35,0)+IF(AND('Bonding Program'!$P$35&lt;&gt;"",AW$3='Bonding Program'!$P$35,AW$3&lt;='Bonding Program'!$C$8),N('Bonding Program'!$O$35),0)</f>
        <v>0</v>
      </c>
      <c r="AX176" s="19" t="n">
        <f aca="false">IF(AND('Bonding Program'!$S$35=1,'Bonding Program'!$H$35&gt;'Bonding Program'!$C$8,AX$3='Bonding Program'!$H$35),'Bonding Program'!$T$35-'Bonding Program'!$U$35-'Bonding Program'!$Z$35,0)-IF(AND('Bonding Program'!$S$35=1,'Bonding Program'!$H$35&lt;='Bonding Program'!$C$8,AX$3=IF('Bonding Program'!$P$35&lt;&gt;"",'Bonding Program'!$P$35,'Bonding Program'!$C$8)),'Bonding Program'!$Z$35,0)+IF(AND('Bonding Program'!$P$35&lt;&gt;"",AX$3='Bonding Program'!$P$35,AX$3&lt;='Bonding Program'!$C$8),N('Bonding Program'!$O$35),0)</f>
        <v>0</v>
      </c>
      <c r="AY176" s="19" t="n">
        <f aca="false">IF(AND('Bonding Program'!$S$35=1,'Bonding Program'!$H$35&gt;'Bonding Program'!$C$8,AY$3='Bonding Program'!$H$35),'Bonding Program'!$T$35-'Bonding Program'!$U$35-'Bonding Program'!$Z$35,0)-IF(AND('Bonding Program'!$S$35=1,'Bonding Program'!$H$35&lt;='Bonding Program'!$C$8,AY$3=IF('Bonding Program'!$P$35&lt;&gt;"",'Bonding Program'!$P$35,'Bonding Program'!$C$8)),'Bonding Program'!$Z$35,0)+IF(AND('Bonding Program'!$P$35&lt;&gt;"",AY$3='Bonding Program'!$P$35,AY$3&lt;='Bonding Program'!$C$8),N('Bonding Program'!$O$35),0)</f>
        <v>0</v>
      </c>
      <c r="AZ176" s="19" t="n">
        <f aca="false">IF(AND('Bonding Program'!$S$35=1,'Bonding Program'!$H$35&gt;'Bonding Program'!$C$8,AZ$3='Bonding Program'!$H$35),'Bonding Program'!$T$35-'Bonding Program'!$U$35-'Bonding Program'!$Z$35,0)-IF(AND('Bonding Program'!$S$35=1,'Bonding Program'!$H$35&lt;='Bonding Program'!$C$8,AZ$3=IF('Bonding Program'!$P$35&lt;&gt;"",'Bonding Program'!$P$35,'Bonding Program'!$C$8)),'Bonding Program'!$Z$35,0)+IF(AND('Bonding Program'!$P$35&lt;&gt;"",AZ$3='Bonding Program'!$P$35,AZ$3&lt;='Bonding Program'!$C$8),N('Bonding Program'!$O$35),0)</f>
        <v>0</v>
      </c>
      <c r="BA176" s="19" t="n">
        <f aca="false">IF(AND('Bonding Program'!$S$35=1,'Bonding Program'!$H$35&gt;'Bonding Program'!$C$8,BA$3='Bonding Program'!$H$35),'Bonding Program'!$T$35-'Bonding Program'!$U$35-'Bonding Program'!$Z$35,0)-IF(AND('Bonding Program'!$S$35=1,'Bonding Program'!$H$35&lt;='Bonding Program'!$C$8,BA$3=IF('Bonding Program'!$P$35&lt;&gt;"",'Bonding Program'!$P$35,'Bonding Program'!$C$8)),'Bonding Program'!$Z$35,0)+IF(AND('Bonding Program'!$P$35&lt;&gt;"",BA$3='Bonding Program'!$P$35,BA$3&lt;='Bonding Program'!$C$8),N('Bonding Program'!$O$35),0)</f>
        <v>0</v>
      </c>
      <c r="BB176" s="19" t="n">
        <f aca="false">IF(AND('Bonding Program'!$S$35=1,'Bonding Program'!$H$35&gt;'Bonding Program'!$C$8,BB$3='Bonding Program'!$H$35),'Bonding Program'!$T$35-'Bonding Program'!$U$35-'Bonding Program'!$Z$35,0)-IF(AND('Bonding Program'!$S$35=1,'Bonding Program'!$H$35&lt;='Bonding Program'!$C$8,BB$3=IF('Bonding Program'!$P$35&lt;&gt;"",'Bonding Program'!$P$35,'Bonding Program'!$C$8)),'Bonding Program'!$Z$35,0)+IF(AND('Bonding Program'!$P$35&lt;&gt;"",BB$3='Bonding Program'!$P$35,BB$3&lt;='Bonding Program'!$C$8),N('Bonding Program'!$O$35),0)</f>
        <v>0</v>
      </c>
      <c r="BC176" s="19" t="n">
        <f aca="false">IF(AND('Bonding Program'!$S$35=1,'Bonding Program'!$H$35&gt;'Bonding Program'!$C$8,BC$3='Bonding Program'!$H$35),'Bonding Program'!$T$35-'Bonding Program'!$U$35-'Bonding Program'!$Z$35,0)-IF(AND('Bonding Program'!$S$35=1,'Bonding Program'!$H$35&lt;='Bonding Program'!$C$8,BC$3=IF('Bonding Program'!$P$35&lt;&gt;"",'Bonding Program'!$P$35,'Bonding Program'!$C$8)),'Bonding Program'!$Z$35,0)+IF(AND('Bonding Program'!$P$35&lt;&gt;"",BC$3='Bonding Program'!$P$35,BC$3&lt;='Bonding Program'!$C$8),N('Bonding Program'!$O$35),0)</f>
        <v>0</v>
      </c>
      <c r="BD176" s="19" t="n">
        <f aca="false">IF(AND('Bonding Program'!$S$35=1,'Bonding Program'!$H$35&gt;'Bonding Program'!$C$8,BD$3='Bonding Program'!$H$35),'Bonding Program'!$T$35-'Bonding Program'!$U$35-'Bonding Program'!$Z$35,0)-IF(AND('Bonding Program'!$S$35=1,'Bonding Program'!$H$35&lt;='Bonding Program'!$C$8,BD$3=IF('Bonding Program'!$P$35&lt;&gt;"",'Bonding Program'!$P$35,'Bonding Program'!$C$8)),'Bonding Program'!$Z$35,0)+IF(AND('Bonding Program'!$P$35&lt;&gt;"",BD$3='Bonding Program'!$P$35,BD$3&lt;='Bonding Program'!$C$8),N('Bonding Program'!$O$35),0)</f>
        <v>0</v>
      </c>
      <c r="BE176" s="19" t="n">
        <f aca="false">IF(AND('Bonding Program'!$S$35=1,'Bonding Program'!$H$35&gt;'Bonding Program'!$C$8,BE$3='Bonding Program'!$H$35),'Bonding Program'!$T$35-'Bonding Program'!$U$35-'Bonding Program'!$Z$35,0)-IF(AND('Bonding Program'!$S$35=1,'Bonding Program'!$H$35&lt;='Bonding Program'!$C$8,BE$3=IF('Bonding Program'!$P$35&lt;&gt;"",'Bonding Program'!$P$35,'Bonding Program'!$C$8)),'Bonding Program'!$Z$35,0)+IF(AND('Bonding Program'!$P$35&lt;&gt;"",BE$3='Bonding Program'!$P$35,BE$3&lt;='Bonding Program'!$C$8),N('Bonding Program'!$O$35),0)</f>
        <v>0</v>
      </c>
      <c r="BF176" s="19" t="n">
        <f aca="false">IF(AND('Bonding Program'!$S$35=1,'Bonding Program'!$H$35&gt;'Bonding Program'!$C$8,BF$3='Bonding Program'!$H$35),'Bonding Program'!$T$35-'Bonding Program'!$U$35-'Bonding Program'!$Z$35,0)-IF(AND('Bonding Program'!$S$35=1,'Bonding Program'!$H$35&lt;='Bonding Program'!$C$8,BF$3=IF('Bonding Program'!$P$35&lt;&gt;"",'Bonding Program'!$P$35,'Bonding Program'!$C$8)),'Bonding Program'!$Z$35,0)+IF(AND('Bonding Program'!$P$35&lt;&gt;"",BF$3='Bonding Program'!$P$35,BF$3&lt;='Bonding Program'!$C$8),N('Bonding Program'!$O$35),0)</f>
        <v>0</v>
      </c>
      <c r="BG176" s="19" t="n">
        <f aca="false">IF(AND('Bonding Program'!$S$35=1,'Bonding Program'!$H$35&gt;'Bonding Program'!$C$8,BG$3='Bonding Program'!$H$35),'Bonding Program'!$T$35-'Bonding Program'!$U$35-'Bonding Program'!$Z$35,0)-IF(AND('Bonding Program'!$S$35=1,'Bonding Program'!$H$35&lt;='Bonding Program'!$C$8,BG$3=IF('Bonding Program'!$P$35&lt;&gt;"",'Bonding Program'!$P$35,'Bonding Program'!$C$8)),'Bonding Program'!$Z$35,0)+IF(AND('Bonding Program'!$P$35&lt;&gt;"",BG$3='Bonding Program'!$P$35,BG$3&lt;='Bonding Program'!$C$8),N('Bonding Program'!$O$35),0)</f>
        <v>0</v>
      </c>
      <c r="BH176" s="19" t="n">
        <f aca="false">IF(AND('Bonding Program'!$S$35=1,'Bonding Program'!$H$35&gt;'Bonding Program'!$C$8,BH$3='Bonding Program'!$H$35),'Bonding Program'!$T$35-'Bonding Program'!$U$35-'Bonding Program'!$Z$35,0)-IF(AND('Bonding Program'!$S$35=1,'Bonding Program'!$H$35&lt;='Bonding Program'!$C$8,BH$3=IF('Bonding Program'!$P$35&lt;&gt;"",'Bonding Program'!$P$35,'Bonding Program'!$C$8)),'Bonding Program'!$Z$35,0)+IF(AND('Bonding Program'!$P$35&lt;&gt;"",BH$3='Bonding Program'!$P$35,BH$3&lt;='Bonding Program'!$C$8),N('Bonding Program'!$O$35),0)</f>
        <v>0</v>
      </c>
      <c r="BI176" s="19" t="n">
        <f aca="false">IF(AND('Bonding Program'!$S$35=1,'Bonding Program'!$H$35&gt;'Bonding Program'!$C$8,BI$3='Bonding Program'!$H$35),'Bonding Program'!$T$35-'Bonding Program'!$U$35-'Bonding Program'!$Z$35,0)-IF(AND('Bonding Program'!$S$35=1,'Bonding Program'!$H$35&lt;='Bonding Program'!$C$8,BI$3=IF('Bonding Program'!$P$35&lt;&gt;"",'Bonding Program'!$P$35,'Bonding Program'!$C$8)),'Bonding Program'!$Z$35,0)+IF(AND('Bonding Program'!$P$35&lt;&gt;"",BI$3='Bonding Program'!$P$35,BI$3&lt;='Bonding Program'!$C$8),N('Bonding Program'!$O$35),0)</f>
        <v>0</v>
      </c>
      <c r="BJ176" s="19" t="n">
        <f aca="false">IF(AND('Bonding Program'!$S$35=1,'Bonding Program'!$H$35&gt;'Bonding Program'!$C$8,BJ$3='Bonding Program'!$H$35),'Bonding Program'!$T$35-'Bonding Program'!$U$35-'Bonding Program'!$Z$35,0)-IF(AND('Bonding Program'!$S$35=1,'Bonding Program'!$H$35&lt;='Bonding Program'!$C$8,BJ$3=IF('Bonding Program'!$P$35&lt;&gt;"",'Bonding Program'!$P$35,'Bonding Program'!$C$8)),'Bonding Program'!$Z$35,0)+IF(AND('Bonding Program'!$P$35&lt;&gt;"",BJ$3='Bonding Program'!$P$35,BJ$3&lt;='Bonding Program'!$C$8),N('Bonding Program'!$O$35),0)</f>
        <v>0</v>
      </c>
      <c r="BK176" s="19" t="n">
        <f aca="false">IF(AND('Bonding Program'!$S$35=1,'Bonding Program'!$H$35&gt;'Bonding Program'!$C$8,BK$3='Bonding Program'!$H$35),'Bonding Program'!$T$35-'Bonding Program'!$U$35-'Bonding Program'!$Z$35,0)-IF(AND('Bonding Program'!$S$35=1,'Bonding Program'!$H$35&lt;='Bonding Program'!$C$8,BK$3=IF('Bonding Program'!$P$35&lt;&gt;"",'Bonding Program'!$P$35,'Bonding Program'!$C$8)),'Bonding Program'!$Z$35,0)+IF(AND('Bonding Program'!$P$35&lt;&gt;"",BK$3='Bonding Program'!$P$35,BK$3&lt;='Bonding Program'!$C$8),N('Bonding Program'!$O$35),0)</f>
        <v>0</v>
      </c>
      <c r="BL176" s="19" t="n">
        <f aca="false">IF(AND('Bonding Program'!$S$35=1,'Bonding Program'!$H$35&gt;'Bonding Program'!$C$8,BL$3='Bonding Program'!$H$35),'Bonding Program'!$T$35-'Bonding Program'!$U$35-'Bonding Program'!$Z$35,0)-IF(AND('Bonding Program'!$S$35=1,'Bonding Program'!$H$35&lt;='Bonding Program'!$C$8,BL$3=IF('Bonding Program'!$P$35&lt;&gt;"",'Bonding Program'!$P$35,'Bonding Program'!$C$8)),'Bonding Program'!$Z$35,0)+IF(AND('Bonding Program'!$P$35&lt;&gt;"",BL$3='Bonding Program'!$P$35,BL$3&lt;='Bonding Program'!$C$8),N('Bonding Program'!$O$35),0)</f>
        <v>0</v>
      </c>
      <c r="BM176" s="19" t="n">
        <f aca="false">IF(AND('Bonding Program'!$S$35=1,'Bonding Program'!$H$35&gt;'Bonding Program'!$C$8,BM$3='Bonding Program'!$H$35),'Bonding Program'!$T$35-'Bonding Program'!$U$35-'Bonding Program'!$Z$35,0)-IF(AND('Bonding Program'!$S$35=1,'Bonding Program'!$H$35&lt;='Bonding Program'!$C$8,BM$3=IF('Bonding Program'!$P$35&lt;&gt;"",'Bonding Program'!$P$35,'Bonding Program'!$C$8)),'Bonding Program'!$Z$35,0)+IF(AND('Bonding Program'!$P$35&lt;&gt;"",BM$3='Bonding Program'!$P$35,BM$3&lt;='Bonding Program'!$C$8),N('Bonding Program'!$O$35),0)</f>
        <v>0</v>
      </c>
      <c r="BN176" s="19" t="n">
        <f aca="false">IF(AND('Bonding Program'!$S$35=1,'Bonding Program'!$H$35&gt;'Bonding Program'!$C$8,BN$3='Bonding Program'!$H$35),'Bonding Program'!$T$35-'Bonding Program'!$U$35-'Bonding Program'!$Z$35,0)-IF(AND('Bonding Program'!$S$35=1,'Bonding Program'!$H$35&lt;='Bonding Program'!$C$8,BN$3=IF('Bonding Program'!$P$35&lt;&gt;"",'Bonding Program'!$P$35,'Bonding Program'!$C$8)),'Bonding Program'!$Z$35,0)+IF(AND('Bonding Program'!$P$35&lt;&gt;"",BN$3='Bonding Program'!$P$35,BN$3&lt;='Bonding Program'!$C$8),N('Bonding Program'!$O$35),0)</f>
        <v>0</v>
      </c>
      <c r="BO176" s="19" t="n">
        <f aca="false">IF(AND('Bonding Program'!$S$35=1,'Bonding Program'!$H$35&gt;'Bonding Program'!$C$8,BO$3='Bonding Program'!$H$35),'Bonding Program'!$T$35-'Bonding Program'!$U$35-'Bonding Program'!$Z$35,0)-IF(AND('Bonding Program'!$S$35=1,'Bonding Program'!$H$35&lt;='Bonding Program'!$C$8,BO$3=IF('Bonding Program'!$P$35&lt;&gt;"",'Bonding Program'!$P$35,'Bonding Program'!$C$8)),'Bonding Program'!$Z$35,0)+IF(AND('Bonding Program'!$P$35&lt;&gt;"",BO$3='Bonding Program'!$P$35,BO$3&lt;='Bonding Program'!$C$8),N('Bonding Program'!$O$35),0)</f>
        <v>0</v>
      </c>
      <c r="BP176" s="19" t="n">
        <f aca="false">IF(AND('Bonding Program'!$S$35=1,'Bonding Program'!$H$35&gt;'Bonding Program'!$C$8,BP$3='Bonding Program'!$H$35),'Bonding Program'!$T$35-'Bonding Program'!$U$35-'Bonding Program'!$Z$35,0)-IF(AND('Bonding Program'!$S$35=1,'Bonding Program'!$H$35&lt;='Bonding Program'!$C$8,BP$3=IF('Bonding Program'!$P$35&lt;&gt;"",'Bonding Program'!$P$35,'Bonding Program'!$C$8)),'Bonding Program'!$Z$35,0)+IF(AND('Bonding Program'!$P$35&lt;&gt;"",BP$3='Bonding Program'!$P$35,BP$3&lt;='Bonding Program'!$C$8),N('Bonding Program'!$O$35),0)</f>
        <v>0</v>
      </c>
      <c r="BQ176" s="19" t="n">
        <f aca="false">IF(AND('Bonding Program'!$S$35=1,'Bonding Program'!$H$35&gt;'Bonding Program'!$C$8,BQ$3='Bonding Program'!$H$35),'Bonding Program'!$T$35-'Bonding Program'!$U$35-'Bonding Program'!$Z$35,0)-IF(AND('Bonding Program'!$S$35=1,'Bonding Program'!$H$35&lt;='Bonding Program'!$C$8,BQ$3=IF('Bonding Program'!$P$35&lt;&gt;"",'Bonding Program'!$P$35,'Bonding Program'!$C$8)),'Bonding Program'!$Z$35,0)+IF(AND('Bonding Program'!$P$35&lt;&gt;"",BQ$3='Bonding Program'!$P$35,BQ$3&lt;='Bonding Program'!$C$8),N('Bonding Program'!$O$35),0)</f>
        <v>0</v>
      </c>
      <c r="BR176" s="19" t="n">
        <f aca="false">IF(AND('Bonding Program'!$S$35=1,'Bonding Program'!$H$35&gt;'Bonding Program'!$C$8,BR$3='Bonding Program'!$H$35),'Bonding Program'!$T$35-'Bonding Program'!$U$35-'Bonding Program'!$Z$35,0)-IF(AND('Bonding Program'!$S$35=1,'Bonding Program'!$H$35&lt;='Bonding Program'!$C$8,BR$3=IF('Bonding Program'!$P$35&lt;&gt;"",'Bonding Program'!$P$35,'Bonding Program'!$C$8)),'Bonding Program'!$Z$35,0)+IF(AND('Bonding Program'!$P$35&lt;&gt;"",BR$3='Bonding Program'!$P$35,BR$3&lt;='Bonding Program'!$C$8),N('Bonding Program'!$O$35),0)</f>
        <v>0</v>
      </c>
      <c r="BS176" s="19" t="n">
        <f aca="false">IF(AND('Bonding Program'!$S$35=1,'Bonding Program'!$H$35&gt;'Bonding Program'!$C$8,BS$3='Bonding Program'!$H$35),'Bonding Program'!$T$35-'Bonding Program'!$U$35-'Bonding Program'!$Z$35,0)-IF(AND('Bonding Program'!$S$35=1,'Bonding Program'!$H$35&lt;='Bonding Program'!$C$8,BS$3=IF('Bonding Program'!$P$35&lt;&gt;"",'Bonding Program'!$P$35,'Bonding Program'!$C$8)),'Bonding Program'!$Z$35,0)+IF(AND('Bonding Program'!$P$35&lt;&gt;"",BS$3='Bonding Program'!$P$35,BS$3&lt;='Bonding Program'!$C$8),N('Bonding Program'!$O$35),0)</f>
        <v>0</v>
      </c>
      <c r="BT176" s="19" t="n">
        <f aca="false">IF(AND('Bonding Program'!$S$35=1,'Bonding Program'!$H$35&gt;'Bonding Program'!$C$8,BT$3='Bonding Program'!$H$35),'Bonding Program'!$T$35-'Bonding Program'!$U$35-'Bonding Program'!$Z$35,0)-IF(AND('Bonding Program'!$S$35=1,'Bonding Program'!$H$35&lt;='Bonding Program'!$C$8,BT$3=IF('Bonding Program'!$P$35&lt;&gt;"",'Bonding Program'!$P$35,'Bonding Program'!$C$8)),'Bonding Program'!$Z$35,0)+IF(AND('Bonding Program'!$P$35&lt;&gt;"",BT$3='Bonding Program'!$P$35,BT$3&lt;='Bonding Program'!$C$8),N('Bonding Program'!$O$35),0)</f>
        <v>0</v>
      </c>
      <c r="BU176" s="19" t="n">
        <f aca="false">IF(AND('Bonding Program'!$S$35=1,'Bonding Program'!$H$35&gt;'Bonding Program'!$C$8,BU$3='Bonding Program'!$H$35),'Bonding Program'!$T$35-'Bonding Program'!$U$35-'Bonding Program'!$Z$35,0)-IF(AND('Bonding Program'!$S$35=1,'Bonding Program'!$H$35&lt;='Bonding Program'!$C$8,BU$3=IF('Bonding Program'!$P$35&lt;&gt;"",'Bonding Program'!$P$35,'Bonding Program'!$C$8)),'Bonding Program'!$Z$35,0)+IF(AND('Bonding Program'!$P$35&lt;&gt;"",BU$3='Bonding Program'!$P$35,BU$3&lt;='Bonding Program'!$C$8),N('Bonding Program'!$O$35),0)</f>
        <v>0</v>
      </c>
      <c r="BV176" s="19" t="n">
        <f aca="false">IF(AND('Bonding Program'!$S$35=1,'Bonding Program'!$H$35&gt;'Bonding Program'!$C$8,BV$3='Bonding Program'!$H$35),'Bonding Program'!$T$35-'Bonding Program'!$U$35-'Bonding Program'!$Z$35,0)-IF(AND('Bonding Program'!$S$35=1,'Bonding Program'!$H$35&lt;='Bonding Program'!$C$8,BV$3=IF('Bonding Program'!$P$35&lt;&gt;"",'Bonding Program'!$P$35,'Bonding Program'!$C$8)),'Bonding Program'!$Z$35,0)+IF(AND('Bonding Program'!$P$35&lt;&gt;"",BV$3='Bonding Program'!$P$35,BV$3&lt;='Bonding Program'!$C$8),N('Bonding Program'!$O$35),0)</f>
        <v>0</v>
      </c>
      <c r="BW176" s="19" t="n">
        <f aca="false">IF(AND('Bonding Program'!$S$35=1,'Bonding Program'!$H$35&gt;'Bonding Program'!$C$8,BW$3='Bonding Program'!$H$35),'Bonding Program'!$T$35-'Bonding Program'!$U$35-'Bonding Program'!$Z$35,0)-IF(AND('Bonding Program'!$S$35=1,'Bonding Program'!$H$35&lt;='Bonding Program'!$C$8,BW$3=IF('Bonding Program'!$P$35&lt;&gt;"",'Bonding Program'!$P$35,'Bonding Program'!$C$8)),'Bonding Program'!$Z$35,0)+IF(AND('Bonding Program'!$P$35&lt;&gt;"",BW$3='Bonding Program'!$P$35,BW$3&lt;='Bonding Program'!$C$8),N('Bonding Program'!$O$35),0)</f>
        <v>0</v>
      </c>
      <c r="BX176" s="19" t="n">
        <f aca="false">IF(AND('Bonding Program'!$S$35=1,'Bonding Program'!$H$35&gt;'Bonding Program'!$C$8,BX$3='Bonding Program'!$H$35),'Bonding Program'!$T$35-'Bonding Program'!$U$35-'Bonding Program'!$Z$35,0)-IF(AND('Bonding Program'!$S$35=1,'Bonding Program'!$H$35&lt;='Bonding Program'!$C$8,BX$3=IF('Bonding Program'!$P$35&lt;&gt;"",'Bonding Program'!$P$35,'Bonding Program'!$C$8)),'Bonding Program'!$Z$35,0)+IF(AND('Bonding Program'!$P$35&lt;&gt;"",BX$3='Bonding Program'!$P$35,BX$3&lt;='Bonding Program'!$C$8),N('Bonding Program'!$O$35),0)</f>
        <v>0</v>
      </c>
      <c r="BY176" s="19" t="n">
        <f aca="false">IF(AND('Bonding Program'!$S$35=1,'Bonding Program'!$H$35&gt;'Bonding Program'!$C$8,BY$3='Bonding Program'!$H$35),'Bonding Program'!$T$35-'Bonding Program'!$U$35-'Bonding Program'!$Z$35,0)-IF(AND('Bonding Program'!$S$35=1,'Bonding Program'!$H$35&lt;='Bonding Program'!$C$8,BY$3=IF('Bonding Program'!$P$35&lt;&gt;"",'Bonding Program'!$P$35,'Bonding Program'!$C$8)),'Bonding Program'!$Z$35,0)+IF(AND('Bonding Program'!$P$35&lt;&gt;"",BY$3='Bonding Program'!$P$35,BY$3&lt;='Bonding Program'!$C$8),N('Bonding Program'!$O$35),0)</f>
        <v>0</v>
      </c>
      <c r="BZ176" s="19" t="n">
        <f aca="false">IF(AND('Bonding Program'!$S$35=1,'Bonding Program'!$H$35&gt;'Bonding Program'!$C$8,BZ$3='Bonding Program'!$H$35),'Bonding Program'!$T$35-'Bonding Program'!$U$35-'Bonding Program'!$Z$35,0)-IF(AND('Bonding Program'!$S$35=1,'Bonding Program'!$H$35&lt;='Bonding Program'!$C$8,BZ$3=IF('Bonding Program'!$P$35&lt;&gt;"",'Bonding Program'!$P$35,'Bonding Program'!$C$8)),'Bonding Program'!$Z$35,0)+IF(AND('Bonding Program'!$P$35&lt;&gt;"",BZ$3='Bonding Program'!$P$35,BZ$3&lt;='Bonding Program'!$C$8),N('Bonding Program'!$O$35),0)</f>
        <v>0</v>
      </c>
      <c r="CA176" s="19" t="n">
        <f aca="false">IF(AND('Bonding Program'!$S$35=1,'Bonding Program'!$H$35&gt;'Bonding Program'!$C$8,CA$3='Bonding Program'!$H$35),'Bonding Program'!$T$35-'Bonding Program'!$U$35-'Bonding Program'!$Z$35,0)-IF(AND('Bonding Program'!$S$35=1,'Bonding Program'!$H$35&lt;='Bonding Program'!$C$8,CA$3=IF('Bonding Program'!$P$35&lt;&gt;"",'Bonding Program'!$P$35,'Bonding Program'!$C$8)),'Bonding Program'!$Z$35,0)+IF(AND('Bonding Program'!$P$35&lt;&gt;"",CA$3='Bonding Program'!$P$35,CA$3&lt;='Bonding Program'!$C$8),N('Bonding Program'!$O$35),0)</f>
        <v>0</v>
      </c>
      <c r="CB176" s="19" t="n">
        <f aca="false">IF(AND('Bonding Program'!$S$35=1,'Bonding Program'!$H$35&gt;'Bonding Program'!$C$8,CB$3='Bonding Program'!$H$35),'Bonding Program'!$T$35-'Bonding Program'!$U$35-'Bonding Program'!$Z$35,0)-IF(AND('Bonding Program'!$S$35=1,'Bonding Program'!$H$35&lt;='Bonding Program'!$C$8,CB$3=IF('Bonding Program'!$P$35&lt;&gt;"",'Bonding Program'!$P$35,'Bonding Program'!$C$8)),'Bonding Program'!$Z$35,0)+IF(AND('Bonding Program'!$P$35&lt;&gt;"",CB$3='Bonding Program'!$P$35,CB$3&lt;='Bonding Program'!$C$8),N('Bonding Program'!$O$35),0)</f>
        <v>0</v>
      </c>
      <c r="CC176" s="19" t="n">
        <f aca="false">IF(AND('Bonding Program'!$S$35=1,'Bonding Program'!$H$35&gt;'Bonding Program'!$C$8,CC$3='Bonding Program'!$H$35),'Bonding Program'!$T$35-'Bonding Program'!$U$35-'Bonding Program'!$Z$35,0)-IF(AND('Bonding Program'!$S$35=1,'Bonding Program'!$H$35&lt;='Bonding Program'!$C$8,CC$3=IF('Bonding Program'!$P$35&lt;&gt;"",'Bonding Program'!$P$35,'Bonding Program'!$C$8)),'Bonding Program'!$Z$35,0)+IF(AND('Bonding Program'!$P$35&lt;&gt;"",CC$3='Bonding Program'!$P$35,CC$3&lt;='Bonding Program'!$C$8),N('Bonding Program'!$O$35),0)</f>
        <v>0</v>
      </c>
      <c r="CD176" s="19" t="n">
        <f aca="false">IF(AND('Bonding Program'!$S$35=1,'Bonding Program'!$H$35&gt;'Bonding Program'!$C$8,CD$3='Bonding Program'!$H$35),'Bonding Program'!$T$35-'Bonding Program'!$U$35-'Bonding Program'!$Z$35,0)-IF(AND('Bonding Program'!$S$35=1,'Bonding Program'!$H$35&lt;='Bonding Program'!$C$8,CD$3=IF('Bonding Program'!$P$35&lt;&gt;"",'Bonding Program'!$P$35,'Bonding Program'!$C$8)),'Bonding Program'!$Z$35,0)+IF(AND('Bonding Program'!$P$35&lt;&gt;"",CD$3='Bonding Program'!$P$35,CD$3&lt;='Bonding Program'!$C$8),N('Bonding Program'!$O$35),0)</f>
        <v>0</v>
      </c>
      <c r="CE176" s="19" t="n">
        <f aca="false">IF(AND('Bonding Program'!$S$35=1,'Bonding Program'!$H$35&gt;'Bonding Program'!$C$8,CE$3='Bonding Program'!$H$35),'Bonding Program'!$T$35-'Bonding Program'!$U$35-'Bonding Program'!$Z$35,0)-IF(AND('Bonding Program'!$S$35=1,'Bonding Program'!$H$35&lt;='Bonding Program'!$C$8,CE$3=IF('Bonding Program'!$P$35&lt;&gt;"",'Bonding Program'!$P$35,'Bonding Program'!$C$8)),'Bonding Program'!$Z$35,0)+IF(AND('Bonding Program'!$P$35&lt;&gt;"",CE$3='Bonding Program'!$P$35,CE$3&lt;='Bonding Program'!$C$8),N('Bonding Program'!$O$35),0)</f>
        <v>0</v>
      </c>
      <c r="CF176" s="19" t="n">
        <f aca="false">IF(AND('Bonding Program'!$S$35=1,'Bonding Program'!$H$35&gt;'Bonding Program'!$C$8,CF$3='Bonding Program'!$H$35),'Bonding Program'!$T$35-'Bonding Program'!$U$35-'Bonding Program'!$Z$35,0)-IF(AND('Bonding Program'!$S$35=1,'Bonding Program'!$H$35&lt;='Bonding Program'!$C$8,CF$3=IF('Bonding Program'!$P$35&lt;&gt;"",'Bonding Program'!$P$35,'Bonding Program'!$C$8)),'Bonding Program'!$Z$35,0)+IF(AND('Bonding Program'!$P$35&lt;&gt;"",CF$3='Bonding Program'!$P$35,CF$3&lt;='Bonding Program'!$C$8),N('Bonding Program'!$O$35),0)</f>
        <v>0</v>
      </c>
      <c r="CG176" s="19" t="n">
        <f aca="false">IF(AND('Bonding Program'!$S$35=1,'Bonding Program'!$H$35&gt;'Bonding Program'!$C$8,CG$3='Bonding Program'!$H$35),'Bonding Program'!$T$35-'Bonding Program'!$U$35-'Bonding Program'!$Z$35,0)-IF(AND('Bonding Program'!$S$35=1,'Bonding Program'!$H$35&lt;='Bonding Program'!$C$8,CG$3=IF('Bonding Program'!$P$35&lt;&gt;"",'Bonding Program'!$P$35,'Bonding Program'!$C$8)),'Bonding Program'!$Z$35,0)+IF(AND('Bonding Program'!$P$35&lt;&gt;"",CG$3='Bonding Program'!$P$35,CG$3&lt;='Bonding Program'!$C$8),N('Bonding Program'!$O$35),0)</f>
        <v>0</v>
      </c>
      <c r="CH176" s="19" t="n">
        <f aca="false">IF(AND('Bonding Program'!$S$35=1,'Bonding Program'!$H$35&gt;'Bonding Program'!$C$8,CH$3='Bonding Program'!$H$35),'Bonding Program'!$T$35-'Bonding Program'!$U$35-'Bonding Program'!$Z$35,0)-IF(AND('Bonding Program'!$S$35=1,'Bonding Program'!$H$35&lt;='Bonding Program'!$C$8,CH$3=IF('Bonding Program'!$P$35&lt;&gt;"",'Bonding Program'!$P$35,'Bonding Program'!$C$8)),'Bonding Program'!$Z$35,0)+IF(AND('Bonding Program'!$P$35&lt;&gt;"",CH$3='Bonding Program'!$P$35,CH$3&lt;='Bonding Program'!$C$8),N('Bonding Program'!$O$35),0)</f>
        <v>0</v>
      </c>
      <c r="CI176" s="19" t="n">
        <f aca="false">IF(AND('Bonding Program'!$S$35=1,'Bonding Program'!$H$35&gt;'Bonding Program'!$C$8,CI$3='Bonding Program'!$H$35),'Bonding Program'!$T$35-'Bonding Program'!$U$35-'Bonding Program'!$Z$35,0)-IF(AND('Bonding Program'!$S$35=1,'Bonding Program'!$H$35&lt;='Bonding Program'!$C$8,CI$3=IF('Bonding Program'!$P$35&lt;&gt;"",'Bonding Program'!$P$35,'Bonding Program'!$C$8)),'Bonding Program'!$Z$35,0)+IF(AND('Bonding Program'!$P$35&lt;&gt;"",CI$3='Bonding Program'!$P$35,CI$3&lt;='Bonding Program'!$C$8),N('Bonding Program'!$O$35),0)</f>
        <v>0</v>
      </c>
      <c r="CJ176" s="19" t="n">
        <f aca="false">IF(AND('Bonding Program'!$S$35=1,'Bonding Program'!$H$35&gt;'Bonding Program'!$C$8,CJ$3='Bonding Program'!$H$35),'Bonding Program'!$T$35-'Bonding Program'!$U$35-'Bonding Program'!$Z$35,0)-IF(AND('Bonding Program'!$S$35=1,'Bonding Program'!$H$35&lt;='Bonding Program'!$C$8,CJ$3=IF('Bonding Program'!$P$35&lt;&gt;"",'Bonding Program'!$P$35,'Bonding Program'!$C$8)),'Bonding Program'!$Z$35,0)+IF(AND('Bonding Program'!$P$35&lt;&gt;"",CJ$3='Bonding Program'!$P$35,CJ$3&lt;='Bonding Program'!$C$8),N('Bonding Program'!$O$35),0)</f>
        <v>0</v>
      </c>
      <c r="CK176" s="19" t="n">
        <f aca="false">IF(AND('Bonding Program'!$S$35=1,'Bonding Program'!$H$35&gt;'Bonding Program'!$C$8,CK$3='Bonding Program'!$H$35),'Bonding Program'!$T$35-'Bonding Program'!$U$35-'Bonding Program'!$Z$35,0)-IF(AND('Bonding Program'!$S$35=1,'Bonding Program'!$H$35&lt;='Bonding Program'!$C$8,CK$3=IF('Bonding Program'!$P$35&lt;&gt;"",'Bonding Program'!$P$35,'Bonding Program'!$C$8)),'Bonding Program'!$Z$35,0)+IF(AND('Bonding Program'!$P$35&lt;&gt;"",CK$3='Bonding Program'!$P$35,CK$3&lt;='Bonding Program'!$C$8),N('Bonding Program'!$O$35),0)</f>
        <v>0</v>
      </c>
      <c r="CL176" s="19" t="n">
        <f aca="false">IF(AND('Bonding Program'!$S$35=1,'Bonding Program'!$H$35&gt;'Bonding Program'!$C$8,CL$3='Bonding Program'!$H$35),'Bonding Program'!$T$35-'Bonding Program'!$U$35-'Bonding Program'!$Z$35,0)-IF(AND('Bonding Program'!$S$35=1,'Bonding Program'!$H$35&lt;='Bonding Program'!$C$8,CL$3=IF('Bonding Program'!$P$35&lt;&gt;"",'Bonding Program'!$P$35,'Bonding Program'!$C$8)),'Bonding Program'!$Z$35,0)+IF(AND('Bonding Program'!$P$35&lt;&gt;"",CL$3='Bonding Program'!$P$35,CL$3&lt;='Bonding Program'!$C$8),N('Bonding Program'!$O$35),0)</f>
        <v>0</v>
      </c>
      <c r="CM176" s="19" t="n">
        <f aca="false">IF(AND('Bonding Program'!$S$35=1,'Bonding Program'!$H$35&gt;'Bonding Program'!$C$8,CM$3='Bonding Program'!$H$35),'Bonding Program'!$T$35-'Bonding Program'!$U$35-'Bonding Program'!$Z$35,0)-IF(AND('Bonding Program'!$S$35=1,'Bonding Program'!$H$35&lt;='Bonding Program'!$C$8,CM$3=IF('Bonding Program'!$P$35&lt;&gt;"",'Bonding Program'!$P$35,'Bonding Program'!$C$8)),'Bonding Program'!$Z$35,0)+IF(AND('Bonding Program'!$P$35&lt;&gt;"",CM$3='Bonding Program'!$P$35,CM$3&lt;='Bonding Program'!$C$8),N('Bonding Program'!$O$35),0)</f>
        <v>0</v>
      </c>
      <c r="CN176" s="19" t="n">
        <f aca="false">IF(AND('Bonding Program'!$S$35=1,'Bonding Program'!$H$35&gt;'Bonding Program'!$C$8,CN$3='Bonding Program'!$H$35),'Bonding Program'!$T$35-'Bonding Program'!$U$35-'Bonding Program'!$Z$35,0)-IF(AND('Bonding Program'!$S$35=1,'Bonding Program'!$H$35&lt;='Bonding Program'!$C$8,CN$3=IF('Bonding Program'!$P$35&lt;&gt;"",'Bonding Program'!$P$35,'Bonding Program'!$C$8)),'Bonding Program'!$Z$35,0)+IF(AND('Bonding Program'!$P$35&lt;&gt;"",CN$3='Bonding Program'!$P$35,CN$3&lt;='Bonding Program'!$C$8),N('Bonding Program'!$O$35),0)</f>
        <v>0</v>
      </c>
      <c r="CO176" s="19" t="n">
        <f aca="false">IF(AND('Bonding Program'!$S$35=1,'Bonding Program'!$H$35&gt;'Bonding Program'!$C$8,CO$3='Bonding Program'!$H$35),'Bonding Program'!$T$35-'Bonding Program'!$U$35-'Bonding Program'!$Z$35,0)-IF(AND('Bonding Program'!$S$35=1,'Bonding Program'!$H$35&lt;='Bonding Program'!$C$8,CO$3=IF('Bonding Program'!$P$35&lt;&gt;"",'Bonding Program'!$P$35,'Bonding Program'!$C$8)),'Bonding Program'!$Z$35,0)+IF(AND('Bonding Program'!$P$35&lt;&gt;"",CO$3='Bonding Program'!$P$35,CO$3&lt;='Bonding Program'!$C$8),N('Bonding Program'!$O$35),0)</f>
        <v>0</v>
      </c>
      <c r="CP176" s="19" t="n">
        <f aca="false">IF(AND('Bonding Program'!$S$35=1,'Bonding Program'!$H$35&gt;'Bonding Program'!$C$8,CP$3='Bonding Program'!$H$35),'Bonding Program'!$T$35-'Bonding Program'!$U$35-'Bonding Program'!$Z$35,0)-IF(AND('Bonding Program'!$S$35=1,'Bonding Program'!$H$35&lt;='Bonding Program'!$C$8,CP$3=IF('Bonding Program'!$P$35&lt;&gt;"",'Bonding Program'!$P$35,'Bonding Program'!$C$8)),'Bonding Program'!$Z$35,0)+IF(AND('Bonding Program'!$P$35&lt;&gt;"",CP$3='Bonding Program'!$P$35,CP$3&lt;='Bonding Program'!$C$8),N('Bonding Program'!$O$35),0)</f>
        <v>0</v>
      </c>
      <c r="CQ176" s="19" t="n">
        <f aca="false">IF(AND('Bonding Program'!$S$35=1,'Bonding Program'!$H$35&gt;'Bonding Program'!$C$8,CQ$3='Bonding Program'!$H$35),'Bonding Program'!$T$35-'Bonding Program'!$U$35-'Bonding Program'!$Z$35,0)-IF(AND('Bonding Program'!$S$35=1,'Bonding Program'!$H$35&lt;='Bonding Program'!$C$8,CQ$3=IF('Bonding Program'!$P$35&lt;&gt;"",'Bonding Program'!$P$35,'Bonding Program'!$C$8)),'Bonding Program'!$Z$35,0)+IF(AND('Bonding Program'!$P$35&lt;&gt;"",CQ$3='Bonding Program'!$P$35,CQ$3&lt;='Bonding Program'!$C$8),N('Bonding Program'!$O$35),0)</f>
        <v>0</v>
      </c>
      <c r="CR176" s="19" t="n">
        <f aca="false">IF(AND('Bonding Program'!$S$35=1,'Bonding Program'!$H$35&gt;'Bonding Program'!$C$8,CR$3='Bonding Program'!$H$35),'Bonding Program'!$T$35-'Bonding Program'!$U$35-'Bonding Program'!$Z$35,0)-IF(AND('Bonding Program'!$S$35=1,'Bonding Program'!$H$35&lt;='Bonding Program'!$C$8,CR$3=IF('Bonding Program'!$P$35&lt;&gt;"",'Bonding Program'!$P$35,'Bonding Program'!$C$8)),'Bonding Program'!$Z$35,0)+IF(AND('Bonding Program'!$P$35&lt;&gt;"",CR$3='Bonding Program'!$P$35,CR$3&lt;='Bonding Program'!$C$8),N('Bonding Program'!$O$35),0)</f>
        <v>0</v>
      </c>
      <c r="CS176" s="19" t="n">
        <f aca="false">IF(AND('Bonding Program'!$S$35=1,'Bonding Program'!$H$35&gt;'Bonding Program'!$C$8,CS$3='Bonding Program'!$H$35),'Bonding Program'!$T$35-'Bonding Program'!$U$35-'Bonding Program'!$Z$35,0)-IF(AND('Bonding Program'!$S$35=1,'Bonding Program'!$H$35&lt;='Bonding Program'!$C$8,CS$3=IF('Bonding Program'!$P$35&lt;&gt;"",'Bonding Program'!$P$35,'Bonding Program'!$C$8)),'Bonding Program'!$Z$35,0)+IF(AND('Bonding Program'!$P$35&lt;&gt;"",CS$3='Bonding Program'!$P$35,CS$3&lt;='Bonding Program'!$C$8),N('Bonding Program'!$O$35),0)</f>
        <v>0</v>
      </c>
      <c r="CT176" s="19" t="n">
        <f aca="false">IF(AND('Bonding Program'!$S$35=1,'Bonding Program'!$H$35&gt;'Bonding Program'!$C$8,CT$3='Bonding Program'!$H$35),'Bonding Program'!$T$35-'Bonding Program'!$U$35-'Bonding Program'!$Z$35,0)-IF(AND('Bonding Program'!$S$35=1,'Bonding Program'!$H$35&lt;='Bonding Program'!$C$8,CT$3=IF('Bonding Program'!$P$35&lt;&gt;"",'Bonding Program'!$P$35,'Bonding Program'!$C$8)),'Bonding Program'!$Z$35,0)+IF(AND('Bonding Program'!$P$35&lt;&gt;"",CT$3='Bonding Program'!$P$35,CT$3&lt;='Bonding Program'!$C$8),N('Bonding Program'!$O$35),0)</f>
        <v>0</v>
      </c>
      <c r="CU176" s="19" t="n">
        <f aca="false">IF(AND('Bonding Program'!$S$35=1,'Bonding Program'!$H$35&gt;'Bonding Program'!$C$8,CU$3='Bonding Program'!$H$35),'Bonding Program'!$T$35-'Bonding Program'!$U$35-'Bonding Program'!$Z$35,0)-IF(AND('Bonding Program'!$S$35=1,'Bonding Program'!$H$35&lt;='Bonding Program'!$C$8,CU$3=IF('Bonding Program'!$P$35&lt;&gt;"",'Bonding Program'!$P$35,'Bonding Program'!$C$8)),'Bonding Program'!$Z$35,0)+IF(AND('Bonding Program'!$P$35&lt;&gt;"",CU$3='Bonding Program'!$P$35,CU$3&lt;='Bonding Program'!$C$8),N('Bonding Program'!$O$35),0)</f>
        <v>0</v>
      </c>
      <c r="CV176" s="19" t="n">
        <f aca="false">IF(AND('Bonding Program'!$S$35=1,'Bonding Program'!$H$35&gt;'Bonding Program'!$C$8,CV$3='Bonding Program'!$H$35),'Bonding Program'!$T$35-'Bonding Program'!$U$35-'Bonding Program'!$Z$35,0)-IF(AND('Bonding Program'!$S$35=1,'Bonding Program'!$H$35&lt;='Bonding Program'!$C$8,CV$3=IF('Bonding Program'!$P$35&lt;&gt;"",'Bonding Program'!$P$35,'Bonding Program'!$C$8)),'Bonding Program'!$Z$35,0)+IF(AND('Bonding Program'!$P$35&lt;&gt;"",CV$3='Bonding Program'!$P$35,CV$3&lt;='Bonding Program'!$C$8),N('Bonding Program'!$O$35),0)</f>
        <v>0</v>
      </c>
      <c r="CW176" s="19" t="n">
        <f aca="false">IF(AND('Bonding Program'!$S$35=1,'Bonding Program'!$H$35&gt;'Bonding Program'!$C$8,CW$3='Bonding Program'!$H$35),'Bonding Program'!$T$35-'Bonding Program'!$U$35-'Bonding Program'!$Z$35,0)-IF(AND('Bonding Program'!$S$35=1,'Bonding Program'!$H$35&lt;='Bonding Program'!$C$8,CW$3=IF('Bonding Program'!$P$35&lt;&gt;"",'Bonding Program'!$P$35,'Bonding Program'!$C$8)),'Bonding Program'!$Z$35,0)+IF(AND('Bonding Program'!$P$35&lt;&gt;"",CW$3='Bonding Program'!$P$35,CW$3&lt;='Bonding Program'!$C$8),N('Bonding Program'!$O$35),0)</f>
        <v>0</v>
      </c>
      <c r="CX176" s="19" t="n">
        <f aca="false">IF(AND('Bonding Program'!$S$35=1,'Bonding Program'!$H$35&gt;'Bonding Program'!$C$8,CX$3='Bonding Program'!$H$35),'Bonding Program'!$T$35-'Bonding Program'!$U$35-'Bonding Program'!$Z$35,0)-IF(AND('Bonding Program'!$S$35=1,'Bonding Program'!$H$35&lt;='Bonding Program'!$C$8,CX$3=IF('Bonding Program'!$P$35&lt;&gt;"",'Bonding Program'!$P$35,'Bonding Program'!$C$8)),'Bonding Program'!$Z$35,0)+IF(AND('Bonding Program'!$P$35&lt;&gt;"",CX$3='Bonding Program'!$P$35,CX$3&lt;='Bonding Program'!$C$8),N('Bonding Program'!$O$35),0)</f>
        <v>0</v>
      </c>
      <c r="CY176" s="19" t="n">
        <f aca="false">IF(AND('Bonding Program'!$S$35=1,'Bonding Program'!$H$35&gt;'Bonding Program'!$C$8,CY$3='Bonding Program'!$H$35),'Bonding Program'!$T$35-'Bonding Program'!$U$35-'Bonding Program'!$Z$35,0)-IF(AND('Bonding Program'!$S$35=1,'Bonding Program'!$H$35&lt;='Bonding Program'!$C$8,CY$3=IF('Bonding Program'!$P$35&lt;&gt;"",'Bonding Program'!$P$35,'Bonding Program'!$C$8)),'Bonding Program'!$Z$35,0)+IF(AND('Bonding Program'!$P$35&lt;&gt;"",CY$3='Bonding Program'!$P$35,CY$3&lt;='Bonding Program'!$C$8),N('Bonding Program'!$O$35),0)</f>
        <v>0</v>
      </c>
      <c r="CZ176" s="19" t="n">
        <f aca="false">IF(AND('Bonding Program'!$S$35=1,'Bonding Program'!$H$35&gt;'Bonding Program'!$C$8,CZ$3='Bonding Program'!$H$35),'Bonding Program'!$T$35-'Bonding Program'!$U$35-'Bonding Program'!$Z$35,0)-IF(AND('Bonding Program'!$S$35=1,'Bonding Program'!$H$35&lt;='Bonding Program'!$C$8,CZ$3=IF('Bonding Program'!$P$35&lt;&gt;"",'Bonding Program'!$P$35,'Bonding Program'!$C$8)),'Bonding Program'!$Z$35,0)+IF(AND('Bonding Program'!$P$35&lt;&gt;"",CZ$3='Bonding Program'!$P$35,CZ$3&lt;='Bonding Program'!$C$8),N('Bonding Program'!$O$35),0)</f>
        <v>0</v>
      </c>
      <c r="DA176" s="19" t="n">
        <f aca="false">IF(AND('Bonding Program'!$S$35=1,'Bonding Program'!$H$35&gt;'Bonding Program'!$C$8,DA$3='Bonding Program'!$H$35),'Bonding Program'!$T$35-'Bonding Program'!$U$35-'Bonding Program'!$Z$35,0)-IF(AND('Bonding Program'!$S$35=1,'Bonding Program'!$H$35&lt;='Bonding Program'!$C$8,DA$3=IF('Bonding Program'!$P$35&lt;&gt;"",'Bonding Program'!$P$35,'Bonding Program'!$C$8)),'Bonding Program'!$Z$35,0)+IF(AND('Bonding Program'!$P$35&lt;&gt;"",DA$3='Bonding Program'!$P$35,DA$3&lt;='Bonding Program'!$C$8),N('Bonding Program'!$O$35),0)</f>
        <v>0</v>
      </c>
      <c r="DB176" s="19" t="n">
        <f aca="false">IF(AND('Bonding Program'!$S$35=1,'Bonding Program'!$H$35&gt;'Bonding Program'!$C$8,DB$3='Bonding Program'!$H$35),'Bonding Program'!$T$35-'Bonding Program'!$U$35-'Bonding Program'!$Z$35,0)-IF(AND('Bonding Program'!$S$35=1,'Bonding Program'!$H$35&lt;='Bonding Program'!$C$8,DB$3=IF('Bonding Program'!$P$35&lt;&gt;"",'Bonding Program'!$P$35,'Bonding Program'!$C$8)),'Bonding Program'!$Z$35,0)+IF(AND('Bonding Program'!$P$35&lt;&gt;"",DB$3='Bonding Program'!$P$35,DB$3&lt;='Bonding Program'!$C$8),N('Bonding Program'!$O$35),0)</f>
        <v>0</v>
      </c>
      <c r="DC176" s="19" t="n">
        <f aca="false">IF(AND('Bonding Program'!$S$35=1,'Bonding Program'!$H$35&gt;'Bonding Program'!$C$8,DC$3='Bonding Program'!$H$35),'Bonding Program'!$T$35-'Bonding Program'!$U$35-'Bonding Program'!$Z$35,0)-IF(AND('Bonding Program'!$S$35=1,'Bonding Program'!$H$35&lt;='Bonding Program'!$C$8,DC$3=IF('Bonding Program'!$P$35&lt;&gt;"",'Bonding Program'!$P$35,'Bonding Program'!$C$8)),'Bonding Program'!$Z$35,0)+IF(AND('Bonding Program'!$P$35&lt;&gt;"",DC$3='Bonding Program'!$P$35,DC$3&lt;='Bonding Program'!$C$8),N('Bonding Program'!$O$35),0)</f>
        <v>0</v>
      </c>
      <c r="DD176" s="19" t="n">
        <f aca="false">IF(AND('Bonding Program'!$S$35=1,'Bonding Program'!$H$35&gt;'Bonding Program'!$C$8,DD$3='Bonding Program'!$H$35),'Bonding Program'!$T$35-'Bonding Program'!$U$35-'Bonding Program'!$Z$35,0)-IF(AND('Bonding Program'!$S$35=1,'Bonding Program'!$H$35&lt;='Bonding Program'!$C$8,DD$3=IF('Bonding Program'!$P$35&lt;&gt;"",'Bonding Program'!$P$35,'Bonding Program'!$C$8)),'Bonding Program'!$Z$35,0)+IF(AND('Bonding Program'!$P$35&lt;&gt;"",DD$3='Bonding Program'!$P$35,DD$3&lt;='Bonding Program'!$C$8),N('Bonding Program'!$O$35),0)</f>
        <v>0</v>
      </c>
      <c r="DE176" s="19" t="n">
        <f aca="false">IF(AND('Bonding Program'!$S$35=1,'Bonding Program'!$H$35&gt;'Bonding Program'!$C$8,DE$3='Bonding Program'!$H$35),'Bonding Program'!$T$35-'Bonding Program'!$U$35-'Bonding Program'!$Z$35,0)-IF(AND('Bonding Program'!$S$35=1,'Bonding Program'!$H$35&lt;='Bonding Program'!$C$8,DE$3=IF('Bonding Program'!$P$35&lt;&gt;"",'Bonding Program'!$P$35,'Bonding Program'!$C$8)),'Bonding Program'!$Z$35,0)+IF(AND('Bonding Program'!$P$35&lt;&gt;"",DE$3='Bonding Program'!$P$35,DE$3&lt;='Bonding Program'!$C$8),N('Bonding Program'!$O$35),0)</f>
        <v>0</v>
      </c>
    </row>
    <row r="177" customFormat="false" ht="15" hidden="false" customHeight="true" outlineLevel="1" collapsed="false">
      <c r="A177" s="28" t="s">
        <v>32</v>
      </c>
      <c r="B177" s="19" t="n">
        <f aca="false">IF(AND('Bonding Program'!$S$36=1,'Bonding Program'!$H$36&gt;'Bonding Program'!$C$8,B$3='Bonding Program'!$H$36),'Bonding Program'!$T$36-'Bonding Program'!$U$36-'Bonding Program'!$Z$36,0)-IF(AND('Bonding Program'!$S$36=1,'Bonding Program'!$H$36&lt;='Bonding Program'!$C$8,B$3=IF('Bonding Program'!$P$36&lt;&gt;"",'Bonding Program'!$P$36,'Bonding Program'!$C$8)),'Bonding Program'!$Z$36,0)+IF(AND('Bonding Program'!$P$36&lt;&gt;"",B$3='Bonding Program'!$P$36,B$3&lt;='Bonding Program'!$C$8),N('Bonding Program'!$O$36),0)</f>
        <v>0</v>
      </c>
      <c r="C177" s="19" t="n">
        <f aca="false">IF(AND('Bonding Program'!$S$36=1,'Bonding Program'!$H$36&gt;'Bonding Program'!$C$8,C$3='Bonding Program'!$H$36),'Bonding Program'!$T$36-'Bonding Program'!$U$36-'Bonding Program'!$Z$36,0)-IF(AND('Bonding Program'!$S$36=1,'Bonding Program'!$H$36&lt;='Bonding Program'!$C$8,C$3=IF('Bonding Program'!$P$36&lt;&gt;"",'Bonding Program'!$P$36,'Bonding Program'!$C$8)),'Bonding Program'!$Z$36,0)+IF(AND('Bonding Program'!$P$36&lt;&gt;"",C$3='Bonding Program'!$P$36,C$3&lt;='Bonding Program'!$C$8),N('Bonding Program'!$O$36),0)</f>
        <v>0</v>
      </c>
      <c r="D177" s="19" t="n">
        <f aca="false">IF(AND('Bonding Program'!$S$36=1,'Bonding Program'!$H$36&gt;'Bonding Program'!$C$8,D$3='Bonding Program'!$H$36),'Bonding Program'!$T$36-'Bonding Program'!$U$36-'Bonding Program'!$Z$36,0)-IF(AND('Bonding Program'!$S$36=1,'Bonding Program'!$H$36&lt;='Bonding Program'!$C$8,D$3=IF('Bonding Program'!$P$36&lt;&gt;"",'Bonding Program'!$P$36,'Bonding Program'!$C$8)),'Bonding Program'!$Z$36,0)+IF(AND('Bonding Program'!$P$36&lt;&gt;"",D$3='Bonding Program'!$P$36,D$3&lt;='Bonding Program'!$C$8),N('Bonding Program'!$O$36),0)</f>
        <v>0</v>
      </c>
      <c r="E177" s="19" t="n">
        <f aca="false">IF(AND('Bonding Program'!$S$36=1,'Bonding Program'!$H$36&gt;'Bonding Program'!$C$8,E$3='Bonding Program'!$H$36),'Bonding Program'!$T$36-'Bonding Program'!$U$36-'Bonding Program'!$Z$36,0)-IF(AND('Bonding Program'!$S$36=1,'Bonding Program'!$H$36&lt;='Bonding Program'!$C$8,E$3=IF('Bonding Program'!$P$36&lt;&gt;"",'Bonding Program'!$P$36,'Bonding Program'!$C$8)),'Bonding Program'!$Z$36,0)+IF(AND('Bonding Program'!$P$36&lt;&gt;"",E$3='Bonding Program'!$P$36,E$3&lt;='Bonding Program'!$C$8),N('Bonding Program'!$O$36),0)</f>
        <v>0</v>
      </c>
      <c r="F177" s="19" t="n">
        <f aca="false">IF(AND('Bonding Program'!$S$36=1,'Bonding Program'!$H$36&gt;'Bonding Program'!$C$8,F$3='Bonding Program'!$H$36),'Bonding Program'!$T$36-'Bonding Program'!$U$36-'Bonding Program'!$Z$36,0)-IF(AND('Bonding Program'!$S$36=1,'Bonding Program'!$H$36&lt;='Bonding Program'!$C$8,F$3=IF('Bonding Program'!$P$36&lt;&gt;"",'Bonding Program'!$P$36,'Bonding Program'!$C$8)),'Bonding Program'!$Z$36,0)+IF(AND('Bonding Program'!$P$36&lt;&gt;"",F$3='Bonding Program'!$P$36,F$3&lt;='Bonding Program'!$C$8),N('Bonding Program'!$O$36),0)</f>
        <v>0</v>
      </c>
      <c r="G177" s="19" t="n">
        <f aca="false">IF(AND('Bonding Program'!$S$36=1,'Bonding Program'!$H$36&gt;'Bonding Program'!$C$8,G$3='Bonding Program'!$H$36),'Bonding Program'!$T$36-'Bonding Program'!$U$36-'Bonding Program'!$Z$36,0)-IF(AND('Bonding Program'!$S$36=1,'Bonding Program'!$H$36&lt;='Bonding Program'!$C$8,G$3=IF('Bonding Program'!$P$36&lt;&gt;"",'Bonding Program'!$P$36,'Bonding Program'!$C$8)),'Bonding Program'!$Z$36,0)+IF(AND('Bonding Program'!$P$36&lt;&gt;"",G$3='Bonding Program'!$P$36,G$3&lt;='Bonding Program'!$C$8),N('Bonding Program'!$O$36),0)</f>
        <v>0</v>
      </c>
      <c r="H177" s="19" t="n">
        <f aca="false">IF(AND('Bonding Program'!$S$36=1,'Bonding Program'!$H$36&gt;'Bonding Program'!$C$8,H$3='Bonding Program'!$H$36),'Bonding Program'!$T$36-'Bonding Program'!$U$36-'Bonding Program'!$Z$36,0)-IF(AND('Bonding Program'!$S$36=1,'Bonding Program'!$H$36&lt;='Bonding Program'!$C$8,H$3=IF('Bonding Program'!$P$36&lt;&gt;"",'Bonding Program'!$P$36,'Bonding Program'!$C$8)),'Bonding Program'!$Z$36,0)+IF(AND('Bonding Program'!$P$36&lt;&gt;"",H$3='Bonding Program'!$P$36,H$3&lt;='Bonding Program'!$C$8),N('Bonding Program'!$O$36),0)</f>
        <v>0</v>
      </c>
      <c r="I177" s="19" t="n">
        <f aca="false">IF(AND('Bonding Program'!$S$36=1,'Bonding Program'!$H$36&gt;'Bonding Program'!$C$8,I$3='Bonding Program'!$H$36),'Bonding Program'!$T$36-'Bonding Program'!$U$36-'Bonding Program'!$Z$36,0)-IF(AND('Bonding Program'!$S$36=1,'Bonding Program'!$H$36&lt;='Bonding Program'!$C$8,I$3=IF('Bonding Program'!$P$36&lt;&gt;"",'Bonding Program'!$P$36,'Bonding Program'!$C$8)),'Bonding Program'!$Z$36,0)+IF(AND('Bonding Program'!$P$36&lt;&gt;"",I$3='Bonding Program'!$P$36,I$3&lt;='Bonding Program'!$C$8),N('Bonding Program'!$O$36),0)</f>
        <v>0</v>
      </c>
      <c r="J177" s="19" t="n">
        <f aca="false">IF(AND('Bonding Program'!$S$36=1,'Bonding Program'!$H$36&gt;'Bonding Program'!$C$8,J$3='Bonding Program'!$H$36),'Bonding Program'!$T$36-'Bonding Program'!$U$36-'Bonding Program'!$Z$36,0)-IF(AND('Bonding Program'!$S$36=1,'Bonding Program'!$H$36&lt;='Bonding Program'!$C$8,J$3=IF('Bonding Program'!$P$36&lt;&gt;"",'Bonding Program'!$P$36,'Bonding Program'!$C$8)),'Bonding Program'!$Z$36,0)+IF(AND('Bonding Program'!$P$36&lt;&gt;"",J$3='Bonding Program'!$P$36,J$3&lt;='Bonding Program'!$C$8),N('Bonding Program'!$O$36),0)</f>
        <v>0</v>
      </c>
      <c r="K177" s="19" t="n">
        <f aca="false">IF(AND('Bonding Program'!$S$36=1,'Bonding Program'!$H$36&gt;'Bonding Program'!$C$8,K$3='Bonding Program'!$H$36),'Bonding Program'!$T$36-'Bonding Program'!$U$36-'Bonding Program'!$Z$36,0)-IF(AND('Bonding Program'!$S$36=1,'Bonding Program'!$H$36&lt;='Bonding Program'!$C$8,K$3=IF('Bonding Program'!$P$36&lt;&gt;"",'Bonding Program'!$P$36,'Bonding Program'!$C$8)),'Bonding Program'!$Z$36,0)+IF(AND('Bonding Program'!$P$36&lt;&gt;"",K$3='Bonding Program'!$P$36,K$3&lt;='Bonding Program'!$C$8),N('Bonding Program'!$O$36),0)</f>
        <v>0</v>
      </c>
      <c r="L177" s="19" t="n">
        <f aca="false">IF(AND('Bonding Program'!$S$36=1,'Bonding Program'!$H$36&gt;'Bonding Program'!$C$8,L$3='Bonding Program'!$H$36),'Bonding Program'!$T$36-'Bonding Program'!$U$36-'Bonding Program'!$Z$36,0)-IF(AND('Bonding Program'!$S$36=1,'Bonding Program'!$H$36&lt;='Bonding Program'!$C$8,L$3=IF('Bonding Program'!$P$36&lt;&gt;"",'Bonding Program'!$P$36,'Bonding Program'!$C$8)),'Bonding Program'!$Z$36,0)+IF(AND('Bonding Program'!$P$36&lt;&gt;"",L$3='Bonding Program'!$P$36,L$3&lt;='Bonding Program'!$C$8),N('Bonding Program'!$O$36),0)</f>
        <v>0</v>
      </c>
      <c r="M177" s="19" t="n">
        <f aca="false">IF(AND('Bonding Program'!$S$36=1,'Bonding Program'!$H$36&gt;'Bonding Program'!$C$8,M$3='Bonding Program'!$H$36),'Bonding Program'!$T$36-'Bonding Program'!$U$36-'Bonding Program'!$Z$36,0)-IF(AND('Bonding Program'!$S$36=1,'Bonding Program'!$H$36&lt;='Bonding Program'!$C$8,M$3=IF('Bonding Program'!$P$36&lt;&gt;"",'Bonding Program'!$P$36,'Bonding Program'!$C$8)),'Bonding Program'!$Z$36,0)+IF(AND('Bonding Program'!$P$36&lt;&gt;"",M$3='Bonding Program'!$P$36,M$3&lt;='Bonding Program'!$C$8),N('Bonding Program'!$O$36),0)</f>
        <v>0</v>
      </c>
      <c r="N177" s="19" t="n">
        <f aca="false">IF(AND('Bonding Program'!$S$36=1,'Bonding Program'!$H$36&gt;'Bonding Program'!$C$8,N$3='Bonding Program'!$H$36),'Bonding Program'!$T$36-'Bonding Program'!$U$36-'Bonding Program'!$Z$36,0)-IF(AND('Bonding Program'!$S$36=1,'Bonding Program'!$H$36&lt;='Bonding Program'!$C$8,N$3=IF('Bonding Program'!$P$36&lt;&gt;"",'Bonding Program'!$P$36,'Bonding Program'!$C$8)),'Bonding Program'!$Z$36,0)+IF(AND('Bonding Program'!$P$36&lt;&gt;"",N$3='Bonding Program'!$P$36,N$3&lt;='Bonding Program'!$C$8),N('Bonding Program'!$O$36),0)</f>
        <v>0</v>
      </c>
      <c r="O177" s="19" t="n">
        <f aca="false">IF(AND('Bonding Program'!$S$36=1,'Bonding Program'!$H$36&gt;'Bonding Program'!$C$8,O$3='Bonding Program'!$H$36),'Bonding Program'!$T$36-'Bonding Program'!$U$36-'Bonding Program'!$Z$36,0)-IF(AND('Bonding Program'!$S$36=1,'Bonding Program'!$H$36&lt;='Bonding Program'!$C$8,O$3=IF('Bonding Program'!$P$36&lt;&gt;"",'Bonding Program'!$P$36,'Bonding Program'!$C$8)),'Bonding Program'!$Z$36,0)+IF(AND('Bonding Program'!$P$36&lt;&gt;"",O$3='Bonding Program'!$P$36,O$3&lt;='Bonding Program'!$C$8),N('Bonding Program'!$O$36),0)</f>
        <v>0</v>
      </c>
      <c r="P177" s="19" t="n">
        <f aca="false">IF(AND('Bonding Program'!$S$36=1,'Bonding Program'!$H$36&gt;'Bonding Program'!$C$8,P$3='Bonding Program'!$H$36),'Bonding Program'!$T$36-'Bonding Program'!$U$36-'Bonding Program'!$Z$36,0)-IF(AND('Bonding Program'!$S$36=1,'Bonding Program'!$H$36&lt;='Bonding Program'!$C$8,P$3=IF('Bonding Program'!$P$36&lt;&gt;"",'Bonding Program'!$P$36,'Bonding Program'!$C$8)),'Bonding Program'!$Z$36,0)+IF(AND('Bonding Program'!$P$36&lt;&gt;"",P$3='Bonding Program'!$P$36,P$3&lt;='Bonding Program'!$C$8),N('Bonding Program'!$O$36),0)</f>
        <v>0</v>
      </c>
      <c r="Q177" s="19" t="n">
        <f aca="false">IF(AND('Bonding Program'!$S$36=1,'Bonding Program'!$H$36&gt;'Bonding Program'!$C$8,Q$3='Bonding Program'!$H$36),'Bonding Program'!$T$36-'Bonding Program'!$U$36-'Bonding Program'!$Z$36,0)-IF(AND('Bonding Program'!$S$36=1,'Bonding Program'!$H$36&lt;='Bonding Program'!$C$8,Q$3=IF('Bonding Program'!$P$36&lt;&gt;"",'Bonding Program'!$P$36,'Bonding Program'!$C$8)),'Bonding Program'!$Z$36,0)+IF(AND('Bonding Program'!$P$36&lt;&gt;"",Q$3='Bonding Program'!$P$36,Q$3&lt;='Bonding Program'!$C$8),N('Bonding Program'!$O$36),0)</f>
        <v>0</v>
      </c>
      <c r="R177" s="19" t="n">
        <f aca="false">IF(AND('Bonding Program'!$S$36=1,'Bonding Program'!$H$36&gt;'Bonding Program'!$C$8,R$3='Bonding Program'!$H$36),'Bonding Program'!$T$36-'Bonding Program'!$U$36-'Bonding Program'!$Z$36,0)-IF(AND('Bonding Program'!$S$36=1,'Bonding Program'!$H$36&lt;='Bonding Program'!$C$8,R$3=IF('Bonding Program'!$P$36&lt;&gt;"",'Bonding Program'!$P$36,'Bonding Program'!$C$8)),'Bonding Program'!$Z$36,0)+IF(AND('Bonding Program'!$P$36&lt;&gt;"",R$3='Bonding Program'!$P$36,R$3&lt;='Bonding Program'!$C$8),N('Bonding Program'!$O$36),0)</f>
        <v>0</v>
      </c>
      <c r="S177" s="19" t="n">
        <f aca="false">IF(AND('Bonding Program'!$S$36=1,'Bonding Program'!$H$36&gt;'Bonding Program'!$C$8,S$3='Bonding Program'!$H$36),'Bonding Program'!$T$36-'Bonding Program'!$U$36-'Bonding Program'!$Z$36,0)-IF(AND('Bonding Program'!$S$36=1,'Bonding Program'!$H$36&lt;='Bonding Program'!$C$8,S$3=IF('Bonding Program'!$P$36&lt;&gt;"",'Bonding Program'!$P$36,'Bonding Program'!$C$8)),'Bonding Program'!$Z$36,0)+IF(AND('Bonding Program'!$P$36&lt;&gt;"",S$3='Bonding Program'!$P$36,S$3&lt;='Bonding Program'!$C$8),N('Bonding Program'!$O$36),0)</f>
        <v>0</v>
      </c>
      <c r="T177" s="19" t="n">
        <f aca="false">IF(AND('Bonding Program'!$S$36=1,'Bonding Program'!$H$36&gt;'Bonding Program'!$C$8,T$3='Bonding Program'!$H$36),'Bonding Program'!$T$36-'Bonding Program'!$U$36-'Bonding Program'!$Z$36,0)-IF(AND('Bonding Program'!$S$36=1,'Bonding Program'!$H$36&lt;='Bonding Program'!$C$8,T$3=IF('Bonding Program'!$P$36&lt;&gt;"",'Bonding Program'!$P$36,'Bonding Program'!$C$8)),'Bonding Program'!$Z$36,0)+IF(AND('Bonding Program'!$P$36&lt;&gt;"",T$3='Bonding Program'!$P$36,T$3&lt;='Bonding Program'!$C$8),N('Bonding Program'!$O$36),0)</f>
        <v>0</v>
      </c>
      <c r="U177" s="19" t="n">
        <f aca="false">IF(AND('Bonding Program'!$S$36=1,'Bonding Program'!$H$36&gt;'Bonding Program'!$C$8,U$3='Bonding Program'!$H$36),'Bonding Program'!$T$36-'Bonding Program'!$U$36-'Bonding Program'!$Z$36,0)-IF(AND('Bonding Program'!$S$36=1,'Bonding Program'!$H$36&lt;='Bonding Program'!$C$8,U$3=IF('Bonding Program'!$P$36&lt;&gt;"",'Bonding Program'!$P$36,'Bonding Program'!$C$8)),'Bonding Program'!$Z$36,0)+IF(AND('Bonding Program'!$P$36&lt;&gt;"",U$3='Bonding Program'!$P$36,U$3&lt;='Bonding Program'!$C$8),N('Bonding Program'!$O$36),0)</f>
        <v>0</v>
      </c>
      <c r="V177" s="19" t="n">
        <f aca="false">IF(AND('Bonding Program'!$S$36=1,'Bonding Program'!$H$36&gt;'Bonding Program'!$C$8,V$3='Bonding Program'!$H$36),'Bonding Program'!$T$36-'Bonding Program'!$U$36-'Bonding Program'!$Z$36,0)-IF(AND('Bonding Program'!$S$36=1,'Bonding Program'!$H$36&lt;='Bonding Program'!$C$8,V$3=IF('Bonding Program'!$P$36&lt;&gt;"",'Bonding Program'!$P$36,'Bonding Program'!$C$8)),'Bonding Program'!$Z$36,0)+IF(AND('Bonding Program'!$P$36&lt;&gt;"",V$3='Bonding Program'!$P$36,V$3&lt;='Bonding Program'!$C$8),N('Bonding Program'!$O$36),0)</f>
        <v>0</v>
      </c>
      <c r="W177" s="19" t="n">
        <f aca="false">IF(AND('Bonding Program'!$S$36=1,'Bonding Program'!$H$36&gt;'Bonding Program'!$C$8,W$3='Bonding Program'!$H$36),'Bonding Program'!$T$36-'Bonding Program'!$U$36-'Bonding Program'!$Z$36,0)-IF(AND('Bonding Program'!$S$36=1,'Bonding Program'!$H$36&lt;='Bonding Program'!$C$8,W$3=IF('Bonding Program'!$P$36&lt;&gt;"",'Bonding Program'!$P$36,'Bonding Program'!$C$8)),'Bonding Program'!$Z$36,0)+IF(AND('Bonding Program'!$P$36&lt;&gt;"",W$3='Bonding Program'!$P$36,W$3&lt;='Bonding Program'!$C$8),N('Bonding Program'!$O$36),0)</f>
        <v>0</v>
      </c>
      <c r="X177" s="19" t="n">
        <f aca="false">IF(AND('Bonding Program'!$S$36=1,'Bonding Program'!$H$36&gt;'Bonding Program'!$C$8,X$3='Bonding Program'!$H$36),'Bonding Program'!$T$36-'Bonding Program'!$U$36-'Bonding Program'!$Z$36,0)-IF(AND('Bonding Program'!$S$36=1,'Bonding Program'!$H$36&lt;='Bonding Program'!$C$8,X$3=IF('Bonding Program'!$P$36&lt;&gt;"",'Bonding Program'!$P$36,'Bonding Program'!$C$8)),'Bonding Program'!$Z$36,0)+IF(AND('Bonding Program'!$P$36&lt;&gt;"",X$3='Bonding Program'!$P$36,X$3&lt;='Bonding Program'!$C$8),N('Bonding Program'!$O$36),0)</f>
        <v>0</v>
      </c>
      <c r="Y177" s="19" t="n">
        <f aca="false">IF(AND('Bonding Program'!$S$36=1,'Bonding Program'!$H$36&gt;'Bonding Program'!$C$8,Y$3='Bonding Program'!$H$36),'Bonding Program'!$T$36-'Bonding Program'!$U$36-'Bonding Program'!$Z$36,0)-IF(AND('Bonding Program'!$S$36=1,'Bonding Program'!$H$36&lt;='Bonding Program'!$C$8,Y$3=IF('Bonding Program'!$P$36&lt;&gt;"",'Bonding Program'!$P$36,'Bonding Program'!$C$8)),'Bonding Program'!$Z$36,0)+IF(AND('Bonding Program'!$P$36&lt;&gt;"",Y$3='Bonding Program'!$P$36,Y$3&lt;='Bonding Program'!$C$8),N('Bonding Program'!$O$36),0)</f>
        <v>0</v>
      </c>
      <c r="Z177" s="19" t="n">
        <f aca="false">IF(AND('Bonding Program'!$S$36=1,'Bonding Program'!$H$36&gt;'Bonding Program'!$C$8,Z$3='Bonding Program'!$H$36),'Bonding Program'!$T$36-'Bonding Program'!$U$36-'Bonding Program'!$Z$36,0)-IF(AND('Bonding Program'!$S$36=1,'Bonding Program'!$H$36&lt;='Bonding Program'!$C$8,Z$3=IF('Bonding Program'!$P$36&lt;&gt;"",'Bonding Program'!$P$36,'Bonding Program'!$C$8)),'Bonding Program'!$Z$36,0)+IF(AND('Bonding Program'!$P$36&lt;&gt;"",Z$3='Bonding Program'!$P$36,Z$3&lt;='Bonding Program'!$C$8),N('Bonding Program'!$O$36),0)</f>
        <v>0</v>
      </c>
      <c r="AA177" s="19" t="n">
        <f aca="false">IF(AND('Bonding Program'!$S$36=1,'Bonding Program'!$H$36&gt;'Bonding Program'!$C$8,AA$3='Bonding Program'!$H$36),'Bonding Program'!$T$36-'Bonding Program'!$U$36-'Bonding Program'!$Z$36,0)-IF(AND('Bonding Program'!$S$36=1,'Bonding Program'!$H$36&lt;='Bonding Program'!$C$8,AA$3=IF('Bonding Program'!$P$36&lt;&gt;"",'Bonding Program'!$P$36,'Bonding Program'!$C$8)),'Bonding Program'!$Z$36,0)+IF(AND('Bonding Program'!$P$36&lt;&gt;"",AA$3='Bonding Program'!$P$36,AA$3&lt;='Bonding Program'!$C$8),N('Bonding Program'!$O$36),0)</f>
        <v>0</v>
      </c>
      <c r="AB177" s="19" t="n">
        <f aca="false">IF(AND('Bonding Program'!$S$36=1,'Bonding Program'!$H$36&gt;'Bonding Program'!$C$8,AB$3='Bonding Program'!$H$36),'Bonding Program'!$T$36-'Bonding Program'!$U$36-'Bonding Program'!$Z$36,0)-IF(AND('Bonding Program'!$S$36=1,'Bonding Program'!$H$36&lt;='Bonding Program'!$C$8,AB$3=IF('Bonding Program'!$P$36&lt;&gt;"",'Bonding Program'!$P$36,'Bonding Program'!$C$8)),'Bonding Program'!$Z$36,0)+IF(AND('Bonding Program'!$P$36&lt;&gt;"",AB$3='Bonding Program'!$P$36,AB$3&lt;='Bonding Program'!$C$8),N('Bonding Program'!$O$36),0)</f>
        <v>0</v>
      </c>
      <c r="AC177" s="19" t="n">
        <f aca="false">IF(AND('Bonding Program'!$S$36=1,'Bonding Program'!$H$36&gt;'Bonding Program'!$C$8,AC$3='Bonding Program'!$H$36),'Bonding Program'!$T$36-'Bonding Program'!$U$36-'Bonding Program'!$Z$36,0)-IF(AND('Bonding Program'!$S$36=1,'Bonding Program'!$H$36&lt;='Bonding Program'!$C$8,AC$3=IF('Bonding Program'!$P$36&lt;&gt;"",'Bonding Program'!$P$36,'Bonding Program'!$C$8)),'Bonding Program'!$Z$36,0)+IF(AND('Bonding Program'!$P$36&lt;&gt;"",AC$3='Bonding Program'!$P$36,AC$3&lt;='Bonding Program'!$C$8),N('Bonding Program'!$O$36),0)</f>
        <v>0</v>
      </c>
      <c r="AD177" s="19" t="n">
        <f aca="false">IF(AND('Bonding Program'!$S$36=1,'Bonding Program'!$H$36&gt;'Bonding Program'!$C$8,AD$3='Bonding Program'!$H$36),'Bonding Program'!$T$36-'Bonding Program'!$U$36-'Bonding Program'!$Z$36,0)-IF(AND('Bonding Program'!$S$36=1,'Bonding Program'!$H$36&lt;='Bonding Program'!$C$8,AD$3=IF('Bonding Program'!$P$36&lt;&gt;"",'Bonding Program'!$P$36,'Bonding Program'!$C$8)),'Bonding Program'!$Z$36,0)+IF(AND('Bonding Program'!$P$36&lt;&gt;"",AD$3='Bonding Program'!$P$36,AD$3&lt;='Bonding Program'!$C$8),N('Bonding Program'!$O$36),0)</f>
        <v>0</v>
      </c>
      <c r="AE177" s="19" t="n">
        <f aca="false">IF(AND('Bonding Program'!$S$36=1,'Bonding Program'!$H$36&gt;'Bonding Program'!$C$8,AE$3='Bonding Program'!$H$36),'Bonding Program'!$T$36-'Bonding Program'!$U$36-'Bonding Program'!$Z$36,0)-IF(AND('Bonding Program'!$S$36=1,'Bonding Program'!$H$36&lt;='Bonding Program'!$C$8,AE$3=IF('Bonding Program'!$P$36&lt;&gt;"",'Bonding Program'!$P$36,'Bonding Program'!$C$8)),'Bonding Program'!$Z$36,0)+IF(AND('Bonding Program'!$P$36&lt;&gt;"",AE$3='Bonding Program'!$P$36,AE$3&lt;='Bonding Program'!$C$8),N('Bonding Program'!$O$36),0)</f>
        <v>0</v>
      </c>
      <c r="AF177" s="19" t="n">
        <f aca="false">IF(AND('Bonding Program'!$S$36=1,'Bonding Program'!$H$36&gt;'Bonding Program'!$C$8,AF$3='Bonding Program'!$H$36),'Bonding Program'!$T$36-'Bonding Program'!$U$36-'Bonding Program'!$Z$36,0)-IF(AND('Bonding Program'!$S$36=1,'Bonding Program'!$H$36&lt;='Bonding Program'!$C$8,AF$3=IF('Bonding Program'!$P$36&lt;&gt;"",'Bonding Program'!$P$36,'Bonding Program'!$C$8)),'Bonding Program'!$Z$36,0)+IF(AND('Bonding Program'!$P$36&lt;&gt;"",AF$3='Bonding Program'!$P$36,AF$3&lt;='Bonding Program'!$C$8),N('Bonding Program'!$O$36),0)</f>
        <v>0</v>
      </c>
      <c r="AG177" s="19" t="n">
        <f aca="false">IF(AND('Bonding Program'!$S$36=1,'Bonding Program'!$H$36&gt;'Bonding Program'!$C$8,AG$3='Bonding Program'!$H$36),'Bonding Program'!$T$36-'Bonding Program'!$U$36-'Bonding Program'!$Z$36,0)-IF(AND('Bonding Program'!$S$36=1,'Bonding Program'!$H$36&lt;='Bonding Program'!$C$8,AG$3=IF('Bonding Program'!$P$36&lt;&gt;"",'Bonding Program'!$P$36,'Bonding Program'!$C$8)),'Bonding Program'!$Z$36,0)+IF(AND('Bonding Program'!$P$36&lt;&gt;"",AG$3='Bonding Program'!$P$36,AG$3&lt;='Bonding Program'!$C$8),N('Bonding Program'!$O$36),0)</f>
        <v>0</v>
      </c>
      <c r="AH177" s="19" t="n">
        <f aca="false">IF(AND('Bonding Program'!$S$36=1,'Bonding Program'!$H$36&gt;'Bonding Program'!$C$8,AH$3='Bonding Program'!$H$36),'Bonding Program'!$T$36-'Bonding Program'!$U$36-'Bonding Program'!$Z$36,0)-IF(AND('Bonding Program'!$S$36=1,'Bonding Program'!$H$36&lt;='Bonding Program'!$C$8,AH$3=IF('Bonding Program'!$P$36&lt;&gt;"",'Bonding Program'!$P$36,'Bonding Program'!$C$8)),'Bonding Program'!$Z$36,0)+IF(AND('Bonding Program'!$P$36&lt;&gt;"",AH$3='Bonding Program'!$P$36,AH$3&lt;='Bonding Program'!$C$8),N('Bonding Program'!$O$36),0)</f>
        <v>0</v>
      </c>
      <c r="AI177" s="19" t="n">
        <f aca="false">IF(AND('Bonding Program'!$S$36=1,'Bonding Program'!$H$36&gt;'Bonding Program'!$C$8,AI$3='Bonding Program'!$H$36),'Bonding Program'!$T$36-'Bonding Program'!$U$36-'Bonding Program'!$Z$36,0)-IF(AND('Bonding Program'!$S$36=1,'Bonding Program'!$H$36&lt;='Bonding Program'!$C$8,AI$3=IF('Bonding Program'!$P$36&lt;&gt;"",'Bonding Program'!$P$36,'Bonding Program'!$C$8)),'Bonding Program'!$Z$36,0)+IF(AND('Bonding Program'!$P$36&lt;&gt;"",AI$3='Bonding Program'!$P$36,AI$3&lt;='Bonding Program'!$C$8),N('Bonding Program'!$O$36),0)</f>
        <v>0</v>
      </c>
      <c r="AJ177" s="19" t="n">
        <f aca="false">IF(AND('Bonding Program'!$S$36=1,'Bonding Program'!$H$36&gt;'Bonding Program'!$C$8,AJ$3='Bonding Program'!$H$36),'Bonding Program'!$T$36-'Bonding Program'!$U$36-'Bonding Program'!$Z$36,0)-IF(AND('Bonding Program'!$S$36=1,'Bonding Program'!$H$36&lt;='Bonding Program'!$C$8,AJ$3=IF('Bonding Program'!$P$36&lt;&gt;"",'Bonding Program'!$P$36,'Bonding Program'!$C$8)),'Bonding Program'!$Z$36,0)+IF(AND('Bonding Program'!$P$36&lt;&gt;"",AJ$3='Bonding Program'!$P$36,AJ$3&lt;='Bonding Program'!$C$8),N('Bonding Program'!$O$36),0)</f>
        <v>0</v>
      </c>
      <c r="AK177" s="19" t="n">
        <f aca="false">IF(AND('Bonding Program'!$S$36=1,'Bonding Program'!$H$36&gt;'Bonding Program'!$C$8,AK$3='Bonding Program'!$H$36),'Bonding Program'!$T$36-'Bonding Program'!$U$36-'Bonding Program'!$Z$36,0)-IF(AND('Bonding Program'!$S$36=1,'Bonding Program'!$H$36&lt;='Bonding Program'!$C$8,AK$3=IF('Bonding Program'!$P$36&lt;&gt;"",'Bonding Program'!$P$36,'Bonding Program'!$C$8)),'Bonding Program'!$Z$36,0)+IF(AND('Bonding Program'!$P$36&lt;&gt;"",AK$3='Bonding Program'!$P$36,AK$3&lt;='Bonding Program'!$C$8),N('Bonding Program'!$O$36),0)</f>
        <v>0</v>
      </c>
      <c r="AL177" s="19" t="n">
        <f aca="false">IF(AND('Bonding Program'!$S$36=1,'Bonding Program'!$H$36&gt;'Bonding Program'!$C$8,AL$3='Bonding Program'!$H$36),'Bonding Program'!$T$36-'Bonding Program'!$U$36-'Bonding Program'!$Z$36,0)-IF(AND('Bonding Program'!$S$36=1,'Bonding Program'!$H$36&lt;='Bonding Program'!$C$8,AL$3=IF('Bonding Program'!$P$36&lt;&gt;"",'Bonding Program'!$P$36,'Bonding Program'!$C$8)),'Bonding Program'!$Z$36,0)+IF(AND('Bonding Program'!$P$36&lt;&gt;"",AL$3='Bonding Program'!$P$36,AL$3&lt;='Bonding Program'!$C$8),N('Bonding Program'!$O$36),0)</f>
        <v>0</v>
      </c>
      <c r="AM177" s="19" t="n">
        <f aca="false">IF(AND('Bonding Program'!$S$36=1,'Bonding Program'!$H$36&gt;'Bonding Program'!$C$8,AM$3='Bonding Program'!$H$36),'Bonding Program'!$T$36-'Bonding Program'!$U$36-'Bonding Program'!$Z$36,0)-IF(AND('Bonding Program'!$S$36=1,'Bonding Program'!$H$36&lt;='Bonding Program'!$C$8,AM$3=IF('Bonding Program'!$P$36&lt;&gt;"",'Bonding Program'!$P$36,'Bonding Program'!$C$8)),'Bonding Program'!$Z$36,0)+IF(AND('Bonding Program'!$P$36&lt;&gt;"",AM$3='Bonding Program'!$P$36,AM$3&lt;='Bonding Program'!$C$8),N('Bonding Program'!$O$36),0)</f>
        <v>0</v>
      </c>
      <c r="AN177" s="19" t="n">
        <f aca="false">IF(AND('Bonding Program'!$S$36=1,'Bonding Program'!$H$36&gt;'Bonding Program'!$C$8,AN$3='Bonding Program'!$H$36),'Bonding Program'!$T$36-'Bonding Program'!$U$36-'Bonding Program'!$Z$36,0)-IF(AND('Bonding Program'!$S$36=1,'Bonding Program'!$H$36&lt;='Bonding Program'!$C$8,AN$3=IF('Bonding Program'!$P$36&lt;&gt;"",'Bonding Program'!$P$36,'Bonding Program'!$C$8)),'Bonding Program'!$Z$36,0)+IF(AND('Bonding Program'!$P$36&lt;&gt;"",AN$3='Bonding Program'!$P$36,AN$3&lt;='Bonding Program'!$C$8),N('Bonding Program'!$O$36),0)</f>
        <v>0</v>
      </c>
      <c r="AO177" s="19" t="n">
        <f aca="false">IF(AND('Bonding Program'!$S$36=1,'Bonding Program'!$H$36&gt;'Bonding Program'!$C$8,AO$3='Bonding Program'!$H$36),'Bonding Program'!$T$36-'Bonding Program'!$U$36-'Bonding Program'!$Z$36,0)-IF(AND('Bonding Program'!$S$36=1,'Bonding Program'!$H$36&lt;='Bonding Program'!$C$8,AO$3=IF('Bonding Program'!$P$36&lt;&gt;"",'Bonding Program'!$P$36,'Bonding Program'!$C$8)),'Bonding Program'!$Z$36,0)+IF(AND('Bonding Program'!$P$36&lt;&gt;"",AO$3='Bonding Program'!$P$36,AO$3&lt;='Bonding Program'!$C$8),N('Bonding Program'!$O$36),0)</f>
        <v>0</v>
      </c>
      <c r="AP177" s="19" t="n">
        <f aca="false">IF(AND('Bonding Program'!$S$36=1,'Bonding Program'!$H$36&gt;'Bonding Program'!$C$8,AP$3='Bonding Program'!$H$36),'Bonding Program'!$T$36-'Bonding Program'!$U$36-'Bonding Program'!$Z$36,0)-IF(AND('Bonding Program'!$S$36=1,'Bonding Program'!$H$36&lt;='Bonding Program'!$C$8,AP$3=IF('Bonding Program'!$P$36&lt;&gt;"",'Bonding Program'!$P$36,'Bonding Program'!$C$8)),'Bonding Program'!$Z$36,0)+IF(AND('Bonding Program'!$P$36&lt;&gt;"",AP$3='Bonding Program'!$P$36,AP$3&lt;='Bonding Program'!$C$8),N('Bonding Program'!$O$36),0)</f>
        <v>0</v>
      </c>
      <c r="AQ177" s="19" t="n">
        <f aca="false">IF(AND('Bonding Program'!$S$36=1,'Bonding Program'!$H$36&gt;'Bonding Program'!$C$8,AQ$3='Bonding Program'!$H$36),'Bonding Program'!$T$36-'Bonding Program'!$U$36-'Bonding Program'!$Z$36,0)-IF(AND('Bonding Program'!$S$36=1,'Bonding Program'!$H$36&lt;='Bonding Program'!$C$8,AQ$3=IF('Bonding Program'!$P$36&lt;&gt;"",'Bonding Program'!$P$36,'Bonding Program'!$C$8)),'Bonding Program'!$Z$36,0)+IF(AND('Bonding Program'!$P$36&lt;&gt;"",AQ$3='Bonding Program'!$P$36,AQ$3&lt;='Bonding Program'!$C$8),N('Bonding Program'!$O$36),0)</f>
        <v>0</v>
      </c>
      <c r="AR177" s="19" t="n">
        <f aca="false">IF(AND('Bonding Program'!$S$36=1,'Bonding Program'!$H$36&gt;'Bonding Program'!$C$8,AR$3='Bonding Program'!$H$36),'Bonding Program'!$T$36-'Bonding Program'!$U$36-'Bonding Program'!$Z$36,0)-IF(AND('Bonding Program'!$S$36=1,'Bonding Program'!$H$36&lt;='Bonding Program'!$C$8,AR$3=IF('Bonding Program'!$P$36&lt;&gt;"",'Bonding Program'!$P$36,'Bonding Program'!$C$8)),'Bonding Program'!$Z$36,0)+IF(AND('Bonding Program'!$P$36&lt;&gt;"",AR$3='Bonding Program'!$P$36,AR$3&lt;='Bonding Program'!$C$8),N('Bonding Program'!$O$36),0)</f>
        <v>0</v>
      </c>
      <c r="AS177" s="19" t="n">
        <f aca="false">IF(AND('Bonding Program'!$S$36=1,'Bonding Program'!$H$36&gt;'Bonding Program'!$C$8,AS$3='Bonding Program'!$H$36),'Bonding Program'!$T$36-'Bonding Program'!$U$36-'Bonding Program'!$Z$36,0)-IF(AND('Bonding Program'!$S$36=1,'Bonding Program'!$H$36&lt;='Bonding Program'!$C$8,AS$3=IF('Bonding Program'!$P$36&lt;&gt;"",'Bonding Program'!$P$36,'Bonding Program'!$C$8)),'Bonding Program'!$Z$36,0)+IF(AND('Bonding Program'!$P$36&lt;&gt;"",AS$3='Bonding Program'!$P$36,AS$3&lt;='Bonding Program'!$C$8),N('Bonding Program'!$O$36),0)</f>
        <v>0</v>
      </c>
      <c r="AT177" s="19" t="n">
        <f aca="false">IF(AND('Bonding Program'!$S$36=1,'Bonding Program'!$H$36&gt;'Bonding Program'!$C$8,AT$3='Bonding Program'!$H$36),'Bonding Program'!$T$36-'Bonding Program'!$U$36-'Bonding Program'!$Z$36,0)-IF(AND('Bonding Program'!$S$36=1,'Bonding Program'!$H$36&lt;='Bonding Program'!$C$8,AT$3=IF('Bonding Program'!$P$36&lt;&gt;"",'Bonding Program'!$P$36,'Bonding Program'!$C$8)),'Bonding Program'!$Z$36,0)+IF(AND('Bonding Program'!$P$36&lt;&gt;"",AT$3='Bonding Program'!$P$36,AT$3&lt;='Bonding Program'!$C$8),N('Bonding Program'!$O$36),0)</f>
        <v>0</v>
      </c>
      <c r="AU177" s="19" t="n">
        <f aca="false">IF(AND('Bonding Program'!$S$36=1,'Bonding Program'!$H$36&gt;'Bonding Program'!$C$8,AU$3='Bonding Program'!$H$36),'Bonding Program'!$T$36-'Bonding Program'!$U$36-'Bonding Program'!$Z$36,0)-IF(AND('Bonding Program'!$S$36=1,'Bonding Program'!$H$36&lt;='Bonding Program'!$C$8,AU$3=IF('Bonding Program'!$P$36&lt;&gt;"",'Bonding Program'!$P$36,'Bonding Program'!$C$8)),'Bonding Program'!$Z$36,0)+IF(AND('Bonding Program'!$P$36&lt;&gt;"",AU$3='Bonding Program'!$P$36,AU$3&lt;='Bonding Program'!$C$8),N('Bonding Program'!$O$36),0)</f>
        <v>0</v>
      </c>
      <c r="AV177" s="19" t="n">
        <f aca="false">IF(AND('Bonding Program'!$S$36=1,'Bonding Program'!$H$36&gt;'Bonding Program'!$C$8,AV$3='Bonding Program'!$H$36),'Bonding Program'!$T$36-'Bonding Program'!$U$36-'Bonding Program'!$Z$36,0)-IF(AND('Bonding Program'!$S$36=1,'Bonding Program'!$H$36&lt;='Bonding Program'!$C$8,AV$3=IF('Bonding Program'!$P$36&lt;&gt;"",'Bonding Program'!$P$36,'Bonding Program'!$C$8)),'Bonding Program'!$Z$36,0)+IF(AND('Bonding Program'!$P$36&lt;&gt;"",AV$3='Bonding Program'!$P$36,AV$3&lt;='Bonding Program'!$C$8),N('Bonding Program'!$O$36),0)</f>
        <v>0</v>
      </c>
      <c r="AW177" s="19" t="n">
        <f aca="false">IF(AND('Bonding Program'!$S$36=1,'Bonding Program'!$H$36&gt;'Bonding Program'!$C$8,AW$3='Bonding Program'!$H$36),'Bonding Program'!$T$36-'Bonding Program'!$U$36-'Bonding Program'!$Z$36,0)-IF(AND('Bonding Program'!$S$36=1,'Bonding Program'!$H$36&lt;='Bonding Program'!$C$8,AW$3=IF('Bonding Program'!$P$36&lt;&gt;"",'Bonding Program'!$P$36,'Bonding Program'!$C$8)),'Bonding Program'!$Z$36,0)+IF(AND('Bonding Program'!$P$36&lt;&gt;"",AW$3='Bonding Program'!$P$36,AW$3&lt;='Bonding Program'!$C$8),N('Bonding Program'!$O$36),0)</f>
        <v>0</v>
      </c>
      <c r="AX177" s="19" t="n">
        <f aca="false">IF(AND('Bonding Program'!$S$36=1,'Bonding Program'!$H$36&gt;'Bonding Program'!$C$8,AX$3='Bonding Program'!$H$36),'Bonding Program'!$T$36-'Bonding Program'!$U$36-'Bonding Program'!$Z$36,0)-IF(AND('Bonding Program'!$S$36=1,'Bonding Program'!$H$36&lt;='Bonding Program'!$C$8,AX$3=IF('Bonding Program'!$P$36&lt;&gt;"",'Bonding Program'!$P$36,'Bonding Program'!$C$8)),'Bonding Program'!$Z$36,0)+IF(AND('Bonding Program'!$P$36&lt;&gt;"",AX$3='Bonding Program'!$P$36,AX$3&lt;='Bonding Program'!$C$8),N('Bonding Program'!$O$36),0)</f>
        <v>0</v>
      </c>
      <c r="AY177" s="19" t="n">
        <f aca="false">IF(AND('Bonding Program'!$S$36=1,'Bonding Program'!$H$36&gt;'Bonding Program'!$C$8,AY$3='Bonding Program'!$H$36),'Bonding Program'!$T$36-'Bonding Program'!$U$36-'Bonding Program'!$Z$36,0)-IF(AND('Bonding Program'!$S$36=1,'Bonding Program'!$H$36&lt;='Bonding Program'!$C$8,AY$3=IF('Bonding Program'!$P$36&lt;&gt;"",'Bonding Program'!$P$36,'Bonding Program'!$C$8)),'Bonding Program'!$Z$36,0)+IF(AND('Bonding Program'!$P$36&lt;&gt;"",AY$3='Bonding Program'!$P$36,AY$3&lt;='Bonding Program'!$C$8),N('Bonding Program'!$O$36),0)</f>
        <v>0</v>
      </c>
      <c r="AZ177" s="19" t="n">
        <f aca="false">IF(AND('Bonding Program'!$S$36=1,'Bonding Program'!$H$36&gt;'Bonding Program'!$C$8,AZ$3='Bonding Program'!$H$36),'Bonding Program'!$T$36-'Bonding Program'!$U$36-'Bonding Program'!$Z$36,0)-IF(AND('Bonding Program'!$S$36=1,'Bonding Program'!$H$36&lt;='Bonding Program'!$C$8,AZ$3=IF('Bonding Program'!$P$36&lt;&gt;"",'Bonding Program'!$P$36,'Bonding Program'!$C$8)),'Bonding Program'!$Z$36,0)+IF(AND('Bonding Program'!$P$36&lt;&gt;"",AZ$3='Bonding Program'!$P$36,AZ$3&lt;='Bonding Program'!$C$8),N('Bonding Program'!$O$36),0)</f>
        <v>0</v>
      </c>
      <c r="BA177" s="19" t="n">
        <f aca="false">IF(AND('Bonding Program'!$S$36=1,'Bonding Program'!$H$36&gt;'Bonding Program'!$C$8,BA$3='Bonding Program'!$H$36),'Bonding Program'!$T$36-'Bonding Program'!$U$36-'Bonding Program'!$Z$36,0)-IF(AND('Bonding Program'!$S$36=1,'Bonding Program'!$H$36&lt;='Bonding Program'!$C$8,BA$3=IF('Bonding Program'!$P$36&lt;&gt;"",'Bonding Program'!$P$36,'Bonding Program'!$C$8)),'Bonding Program'!$Z$36,0)+IF(AND('Bonding Program'!$P$36&lt;&gt;"",BA$3='Bonding Program'!$P$36,BA$3&lt;='Bonding Program'!$C$8),N('Bonding Program'!$O$36),0)</f>
        <v>0</v>
      </c>
      <c r="BB177" s="19" t="n">
        <f aca="false">IF(AND('Bonding Program'!$S$36=1,'Bonding Program'!$H$36&gt;'Bonding Program'!$C$8,BB$3='Bonding Program'!$H$36),'Bonding Program'!$T$36-'Bonding Program'!$U$36-'Bonding Program'!$Z$36,0)-IF(AND('Bonding Program'!$S$36=1,'Bonding Program'!$H$36&lt;='Bonding Program'!$C$8,BB$3=IF('Bonding Program'!$P$36&lt;&gt;"",'Bonding Program'!$P$36,'Bonding Program'!$C$8)),'Bonding Program'!$Z$36,0)+IF(AND('Bonding Program'!$P$36&lt;&gt;"",BB$3='Bonding Program'!$P$36,BB$3&lt;='Bonding Program'!$C$8),N('Bonding Program'!$O$36),0)</f>
        <v>0</v>
      </c>
      <c r="BC177" s="19" t="n">
        <f aca="false">IF(AND('Bonding Program'!$S$36=1,'Bonding Program'!$H$36&gt;'Bonding Program'!$C$8,BC$3='Bonding Program'!$H$36),'Bonding Program'!$T$36-'Bonding Program'!$U$36-'Bonding Program'!$Z$36,0)-IF(AND('Bonding Program'!$S$36=1,'Bonding Program'!$H$36&lt;='Bonding Program'!$C$8,BC$3=IF('Bonding Program'!$P$36&lt;&gt;"",'Bonding Program'!$P$36,'Bonding Program'!$C$8)),'Bonding Program'!$Z$36,0)+IF(AND('Bonding Program'!$P$36&lt;&gt;"",BC$3='Bonding Program'!$P$36,BC$3&lt;='Bonding Program'!$C$8),N('Bonding Program'!$O$36),0)</f>
        <v>0</v>
      </c>
      <c r="BD177" s="19" t="n">
        <f aca="false">IF(AND('Bonding Program'!$S$36=1,'Bonding Program'!$H$36&gt;'Bonding Program'!$C$8,BD$3='Bonding Program'!$H$36),'Bonding Program'!$T$36-'Bonding Program'!$U$36-'Bonding Program'!$Z$36,0)-IF(AND('Bonding Program'!$S$36=1,'Bonding Program'!$H$36&lt;='Bonding Program'!$C$8,BD$3=IF('Bonding Program'!$P$36&lt;&gt;"",'Bonding Program'!$P$36,'Bonding Program'!$C$8)),'Bonding Program'!$Z$36,0)+IF(AND('Bonding Program'!$P$36&lt;&gt;"",BD$3='Bonding Program'!$P$36,BD$3&lt;='Bonding Program'!$C$8),N('Bonding Program'!$O$36),0)</f>
        <v>0</v>
      </c>
      <c r="BE177" s="19" t="n">
        <f aca="false">IF(AND('Bonding Program'!$S$36=1,'Bonding Program'!$H$36&gt;'Bonding Program'!$C$8,BE$3='Bonding Program'!$H$36),'Bonding Program'!$T$36-'Bonding Program'!$U$36-'Bonding Program'!$Z$36,0)-IF(AND('Bonding Program'!$S$36=1,'Bonding Program'!$H$36&lt;='Bonding Program'!$C$8,BE$3=IF('Bonding Program'!$P$36&lt;&gt;"",'Bonding Program'!$P$36,'Bonding Program'!$C$8)),'Bonding Program'!$Z$36,0)+IF(AND('Bonding Program'!$P$36&lt;&gt;"",BE$3='Bonding Program'!$P$36,BE$3&lt;='Bonding Program'!$C$8),N('Bonding Program'!$O$36),0)</f>
        <v>0</v>
      </c>
      <c r="BF177" s="19" t="n">
        <f aca="false">IF(AND('Bonding Program'!$S$36=1,'Bonding Program'!$H$36&gt;'Bonding Program'!$C$8,BF$3='Bonding Program'!$H$36),'Bonding Program'!$T$36-'Bonding Program'!$U$36-'Bonding Program'!$Z$36,0)-IF(AND('Bonding Program'!$S$36=1,'Bonding Program'!$H$36&lt;='Bonding Program'!$C$8,BF$3=IF('Bonding Program'!$P$36&lt;&gt;"",'Bonding Program'!$P$36,'Bonding Program'!$C$8)),'Bonding Program'!$Z$36,0)+IF(AND('Bonding Program'!$P$36&lt;&gt;"",BF$3='Bonding Program'!$P$36,BF$3&lt;='Bonding Program'!$C$8),N('Bonding Program'!$O$36),0)</f>
        <v>0</v>
      </c>
      <c r="BG177" s="19" t="n">
        <f aca="false">IF(AND('Bonding Program'!$S$36=1,'Bonding Program'!$H$36&gt;'Bonding Program'!$C$8,BG$3='Bonding Program'!$H$36),'Bonding Program'!$T$36-'Bonding Program'!$U$36-'Bonding Program'!$Z$36,0)-IF(AND('Bonding Program'!$S$36=1,'Bonding Program'!$H$36&lt;='Bonding Program'!$C$8,BG$3=IF('Bonding Program'!$P$36&lt;&gt;"",'Bonding Program'!$P$36,'Bonding Program'!$C$8)),'Bonding Program'!$Z$36,0)+IF(AND('Bonding Program'!$P$36&lt;&gt;"",BG$3='Bonding Program'!$P$36,BG$3&lt;='Bonding Program'!$C$8),N('Bonding Program'!$O$36),0)</f>
        <v>0</v>
      </c>
      <c r="BH177" s="19" t="n">
        <f aca="false">IF(AND('Bonding Program'!$S$36=1,'Bonding Program'!$H$36&gt;'Bonding Program'!$C$8,BH$3='Bonding Program'!$H$36),'Bonding Program'!$T$36-'Bonding Program'!$U$36-'Bonding Program'!$Z$36,0)-IF(AND('Bonding Program'!$S$36=1,'Bonding Program'!$H$36&lt;='Bonding Program'!$C$8,BH$3=IF('Bonding Program'!$P$36&lt;&gt;"",'Bonding Program'!$P$36,'Bonding Program'!$C$8)),'Bonding Program'!$Z$36,0)+IF(AND('Bonding Program'!$P$36&lt;&gt;"",BH$3='Bonding Program'!$P$36,BH$3&lt;='Bonding Program'!$C$8),N('Bonding Program'!$O$36),0)</f>
        <v>0</v>
      </c>
      <c r="BI177" s="19" t="n">
        <f aca="false">IF(AND('Bonding Program'!$S$36=1,'Bonding Program'!$H$36&gt;'Bonding Program'!$C$8,BI$3='Bonding Program'!$H$36),'Bonding Program'!$T$36-'Bonding Program'!$U$36-'Bonding Program'!$Z$36,0)-IF(AND('Bonding Program'!$S$36=1,'Bonding Program'!$H$36&lt;='Bonding Program'!$C$8,BI$3=IF('Bonding Program'!$P$36&lt;&gt;"",'Bonding Program'!$P$36,'Bonding Program'!$C$8)),'Bonding Program'!$Z$36,0)+IF(AND('Bonding Program'!$P$36&lt;&gt;"",BI$3='Bonding Program'!$P$36,BI$3&lt;='Bonding Program'!$C$8),N('Bonding Program'!$O$36),0)</f>
        <v>0</v>
      </c>
      <c r="BJ177" s="19" t="n">
        <f aca="false">IF(AND('Bonding Program'!$S$36=1,'Bonding Program'!$H$36&gt;'Bonding Program'!$C$8,BJ$3='Bonding Program'!$H$36),'Bonding Program'!$T$36-'Bonding Program'!$U$36-'Bonding Program'!$Z$36,0)-IF(AND('Bonding Program'!$S$36=1,'Bonding Program'!$H$36&lt;='Bonding Program'!$C$8,BJ$3=IF('Bonding Program'!$P$36&lt;&gt;"",'Bonding Program'!$P$36,'Bonding Program'!$C$8)),'Bonding Program'!$Z$36,0)+IF(AND('Bonding Program'!$P$36&lt;&gt;"",BJ$3='Bonding Program'!$P$36,BJ$3&lt;='Bonding Program'!$C$8),N('Bonding Program'!$O$36),0)</f>
        <v>0</v>
      </c>
      <c r="BK177" s="19" t="n">
        <f aca="false">IF(AND('Bonding Program'!$S$36=1,'Bonding Program'!$H$36&gt;'Bonding Program'!$C$8,BK$3='Bonding Program'!$H$36),'Bonding Program'!$T$36-'Bonding Program'!$U$36-'Bonding Program'!$Z$36,0)-IF(AND('Bonding Program'!$S$36=1,'Bonding Program'!$H$36&lt;='Bonding Program'!$C$8,BK$3=IF('Bonding Program'!$P$36&lt;&gt;"",'Bonding Program'!$P$36,'Bonding Program'!$C$8)),'Bonding Program'!$Z$36,0)+IF(AND('Bonding Program'!$P$36&lt;&gt;"",BK$3='Bonding Program'!$P$36,BK$3&lt;='Bonding Program'!$C$8),N('Bonding Program'!$O$36),0)</f>
        <v>0</v>
      </c>
      <c r="BL177" s="19" t="n">
        <f aca="false">IF(AND('Bonding Program'!$S$36=1,'Bonding Program'!$H$36&gt;'Bonding Program'!$C$8,BL$3='Bonding Program'!$H$36),'Bonding Program'!$T$36-'Bonding Program'!$U$36-'Bonding Program'!$Z$36,0)-IF(AND('Bonding Program'!$S$36=1,'Bonding Program'!$H$36&lt;='Bonding Program'!$C$8,BL$3=IF('Bonding Program'!$P$36&lt;&gt;"",'Bonding Program'!$P$36,'Bonding Program'!$C$8)),'Bonding Program'!$Z$36,0)+IF(AND('Bonding Program'!$P$36&lt;&gt;"",BL$3='Bonding Program'!$P$36,BL$3&lt;='Bonding Program'!$C$8),N('Bonding Program'!$O$36),0)</f>
        <v>0</v>
      </c>
      <c r="BM177" s="19" t="n">
        <f aca="false">IF(AND('Bonding Program'!$S$36=1,'Bonding Program'!$H$36&gt;'Bonding Program'!$C$8,BM$3='Bonding Program'!$H$36),'Bonding Program'!$T$36-'Bonding Program'!$U$36-'Bonding Program'!$Z$36,0)-IF(AND('Bonding Program'!$S$36=1,'Bonding Program'!$H$36&lt;='Bonding Program'!$C$8,BM$3=IF('Bonding Program'!$P$36&lt;&gt;"",'Bonding Program'!$P$36,'Bonding Program'!$C$8)),'Bonding Program'!$Z$36,0)+IF(AND('Bonding Program'!$P$36&lt;&gt;"",BM$3='Bonding Program'!$P$36,BM$3&lt;='Bonding Program'!$C$8),N('Bonding Program'!$O$36),0)</f>
        <v>0</v>
      </c>
      <c r="BN177" s="19" t="n">
        <f aca="false">IF(AND('Bonding Program'!$S$36=1,'Bonding Program'!$H$36&gt;'Bonding Program'!$C$8,BN$3='Bonding Program'!$H$36),'Bonding Program'!$T$36-'Bonding Program'!$U$36-'Bonding Program'!$Z$36,0)-IF(AND('Bonding Program'!$S$36=1,'Bonding Program'!$H$36&lt;='Bonding Program'!$C$8,BN$3=IF('Bonding Program'!$P$36&lt;&gt;"",'Bonding Program'!$P$36,'Bonding Program'!$C$8)),'Bonding Program'!$Z$36,0)+IF(AND('Bonding Program'!$P$36&lt;&gt;"",BN$3='Bonding Program'!$P$36,BN$3&lt;='Bonding Program'!$C$8),N('Bonding Program'!$O$36),0)</f>
        <v>0</v>
      </c>
      <c r="BO177" s="19" t="n">
        <f aca="false">IF(AND('Bonding Program'!$S$36=1,'Bonding Program'!$H$36&gt;'Bonding Program'!$C$8,BO$3='Bonding Program'!$H$36),'Bonding Program'!$T$36-'Bonding Program'!$U$36-'Bonding Program'!$Z$36,0)-IF(AND('Bonding Program'!$S$36=1,'Bonding Program'!$H$36&lt;='Bonding Program'!$C$8,BO$3=IF('Bonding Program'!$P$36&lt;&gt;"",'Bonding Program'!$P$36,'Bonding Program'!$C$8)),'Bonding Program'!$Z$36,0)+IF(AND('Bonding Program'!$P$36&lt;&gt;"",BO$3='Bonding Program'!$P$36,BO$3&lt;='Bonding Program'!$C$8),N('Bonding Program'!$O$36),0)</f>
        <v>0</v>
      </c>
      <c r="BP177" s="19" t="n">
        <f aca="false">IF(AND('Bonding Program'!$S$36=1,'Bonding Program'!$H$36&gt;'Bonding Program'!$C$8,BP$3='Bonding Program'!$H$36),'Bonding Program'!$T$36-'Bonding Program'!$U$36-'Bonding Program'!$Z$36,0)-IF(AND('Bonding Program'!$S$36=1,'Bonding Program'!$H$36&lt;='Bonding Program'!$C$8,BP$3=IF('Bonding Program'!$P$36&lt;&gt;"",'Bonding Program'!$P$36,'Bonding Program'!$C$8)),'Bonding Program'!$Z$36,0)+IF(AND('Bonding Program'!$P$36&lt;&gt;"",BP$3='Bonding Program'!$P$36,BP$3&lt;='Bonding Program'!$C$8),N('Bonding Program'!$O$36),0)</f>
        <v>0</v>
      </c>
      <c r="BQ177" s="19" t="n">
        <f aca="false">IF(AND('Bonding Program'!$S$36=1,'Bonding Program'!$H$36&gt;'Bonding Program'!$C$8,BQ$3='Bonding Program'!$H$36),'Bonding Program'!$T$36-'Bonding Program'!$U$36-'Bonding Program'!$Z$36,0)-IF(AND('Bonding Program'!$S$36=1,'Bonding Program'!$H$36&lt;='Bonding Program'!$C$8,BQ$3=IF('Bonding Program'!$P$36&lt;&gt;"",'Bonding Program'!$P$36,'Bonding Program'!$C$8)),'Bonding Program'!$Z$36,0)+IF(AND('Bonding Program'!$P$36&lt;&gt;"",BQ$3='Bonding Program'!$P$36,BQ$3&lt;='Bonding Program'!$C$8),N('Bonding Program'!$O$36),0)</f>
        <v>0</v>
      </c>
      <c r="BR177" s="19" t="n">
        <f aca="false">IF(AND('Bonding Program'!$S$36=1,'Bonding Program'!$H$36&gt;'Bonding Program'!$C$8,BR$3='Bonding Program'!$H$36),'Bonding Program'!$T$36-'Bonding Program'!$U$36-'Bonding Program'!$Z$36,0)-IF(AND('Bonding Program'!$S$36=1,'Bonding Program'!$H$36&lt;='Bonding Program'!$C$8,BR$3=IF('Bonding Program'!$P$36&lt;&gt;"",'Bonding Program'!$P$36,'Bonding Program'!$C$8)),'Bonding Program'!$Z$36,0)+IF(AND('Bonding Program'!$P$36&lt;&gt;"",BR$3='Bonding Program'!$P$36,BR$3&lt;='Bonding Program'!$C$8),N('Bonding Program'!$O$36),0)</f>
        <v>0</v>
      </c>
      <c r="BS177" s="19" t="n">
        <f aca="false">IF(AND('Bonding Program'!$S$36=1,'Bonding Program'!$H$36&gt;'Bonding Program'!$C$8,BS$3='Bonding Program'!$H$36),'Bonding Program'!$T$36-'Bonding Program'!$U$36-'Bonding Program'!$Z$36,0)-IF(AND('Bonding Program'!$S$36=1,'Bonding Program'!$H$36&lt;='Bonding Program'!$C$8,BS$3=IF('Bonding Program'!$P$36&lt;&gt;"",'Bonding Program'!$P$36,'Bonding Program'!$C$8)),'Bonding Program'!$Z$36,0)+IF(AND('Bonding Program'!$P$36&lt;&gt;"",BS$3='Bonding Program'!$P$36,BS$3&lt;='Bonding Program'!$C$8),N('Bonding Program'!$O$36),0)</f>
        <v>0</v>
      </c>
      <c r="BT177" s="19" t="n">
        <f aca="false">IF(AND('Bonding Program'!$S$36=1,'Bonding Program'!$H$36&gt;'Bonding Program'!$C$8,BT$3='Bonding Program'!$H$36),'Bonding Program'!$T$36-'Bonding Program'!$U$36-'Bonding Program'!$Z$36,0)-IF(AND('Bonding Program'!$S$36=1,'Bonding Program'!$H$36&lt;='Bonding Program'!$C$8,BT$3=IF('Bonding Program'!$P$36&lt;&gt;"",'Bonding Program'!$P$36,'Bonding Program'!$C$8)),'Bonding Program'!$Z$36,0)+IF(AND('Bonding Program'!$P$36&lt;&gt;"",BT$3='Bonding Program'!$P$36,BT$3&lt;='Bonding Program'!$C$8),N('Bonding Program'!$O$36),0)</f>
        <v>0</v>
      </c>
      <c r="BU177" s="19" t="n">
        <f aca="false">IF(AND('Bonding Program'!$S$36=1,'Bonding Program'!$H$36&gt;'Bonding Program'!$C$8,BU$3='Bonding Program'!$H$36),'Bonding Program'!$T$36-'Bonding Program'!$U$36-'Bonding Program'!$Z$36,0)-IF(AND('Bonding Program'!$S$36=1,'Bonding Program'!$H$36&lt;='Bonding Program'!$C$8,BU$3=IF('Bonding Program'!$P$36&lt;&gt;"",'Bonding Program'!$P$36,'Bonding Program'!$C$8)),'Bonding Program'!$Z$36,0)+IF(AND('Bonding Program'!$P$36&lt;&gt;"",BU$3='Bonding Program'!$P$36,BU$3&lt;='Bonding Program'!$C$8),N('Bonding Program'!$O$36),0)</f>
        <v>0</v>
      </c>
      <c r="BV177" s="19" t="n">
        <f aca="false">IF(AND('Bonding Program'!$S$36=1,'Bonding Program'!$H$36&gt;'Bonding Program'!$C$8,BV$3='Bonding Program'!$H$36),'Bonding Program'!$T$36-'Bonding Program'!$U$36-'Bonding Program'!$Z$36,0)-IF(AND('Bonding Program'!$S$36=1,'Bonding Program'!$H$36&lt;='Bonding Program'!$C$8,BV$3=IF('Bonding Program'!$P$36&lt;&gt;"",'Bonding Program'!$P$36,'Bonding Program'!$C$8)),'Bonding Program'!$Z$36,0)+IF(AND('Bonding Program'!$P$36&lt;&gt;"",BV$3='Bonding Program'!$P$36,BV$3&lt;='Bonding Program'!$C$8),N('Bonding Program'!$O$36),0)</f>
        <v>0</v>
      </c>
      <c r="BW177" s="19" t="n">
        <f aca="false">IF(AND('Bonding Program'!$S$36=1,'Bonding Program'!$H$36&gt;'Bonding Program'!$C$8,BW$3='Bonding Program'!$H$36),'Bonding Program'!$T$36-'Bonding Program'!$U$36-'Bonding Program'!$Z$36,0)-IF(AND('Bonding Program'!$S$36=1,'Bonding Program'!$H$36&lt;='Bonding Program'!$C$8,BW$3=IF('Bonding Program'!$P$36&lt;&gt;"",'Bonding Program'!$P$36,'Bonding Program'!$C$8)),'Bonding Program'!$Z$36,0)+IF(AND('Bonding Program'!$P$36&lt;&gt;"",BW$3='Bonding Program'!$P$36,BW$3&lt;='Bonding Program'!$C$8),N('Bonding Program'!$O$36),0)</f>
        <v>0</v>
      </c>
      <c r="BX177" s="19" t="n">
        <f aca="false">IF(AND('Bonding Program'!$S$36=1,'Bonding Program'!$H$36&gt;'Bonding Program'!$C$8,BX$3='Bonding Program'!$H$36),'Bonding Program'!$T$36-'Bonding Program'!$U$36-'Bonding Program'!$Z$36,0)-IF(AND('Bonding Program'!$S$36=1,'Bonding Program'!$H$36&lt;='Bonding Program'!$C$8,BX$3=IF('Bonding Program'!$P$36&lt;&gt;"",'Bonding Program'!$P$36,'Bonding Program'!$C$8)),'Bonding Program'!$Z$36,0)+IF(AND('Bonding Program'!$P$36&lt;&gt;"",BX$3='Bonding Program'!$P$36,BX$3&lt;='Bonding Program'!$C$8),N('Bonding Program'!$O$36),0)</f>
        <v>0</v>
      </c>
      <c r="BY177" s="19" t="n">
        <f aca="false">IF(AND('Bonding Program'!$S$36=1,'Bonding Program'!$H$36&gt;'Bonding Program'!$C$8,BY$3='Bonding Program'!$H$36),'Bonding Program'!$T$36-'Bonding Program'!$U$36-'Bonding Program'!$Z$36,0)-IF(AND('Bonding Program'!$S$36=1,'Bonding Program'!$H$36&lt;='Bonding Program'!$C$8,BY$3=IF('Bonding Program'!$P$36&lt;&gt;"",'Bonding Program'!$P$36,'Bonding Program'!$C$8)),'Bonding Program'!$Z$36,0)+IF(AND('Bonding Program'!$P$36&lt;&gt;"",BY$3='Bonding Program'!$P$36,BY$3&lt;='Bonding Program'!$C$8),N('Bonding Program'!$O$36),0)</f>
        <v>0</v>
      </c>
      <c r="BZ177" s="19" t="n">
        <f aca="false">IF(AND('Bonding Program'!$S$36=1,'Bonding Program'!$H$36&gt;'Bonding Program'!$C$8,BZ$3='Bonding Program'!$H$36),'Bonding Program'!$T$36-'Bonding Program'!$U$36-'Bonding Program'!$Z$36,0)-IF(AND('Bonding Program'!$S$36=1,'Bonding Program'!$H$36&lt;='Bonding Program'!$C$8,BZ$3=IF('Bonding Program'!$P$36&lt;&gt;"",'Bonding Program'!$P$36,'Bonding Program'!$C$8)),'Bonding Program'!$Z$36,0)+IF(AND('Bonding Program'!$P$36&lt;&gt;"",BZ$3='Bonding Program'!$P$36,BZ$3&lt;='Bonding Program'!$C$8),N('Bonding Program'!$O$36),0)</f>
        <v>0</v>
      </c>
      <c r="CA177" s="19" t="n">
        <f aca="false">IF(AND('Bonding Program'!$S$36=1,'Bonding Program'!$H$36&gt;'Bonding Program'!$C$8,CA$3='Bonding Program'!$H$36),'Bonding Program'!$T$36-'Bonding Program'!$U$36-'Bonding Program'!$Z$36,0)-IF(AND('Bonding Program'!$S$36=1,'Bonding Program'!$H$36&lt;='Bonding Program'!$C$8,CA$3=IF('Bonding Program'!$P$36&lt;&gt;"",'Bonding Program'!$P$36,'Bonding Program'!$C$8)),'Bonding Program'!$Z$36,0)+IF(AND('Bonding Program'!$P$36&lt;&gt;"",CA$3='Bonding Program'!$P$36,CA$3&lt;='Bonding Program'!$C$8),N('Bonding Program'!$O$36),0)</f>
        <v>0</v>
      </c>
      <c r="CB177" s="19" t="n">
        <f aca="false">IF(AND('Bonding Program'!$S$36=1,'Bonding Program'!$H$36&gt;'Bonding Program'!$C$8,CB$3='Bonding Program'!$H$36),'Bonding Program'!$T$36-'Bonding Program'!$U$36-'Bonding Program'!$Z$36,0)-IF(AND('Bonding Program'!$S$36=1,'Bonding Program'!$H$36&lt;='Bonding Program'!$C$8,CB$3=IF('Bonding Program'!$P$36&lt;&gt;"",'Bonding Program'!$P$36,'Bonding Program'!$C$8)),'Bonding Program'!$Z$36,0)+IF(AND('Bonding Program'!$P$36&lt;&gt;"",CB$3='Bonding Program'!$P$36,CB$3&lt;='Bonding Program'!$C$8),N('Bonding Program'!$O$36),0)</f>
        <v>0</v>
      </c>
      <c r="CC177" s="19" t="n">
        <f aca="false">IF(AND('Bonding Program'!$S$36=1,'Bonding Program'!$H$36&gt;'Bonding Program'!$C$8,CC$3='Bonding Program'!$H$36),'Bonding Program'!$T$36-'Bonding Program'!$U$36-'Bonding Program'!$Z$36,0)-IF(AND('Bonding Program'!$S$36=1,'Bonding Program'!$H$36&lt;='Bonding Program'!$C$8,CC$3=IF('Bonding Program'!$P$36&lt;&gt;"",'Bonding Program'!$P$36,'Bonding Program'!$C$8)),'Bonding Program'!$Z$36,0)+IF(AND('Bonding Program'!$P$36&lt;&gt;"",CC$3='Bonding Program'!$P$36,CC$3&lt;='Bonding Program'!$C$8),N('Bonding Program'!$O$36),0)</f>
        <v>0</v>
      </c>
      <c r="CD177" s="19" t="n">
        <f aca="false">IF(AND('Bonding Program'!$S$36=1,'Bonding Program'!$H$36&gt;'Bonding Program'!$C$8,CD$3='Bonding Program'!$H$36),'Bonding Program'!$T$36-'Bonding Program'!$U$36-'Bonding Program'!$Z$36,0)-IF(AND('Bonding Program'!$S$36=1,'Bonding Program'!$H$36&lt;='Bonding Program'!$C$8,CD$3=IF('Bonding Program'!$P$36&lt;&gt;"",'Bonding Program'!$P$36,'Bonding Program'!$C$8)),'Bonding Program'!$Z$36,0)+IF(AND('Bonding Program'!$P$36&lt;&gt;"",CD$3='Bonding Program'!$P$36,CD$3&lt;='Bonding Program'!$C$8),N('Bonding Program'!$O$36),0)</f>
        <v>0</v>
      </c>
      <c r="CE177" s="19" t="n">
        <f aca="false">IF(AND('Bonding Program'!$S$36=1,'Bonding Program'!$H$36&gt;'Bonding Program'!$C$8,CE$3='Bonding Program'!$H$36),'Bonding Program'!$T$36-'Bonding Program'!$U$36-'Bonding Program'!$Z$36,0)-IF(AND('Bonding Program'!$S$36=1,'Bonding Program'!$H$36&lt;='Bonding Program'!$C$8,CE$3=IF('Bonding Program'!$P$36&lt;&gt;"",'Bonding Program'!$P$36,'Bonding Program'!$C$8)),'Bonding Program'!$Z$36,0)+IF(AND('Bonding Program'!$P$36&lt;&gt;"",CE$3='Bonding Program'!$P$36,CE$3&lt;='Bonding Program'!$C$8),N('Bonding Program'!$O$36),0)</f>
        <v>0</v>
      </c>
      <c r="CF177" s="19" t="n">
        <f aca="false">IF(AND('Bonding Program'!$S$36=1,'Bonding Program'!$H$36&gt;'Bonding Program'!$C$8,CF$3='Bonding Program'!$H$36),'Bonding Program'!$T$36-'Bonding Program'!$U$36-'Bonding Program'!$Z$36,0)-IF(AND('Bonding Program'!$S$36=1,'Bonding Program'!$H$36&lt;='Bonding Program'!$C$8,CF$3=IF('Bonding Program'!$P$36&lt;&gt;"",'Bonding Program'!$P$36,'Bonding Program'!$C$8)),'Bonding Program'!$Z$36,0)+IF(AND('Bonding Program'!$P$36&lt;&gt;"",CF$3='Bonding Program'!$P$36,CF$3&lt;='Bonding Program'!$C$8),N('Bonding Program'!$O$36),0)</f>
        <v>0</v>
      </c>
      <c r="CG177" s="19" t="n">
        <f aca="false">IF(AND('Bonding Program'!$S$36=1,'Bonding Program'!$H$36&gt;'Bonding Program'!$C$8,CG$3='Bonding Program'!$H$36),'Bonding Program'!$T$36-'Bonding Program'!$U$36-'Bonding Program'!$Z$36,0)-IF(AND('Bonding Program'!$S$36=1,'Bonding Program'!$H$36&lt;='Bonding Program'!$C$8,CG$3=IF('Bonding Program'!$P$36&lt;&gt;"",'Bonding Program'!$P$36,'Bonding Program'!$C$8)),'Bonding Program'!$Z$36,0)+IF(AND('Bonding Program'!$P$36&lt;&gt;"",CG$3='Bonding Program'!$P$36,CG$3&lt;='Bonding Program'!$C$8),N('Bonding Program'!$O$36),0)</f>
        <v>0</v>
      </c>
      <c r="CH177" s="19" t="n">
        <f aca="false">IF(AND('Bonding Program'!$S$36=1,'Bonding Program'!$H$36&gt;'Bonding Program'!$C$8,CH$3='Bonding Program'!$H$36),'Bonding Program'!$T$36-'Bonding Program'!$U$36-'Bonding Program'!$Z$36,0)-IF(AND('Bonding Program'!$S$36=1,'Bonding Program'!$H$36&lt;='Bonding Program'!$C$8,CH$3=IF('Bonding Program'!$P$36&lt;&gt;"",'Bonding Program'!$P$36,'Bonding Program'!$C$8)),'Bonding Program'!$Z$36,0)+IF(AND('Bonding Program'!$P$36&lt;&gt;"",CH$3='Bonding Program'!$P$36,CH$3&lt;='Bonding Program'!$C$8),N('Bonding Program'!$O$36),0)</f>
        <v>0</v>
      </c>
      <c r="CI177" s="19" t="n">
        <f aca="false">IF(AND('Bonding Program'!$S$36=1,'Bonding Program'!$H$36&gt;'Bonding Program'!$C$8,CI$3='Bonding Program'!$H$36),'Bonding Program'!$T$36-'Bonding Program'!$U$36-'Bonding Program'!$Z$36,0)-IF(AND('Bonding Program'!$S$36=1,'Bonding Program'!$H$36&lt;='Bonding Program'!$C$8,CI$3=IF('Bonding Program'!$P$36&lt;&gt;"",'Bonding Program'!$P$36,'Bonding Program'!$C$8)),'Bonding Program'!$Z$36,0)+IF(AND('Bonding Program'!$P$36&lt;&gt;"",CI$3='Bonding Program'!$P$36,CI$3&lt;='Bonding Program'!$C$8),N('Bonding Program'!$O$36),0)</f>
        <v>0</v>
      </c>
      <c r="CJ177" s="19" t="n">
        <f aca="false">IF(AND('Bonding Program'!$S$36=1,'Bonding Program'!$H$36&gt;'Bonding Program'!$C$8,CJ$3='Bonding Program'!$H$36),'Bonding Program'!$T$36-'Bonding Program'!$U$36-'Bonding Program'!$Z$36,0)-IF(AND('Bonding Program'!$S$36=1,'Bonding Program'!$H$36&lt;='Bonding Program'!$C$8,CJ$3=IF('Bonding Program'!$P$36&lt;&gt;"",'Bonding Program'!$P$36,'Bonding Program'!$C$8)),'Bonding Program'!$Z$36,0)+IF(AND('Bonding Program'!$P$36&lt;&gt;"",CJ$3='Bonding Program'!$P$36,CJ$3&lt;='Bonding Program'!$C$8),N('Bonding Program'!$O$36),0)</f>
        <v>0</v>
      </c>
      <c r="CK177" s="19" t="n">
        <f aca="false">IF(AND('Bonding Program'!$S$36=1,'Bonding Program'!$H$36&gt;'Bonding Program'!$C$8,CK$3='Bonding Program'!$H$36),'Bonding Program'!$T$36-'Bonding Program'!$U$36-'Bonding Program'!$Z$36,0)-IF(AND('Bonding Program'!$S$36=1,'Bonding Program'!$H$36&lt;='Bonding Program'!$C$8,CK$3=IF('Bonding Program'!$P$36&lt;&gt;"",'Bonding Program'!$P$36,'Bonding Program'!$C$8)),'Bonding Program'!$Z$36,0)+IF(AND('Bonding Program'!$P$36&lt;&gt;"",CK$3='Bonding Program'!$P$36,CK$3&lt;='Bonding Program'!$C$8),N('Bonding Program'!$O$36),0)</f>
        <v>0</v>
      </c>
      <c r="CL177" s="19" t="n">
        <f aca="false">IF(AND('Bonding Program'!$S$36=1,'Bonding Program'!$H$36&gt;'Bonding Program'!$C$8,CL$3='Bonding Program'!$H$36),'Bonding Program'!$T$36-'Bonding Program'!$U$36-'Bonding Program'!$Z$36,0)-IF(AND('Bonding Program'!$S$36=1,'Bonding Program'!$H$36&lt;='Bonding Program'!$C$8,CL$3=IF('Bonding Program'!$P$36&lt;&gt;"",'Bonding Program'!$P$36,'Bonding Program'!$C$8)),'Bonding Program'!$Z$36,0)+IF(AND('Bonding Program'!$P$36&lt;&gt;"",CL$3='Bonding Program'!$P$36,CL$3&lt;='Bonding Program'!$C$8),N('Bonding Program'!$O$36),0)</f>
        <v>0</v>
      </c>
      <c r="CM177" s="19" t="n">
        <f aca="false">IF(AND('Bonding Program'!$S$36=1,'Bonding Program'!$H$36&gt;'Bonding Program'!$C$8,CM$3='Bonding Program'!$H$36),'Bonding Program'!$T$36-'Bonding Program'!$U$36-'Bonding Program'!$Z$36,0)-IF(AND('Bonding Program'!$S$36=1,'Bonding Program'!$H$36&lt;='Bonding Program'!$C$8,CM$3=IF('Bonding Program'!$P$36&lt;&gt;"",'Bonding Program'!$P$36,'Bonding Program'!$C$8)),'Bonding Program'!$Z$36,0)+IF(AND('Bonding Program'!$P$36&lt;&gt;"",CM$3='Bonding Program'!$P$36,CM$3&lt;='Bonding Program'!$C$8),N('Bonding Program'!$O$36),0)</f>
        <v>0</v>
      </c>
      <c r="CN177" s="19" t="n">
        <f aca="false">IF(AND('Bonding Program'!$S$36=1,'Bonding Program'!$H$36&gt;'Bonding Program'!$C$8,CN$3='Bonding Program'!$H$36),'Bonding Program'!$T$36-'Bonding Program'!$U$36-'Bonding Program'!$Z$36,0)-IF(AND('Bonding Program'!$S$36=1,'Bonding Program'!$H$36&lt;='Bonding Program'!$C$8,CN$3=IF('Bonding Program'!$P$36&lt;&gt;"",'Bonding Program'!$P$36,'Bonding Program'!$C$8)),'Bonding Program'!$Z$36,0)+IF(AND('Bonding Program'!$P$36&lt;&gt;"",CN$3='Bonding Program'!$P$36,CN$3&lt;='Bonding Program'!$C$8),N('Bonding Program'!$O$36),0)</f>
        <v>0</v>
      </c>
      <c r="CO177" s="19" t="n">
        <f aca="false">IF(AND('Bonding Program'!$S$36=1,'Bonding Program'!$H$36&gt;'Bonding Program'!$C$8,CO$3='Bonding Program'!$H$36),'Bonding Program'!$T$36-'Bonding Program'!$U$36-'Bonding Program'!$Z$36,0)-IF(AND('Bonding Program'!$S$36=1,'Bonding Program'!$H$36&lt;='Bonding Program'!$C$8,CO$3=IF('Bonding Program'!$P$36&lt;&gt;"",'Bonding Program'!$P$36,'Bonding Program'!$C$8)),'Bonding Program'!$Z$36,0)+IF(AND('Bonding Program'!$P$36&lt;&gt;"",CO$3='Bonding Program'!$P$36,CO$3&lt;='Bonding Program'!$C$8),N('Bonding Program'!$O$36),0)</f>
        <v>0</v>
      </c>
      <c r="CP177" s="19" t="n">
        <f aca="false">IF(AND('Bonding Program'!$S$36=1,'Bonding Program'!$H$36&gt;'Bonding Program'!$C$8,CP$3='Bonding Program'!$H$36),'Bonding Program'!$T$36-'Bonding Program'!$U$36-'Bonding Program'!$Z$36,0)-IF(AND('Bonding Program'!$S$36=1,'Bonding Program'!$H$36&lt;='Bonding Program'!$C$8,CP$3=IF('Bonding Program'!$P$36&lt;&gt;"",'Bonding Program'!$P$36,'Bonding Program'!$C$8)),'Bonding Program'!$Z$36,0)+IF(AND('Bonding Program'!$P$36&lt;&gt;"",CP$3='Bonding Program'!$P$36,CP$3&lt;='Bonding Program'!$C$8),N('Bonding Program'!$O$36),0)</f>
        <v>0</v>
      </c>
      <c r="CQ177" s="19" t="n">
        <f aca="false">IF(AND('Bonding Program'!$S$36=1,'Bonding Program'!$H$36&gt;'Bonding Program'!$C$8,CQ$3='Bonding Program'!$H$36),'Bonding Program'!$T$36-'Bonding Program'!$U$36-'Bonding Program'!$Z$36,0)-IF(AND('Bonding Program'!$S$36=1,'Bonding Program'!$H$36&lt;='Bonding Program'!$C$8,CQ$3=IF('Bonding Program'!$P$36&lt;&gt;"",'Bonding Program'!$P$36,'Bonding Program'!$C$8)),'Bonding Program'!$Z$36,0)+IF(AND('Bonding Program'!$P$36&lt;&gt;"",CQ$3='Bonding Program'!$P$36,CQ$3&lt;='Bonding Program'!$C$8),N('Bonding Program'!$O$36),0)</f>
        <v>0</v>
      </c>
      <c r="CR177" s="19" t="n">
        <f aca="false">IF(AND('Bonding Program'!$S$36=1,'Bonding Program'!$H$36&gt;'Bonding Program'!$C$8,CR$3='Bonding Program'!$H$36),'Bonding Program'!$T$36-'Bonding Program'!$U$36-'Bonding Program'!$Z$36,0)-IF(AND('Bonding Program'!$S$36=1,'Bonding Program'!$H$36&lt;='Bonding Program'!$C$8,CR$3=IF('Bonding Program'!$P$36&lt;&gt;"",'Bonding Program'!$P$36,'Bonding Program'!$C$8)),'Bonding Program'!$Z$36,0)+IF(AND('Bonding Program'!$P$36&lt;&gt;"",CR$3='Bonding Program'!$P$36,CR$3&lt;='Bonding Program'!$C$8),N('Bonding Program'!$O$36),0)</f>
        <v>0</v>
      </c>
      <c r="CS177" s="19" t="n">
        <f aca="false">IF(AND('Bonding Program'!$S$36=1,'Bonding Program'!$H$36&gt;'Bonding Program'!$C$8,CS$3='Bonding Program'!$H$36),'Bonding Program'!$T$36-'Bonding Program'!$U$36-'Bonding Program'!$Z$36,0)-IF(AND('Bonding Program'!$S$36=1,'Bonding Program'!$H$36&lt;='Bonding Program'!$C$8,CS$3=IF('Bonding Program'!$P$36&lt;&gt;"",'Bonding Program'!$P$36,'Bonding Program'!$C$8)),'Bonding Program'!$Z$36,0)+IF(AND('Bonding Program'!$P$36&lt;&gt;"",CS$3='Bonding Program'!$P$36,CS$3&lt;='Bonding Program'!$C$8),N('Bonding Program'!$O$36),0)</f>
        <v>0</v>
      </c>
      <c r="CT177" s="19" t="n">
        <f aca="false">IF(AND('Bonding Program'!$S$36=1,'Bonding Program'!$H$36&gt;'Bonding Program'!$C$8,CT$3='Bonding Program'!$H$36),'Bonding Program'!$T$36-'Bonding Program'!$U$36-'Bonding Program'!$Z$36,0)-IF(AND('Bonding Program'!$S$36=1,'Bonding Program'!$H$36&lt;='Bonding Program'!$C$8,CT$3=IF('Bonding Program'!$P$36&lt;&gt;"",'Bonding Program'!$P$36,'Bonding Program'!$C$8)),'Bonding Program'!$Z$36,0)+IF(AND('Bonding Program'!$P$36&lt;&gt;"",CT$3='Bonding Program'!$P$36,CT$3&lt;='Bonding Program'!$C$8),N('Bonding Program'!$O$36),0)</f>
        <v>0</v>
      </c>
      <c r="CU177" s="19" t="n">
        <f aca="false">IF(AND('Bonding Program'!$S$36=1,'Bonding Program'!$H$36&gt;'Bonding Program'!$C$8,CU$3='Bonding Program'!$H$36),'Bonding Program'!$T$36-'Bonding Program'!$U$36-'Bonding Program'!$Z$36,0)-IF(AND('Bonding Program'!$S$36=1,'Bonding Program'!$H$36&lt;='Bonding Program'!$C$8,CU$3=IF('Bonding Program'!$P$36&lt;&gt;"",'Bonding Program'!$P$36,'Bonding Program'!$C$8)),'Bonding Program'!$Z$36,0)+IF(AND('Bonding Program'!$P$36&lt;&gt;"",CU$3='Bonding Program'!$P$36,CU$3&lt;='Bonding Program'!$C$8),N('Bonding Program'!$O$36),0)</f>
        <v>0</v>
      </c>
      <c r="CV177" s="19" t="n">
        <f aca="false">IF(AND('Bonding Program'!$S$36=1,'Bonding Program'!$H$36&gt;'Bonding Program'!$C$8,CV$3='Bonding Program'!$H$36),'Bonding Program'!$T$36-'Bonding Program'!$U$36-'Bonding Program'!$Z$36,0)-IF(AND('Bonding Program'!$S$36=1,'Bonding Program'!$H$36&lt;='Bonding Program'!$C$8,CV$3=IF('Bonding Program'!$P$36&lt;&gt;"",'Bonding Program'!$P$36,'Bonding Program'!$C$8)),'Bonding Program'!$Z$36,0)+IF(AND('Bonding Program'!$P$36&lt;&gt;"",CV$3='Bonding Program'!$P$36,CV$3&lt;='Bonding Program'!$C$8),N('Bonding Program'!$O$36),0)</f>
        <v>0</v>
      </c>
      <c r="CW177" s="19" t="n">
        <f aca="false">IF(AND('Bonding Program'!$S$36=1,'Bonding Program'!$H$36&gt;'Bonding Program'!$C$8,CW$3='Bonding Program'!$H$36),'Bonding Program'!$T$36-'Bonding Program'!$U$36-'Bonding Program'!$Z$36,0)-IF(AND('Bonding Program'!$S$36=1,'Bonding Program'!$H$36&lt;='Bonding Program'!$C$8,CW$3=IF('Bonding Program'!$P$36&lt;&gt;"",'Bonding Program'!$P$36,'Bonding Program'!$C$8)),'Bonding Program'!$Z$36,0)+IF(AND('Bonding Program'!$P$36&lt;&gt;"",CW$3='Bonding Program'!$P$36,CW$3&lt;='Bonding Program'!$C$8),N('Bonding Program'!$O$36),0)</f>
        <v>0</v>
      </c>
      <c r="CX177" s="19" t="n">
        <f aca="false">IF(AND('Bonding Program'!$S$36=1,'Bonding Program'!$H$36&gt;'Bonding Program'!$C$8,CX$3='Bonding Program'!$H$36),'Bonding Program'!$T$36-'Bonding Program'!$U$36-'Bonding Program'!$Z$36,0)-IF(AND('Bonding Program'!$S$36=1,'Bonding Program'!$H$36&lt;='Bonding Program'!$C$8,CX$3=IF('Bonding Program'!$P$36&lt;&gt;"",'Bonding Program'!$P$36,'Bonding Program'!$C$8)),'Bonding Program'!$Z$36,0)+IF(AND('Bonding Program'!$P$36&lt;&gt;"",CX$3='Bonding Program'!$P$36,CX$3&lt;='Bonding Program'!$C$8),N('Bonding Program'!$O$36),0)</f>
        <v>0</v>
      </c>
      <c r="CY177" s="19" t="n">
        <f aca="false">IF(AND('Bonding Program'!$S$36=1,'Bonding Program'!$H$36&gt;'Bonding Program'!$C$8,CY$3='Bonding Program'!$H$36),'Bonding Program'!$T$36-'Bonding Program'!$U$36-'Bonding Program'!$Z$36,0)-IF(AND('Bonding Program'!$S$36=1,'Bonding Program'!$H$36&lt;='Bonding Program'!$C$8,CY$3=IF('Bonding Program'!$P$36&lt;&gt;"",'Bonding Program'!$P$36,'Bonding Program'!$C$8)),'Bonding Program'!$Z$36,0)+IF(AND('Bonding Program'!$P$36&lt;&gt;"",CY$3='Bonding Program'!$P$36,CY$3&lt;='Bonding Program'!$C$8),N('Bonding Program'!$O$36),0)</f>
        <v>0</v>
      </c>
      <c r="CZ177" s="19" t="n">
        <f aca="false">IF(AND('Bonding Program'!$S$36=1,'Bonding Program'!$H$36&gt;'Bonding Program'!$C$8,CZ$3='Bonding Program'!$H$36),'Bonding Program'!$T$36-'Bonding Program'!$U$36-'Bonding Program'!$Z$36,0)-IF(AND('Bonding Program'!$S$36=1,'Bonding Program'!$H$36&lt;='Bonding Program'!$C$8,CZ$3=IF('Bonding Program'!$P$36&lt;&gt;"",'Bonding Program'!$P$36,'Bonding Program'!$C$8)),'Bonding Program'!$Z$36,0)+IF(AND('Bonding Program'!$P$36&lt;&gt;"",CZ$3='Bonding Program'!$P$36,CZ$3&lt;='Bonding Program'!$C$8),N('Bonding Program'!$O$36),0)</f>
        <v>0</v>
      </c>
      <c r="DA177" s="19" t="n">
        <f aca="false">IF(AND('Bonding Program'!$S$36=1,'Bonding Program'!$H$36&gt;'Bonding Program'!$C$8,DA$3='Bonding Program'!$H$36),'Bonding Program'!$T$36-'Bonding Program'!$U$36-'Bonding Program'!$Z$36,0)-IF(AND('Bonding Program'!$S$36=1,'Bonding Program'!$H$36&lt;='Bonding Program'!$C$8,DA$3=IF('Bonding Program'!$P$36&lt;&gt;"",'Bonding Program'!$P$36,'Bonding Program'!$C$8)),'Bonding Program'!$Z$36,0)+IF(AND('Bonding Program'!$P$36&lt;&gt;"",DA$3='Bonding Program'!$P$36,DA$3&lt;='Bonding Program'!$C$8),N('Bonding Program'!$O$36),0)</f>
        <v>0</v>
      </c>
      <c r="DB177" s="19" t="n">
        <f aca="false">IF(AND('Bonding Program'!$S$36=1,'Bonding Program'!$H$36&gt;'Bonding Program'!$C$8,DB$3='Bonding Program'!$H$36),'Bonding Program'!$T$36-'Bonding Program'!$U$36-'Bonding Program'!$Z$36,0)-IF(AND('Bonding Program'!$S$36=1,'Bonding Program'!$H$36&lt;='Bonding Program'!$C$8,DB$3=IF('Bonding Program'!$P$36&lt;&gt;"",'Bonding Program'!$P$36,'Bonding Program'!$C$8)),'Bonding Program'!$Z$36,0)+IF(AND('Bonding Program'!$P$36&lt;&gt;"",DB$3='Bonding Program'!$P$36,DB$3&lt;='Bonding Program'!$C$8),N('Bonding Program'!$O$36),0)</f>
        <v>0</v>
      </c>
      <c r="DC177" s="19" t="n">
        <f aca="false">IF(AND('Bonding Program'!$S$36=1,'Bonding Program'!$H$36&gt;'Bonding Program'!$C$8,DC$3='Bonding Program'!$H$36),'Bonding Program'!$T$36-'Bonding Program'!$U$36-'Bonding Program'!$Z$36,0)-IF(AND('Bonding Program'!$S$36=1,'Bonding Program'!$H$36&lt;='Bonding Program'!$C$8,DC$3=IF('Bonding Program'!$P$36&lt;&gt;"",'Bonding Program'!$P$36,'Bonding Program'!$C$8)),'Bonding Program'!$Z$36,0)+IF(AND('Bonding Program'!$P$36&lt;&gt;"",DC$3='Bonding Program'!$P$36,DC$3&lt;='Bonding Program'!$C$8),N('Bonding Program'!$O$36),0)</f>
        <v>0</v>
      </c>
      <c r="DD177" s="19" t="n">
        <f aca="false">IF(AND('Bonding Program'!$S$36=1,'Bonding Program'!$H$36&gt;'Bonding Program'!$C$8,DD$3='Bonding Program'!$H$36),'Bonding Program'!$T$36-'Bonding Program'!$U$36-'Bonding Program'!$Z$36,0)-IF(AND('Bonding Program'!$S$36=1,'Bonding Program'!$H$36&lt;='Bonding Program'!$C$8,DD$3=IF('Bonding Program'!$P$36&lt;&gt;"",'Bonding Program'!$P$36,'Bonding Program'!$C$8)),'Bonding Program'!$Z$36,0)+IF(AND('Bonding Program'!$P$36&lt;&gt;"",DD$3='Bonding Program'!$P$36,DD$3&lt;='Bonding Program'!$C$8),N('Bonding Program'!$O$36),0)</f>
        <v>0</v>
      </c>
      <c r="DE177" s="19" t="n">
        <f aca="false">IF(AND('Bonding Program'!$S$36=1,'Bonding Program'!$H$36&gt;'Bonding Program'!$C$8,DE$3='Bonding Program'!$H$36),'Bonding Program'!$T$36-'Bonding Program'!$U$36-'Bonding Program'!$Z$36,0)-IF(AND('Bonding Program'!$S$36=1,'Bonding Program'!$H$36&lt;='Bonding Program'!$C$8,DE$3=IF('Bonding Program'!$P$36&lt;&gt;"",'Bonding Program'!$P$36,'Bonding Program'!$C$8)),'Bonding Program'!$Z$36,0)+IF(AND('Bonding Program'!$P$36&lt;&gt;"",DE$3='Bonding Program'!$P$36,DE$3&lt;='Bonding Program'!$C$8),N('Bonding Program'!$O$36),0)</f>
        <v>0</v>
      </c>
    </row>
    <row r="178" customFormat="false" ht="15" hidden="false" customHeight="true" outlineLevel="1" collapsed="false">
      <c r="A178" s="28" t="s">
        <v>33</v>
      </c>
      <c r="B178" s="19" t="n">
        <f aca="false">IF(AND('Bonding Program'!$S$37=1,'Bonding Program'!$H$37&gt;'Bonding Program'!$C$8,B$3='Bonding Program'!$H$37),'Bonding Program'!$T$37-'Bonding Program'!$U$37-'Bonding Program'!$Z$37,0)-IF(AND('Bonding Program'!$S$37=1,'Bonding Program'!$H$37&lt;='Bonding Program'!$C$8,B$3=IF('Bonding Program'!$P$37&lt;&gt;"",'Bonding Program'!$P$37,'Bonding Program'!$C$8)),'Bonding Program'!$Z$37,0)+IF(AND('Bonding Program'!$P$37&lt;&gt;"",B$3='Bonding Program'!$P$37,B$3&lt;='Bonding Program'!$C$8),N('Bonding Program'!$O$37),0)</f>
        <v>0</v>
      </c>
      <c r="C178" s="19" t="n">
        <f aca="false">IF(AND('Bonding Program'!$S$37=1,'Bonding Program'!$H$37&gt;'Bonding Program'!$C$8,C$3='Bonding Program'!$H$37),'Bonding Program'!$T$37-'Bonding Program'!$U$37-'Bonding Program'!$Z$37,0)-IF(AND('Bonding Program'!$S$37=1,'Bonding Program'!$H$37&lt;='Bonding Program'!$C$8,C$3=IF('Bonding Program'!$P$37&lt;&gt;"",'Bonding Program'!$P$37,'Bonding Program'!$C$8)),'Bonding Program'!$Z$37,0)+IF(AND('Bonding Program'!$P$37&lt;&gt;"",C$3='Bonding Program'!$P$37,C$3&lt;='Bonding Program'!$C$8),N('Bonding Program'!$O$37),0)</f>
        <v>0</v>
      </c>
      <c r="D178" s="19" t="n">
        <f aca="false">IF(AND('Bonding Program'!$S$37=1,'Bonding Program'!$H$37&gt;'Bonding Program'!$C$8,D$3='Bonding Program'!$H$37),'Bonding Program'!$T$37-'Bonding Program'!$U$37-'Bonding Program'!$Z$37,0)-IF(AND('Bonding Program'!$S$37=1,'Bonding Program'!$H$37&lt;='Bonding Program'!$C$8,D$3=IF('Bonding Program'!$P$37&lt;&gt;"",'Bonding Program'!$P$37,'Bonding Program'!$C$8)),'Bonding Program'!$Z$37,0)+IF(AND('Bonding Program'!$P$37&lt;&gt;"",D$3='Bonding Program'!$P$37,D$3&lt;='Bonding Program'!$C$8),N('Bonding Program'!$O$37),0)</f>
        <v>0</v>
      </c>
      <c r="E178" s="19" t="n">
        <f aca="false">IF(AND('Bonding Program'!$S$37=1,'Bonding Program'!$H$37&gt;'Bonding Program'!$C$8,E$3='Bonding Program'!$H$37),'Bonding Program'!$T$37-'Bonding Program'!$U$37-'Bonding Program'!$Z$37,0)-IF(AND('Bonding Program'!$S$37=1,'Bonding Program'!$H$37&lt;='Bonding Program'!$C$8,E$3=IF('Bonding Program'!$P$37&lt;&gt;"",'Bonding Program'!$P$37,'Bonding Program'!$C$8)),'Bonding Program'!$Z$37,0)+IF(AND('Bonding Program'!$P$37&lt;&gt;"",E$3='Bonding Program'!$P$37,E$3&lt;='Bonding Program'!$C$8),N('Bonding Program'!$O$37),0)</f>
        <v>0</v>
      </c>
      <c r="F178" s="19" t="n">
        <f aca="false">IF(AND('Bonding Program'!$S$37=1,'Bonding Program'!$H$37&gt;'Bonding Program'!$C$8,F$3='Bonding Program'!$H$37),'Bonding Program'!$T$37-'Bonding Program'!$U$37-'Bonding Program'!$Z$37,0)-IF(AND('Bonding Program'!$S$37=1,'Bonding Program'!$H$37&lt;='Bonding Program'!$C$8,F$3=IF('Bonding Program'!$P$37&lt;&gt;"",'Bonding Program'!$P$37,'Bonding Program'!$C$8)),'Bonding Program'!$Z$37,0)+IF(AND('Bonding Program'!$P$37&lt;&gt;"",F$3='Bonding Program'!$P$37,F$3&lt;='Bonding Program'!$C$8),N('Bonding Program'!$O$37),0)</f>
        <v>0</v>
      </c>
      <c r="G178" s="19" t="n">
        <f aca="false">IF(AND('Bonding Program'!$S$37=1,'Bonding Program'!$H$37&gt;'Bonding Program'!$C$8,G$3='Bonding Program'!$H$37),'Bonding Program'!$T$37-'Bonding Program'!$U$37-'Bonding Program'!$Z$37,0)-IF(AND('Bonding Program'!$S$37=1,'Bonding Program'!$H$37&lt;='Bonding Program'!$C$8,G$3=IF('Bonding Program'!$P$37&lt;&gt;"",'Bonding Program'!$P$37,'Bonding Program'!$C$8)),'Bonding Program'!$Z$37,0)+IF(AND('Bonding Program'!$P$37&lt;&gt;"",G$3='Bonding Program'!$P$37,G$3&lt;='Bonding Program'!$C$8),N('Bonding Program'!$O$37),0)</f>
        <v>0</v>
      </c>
      <c r="H178" s="19" t="n">
        <f aca="false">IF(AND('Bonding Program'!$S$37=1,'Bonding Program'!$H$37&gt;'Bonding Program'!$C$8,H$3='Bonding Program'!$H$37),'Bonding Program'!$T$37-'Bonding Program'!$U$37-'Bonding Program'!$Z$37,0)-IF(AND('Bonding Program'!$S$37=1,'Bonding Program'!$H$37&lt;='Bonding Program'!$C$8,H$3=IF('Bonding Program'!$P$37&lt;&gt;"",'Bonding Program'!$P$37,'Bonding Program'!$C$8)),'Bonding Program'!$Z$37,0)+IF(AND('Bonding Program'!$P$37&lt;&gt;"",H$3='Bonding Program'!$P$37,H$3&lt;='Bonding Program'!$C$8),N('Bonding Program'!$O$37),0)</f>
        <v>0</v>
      </c>
      <c r="I178" s="19" t="n">
        <f aca="false">IF(AND('Bonding Program'!$S$37=1,'Bonding Program'!$H$37&gt;'Bonding Program'!$C$8,I$3='Bonding Program'!$H$37),'Bonding Program'!$T$37-'Bonding Program'!$U$37-'Bonding Program'!$Z$37,0)-IF(AND('Bonding Program'!$S$37=1,'Bonding Program'!$H$37&lt;='Bonding Program'!$C$8,I$3=IF('Bonding Program'!$P$37&lt;&gt;"",'Bonding Program'!$P$37,'Bonding Program'!$C$8)),'Bonding Program'!$Z$37,0)+IF(AND('Bonding Program'!$P$37&lt;&gt;"",I$3='Bonding Program'!$P$37,I$3&lt;='Bonding Program'!$C$8),N('Bonding Program'!$O$37),0)</f>
        <v>0</v>
      </c>
      <c r="J178" s="19" t="n">
        <f aca="false">IF(AND('Bonding Program'!$S$37=1,'Bonding Program'!$H$37&gt;'Bonding Program'!$C$8,J$3='Bonding Program'!$H$37),'Bonding Program'!$T$37-'Bonding Program'!$U$37-'Bonding Program'!$Z$37,0)-IF(AND('Bonding Program'!$S$37=1,'Bonding Program'!$H$37&lt;='Bonding Program'!$C$8,J$3=IF('Bonding Program'!$P$37&lt;&gt;"",'Bonding Program'!$P$37,'Bonding Program'!$C$8)),'Bonding Program'!$Z$37,0)+IF(AND('Bonding Program'!$P$37&lt;&gt;"",J$3='Bonding Program'!$P$37,J$3&lt;='Bonding Program'!$C$8),N('Bonding Program'!$O$37),0)</f>
        <v>0</v>
      </c>
      <c r="K178" s="19" t="n">
        <f aca="false">IF(AND('Bonding Program'!$S$37=1,'Bonding Program'!$H$37&gt;'Bonding Program'!$C$8,K$3='Bonding Program'!$H$37),'Bonding Program'!$T$37-'Bonding Program'!$U$37-'Bonding Program'!$Z$37,0)-IF(AND('Bonding Program'!$S$37=1,'Bonding Program'!$H$37&lt;='Bonding Program'!$C$8,K$3=IF('Bonding Program'!$P$37&lt;&gt;"",'Bonding Program'!$P$37,'Bonding Program'!$C$8)),'Bonding Program'!$Z$37,0)+IF(AND('Bonding Program'!$P$37&lt;&gt;"",K$3='Bonding Program'!$P$37,K$3&lt;='Bonding Program'!$C$8),N('Bonding Program'!$O$37),0)</f>
        <v>0</v>
      </c>
      <c r="L178" s="19" t="n">
        <f aca="false">IF(AND('Bonding Program'!$S$37=1,'Bonding Program'!$H$37&gt;'Bonding Program'!$C$8,L$3='Bonding Program'!$H$37),'Bonding Program'!$T$37-'Bonding Program'!$U$37-'Bonding Program'!$Z$37,0)-IF(AND('Bonding Program'!$S$37=1,'Bonding Program'!$H$37&lt;='Bonding Program'!$C$8,L$3=IF('Bonding Program'!$P$37&lt;&gt;"",'Bonding Program'!$P$37,'Bonding Program'!$C$8)),'Bonding Program'!$Z$37,0)+IF(AND('Bonding Program'!$P$37&lt;&gt;"",L$3='Bonding Program'!$P$37,L$3&lt;='Bonding Program'!$C$8),N('Bonding Program'!$O$37),0)</f>
        <v>0</v>
      </c>
      <c r="M178" s="19" t="n">
        <f aca="false">IF(AND('Bonding Program'!$S$37=1,'Bonding Program'!$H$37&gt;'Bonding Program'!$C$8,M$3='Bonding Program'!$H$37),'Bonding Program'!$T$37-'Bonding Program'!$U$37-'Bonding Program'!$Z$37,0)-IF(AND('Bonding Program'!$S$37=1,'Bonding Program'!$H$37&lt;='Bonding Program'!$C$8,M$3=IF('Bonding Program'!$P$37&lt;&gt;"",'Bonding Program'!$P$37,'Bonding Program'!$C$8)),'Bonding Program'!$Z$37,0)+IF(AND('Bonding Program'!$P$37&lt;&gt;"",M$3='Bonding Program'!$P$37,M$3&lt;='Bonding Program'!$C$8),N('Bonding Program'!$O$37),0)</f>
        <v>0</v>
      </c>
      <c r="N178" s="19" t="n">
        <f aca="false">IF(AND('Bonding Program'!$S$37=1,'Bonding Program'!$H$37&gt;'Bonding Program'!$C$8,N$3='Bonding Program'!$H$37),'Bonding Program'!$T$37-'Bonding Program'!$U$37-'Bonding Program'!$Z$37,0)-IF(AND('Bonding Program'!$S$37=1,'Bonding Program'!$H$37&lt;='Bonding Program'!$C$8,N$3=IF('Bonding Program'!$P$37&lt;&gt;"",'Bonding Program'!$P$37,'Bonding Program'!$C$8)),'Bonding Program'!$Z$37,0)+IF(AND('Bonding Program'!$P$37&lt;&gt;"",N$3='Bonding Program'!$P$37,N$3&lt;='Bonding Program'!$C$8),N('Bonding Program'!$O$37),0)</f>
        <v>0</v>
      </c>
      <c r="O178" s="19" t="n">
        <f aca="false">IF(AND('Bonding Program'!$S$37=1,'Bonding Program'!$H$37&gt;'Bonding Program'!$C$8,O$3='Bonding Program'!$H$37),'Bonding Program'!$T$37-'Bonding Program'!$U$37-'Bonding Program'!$Z$37,0)-IF(AND('Bonding Program'!$S$37=1,'Bonding Program'!$H$37&lt;='Bonding Program'!$C$8,O$3=IF('Bonding Program'!$P$37&lt;&gt;"",'Bonding Program'!$P$37,'Bonding Program'!$C$8)),'Bonding Program'!$Z$37,0)+IF(AND('Bonding Program'!$P$37&lt;&gt;"",O$3='Bonding Program'!$P$37,O$3&lt;='Bonding Program'!$C$8),N('Bonding Program'!$O$37),0)</f>
        <v>0</v>
      </c>
      <c r="P178" s="19" t="n">
        <f aca="false">IF(AND('Bonding Program'!$S$37=1,'Bonding Program'!$H$37&gt;'Bonding Program'!$C$8,P$3='Bonding Program'!$H$37),'Bonding Program'!$T$37-'Bonding Program'!$U$37-'Bonding Program'!$Z$37,0)-IF(AND('Bonding Program'!$S$37=1,'Bonding Program'!$H$37&lt;='Bonding Program'!$C$8,P$3=IF('Bonding Program'!$P$37&lt;&gt;"",'Bonding Program'!$P$37,'Bonding Program'!$C$8)),'Bonding Program'!$Z$37,0)+IF(AND('Bonding Program'!$P$37&lt;&gt;"",P$3='Bonding Program'!$P$37,P$3&lt;='Bonding Program'!$C$8),N('Bonding Program'!$O$37),0)</f>
        <v>0</v>
      </c>
      <c r="Q178" s="19" t="n">
        <f aca="false">IF(AND('Bonding Program'!$S$37=1,'Bonding Program'!$H$37&gt;'Bonding Program'!$C$8,Q$3='Bonding Program'!$H$37),'Bonding Program'!$T$37-'Bonding Program'!$U$37-'Bonding Program'!$Z$37,0)-IF(AND('Bonding Program'!$S$37=1,'Bonding Program'!$H$37&lt;='Bonding Program'!$C$8,Q$3=IF('Bonding Program'!$P$37&lt;&gt;"",'Bonding Program'!$P$37,'Bonding Program'!$C$8)),'Bonding Program'!$Z$37,0)+IF(AND('Bonding Program'!$P$37&lt;&gt;"",Q$3='Bonding Program'!$P$37,Q$3&lt;='Bonding Program'!$C$8),N('Bonding Program'!$O$37),0)</f>
        <v>0</v>
      </c>
      <c r="R178" s="19" t="n">
        <f aca="false">IF(AND('Bonding Program'!$S$37=1,'Bonding Program'!$H$37&gt;'Bonding Program'!$C$8,R$3='Bonding Program'!$H$37),'Bonding Program'!$T$37-'Bonding Program'!$U$37-'Bonding Program'!$Z$37,0)-IF(AND('Bonding Program'!$S$37=1,'Bonding Program'!$H$37&lt;='Bonding Program'!$C$8,R$3=IF('Bonding Program'!$P$37&lt;&gt;"",'Bonding Program'!$P$37,'Bonding Program'!$C$8)),'Bonding Program'!$Z$37,0)+IF(AND('Bonding Program'!$P$37&lt;&gt;"",R$3='Bonding Program'!$P$37,R$3&lt;='Bonding Program'!$C$8),N('Bonding Program'!$O$37),0)</f>
        <v>0</v>
      </c>
      <c r="S178" s="19" t="n">
        <f aca="false">IF(AND('Bonding Program'!$S$37=1,'Bonding Program'!$H$37&gt;'Bonding Program'!$C$8,S$3='Bonding Program'!$H$37),'Bonding Program'!$T$37-'Bonding Program'!$U$37-'Bonding Program'!$Z$37,0)-IF(AND('Bonding Program'!$S$37=1,'Bonding Program'!$H$37&lt;='Bonding Program'!$C$8,S$3=IF('Bonding Program'!$P$37&lt;&gt;"",'Bonding Program'!$P$37,'Bonding Program'!$C$8)),'Bonding Program'!$Z$37,0)+IF(AND('Bonding Program'!$P$37&lt;&gt;"",S$3='Bonding Program'!$P$37,S$3&lt;='Bonding Program'!$C$8),N('Bonding Program'!$O$37),0)</f>
        <v>0</v>
      </c>
      <c r="T178" s="19" t="n">
        <f aca="false">IF(AND('Bonding Program'!$S$37=1,'Bonding Program'!$H$37&gt;'Bonding Program'!$C$8,T$3='Bonding Program'!$H$37),'Bonding Program'!$T$37-'Bonding Program'!$U$37-'Bonding Program'!$Z$37,0)-IF(AND('Bonding Program'!$S$37=1,'Bonding Program'!$H$37&lt;='Bonding Program'!$C$8,T$3=IF('Bonding Program'!$P$37&lt;&gt;"",'Bonding Program'!$P$37,'Bonding Program'!$C$8)),'Bonding Program'!$Z$37,0)+IF(AND('Bonding Program'!$P$37&lt;&gt;"",T$3='Bonding Program'!$P$37,T$3&lt;='Bonding Program'!$C$8),N('Bonding Program'!$O$37),0)</f>
        <v>0</v>
      </c>
      <c r="U178" s="19" t="n">
        <f aca="false">IF(AND('Bonding Program'!$S$37=1,'Bonding Program'!$H$37&gt;'Bonding Program'!$C$8,U$3='Bonding Program'!$H$37),'Bonding Program'!$T$37-'Bonding Program'!$U$37-'Bonding Program'!$Z$37,0)-IF(AND('Bonding Program'!$S$37=1,'Bonding Program'!$H$37&lt;='Bonding Program'!$C$8,U$3=IF('Bonding Program'!$P$37&lt;&gt;"",'Bonding Program'!$P$37,'Bonding Program'!$C$8)),'Bonding Program'!$Z$37,0)+IF(AND('Bonding Program'!$P$37&lt;&gt;"",U$3='Bonding Program'!$P$37,U$3&lt;='Bonding Program'!$C$8),N('Bonding Program'!$O$37),0)</f>
        <v>0</v>
      </c>
      <c r="V178" s="19" t="n">
        <f aca="false">IF(AND('Bonding Program'!$S$37=1,'Bonding Program'!$H$37&gt;'Bonding Program'!$C$8,V$3='Bonding Program'!$H$37),'Bonding Program'!$T$37-'Bonding Program'!$U$37-'Bonding Program'!$Z$37,0)-IF(AND('Bonding Program'!$S$37=1,'Bonding Program'!$H$37&lt;='Bonding Program'!$C$8,V$3=IF('Bonding Program'!$P$37&lt;&gt;"",'Bonding Program'!$P$37,'Bonding Program'!$C$8)),'Bonding Program'!$Z$37,0)+IF(AND('Bonding Program'!$P$37&lt;&gt;"",V$3='Bonding Program'!$P$37,V$3&lt;='Bonding Program'!$C$8),N('Bonding Program'!$O$37),0)</f>
        <v>0</v>
      </c>
      <c r="W178" s="19" t="n">
        <f aca="false">IF(AND('Bonding Program'!$S$37=1,'Bonding Program'!$H$37&gt;'Bonding Program'!$C$8,W$3='Bonding Program'!$H$37),'Bonding Program'!$T$37-'Bonding Program'!$U$37-'Bonding Program'!$Z$37,0)-IF(AND('Bonding Program'!$S$37=1,'Bonding Program'!$H$37&lt;='Bonding Program'!$C$8,W$3=IF('Bonding Program'!$P$37&lt;&gt;"",'Bonding Program'!$P$37,'Bonding Program'!$C$8)),'Bonding Program'!$Z$37,0)+IF(AND('Bonding Program'!$P$37&lt;&gt;"",W$3='Bonding Program'!$P$37,W$3&lt;='Bonding Program'!$C$8),N('Bonding Program'!$O$37),0)</f>
        <v>0</v>
      </c>
      <c r="X178" s="19" t="n">
        <f aca="false">IF(AND('Bonding Program'!$S$37=1,'Bonding Program'!$H$37&gt;'Bonding Program'!$C$8,X$3='Bonding Program'!$H$37),'Bonding Program'!$T$37-'Bonding Program'!$U$37-'Bonding Program'!$Z$37,0)-IF(AND('Bonding Program'!$S$37=1,'Bonding Program'!$H$37&lt;='Bonding Program'!$C$8,X$3=IF('Bonding Program'!$P$37&lt;&gt;"",'Bonding Program'!$P$37,'Bonding Program'!$C$8)),'Bonding Program'!$Z$37,0)+IF(AND('Bonding Program'!$P$37&lt;&gt;"",X$3='Bonding Program'!$P$37,X$3&lt;='Bonding Program'!$C$8),N('Bonding Program'!$O$37),0)</f>
        <v>0</v>
      </c>
      <c r="Y178" s="19" t="n">
        <f aca="false">IF(AND('Bonding Program'!$S$37=1,'Bonding Program'!$H$37&gt;'Bonding Program'!$C$8,Y$3='Bonding Program'!$H$37),'Bonding Program'!$T$37-'Bonding Program'!$U$37-'Bonding Program'!$Z$37,0)-IF(AND('Bonding Program'!$S$37=1,'Bonding Program'!$H$37&lt;='Bonding Program'!$C$8,Y$3=IF('Bonding Program'!$P$37&lt;&gt;"",'Bonding Program'!$P$37,'Bonding Program'!$C$8)),'Bonding Program'!$Z$37,0)+IF(AND('Bonding Program'!$P$37&lt;&gt;"",Y$3='Bonding Program'!$P$37,Y$3&lt;='Bonding Program'!$C$8),N('Bonding Program'!$O$37),0)</f>
        <v>0</v>
      </c>
      <c r="Z178" s="19" t="n">
        <f aca="false">IF(AND('Bonding Program'!$S$37=1,'Bonding Program'!$H$37&gt;'Bonding Program'!$C$8,Z$3='Bonding Program'!$H$37),'Bonding Program'!$T$37-'Bonding Program'!$U$37-'Bonding Program'!$Z$37,0)-IF(AND('Bonding Program'!$S$37=1,'Bonding Program'!$H$37&lt;='Bonding Program'!$C$8,Z$3=IF('Bonding Program'!$P$37&lt;&gt;"",'Bonding Program'!$P$37,'Bonding Program'!$C$8)),'Bonding Program'!$Z$37,0)+IF(AND('Bonding Program'!$P$37&lt;&gt;"",Z$3='Bonding Program'!$P$37,Z$3&lt;='Bonding Program'!$C$8),N('Bonding Program'!$O$37),0)</f>
        <v>0</v>
      </c>
      <c r="AA178" s="19" t="n">
        <f aca="false">IF(AND('Bonding Program'!$S$37=1,'Bonding Program'!$H$37&gt;'Bonding Program'!$C$8,AA$3='Bonding Program'!$H$37),'Bonding Program'!$T$37-'Bonding Program'!$U$37-'Bonding Program'!$Z$37,0)-IF(AND('Bonding Program'!$S$37=1,'Bonding Program'!$H$37&lt;='Bonding Program'!$C$8,AA$3=IF('Bonding Program'!$P$37&lt;&gt;"",'Bonding Program'!$P$37,'Bonding Program'!$C$8)),'Bonding Program'!$Z$37,0)+IF(AND('Bonding Program'!$P$37&lt;&gt;"",AA$3='Bonding Program'!$P$37,AA$3&lt;='Bonding Program'!$C$8),N('Bonding Program'!$O$37),0)</f>
        <v>0</v>
      </c>
      <c r="AB178" s="19" t="n">
        <f aca="false">IF(AND('Bonding Program'!$S$37=1,'Bonding Program'!$H$37&gt;'Bonding Program'!$C$8,AB$3='Bonding Program'!$H$37),'Bonding Program'!$T$37-'Bonding Program'!$U$37-'Bonding Program'!$Z$37,0)-IF(AND('Bonding Program'!$S$37=1,'Bonding Program'!$H$37&lt;='Bonding Program'!$C$8,AB$3=IF('Bonding Program'!$P$37&lt;&gt;"",'Bonding Program'!$P$37,'Bonding Program'!$C$8)),'Bonding Program'!$Z$37,0)+IF(AND('Bonding Program'!$P$37&lt;&gt;"",AB$3='Bonding Program'!$P$37,AB$3&lt;='Bonding Program'!$C$8),N('Bonding Program'!$O$37),0)</f>
        <v>0</v>
      </c>
      <c r="AC178" s="19" t="n">
        <f aca="false">IF(AND('Bonding Program'!$S$37=1,'Bonding Program'!$H$37&gt;'Bonding Program'!$C$8,AC$3='Bonding Program'!$H$37),'Bonding Program'!$T$37-'Bonding Program'!$U$37-'Bonding Program'!$Z$37,0)-IF(AND('Bonding Program'!$S$37=1,'Bonding Program'!$H$37&lt;='Bonding Program'!$C$8,AC$3=IF('Bonding Program'!$P$37&lt;&gt;"",'Bonding Program'!$P$37,'Bonding Program'!$C$8)),'Bonding Program'!$Z$37,0)+IF(AND('Bonding Program'!$P$37&lt;&gt;"",AC$3='Bonding Program'!$P$37,AC$3&lt;='Bonding Program'!$C$8),N('Bonding Program'!$O$37),0)</f>
        <v>0</v>
      </c>
      <c r="AD178" s="19" t="n">
        <f aca="false">IF(AND('Bonding Program'!$S$37=1,'Bonding Program'!$H$37&gt;'Bonding Program'!$C$8,AD$3='Bonding Program'!$H$37),'Bonding Program'!$T$37-'Bonding Program'!$U$37-'Bonding Program'!$Z$37,0)-IF(AND('Bonding Program'!$S$37=1,'Bonding Program'!$H$37&lt;='Bonding Program'!$C$8,AD$3=IF('Bonding Program'!$P$37&lt;&gt;"",'Bonding Program'!$P$37,'Bonding Program'!$C$8)),'Bonding Program'!$Z$37,0)+IF(AND('Bonding Program'!$P$37&lt;&gt;"",AD$3='Bonding Program'!$P$37,AD$3&lt;='Bonding Program'!$C$8),N('Bonding Program'!$O$37),0)</f>
        <v>0</v>
      </c>
      <c r="AE178" s="19" t="n">
        <f aca="false">IF(AND('Bonding Program'!$S$37=1,'Bonding Program'!$H$37&gt;'Bonding Program'!$C$8,AE$3='Bonding Program'!$H$37),'Bonding Program'!$T$37-'Bonding Program'!$U$37-'Bonding Program'!$Z$37,0)-IF(AND('Bonding Program'!$S$37=1,'Bonding Program'!$H$37&lt;='Bonding Program'!$C$8,AE$3=IF('Bonding Program'!$P$37&lt;&gt;"",'Bonding Program'!$P$37,'Bonding Program'!$C$8)),'Bonding Program'!$Z$37,0)+IF(AND('Bonding Program'!$P$37&lt;&gt;"",AE$3='Bonding Program'!$P$37,AE$3&lt;='Bonding Program'!$C$8),N('Bonding Program'!$O$37),0)</f>
        <v>0</v>
      </c>
      <c r="AF178" s="19" t="n">
        <f aca="false">IF(AND('Bonding Program'!$S$37=1,'Bonding Program'!$H$37&gt;'Bonding Program'!$C$8,AF$3='Bonding Program'!$H$37),'Bonding Program'!$T$37-'Bonding Program'!$U$37-'Bonding Program'!$Z$37,0)-IF(AND('Bonding Program'!$S$37=1,'Bonding Program'!$H$37&lt;='Bonding Program'!$C$8,AF$3=IF('Bonding Program'!$P$37&lt;&gt;"",'Bonding Program'!$P$37,'Bonding Program'!$C$8)),'Bonding Program'!$Z$37,0)+IF(AND('Bonding Program'!$P$37&lt;&gt;"",AF$3='Bonding Program'!$P$37,AF$3&lt;='Bonding Program'!$C$8),N('Bonding Program'!$O$37),0)</f>
        <v>0</v>
      </c>
      <c r="AG178" s="19" t="n">
        <f aca="false">IF(AND('Bonding Program'!$S$37=1,'Bonding Program'!$H$37&gt;'Bonding Program'!$C$8,AG$3='Bonding Program'!$H$37),'Bonding Program'!$T$37-'Bonding Program'!$U$37-'Bonding Program'!$Z$37,0)-IF(AND('Bonding Program'!$S$37=1,'Bonding Program'!$H$37&lt;='Bonding Program'!$C$8,AG$3=IF('Bonding Program'!$P$37&lt;&gt;"",'Bonding Program'!$P$37,'Bonding Program'!$C$8)),'Bonding Program'!$Z$37,0)+IF(AND('Bonding Program'!$P$37&lt;&gt;"",AG$3='Bonding Program'!$P$37,AG$3&lt;='Bonding Program'!$C$8),N('Bonding Program'!$O$37),0)</f>
        <v>0</v>
      </c>
      <c r="AH178" s="19" t="n">
        <f aca="false">IF(AND('Bonding Program'!$S$37=1,'Bonding Program'!$H$37&gt;'Bonding Program'!$C$8,AH$3='Bonding Program'!$H$37),'Bonding Program'!$T$37-'Bonding Program'!$U$37-'Bonding Program'!$Z$37,0)-IF(AND('Bonding Program'!$S$37=1,'Bonding Program'!$H$37&lt;='Bonding Program'!$C$8,AH$3=IF('Bonding Program'!$P$37&lt;&gt;"",'Bonding Program'!$P$37,'Bonding Program'!$C$8)),'Bonding Program'!$Z$37,0)+IF(AND('Bonding Program'!$P$37&lt;&gt;"",AH$3='Bonding Program'!$P$37,AH$3&lt;='Bonding Program'!$C$8),N('Bonding Program'!$O$37),0)</f>
        <v>0</v>
      </c>
      <c r="AI178" s="19" t="n">
        <f aca="false">IF(AND('Bonding Program'!$S$37=1,'Bonding Program'!$H$37&gt;'Bonding Program'!$C$8,AI$3='Bonding Program'!$H$37),'Bonding Program'!$T$37-'Bonding Program'!$U$37-'Bonding Program'!$Z$37,0)-IF(AND('Bonding Program'!$S$37=1,'Bonding Program'!$H$37&lt;='Bonding Program'!$C$8,AI$3=IF('Bonding Program'!$P$37&lt;&gt;"",'Bonding Program'!$P$37,'Bonding Program'!$C$8)),'Bonding Program'!$Z$37,0)+IF(AND('Bonding Program'!$P$37&lt;&gt;"",AI$3='Bonding Program'!$P$37,AI$3&lt;='Bonding Program'!$C$8),N('Bonding Program'!$O$37),0)</f>
        <v>0</v>
      </c>
      <c r="AJ178" s="19" t="n">
        <f aca="false">IF(AND('Bonding Program'!$S$37=1,'Bonding Program'!$H$37&gt;'Bonding Program'!$C$8,AJ$3='Bonding Program'!$H$37),'Bonding Program'!$T$37-'Bonding Program'!$U$37-'Bonding Program'!$Z$37,0)-IF(AND('Bonding Program'!$S$37=1,'Bonding Program'!$H$37&lt;='Bonding Program'!$C$8,AJ$3=IF('Bonding Program'!$P$37&lt;&gt;"",'Bonding Program'!$P$37,'Bonding Program'!$C$8)),'Bonding Program'!$Z$37,0)+IF(AND('Bonding Program'!$P$37&lt;&gt;"",AJ$3='Bonding Program'!$P$37,AJ$3&lt;='Bonding Program'!$C$8),N('Bonding Program'!$O$37),0)</f>
        <v>0</v>
      </c>
      <c r="AK178" s="19" t="n">
        <f aca="false">IF(AND('Bonding Program'!$S$37=1,'Bonding Program'!$H$37&gt;'Bonding Program'!$C$8,AK$3='Bonding Program'!$H$37),'Bonding Program'!$T$37-'Bonding Program'!$U$37-'Bonding Program'!$Z$37,0)-IF(AND('Bonding Program'!$S$37=1,'Bonding Program'!$H$37&lt;='Bonding Program'!$C$8,AK$3=IF('Bonding Program'!$P$37&lt;&gt;"",'Bonding Program'!$P$37,'Bonding Program'!$C$8)),'Bonding Program'!$Z$37,0)+IF(AND('Bonding Program'!$P$37&lt;&gt;"",AK$3='Bonding Program'!$P$37,AK$3&lt;='Bonding Program'!$C$8),N('Bonding Program'!$O$37),0)</f>
        <v>0</v>
      </c>
      <c r="AL178" s="19" t="n">
        <f aca="false">IF(AND('Bonding Program'!$S$37=1,'Bonding Program'!$H$37&gt;'Bonding Program'!$C$8,AL$3='Bonding Program'!$H$37),'Bonding Program'!$T$37-'Bonding Program'!$U$37-'Bonding Program'!$Z$37,0)-IF(AND('Bonding Program'!$S$37=1,'Bonding Program'!$H$37&lt;='Bonding Program'!$C$8,AL$3=IF('Bonding Program'!$P$37&lt;&gt;"",'Bonding Program'!$P$37,'Bonding Program'!$C$8)),'Bonding Program'!$Z$37,0)+IF(AND('Bonding Program'!$P$37&lt;&gt;"",AL$3='Bonding Program'!$P$37,AL$3&lt;='Bonding Program'!$C$8),N('Bonding Program'!$O$37),0)</f>
        <v>0</v>
      </c>
      <c r="AM178" s="19" t="n">
        <f aca="false">IF(AND('Bonding Program'!$S$37=1,'Bonding Program'!$H$37&gt;'Bonding Program'!$C$8,AM$3='Bonding Program'!$H$37),'Bonding Program'!$T$37-'Bonding Program'!$U$37-'Bonding Program'!$Z$37,0)-IF(AND('Bonding Program'!$S$37=1,'Bonding Program'!$H$37&lt;='Bonding Program'!$C$8,AM$3=IF('Bonding Program'!$P$37&lt;&gt;"",'Bonding Program'!$P$37,'Bonding Program'!$C$8)),'Bonding Program'!$Z$37,0)+IF(AND('Bonding Program'!$P$37&lt;&gt;"",AM$3='Bonding Program'!$P$37,AM$3&lt;='Bonding Program'!$C$8),N('Bonding Program'!$O$37),0)</f>
        <v>0</v>
      </c>
      <c r="AN178" s="19" t="n">
        <f aca="false">IF(AND('Bonding Program'!$S$37=1,'Bonding Program'!$H$37&gt;'Bonding Program'!$C$8,AN$3='Bonding Program'!$H$37),'Bonding Program'!$T$37-'Bonding Program'!$U$37-'Bonding Program'!$Z$37,0)-IF(AND('Bonding Program'!$S$37=1,'Bonding Program'!$H$37&lt;='Bonding Program'!$C$8,AN$3=IF('Bonding Program'!$P$37&lt;&gt;"",'Bonding Program'!$P$37,'Bonding Program'!$C$8)),'Bonding Program'!$Z$37,0)+IF(AND('Bonding Program'!$P$37&lt;&gt;"",AN$3='Bonding Program'!$P$37,AN$3&lt;='Bonding Program'!$C$8),N('Bonding Program'!$O$37),0)</f>
        <v>0</v>
      </c>
      <c r="AO178" s="19" t="n">
        <f aca="false">IF(AND('Bonding Program'!$S$37=1,'Bonding Program'!$H$37&gt;'Bonding Program'!$C$8,AO$3='Bonding Program'!$H$37),'Bonding Program'!$T$37-'Bonding Program'!$U$37-'Bonding Program'!$Z$37,0)-IF(AND('Bonding Program'!$S$37=1,'Bonding Program'!$H$37&lt;='Bonding Program'!$C$8,AO$3=IF('Bonding Program'!$P$37&lt;&gt;"",'Bonding Program'!$P$37,'Bonding Program'!$C$8)),'Bonding Program'!$Z$37,0)+IF(AND('Bonding Program'!$P$37&lt;&gt;"",AO$3='Bonding Program'!$P$37,AO$3&lt;='Bonding Program'!$C$8),N('Bonding Program'!$O$37),0)</f>
        <v>0</v>
      </c>
      <c r="AP178" s="19" t="n">
        <f aca="false">IF(AND('Bonding Program'!$S$37=1,'Bonding Program'!$H$37&gt;'Bonding Program'!$C$8,AP$3='Bonding Program'!$H$37),'Bonding Program'!$T$37-'Bonding Program'!$U$37-'Bonding Program'!$Z$37,0)-IF(AND('Bonding Program'!$S$37=1,'Bonding Program'!$H$37&lt;='Bonding Program'!$C$8,AP$3=IF('Bonding Program'!$P$37&lt;&gt;"",'Bonding Program'!$P$37,'Bonding Program'!$C$8)),'Bonding Program'!$Z$37,0)+IF(AND('Bonding Program'!$P$37&lt;&gt;"",AP$3='Bonding Program'!$P$37,AP$3&lt;='Bonding Program'!$C$8),N('Bonding Program'!$O$37),0)</f>
        <v>0</v>
      </c>
      <c r="AQ178" s="19" t="n">
        <f aca="false">IF(AND('Bonding Program'!$S$37=1,'Bonding Program'!$H$37&gt;'Bonding Program'!$C$8,AQ$3='Bonding Program'!$H$37),'Bonding Program'!$T$37-'Bonding Program'!$U$37-'Bonding Program'!$Z$37,0)-IF(AND('Bonding Program'!$S$37=1,'Bonding Program'!$H$37&lt;='Bonding Program'!$C$8,AQ$3=IF('Bonding Program'!$P$37&lt;&gt;"",'Bonding Program'!$P$37,'Bonding Program'!$C$8)),'Bonding Program'!$Z$37,0)+IF(AND('Bonding Program'!$P$37&lt;&gt;"",AQ$3='Bonding Program'!$P$37,AQ$3&lt;='Bonding Program'!$C$8),N('Bonding Program'!$O$37),0)</f>
        <v>0</v>
      </c>
      <c r="AR178" s="19" t="n">
        <f aca="false">IF(AND('Bonding Program'!$S$37=1,'Bonding Program'!$H$37&gt;'Bonding Program'!$C$8,AR$3='Bonding Program'!$H$37),'Bonding Program'!$T$37-'Bonding Program'!$U$37-'Bonding Program'!$Z$37,0)-IF(AND('Bonding Program'!$S$37=1,'Bonding Program'!$H$37&lt;='Bonding Program'!$C$8,AR$3=IF('Bonding Program'!$P$37&lt;&gt;"",'Bonding Program'!$P$37,'Bonding Program'!$C$8)),'Bonding Program'!$Z$37,0)+IF(AND('Bonding Program'!$P$37&lt;&gt;"",AR$3='Bonding Program'!$P$37,AR$3&lt;='Bonding Program'!$C$8),N('Bonding Program'!$O$37),0)</f>
        <v>0</v>
      </c>
      <c r="AS178" s="19" t="n">
        <f aca="false">IF(AND('Bonding Program'!$S$37=1,'Bonding Program'!$H$37&gt;'Bonding Program'!$C$8,AS$3='Bonding Program'!$H$37),'Bonding Program'!$T$37-'Bonding Program'!$U$37-'Bonding Program'!$Z$37,0)-IF(AND('Bonding Program'!$S$37=1,'Bonding Program'!$H$37&lt;='Bonding Program'!$C$8,AS$3=IF('Bonding Program'!$P$37&lt;&gt;"",'Bonding Program'!$P$37,'Bonding Program'!$C$8)),'Bonding Program'!$Z$37,0)+IF(AND('Bonding Program'!$P$37&lt;&gt;"",AS$3='Bonding Program'!$P$37,AS$3&lt;='Bonding Program'!$C$8),N('Bonding Program'!$O$37),0)</f>
        <v>0</v>
      </c>
      <c r="AT178" s="19" t="n">
        <f aca="false">IF(AND('Bonding Program'!$S$37=1,'Bonding Program'!$H$37&gt;'Bonding Program'!$C$8,AT$3='Bonding Program'!$H$37),'Bonding Program'!$T$37-'Bonding Program'!$U$37-'Bonding Program'!$Z$37,0)-IF(AND('Bonding Program'!$S$37=1,'Bonding Program'!$H$37&lt;='Bonding Program'!$C$8,AT$3=IF('Bonding Program'!$P$37&lt;&gt;"",'Bonding Program'!$P$37,'Bonding Program'!$C$8)),'Bonding Program'!$Z$37,0)+IF(AND('Bonding Program'!$P$37&lt;&gt;"",AT$3='Bonding Program'!$P$37,AT$3&lt;='Bonding Program'!$C$8),N('Bonding Program'!$O$37),0)</f>
        <v>0</v>
      </c>
      <c r="AU178" s="19" t="n">
        <f aca="false">IF(AND('Bonding Program'!$S$37=1,'Bonding Program'!$H$37&gt;'Bonding Program'!$C$8,AU$3='Bonding Program'!$H$37),'Bonding Program'!$T$37-'Bonding Program'!$U$37-'Bonding Program'!$Z$37,0)-IF(AND('Bonding Program'!$S$37=1,'Bonding Program'!$H$37&lt;='Bonding Program'!$C$8,AU$3=IF('Bonding Program'!$P$37&lt;&gt;"",'Bonding Program'!$P$37,'Bonding Program'!$C$8)),'Bonding Program'!$Z$37,0)+IF(AND('Bonding Program'!$P$37&lt;&gt;"",AU$3='Bonding Program'!$P$37,AU$3&lt;='Bonding Program'!$C$8),N('Bonding Program'!$O$37),0)</f>
        <v>0</v>
      </c>
      <c r="AV178" s="19" t="n">
        <f aca="false">IF(AND('Bonding Program'!$S$37=1,'Bonding Program'!$H$37&gt;'Bonding Program'!$C$8,AV$3='Bonding Program'!$H$37),'Bonding Program'!$T$37-'Bonding Program'!$U$37-'Bonding Program'!$Z$37,0)-IF(AND('Bonding Program'!$S$37=1,'Bonding Program'!$H$37&lt;='Bonding Program'!$C$8,AV$3=IF('Bonding Program'!$P$37&lt;&gt;"",'Bonding Program'!$P$37,'Bonding Program'!$C$8)),'Bonding Program'!$Z$37,0)+IF(AND('Bonding Program'!$P$37&lt;&gt;"",AV$3='Bonding Program'!$P$37,AV$3&lt;='Bonding Program'!$C$8),N('Bonding Program'!$O$37),0)</f>
        <v>0</v>
      </c>
      <c r="AW178" s="19" t="n">
        <f aca="false">IF(AND('Bonding Program'!$S$37=1,'Bonding Program'!$H$37&gt;'Bonding Program'!$C$8,AW$3='Bonding Program'!$H$37),'Bonding Program'!$T$37-'Bonding Program'!$U$37-'Bonding Program'!$Z$37,0)-IF(AND('Bonding Program'!$S$37=1,'Bonding Program'!$H$37&lt;='Bonding Program'!$C$8,AW$3=IF('Bonding Program'!$P$37&lt;&gt;"",'Bonding Program'!$P$37,'Bonding Program'!$C$8)),'Bonding Program'!$Z$37,0)+IF(AND('Bonding Program'!$P$37&lt;&gt;"",AW$3='Bonding Program'!$P$37,AW$3&lt;='Bonding Program'!$C$8),N('Bonding Program'!$O$37),0)</f>
        <v>0</v>
      </c>
      <c r="AX178" s="19" t="n">
        <f aca="false">IF(AND('Bonding Program'!$S$37=1,'Bonding Program'!$H$37&gt;'Bonding Program'!$C$8,AX$3='Bonding Program'!$H$37),'Bonding Program'!$T$37-'Bonding Program'!$U$37-'Bonding Program'!$Z$37,0)-IF(AND('Bonding Program'!$S$37=1,'Bonding Program'!$H$37&lt;='Bonding Program'!$C$8,AX$3=IF('Bonding Program'!$P$37&lt;&gt;"",'Bonding Program'!$P$37,'Bonding Program'!$C$8)),'Bonding Program'!$Z$37,0)+IF(AND('Bonding Program'!$P$37&lt;&gt;"",AX$3='Bonding Program'!$P$37,AX$3&lt;='Bonding Program'!$C$8),N('Bonding Program'!$O$37),0)</f>
        <v>0</v>
      </c>
      <c r="AY178" s="19" t="n">
        <f aca="false">IF(AND('Bonding Program'!$S$37=1,'Bonding Program'!$H$37&gt;'Bonding Program'!$C$8,AY$3='Bonding Program'!$H$37),'Bonding Program'!$T$37-'Bonding Program'!$U$37-'Bonding Program'!$Z$37,0)-IF(AND('Bonding Program'!$S$37=1,'Bonding Program'!$H$37&lt;='Bonding Program'!$C$8,AY$3=IF('Bonding Program'!$P$37&lt;&gt;"",'Bonding Program'!$P$37,'Bonding Program'!$C$8)),'Bonding Program'!$Z$37,0)+IF(AND('Bonding Program'!$P$37&lt;&gt;"",AY$3='Bonding Program'!$P$37,AY$3&lt;='Bonding Program'!$C$8),N('Bonding Program'!$O$37),0)</f>
        <v>0</v>
      </c>
      <c r="AZ178" s="19" t="n">
        <f aca="false">IF(AND('Bonding Program'!$S$37=1,'Bonding Program'!$H$37&gt;'Bonding Program'!$C$8,AZ$3='Bonding Program'!$H$37),'Bonding Program'!$T$37-'Bonding Program'!$U$37-'Bonding Program'!$Z$37,0)-IF(AND('Bonding Program'!$S$37=1,'Bonding Program'!$H$37&lt;='Bonding Program'!$C$8,AZ$3=IF('Bonding Program'!$P$37&lt;&gt;"",'Bonding Program'!$P$37,'Bonding Program'!$C$8)),'Bonding Program'!$Z$37,0)+IF(AND('Bonding Program'!$P$37&lt;&gt;"",AZ$3='Bonding Program'!$P$37,AZ$3&lt;='Bonding Program'!$C$8),N('Bonding Program'!$O$37),0)</f>
        <v>0</v>
      </c>
      <c r="BA178" s="19" t="n">
        <f aca="false">IF(AND('Bonding Program'!$S$37=1,'Bonding Program'!$H$37&gt;'Bonding Program'!$C$8,BA$3='Bonding Program'!$H$37),'Bonding Program'!$T$37-'Bonding Program'!$U$37-'Bonding Program'!$Z$37,0)-IF(AND('Bonding Program'!$S$37=1,'Bonding Program'!$H$37&lt;='Bonding Program'!$C$8,BA$3=IF('Bonding Program'!$P$37&lt;&gt;"",'Bonding Program'!$P$37,'Bonding Program'!$C$8)),'Bonding Program'!$Z$37,0)+IF(AND('Bonding Program'!$P$37&lt;&gt;"",BA$3='Bonding Program'!$P$37,BA$3&lt;='Bonding Program'!$C$8),N('Bonding Program'!$O$37),0)</f>
        <v>0</v>
      </c>
      <c r="BB178" s="19" t="n">
        <f aca="false">IF(AND('Bonding Program'!$S$37=1,'Bonding Program'!$H$37&gt;'Bonding Program'!$C$8,BB$3='Bonding Program'!$H$37),'Bonding Program'!$T$37-'Bonding Program'!$U$37-'Bonding Program'!$Z$37,0)-IF(AND('Bonding Program'!$S$37=1,'Bonding Program'!$H$37&lt;='Bonding Program'!$C$8,BB$3=IF('Bonding Program'!$P$37&lt;&gt;"",'Bonding Program'!$P$37,'Bonding Program'!$C$8)),'Bonding Program'!$Z$37,0)+IF(AND('Bonding Program'!$P$37&lt;&gt;"",BB$3='Bonding Program'!$P$37,BB$3&lt;='Bonding Program'!$C$8),N('Bonding Program'!$O$37),0)</f>
        <v>0</v>
      </c>
      <c r="BC178" s="19" t="n">
        <f aca="false">IF(AND('Bonding Program'!$S$37=1,'Bonding Program'!$H$37&gt;'Bonding Program'!$C$8,BC$3='Bonding Program'!$H$37),'Bonding Program'!$T$37-'Bonding Program'!$U$37-'Bonding Program'!$Z$37,0)-IF(AND('Bonding Program'!$S$37=1,'Bonding Program'!$H$37&lt;='Bonding Program'!$C$8,BC$3=IF('Bonding Program'!$P$37&lt;&gt;"",'Bonding Program'!$P$37,'Bonding Program'!$C$8)),'Bonding Program'!$Z$37,0)+IF(AND('Bonding Program'!$P$37&lt;&gt;"",BC$3='Bonding Program'!$P$37,BC$3&lt;='Bonding Program'!$C$8),N('Bonding Program'!$O$37),0)</f>
        <v>0</v>
      </c>
      <c r="BD178" s="19" t="n">
        <f aca="false">IF(AND('Bonding Program'!$S$37=1,'Bonding Program'!$H$37&gt;'Bonding Program'!$C$8,BD$3='Bonding Program'!$H$37),'Bonding Program'!$T$37-'Bonding Program'!$U$37-'Bonding Program'!$Z$37,0)-IF(AND('Bonding Program'!$S$37=1,'Bonding Program'!$H$37&lt;='Bonding Program'!$C$8,BD$3=IF('Bonding Program'!$P$37&lt;&gt;"",'Bonding Program'!$P$37,'Bonding Program'!$C$8)),'Bonding Program'!$Z$37,0)+IF(AND('Bonding Program'!$P$37&lt;&gt;"",BD$3='Bonding Program'!$P$37,BD$3&lt;='Bonding Program'!$C$8),N('Bonding Program'!$O$37),0)</f>
        <v>0</v>
      </c>
      <c r="BE178" s="19" t="n">
        <f aca="false">IF(AND('Bonding Program'!$S$37=1,'Bonding Program'!$H$37&gt;'Bonding Program'!$C$8,BE$3='Bonding Program'!$H$37),'Bonding Program'!$T$37-'Bonding Program'!$U$37-'Bonding Program'!$Z$37,0)-IF(AND('Bonding Program'!$S$37=1,'Bonding Program'!$H$37&lt;='Bonding Program'!$C$8,BE$3=IF('Bonding Program'!$P$37&lt;&gt;"",'Bonding Program'!$P$37,'Bonding Program'!$C$8)),'Bonding Program'!$Z$37,0)+IF(AND('Bonding Program'!$P$37&lt;&gt;"",BE$3='Bonding Program'!$P$37,BE$3&lt;='Bonding Program'!$C$8),N('Bonding Program'!$O$37),0)</f>
        <v>0</v>
      </c>
      <c r="BF178" s="19" t="n">
        <f aca="false">IF(AND('Bonding Program'!$S$37=1,'Bonding Program'!$H$37&gt;'Bonding Program'!$C$8,BF$3='Bonding Program'!$H$37),'Bonding Program'!$T$37-'Bonding Program'!$U$37-'Bonding Program'!$Z$37,0)-IF(AND('Bonding Program'!$S$37=1,'Bonding Program'!$H$37&lt;='Bonding Program'!$C$8,BF$3=IF('Bonding Program'!$P$37&lt;&gt;"",'Bonding Program'!$P$37,'Bonding Program'!$C$8)),'Bonding Program'!$Z$37,0)+IF(AND('Bonding Program'!$P$37&lt;&gt;"",BF$3='Bonding Program'!$P$37,BF$3&lt;='Bonding Program'!$C$8),N('Bonding Program'!$O$37),0)</f>
        <v>0</v>
      </c>
      <c r="BG178" s="19" t="n">
        <f aca="false">IF(AND('Bonding Program'!$S$37=1,'Bonding Program'!$H$37&gt;'Bonding Program'!$C$8,BG$3='Bonding Program'!$H$37),'Bonding Program'!$T$37-'Bonding Program'!$U$37-'Bonding Program'!$Z$37,0)-IF(AND('Bonding Program'!$S$37=1,'Bonding Program'!$H$37&lt;='Bonding Program'!$C$8,BG$3=IF('Bonding Program'!$P$37&lt;&gt;"",'Bonding Program'!$P$37,'Bonding Program'!$C$8)),'Bonding Program'!$Z$37,0)+IF(AND('Bonding Program'!$P$37&lt;&gt;"",BG$3='Bonding Program'!$P$37,BG$3&lt;='Bonding Program'!$C$8),N('Bonding Program'!$O$37),0)</f>
        <v>0</v>
      </c>
      <c r="BH178" s="19" t="n">
        <f aca="false">IF(AND('Bonding Program'!$S$37=1,'Bonding Program'!$H$37&gt;'Bonding Program'!$C$8,BH$3='Bonding Program'!$H$37),'Bonding Program'!$T$37-'Bonding Program'!$U$37-'Bonding Program'!$Z$37,0)-IF(AND('Bonding Program'!$S$37=1,'Bonding Program'!$H$37&lt;='Bonding Program'!$C$8,BH$3=IF('Bonding Program'!$P$37&lt;&gt;"",'Bonding Program'!$P$37,'Bonding Program'!$C$8)),'Bonding Program'!$Z$37,0)+IF(AND('Bonding Program'!$P$37&lt;&gt;"",BH$3='Bonding Program'!$P$37,BH$3&lt;='Bonding Program'!$C$8),N('Bonding Program'!$O$37),0)</f>
        <v>0</v>
      </c>
      <c r="BI178" s="19" t="n">
        <f aca="false">IF(AND('Bonding Program'!$S$37=1,'Bonding Program'!$H$37&gt;'Bonding Program'!$C$8,BI$3='Bonding Program'!$H$37),'Bonding Program'!$T$37-'Bonding Program'!$U$37-'Bonding Program'!$Z$37,0)-IF(AND('Bonding Program'!$S$37=1,'Bonding Program'!$H$37&lt;='Bonding Program'!$C$8,BI$3=IF('Bonding Program'!$P$37&lt;&gt;"",'Bonding Program'!$P$37,'Bonding Program'!$C$8)),'Bonding Program'!$Z$37,0)+IF(AND('Bonding Program'!$P$37&lt;&gt;"",BI$3='Bonding Program'!$P$37,BI$3&lt;='Bonding Program'!$C$8),N('Bonding Program'!$O$37),0)</f>
        <v>0</v>
      </c>
      <c r="BJ178" s="19" t="n">
        <f aca="false">IF(AND('Bonding Program'!$S$37=1,'Bonding Program'!$H$37&gt;'Bonding Program'!$C$8,BJ$3='Bonding Program'!$H$37),'Bonding Program'!$T$37-'Bonding Program'!$U$37-'Bonding Program'!$Z$37,0)-IF(AND('Bonding Program'!$S$37=1,'Bonding Program'!$H$37&lt;='Bonding Program'!$C$8,BJ$3=IF('Bonding Program'!$P$37&lt;&gt;"",'Bonding Program'!$P$37,'Bonding Program'!$C$8)),'Bonding Program'!$Z$37,0)+IF(AND('Bonding Program'!$P$37&lt;&gt;"",BJ$3='Bonding Program'!$P$37,BJ$3&lt;='Bonding Program'!$C$8),N('Bonding Program'!$O$37),0)</f>
        <v>0</v>
      </c>
      <c r="BK178" s="19" t="n">
        <f aca="false">IF(AND('Bonding Program'!$S$37=1,'Bonding Program'!$H$37&gt;'Bonding Program'!$C$8,BK$3='Bonding Program'!$H$37),'Bonding Program'!$T$37-'Bonding Program'!$U$37-'Bonding Program'!$Z$37,0)-IF(AND('Bonding Program'!$S$37=1,'Bonding Program'!$H$37&lt;='Bonding Program'!$C$8,BK$3=IF('Bonding Program'!$P$37&lt;&gt;"",'Bonding Program'!$P$37,'Bonding Program'!$C$8)),'Bonding Program'!$Z$37,0)+IF(AND('Bonding Program'!$P$37&lt;&gt;"",BK$3='Bonding Program'!$P$37,BK$3&lt;='Bonding Program'!$C$8),N('Bonding Program'!$O$37),0)</f>
        <v>0</v>
      </c>
      <c r="BL178" s="19" t="n">
        <f aca="false">IF(AND('Bonding Program'!$S$37=1,'Bonding Program'!$H$37&gt;'Bonding Program'!$C$8,BL$3='Bonding Program'!$H$37),'Bonding Program'!$T$37-'Bonding Program'!$U$37-'Bonding Program'!$Z$37,0)-IF(AND('Bonding Program'!$S$37=1,'Bonding Program'!$H$37&lt;='Bonding Program'!$C$8,BL$3=IF('Bonding Program'!$P$37&lt;&gt;"",'Bonding Program'!$P$37,'Bonding Program'!$C$8)),'Bonding Program'!$Z$37,0)+IF(AND('Bonding Program'!$P$37&lt;&gt;"",BL$3='Bonding Program'!$P$37,BL$3&lt;='Bonding Program'!$C$8),N('Bonding Program'!$O$37),0)</f>
        <v>0</v>
      </c>
      <c r="BM178" s="19" t="n">
        <f aca="false">IF(AND('Bonding Program'!$S$37=1,'Bonding Program'!$H$37&gt;'Bonding Program'!$C$8,BM$3='Bonding Program'!$H$37),'Bonding Program'!$T$37-'Bonding Program'!$U$37-'Bonding Program'!$Z$37,0)-IF(AND('Bonding Program'!$S$37=1,'Bonding Program'!$H$37&lt;='Bonding Program'!$C$8,BM$3=IF('Bonding Program'!$P$37&lt;&gt;"",'Bonding Program'!$P$37,'Bonding Program'!$C$8)),'Bonding Program'!$Z$37,0)+IF(AND('Bonding Program'!$P$37&lt;&gt;"",BM$3='Bonding Program'!$P$37,BM$3&lt;='Bonding Program'!$C$8),N('Bonding Program'!$O$37),0)</f>
        <v>0</v>
      </c>
      <c r="BN178" s="19" t="n">
        <f aca="false">IF(AND('Bonding Program'!$S$37=1,'Bonding Program'!$H$37&gt;'Bonding Program'!$C$8,BN$3='Bonding Program'!$H$37),'Bonding Program'!$T$37-'Bonding Program'!$U$37-'Bonding Program'!$Z$37,0)-IF(AND('Bonding Program'!$S$37=1,'Bonding Program'!$H$37&lt;='Bonding Program'!$C$8,BN$3=IF('Bonding Program'!$P$37&lt;&gt;"",'Bonding Program'!$P$37,'Bonding Program'!$C$8)),'Bonding Program'!$Z$37,0)+IF(AND('Bonding Program'!$P$37&lt;&gt;"",BN$3='Bonding Program'!$P$37,BN$3&lt;='Bonding Program'!$C$8),N('Bonding Program'!$O$37),0)</f>
        <v>0</v>
      </c>
      <c r="BO178" s="19" t="n">
        <f aca="false">IF(AND('Bonding Program'!$S$37=1,'Bonding Program'!$H$37&gt;'Bonding Program'!$C$8,BO$3='Bonding Program'!$H$37),'Bonding Program'!$T$37-'Bonding Program'!$U$37-'Bonding Program'!$Z$37,0)-IF(AND('Bonding Program'!$S$37=1,'Bonding Program'!$H$37&lt;='Bonding Program'!$C$8,BO$3=IF('Bonding Program'!$P$37&lt;&gt;"",'Bonding Program'!$P$37,'Bonding Program'!$C$8)),'Bonding Program'!$Z$37,0)+IF(AND('Bonding Program'!$P$37&lt;&gt;"",BO$3='Bonding Program'!$P$37,BO$3&lt;='Bonding Program'!$C$8),N('Bonding Program'!$O$37),0)</f>
        <v>0</v>
      </c>
      <c r="BP178" s="19" t="n">
        <f aca="false">IF(AND('Bonding Program'!$S$37=1,'Bonding Program'!$H$37&gt;'Bonding Program'!$C$8,BP$3='Bonding Program'!$H$37),'Bonding Program'!$T$37-'Bonding Program'!$U$37-'Bonding Program'!$Z$37,0)-IF(AND('Bonding Program'!$S$37=1,'Bonding Program'!$H$37&lt;='Bonding Program'!$C$8,BP$3=IF('Bonding Program'!$P$37&lt;&gt;"",'Bonding Program'!$P$37,'Bonding Program'!$C$8)),'Bonding Program'!$Z$37,0)+IF(AND('Bonding Program'!$P$37&lt;&gt;"",BP$3='Bonding Program'!$P$37,BP$3&lt;='Bonding Program'!$C$8),N('Bonding Program'!$O$37),0)</f>
        <v>0</v>
      </c>
      <c r="BQ178" s="19" t="n">
        <f aca="false">IF(AND('Bonding Program'!$S$37=1,'Bonding Program'!$H$37&gt;'Bonding Program'!$C$8,BQ$3='Bonding Program'!$H$37),'Bonding Program'!$T$37-'Bonding Program'!$U$37-'Bonding Program'!$Z$37,0)-IF(AND('Bonding Program'!$S$37=1,'Bonding Program'!$H$37&lt;='Bonding Program'!$C$8,BQ$3=IF('Bonding Program'!$P$37&lt;&gt;"",'Bonding Program'!$P$37,'Bonding Program'!$C$8)),'Bonding Program'!$Z$37,0)+IF(AND('Bonding Program'!$P$37&lt;&gt;"",BQ$3='Bonding Program'!$P$37,BQ$3&lt;='Bonding Program'!$C$8),N('Bonding Program'!$O$37),0)</f>
        <v>0</v>
      </c>
      <c r="BR178" s="19" t="n">
        <f aca="false">IF(AND('Bonding Program'!$S$37=1,'Bonding Program'!$H$37&gt;'Bonding Program'!$C$8,BR$3='Bonding Program'!$H$37),'Bonding Program'!$T$37-'Bonding Program'!$U$37-'Bonding Program'!$Z$37,0)-IF(AND('Bonding Program'!$S$37=1,'Bonding Program'!$H$37&lt;='Bonding Program'!$C$8,BR$3=IF('Bonding Program'!$P$37&lt;&gt;"",'Bonding Program'!$P$37,'Bonding Program'!$C$8)),'Bonding Program'!$Z$37,0)+IF(AND('Bonding Program'!$P$37&lt;&gt;"",BR$3='Bonding Program'!$P$37,BR$3&lt;='Bonding Program'!$C$8),N('Bonding Program'!$O$37),0)</f>
        <v>0</v>
      </c>
      <c r="BS178" s="19" t="n">
        <f aca="false">IF(AND('Bonding Program'!$S$37=1,'Bonding Program'!$H$37&gt;'Bonding Program'!$C$8,BS$3='Bonding Program'!$H$37),'Bonding Program'!$T$37-'Bonding Program'!$U$37-'Bonding Program'!$Z$37,0)-IF(AND('Bonding Program'!$S$37=1,'Bonding Program'!$H$37&lt;='Bonding Program'!$C$8,BS$3=IF('Bonding Program'!$P$37&lt;&gt;"",'Bonding Program'!$P$37,'Bonding Program'!$C$8)),'Bonding Program'!$Z$37,0)+IF(AND('Bonding Program'!$P$37&lt;&gt;"",BS$3='Bonding Program'!$P$37,BS$3&lt;='Bonding Program'!$C$8),N('Bonding Program'!$O$37),0)</f>
        <v>0</v>
      </c>
      <c r="BT178" s="19" t="n">
        <f aca="false">IF(AND('Bonding Program'!$S$37=1,'Bonding Program'!$H$37&gt;'Bonding Program'!$C$8,BT$3='Bonding Program'!$H$37),'Bonding Program'!$T$37-'Bonding Program'!$U$37-'Bonding Program'!$Z$37,0)-IF(AND('Bonding Program'!$S$37=1,'Bonding Program'!$H$37&lt;='Bonding Program'!$C$8,BT$3=IF('Bonding Program'!$P$37&lt;&gt;"",'Bonding Program'!$P$37,'Bonding Program'!$C$8)),'Bonding Program'!$Z$37,0)+IF(AND('Bonding Program'!$P$37&lt;&gt;"",BT$3='Bonding Program'!$P$37,BT$3&lt;='Bonding Program'!$C$8),N('Bonding Program'!$O$37),0)</f>
        <v>0</v>
      </c>
      <c r="BU178" s="19" t="n">
        <f aca="false">IF(AND('Bonding Program'!$S$37=1,'Bonding Program'!$H$37&gt;'Bonding Program'!$C$8,BU$3='Bonding Program'!$H$37),'Bonding Program'!$T$37-'Bonding Program'!$U$37-'Bonding Program'!$Z$37,0)-IF(AND('Bonding Program'!$S$37=1,'Bonding Program'!$H$37&lt;='Bonding Program'!$C$8,BU$3=IF('Bonding Program'!$P$37&lt;&gt;"",'Bonding Program'!$P$37,'Bonding Program'!$C$8)),'Bonding Program'!$Z$37,0)+IF(AND('Bonding Program'!$P$37&lt;&gt;"",BU$3='Bonding Program'!$P$37,BU$3&lt;='Bonding Program'!$C$8),N('Bonding Program'!$O$37),0)</f>
        <v>0</v>
      </c>
      <c r="BV178" s="19" t="n">
        <f aca="false">IF(AND('Bonding Program'!$S$37=1,'Bonding Program'!$H$37&gt;'Bonding Program'!$C$8,BV$3='Bonding Program'!$H$37),'Bonding Program'!$T$37-'Bonding Program'!$U$37-'Bonding Program'!$Z$37,0)-IF(AND('Bonding Program'!$S$37=1,'Bonding Program'!$H$37&lt;='Bonding Program'!$C$8,BV$3=IF('Bonding Program'!$P$37&lt;&gt;"",'Bonding Program'!$P$37,'Bonding Program'!$C$8)),'Bonding Program'!$Z$37,0)+IF(AND('Bonding Program'!$P$37&lt;&gt;"",BV$3='Bonding Program'!$P$37,BV$3&lt;='Bonding Program'!$C$8),N('Bonding Program'!$O$37),0)</f>
        <v>0</v>
      </c>
      <c r="BW178" s="19" t="n">
        <f aca="false">IF(AND('Bonding Program'!$S$37=1,'Bonding Program'!$H$37&gt;'Bonding Program'!$C$8,BW$3='Bonding Program'!$H$37),'Bonding Program'!$T$37-'Bonding Program'!$U$37-'Bonding Program'!$Z$37,0)-IF(AND('Bonding Program'!$S$37=1,'Bonding Program'!$H$37&lt;='Bonding Program'!$C$8,BW$3=IF('Bonding Program'!$P$37&lt;&gt;"",'Bonding Program'!$P$37,'Bonding Program'!$C$8)),'Bonding Program'!$Z$37,0)+IF(AND('Bonding Program'!$P$37&lt;&gt;"",BW$3='Bonding Program'!$P$37,BW$3&lt;='Bonding Program'!$C$8),N('Bonding Program'!$O$37),0)</f>
        <v>0</v>
      </c>
      <c r="BX178" s="19" t="n">
        <f aca="false">IF(AND('Bonding Program'!$S$37=1,'Bonding Program'!$H$37&gt;'Bonding Program'!$C$8,BX$3='Bonding Program'!$H$37),'Bonding Program'!$T$37-'Bonding Program'!$U$37-'Bonding Program'!$Z$37,0)-IF(AND('Bonding Program'!$S$37=1,'Bonding Program'!$H$37&lt;='Bonding Program'!$C$8,BX$3=IF('Bonding Program'!$P$37&lt;&gt;"",'Bonding Program'!$P$37,'Bonding Program'!$C$8)),'Bonding Program'!$Z$37,0)+IF(AND('Bonding Program'!$P$37&lt;&gt;"",BX$3='Bonding Program'!$P$37,BX$3&lt;='Bonding Program'!$C$8),N('Bonding Program'!$O$37),0)</f>
        <v>0</v>
      </c>
      <c r="BY178" s="19" t="n">
        <f aca="false">IF(AND('Bonding Program'!$S$37=1,'Bonding Program'!$H$37&gt;'Bonding Program'!$C$8,BY$3='Bonding Program'!$H$37),'Bonding Program'!$T$37-'Bonding Program'!$U$37-'Bonding Program'!$Z$37,0)-IF(AND('Bonding Program'!$S$37=1,'Bonding Program'!$H$37&lt;='Bonding Program'!$C$8,BY$3=IF('Bonding Program'!$P$37&lt;&gt;"",'Bonding Program'!$P$37,'Bonding Program'!$C$8)),'Bonding Program'!$Z$37,0)+IF(AND('Bonding Program'!$P$37&lt;&gt;"",BY$3='Bonding Program'!$P$37,BY$3&lt;='Bonding Program'!$C$8),N('Bonding Program'!$O$37),0)</f>
        <v>0</v>
      </c>
      <c r="BZ178" s="19" t="n">
        <f aca="false">IF(AND('Bonding Program'!$S$37=1,'Bonding Program'!$H$37&gt;'Bonding Program'!$C$8,BZ$3='Bonding Program'!$H$37),'Bonding Program'!$T$37-'Bonding Program'!$U$37-'Bonding Program'!$Z$37,0)-IF(AND('Bonding Program'!$S$37=1,'Bonding Program'!$H$37&lt;='Bonding Program'!$C$8,BZ$3=IF('Bonding Program'!$P$37&lt;&gt;"",'Bonding Program'!$P$37,'Bonding Program'!$C$8)),'Bonding Program'!$Z$37,0)+IF(AND('Bonding Program'!$P$37&lt;&gt;"",BZ$3='Bonding Program'!$P$37,BZ$3&lt;='Bonding Program'!$C$8),N('Bonding Program'!$O$37),0)</f>
        <v>0</v>
      </c>
      <c r="CA178" s="19" t="n">
        <f aca="false">IF(AND('Bonding Program'!$S$37=1,'Bonding Program'!$H$37&gt;'Bonding Program'!$C$8,CA$3='Bonding Program'!$H$37),'Bonding Program'!$T$37-'Bonding Program'!$U$37-'Bonding Program'!$Z$37,0)-IF(AND('Bonding Program'!$S$37=1,'Bonding Program'!$H$37&lt;='Bonding Program'!$C$8,CA$3=IF('Bonding Program'!$P$37&lt;&gt;"",'Bonding Program'!$P$37,'Bonding Program'!$C$8)),'Bonding Program'!$Z$37,0)+IF(AND('Bonding Program'!$P$37&lt;&gt;"",CA$3='Bonding Program'!$P$37,CA$3&lt;='Bonding Program'!$C$8),N('Bonding Program'!$O$37),0)</f>
        <v>0</v>
      </c>
      <c r="CB178" s="19" t="n">
        <f aca="false">IF(AND('Bonding Program'!$S$37=1,'Bonding Program'!$H$37&gt;'Bonding Program'!$C$8,CB$3='Bonding Program'!$H$37),'Bonding Program'!$T$37-'Bonding Program'!$U$37-'Bonding Program'!$Z$37,0)-IF(AND('Bonding Program'!$S$37=1,'Bonding Program'!$H$37&lt;='Bonding Program'!$C$8,CB$3=IF('Bonding Program'!$P$37&lt;&gt;"",'Bonding Program'!$P$37,'Bonding Program'!$C$8)),'Bonding Program'!$Z$37,0)+IF(AND('Bonding Program'!$P$37&lt;&gt;"",CB$3='Bonding Program'!$P$37,CB$3&lt;='Bonding Program'!$C$8),N('Bonding Program'!$O$37),0)</f>
        <v>0</v>
      </c>
      <c r="CC178" s="19" t="n">
        <f aca="false">IF(AND('Bonding Program'!$S$37=1,'Bonding Program'!$H$37&gt;'Bonding Program'!$C$8,CC$3='Bonding Program'!$H$37),'Bonding Program'!$T$37-'Bonding Program'!$U$37-'Bonding Program'!$Z$37,0)-IF(AND('Bonding Program'!$S$37=1,'Bonding Program'!$H$37&lt;='Bonding Program'!$C$8,CC$3=IF('Bonding Program'!$P$37&lt;&gt;"",'Bonding Program'!$P$37,'Bonding Program'!$C$8)),'Bonding Program'!$Z$37,0)+IF(AND('Bonding Program'!$P$37&lt;&gt;"",CC$3='Bonding Program'!$P$37,CC$3&lt;='Bonding Program'!$C$8),N('Bonding Program'!$O$37),0)</f>
        <v>0</v>
      </c>
      <c r="CD178" s="19" t="n">
        <f aca="false">IF(AND('Bonding Program'!$S$37=1,'Bonding Program'!$H$37&gt;'Bonding Program'!$C$8,CD$3='Bonding Program'!$H$37),'Bonding Program'!$T$37-'Bonding Program'!$U$37-'Bonding Program'!$Z$37,0)-IF(AND('Bonding Program'!$S$37=1,'Bonding Program'!$H$37&lt;='Bonding Program'!$C$8,CD$3=IF('Bonding Program'!$P$37&lt;&gt;"",'Bonding Program'!$P$37,'Bonding Program'!$C$8)),'Bonding Program'!$Z$37,0)+IF(AND('Bonding Program'!$P$37&lt;&gt;"",CD$3='Bonding Program'!$P$37,CD$3&lt;='Bonding Program'!$C$8),N('Bonding Program'!$O$37),0)</f>
        <v>0</v>
      </c>
      <c r="CE178" s="19" t="n">
        <f aca="false">IF(AND('Bonding Program'!$S$37=1,'Bonding Program'!$H$37&gt;'Bonding Program'!$C$8,CE$3='Bonding Program'!$H$37),'Bonding Program'!$T$37-'Bonding Program'!$U$37-'Bonding Program'!$Z$37,0)-IF(AND('Bonding Program'!$S$37=1,'Bonding Program'!$H$37&lt;='Bonding Program'!$C$8,CE$3=IF('Bonding Program'!$P$37&lt;&gt;"",'Bonding Program'!$P$37,'Bonding Program'!$C$8)),'Bonding Program'!$Z$37,0)+IF(AND('Bonding Program'!$P$37&lt;&gt;"",CE$3='Bonding Program'!$P$37,CE$3&lt;='Bonding Program'!$C$8),N('Bonding Program'!$O$37),0)</f>
        <v>0</v>
      </c>
      <c r="CF178" s="19" t="n">
        <f aca="false">IF(AND('Bonding Program'!$S$37=1,'Bonding Program'!$H$37&gt;'Bonding Program'!$C$8,CF$3='Bonding Program'!$H$37),'Bonding Program'!$T$37-'Bonding Program'!$U$37-'Bonding Program'!$Z$37,0)-IF(AND('Bonding Program'!$S$37=1,'Bonding Program'!$H$37&lt;='Bonding Program'!$C$8,CF$3=IF('Bonding Program'!$P$37&lt;&gt;"",'Bonding Program'!$P$37,'Bonding Program'!$C$8)),'Bonding Program'!$Z$37,0)+IF(AND('Bonding Program'!$P$37&lt;&gt;"",CF$3='Bonding Program'!$P$37,CF$3&lt;='Bonding Program'!$C$8),N('Bonding Program'!$O$37),0)</f>
        <v>0</v>
      </c>
      <c r="CG178" s="19" t="n">
        <f aca="false">IF(AND('Bonding Program'!$S$37=1,'Bonding Program'!$H$37&gt;'Bonding Program'!$C$8,CG$3='Bonding Program'!$H$37),'Bonding Program'!$T$37-'Bonding Program'!$U$37-'Bonding Program'!$Z$37,0)-IF(AND('Bonding Program'!$S$37=1,'Bonding Program'!$H$37&lt;='Bonding Program'!$C$8,CG$3=IF('Bonding Program'!$P$37&lt;&gt;"",'Bonding Program'!$P$37,'Bonding Program'!$C$8)),'Bonding Program'!$Z$37,0)+IF(AND('Bonding Program'!$P$37&lt;&gt;"",CG$3='Bonding Program'!$P$37,CG$3&lt;='Bonding Program'!$C$8),N('Bonding Program'!$O$37),0)</f>
        <v>0</v>
      </c>
      <c r="CH178" s="19" t="n">
        <f aca="false">IF(AND('Bonding Program'!$S$37=1,'Bonding Program'!$H$37&gt;'Bonding Program'!$C$8,CH$3='Bonding Program'!$H$37),'Bonding Program'!$T$37-'Bonding Program'!$U$37-'Bonding Program'!$Z$37,0)-IF(AND('Bonding Program'!$S$37=1,'Bonding Program'!$H$37&lt;='Bonding Program'!$C$8,CH$3=IF('Bonding Program'!$P$37&lt;&gt;"",'Bonding Program'!$P$37,'Bonding Program'!$C$8)),'Bonding Program'!$Z$37,0)+IF(AND('Bonding Program'!$P$37&lt;&gt;"",CH$3='Bonding Program'!$P$37,CH$3&lt;='Bonding Program'!$C$8),N('Bonding Program'!$O$37),0)</f>
        <v>0</v>
      </c>
      <c r="CI178" s="19" t="n">
        <f aca="false">IF(AND('Bonding Program'!$S$37=1,'Bonding Program'!$H$37&gt;'Bonding Program'!$C$8,CI$3='Bonding Program'!$H$37),'Bonding Program'!$T$37-'Bonding Program'!$U$37-'Bonding Program'!$Z$37,0)-IF(AND('Bonding Program'!$S$37=1,'Bonding Program'!$H$37&lt;='Bonding Program'!$C$8,CI$3=IF('Bonding Program'!$P$37&lt;&gt;"",'Bonding Program'!$P$37,'Bonding Program'!$C$8)),'Bonding Program'!$Z$37,0)+IF(AND('Bonding Program'!$P$37&lt;&gt;"",CI$3='Bonding Program'!$P$37,CI$3&lt;='Bonding Program'!$C$8),N('Bonding Program'!$O$37),0)</f>
        <v>0</v>
      </c>
      <c r="CJ178" s="19" t="n">
        <f aca="false">IF(AND('Bonding Program'!$S$37=1,'Bonding Program'!$H$37&gt;'Bonding Program'!$C$8,CJ$3='Bonding Program'!$H$37),'Bonding Program'!$T$37-'Bonding Program'!$U$37-'Bonding Program'!$Z$37,0)-IF(AND('Bonding Program'!$S$37=1,'Bonding Program'!$H$37&lt;='Bonding Program'!$C$8,CJ$3=IF('Bonding Program'!$P$37&lt;&gt;"",'Bonding Program'!$P$37,'Bonding Program'!$C$8)),'Bonding Program'!$Z$37,0)+IF(AND('Bonding Program'!$P$37&lt;&gt;"",CJ$3='Bonding Program'!$P$37,CJ$3&lt;='Bonding Program'!$C$8),N('Bonding Program'!$O$37),0)</f>
        <v>0</v>
      </c>
      <c r="CK178" s="19" t="n">
        <f aca="false">IF(AND('Bonding Program'!$S$37=1,'Bonding Program'!$H$37&gt;'Bonding Program'!$C$8,CK$3='Bonding Program'!$H$37),'Bonding Program'!$T$37-'Bonding Program'!$U$37-'Bonding Program'!$Z$37,0)-IF(AND('Bonding Program'!$S$37=1,'Bonding Program'!$H$37&lt;='Bonding Program'!$C$8,CK$3=IF('Bonding Program'!$P$37&lt;&gt;"",'Bonding Program'!$P$37,'Bonding Program'!$C$8)),'Bonding Program'!$Z$37,0)+IF(AND('Bonding Program'!$P$37&lt;&gt;"",CK$3='Bonding Program'!$P$37,CK$3&lt;='Bonding Program'!$C$8),N('Bonding Program'!$O$37),0)</f>
        <v>0</v>
      </c>
      <c r="CL178" s="19" t="n">
        <f aca="false">IF(AND('Bonding Program'!$S$37=1,'Bonding Program'!$H$37&gt;'Bonding Program'!$C$8,CL$3='Bonding Program'!$H$37),'Bonding Program'!$T$37-'Bonding Program'!$U$37-'Bonding Program'!$Z$37,0)-IF(AND('Bonding Program'!$S$37=1,'Bonding Program'!$H$37&lt;='Bonding Program'!$C$8,CL$3=IF('Bonding Program'!$P$37&lt;&gt;"",'Bonding Program'!$P$37,'Bonding Program'!$C$8)),'Bonding Program'!$Z$37,0)+IF(AND('Bonding Program'!$P$37&lt;&gt;"",CL$3='Bonding Program'!$P$37,CL$3&lt;='Bonding Program'!$C$8),N('Bonding Program'!$O$37),0)</f>
        <v>0</v>
      </c>
      <c r="CM178" s="19" t="n">
        <f aca="false">IF(AND('Bonding Program'!$S$37=1,'Bonding Program'!$H$37&gt;'Bonding Program'!$C$8,CM$3='Bonding Program'!$H$37),'Bonding Program'!$T$37-'Bonding Program'!$U$37-'Bonding Program'!$Z$37,0)-IF(AND('Bonding Program'!$S$37=1,'Bonding Program'!$H$37&lt;='Bonding Program'!$C$8,CM$3=IF('Bonding Program'!$P$37&lt;&gt;"",'Bonding Program'!$P$37,'Bonding Program'!$C$8)),'Bonding Program'!$Z$37,0)+IF(AND('Bonding Program'!$P$37&lt;&gt;"",CM$3='Bonding Program'!$P$37,CM$3&lt;='Bonding Program'!$C$8),N('Bonding Program'!$O$37),0)</f>
        <v>0</v>
      </c>
      <c r="CN178" s="19" t="n">
        <f aca="false">IF(AND('Bonding Program'!$S$37=1,'Bonding Program'!$H$37&gt;'Bonding Program'!$C$8,CN$3='Bonding Program'!$H$37),'Bonding Program'!$T$37-'Bonding Program'!$U$37-'Bonding Program'!$Z$37,0)-IF(AND('Bonding Program'!$S$37=1,'Bonding Program'!$H$37&lt;='Bonding Program'!$C$8,CN$3=IF('Bonding Program'!$P$37&lt;&gt;"",'Bonding Program'!$P$37,'Bonding Program'!$C$8)),'Bonding Program'!$Z$37,0)+IF(AND('Bonding Program'!$P$37&lt;&gt;"",CN$3='Bonding Program'!$P$37,CN$3&lt;='Bonding Program'!$C$8),N('Bonding Program'!$O$37),0)</f>
        <v>0</v>
      </c>
      <c r="CO178" s="19" t="n">
        <f aca="false">IF(AND('Bonding Program'!$S$37=1,'Bonding Program'!$H$37&gt;'Bonding Program'!$C$8,CO$3='Bonding Program'!$H$37),'Bonding Program'!$T$37-'Bonding Program'!$U$37-'Bonding Program'!$Z$37,0)-IF(AND('Bonding Program'!$S$37=1,'Bonding Program'!$H$37&lt;='Bonding Program'!$C$8,CO$3=IF('Bonding Program'!$P$37&lt;&gt;"",'Bonding Program'!$P$37,'Bonding Program'!$C$8)),'Bonding Program'!$Z$37,0)+IF(AND('Bonding Program'!$P$37&lt;&gt;"",CO$3='Bonding Program'!$P$37,CO$3&lt;='Bonding Program'!$C$8),N('Bonding Program'!$O$37),0)</f>
        <v>0</v>
      </c>
      <c r="CP178" s="19" t="n">
        <f aca="false">IF(AND('Bonding Program'!$S$37=1,'Bonding Program'!$H$37&gt;'Bonding Program'!$C$8,CP$3='Bonding Program'!$H$37),'Bonding Program'!$T$37-'Bonding Program'!$U$37-'Bonding Program'!$Z$37,0)-IF(AND('Bonding Program'!$S$37=1,'Bonding Program'!$H$37&lt;='Bonding Program'!$C$8,CP$3=IF('Bonding Program'!$P$37&lt;&gt;"",'Bonding Program'!$P$37,'Bonding Program'!$C$8)),'Bonding Program'!$Z$37,0)+IF(AND('Bonding Program'!$P$37&lt;&gt;"",CP$3='Bonding Program'!$P$37,CP$3&lt;='Bonding Program'!$C$8),N('Bonding Program'!$O$37),0)</f>
        <v>0</v>
      </c>
      <c r="CQ178" s="19" t="n">
        <f aca="false">IF(AND('Bonding Program'!$S$37=1,'Bonding Program'!$H$37&gt;'Bonding Program'!$C$8,CQ$3='Bonding Program'!$H$37),'Bonding Program'!$T$37-'Bonding Program'!$U$37-'Bonding Program'!$Z$37,0)-IF(AND('Bonding Program'!$S$37=1,'Bonding Program'!$H$37&lt;='Bonding Program'!$C$8,CQ$3=IF('Bonding Program'!$P$37&lt;&gt;"",'Bonding Program'!$P$37,'Bonding Program'!$C$8)),'Bonding Program'!$Z$37,0)+IF(AND('Bonding Program'!$P$37&lt;&gt;"",CQ$3='Bonding Program'!$P$37,CQ$3&lt;='Bonding Program'!$C$8),N('Bonding Program'!$O$37),0)</f>
        <v>0</v>
      </c>
      <c r="CR178" s="19" t="n">
        <f aca="false">IF(AND('Bonding Program'!$S$37=1,'Bonding Program'!$H$37&gt;'Bonding Program'!$C$8,CR$3='Bonding Program'!$H$37),'Bonding Program'!$T$37-'Bonding Program'!$U$37-'Bonding Program'!$Z$37,0)-IF(AND('Bonding Program'!$S$37=1,'Bonding Program'!$H$37&lt;='Bonding Program'!$C$8,CR$3=IF('Bonding Program'!$P$37&lt;&gt;"",'Bonding Program'!$P$37,'Bonding Program'!$C$8)),'Bonding Program'!$Z$37,0)+IF(AND('Bonding Program'!$P$37&lt;&gt;"",CR$3='Bonding Program'!$P$37,CR$3&lt;='Bonding Program'!$C$8),N('Bonding Program'!$O$37),0)</f>
        <v>0</v>
      </c>
      <c r="CS178" s="19" t="n">
        <f aca="false">IF(AND('Bonding Program'!$S$37=1,'Bonding Program'!$H$37&gt;'Bonding Program'!$C$8,CS$3='Bonding Program'!$H$37),'Bonding Program'!$T$37-'Bonding Program'!$U$37-'Bonding Program'!$Z$37,0)-IF(AND('Bonding Program'!$S$37=1,'Bonding Program'!$H$37&lt;='Bonding Program'!$C$8,CS$3=IF('Bonding Program'!$P$37&lt;&gt;"",'Bonding Program'!$P$37,'Bonding Program'!$C$8)),'Bonding Program'!$Z$37,0)+IF(AND('Bonding Program'!$P$37&lt;&gt;"",CS$3='Bonding Program'!$P$37,CS$3&lt;='Bonding Program'!$C$8),N('Bonding Program'!$O$37),0)</f>
        <v>0</v>
      </c>
      <c r="CT178" s="19" t="n">
        <f aca="false">IF(AND('Bonding Program'!$S$37=1,'Bonding Program'!$H$37&gt;'Bonding Program'!$C$8,CT$3='Bonding Program'!$H$37),'Bonding Program'!$T$37-'Bonding Program'!$U$37-'Bonding Program'!$Z$37,0)-IF(AND('Bonding Program'!$S$37=1,'Bonding Program'!$H$37&lt;='Bonding Program'!$C$8,CT$3=IF('Bonding Program'!$P$37&lt;&gt;"",'Bonding Program'!$P$37,'Bonding Program'!$C$8)),'Bonding Program'!$Z$37,0)+IF(AND('Bonding Program'!$P$37&lt;&gt;"",CT$3='Bonding Program'!$P$37,CT$3&lt;='Bonding Program'!$C$8),N('Bonding Program'!$O$37),0)</f>
        <v>0</v>
      </c>
      <c r="CU178" s="19" t="n">
        <f aca="false">IF(AND('Bonding Program'!$S$37=1,'Bonding Program'!$H$37&gt;'Bonding Program'!$C$8,CU$3='Bonding Program'!$H$37),'Bonding Program'!$T$37-'Bonding Program'!$U$37-'Bonding Program'!$Z$37,0)-IF(AND('Bonding Program'!$S$37=1,'Bonding Program'!$H$37&lt;='Bonding Program'!$C$8,CU$3=IF('Bonding Program'!$P$37&lt;&gt;"",'Bonding Program'!$P$37,'Bonding Program'!$C$8)),'Bonding Program'!$Z$37,0)+IF(AND('Bonding Program'!$P$37&lt;&gt;"",CU$3='Bonding Program'!$P$37,CU$3&lt;='Bonding Program'!$C$8),N('Bonding Program'!$O$37),0)</f>
        <v>0</v>
      </c>
      <c r="CV178" s="19" t="n">
        <f aca="false">IF(AND('Bonding Program'!$S$37=1,'Bonding Program'!$H$37&gt;'Bonding Program'!$C$8,CV$3='Bonding Program'!$H$37),'Bonding Program'!$T$37-'Bonding Program'!$U$37-'Bonding Program'!$Z$37,0)-IF(AND('Bonding Program'!$S$37=1,'Bonding Program'!$H$37&lt;='Bonding Program'!$C$8,CV$3=IF('Bonding Program'!$P$37&lt;&gt;"",'Bonding Program'!$P$37,'Bonding Program'!$C$8)),'Bonding Program'!$Z$37,0)+IF(AND('Bonding Program'!$P$37&lt;&gt;"",CV$3='Bonding Program'!$P$37,CV$3&lt;='Bonding Program'!$C$8),N('Bonding Program'!$O$37),0)</f>
        <v>0</v>
      </c>
      <c r="CW178" s="19" t="n">
        <f aca="false">IF(AND('Bonding Program'!$S$37=1,'Bonding Program'!$H$37&gt;'Bonding Program'!$C$8,CW$3='Bonding Program'!$H$37),'Bonding Program'!$T$37-'Bonding Program'!$U$37-'Bonding Program'!$Z$37,0)-IF(AND('Bonding Program'!$S$37=1,'Bonding Program'!$H$37&lt;='Bonding Program'!$C$8,CW$3=IF('Bonding Program'!$P$37&lt;&gt;"",'Bonding Program'!$P$37,'Bonding Program'!$C$8)),'Bonding Program'!$Z$37,0)+IF(AND('Bonding Program'!$P$37&lt;&gt;"",CW$3='Bonding Program'!$P$37,CW$3&lt;='Bonding Program'!$C$8),N('Bonding Program'!$O$37),0)</f>
        <v>0</v>
      </c>
      <c r="CX178" s="19" t="n">
        <f aca="false">IF(AND('Bonding Program'!$S$37=1,'Bonding Program'!$H$37&gt;'Bonding Program'!$C$8,CX$3='Bonding Program'!$H$37),'Bonding Program'!$T$37-'Bonding Program'!$U$37-'Bonding Program'!$Z$37,0)-IF(AND('Bonding Program'!$S$37=1,'Bonding Program'!$H$37&lt;='Bonding Program'!$C$8,CX$3=IF('Bonding Program'!$P$37&lt;&gt;"",'Bonding Program'!$P$37,'Bonding Program'!$C$8)),'Bonding Program'!$Z$37,0)+IF(AND('Bonding Program'!$P$37&lt;&gt;"",CX$3='Bonding Program'!$P$37,CX$3&lt;='Bonding Program'!$C$8),N('Bonding Program'!$O$37),0)</f>
        <v>0</v>
      </c>
      <c r="CY178" s="19" t="n">
        <f aca="false">IF(AND('Bonding Program'!$S$37=1,'Bonding Program'!$H$37&gt;'Bonding Program'!$C$8,CY$3='Bonding Program'!$H$37),'Bonding Program'!$T$37-'Bonding Program'!$U$37-'Bonding Program'!$Z$37,0)-IF(AND('Bonding Program'!$S$37=1,'Bonding Program'!$H$37&lt;='Bonding Program'!$C$8,CY$3=IF('Bonding Program'!$P$37&lt;&gt;"",'Bonding Program'!$P$37,'Bonding Program'!$C$8)),'Bonding Program'!$Z$37,0)+IF(AND('Bonding Program'!$P$37&lt;&gt;"",CY$3='Bonding Program'!$P$37,CY$3&lt;='Bonding Program'!$C$8),N('Bonding Program'!$O$37),0)</f>
        <v>0</v>
      </c>
      <c r="CZ178" s="19" t="n">
        <f aca="false">IF(AND('Bonding Program'!$S$37=1,'Bonding Program'!$H$37&gt;'Bonding Program'!$C$8,CZ$3='Bonding Program'!$H$37),'Bonding Program'!$T$37-'Bonding Program'!$U$37-'Bonding Program'!$Z$37,0)-IF(AND('Bonding Program'!$S$37=1,'Bonding Program'!$H$37&lt;='Bonding Program'!$C$8,CZ$3=IF('Bonding Program'!$P$37&lt;&gt;"",'Bonding Program'!$P$37,'Bonding Program'!$C$8)),'Bonding Program'!$Z$37,0)+IF(AND('Bonding Program'!$P$37&lt;&gt;"",CZ$3='Bonding Program'!$P$37,CZ$3&lt;='Bonding Program'!$C$8),N('Bonding Program'!$O$37),0)</f>
        <v>0</v>
      </c>
      <c r="DA178" s="19" t="n">
        <f aca="false">IF(AND('Bonding Program'!$S$37=1,'Bonding Program'!$H$37&gt;'Bonding Program'!$C$8,DA$3='Bonding Program'!$H$37),'Bonding Program'!$T$37-'Bonding Program'!$U$37-'Bonding Program'!$Z$37,0)-IF(AND('Bonding Program'!$S$37=1,'Bonding Program'!$H$37&lt;='Bonding Program'!$C$8,DA$3=IF('Bonding Program'!$P$37&lt;&gt;"",'Bonding Program'!$P$37,'Bonding Program'!$C$8)),'Bonding Program'!$Z$37,0)+IF(AND('Bonding Program'!$P$37&lt;&gt;"",DA$3='Bonding Program'!$P$37,DA$3&lt;='Bonding Program'!$C$8),N('Bonding Program'!$O$37),0)</f>
        <v>0</v>
      </c>
      <c r="DB178" s="19" t="n">
        <f aca="false">IF(AND('Bonding Program'!$S$37=1,'Bonding Program'!$H$37&gt;'Bonding Program'!$C$8,DB$3='Bonding Program'!$H$37),'Bonding Program'!$T$37-'Bonding Program'!$U$37-'Bonding Program'!$Z$37,0)-IF(AND('Bonding Program'!$S$37=1,'Bonding Program'!$H$37&lt;='Bonding Program'!$C$8,DB$3=IF('Bonding Program'!$P$37&lt;&gt;"",'Bonding Program'!$P$37,'Bonding Program'!$C$8)),'Bonding Program'!$Z$37,0)+IF(AND('Bonding Program'!$P$37&lt;&gt;"",DB$3='Bonding Program'!$P$37,DB$3&lt;='Bonding Program'!$C$8),N('Bonding Program'!$O$37),0)</f>
        <v>0</v>
      </c>
      <c r="DC178" s="19" t="n">
        <f aca="false">IF(AND('Bonding Program'!$S$37=1,'Bonding Program'!$H$37&gt;'Bonding Program'!$C$8,DC$3='Bonding Program'!$H$37),'Bonding Program'!$T$37-'Bonding Program'!$U$37-'Bonding Program'!$Z$37,0)-IF(AND('Bonding Program'!$S$37=1,'Bonding Program'!$H$37&lt;='Bonding Program'!$C$8,DC$3=IF('Bonding Program'!$P$37&lt;&gt;"",'Bonding Program'!$P$37,'Bonding Program'!$C$8)),'Bonding Program'!$Z$37,0)+IF(AND('Bonding Program'!$P$37&lt;&gt;"",DC$3='Bonding Program'!$P$37,DC$3&lt;='Bonding Program'!$C$8),N('Bonding Program'!$O$37),0)</f>
        <v>0</v>
      </c>
      <c r="DD178" s="19" t="n">
        <f aca="false">IF(AND('Bonding Program'!$S$37=1,'Bonding Program'!$H$37&gt;'Bonding Program'!$C$8,DD$3='Bonding Program'!$H$37),'Bonding Program'!$T$37-'Bonding Program'!$U$37-'Bonding Program'!$Z$37,0)-IF(AND('Bonding Program'!$S$37=1,'Bonding Program'!$H$37&lt;='Bonding Program'!$C$8,DD$3=IF('Bonding Program'!$P$37&lt;&gt;"",'Bonding Program'!$P$37,'Bonding Program'!$C$8)),'Bonding Program'!$Z$37,0)+IF(AND('Bonding Program'!$P$37&lt;&gt;"",DD$3='Bonding Program'!$P$37,DD$3&lt;='Bonding Program'!$C$8),N('Bonding Program'!$O$37),0)</f>
        <v>0</v>
      </c>
      <c r="DE178" s="19" t="n">
        <f aca="false">IF(AND('Bonding Program'!$S$37=1,'Bonding Program'!$H$37&gt;'Bonding Program'!$C$8,DE$3='Bonding Program'!$H$37),'Bonding Program'!$T$37-'Bonding Program'!$U$37-'Bonding Program'!$Z$37,0)-IF(AND('Bonding Program'!$S$37=1,'Bonding Program'!$H$37&lt;='Bonding Program'!$C$8,DE$3=IF('Bonding Program'!$P$37&lt;&gt;"",'Bonding Program'!$P$37,'Bonding Program'!$C$8)),'Bonding Program'!$Z$37,0)+IF(AND('Bonding Program'!$P$37&lt;&gt;"",DE$3='Bonding Program'!$P$37,DE$3&lt;='Bonding Program'!$C$8),N('Bonding Program'!$O$37),0)</f>
        <v>0</v>
      </c>
    </row>
    <row r="179" customFormat="false" ht="15" hidden="false" customHeight="true" outlineLevel="1" collapsed="false">
      <c r="A179" s="28" t="s">
        <v>34</v>
      </c>
      <c r="B179" s="19" t="n">
        <f aca="false">IF(AND('Bonding Program'!$S$38=1,'Bonding Program'!$H$38&gt;'Bonding Program'!$C$8,B$3='Bonding Program'!$H$38),'Bonding Program'!$T$38-'Bonding Program'!$U$38-'Bonding Program'!$Z$38,0)-IF(AND('Bonding Program'!$S$38=1,'Bonding Program'!$H$38&lt;='Bonding Program'!$C$8,B$3=IF('Bonding Program'!$P$38&lt;&gt;"",'Bonding Program'!$P$38,'Bonding Program'!$C$8)),'Bonding Program'!$Z$38,0)+IF(AND('Bonding Program'!$P$38&lt;&gt;"",B$3='Bonding Program'!$P$38,B$3&lt;='Bonding Program'!$C$8),N('Bonding Program'!$O$38),0)</f>
        <v>0</v>
      </c>
      <c r="C179" s="19" t="n">
        <f aca="false">IF(AND('Bonding Program'!$S$38=1,'Bonding Program'!$H$38&gt;'Bonding Program'!$C$8,C$3='Bonding Program'!$H$38),'Bonding Program'!$T$38-'Bonding Program'!$U$38-'Bonding Program'!$Z$38,0)-IF(AND('Bonding Program'!$S$38=1,'Bonding Program'!$H$38&lt;='Bonding Program'!$C$8,C$3=IF('Bonding Program'!$P$38&lt;&gt;"",'Bonding Program'!$P$38,'Bonding Program'!$C$8)),'Bonding Program'!$Z$38,0)+IF(AND('Bonding Program'!$P$38&lt;&gt;"",C$3='Bonding Program'!$P$38,C$3&lt;='Bonding Program'!$C$8),N('Bonding Program'!$O$38),0)</f>
        <v>0</v>
      </c>
      <c r="D179" s="19" t="n">
        <f aca="false">IF(AND('Bonding Program'!$S$38=1,'Bonding Program'!$H$38&gt;'Bonding Program'!$C$8,D$3='Bonding Program'!$H$38),'Bonding Program'!$T$38-'Bonding Program'!$U$38-'Bonding Program'!$Z$38,0)-IF(AND('Bonding Program'!$S$38=1,'Bonding Program'!$H$38&lt;='Bonding Program'!$C$8,D$3=IF('Bonding Program'!$P$38&lt;&gt;"",'Bonding Program'!$P$38,'Bonding Program'!$C$8)),'Bonding Program'!$Z$38,0)+IF(AND('Bonding Program'!$P$38&lt;&gt;"",D$3='Bonding Program'!$P$38,D$3&lt;='Bonding Program'!$C$8),N('Bonding Program'!$O$38),0)</f>
        <v>0</v>
      </c>
      <c r="E179" s="19" t="n">
        <f aca="false">IF(AND('Bonding Program'!$S$38=1,'Bonding Program'!$H$38&gt;'Bonding Program'!$C$8,E$3='Bonding Program'!$H$38),'Bonding Program'!$T$38-'Bonding Program'!$U$38-'Bonding Program'!$Z$38,0)-IF(AND('Bonding Program'!$S$38=1,'Bonding Program'!$H$38&lt;='Bonding Program'!$C$8,E$3=IF('Bonding Program'!$P$38&lt;&gt;"",'Bonding Program'!$P$38,'Bonding Program'!$C$8)),'Bonding Program'!$Z$38,0)+IF(AND('Bonding Program'!$P$38&lt;&gt;"",E$3='Bonding Program'!$P$38,E$3&lt;='Bonding Program'!$C$8),N('Bonding Program'!$O$38),0)</f>
        <v>0</v>
      </c>
      <c r="F179" s="19" t="n">
        <f aca="false">IF(AND('Bonding Program'!$S$38=1,'Bonding Program'!$H$38&gt;'Bonding Program'!$C$8,F$3='Bonding Program'!$H$38),'Bonding Program'!$T$38-'Bonding Program'!$U$38-'Bonding Program'!$Z$38,0)-IF(AND('Bonding Program'!$S$38=1,'Bonding Program'!$H$38&lt;='Bonding Program'!$C$8,F$3=IF('Bonding Program'!$P$38&lt;&gt;"",'Bonding Program'!$P$38,'Bonding Program'!$C$8)),'Bonding Program'!$Z$38,0)+IF(AND('Bonding Program'!$P$38&lt;&gt;"",F$3='Bonding Program'!$P$38,F$3&lt;='Bonding Program'!$C$8),N('Bonding Program'!$O$38),0)</f>
        <v>0</v>
      </c>
      <c r="G179" s="19" t="n">
        <f aca="false">IF(AND('Bonding Program'!$S$38=1,'Bonding Program'!$H$38&gt;'Bonding Program'!$C$8,G$3='Bonding Program'!$H$38),'Bonding Program'!$T$38-'Bonding Program'!$U$38-'Bonding Program'!$Z$38,0)-IF(AND('Bonding Program'!$S$38=1,'Bonding Program'!$H$38&lt;='Bonding Program'!$C$8,G$3=IF('Bonding Program'!$P$38&lt;&gt;"",'Bonding Program'!$P$38,'Bonding Program'!$C$8)),'Bonding Program'!$Z$38,0)+IF(AND('Bonding Program'!$P$38&lt;&gt;"",G$3='Bonding Program'!$P$38,G$3&lt;='Bonding Program'!$C$8),N('Bonding Program'!$O$38),0)</f>
        <v>0</v>
      </c>
      <c r="H179" s="19" t="n">
        <f aca="false">IF(AND('Bonding Program'!$S$38=1,'Bonding Program'!$H$38&gt;'Bonding Program'!$C$8,H$3='Bonding Program'!$H$38),'Bonding Program'!$T$38-'Bonding Program'!$U$38-'Bonding Program'!$Z$38,0)-IF(AND('Bonding Program'!$S$38=1,'Bonding Program'!$H$38&lt;='Bonding Program'!$C$8,H$3=IF('Bonding Program'!$P$38&lt;&gt;"",'Bonding Program'!$P$38,'Bonding Program'!$C$8)),'Bonding Program'!$Z$38,0)+IF(AND('Bonding Program'!$P$38&lt;&gt;"",H$3='Bonding Program'!$P$38,H$3&lt;='Bonding Program'!$C$8),N('Bonding Program'!$O$38),0)</f>
        <v>0</v>
      </c>
      <c r="I179" s="19" t="n">
        <f aca="false">IF(AND('Bonding Program'!$S$38=1,'Bonding Program'!$H$38&gt;'Bonding Program'!$C$8,I$3='Bonding Program'!$H$38),'Bonding Program'!$T$38-'Bonding Program'!$U$38-'Bonding Program'!$Z$38,0)-IF(AND('Bonding Program'!$S$38=1,'Bonding Program'!$H$38&lt;='Bonding Program'!$C$8,I$3=IF('Bonding Program'!$P$38&lt;&gt;"",'Bonding Program'!$P$38,'Bonding Program'!$C$8)),'Bonding Program'!$Z$38,0)+IF(AND('Bonding Program'!$P$38&lt;&gt;"",I$3='Bonding Program'!$P$38,I$3&lt;='Bonding Program'!$C$8),N('Bonding Program'!$O$38),0)</f>
        <v>0</v>
      </c>
      <c r="J179" s="19" t="n">
        <f aca="false">IF(AND('Bonding Program'!$S$38=1,'Bonding Program'!$H$38&gt;'Bonding Program'!$C$8,J$3='Bonding Program'!$H$38),'Bonding Program'!$T$38-'Bonding Program'!$U$38-'Bonding Program'!$Z$38,0)-IF(AND('Bonding Program'!$S$38=1,'Bonding Program'!$H$38&lt;='Bonding Program'!$C$8,J$3=IF('Bonding Program'!$P$38&lt;&gt;"",'Bonding Program'!$P$38,'Bonding Program'!$C$8)),'Bonding Program'!$Z$38,0)+IF(AND('Bonding Program'!$P$38&lt;&gt;"",J$3='Bonding Program'!$P$38,J$3&lt;='Bonding Program'!$C$8),N('Bonding Program'!$O$38),0)</f>
        <v>0</v>
      </c>
      <c r="K179" s="19" t="n">
        <f aca="false">IF(AND('Bonding Program'!$S$38=1,'Bonding Program'!$H$38&gt;'Bonding Program'!$C$8,K$3='Bonding Program'!$H$38),'Bonding Program'!$T$38-'Bonding Program'!$U$38-'Bonding Program'!$Z$38,0)-IF(AND('Bonding Program'!$S$38=1,'Bonding Program'!$H$38&lt;='Bonding Program'!$C$8,K$3=IF('Bonding Program'!$P$38&lt;&gt;"",'Bonding Program'!$P$38,'Bonding Program'!$C$8)),'Bonding Program'!$Z$38,0)+IF(AND('Bonding Program'!$P$38&lt;&gt;"",K$3='Bonding Program'!$P$38,K$3&lt;='Bonding Program'!$C$8),N('Bonding Program'!$O$38),0)</f>
        <v>0</v>
      </c>
      <c r="L179" s="19" t="n">
        <f aca="false">IF(AND('Bonding Program'!$S$38=1,'Bonding Program'!$H$38&gt;'Bonding Program'!$C$8,L$3='Bonding Program'!$H$38),'Bonding Program'!$T$38-'Bonding Program'!$U$38-'Bonding Program'!$Z$38,0)-IF(AND('Bonding Program'!$S$38=1,'Bonding Program'!$H$38&lt;='Bonding Program'!$C$8,L$3=IF('Bonding Program'!$P$38&lt;&gt;"",'Bonding Program'!$P$38,'Bonding Program'!$C$8)),'Bonding Program'!$Z$38,0)+IF(AND('Bonding Program'!$P$38&lt;&gt;"",L$3='Bonding Program'!$P$38,L$3&lt;='Bonding Program'!$C$8),N('Bonding Program'!$O$38),0)</f>
        <v>0</v>
      </c>
      <c r="M179" s="19" t="n">
        <f aca="false">IF(AND('Bonding Program'!$S$38=1,'Bonding Program'!$H$38&gt;'Bonding Program'!$C$8,M$3='Bonding Program'!$H$38),'Bonding Program'!$T$38-'Bonding Program'!$U$38-'Bonding Program'!$Z$38,0)-IF(AND('Bonding Program'!$S$38=1,'Bonding Program'!$H$38&lt;='Bonding Program'!$C$8,M$3=IF('Bonding Program'!$P$38&lt;&gt;"",'Bonding Program'!$P$38,'Bonding Program'!$C$8)),'Bonding Program'!$Z$38,0)+IF(AND('Bonding Program'!$P$38&lt;&gt;"",M$3='Bonding Program'!$P$38,M$3&lt;='Bonding Program'!$C$8),N('Bonding Program'!$O$38),0)</f>
        <v>0</v>
      </c>
      <c r="N179" s="19" t="n">
        <f aca="false">IF(AND('Bonding Program'!$S$38=1,'Bonding Program'!$H$38&gt;'Bonding Program'!$C$8,N$3='Bonding Program'!$H$38),'Bonding Program'!$T$38-'Bonding Program'!$U$38-'Bonding Program'!$Z$38,0)-IF(AND('Bonding Program'!$S$38=1,'Bonding Program'!$H$38&lt;='Bonding Program'!$C$8,N$3=IF('Bonding Program'!$P$38&lt;&gt;"",'Bonding Program'!$P$38,'Bonding Program'!$C$8)),'Bonding Program'!$Z$38,0)+IF(AND('Bonding Program'!$P$38&lt;&gt;"",N$3='Bonding Program'!$P$38,N$3&lt;='Bonding Program'!$C$8),N('Bonding Program'!$O$38),0)</f>
        <v>0</v>
      </c>
      <c r="O179" s="19" t="n">
        <f aca="false">IF(AND('Bonding Program'!$S$38=1,'Bonding Program'!$H$38&gt;'Bonding Program'!$C$8,O$3='Bonding Program'!$H$38),'Bonding Program'!$T$38-'Bonding Program'!$U$38-'Bonding Program'!$Z$38,0)-IF(AND('Bonding Program'!$S$38=1,'Bonding Program'!$H$38&lt;='Bonding Program'!$C$8,O$3=IF('Bonding Program'!$P$38&lt;&gt;"",'Bonding Program'!$P$38,'Bonding Program'!$C$8)),'Bonding Program'!$Z$38,0)+IF(AND('Bonding Program'!$P$38&lt;&gt;"",O$3='Bonding Program'!$P$38,O$3&lt;='Bonding Program'!$C$8),N('Bonding Program'!$O$38),0)</f>
        <v>0</v>
      </c>
      <c r="P179" s="19" t="n">
        <f aca="false">IF(AND('Bonding Program'!$S$38=1,'Bonding Program'!$H$38&gt;'Bonding Program'!$C$8,P$3='Bonding Program'!$H$38),'Bonding Program'!$T$38-'Bonding Program'!$U$38-'Bonding Program'!$Z$38,0)-IF(AND('Bonding Program'!$S$38=1,'Bonding Program'!$H$38&lt;='Bonding Program'!$C$8,P$3=IF('Bonding Program'!$P$38&lt;&gt;"",'Bonding Program'!$P$38,'Bonding Program'!$C$8)),'Bonding Program'!$Z$38,0)+IF(AND('Bonding Program'!$P$38&lt;&gt;"",P$3='Bonding Program'!$P$38,P$3&lt;='Bonding Program'!$C$8),N('Bonding Program'!$O$38),0)</f>
        <v>0</v>
      </c>
      <c r="Q179" s="19" t="n">
        <f aca="false">IF(AND('Bonding Program'!$S$38=1,'Bonding Program'!$H$38&gt;'Bonding Program'!$C$8,Q$3='Bonding Program'!$H$38),'Bonding Program'!$T$38-'Bonding Program'!$U$38-'Bonding Program'!$Z$38,0)-IF(AND('Bonding Program'!$S$38=1,'Bonding Program'!$H$38&lt;='Bonding Program'!$C$8,Q$3=IF('Bonding Program'!$P$38&lt;&gt;"",'Bonding Program'!$P$38,'Bonding Program'!$C$8)),'Bonding Program'!$Z$38,0)+IF(AND('Bonding Program'!$P$38&lt;&gt;"",Q$3='Bonding Program'!$P$38,Q$3&lt;='Bonding Program'!$C$8),N('Bonding Program'!$O$38),0)</f>
        <v>0</v>
      </c>
      <c r="R179" s="19" t="n">
        <f aca="false">IF(AND('Bonding Program'!$S$38=1,'Bonding Program'!$H$38&gt;'Bonding Program'!$C$8,R$3='Bonding Program'!$H$38),'Bonding Program'!$T$38-'Bonding Program'!$U$38-'Bonding Program'!$Z$38,0)-IF(AND('Bonding Program'!$S$38=1,'Bonding Program'!$H$38&lt;='Bonding Program'!$C$8,R$3=IF('Bonding Program'!$P$38&lt;&gt;"",'Bonding Program'!$P$38,'Bonding Program'!$C$8)),'Bonding Program'!$Z$38,0)+IF(AND('Bonding Program'!$P$38&lt;&gt;"",R$3='Bonding Program'!$P$38,R$3&lt;='Bonding Program'!$C$8),N('Bonding Program'!$O$38),0)</f>
        <v>0</v>
      </c>
      <c r="S179" s="19" t="n">
        <f aca="false">IF(AND('Bonding Program'!$S$38=1,'Bonding Program'!$H$38&gt;'Bonding Program'!$C$8,S$3='Bonding Program'!$H$38),'Bonding Program'!$T$38-'Bonding Program'!$U$38-'Bonding Program'!$Z$38,0)-IF(AND('Bonding Program'!$S$38=1,'Bonding Program'!$H$38&lt;='Bonding Program'!$C$8,S$3=IF('Bonding Program'!$P$38&lt;&gt;"",'Bonding Program'!$P$38,'Bonding Program'!$C$8)),'Bonding Program'!$Z$38,0)+IF(AND('Bonding Program'!$P$38&lt;&gt;"",S$3='Bonding Program'!$P$38,S$3&lt;='Bonding Program'!$C$8),N('Bonding Program'!$O$38),0)</f>
        <v>0</v>
      </c>
      <c r="T179" s="19" t="n">
        <f aca="false">IF(AND('Bonding Program'!$S$38=1,'Bonding Program'!$H$38&gt;'Bonding Program'!$C$8,T$3='Bonding Program'!$H$38),'Bonding Program'!$T$38-'Bonding Program'!$U$38-'Bonding Program'!$Z$38,0)-IF(AND('Bonding Program'!$S$38=1,'Bonding Program'!$H$38&lt;='Bonding Program'!$C$8,T$3=IF('Bonding Program'!$P$38&lt;&gt;"",'Bonding Program'!$P$38,'Bonding Program'!$C$8)),'Bonding Program'!$Z$38,0)+IF(AND('Bonding Program'!$P$38&lt;&gt;"",T$3='Bonding Program'!$P$38,T$3&lt;='Bonding Program'!$C$8),N('Bonding Program'!$O$38),0)</f>
        <v>0</v>
      </c>
      <c r="U179" s="19" t="n">
        <f aca="false">IF(AND('Bonding Program'!$S$38=1,'Bonding Program'!$H$38&gt;'Bonding Program'!$C$8,U$3='Bonding Program'!$H$38),'Bonding Program'!$T$38-'Bonding Program'!$U$38-'Bonding Program'!$Z$38,0)-IF(AND('Bonding Program'!$S$38=1,'Bonding Program'!$H$38&lt;='Bonding Program'!$C$8,U$3=IF('Bonding Program'!$P$38&lt;&gt;"",'Bonding Program'!$P$38,'Bonding Program'!$C$8)),'Bonding Program'!$Z$38,0)+IF(AND('Bonding Program'!$P$38&lt;&gt;"",U$3='Bonding Program'!$P$38,U$3&lt;='Bonding Program'!$C$8),N('Bonding Program'!$O$38),0)</f>
        <v>0</v>
      </c>
      <c r="V179" s="19" t="n">
        <f aca="false">IF(AND('Bonding Program'!$S$38=1,'Bonding Program'!$H$38&gt;'Bonding Program'!$C$8,V$3='Bonding Program'!$H$38),'Bonding Program'!$T$38-'Bonding Program'!$U$38-'Bonding Program'!$Z$38,0)-IF(AND('Bonding Program'!$S$38=1,'Bonding Program'!$H$38&lt;='Bonding Program'!$C$8,V$3=IF('Bonding Program'!$P$38&lt;&gt;"",'Bonding Program'!$P$38,'Bonding Program'!$C$8)),'Bonding Program'!$Z$38,0)+IF(AND('Bonding Program'!$P$38&lt;&gt;"",V$3='Bonding Program'!$P$38,V$3&lt;='Bonding Program'!$C$8),N('Bonding Program'!$O$38),0)</f>
        <v>0</v>
      </c>
      <c r="W179" s="19" t="n">
        <f aca="false">IF(AND('Bonding Program'!$S$38=1,'Bonding Program'!$H$38&gt;'Bonding Program'!$C$8,W$3='Bonding Program'!$H$38),'Bonding Program'!$T$38-'Bonding Program'!$U$38-'Bonding Program'!$Z$38,0)-IF(AND('Bonding Program'!$S$38=1,'Bonding Program'!$H$38&lt;='Bonding Program'!$C$8,W$3=IF('Bonding Program'!$P$38&lt;&gt;"",'Bonding Program'!$P$38,'Bonding Program'!$C$8)),'Bonding Program'!$Z$38,0)+IF(AND('Bonding Program'!$P$38&lt;&gt;"",W$3='Bonding Program'!$P$38,W$3&lt;='Bonding Program'!$C$8),N('Bonding Program'!$O$38),0)</f>
        <v>0</v>
      </c>
      <c r="X179" s="19" t="n">
        <f aca="false">IF(AND('Bonding Program'!$S$38=1,'Bonding Program'!$H$38&gt;'Bonding Program'!$C$8,X$3='Bonding Program'!$H$38),'Bonding Program'!$T$38-'Bonding Program'!$U$38-'Bonding Program'!$Z$38,0)-IF(AND('Bonding Program'!$S$38=1,'Bonding Program'!$H$38&lt;='Bonding Program'!$C$8,X$3=IF('Bonding Program'!$P$38&lt;&gt;"",'Bonding Program'!$P$38,'Bonding Program'!$C$8)),'Bonding Program'!$Z$38,0)+IF(AND('Bonding Program'!$P$38&lt;&gt;"",X$3='Bonding Program'!$P$38,X$3&lt;='Bonding Program'!$C$8),N('Bonding Program'!$O$38),0)</f>
        <v>0</v>
      </c>
      <c r="Y179" s="19" t="n">
        <f aca="false">IF(AND('Bonding Program'!$S$38=1,'Bonding Program'!$H$38&gt;'Bonding Program'!$C$8,Y$3='Bonding Program'!$H$38),'Bonding Program'!$T$38-'Bonding Program'!$U$38-'Bonding Program'!$Z$38,0)-IF(AND('Bonding Program'!$S$38=1,'Bonding Program'!$H$38&lt;='Bonding Program'!$C$8,Y$3=IF('Bonding Program'!$P$38&lt;&gt;"",'Bonding Program'!$P$38,'Bonding Program'!$C$8)),'Bonding Program'!$Z$38,0)+IF(AND('Bonding Program'!$P$38&lt;&gt;"",Y$3='Bonding Program'!$P$38,Y$3&lt;='Bonding Program'!$C$8),N('Bonding Program'!$O$38),0)</f>
        <v>0</v>
      </c>
      <c r="Z179" s="19" t="n">
        <f aca="false">IF(AND('Bonding Program'!$S$38=1,'Bonding Program'!$H$38&gt;'Bonding Program'!$C$8,Z$3='Bonding Program'!$H$38),'Bonding Program'!$T$38-'Bonding Program'!$U$38-'Bonding Program'!$Z$38,0)-IF(AND('Bonding Program'!$S$38=1,'Bonding Program'!$H$38&lt;='Bonding Program'!$C$8,Z$3=IF('Bonding Program'!$P$38&lt;&gt;"",'Bonding Program'!$P$38,'Bonding Program'!$C$8)),'Bonding Program'!$Z$38,0)+IF(AND('Bonding Program'!$P$38&lt;&gt;"",Z$3='Bonding Program'!$P$38,Z$3&lt;='Bonding Program'!$C$8),N('Bonding Program'!$O$38),0)</f>
        <v>0</v>
      </c>
      <c r="AA179" s="19" t="n">
        <f aca="false">IF(AND('Bonding Program'!$S$38=1,'Bonding Program'!$H$38&gt;'Bonding Program'!$C$8,AA$3='Bonding Program'!$H$38),'Bonding Program'!$T$38-'Bonding Program'!$U$38-'Bonding Program'!$Z$38,0)-IF(AND('Bonding Program'!$S$38=1,'Bonding Program'!$H$38&lt;='Bonding Program'!$C$8,AA$3=IF('Bonding Program'!$P$38&lt;&gt;"",'Bonding Program'!$P$38,'Bonding Program'!$C$8)),'Bonding Program'!$Z$38,0)+IF(AND('Bonding Program'!$P$38&lt;&gt;"",AA$3='Bonding Program'!$P$38,AA$3&lt;='Bonding Program'!$C$8),N('Bonding Program'!$O$38),0)</f>
        <v>0</v>
      </c>
      <c r="AB179" s="19" t="n">
        <f aca="false">IF(AND('Bonding Program'!$S$38=1,'Bonding Program'!$H$38&gt;'Bonding Program'!$C$8,AB$3='Bonding Program'!$H$38),'Bonding Program'!$T$38-'Bonding Program'!$U$38-'Bonding Program'!$Z$38,0)-IF(AND('Bonding Program'!$S$38=1,'Bonding Program'!$H$38&lt;='Bonding Program'!$C$8,AB$3=IF('Bonding Program'!$P$38&lt;&gt;"",'Bonding Program'!$P$38,'Bonding Program'!$C$8)),'Bonding Program'!$Z$38,0)+IF(AND('Bonding Program'!$P$38&lt;&gt;"",AB$3='Bonding Program'!$P$38,AB$3&lt;='Bonding Program'!$C$8),N('Bonding Program'!$O$38),0)</f>
        <v>0</v>
      </c>
      <c r="AC179" s="19" t="n">
        <f aca="false">IF(AND('Bonding Program'!$S$38=1,'Bonding Program'!$H$38&gt;'Bonding Program'!$C$8,AC$3='Bonding Program'!$H$38),'Bonding Program'!$T$38-'Bonding Program'!$U$38-'Bonding Program'!$Z$38,0)-IF(AND('Bonding Program'!$S$38=1,'Bonding Program'!$H$38&lt;='Bonding Program'!$C$8,AC$3=IF('Bonding Program'!$P$38&lt;&gt;"",'Bonding Program'!$P$38,'Bonding Program'!$C$8)),'Bonding Program'!$Z$38,0)+IF(AND('Bonding Program'!$P$38&lt;&gt;"",AC$3='Bonding Program'!$P$38,AC$3&lt;='Bonding Program'!$C$8),N('Bonding Program'!$O$38),0)</f>
        <v>0</v>
      </c>
      <c r="AD179" s="19" t="n">
        <f aca="false">IF(AND('Bonding Program'!$S$38=1,'Bonding Program'!$H$38&gt;'Bonding Program'!$C$8,AD$3='Bonding Program'!$H$38),'Bonding Program'!$T$38-'Bonding Program'!$U$38-'Bonding Program'!$Z$38,0)-IF(AND('Bonding Program'!$S$38=1,'Bonding Program'!$H$38&lt;='Bonding Program'!$C$8,AD$3=IF('Bonding Program'!$P$38&lt;&gt;"",'Bonding Program'!$P$38,'Bonding Program'!$C$8)),'Bonding Program'!$Z$38,0)+IF(AND('Bonding Program'!$P$38&lt;&gt;"",AD$3='Bonding Program'!$P$38,AD$3&lt;='Bonding Program'!$C$8),N('Bonding Program'!$O$38),0)</f>
        <v>0</v>
      </c>
      <c r="AE179" s="19" t="n">
        <f aca="false">IF(AND('Bonding Program'!$S$38=1,'Bonding Program'!$H$38&gt;'Bonding Program'!$C$8,AE$3='Bonding Program'!$H$38),'Bonding Program'!$T$38-'Bonding Program'!$U$38-'Bonding Program'!$Z$38,0)-IF(AND('Bonding Program'!$S$38=1,'Bonding Program'!$H$38&lt;='Bonding Program'!$C$8,AE$3=IF('Bonding Program'!$P$38&lt;&gt;"",'Bonding Program'!$P$38,'Bonding Program'!$C$8)),'Bonding Program'!$Z$38,0)+IF(AND('Bonding Program'!$P$38&lt;&gt;"",AE$3='Bonding Program'!$P$38,AE$3&lt;='Bonding Program'!$C$8),N('Bonding Program'!$O$38),0)</f>
        <v>0</v>
      </c>
      <c r="AF179" s="19" t="n">
        <f aca="false">IF(AND('Bonding Program'!$S$38=1,'Bonding Program'!$H$38&gt;'Bonding Program'!$C$8,AF$3='Bonding Program'!$H$38),'Bonding Program'!$T$38-'Bonding Program'!$U$38-'Bonding Program'!$Z$38,0)-IF(AND('Bonding Program'!$S$38=1,'Bonding Program'!$H$38&lt;='Bonding Program'!$C$8,AF$3=IF('Bonding Program'!$P$38&lt;&gt;"",'Bonding Program'!$P$38,'Bonding Program'!$C$8)),'Bonding Program'!$Z$38,0)+IF(AND('Bonding Program'!$P$38&lt;&gt;"",AF$3='Bonding Program'!$P$38,AF$3&lt;='Bonding Program'!$C$8),N('Bonding Program'!$O$38),0)</f>
        <v>0</v>
      </c>
      <c r="AG179" s="19" t="n">
        <f aca="false">IF(AND('Bonding Program'!$S$38=1,'Bonding Program'!$H$38&gt;'Bonding Program'!$C$8,AG$3='Bonding Program'!$H$38),'Bonding Program'!$T$38-'Bonding Program'!$U$38-'Bonding Program'!$Z$38,0)-IF(AND('Bonding Program'!$S$38=1,'Bonding Program'!$H$38&lt;='Bonding Program'!$C$8,AG$3=IF('Bonding Program'!$P$38&lt;&gt;"",'Bonding Program'!$P$38,'Bonding Program'!$C$8)),'Bonding Program'!$Z$38,0)+IF(AND('Bonding Program'!$P$38&lt;&gt;"",AG$3='Bonding Program'!$P$38,AG$3&lt;='Bonding Program'!$C$8),N('Bonding Program'!$O$38),0)</f>
        <v>0</v>
      </c>
      <c r="AH179" s="19" t="n">
        <f aca="false">IF(AND('Bonding Program'!$S$38=1,'Bonding Program'!$H$38&gt;'Bonding Program'!$C$8,AH$3='Bonding Program'!$H$38),'Bonding Program'!$T$38-'Bonding Program'!$U$38-'Bonding Program'!$Z$38,0)-IF(AND('Bonding Program'!$S$38=1,'Bonding Program'!$H$38&lt;='Bonding Program'!$C$8,AH$3=IF('Bonding Program'!$P$38&lt;&gt;"",'Bonding Program'!$P$38,'Bonding Program'!$C$8)),'Bonding Program'!$Z$38,0)+IF(AND('Bonding Program'!$P$38&lt;&gt;"",AH$3='Bonding Program'!$P$38,AH$3&lt;='Bonding Program'!$C$8),N('Bonding Program'!$O$38),0)</f>
        <v>0</v>
      </c>
      <c r="AI179" s="19" t="n">
        <f aca="false">IF(AND('Bonding Program'!$S$38=1,'Bonding Program'!$H$38&gt;'Bonding Program'!$C$8,AI$3='Bonding Program'!$H$38),'Bonding Program'!$T$38-'Bonding Program'!$U$38-'Bonding Program'!$Z$38,0)-IF(AND('Bonding Program'!$S$38=1,'Bonding Program'!$H$38&lt;='Bonding Program'!$C$8,AI$3=IF('Bonding Program'!$P$38&lt;&gt;"",'Bonding Program'!$P$38,'Bonding Program'!$C$8)),'Bonding Program'!$Z$38,0)+IF(AND('Bonding Program'!$P$38&lt;&gt;"",AI$3='Bonding Program'!$P$38,AI$3&lt;='Bonding Program'!$C$8),N('Bonding Program'!$O$38),0)</f>
        <v>0</v>
      </c>
      <c r="AJ179" s="19" t="n">
        <f aca="false">IF(AND('Bonding Program'!$S$38=1,'Bonding Program'!$H$38&gt;'Bonding Program'!$C$8,AJ$3='Bonding Program'!$H$38),'Bonding Program'!$T$38-'Bonding Program'!$U$38-'Bonding Program'!$Z$38,0)-IF(AND('Bonding Program'!$S$38=1,'Bonding Program'!$H$38&lt;='Bonding Program'!$C$8,AJ$3=IF('Bonding Program'!$P$38&lt;&gt;"",'Bonding Program'!$P$38,'Bonding Program'!$C$8)),'Bonding Program'!$Z$38,0)+IF(AND('Bonding Program'!$P$38&lt;&gt;"",AJ$3='Bonding Program'!$P$38,AJ$3&lt;='Bonding Program'!$C$8),N('Bonding Program'!$O$38),0)</f>
        <v>0</v>
      </c>
      <c r="AK179" s="19" t="n">
        <f aca="false">IF(AND('Bonding Program'!$S$38=1,'Bonding Program'!$H$38&gt;'Bonding Program'!$C$8,AK$3='Bonding Program'!$H$38),'Bonding Program'!$T$38-'Bonding Program'!$U$38-'Bonding Program'!$Z$38,0)-IF(AND('Bonding Program'!$S$38=1,'Bonding Program'!$H$38&lt;='Bonding Program'!$C$8,AK$3=IF('Bonding Program'!$P$38&lt;&gt;"",'Bonding Program'!$P$38,'Bonding Program'!$C$8)),'Bonding Program'!$Z$38,0)+IF(AND('Bonding Program'!$P$38&lt;&gt;"",AK$3='Bonding Program'!$P$38,AK$3&lt;='Bonding Program'!$C$8),N('Bonding Program'!$O$38),0)</f>
        <v>0</v>
      </c>
      <c r="AL179" s="19" t="n">
        <f aca="false">IF(AND('Bonding Program'!$S$38=1,'Bonding Program'!$H$38&gt;'Bonding Program'!$C$8,AL$3='Bonding Program'!$H$38),'Bonding Program'!$T$38-'Bonding Program'!$U$38-'Bonding Program'!$Z$38,0)-IF(AND('Bonding Program'!$S$38=1,'Bonding Program'!$H$38&lt;='Bonding Program'!$C$8,AL$3=IF('Bonding Program'!$P$38&lt;&gt;"",'Bonding Program'!$P$38,'Bonding Program'!$C$8)),'Bonding Program'!$Z$38,0)+IF(AND('Bonding Program'!$P$38&lt;&gt;"",AL$3='Bonding Program'!$P$38,AL$3&lt;='Bonding Program'!$C$8),N('Bonding Program'!$O$38),0)</f>
        <v>0</v>
      </c>
      <c r="AM179" s="19" t="n">
        <f aca="false">IF(AND('Bonding Program'!$S$38=1,'Bonding Program'!$H$38&gt;'Bonding Program'!$C$8,AM$3='Bonding Program'!$H$38),'Bonding Program'!$T$38-'Bonding Program'!$U$38-'Bonding Program'!$Z$38,0)-IF(AND('Bonding Program'!$S$38=1,'Bonding Program'!$H$38&lt;='Bonding Program'!$C$8,AM$3=IF('Bonding Program'!$P$38&lt;&gt;"",'Bonding Program'!$P$38,'Bonding Program'!$C$8)),'Bonding Program'!$Z$38,0)+IF(AND('Bonding Program'!$P$38&lt;&gt;"",AM$3='Bonding Program'!$P$38,AM$3&lt;='Bonding Program'!$C$8),N('Bonding Program'!$O$38),0)</f>
        <v>0</v>
      </c>
      <c r="AN179" s="19" t="n">
        <f aca="false">IF(AND('Bonding Program'!$S$38=1,'Bonding Program'!$H$38&gt;'Bonding Program'!$C$8,AN$3='Bonding Program'!$H$38),'Bonding Program'!$T$38-'Bonding Program'!$U$38-'Bonding Program'!$Z$38,0)-IF(AND('Bonding Program'!$S$38=1,'Bonding Program'!$H$38&lt;='Bonding Program'!$C$8,AN$3=IF('Bonding Program'!$P$38&lt;&gt;"",'Bonding Program'!$P$38,'Bonding Program'!$C$8)),'Bonding Program'!$Z$38,0)+IF(AND('Bonding Program'!$P$38&lt;&gt;"",AN$3='Bonding Program'!$P$38,AN$3&lt;='Bonding Program'!$C$8),N('Bonding Program'!$O$38),0)</f>
        <v>0</v>
      </c>
      <c r="AO179" s="19" t="n">
        <f aca="false">IF(AND('Bonding Program'!$S$38=1,'Bonding Program'!$H$38&gt;'Bonding Program'!$C$8,AO$3='Bonding Program'!$H$38),'Bonding Program'!$T$38-'Bonding Program'!$U$38-'Bonding Program'!$Z$38,0)-IF(AND('Bonding Program'!$S$38=1,'Bonding Program'!$H$38&lt;='Bonding Program'!$C$8,AO$3=IF('Bonding Program'!$P$38&lt;&gt;"",'Bonding Program'!$P$38,'Bonding Program'!$C$8)),'Bonding Program'!$Z$38,0)+IF(AND('Bonding Program'!$P$38&lt;&gt;"",AO$3='Bonding Program'!$P$38,AO$3&lt;='Bonding Program'!$C$8),N('Bonding Program'!$O$38),0)</f>
        <v>0</v>
      </c>
      <c r="AP179" s="19" t="n">
        <f aca="false">IF(AND('Bonding Program'!$S$38=1,'Bonding Program'!$H$38&gt;'Bonding Program'!$C$8,AP$3='Bonding Program'!$H$38),'Bonding Program'!$T$38-'Bonding Program'!$U$38-'Bonding Program'!$Z$38,0)-IF(AND('Bonding Program'!$S$38=1,'Bonding Program'!$H$38&lt;='Bonding Program'!$C$8,AP$3=IF('Bonding Program'!$P$38&lt;&gt;"",'Bonding Program'!$P$38,'Bonding Program'!$C$8)),'Bonding Program'!$Z$38,0)+IF(AND('Bonding Program'!$P$38&lt;&gt;"",AP$3='Bonding Program'!$P$38,AP$3&lt;='Bonding Program'!$C$8),N('Bonding Program'!$O$38),0)</f>
        <v>0</v>
      </c>
      <c r="AQ179" s="19" t="n">
        <f aca="false">IF(AND('Bonding Program'!$S$38=1,'Bonding Program'!$H$38&gt;'Bonding Program'!$C$8,AQ$3='Bonding Program'!$H$38),'Bonding Program'!$T$38-'Bonding Program'!$U$38-'Bonding Program'!$Z$38,0)-IF(AND('Bonding Program'!$S$38=1,'Bonding Program'!$H$38&lt;='Bonding Program'!$C$8,AQ$3=IF('Bonding Program'!$P$38&lt;&gt;"",'Bonding Program'!$P$38,'Bonding Program'!$C$8)),'Bonding Program'!$Z$38,0)+IF(AND('Bonding Program'!$P$38&lt;&gt;"",AQ$3='Bonding Program'!$P$38,AQ$3&lt;='Bonding Program'!$C$8),N('Bonding Program'!$O$38),0)</f>
        <v>0</v>
      </c>
      <c r="AR179" s="19" t="n">
        <f aca="false">IF(AND('Bonding Program'!$S$38=1,'Bonding Program'!$H$38&gt;'Bonding Program'!$C$8,AR$3='Bonding Program'!$H$38),'Bonding Program'!$T$38-'Bonding Program'!$U$38-'Bonding Program'!$Z$38,0)-IF(AND('Bonding Program'!$S$38=1,'Bonding Program'!$H$38&lt;='Bonding Program'!$C$8,AR$3=IF('Bonding Program'!$P$38&lt;&gt;"",'Bonding Program'!$P$38,'Bonding Program'!$C$8)),'Bonding Program'!$Z$38,0)+IF(AND('Bonding Program'!$P$38&lt;&gt;"",AR$3='Bonding Program'!$P$38,AR$3&lt;='Bonding Program'!$C$8),N('Bonding Program'!$O$38),0)</f>
        <v>0</v>
      </c>
      <c r="AS179" s="19" t="n">
        <f aca="false">IF(AND('Bonding Program'!$S$38=1,'Bonding Program'!$H$38&gt;'Bonding Program'!$C$8,AS$3='Bonding Program'!$H$38),'Bonding Program'!$T$38-'Bonding Program'!$U$38-'Bonding Program'!$Z$38,0)-IF(AND('Bonding Program'!$S$38=1,'Bonding Program'!$H$38&lt;='Bonding Program'!$C$8,AS$3=IF('Bonding Program'!$P$38&lt;&gt;"",'Bonding Program'!$P$38,'Bonding Program'!$C$8)),'Bonding Program'!$Z$38,0)+IF(AND('Bonding Program'!$P$38&lt;&gt;"",AS$3='Bonding Program'!$P$38,AS$3&lt;='Bonding Program'!$C$8),N('Bonding Program'!$O$38),0)</f>
        <v>0</v>
      </c>
      <c r="AT179" s="19" t="n">
        <f aca="false">IF(AND('Bonding Program'!$S$38=1,'Bonding Program'!$H$38&gt;'Bonding Program'!$C$8,AT$3='Bonding Program'!$H$38),'Bonding Program'!$T$38-'Bonding Program'!$U$38-'Bonding Program'!$Z$38,0)-IF(AND('Bonding Program'!$S$38=1,'Bonding Program'!$H$38&lt;='Bonding Program'!$C$8,AT$3=IF('Bonding Program'!$P$38&lt;&gt;"",'Bonding Program'!$P$38,'Bonding Program'!$C$8)),'Bonding Program'!$Z$38,0)+IF(AND('Bonding Program'!$P$38&lt;&gt;"",AT$3='Bonding Program'!$P$38,AT$3&lt;='Bonding Program'!$C$8),N('Bonding Program'!$O$38),0)</f>
        <v>0</v>
      </c>
      <c r="AU179" s="19" t="n">
        <f aca="false">IF(AND('Bonding Program'!$S$38=1,'Bonding Program'!$H$38&gt;'Bonding Program'!$C$8,AU$3='Bonding Program'!$H$38),'Bonding Program'!$T$38-'Bonding Program'!$U$38-'Bonding Program'!$Z$38,0)-IF(AND('Bonding Program'!$S$38=1,'Bonding Program'!$H$38&lt;='Bonding Program'!$C$8,AU$3=IF('Bonding Program'!$P$38&lt;&gt;"",'Bonding Program'!$P$38,'Bonding Program'!$C$8)),'Bonding Program'!$Z$38,0)+IF(AND('Bonding Program'!$P$38&lt;&gt;"",AU$3='Bonding Program'!$P$38,AU$3&lt;='Bonding Program'!$C$8),N('Bonding Program'!$O$38),0)</f>
        <v>0</v>
      </c>
      <c r="AV179" s="19" t="n">
        <f aca="false">IF(AND('Bonding Program'!$S$38=1,'Bonding Program'!$H$38&gt;'Bonding Program'!$C$8,AV$3='Bonding Program'!$H$38),'Bonding Program'!$T$38-'Bonding Program'!$U$38-'Bonding Program'!$Z$38,0)-IF(AND('Bonding Program'!$S$38=1,'Bonding Program'!$H$38&lt;='Bonding Program'!$C$8,AV$3=IF('Bonding Program'!$P$38&lt;&gt;"",'Bonding Program'!$P$38,'Bonding Program'!$C$8)),'Bonding Program'!$Z$38,0)+IF(AND('Bonding Program'!$P$38&lt;&gt;"",AV$3='Bonding Program'!$P$38,AV$3&lt;='Bonding Program'!$C$8),N('Bonding Program'!$O$38),0)</f>
        <v>0</v>
      </c>
      <c r="AW179" s="19" t="n">
        <f aca="false">IF(AND('Bonding Program'!$S$38=1,'Bonding Program'!$H$38&gt;'Bonding Program'!$C$8,AW$3='Bonding Program'!$H$38),'Bonding Program'!$T$38-'Bonding Program'!$U$38-'Bonding Program'!$Z$38,0)-IF(AND('Bonding Program'!$S$38=1,'Bonding Program'!$H$38&lt;='Bonding Program'!$C$8,AW$3=IF('Bonding Program'!$P$38&lt;&gt;"",'Bonding Program'!$P$38,'Bonding Program'!$C$8)),'Bonding Program'!$Z$38,0)+IF(AND('Bonding Program'!$P$38&lt;&gt;"",AW$3='Bonding Program'!$P$38,AW$3&lt;='Bonding Program'!$C$8),N('Bonding Program'!$O$38),0)</f>
        <v>0</v>
      </c>
      <c r="AX179" s="19" t="n">
        <f aca="false">IF(AND('Bonding Program'!$S$38=1,'Bonding Program'!$H$38&gt;'Bonding Program'!$C$8,AX$3='Bonding Program'!$H$38),'Bonding Program'!$T$38-'Bonding Program'!$U$38-'Bonding Program'!$Z$38,0)-IF(AND('Bonding Program'!$S$38=1,'Bonding Program'!$H$38&lt;='Bonding Program'!$C$8,AX$3=IF('Bonding Program'!$P$38&lt;&gt;"",'Bonding Program'!$P$38,'Bonding Program'!$C$8)),'Bonding Program'!$Z$38,0)+IF(AND('Bonding Program'!$P$38&lt;&gt;"",AX$3='Bonding Program'!$P$38,AX$3&lt;='Bonding Program'!$C$8),N('Bonding Program'!$O$38),0)</f>
        <v>0</v>
      </c>
      <c r="AY179" s="19" t="n">
        <f aca="false">IF(AND('Bonding Program'!$S$38=1,'Bonding Program'!$H$38&gt;'Bonding Program'!$C$8,AY$3='Bonding Program'!$H$38),'Bonding Program'!$T$38-'Bonding Program'!$U$38-'Bonding Program'!$Z$38,0)-IF(AND('Bonding Program'!$S$38=1,'Bonding Program'!$H$38&lt;='Bonding Program'!$C$8,AY$3=IF('Bonding Program'!$P$38&lt;&gt;"",'Bonding Program'!$P$38,'Bonding Program'!$C$8)),'Bonding Program'!$Z$38,0)+IF(AND('Bonding Program'!$P$38&lt;&gt;"",AY$3='Bonding Program'!$P$38,AY$3&lt;='Bonding Program'!$C$8),N('Bonding Program'!$O$38),0)</f>
        <v>0</v>
      </c>
      <c r="AZ179" s="19" t="n">
        <f aca="false">IF(AND('Bonding Program'!$S$38=1,'Bonding Program'!$H$38&gt;'Bonding Program'!$C$8,AZ$3='Bonding Program'!$H$38),'Bonding Program'!$T$38-'Bonding Program'!$U$38-'Bonding Program'!$Z$38,0)-IF(AND('Bonding Program'!$S$38=1,'Bonding Program'!$H$38&lt;='Bonding Program'!$C$8,AZ$3=IF('Bonding Program'!$P$38&lt;&gt;"",'Bonding Program'!$P$38,'Bonding Program'!$C$8)),'Bonding Program'!$Z$38,0)+IF(AND('Bonding Program'!$P$38&lt;&gt;"",AZ$3='Bonding Program'!$P$38,AZ$3&lt;='Bonding Program'!$C$8),N('Bonding Program'!$O$38),0)</f>
        <v>0</v>
      </c>
      <c r="BA179" s="19" t="n">
        <f aca="false">IF(AND('Bonding Program'!$S$38=1,'Bonding Program'!$H$38&gt;'Bonding Program'!$C$8,BA$3='Bonding Program'!$H$38),'Bonding Program'!$T$38-'Bonding Program'!$U$38-'Bonding Program'!$Z$38,0)-IF(AND('Bonding Program'!$S$38=1,'Bonding Program'!$H$38&lt;='Bonding Program'!$C$8,BA$3=IF('Bonding Program'!$P$38&lt;&gt;"",'Bonding Program'!$P$38,'Bonding Program'!$C$8)),'Bonding Program'!$Z$38,0)+IF(AND('Bonding Program'!$P$38&lt;&gt;"",BA$3='Bonding Program'!$P$38,BA$3&lt;='Bonding Program'!$C$8),N('Bonding Program'!$O$38),0)</f>
        <v>0</v>
      </c>
      <c r="BB179" s="19" t="n">
        <f aca="false">IF(AND('Bonding Program'!$S$38=1,'Bonding Program'!$H$38&gt;'Bonding Program'!$C$8,BB$3='Bonding Program'!$H$38),'Bonding Program'!$T$38-'Bonding Program'!$U$38-'Bonding Program'!$Z$38,0)-IF(AND('Bonding Program'!$S$38=1,'Bonding Program'!$H$38&lt;='Bonding Program'!$C$8,BB$3=IF('Bonding Program'!$P$38&lt;&gt;"",'Bonding Program'!$P$38,'Bonding Program'!$C$8)),'Bonding Program'!$Z$38,0)+IF(AND('Bonding Program'!$P$38&lt;&gt;"",BB$3='Bonding Program'!$P$38,BB$3&lt;='Bonding Program'!$C$8),N('Bonding Program'!$O$38),0)</f>
        <v>0</v>
      </c>
      <c r="BC179" s="19" t="n">
        <f aca="false">IF(AND('Bonding Program'!$S$38=1,'Bonding Program'!$H$38&gt;'Bonding Program'!$C$8,BC$3='Bonding Program'!$H$38),'Bonding Program'!$T$38-'Bonding Program'!$U$38-'Bonding Program'!$Z$38,0)-IF(AND('Bonding Program'!$S$38=1,'Bonding Program'!$H$38&lt;='Bonding Program'!$C$8,BC$3=IF('Bonding Program'!$P$38&lt;&gt;"",'Bonding Program'!$P$38,'Bonding Program'!$C$8)),'Bonding Program'!$Z$38,0)+IF(AND('Bonding Program'!$P$38&lt;&gt;"",BC$3='Bonding Program'!$P$38,BC$3&lt;='Bonding Program'!$C$8),N('Bonding Program'!$O$38),0)</f>
        <v>0</v>
      </c>
      <c r="BD179" s="19" t="n">
        <f aca="false">IF(AND('Bonding Program'!$S$38=1,'Bonding Program'!$H$38&gt;'Bonding Program'!$C$8,BD$3='Bonding Program'!$H$38),'Bonding Program'!$T$38-'Bonding Program'!$U$38-'Bonding Program'!$Z$38,0)-IF(AND('Bonding Program'!$S$38=1,'Bonding Program'!$H$38&lt;='Bonding Program'!$C$8,BD$3=IF('Bonding Program'!$P$38&lt;&gt;"",'Bonding Program'!$P$38,'Bonding Program'!$C$8)),'Bonding Program'!$Z$38,0)+IF(AND('Bonding Program'!$P$38&lt;&gt;"",BD$3='Bonding Program'!$P$38,BD$3&lt;='Bonding Program'!$C$8),N('Bonding Program'!$O$38),0)</f>
        <v>0</v>
      </c>
      <c r="BE179" s="19" t="n">
        <f aca="false">IF(AND('Bonding Program'!$S$38=1,'Bonding Program'!$H$38&gt;'Bonding Program'!$C$8,BE$3='Bonding Program'!$H$38),'Bonding Program'!$T$38-'Bonding Program'!$U$38-'Bonding Program'!$Z$38,0)-IF(AND('Bonding Program'!$S$38=1,'Bonding Program'!$H$38&lt;='Bonding Program'!$C$8,BE$3=IF('Bonding Program'!$P$38&lt;&gt;"",'Bonding Program'!$P$38,'Bonding Program'!$C$8)),'Bonding Program'!$Z$38,0)+IF(AND('Bonding Program'!$P$38&lt;&gt;"",BE$3='Bonding Program'!$P$38,BE$3&lt;='Bonding Program'!$C$8),N('Bonding Program'!$O$38),0)</f>
        <v>0</v>
      </c>
      <c r="BF179" s="19" t="n">
        <f aca="false">IF(AND('Bonding Program'!$S$38=1,'Bonding Program'!$H$38&gt;'Bonding Program'!$C$8,BF$3='Bonding Program'!$H$38),'Bonding Program'!$T$38-'Bonding Program'!$U$38-'Bonding Program'!$Z$38,0)-IF(AND('Bonding Program'!$S$38=1,'Bonding Program'!$H$38&lt;='Bonding Program'!$C$8,BF$3=IF('Bonding Program'!$P$38&lt;&gt;"",'Bonding Program'!$P$38,'Bonding Program'!$C$8)),'Bonding Program'!$Z$38,0)+IF(AND('Bonding Program'!$P$38&lt;&gt;"",BF$3='Bonding Program'!$P$38,BF$3&lt;='Bonding Program'!$C$8),N('Bonding Program'!$O$38),0)</f>
        <v>0</v>
      </c>
      <c r="BG179" s="19" t="n">
        <f aca="false">IF(AND('Bonding Program'!$S$38=1,'Bonding Program'!$H$38&gt;'Bonding Program'!$C$8,BG$3='Bonding Program'!$H$38),'Bonding Program'!$T$38-'Bonding Program'!$U$38-'Bonding Program'!$Z$38,0)-IF(AND('Bonding Program'!$S$38=1,'Bonding Program'!$H$38&lt;='Bonding Program'!$C$8,BG$3=IF('Bonding Program'!$P$38&lt;&gt;"",'Bonding Program'!$P$38,'Bonding Program'!$C$8)),'Bonding Program'!$Z$38,0)+IF(AND('Bonding Program'!$P$38&lt;&gt;"",BG$3='Bonding Program'!$P$38,BG$3&lt;='Bonding Program'!$C$8),N('Bonding Program'!$O$38),0)</f>
        <v>0</v>
      </c>
      <c r="BH179" s="19" t="n">
        <f aca="false">IF(AND('Bonding Program'!$S$38=1,'Bonding Program'!$H$38&gt;'Bonding Program'!$C$8,BH$3='Bonding Program'!$H$38),'Bonding Program'!$T$38-'Bonding Program'!$U$38-'Bonding Program'!$Z$38,0)-IF(AND('Bonding Program'!$S$38=1,'Bonding Program'!$H$38&lt;='Bonding Program'!$C$8,BH$3=IF('Bonding Program'!$P$38&lt;&gt;"",'Bonding Program'!$P$38,'Bonding Program'!$C$8)),'Bonding Program'!$Z$38,0)+IF(AND('Bonding Program'!$P$38&lt;&gt;"",BH$3='Bonding Program'!$P$38,BH$3&lt;='Bonding Program'!$C$8),N('Bonding Program'!$O$38),0)</f>
        <v>0</v>
      </c>
      <c r="BI179" s="19" t="n">
        <f aca="false">IF(AND('Bonding Program'!$S$38=1,'Bonding Program'!$H$38&gt;'Bonding Program'!$C$8,BI$3='Bonding Program'!$H$38),'Bonding Program'!$T$38-'Bonding Program'!$U$38-'Bonding Program'!$Z$38,0)-IF(AND('Bonding Program'!$S$38=1,'Bonding Program'!$H$38&lt;='Bonding Program'!$C$8,BI$3=IF('Bonding Program'!$P$38&lt;&gt;"",'Bonding Program'!$P$38,'Bonding Program'!$C$8)),'Bonding Program'!$Z$38,0)+IF(AND('Bonding Program'!$P$38&lt;&gt;"",BI$3='Bonding Program'!$P$38,BI$3&lt;='Bonding Program'!$C$8),N('Bonding Program'!$O$38),0)</f>
        <v>0</v>
      </c>
      <c r="BJ179" s="19" t="n">
        <f aca="false">IF(AND('Bonding Program'!$S$38=1,'Bonding Program'!$H$38&gt;'Bonding Program'!$C$8,BJ$3='Bonding Program'!$H$38),'Bonding Program'!$T$38-'Bonding Program'!$U$38-'Bonding Program'!$Z$38,0)-IF(AND('Bonding Program'!$S$38=1,'Bonding Program'!$H$38&lt;='Bonding Program'!$C$8,BJ$3=IF('Bonding Program'!$P$38&lt;&gt;"",'Bonding Program'!$P$38,'Bonding Program'!$C$8)),'Bonding Program'!$Z$38,0)+IF(AND('Bonding Program'!$P$38&lt;&gt;"",BJ$3='Bonding Program'!$P$38,BJ$3&lt;='Bonding Program'!$C$8),N('Bonding Program'!$O$38),0)</f>
        <v>0</v>
      </c>
      <c r="BK179" s="19" t="n">
        <f aca="false">IF(AND('Bonding Program'!$S$38=1,'Bonding Program'!$H$38&gt;'Bonding Program'!$C$8,BK$3='Bonding Program'!$H$38),'Bonding Program'!$T$38-'Bonding Program'!$U$38-'Bonding Program'!$Z$38,0)-IF(AND('Bonding Program'!$S$38=1,'Bonding Program'!$H$38&lt;='Bonding Program'!$C$8,BK$3=IF('Bonding Program'!$P$38&lt;&gt;"",'Bonding Program'!$P$38,'Bonding Program'!$C$8)),'Bonding Program'!$Z$38,0)+IF(AND('Bonding Program'!$P$38&lt;&gt;"",BK$3='Bonding Program'!$P$38,BK$3&lt;='Bonding Program'!$C$8),N('Bonding Program'!$O$38),0)</f>
        <v>0</v>
      </c>
      <c r="BL179" s="19" t="n">
        <f aca="false">IF(AND('Bonding Program'!$S$38=1,'Bonding Program'!$H$38&gt;'Bonding Program'!$C$8,BL$3='Bonding Program'!$H$38),'Bonding Program'!$T$38-'Bonding Program'!$U$38-'Bonding Program'!$Z$38,0)-IF(AND('Bonding Program'!$S$38=1,'Bonding Program'!$H$38&lt;='Bonding Program'!$C$8,BL$3=IF('Bonding Program'!$P$38&lt;&gt;"",'Bonding Program'!$P$38,'Bonding Program'!$C$8)),'Bonding Program'!$Z$38,0)+IF(AND('Bonding Program'!$P$38&lt;&gt;"",BL$3='Bonding Program'!$P$38,BL$3&lt;='Bonding Program'!$C$8),N('Bonding Program'!$O$38),0)</f>
        <v>0</v>
      </c>
      <c r="BM179" s="19" t="n">
        <f aca="false">IF(AND('Bonding Program'!$S$38=1,'Bonding Program'!$H$38&gt;'Bonding Program'!$C$8,BM$3='Bonding Program'!$H$38),'Bonding Program'!$T$38-'Bonding Program'!$U$38-'Bonding Program'!$Z$38,0)-IF(AND('Bonding Program'!$S$38=1,'Bonding Program'!$H$38&lt;='Bonding Program'!$C$8,BM$3=IF('Bonding Program'!$P$38&lt;&gt;"",'Bonding Program'!$P$38,'Bonding Program'!$C$8)),'Bonding Program'!$Z$38,0)+IF(AND('Bonding Program'!$P$38&lt;&gt;"",BM$3='Bonding Program'!$P$38,BM$3&lt;='Bonding Program'!$C$8),N('Bonding Program'!$O$38),0)</f>
        <v>0</v>
      </c>
      <c r="BN179" s="19" t="n">
        <f aca="false">IF(AND('Bonding Program'!$S$38=1,'Bonding Program'!$H$38&gt;'Bonding Program'!$C$8,BN$3='Bonding Program'!$H$38),'Bonding Program'!$T$38-'Bonding Program'!$U$38-'Bonding Program'!$Z$38,0)-IF(AND('Bonding Program'!$S$38=1,'Bonding Program'!$H$38&lt;='Bonding Program'!$C$8,BN$3=IF('Bonding Program'!$P$38&lt;&gt;"",'Bonding Program'!$P$38,'Bonding Program'!$C$8)),'Bonding Program'!$Z$38,0)+IF(AND('Bonding Program'!$P$38&lt;&gt;"",BN$3='Bonding Program'!$P$38,BN$3&lt;='Bonding Program'!$C$8),N('Bonding Program'!$O$38),0)</f>
        <v>0</v>
      </c>
      <c r="BO179" s="19" t="n">
        <f aca="false">IF(AND('Bonding Program'!$S$38=1,'Bonding Program'!$H$38&gt;'Bonding Program'!$C$8,BO$3='Bonding Program'!$H$38),'Bonding Program'!$T$38-'Bonding Program'!$U$38-'Bonding Program'!$Z$38,0)-IF(AND('Bonding Program'!$S$38=1,'Bonding Program'!$H$38&lt;='Bonding Program'!$C$8,BO$3=IF('Bonding Program'!$P$38&lt;&gt;"",'Bonding Program'!$P$38,'Bonding Program'!$C$8)),'Bonding Program'!$Z$38,0)+IF(AND('Bonding Program'!$P$38&lt;&gt;"",BO$3='Bonding Program'!$P$38,BO$3&lt;='Bonding Program'!$C$8),N('Bonding Program'!$O$38),0)</f>
        <v>0</v>
      </c>
      <c r="BP179" s="19" t="n">
        <f aca="false">IF(AND('Bonding Program'!$S$38=1,'Bonding Program'!$H$38&gt;'Bonding Program'!$C$8,BP$3='Bonding Program'!$H$38),'Bonding Program'!$T$38-'Bonding Program'!$U$38-'Bonding Program'!$Z$38,0)-IF(AND('Bonding Program'!$S$38=1,'Bonding Program'!$H$38&lt;='Bonding Program'!$C$8,BP$3=IF('Bonding Program'!$P$38&lt;&gt;"",'Bonding Program'!$P$38,'Bonding Program'!$C$8)),'Bonding Program'!$Z$38,0)+IF(AND('Bonding Program'!$P$38&lt;&gt;"",BP$3='Bonding Program'!$P$38,BP$3&lt;='Bonding Program'!$C$8),N('Bonding Program'!$O$38),0)</f>
        <v>0</v>
      </c>
      <c r="BQ179" s="19" t="n">
        <f aca="false">IF(AND('Bonding Program'!$S$38=1,'Bonding Program'!$H$38&gt;'Bonding Program'!$C$8,BQ$3='Bonding Program'!$H$38),'Bonding Program'!$T$38-'Bonding Program'!$U$38-'Bonding Program'!$Z$38,0)-IF(AND('Bonding Program'!$S$38=1,'Bonding Program'!$H$38&lt;='Bonding Program'!$C$8,BQ$3=IF('Bonding Program'!$P$38&lt;&gt;"",'Bonding Program'!$P$38,'Bonding Program'!$C$8)),'Bonding Program'!$Z$38,0)+IF(AND('Bonding Program'!$P$38&lt;&gt;"",BQ$3='Bonding Program'!$P$38,BQ$3&lt;='Bonding Program'!$C$8),N('Bonding Program'!$O$38),0)</f>
        <v>0</v>
      </c>
      <c r="BR179" s="19" t="n">
        <f aca="false">IF(AND('Bonding Program'!$S$38=1,'Bonding Program'!$H$38&gt;'Bonding Program'!$C$8,BR$3='Bonding Program'!$H$38),'Bonding Program'!$T$38-'Bonding Program'!$U$38-'Bonding Program'!$Z$38,0)-IF(AND('Bonding Program'!$S$38=1,'Bonding Program'!$H$38&lt;='Bonding Program'!$C$8,BR$3=IF('Bonding Program'!$P$38&lt;&gt;"",'Bonding Program'!$P$38,'Bonding Program'!$C$8)),'Bonding Program'!$Z$38,0)+IF(AND('Bonding Program'!$P$38&lt;&gt;"",BR$3='Bonding Program'!$P$38,BR$3&lt;='Bonding Program'!$C$8),N('Bonding Program'!$O$38),0)</f>
        <v>0</v>
      </c>
      <c r="BS179" s="19" t="n">
        <f aca="false">IF(AND('Bonding Program'!$S$38=1,'Bonding Program'!$H$38&gt;'Bonding Program'!$C$8,BS$3='Bonding Program'!$H$38),'Bonding Program'!$T$38-'Bonding Program'!$U$38-'Bonding Program'!$Z$38,0)-IF(AND('Bonding Program'!$S$38=1,'Bonding Program'!$H$38&lt;='Bonding Program'!$C$8,BS$3=IF('Bonding Program'!$P$38&lt;&gt;"",'Bonding Program'!$P$38,'Bonding Program'!$C$8)),'Bonding Program'!$Z$38,0)+IF(AND('Bonding Program'!$P$38&lt;&gt;"",BS$3='Bonding Program'!$P$38,BS$3&lt;='Bonding Program'!$C$8),N('Bonding Program'!$O$38),0)</f>
        <v>0</v>
      </c>
      <c r="BT179" s="19" t="n">
        <f aca="false">IF(AND('Bonding Program'!$S$38=1,'Bonding Program'!$H$38&gt;'Bonding Program'!$C$8,BT$3='Bonding Program'!$H$38),'Bonding Program'!$T$38-'Bonding Program'!$U$38-'Bonding Program'!$Z$38,0)-IF(AND('Bonding Program'!$S$38=1,'Bonding Program'!$H$38&lt;='Bonding Program'!$C$8,BT$3=IF('Bonding Program'!$P$38&lt;&gt;"",'Bonding Program'!$P$38,'Bonding Program'!$C$8)),'Bonding Program'!$Z$38,0)+IF(AND('Bonding Program'!$P$38&lt;&gt;"",BT$3='Bonding Program'!$P$38,BT$3&lt;='Bonding Program'!$C$8),N('Bonding Program'!$O$38),0)</f>
        <v>0</v>
      </c>
      <c r="BU179" s="19" t="n">
        <f aca="false">IF(AND('Bonding Program'!$S$38=1,'Bonding Program'!$H$38&gt;'Bonding Program'!$C$8,BU$3='Bonding Program'!$H$38),'Bonding Program'!$T$38-'Bonding Program'!$U$38-'Bonding Program'!$Z$38,0)-IF(AND('Bonding Program'!$S$38=1,'Bonding Program'!$H$38&lt;='Bonding Program'!$C$8,BU$3=IF('Bonding Program'!$P$38&lt;&gt;"",'Bonding Program'!$P$38,'Bonding Program'!$C$8)),'Bonding Program'!$Z$38,0)+IF(AND('Bonding Program'!$P$38&lt;&gt;"",BU$3='Bonding Program'!$P$38,BU$3&lt;='Bonding Program'!$C$8),N('Bonding Program'!$O$38),0)</f>
        <v>0</v>
      </c>
      <c r="BV179" s="19" t="n">
        <f aca="false">IF(AND('Bonding Program'!$S$38=1,'Bonding Program'!$H$38&gt;'Bonding Program'!$C$8,BV$3='Bonding Program'!$H$38),'Bonding Program'!$T$38-'Bonding Program'!$U$38-'Bonding Program'!$Z$38,0)-IF(AND('Bonding Program'!$S$38=1,'Bonding Program'!$H$38&lt;='Bonding Program'!$C$8,BV$3=IF('Bonding Program'!$P$38&lt;&gt;"",'Bonding Program'!$P$38,'Bonding Program'!$C$8)),'Bonding Program'!$Z$38,0)+IF(AND('Bonding Program'!$P$38&lt;&gt;"",BV$3='Bonding Program'!$P$38,BV$3&lt;='Bonding Program'!$C$8),N('Bonding Program'!$O$38),0)</f>
        <v>0</v>
      </c>
      <c r="BW179" s="19" t="n">
        <f aca="false">IF(AND('Bonding Program'!$S$38=1,'Bonding Program'!$H$38&gt;'Bonding Program'!$C$8,BW$3='Bonding Program'!$H$38),'Bonding Program'!$T$38-'Bonding Program'!$U$38-'Bonding Program'!$Z$38,0)-IF(AND('Bonding Program'!$S$38=1,'Bonding Program'!$H$38&lt;='Bonding Program'!$C$8,BW$3=IF('Bonding Program'!$P$38&lt;&gt;"",'Bonding Program'!$P$38,'Bonding Program'!$C$8)),'Bonding Program'!$Z$38,0)+IF(AND('Bonding Program'!$P$38&lt;&gt;"",BW$3='Bonding Program'!$P$38,BW$3&lt;='Bonding Program'!$C$8),N('Bonding Program'!$O$38),0)</f>
        <v>0</v>
      </c>
      <c r="BX179" s="19" t="n">
        <f aca="false">IF(AND('Bonding Program'!$S$38=1,'Bonding Program'!$H$38&gt;'Bonding Program'!$C$8,BX$3='Bonding Program'!$H$38),'Bonding Program'!$T$38-'Bonding Program'!$U$38-'Bonding Program'!$Z$38,0)-IF(AND('Bonding Program'!$S$38=1,'Bonding Program'!$H$38&lt;='Bonding Program'!$C$8,BX$3=IF('Bonding Program'!$P$38&lt;&gt;"",'Bonding Program'!$P$38,'Bonding Program'!$C$8)),'Bonding Program'!$Z$38,0)+IF(AND('Bonding Program'!$P$38&lt;&gt;"",BX$3='Bonding Program'!$P$38,BX$3&lt;='Bonding Program'!$C$8),N('Bonding Program'!$O$38),0)</f>
        <v>0</v>
      </c>
      <c r="BY179" s="19" t="n">
        <f aca="false">IF(AND('Bonding Program'!$S$38=1,'Bonding Program'!$H$38&gt;'Bonding Program'!$C$8,BY$3='Bonding Program'!$H$38),'Bonding Program'!$T$38-'Bonding Program'!$U$38-'Bonding Program'!$Z$38,0)-IF(AND('Bonding Program'!$S$38=1,'Bonding Program'!$H$38&lt;='Bonding Program'!$C$8,BY$3=IF('Bonding Program'!$P$38&lt;&gt;"",'Bonding Program'!$P$38,'Bonding Program'!$C$8)),'Bonding Program'!$Z$38,0)+IF(AND('Bonding Program'!$P$38&lt;&gt;"",BY$3='Bonding Program'!$P$38,BY$3&lt;='Bonding Program'!$C$8),N('Bonding Program'!$O$38),0)</f>
        <v>0</v>
      </c>
      <c r="BZ179" s="19" t="n">
        <f aca="false">IF(AND('Bonding Program'!$S$38=1,'Bonding Program'!$H$38&gt;'Bonding Program'!$C$8,BZ$3='Bonding Program'!$H$38),'Bonding Program'!$T$38-'Bonding Program'!$U$38-'Bonding Program'!$Z$38,0)-IF(AND('Bonding Program'!$S$38=1,'Bonding Program'!$H$38&lt;='Bonding Program'!$C$8,BZ$3=IF('Bonding Program'!$P$38&lt;&gt;"",'Bonding Program'!$P$38,'Bonding Program'!$C$8)),'Bonding Program'!$Z$38,0)+IF(AND('Bonding Program'!$P$38&lt;&gt;"",BZ$3='Bonding Program'!$P$38,BZ$3&lt;='Bonding Program'!$C$8),N('Bonding Program'!$O$38),0)</f>
        <v>0</v>
      </c>
      <c r="CA179" s="19" t="n">
        <f aca="false">IF(AND('Bonding Program'!$S$38=1,'Bonding Program'!$H$38&gt;'Bonding Program'!$C$8,CA$3='Bonding Program'!$H$38),'Bonding Program'!$T$38-'Bonding Program'!$U$38-'Bonding Program'!$Z$38,0)-IF(AND('Bonding Program'!$S$38=1,'Bonding Program'!$H$38&lt;='Bonding Program'!$C$8,CA$3=IF('Bonding Program'!$P$38&lt;&gt;"",'Bonding Program'!$P$38,'Bonding Program'!$C$8)),'Bonding Program'!$Z$38,0)+IF(AND('Bonding Program'!$P$38&lt;&gt;"",CA$3='Bonding Program'!$P$38,CA$3&lt;='Bonding Program'!$C$8),N('Bonding Program'!$O$38),0)</f>
        <v>0</v>
      </c>
      <c r="CB179" s="19" t="n">
        <f aca="false">IF(AND('Bonding Program'!$S$38=1,'Bonding Program'!$H$38&gt;'Bonding Program'!$C$8,CB$3='Bonding Program'!$H$38),'Bonding Program'!$T$38-'Bonding Program'!$U$38-'Bonding Program'!$Z$38,0)-IF(AND('Bonding Program'!$S$38=1,'Bonding Program'!$H$38&lt;='Bonding Program'!$C$8,CB$3=IF('Bonding Program'!$P$38&lt;&gt;"",'Bonding Program'!$P$38,'Bonding Program'!$C$8)),'Bonding Program'!$Z$38,0)+IF(AND('Bonding Program'!$P$38&lt;&gt;"",CB$3='Bonding Program'!$P$38,CB$3&lt;='Bonding Program'!$C$8),N('Bonding Program'!$O$38),0)</f>
        <v>0</v>
      </c>
      <c r="CC179" s="19" t="n">
        <f aca="false">IF(AND('Bonding Program'!$S$38=1,'Bonding Program'!$H$38&gt;'Bonding Program'!$C$8,CC$3='Bonding Program'!$H$38),'Bonding Program'!$T$38-'Bonding Program'!$U$38-'Bonding Program'!$Z$38,0)-IF(AND('Bonding Program'!$S$38=1,'Bonding Program'!$H$38&lt;='Bonding Program'!$C$8,CC$3=IF('Bonding Program'!$P$38&lt;&gt;"",'Bonding Program'!$P$38,'Bonding Program'!$C$8)),'Bonding Program'!$Z$38,0)+IF(AND('Bonding Program'!$P$38&lt;&gt;"",CC$3='Bonding Program'!$P$38,CC$3&lt;='Bonding Program'!$C$8),N('Bonding Program'!$O$38),0)</f>
        <v>0</v>
      </c>
      <c r="CD179" s="19" t="n">
        <f aca="false">IF(AND('Bonding Program'!$S$38=1,'Bonding Program'!$H$38&gt;'Bonding Program'!$C$8,CD$3='Bonding Program'!$H$38),'Bonding Program'!$T$38-'Bonding Program'!$U$38-'Bonding Program'!$Z$38,0)-IF(AND('Bonding Program'!$S$38=1,'Bonding Program'!$H$38&lt;='Bonding Program'!$C$8,CD$3=IF('Bonding Program'!$P$38&lt;&gt;"",'Bonding Program'!$P$38,'Bonding Program'!$C$8)),'Bonding Program'!$Z$38,0)+IF(AND('Bonding Program'!$P$38&lt;&gt;"",CD$3='Bonding Program'!$P$38,CD$3&lt;='Bonding Program'!$C$8),N('Bonding Program'!$O$38),0)</f>
        <v>0</v>
      </c>
      <c r="CE179" s="19" t="n">
        <f aca="false">IF(AND('Bonding Program'!$S$38=1,'Bonding Program'!$H$38&gt;'Bonding Program'!$C$8,CE$3='Bonding Program'!$H$38),'Bonding Program'!$T$38-'Bonding Program'!$U$38-'Bonding Program'!$Z$38,0)-IF(AND('Bonding Program'!$S$38=1,'Bonding Program'!$H$38&lt;='Bonding Program'!$C$8,CE$3=IF('Bonding Program'!$P$38&lt;&gt;"",'Bonding Program'!$P$38,'Bonding Program'!$C$8)),'Bonding Program'!$Z$38,0)+IF(AND('Bonding Program'!$P$38&lt;&gt;"",CE$3='Bonding Program'!$P$38,CE$3&lt;='Bonding Program'!$C$8),N('Bonding Program'!$O$38),0)</f>
        <v>0</v>
      </c>
      <c r="CF179" s="19" t="n">
        <f aca="false">IF(AND('Bonding Program'!$S$38=1,'Bonding Program'!$H$38&gt;'Bonding Program'!$C$8,CF$3='Bonding Program'!$H$38),'Bonding Program'!$T$38-'Bonding Program'!$U$38-'Bonding Program'!$Z$38,0)-IF(AND('Bonding Program'!$S$38=1,'Bonding Program'!$H$38&lt;='Bonding Program'!$C$8,CF$3=IF('Bonding Program'!$P$38&lt;&gt;"",'Bonding Program'!$P$38,'Bonding Program'!$C$8)),'Bonding Program'!$Z$38,0)+IF(AND('Bonding Program'!$P$38&lt;&gt;"",CF$3='Bonding Program'!$P$38,CF$3&lt;='Bonding Program'!$C$8),N('Bonding Program'!$O$38),0)</f>
        <v>0</v>
      </c>
      <c r="CG179" s="19" t="n">
        <f aca="false">IF(AND('Bonding Program'!$S$38=1,'Bonding Program'!$H$38&gt;'Bonding Program'!$C$8,CG$3='Bonding Program'!$H$38),'Bonding Program'!$T$38-'Bonding Program'!$U$38-'Bonding Program'!$Z$38,0)-IF(AND('Bonding Program'!$S$38=1,'Bonding Program'!$H$38&lt;='Bonding Program'!$C$8,CG$3=IF('Bonding Program'!$P$38&lt;&gt;"",'Bonding Program'!$P$38,'Bonding Program'!$C$8)),'Bonding Program'!$Z$38,0)+IF(AND('Bonding Program'!$P$38&lt;&gt;"",CG$3='Bonding Program'!$P$38,CG$3&lt;='Bonding Program'!$C$8),N('Bonding Program'!$O$38),0)</f>
        <v>0</v>
      </c>
      <c r="CH179" s="19" t="n">
        <f aca="false">IF(AND('Bonding Program'!$S$38=1,'Bonding Program'!$H$38&gt;'Bonding Program'!$C$8,CH$3='Bonding Program'!$H$38),'Bonding Program'!$T$38-'Bonding Program'!$U$38-'Bonding Program'!$Z$38,0)-IF(AND('Bonding Program'!$S$38=1,'Bonding Program'!$H$38&lt;='Bonding Program'!$C$8,CH$3=IF('Bonding Program'!$P$38&lt;&gt;"",'Bonding Program'!$P$38,'Bonding Program'!$C$8)),'Bonding Program'!$Z$38,0)+IF(AND('Bonding Program'!$P$38&lt;&gt;"",CH$3='Bonding Program'!$P$38,CH$3&lt;='Bonding Program'!$C$8),N('Bonding Program'!$O$38),0)</f>
        <v>0</v>
      </c>
      <c r="CI179" s="19" t="n">
        <f aca="false">IF(AND('Bonding Program'!$S$38=1,'Bonding Program'!$H$38&gt;'Bonding Program'!$C$8,CI$3='Bonding Program'!$H$38),'Bonding Program'!$T$38-'Bonding Program'!$U$38-'Bonding Program'!$Z$38,0)-IF(AND('Bonding Program'!$S$38=1,'Bonding Program'!$H$38&lt;='Bonding Program'!$C$8,CI$3=IF('Bonding Program'!$P$38&lt;&gt;"",'Bonding Program'!$P$38,'Bonding Program'!$C$8)),'Bonding Program'!$Z$38,0)+IF(AND('Bonding Program'!$P$38&lt;&gt;"",CI$3='Bonding Program'!$P$38,CI$3&lt;='Bonding Program'!$C$8),N('Bonding Program'!$O$38),0)</f>
        <v>0</v>
      </c>
      <c r="CJ179" s="19" t="n">
        <f aca="false">IF(AND('Bonding Program'!$S$38=1,'Bonding Program'!$H$38&gt;'Bonding Program'!$C$8,CJ$3='Bonding Program'!$H$38),'Bonding Program'!$T$38-'Bonding Program'!$U$38-'Bonding Program'!$Z$38,0)-IF(AND('Bonding Program'!$S$38=1,'Bonding Program'!$H$38&lt;='Bonding Program'!$C$8,CJ$3=IF('Bonding Program'!$P$38&lt;&gt;"",'Bonding Program'!$P$38,'Bonding Program'!$C$8)),'Bonding Program'!$Z$38,0)+IF(AND('Bonding Program'!$P$38&lt;&gt;"",CJ$3='Bonding Program'!$P$38,CJ$3&lt;='Bonding Program'!$C$8),N('Bonding Program'!$O$38),0)</f>
        <v>0</v>
      </c>
      <c r="CK179" s="19" t="n">
        <f aca="false">IF(AND('Bonding Program'!$S$38=1,'Bonding Program'!$H$38&gt;'Bonding Program'!$C$8,CK$3='Bonding Program'!$H$38),'Bonding Program'!$T$38-'Bonding Program'!$U$38-'Bonding Program'!$Z$38,0)-IF(AND('Bonding Program'!$S$38=1,'Bonding Program'!$H$38&lt;='Bonding Program'!$C$8,CK$3=IF('Bonding Program'!$P$38&lt;&gt;"",'Bonding Program'!$P$38,'Bonding Program'!$C$8)),'Bonding Program'!$Z$38,0)+IF(AND('Bonding Program'!$P$38&lt;&gt;"",CK$3='Bonding Program'!$P$38,CK$3&lt;='Bonding Program'!$C$8),N('Bonding Program'!$O$38),0)</f>
        <v>0</v>
      </c>
      <c r="CL179" s="19" t="n">
        <f aca="false">IF(AND('Bonding Program'!$S$38=1,'Bonding Program'!$H$38&gt;'Bonding Program'!$C$8,CL$3='Bonding Program'!$H$38),'Bonding Program'!$T$38-'Bonding Program'!$U$38-'Bonding Program'!$Z$38,0)-IF(AND('Bonding Program'!$S$38=1,'Bonding Program'!$H$38&lt;='Bonding Program'!$C$8,CL$3=IF('Bonding Program'!$P$38&lt;&gt;"",'Bonding Program'!$P$38,'Bonding Program'!$C$8)),'Bonding Program'!$Z$38,0)+IF(AND('Bonding Program'!$P$38&lt;&gt;"",CL$3='Bonding Program'!$P$38,CL$3&lt;='Bonding Program'!$C$8),N('Bonding Program'!$O$38),0)</f>
        <v>0</v>
      </c>
      <c r="CM179" s="19" t="n">
        <f aca="false">IF(AND('Bonding Program'!$S$38=1,'Bonding Program'!$H$38&gt;'Bonding Program'!$C$8,CM$3='Bonding Program'!$H$38),'Bonding Program'!$T$38-'Bonding Program'!$U$38-'Bonding Program'!$Z$38,0)-IF(AND('Bonding Program'!$S$38=1,'Bonding Program'!$H$38&lt;='Bonding Program'!$C$8,CM$3=IF('Bonding Program'!$P$38&lt;&gt;"",'Bonding Program'!$P$38,'Bonding Program'!$C$8)),'Bonding Program'!$Z$38,0)+IF(AND('Bonding Program'!$P$38&lt;&gt;"",CM$3='Bonding Program'!$P$38,CM$3&lt;='Bonding Program'!$C$8),N('Bonding Program'!$O$38),0)</f>
        <v>0</v>
      </c>
      <c r="CN179" s="19" t="n">
        <f aca="false">IF(AND('Bonding Program'!$S$38=1,'Bonding Program'!$H$38&gt;'Bonding Program'!$C$8,CN$3='Bonding Program'!$H$38),'Bonding Program'!$T$38-'Bonding Program'!$U$38-'Bonding Program'!$Z$38,0)-IF(AND('Bonding Program'!$S$38=1,'Bonding Program'!$H$38&lt;='Bonding Program'!$C$8,CN$3=IF('Bonding Program'!$P$38&lt;&gt;"",'Bonding Program'!$P$38,'Bonding Program'!$C$8)),'Bonding Program'!$Z$38,0)+IF(AND('Bonding Program'!$P$38&lt;&gt;"",CN$3='Bonding Program'!$P$38,CN$3&lt;='Bonding Program'!$C$8),N('Bonding Program'!$O$38),0)</f>
        <v>0</v>
      </c>
      <c r="CO179" s="19" t="n">
        <f aca="false">IF(AND('Bonding Program'!$S$38=1,'Bonding Program'!$H$38&gt;'Bonding Program'!$C$8,CO$3='Bonding Program'!$H$38),'Bonding Program'!$T$38-'Bonding Program'!$U$38-'Bonding Program'!$Z$38,0)-IF(AND('Bonding Program'!$S$38=1,'Bonding Program'!$H$38&lt;='Bonding Program'!$C$8,CO$3=IF('Bonding Program'!$P$38&lt;&gt;"",'Bonding Program'!$P$38,'Bonding Program'!$C$8)),'Bonding Program'!$Z$38,0)+IF(AND('Bonding Program'!$P$38&lt;&gt;"",CO$3='Bonding Program'!$P$38,CO$3&lt;='Bonding Program'!$C$8),N('Bonding Program'!$O$38),0)</f>
        <v>0</v>
      </c>
      <c r="CP179" s="19" t="n">
        <f aca="false">IF(AND('Bonding Program'!$S$38=1,'Bonding Program'!$H$38&gt;'Bonding Program'!$C$8,CP$3='Bonding Program'!$H$38),'Bonding Program'!$T$38-'Bonding Program'!$U$38-'Bonding Program'!$Z$38,0)-IF(AND('Bonding Program'!$S$38=1,'Bonding Program'!$H$38&lt;='Bonding Program'!$C$8,CP$3=IF('Bonding Program'!$P$38&lt;&gt;"",'Bonding Program'!$P$38,'Bonding Program'!$C$8)),'Bonding Program'!$Z$38,0)+IF(AND('Bonding Program'!$P$38&lt;&gt;"",CP$3='Bonding Program'!$P$38,CP$3&lt;='Bonding Program'!$C$8),N('Bonding Program'!$O$38),0)</f>
        <v>0</v>
      </c>
      <c r="CQ179" s="19" t="n">
        <f aca="false">IF(AND('Bonding Program'!$S$38=1,'Bonding Program'!$H$38&gt;'Bonding Program'!$C$8,CQ$3='Bonding Program'!$H$38),'Bonding Program'!$T$38-'Bonding Program'!$U$38-'Bonding Program'!$Z$38,0)-IF(AND('Bonding Program'!$S$38=1,'Bonding Program'!$H$38&lt;='Bonding Program'!$C$8,CQ$3=IF('Bonding Program'!$P$38&lt;&gt;"",'Bonding Program'!$P$38,'Bonding Program'!$C$8)),'Bonding Program'!$Z$38,0)+IF(AND('Bonding Program'!$P$38&lt;&gt;"",CQ$3='Bonding Program'!$P$38,CQ$3&lt;='Bonding Program'!$C$8),N('Bonding Program'!$O$38),0)</f>
        <v>0</v>
      </c>
      <c r="CR179" s="19" t="n">
        <f aca="false">IF(AND('Bonding Program'!$S$38=1,'Bonding Program'!$H$38&gt;'Bonding Program'!$C$8,CR$3='Bonding Program'!$H$38),'Bonding Program'!$T$38-'Bonding Program'!$U$38-'Bonding Program'!$Z$38,0)-IF(AND('Bonding Program'!$S$38=1,'Bonding Program'!$H$38&lt;='Bonding Program'!$C$8,CR$3=IF('Bonding Program'!$P$38&lt;&gt;"",'Bonding Program'!$P$38,'Bonding Program'!$C$8)),'Bonding Program'!$Z$38,0)+IF(AND('Bonding Program'!$P$38&lt;&gt;"",CR$3='Bonding Program'!$P$38,CR$3&lt;='Bonding Program'!$C$8),N('Bonding Program'!$O$38),0)</f>
        <v>0</v>
      </c>
      <c r="CS179" s="19" t="n">
        <f aca="false">IF(AND('Bonding Program'!$S$38=1,'Bonding Program'!$H$38&gt;'Bonding Program'!$C$8,CS$3='Bonding Program'!$H$38),'Bonding Program'!$T$38-'Bonding Program'!$U$38-'Bonding Program'!$Z$38,0)-IF(AND('Bonding Program'!$S$38=1,'Bonding Program'!$H$38&lt;='Bonding Program'!$C$8,CS$3=IF('Bonding Program'!$P$38&lt;&gt;"",'Bonding Program'!$P$38,'Bonding Program'!$C$8)),'Bonding Program'!$Z$38,0)+IF(AND('Bonding Program'!$P$38&lt;&gt;"",CS$3='Bonding Program'!$P$38,CS$3&lt;='Bonding Program'!$C$8),N('Bonding Program'!$O$38),0)</f>
        <v>0</v>
      </c>
      <c r="CT179" s="19" t="n">
        <f aca="false">IF(AND('Bonding Program'!$S$38=1,'Bonding Program'!$H$38&gt;'Bonding Program'!$C$8,CT$3='Bonding Program'!$H$38),'Bonding Program'!$T$38-'Bonding Program'!$U$38-'Bonding Program'!$Z$38,0)-IF(AND('Bonding Program'!$S$38=1,'Bonding Program'!$H$38&lt;='Bonding Program'!$C$8,CT$3=IF('Bonding Program'!$P$38&lt;&gt;"",'Bonding Program'!$P$38,'Bonding Program'!$C$8)),'Bonding Program'!$Z$38,0)+IF(AND('Bonding Program'!$P$38&lt;&gt;"",CT$3='Bonding Program'!$P$38,CT$3&lt;='Bonding Program'!$C$8),N('Bonding Program'!$O$38),0)</f>
        <v>0</v>
      </c>
      <c r="CU179" s="19" t="n">
        <f aca="false">IF(AND('Bonding Program'!$S$38=1,'Bonding Program'!$H$38&gt;'Bonding Program'!$C$8,CU$3='Bonding Program'!$H$38),'Bonding Program'!$T$38-'Bonding Program'!$U$38-'Bonding Program'!$Z$38,0)-IF(AND('Bonding Program'!$S$38=1,'Bonding Program'!$H$38&lt;='Bonding Program'!$C$8,CU$3=IF('Bonding Program'!$P$38&lt;&gt;"",'Bonding Program'!$P$38,'Bonding Program'!$C$8)),'Bonding Program'!$Z$38,0)+IF(AND('Bonding Program'!$P$38&lt;&gt;"",CU$3='Bonding Program'!$P$38,CU$3&lt;='Bonding Program'!$C$8),N('Bonding Program'!$O$38),0)</f>
        <v>0</v>
      </c>
      <c r="CV179" s="19" t="n">
        <f aca="false">IF(AND('Bonding Program'!$S$38=1,'Bonding Program'!$H$38&gt;'Bonding Program'!$C$8,CV$3='Bonding Program'!$H$38),'Bonding Program'!$T$38-'Bonding Program'!$U$38-'Bonding Program'!$Z$38,0)-IF(AND('Bonding Program'!$S$38=1,'Bonding Program'!$H$38&lt;='Bonding Program'!$C$8,CV$3=IF('Bonding Program'!$P$38&lt;&gt;"",'Bonding Program'!$P$38,'Bonding Program'!$C$8)),'Bonding Program'!$Z$38,0)+IF(AND('Bonding Program'!$P$38&lt;&gt;"",CV$3='Bonding Program'!$P$38,CV$3&lt;='Bonding Program'!$C$8),N('Bonding Program'!$O$38),0)</f>
        <v>0</v>
      </c>
      <c r="CW179" s="19" t="n">
        <f aca="false">IF(AND('Bonding Program'!$S$38=1,'Bonding Program'!$H$38&gt;'Bonding Program'!$C$8,CW$3='Bonding Program'!$H$38),'Bonding Program'!$T$38-'Bonding Program'!$U$38-'Bonding Program'!$Z$38,0)-IF(AND('Bonding Program'!$S$38=1,'Bonding Program'!$H$38&lt;='Bonding Program'!$C$8,CW$3=IF('Bonding Program'!$P$38&lt;&gt;"",'Bonding Program'!$P$38,'Bonding Program'!$C$8)),'Bonding Program'!$Z$38,0)+IF(AND('Bonding Program'!$P$38&lt;&gt;"",CW$3='Bonding Program'!$P$38,CW$3&lt;='Bonding Program'!$C$8),N('Bonding Program'!$O$38),0)</f>
        <v>0</v>
      </c>
      <c r="CX179" s="19" t="n">
        <f aca="false">IF(AND('Bonding Program'!$S$38=1,'Bonding Program'!$H$38&gt;'Bonding Program'!$C$8,CX$3='Bonding Program'!$H$38),'Bonding Program'!$T$38-'Bonding Program'!$U$38-'Bonding Program'!$Z$38,0)-IF(AND('Bonding Program'!$S$38=1,'Bonding Program'!$H$38&lt;='Bonding Program'!$C$8,CX$3=IF('Bonding Program'!$P$38&lt;&gt;"",'Bonding Program'!$P$38,'Bonding Program'!$C$8)),'Bonding Program'!$Z$38,0)+IF(AND('Bonding Program'!$P$38&lt;&gt;"",CX$3='Bonding Program'!$P$38,CX$3&lt;='Bonding Program'!$C$8),N('Bonding Program'!$O$38),0)</f>
        <v>0</v>
      </c>
      <c r="CY179" s="19" t="n">
        <f aca="false">IF(AND('Bonding Program'!$S$38=1,'Bonding Program'!$H$38&gt;'Bonding Program'!$C$8,CY$3='Bonding Program'!$H$38),'Bonding Program'!$T$38-'Bonding Program'!$U$38-'Bonding Program'!$Z$38,0)-IF(AND('Bonding Program'!$S$38=1,'Bonding Program'!$H$38&lt;='Bonding Program'!$C$8,CY$3=IF('Bonding Program'!$P$38&lt;&gt;"",'Bonding Program'!$P$38,'Bonding Program'!$C$8)),'Bonding Program'!$Z$38,0)+IF(AND('Bonding Program'!$P$38&lt;&gt;"",CY$3='Bonding Program'!$P$38,CY$3&lt;='Bonding Program'!$C$8),N('Bonding Program'!$O$38),0)</f>
        <v>0</v>
      </c>
      <c r="CZ179" s="19" t="n">
        <f aca="false">IF(AND('Bonding Program'!$S$38=1,'Bonding Program'!$H$38&gt;'Bonding Program'!$C$8,CZ$3='Bonding Program'!$H$38),'Bonding Program'!$T$38-'Bonding Program'!$U$38-'Bonding Program'!$Z$38,0)-IF(AND('Bonding Program'!$S$38=1,'Bonding Program'!$H$38&lt;='Bonding Program'!$C$8,CZ$3=IF('Bonding Program'!$P$38&lt;&gt;"",'Bonding Program'!$P$38,'Bonding Program'!$C$8)),'Bonding Program'!$Z$38,0)+IF(AND('Bonding Program'!$P$38&lt;&gt;"",CZ$3='Bonding Program'!$P$38,CZ$3&lt;='Bonding Program'!$C$8),N('Bonding Program'!$O$38),0)</f>
        <v>0</v>
      </c>
      <c r="DA179" s="19" t="n">
        <f aca="false">IF(AND('Bonding Program'!$S$38=1,'Bonding Program'!$H$38&gt;'Bonding Program'!$C$8,DA$3='Bonding Program'!$H$38),'Bonding Program'!$T$38-'Bonding Program'!$U$38-'Bonding Program'!$Z$38,0)-IF(AND('Bonding Program'!$S$38=1,'Bonding Program'!$H$38&lt;='Bonding Program'!$C$8,DA$3=IF('Bonding Program'!$P$38&lt;&gt;"",'Bonding Program'!$P$38,'Bonding Program'!$C$8)),'Bonding Program'!$Z$38,0)+IF(AND('Bonding Program'!$P$38&lt;&gt;"",DA$3='Bonding Program'!$P$38,DA$3&lt;='Bonding Program'!$C$8),N('Bonding Program'!$O$38),0)</f>
        <v>0</v>
      </c>
      <c r="DB179" s="19" t="n">
        <f aca="false">IF(AND('Bonding Program'!$S$38=1,'Bonding Program'!$H$38&gt;'Bonding Program'!$C$8,DB$3='Bonding Program'!$H$38),'Bonding Program'!$T$38-'Bonding Program'!$U$38-'Bonding Program'!$Z$38,0)-IF(AND('Bonding Program'!$S$38=1,'Bonding Program'!$H$38&lt;='Bonding Program'!$C$8,DB$3=IF('Bonding Program'!$P$38&lt;&gt;"",'Bonding Program'!$P$38,'Bonding Program'!$C$8)),'Bonding Program'!$Z$38,0)+IF(AND('Bonding Program'!$P$38&lt;&gt;"",DB$3='Bonding Program'!$P$38,DB$3&lt;='Bonding Program'!$C$8),N('Bonding Program'!$O$38),0)</f>
        <v>0</v>
      </c>
      <c r="DC179" s="19" t="n">
        <f aca="false">IF(AND('Bonding Program'!$S$38=1,'Bonding Program'!$H$38&gt;'Bonding Program'!$C$8,DC$3='Bonding Program'!$H$38),'Bonding Program'!$T$38-'Bonding Program'!$U$38-'Bonding Program'!$Z$38,0)-IF(AND('Bonding Program'!$S$38=1,'Bonding Program'!$H$38&lt;='Bonding Program'!$C$8,DC$3=IF('Bonding Program'!$P$38&lt;&gt;"",'Bonding Program'!$P$38,'Bonding Program'!$C$8)),'Bonding Program'!$Z$38,0)+IF(AND('Bonding Program'!$P$38&lt;&gt;"",DC$3='Bonding Program'!$P$38,DC$3&lt;='Bonding Program'!$C$8),N('Bonding Program'!$O$38),0)</f>
        <v>0</v>
      </c>
      <c r="DD179" s="19" t="n">
        <f aca="false">IF(AND('Bonding Program'!$S$38=1,'Bonding Program'!$H$38&gt;'Bonding Program'!$C$8,DD$3='Bonding Program'!$H$38),'Bonding Program'!$T$38-'Bonding Program'!$U$38-'Bonding Program'!$Z$38,0)-IF(AND('Bonding Program'!$S$38=1,'Bonding Program'!$H$38&lt;='Bonding Program'!$C$8,DD$3=IF('Bonding Program'!$P$38&lt;&gt;"",'Bonding Program'!$P$38,'Bonding Program'!$C$8)),'Bonding Program'!$Z$38,0)+IF(AND('Bonding Program'!$P$38&lt;&gt;"",DD$3='Bonding Program'!$P$38,DD$3&lt;='Bonding Program'!$C$8),N('Bonding Program'!$O$38),0)</f>
        <v>0</v>
      </c>
      <c r="DE179" s="19" t="n">
        <f aca="false">IF(AND('Bonding Program'!$S$38=1,'Bonding Program'!$H$38&gt;'Bonding Program'!$C$8,DE$3='Bonding Program'!$H$38),'Bonding Program'!$T$38-'Bonding Program'!$U$38-'Bonding Program'!$Z$38,0)-IF(AND('Bonding Program'!$S$38=1,'Bonding Program'!$H$38&lt;='Bonding Program'!$C$8,DE$3=IF('Bonding Program'!$P$38&lt;&gt;"",'Bonding Program'!$P$38,'Bonding Program'!$C$8)),'Bonding Program'!$Z$38,0)+IF(AND('Bonding Program'!$P$38&lt;&gt;"",DE$3='Bonding Program'!$P$38,DE$3&lt;='Bonding Program'!$C$8),N('Bonding Program'!$O$38),0)</f>
        <v>0</v>
      </c>
    </row>
    <row r="180" customFormat="false" ht="15" hidden="false" customHeight="true" outlineLevel="1" collapsed="false">
      <c r="A180" s="28" t="s">
        <v>35</v>
      </c>
      <c r="B180" s="19" t="n">
        <f aca="false">IF(AND('Bonding Program'!$S$39=1,'Bonding Program'!$H$39&gt;'Bonding Program'!$C$8,B$3='Bonding Program'!$H$39),'Bonding Program'!$T$39-'Bonding Program'!$U$39-'Bonding Program'!$Z$39,0)-IF(AND('Bonding Program'!$S$39=1,'Bonding Program'!$H$39&lt;='Bonding Program'!$C$8,B$3=IF('Bonding Program'!$P$39&lt;&gt;"",'Bonding Program'!$P$39,'Bonding Program'!$C$8)),'Bonding Program'!$Z$39,0)+IF(AND('Bonding Program'!$P$39&lt;&gt;"",B$3='Bonding Program'!$P$39,B$3&lt;='Bonding Program'!$C$8),N('Bonding Program'!$O$39),0)</f>
        <v>0</v>
      </c>
      <c r="C180" s="19" t="n">
        <f aca="false">IF(AND('Bonding Program'!$S$39=1,'Bonding Program'!$H$39&gt;'Bonding Program'!$C$8,C$3='Bonding Program'!$H$39),'Bonding Program'!$T$39-'Bonding Program'!$U$39-'Bonding Program'!$Z$39,0)-IF(AND('Bonding Program'!$S$39=1,'Bonding Program'!$H$39&lt;='Bonding Program'!$C$8,C$3=IF('Bonding Program'!$P$39&lt;&gt;"",'Bonding Program'!$P$39,'Bonding Program'!$C$8)),'Bonding Program'!$Z$39,0)+IF(AND('Bonding Program'!$P$39&lt;&gt;"",C$3='Bonding Program'!$P$39,C$3&lt;='Bonding Program'!$C$8),N('Bonding Program'!$O$39),0)</f>
        <v>0</v>
      </c>
      <c r="D180" s="19" t="n">
        <f aca="false">IF(AND('Bonding Program'!$S$39=1,'Bonding Program'!$H$39&gt;'Bonding Program'!$C$8,D$3='Bonding Program'!$H$39),'Bonding Program'!$T$39-'Bonding Program'!$U$39-'Bonding Program'!$Z$39,0)-IF(AND('Bonding Program'!$S$39=1,'Bonding Program'!$H$39&lt;='Bonding Program'!$C$8,D$3=IF('Bonding Program'!$P$39&lt;&gt;"",'Bonding Program'!$P$39,'Bonding Program'!$C$8)),'Bonding Program'!$Z$39,0)+IF(AND('Bonding Program'!$P$39&lt;&gt;"",D$3='Bonding Program'!$P$39,D$3&lt;='Bonding Program'!$C$8),N('Bonding Program'!$O$39),0)</f>
        <v>0</v>
      </c>
      <c r="E180" s="19" t="n">
        <f aca="false">IF(AND('Bonding Program'!$S$39=1,'Bonding Program'!$H$39&gt;'Bonding Program'!$C$8,E$3='Bonding Program'!$H$39),'Bonding Program'!$T$39-'Bonding Program'!$U$39-'Bonding Program'!$Z$39,0)-IF(AND('Bonding Program'!$S$39=1,'Bonding Program'!$H$39&lt;='Bonding Program'!$C$8,E$3=IF('Bonding Program'!$P$39&lt;&gt;"",'Bonding Program'!$P$39,'Bonding Program'!$C$8)),'Bonding Program'!$Z$39,0)+IF(AND('Bonding Program'!$P$39&lt;&gt;"",E$3='Bonding Program'!$P$39,E$3&lt;='Bonding Program'!$C$8),N('Bonding Program'!$O$39),0)</f>
        <v>0</v>
      </c>
      <c r="F180" s="19" t="n">
        <f aca="false">IF(AND('Bonding Program'!$S$39=1,'Bonding Program'!$H$39&gt;'Bonding Program'!$C$8,F$3='Bonding Program'!$H$39),'Bonding Program'!$T$39-'Bonding Program'!$U$39-'Bonding Program'!$Z$39,0)-IF(AND('Bonding Program'!$S$39=1,'Bonding Program'!$H$39&lt;='Bonding Program'!$C$8,F$3=IF('Bonding Program'!$P$39&lt;&gt;"",'Bonding Program'!$P$39,'Bonding Program'!$C$8)),'Bonding Program'!$Z$39,0)+IF(AND('Bonding Program'!$P$39&lt;&gt;"",F$3='Bonding Program'!$P$39,F$3&lt;='Bonding Program'!$C$8),N('Bonding Program'!$O$39),0)</f>
        <v>0</v>
      </c>
      <c r="G180" s="19" t="n">
        <f aca="false">IF(AND('Bonding Program'!$S$39=1,'Bonding Program'!$H$39&gt;'Bonding Program'!$C$8,G$3='Bonding Program'!$H$39),'Bonding Program'!$T$39-'Bonding Program'!$U$39-'Bonding Program'!$Z$39,0)-IF(AND('Bonding Program'!$S$39=1,'Bonding Program'!$H$39&lt;='Bonding Program'!$C$8,G$3=IF('Bonding Program'!$P$39&lt;&gt;"",'Bonding Program'!$P$39,'Bonding Program'!$C$8)),'Bonding Program'!$Z$39,0)+IF(AND('Bonding Program'!$P$39&lt;&gt;"",G$3='Bonding Program'!$P$39,G$3&lt;='Bonding Program'!$C$8),N('Bonding Program'!$O$39),0)</f>
        <v>0</v>
      </c>
      <c r="H180" s="19" t="n">
        <f aca="false">IF(AND('Bonding Program'!$S$39=1,'Bonding Program'!$H$39&gt;'Bonding Program'!$C$8,H$3='Bonding Program'!$H$39),'Bonding Program'!$T$39-'Bonding Program'!$U$39-'Bonding Program'!$Z$39,0)-IF(AND('Bonding Program'!$S$39=1,'Bonding Program'!$H$39&lt;='Bonding Program'!$C$8,H$3=IF('Bonding Program'!$P$39&lt;&gt;"",'Bonding Program'!$P$39,'Bonding Program'!$C$8)),'Bonding Program'!$Z$39,0)+IF(AND('Bonding Program'!$P$39&lt;&gt;"",H$3='Bonding Program'!$P$39,H$3&lt;='Bonding Program'!$C$8),N('Bonding Program'!$O$39),0)</f>
        <v>0</v>
      </c>
      <c r="I180" s="19" t="n">
        <f aca="false">IF(AND('Bonding Program'!$S$39=1,'Bonding Program'!$H$39&gt;'Bonding Program'!$C$8,I$3='Bonding Program'!$H$39),'Bonding Program'!$T$39-'Bonding Program'!$U$39-'Bonding Program'!$Z$39,0)-IF(AND('Bonding Program'!$S$39=1,'Bonding Program'!$H$39&lt;='Bonding Program'!$C$8,I$3=IF('Bonding Program'!$P$39&lt;&gt;"",'Bonding Program'!$P$39,'Bonding Program'!$C$8)),'Bonding Program'!$Z$39,0)+IF(AND('Bonding Program'!$P$39&lt;&gt;"",I$3='Bonding Program'!$P$39,I$3&lt;='Bonding Program'!$C$8),N('Bonding Program'!$O$39),0)</f>
        <v>0</v>
      </c>
      <c r="J180" s="19" t="n">
        <f aca="false">IF(AND('Bonding Program'!$S$39=1,'Bonding Program'!$H$39&gt;'Bonding Program'!$C$8,J$3='Bonding Program'!$H$39),'Bonding Program'!$T$39-'Bonding Program'!$U$39-'Bonding Program'!$Z$39,0)-IF(AND('Bonding Program'!$S$39=1,'Bonding Program'!$H$39&lt;='Bonding Program'!$C$8,J$3=IF('Bonding Program'!$P$39&lt;&gt;"",'Bonding Program'!$P$39,'Bonding Program'!$C$8)),'Bonding Program'!$Z$39,0)+IF(AND('Bonding Program'!$P$39&lt;&gt;"",J$3='Bonding Program'!$P$39,J$3&lt;='Bonding Program'!$C$8),N('Bonding Program'!$O$39),0)</f>
        <v>0</v>
      </c>
      <c r="K180" s="19" t="n">
        <f aca="false">IF(AND('Bonding Program'!$S$39=1,'Bonding Program'!$H$39&gt;'Bonding Program'!$C$8,K$3='Bonding Program'!$H$39),'Bonding Program'!$T$39-'Bonding Program'!$U$39-'Bonding Program'!$Z$39,0)-IF(AND('Bonding Program'!$S$39=1,'Bonding Program'!$H$39&lt;='Bonding Program'!$C$8,K$3=IF('Bonding Program'!$P$39&lt;&gt;"",'Bonding Program'!$P$39,'Bonding Program'!$C$8)),'Bonding Program'!$Z$39,0)+IF(AND('Bonding Program'!$P$39&lt;&gt;"",K$3='Bonding Program'!$P$39,K$3&lt;='Bonding Program'!$C$8),N('Bonding Program'!$O$39),0)</f>
        <v>0</v>
      </c>
      <c r="L180" s="19" t="n">
        <f aca="false">IF(AND('Bonding Program'!$S$39=1,'Bonding Program'!$H$39&gt;'Bonding Program'!$C$8,L$3='Bonding Program'!$H$39),'Bonding Program'!$T$39-'Bonding Program'!$U$39-'Bonding Program'!$Z$39,0)-IF(AND('Bonding Program'!$S$39=1,'Bonding Program'!$H$39&lt;='Bonding Program'!$C$8,L$3=IF('Bonding Program'!$P$39&lt;&gt;"",'Bonding Program'!$P$39,'Bonding Program'!$C$8)),'Bonding Program'!$Z$39,0)+IF(AND('Bonding Program'!$P$39&lt;&gt;"",L$3='Bonding Program'!$P$39,L$3&lt;='Bonding Program'!$C$8),N('Bonding Program'!$O$39),0)</f>
        <v>0</v>
      </c>
      <c r="M180" s="19" t="n">
        <f aca="false">IF(AND('Bonding Program'!$S$39=1,'Bonding Program'!$H$39&gt;'Bonding Program'!$C$8,M$3='Bonding Program'!$H$39),'Bonding Program'!$T$39-'Bonding Program'!$U$39-'Bonding Program'!$Z$39,0)-IF(AND('Bonding Program'!$S$39=1,'Bonding Program'!$H$39&lt;='Bonding Program'!$C$8,M$3=IF('Bonding Program'!$P$39&lt;&gt;"",'Bonding Program'!$P$39,'Bonding Program'!$C$8)),'Bonding Program'!$Z$39,0)+IF(AND('Bonding Program'!$P$39&lt;&gt;"",M$3='Bonding Program'!$P$39,M$3&lt;='Bonding Program'!$C$8),N('Bonding Program'!$O$39),0)</f>
        <v>0</v>
      </c>
      <c r="N180" s="19" t="n">
        <f aca="false">IF(AND('Bonding Program'!$S$39=1,'Bonding Program'!$H$39&gt;'Bonding Program'!$C$8,N$3='Bonding Program'!$H$39),'Bonding Program'!$T$39-'Bonding Program'!$U$39-'Bonding Program'!$Z$39,0)-IF(AND('Bonding Program'!$S$39=1,'Bonding Program'!$H$39&lt;='Bonding Program'!$C$8,N$3=IF('Bonding Program'!$P$39&lt;&gt;"",'Bonding Program'!$P$39,'Bonding Program'!$C$8)),'Bonding Program'!$Z$39,0)+IF(AND('Bonding Program'!$P$39&lt;&gt;"",N$3='Bonding Program'!$P$39,N$3&lt;='Bonding Program'!$C$8),N('Bonding Program'!$O$39),0)</f>
        <v>0</v>
      </c>
      <c r="O180" s="19" t="n">
        <f aca="false">IF(AND('Bonding Program'!$S$39=1,'Bonding Program'!$H$39&gt;'Bonding Program'!$C$8,O$3='Bonding Program'!$H$39),'Bonding Program'!$T$39-'Bonding Program'!$U$39-'Bonding Program'!$Z$39,0)-IF(AND('Bonding Program'!$S$39=1,'Bonding Program'!$H$39&lt;='Bonding Program'!$C$8,O$3=IF('Bonding Program'!$P$39&lt;&gt;"",'Bonding Program'!$P$39,'Bonding Program'!$C$8)),'Bonding Program'!$Z$39,0)+IF(AND('Bonding Program'!$P$39&lt;&gt;"",O$3='Bonding Program'!$P$39,O$3&lt;='Bonding Program'!$C$8),N('Bonding Program'!$O$39),0)</f>
        <v>0</v>
      </c>
      <c r="P180" s="19" t="n">
        <f aca="false">IF(AND('Bonding Program'!$S$39=1,'Bonding Program'!$H$39&gt;'Bonding Program'!$C$8,P$3='Bonding Program'!$H$39),'Bonding Program'!$T$39-'Bonding Program'!$U$39-'Bonding Program'!$Z$39,0)-IF(AND('Bonding Program'!$S$39=1,'Bonding Program'!$H$39&lt;='Bonding Program'!$C$8,P$3=IF('Bonding Program'!$P$39&lt;&gt;"",'Bonding Program'!$P$39,'Bonding Program'!$C$8)),'Bonding Program'!$Z$39,0)+IF(AND('Bonding Program'!$P$39&lt;&gt;"",P$3='Bonding Program'!$P$39,P$3&lt;='Bonding Program'!$C$8),N('Bonding Program'!$O$39),0)</f>
        <v>0</v>
      </c>
      <c r="Q180" s="19" t="n">
        <f aca="false">IF(AND('Bonding Program'!$S$39=1,'Bonding Program'!$H$39&gt;'Bonding Program'!$C$8,Q$3='Bonding Program'!$H$39),'Bonding Program'!$T$39-'Bonding Program'!$U$39-'Bonding Program'!$Z$39,0)-IF(AND('Bonding Program'!$S$39=1,'Bonding Program'!$H$39&lt;='Bonding Program'!$C$8,Q$3=IF('Bonding Program'!$P$39&lt;&gt;"",'Bonding Program'!$P$39,'Bonding Program'!$C$8)),'Bonding Program'!$Z$39,0)+IF(AND('Bonding Program'!$P$39&lt;&gt;"",Q$3='Bonding Program'!$P$39,Q$3&lt;='Bonding Program'!$C$8),N('Bonding Program'!$O$39),0)</f>
        <v>0</v>
      </c>
      <c r="R180" s="19" t="n">
        <f aca="false">IF(AND('Bonding Program'!$S$39=1,'Bonding Program'!$H$39&gt;'Bonding Program'!$C$8,R$3='Bonding Program'!$H$39),'Bonding Program'!$T$39-'Bonding Program'!$U$39-'Bonding Program'!$Z$39,0)-IF(AND('Bonding Program'!$S$39=1,'Bonding Program'!$H$39&lt;='Bonding Program'!$C$8,R$3=IF('Bonding Program'!$P$39&lt;&gt;"",'Bonding Program'!$P$39,'Bonding Program'!$C$8)),'Bonding Program'!$Z$39,0)+IF(AND('Bonding Program'!$P$39&lt;&gt;"",R$3='Bonding Program'!$P$39,R$3&lt;='Bonding Program'!$C$8),N('Bonding Program'!$O$39),0)</f>
        <v>0</v>
      </c>
      <c r="S180" s="19" t="n">
        <f aca="false">IF(AND('Bonding Program'!$S$39=1,'Bonding Program'!$H$39&gt;'Bonding Program'!$C$8,S$3='Bonding Program'!$H$39),'Bonding Program'!$T$39-'Bonding Program'!$U$39-'Bonding Program'!$Z$39,0)-IF(AND('Bonding Program'!$S$39=1,'Bonding Program'!$H$39&lt;='Bonding Program'!$C$8,S$3=IF('Bonding Program'!$P$39&lt;&gt;"",'Bonding Program'!$P$39,'Bonding Program'!$C$8)),'Bonding Program'!$Z$39,0)+IF(AND('Bonding Program'!$P$39&lt;&gt;"",S$3='Bonding Program'!$P$39,S$3&lt;='Bonding Program'!$C$8),N('Bonding Program'!$O$39),0)</f>
        <v>0</v>
      </c>
      <c r="T180" s="19" t="n">
        <f aca="false">IF(AND('Bonding Program'!$S$39=1,'Bonding Program'!$H$39&gt;'Bonding Program'!$C$8,T$3='Bonding Program'!$H$39),'Bonding Program'!$T$39-'Bonding Program'!$U$39-'Bonding Program'!$Z$39,0)-IF(AND('Bonding Program'!$S$39=1,'Bonding Program'!$H$39&lt;='Bonding Program'!$C$8,T$3=IF('Bonding Program'!$P$39&lt;&gt;"",'Bonding Program'!$P$39,'Bonding Program'!$C$8)),'Bonding Program'!$Z$39,0)+IF(AND('Bonding Program'!$P$39&lt;&gt;"",T$3='Bonding Program'!$P$39,T$3&lt;='Bonding Program'!$C$8),N('Bonding Program'!$O$39),0)</f>
        <v>0</v>
      </c>
      <c r="U180" s="19" t="n">
        <f aca="false">IF(AND('Bonding Program'!$S$39=1,'Bonding Program'!$H$39&gt;'Bonding Program'!$C$8,U$3='Bonding Program'!$H$39),'Bonding Program'!$T$39-'Bonding Program'!$U$39-'Bonding Program'!$Z$39,0)-IF(AND('Bonding Program'!$S$39=1,'Bonding Program'!$H$39&lt;='Bonding Program'!$C$8,U$3=IF('Bonding Program'!$P$39&lt;&gt;"",'Bonding Program'!$P$39,'Bonding Program'!$C$8)),'Bonding Program'!$Z$39,0)+IF(AND('Bonding Program'!$P$39&lt;&gt;"",U$3='Bonding Program'!$P$39,U$3&lt;='Bonding Program'!$C$8),N('Bonding Program'!$O$39),0)</f>
        <v>0</v>
      </c>
      <c r="V180" s="19" t="n">
        <f aca="false">IF(AND('Bonding Program'!$S$39=1,'Bonding Program'!$H$39&gt;'Bonding Program'!$C$8,V$3='Bonding Program'!$H$39),'Bonding Program'!$T$39-'Bonding Program'!$U$39-'Bonding Program'!$Z$39,0)-IF(AND('Bonding Program'!$S$39=1,'Bonding Program'!$H$39&lt;='Bonding Program'!$C$8,V$3=IF('Bonding Program'!$P$39&lt;&gt;"",'Bonding Program'!$P$39,'Bonding Program'!$C$8)),'Bonding Program'!$Z$39,0)+IF(AND('Bonding Program'!$P$39&lt;&gt;"",V$3='Bonding Program'!$P$39,V$3&lt;='Bonding Program'!$C$8),N('Bonding Program'!$O$39),0)</f>
        <v>0</v>
      </c>
      <c r="W180" s="19" t="n">
        <f aca="false">IF(AND('Bonding Program'!$S$39=1,'Bonding Program'!$H$39&gt;'Bonding Program'!$C$8,W$3='Bonding Program'!$H$39),'Bonding Program'!$T$39-'Bonding Program'!$U$39-'Bonding Program'!$Z$39,0)-IF(AND('Bonding Program'!$S$39=1,'Bonding Program'!$H$39&lt;='Bonding Program'!$C$8,W$3=IF('Bonding Program'!$P$39&lt;&gt;"",'Bonding Program'!$P$39,'Bonding Program'!$C$8)),'Bonding Program'!$Z$39,0)+IF(AND('Bonding Program'!$P$39&lt;&gt;"",W$3='Bonding Program'!$P$39,W$3&lt;='Bonding Program'!$C$8),N('Bonding Program'!$O$39),0)</f>
        <v>0</v>
      </c>
      <c r="X180" s="19" t="n">
        <f aca="false">IF(AND('Bonding Program'!$S$39=1,'Bonding Program'!$H$39&gt;'Bonding Program'!$C$8,X$3='Bonding Program'!$H$39),'Bonding Program'!$T$39-'Bonding Program'!$U$39-'Bonding Program'!$Z$39,0)-IF(AND('Bonding Program'!$S$39=1,'Bonding Program'!$H$39&lt;='Bonding Program'!$C$8,X$3=IF('Bonding Program'!$P$39&lt;&gt;"",'Bonding Program'!$P$39,'Bonding Program'!$C$8)),'Bonding Program'!$Z$39,0)+IF(AND('Bonding Program'!$P$39&lt;&gt;"",X$3='Bonding Program'!$P$39,X$3&lt;='Bonding Program'!$C$8),N('Bonding Program'!$O$39),0)</f>
        <v>0</v>
      </c>
      <c r="Y180" s="19" t="n">
        <f aca="false">IF(AND('Bonding Program'!$S$39=1,'Bonding Program'!$H$39&gt;'Bonding Program'!$C$8,Y$3='Bonding Program'!$H$39),'Bonding Program'!$T$39-'Bonding Program'!$U$39-'Bonding Program'!$Z$39,0)-IF(AND('Bonding Program'!$S$39=1,'Bonding Program'!$H$39&lt;='Bonding Program'!$C$8,Y$3=IF('Bonding Program'!$P$39&lt;&gt;"",'Bonding Program'!$P$39,'Bonding Program'!$C$8)),'Bonding Program'!$Z$39,0)+IF(AND('Bonding Program'!$P$39&lt;&gt;"",Y$3='Bonding Program'!$P$39,Y$3&lt;='Bonding Program'!$C$8),N('Bonding Program'!$O$39),0)</f>
        <v>0</v>
      </c>
      <c r="Z180" s="19" t="n">
        <f aca="false">IF(AND('Bonding Program'!$S$39=1,'Bonding Program'!$H$39&gt;'Bonding Program'!$C$8,Z$3='Bonding Program'!$H$39),'Bonding Program'!$T$39-'Bonding Program'!$U$39-'Bonding Program'!$Z$39,0)-IF(AND('Bonding Program'!$S$39=1,'Bonding Program'!$H$39&lt;='Bonding Program'!$C$8,Z$3=IF('Bonding Program'!$P$39&lt;&gt;"",'Bonding Program'!$P$39,'Bonding Program'!$C$8)),'Bonding Program'!$Z$39,0)+IF(AND('Bonding Program'!$P$39&lt;&gt;"",Z$3='Bonding Program'!$P$39,Z$3&lt;='Bonding Program'!$C$8),N('Bonding Program'!$O$39),0)</f>
        <v>0</v>
      </c>
      <c r="AA180" s="19" t="n">
        <f aca="false">IF(AND('Bonding Program'!$S$39=1,'Bonding Program'!$H$39&gt;'Bonding Program'!$C$8,AA$3='Bonding Program'!$H$39),'Bonding Program'!$T$39-'Bonding Program'!$U$39-'Bonding Program'!$Z$39,0)-IF(AND('Bonding Program'!$S$39=1,'Bonding Program'!$H$39&lt;='Bonding Program'!$C$8,AA$3=IF('Bonding Program'!$P$39&lt;&gt;"",'Bonding Program'!$P$39,'Bonding Program'!$C$8)),'Bonding Program'!$Z$39,0)+IF(AND('Bonding Program'!$P$39&lt;&gt;"",AA$3='Bonding Program'!$P$39,AA$3&lt;='Bonding Program'!$C$8),N('Bonding Program'!$O$39),0)</f>
        <v>0</v>
      </c>
      <c r="AB180" s="19" t="n">
        <f aca="false">IF(AND('Bonding Program'!$S$39=1,'Bonding Program'!$H$39&gt;'Bonding Program'!$C$8,AB$3='Bonding Program'!$H$39),'Bonding Program'!$T$39-'Bonding Program'!$U$39-'Bonding Program'!$Z$39,0)-IF(AND('Bonding Program'!$S$39=1,'Bonding Program'!$H$39&lt;='Bonding Program'!$C$8,AB$3=IF('Bonding Program'!$P$39&lt;&gt;"",'Bonding Program'!$P$39,'Bonding Program'!$C$8)),'Bonding Program'!$Z$39,0)+IF(AND('Bonding Program'!$P$39&lt;&gt;"",AB$3='Bonding Program'!$P$39,AB$3&lt;='Bonding Program'!$C$8),N('Bonding Program'!$O$39),0)</f>
        <v>0</v>
      </c>
      <c r="AC180" s="19" t="n">
        <f aca="false">IF(AND('Bonding Program'!$S$39=1,'Bonding Program'!$H$39&gt;'Bonding Program'!$C$8,AC$3='Bonding Program'!$H$39),'Bonding Program'!$T$39-'Bonding Program'!$U$39-'Bonding Program'!$Z$39,0)-IF(AND('Bonding Program'!$S$39=1,'Bonding Program'!$H$39&lt;='Bonding Program'!$C$8,AC$3=IF('Bonding Program'!$P$39&lt;&gt;"",'Bonding Program'!$P$39,'Bonding Program'!$C$8)),'Bonding Program'!$Z$39,0)+IF(AND('Bonding Program'!$P$39&lt;&gt;"",AC$3='Bonding Program'!$P$39,AC$3&lt;='Bonding Program'!$C$8),N('Bonding Program'!$O$39),0)</f>
        <v>0</v>
      </c>
      <c r="AD180" s="19" t="n">
        <f aca="false">IF(AND('Bonding Program'!$S$39=1,'Bonding Program'!$H$39&gt;'Bonding Program'!$C$8,AD$3='Bonding Program'!$H$39),'Bonding Program'!$T$39-'Bonding Program'!$U$39-'Bonding Program'!$Z$39,0)-IF(AND('Bonding Program'!$S$39=1,'Bonding Program'!$H$39&lt;='Bonding Program'!$C$8,AD$3=IF('Bonding Program'!$P$39&lt;&gt;"",'Bonding Program'!$P$39,'Bonding Program'!$C$8)),'Bonding Program'!$Z$39,0)+IF(AND('Bonding Program'!$P$39&lt;&gt;"",AD$3='Bonding Program'!$P$39,AD$3&lt;='Bonding Program'!$C$8),N('Bonding Program'!$O$39),0)</f>
        <v>0</v>
      </c>
      <c r="AE180" s="19" t="n">
        <f aca="false">IF(AND('Bonding Program'!$S$39=1,'Bonding Program'!$H$39&gt;'Bonding Program'!$C$8,AE$3='Bonding Program'!$H$39),'Bonding Program'!$T$39-'Bonding Program'!$U$39-'Bonding Program'!$Z$39,0)-IF(AND('Bonding Program'!$S$39=1,'Bonding Program'!$H$39&lt;='Bonding Program'!$C$8,AE$3=IF('Bonding Program'!$P$39&lt;&gt;"",'Bonding Program'!$P$39,'Bonding Program'!$C$8)),'Bonding Program'!$Z$39,0)+IF(AND('Bonding Program'!$P$39&lt;&gt;"",AE$3='Bonding Program'!$P$39,AE$3&lt;='Bonding Program'!$C$8),N('Bonding Program'!$O$39),0)</f>
        <v>0</v>
      </c>
      <c r="AF180" s="19" t="n">
        <f aca="false">IF(AND('Bonding Program'!$S$39=1,'Bonding Program'!$H$39&gt;'Bonding Program'!$C$8,AF$3='Bonding Program'!$H$39),'Bonding Program'!$T$39-'Bonding Program'!$U$39-'Bonding Program'!$Z$39,0)-IF(AND('Bonding Program'!$S$39=1,'Bonding Program'!$H$39&lt;='Bonding Program'!$C$8,AF$3=IF('Bonding Program'!$P$39&lt;&gt;"",'Bonding Program'!$P$39,'Bonding Program'!$C$8)),'Bonding Program'!$Z$39,0)+IF(AND('Bonding Program'!$P$39&lt;&gt;"",AF$3='Bonding Program'!$P$39,AF$3&lt;='Bonding Program'!$C$8),N('Bonding Program'!$O$39),0)</f>
        <v>0</v>
      </c>
      <c r="AG180" s="19" t="n">
        <f aca="false">IF(AND('Bonding Program'!$S$39=1,'Bonding Program'!$H$39&gt;'Bonding Program'!$C$8,AG$3='Bonding Program'!$H$39),'Bonding Program'!$T$39-'Bonding Program'!$U$39-'Bonding Program'!$Z$39,0)-IF(AND('Bonding Program'!$S$39=1,'Bonding Program'!$H$39&lt;='Bonding Program'!$C$8,AG$3=IF('Bonding Program'!$P$39&lt;&gt;"",'Bonding Program'!$P$39,'Bonding Program'!$C$8)),'Bonding Program'!$Z$39,0)+IF(AND('Bonding Program'!$P$39&lt;&gt;"",AG$3='Bonding Program'!$P$39,AG$3&lt;='Bonding Program'!$C$8),N('Bonding Program'!$O$39),0)</f>
        <v>0</v>
      </c>
      <c r="AH180" s="19" t="n">
        <f aca="false">IF(AND('Bonding Program'!$S$39=1,'Bonding Program'!$H$39&gt;'Bonding Program'!$C$8,AH$3='Bonding Program'!$H$39),'Bonding Program'!$T$39-'Bonding Program'!$U$39-'Bonding Program'!$Z$39,0)-IF(AND('Bonding Program'!$S$39=1,'Bonding Program'!$H$39&lt;='Bonding Program'!$C$8,AH$3=IF('Bonding Program'!$P$39&lt;&gt;"",'Bonding Program'!$P$39,'Bonding Program'!$C$8)),'Bonding Program'!$Z$39,0)+IF(AND('Bonding Program'!$P$39&lt;&gt;"",AH$3='Bonding Program'!$P$39,AH$3&lt;='Bonding Program'!$C$8),N('Bonding Program'!$O$39),0)</f>
        <v>0</v>
      </c>
      <c r="AI180" s="19" t="n">
        <f aca="false">IF(AND('Bonding Program'!$S$39=1,'Bonding Program'!$H$39&gt;'Bonding Program'!$C$8,AI$3='Bonding Program'!$H$39),'Bonding Program'!$T$39-'Bonding Program'!$U$39-'Bonding Program'!$Z$39,0)-IF(AND('Bonding Program'!$S$39=1,'Bonding Program'!$H$39&lt;='Bonding Program'!$C$8,AI$3=IF('Bonding Program'!$P$39&lt;&gt;"",'Bonding Program'!$P$39,'Bonding Program'!$C$8)),'Bonding Program'!$Z$39,0)+IF(AND('Bonding Program'!$P$39&lt;&gt;"",AI$3='Bonding Program'!$P$39,AI$3&lt;='Bonding Program'!$C$8),N('Bonding Program'!$O$39),0)</f>
        <v>0</v>
      </c>
      <c r="AJ180" s="19" t="n">
        <f aca="false">IF(AND('Bonding Program'!$S$39=1,'Bonding Program'!$H$39&gt;'Bonding Program'!$C$8,AJ$3='Bonding Program'!$H$39),'Bonding Program'!$T$39-'Bonding Program'!$U$39-'Bonding Program'!$Z$39,0)-IF(AND('Bonding Program'!$S$39=1,'Bonding Program'!$H$39&lt;='Bonding Program'!$C$8,AJ$3=IF('Bonding Program'!$P$39&lt;&gt;"",'Bonding Program'!$P$39,'Bonding Program'!$C$8)),'Bonding Program'!$Z$39,0)+IF(AND('Bonding Program'!$P$39&lt;&gt;"",AJ$3='Bonding Program'!$P$39,AJ$3&lt;='Bonding Program'!$C$8),N('Bonding Program'!$O$39),0)</f>
        <v>0</v>
      </c>
      <c r="AK180" s="19" t="n">
        <f aca="false">IF(AND('Bonding Program'!$S$39=1,'Bonding Program'!$H$39&gt;'Bonding Program'!$C$8,AK$3='Bonding Program'!$H$39),'Bonding Program'!$T$39-'Bonding Program'!$U$39-'Bonding Program'!$Z$39,0)-IF(AND('Bonding Program'!$S$39=1,'Bonding Program'!$H$39&lt;='Bonding Program'!$C$8,AK$3=IF('Bonding Program'!$P$39&lt;&gt;"",'Bonding Program'!$P$39,'Bonding Program'!$C$8)),'Bonding Program'!$Z$39,0)+IF(AND('Bonding Program'!$P$39&lt;&gt;"",AK$3='Bonding Program'!$P$39,AK$3&lt;='Bonding Program'!$C$8),N('Bonding Program'!$O$39),0)</f>
        <v>0</v>
      </c>
      <c r="AL180" s="19" t="n">
        <f aca="false">IF(AND('Bonding Program'!$S$39=1,'Bonding Program'!$H$39&gt;'Bonding Program'!$C$8,AL$3='Bonding Program'!$H$39),'Bonding Program'!$T$39-'Bonding Program'!$U$39-'Bonding Program'!$Z$39,0)-IF(AND('Bonding Program'!$S$39=1,'Bonding Program'!$H$39&lt;='Bonding Program'!$C$8,AL$3=IF('Bonding Program'!$P$39&lt;&gt;"",'Bonding Program'!$P$39,'Bonding Program'!$C$8)),'Bonding Program'!$Z$39,0)+IF(AND('Bonding Program'!$P$39&lt;&gt;"",AL$3='Bonding Program'!$P$39,AL$3&lt;='Bonding Program'!$C$8),N('Bonding Program'!$O$39),0)</f>
        <v>0</v>
      </c>
      <c r="AM180" s="19" t="n">
        <f aca="false">IF(AND('Bonding Program'!$S$39=1,'Bonding Program'!$H$39&gt;'Bonding Program'!$C$8,AM$3='Bonding Program'!$H$39),'Bonding Program'!$T$39-'Bonding Program'!$U$39-'Bonding Program'!$Z$39,0)-IF(AND('Bonding Program'!$S$39=1,'Bonding Program'!$H$39&lt;='Bonding Program'!$C$8,AM$3=IF('Bonding Program'!$P$39&lt;&gt;"",'Bonding Program'!$P$39,'Bonding Program'!$C$8)),'Bonding Program'!$Z$39,0)+IF(AND('Bonding Program'!$P$39&lt;&gt;"",AM$3='Bonding Program'!$P$39,AM$3&lt;='Bonding Program'!$C$8),N('Bonding Program'!$O$39),0)</f>
        <v>0</v>
      </c>
      <c r="AN180" s="19" t="n">
        <f aca="false">IF(AND('Bonding Program'!$S$39=1,'Bonding Program'!$H$39&gt;'Bonding Program'!$C$8,AN$3='Bonding Program'!$H$39),'Bonding Program'!$T$39-'Bonding Program'!$U$39-'Bonding Program'!$Z$39,0)-IF(AND('Bonding Program'!$S$39=1,'Bonding Program'!$H$39&lt;='Bonding Program'!$C$8,AN$3=IF('Bonding Program'!$P$39&lt;&gt;"",'Bonding Program'!$P$39,'Bonding Program'!$C$8)),'Bonding Program'!$Z$39,0)+IF(AND('Bonding Program'!$P$39&lt;&gt;"",AN$3='Bonding Program'!$P$39,AN$3&lt;='Bonding Program'!$C$8),N('Bonding Program'!$O$39),0)</f>
        <v>0</v>
      </c>
      <c r="AO180" s="19" t="n">
        <f aca="false">IF(AND('Bonding Program'!$S$39=1,'Bonding Program'!$H$39&gt;'Bonding Program'!$C$8,AO$3='Bonding Program'!$H$39),'Bonding Program'!$T$39-'Bonding Program'!$U$39-'Bonding Program'!$Z$39,0)-IF(AND('Bonding Program'!$S$39=1,'Bonding Program'!$H$39&lt;='Bonding Program'!$C$8,AO$3=IF('Bonding Program'!$P$39&lt;&gt;"",'Bonding Program'!$P$39,'Bonding Program'!$C$8)),'Bonding Program'!$Z$39,0)+IF(AND('Bonding Program'!$P$39&lt;&gt;"",AO$3='Bonding Program'!$P$39,AO$3&lt;='Bonding Program'!$C$8),N('Bonding Program'!$O$39),0)</f>
        <v>0</v>
      </c>
      <c r="AP180" s="19" t="n">
        <f aca="false">IF(AND('Bonding Program'!$S$39=1,'Bonding Program'!$H$39&gt;'Bonding Program'!$C$8,AP$3='Bonding Program'!$H$39),'Bonding Program'!$T$39-'Bonding Program'!$U$39-'Bonding Program'!$Z$39,0)-IF(AND('Bonding Program'!$S$39=1,'Bonding Program'!$H$39&lt;='Bonding Program'!$C$8,AP$3=IF('Bonding Program'!$P$39&lt;&gt;"",'Bonding Program'!$P$39,'Bonding Program'!$C$8)),'Bonding Program'!$Z$39,0)+IF(AND('Bonding Program'!$P$39&lt;&gt;"",AP$3='Bonding Program'!$P$39,AP$3&lt;='Bonding Program'!$C$8),N('Bonding Program'!$O$39),0)</f>
        <v>0</v>
      </c>
      <c r="AQ180" s="19" t="n">
        <f aca="false">IF(AND('Bonding Program'!$S$39=1,'Bonding Program'!$H$39&gt;'Bonding Program'!$C$8,AQ$3='Bonding Program'!$H$39),'Bonding Program'!$T$39-'Bonding Program'!$U$39-'Bonding Program'!$Z$39,0)-IF(AND('Bonding Program'!$S$39=1,'Bonding Program'!$H$39&lt;='Bonding Program'!$C$8,AQ$3=IF('Bonding Program'!$P$39&lt;&gt;"",'Bonding Program'!$P$39,'Bonding Program'!$C$8)),'Bonding Program'!$Z$39,0)+IF(AND('Bonding Program'!$P$39&lt;&gt;"",AQ$3='Bonding Program'!$P$39,AQ$3&lt;='Bonding Program'!$C$8),N('Bonding Program'!$O$39),0)</f>
        <v>0</v>
      </c>
      <c r="AR180" s="19" t="n">
        <f aca="false">IF(AND('Bonding Program'!$S$39=1,'Bonding Program'!$H$39&gt;'Bonding Program'!$C$8,AR$3='Bonding Program'!$H$39),'Bonding Program'!$T$39-'Bonding Program'!$U$39-'Bonding Program'!$Z$39,0)-IF(AND('Bonding Program'!$S$39=1,'Bonding Program'!$H$39&lt;='Bonding Program'!$C$8,AR$3=IF('Bonding Program'!$P$39&lt;&gt;"",'Bonding Program'!$P$39,'Bonding Program'!$C$8)),'Bonding Program'!$Z$39,0)+IF(AND('Bonding Program'!$P$39&lt;&gt;"",AR$3='Bonding Program'!$P$39,AR$3&lt;='Bonding Program'!$C$8),N('Bonding Program'!$O$39),0)</f>
        <v>0</v>
      </c>
      <c r="AS180" s="19" t="n">
        <f aca="false">IF(AND('Bonding Program'!$S$39=1,'Bonding Program'!$H$39&gt;'Bonding Program'!$C$8,AS$3='Bonding Program'!$H$39),'Bonding Program'!$T$39-'Bonding Program'!$U$39-'Bonding Program'!$Z$39,0)-IF(AND('Bonding Program'!$S$39=1,'Bonding Program'!$H$39&lt;='Bonding Program'!$C$8,AS$3=IF('Bonding Program'!$P$39&lt;&gt;"",'Bonding Program'!$P$39,'Bonding Program'!$C$8)),'Bonding Program'!$Z$39,0)+IF(AND('Bonding Program'!$P$39&lt;&gt;"",AS$3='Bonding Program'!$P$39,AS$3&lt;='Bonding Program'!$C$8),N('Bonding Program'!$O$39),0)</f>
        <v>0</v>
      </c>
      <c r="AT180" s="19" t="n">
        <f aca="false">IF(AND('Bonding Program'!$S$39=1,'Bonding Program'!$H$39&gt;'Bonding Program'!$C$8,AT$3='Bonding Program'!$H$39),'Bonding Program'!$T$39-'Bonding Program'!$U$39-'Bonding Program'!$Z$39,0)-IF(AND('Bonding Program'!$S$39=1,'Bonding Program'!$H$39&lt;='Bonding Program'!$C$8,AT$3=IF('Bonding Program'!$P$39&lt;&gt;"",'Bonding Program'!$P$39,'Bonding Program'!$C$8)),'Bonding Program'!$Z$39,0)+IF(AND('Bonding Program'!$P$39&lt;&gt;"",AT$3='Bonding Program'!$P$39,AT$3&lt;='Bonding Program'!$C$8),N('Bonding Program'!$O$39),0)</f>
        <v>0</v>
      </c>
      <c r="AU180" s="19" t="n">
        <f aca="false">IF(AND('Bonding Program'!$S$39=1,'Bonding Program'!$H$39&gt;'Bonding Program'!$C$8,AU$3='Bonding Program'!$H$39),'Bonding Program'!$T$39-'Bonding Program'!$U$39-'Bonding Program'!$Z$39,0)-IF(AND('Bonding Program'!$S$39=1,'Bonding Program'!$H$39&lt;='Bonding Program'!$C$8,AU$3=IF('Bonding Program'!$P$39&lt;&gt;"",'Bonding Program'!$P$39,'Bonding Program'!$C$8)),'Bonding Program'!$Z$39,0)+IF(AND('Bonding Program'!$P$39&lt;&gt;"",AU$3='Bonding Program'!$P$39,AU$3&lt;='Bonding Program'!$C$8),N('Bonding Program'!$O$39),0)</f>
        <v>0</v>
      </c>
      <c r="AV180" s="19" t="n">
        <f aca="false">IF(AND('Bonding Program'!$S$39=1,'Bonding Program'!$H$39&gt;'Bonding Program'!$C$8,AV$3='Bonding Program'!$H$39),'Bonding Program'!$T$39-'Bonding Program'!$U$39-'Bonding Program'!$Z$39,0)-IF(AND('Bonding Program'!$S$39=1,'Bonding Program'!$H$39&lt;='Bonding Program'!$C$8,AV$3=IF('Bonding Program'!$P$39&lt;&gt;"",'Bonding Program'!$P$39,'Bonding Program'!$C$8)),'Bonding Program'!$Z$39,0)+IF(AND('Bonding Program'!$P$39&lt;&gt;"",AV$3='Bonding Program'!$P$39,AV$3&lt;='Bonding Program'!$C$8),N('Bonding Program'!$O$39),0)</f>
        <v>0</v>
      </c>
      <c r="AW180" s="19" t="n">
        <f aca="false">IF(AND('Bonding Program'!$S$39=1,'Bonding Program'!$H$39&gt;'Bonding Program'!$C$8,AW$3='Bonding Program'!$H$39),'Bonding Program'!$T$39-'Bonding Program'!$U$39-'Bonding Program'!$Z$39,0)-IF(AND('Bonding Program'!$S$39=1,'Bonding Program'!$H$39&lt;='Bonding Program'!$C$8,AW$3=IF('Bonding Program'!$P$39&lt;&gt;"",'Bonding Program'!$P$39,'Bonding Program'!$C$8)),'Bonding Program'!$Z$39,0)+IF(AND('Bonding Program'!$P$39&lt;&gt;"",AW$3='Bonding Program'!$P$39,AW$3&lt;='Bonding Program'!$C$8),N('Bonding Program'!$O$39),0)</f>
        <v>0</v>
      </c>
      <c r="AX180" s="19" t="n">
        <f aca="false">IF(AND('Bonding Program'!$S$39=1,'Bonding Program'!$H$39&gt;'Bonding Program'!$C$8,AX$3='Bonding Program'!$H$39),'Bonding Program'!$T$39-'Bonding Program'!$U$39-'Bonding Program'!$Z$39,0)-IF(AND('Bonding Program'!$S$39=1,'Bonding Program'!$H$39&lt;='Bonding Program'!$C$8,AX$3=IF('Bonding Program'!$P$39&lt;&gt;"",'Bonding Program'!$P$39,'Bonding Program'!$C$8)),'Bonding Program'!$Z$39,0)+IF(AND('Bonding Program'!$P$39&lt;&gt;"",AX$3='Bonding Program'!$P$39,AX$3&lt;='Bonding Program'!$C$8),N('Bonding Program'!$O$39),0)</f>
        <v>0</v>
      </c>
      <c r="AY180" s="19" t="n">
        <f aca="false">IF(AND('Bonding Program'!$S$39=1,'Bonding Program'!$H$39&gt;'Bonding Program'!$C$8,AY$3='Bonding Program'!$H$39),'Bonding Program'!$T$39-'Bonding Program'!$U$39-'Bonding Program'!$Z$39,0)-IF(AND('Bonding Program'!$S$39=1,'Bonding Program'!$H$39&lt;='Bonding Program'!$C$8,AY$3=IF('Bonding Program'!$P$39&lt;&gt;"",'Bonding Program'!$P$39,'Bonding Program'!$C$8)),'Bonding Program'!$Z$39,0)+IF(AND('Bonding Program'!$P$39&lt;&gt;"",AY$3='Bonding Program'!$P$39,AY$3&lt;='Bonding Program'!$C$8),N('Bonding Program'!$O$39),0)</f>
        <v>0</v>
      </c>
      <c r="AZ180" s="19" t="n">
        <f aca="false">IF(AND('Bonding Program'!$S$39=1,'Bonding Program'!$H$39&gt;'Bonding Program'!$C$8,AZ$3='Bonding Program'!$H$39),'Bonding Program'!$T$39-'Bonding Program'!$U$39-'Bonding Program'!$Z$39,0)-IF(AND('Bonding Program'!$S$39=1,'Bonding Program'!$H$39&lt;='Bonding Program'!$C$8,AZ$3=IF('Bonding Program'!$P$39&lt;&gt;"",'Bonding Program'!$P$39,'Bonding Program'!$C$8)),'Bonding Program'!$Z$39,0)+IF(AND('Bonding Program'!$P$39&lt;&gt;"",AZ$3='Bonding Program'!$P$39,AZ$3&lt;='Bonding Program'!$C$8),N('Bonding Program'!$O$39),0)</f>
        <v>0</v>
      </c>
      <c r="BA180" s="19" t="n">
        <f aca="false">IF(AND('Bonding Program'!$S$39=1,'Bonding Program'!$H$39&gt;'Bonding Program'!$C$8,BA$3='Bonding Program'!$H$39),'Bonding Program'!$T$39-'Bonding Program'!$U$39-'Bonding Program'!$Z$39,0)-IF(AND('Bonding Program'!$S$39=1,'Bonding Program'!$H$39&lt;='Bonding Program'!$C$8,BA$3=IF('Bonding Program'!$P$39&lt;&gt;"",'Bonding Program'!$P$39,'Bonding Program'!$C$8)),'Bonding Program'!$Z$39,0)+IF(AND('Bonding Program'!$P$39&lt;&gt;"",BA$3='Bonding Program'!$P$39,BA$3&lt;='Bonding Program'!$C$8),N('Bonding Program'!$O$39),0)</f>
        <v>0</v>
      </c>
      <c r="BB180" s="19" t="n">
        <f aca="false">IF(AND('Bonding Program'!$S$39=1,'Bonding Program'!$H$39&gt;'Bonding Program'!$C$8,BB$3='Bonding Program'!$H$39),'Bonding Program'!$T$39-'Bonding Program'!$U$39-'Bonding Program'!$Z$39,0)-IF(AND('Bonding Program'!$S$39=1,'Bonding Program'!$H$39&lt;='Bonding Program'!$C$8,BB$3=IF('Bonding Program'!$P$39&lt;&gt;"",'Bonding Program'!$P$39,'Bonding Program'!$C$8)),'Bonding Program'!$Z$39,0)+IF(AND('Bonding Program'!$P$39&lt;&gt;"",BB$3='Bonding Program'!$P$39,BB$3&lt;='Bonding Program'!$C$8),N('Bonding Program'!$O$39),0)</f>
        <v>0</v>
      </c>
      <c r="BC180" s="19" t="n">
        <f aca="false">IF(AND('Bonding Program'!$S$39=1,'Bonding Program'!$H$39&gt;'Bonding Program'!$C$8,BC$3='Bonding Program'!$H$39),'Bonding Program'!$T$39-'Bonding Program'!$U$39-'Bonding Program'!$Z$39,0)-IF(AND('Bonding Program'!$S$39=1,'Bonding Program'!$H$39&lt;='Bonding Program'!$C$8,BC$3=IF('Bonding Program'!$P$39&lt;&gt;"",'Bonding Program'!$P$39,'Bonding Program'!$C$8)),'Bonding Program'!$Z$39,0)+IF(AND('Bonding Program'!$P$39&lt;&gt;"",BC$3='Bonding Program'!$P$39,BC$3&lt;='Bonding Program'!$C$8),N('Bonding Program'!$O$39),0)</f>
        <v>0</v>
      </c>
      <c r="BD180" s="19" t="n">
        <f aca="false">IF(AND('Bonding Program'!$S$39=1,'Bonding Program'!$H$39&gt;'Bonding Program'!$C$8,BD$3='Bonding Program'!$H$39),'Bonding Program'!$T$39-'Bonding Program'!$U$39-'Bonding Program'!$Z$39,0)-IF(AND('Bonding Program'!$S$39=1,'Bonding Program'!$H$39&lt;='Bonding Program'!$C$8,BD$3=IF('Bonding Program'!$P$39&lt;&gt;"",'Bonding Program'!$P$39,'Bonding Program'!$C$8)),'Bonding Program'!$Z$39,0)+IF(AND('Bonding Program'!$P$39&lt;&gt;"",BD$3='Bonding Program'!$P$39,BD$3&lt;='Bonding Program'!$C$8),N('Bonding Program'!$O$39),0)</f>
        <v>0</v>
      </c>
      <c r="BE180" s="19" t="n">
        <f aca="false">IF(AND('Bonding Program'!$S$39=1,'Bonding Program'!$H$39&gt;'Bonding Program'!$C$8,BE$3='Bonding Program'!$H$39),'Bonding Program'!$T$39-'Bonding Program'!$U$39-'Bonding Program'!$Z$39,0)-IF(AND('Bonding Program'!$S$39=1,'Bonding Program'!$H$39&lt;='Bonding Program'!$C$8,BE$3=IF('Bonding Program'!$P$39&lt;&gt;"",'Bonding Program'!$P$39,'Bonding Program'!$C$8)),'Bonding Program'!$Z$39,0)+IF(AND('Bonding Program'!$P$39&lt;&gt;"",BE$3='Bonding Program'!$P$39,BE$3&lt;='Bonding Program'!$C$8),N('Bonding Program'!$O$39),0)</f>
        <v>0</v>
      </c>
      <c r="BF180" s="19" t="n">
        <f aca="false">IF(AND('Bonding Program'!$S$39=1,'Bonding Program'!$H$39&gt;'Bonding Program'!$C$8,BF$3='Bonding Program'!$H$39),'Bonding Program'!$T$39-'Bonding Program'!$U$39-'Bonding Program'!$Z$39,0)-IF(AND('Bonding Program'!$S$39=1,'Bonding Program'!$H$39&lt;='Bonding Program'!$C$8,BF$3=IF('Bonding Program'!$P$39&lt;&gt;"",'Bonding Program'!$P$39,'Bonding Program'!$C$8)),'Bonding Program'!$Z$39,0)+IF(AND('Bonding Program'!$P$39&lt;&gt;"",BF$3='Bonding Program'!$P$39,BF$3&lt;='Bonding Program'!$C$8),N('Bonding Program'!$O$39),0)</f>
        <v>0</v>
      </c>
      <c r="BG180" s="19" t="n">
        <f aca="false">IF(AND('Bonding Program'!$S$39=1,'Bonding Program'!$H$39&gt;'Bonding Program'!$C$8,BG$3='Bonding Program'!$H$39),'Bonding Program'!$T$39-'Bonding Program'!$U$39-'Bonding Program'!$Z$39,0)-IF(AND('Bonding Program'!$S$39=1,'Bonding Program'!$H$39&lt;='Bonding Program'!$C$8,BG$3=IF('Bonding Program'!$P$39&lt;&gt;"",'Bonding Program'!$P$39,'Bonding Program'!$C$8)),'Bonding Program'!$Z$39,0)+IF(AND('Bonding Program'!$P$39&lt;&gt;"",BG$3='Bonding Program'!$P$39,BG$3&lt;='Bonding Program'!$C$8),N('Bonding Program'!$O$39),0)</f>
        <v>0</v>
      </c>
      <c r="BH180" s="19" t="n">
        <f aca="false">IF(AND('Bonding Program'!$S$39=1,'Bonding Program'!$H$39&gt;'Bonding Program'!$C$8,BH$3='Bonding Program'!$H$39),'Bonding Program'!$T$39-'Bonding Program'!$U$39-'Bonding Program'!$Z$39,0)-IF(AND('Bonding Program'!$S$39=1,'Bonding Program'!$H$39&lt;='Bonding Program'!$C$8,BH$3=IF('Bonding Program'!$P$39&lt;&gt;"",'Bonding Program'!$P$39,'Bonding Program'!$C$8)),'Bonding Program'!$Z$39,0)+IF(AND('Bonding Program'!$P$39&lt;&gt;"",BH$3='Bonding Program'!$P$39,BH$3&lt;='Bonding Program'!$C$8),N('Bonding Program'!$O$39),0)</f>
        <v>0</v>
      </c>
      <c r="BI180" s="19" t="n">
        <f aca="false">IF(AND('Bonding Program'!$S$39=1,'Bonding Program'!$H$39&gt;'Bonding Program'!$C$8,BI$3='Bonding Program'!$H$39),'Bonding Program'!$T$39-'Bonding Program'!$U$39-'Bonding Program'!$Z$39,0)-IF(AND('Bonding Program'!$S$39=1,'Bonding Program'!$H$39&lt;='Bonding Program'!$C$8,BI$3=IF('Bonding Program'!$P$39&lt;&gt;"",'Bonding Program'!$P$39,'Bonding Program'!$C$8)),'Bonding Program'!$Z$39,0)+IF(AND('Bonding Program'!$P$39&lt;&gt;"",BI$3='Bonding Program'!$P$39,BI$3&lt;='Bonding Program'!$C$8),N('Bonding Program'!$O$39),0)</f>
        <v>0</v>
      </c>
      <c r="BJ180" s="19" t="n">
        <f aca="false">IF(AND('Bonding Program'!$S$39=1,'Bonding Program'!$H$39&gt;'Bonding Program'!$C$8,BJ$3='Bonding Program'!$H$39),'Bonding Program'!$T$39-'Bonding Program'!$U$39-'Bonding Program'!$Z$39,0)-IF(AND('Bonding Program'!$S$39=1,'Bonding Program'!$H$39&lt;='Bonding Program'!$C$8,BJ$3=IF('Bonding Program'!$P$39&lt;&gt;"",'Bonding Program'!$P$39,'Bonding Program'!$C$8)),'Bonding Program'!$Z$39,0)+IF(AND('Bonding Program'!$P$39&lt;&gt;"",BJ$3='Bonding Program'!$P$39,BJ$3&lt;='Bonding Program'!$C$8),N('Bonding Program'!$O$39),0)</f>
        <v>0</v>
      </c>
      <c r="BK180" s="19" t="n">
        <f aca="false">IF(AND('Bonding Program'!$S$39=1,'Bonding Program'!$H$39&gt;'Bonding Program'!$C$8,BK$3='Bonding Program'!$H$39),'Bonding Program'!$T$39-'Bonding Program'!$U$39-'Bonding Program'!$Z$39,0)-IF(AND('Bonding Program'!$S$39=1,'Bonding Program'!$H$39&lt;='Bonding Program'!$C$8,BK$3=IF('Bonding Program'!$P$39&lt;&gt;"",'Bonding Program'!$P$39,'Bonding Program'!$C$8)),'Bonding Program'!$Z$39,0)+IF(AND('Bonding Program'!$P$39&lt;&gt;"",BK$3='Bonding Program'!$P$39,BK$3&lt;='Bonding Program'!$C$8),N('Bonding Program'!$O$39),0)</f>
        <v>0</v>
      </c>
      <c r="BL180" s="19" t="n">
        <f aca="false">IF(AND('Bonding Program'!$S$39=1,'Bonding Program'!$H$39&gt;'Bonding Program'!$C$8,BL$3='Bonding Program'!$H$39),'Bonding Program'!$T$39-'Bonding Program'!$U$39-'Bonding Program'!$Z$39,0)-IF(AND('Bonding Program'!$S$39=1,'Bonding Program'!$H$39&lt;='Bonding Program'!$C$8,BL$3=IF('Bonding Program'!$P$39&lt;&gt;"",'Bonding Program'!$P$39,'Bonding Program'!$C$8)),'Bonding Program'!$Z$39,0)+IF(AND('Bonding Program'!$P$39&lt;&gt;"",BL$3='Bonding Program'!$P$39,BL$3&lt;='Bonding Program'!$C$8),N('Bonding Program'!$O$39),0)</f>
        <v>0</v>
      </c>
      <c r="BM180" s="19" t="n">
        <f aca="false">IF(AND('Bonding Program'!$S$39=1,'Bonding Program'!$H$39&gt;'Bonding Program'!$C$8,BM$3='Bonding Program'!$H$39),'Bonding Program'!$T$39-'Bonding Program'!$U$39-'Bonding Program'!$Z$39,0)-IF(AND('Bonding Program'!$S$39=1,'Bonding Program'!$H$39&lt;='Bonding Program'!$C$8,BM$3=IF('Bonding Program'!$P$39&lt;&gt;"",'Bonding Program'!$P$39,'Bonding Program'!$C$8)),'Bonding Program'!$Z$39,0)+IF(AND('Bonding Program'!$P$39&lt;&gt;"",BM$3='Bonding Program'!$P$39,BM$3&lt;='Bonding Program'!$C$8),N('Bonding Program'!$O$39),0)</f>
        <v>0</v>
      </c>
      <c r="BN180" s="19" t="n">
        <f aca="false">IF(AND('Bonding Program'!$S$39=1,'Bonding Program'!$H$39&gt;'Bonding Program'!$C$8,BN$3='Bonding Program'!$H$39),'Bonding Program'!$T$39-'Bonding Program'!$U$39-'Bonding Program'!$Z$39,0)-IF(AND('Bonding Program'!$S$39=1,'Bonding Program'!$H$39&lt;='Bonding Program'!$C$8,BN$3=IF('Bonding Program'!$P$39&lt;&gt;"",'Bonding Program'!$P$39,'Bonding Program'!$C$8)),'Bonding Program'!$Z$39,0)+IF(AND('Bonding Program'!$P$39&lt;&gt;"",BN$3='Bonding Program'!$P$39,BN$3&lt;='Bonding Program'!$C$8),N('Bonding Program'!$O$39),0)</f>
        <v>0</v>
      </c>
      <c r="BO180" s="19" t="n">
        <f aca="false">IF(AND('Bonding Program'!$S$39=1,'Bonding Program'!$H$39&gt;'Bonding Program'!$C$8,BO$3='Bonding Program'!$H$39),'Bonding Program'!$T$39-'Bonding Program'!$U$39-'Bonding Program'!$Z$39,0)-IF(AND('Bonding Program'!$S$39=1,'Bonding Program'!$H$39&lt;='Bonding Program'!$C$8,BO$3=IF('Bonding Program'!$P$39&lt;&gt;"",'Bonding Program'!$P$39,'Bonding Program'!$C$8)),'Bonding Program'!$Z$39,0)+IF(AND('Bonding Program'!$P$39&lt;&gt;"",BO$3='Bonding Program'!$P$39,BO$3&lt;='Bonding Program'!$C$8),N('Bonding Program'!$O$39),0)</f>
        <v>0</v>
      </c>
      <c r="BP180" s="19" t="n">
        <f aca="false">IF(AND('Bonding Program'!$S$39=1,'Bonding Program'!$H$39&gt;'Bonding Program'!$C$8,BP$3='Bonding Program'!$H$39),'Bonding Program'!$T$39-'Bonding Program'!$U$39-'Bonding Program'!$Z$39,0)-IF(AND('Bonding Program'!$S$39=1,'Bonding Program'!$H$39&lt;='Bonding Program'!$C$8,BP$3=IF('Bonding Program'!$P$39&lt;&gt;"",'Bonding Program'!$P$39,'Bonding Program'!$C$8)),'Bonding Program'!$Z$39,0)+IF(AND('Bonding Program'!$P$39&lt;&gt;"",BP$3='Bonding Program'!$P$39,BP$3&lt;='Bonding Program'!$C$8),N('Bonding Program'!$O$39),0)</f>
        <v>0</v>
      </c>
      <c r="BQ180" s="19" t="n">
        <f aca="false">IF(AND('Bonding Program'!$S$39=1,'Bonding Program'!$H$39&gt;'Bonding Program'!$C$8,BQ$3='Bonding Program'!$H$39),'Bonding Program'!$T$39-'Bonding Program'!$U$39-'Bonding Program'!$Z$39,0)-IF(AND('Bonding Program'!$S$39=1,'Bonding Program'!$H$39&lt;='Bonding Program'!$C$8,BQ$3=IF('Bonding Program'!$P$39&lt;&gt;"",'Bonding Program'!$P$39,'Bonding Program'!$C$8)),'Bonding Program'!$Z$39,0)+IF(AND('Bonding Program'!$P$39&lt;&gt;"",BQ$3='Bonding Program'!$P$39,BQ$3&lt;='Bonding Program'!$C$8),N('Bonding Program'!$O$39),0)</f>
        <v>0</v>
      </c>
      <c r="BR180" s="19" t="n">
        <f aca="false">IF(AND('Bonding Program'!$S$39=1,'Bonding Program'!$H$39&gt;'Bonding Program'!$C$8,BR$3='Bonding Program'!$H$39),'Bonding Program'!$T$39-'Bonding Program'!$U$39-'Bonding Program'!$Z$39,0)-IF(AND('Bonding Program'!$S$39=1,'Bonding Program'!$H$39&lt;='Bonding Program'!$C$8,BR$3=IF('Bonding Program'!$P$39&lt;&gt;"",'Bonding Program'!$P$39,'Bonding Program'!$C$8)),'Bonding Program'!$Z$39,0)+IF(AND('Bonding Program'!$P$39&lt;&gt;"",BR$3='Bonding Program'!$P$39,BR$3&lt;='Bonding Program'!$C$8),N('Bonding Program'!$O$39),0)</f>
        <v>0</v>
      </c>
      <c r="BS180" s="19" t="n">
        <f aca="false">IF(AND('Bonding Program'!$S$39=1,'Bonding Program'!$H$39&gt;'Bonding Program'!$C$8,BS$3='Bonding Program'!$H$39),'Bonding Program'!$T$39-'Bonding Program'!$U$39-'Bonding Program'!$Z$39,0)-IF(AND('Bonding Program'!$S$39=1,'Bonding Program'!$H$39&lt;='Bonding Program'!$C$8,BS$3=IF('Bonding Program'!$P$39&lt;&gt;"",'Bonding Program'!$P$39,'Bonding Program'!$C$8)),'Bonding Program'!$Z$39,0)+IF(AND('Bonding Program'!$P$39&lt;&gt;"",BS$3='Bonding Program'!$P$39,BS$3&lt;='Bonding Program'!$C$8),N('Bonding Program'!$O$39),0)</f>
        <v>0</v>
      </c>
      <c r="BT180" s="19" t="n">
        <f aca="false">IF(AND('Bonding Program'!$S$39=1,'Bonding Program'!$H$39&gt;'Bonding Program'!$C$8,BT$3='Bonding Program'!$H$39),'Bonding Program'!$T$39-'Bonding Program'!$U$39-'Bonding Program'!$Z$39,0)-IF(AND('Bonding Program'!$S$39=1,'Bonding Program'!$H$39&lt;='Bonding Program'!$C$8,BT$3=IF('Bonding Program'!$P$39&lt;&gt;"",'Bonding Program'!$P$39,'Bonding Program'!$C$8)),'Bonding Program'!$Z$39,0)+IF(AND('Bonding Program'!$P$39&lt;&gt;"",BT$3='Bonding Program'!$P$39,BT$3&lt;='Bonding Program'!$C$8),N('Bonding Program'!$O$39),0)</f>
        <v>0</v>
      </c>
      <c r="BU180" s="19" t="n">
        <f aca="false">IF(AND('Bonding Program'!$S$39=1,'Bonding Program'!$H$39&gt;'Bonding Program'!$C$8,BU$3='Bonding Program'!$H$39),'Bonding Program'!$T$39-'Bonding Program'!$U$39-'Bonding Program'!$Z$39,0)-IF(AND('Bonding Program'!$S$39=1,'Bonding Program'!$H$39&lt;='Bonding Program'!$C$8,BU$3=IF('Bonding Program'!$P$39&lt;&gt;"",'Bonding Program'!$P$39,'Bonding Program'!$C$8)),'Bonding Program'!$Z$39,0)+IF(AND('Bonding Program'!$P$39&lt;&gt;"",BU$3='Bonding Program'!$P$39,BU$3&lt;='Bonding Program'!$C$8),N('Bonding Program'!$O$39),0)</f>
        <v>0</v>
      </c>
      <c r="BV180" s="19" t="n">
        <f aca="false">IF(AND('Bonding Program'!$S$39=1,'Bonding Program'!$H$39&gt;'Bonding Program'!$C$8,BV$3='Bonding Program'!$H$39),'Bonding Program'!$T$39-'Bonding Program'!$U$39-'Bonding Program'!$Z$39,0)-IF(AND('Bonding Program'!$S$39=1,'Bonding Program'!$H$39&lt;='Bonding Program'!$C$8,BV$3=IF('Bonding Program'!$P$39&lt;&gt;"",'Bonding Program'!$P$39,'Bonding Program'!$C$8)),'Bonding Program'!$Z$39,0)+IF(AND('Bonding Program'!$P$39&lt;&gt;"",BV$3='Bonding Program'!$P$39,BV$3&lt;='Bonding Program'!$C$8),N('Bonding Program'!$O$39),0)</f>
        <v>0</v>
      </c>
      <c r="BW180" s="19" t="n">
        <f aca="false">IF(AND('Bonding Program'!$S$39=1,'Bonding Program'!$H$39&gt;'Bonding Program'!$C$8,BW$3='Bonding Program'!$H$39),'Bonding Program'!$T$39-'Bonding Program'!$U$39-'Bonding Program'!$Z$39,0)-IF(AND('Bonding Program'!$S$39=1,'Bonding Program'!$H$39&lt;='Bonding Program'!$C$8,BW$3=IF('Bonding Program'!$P$39&lt;&gt;"",'Bonding Program'!$P$39,'Bonding Program'!$C$8)),'Bonding Program'!$Z$39,0)+IF(AND('Bonding Program'!$P$39&lt;&gt;"",BW$3='Bonding Program'!$P$39,BW$3&lt;='Bonding Program'!$C$8),N('Bonding Program'!$O$39),0)</f>
        <v>0</v>
      </c>
      <c r="BX180" s="19" t="n">
        <f aca="false">IF(AND('Bonding Program'!$S$39=1,'Bonding Program'!$H$39&gt;'Bonding Program'!$C$8,BX$3='Bonding Program'!$H$39),'Bonding Program'!$T$39-'Bonding Program'!$U$39-'Bonding Program'!$Z$39,0)-IF(AND('Bonding Program'!$S$39=1,'Bonding Program'!$H$39&lt;='Bonding Program'!$C$8,BX$3=IF('Bonding Program'!$P$39&lt;&gt;"",'Bonding Program'!$P$39,'Bonding Program'!$C$8)),'Bonding Program'!$Z$39,0)+IF(AND('Bonding Program'!$P$39&lt;&gt;"",BX$3='Bonding Program'!$P$39,BX$3&lt;='Bonding Program'!$C$8),N('Bonding Program'!$O$39),0)</f>
        <v>0</v>
      </c>
      <c r="BY180" s="19" t="n">
        <f aca="false">IF(AND('Bonding Program'!$S$39=1,'Bonding Program'!$H$39&gt;'Bonding Program'!$C$8,BY$3='Bonding Program'!$H$39),'Bonding Program'!$T$39-'Bonding Program'!$U$39-'Bonding Program'!$Z$39,0)-IF(AND('Bonding Program'!$S$39=1,'Bonding Program'!$H$39&lt;='Bonding Program'!$C$8,BY$3=IF('Bonding Program'!$P$39&lt;&gt;"",'Bonding Program'!$P$39,'Bonding Program'!$C$8)),'Bonding Program'!$Z$39,0)+IF(AND('Bonding Program'!$P$39&lt;&gt;"",BY$3='Bonding Program'!$P$39,BY$3&lt;='Bonding Program'!$C$8),N('Bonding Program'!$O$39),0)</f>
        <v>0</v>
      </c>
      <c r="BZ180" s="19" t="n">
        <f aca="false">IF(AND('Bonding Program'!$S$39=1,'Bonding Program'!$H$39&gt;'Bonding Program'!$C$8,BZ$3='Bonding Program'!$H$39),'Bonding Program'!$T$39-'Bonding Program'!$U$39-'Bonding Program'!$Z$39,0)-IF(AND('Bonding Program'!$S$39=1,'Bonding Program'!$H$39&lt;='Bonding Program'!$C$8,BZ$3=IF('Bonding Program'!$P$39&lt;&gt;"",'Bonding Program'!$P$39,'Bonding Program'!$C$8)),'Bonding Program'!$Z$39,0)+IF(AND('Bonding Program'!$P$39&lt;&gt;"",BZ$3='Bonding Program'!$P$39,BZ$3&lt;='Bonding Program'!$C$8),N('Bonding Program'!$O$39),0)</f>
        <v>0</v>
      </c>
      <c r="CA180" s="19" t="n">
        <f aca="false">IF(AND('Bonding Program'!$S$39=1,'Bonding Program'!$H$39&gt;'Bonding Program'!$C$8,CA$3='Bonding Program'!$H$39),'Bonding Program'!$T$39-'Bonding Program'!$U$39-'Bonding Program'!$Z$39,0)-IF(AND('Bonding Program'!$S$39=1,'Bonding Program'!$H$39&lt;='Bonding Program'!$C$8,CA$3=IF('Bonding Program'!$P$39&lt;&gt;"",'Bonding Program'!$P$39,'Bonding Program'!$C$8)),'Bonding Program'!$Z$39,0)+IF(AND('Bonding Program'!$P$39&lt;&gt;"",CA$3='Bonding Program'!$P$39,CA$3&lt;='Bonding Program'!$C$8),N('Bonding Program'!$O$39),0)</f>
        <v>0</v>
      </c>
      <c r="CB180" s="19" t="n">
        <f aca="false">IF(AND('Bonding Program'!$S$39=1,'Bonding Program'!$H$39&gt;'Bonding Program'!$C$8,CB$3='Bonding Program'!$H$39),'Bonding Program'!$T$39-'Bonding Program'!$U$39-'Bonding Program'!$Z$39,0)-IF(AND('Bonding Program'!$S$39=1,'Bonding Program'!$H$39&lt;='Bonding Program'!$C$8,CB$3=IF('Bonding Program'!$P$39&lt;&gt;"",'Bonding Program'!$P$39,'Bonding Program'!$C$8)),'Bonding Program'!$Z$39,0)+IF(AND('Bonding Program'!$P$39&lt;&gt;"",CB$3='Bonding Program'!$P$39,CB$3&lt;='Bonding Program'!$C$8),N('Bonding Program'!$O$39),0)</f>
        <v>0</v>
      </c>
      <c r="CC180" s="19" t="n">
        <f aca="false">IF(AND('Bonding Program'!$S$39=1,'Bonding Program'!$H$39&gt;'Bonding Program'!$C$8,CC$3='Bonding Program'!$H$39),'Bonding Program'!$T$39-'Bonding Program'!$U$39-'Bonding Program'!$Z$39,0)-IF(AND('Bonding Program'!$S$39=1,'Bonding Program'!$H$39&lt;='Bonding Program'!$C$8,CC$3=IF('Bonding Program'!$P$39&lt;&gt;"",'Bonding Program'!$P$39,'Bonding Program'!$C$8)),'Bonding Program'!$Z$39,0)+IF(AND('Bonding Program'!$P$39&lt;&gt;"",CC$3='Bonding Program'!$P$39,CC$3&lt;='Bonding Program'!$C$8),N('Bonding Program'!$O$39),0)</f>
        <v>0</v>
      </c>
      <c r="CD180" s="19" t="n">
        <f aca="false">IF(AND('Bonding Program'!$S$39=1,'Bonding Program'!$H$39&gt;'Bonding Program'!$C$8,CD$3='Bonding Program'!$H$39),'Bonding Program'!$T$39-'Bonding Program'!$U$39-'Bonding Program'!$Z$39,0)-IF(AND('Bonding Program'!$S$39=1,'Bonding Program'!$H$39&lt;='Bonding Program'!$C$8,CD$3=IF('Bonding Program'!$P$39&lt;&gt;"",'Bonding Program'!$P$39,'Bonding Program'!$C$8)),'Bonding Program'!$Z$39,0)+IF(AND('Bonding Program'!$P$39&lt;&gt;"",CD$3='Bonding Program'!$P$39,CD$3&lt;='Bonding Program'!$C$8),N('Bonding Program'!$O$39),0)</f>
        <v>0</v>
      </c>
      <c r="CE180" s="19" t="n">
        <f aca="false">IF(AND('Bonding Program'!$S$39=1,'Bonding Program'!$H$39&gt;'Bonding Program'!$C$8,CE$3='Bonding Program'!$H$39),'Bonding Program'!$T$39-'Bonding Program'!$U$39-'Bonding Program'!$Z$39,0)-IF(AND('Bonding Program'!$S$39=1,'Bonding Program'!$H$39&lt;='Bonding Program'!$C$8,CE$3=IF('Bonding Program'!$P$39&lt;&gt;"",'Bonding Program'!$P$39,'Bonding Program'!$C$8)),'Bonding Program'!$Z$39,0)+IF(AND('Bonding Program'!$P$39&lt;&gt;"",CE$3='Bonding Program'!$P$39,CE$3&lt;='Bonding Program'!$C$8),N('Bonding Program'!$O$39),0)</f>
        <v>0</v>
      </c>
      <c r="CF180" s="19" t="n">
        <f aca="false">IF(AND('Bonding Program'!$S$39=1,'Bonding Program'!$H$39&gt;'Bonding Program'!$C$8,CF$3='Bonding Program'!$H$39),'Bonding Program'!$T$39-'Bonding Program'!$U$39-'Bonding Program'!$Z$39,0)-IF(AND('Bonding Program'!$S$39=1,'Bonding Program'!$H$39&lt;='Bonding Program'!$C$8,CF$3=IF('Bonding Program'!$P$39&lt;&gt;"",'Bonding Program'!$P$39,'Bonding Program'!$C$8)),'Bonding Program'!$Z$39,0)+IF(AND('Bonding Program'!$P$39&lt;&gt;"",CF$3='Bonding Program'!$P$39,CF$3&lt;='Bonding Program'!$C$8),N('Bonding Program'!$O$39),0)</f>
        <v>0</v>
      </c>
      <c r="CG180" s="19" t="n">
        <f aca="false">IF(AND('Bonding Program'!$S$39=1,'Bonding Program'!$H$39&gt;'Bonding Program'!$C$8,CG$3='Bonding Program'!$H$39),'Bonding Program'!$T$39-'Bonding Program'!$U$39-'Bonding Program'!$Z$39,0)-IF(AND('Bonding Program'!$S$39=1,'Bonding Program'!$H$39&lt;='Bonding Program'!$C$8,CG$3=IF('Bonding Program'!$P$39&lt;&gt;"",'Bonding Program'!$P$39,'Bonding Program'!$C$8)),'Bonding Program'!$Z$39,0)+IF(AND('Bonding Program'!$P$39&lt;&gt;"",CG$3='Bonding Program'!$P$39,CG$3&lt;='Bonding Program'!$C$8),N('Bonding Program'!$O$39),0)</f>
        <v>0</v>
      </c>
      <c r="CH180" s="19" t="n">
        <f aca="false">IF(AND('Bonding Program'!$S$39=1,'Bonding Program'!$H$39&gt;'Bonding Program'!$C$8,CH$3='Bonding Program'!$H$39),'Bonding Program'!$T$39-'Bonding Program'!$U$39-'Bonding Program'!$Z$39,0)-IF(AND('Bonding Program'!$S$39=1,'Bonding Program'!$H$39&lt;='Bonding Program'!$C$8,CH$3=IF('Bonding Program'!$P$39&lt;&gt;"",'Bonding Program'!$P$39,'Bonding Program'!$C$8)),'Bonding Program'!$Z$39,0)+IF(AND('Bonding Program'!$P$39&lt;&gt;"",CH$3='Bonding Program'!$P$39,CH$3&lt;='Bonding Program'!$C$8),N('Bonding Program'!$O$39),0)</f>
        <v>0</v>
      </c>
      <c r="CI180" s="19" t="n">
        <f aca="false">IF(AND('Bonding Program'!$S$39=1,'Bonding Program'!$H$39&gt;'Bonding Program'!$C$8,CI$3='Bonding Program'!$H$39),'Bonding Program'!$T$39-'Bonding Program'!$U$39-'Bonding Program'!$Z$39,0)-IF(AND('Bonding Program'!$S$39=1,'Bonding Program'!$H$39&lt;='Bonding Program'!$C$8,CI$3=IF('Bonding Program'!$P$39&lt;&gt;"",'Bonding Program'!$P$39,'Bonding Program'!$C$8)),'Bonding Program'!$Z$39,0)+IF(AND('Bonding Program'!$P$39&lt;&gt;"",CI$3='Bonding Program'!$P$39,CI$3&lt;='Bonding Program'!$C$8),N('Bonding Program'!$O$39),0)</f>
        <v>0</v>
      </c>
      <c r="CJ180" s="19" t="n">
        <f aca="false">IF(AND('Bonding Program'!$S$39=1,'Bonding Program'!$H$39&gt;'Bonding Program'!$C$8,CJ$3='Bonding Program'!$H$39),'Bonding Program'!$T$39-'Bonding Program'!$U$39-'Bonding Program'!$Z$39,0)-IF(AND('Bonding Program'!$S$39=1,'Bonding Program'!$H$39&lt;='Bonding Program'!$C$8,CJ$3=IF('Bonding Program'!$P$39&lt;&gt;"",'Bonding Program'!$P$39,'Bonding Program'!$C$8)),'Bonding Program'!$Z$39,0)+IF(AND('Bonding Program'!$P$39&lt;&gt;"",CJ$3='Bonding Program'!$P$39,CJ$3&lt;='Bonding Program'!$C$8),N('Bonding Program'!$O$39),0)</f>
        <v>0</v>
      </c>
      <c r="CK180" s="19" t="n">
        <f aca="false">IF(AND('Bonding Program'!$S$39=1,'Bonding Program'!$H$39&gt;'Bonding Program'!$C$8,CK$3='Bonding Program'!$H$39),'Bonding Program'!$T$39-'Bonding Program'!$U$39-'Bonding Program'!$Z$39,0)-IF(AND('Bonding Program'!$S$39=1,'Bonding Program'!$H$39&lt;='Bonding Program'!$C$8,CK$3=IF('Bonding Program'!$P$39&lt;&gt;"",'Bonding Program'!$P$39,'Bonding Program'!$C$8)),'Bonding Program'!$Z$39,0)+IF(AND('Bonding Program'!$P$39&lt;&gt;"",CK$3='Bonding Program'!$P$39,CK$3&lt;='Bonding Program'!$C$8),N('Bonding Program'!$O$39),0)</f>
        <v>0</v>
      </c>
      <c r="CL180" s="19" t="n">
        <f aca="false">IF(AND('Bonding Program'!$S$39=1,'Bonding Program'!$H$39&gt;'Bonding Program'!$C$8,CL$3='Bonding Program'!$H$39),'Bonding Program'!$T$39-'Bonding Program'!$U$39-'Bonding Program'!$Z$39,0)-IF(AND('Bonding Program'!$S$39=1,'Bonding Program'!$H$39&lt;='Bonding Program'!$C$8,CL$3=IF('Bonding Program'!$P$39&lt;&gt;"",'Bonding Program'!$P$39,'Bonding Program'!$C$8)),'Bonding Program'!$Z$39,0)+IF(AND('Bonding Program'!$P$39&lt;&gt;"",CL$3='Bonding Program'!$P$39,CL$3&lt;='Bonding Program'!$C$8),N('Bonding Program'!$O$39),0)</f>
        <v>0</v>
      </c>
      <c r="CM180" s="19" t="n">
        <f aca="false">IF(AND('Bonding Program'!$S$39=1,'Bonding Program'!$H$39&gt;'Bonding Program'!$C$8,CM$3='Bonding Program'!$H$39),'Bonding Program'!$T$39-'Bonding Program'!$U$39-'Bonding Program'!$Z$39,0)-IF(AND('Bonding Program'!$S$39=1,'Bonding Program'!$H$39&lt;='Bonding Program'!$C$8,CM$3=IF('Bonding Program'!$P$39&lt;&gt;"",'Bonding Program'!$P$39,'Bonding Program'!$C$8)),'Bonding Program'!$Z$39,0)+IF(AND('Bonding Program'!$P$39&lt;&gt;"",CM$3='Bonding Program'!$P$39,CM$3&lt;='Bonding Program'!$C$8),N('Bonding Program'!$O$39),0)</f>
        <v>0</v>
      </c>
      <c r="CN180" s="19" t="n">
        <f aca="false">IF(AND('Bonding Program'!$S$39=1,'Bonding Program'!$H$39&gt;'Bonding Program'!$C$8,CN$3='Bonding Program'!$H$39),'Bonding Program'!$T$39-'Bonding Program'!$U$39-'Bonding Program'!$Z$39,0)-IF(AND('Bonding Program'!$S$39=1,'Bonding Program'!$H$39&lt;='Bonding Program'!$C$8,CN$3=IF('Bonding Program'!$P$39&lt;&gt;"",'Bonding Program'!$P$39,'Bonding Program'!$C$8)),'Bonding Program'!$Z$39,0)+IF(AND('Bonding Program'!$P$39&lt;&gt;"",CN$3='Bonding Program'!$P$39,CN$3&lt;='Bonding Program'!$C$8),N('Bonding Program'!$O$39),0)</f>
        <v>0</v>
      </c>
      <c r="CO180" s="19" t="n">
        <f aca="false">IF(AND('Bonding Program'!$S$39=1,'Bonding Program'!$H$39&gt;'Bonding Program'!$C$8,CO$3='Bonding Program'!$H$39),'Bonding Program'!$T$39-'Bonding Program'!$U$39-'Bonding Program'!$Z$39,0)-IF(AND('Bonding Program'!$S$39=1,'Bonding Program'!$H$39&lt;='Bonding Program'!$C$8,CO$3=IF('Bonding Program'!$P$39&lt;&gt;"",'Bonding Program'!$P$39,'Bonding Program'!$C$8)),'Bonding Program'!$Z$39,0)+IF(AND('Bonding Program'!$P$39&lt;&gt;"",CO$3='Bonding Program'!$P$39,CO$3&lt;='Bonding Program'!$C$8),N('Bonding Program'!$O$39),0)</f>
        <v>0</v>
      </c>
      <c r="CP180" s="19" t="n">
        <f aca="false">IF(AND('Bonding Program'!$S$39=1,'Bonding Program'!$H$39&gt;'Bonding Program'!$C$8,CP$3='Bonding Program'!$H$39),'Bonding Program'!$T$39-'Bonding Program'!$U$39-'Bonding Program'!$Z$39,0)-IF(AND('Bonding Program'!$S$39=1,'Bonding Program'!$H$39&lt;='Bonding Program'!$C$8,CP$3=IF('Bonding Program'!$P$39&lt;&gt;"",'Bonding Program'!$P$39,'Bonding Program'!$C$8)),'Bonding Program'!$Z$39,0)+IF(AND('Bonding Program'!$P$39&lt;&gt;"",CP$3='Bonding Program'!$P$39,CP$3&lt;='Bonding Program'!$C$8),N('Bonding Program'!$O$39),0)</f>
        <v>0</v>
      </c>
      <c r="CQ180" s="19" t="n">
        <f aca="false">IF(AND('Bonding Program'!$S$39=1,'Bonding Program'!$H$39&gt;'Bonding Program'!$C$8,CQ$3='Bonding Program'!$H$39),'Bonding Program'!$T$39-'Bonding Program'!$U$39-'Bonding Program'!$Z$39,0)-IF(AND('Bonding Program'!$S$39=1,'Bonding Program'!$H$39&lt;='Bonding Program'!$C$8,CQ$3=IF('Bonding Program'!$P$39&lt;&gt;"",'Bonding Program'!$P$39,'Bonding Program'!$C$8)),'Bonding Program'!$Z$39,0)+IF(AND('Bonding Program'!$P$39&lt;&gt;"",CQ$3='Bonding Program'!$P$39,CQ$3&lt;='Bonding Program'!$C$8),N('Bonding Program'!$O$39),0)</f>
        <v>0</v>
      </c>
      <c r="CR180" s="19" t="n">
        <f aca="false">IF(AND('Bonding Program'!$S$39=1,'Bonding Program'!$H$39&gt;'Bonding Program'!$C$8,CR$3='Bonding Program'!$H$39),'Bonding Program'!$T$39-'Bonding Program'!$U$39-'Bonding Program'!$Z$39,0)-IF(AND('Bonding Program'!$S$39=1,'Bonding Program'!$H$39&lt;='Bonding Program'!$C$8,CR$3=IF('Bonding Program'!$P$39&lt;&gt;"",'Bonding Program'!$P$39,'Bonding Program'!$C$8)),'Bonding Program'!$Z$39,0)+IF(AND('Bonding Program'!$P$39&lt;&gt;"",CR$3='Bonding Program'!$P$39,CR$3&lt;='Bonding Program'!$C$8),N('Bonding Program'!$O$39),0)</f>
        <v>0</v>
      </c>
      <c r="CS180" s="19" t="n">
        <f aca="false">IF(AND('Bonding Program'!$S$39=1,'Bonding Program'!$H$39&gt;'Bonding Program'!$C$8,CS$3='Bonding Program'!$H$39),'Bonding Program'!$T$39-'Bonding Program'!$U$39-'Bonding Program'!$Z$39,0)-IF(AND('Bonding Program'!$S$39=1,'Bonding Program'!$H$39&lt;='Bonding Program'!$C$8,CS$3=IF('Bonding Program'!$P$39&lt;&gt;"",'Bonding Program'!$P$39,'Bonding Program'!$C$8)),'Bonding Program'!$Z$39,0)+IF(AND('Bonding Program'!$P$39&lt;&gt;"",CS$3='Bonding Program'!$P$39,CS$3&lt;='Bonding Program'!$C$8),N('Bonding Program'!$O$39),0)</f>
        <v>0</v>
      </c>
      <c r="CT180" s="19" t="n">
        <f aca="false">IF(AND('Bonding Program'!$S$39=1,'Bonding Program'!$H$39&gt;'Bonding Program'!$C$8,CT$3='Bonding Program'!$H$39),'Bonding Program'!$T$39-'Bonding Program'!$U$39-'Bonding Program'!$Z$39,0)-IF(AND('Bonding Program'!$S$39=1,'Bonding Program'!$H$39&lt;='Bonding Program'!$C$8,CT$3=IF('Bonding Program'!$P$39&lt;&gt;"",'Bonding Program'!$P$39,'Bonding Program'!$C$8)),'Bonding Program'!$Z$39,0)+IF(AND('Bonding Program'!$P$39&lt;&gt;"",CT$3='Bonding Program'!$P$39,CT$3&lt;='Bonding Program'!$C$8),N('Bonding Program'!$O$39),0)</f>
        <v>0</v>
      </c>
      <c r="CU180" s="19" t="n">
        <f aca="false">IF(AND('Bonding Program'!$S$39=1,'Bonding Program'!$H$39&gt;'Bonding Program'!$C$8,CU$3='Bonding Program'!$H$39),'Bonding Program'!$T$39-'Bonding Program'!$U$39-'Bonding Program'!$Z$39,0)-IF(AND('Bonding Program'!$S$39=1,'Bonding Program'!$H$39&lt;='Bonding Program'!$C$8,CU$3=IF('Bonding Program'!$P$39&lt;&gt;"",'Bonding Program'!$P$39,'Bonding Program'!$C$8)),'Bonding Program'!$Z$39,0)+IF(AND('Bonding Program'!$P$39&lt;&gt;"",CU$3='Bonding Program'!$P$39,CU$3&lt;='Bonding Program'!$C$8),N('Bonding Program'!$O$39),0)</f>
        <v>0</v>
      </c>
      <c r="CV180" s="19" t="n">
        <f aca="false">IF(AND('Bonding Program'!$S$39=1,'Bonding Program'!$H$39&gt;'Bonding Program'!$C$8,CV$3='Bonding Program'!$H$39),'Bonding Program'!$T$39-'Bonding Program'!$U$39-'Bonding Program'!$Z$39,0)-IF(AND('Bonding Program'!$S$39=1,'Bonding Program'!$H$39&lt;='Bonding Program'!$C$8,CV$3=IF('Bonding Program'!$P$39&lt;&gt;"",'Bonding Program'!$P$39,'Bonding Program'!$C$8)),'Bonding Program'!$Z$39,0)+IF(AND('Bonding Program'!$P$39&lt;&gt;"",CV$3='Bonding Program'!$P$39,CV$3&lt;='Bonding Program'!$C$8),N('Bonding Program'!$O$39),0)</f>
        <v>0</v>
      </c>
      <c r="CW180" s="19" t="n">
        <f aca="false">IF(AND('Bonding Program'!$S$39=1,'Bonding Program'!$H$39&gt;'Bonding Program'!$C$8,CW$3='Bonding Program'!$H$39),'Bonding Program'!$T$39-'Bonding Program'!$U$39-'Bonding Program'!$Z$39,0)-IF(AND('Bonding Program'!$S$39=1,'Bonding Program'!$H$39&lt;='Bonding Program'!$C$8,CW$3=IF('Bonding Program'!$P$39&lt;&gt;"",'Bonding Program'!$P$39,'Bonding Program'!$C$8)),'Bonding Program'!$Z$39,0)+IF(AND('Bonding Program'!$P$39&lt;&gt;"",CW$3='Bonding Program'!$P$39,CW$3&lt;='Bonding Program'!$C$8),N('Bonding Program'!$O$39),0)</f>
        <v>0</v>
      </c>
      <c r="CX180" s="19" t="n">
        <f aca="false">IF(AND('Bonding Program'!$S$39=1,'Bonding Program'!$H$39&gt;'Bonding Program'!$C$8,CX$3='Bonding Program'!$H$39),'Bonding Program'!$T$39-'Bonding Program'!$U$39-'Bonding Program'!$Z$39,0)-IF(AND('Bonding Program'!$S$39=1,'Bonding Program'!$H$39&lt;='Bonding Program'!$C$8,CX$3=IF('Bonding Program'!$P$39&lt;&gt;"",'Bonding Program'!$P$39,'Bonding Program'!$C$8)),'Bonding Program'!$Z$39,0)+IF(AND('Bonding Program'!$P$39&lt;&gt;"",CX$3='Bonding Program'!$P$39,CX$3&lt;='Bonding Program'!$C$8),N('Bonding Program'!$O$39),0)</f>
        <v>0</v>
      </c>
      <c r="CY180" s="19" t="n">
        <f aca="false">IF(AND('Bonding Program'!$S$39=1,'Bonding Program'!$H$39&gt;'Bonding Program'!$C$8,CY$3='Bonding Program'!$H$39),'Bonding Program'!$T$39-'Bonding Program'!$U$39-'Bonding Program'!$Z$39,0)-IF(AND('Bonding Program'!$S$39=1,'Bonding Program'!$H$39&lt;='Bonding Program'!$C$8,CY$3=IF('Bonding Program'!$P$39&lt;&gt;"",'Bonding Program'!$P$39,'Bonding Program'!$C$8)),'Bonding Program'!$Z$39,0)+IF(AND('Bonding Program'!$P$39&lt;&gt;"",CY$3='Bonding Program'!$P$39,CY$3&lt;='Bonding Program'!$C$8),N('Bonding Program'!$O$39),0)</f>
        <v>0</v>
      </c>
      <c r="CZ180" s="19" t="n">
        <f aca="false">IF(AND('Bonding Program'!$S$39=1,'Bonding Program'!$H$39&gt;'Bonding Program'!$C$8,CZ$3='Bonding Program'!$H$39),'Bonding Program'!$T$39-'Bonding Program'!$U$39-'Bonding Program'!$Z$39,0)-IF(AND('Bonding Program'!$S$39=1,'Bonding Program'!$H$39&lt;='Bonding Program'!$C$8,CZ$3=IF('Bonding Program'!$P$39&lt;&gt;"",'Bonding Program'!$P$39,'Bonding Program'!$C$8)),'Bonding Program'!$Z$39,0)+IF(AND('Bonding Program'!$P$39&lt;&gt;"",CZ$3='Bonding Program'!$P$39,CZ$3&lt;='Bonding Program'!$C$8),N('Bonding Program'!$O$39),0)</f>
        <v>0</v>
      </c>
      <c r="DA180" s="19" t="n">
        <f aca="false">IF(AND('Bonding Program'!$S$39=1,'Bonding Program'!$H$39&gt;'Bonding Program'!$C$8,DA$3='Bonding Program'!$H$39),'Bonding Program'!$T$39-'Bonding Program'!$U$39-'Bonding Program'!$Z$39,0)-IF(AND('Bonding Program'!$S$39=1,'Bonding Program'!$H$39&lt;='Bonding Program'!$C$8,DA$3=IF('Bonding Program'!$P$39&lt;&gt;"",'Bonding Program'!$P$39,'Bonding Program'!$C$8)),'Bonding Program'!$Z$39,0)+IF(AND('Bonding Program'!$P$39&lt;&gt;"",DA$3='Bonding Program'!$P$39,DA$3&lt;='Bonding Program'!$C$8),N('Bonding Program'!$O$39),0)</f>
        <v>0</v>
      </c>
      <c r="DB180" s="19" t="n">
        <f aca="false">IF(AND('Bonding Program'!$S$39=1,'Bonding Program'!$H$39&gt;'Bonding Program'!$C$8,DB$3='Bonding Program'!$H$39),'Bonding Program'!$T$39-'Bonding Program'!$U$39-'Bonding Program'!$Z$39,0)-IF(AND('Bonding Program'!$S$39=1,'Bonding Program'!$H$39&lt;='Bonding Program'!$C$8,DB$3=IF('Bonding Program'!$P$39&lt;&gt;"",'Bonding Program'!$P$39,'Bonding Program'!$C$8)),'Bonding Program'!$Z$39,0)+IF(AND('Bonding Program'!$P$39&lt;&gt;"",DB$3='Bonding Program'!$P$39,DB$3&lt;='Bonding Program'!$C$8),N('Bonding Program'!$O$39),0)</f>
        <v>0</v>
      </c>
      <c r="DC180" s="19" t="n">
        <f aca="false">IF(AND('Bonding Program'!$S$39=1,'Bonding Program'!$H$39&gt;'Bonding Program'!$C$8,DC$3='Bonding Program'!$H$39),'Bonding Program'!$T$39-'Bonding Program'!$U$39-'Bonding Program'!$Z$39,0)-IF(AND('Bonding Program'!$S$39=1,'Bonding Program'!$H$39&lt;='Bonding Program'!$C$8,DC$3=IF('Bonding Program'!$P$39&lt;&gt;"",'Bonding Program'!$P$39,'Bonding Program'!$C$8)),'Bonding Program'!$Z$39,0)+IF(AND('Bonding Program'!$P$39&lt;&gt;"",DC$3='Bonding Program'!$P$39,DC$3&lt;='Bonding Program'!$C$8),N('Bonding Program'!$O$39),0)</f>
        <v>0</v>
      </c>
      <c r="DD180" s="19" t="n">
        <f aca="false">IF(AND('Bonding Program'!$S$39=1,'Bonding Program'!$H$39&gt;'Bonding Program'!$C$8,DD$3='Bonding Program'!$H$39),'Bonding Program'!$T$39-'Bonding Program'!$U$39-'Bonding Program'!$Z$39,0)-IF(AND('Bonding Program'!$S$39=1,'Bonding Program'!$H$39&lt;='Bonding Program'!$C$8,DD$3=IF('Bonding Program'!$P$39&lt;&gt;"",'Bonding Program'!$P$39,'Bonding Program'!$C$8)),'Bonding Program'!$Z$39,0)+IF(AND('Bonding Program'!$P$39&lt;&gt;"",DD$3='Bonding Program'!$P$39,DD$3&lt;='Bonding Program'!$C$8),N('Bonding Program'!$O$39),0)</f>
        <v>0</v>
      </c>
      <c r="DE180" s="19" t="n">
        <f aca="false">IF(AND('Bonding Program'!$S$39=1,'Bonding Program'!$H$39&gt;'Bonding Program'!$C$8,DE$3='Bonding Program'!$H$39),'Bonding Program'!$T$39-'Bonding Program'!$U$39-'Bonding Program'!$Z$39,0)-IF(AND('Bonding Program'!$S$39=1,'Bonding Program'!$H$39&lt;='Bonding Program'!$C$8,DE$3=IF('Bonding Program'!$P$39&lt;&gt;"",'Bonding Program'!$P$39,'Bonding Program'!$C$8)),'Bonding Program'!$Z$39,0)+IF(AND('Bonding Program'!$P$39&lt;&gt;"",DE$3='Bonding Program'!$P$39,DE$3&lt;='Bonding Program'!$C$8),N('Bonding Program'!$O$39),0)</f>
        <v>0</v>
      </c>
    </row>
    <row r="181" customFormat="false" ht="15" hidden="false" customHeight="true" outlineLevel="1" collapsed="false">
      <c r="A181" s="28" t="s">
        <v>36</v>
      </c>
      <c r="B181" s="19" t="n">
        <f aca="false">IF(AND('Bonding Program'!$S$40=1,'Bonding Program'!$H$40&gt;'Bonding Program'!$C$8,B$3='Bonding Program'!$H$40),'Bonding Program'!$T$40-'Bonding Program'!$U$40-'Bonding Program'!$Z$40,0)-IF(AND('Bonding Program'!$S$40=1,'Bonding Program'!$H$40&lt;='Bonding Program'!$C$8,B$3=IF('Bonding Program'!$P$40&lt;&gt;"",'Bonding Program'!$P$40,'Bonding Program'!$C$8)),'Bonding Program'!$Z$40,0)+IF(AND('Bonding Program'!$P$40&lt;&gt;"",B$3='Bonding Program'!$P$40,B$3&lt;='Bonding Program'!$C$8),N('Bonding Program'!$O$40),0)</f>
        <v>0</v>
      </c>
      <c r="C181" s="19" t="n">
        <f aca="false">IF(AND('Bonding Program'!$S$40=1,'Bonding Program'!$H$40&gt;'Bonding Program'!$C$8,C$3='Bonding Program'!$H$40),'Bonding Program'!$T$40-'Bonding Program'!$U$40-'Bonding Program'!$Z$40,0)-IF(AND('Bonding Program'!$S$40=1,'Bonding Program'!$H$40&lt;='Bonding Program'!$C$8,C$3=IF('Bonding Program'!$P$40&lt;&gt;"",'Bonding Program'!$P$40,'Bonding Program'!$C$8)),'Bonding Program'!$Z$40,0)+IF(AND('Bonding Program'!$P$40&lt;&gt;"",C$3='Bonding Program'!$P$40,C$3&lt;='Bonding Program'!$C$8),N('Bonding Program'!$O$40),0)</f>
        <v>0</v>
      </c>
      <c r="D181" s="19" t="n">
        <f aca="false">IF(AND('Bonding Program'!$S$40=1,'Bonding Program'!$H$40&gt;'Bonding Program'!$C$8,D$3='Bonding Program'!$H$40),'Bonding Program'!$T$40-'Bonding Program'!$U$40-'Bonding Program'!$Z$40,0)-IF(AND('Bonding Program'!$S$40=1,'Bonding Program'!$H$40&lt;='Bonding Program'!$C$8,D$3=IF('Bonding Program'!$P$40&lt;&gt;"",'Bonding Program'!$P$40,'Bonding Program'!$C$8)),'Bonding Program'!$Z$40,0)+IF(AND('Bonding Program'!$P$40&lt;&gt;"",D$3='Bonding Program'!$P$40,D$3&lt;='Bonding Program'!$C$8),N('Bonding Program'!$O$40),0)</f>
        <v>0</v>
      </c>
      <c r="E181" s="19" t="n">
        <f aca="false">IF(AND('Bonding Program'!$S$40=1,'Bonding Program'!$H$40&gt;'Bonding Program'!$C$8,E$3='Bonding Program'!$H$40),'Bonding Program'!$T$40-'Bonding Program'!$U$40-'Bonding Program'!$Z$40,0)-IF(AND('Bonding Program'!$S$40=1,'Bonding Program'!$H$40&lt;='Bonding Program'!$C$8,E$3=IF('Bonding Program'!$P$40&lt;&gt;"",'Bonding Program'!$P$40,'Bonding Program'!$C$8)),'Bonding Program'!$Z$40,0)+IF(AND('Bonding Program'!$P$40&lt;&gt;"",E$3='Bonding Program'!$P$40,E$3&lt;='Bonding Program'!$C$8),N('Bonding Program'!$O$40),0)</f>
        <v>0</v>
      </c>
      <c r="F181" s="19" t="n">
        <f aca="false">IF(AND('Bonding Program'!$S$40=1,'Bonding Program'!$H$40&gt;'Bonding Program'!$C$8,F$3='Bonding Program'!$H$40),'Bonding Program'!$T$40-'Bonding Program'!$U$40-'Bonding Program'!$Z$40,0)-IF(AND('Bonding Program'!$S$40=1,'Bonding Program'!$H$40&lt;='Bonding Program'!$C$8,F$3=IF('Bonding Program'!$P$40&lt;&gt;"",'Bonding Program'!$P$40,'Bonding Program'!$C$8)),'Bonding Program'!$Z$40,0)+IF(AND('Bonding Program'!$P$40&lt;&gt;"",F$3='Bonding Program'!$P$40,F$3&lt;='Bonding Program'!$C$8),N('Bonding Program'!$O$40),0)</f>
        <v>0</v>
      </c>
      <c r="G181" s="19" t="n">
        <f aca="false">IF(AND('Bonding Program'!$S$40=1,'Bonding Program'!$H$40&gt;'Bonding Program'!$C$8,G$3='Bonding Program'!$H$40),'Bonding Program'!$T$40-'Bonding Program'!$U$40-'Bonding Program'!$Z$40,0)-IF(AND('Bonding Program'!$S$40=1,'Bonding Program'!$H$40&lt;='Bonding Program'!$C$8,G$3=IF('Bonding Program'!$P$40&lt;&gt;"",'Bonding Program'!$P$40,'Bonding Program'!$C$8)),'Bonding Program'!$Z$40,0)+IF(AND('Bonding Program'!$P$40&lt;&gt;"",G$3='Bonding Program'!$P$40,G$3&lt;='Bonding Program'!$C$8),N('Bonding Program'!$O$40),0)</f>
        <v>0</v>
      </c>
      <c r="H181" s="19" t="n">
        <f aca="false">IF(AND('Bonding Program'!$S$40=1,'Bonding Program'!$H$40&gt;'Bonding Program'!$C$8,H$3='Bonding Program'!$H$40),'Bonding Program'!$T$40-'Bonding Program'!$U$40-'Bonding Program'!$Z$40,0)-IF(AND('Bonding Program'!$S$40=1,'Bonding Program'!$H$40&lt;='Bonding Program'!$C$8,H$3=IF('Bonding Program'!$P$40&lt;&gt;"",'Bonding Program'!$P$40,'Bonding Program'!$C$8)),'Bonding Program'!$Z$40,0)+IF(AND('Bonding Program'!$P$40&lt;&gt;"",H$3='Bonding Program'!$P$40,H$3&lt;='Bonding Program'!$C$8),N('Bonding Program'!$O$40),0)</f>
        <v>0</v>
      </c>
      <c r="I181" s="19" t="n">
        <f aca="false">IF(AND('Bonding Program'!$S$40=1,'Bonding Program'!$H$40&gt;'Bonding Program'!$C$8,I$3='Bonding Program'!$H$40),'Bonding Program'!$T$40-'Bonding Program'!$U$40-'Bonding Program'!$Z$40,0)-IF(AND('Bonding Program'!$S$40=1,'Bonding Program'!$H$40&lt;='Bonding Program'!$C$8,I$3=IF('Bonding Program'!$P$40&lt;&gt;"",'Bonding Program'!$P$40,'Bonding Program'!$C$8)),'Bonding Program'!$Z$40,0)+IF(AND('Bonding Program'!$P$40&lt;&gt;"",I$3='Bonding Program'!$P$40,I$3&lt;='Bonding Program'!$C$8),N('Bonding Program'!$O$40),0)</f>
        <v>0</v>
      </c>
      <c r="J181" s="19" t="n">
        <f aca="false">IF(AND('Bonding Program'!$S$40=1,'Bonding Program'!$H$40&gt;'Bonding Program'!$C$8,J$3='Bonding Program'!$H$40),'Bonding Program'!$T$40-'Bonding Program'!$U$40-'Bonding Program'!$Z$40,0)-IF(AND('Bonding Program'!$S$40=1,'Bonding Program'!$H$40&lt;='Bonding Program'!$C$8,J$3=IF('Bonding Program'!$P$40&lt;&gt;"",'Bonding Program'!$P$40,'Bonding Program'!$C$8)),'Bonding Program'!$Z$40,0)+IF(AND('Bonding Program'!$P$40&lt;&gt;"",J$3='Bonding Program'!$P$40,J$3&lt;='Bonding Program'!$C$8),N('Bonding Program'!$O$40),0)</f>
        <v>0</v>
      </c>
      <c r="K181" s="19" t="n">
        <f aca="false">IF(AND('Bonding Program'!$S$40=1,'Bonding Program'!$H$40&gt;'Bonding Program'!$C$8,K$3='Bonding Program'!$H$40),'Bonding Program'!$T$40-'Bonding Program'!$U$40-'Bonding Program'!$Z$40,0)-IF(AND('Bonding Program'!$S$40=1,'Bonding Program'!$H$40&lt;='Bonding Program'!$C$8,K$3=IF('Bonding Program'!$P$40&lt;&gt;"",'Bonding Program'!$P$40,'Bonding Program'!$C$8)),'Bonding Program'!$Z$40,0)+IF(AND('Bonding Program'!$P$40&lt;&gt;"",K$3='Bonding Program'!$P$40,K$3&lt;='Bonding Program'!$C$8),N('Bonding Program'!$O$40),0)</f>
        <v>0</v>
      </c>
      <c r="L181" s="19" t="n">
        <f aca="false">IF(AND('Bonding Program'!$S$40=1,'Bonding Program'!$H$40&gt;'Bonding Program'!$C$8,L$3='Bonding Program'!$H$40),'Bonding Program'!$T$40-'Bonding Program'!$U$40-'Bonding Program'!$Z$40,0)-IF(AND('Bonding Program'!$S$40=1,'Bonding Program'!$H$40&lt;='Bonding Program'!$C$8,L$3=IF('Bonding Program'!$P$40&lt;&gt;"",'Bonding Program'!$P$40,'Bonding Program'!$C$8)),'Bonding Program'!$Z$40,0)+IF(AND('Bonding Program'!$P$40&lt;&gt;"",L$3='Bonding Program'!$P$40,L$3&lt;='Bonding Program'!$C$8),N('Bonding Program'!$O$40),0)</f>
        <v>0</v>
      </c>
      <c r="M181" s="19" t="n">
        <f aca="false">IF(AND('Bonding Program'!$S$40=1,'Bonding Program'!$H$40&gt;'Bonding Program'!$C$8,M$3='Bonding Program'!$H$40),'Bonding Program'!$T$40-'Bonding Program'!$U$40-'Bonding Program'!$Z$40,0)-IF(AND('Bonding Program'!$S$40=1,'Bonding Program'!$H$40&lt;='Bonding Program'!$C$8,M$3=IF('Bonding Program'!$P$40&lt;&gt;"",'Bonding Program'!$P$40,'Bonding Program'!$C$8)),'Bonding Program'!$Z$40,0)+IF(AND('Bonding Program'!$P$40&lt;&gt;"",M$3='Bonding Program'!$P$40,M$3&lt;='Bonding Program'!$C$8),N('Bonding Program'!$O$40),0)</f>
        <v>0</v>
      </c>
      <c r="N181" s="19" t="n">
        <f aca="false">IF(AND('Bonding Program'!$S$40=1,'Bonding Program'!$H$40&gt;'Bonding Program'!$C$8,N$3='Bonding Program'!$H$40),'Bonding Program'!$T$40-'Bonding Program'!$U$40-'Bonding Program'!$Z$40,0)-IF(AND('Bonding Program'!$S$40=1,'Bonding Program'!$H$40&lt;='Bonding Program'!$C$8,N$3=IF('Bonding Program'!$P$40&lt;&gt;"",'Bonding Program'!$P$40,'Bonding Program'!$C$8)),'Bonding Program'!$Z$40,0)+IF(AND('Bonding Program'!$P$40&lt;&gt;"",N$3='Bonding Program'!$P$40,N$3&lt;='Bonding Program'!$C$8),N('Bonding Program'!$O$40),0)</f>
        <v>0</v>
      </c>
      <c r="O181" s="19" t="n">
        <f aca="false">IF(AND('Bonding Program'!$S$40=1,'Bonding Program'!$H$40&gt;'Bonding Program'!$C$8,O$3='Bonding Program'!$H$40),'Bonding Program'!$T$40-'Bonding Program'!$U$40-'Bonding Program'!$Z$40,0)-IF(AND('Bonding Program'!$S$40=1,'Bonding Program'!$H$40&lt;='Bonding Program'!$C$8,O$3=IF('Bonding Program'!$P$40&lt;&gt;"",'Bonding Program'!$P$40,'Bonding Program'!$C$8)),'Bonding Program'!$Z$40,0)+IF(AND('Bonding Program'!$P$40&lt;&gt;"",O$3='Bonding Program'!$P$40,O$3&lt;='Bonding Program'!$C$8),N('Bonding Program'!$O$40),0)</f>
        <v>0</v>
      </c>
      <c r="P181" s="19" t="n">
        <f aca="false">IF(AND('Bonding Program'!$S$40=1,'Bonding Program'!$H$40&gt;'Bonding Program'!$C$8,P$3='Bonding Program'!$H$40),'Bonding Program'!$T$40-'Bonding Program'!$U$40-'Bonding Program'!$Z$40,0)-IF(AND('Bonding Program'!$S$40=1,'Bonding Program'!$H$40&lt;='Bonding Program'!$C$8,P$3=IF('Bonding Program'!$P$40&lt;&gt;"",'Bonding Program'!$P$40,'Bonding Program'!$C$8)),'Bonding Program'!$Z$40,0)+IF(AND('Bonding Program'!$P$40&lt;&gt;"",P$3='Bonding Program'!$P$40,P$3&lt;='Bonding Program'!$C$8),N('Bonding Program'!$O$40),0)</f>
        <v>0</v>
      </c>
      <c r="Q181" s="19" t="n">
        <f aca="false">IF(AND('Bonding Program'!$S$40=1,'Bonding Program'!$H$40&gt;'Bonding Program'!$C$8,Q$3='Bonding Program'!$H$40),'Bonding Program'!$T$40-'Bonding Program'!$U$40-'Bonding Program'!$Z$40,0)-IF(AND('Bonding Program'!$S$40=1,'Bonding Program'!$H$40&lt;='Bonding Program'!$C$8,Q$3=IF('Bonding Program'!$P$40&lt;&gt;"",'Bonding Program'!$P$40,'Bonding Program'!$C$8)),'Bonding Program'!$Z$40,0)+IF(AND('Bonding Program'!$P$40&lt;&gt;"",Q$3='Bonding Program'!$P$40,Q$3&lt;='Bonding Program'!$C$8),N('Bonding Program'!$O$40),0)</f>
        <v>0</v>
      </c>
      <c r="R181" s="19" t="n">
        <f aca="false">IF(AND('Bonding Program'!$S$40=1,'Bonding Program'!$H$40&gt;'Bonding Program'!$C$8,R$3='Bonding Program'!$H$40),'Bonding Program'!$T$40-'Bonding Program'!$U$40-'Bonding Program'!$Z$40,0)-IF(AND('Bonding Program'!$S$40=1,'Bonding Program'!$H$40&lt;='Bonding Program'!$C$8,R$3=IF('Bonding Program'!$P$40&lt;&gt;"",'Bonding Program'!$P$40,'Bonding Program'!$C$8)),'Bonding Program'!$Z$40,0)+IF(AND('Bonding Program'!$P$40&lt;&gt;"",R$3='Bonding Program'!$P$40,R$3&lt;='Bonding Program'!$C$8),N('Bonding Program'!$O$40),0)</f>
        <v>0</v>
      </c>
      <c r="S181" s="19" t="n">
        <f aca="false">IF(AND('Bonding Program'!$S$40=1,'Bonding Program'!$H$40&gt;'Bonding Program'!$C$8,S$3='Bonding Program'!$H$40),'Bonding Program'!$T$40-'Bonding Program'!$U$40-'Bonding Program'!$Z$40,0)-IF(AND('Bonding Program'!$S$40=1,'Bonding Program'!$H$40&lt;='Bonding Program'!$C$8,S$3=IF('Bonding Program'!$P$40&lt;&gt;"",'Bonding Program'!$P$40,'Bonding Program'!$C$8)),'Bonding Program'!$Z$40,0)+IF(AND('Bonding Program'!$P$40&lt;&gt;"",S$3='Bonding Program'!$P$40,S$3&lt;='Bonding Program'!$C$8),N('Bonding Program'!$O$40),0)</f>
        <v>0</v>
      </c>
      <c r="T181" s="19" t="n">
        <f aca="false">IF(AND('Bonding Program'!$S$40=1,'Bonding Program'!$H$40&gt;'Bonding Program'!$C$8,T$3='Bonding Program'!$H$40),'Bonding Program'!$T$40-'Bonding Program'!$U$40-'Bonding Program'!$Z$40,0)-IF(AND('Bonding Program'!$S$40=1,'Bonding Program'!$H$40&lt;='Bonding Program'!$C$8,T$3=IF('Bonding Program'!$P$40&lt;&gt;"",'Bonding Program'!$P$40,'Bonding Program'!$C$8)),'Bonding Program'!$Z$40,0)+IF(AND('Bonding Program'!$P$40&lt;&gt;"",T$3='Bonding Program'!$P$40,T$3&lt;='Bonding Program'!$C$8),N('Bonding Program'!$O$40),0)</f>
        <v>0</v>
      </c>
      <c r="U181" s="19" t="n">
        <f aca="false">IF(AND('Bonding Program'!$S$40=1,'Bonding Program'!$H$40&gt;'Bonding Program'!$C$8,U$3='Bonding Program'!$H$40),'Bonding Program'!$T$40-'Bonding Program'!$U$40-'Bonding Program'!$Z$40,0)-IF(AND('Bonding Program'!$S$40=1,'Bonding Program'!$H$40&lt;='Bonding Program'!$C$8,U$3=IF('Bonding Program'!$P$40&lt;&gt;"",'Bonding Program'!$P$40,'Bonding Program'!$C$8)),'Bonding Program'!$Z$40,0)+IF(AND('Bonding Program'!$P$40&lt;&gt;"",U$3='Bonding Program'!$P$40,U$3&lt;='Bonding Program'!$C$8),N('Bonding Program'!$O$40),0)</f>
        <v>0</v>
      </c>
      <c r="V181" s="19" t="n">
        <f aca="false">IF(AND('Bonding Program'!$S$40=1,'Bonding Program'!$H$40&gt;'Bonding Program'!$C$8,V$3='Bonding Program'!$H$40),'Bonding Program'!$T$40-'Bonding Program'!$U$40-'Bonding Program'!$Z$40,0)-IF(AND('Bonding Program'!$S$40=1,'Bonding Program'!$H$40&lt;='Bonding Program'!$C$8,V$3=IF('Bonding Program'!$P$40&lt;&gt;"",'Bonding Program'!$P$40,'Bonding Program'!$C$8)),'Bonding Program'!$Z$40,0)+IF(AND('Bonding Program'!$P$40&lt;&gt;"",V$3='Bonding Program'!$P$40,V$3&lt;='Bonding Program'!$C$8),N('Bonding Program'!$O$40),0)</f>
        <v>0</v>
      </c>
      <c r="W181" s="19" t="n">
        <f aca="false">IF(AND('Bonding Program'!$S$40=1,'Bonding Program'!$H$40&gt;'Bonding Program'!$C$8,W$3='Bonding Program'!$H$40),'Bonding Program'!$T$40-'Bonding Program'!$U$40-'Bonding Program'!$Z$40,0)-IF(AND('Bonding Program'!$S$40=1,'Bonding Program'!$H$40&lt;='Bonding Program'!$C$8,W$3=IF('Bonding Program'!$P$40&lt;&gt;"",'Bonding Program'!$P$40,'Bonding Program'!$C$8)),'Bonding Program'!$Z$40,0)+IF(AND('Bonding Program'!$P$40&lt;&gt;"",W$3='Bonding Program'!$P$40,W$3&lt;='Bonding Program'!$C$8),N('Bonding Program'!$O$40),0)</f>
        <v>0</v>
      </c>
      <c r="X181" s="19" t="n">
        <f aca="false">IF(AND('Bonding Program'!$S$40=1,'Bonding Program'!$H$40&gt;'Bonding Program'!$C$8,X$3='Bonding Program'!$H$40),'Bonding Program'!$T$40-'Bonding Program'!$U$40-'Bonding Program'!$Z$40,0)-IF(AND('Bonding Program'!$S$40=1,'Bonding Program'!$H$40&lt;='Bonding Program'!$C$8,X$3=IF('Bonding Program'!$P$40&lt;&gt;"",'Bonding Program'!$P$40,'Bonding Program'!$C$8)),'Bonding Program'!$Z$40,0)+IF(AND('Bonding Program'!$P$40&lt;&gt;"",X$3='Bonding Program'!$P$40,X$3&lt;='Bonding Program'!$C$8),N('Bonding Program'!$O$40),0)</f>
        <v>0</v>
      </c>
      <c r="Y181" s="19" t="n">
        <f aca="false">IF(AND('Bonding Program'!$S$40=1,'Bonding Program'!$H$40&gt;'Bonding Program'!$C$8,Y$3='Bonding Program'!$H$40),'Bonding Program'!$T$40-'Bonding Program'!$U$40-'Bonding Program'!$Z$40,0)-IF(AND('Bonding Program'!$S$40=1,'Bonding Program'!$H$40&lt;='Bonding Program'!$C$8,Y$3=IF('Bonding Program'!$P$40&lt;&gt;"",'Bonding Program'!$P$40,'Bonding Program'!$C$8)),'Bonding Program'!$Z$40,0)+IF(AND('Bonding Program'!$P$40&lt;&gt;"",Y$3='Bonding Program'!$P$40,Y$3&lt;='Bonding Program'!$C$8),N('Bonding Program'!$O$40),0)</f>
        <v>0</v>
      </c>
      <c r="Z181" s="19" t="n">
        <f aca="false">IF(AND('Bonding Program'!$S$40=1,'Bonding Program'!$H$40&gt;'Bonding Program'!$C$8,Z$3='Bonding Program'!$H$40),'Bonding Program'!$T$40-'Bonding Program'!$U$40-'Bonding Program'!$Z$40,0)-IF(AND('Bonding Program'!$S$40=1,'Bonding Program'!$H$40&lt;='Bonding Program'!$C$8,Z$3=IF('Bonding Program'!$P$40&lt;&gt;"",'Bonding Program'!$P$40,'Bonding Program'!$C$8)),'Bonding Program'!$Z$40,0)+IF(AND('Bonding Program'!$P$40&lt;&gt;"",Z$3='Bonding Program'!$P$40,Z$3&lt;='Bonding Program'!$C$8),N('Bonding Program'!$O$40),0)</f>
        <v>0</v>
      </c>
      <c r="AA181" s="19" t="n">
        <f aca="false">IF(AND('Bonding Program'!$S$40=1,'Bonding Program'!$H$40&gt;'Bonding Program'!$C$8,AA$3='Bonding Program'!$H$40),'Bonding Program'!$T$40-'Bonding Program'!$U$40-'Bonding Program'!$Z$40,0)-IF(AND('Bonding Program'!$S$40=1,'Bonding Program'!$H$40&lt;='Bonding Program'!$C$8,AA$3=IF('Bonding Program'!$P$40&lt;&gt;"",'Bonding Program'!$P$40,'Bonding Program'!$C$8)),'Bonding Program'!$Z$40,0)+IF(AND('Bonding Program'!$P$40&lt;&gt;"",AA$3='Bonding Program'!$P$40,AA$3&lt;='Bonding Program'!$C$8),N('Bonding Program'!$O$40),0)</f>
        <v>0</v>
      </c>
      <c r="AB181" s="19" t="n">
        <f aca="false">IF(AND('Bonding Program'!$S$40=1,'Bonding Program'!$H$40&gt;'Bonding Program'!$C$8,AB$3='Bonding Program'!$H$40),'Bonding Program'!$T$40-'Bonding Program'!$U$40-'Bonding Program'!$Z$40,0)-IF(AND('Bonding Program'!$S$40=1,'Bonding Program'!$H$40&lt;='Bonding Program'!$C$8,AB$3=IF('Bonding Program'!$P$40&lt;&gt;"",'Bonding Program'!$P$40,'Bonding Program'!$C$8)),'Bonding Program'!$Z$40,0)+IF(AND('Bonding Program'!$P$40&lt;&gt;"",AB$3='Bonding Program'!$P$40,AB$3&lt;='Bonding Program'!$C$8),N('Bonding Program'!$O$40),0)</f>
        <v>0</v>
      </c>
      <c r="AC181" s="19" t="n">
        <f aca="false">IF(AND('Bonding Program'!$S$40=1,'Bonding Program'!$H$40&gt;'Bonding Program'!$C$8,AC$3='Bonding Program'!$H$40),'Bonding Program'!$T$40-'Bonding Program'!$U$40-'Bonding Program'!$Z$40,0)-IF(AND('Bonding Program'!$S$40=1,'Bonding Program'!$H$40&lt;='Bonding Program'!$C$8,AC$3=IF('Bonding Program'!$P$40&lt;&gt;"",'Bonding Program'!$P$40,'Bonding Program'!$C$8)),'Bonding Program'!$Z$40,0)+IF(AND('Bonding Program'!$P$40&lt;&gt;"",AC$3='Bonding Program'!$P$40,AC$3&lt;='Bonding Program'!$C$8),N('Bonding Program'!$O$40),0)</f>
        <v>0</v>
      </c>
      <c r="AD181" s="19" t="n">
        <f aca="false">IF(AND('Bonding Program'!$S$40=1,'Bonding Program'!$H$40&gt;'Bonding Program'!$C$8,AD$3='Bonding Program'!$H$40),'Bonding Program'!$T$40-'Bonding Program'!$U$40-'Bonding Program'!$Z$40,0)-IF(AND('Bonding Program'!$S$40=1,'Bonding Program'!$H$40&lt;='Bonding Program'!$C$8,AD$3=IF('Bonding Program'!$P$40&lt;&gt;"",'Bonding Program'!$P$40,'Bonding Program'!$C$8)),'Bonding Program'!$Z$40,0)+IF(AND('Bonding Program'!$P$40&lt;&gt;"",AD$3='Bonding Program'!$P$40,AD$3&lt;='Bonding Program'!$C$8),N('Bonding Program'!$O$40),0)</f>
        <v>0</v>
      </c>
      <c r="AE181" s="19" t="n">
        <f aca="false">IF(AND('Bonding Program'!$S$40=1,'Bonding Program'!$H$40&gt;'Bonding Program'!$C$8,AE$3='Bonding Program'!$H$40),'Bonding Program'!$T$40-'Bonding Program'!$U$40-'Bonding Program'!$Z$40,0)-IF(AND('Bonding Program'!$S$40=1,'Bonding Program'!$H$40&lt;='Bonding Program'!$C$8,AE$3=IF('Bonding Program'!$P$40&lt;&gt;"",'Bonding Program'!$P$40,'Bonding Program'!$C$8)),'Bonding Program'!$Z$40,0)+IF(AND('Bonding Program'!$P$40&lt;&gt;"",AE$3='Bonding Program'!$P$40,AE$3&lt;='Bonding Program'!$C$8),N('Bonding Program'!$O$40),0)</f>
        <v>0</v>
      </c>
      <c r="AF181" s="19" t="n">
        <f aca="false">IF(AND('Bonding Program'!$S$40=1,'Bonding Program'!$H$40&gt;'Bonding Program'!$C$8,AF$3='Bonding Program'!$H$40),'Bonding Program'!$T$40-'Bonding Program'!$U$40-'Bonding Program'!$Z$40,0)-IF(AND('Bonding Program'!$S$40=1,'Bonding Program'!$H$40&lt;='Bonding Program'!$C$8,AF$3=IF('Bonding Program'!$P$40&lt;&gt;"",'Bonding Program'!$P$40,'Bonding Program'!$C$8)),'Bonding Program'!$Z$40,0)+IF(AND('Bonding Program'!$P$40&lt;&gt;"",AF$3='Bonding Program'!$P$40,AF$3&lt;='Bonding Program'!$C$8),N('Bonding Program'!$O$40),0)</f>
        <v>0</v>
      </c>
      <c r="AG181" s="19" t="n">
        <f aca="false">IF(AND('Bonding Program'!$S$40=1,'Bonding Program'!$H$40&gt;'Bonding Program'!$C$8,AG$3='Bonding Program'!$H$40),'Bonding Program'!$T$40-'Bonding Program'!$U$40-'Bonding Program'!$Z$40,0)-IF(AND('Bonding Program'!$S$40=1,'Bonding Program'!$H$40&lt;='Bonding Program'!$C$8,AG$3=IF('Bonding Program'!$P$40&lt;&gt;"",'Bonding Program'!$P$40,'Bonding Program'!$C$8)),'Bonding Program'!$Z$40,0)+IF(AND('Bonding Program'!$P$40&lt;&gt;"",AG$3='Bonding Program'!$P$40,AG$3&lt;='Bonding Program'!$C$8),N('Bonding Program'!$O$40),0)</f>
        <v>0</v>
      </c>
      <c r="AH181" s="19" t="n">
        <f aca="false">IF(AND('Bonding Program'!$S$40=1,'Bonding Program'!$H$40&gt;'Bonding Program'!$C$8,AH$3='Bonding Program'!$H$40),'Bonding Program'!$T$40-'Bonding Program'!$U$40-'Bonding Program'!$Z$40,0)-IF(AND('Bonding Program'!$S$40=1,'Bonding Program'!$H$40&lt;='Bonding Program'!$C$8,AH$3=IF('Bonding Program'!$P$40&lt;&gt;"",'Bonding Program'!$P$40,'Bonding Program'!$C$8)),'Bonding Program'!$Z$40,0)+IF(AND('Bonding Program'!$P$40&lt;&gt;"",AH$3='Bonding Program'!$P$40,AH$3&lt;='Bonding Program'!$C$8),N('Bonding Program'!$O$40),0)</f>
        <v>0</v>
      </c>
      <c r="AI181" s="19" t="n">
        <f aca="false">IF(AND('Bonding Program'!$S$40=1,'Bonding Program'!$H$40&gt;'Bonding Program'!$C$8,AI$3='Bonding Program'!$H$40),'Bonding Program'!$T$40-'Bonding Program'!$U$40-'Bonding Program'!$Z$40,0)-IF(AND('Bonding Program'!$S$40=1,'Bonding Program'!$H$40&lt;='Bonding Program'!$C$8,AI$3=IF('Bonding Program'!$P$40&lt;&gt;"",'Bonding Program'!$P$40,'Bonding Program'!$C$8)),'Bonding Program'!$Z$40,0)+IF(AND('Bonding Program'!$P$40&lt;&gt;"",AI$3='Bonding Program'!$P$40,AI$3&lt;='Bonding Program'!$C$8),N('Bonding Program'!$O$40),0)</f>
        <v>0</v>
      </c>
      <c r="AJ181" s="19" t="n">
        <f aca="false">IF(AND('Bonding Program'!$S$40=1,'Bonding Program'!$H$40&gt;'Bonding Program'!$C$8,AJ$3='Bonding Program'!$H$40),'Bonding Program'!$T$40-'Bonding Program'!$U$40-'Bonding Program'!$Z$40,0)-IF(AND('Bonding Program'!$S$40=1,'Bonding Program'!$H$40&lt;='Bonding Program'!$C$8,AJ$3=IF('Bonding Program'!$P$40&lt;&gt;"",'Bonding Program'!$P$40,'Bonding Program'!$C$8)),'Bonding Program'!$Z$40,0)+IF(AND('Bonding Program'!$P$40&lt;&gt;"",AJ$3='Bonding Program'!$P$40,AJ$3&lt;='Bonding Program'!$C$8),N('Bonding Program'!$O$40),0)</f>
        <v>0</v>
      </c>
      <c r="AK181" s="19" t="n">
        <f aca="false">IF(AND('Bonding Program'!$S$40=1,'Bonding Program'!$H$40&gt;'Bonding Program'!$C$8,AK$3='Bonding Program'!$H$40),'Bonding Program'!$T$40-'Bonding Program'!$U$40-'Bonding Program'!$Z$40,0)-IF(AND('Bonding Program'!$S$40=1,'Bonding Program'!$H$40&lt;='Bonding Program'!$C$8,AK$3=IF('Bonding Program'!$P$40&lt;&gt;"",'Bonding Program'!$P$40,'Bonding Program'!$C$8)),'Bonding Program'!$Z$40,0)+IF(AND('Bonding Program'!$P$40&lt;&gt;"",AK$3='Bonding Program'!$P$40,AK$3&lt;='Bonding Program'!$C$8),N('Bonding Program'!$O$40),0)</f>
        <v>0</v>
      </c>
      <c r="AL181" s="19" t="n">
        <f aca="false">IF(AND('Bonding Program'!$S$40=1,'Bonding Program'!$H$40&gt;'Bonding Program'!$C$8,AL$3='Bonding Program'!$H$40),'Bonding Program'!$T$40-'Bonding Program'!$U$40-'Bonding Program'!$Z$40,0)-IF(AND('Bonding Program'!$S$40=1,'Bonding Program'!$H$40&lt;='Bonding Program'!$C$8,AL$3=IF('Bonding Program'!$P$40&lt;&gt;"",'Bonding Program'!$P$40,'Bonding Program'!$C$8)),'Bonding Program'!$Z$40,0)+IF(AND('Bonding Program'!$P$40&lt;&gt;"",AL$3='Bonding Program'!$P$40,AL$3&lt;='Bonding Program'!$C$8),N('Bonding Program'!$O$40),0)</f>
        <v>0</v>
      </c>
      <c r="AM181" s="19" t="n">
        <f aca="false">IF(AND('Bonding Program'!$S$40=1,'Bonding Program'!$H$40&gt;'Bonding Program'!$C$8,AM$3='Bonding Program'!$H$40),'Bonding Program'!$T$40-'Bonding Program'!$U$40-'Bonding Program'!$Z$40,0)-IF(AND('Bonding Program'!$S$40=1,'Bonding Program'!$H$40&lt;='Bonding Program'!$C$8,AM$3=IF('Bonding Program'!$P$40&lt;&gt;"",'Bonding Program'!$P$40,'Bonding Program'!$C$8)),'Bonding Program'!$Z$40,0)+IF(AND('Bonding Program'!$P$40&lt;&gt;"",AM$3='Bonding Program'!$P$40,AM$3&lt;='Bonding Program'!$C$8),N('Bonding Program'!$O$40),0)</f>
        <v>0</v>
      </c>
      <c r="AN181" s="19" t="n">
        <f aca="false">IF(AND('Bonding Program'!$S$40=1,'Bonding Program'!$H$40&gt;'Bonding Program'!$C$8,AN$3='Bonding Program'!$H$40),'Bonding Program'!$T$40-'Bonding Program'!$U$40-'Bonding Program'!$Z$40,0)-IF(AND('Bonding Program'!$S$40=1,'Bonding Program'!$H$40&lt;='Bonding Program'!$C$8,AN$3=IF('Bonding Program'!$P$40&lt;&gt;"",'Bonding Program'!$P$40,'Bonding Program'!$C$8)),'Bonding Program'!$Z$40,0)+IF(AND('Bonding Program'!$P$40&lt;&gt;"",AN$3='Bonding Program'!$P$40,AN$3&lt;='Bonding Program'!$C$8),N('Bonding Program'!$O$40),0)</f>
        <v>0</v>
      </c>
      <c r="AO181" s="19" t="n">
        <f aca="false">IF(AND('Bonding Program'!$S$40=1,'Bonding Program'!$H$40&gt;'Bonding Program'!$C$8,AO$3='Bonding Program'!$H$40),'Bonding Program'!$T$40-'Bonding Program'!$U$40-'Bonding Program'!$Z$40,0)-IF(AND('Bonding Program'!$S$40=1,'Bonding Program'!$H$40&lt;='Bonding Program'!$C$8,AO$3=IF('Bonding Program'!$P$40&lt;&gt;"",'Bonding Program'!$P$40,'Bonding Program'!$C$8)),'Bonding Program'!$Z$40,0)+IF(AND('Bonding Program'!$P$40&lt;&gt;"",AO$3='Bonding Program'!$P$40,AO$3&lt;='Bonding Program'!$C$8),N('Bonding Program'!$O$40),0)</f>
        <v>0</v>
      </c>
      <c r="AP181" s="19" t="n">
        <f aca="false">IF(AND('Bonding Program'!$S$40=1,'Bonding Program'!$H$40&gt;'Bonding Program'!$C$8,AP$3='Bonding Program'!$H$40),'Bonding Program'!$T$40-'Bonding Program'!$U$40-'Bonding Program'!$Z$40,0)-IF(AND('Bonding Program'!$S$40=1,'Bonding Program'!$H$40&lt;='Bonding Program'!$C$8,AP$3=IF('Bonding Program'!$P$40&lt;&gt;"",'Bonding Program'!$P$40,'Bonding Program'!$C$8)),'Bonding Program'!$Z$40,0)+IF(AND('Bonding Program'!$P$40&lt;&gt;"",AP$3='Bonding Program'!$P$40,AP$3&lt;='Bonding Program'!$C$8),N('Bonding Program'!$O$40),0)</f>
        <v>0</v>
      </c>
      <c r="AQ181" s="19" t="n">
        <f aca="false">IF(AND('Bonding Program'!$S$40=1,'Bonding Program'!$H$40&gt;'Bonding Program'!$C$8,AQ$3='Bonding Program'!$H$40),'Bonding Program'!$T$40-'Bonding Program'!$U$40-'Bonding Program'!$Z$40,0)-IF(AND('Bonding Program'!$S$40=1,'Bonding Program'!$H$40&lt;='Bonding Program'!$C$8,AQ$3=IF('Bonding Program'!$P$40&lt;&gt;"",'Bonding Program'!$P$40,'Bonding Program'!$C$8)),'Bonding Program'!$Z$40,0)+IF(AND('Bonding Program'!$P$40&lt;&gt;"",AQ$3='Bonding Program'!$P$40,AQ$3&lt;='Bonding Program'!$C$8),N('Bonding Program'!$O$40),0)</f>
        <v>0</v>
      </c>
      <c r="AR181" s="19" t="n">
        <f aca="false">IF(AND('Bonding Program'!$S$40=1,'Bonding Program'!$H$40&gt;'Bonding Program'!$C$8,AR$3='Bonding Program'!$H$40),'Bonding Program'!$T$40-'Bonding Program'!$U$40-'Bonding Program'!$Z$40,0)-IF(AND('Bonding Program'!$S$40=1,'Bonding Program'!$H$40&lt;='Bonding Program'!$C$8,AR$3=IF('Bonding Program'!$P$40&lt;&gt;"",'Bonding Program'!$P$40,'Bonding Program'!$C$8)),'Bonding Program'!$Z$40,0)+IF(AND('Bonding Program'!$P$40&lt;&gt;"",AR$3='Bonding Program'!$P$40,AR$3&lt;='Bonding Program'!$C$8),N('Bonding Program'!$O$40),0)</f>
        <v>0</v>
      </c>
      <c r="AS181" s="19" t="n">
        <f aca="false">IF(AND('Bonding Program'!$S$40=1,'Bonding Program'!$H$40&gt;'Bonding Program'!$C$8,AS$3='Bonding Program'!$H$40),'Bonding Program'!$T$40-'Bonding Program'!$U$40-'Bonding Program'!$Z$40,0)-IF(AND('Bonding Program'!$S$40=1,'Bonding Program'!$H$40&lt;='Bonding Program'!$C$8,AS$3=IF('Bonding Program'!$P$40&lt;&gt;"",'Bonding Program'!$P$40,'Bonding Program'!$C$8)),'Bonding Program'!$Z$40,0)+IF(AND('Bonding Program'!$P$40&lt;&gt;"",AS$3='Bonding Program'!$P$40,AS$3&lt;='Bonding Program'!$C$8),N('Bonding Program'!$O$40),0)</f>
        <v>0</v>
      </c>
      <c r="AT181" s="19" t="n">
        <f aca="false">IF(AND('Bonding Program'!$S$40=1,'Bonding Program'!$H$40&gt;'Bonding Program'!$C$8,AT$3='Bonding Program'!$H$40),'Bonding Program'!$T$40-'Bonding Program'!$U$40-'Bonding Program'!$Z$40,0)-IF(AND('Bonding Program'!$S$40=1,'Bonding Program'!$H$40&lt;='Bonding Program'!$C$8,AT$3=IF('Bonding Program'!$P$40&lt;&gt;"",'Bonding Program'!$P$40,'Bonding Program'!$C$8)),'Bonding Program'!$Z$40,0)+IF(AND('Bonding Program'!$P$40&lt;&gt;"",AT$3='Bonding Program'!$P$40,AT$3&lt;='Bonding Program'!$C$8),N('Bonding Program'!$O$40),0)</f>
        <v>0</v>
      </c>
      <c r="AU181" s="19" t="n">
        <f aca="false">IF(AND('Bonding Program'!$S$40=1,'Bonding Program'!$H$40&gt;'Bonding Program'!$C$8,AU$3='Bonding Program'!$H$40),'Bonding Program'!$T$40-'Bonding Program'!$U$40-'Bonding Program'!$Z$40,0)-IF(AND('Bonding Program'!$S$40=1,'Bonding Program'!$H$40&lt;='Bonding Program'!$C$8,AU$3=IF('Bonding Program'!$P$40&lt;&gt;"",'Bonding Program'!$P$40,'Bonding Program'!$C$8)),'Bonding Program'!$Z$40,0)+IF(AND('Bonding Program'!$P$40&lt;&gt;"",AU$3='Bonding Program'!$P$40,AU$3&lt;='Bonding Program'!$C$8),N('Bonding Program'!$O$40),0)</f>
        <v>0</v>
      </c>
      <c r="AV181" s="19" t="n">
        <f aca="false">IF(AND('Bonding Program'!$S$40=1,'Bonding Program'!$H$40&gt;'Bonding Program'!$C$8,AV$3='Bonding Program'!$H$40),'Bonding Program'!$T$40-'Bonding Program'!$U$40-'Bonding Program'!$Z$40,0)-IF(AND('Bonding Program'!$S$40=1,'Bonding Program'!$H$40&lt;='Bonding Program'!$C$8,AV$3=IF('Bonding Program'!$P$40&lt;&gt;"",'Bonding Program'!$P$40,'Bonding Program'!$C$8)),'Bonding Program'!$Z$40,0)+IF(AND('Bonding Program'!$P$40&lt;&gt;"",AV$3='Bonding Program'!$P$40,AV$3&lt;='Bonding Program'!$C$8),N('Bonding Program'!$O$40),0)</f>
        <v>0</v>
      </c>
      <c r="AW181" s="19" t="n">
        <f aca="false">IF(AND('Bonding Program'!$S$40=1,'Bonding Program'!$H$40&gt;'Bonding Program'!$C$8,AW$3='Bonding Program'!$H$40),'Bonding Program'!$T$40-'Bonding Program'!$U$40-'Bonding Program'!$Z$40,0)-IF(AND('Bonding Program'!$S$40=1,'Bonding Program'!$H$40&lt;='Bonding Program'!$C$8,AW$3=IF('Bonding Program'!$P$40&lt;&gt;"",'Bonding Program'!$P$40,'Bonding Program'!$C$8)),'Bonding Program'!$Z$40,0)+IF(AND('Bonding Program'!$P$40&lt;&gt;"",AW$3='Bonding Program'!$P$40,AW$3&lt;='Bonding Program'!$C$8),N('Bonding Program'!$O$40),0)</f>
        <v>0</v>
      </c>
      <c r="AX181" s="19" t="n">
        <f aca="false">IF(AND('Bonding Program'!$S$40=1,'Bonding Program'!$H$40&gt;'Bonding Program'!$C$8,AX$3='Bonding Program'!$H$40),'Bonding Program'!$T$40-'Bonding Program'!$U$40-'Bonding Program'!$Z$40,0)-IF(AND('Bonding Program'!$S$40=1,'Bonding Program'!$H$40&lt;='Bonding Program'!$C$8,AX$3=IF('Bonding Program'!$P$40&lt;&gt;"",'Bonding Program'!$P$40,'Bonding Program'!$C$8)),'Bonding Program'!$Z$40,0)+IF(AND('Bonding Program'!$P$40&lt;&gt;"",AX$3='Bonding Program'!$P$40,AX$3&lt;='Bonding Program'!$C$8),N('Bonding Program'!$O$40),0)</f>
        <v>0</v>
      </c>
      <c r="AY181" s="19" t="n">
        <f aca="false">IF(AND('Bonding Program'!$S$40=1,'Bonding Program'!$H$40&gt;'Bonding Program'!$C$8,AY$3='Bonding Program'!$H$40),'Bonding Program'!$T$40-'Bonding Program'!$U$40-'Bonding Program'!$Z$40,0)-IF(AND('Bonding Program'!$S$40=1,'Bonding Program'!$H$40&lt;='Bonding Program'!$C$8,AY$3=IF('Bonding Program'!$P$40&lt;&gt;"",'Bonding Program'!$P$40,'Bonding Program'!$C$8)),'Bonding Program'!$Z$40,0)+IF(AND('Bonding Program'!$P$40&lt;&gt;"",AY$3='Bonding Program'!$P$40,AY$3&lt;='Bonding Program'!$C$8),N('Bonding Program'!$O$40),0)</f>
        <v>0</v>
      </c>
      <c r="AZ181" s="19" t="n">
        <f aca="false">IF(AND('Bonding Program'!$S$40=1,'Bonding Program'!$H$40&gt;'Bonding Program'!$C$8,AZ$3='Bonding Program'!$H$40),'Bonding Program'!$T$40-'Bonding Program'!$U$40-'Bonding Program'!$Z$40,0)-IF(AND('Bonding Program'!$S$40=1,'Bonding Program'!$H$40&lt;='Bonding Program'!$C$8,AZ$3=IF('Bonding Program'!$P$40&lt;&gt;"",'Bonding Program'!$P$40,'Bonding Program'!$C$8)),'Bonding Program'!$Z$40,0)+IF(AND('Bonding Program'!$P$40&lt;&gt;"",AZ$3='Bonding Program'!$P$40,AZ$3&lt;='Bonding Program'!$C$8),N('Bonding Program'!$O$40),0)</f>
        <v>0</v>
      </c>
      <c r="BA181" s="19" t="n">
        <f aca="false">IF(AND('Bonding Program'!$S$40=1,'Bonding Program'!$H$40&gt;'Bonding Program'!$C$8,BA$3='Bonding Program'!$H$40),'Bonding Program'!$T$40-'Bonding Program'!$U$40-'Bonding Program'!$Z$40,0)-IF(AND('Bonding Program'!$S$40=1,'Bonding Program'!$H$40&lt;='Bonding Program'!$C$8,BA$3=IF('Bonding Program'!$P$40&lt;&gt;"",'Bonding Program'!$P$40,'Bonding Program'!$C$8)),'Bonding Program'!$Z$40,0)+IF(AND('Bonding Program'!$P$40&lt;&gt;"",BA$3='Bonding Program'!$P$40,BA$3&lt;='Bonding Program'!$C$8),N('Bonding Program'!$O$40),0)</f>
        <v>0</v>
      </c>
      <c r="BB181" s="19" t="n">
        <f aca="false">IF(AND('Bonding Program'!$S$40=1,'Bonding Program'!$H$40&gt;'Bonding Program'!$C$8,BB$3='Bonding Program'!$H$40),'Bonding Program'!$T$40-'Bonding Program'!$U$40-'Bonding Program'!$Z$40,0)-IF(AND('Bonding Program'!$S$40=1,'Bonding Program'!$H$40&lt;='Bonding Program'!$C$8,BB$3=IF('Bonding Program'!$P$40&lt;&gt;"",'Bonding Program'!$P$40,'Bonding Program'!$C$8)),'Bonding Program'!$Z$40,0)+IF(AND('Bonding Program'!$P$40&lt;&gt;"",BB$3='Bonding Program'!$P$40,BB$3&lt;='Bonding Program'!$C$8),N('Bonding Program'!$O$40),0)</f>
        <v>0</v>
      </c>
      <c r="BC181" s="19" t="n">
        <f aca="false">IF(AND('Bonding Program'!$S$40=1,'Bonding Program'!$H$40&gt;'Bonding Program'!$C$8,BC$3='Bonding Program'!$H$40),'Bonding Program'!$T$40-'Bonding Program'!$U$40-'Bonding Program'!$Z$40,0)-IF(AND('Bonding Program'!$S$40=1,'Bonding Program'!$H$40&lt;='Bonding Program'!$C$8,BC$3=IF('Bonding Program'!$P$40&lt;&gt;"",'Bonding Program'!$P$40,'Bonding Program'!$C$8)),'Bonding Program'!$Z$40,0)+IF(AND('Bonding Program'!$P$40&lt;&gt;"",BC$3='Bonding Program'!$P$40,BC$3&lt;='Bonding Program'!$C$8),N('Bonding Program'!$O$40),0)</f>
        <v>0</v>
      </c>
      <c r="BD181" s="19" t="n">
        <f aca="false">IF(AND('Bonding Program'!$S$40=1,'Bonding Program'!$H$40&gt;'Bonding Program'!$C$8,BD$3='Bonding Program'!$H$40),'Bonding Program'!$T$40-'Bonding Program'!$U$40-'Bonding Program'!$Z$40,0)-IF(AND('Bonding Program'!$S$40=1,'Bonding Program'!$H$40&lt;='Bonding Program'!$C$8,BD$3=IF('Bonding Program'!$P$40&lt;&gt;"",'Bonding Program'!$P$40,'Bonding Program'!$C$8)),'Bonding Program'!$Z$40,0)+IF(AND('Bonding Program'!$P$40&lt;&gt;"",BD$3='Bonding Program'!$P$40,BD$3&lt;='Bonding Program'!$C$8),N('Bonding Program'!$O$40),0)</f>
        <v>0</v>
      </c>
      <c r="BE181" s="19" t="n">
        <f aca="false">IF(AND('Bonding Program'!$S$40=1,'Bonding Program'!$H$40&gt;'Bonding Program'!$C$8,BE$3='Bonding Program'!$H$40),'Bonding Program'!$T$40-'Bonding Program'!$U$40-'Bonding Program'!$Z$40,0)-IF(AND('Bonding Program'!$S$40=1,'Bonding Program'!$H$40&lt;='Bonding Program'!$C$8,BE$3=IF('Bonding Program'!$P$40&lt;&gt;"",'Bonding Program'!$P$40,'Bonding Program'!$C$8)),'Bonding Program'!$Z$40,0)+IF(AND('Bonding Program'!$P$40&lt;&gt;"",BE$3='Bonding Program'!$P$40,BE$3&lt;='Bonding Program'!$C$8),N('Bonding Program'!$O$40),0)</f>
        <v>0</v>
      </c>
      <c r="BF181" s="19" t="n">
        <f aca="false">IF(AND('Bonding Program'!$S$40=1,'Bonding Program'!$H$40&gt;'Bonding Program'!$C$8,BF$3='Bonding Program'!$H$40),'Bonding Program'!$T$40-'Bonding Program'!$U$40-'Bonding Program'!$Z$40,0)-IF(AND('Bonding Program'!$S$40=1,'Bonding Program'!$H$40&lt;='Bonding Program'!$C$8,BF$3=IF('Bonding Program'!$P$40&lt;&gt;"",'Bonding Program'!$P$40,'Bonding Program'!$C$8)),'Bonding Program'!$Z$40,0)+IF(AND('Bonding Program'!$P$40&lt;&gt;"",BF$3='Bonding Program'!$P$40,BF$3&lt;='Bonding Program'!$C$8),N('Bonding Program'!$O$40),0)</f>
        <v>0</v>
      </c>
      <c r="BG181" s="19" t="n">
        <f aca="false">IF(AND('Bonding Program'!$S$40=1,'Bonding Program'!$H$40&gt;'Bonding Program'!$C$8,BG$3='Bonding Program'!$H$40),'Bonding Program'!$T$40-'Bonding Program'!$U$40-'Bonding Program'!$Z$40,0)-IF(AND('Bonding Program'!$S$40=1,'Bonding Program'!$H$40&lt;='Bonding Program'!$C$8,BG$3=IF('Bonding Program'!$P$40&lt;&gt;"",'Bonding Program'!$P$40,'Bonding Program'!$C$8)),'Bonding Program'!$Z$40,0)+IF(AND('Bonding Program'!$P$40&lt;&gt;"",BG$3='Bonding Program'!$P$40,BG$3&lt;='Bonding Program'!$C$8),N('Bonding Program'!$O$40),0)</f>
        <v>0</v>
      </c>
      <c r="BH181" s="19" t="n">
        <f aca="false">IF(AND('Bonding Program'!$S$40=1,'Bonding Program'!$H$40&gt;'Bonding Program'!$C$8,BH$3='Bonding Program'!$H$40),'Bonding Program'!$T$40-'Bonding Program'!$U$40-'Bonding Program'!$Z$40,0)-IF(AND('Bonding Program'!$S$40=1,'Bonding Program'!$H$40&lt;='Bonding Program'!$C$8,BH$3=IF('Bonding Program'!$P$40&lt;&gt;"",'Bonding Program'!$P$40,'Bonding Program'!$C$8)),'Bonding Program'!$Z$40,0)+IF(AND('Bonding Program'!$P$40&lt;&gt;"",BH$3='Bonding Program'!$P$40,BH$3&lt;='Bonding Program'!$C$8),N('Bonding Program'!$O$40),0)</f>
        <v>0</v>
      </c>
      <c r="BI181" s="19" t="n">
        <f aca="false">IF(AND('Bonding Program'!$S$40=1,'Bonding Program'!$H$40&gt;'Bonding Program'!$C$8,BI$3='Bonding Program'!$H$40),'Bonding Program'!$T$40-'Bonding Program'!$U$40-'Bonding Program'!$Z$40,0)-IF(AND('Bonding Program'!$S$40=1,'Bonding Program'!$H$40&lt;='Bonding Program'!$C$8,BI$3=IF('Bonding Program'!$P$40&lt;&gt;"",'Bonding Program'!$P$40,'Bonding Program'!$C$8)),'Bonding Program'!$Z$40,0)+IF(AND('Bonding Program'!$P$40&lt;&gt;"",BI$3='Bonding Program'!$P$40,BI$3&lt;='Bonding Program'!$C$8),N('Bonding Program'!$O$40),0)</f>
        <v>0</v>
      </c>
      <c r="BJ181" s="19" t="n">
        <f aca="false">IF(AND('Bonding Program'!$S$40=1,'Bonding Program'!$H$40&gt;'Bonding Program'!$C$8,BJ$3='Bonding Program'!$H$40),'Bonding Program'!$T$40-'Bonding Program'!$U$40-'Bonding Program'!$Z$40,0)-IF(AND('Bonding Program'!$S$40=1,'Bonding Program'!$H$40&lt;='Bonding Program'!$C$8,BJ$3=IF('Bonding Program'!$P$40&lt;&gt;"",'Bonding Program'!$P$40,'Bonding Program'!$C$8)),'Bonding Program'!$Z$40,0)+IF(AND('Bonding Program'!$P$40&lt;&gt;"",BJ$3='Bonding Program'!$P$40,BJ$3&lt;='Bonding Program'!$C$8),N('Bonding Program'!$O$40),0)</f>
        <v>0</v>
      </c>
      <c r="BK181" s="19" t="n">
        <f aca="false">IF(AND('Bonding Program'!$S$40=1,'Bonding Program'!$H$40&gt;'Bonding Program'!$C$8,BK$3='Bonding Program'!$H$40),'Bonding Program'!$T$40-'Bonding Program'!$U$40-'Bonding Program'!$Z$40,0)-IF(AND('Bonding Program'!$S$40=1,'Bonding Program'!$H$40&lt;='Bonding Program'!$C$8,BK$3=IF('Bonding Program'!$P$40&lt;&gt;"",'Bonding Program'!$P$40,'Bonding Program'!$C$8)),'Bonding Program'!$Z$40,0)+IF(AND('Bonding Program'!$P$40&lt;&gt;"",BK$3='Bonding Program'!$P$40,BK$3&lt;='Bonding Program'!$C$8),N('Bonding Program'!$O$40),0)</f>
        <v>0</v>
      </c>
      <c r="BL181" s="19" t="n">
        <f aca="false">IF(AND('Bonding Program'!$S$40=1,'Bonding Program'!$H$40&gt;'Bonding Program'!$C$8,BL$3='Bonding Program'!$H$40),'Bonding Program'!$T$40-'Bonding Program'!$U$40-'Bonding Program'!$Z$40,0)-IF(AND('Bonding Program'!$S$40=1,'Bonding Program'!$H$40&lt;='Bonding Program'!$C$8,BL$3=IF('Bonding Program'!$P$40&lt;&gt;"",'Bonding Program'!$P$40,'Bonding Program'!$C$8)),'Bonding Program'!$Z$40,0)+IF(AND('Bonding Program'!$P$40&lt;&gt;"",BL$3='Bonding Program'!$P$40,BL$3&lt;='Bonding Program'!$C$8),N('Bonding Program'!$O$40),0)</f>
        <v>0</v>
      </c>
      <c r="BM181" s="19" t="n">
        <f aca="false">IF(AND('Bonding Program'!$S$40=1,'Bonding Program'!$H$40&gt;'Bonding Program'!$C$8,BM$3='Bonding Program'!$H$40),'Bonding Program'!$T$40-'Bonding Program'!$U$40-'Bonding Program'!$Z$40,0)-IF(AND('Bonding Program'!$S$40=1,'Bonding Program'!$H$40&lt;='Bonding Program'!$C$8,BM$3=IF('Bonding Program'!$P$40&lt;&gt;"",'Bonding Program'!$P$40,'Bonding Program'!$C$8)),'Bonding Program'!$Z$40,0)+IF(AND('Bonding Program'!$P$40&lt;&gt;"",BM$3='Bonding Program'!$P$40,BM$3&lt;='Bonding Program'!$C$8),N('Bonding Program'!$O$40),0)</f>
        <v>0</v>
      </c>
      <c r="BN181" s="19" t="n">
        <f aca="false">IF(AND('Bonding Program'!$S$40=1,'Bonding Program'!$H$40&gt;'Bonding Program'!$C$8,BN$3='Bonding Program'!$H$40),'Bonding Program'!$T$40-'Bonding Program'!$U$40-'Bonding Program'!$Z$40,0)-IF(AND('Bonding Program'!$S$40=1,'Bonding Program'!$H$40&lt;='Bonding Program'!$C$8,BN$3=IF('Bonding Program'!$P$40&lt;&gt;"",'Bonding Program'!$P$40,'Bonding Program'!$C$8)),'Bonding Program'!$Z$40,0)+IF(AND('Bonding Program'!$P$40&lt;&gt;"",BN$3='Bonding Program'!$P$40,BN$3&lt;='Bonding Program'!$C$8),N('Bonding Program'!$O$40),0)</f>
        <v>0</v>
      </c>
      <c r="BO181" s="19" t="n">
        <f aca="false">IF(AND('Bonding Program'!$S$40=1,'Bonding Program'!$H$40&gt;'Bonding Program'!$C$8,BO$3='Bonding Program'!$H$40),'Bonding Program'!$T$40-'Bonding Program'!$U$40-'Bonding Program'!$Z$40,0)-IF(AND('Bonding Program'!$S$40=1,'Bonding Program'!$H$40&lt;='Bonding Program'!$C$8,BO$3=IF('Bonding Program'!$P$40&lt;&gt;"",'Bonding Program'!$P$40,'Bonding Program'!$C$8)),'Bonding Program'!$Z$40,0)+IF(AND('Bonding Program'!$P$40&lt;&gt;"",BO$3='Bonding Program'!$P$40,BO$3&lt;='Bonding Program'!$C$8),N('Bonding Program'!$O$40),0)</f>
        <v>0</v>
      </c>
      <c r="BP181" s="19" t="n">
        <f aca="false">IF(AND('Bonding Program'!$S$40=1,'Bonding Program'!$H$40&gt;'Bonding Program'!$C$8,BP$3='Bonding Program'!$H$40),'Bonding Program'!$T$40-'Bonding Program'!$U$40-'Bonding Program'!$Z$40,0)-IF(AND('Bonding Program'!$S$40=1,'Bonding Program'!$H$40&lt;='Bonding Program'!$C$8,BP$3=IF('Bonding Program'!$P$40&lt;&gt;"",'Bonding Program'!$P$40,'Bonding Program'!$C$8)),'Bonding Program'!$Z$40,0)+IF(AND('Bonding Program'!$P$40&lt;&gt;"",BP$3='Bonding Program'!$P$40,BP$3&lt;='Bonding Program'!$C$8),N('Bonding Program'!$O$40),0)</f>
        <v>0</v>
      </c>
      <c r="BQ181" s="19" t="n">
        <f aca="false">IF(AND('Bonding Program'!$S$40=1,'Bonding Program'!$H$40&gt;'Bonding Program'!$C$8,BQ$3='Bonding Program'!$H$40),'Bonding Program'!$T$40-'Bonding Program'!$U$40-'Bonding Program'!$Z$40,0)-IF(AND('Bonding Program'!$S$40=1,'Bonding Program'!$H$40&lt;='Bonding Program'!$C$8,BQ$3=IF('Bonding Program'!$P$40&lt;&gt;"",'Bonding Program'!$P$40,'Bonding Program'!$C$8)),'Bonding Program'!$Z$40,0)+IF(AND('Bonding Program'!$P$40&lt;&gt;"",BQ$3='Bonding Program'!$P$40,BQ$3&lt;='Bonding Program'!$C$8),N('Bonding Program'!$O$40),0)</f>
        <v>0</v>
      </c>
      <c r="BR181" s="19" t="n">
        <f aca="false">IF(AND('Bonding Program'!$S$40=1,'Bonding Program'!$H$40&gt;'Bonding Program'!$C$8,BR$3='Bonding Program'!$H$40),'Bonding Program'!$T$40-'Bonding Program'!$U$40-'Bonding Program'!$Z$40,0)-IF(AND('Bonding Program'!$S$40=1,'Bonding Program'!$H$40&lt;='Bonding Program'!$C$8,BR$3=IF('Bonding Program'!$P$40&lt;&gt;"",'Bonding Program'!$P$40,'Bonding Program'!$C$8)),'Bonding Program'!$Z$40,0)+IF(AND('Bonding Program'!$P$40&lt;&gt;"",BR$3='Bonding Program'!$P$40,BR$3&lt;='Bonding Program'!$C$8),N('Bonding Program'!$O$40),0)</f>
        <v>0</v>
      </c>
      <c r="BS181" s="19" t="n">
        <f aca="false">IF(AND('Bonding Program'!$S$40=1,'Bonding Program'!$H$40&gt;'Bonding Program'!$C$8,BS$3='Bonding Program'!$H$40),'Bonding Program'!$T$40-'Bonding Program'!$U$40-'Bonding Program'!$Z$40,0)-IF(AND('Bonding Program'!$S$40=1,'Bonding Program'!$H$40&lt;='Bonding Program'!$C$8,BS$3=IF('Bonding Program'!$P$40&lt;&gt;"",'Bonding Program'!$P$40,'Bonding Program'!$C$8)),'Bonding Program'!$Z$40,0)+IF(AND('Bonding Program'!$P$40&lt;&gt;"",BS$3='Bonding Program'!$P$40,BS$3&lt;='Bonding Program'!$C$8),N('Bonding Program'!$O$40),0)</f>
        <v>0</v>
      </c>
      <c r="BT181" s="19" t="n">
        <f aca="false">IF(AND('Bonding Program'!$S$40=1,'Bonding Program'!$H$40&gt;'Bonding Program'!$C$8,BT$3='Bonding Program'!$H$40),'Bonding Program'!$T$40-'Bonding Program'!$U$40-'Bonding Program'!$Z$40,0)-IF(AND('Bonding Program'!$S$40=1,'Bonding Program'!$H$40&lt;='Bonding Program'!$C$8,BT$3=IF('Bonding Program'!$P$40&lt;&gt;"",'Bonding Program'!$P$40,'Bonding Program'!$C$8)),'Bonding Program'!$Z$40,0)+IF(AND('Bonding Program'!$P$40&lt;&gt;"",BT$3='Bonding Program'!$P$40,BT$3&lt;='Bonding Program'!$C$8),N('Bonding Program'!$O$40),0)</f>
        <v>0</v>
      </c>
      <c r="BU181" s="19" t="n">
        <f aca="false">IF(AND('Bonding Program'!$S$40=1,'Bonding Program'!$H$40&gt;'Bonding Program'!$C$8,BU$3='Bonding Program'!$H$40),'Bonding Program'!$T$40-'Bonding Program'!$U$40-'Bonding Program'!$Z$40,0)-IF(AND('Bonding Program'!$S$40=1,'Bonding Program'!$H$40&lt;='Bonding Program'!$C$8,BU$3=IF('Bonding Program'!$P$40&lt;&gt;"",'Bonding Program'!$P$40,'Bonding Program'!$C$8)),'Bonding Program'!$Z$40,0)+IF(AND('Bonding Program'!$P$40&lt;&gt;"",BU$3='Bonding Program'!$P$40,BU$3&lt;='Bonding Program'!$C$8),N('Bonding Program'!$O$40),0)</f>
        <v>0</v>
      </c>
      <c r="BV181" s="19" t="n">
        <f aca="false">IF(AND('Bonding Program'!$S$40=1,'Bonding Program'!$H$40&gt;'Bonding Program'!$C$8,BV$3='Bonding Program'!$H$40),'Bonding Program'!$T$40-'Bonding Program'!$U$40-'Bonding Program'!$Z$40,0)-IF(AND('Bonding Program'!$S$40=1,'Bonding Program'!$H$40&lt;='Bonding Program'!$C$8,BV$3=IF('Bonding Program'!$P$40&lt;&gt;"",'Bonding Program'!$P$40,'Bonding Program'!$C$8)),'Bonding Program'!$Z$40,0)+IF(AND('Bonding Program'!$P$40&lt;&gt;"",BV$3='Bonding Program'!$P$40,BV$3&lt;='Bonding Program'!$C$8),N('Bonding Program'!$O$40),0)</f>
        <v>0</v>
      </c>
      <c r="BW181" s="19" t="n">
        <f aca="false">IF(AND('Bonding Program'!$S$40=1,'Bonding Program'!$H$40&gt;'Bonding Program'!$C$8,BW$3='Bonding Program'!$H$40),'Bonding Program'!$T$40-'Bonding Program'!$U$40-'Bonding Program'!$Z$40,0)-IF(AND('Bonding Program'!$S$40=1,'Bonding Program'!$H$40&lt;='Bonding Program'!$C$8,BW$3=IF('Bonding Program'!$P$40&lt;&gt;"",'Bonding Program'!$P$40,'Bonding Program'!$C$8)),'Bonding Program'!$Z$40,0)+IF(AND('Bonding Program'!$P$40&lt;&gt;"",BW$3='Bonding Program'!$P$40,BW$3&lt;='Bonding Program'!$C$8),N('Bonding Program'!$O$40),0)</f>
        <v>0</v>
      </c>
      <c r="BX181" s="19" t="n">
        <f aca="false">IF(AND('Bonding Program'!$S$40=1,'Bonding Program'!$H$40&gt;'Bonding Program'!$C$8,BX$3='Bonding Program'!$H$40),'Bonding Program'!$T$40-'Bonding Program'!$U$40-'Bonding Program'!$Z$40,0)-IF(AND('Bonding Program'!$S$40=1,'Bonding Program'!$H$40&lt;='Bonding Program'!$C$8,BX$3=IF('Bonding Program'!$P$40&lt;&gt;"",'Bonding Program'!$P$40,'Bonding Program'!$C$8)),'Bonding Program'!$Z$40,0)+IF(AND('Bonding Program'!$P$40&lt;&gt;"",BX$3='Bonding Program'!$P$40,BX$3&lt;='Bonding Program'!$C$8),N('Bonding Program'!$O$40),0)</f>
        <v>0</v>
      </c>
      <c r="BY181" s="19" t="n">
        <f aca="false">IF(AND('Bonding Program'!$S$40=1,'Bonding Program'!$H$40&gt;'Bonding Program'!$C$8,BY$3='Bonding Program'!$H$40),'Bonding Program'!$T$40-'Bonding Program'!$U$40-'Bonding Program'!$Z$40,0)-IF(AND('Bonding Program'!$S$40=1,'Bonding Program'!$H$40&lt;='Bonding Program'!$C$8,BY$3=IF('Bonding Program'!$P$40&lt;&gt;"",'Bonding Program'!$P$40,'Bonding Program'!$C$8)),'Bonding Program'!$Z$40,0)+IF(AND('Bonding Program'!$P$40&lt;&gt;"",BY$3='Bonding Program'!$P$40,BY$3&lt;='Bonding Program'!$C$8),N('Bonding Program'!$O$40),0)</f>
        <v>0</v>
      </c>
      <c r="BZ181" s="19" t="n">
        <f aca="false">IF(AND('Bonding Program'!$S$40=1,'Bonding Program'!$H$40&gt;'Bonding Program'!$C$8,BZ$3='Bonding Program'!$H$40),'Bonding Program'!$T$40-'Bonding Program'!$U$40-'Bonding Program'!$Z$40,0)-IF(AND('Bonding Program'!$S$40=1,'Bonding Program'!$H$40&lt;='Bonding Program'!$C$8,BZ$3=IF('Bonding Program'!$P$40&lt;&gt;"",'Bonding Program'!$P$40,'Bonding Program'!$C$8)),'Bonding Program'!$Z$40,0)+IF(AND('Bonding Program'!$P$40&lt;&gt;"",BZ$3='Bonding Program'!$P$40,BZ$3&lt;='Bonding Program'!$C$8),N('Bonding Program'!$O$40),0)</f>
        <v>0</v>
      </c>
      <c r="CA181" s="19" t="n">
        <f aca="false">IF(AND('Bonding Program'!$S$40=1,'Bonding Program'!$H$40&gt;'Bonding Program'!$C$8,CA$3='Bonding Program'!$H$40),'Bonding Program'!$T$40-'Bonding Program'!$U$40-'Bonding Program'!$Z$40,0)-IF(AND('Bonding Program'!$S$40=1,'Bonding Program'!$H$40&lt;='Bonding Program'!$C$8,CA$3=IF('Bonding Program'!$P$40&lt;&gt;"",'Bonding Program'!$P$40,'Bonding Program'!$C$8)),'Bonding Program'!$Z$40,0)+IF(AND('Bonding Program'!$P$40&lt;&gt;"",CA$3='Bonding Program'!$P$40,CA$3&lt;='Bonding Program'!$C$8),N('Bonding Program'!$O$40),0)</f>
        <v>0</v>
      </c>
      <c r="CB181" s="19" t="n">
        <f aca="false">IF(AND('Bonding Program'!$S$40=1,'Bonding Program'!$H$40&gt;'Bonding Program'!$C$8,CB$3='Bonding Program'!$H$40),'Bonding Program'!$T$40-'Bonding Program'!$U$40-'Bonding Program'!$Z$40,0)-IF(AND('Bonding Program'!$S$40=1,'Bonding Program'!$H$40&lt;='Bonding Program'!$C$8,CB$3=IF('Bonding Program'!$P$40&lt;&gt;"",'Bonding Program'!$P$40,'Bonding Program'!$C$8)),'Bonding Program'!$Z$40,0)+IF(AND('Bonding Program'!$P$40&lt;&gt;"",CB$3='Bonding Program'!$P$40,CB$3&lt;='Bonding Program'!$C$8),N('Bonding Program'!$O$40),0)</f>
        <v>0</v>
      </c>
      <c r="CC181" s="19" t="n">
        <f aca="false">IF(AND('Bonding Program'!$S$40=1,'Bonding Program'!$H$40&gt;'Bonding Program'!$C$8,CC$3='Bonding Program'!$H$40),'Bonding Program'!$T$40-'Bonding Program'!$U$40-'Bonding Program'!$Z$40,0)-IF(AND('Bonding Program'!$S$40=1,'Bonding Program'!$H$40&lt;='Bonding Program'!$C$8,CC$3=IF('Bonding Program'!$P$40&lt;&gt;"",'Bonding Program'!$P$40,'Bonding Program'!$C$8)),'Bonding Program'!$Z$40,0)+IF(AND('Bonding Program'!$P$40&lt;&gt;"",CC$3='Bonding Program'!$P$40,CC$3&lt;='Bonding Program'!$C$8),N('Bonding Program'!$O$40),0)</f>
        <v>0</v>
      </c>
      <c r="CD181" s="19" t="n">
        <f aca="false">IF(AND('Bonding Program'!$S$40=1,'Bonding Program'!$H$40&gt;'Bonding Program'!$C$8,CD$3='Bonding Program'!$H$40),'Bonding Program'!$T$40-'Bonding Program'!$U$40-'Bonding Program'!$Z$40,0)-IF(AND('Bonding Program'!$S$40=1,'Bonding Program'!$H$40&lt;='Bonding Program'!$C$8,CD$3=IF('Bonding Program'!$P$40&lt;&gt;"",'Bonding Program'!$P$40,'Bonding Program'!$C$8)),'Bonding Program'!$Z$40,0)+IF(AND('Bonding Program'!$P$40&lt;&gt;"",CD$3='Bonding Program'!$P$40,CD$3&lt;='Bonding Program'!$C$8),N('Bonding Program'!$O$40),0)</f>
        <v>0</v>
      </c>
      <c r="CE181" s="19" t="n">
        <f aca="false">IF(AND('Bonding Program'!$S$40=1,'Bonding Program'!$H$40&gt;'Bonding Program'!$C$8,CE$3='Bonding Program'!$H$40),'Bonding Program'!$T$40-'Bonding Program'!$U$40-'Bonding Program'!$Z$40,0)-IF(AND('Bonding Program'!$S$40=1,'Bonding Program'!$H$40&lt;='Bonding Program'!$C$8,CE$3=IF('Bonding Program'!$P$40&lt;&gt;"",'Bonding Program'!$P$40,'Bonding Program'!$C$8)),'Bonding Program'!$Z$40,0)+IF(AND('Bonding Program'!$P$40&lt;&gt;"",CE$3='Bonding Program'!$P$40,CE$3&lt;='Bonding Program'!$C$8),N('Bonding Program'!$O$40),0)</f>
        <v>0</v>
      </c>
      <c r="CF181" s="19" t="n">
        <f aca="false">IF(AND('Bonding Program'!$S$40=1,'Bonding Program'!$H$40&gt;'Bonding Program'!$C$8,CF$3='Bonding Program'!$H$40),'Bonding Program'!$T$40-'Bonding Program'!$U$40-'Bonding Program'!$Z$40,0)-IF(AND('Bonding Program'!$S$40=1,'Bonding Program'!$H$40&lt;='Bonding Program'!$C$8,CF$3=IF('Bonding Program'!$P$40&lt;&gt;"",'Bonding Program'!$P$40,'Bonding Program'!$C$8)),'Bonding Program'!$Z$40,0)+IF(AND('Bonding Program'!$P$40&lt;&gt;"",CF$3='Bonding Program'!$P$40,CF$3&lt;='Bonding Program'!$C$8),N('Bonding Program'!$O$40),0)</f>
        <v>0</v>
      </c>
      <c r="CG181" s="19" t="n">
        <f aca="false">IF(AND('Bonding Program'!$S$40=1,'Bonding Program'!$H$40&gt;'Bonding Program'!$C$8,CG$3='Bonding Program'!$H$40),'Bonding Program'!$T$40-'Bonding Program'!$U$40-'Bonding Program'!$Z$40,0)-IF(AND('Bonding Program'!$S$40=1,'Bonding Program'!$H$40&lt;='Bonding Program'!$C$8,CG$3=IF('Bonding Program'!$P$40&lt;&gt;"",'Bonding Program'!$P$40,'Bonding Program'!$C$8)),'Bonding Program'!$Z$40,0)+IF(AND('Bonding Program'!$P$40&lt;&gt;"",CG$3='Bonding Program'!$P$40,CG$3&lt;='Bonding Program'!$C$8),N('Bonding Program'!$O$40),0)</f>
        <v>0</v>
      </c>
      <c r="CH181" s="19" t="n">
        <f aca="false">IF(AND('Bonding Program'!$S$40=1,'Bonding Program'!$H$40&gt;'Bonding Program'!$C$8,CH$3='Bonding Program'!$H$40),'Bonding Program'!$T$40-'Bonding Program'!$U$40-'Bonding Program'!$Z$40,0)-IF(AND('Bonding Program'!$S$40=1,'Bonding Program'!$H$40&lt;='Bonding Program'!$C$8,CH$3=IF('Bonding Program'!$P$40&lt;&gt;"",'Bonding Program'!$P$40,'Bonding Program'!$C$8)),'Bonding Program'!$Z$40,0)+IF(AND('Bonding Program'!$P$40&lt;&gt;"",CH$3='Bonding Program'!$P$40,CH$3&lt;='Bonding Program'!$C$8),N('Bonding Program'!$O$40),0)</f>
        <v>0</v>
      </c>
      <c r="CI181" s="19" t="n">
        <f aca="false">IF(AND('Bonding Program'!$S$40=1,'Bonding Program'!$H$40&gt;'Bonding Program'!$C$8,CI$3='Bonding Program'!$H$40),'Bonding Program'!$T$40-'Bonding Program'!$U$40-'Bonding Program'!$Z$40,0)-IF(AND('Bonding Program'!$S$40=1,'Bonding Program'!$H$40&lt;='Bonding Program'!$C$8,CI$3=IF('Bonding Program'!$P$40&lt;&gt;"",'Bonding Program'!$P$40,'Bonding Program'!$C$8)),'Bonding Program'!$Z$40,0)+IF(AND('Bonding Program'!$P$40&lt;&gt;"",CI$3='Bonding Program'!$P$40,CI$3&lt;='Bonding Program'!$C$8),N('Bonding Program'!$O$40),0)</f>
        <v>0</v>
      </c>
      <c r="CJ181" s="19" t="n">
        <f aca="false">IF(AND('Bonding Program'!$S$40=1,'Bonding Program'!$H$40&gt;'Bonding Program'!$C$8,CJ$3='Bonding Program'!$H$40),'Bonding Program'!$T$40-'Bonding Program'!$U$40-'Bonding Program'!$Z$40,0)-IF(AND('Bonding Program'!$S$40=1,'Bonding Program'!$H$40&lt;='Bonding Program'!$C$8,CJ$3=IF('Bonding Program'!$P$40&lt;&gt;"",'Bonding Program'!$P$40,'Bonding Program'!$C$8)),'Bonding Program'!$Z$40,0)+IF(AND('Bonding Program'!$P$40&lt;&gt;"",CJ$3='Bonding Program'!$P$40,CJ$3&lt;='Bonding Program'!$C$8),N('Bonding Program'!$O$40),0)</f>
        <v>0</v>
      </c>
      <c r="CK181" s="19" t="n">
        <f aca="false">IF(AND('Bonding Program'!$S$40=1,'Bonding Program'!$H$40&gt;'Bonding Program'!$C$8,CK$3='Bonding Program'!$H$40),'Bonding Program'!$T$40-'Bonding Program'!$U$40-'Bonding Program'!$Z$40,0)-IF(AND('Bonding Program'!$S$40=1,'Bonding Program'!$H$40&lt;='Bonding Program'!$C$8,CK$3=IF('Bonding Program'!$P$40&lt;&gt;"",'Bonding Program'!$P$40,'Bonding Program'!$C$8)),'Bonding Program'!$Z$40,0)+IF(AND('Bonding Program'!$P$40&lt;&gt;"",CK$3='Bonding Program'!$P$40,CK$3&lt;='Bonding Program'!$C$8),N('Bonding Program'!$O$40),0)</f>
        <v>0</v>
      </c>
      <c r="CL181" s="19" t="n">
        <f aca="false">IF(AND('Bonding Program'!$S$40=1,'Bonding Program'!$H$40&gt;'Bonding Program'!$C$8,CL$3='Bonding Program'!$H$40),'Bonding Program'!$T$40-'Bonding Program'!$U$40-'Bonding Program'!$Z$40,0)-IF(AND('Bonding Program'!$S$40=1,'Bonding Program'!$H$40&lt;='Bonding Program'!$C$8,CL$3=IF('Bonding Program'!$P$40&lt;&gt;"",'Bonding Program'!$P$40,'Bonding Program'!$C$8)),'Bonding Program'!$Z$40,0)+IF(AND('Bonding Program'!$P$40&lt;&gt;"",CL$3='Bonding Program'!$P$40,CL$3&lt;='Bonding Program'!$C$8),N('Bonding Program'!$O$40),0)</f>
        <v>0</v>
      </c>
      <c r="CM181" s="19" t="n">
        <f aca="false">IF(AND('Bonding Program'!$S$40=1,'Bonding Program'!$H$40&gt;'Bonding Program'!$C$8,CM$3='Bonding Program'!$H$40),'Bonding Program'!$T$40-'Bonding Program'!$U$40-'Bonding Program'!$Z$40,0)-IF(AND('Bonding Program'!$S$40=1,'Bonding Program'!$H$40&lt;='Bonding Program'!$C$8,CM$3=IF('Bonding Program'!$P$40&lt;&gt;"",'Bonding Program'!$P$40,'Bonding Program'!$C$8)),'Bonding Program'!$Z$40,0)+IF(AND('Bonding Program'!$P$40&lt;&gt;"",CM$3='Bonding Program'!$P$40,CM$3&lt;='Bonding Program'!$C$8),N('Bonding Program'!$O$40),0)</f>
        <v>0</v>
      </c>
      <c r="CN181" s="19" t="n">
        <f aca="false">IF(AND('Bonding Program'!$S$40=1,'Bonding Program'!$H$40&gt;'Bonding Program'!$C$8,CN$3='Bonding Program'!$H$40),'Bonding Program'!$T$40-'Bonding Program'!$U$40-'Bonding Program'!$Z$40,0)-IF(AND('Bonding Program'!$S$40=1,'Bonding Program'!$H$40&lt;='Bonding Program'!$C$8,CN$3=IF('Bonding Program'!$P$40&lt;&gt;"",'Bonding Program'!$P$40,'Bonding Program'!$C$8)),'Bonding Program'!$Z$40,0)+IF(AND('Bonding Program'!$P$40&lt;&gt;"",CN$3='Bonding Program'!$P$40,CN$3&lt;='Bonding Program'!$C$8),N('Bonding Program'!$O$40),0)</f>
        <v>0</v>
      </c>
      <c r="CO181" s="19" t="n">
        <f aca="false">IF(AND('Bonding Program'!$S$40=1,'Bonding Program'!$H$40&gt;'Bonding Program'!$C$8,CO$3='Bonding Program'!$H$40),'Bonding Program'!$T$40-'Bonding Program'!$U$40-'Bonding Program'!$Z$40,0)-IF(AND('Bonding Program'!$S$40=1,'Bonding Program'!$H$40&lt;='Bonding Program'!$C$8,CO$3=IF('Bonding Program'!$P$40&lt;&gt;"",'Bonding Program'!$P$40,'Bonding Program'!$C$8)),'Bonding Program'!$Z$40,0)+IF(AND('Bonding Program'!$P$40&lt;&gt;"",CO$3='Bonding Program'!$P$40,CO$3&lt;='Bonding Program'!$C$8),N('Bonding Program'!$O$40),0)</f>
        <v>0</v>
      </c>
      <c r="CP181" s="19" t="n">
        <f aca="false">IF(AND('Bonding Program'!$S$40=1,'Bonding Program'!$H$40&gt;'Bonding Program'!$C$8,CP$3='Bonding Program'!$H$40),'Bonding Program'!$T$40-'Bonding Program'!$U$40-'Bonding Program'!$Z$40,0)-IF(AND('Bonding Program'!$S$40=1,'Bonding Program'!$H$40&lt;='Bonding Program'!$C$8,CP$3=IF('Bonding Program'!$P$40&lt;&gt;"",'Bonding Program'!$P$40,'Bonding Program'!$C$8)),'Bonding Program'!$Z$40,0)+IF(AND('Bonding Program'!$P$40&lt;&gt;"",CP$3='Bonding Program'!$P$40,CP$3&lt;='Bonding Program'!$C$8),N('Bonding Program'!$O$40),0)</f>
        <v>0</v>
      </c>
      <c r="CQ181" s="19" t="n">
        <f aca="false">IF(AND('Bonding Program'!$S$40=1,'Bonding Program'!$H$40&gt;'Bonding Program'!$C$8,CQ$3='Bonding Program'!$H$40),'Bonding Program'!$T$40-'Bonding Program'!$U$40-'Bonding Program'!$Z$40,0)-IF(AND('Bonding Program'!$S$40=1,'Bonding Program'!$H$40&lt;='Bonding Program'!$C$8,CQ$3=IF('Bonding Program'!$P$40&lt;&gt;"",'Bonding Program'!$P$40,'Bonding Program'!$C$8)),'Bonding Program'!$Z$40,0)+IF(AND('Bonding Program'!$P$40&lt;&gt;"",CQ$3='Bonding Program'!$P$40,CQ$3&lt;='Bonding Program'!$C$8),N('Bonding Program'!$O$40),0)</f>
        <v>0</v>
      </c>
      <c r="CR181" s="19" t="n">
        <f aca="false">IF(AND('Bonding Program'!$S$40=1,'Bonding Program'!$H$40&gt;'Bonding Program'!$C$8,CR$3='Bonding Program'!$H$40),'Bonding Program'!$T$40-'Bonding Program'!$U$40-'Bonding Program'!$Z$40,0)-IF(AND('Bonding Program'!$S$40=1,'Bonding Program'!$H$40&lt;='Bonding Program'!$C$8,CR$3=IF('Bonding Program'!$P$40&lt;&gt;"",'Bonding Program'!$P$40,'Bonding Program'!$C$8)),'Bonding Program'!$Z$40,0)+IF(AND('Bonding Program'!$P$40&lt;&gt;"",CR$3='Bonding Program'!$P$40,CR$3&lt;='Bonding Program'!$C$8),N('Bonding Program'!$O$40),0)</f>
        <v>0</v>
      </c>
      <c r="CS181" s="19" t="n">
        <f aca="false">IF(AND('Bonding Program'!$S$40=1,'Bonding Program'!$H$40&gt;'Bonding Program'!$C$8,CS$3='Bonding Program'!$H$40),'Bonding Program'!$T$40-'Bonding Program'!$U$40-'Bonding Program'!$Z$40,0)-IF(AND('Bonding Program'!$S$40=1,'Bonding Program'!$H$40&lt;='Bonding Program'!$C$8,CS$3=IF('Bonding Program'!$P$40&lt;&gt;"",'Bonding Program'!$P$40,'Bonding Program'!$C$8)),'Bonding Program'!$Z$40,0)+IF(AND('Bonding Program'!$P$40&lt;&gt;"",CS$3='Bonding Program'!$P$40,CS$3&lt;='Bonding Program'!$C$8),N('Bonding Program'!$O$40),0)</f>
        <v>0</v>
      </c>
      <c r="CT181" s="19" t="n">
        <f aca="false">IF(AND('Bonding Program'!$S$40=1,'Bonding Program'!$H$40&gt;'Bonding Program'!$C$8,CT$3='Bonding Program'!$H$40),'Bonding Program'!$T$40-'Bonding Program'!$U$40-'Bonding Program'!$Z$40,0)-IF(AND('Bonding Program'!$S$40=1,'Bonding Program'!$H$40&lt;='Bonding Program'!$C$8,CT$3=IF('Bonding Program'!$P$40&lt;&gt;"",'Bonding Program'!$P$40,'Bonding Program'!$C$8)),'Bonding Program'!$Z$40,0)+IF(AND('Bonding Program'!$P$40&lt;&gt;"",CT$3='Bonding Program'!$P$40,CT$3&lt;='Bonding Program'!$C$8),N('Bonding Program'!$O$40),0)</f>
        <v>0</v>
      </c>
      <c r="CU181" s="19" t="n">
        <f aca="false">IF(AND('Bonding Program'!$S$40=1,'Bonding Program'!$H$40&gt;'Bonding Program'!$C$8,CU$3='Bonding Program'!$H$40),'Bonding Program'!$T$40-'Bonding Program'!$U$40-'Bonding Program'!$Z$40,0)-IF(AND('Bonding Program'!$S$40=1,'Bonding Program'!$H$40&lt;='Bonding Program'!$C$8,CU$3=IF('Bonding Program'!$P$40&lt;&gt;"",'Bonding Program'!$P$40,'Bonding Program'!$C$8)),'Bonding Program'!$Z$40,0)+IF(AND('Bonding Program'!$P$40&lt;&gt;"",CU$3='Bonding Program'!$P$40,CU$3&lt;='Bonding Program'!$C$8),N('Bonding Program'!$O$40),0)</f>
        <v>0</v>
      </c>
      <c r="CV181" s="19" t="n">
        <f aca="false">IF(AND('Bonding Program'!$S$40=1,'Bonding Program'!$H$40&gt;'Bonding Program'!$C$8,CV$3='Bonding Program'!$H$40),'Bonding Program'!$T$40-'Bonding Program'!$U$40-'Bonding Program'!$Z$40,0)-IF(AND('Bonding Program'!$S$40=1,'Bonding Program'!$H$40&lt;='Bonding Program'!$C$8,CV$3=IF('Bonding Program'!$P$40&lt;&gt;"",'Bonding Program'!$P$40,'Bonding Program'!$C$8)),'Bonding Program'!$Z$40,0)+IF(AND('Bonding Program'!$P$40&lt;&gt;"",CV$3='Bonding Program'!$P$40,CV$3&lt;='Bonding Program'!$C$8),N('Bonding Program'!$O$40),0)</f>
        <v>0</v>
      </c>
      <c r="CW181" s="19" t="n">
        <f aca="false">IF(AND('Bonding Program'!$S$40=1,'Bonding Program'!$H$40&gt;'Bonding Program'!$C$8,CW$3='Bonding Program'!$H$40),'Bonding Program'!$T$40-'Bonding Program'!$U$40-'Bonding Program'!$Z$40,0)-IF(AND('Bonding Program'!$S$40=1,'Bonding Program'!$H$40&lt;='Bonding Program'!$C$8,CW$3=IF('Bonding Program'!$P$40&lt;&gt;"",'Bonding Program'!$P$40,'Bonding Program'!$C$8)),'Bonding Program'!$Z$40,0)+IF(AND('Bonding Program'!$P$40&lt;&gt;"",CW$3='Bonding Program'!$P$40,CW$3&lt;='Bonding Program'!$C$8),N('Bonding Program'!$O$40),0)</f>
        <v>0</v>
      </c>
      <c r="CX181" s="19" t="n">
        <f aca="false">IF(AND('Bonding Program'!$S$40=1,'Bonding Program'!$H$40&gt;'Bonding Program'!$C$8,CX$3='Bonding Program'!$H$40),'Bonding Program'!$T$40-'Bonding Program'!$U$40-'Bonding Program'!$Z$40,0)-IF(AND('Bonding Program'!$S$40=1,'Bonding Program'!$H$40&lt;='Bonding Program'!$C$8,CX$3=IF('Bonding Program'!$P$40&lt;&gt;"",'Bonding Program'!$P$40,'Bonding Program'!$C$8)),'Bonding Program'!$Z$40,0)+IF(AND('Bonding Program'!$P$40&lt;&gt;"",CX$3='Bonding Program'!$P$40,CX$3&lt;='Bonding Program'!$C$8),N('Bonding Program'!$O$40),0)</f>
        <v>0</v>
      </c>
      <c r="CY181" s="19" t="n">
        <f aca="false">IF(AND('Bonding Program'!$S$40=1,'Bonding Program'!$H$40&gt;'Bonding Program'!$C$8,CY$3='Bonding Program'!$H$40),'Bonding Program'!$T$40-'Bonding Program'!$U$40-'Bonding Program'!$Z$40,0)-IF(AND('Bonding Program'!$S$40=1,'Bonding Program'!$H$40&lt;='Bonding Program'!$C$8,CY$3=IF('Bonding Program'!$P$40&lt;&gt;"",'Bonding Program'!$P$40,'Bonding Program'!$C$8)),'Bonding Program'!$Z$40,0)+IF(AND('Bonding Program'!$P$40&lt;&gt;"",CY$3='Bonding Program'!$P$40,CY$3&lt;='Bonding Program'!$C$8),N('Bonding Program'!$O$40),0)</f>
        <v>0</v>
      </c>
      <c r="CZ181" s="19" t="n">
        <f aca="false">IF(AND('Bonding Program'!$S$40=1,'Bonding Program'!$H$40&gt;'Bonding Program'!$C$8,CZ$3='Bonding Program'!$H$40),'Bonding Program'!$T$40-'Bonding Program'!$U$40-'Bonding Program'!$Z$40,0)-IF(AND('Bonding Program'!$S$40=1,'Bonding Program'!$H$40&lt;='Bonding Program'!$C$8,CZ$3=IF('Bonding Program'!$P$40&lt;&gt;"",'Bonding Program'!$P$40,'Bonding Program'!$C$8)),'Bonding Program'!$Z$40,0)+IF(AND('Bonding Program'!$P$40&lt;&gt;"",CZ$3='Bonding Program'!$P$40,CZ$3&lt;='Bonding Program'!$C$8),N('Bonding Program'!$O$40),0)</f>
        <v>0</v>
      </c>
      <c r="DA181" s="19" t="n">
        <f aca="false">IF(AND('Bonding Program'!$S$40=1,'Bonding Program'!$H$40&gt;'Bonding Program'!$C$8,DA$3='Bonding Program'!$H$40),'Bonding Program'!$T$40-'Bonding Program'!$U$40-'Bonding Program'!$Z$40,0)-IF(AND('Bonding Program'!$S$40=1,'Bonding Program'!$H$40&lt;='Bonding Program'!$C$8,DA$3=IF('Bonding Program'!$P$40&lt;&gt;"",'Bonding Program'!$P$40,'Bonding Program'!$C$8)),'Bonding Program'!$Z$40,0)+IF(AND('Bonding Program'!$P$40&lt;&gt;"",DA$3='Bonding Program'!$P$40,DA$3&lt;='Bonding Program'!$C$8),N('Bonding Program'!$O$40),0)</f>
        <v>0</v>
      </c>
      <c r="DB181" s="19" t="n">
        <f aca="false">IF(AND('Bonding Program'!$S$40=1,'Bonding Program'!$H$40&gt;'Bonding Program'!$C$8,DB$3='Bonding Program'!$H$40),'Bonding Program'!$T$40-'Bonding Program'!$U$40-'Bonding Program'!$Z$40,0)-IF(AND('Bonding Program'!$S$40=1,'Bonding Program'!$H$40&lt;='Bonding Program'!$C$8,DB$3=IF('Bonding Program'!$P$40&lt;&gt;"",'Bonding Program'!$P$40,'Bonding Program'!$C$8)),'Bonding Program'!$Z$40,0)+IF(AND('Bonding Program'!$P$40&lt;&gt;"",DB$3='Bonding Program'!$P$40,DB$3&lt;='Bonding Program'!$C$8),N('Bonding Program'!$O$40),0)</f>
        <v>0</v>
      </c>
      <c r="DC181" s="19" t="n">
        <f aca="false">IF(AND('Bonding Program'!$S$40=1,'Bonding Program'!$H$40&gt;'Bonding Program'!$C$8,DC$3='Bonding Program'!$H$40),'Bonding Program'!$T$40-'Bonding Program'!$U$40-'Bonding Program'!$Z$40,0)-IF(AND('Bonding Program'!$S$40=1,'Bonding Program'!$H$40&lt;='Bonding Program'!$C$8,DC$3=IF('Bonding Program'!$P$40&lt;&gt;"",'Bonding Program'!$P$40,'Bonding Program'!$C$8)),'Bonding Program'!$Z$40,0)+IF(AND('Bonding Program'!$P$40&lt;&gt;"",DC$3='Bonding Program'!$P$40,DC$3&lt;='Bonding Program'!$C$8),N('Bonding Program'!$O$40),0)</f>
        <v>0</v>
      </c>
      <c r="DD181" s="19" t="n">
        <f aca="false">IF(AND('Bonding Program'!$S$40=1,'Bonding Program'!$H$40&gt;'Bonding Program'!$C$8,DD$3='Bonding Program'!$H$40),'Bonding Program'!$T$40-'Bonding Program'!$U$40-'Bonding Program'!$Z$40,0)-IF(AND('Bonding Program'!$S$40=1,'Bonding Program'!$H$40&lt;='Bonding Program'!$C$8,DD$3=IF('Bonding Program'!$P$40&lt;&gt;"",'Bonding Program'!$P$40,'Bonding Program'!$C$8)),'Bonding Program'!$Z$40,0)+IF(AND('Bonding Program'!$P$40&lt;&gt;"",DD$3='Bonding Program'!$P$40,DD$3&lt;='Bonding Program'!$C$8),N('Bonding Program'!$O$40),0)</f>
        <v>0</v>
      </c>
      <c r="DE181" s="19" t="n">
        <f aca="false">IF(AND('Bonding Program'!$S$40=1,'Bonding Program'!$H$40&gt;'Bonding Program'!$C$8,DE$3='Bonding Program'!$H$40),'Bonding Program'!$T$40-'Bonding Program'!$U$40-'Bonding Program'!$Z$40,0)-IF(AND('Bonding Program'!$S$40=1,'Bonding Program'!$H$40&lt;='Bonding Program'!$C$8,DE$3=IF('Bonding Program'!$P$40&lt;&gt;"",'Bonding Program'!$P$40,'Bonding Program'!$C$8)),'Bonding Program'!$Z$40,0)+IF(AND('Bonding Program'!$P$40&lt;&gt;"",DE$3='Bonding Program'!$P$40,DE$3&lt;='Bonding Program'!$C$8),N('Bonding Program'!$O$40),0)</f>
        <v>0</v>
      </c>
    </row>
    <row r="182" customFormat="false" ht="15" hidden="false" customHeight="true" outlineLevel="1" collapsed="false">
      <c r="A182" s="28" t="s">
        <v>37</v>
      </c>
      <c r="B182" s="19" t="n">
        <f aca="false">IF(AND('Bonding Program'!$S$41=1,'Bonding Program'!$H$41&gt;'Bonding Program'!$C$8,B$3='Bonding Program'!$H$41),'Bonding Program'!$T$41-'Bonding Program'!$U$41-'Bonding Program'!$Z$41,0)-IF(AND('Bonding Program'!$S$41=1,'Bonding Program'!$H$41&lt;='Bonding Program'!$C$8,B$3=IF('Bonding Program'!$P$41&lt;&gt;"",'Bonding Program'!$P$41,'Bonding Program'!$C$8)),'Bonding Program'!$Z$41,0)+IF(AND('Bonding Program'!$P$41&lt;&gt;"",B$3='Bonding Program'!$P$41,B$3&lt;='Bonding Program'!$C$8),N('Bonding Program'!$O$41),0)</f>
        <v>0</v>
      </c>
      <c r="C182" s="19" t="n">
        <f aca="false">IF(AND('Bonding Program'!$S$41=1,'Bonding Program'!$H$41&gt;'Bonding Program'!$C$8,C$3='Bonding Program'!$H$41),'Bonding Program'!$T$41-'Bonding Program'!$U$41-'Bonding Program'!$Z$41,0)-IF(AND('Bonding Program'!$S$41=1,'Bonding Program'!$H$41&lt;='Bonding Program'!$C$8,C$3=IF('Bonding Program'!$P$41&lt;&gt;"",'Bonding Program'!$P$41,'Bonding Program'!$C$8)),'Bonding Program'!$Z$41,0)+IF(AND('Bonding Program'!$P$41&lt;&gt;"",C$3='Bonding Program'!$P$41,C$3&lt;='Bonding Program'!$C$8),N('Bonding Program'!$O$41),0)</f>
        <v>0</v>
      </c>
      <c r="D182" s="19" t="n">
        <f aca="false">IF(AND('Bonding Program'!$S$41=1,'Bonding Program'!$H$41&gt;'Bonding Program'!$C$8,D$3='Bonding Program'!$H$41),'Bonding Program'!$T$41-'Bonding Program'!$U$41-'Bonding Program'!$Z$41,0)-IF(AND('Bonding Program'!$S$41=1,'Bonding Program'!$H$41&lt;='Bonding Program'!$C$8,D$3=IF('Bonding Program'!$P$41&lt;&gt;"",'Bonding Program'!$P$41,'Bonding Program'!$C$8)),'Bonding Program'!$Z$41,0)+IF(AND('Bonding Program'!$P$41&lt;&gt;"",D$3='Bonding Program'!$P$41,D$3&lt;='Bonding Program'!$C$8),N('Bonding Program'!$O$41),0)</f>
        <v>0</v>
      </c>
      <c r="E182" s="19" t="n">
        <f aca="false">IF(AND('Bonding Program'!$S$41=1,'Bonding Program'!$H$41&gt;'Bonding Program'!$C$8,E$3='Bonding Program'!$H$41),'Bonding Program'!$T$41-'Bonding Program'!$U$41-'Bonding Program'!$Z$41,0)-IF(AND('Bonding Program'!$S$41=1,'Bonding Program'!$H$41&lt;='Bonding Program'!$C$8,E$3=IF('Bonding Program'!$P$41&lt;&gt;"",'Bonding Program'!$P$41,'Bonding Program'!$C$8)),'Bonding Program'!$Z$41,0)+IF(AND('Bonding Program'!$P$41&lt;&gt;"",E$3='Bonding Program'!$P$41,E$3&lt;='Bonding Program'!$C$8),N('Bonding Program'!$O$41),0)</f>
        <v>0</v>
      </c>
      <c r="F182" s="19" t="n">
        <f aca="false">IF(AND('Bonding Program'!$S$41=1,'Bonding Program'!$H$41&gt;'Bonding Program'!$C$8,F$3='Bonding Program'!$H$41),'Bonding Program'!$T$41-'Bonding Program'!$U$41-'Bonding Program'!$Z$41,0)-IF(AND('Bonding Program'!$S$41=1,'Bonding Program'!$H$41&lt;='Bonding Program'!$C$8,F$3=IF('Bonding Program'!$P$41&lt;&gt;"",'Bonding Program'!$P$41,'Bonding Program'!$C$8)),'Bonding Program'!$Z$41,0)+IF(AND('Bonding Program'!$P$41&lt;&gt;"",F$3='Bonding Program'!$P$41,F$3&lt;='Bonding Program'!$C$8),N('Bonding Program'!$O$41),0)</f>
        <v>0</v>
      </c>
      <c r="G182" s="19" t="n">
        <f aca="false">IF(AND('Bonding Program'!$S$41=1,'Bonding Program'!$H$41&gt;'Bonding Program'!$C$8,G$3='Bonding Program'!$H$41),'Bonding Program'!$T$41-'Bonding Program'!$U$41-'Bonding Program'!$Z$41,0)-IF(AND('Bonding Program'!$S$41=1,'Bonding Program'!$H$41&lt;='Bonding Program'!$C$8,G$3=IF('Bonding Program'!$P$41&lt;&gt;"",'Bonding Program'!$P$41,'Bonding Program'!$C$8)),'Bonding Program'!$Z$41,0)+IF(AND('Bonding Program'!$P$41&lt;&gt;"",G$3='Bonding Program'!$P$41,G$3&lt;='Bonding Program'!$C$8),N('Bonding Program'!$O$41),0)</f>
        <v>0</v>
      </c>
      <c r="H182" s="19" t="n">
        <f aca="false">IF(AND('Bonding Program'!$S$41=1,'Bonding Program'!$H$41&gt;'Bonding Program'!$C$8,H$3='Bonding Program'!$H$41),'Bonding Program'!$T$41-'Bonding Program'!$U$41-'Bonding Program'!$Z$41,0)-IF(AND('Bonding Program'!$S$41=1,'Bonding Program'!$H$41&lt;='Bonding Program'!$C$8,H$3=IF('Bonding Program'!$P$41&lt;&gt;"",'Bonding Program'!$P$41,'Bonding Program'!$C$8)),'Bonding Program'!$Z$41,0)+IF(AND('Bonding Program'!$P$41&lt;&gt;"",H$3='Bonding Program'!$P$41,H$3&lt;='Bonding Program'!$C$8),N('Bonding Program'!$O$41),0)</f>
        <v>0</v>
      </c>
      <c r="I182" s="19" t="n">
        <f aca="false">IF(AND('Bonding Program'!$S$41=1,'Bonding Program'!$H$41&gt;'Bonding Program'!$C$8,I$3='Bonding Program'!$H$41),'Bonding Program'!$T$41-'Bonding Program'!$U$41-'Bonding Program'!$Z$41,0)-IF(AND('Bonding Program'!$S$41=1,'Bonding Program'!$H$41&lt;='Bonding Program'!$C$8,I$3=IF('Bonding Program'!$P$41&lt;&gt;"",'Bonding Program'!$P$41,'Bonding Program'!$C$8)),'Bonding Program'!$Z$41,0)+IF(AND('Bonding Program'!$P$41&lt;&gt;"",I$3='Bonding Program'!$P$41,I$3&lt;='Bonding Program'!$C$8),N('Bonding Program'!$O$41),0)</f>
        <v>0</v>
      </c>
      <c r="J182" s="19" t="n">
        <f aca="false">IF(AND('Bonding Program'!$S$41=1,'Bonding Program'!$H$41&gt;'Bonding Program'!$C$8,J$3='Bonding Program'!$H$41),'Bonding Program'!$T$41-'Bonding Program'!$U$41-'Bonding Program'!$Z$41,0)-IF(AND('Bonding Program'!$S$41=1,'Bonding Program'!$H$41&lt;='Bonding Program'!$C$8,J$3=IF('Bonding Program'!$P$41&lt;&gt;"",'Bonding Program'!$P$41,'Bonding Program'!$C$8)),'Bonding Program'!$Z$41,0)+IF(AND('Bonding Program'!$P$41&lt;&gt;"",J$3='Bonding Program'!$P$41,J$3&lt;='Bonding Program'!$C$8),N('Bonding Program'!$O$41),0)</f>
        <v>0</v>
      </c>
      <c r="K182" s="19" t="n">
        <f aca="false">IF(AND('Bonding Program'!$S$41=1,'Bonding Program'!$H$41&gt;'Bonding Program'!$C$8,K$3='Bonding Program'!$H$41),'Bonding Program'!$T$41-'Bonding Program'!$U$41-'Bonding Program'!$Z$41,0)-IF(AND('Bonding Program'!$S$41=1,'Bonding Program'!$H$41&lt;='Bonding Program'!$C$8,K$3=IF('Bonding Program'!$P$41&lt;&gt;"",'Bonding Program'!$P$41,'Bonding Program'!$C$8)),'Bonding Program'!$Z$41,0)+IF(AND('Bonding Program'!$P$41&lt;&gt;"",K$3='Bonding Program'!$P$41,K$3&lt;='Bonding Program'!$C$8),N('Bonding Program'!$O$41),0)</f>
        <v>0</v>
      </c>
      <c r="L182" s="19" t="n">
        <f aca="false">IF(AND('Bonding Program'!$S$41=1,'Bonding Program'!$H$41&gt;'Bonding Program'!$C$8,L$3='Bonding Program'!$H$41),'Bonding Program'!$T$41-'Bonding Program'!$U$41-'Bonding Program'!$Z$41,0)-IF(AND('Bonding Program'!$S$41=1,'Bonding Program'!$H$41&lt;='Bonding Program'!$C$8,L$3=IF('Bonding Program'!$P$41&lt;&gt;"",'Bonding Program'!$P$41,'Bonding Program'!$C$8)),'Bonding Program'!$Z$41,0)+IF(AND('Bonding Program'!$P$41&lt;&gt;"",L$3='Bonding Program'!$P$41,L$3&lt;='Bonding Program'!$C$8),N('Bonding Program'!$O$41),0)</f>
        <v>0</v>
      </c>
      <c r="M182" s="19" t="n">
        <f aca="false">IF(AND('Bonding Program'!$S$41=1,'Bonding Program'!$H$41&gt;'Bonding Program'!$C$8,M$3='Bonding Program'!$H$41),'Bonding Program'!$T$41-'Bonding Program'!$U$41-'Bonding Program'!$Z$41,0)-IF(AND('Bonding Program'!$S$41=1,'Bonding Program'!$H$41&lt;='Bonding Program'!$C$8,M$3=IF('Bonding Program'!$P$41&lt;&gt;"",'Bonding Program'!$P$41,'Bonding Program'!$C$8)),'Bonding Program'!$Z$41,0)+IF(AND('Bonding Program'!$P$41&lt;&gt;"",M$3='Bonding Program'!$P$41,M$3&lt;='Bonding Program'!$C$8),N('Bonding Program'!$O$41),0)</f>
        <v>0</v>
      </c>
      <c r="N182" s="19" t="n">
        <f aca="false">IF(AND('Bonding Program'!$S$41=1,'Bonding Program'!$H$41&gt;'Bonding Program'!$C$8,N$3='Bonding Program'!$H$41),'Bonding Program'!$T$41-'Bonding Program'!$U$41-'Bonding Program'!$Z$41,0)-IF(AND('Bonding Program'!$S$41=1,'Bonding Program'!$H$41&lt;='Bonding Program'!$C$8,N$3=IF('Bonding Program'!$P$41&lt;&gt;"",'Bonding Program'!$P$41,'Bonding Program'!$C$8)),'Bonding Program'!$Z$41,0)+IF(AND('Bonding Program'!$P$41&lt;&gt;"",N$3='Bonding Program'!$P$41,N$3&lt;='Bonding Program'!$C$8),N('Bonding Program'!$O$41),0)</f>
        <v>0</v>
      </c>
      <c r="O182" s="19" t="n">
        <f aca="false">IF(AND('Bonding Program'!$S$41=1,'Bonding Program'!$H$41&gt;'Bonding Program'!$C$8,O$3='Bonding Program'!$H$41),'Bonding Program'!$T$41-'Bonding Program'!$U$41-'Bonding Program'!$Z$41,0)-IF(AND('Bonding Program'!$S$41=1,'Bonding Program'!$H$41&lt;='Bonding Program'!$C$8,O$3=IF('Bonding Program'!$P$41&lt;&gt;"",'Bonding Program'!$P$41,'Bonding Program'!$C$8)),'Bonding Program'!$Z$41,0)+IF(AND('Bonding Program'!$P$41&lt;&gt;"",O$3='Bonding Program'!$P$41,O$3&lt;='Bonding Program'!$C$8),N('Bonding Program'!$O$41),0)</f>
        <v>0</v>
      </c>
      <c r="P182" s="19" t="n">
        <f aca="false">IF(AND('Bonding Program'!$S$41=1,'Bonding Program'!$H$41&gt;'Bonding Program'!$C$8,P$3='Bonding Program'!$H$41),'Bonding Program'!$T$41-'Bonding Program'!$U$41-'Bonding Program'!$Z$41,0)-IF(AND('Bonding Program'!$S$41=1,'Bonding Program'!$H$41&lt;='Bonding Program'!$C$8,P$3=IF('Bonding Program'!$P$41&lt;&gt;"",'Bonding Program'!$P$41,'Bonding Program'!$C$8)),'Bonding Program'!$Z$41,0)+IF(AND('Bonding Program'!$P$41&lt;&gt;"",P$3='Bonding Program'!$P$41,P$3&lt;='Bonding Program'!$C$8),N('Bonding Program'!$O$41),0)</f>
        <v>0</v>
      </c>
      <c r="Q182" s="19" t="n">
        <f aca="false">IF(AND('Bonding Program'!$S$41=1,'Bonding Program'!$H$41&gt;'Bonding Program'!$C$8,Q$3='Bonding Program'!$H$41),'Bonding Program'!$T$41-'Bonding Program'!$U$41-'Bonding Program'!$Z$41,0)-IF(AND('Bonding Program'!$S$41=1,'Bonding Program'!$H$41&lt;='Bonding Program'!$C$8,Q$3=IF('Bonding Program'!$P$41&lt;&gt;"",'Bonding Program'!$P$41,'Bonding Program'!$C$8)),'Bonding Program'!$Z$41,0)+IF(AND('Bonding Program'!$P$41&lt;&gt;"",Q$3='Bonding Program'!$P$41,Q$3&lt;='Bonding Program'!$C$8),N('Bonding Program'!$O$41),0)</f>
        <v>0</v>
      </c>
      <c r="R182" s="19" t="n">
        <f aca="false">IF(AND('Bonding Program'!$S$41=1,'Bonding Program'!$H$41&gt;'Bonding Program'!$C$8,R$3='Bonding Program'!$H$41),'Bonding Program'!$T$41-'Bonding Program'!$U$41-'Bonding Program'!$Z$41,0)-IF(AND('Bonding Program'!$S$41=1,'Bonding Program'!$H$41&lt;='Bonding Program'!$C$8,R$3=IF('Bonding Program'!$P$41&lt;&gt;"",'Bonding Program'!$P$41,'Bonding Program'!$C$8)),'Bonding Program'!$Z$41,0)+IF(AND('Bonding Program'!$P$41&lt;&gt;"",R$3='Bonding Program'!$P$41,R$3&lt;='Bonding Program'!$C$8),N('Bonding Program'!$O$41),0)</f>
        <v>0</v>
      </c>
      <c r="S182" s="19" t="n">
        <f aca="false">IF(AND('Bonding Program'!$S$41=1,'Bonding Program'!$H$41&gt;'Bonding Program'!$C$8,S$3='Bonding Program'!$H$41),'Bonding Program'!$T$41-'Bonding Program'!$U$41-'Bonding Program'!$Z$41,0)-IF(AND('Bonding Program'!$S$41=1,'Bonding Program'!$H$41&lt;='Bonding Program'!$C$8,S$3=IF('Bonding Program'!$P$41&lt;&gt;"",'Bonding Program'!$P$41,'Bonding Program'!$C$8)),'Bonding Program'!$Z$41,0)+IF(AND('Bonding Program'!$P$41&lt;&gt;"",S$3='Bonding Program'!$P$41,S$3&lt;='Bonding Program'!$C$8),N('Bonding Program'!$O$41),0)</f>
        <v>0</v>
      </c>
      <c r="T182" s="19" t="n">
        <f aca="false">IF(AND('Bonding Program'!$S$41=1,'Bonding Program'!$H$41&gt;'Bonding Program'!$C$8,T$3='Bonding Program'!$H$41),'Bonding Program'!$T$41-'Bonding Program'!$U$41-'Bonding Program'!$Z$41,0)-IF(AND('Bonding Program'!$S$41=1,'Bonding Program'!$H$41&lt;='Bonding Program'!$C$8,T$3=IF('Bonding Program'!$P$41&lt;&gt;"",'Bonding Program'!$P$41,'Bonding Program'!$C$8)),'Bonding Program'!$Z$41,0)+IF(AND('Bonding Program'!$P$41&lt;&gt;"",T$3='Bonding Program'!$P$41,T$3&lt;='Bonding Program'!$C$8),N('Bonding Program'!$O$41),0)</f>
        <v>0</v>
      </c>
      <c r="U182" s="19" t="n">
        <f aca="false">IF(AND('Bonding Program'!$S$41=1,'Bonding Program'!$H$41&gt;'Bonding Program'!$C$8,U$3='Bonding Program'!$H$41),'Bonding Program'!$T$41-'Bonding Program'!$U$41-'Bonding Program'!$Z$41,0)-IF(AND('Bonding Program'!$S$41=1,'Bonding Program'!$H$41&lt;='Bonding Program'!$C$8,U$3=IF('Bonding Program'!$P$41&lt;&gt;"",'Bonding Program'!$P$41,'Bonding Program'!$C$8)),'Bonding Program'!$Z$41,0)+IF(AND('Bonding Program'!$P$41&lt;&gt;"",U$3='Bonding Program'!$P$41,U$3&lt;='Bonding Program'!$C$8),N('Bonding Program'!$O$41),0)</f>
        <v>0</v>
      </c>
      <c r="V182" s="19" t="n">
        <f aca="false">IF(AND('Bonding Program'!$S$41=1,'Bonding Program'!$H$41&gt;'Bonding Program'!$C$8,V$3='Bonding Program'!$H$41),'Bonding Program'!$T$41-'Bonding Program'!$U$41-'Bonding Program'!$Z$41,0)-IF(AND('Bonding Program'!$S$41=1,'Bonding Program'!$H$41&lt;='Bonding Program'!$C$8,V$3=IF('Bonding Program'!$P$41&lt;&gt;"",'Bonding Program'!$P$41,'Bonding Program'!$C$8)),'Bonding Program'!$Z$41,0)+IF(AND('Bonding Program'!$P$41&lt;&gt;"",V$3='Bonding Program'!$P$41,V$3&lt;='Bonding Program'!$C$8),N('Bonding Program'!$O$41),0)</f>
        <v>0</v>
      </c>
      <c r="W182" s="19" t="n">
        <f aca="false">IF(AND('Bonding Program'!$S$41=1,'Bonding Program'!$H$41&gt;'Bonding Program'!$C$8,W$3='Bonding Program'!$H$41),'Bonding Program'!$T$41-'Bonding Program'!$U$41-'Bonding Program'!$Z$41,0)-IF(AND('Bonding Program'!$S$41=1,'Bonding Program'!$H$41&lt;='Bonding Program'!$C$8,W$3=IF('Bonding Program'!$P$41&lt;&gt;"",'Bonding Program'!$P$41,'Bonding Program'!$C$8)),'Bonding Program'!$Z$41,0)+IF(AND('Bonding Program'!$P$41&lt;&gt;"",W$3='Bonding Program'!$P$41,W$3&lt;='Bonding Program'!$C$8),N('Bonding Program'!$O$41),0)</f>
        <v>0</v>
      </c>
      <c r="X182" s="19" t="n">
        <f aca="false">IF(AND('Bonding Program'!$S$41=1,'Bonding Program'!$H$41&gt;'Bonding Program'!$C$8,X$3='Bonding Program'!$H$41),'Bonding Program'!$T$41-'Bonding Program'!$U$41-'Bonding Program'!$Z$41,0)-IF(AND('Bonding Program'!$S$41=1,'Bonding Program'!$H$41&lt;='Bonding Program'!$C$8,X$3=IF('Bonding Program'!$P$41&lt;&gt;"",'Bonding Program'!$P$41,'Bonding Program'!$C$8)),'Bonding Program'!$Z$41,0)+IF(AND('Bonding Program'!$P$41&lt;&gt;"",X$3='Bonding Program'!$P$41,X$3&lt;='Bonding Program'!$C$8),N('Bonding Program'!$O$41),0)</f>
        <v>0</v>
      </c>
      <c r="Y182" s="19" t="n">
        <f aca="false">IF(AND('Bonding Program'!$S$41=1,'Bonding Program'!$H$41&gt;'Bonding Program'!$C$8,Y$3='Bonding Program'!$H$41),'Bonding Program'!$T$41-'Bonding Program'!$U$41-'Bonding Program'!$Z$41,0)-IF(AND('Bonding Program'!$S$41=1,'Bonding Program'!$H$41&lt;='Bonding Program'!$C$8,Y$3=IF('Bonding Program'!$P$41&lt;&gt;"",'Bonding Program'!$P$41,'Bonding Program'!$C$8)),'Bonding Program'!$Z$41,0)+IF(AND('Bonding Program'!$P$41&lt;&gt;"",Y$3='Bonding Program'!$P$41,Y$3&lt;='Bonding Program'!$C$8),N('Bonding Program'!$O$41),0)</f>
        <v>0</v>
      </c>
      <c r="Z182" s="19" t="n">
        <f aca="false">IF(AND('Bonding Program'!$S$41=1,'Bonding Program'!$H$41&gt;'Bonding Program'!$C$8,Z$3='Bonding Program'!$H$41),'Bonding Program'!$T$41-'Bonding Program'!$U$41-'Bonding Program'!$Z$41,0)-IF(AND('Bonding Program'!$S$41=1,'Bonding Program'!$H$41&lt;='Bonding Program'!$C$8,Z$3=IF('Bonding Program'!$P$41&lt;&gt;"",'Bonding Program'!$P$41,'Bonding Program'!$C$8)),'Bonding Program'!$Z$41,0)+IF(AND('Bonding Program'!$P$41&lt;&gt;"",Z$3='Bonding Program'!$P$41,Z$3&lt;='Bonding Program'!$C$8),N('Bonding Program'!$O$41),0)</f>
        <v>0</v>
      </c>
      <c r="AA182" s="19" t="n">
        <f aca="false">IF(AND('Bonding Program'!$S$41=1,'Bonding Program'!$H$41&gt;'Bonding Program'!$C$8,AA$3='Bonding Program'!$H$41),'Bonding Program'!$T$41-'Bonding Program'!$U$41-'Bonding Program'!$Z$41,0)-IF(AND('Bonding Program'!$S$41=1,'Bonding Program'!$H$41&lt;='Bonding Program'!$C$8,AA$3=IF('Bonding Program'!$P$41&lt;&gt;"",'Bonding Program'!$P$41,'Bonding Program'!$C$8)),'Bonding Program'!$Z$41,0)+IF(AND('Bonding Program'!$P$41&lt;&gt;"",AA$3='Bonding Program'!$P$41,AA$3&lt;='Bonding Program'!$C$8),N('Bonding Program'!$O$41),0)</f>
        <v>0</v>
      </c>
      <c r="AB182" s="19" t="n">
        <f aca="false">IF(AND('Bonding Program'!$S$41=1,'Bonding Program'!$H$41&gt;'Bonding Program'!$C$8,AB$3='Bonding Program'!$H$41),'Bonding Program'!$T$41-'Bonding Program'!$U$41-'Bonding Program'!$Z$41,0)-IF(AND('Bonding Program'!$S$41=1,'Bonding Program'!$H$41&lt;='Bonding Program'!$C$8,AB$3=IF('Bonding Program'!$P$41&lt;&gt;"",'Bonding Program'!$P$41,'Bonding Program'!$C$8)),'Bonding Program'!$Z$41,0)+IF(AND('Bonding Program'!$P$41&lt;&gt;"",AB$3='Bonding Program'!$P$41,AB$3&lt;='Bonding Program'!$C$8),N('Bonding Program'!$O$41),0)</f>
        <v>0</v>
      </c>
      <c r="AC182" s="19" t="n">
        <f aca="false">IF(AND('Bonding Program'!$S$41=1,'Bonding Program'!$H$41&gt;'Bonding Program'!$C$8,AC$3='Bonding Program'!$H$41),'Bonding Program'!$T$41-'Bonding Program'!$U$41-'Bonding Program'!$Z$41,0)-IF(AND('Bonding Program'!$S$41=1,'Bonding Program'!$H$41&lt;='Bonding Program'!$C$8,AC$3=IF('Bonding Program'!$P$41&lt;&gt;"",'Bonding Program'!$P$41,'Bonding Program'!$C$8)),'Bonding Program'!$Z$41,0)+IF(AND('Bonding Program'!$P$41&lt;&gt;"",AC$3='Bonding Program'!$P$41,AC$3&lt;='Bonding Program'!$C$8),N('Bonding Program'!$O$41),0)</f>
        <v>0</v>
      </c>
      <c r="AD182" s="19" t="n">
        <f aca="false">IF(AND('Bonding Program'!$S$41=1,'Bonding Program'!$H$41&gt;'Bonding Program'!$C$8,AD$3='Bonding Program'!$H$41),'Bonding Program'!$T$41-'Bonding Program'!$U$41-'Bonding Program'!$Z$41,0)-IF(AND('Bonding Program'!$S$41=1,'Bonding Program'!$H$41&lt;='Bonding Program'!$C$8,AD$3=IF('Bonding Program'!$P$41&lt;&gt;"",'Bonding Program'!$P$41,'Bonding Program'!$C$8)),'Bonding Program'!$Z$41,0)+IF(AND('Bonding Program'!$P$41&lt;&gt;"",AD$3='Bonding Program'!$P$41,AD$3&lt;='Bonding Program'!$C$8),N('Bonding Program'!$O$41),0)</f>
        <v>0</v>
      </c>
      <c r="AE182" s="19" t="n">
        <f aca="false">IF(AND('Bonding Program'!$S$41=1,'Bonding Program'!$H$41&gt;'Bonding Program'!$C$8,AE$3='Bonding Program'!$H$41),'Bonding Program'!$T$41-'Bonding Program'!$U$41-'Bonding Program'!$Z$41,0)-IF(AND('Bonding Program'!$S$41=1,'Bonding Program'!$H$41&lt;='Bonding Program'!$C$8,AE$3=IF('Bonding Program'!$P$41&lt;&gt;"",'Bonding Program'!$P$41,'Bonding Program'!$C$8)),'Bonding Program'!$Z$41,0)+IF(AND('Bonding Program'!$P$41&lt;&gt;"",AE$3='Bonding Program'!$P$41,AE$3&lt;='Bonding Program'!$C$8),N('Bonding Program'!$O$41),0)</f>
        <v>0</v>
      </c>
      <c r="AF182" s="19" t="n">
        <f aca="false">IF(AND('Bonding Program'!$S$41=1,'Bonding Program'!$H$41&gt;'Bonding Program'!$C$8,AF$3='Bonding Program'!$H$41),'Bonding Program'!$T$41-'Bonding Program'!$U$41-'Bonding Program'!$Z$41,0)-IF(AND('Bonding Program'!$S$41=1,'Bonding Program'!$H$41&lt;='Bonding Program'!$C$8,AF$3=IF('Bonding Program'!$P$41&lt;&gt;"",'Bonding Program'!$P$41,'Bonding Program'!$C$8)),'Bonding Program'!$Z$41,0)+IF(AND('Bonding Program'!$P$41&lt;&gt;"",AF$3='Bonding Program'!$P$41,AF$3&lt;='Bonding Program'!$C$8),N('Bonding Program'!$O$41),0)</f>
        <v>0</v>
      </c>
      <c r="AG182" s="19" t="n">
        <f aca="false">IF(AND('Bonding Program'!$S$41=1,'Bonding Program'!$H$41&gt;'Bonding Program'!$C$8,AG$3='Bonding Program'!$H$41),'Bonding Program'!$T$41-'Bonding Program'!$U$41-'Bonding Program'!$Z$41,0)-IF(AND('Bonding Program'!$S$41=1,'Bonding Program'!$H$41&lt;='Bonding Program'!$C$8,AG$3=IF('Bonding Program'!$P$41&lt;&gt;"",'Bonding Program'!$P$41,'Bonding Program'!$C$8)),'Bonding Program'!$Z$41,0)+IF(AND('Bonding Program'!$P$41&lt;&gt;"",AG$3='Bonding Program'!$P$41,AG$3&lt;='Bonding Program'!$C$8),N('Bonding Program'!$O$41),0)</f>
        <v>0</v>
      </c>
      <c r="AH182" s="19" t="n">
        <f aca="false">IF(AND('Bonding Program'!$S$41=1,'Bonding Program'!$H$41&gt;'Bonding Program'!$C$8,AH$3='Bonding Program'!$H$41),'Bonding Program'!$T$41-'Bonding Program'!$U$41-'Bonding Program'!$Z$41,0)-IF(AND('Bonding Program'!$S$41=1,'Bonding Program'!$H$41&lt;='Bonding Program'!$C$8,AH$3=IF('Bonding Program'!$P$41&lt;&gt;"",'Bonding Program'!$P$41,'Bonding Program'!$C$8)),'Bonding Program'!$Z$41,0)+IF(AND('Bonding Program'!$P$41&lt;&gt;"",AH$3='Bonding Program'!$P$41,AH$3&lt;='Bonding Program'!$C$8),N('Bonding Program'!$O$41),0)</f>
        <v>0</v>
      </c>
      <c r="AI182" s="19" t="n">
        <f aca="false">IF(AND('Bonding Program'!$S$41=1,'Bonding Program'!$H$41&gt;'Bonding Program'!$C$8,AI$3='Bonding Program'!$H$41),'Bonding Program'!$T$41-'Bonding Program'!$U$41-'Bonding Program'!$Z$41,0)-IF(AND('Bonding Program'!$S$41=1,'Bonding Program'!$H$41&lt;='Bonding Program'!$C$8,AI$3=IF('Bonding Program'!$P$41&lt;&gt;"",'Bonding Program'!$P$41,'Bonding Program'!$C$8)),'Bonding Program'!$Z$41,0)+IF(AND('Bonding Program'!$P$41&lt;&gt;"",AI$3='Bonding Program'!$P$41,AI$3&lt;='Bonding Program'!$C$8),N('Bonding Program'!$O$41),0)</f>
        <v>0</v>
      </c>
      <c r="AJ182" s="19" t="n">
        <f aca="false">IF(AND('Bonding Program'!$S$41=1,'Bonding Program'!$H$41&gt;'Bonding Program'!$C$8,AJ$3='Bonding Program'!$H$41),'Bonding Program'!$T$41-'Bonding Program'!$U$41-'Bonding Program'!$Z$41,0)-IF(AND('Bonding Program'!$S$41=1,'Bonding Program'!$H$41&lt;='Bonding Program'!$C$8,AJ$3=IF('Bonding Program'!$P$41&lt;&gt;"",'Bonding Program'!$P$41,'Bonding Program'!$C$8)),'Bonding Program'!$Z$41,0)+IF(AND('Bonding Program'!$P$41&lt;&gt;"",AJ$3='Bonding Program'!$P$41,AJ$3&lt;='Bonding Program'!$C$8),N('Bonding Program'!$O$41),0)</f>
        <v>0</v>
      </c>
      <c r="AK182" s="19" t="n">
        <f aca="false">IF(AND('Bonding Program'!$S$41=1,'Bonding Program'!$H$41&gt;'Bonding Program'!$C$8,AK$3='Bonding Program'!$H$41),'Bonding Program'!$T$41-'Bonding Program'!$U$41-'Bonding Program'!$Z$41,0)-IF(AND('Bonding Program'!$S$41=1,'Bonding Program'!$H$41&lt;='Bonding Program'!$C$8,AK$3=IF('Bonding Program'!$P$41&lt;&gt;"",'Bonding Program'!$P$41,'Bonding Program'!$C$8)),'Bonding Program'!$Z$41,0)+IF(AND('Bonding Program'!$P$41&lt;&gt;"",AK$3='Bonding Program'!$P$41,AK$3&lt;='Bonding Program'!$C$8),N('Bonding Program'!$O$41),0)</f>
        <v>0</v>
      </c>
      <c r="AL182" s="19" t="n">
        <f aca="false">IF(AND('Bonding Program'!$S$41=1,'Bonding Program'!$H$41&gt;'Bonding Program'!$C$8,AL$3='Bonding Program'!$H$41),'Bonding Program'!$T$41-'Bonding Program'!$U$41-'Bonding Program'!$Z$41,0)-IF(AND('Bonding Program'!$S$41=1,'Bonding Program'!$H$41&lt;='Bonding Program'!$C$8,AL$3=IF('Bonding Program'!$P$41&lt;&gt;"",'Bonding Program'!$P$41,'Bonding Program'!$C$8)),'Bonding Program'!$Z$41,0)+IF(AND('Bonding Program'!$P$41&lt;&gt;"",AL$3='Bonding Program'!$P$41,AL$3&lt;='Bonding Program'!$C$8),N('Bonding Program'!$O$41),0)</f>
        <v>0</v>
      </c>
      <c r="AM182" s="19" t="n">
        <f aca="false">IF(AND('Bonding Program'!$S$41=1,'Bonding Program'!$H$41&gt;'Bonding Program'!$C$8,AM$3='Bonding Program'!$H$41),'Bonding Program'!$T$41-'Bonding Program'!$U$41-'Bonding Program'!$Z$41,0)-IF(AND('Bonding Program'!$S$41=1,'Bonding Program'!$H$41&lt;='Bonding Program'!$C$8,AM$3=IF('Bonding Program'!$P$41&lt;&gt;"",'Bonding Program'!$P$41,'Bonding Program'!$C$8)),'Bonding Program'!$Z$41,0)+IF(AND('Bonding Program'!$P$41&lt;&gt;"",AM$3='Bonding Program'!$P$41,AM$3&lt;='Bonding Program'!$C$8),N('Bonding Program'!$O$41),0)</f>
        <v>0</v>
      </c>
      <c r="AN182" s="19" t="n">
        <f aca="false">IF(AND('Bonding Program'!$S$41=1,'Bonding Program'!$H$41&gt;'Bonding Program'!$C$8,AN$3='Bonding Program'!$H$41),'Bonding Program'!$T$41-'Bonding Program'!$U$41-'Bonding Program'!$Z$41,0)-IF(AND('Bonding Program'!$S$41=1,'Bonding Program'!$H$41&lt;='Bonding Program'!$C$8,AN$3=IF('Bonding Program'!$P$41&lt;&gt;"",'Bonding Program'!$P$41,'Bonding Program'!$C$8)),'Bonding Program'!$Z$41,0)+IF(AND('Bonding Program'!$P$41&lt;&gt;"",AN$3='Bonding Program'!$P$41,AN$3&lt;='Bonding Program'!$C$8),N('Bonding Program'!$O$41),0)</f>
        <v>0</v>
      </c>
      <c r="AO182" s="19" t="n">
        <f aca="false">IF(AND('Bonding Program'!$S$41=1,'Bonding Program'!$H$41&gt;'Bonding Program'!$C$8,AO$3='Bonding Program'!$H$41),'Bonding Program'!$T$41-'Bonding Program'!$U$41-'Bonding Program'!$Z$41,0)-IF(AND('Bonding Program'!$S$41=1,'Bonding Program'!$H$41&lt;='Bonding Program'!$C$8,AO$3=IF('Bonding Program'!$P$41&lt;&gt;"",'Bonding Program'!$P$41,'Bonding Program'!$C$8)),'Bonding Program'!$Z$41,0)+IF(AND('Bonding Program'!$P$41&lt;&gt;"",AO$3='Bonding Program'!$P$41,AO$3&lt;='Bonding Program'!$C$8),N('Bonding Program'!$O$41),0)</f>
        <v>0</v>
      </c>
      <c r="AP182" s="19" t="n">
        <f aca="false">IF(AND('Bonding Program'!$S$41=1,'Bonding Program'!$H$41&gt;'Bonding Program'!$C$8,AP$3='Bonding Program'!$H$41),'Bonding Program'!$T$41-'Bonding Program'!$U$41-'Bonding Program'!$Z$41,0)-IF(AND('Bonding Program'!$S$41=1,'Bonding Program'!$H$41&lt;='Bonding Program'!$C$8,AP$3=IF('Bonding Program'!$P$41&lt;&gt;"",'Bonding Program'!$P$41,'Bonding Program'!$C$8)),'Bonding Program'!$Z$41,0)+IF(AND('Bonding Program'!$P$41&lt;&gt;"",AP$3='Bonding Program'!$P$41,AP$3&lt;='Bonding Program'!$C$8),N('Bonding Program'!$O$41),0)</f>
        <v>-318990.147783251</v>
      </c>
      <c r="AQ182" s="19" t="n">
        <f aca="false">IF(AND('Bonding Program'!$S$41=1,'Bonding Program'!$H$41&gt;'Bonding Program'!$C$8,AQ$3='Bonding Program'!$H$41),'Bonding Program'!$T$41-'Bonding Program'!$U$41-'Bonding Program'!$Z$41,0)-IF(AND('Bonding Program'!$S$41=1,'Bonding Program'!$H$41&lt;='Bonding Program'!$C$8,AQ$3=IF('Bonding Program'!$P$41&lt;&gt;"",'Bonding Program'!$P$41,'Bonding Program'!$C$8)),'Bonding Program'!$Z$41,0)+IF(AND('Bonding Program'!$P$41&lt;&gt;"",AQ$3='Bonding Program'!$P$41,AQ$3&lt;='Bonding Program'!$C$8),N('Bonding Program'!$O$41),0)</f>
        <v>0</v>
      </c>
      <c r="AR182" s="19" t="n">
        <f aca="false">IF(AND('Bonding Program'!$S$41=1,'Bonding Program'!$H$41&gt;'Bonding Program'!$C$8,AR$3='Bonding Program'!$H$41),'Bonding Program'!$T$41-'Bonding Program'!$U$41-'Bonding Program'!$Z$41,0)-IF(AND('Bonding Program'!$S$41=1,'Bonding Program'!$H$41&lt;='Bonding Program'!$C$8,AR$3=IF('Bonding Program'!$P$41&lt;&gt;"",'Bonding Program'!$P$41,'Bonding Program'!$C$8)),'Bonding Program'!$Z$41,0)+IF(AND('Bonding Program'!$P$41&lt;&gt;"",AR$3='Bonding Program'!$P$41,AR$3&lt;='Bonding Program'!$C$8),N('Bonding Program'!$O$41),0)</f>
        <v>0</v>
      </c>
      <c r="AS182" s="19" t="n">
        <f aca="false">IF(AND('Bonding Program'!$S$41=1,'Bonding Program'!$H$41&gt;'Bonding Program'!$C$8,AS$3='Bonding Program'!$H$41),'Bonding Program'!$T$41-'Bonding Program'!$U$41-'Bonding Program'!$Z$41,0)-IF(AND('Bonding Program'!$S$41=1,'Bonding Program'!$H$41&lt;='Bonding Program'!$C$8,AS$3=IF('Bonding Program'!$P$41&lt;&gt;"",'Bonding Program'!$P$41,'Bonding Program'!$C$8)),'Bonding Program'!$Z$41,0)+IF(AND('Bonding Program'!$P$41&lt;&gt;"",AS$3='Bonding Program'!$P$41,AS$3&lt;='Bonding Program'!$C$8),N('Bonding Program'!$O$41),0)</f>
        <v>0</v>
      </c>
      <c r="AT182" s="19" t="n">
        <f aca="false">IF(AND('Bonding Program'!$S$41=1,'Bonding Program'!$H$41&gt;'Bonding Program'!$C$8,AT$3='Bonding Program'!$H$41),'Bonding Program'!$T$41-'Bonding Program'!$U$41-'Bonding Program'!$Z$41,0)-IF(AND('Bonding Program'!$S$41=1,'Bonding Program'!$H$41&lt;='Bonding Program'!$C$8,AT$3=IF('Bonding Program'!$P$41&lt;&gt;"",'Bonding Program'!$P$41,'Bonding Program'!$C$8)),'Bonding Program'!$Z$41,0)+IF(AND('Bonding Program'!$P$41&lt;&gt;"",AT$3='Bonding Program'!$P$41,AT$3&lt;='Bonding Program'!$C$8),N('Bonding Program'!$O$41),0)</f>
        <v>0</v>
      </c>
      <c r="AU182" s="19" t="n">
        <f aca="false">IF(AND('Bonding Program'!$S$41=1,'Bonding Program'!$H$41&gt;'Bonding Program'!$C$8,AU$3='Bonding Program'!$H$41),'Bonding Program'!$T$41-'Bonding Program'!$U$41-'Bonding Program'!$Z$41,0)-IF(AND('Bonding Program'!$S$41=1,'Bonding Program'!$H$41&lt;='Bonding Program'!$C$8,AU$3=IF('Bonding Program'!$P$41&lt;&gt;"",'Bonding Program'!$P$41,'Bonding Program'!$C$8)),'Bonding Program'!$Z$41,0)+IF(AND('Bonding Program'!$P$41&lt;&gt;"",AU$3='Bonding Program'!$P$41,AU$3&lt;='Bonding Program'!$C$8),N('Bonding Program'!$O$41),0)</f>
        <v>0</v>
      </c>
      <c r="AV182" s="19" t="n">
        <f aca="false">IF(AND('Bonding Program'!$S$41=1,'Bonding Program'!$H$41&gt;'Bonding Program'!$C$8,AV$3='Bonding Program'!$H$41),'Bonding Program'!$T$41-'Bonding Program'!$U$41-'Bonding Program'!$Z$41,0)-IF(AND('Bonding Program'!$S$41=1,'Bonding Program'!$H$41&lt;='Bonding Program'!$C$8,AV$3=IF('Bonding Program'!$P$41&lt;&gt;"",'Bonding Program'!$P$41,'Bonding Program'!$C$8)),'Bonding Program'!$Z$41,0)+IF(AND('Bonding Program'!$P$41&lt;&gt;"",AV$3='Bonding Program'!$P$41,AV$3&lt;='Bonding Program'!$C$8),N('Bonding Program'!$O$41),0)</f>
        <v>0</v>
      </c>
      <c r="AW182" s="19" t="n">
        <f aca="false">IF(AND('Bonding Program'!$S$41=1,'Bonding Program'!$H$41&gt;'Bonding Program'!$C$8,AW$3='Bonding Program'!$H$41),'Bonding Program'!$T$41-'Bonding Program'!$U$41-'Bonding Program'!$Z$41,0)-IF(AND('Bonding Program'!$S$41=1,'Bonding Program'!$H$41&lt;='Bonding Program'!$C$8,AW$3=IF('Bonding Program'!$P$41&lt;&gt;"",'Bonding Program'!$P$41,'Bonding Program'!$C$8)),'Bonding Program'!$Z$41,0)+IF(AND('Bonding Program'!$P$41&lt;&gt;"",AW$3='Bonding Program'!$P$41,AW$3&lt;='Bonding Program'!$C$8),N('Bonding Program'!$O$41),0)</f>
        <v>0</v>
      </c>
      <c r="AX182" s="19" t="n">
        <f aca="false">IF(AND('Bonding Program'!$S$41=1,'Bonding Program'!$H$41&gt;'Bonding Program'!$C$8,AX$3='Bonding Program'!$H$41),'Bonding Program'!$T$41-'Bonding Program'!$U$41-'Bonding Program'!$Z$41,0)-IF(AND('Bonding Program'!$S$41=1,'Bonding Program'!$H$41&lt;='Bonding Program'!$C$8,AX$3=IF('Bonding Program'!$P$41&lt;&gt;"",'Bonding Program'!$P$41,'Bonding Program'!$C$8)),'Bonding Program'!$Z$41,0)+IF(AND('Bonding Program'!$P$41&lt;&gt;"",AX$3='Bonding Program'!$P$41,AX$3&lt;='Bonding Program'!$C$8),N('Bonding Program'!$O$41),0)</f>
        <v>0</v>
      </c>
      <c r="AY182" s="19" t="n">
        <f aca="false">IF(AND('Bonding Program'!$S$41=1,'Bonding Program'!$H$41&gt;'Bonding Program'!$C$8,AY$3='Bonding Program'!$H$41),'Bonding Program'!$T$41-'Bonding Program'!$U$41-'Bonding Program'!$Z$41,0)-IF(AND('Bonding Program'!$S$41=1,'Bonding Program'!$H$41&lt;='Bonding Program'!$C$8,AY$3=IF('Bonding Program'!$P$41&lt;&gt;"",'Bonding Program'!$P$41,'Bonding Program'!$C$8)),'Bonding Program'!$Z$41,0)+IF(AND('Bonding Program'!$P$41&lt;&gt;"",AY$3='Bonding Program'!$P$41,AY$3&lt;='Bonding Program'!$C$8),N('Bonding Program'!$O$41),0)</f>
        <v>0</v>
      </c>
      <c r="AZ182" s="19" t="n">
        <f aca="false">IF(AND('Bonding Program'!$S$41=1,'Bonding Program'!$H$41&gt;'Bonding Program'!$C$8,AZ$3='Bonding Program'!$H$41),'Bonding Program'!$T$41-'Bonding Program'!$U$41-'Bonding Program'!$Z$41,0)-IF(AND('Bonding Program'!$S$41=1,'Bonding Program'!$H$41&lt;='Bonding Program'!$C$8,AZ$3=IF('Bonding Program'!$P$41&lt;&gt;"",'Bonding Program'!$P$41,'Bonding Program'!$C$8)),'Bonding Program'!$Z$41,0)+IF(AND('Bonding Program'!$P$41&lt;&gt;"",AZ$3='Bonding Program'!$P$41,AZ$3&lt;='Bonding Program'!$C$8),N('Bonding Program'!$O$41),0)</f>
        <v>0</v>
      </c>
      <c r="BA182" s="19" t="n">
        <f aca="false">IF(AND('Bonding Program'!$S$41=1,'Bonding Program'!$H$41&gt;'Bonding Program'!$C$8,BA$3='Bonding Program'!$H$41),'Bonding Program'!$T$41-'Bonding Program'!$U$41-'Bonding Program'!$Z$41,0)-IF(AND('Bonding Program'!$S$41=1,'Bonding Program'!$H$41&lt;='Bonding Program'!$C$8,BA$3=IF('Bonding Program'!$P$41&lt;&gt;"",'Bonding Program'!$P$41,'Bonding Program'!$C$8)),'Bonding Program'!$Z$41,0)+IF(AND('Bonding Program'!$P$41&lt;&gt;"",BA$3='Bonding Program'!$P$41,BA$3&lt;='Bonding Program'!$C$8),N('Bonding Program'!$O$41),0)</f>
        <v>0</v>
      </c>
      <c r="BB182" s="19" t="n">
        <f aca="false">IF(AND('Bonding Program'!$S$41=1,'Bonding Program'!$H$41&gt;'Bonding Program'!$C$8,BB$3='Bonding Program'!$H$41),'Bonding Program'!$T$41-'Bonding Program'!$U$41-'Bonding Program'!$Z$41,0)-IF(AND('Bonding Program'!$S$41=1,'Bonding Program'!$H$41&lt;='Bonding Program'!$C$8,BB$3=IF('Bonding Program'!$P$41&lt;&gt;"",'Bonding Program'!$P$41,'Bonding Program'!$C$8)),'Bonding Program'!$Z$41,0)+IF(AND('Bonding Program'!$P$41&lt;&gt;"",BB$3='Bonding Program'!$P$41,BB$3&lt;='Bonding Program'!$C$8),N('Bonding Program'!$O$41),0)</f>
        <v>0</v>
      </c>
      <c r="BC182" s="19" t="n">
        <f aca="false">IF(AND('Bonding Program'!$S$41=1,'Bonding Program'!$H$41&gt;'Bonding Program'!$C$8,BC$3='Bonding Program'!$H$41),'Bonding Program'!$T$41-'Bonding Program'!$U$41-'Bonding Program'!$Z$41,0)-IF(AND('Bonding Program'!$S$41=1,'Bonding Program'!$H$41&lt;='Bonding Program'!$C$8,BC$3=IF('Bonding Program'!$P$41&lt;&gt;"",'Bonding Program'!$P$41,'Bonding Program'!$C$8)),'Bonding Program'!$Z$41,0)+IF(AND('Bonding Program'!$P$41&lt;&gt;"",BC$3='Bonding Program'!$P$41,BC$3&lt;='Bonding Program'!$C$8),N('Bonding Program'!$O$41),0)</f>
        <v>0</v>
      </c>
      <c r="BD182" s="19" t="n">
        <f aca="false">IF(AND('Bonding Program'!$S$41=1,'Bonding Program'!$H$41&gt;'Bonding Program'!$C$8,BD$3='Bonding Program'!$H$41),'Bonding Program'!$T$41-'Bonding Program'!$U$41-'Bonding Program'!$Z$41,0)-IF(AND('Bonding Program'!$S$41=1,'Bonding Program'!$H$41&lt;='Bonding Program'!$C$8,BD$3=IF('Bonding Program'!$P$41&lt;&gt;"",'Bonding Program'!$P$41,'Bonding Program'!$C$8)),'Bonding Program'!$Z$41,0)+IF(AND('Bonding Program'!$P$41&lt;&gt;"",BD$3='Bonding Program'!$P$41,BD$3&lt;='Bonding Program'!$C$8),N('Bonding Program'!$O$41),0)</f>
        <v>0</v>
      </c>
      <c r="BE182" s="19" t="n">
        <f aca="false">IF(AND('Bonding Program'!$S$41=1,'Bonding Program'!$H$41&gt;'Bonding Program'!$C$8,BE$3='Bonding Program'!$H$41),'Bonding Program'!$T$41-'Bonding Program'!$U$41-'Bonding Program'!$Z$41,0)-IF(AND('Bonding Program'!$S$41=1,'Bonding Program'!$H$41&lt;='Bonding Program'!$C$8,BE$3=IF('Bonding Program'!$P$41&lt;&gt;"",'Bonding Program'!$P$41,'Bonding Program'!$C$8)),'Bonding Program'!$Z$41,0)+IF(AND('Bonding Program'!$P$41&lt;&gt;"",BE$3='Bonding Program'!$P$41,BE$3&lt;='Bonding Program'!$C$8),N('Bonding Program'!$O$41),0)</f>
        <v>0</v>
      </c>
      <c r="BF182" s="19" t="n">
        <f aca="false">IF(AND('Bonding Program'!$S$41=1,'Bonding Program'!$H$41&gt;'Bonding Program'!$C$8,BF$3='Bonding Program'!$H$41),'Bonding Program'!$T$41-'Bonding Program'!$U$41-'Bonding Program'!$Z$41,0)-IF(AND('Bonding Program'!$S$41=1,'Bonding Program'!$H$41&lt;='Bonding Program'!$C$8,BF$3=IF('Bonding Program'!$P$41&lt;&gt;"",'Bonding Program'!$P$41,'Bonding Program'!$C$8)),'Bonding Program'!$Z$41,0)+IF(AND('Bonding Program'!$P$41&lt;&gt;"",BF$3='Bonding Program'!$P$41,BF$3&lt;='Bonding Program'!$C$8),N('Bonding Program'!$O$41),0)</f>
        <v>0</v>
      </c>
      <c r="BG182" s="19" t="n">
        <f aca="false">IF(AND('Bonding Program'!$S$41=1,'Bonding Program'!$H$41&gt;'Bonding Program'!$C$8,BG$3='Bonding Program'!$H$41),'Bonding Program'!$T$41-'Bonding Program'!$U$41-'Bonding Program'!$Z$41,0)-IF(AND('Bonding Program'!$S$41=1,'Bonding Program'!$H$41&lt;='Bonding Program'!$C$8,BG$3=IF('Bonding Program'!$P$41&lt;&gt;"",'Bonding Program'!$P$41,'Bonding Program'!$C$8)),'Bonding Program'!$Z$41,0)+IF(AND('Bonding Program'!$P$41&lt;&gt;"",BG$3='Bonding Program'!$P$41,BG$3&lt;='Bonding Program'!$C$8),N('Bonding Program'!$O$41),0)</f>
        <v>0</v>
      </c>
      <c r="BH182" s="19" t="n">
        <f aca="false">IF(AND('Bonding Program'!$S$41=1,'Bonding Program'!$H$41&gt;'Bonding Program'!$C$8,BH$3='Bonding Program'!$H$41),'Bonding Program'!$T$41-'Bonding Program'!$U$41-'Bonding Program'!$Z$41,0)-IF(AND('Bonding Program'!$S$41=1,'Bonding Program'!$H$41&lt;='Bonding Program'!$C$8,BH$3=IF('Bonding Program'!$P$41&lt;&gt;"",'Bonding Program'!$P$41,'Bonding Program'!$C$8)),'Bonding Program'!$Z$41,0)+IF(AND('Bonding Program'!$P$41&lt;&gt;"",BH$3='Bonding Program'!$P$41,BH$3&lt;='Bonding Program'!$C$8),N('Bonding Program'!$O$41),0)</f>
        <v>0</v>
      </c>
      <c r="BI182" s="19" t="n">
        <f aca="false">IF(AND('Bonding Program'!$S$41=1,'Bonding Program'!$H$41&gt;'Bonding Program'!$C$8,BI$3='Bonding Program'!$H$41),'Bonding Program'!$T$41-'Bonding Program'!$U$41-'Bonding Program'!$Z$41,0)-IF(AND('Bonding Program'!$S$41=1,'Bonding Program'!$H$41&lt;='Bonding Program'!$C$8,BI$3=IF('Bonding Program'!$P$41&lt;&gt;"",'Bonding Program'!$P$41,'Bonding Program'!$C$8)),'Bonding Program'!$Z$41,0)+IF(AND('Bonding Program'!$P$41&lt;&gt;"",BI$3='Bonding Program'!$P$41,BI$3&lt;='Bonding Program'!$C$8),N('Bonding Program'!$O$41),0)</f>
        <v>0</v>
      </c>
      <c r="BJ182" s="19" t="n">
        <f aca="false">IF(AND('Bonding Program'!$S$41=1,'Bonding Program'!$H$41&gt;'Bonding Program'!$C$8,BJ$3='Bonding Program'!$H$41),'Bonding Program'!$T$41-'Bonding Program'!$U$41-'Bonding Program'!$Z$41,0)-IF(AND('Bonding Program'!$S$41=1,'Bonding Program'!$H$41&lt;='Bonding Program'!$C$8,BJ$3=IF('Bonding Program'!$P$41&lt;&gt;"",'Bonding Program'!$P$41,'Bonding Program'!$C$8)),'Bonding Program'!$Z$41,0)+IF(AND('Bonding Program'!$P$41&lt;&gt;"",BJ$3='Bonding Program'!$P$41,BJ$3&lt;='Bonding Program'!$C$8),N('Bonding Program'!$O$41),0)</f>
        <v>0</v>
      </c>
      <c r="BK182" s="19" t="n">
        <f aca="false">IF(AND('Bonding Program'!$S$41=1,'Bonding Program'!$H$41&gt;'Bonding Program'!$C$8,BK$3='Bonding Program'!$H$41),'Bonding Program'!$T$41-'Bonding Program'!$U$41-'Bonding Program'!$Z$41,0)-IF(AND('Bonding Program'!$S$41=1,'Bonding Program'!$H$41&lt;='Bonding Program'!$C$8,BK$3=IF('Bonding Program'!$P$41&lt;&gt;"",'Bonding Program'!$P$41,'Bonding Program'!$C$8)),'Bonding Program'!$Z$41,0)+IF(AND('Bonding Program'!$P$41&lt;&gt;"",BK$3='Bonding Program'!$P$41,BK$3&lt;='Bonding Program'!$C$8),N('Bonding Program'!$O$41),0)</f>
        <v>0</v>
      </c>
      <c r="BL182" s="19" t="n">
        <f aca="false">IF(AND('Bonding Program'!$S$41=1,'Bonding Program'!$H$41&gt;'Bonding Program'!$C$8,BL$3='Bonding Program'!$H$41),'Bonding Program'!$T$41-'Bonding Program'!$U$41-'Bonding Program'!$Z$41,0)-IF(AND('Bonding Program'!$S$41=1,'Bonding Program'!$H$41&lt;='Bonding Program'!$C$8,BL$3=IF('Bonding Program'!$P$41&lt;&gt;"",'Bonding Program'!$P$41,'Bonding Program'!$C$8)),'Bonding Program'!$Z$41,0)+IF(AND('Bonding Program'!$P$41&lt;&gt;"",BL$3='Bonding Program'!$P$41,BL$3&lt;='Bonding Program'!$C$8),N('Bonding Program'!$O$41),0)</f>
        <v>0</v>
      </c>
      <c r="BM182" s="19" t="n">
        <f aca="false">IF(AND('Bonding Program'!$S$41=1,'Bonding Program'!$H$41&gt;'Bonding Program'!$C$8,BM$3='Bonding Program'!$H$41),'Bonding Program'!$T$41-'Bonding Program'!$U$41-'Bonding Program'!$Z$41,0)-IF(AND('Bonding Program'!$S$41=1,'Bonding Program'!$H$41&lt;='Bonding Program'!$C$8,BM$3=IF('Bonding Program'!$P$41&lt;&gt;"",'Bonding Program'!$P$41,'Bonding Program'!$C$8)),'Bonding Program'!$Z$41,0)+IF(AND('Bonding Program'!$P$41&lt;&gt;"",BM$3='Bonding Program'!$P$41,BM$3&lt;='Bonding Program'!$C$8),N('Bonding Program'!$O$41),0)</f>
        <v>0</v>
      </c>
      <c r="BN182" s="19" t="n">
        <f aca="false">IF(AND('Bonding Program'!$S$41=1,'Bonding Program'!$H$41&gt;'Bonding Program'!$C$8,BN$3='Bonding Program'!$H$41),'Bonding Program'!$T$41-'Bonding Program'!$U$41-'Bonding Program'!$Z$41,0)-IF(AND('Bonding Program'!$S$41=1,'Bonding Program'!$H$41&lt;='Bonding Program'!$C$8,BN$3=IF('Bonding Program'!$P$41&lt;&gt;"",'Bonding Program'!$P$41,'Bonding Program'!$C$8)),'Bonding Program'!$Z$41,0)+IF(AND('Bonding Program'!$P$41&lt;&gt;"",BN$3='Bonding Program'!$P$41,BN$3&lt;='Bonding Program'!$C$8),N('Bonding Program'!$O$41),0)</f>
        <v>0</v>
      </c>
      <c r="BO182" s="19" t="n">
        <f aca="false">IF(AND('Bonding Program'!$S$41=1,'Bonding Program'!$H$41&gt;'Bonding Program'!$C$8,BO$3='Bonding Program'!$H$41),'Bonding Program'!$T$41-'Bonding Program'!$U$41-'Bonding Program'!$Z$41,0)-IF(AND('Bonding Program'!$S$41=1,'Bonding Program'!$H$41&lt;='Bonding Program'!$C$8,BO$3=IF('Bonding Program'!$P$41&lt;&gt;"",'Bonding Program'!$P$41,'Bonding Program'!$C$8)),'Bonding Program'!$Z$41,0)+IF(AND('Bonding Program'!$P$41&lt;&gt;"",BO$3='Bonding Program'!$P$41,BO$3&lt;='Bonding Program'!$C$8),N('Bonding Program'!$O$41),0)</f>
        <v>0</v>
      </c>
      <c r="BP182" s="19" t="n">
        <f aca="false">IF(AND('Bonding Program'!$S$41=1,'Bonding Program'!$H$41&gt;'Bonding Program'!$C$8,BP$3='Bonding Program'!$H$41),'Bonding Program'!$T$41-'Bonding Program'!$U$41-'Bonding Program'!$Z$41,0)-IF(AND('Bonding Program'!$S$41=1,'Bonding Program'!$H$41&lt;='Bonding Program'!$C$8,BP$3=IF('Bonding Program'!$P$41&lt;&gt;"",'Bonding Program'!$P$41,'Bonding Program'!$C$8)),'Bonding Program'!$Z$41,0)+IF(AND('Bonding Program'!$P$41&lt;&gt;"",BP$3='Bonding Program'!$P$41,BP$3&lt;='Bonding Program'!$C$8),N('Bonding Program'!$O$41),0)</f>
        <v>0</v>
      </c>
      <c r="BQ182" s="19" t="n">
        <f aca="false">IF(AND('Bonding Program'!$S$41=1,'Bonding Program'!$H$41&gt;'Bonding Program'!$C$8,BQ$3='Bonding Program'!$H$41),'Bonding Program'!$T$41-'Bonding Program'!$U$41-'Bonding Program'!$Z$41,0)-IF(AND('Bonding Program'!$S$41=1,'Bonding Program'!$H$41&lt;='Bonding Program'!$C$8,BQ$3=IF('Bonding Program'!$P$41&lt;&gt;"",'Bonding Program'!$P$41,'Bonding Program'!$C$8)),'Bonding Program'!$Z$41,0)+IF(AND('Bonding Program'!$P$41&lt;&gt;"",BQ$3='Bonding Program'!$P$41,BQ$3&lt;='Bonding Program'!$C$8),N('Bonding Program'!$O$41),0)</f>
        <v>0</v>
      </c>
      <c r="BR182" s="19" t="n">
        <f aca="false">IF(AND('Bonding Program'!$S$41=1,'Bonding Program'!$H$41&gt;'Bonding Program'!$C$8,BR$3='Bonding Program'!$H$41),'Bonding Program'!$T$41-'Bonding Program'!$U$41-'Bonding Program'!$Z$41,0)-IF(AND('Bonding Program'!$S$41=1,'Bonding Program'!$H$41&lt;='Bonding Program'!$C$8,BR$3=IF('Bonding Program'!$P$41&lt;&gt;"",'Bonding Program'!$P$41,'Bonding Program'!$C$8)),'Bonding Program'!$Z$41,0)+IF(AND('Bonding Program'!$P$41&lt;&gt;"",BR$3='Bonding Program'!$P$41,BR$3&lt;='Bonding Program'!$C$8),N('Bonding Program'!$O$41),0)</f>
        <v>0</v>
      </c>
      <c r="BS182" s="19" t="n">
        <f aca="false">IF(AND('Bonding Program'!$S$41=1,'Bonding Program'!$H$41&gt;'Bonding Program'!$C$8,BS$3='Bonding Program'!$H$41),'Bonding Program'!$T$41-'Bonding Program'!$U$41-'Bonding Program'!$Z$41,0)-IF(AND('Bonding Program'!$S$41=1,'Bonding Program'!$H$41&lt;='Bonding Program'!$C$8,BS$3=IF('Bonding Program'!$P$41&lt;&gt;"",'Bonding Program'!$P$41,'Bonding Program'!$C$8)),'Bonding Program'!$Z$41,0)+IF(AND('Bonding Program'!$P$41&lt;&gt;"",BS$3='Bonding Program'!$P$41,BS$3&lt;='Bonding Program'!$C$8),N('Bonding Program'!$O$41),0)</f>
        <v>0</v>
      </c>
      <c r="BT182" s="19" t="n">
        <f aca="false">IF(AND('Bonding Program'!$S$41=1,'Bonding Program'!$H$41&gt;'Bonding Program'!$C$8,BT$3='Bonding Program'!$H$41),'Bonding Program'!$T$41-'Bonding Program'!$U$41-'Bonding Program'!$Z$41,0)-IF(AND('Bonding Program'!$S$41=1,'Bonding Program'!$H$41&lt;='Bonding Program'!$C$8,BT$3=IF('Bonding Program'!$P$41&lt;&gt;"",'Bonding Program'!$P$41,'Bonding Program'!$C$8)),'Bonding Program'!$Z$41,0)+IF(AND('Bonding Program'!$P$41&lt;&gt;"",BT$3='Bonding Program'!$P$41,BT$3&lt;='Bonding Program'!$C$8),N('Bonding Program'!$O$41),0)</f>
        <v>0</v>
      </c>
      <c r="BU182" s="19" t="n">
        <f aca="false">IF(AND('Bonding Program'!$S$41=1,'Bonding Program'!$H$41&gt;'Bonding Program'!$C$8,BU$3='Bonding Program'!$H$41),'Bonding Program'!$T$41-'Bonding Program'!$U$41-'Bonding Program'!$Z$41,0)-IF(AND('Bonding Program'!$S$41=1,'Bonding Program'!$H$41&lt;='Bonding Program'!$C$8,BU$3=IF('Bonding Program'!$P$41&lt;&gt;"",'Bonding Program'!$P$41,'Bonding Program'!$C$8)),'Bonding Program'!$Z$41,0)+IF(AND('Bonding Program'!$P$41&lt;&gt;"",BU$3='Bonding Program'!$P$41,BU$3&lt;='Bonding Program'!$C$8),N('Bonding Program'!$O$41),0)</f>
        <v>0</v>
      </c>
      <c r="BV182" s="19" t="n">
        <f aca="false">IF(AND('Bonding Program'!$S$41=1,'Bonding Program'!$H$41&gt;'Bonding Program'!$C$8,BV$3='Bonding Program'!$H$41),'Bonding Program'!$T$41-'Bonding Program'!$U$41-'Bonding Program'!$Z$41,0)-IF(AND('Bonding Program'!$S$41=1,'Bonding Program'!$H$41&lt;='Bonding Program'!$C$8,BV$3=IF('Bonding Program'!$P$41&lt;&gt;"",'Bonding Program'!$P$41,'Bonding Program'!$C$8)),'Bonding Program'!$Z$41,0)+IF(AND('Bonding Program'!$P$41&lt;&gt;"",BV$3='Bonding Program'!$P$41,BV$3&lt;='Bonding Program'!$C$8),N('Bonding Program'!$O$41),0)</f>
        <v>0</v>
      </c>
      <c r="BW182" s="19" t="n">
        <f aca="false">IF(AND('Bonding Program'!$S$41=1,'Bonding Program'!$H$41&gt;'Bonding Program'!$C$8,BW$3='Bonding Program'!$H$41),'Bonding Program'!$T$41-'Bonding Program'!$U$41-'Bonding Program'!$Z$41,0)-IF(AND('Bonding Program'!$S$41=1,'Bonding Program'!$H$41&lt;='Bonding Program'!$C$8,BW$3=IF('Bonding Program'!$P$41&lt;&gt;"",'Bonding Program'!$P$41,'Bonding Program'!$C$8)),'Bonding Program'!$Z$41,0)+IF(AND('Bonding Program'!$P$41&lt;&gt;"",BW$3='Bonding Program'!$P$41,BW$3&lt;='Bonding Program'!$C$8),N('Bonding Program'!$O$41),0)</f>
        <v>0</v>
      </c>
      <c r="BX182" s="19" t="n">
        <f aca="false">IF(AND('Bonding Program'!$S$41=1,'Bonding Program'!$H$41&gt;'Bonding Program'!$C$8,BX$3='Bonding Program'!$H$41),'Bonding Program'!$T$41-'Bonding Program'!$U$41-'Bonding Program'!$Z$41,0)-IF(AND('Bonding Program'!$S$41=1,'Bonding Program'!$H$41&lt;='Bonding Program'!$C$8,BX$3=IF('Bonding Program'!$P$41&lt;&gt;"",'Bonding Program'!$P$41,'Bonding Program'!$C$8)),'Bonding Program'!$Z$41,0)+IF(AND('Bonding Program'!$P$41&lt;&gt;"",BX$3='Bonding Program'!$P$41,BX$3&lt;='Bonding Program'!$C$8),N('Bonding Program'!$O$41),0)</f>
        <v>0</v>
      </c>
      <c r="BY182" s="19" t="n">
        <f aca="false">IF(AND('Bonding Program'!$S$41=1,'Bonding Program'!$H$41&gt;'Bonding Program'!$C$8,BY$3='Bonding Program'!$H$41),'Bonding Program'!$T$41-'Bonding Program'!$U$41-'Bonding Program'!$Z$41,0)-IF(AND('Bonding Program'!$S$41=1,'Bonding Program'!$H$41&lt;='Bonding Program'!$C$8,BY$3=IF('Bonding Program'!$P$41&lt;&gt;"",'Bonding Program'!$P$41,'Bonding Program'!$C$8)),'Bonding Program'!$Z$41,0)+IF(AND('Bonding Program'!$P$41&lt;&gt;"",BY$3='Bonding Program'!$P$41,BY$3&lt;='Bonding Program'!$C$8),N('Bonding Program'!$O$41),0)</f>
        <v>0</v>
      </c>
      <c r="BZ182" s="19" t="n">
        <f aca="false">IF(AND('Bonding Program'!$S$41=1,'Bonding Program'!$H$41&gt;'Bonding Program'!$C$8,BZ$3='Bonding Program'!$H$41),'Bonding Program'!$T$41-'Bonding Program'!$U$41-'Bonding Program'!$Z$41,0)-IF(AND('Bonding Program'!$S$41=1,'Bonding Program'!$H$41&lt;='Bonding Program'!$C$8,BZ$3=IF('Bonding Program'!$P$41&lt;&gt;"",'Bonding Program'!$P$41,'Bonding Program'!$C$8)),'Bonding Program'!$Z$41,0)+IF(AND('Bonding Program'!$P$41&lt;&gt;"",BZ$3='Bonding Program'!$P$41,BZ$3&lt;='Bonding Program'!$C$8),N('Bonding Program'!$O$41),0)</f>
        <v>0</v>
      </c>
      <c r="CA182" s="19" t="n">
        <f aca="false">IF(AND('Bonding Program'!$S$41=1,'Bonding Program'!$H$41&gt;'Bonding Program'!$C$8,CA$3='Bonding Program'!$H$41),'Bonding Program'!$T$41-'Bonding Program'!$U$41-'Bonding Program'!$Z$41,0)-IF(AND('Bonding Program'!$S$41=1,'Bonding Program'!$H$41&lt;='Bonding Program'!$C$8,CA$3=IF('Bonding Program'!$P$41&lt;&gt;"",'Bonding Program'!$P$41,'Bonding Program'!$C$8)),'Bonding Program'!$Z$41,0)+IF(AND('Bonding Program'!$P$41&lt;&gt;"",CA$3='Bonding Program'!$P$41,CA$3&lt;='Bonding Program'!$C$8),N('Bonding Program'!$O$41),0)</f>
        <v>0</v>
      </c>
      <c r="CB182" s="19" t="n">
        <f aca="false">IF(AND('Bonding Program'!$S$41=1,'Bonding Program'!$H$41&gt;'Bonding Program'!$C$8,CB$3='Bonding Program'!$H$41),'Bonding Program'!$T$41-'Bonding Program'!$U$41-'Bonding Program'!$Z$41,0)-IF(AND('Bonding Program'!$S$41=1,'Bonding Program'!$H$41&lt;='Bonding Program'!$C$8,CB$3=IF('Bonding Program'!$P$41&lt;&gt;"",'Bonding Program'!$P$41,'Bonding Program'!$C$8)),'Bonding Program'!$Z$41,0)+IF(AND('Bonding Program'!$P$41&lt;&gt;"",CB$3='Bonding Program'!$P$41,CB$3&lt;='Bonding Program'!$C$8),N('Bonding Program'!$O$41),0)</f>
        <v>0</v>
      </c>
      <c r="CC182" s="19" t="n">
        <f aca="false">IF(AND('Bonding Program'!$S$41=1,'Bonding Program'!$H$41&gt;'Bonding Program'!$C$8,CC$3='Bonding Program'!$H$41),'Bonding Program'!$T$41-'Bonding Program'!$U$41-'Bonding Program'!$Z$41,0)-IF(AND('Bonding Program'!$S$41=1,'Bonding Program'!$H$41&lt;='Bonding Program'!$C$8,CC$3=IF('Bonding Program'!$P$41&lt;&gt;"",'Bonding Program'!$P$41,'Bonding Program'!$C$8)),'Bonding Program'!$Z$41,0)+IF(AND('Bonding Program'!$P$41&lt;&gt;"",CC$3='Bonding Program'!$P$41,CC$3&lt;='Bonding Program'!$C$8),N('Bonding Program'!$O$41),0)</f>
        <v>0</v>
      </c>
      <c r="CD182" s="19" t="n">
        <f aca="false">IF(AND('Bonding Program'!$S$41=1,'Bonding Program'!$H$41&gt;'Bonding Program'!$C$8,CD$3='Bonding Program'!$H$41),'Bonding Program'!$T$41-'Bonding Program'!$U$41-'Bonding Program'!$Z$41,0)-IF(AND('Bonding Program'!$S$41=1,'Bonding Program'!$H$41&lt;='Bonding Program'!$C$8,CD$3=IF('Bonding Program'!$P$41&lt;&gt;"",'Bonding Program'!$P$41,'Bonding Program'!$C$8)),'Bonding Program'!$Z$41,0)+IF(AND('Bonding Program'!$P$41&lt;&gt;"",CD$3='Bonding Program'!$P$41,CD$3&lt;='Bonding Program'!$C$8),N('Bonding Program'!$O$41),0)</f>
        <v>0</v>
      </c>
      <c r="CE182" s="19" t="n">
        <f aca="false">IF(AND('Bonding Program'!$S$41=1,'Bonding Program'!$H$41&gt;'Bonding Program'!$C$8,CE$3='Bonding Program'!$H$41),'Bonding Program'!$T$41-'Bonding Program'!$U$41-'Bonding Program'!$Z$41,0)-IF(AND('Bonding Program'!$S$41=1,'Bonding Program'!$H$41&lt;='Bonding Program'!$C$8,CE$3=IF('Bonding Program'!$P$41&lt;&gt;"",'Bonding Program'!$P$41,'Bonding Program'!$C$8)),'Bonding Program'!$Z$41,0)+IF(AND('Bonding Program'!$P$41&lt;&gt;"",CE$3='Bonding Program'!$P$41,CE$3&lt;='Bonding Program'!$C$8),N('Bonding Program'!$O$41),0)</f>
        <v>0</v>
      </c>
      <c r="CF182" s="19" t="n">
        <f aca="false">IF(AND('Bonding Program'!$S$41=1,'Bonding Program'!$H$41&gt;'Bonding Program'!$C$8,CF$3='Bonding Program'!$H$41),'Bonding Program'!$T$41-'Bonding Program'!$U$41-'Bonding Program'!$Z$41,0)-IF(AND('Bonding Program'!$S$41=1,'Bonding Program'!$H$41&lt;='Bonding Program'!$C$8,CF$3=IF('Bonding Program'!$P$41&lt;&gt;"",'Bonding Program'!$P$41,'Bonding Program'!$C$8)),'Bonding Program'!$Z$41,0)+IF(AND('Bonding Program'!$P$41&lt;&gt;"",CF$3='Bonding Program'!$P$41,CF$3&lt;='Bonding Program'!$C$8),N('Bonding Program'!$O$41),0)</f>
        <v>0</v>
      </c>
      <c r="CG182" s="19" t="n">
        <f aca="false">IF(AND('Bonding Program'!$S$41=1,'Bonding Program'!$H$41&gt;'Bonding Program'!$C$8,CG$3='Bonding Program'!$H$41),'Bonding Program'!$T$41-'Bonding Program'!$U$41-'Bonding Program'!$Z$41,0)-IF(AND('Bonding Program'!$S$41=1,'Bonding Program'!$H$41&lt;='Bonding Program'!$C$8,CG$3=IF('Bonding Program'!$P$41&lt;&gt;"",'Bonding Program'!$P$41,'Bonding Program'!$C$8)),'Bonding Program'!$Z$41,0)+IF(AND('Bonding Program'!$P$41&lt;&gt;"",CG$3='Bonding Program'!$P$41,CG$3&lt;='Bonding Program'!$C$8),N('Bonding Program'!$O$41),0)</f>
        <v>0</v>
      </c>
      <c r="CH182" s="19" t="n">
        <f aca="false">IF(AND('Bonding Program'!$S$41=1,'Bonding Program'!$H$41&gt;'Bonding Program'!$C$8,CH$3='Bonding Program'!$H$41),'Bonding Program'!$T$41-'Bonding Program'!$U$41-'Bonding Program'!$Z$41,0)-IF(AND('Bonding Program'!$S$41=1,'Bonding Program'!$H$41&lt;='Bonding Program'!$C$8,CH$3=IF('Bonding Program'!$P$41&lt;&gt;"",'Bonding Program'!$P$41,'Bonding Program'!$C$8)),'Bonding Program'!$Z$41,0)+IF(AND('Bonding Program'!$P$41&lt;&gt;"",CH$3='Bonding Program'!$P$41,CH$3&lt;='Bonding Program'!$C$8),N('Bonding Program'!$O$41),0)</f>
        <v>0</v>
      </c>
      <c r="CI182" s="19" t="n">
        <f aca="false">IF(AND('Bonding Program'!$S$41=1,'Bonding Program'!$H$41&gt;'Bonding Program'!$C$8,CI$3='Bonding Program'!$H$41),'Bonding Program'!$T$41-'Bonding Program'!$U$41-'Bonding Program'!$Z$41,0)-IF(AND('Bonding Program'!$S$41=1,'Bonding Program'!$H$41&lt;='Bonding Program'!$C$8,CI$3=IF('Bonding Program'!$P$41&lt;&gt;"",'Bonding Program'!$P$41,'Bonding Program'!$C$8)),'Bonding Program'!$Z$41,0)+IF(AND('Bonding Program'!$P$41&lt;&gt;"",CI$3='Bonding Program'!$P$41,CI$3&lt;='Bonding Program'!$C$8),N('Bonding Program'!$O$41),0)</f>
        <v>0</v>
      </c>
      <c r="CJ182" s="19" t="n">
        <f aca="false">IF(AND('Bonding Program'!$S$41=1,'Bonding Program'!$H$41&gt;'Bonding Program'!$C$8,CJ$3='Bonding Program'!$H$41),'Bonding Program'!$T$41-'Bonding Program'!$U$41-'Bonding Program'!$Z$41,0)-IF(AND('Bonding Program'!$S$41=1,'Bonding Program'!$H$41&lt;='Bonding Program'!$C$8,CJ$3=IF('Bonding Program'!$P$41&lt;&gt;"",'Bonding Program'!$P$41,'Bonding Program'!$C$8)),'Bonding Program'!$Z$41,0)+IF(AND('Bonding Program'!$P$41&lt;&gt;"",CJ$3='Bonding Program'!$P$41,CJ$3&lt;='Bonding Program'!$C$8),N('Bonding Program'!$O$41),0)</f>
        <v>0</v>
      </c>
      <c r="CK182" s="19" t="n">
        <f aca="false">IF(AND('Bonding Program'!$S$41=1,'Bonding Program'!$H$41&gt;'Bonding Program'!$C$8,CK$3='Bonding Program'!$H$41),'Bonding Program'!$T$41-'Bonding Program'!$U$41-'Bonding Program'!$Z$41,0)-IF(AND('Bonding Program'!$S$41=1,'Bonding Program'!$H$41&lt;='Bonding Program'!$C$8,CK$3=IF('Bonding Program'!$P$41&lt;&gt;"",'Bonding Program'!$P$41,'Bonding Program'!$C$8)),'Bonding Program'!$Z$41,0)+IF(AND('Bonding Program'!$P$41&lt;&gt;"",CK$3='Bonding Program'!$P$41,CK$3&lt;='Bonding Program'!$C$8),N('Bonding Program'!$O$41),0)</f>
        <v>0</v>
      </c>
      <c r="CL182" s="19" t="n">
        <f aca="false">IF(AND('Bonding Program'!$S$41=1,'Bonding Program'!$H$41&gt;'Bonding Program'!$C$8,CL$3='Bonding Program'!$H$41),'Bonding Program'!$T$41-'Bonding Program'!$U$41-'Bonding Program'!$Z$41,0)-IF(AND('Bonding Program'!$S$41=1,'Bonding Program'!$H$41&lt;='Bonding Program'!$C$8,CL$3=IF('Bonding Program'!$P$41&lt;&gt;"",'Bonding Program'!$P$41,'Bonding Program'!$C$8)),'Bonding Program'!$Z$41,0)+IF(AND('Bonding Program'!$P$41&lt;&gt;"",CL$3='Bonding Program'!$P$41,CL$3&lt;='Bonding Program'!$C$8),N('Bonding Program'!$O$41),0)</f>
        <v>0</v>
      </c>
      <c r="CM182" s="19" t="n">
        <f aca="false">IF(AND('Bonding Program'!$S$41=1,'Bonding Program'!$H$41&gt;'Bonding Program'!$C$8,CM$3='Bonding Program'!$H$41),'Bonding Program'!$T$41-'Bonding Program'!$U$41-'Bonding Program'!$Z$41,0)-IF(AND('Bonding Program'!$S$41=1,'Bonding Program'!$H$41&lt;='Bonding Program'!$C$8,CM$3=IF('Bonding Program'!$P$41&lt;&gt;"",'Bonding Program'!$P$41,'Bonding Program'!$C$8)),'Bonding Program'!$Z$41,0)+IF(AND('Bonding Program'!$P$41&lt;&gt;"",CM$3='Bonding Program'!$P$41,CM$3&lt;='Bonding Program'!$C$8),N('Bonding Program'!$O$41),0)</f>
        <v>0</v>
      </c>
      <c r="CN182" s="19" t="n">
        <f aca="false">IF(AND('Bonding Program'!$S$41=1,'Bonding Program'!$H$41&gt;'Bonding Program'!$C$8,CN$3='Bonding Program'!$H$41),'Bonding Program'!$T$41-'Bonding Program'!$U$41-'Bonding Program'!$Z$41,0)-IF(AND('Bonding Program'!$S$41=1,'Bonding Program'!$H$41&lt;='Bonding Program'!$C$8,CN$3=IF('Bonding Program'!$P$41&lt;&gt;"",'Bonding Program'!$P$41,'Bonding Program'!$C$8)),'Bonding Program'!$Z$41,0)+IF(AND('Bonding Program'!$P$41&lt;&gt;"",CN$3='Bonding Program'!$P$41,CN$3&lt;='Bonding Program'!$C$8),N('Bonding Program'!$O$41),0)</f>
        <v>0</v>
      </c>
      <c r="CO182" s="19" t="n">
        <f aca="false">IF(AND('Bonding Program'!$S$41=1,'Bonding Program'!$H$41&gt;'Bonding Program'!$C$8,CO$3='Bonding Program'!$H$41),'Bonding Program'!$T$41-'Bonding Program'!$U$41-'Bonding Program'!$Z$41,0)-IF(AND('Bonding Program'!$S$41=1,'Bonding Program'!$H$41&lt;='Bonding Program'!$C$8,CO$3=IF('Bonding Program'!$P$41&lt;&gt;"",'Bonding Program'!$P$41,'Bonding Program'!$C$8)),'Bonding Program'!$Z$41,0)+IF(AND('Bonding Program'!$P$41&lt;&gt;"",CO$3='Bonding Program'!$P$41,CO$3&lt;='Bonding Program'!$C$8),N('Bonding Program'!$O$41),0)</f>
        <v>0</v>
      </c>
      <c r="CP182" s="19" t="n">
        <f aca="false">IF(AND('Bonding Program'!$S$41=1,'Bonding Program'!$H$41&gt;'Bonding Program'!$C$8,CP$3='Bonding Program'!$H$41),'Bonding Program'!$T$41-'Bonding Program'!$U$41-'Bonding Program'!$Z$41,0)-IF(AND('Bonding Program'!$S$41=1,'Bonding Program'!$H$41&lt;='Bonding Program'!$C$8,CP$3=IF('Bonding Program'!$P$41&lt;&gt;"",'Bonding Program'!$P$41,'Bonding Program'!$C$8)),'Bonding Program'!$Z$41,0)+IF(AND('Bonding Program'!$P$41&lt;&gt;"",CP$3='Bonding Program'!$P$41,CP$3&lt;='Bonding Program'!$C$8),N('Bonding Program'!$O$41),0)</f>
        <v>0</v>
      </c>
      <c r="CQ182" s="19" t="n">
        <f aca="false">IF(AND('Bonding Program'!$S$41=1,'Bonding Program'!$H$41&gt;'Bonding Program'!$C$8,CQ$3='Bonding Program'!$H$41),'Bonding Program'!$T$41-'Bonding Program'!$U$41-'Bonding Program'!$Z$41,0)-IF(AND('Bonding Program'!$S$41=1,'Bonding Program'!$H$41&lt;='Bonding Program'!$C$8,CQ$3=IF('Bonding Program'!$P$41&lt;&gt;"",'Bonding Program'!$P$41,'Bonding Program'!$C$8)),'Bonding Program'!$Z$41,0)+IF(AND('Bonding Program'!$P$41&lt;&gt;"",CQ$3='Bonding Program'!$P$41,CQ$3&lt;='Bonding Program'!$C$8),N('Bonding Program'!$O$41),0)</f>
        <v>0</v>
      </c>
      <c r="CR182" s="19" t="n">
        <f aca="false">IF(AND('Bonding Program'!$S$41=1,'Bonding Program'!$H$41&gt;'Bonding Program'!$C$8,CR$3='Bonding Program'!$H$41),'Bonding Program'!$T$41-'Bonding Program'!$U$41-'Bonding Program'!$Z$41,0)-IF(AND('Bonding Program'!$S$41=1,'Bonding Program'!$H$41&lt;='Bonding Program'!$C$8,CR$3=IF('Bonding Program'!$P$41&lt;&gt;"",'Bonding Program'!$P$41,'Bonding Program'!$C$8)),'Bonding Program'!$Z$41,0)+IF(AND('Bonding Program'!$P$41&lt;&gt;"",CR$3='Bonding Program'!$P$41,CR$3&lt;='Bonding Program'!$C$8),N('Bonding Program'!$O$41),0)</f>
        <v>0</v>
      </c>
      <c r="CS182" s="19" t="n">
        <f aca="false">IF(AND('Bonding Program'!$S$41=1,'Bonding Program'!$H$41&gt;'Bonding Program'!$C$8,CS$3='Bonding Program'!$H$41),'Bonding Program'!$T$41-'Bonding Program'!$U$41-'Bonding Program'!$Z$41,0)-IF(AND('Bonding Program'!$S$41=1,'Bonding Program'!$H$41&lt;='Bonding Program'!$C$8,CS$3=IF('Bonding Program'!$P$41&lt;&gt;"",'Bonding Program'!$P$41,'Bonding Program'!$C$8)),'Bonding Program'!$Z$41,0)+IF(AND('Bonding Program'!$P$41&lt;&gt;"",CS$3='Bonding Program'!$P$41,CS$3&lt;='Bonding Program'!$C$8),N('Bonding Program'!$O$41),0)</f>
        <v>0</v>
      </c>
      <c r="CT182" s="19" t="n">
        <f aca="false">IF(AND('Bonding Program'!$S$41=1,'Bonding Program'!$H$41&gt;'Bonding Program'!$C$8,CT$3='Bonding Program'!$H$41),'Bonding Program'!$T$41-'Bonding Program'!$U$41-'Bonding Program'!$Z$41,0)-IF(AND('Bonding Program'!$S$41=1,'Bonding Program'!$H$41&lt;='Bonding Program'!$C$8,CT$3=IF('Bonding Program'!$P$41&lt;&gt;"",'Bonding Program'!$P$41,'Bonding Program'!$C$8)),'Bonding Program'!$Z$41,0)+IF(AND('Bonding Program'!$P$41&lt;&gt;"",CT$3='Bonding Program'!$P$41,CT$3&lt;='Bonding Program'!$C$8),N('Bonding Program'!$O$41),0)</f>
        <v>0</v>
      </c>
      <c r="CU182" s="19" t="n">
        <f aca="false">IF(AND('Bonding Program'!$S$41=1,'Bonding Program'!$H$41&gt;'Bonding Program'!$C$8,CU$3='Bonding Program'!$H$41),'Bonding Program'!$T$41-'Bonding Program'!$U$41-'Bonding Program'!$Z$41,0)-IF(AND('Bonding Program'!$S$41=1,'Bonding Program'!$H$41&lt;='Bonding Program'!$C$8,CU$3=IF('Bonding Program'!$P$41&lt;&gt;"",'Bonding Program'!$P$41,'Bonding Program'!$C$8)),'Bonding Program'!$Z$41,0)+IF(AND('Bonding Program'!$P$41&lt;&gt;"",CU$3='Bonding Program'!$P$41,CU$3&lt;='Bonding Program'!$C$8),N('Bonding Program'!$O$41),0)</f>
        <v>0</v>
      </c>
      <c r="CV182" s="19" t="n">
        <f aca="false">IF(AND('Bonding Program'!$S$41=1,'Bonding Program'!$H$41&gt;'Bonding Program'!$C$8,CV$3='Bonding Program'!$H$41),'Bonding Program'!$T$41-'Bonding Program'!$U$41-'Bonding Program'!$Z$41,0)-IF(AND('Bonding Program'!$S$41=1,'Bonding Program'!$H$41&lt;='Bonding Program'!$C$8,CV$3=IF('Bonding Program'!$P$41&lt;&gt;"",'Bonding Program'!$P$41,'Bonding Program'!$C$8)),'Bonding Program'!$Z$41,0)+IF(AND('Bonding Program'!$P$41&lt;&gt;"",CV$3='Bonding Program'!$P$41,CV$3&lt;='Bonding Program'!$C$8),N('Bonding Program'!$O$41),0)</f>
        <v>0</v>
      </c>
      <c r="CW182" s="19" t="n">
        <f aca="false">IF(AND('Bonding Program'!$S$41=1,'Bonding Program'!$H$41&gt;'Bonding Program'!$C$8,CW$3='Bonding Program'!$H$41),'Bonding Program'!$T$41-'Bonding Program'!$U$41-'Bonding Program'!$Z$41,0)-IF(AND('Bonding Program'!$S$41=1,'Bonding Program'!$H$41&lt;='Bonding Program'!$C$8,CW$3=IF('Bonding Program'!$P$41&lt;&gt;"",'Bonding Program'!$P$41,'Bonding Program'!$C$8)),'Bonding Program'!$Z$41,0)+IF(AND('Bonding Program'!$P$41&lt;&gt;"",CW$3='Bonding Program'!$P$41,CW$3&lt;='Bonding Program'!$C$8),N('Bonding Program'!$O$41),0)</f>
        <v>0</v>
      </c>
      <c r="CX182" s="19" t="n">
        <f aca="false">IF(AND('Bonding Program'!$S$41=1,'Bonding Program'!$H$41&gt;'Bonding Program'!$C$8,CX$3='Bonding Program'!$H$41),'Bonding Program'!$T$41-'Bonding Program'!$U$41-'Bonding Program'!$Z$41,0)-IF(AND('Bonding Program'!$S$41=1,'Bonding Program'!$H$41&lt;='Bonding Program'!$C$8,CX$3=IF('Bonding Program'!$P$41&lt;&gt;"",'Bonding Program'!$P$41,'Bonding Program'!$C$8)),'Bonding Program'!$Z$41,0)+IF(AND('Bonding Program'!$P$41&lt;&gt;"",CX$3='Bonding Program'!$P$41,CX$3&lt;='Bonding Program'!$C$8),N('Bonding Program'!$O$41),0)</f>
        <v>0</v>
      </c>
      <c r="CY182" s="19" t="n">
        <f aca="false">IF(AND('Bonding Program'!$S$41=1,'Bonding Program'!$H$41&gt;'Bonding Program'!$C$8,CY$3='Bonding Program'!$H$41),'Bonding Program'!$T$41-'Bonding Program'!$U$41-'Bonding Program'!$Z$41,0)-IF(AND('Bonding Program'!$S$41=1,'Bonding Program'!$H$41&lt;='Bonding Program'!$C$8,CY$3=IF('Bonding Program'!$P$41&lt;&gt;"",'Bonding Program'!$P$41,'Bonding Program'!$C$8)),'Bonding Program'!$Z$41,0)+IF(AND('Bonding Program'!$P$41&lt;&gt;"",CY$3='Bonding Program'!$P$41,CY$3&lt;='Bonding Program'!$C$8),N('Bonding Program'!$O$41),0)</f>
        <v>0</v>
      </c>
      <c r="CZ182" s="19" t="n">
        <f aca="false">IF(AND('Bonding Program'!$S$41=1,'Bonding Program'!$H$41&gt;'Bonding Program'!$C$8,CZ$3='Bonding Program'!$H$41),'Bonding Program'!$T$41-'Bonding Program'!$U$41-'Bonding Program'!$Z$41,0)-IF(AND('Bonding Program'!$S$41=1,'Bonding Program'!$H$41&lt;='Bonding Program'!$C$8,CZ$3=IF('Bonding Program'!$P$41&lt;&gt;"",'Bonding Program'!$P$41,'Bonding Program'!$C$8)),'Bonding Program'!$Z$41,0)+IF(AND('Bonding Program'!$P$41&lt;&gt;"",CZ$3='Bonding Program'!$P$41,CZ$3&lt;='Bonding Program'!$C$8),N('Bonding Program'!$O$41),0)</f>
        <v>0</v>
      </c>
      <c r="DA182" s="19" t="n">
        <f aca="false">IF(AND('Bonding Program'!$S$41=1,'Bonding Program'!$H$41&gt;'Bonding Program'!$C$8,DA$3='Bonding Program'!$H$41),'Bonding Program'!$T$41-'Bonding Program'!$U$41-'Bonding Program'!$Z$41,0)-IF(AND('Bonding Program'!$S$41=1,'Bonding Program'!$H$41&lt;='Bonding Program'!$C$8,DA$3=IF('Bonding Program'!$P$41&lt;&gt;"",'Bonding Program'!$P$41,'Bonding Program'!$C$8)),'Bonding Program'!$Z$41,0)+IF(AND('Bonding Program'!$P$41&lt;&gt;"",DA$3='Bonding Program'!$P$41,DA$3&lt;='Bonding Program'!$C$8),N('Bonding Program'!$O$41),0)</f>
        <v>0</v>
      </c>
      <c r="DB182" s="19" t="n">
        <f aca="false">IF(AND('Bonding Program'!$S$41=1,'Bonding Program'!$H$41&gt;'Bonding Program'!$C$8,DB$3='Bonding Program'!$H$41),'Bonding Program'!$T$41-'Bonding Program'!$U$41-'Bonding Program'!$Z$41,0)-IF(AND('Bonding Program'!$S$41=1,'Bonding Program'!$H$41&lt;='Bonding Program'!$C$8,DB$3=IF('Bonding Program'!$P$41&lt;&gt;"",'Bonding Program'!$P$41,'Bonding Program'!$C$8)),'Bonding Program'!$Z$41,0)+IF(AND('Bonding Program'!$P$41&lt;&gt;"",DB$3='Bonding Program'!$P$41,DB$3&lt;='Bonding Program'!$C$8),N('Bonding Program'!$O$41),0)</f>
        <v>0</v>
      </c>
      <c r="DC182" s="19" t="n">
        <f aca="false">IF(AND('Bonding Program'!$S$41=1,'Bonding Program'!$H$41&gt;'Bonding Program'!$C$8,DC$3='Bonding Program'!$H$41),'Bonding Program'!$T$41-'Bonding Program'!$U$41-'Bonding Program'!$Z$41,0)-IF(AND('Bonding Program'!$S$41=1,'Bonding Program'!$H$41&lt;='Bonding Program'!$C$8,DC$3=IF('Bonding Program'!$P$41&lt;&gt;"",'Bonding Program'!$P$41,'Bonding Program'!$C$8)),'Bonding Program'!$Z$41,0)+IF(AND('Bonding Program'!$P$41&lt;&gt;"",DC$3='Bonding Program'!$P$41,DC$3&lt;='Bonding Program'!$C$8),N('Bonding Program'!$O$41),0)</f>
        <v>0</v>
      </c>
      <c r="DD182" s="19" t="n">
        <f aca="false">IF(AND('Bonding Program'!$S$41=1,'Bonding Program'!$H$41&gt;'Bonding Program'!$C$8,DD$3='Bonding Program'!$H$41),'Bonding Program'!$T$41-'Bonding Program'!$U$41-'Bonding Program'!$Z$41,0)-IF(AND('Bonding Program'!$S$41=1,'Bonding Program'!$H$41&lt;='Bonding Program'!$C$8,DD$3=IF('Bonding Program'!$P$41&lt;&gt;"",'Bonding Program'!$P$41,'Bonding Program'!$C$8)),'Bonding Program'!$Z$41,0)+IF(AND('Bonding Program'!$P$41&lt;&gt;"",DD$3='Bonding Program'!$P$41,DD$3&lt;='Bonding Program'!$C$8),N('Bonding Program'!$O$41),0)</f>
        <v>0</v>
      </c>
      <c r="DE182" s="19" t="n">
        <f aca="false">IF(AND('Bonding Program'!$S$41=1,'Bonding Program'!$H$41&gt;'Bonding Program'!$C$8,DE$3='Bonding Program'!$H$41),'Bonding Program'!$T$41-'Bonding Program'!$U$41-'Bonding Program'!$Z$41,0)-IF(AND('Bonding Program'!$S$41=1,'Bonding Program'!$H$41&lt;='Bonding Program'!$C$8,DE$3=IF('Bonding Program'!$P$41&lt;&gt;"",'Bonding Program'!$P$41,'Bonding Program'!$C$8)),'Bonding Program'!$Z$41,0)+IF(AND('Bonding Program'!$P$41&lt;&gt;"",DE$3='Bonding Program'!$P$41,DE$3&lt;='Bonding Program'!$C$8),N('Bonding Program'!$O$41),0)</f>
        <v>0</v>
      </c>
    </row>
    <row r="183" customFormat="false" ht="15" hidden="false" customHeight="true" outlineLevel="1" collapsed="false">
      <c r="A183" s="28" t="s">
        <v>38</v>
      </c>
      <c r="B183" s="19" t="n">
        <f aca="false">IF(AND('Bonding Program'!$S$42=1,'Bonding Program'!$H$42&gt;'Bonding Program'!$C$8,B$3='Bonding Program'!$H$42),'Bonding Program'!$T$42-'Bonding Program'!$U$42-'Bonding Program'!$Z$42,0)-IF(AND('Bonding Program'!$S$42=1,'Bonding Program'!$H$42&lt;='Bonding Program'!$C$8,B$3=IF('Bonding Program'!$P$42&lt;&gt;"",'Bonding Program'!$P$42,'Bonding Program'!$C$8)),'Bonding Program'!$Z$42,0)+IF(AND('Bonding Program'!$P$42&lt;&gt;"",B$3='Bonding Program'!$P$42,B$3&lt;='Bonding Program'!$C$8),N('Bonding Program'!$O$42),0)</f>
        <v>0</v>
      </c>
      <c r="C183" s="19" t="n">
        <f aca="false">IF(AND('Bonding Program'!$S$42=1,'Bonding Program'!$H$42&gt;'Bonding Program'!$C$8,C$3='Bonding Program'!$H$42),'Bonding Program'!$T$42-'Bonding Program'!$U$42-'Bonding Program'!$Z$42,0)-IF(AND('Bonding Program'!$S$42=1,'Bonding Program'!$H$42&lt;='Bonding Program'!$C$8,C$3=IF('Bonding Program'!$P$42&lt;&gt;"",'Bonding Program'!$P$42,'Bonding Program'!$C$8)),'Bonding Program'!$Z$42,0)+IF(AND('Bonding Program'!$P$42&lt;&gt;"",C$3='Bonding Program'!$P$42,C$3&lt;='Bonding Program'!$C$8),N('Bonding Program'!$O$42),0)</f>
        <v>0</v>
      </c>
      <c r="D183" s="19" t="n">
        <f aca="false">IF(AND('Bonding Program'!$S$42=1,'Bonding Program'!$H$42&gt;'Bonding Program'!$C$8,D$3='Bonding Program'!$H$42),'Bonding Program'!$T$42-'Bonding Program'!$U$42-'Bonding Program'!$Z$42,0)-IF(AND('Bonding Program'!$S$42=1,'Bonding Program'!$H$42&lt;='Bonding Program'!$C$8,D$3=IF('Bonding Program'!$P$42&lt;&gt;"",'Bonding Program'!$P$42,'Bonding Program'!$C$8)),'Bonding Program'!$Z$42,0)+IF(AND('Bonding Program'!$P$42&lt;&gt;"",D$3='Bonding Program'!$P$42,D$3&lt;='Bonding Program'!$C$8),N('Bonding Program'!$O$42),0)</f>
        <v>0</v>
      </c>
      <c r="E183" s="19" t="n">
        <f aca="false">IF(AND('Bonding Program'!$S$42=1,'Bonding Program'!$H$42&gt;'Bonding Program'!$C$8,E$3='Bonding Program'!$H$42),'Bonding Program'!$T$42-'Bonding Program'!$U$42-'Bonding Program'!$Z$42,0)-IF(AND('Bonding Program'!$S$42=1,'Bonding Program'!$H$42&lt;='Bonding Program'!$C$8,E$3=IF('Bonding Program'!$P$42&lt;&gt;"",'Bonding Program'!$P$42,'Bonding Program'!$C$8)),'Bonding Program'!$Z$42,0)+IF(AND('Bonding Program'!$P$42&lt;&gt;"",E$3='Bonding Program'!$P$42,E$3&lt;='Bonding Program'!$C$8),N('Bonding Program'!$O$42),0)</f>
        <v>0</v>
      </c>
      <c r="F183" s="19" t="n">
        <f aca="false">IF(AND('Bonding Program'!$S$42=1,'Bonding Program'!$H$42&gt;'Bonding Program'!$C$8,F$3='Bonding Program'!$H$42),'Bonding Program'!$T$42-'Bonding Program'!$U$42-'Bonding Program'!$Z$42,0)-IF(AND('Bonding Program'!$S$42=1,'Bonding Program'!$H$42&lt;='Bonding Program'!$C$8,F$3=IF('Bonding Program'!$P$42&lt;&gt;"",'Bonding Program'!$P$42,'Bonding Program'!$C$8)),'Bonding Program'!$Z$42,0)+IF(AND('Bonding Program'!$P$42&lt;&gt;"",F$3='Bonding Program'!$P$42,F$3&lt;='Bonding Program'!$C$8),N('Bonding Program'!$O$42),0)</f>
        <v>0</v>
      </c>
      <c r="G183" s="19" t="n">
        <f aca="false">IF(AND('Bonding Program'!$S$42=1,'Bonding Program'!$H$42&gt;'Bonding Program'!$C$8,G$3='Bonding Program'!$H$42),'Bonding Program'!$T$42-'Bonding Program'!$U$42-'Bonding Program'!$Z$42,0)-IF(AND('Bonding Program'!$S$42=1,'Bonding Program'!$H$42&lt;='Bonding Program'!$C$8,G$3=IF('Bonding Program'!$P$42&lt;&gt;"",'Bonding Program'!$P$42,'Bonding Program'!$C$8)),'Bonding Program'!$Z$42,0)+IF(AND('Bonding Program'!$P$42&lt;&gt;"",G$3='Bonding Program'!$P$42,G$3&lt;='Bonding Program'!$C$8),N('Bonding Program'!$O$42),0)</f>
        <v>0</v>
      </c>
      <c r="H183" s="19" t="n">
        <f aca="false">IF(AND('Bonding Program'!$S$42=1,'Bonding Program'!$H$42&gt;'Bonding Program'!$C$8,H$3='Bonding Program'!$H$42),'Bonding Program'!$T$42-'Bonding Program'!$U$42-'Bonding Program'!$Z$42,0)-IF(AND('Bonding Program'!$S$42=1,'Bonding Program'!$H$42&lt;='Bonding Program'!$C$8,H$3=IF('Bonding Program'!$P$42&lt;&gt;"",'Bonding Program'!$P$42,'Bonding Program'!$C$8)),'Bonding Program'!$Z$42,0)+IF(AND('Bonding Program'!$P$42&lt;&gt;"",H$3='Bonding Program'!$P$42,H$3&lt;='Bonding Program'!$C$8),N('Bonding Program'!$O$42),0)</f>
        <v>0</v>
      </c>
      <c r="I183" s="19" t="n">
        <f aca="false">IF(AND('Bonding Program'!$S$42=1,'Bonding Program'!$H$42&gt;'Bonding Program'!$C$8,I$3='Bonding Program'!$H$42),'Bonding Program'!$T$42-'Bonding Program'!$U$42-'Bonding Program'!$Z$42,0)-IF(AND('Bonding Program'!$S$42=1,'Bonding Program'!$H$42&lt;='Bonding Program'!$C$8,I$3=IF('Bonding Program'!$P$42&lt;&gt;"",'Bonding Program'!$P$42,'Bonding Program'!$C$8)),'Bonding Program'!$Z$42,0)+IF(AND('Bonding Program'!$P$42&lt;&gt;"",I$3='Bonding Program'!$P$42,I$3&lt;='Bonding Program'!$C$8),N('Bonding Program'!$O$42),0)</f>
        <v>0</v>
      </c>
      <c r="J183" s="19" t="n">
        <f aca="false">IF(AND('Bonding Program'!$S$42=1,'Bonding Program'!$H$42&gt;'Bonding Program'!$C$8,J$3='Bonding Program'!$H$42),'Bonding Program'!$T$42-'Bonding Program'!$U$42-'Bonding Program'!$Z$42,0)-IF(AND('Bonding Program'!$S$42=1,'Bonding Program'!$H$42&lt;='Bonding Program'!$C$8,J$3=IF('Bonding Program'!$P$42&lt;&gt;"",'Bonding Program'!$P$42,'Bonding Program'!$C$8)),'Bonding Program'!$Z$42,0)+IF(AND('Bonding Program'!$P$42&lt;&gt;"",J$3='Bonding Program'!$P$42,J$3&lt;='Bonding Program'!$C$8),N('Bonding Program'!$O$42),0)</f>
        <v>0</v>
      </c>
      <c r="K183" s="19" t="n">
        <f aca="false">IF(AND('Bonding Program'!$S$42=1,'Bonding Program'!$H$42&gt;'Bonding Program'!$C$8,K$3='Bonding Program'!$H$42),'Bonding Program'!$T$42-'Bonding Program'!$U$42-'Bonding Program'!$Z$42,0)-IF(AND('Bonding Program'!$S$42=1,'Bonding Program'!$H$42&lt;='Bonding Program'!$C$8,K$3=IF('Bonding Program'!$P$42&lt;&gt;"",'Bonding Program'!$P$42,'Bonding Program'!$C$8)),'Bonding Program'!$Z$42,0)+IF(AND('Bonding Program'!$P$42&lt;&gt;"",K$3='Bonding Program'!$P$42,K$3&lt;='Bonding Program'!$C$8),N('Bonding Program'!$O$42),0)</f>
        <v>0</v>
      </c>
      <c r="L183" s="19" t="n">
        <f aca="false">IF(AND('Bonding Program'!$S$42=1,'Bonding Program'!$H$42&gt;'Bonding Program'!$C$8,L$3='Bonding Program'!$H$42),'Bonding Program'!$T$42-'Bonding Program'!$U$42-'Bonding Program'!$Z$42,0)-IF(AND('Bonding Program'!$S$42=1,'Bonding Program'!$H$42&lt;='Bonding Program'!$C$8,L$3=IF('Bonding Program'!$P$42&lt;&gt;"",'Bonding Program'!$P$42,'Bonding Program'!$C$8)),'Bonding Program'!$Z$42,0)+IF(AND('Bonding Program'!$P$42&lt;&gt;"",L$3='Bonding Program'!$P$42,L$3&lt;='Bonding Program'!$C$8),N('Bonding Program'!$O$42),0)</f>
        <v>0</v>
      </c>
      <c r="M183" s="19" t="n">
        <f aca="false">IF(AND('Bonding Program'!$S$42=1,'Bonding Program'!$H$42&gt;'Bonding Program'!$C$8,M$3='Bonding Program'!$H$42),'Bonding Program'!$T$42-'Bonding Program'!$U$42-'Bonding Program'!$Z$42,0)-IF(AND('Bonding Program'!$S$42=1,'Bonding Program'!$H$42&lt;='Bonding Program'!$C$8,M$3=IF('Bonding Program'!$P$42&lt;&gt;"",'Bonding Program'!$P$42,'Bonding Program'!$C$8)),'Bonding Program'!$Z$42,0)+IF(AND('Bonding Program'!$P$42&lt;&gt;"",M$3='Bonding Program'!$P$42,M$3&lt;='Bonding Program'!$C$8),N('Bonding Program'!$O$42),0)</f>
        <v>0</v>
      </c>
      <c r="N183" s="19" t="n">
        <f aca="false">IF(AND('Bonding Program'!$S$42=1,'Bonding Program'!$H$42&gt;'Bonding Program'!$C$8,N$3='Bonding Program'!$H$42),'Bonding Program'!$T$42-'Bonding Program'!$U$42-'Bonding Program'!$Z$42,0)-IF(AND('Bonding Program'!$S$42=1,'Bonding Program'!$H$42&lt;='Bonding Program'!$C$8,N$3=IF('Bonding Program'!$P$42&lt;&gt;"",'Bonding Program'!$P$42,'Bonding Program'!$C$8)),'Bonding Program'!$Z$42,0)+IF(AND('Bonding Program'!$P$42&lt;&gt;"",N$3='Bonding Program'!$P$42,N$3&lt;='Bonding Program'!$C$8),N('Bonding Program'!$O$42),0)</f>
        <v>0</v>
      </c>
      <c r="O183" s="19" t="n">
        <f aca="false">IF(AND('Bonding Program'!$S$42=1,'Bonding Program'!$H$42&gt;'Bonding Program'!$C$8,O$3='Bonding Program'!$H$42),'Bonding Program'!$T$42-'Bonding Program'!$U$42-'Bonding Program'!$Z$42,0)-IF(AND('Bonding Program'!$S$42=1,'Bonding Program'!$H$42&lt;='Bonding Program'!$C$8,O$3=IF('Bonding Program'!$P$42&lt;&gt;"",'Bonding Program'!$P$42,'Bonding Program'!$C$8)),'Bonding Program'!$Z$42,0)+IF(AND('Bonding Program'!$P$42&lt;&gt;"",O$3='Bonding Program'!$P$42,O$3&lt;='Bonding Program'!$C$8),N('Bonding Program'!$O$42),0)</f>
        <v>0</v>
      </c>
      <c r="P183" s="19" t="n">
        <f aca="false">IF(AND('Bonding Program'!$S$42=1,'Bonding Program'!$H$42&gt;'Bonding Program'!$C$8,P$3='Bonding Program'!$H$42),'Bonding Program'!$T$42-'Bonding Program'!$U$42-'Bonding Program'!$Z$42,0)-IF(AND('Bonding Program'!$S$42=1,'Bonding Program'!$H$42&lt;='Bonding Program'!$C$8,P$3=IF('Bonding Program'!$P$42&lt;&gt;"",'Bonding Program'!$P$42,'Bonding Program'!$C$8)),'Bonding Program'!$Z$42,0)+IF(AND('Bonding Program'!$P$42&lt;&gt;"",P$3='Bonding Program'!$P$42,P$3&lt;='Bonding Program'!$C$8),N('Bonding Program'!$O$42),0)</f>
        <v>0</v>
      </c>
      <c r="Q183" s="19" t="n">
        <f aca="false">IF(AND('Bonding Program'!$S$42=1,'Bonding Program'!$H$42&gt;'Bonding Program'!$C$8,Q$3='Bonding Program'!$H$42),'Bonding Program'!$T$42-'Bonding Program'!$U$42-'Bonding Program'!$Z$42,0)-IF(AND('Bonding Program'!$S$42=1,'Bonding Program'!$H$42&lt;='Bonding Program'!$C$8,Q$3=IF('Bonding Program'!$P$42&lt;&gt;"",'Bonding Program'!$P$42,'Bonding Program'!$C$8)),'Bonding Program'!$Z$42,0)+IF(AND('Bonding Program'!$P$42&lt;&gt;"",Q$3='Bonding Program'!$P$42,Q$3&lt;='Bonding Program'!$C$8),N('Bonding Program'!$O$42),0)</f>
        <v>0</v>
      </c>
      <c r="R183" s="19" t="n">
        <f aca="false">IF(AND('Bonding Program'!$S$42=1,'Bonding Program'!$H$42&gt;'Bonding Program'!$C$8,R$3='Bonding Program'!$H$42),'Bonding Program'!$T$42-'Bonding Program'!$U$42-'Bonding Program'!$Z$42,0)-IF(AND('Bonding Program'!$S$42=1,'Bonding Program'!$H$42&lt;='Bonding Program'!$C$8,R$3=IF('Bonding Program'!$P$42&lt;&gt;"",'Bonding Program'!$P$42,'Bonding Program'!$C$8)),'Bonding Program'!$Z$42,0)+IF(AND('Bonding Program'!$P$42&lt;&gt;"",R$3='Bonding Program'!$P$42,R$3&lt;='Bonding Program'!$C$8),N('Bonding Program'!$O$42),0)</f>
        <v>0</v>
      </c>
      <c r="S183" s="19" t="n">
        <f aca="false">IF(AND('Bonding Program'!$S$42=1,'Bonding Program'!$H$42&gt;'Bonding Program'!$C$8,S$3='Bonding Program'!$H$42),'Bonding Program'!$T$42-'Bonding Program'!$U$42-'Bonding Program'!$Z$42,0)-IF(AND('Bonding Program'!$S$42=1,'Bonding Program'!$H$42&lt;='Bonding Program'!$C$8,S$3=IF('Bonding Program'!$P$42&lt;&gt;"",'Bonding Program'!$P$42,'Bonding Program'!$C$8)),'Bonding Program'!$Z$42,0)+IF(AND('Bonding Program'!$P$42&lt;&gt;"",S$3='Bonding Program'!$P$42,S$3&lt;='Bonding Program'!$C$8),N('Bonding Program'!$O$42),0)</f>
        <v>0</v>
      </c>
      <c r="T183" s="19" t="n">
        <f aca="false">IF(AND('Bonding Program'!$S$42=1,'Bonding Program'!$H$42&gt;'Bonding Program'!$C$8,T$3='Bonding Program'!$H$42),'Bonding Program'!$T$42-'Bonding Program'!$U$42-'Bonding Program'!$Z$42,0)-IF(AND('Bonding Program'!$S$42=1,'Bonding Program'!$H$42&lt;='Bonding Program'!$C$8,T$3=IF('Bonding Program'!$P$42&lt;&gt;"",'Bonding Program'!$P$42,'Bonding Program'!$C$8)),'Bonding Program'!$Z$42,0)+IF(AND('Bonding Program'!$P$42&lt;&gt;"",T$3='Bonding Program'!$P$42,T$3&lt;='Bonding Program'!$C$8),N('Bonding Program'!$O$42),0)</f>
        <v>0</v>
      </c>
      <c r="U183" s="19" t="n">
        <f aca="false">IF(AND('Bonding Program'!$S$42=1,'Bonding Program'!$H$42&gt;'Bonding Program'!$C$8,U$3='Bonding Program'!$H$42),'Bonding Program'!$T$42-'Bonding Program'!$U$42-'Bonding Program'!$Z$42,0)-IF(AND('Bonding Program'!$S$42=1,'Bonding Program'!$H$42&lt;='Bonding Program'!$C$8,U$3=IF('Bonding Program'!$P$42&lt;&gt;"",'Bonding Program'!$P$42,'Bonding Program'!$C$8)),'Bonding Program'!$Z$42,0)+IF(AND('Bonding Program'!$P$42&lt;&gt;"",U$3='Bonding Program'!$P$42,U$3&lt;='Bonding Program'!$C$8),N('Bonding Program'!$O$42),0)</f>
        <v>0</v>
      </c>
      <c r="V183" s="19" t="n">
        <f aca="false">IF(AND('Bonding Program'!$S$42=1,'Bonding Program'!$H$42&gt;'Bonding Program'!$C$8,V$3='Bonding Program'!$H$42),'Bonding Program'!$T$42-'Bonding Program'!$U$42-'Bonding Program'!$Z$42,0)-IF(AND('Bonding Program'!$S$42=1,'Bonding Program'!$H$42&lt;='Bonding Program'!$C$8,V$3=IF('Bonding Program'!$P$42&lt;&gt;"",'Bonding Program'!$P$42,'Bonding Program'!$C$8)),'Bonding Program'!$Z$42,0)+IF(AND('Bonding Program'!$P$42&lt;&gt;"",V$3='Bonding Program'!$P$42,V$3&lt;='Bonding Program'!$C$8),N('Bonding Program'!$O$42),0)</f>
        <v>0</v>
      </c>
      <c r="W183" s="19" t="n">
        <f aca="false">IF(AND('Bonding Program'!$S$42=1,'Bonding Program'!$H$42&gt;'Bonding Program'!$C$8,W$3='Bonding Program'!$H$42),'Bonding Program'!$T$42-'Bonding Program'!$U$42-'Bonding Program'!$Z$42,0)-IF(AND('Bonding Program'!$S$42=1,'Bonding Program'!$H$42&lt;='Bonding Program'!$C$8,W$3=IF('Bonding Program'!$P$42&lt;&gt;"",'Bonding Program'!$P$42,'Bonding Program'!$C$8)),'Bonding Program'!$Z$42,0)+IF(AND('Bonding Program'!$P$42&lt;&gt;"",W$3='Bonding Program'!$P$42,W$3&lt;='Bonding Program'!$C$8),N('Bonding Program'!$O$42),0)</f>
        <v>0</v>
      </c>
      <c r="X183" s="19" t="n">
        <f aca="false">IF(AND('Bonding Program'!$S$42=1,'Bonding Program'!$H$42&gt;'Bonding Program'!$C$8,X$3='Bonding Program'!$H$42),'Bonding Program'!$T$42-'Bonding Program'!$U$42-'Bonding Program'!$Z$42,0)-IF(AND('Bonding Program'!$S$42=1,'Bonding Program'!$H$42&lt;='Bonding Program'!$C$8,X$3=IF('Bonding Program'!$P$42&lt;&gt;"",'Bonding Program'!$P$42,'Bonding Program'!$C$8)),'Bonding Program'!$Z$42,0)+IF(AND('Bonding Program'!$P$42&lt;&gt;"",X$3='Bonding Program'!$P$42,X$3&lt;='Bonding Program'!$C$8),N('Bonding Program'!$O$42),0)</f>
        <v>0</v>
      </c>
      <c r="Y183" s="19" t="n">
        <f aca="false">IF(AND('Bonding Program'!$S$42=1,'Bonding Program'!$H$42&gt;'Bonding Program'!$C$8,Y$3='Bonding Program'!$H$42),'Bonding Program'!$T$42-'Bonding Program'!$U$42-'Bonding Program'!$Z$42,0)-IF(AND('Bonding Program'!$S$42=1,'Bonding Program'!$H$42&lt;='Bonding Program'!$C$8,Y$3=IF('Bonding Program'!$P$42&lt;&gt;"",'Bonding Program'!$P$42,'Bonding Program'!$C$8)),'Bonding Program'!$Z$42,0)+IF(AND('Bonding Program'!$P$42&lt;&gt;"",Y$3='Bonding Program'!$P$42,Y$3&lt;='Bonding Program'!$C$8),N('Bonding Program'!$O$42),0)</f>
        <v>0</v>
      </c>
      <c r="Z183" s="19" t="n">
        <f aca="false">IF(AND('Bonding Program'!$S$42=1,'Bonding Program'!$H$42&gt;'Bonding Program'!$C$8,Z$3='Bonding Program'!$H$42),'Bonding Program'!$T$42-'Bonding Program'!$U$42-'Bonding Program'!$Z$42,0)-IF(AND('Bonding Program'!$S$42=1,'Bonding Program'!$H$42&lt;='Bonding Program'!$C$8,Z$3=IF('Bonding Program'!$P$42&lt;&gt;"",'Bonding Program'!$P$42,'Bonding Program'!$C$8)),'Bonding Program'!$Z$42,0)+IF(AND('Bonding Program'!$P$42&lt;&gt;"",Z$3='Bonding Program'!$P$42,Z$3&lt;='Bonding Program'!$C$8),N('Bonding Program'!$O$42),0)</f>
        <v>0</v>
      </c>
      <c r="AA183" s="19" t="n">
        <f aca="false">IF(AND('Bonding Program'!$S$42=1,'Bonding Program'!$H$42&gt;'Bonding Program'!$C$8,AA$3='Bonding Program'!$H$42),'Bonding Program'!$T$42-'Bonding Program'!$U$42-'Bonding Program'!$Z$42,0)-IF(AND('Bonding Program'!$S$42=1,'Bonding Program'!$H$42&lt;='Bonding Program'!$C$8,AA$3=IF('Bonding Program'!$P$42&lt;&gt;"",'Bonding Program'!$P$42,'Bonding Program'!$C$8)),'Bonding Program'!$Z$42,0)+IF(AND('Bonding Program'!$P$42&lt;&gt;"",AA$3='Bonding Program'!$P$42,AA$3&lt;='Bonding Program'!$C$8),N('Bonding Program'!$O$42),0)</f>
        <v>0</v>
      </c>
      <c r="AB183" s="19" t="n">
        <f aca="false">IF(AND('Bonding Program'!$S$42=1,'Bonding Program'!$H$42&gt;'Bonding Program'!$C$8,AB$3='Bonding Program'!$H$42),'Bonding Program'!$T$42-'Bonding Program'!$U$42-'Bonding Program'!$Z$42,0)-IF(AND('Bonding Program'!$S$42=1,'Bonding Program'!$H$42&lt;='Bonding Program'!$C$8,AB$3=IF('Bonding Program'!$P$42&lt;&gt;"",'Bonding Program'!$P$42,'Bonding Program'!$C$8)),'Bonding Program'!$Z$42,0)+IF(AND('Bonding Program'!$P$42&lt;&gt;"",AB$3='Bonding Program'!$P$42,AB$3&lt;='Bonding Program'!$C$8),N('Bonding Program'!$O$42),0)</f>
        <v>0</v>
      </c>
      <c r="AC183" s="19" t="n">
        <f aca="false">IF(AND('Bonding Program'!$S$42=1,'Bonding Program'!$H$42&gt;'Bonding Program'!$C$8,AC$3='Bonding Program'!$H$42),'Bonding Program'!$T$42-'Bonding Program'!$U$42-'Bonding Program'!$Z$42,0)-IF(AND('Bonding Program'!$S$42=1,'Bonding Program'!$H$42&lt;='Bonding Program'!$C$8,AC$3=IF('Bonding Program'!$P$42&lt;&gt;"",'Bonding Program'!$P$42,'Bonding Program'!$C$8)),'Bonding Program'!$Z$42,0)+IF(AND('Bonding Program'!$P$42&lt;&gt;"",AC$3='Bonding Program'!$P$42,AC$3&lt;='Bonding Program'!$C$8),N('Bonding Program'!$O$42),0)</f>
        <v>0</v>
      </c>
      <c r="AD183" s="19" t="n">
        <f aca="false">IF(AND('Bonding Program'!$S$42=1,'Bonding Program'!$H$42&gt;'Bonding Program'!$C$8,AD$3='Bonding Program'!$H$42),'Bonding Program'!$T$42-'Bonding Program'!$U$42-'Bonding Program'!$Z$42,0)-IF(AND('Bonding Program'!$S$42=1,'Bonding Program'!$H$42&lt;='Bonding Program'!$C$8,AD$3=IF('Bonding Program'!$P$42&lt;&gt;"",'Bonding Program'!$P$42,'Bonding Program'!$C$8)),'Bonding Program'!$Z$42,0)+IF(AND('Bonding Program'!$P$42&lt;&gt;"",AD$3='Bonding Program'!$P$42,AD$3&lt;='Bonding Program'!$C$8),N('Bonding Program'!$O$42),0)</f>
        <v>0</v>
      </c>
      <c r="AE183" s="19" t="n">
        <f aca="false">IF(AND('Bonding Program'!$S$42=1,'Bonding Program'!$H$42&gt;'Bonding Program'!$C$8,AE$3='Bonding Program'!$H$42),'Bonding Program'!$T$42-'Bonding Program'!$U$42-'Bonding Program'!$Z$42,0)-IF(AND('Bonding Program'!$S$42=1,'Bonding Program'!$H$42&lt;='Bonding Program'!$C$8,AE$3=IF('Bonding Program'!$P$42&lt;&gt;"",'Bonding Program'!$P$42,'Bonding Program'!$C$8)),'Bonding Program'!$Z$42,0)+IF(AND('Bonding Program'!$P$42&lt;&gt;"",AE$3='Bonding Program'!$P$42,AE$3&lt;='Bonding Program'!$C$8),N('Bonding Program'!$O$42),0)</f>
        <v>0</v>
      </c>
      <c r="AF183" s="19" t="n">
        <f aca="false">IF(AND('Bonding Program'!$S$42=1,'Bonding Program'!$H$42&gt;'Bonding Program'!$C$8,AF$3='Bonding Program'!$H$42),'Bonding Program'!$T$42-'Bonding Program'!$U$42-'Bonding Program'!$Z$42,0)-IF(AND('Bonding Program'!$S$42=1,'Bonding Program'!$H$42&lt;='Bonding Program'!$C$8,AF$3=IF('Bonding Program'!$P$42&lt;&gt;"",'Bonding Program'!$P$42,'Bonding Program'!$C$8)),'Bonding Program'!$Z$42,0)+IF(AND('Bonding Program'!$P$42&lt;&gt;"",AF$3='Bonding Program'!$P$42,AF$3&lt;='Bonding Program'!$C$8),N('Bonding Program'!$O$42),0)</f>
        <v>0</v>
      </c>
      <c r="AG183" s="19" t="n">
        <f aca="false">IF(AND('Bonding Program'!$S$42=1,'Bonding Program'!$H$42&gt;'Bonding Program'!$C$8,AG$3='Bonding Program'!$H$42),'Bonding Program'!$T$42-'Bonding Program'!$U$42-'Bonding Program'!$Z$42,0)-IF(AND('Bonding Program'!$S$42=1,'Bonding Program'!$H$42&lt;='Bonding Program'!$C$8,AG$3=IF('Bonding Program'!$P$42&lt;&gt;"",'Bonding Program'!$P$42,'Bonding Program'!$C$8)),'Bonding Program'!$Z$42,0)+IF(AND('Bonding Program'!$P$42&lt;&gt;"",AG$3='Bonding Program'!$P$42,AG$3&lt;='Bonding Program'!$C$8),N('Bonding Program'!$O$42),0)</f>
        <v>0</v>
      </c>
      <c r="AH183" s="19" t="n">
        <f aca="false">IF(AND('Bonding Program'!$S$42=1,'Bonding Program'!$H$42&gt;'Bonding Program'!$C$8,AH$3='Bonding Program'!$H$42),'Bonding Program'!$T$42-'Bonding Program'!$U$42-'Bonding Program'!$Z$42,0)-IF(AND('Bonding Program'!$S$42=1,'Bonding Program'!$H$42&lt;='Bonding Program'!$C$8,AH$3=IF('Bonding Program'!$P$42&lt;&gt;"",'Bonding Program'!$P$42,'Bonding Program'!$C$8)),'Bonding Program'!$Z$42,0)+IF(AND('Bonding Program'!$P$42&lt;&gt;"",AH$3='Bonding Program'!$P$42,AH$3&lt;='Bonding Program'!$C$8),N('Bonding Program'!$O$42),0)</f>
        <v>0</v>
      </c>
      <c r="AI183" s="19" t="n">
        <f aca="false">IF(AND('Bonding Program'!$S$42=1,'Bonding Program'!$H$42&gt;'Bonding Program'!$C$8,AI$3='Bonding Program'!$H$42),'Bonding Program'!$T$42-'Bonding Program'!$U$42-'Bonding Program'!$Z$42,0)-IF(AND('Bonding Program'!$S$42=1,'Bonding Program'!$H$42&lt;='Bonding Program'!$C$8,AI$3=IF('Bonding Program'!$P$42&lt;&gt;"",'Bonding Program'!$P$42,'Bonding Program'!$C$8)),'Bonding Program'!$Z$42,0)+IF(AND('Bonding Program'!$P$42&lt;&gt;"",AI$3='Bonding Program'!$P$42,AI$3&lt;='Bonding Program'!$C$8),N('Bonding Program'!$O$42),0)</f>
        <v>0</v>
      </c>
      <c r="AJ183" s="19" t="n">
        <f aca="false">IF(AND('Bonding Program'!$S$42=1,'Bonding Program'!$H$42&gt;'Bonding Program'!$C$8,AJ$3='Bonding Program'!$H$42),'Bonding Program'!$T$42-'Bonding Program'!$U$42-'Bonding Program'!$Z$42,0)-IF(AND('Bonding Program'!$S$42=1,'Bonding Program'!$H$42&lt;='Bonding Program'!$C$8,AJ$3=IF('Bonding Program'!$P$42&lt;&gt;"",'Bonding Program'!$P$42,'Bonding Program'!$C$8)),'Bonding Program'!$Z$42,0)+IF(AND('Bonding Program'!$P$42&lt;&gt;"",AJ$3='Bonding Program'!$P$42,AJ$3&lt;='Bonding Program'!$C$8),N('Bonding Program'!$O$42),0)</f>
        <v>0</v>
      </c>
      <c r="AK183" s="19" t="n">
        <f aca="false">IF(AND('Bonding Program'!$S$42=1,'Bonding Program'!$H$42&gt;'Bonding Program'!$C$8,AK$3='Bonding Program'!$H$42),'Bonding Program'!$T$42-'Bonding Program'!$U$42-'Bonding Program'!$Z$42,0)-IF(AND('Bonding Program'!$S$42=1,'Bonding Program'!$H$42&lt;='Bonding Program'!$C$8,AK$3=IF('Bonding Program'!$P$42&lt;&gt;"",'Bonding Program'!$P$42,'Bonding Program'!$C$8)),'Bonding Program'!$Z$42,0)+IF(AND('Bonding Program'!$P$42&lt;&gt;"",AK$3='Bonding Program'!$P$42,AK$3&lt;='Bonding Program'!$C$8),N('Bonding Program'!$O$42),0)</f>
        <v>0</v>
      </c>
      <c r="AL183" s="19" t="n">
        <f aca="false">IF(AND('Bonding Program'!$S$42=1,'Bonding Program'!$H$42&gt;'Bonding Program'!$C$8,AL$3='Bonding Program'!$H$42),'Bonding Program'!$T$42-'Bonding Program'!$U$42-'Bonding Program'!$Z$42,0)-IF(AND('Bonding Program'!$S$42=1,'Bonding Program'!$H$42&lt;='Bonding Program'!$C$8,AL$3=IF('Bonding Program'!$P$42&lt;&gt;"",'Bonding Program'!$P$42,'Bonding Program'!$C$8)),'Bonding Program'!$Z$42,0)+IF(AND('Bonding Program'!$P$42&lt;&gt;"",AL$3='Bonding Program'!$P$42,AL$3&lt;='Bonding Program'!$C$8),N('Bonding Program'!$O$42),0)</f>
        <v>0</v>
      </c>
      <c r="AM183" s="19" t="n">
        <f aca="false">IF(AND('Bonding Program'!$S$42=1,'Bonding Program'!$H$42&gt;'Bonding Program'!$C$8,AM$3='Bonding Program'!$H$42),'Bonding Program'!$T$42-'Bonding Program'!$U$42-'Bonding Program'!$Z$42,0)-IF(AND('Bonding Program'!$S$42=1,'Bonding Program'!$H$42&lt;='Bonding Program'!$C$8,AM$3=IF('Bonding Program'!$P$42&lt;&gt;"",'Bonding Program'!$P$42,'Bonding Program'!$C$8)),'Bonding Program'!$Z$42,0)+IF(AND('Bonding Program'!$P$42&lt;&gt;"",AM$3='Bonding Program'!$P$42,AM$3&lt;='Bonding Program'!$C$8),N('Bonding Program'!$O$42),0)</f>
        <v>0</v>
      </c>
      <c r="AN183" s="19" t="n">
        <f aca="false">IF(AND('Bonding Program'!$S$42=1,'Bonding Program'!$H$42&gt;'Bonding Program'!$C$8,AN$3='Bonding Program'!$H$42),'Bonding Program'!$T$42-'Bonding Program'!$U$42-'Bonding Program'!$Z$42,0)-IF(AND('Bonding Program'!$S$42=1,'Bonding Program'!$H$42&lt;='Bonding Program'!$C$8,AN$3=IF('Bonding Program'!$P$42&lt;&gt;"",'Bonding Program'!$P$42,'Bonding Program'!$C$8)),'Bonding Program'!$Z$42,0)+IF(AND('Bonding Program'!$P$42&lt;&gt;"",AN$3='Bonding Program'!$P$42,AN$3&lt;='Bonding Program'!$C$8),N('Bonding Program'!$O$42),0)</f>
        <v>0</v>
      </c>
      <c r="AO183" s="19" t="n">
        <f aca="false">IF(AND('Bonding Program'!$S$42=1,'Bonding Program'!$H$42&gt;'Bonding Program'!$C$8,AO$3='Bonding Program'!$H$42),'Bonding Program'!$T$42-'Bonding Program'!$U$42-'Bonding Program'!$Z$42,0)-IF(AND('Bonding Program'!$S$42=1,'Bonding Program'!$H$42&lt;='Bonding Program'!$C$8,AO$3=IF('Bonding Program'!$P$42&lt;&gt;"",'Bonding Program'!$P$42,'Bonding Program'!$C$8)),'Bonding Program'!$Z$42,0)+IF(AND('Bonding Program'!$P$42&lt;&gt;"",AO$3='Bonding Program'!$P$42,AO$3&lt;='Bonding Program'!$C$8),N('Bonding Program'!$O$42),0)</f>
        <v>0</v>
      </c>
      <c r="AP183" s="19" t="n">
        <f aca="false">IF(AND('Bonding Program'!$S$42=1,'Bonding Program'!$H$42&gt;'Bonding Program'!$C$8,AP$3='Bonding Program'!$H$42),'Bonding Program'!$T$42-'Bonding Program'!$U$42-'Bonding Program'!$Z$42,0)-IF(AND('Bonding Program'!$S$42=1,'Bonding Program'!$H$42&lt;='Bonding Program'!$C$8,AP$3=IF('Bonding Program'!$P$42&lt;&gt;"",'Bonding Program'!$P$42,'Bonding Program'!$C$8)),'Bonding Program'!$Z$42,0)+IF(AND('Bonding Program'!$P$42&lt;&gt;"",AP$3='Bonding Program'!$P$42,AP$3&lt;='Bonding Program'!$C$8),N('Bonding Program'!$O$42),0)</f>
        <v>0</v>
      </c>
      <c r="AQ183" s="19" t="n">
        <f aca="false">IF(AND('Bonding Program'!$S$42=1,'Bonding Program'!$H$42&gt;'Bonding Program'!$C$8,AQ$3='Bonding Program'!$H$42),'Bonding Program'!$T$42-'Bonding Program'!$U$42-'Bonding Program'!$Z$42,0)-IF(AND('Bonding Program'!$S$42=1,'Bonding Program'!$H$42&lt;='Bonding Program'!$C$8,AQ$3=IF('Bonding Program'!$P$42&lt;&gt;"",'Bonding Program'!$P$42,'Bonding Program'!$C$8)),'Bonding Program'!$Z$42,0)+IF(AND('Bonding Program'!$P$42&lt;&gt;"",AQ$3='Bonding Program'!$P$42,AQ$3&lt;='Bonding Program'!$C$8),N('Bonding Program'!$O$42),0)</f>
        <v>0</v>
      </c>
      <c r="AR183" s="19" t="n">
        <f aca="false">IF(AND('Bonding Program'!$S$42=1,'Bonding Program'!$H$42&gt;'Bonding Program'!$C$8,AR$3='Bonding Program'!$H$42),'Bonding Program'!$T$42-'Bonding Program'!$U$42-'Bonding Program'!$Z$42,0)-IF(AND('Bonding Program'!$S$42=1,'Bonding Program'!$H$42&lt;='Bonding Program'!$C$8,AR$3=IF('Bonding Program'!$P$42&lt;&gt;"",'Bonding Program'!$P$42,'Bonding Program'!$C$8)),'Bonding Program'!$Z$42,0)+IF(AND('Bonding Program'!$P$42&lt;&gt;"",AR$3='Bonding Program'!$P$42,AR$3&lt;='Bonding Program'!$C$8),N('Bonding Program'!$O$42),0)</f>
        <v>0</v>
      </c>
      <c r="AS183" s="19" t="n">
        <f aca="false">IF(AND('Bonding Program'!$S$42=1,'Bonding Program'!$H$42&gt;'Bonding Program'!$C$8,AS$3='Bonding Program'!$H$42),'Bonding Program'!$T$42-'Bonding Program'!$U$42-'Bonding Program'!$Z$42,0)-IF(AND('Bonding Program'!$S$42=1,'Bonding Program'!$H$42&lt;='Bonding Program'!$C$8,AS$3=IF('Bonding Program'!$P$42&lt;&gt;"",'Bonding Program'!$P$42,'Bonding Program'!$C$8)),'Bonding Program'!$Z$42,0)+IF(AND('Bonding Program'!$P$42&lt;&gt;"",AS$3='Bonding Program'!$P$42,AS$3&lt;='Bonding Program'!$C$8),N('Bonding Program'!$O$42),0)</f>
        <v>0</v>
      </c>
      <c r="AT183" s="19" t="n">
        <f aca="false">IF(AND('Bonding Program'!$S$42=1,'Bonding Program'!$H$42&gt;'Bonding Program'!$C$8,AT$3='Bonding Program'!$H$42),'Bonding Program'!$T$42-'Bonding Program'!$U$42-'Bonding Program'!$Z$42,0)-IF(AND('Bonding Program'!$S$42=1,'Bonding Program'!$H$42&lt;='Bonding Program'!$C$8,AT$3=IF('Bonding Program'!$P$42&lt;&gt;"",'Bonding Program'!$P$42,'Bonding Program'!$C$8)),'Bonding Program'!$Z$42,0)+IF(AND('Bonding Program'!$P$42&lt;&gt;"",AT$3='Bonding Program'!$P$42,AT$3&lt;='Bonding Program'!$C$8),N('Bonding Program'!$O$42),0)</f>
        <v>0</v>
      </c>
      <c r="AU183" s="19" t="n">
        <f aca="false">IF(AND('Bonding Program'!$S$42=1,'Bonding Program'!$H$42&gt;'Bonding Program'!$C$8,AU$3='Bonding Program'!$H$42),'Bonding Program'!$T$42-'Bonding Program'!$U$42-'Bonding Program'!$Z$42,0)-IF(AND('Bonding Program'!$S$42=1,'Bonding Program'!$H$42&lt;='Bonding Program'!$C$8,AU$3=IF('Bonding Program'!$P$42&lt;&gt;"",'Bonding Program'!$P$42,'Bonding Program'!$C$8)),'Bonding Program'!$Z$42,0)+IF(AND('Bonding Program'!$P$42&lt;&gt;"",AU$3='Bonding Program'!$P$42,AU$3&lt;='Bonding Program'!$C$8),N('Bonding Program'!$O$42),0)</f>
        <v>0</v>
      </c>
      <c r="AV183" s="19" t="n">
        <f aca="false">IF(AND('Bonding Program'!$S$42=1,'Bonding Program'!$H$42&gt;'Bonding Program'!$C$8,AV$3='Bonding Program'!$H$42),'Bonding Program'!$T$42-'Bonding Program'!$U$42-'Bonding Program'!$Z$42,0)-IF(AND('Bonding Program'!$S$42=1,'Bonding Program'!$H$42&lt;='Bonding Program'!$C$8,AV$3=IF('Bonding Program'!$P$42&lt;&gt;"",'Bonding Program'!$P$42,'Bonding Program'!$C$8)),'Bonding Program'!$Z$42,0)+IF(AND('Bonding Program'!$P$42&lt;&gt;"",AV$3='Bonding Program'!$P$42,AV$3&lt;='Bonding Program'!$C$8),N('Bonding Program'!$O$42),0)</f>
        <v>0</v>
      </c>
      <c r="AW183" s="19" t="n">
        <f aca="false">IF(AND('Bonding Program'!$S$42=1,'Bonding Program'!$H$42&gt;'Bonding Program'!$C$8,AW$3='Bonding Program'!$H$42),'Bonding Program'!$T$42-'Bonding Program'!$U$42-'Bonding Program'!$Z$42,0)-IF(AND('Bonding Program'!$S$42=1,'Bonding Program'!$H$42&lt;='Bonding Program'!$C$8,AW$3=IF('Bonding Program'!$P$42&lt;&gt;"",'Bonding Program'!$P$42,'Bonding Program'!$C$8)),'Bonding Program'!$Z$42,0)+IF(AND('Bonding Program'!$P$42&lt;&gt;"",AW$3='Bonding Program'!$P$42,AW$3&lt;='Bonding Program'!$C$8),N('Bonding Program'!$O$42),0)</f>
        <v>0</v>
      </c>
      <c r="AX183" s="19" t="n">
        <f aca="false">IF(AND('Bonding Program'!$S$42=1,'Bonding Program'!$H$42&gt;'Bonding Program'!$C$8,AX$3='Bonding Program'!$H$42),'Bonding Program'!$T$42-'Bonding Program'!$U$42-'Bonding Program'!$Z$42,0)-IF(AND('Bonding Program'!$S$42=1,'Bonding Program'!$H$42&lt;='Bonding Program'!$C$8,AX$3=IF('Bonding Program'!$P$42&lt;&gt;"",'Bonding Program'!$P$42,'Bonding Program'!$C$8)),'Bonding Program'!$Z$42,0)+IF(AND('Bonding Program'!$P$42&lt;&gt;"",AX$3='Bonding Program'!$P$42,AX$3&lt;='Bonding Program'!$C$8),N('Bonding Program'!$O$42),0)</f>
        <v>0</v>
      </c>
      <c r="AY183" s="19" t="n">
        <f aca="false">IF(AND('Bonding Program'!$S$42=1,'Bonding Program'!$H$42&gt;'Bonding Program'!$C$8,AY$3='Bonding Program'!$H$42),'Bonding Program'!$T$42-'Bonding Program'!$U$42-'Bonding Program'!$Z$42,0)-IF(AND('Bonding Program'!$S$42=1,'Bonding Program'!$H$42&lt;='Bonding Program'!$C$8,AY$3=IF('Bonding Program'!$P$42&lt;&gt;"",'Bonding Program'!$P$42,'Bonding Program'!$C$8)),'Bonding Program'!$Z$42,0)+IF(AND('Bonding Program'!$P$42&lt;&gt;"",AY$3='Bonding Program'!$P$42,AY$3&lt;='Bonding Program'!$C$8),N('Bonding Program'!$O$42),0)</f>
        <v>0</v>
      </c>
      <c r="AZ183" s="19" t="n">
        <f aca="false">IF(AND('Bonding Program'!$S$42=1,'Bonding Program'!$H$42&gt;'Bonding Program'!$C$8,AZ$3='Bonding Program'!$H$42),'Bonding Program'!$T$42-'Bonding Program'!$U$42-'Bonding Program'!$Z$42,0)-IF(AND('Bonding Program'!$S$42=1,'Bonding Program'!$H$42&lt;='Bonding Program'!$C$8,AZ$3=IF('Bonding Program'!$P$42&lt;&gt;"",'Bonding Program'!$P$42,'Bonding Program'!$C$8)),'Bonding Program'!$Z$42,0)+IF(AND('Bonding Program'!$P$42&lt;&gt;"",AZ$3='Bonding Program'!$P$42,AZ$3&lt;='Bonding Program'!$C$8),N('Bonding Program'!$O$42),0)</f>
        <v>0</v>
      </c>
      <c r="BA183" s="19" t="n">
        <f aca="false">IF(AND('Bonding Program'!$S$42=1,'Bonding Program'!$H$42&gt;'Bonding Program'!$C$8,BA$3='Bonding Program'!$H$42),'Bonding Program'!$T$42-'Bonding Program'!$U$42-'Bonding Program'!$Z$42,0)-IF(AND('Bonding Program'!$S$42=1,'Bonding Program'!$H$42&lt;='Bonding Program'!$C$8,BA$3=IF('Bonding Program'!$P$42&lt;&gt;"",'Bonding Program'!$P$42,'Bonding Program'!$C$8)),'Bonding Program'!$Z$42,0)+IF(AND('Bonding Program'!$P$42&lt;&gt;"",BA$3='Bonding Program'!$P$42,BA$3&lt;='Bonding Program'!$C$8),N('Bonding Program'!$O$42),0)</f>
        <v>0</v>
      </c>
      <c r="BB183" s="19" t="n">
        <f aca="false">IF(AND('Bonding Program'!$S$42=1,'Bonding Program'!$H$42&gt;'Bonding Program'!$C$8,BB$3='Bonding Program'!$H$42),'Bonding Program'!$T$42-'Bonding Program'!$U$42-'Bonding Program'!$Z$42,0)-IF(AND('Bonding Program'!$S$42=1,'Bonding Program'!$H$42&lt;='Bonding Program'!$C$8,BB$3=IF('Bonding Program'!$P$42&lt;&gt;"",'Bonding Program'!$P$42,'Bonding Program'!$C$8)),'Bonding Program'!$Z$42,0)+IF(AND('Bonding Program'!$P$42&lt;&gt;"",BB$3='Bonding Program'!$P$42,BB$3&lt;='Bonding Program'!$C$8),N('Bonding Program'!$O$42),0)</f>
        <v>0</v>
      </c>
      <c r="BC183" s="19" t="n">
        <f aca="false">IF(AND('Bonding Program'!$S$42=1,'Bonding Program'!$H$42&gt;'Bonding Program'!$C$8,BC$3='Bonding Program'!$H$42),'Bonding Program'!$T$42-'Bonding Program'!$U$42-'Bonding Program'!$Z$42,0)-IF(AND('Bonding Program'!$S$42=1,'Bonding Program'!$H$42&lt;='Bonding Program'!$C$8,BC$3=IF('Bonding Program'!$P$42&lt;&gt;"",'Bonding Program'!$P$42,'Bonding Program'!$C$8)),'Bonding Program'!$Z$42,0)+IF(AND('Bonding Program'!$P$42&lt;&gt;"",BC$3='Bonding Program'!$P$42,BC$3&lt;='Bonding Program'!$C$8),N('Bonding Program'!$O$42),0)</f>
        <v>0</v>
      </c>
      <c r="BD183" s="19" t="n">
        <f aca="false">IF(AND('Bonding Program'!$S$42=1,'Bonding Program'!$H$42&gt;'Bonding Program'!$C$8,BD$3='Bonding Program'!$H$42),'Bonding Program'!$T$42-'Bonding Program'!$U$42-'Bonding Program'!$Z$42,0)-IF(AND('Bonding Program'!$S$42=1,'Bonding Program'!$H$42&lt;='Bonding Program'!$C$8,BD$3=IF('Bonding Program'!$P$42&lt;&gt;"",'Bonding Program'!$P$42,'Bonding Program'!$C$8)),'Bonding Program'!$Z$42,0)+IF(AND('Bonding Program'!$P$42&lt;&gt;"",BD$3='Bonding Program'!$P$42,BD$3&lt;='Bonding Program'!$C$8),N('Bonding Program'!$O$42),0)</f>
        <v>0</v>
      </c>
      <c r="BE183" s="19" t="n">
        <f aca="false">IF(AND('Bonding Program'!$S$42=1,'Bonding Program'!$H$42&gt;'Bonding Program'!$C$8,BE$3='Bonding Program'!$H$42),'Bonding Program'!$T$42-'Bonding Program'!$U$42-'Bonding Program'!$Z$42,0)-IF(AND('Bonding Program'!$S$42=1,'Bonding Program'!$H$42&lt;='Bonding Program'!$C$8,BE$3=IF('Bonding Program'!$P$42&lt;&gt;"",'Bonding Program'!$P$42,'Bonding Program'!$C$8)),'Bonding Program'!$Z$42,0)+IF(AND('Bonding Program'!$P$42&lt;&gt;"",BE$3='Bonding Program'!$P$42,BE$3&lt;='Bonding Program'!$C$8),N('Bonding Program'!$O$42),0)</f>
        <v>0</v>
      </c>
      <c r="BF183" s="19" t="n">
        <f aca="false">IF(AND('Bonding Program'!$S$42=1,'Bonding Program'!$H$42&gt;'Bonding Program'!$C$8,BF$3='Bonding Program'!$H$42),'Bonding Program'!$T$42-'Bonding Program'!$U$42-'Bonding Program'!$Z$42,0)-IF(AND('Bonding Program'!$S$42=1,'Bonding Program'!$H$42&lt;='Bonding Program'!$C$8,BF$3=IF('Bonding Program'!$P$42&lt;&gt;"",'Bonding Program'!$P$42,'Bonding Program'!$C$8)),'Bonding Program'!$Z$42,0)+IF(AND('Bonding Program'!$P$42&lt;&gt;"",BF$3='Bonding Program'!$P$42,BF$3&lt;='Bonding Program'!$C$8),N('Bonding Program'!$O$42),0)</f>
        <v>0</v>
      </c>
      <c r="BG183" s="19" t="n">
        <f aca="false">IF(AND('Bonding Program'!$S$42=1,'Bonding Program'!$H$42&gt;'Bonding Program'!$C$8,BG$3='Bonding Program'!$H$42),'Bonding Program'!$T$42-'Bonding Program'!$U$42-'Bonding Program'!$Z$42,0)-IF(AND('Bonding Program'!$S$42=1,'Bonding Program'!$H$42&lt;='Bonding Program'!$C$8,BG$3=IF('Bonding Program'!$P$42&lt;&gt;"",'Bonding Program'!$P$42,'Bonding Program'!$C$8)),'Bonding Program'!$Z$42,0)+IF(AND('Bonding Program'!$P$42&lt;&gt;"",BG$3='Bonding Program'!$P$42,BG$3&lt;='Bonding Program'!$C$8),N('Bonding Program'!$O$42),0)</f>
        <v>0</v>
      </c>
      <c r="BH183" s="19" t="n">
        <f aca="false">IF(AND('Bonding Program'!$S$42=1,'Bonding Program'!$H$42&gt;'Bonding Program'!$C$8,BH$3='Bonding Program'!$H$42),'Bonding Program'!$T$42-'Bonding Program'!$U$42-'Bonding Program'!$Z$42,0)-IF(AND('Bonding Program'!$S$42=1,'Bonding Program'!$H$42&lt;='Bonding Program'!$C$8,BH$3=IF('Bonding Program'!$P$42&lt;&gt;"",'Bonding Program'!$P$42,'Bonding Program'!$C$8)),'Bonding Program'!$Z$42,0)+IF(AND('Bonding Program'!$P$42&lt;&gt;"",BH$3='Bonding Program'!$P$42,BH$3&lt;='Bonding Program'!$C$8),N('Bonding Program'!$O$42),0)</f>
        <v>0</v>
      </c>
      <c r="BI183" s="19" t="n">
        <f aca="false">IF(AND('Bonding Program'!$S$42=1,'Bonding Program'!$H$42&gt;'Bonding Program'!$C$8,BI$3='Bonding Program'!$H$42),'Bonding Program'!$T$42-'Bonding Program'!$U$42-'Bonding Program'!$Z$42,0)-IF(AND('Bonding Program'!$S$42=1,'Bonding Program'!$H$42&lt;='Bonding Program'!$C$8,BI$3=IF('Bonding Program'!$P$42&lt;&gt;"",'Bonding Program'!$P$42,'Bonding Program'!$C$8)),'Bonding Program'!$Z$42,0)+IF(AND('Bonding Program'!$P$42&lt;&gt;"",BI$3='Bonding Program'!$P$42,BI$3&lt;='Bonding Program'!$C$8),N('Bonding Program'!$O$42),0)</f>
        <v>0</v>
      </c>
      <c r="BJ183" s="19" t="n">
        <f aca="false">IF(AND('Bonding Program'!$S$42=1,'Bonding Program'!$H$42&gt;'Bonding Program'!$C$8,BJ$3='Bonding Program'!$H$42),'Bonding Program'!$T$42-'Bonding Program'!$U$42-'Bonding Program'!$Z$42,0)-IF(AND('Bonding Program'!$S$42=1,'Bonding Program'!$H$42&lt;='Bonding Program'!$C$8,BJ$3=IF('Bonding Program'!$P$42&lt;&gt;"",'Bonding Program'!$P$42,'Bonding Program'!$C$8)),'Bonding Program'!$Z$42,0)+IF(AND('Bonding Program'!$P$42&lt;&gt;"",BJ$3='Bonding Program'!$P$42,BJ$3&lt;='Bonding Program'!$C$8),N('Bonding Program'!$O$42),0)</f>
        <v>0</v>
      </c>
      <c r="BK183" s="19" t="n">
        <f aca="false">IF(AND('Bonding Program'!$S$42=1,'Bonding Program'!$H$42&gt;'Bonding Program'!$C$8,BK$3='Bonding Program'!$H$42),'Bonding Program'!$T$42-'Bonding Program'!$U$42-'Bonding Program'!$Z$42,0)-IF(AND('Bonding Program'!$S$42=1,'Bonding Program'!$H$42&lt;='Bonding Program'!$C$8,BK$3=IF('Bonding Program'!$P$42&lt;&gt;"",'Bonding Program'!$P$42,'Bonding Program'!$C$8)),'Bonding Program'!$Z$42,0)+IF(AND('Bonding Program'!$P$42&lt;&gt;"",BK$3='Bonding Program'!$P$42,BK$3&lt;='Bonding Program'!$C$8),N('Bonding Program'!$O$42),0)</f>
        <v>0</v>
      </c>
      <c r="BL183" s="19" t="n">
        <f aca="false">IF(AND('Bonding Program'!$S$42=1,'Bonding Program'!$H$42&gt;'Bonding Program'!$C$8,BL$3='Bonding Program'!$H$42),'Bonding Program'!$T$42-'Bonding Program'!$U$42-'Bonding Program'!$Z$42,0)-IF(AND('Bonding Program'!$S$42=1,'Bonding Program'!$H$42&lt;='Bonding Program'!$C$8,BL$3=IF('Bonding Program'!$P$42&lt;&gt;"",'Bonding Program'!$P$42,'Bonding Program'!$C$8)),'Bonding Program'!$Z$42,0)+IF(AND('Bonding Program'!$P$42&lt;&gt;"",BL$3='Bonding Program'!$P$42,BL$3&lt;='Bonding Program'!$C$8),N('Bonding Program'!$O$42),0)</f>
        <v>0</v>
      </c>
      <c r="BM183" s="19" t="n">
        <f aca="false">IF(AND('Bonding Program'!$S$42=1,'Bonding Program'!$H$42&gt;'Bonding Program'!$C$8,BM$3='Bonding Program'!$H$42),'Bonding Program'!$T$42-'Bonding Program'!$U$42-'Bonding Program'!$Z$42,0)-IF(AND('Bonding Program'!$S$42=1,'Bonding Program'!$H$42&lt;='Bonding Program'!$C$8,BM$3=IF('Bonding Program'!$P$42&lt;&gt;"",'Bonding Program'!$P$42,'Bonding Program'!$C$8)),'Bonding Program'!$Z$42,0)+IF(AND('Bonding Program'!$P$42&lt;&gt;"",BM$3='Bonding Program'!$P$42,BM$3&lt;='Bonding Program'!$C$8),N('Bonding Program'!$O$42),0)</f>
        <v>0</v>
      </c>
      <c r="BN183" s="19" t="n">
        <f aca="false">IF(AND('Bonding Program'!$S$42=1,'Bonding Program'!$H$42&gt;'Bonding Program'!$C$8,BN$3='Bonding Program'!$H$42),'Bonding Program'!$T$42-'Bonding Program'!$U$42-'Bonding Program'!$Z$42,0)-IF(AND('Bonding Program'!$S$42=1,'Bonding Program'!$H$42&lt;='Bonding Program'!$C$8,BN$3=IF('Bonding Program'!$P$42&lt;&gt;"",'Bonding Program'!$P$42,'Bonding Program'!$C$8)),'Bonding Program'!$Z$42,0)+IF(AND('Bonding Program'!$P$42&lt;&gt;"",BN$3='Bonding Program'!$P$42,BN$3&lt;='Bonding Program'!$C$8),N('Bonding Program'!$O$42),0)</f>
        <v>0</v>
      </c>
      <c r="BO183" s="19" t="n">
        <f aca="false">IF(AND('Bonding Program'!$S$42=1,'Bonding Program'!$H$42&gt;'Bonding Program'!$C$8,BO$3='Bonding Program'!$H$42),'Bonding Program'!$T$42-'Bonding Program'!$U$42-'Bonding Program'!$Z$42,0)-IF(AND('Bonding Program'!$S$42=1,'Bonding Program'!$H$42&lt;='Bonding Program'!$C$8,BO$3=IF('Bonding Program'!$P$42&lt;&gt;"",'Bonding Program'!$P$42,'Bonding Program'!$C$8)),'Bonding Program'!$Z$42,0)+IF(AND('Bonding Program'!$P$42&lt;&gt;"",BO$3='Bonding Program'!$P$42,BO$3&lt;='Bonding Program'!$C$8),N('Bonding Program'!$O$42),0)</f>
        <v>0</v>
      </c>
      <c r="BP183" s="19" t="n">
        <f aca="false">IF(AND('Bonding Program'!$S$42=1,'Bonding Program'!$H$42&gt;'Bonding Program'!$C$8,BP$3='Bonding Program'!$H$42),'Bonding Program'!$T$42-'Bonding Program'!$U$42-'Bonding Program'!$Z$42,0)-IF(AND('Bonding Program'!$S$42=1,'Bonding Program'!$H$42&lt;='Bonding Program'!$C$8,BP$3=IF('Bonding Program'!$P$42&lt;&gt;"",'Bonding Program'!$P$42,'Bonding Program'!$C$8)),'Bonding Program'!$Z$42,0)+IF(AND('Bonding Program'!$P$42&lt;&gt;"",BP$3='Bonding Program'!$P$42,BP$3&lt;='Bonding Program'!$C$8),N('Bonding Program'!$O$42),0)</f>
        <v>0</v>
      </c>
      <c r="BQ183" s="19" t="n">
        <f aca="false">IF(AND('Bonding Program'!$S$42=1,'Bonding Program'!$H$42&gt;'Bonding Program'!$C$8,BQ$3='Bonding Program'!$H$42),'Bonding Program'!$T$42-'Bonding Program'!$U$42-'Bonding Program'!$Z$42,0)-IF(AND('Bonding Program'!$S$42=1,'Bonding Program'!$H$42&lt;='Bonding Program'!$C$8,BQ$3=IF('Bonding Program'!$P$42&lt;&gt;"",'Bonding Program'!$P$42,'Bonding Program'!$C$8)),'Bonding Program'!$Z$42,0)+IF(AND('Bonding Program'!$P$42&lt;&gt;"",BQ$3='Bonding Program'!$P$42,BQ$3&lt;='Bonding Program'!$C$8),N('Bonding Program'!$O$42),0)</f>
        <v>0</v>
      </c>
      <c r="BR183" s="19" t="n">
        <f aca="false">IF(AND('Bonding Program'!$S$42=1,'Bonding Program'!$H$42&gt;'Bonding Program'!$C$8,BR$3='Bonding Program'!$H$42),'Bonding Program'!$T$42-'Bonding Program'!$U$42-'Bonding Program'!$Z$42,0)-IF(AND('Bonding Program'!$S$42=1,'Bonding Program'!$H$42&lt;='Bonding Program'!$C$8,BR$3=IF('Bonding Program'!$P$42&lt;&gt;"",'Bonding Program'!$P$42,'Bonding Program'!$C$8)),'Bonding Program'!$Z$42,0)+IF(AND('Bonding Program'!$P$42&lt;&gt;"",BR$3='Bonding Program'!$P$42,BR$3&lt;='Bonding Program'!$C$8),N('Bonding Program'!$O$42),0)</f>
        <v>0</v>
      </c>
      <c r="BS183" s="19" t="n">
        <f aca="false">IF(AND('Bonding Program'!$S$42=1,'Bonding Program'!$H$42&gt;'Bonding Program'!$C$8,BS$3='Bonding Program'!$H$42),'Bonding Program'!$T$42-'Bonding Program'!$U$42-'Bonding Program'!$Z$42,0)-IF(AND('Bonding Program'!$S$42=1,'Bonding Program'!$H$42&lt;='Bonding Program'!$C$8,BS$3=IF('Bonding Program'!$P$42&lt;&gt;"",'Bonding Program'!$P$42,'Bonding Program'!$C$8)),'Bonding Program'!$Z$42,0)+IF(AND('Bonding Program'!$P$42&lt;&gt;"",BS$3='Bonding Program'!$P$42,BS$3&lt;='Bonding Program'!$C$8),N('Bonding Program'!$O$42),0)</f>
        <v>0</v>
      </c>
      <c r="BT183" s="19" t="n">
        <f aca="false">IF(AND('Bonding Program'!$S$42=1,'Bonding Program'!$H$42&gt;'Bonding Program'!$C$8,BT$3='Bonding Program'!$H$42),'Bonding Program'!$T$42-'Bonding Program'!$U$42-'Bonding Program'!$Z$42,0)-IF(AND('Bonding Program'!$S$42=1,'Bonding Program'!$H$42&lt;='Bonding Program'!$C$8,BT$3=IF('Bonding Program'!$P$42&lt;&gt;"",'Bonding Program'!$P$42,'Bonding Program'!$C$8)),'Bonding Program'!$Z$42,0)+IF(AND('Bonding Program'!$P$42&lt;&gt;"",BT$3='Bonding Program'!$P$42,BT$3&lt;='Bonding Program'!$C$8),N('Bonding Program'!$O$42),0)</f>
        <v>0</v>
      </c>
      <c r="BU183" s="19" t="n">
        <f aca="false">IF(AND('Bonding Program'!$S$42=1,'Bonding Program'!$H$42&gt;'Bonding Program'!$C$8,BU$3='Bonding Program'!$H$42),'Bonding Program'!$T$42-'Bonding Program'!$U$42-'Bonding Program'!$Z$42,0)-IF(AND('Bonding Program'!$S$42=1,'Bonding Program'!$H$42&lt;='Bonding Program'!$C$8,BU$3=IF('Bonding Program'!$P$42&lt;&gt;"",'Bonding Program'!$P$42,'Bonding Program'!$C$8)),'Bonding Program'!$Z$42,0)+IF(AND('Bonding Program'!$P$42&lt;&gt;"",BU$3='Bonding Program'!$P$42,BU$3&lt;='Bonding Program'!$C$8),N('Bonding Program'!$O$42),0)</f>
        <v>0</v>
      </c>
      <c r="BV183" s="19" t="n">
        <f aca="false">IF(AND('Bonding Program'!$S$42=1,'Bonding Program'!$H$42&gt;'Bonding Program'!$C$8,BV$3='Bonding Program'!$H$42),'Bonding Program'!$T$42-'Bonding Program'!$U$42-'Bonding Program'!$Z$42,0)-IF(AND('Bonding Program'!$S$42=1,'Bonding Program'!$H$42&lt;='Bonding Program'!$C$8,BV$3=IF('Bonding Program'!$P$42&lt;&gt;"",'Bonding Program'!$P$42,'Bonding Program'!$C$8)),'Bonding Program'!$Z$42,0)+IF(AND('Bonding Program'!$P$42&lt;&gt;"",BV$3='Bonding Program'!$P$42,BV$3&lt;='Bonding Program'!$C$8),N('Bonding Program'!$O$42),0)</f>
        <v>0</v>
      </c>
      <c r="BW183" s="19" t="n">
        <f aca="false">IF(AND('Bonding Program'!$S$42=1,'Bonding Program'!$H$42&gt;'Bonding Program'!$C$8,BW$3='Bonding Program'!$H$42),'Bonding Program'!$T$42-'Bonding Program'!$U$42-'Bonding Program'!$Z$42,0)-IF(AND('Bonding Program'!$S$42=1,'Bonding Program'!$H$42&lt;='Bonding Program'!$C$8,BW$3=IF('Bonding Program'!$P$42&lt;&gt;"",'Bonding Program'!$P$42,'Bonding Program'!$C$8)),'Bonding Program'!$Z$42,0)+IF(AND('Bonding Program'!$P$42&lt;&gt;"",BW$3='Bonding Program'!$P$42,BW$3&lt;='Bonding Program'!$C$8),N('Bonding Program'!$O$42),0)</f>
        <v>0</v>
      </c>
      <c r="BX183" s="19" t="n">
        <f aca="false">IF(AND('Bonding Program'!$S$42=1,'Bonding Program'!$H$42&gt;'Bonding Program'!$C$8,BX$3='Bonding Program'!$H$42),'Bonding Program'!$T$42-'Bonding Program'!$U$42-'Bonding Program'!$Z$42,0)-IF(AND('Bonding Program'!$S$42=1,'Bonding Program'!$H$42&lt;='Bonding Program'!$C$8,BX$3=IF('Bonding Program'!$P$42&lt;&gt;"",'Bonding Program'!$P$42,'Bonding Program'!$C$8)),'Bonding Program'!$Z$42,0)+IF(AND('Bonding Program'!$P$42&lt;&gt;"",BX$3='Bonding Program'!$P$42,BX$3&lt;='Bonding Program'!$C$8),N('Bonding Program'!$O$42),0)</f>
        <v>0</v>
      </c>
      <c r="BY183" s="19" t="n">
        <f aca="false">IF(AND('Bonding Program'!$S$42=1,'Bonding Program'!$H$42&gt;'Bonding Program'!$C$8,BY$3='Bonding Program'!$H$42),'Bonding Program'!$T$42-'Bonding Program'!$U$42-'Bonding Program'!$Z$42,0)-IF(AND('Bonding Program'!$S$42=1,'Bonding Program'!$H$42&lt;='Bonding Program'!$C$8,BY$3=IF('Bonding Program'!$P$42&lt;&gt;"",'Bonding Program'!$P$42,'Bonding Program'!$C$8)),'Bonding Program'!$Z$42,0)+IF(AND('Bonding Program'!$P$42&lt;&gt;"",BY$3='Bonding Program'!$P$42,BY$3&lt;='Bonding Program'!$C$8),N('Bonding Program'!$O$42),0)</f>
        <v>0</v>
      </c>
      <c r="BZ183" s="19" t="n">
        <f aca="false">IF(AND('Bonding Program'!$S$42=1,'Bonding Program'!$H$42&gt;'Bonding Program'!$C$8,BZ$3='Bonding Program'!$H$42),'Bonding Program'!$T$42-'Bonding Program'!$U$42-'Bonding Program'!$Z$42,0)-IF(AND('Bonding Program'!$S$42=1,'Bonding Program'!$H$42&lt;='Bonding Program'!$C$8,BZ$3=IF('Bonding Program'!$P$42&lt;&gt;"",'Bonding Program'!$P$42,'Bonding Program'!$C$8)),'Bonding Program'!$Z$42,0)+IF(AND('Bonding Program'!$P$42&lt;&gt;"",BZ$3='Bonding Program'!$P$42,BZ$3&lt;='Bonding Program'!$C$8),N('Bonding Program'!$O$42),0)</f>
        <v>0</v>
      </c>
      <c r="CA183" s="19" t="n">
        <f aca="false">IF(AND('Bonding Program'!$S$42=1,'Bonding Program'!$H$42&gt;'Bonding Program'!$C$8,CA$3='Bonding Program'!$H$42),'Bonding Program'!$T$42-'Bonding Program'!$U$42-'Bonding Program'!$Z$42,0)-IF(AND('Bonding Program'!$S$42=1,'Bonding Program'!$H$42&lt;='Bonding Program'!$C$8,CA$3=IF('Bonding Program'!$P$42&lt;&gt;"",'Bonding Program'!$P$42,'Bonding Program'!$C$8)),'Bonding Program'!$Z$42,0)+IF(AND('Bonding Program'!$P$42&lt;&gt;"",CA$3='Bonding Program'!$P$42,CA$3&lt;='Bonding Program'!$C$8),N('Bonding Program'!$O$42),0)</f>
        <v>0</v>
      </c>
      <c r="CB183" s="19" t="n">
        <f aca="false">IF(AND('Bonding Program'!$S$42=1,'Bonding Program'!$H$42&gt;'Bonding Program'!$C$8,CB$3='Bonding Program'!$H$42),'Bonding Program'!$T$42-'Bonding Program'!$U$42-'Bonding Program'!$Z$42,0)-IF(AND('Bonding Program'!$S$42=1,'Bonding Program'!$H$42&lt;='Bonding Program'!$C$8,CB$3=IF('Bonding Program'!$P$42&lt;&gt;"",'Bonding Program'!$P$42,'Bonding Program'!$C$8)),'Bonding Program'!$Z$42,0)+IF(AND('Bonding Program'!$P$42&lt;&gt;"",CB$3='Bonding Program'!$P$42,CB$3&lt;='Bonding Program'!$C$8),N('Bonding Program'!$O$42),0)</f>
        <v>0</v>
      </c>
      <c r="CC183" s="19" t="n">
        <f aca="false">IF(AND('Bonding Program'!$S$42=1,'Bonding Program'!$H$42&gt;'Bonding Program'!$C$8,CC$3='Bonding Program'!$H$42),'Bonding Program'!$T$42-'Bonding Program'!$U$42-'Bonding Program'!$Z$42,0)-IF(AND('Bonding Program'!$S$42=1,'Bonding Program'!$H$42&lt;='Bonding Program'!$C$8,CC$3=IF('Bonding Program'!$P$42&lt;&gt;"",'Bonding Program'!$P$42,'Bonding Program'!$C$8)),'Bonding Program'!$Z$42,0)+IF(AND('Bonding Program'!$P$42&lt;&gt;"",CC$3='Bonding Program'!$P$42,CC$3&lt;='Bonding Program'!$C$8),N('Bonding Program'!$O$42),0)</f>
        <v>0</v>
      </c>
      <c r="CD183" s="19" t="n">
        <f aca="false">IF(AND('Bonding Program'!$S$42=1,'Bonding Program'!$H$42&gt;'Bonding Program'!$C$8,CD$3='Bonding Program'!$H$42),'Bonding Program'!$T$42-'Bonding Program'!$U$42-'Bonding Program'!$Z$42,0)-IF(AND('Bonding Program'!$S$42=1,'Bonding Program'!$H$42&lt;='Bonding Program'!$C$8,CD$3=IF('Bonding Program'!$P$42&lt;&gt;"",'Bonding Program'!$P$42,'Bonding Program'!$C$8)),'Bonding Program'!$Z$42,0)+IF(AND('Bonding Program'!$P$42&lt;&gt;"",CD$3='Bonding Program'!$P$42,CD$3&lt;='Bonding Program'!$C$8),N('Bonding Program'!$O$42),0)</f>
        <v>0</v>
      </c>
      <c r="CE183" s="19" t="n">
        <f aca="false">IF(AND('Bonding Program'!$S$42=1,'Bonding Program'!$H$42&gt;'Bonding Program'!$C$8,CE$3='Bonding Program'!$H$42),'Bonding Program'!$T$42-'Bonding Program'!$U$42-'Bonding Program'!$Z$42,0)-IF(AND('Bonding Program'!$S$42=1,'Bonding Program'!$H$42&lt;='Bonding Program'!$C$8,CE$3=IF('Bonding Program'!$P$42&lt;&gt;"",'Bonding Program'!$P$42,'Bonding Program'!$C$8)),'Bonding Program'!$Z$42,0)+IF(AND('Bonding Program'!$P$42&lt;&gt;"",CE$3='Bonding Program'!$P$42,CE$3&lt;='Bonding Program'!$C$8),N('Bonding Program'!$O$42),0)</f>
        <v>0</v>
      </c>
      <c r="CF183" s="19" t="n">
        <f aca="false">IF(AND('Bonding Program'!$S$42=1,'Bonding Program'!$H$42&gt;'Bonding Program'!$C$8,CF$3='Bonding Program'!$H$42),'Bonding Program'!$T$42-'Bonding Program'!$U$42-'Bonding Program'!$Z$42,0)-IF(AND('Bonding Program'!$S$42=1,'Bonding Program'!$H$42&lt;='Bonding Program'!$C$8,CF$3=IF('Bonding Program'!$P$42&lt;&gt;"",'Bonding Program'!$P$42,'Bonding Program'!$C$8)),'Bonding Program'!$Z$42,0)+IF(AND('Bonding Program'!$P$42&lt;&gt;"",CF$3='Bonding Program'!$P$42,CF$3&lt;='Bonding Program'!$C$8),N('Bonding Program'!$O$42),0)</f>
        <v>0</v>
      </c>
      <c r="CG183" s="19" t="n">
        <f aca="false">IF(AND('Bonding Program'!$S$42=1,'Bonding Program'!$H$42&gt;'Bonding Program'!$C$8,CG$3='Bonding Program'!$H$42),'Bonding Program'!$T$42-'Bonding Program'!$U$42-'Bonding Program'!$Z$42,0)-IF(AND('Bonding Program'!$S$42=1,'Bonding Program'!$H$42&lt;='Bonding Program'!$C$8,CG$3=IF('Bonding Program'!$P$42&lt;&gt;"",'Bonding Program'!$P$42,'Bonding Program'!$C$8)),'Bonding Program'!$Z$42,0)+IF(AND('Bonding Program'!$P$42&lt;&gt;"",CG$3='Bonding Program'!$P$42,CG$3&lt;='Bonding Program'!$C$8),N('Bonding Program'!$O$42),0)</f>
        <v>0</v>
      </c>
      <c r="CH183" s="19" t="n">
        <f aca="false">IF(AND('Bonding Program'!$S$42=1,'Bonding Program'!$H$42&gt;'Bonding Program'!$C$8,CH$3='Bonding Program'!$H$42),'Bonding Program'!$T$42-'Bonding Program'!$U$42-'Bonding Program'!$Z$42,0)-IF(AND('Bonding Program'!$S$42=1,'Bonding Program'!$H$42&lt;='Bonding Program'!$C$8,CH$3=IF('Bonding Program'!$P$42&lt;&gt;"",'Bonding Program'!$P$42,'Bonding Program'!$C$8)),'Bonding Program'!$Z$42,0)+IF(AND('Bonding Program'!$P$42&lt;&gt;"",CH$3='Bonding Program'!$P$42,CH$3&lt;='Bonding Program'!$C$8),N('Bonding Program'!$O$42),0)</f>
        <v>0</v>
      </c>
      <c r="CI183" s="19" t="n">
        <f aca="false">IF(AND('Bonding Program'!$S$42=1,'Bonding Program'!$H$42&gt;'Bonding Program'!$C$8,CI$3='Bonding Program'!$H$42),'Bonding Program'!$T$42-'Bonding Program'!$U$42-'Bonding Program'!$Z$42,0)-IF(AND('Bonding Program'!$S$42=1,'Bonding Program'!$H$42&lt;='Bonding Program'!$C$8,CI$3=IF('Bonding Program'!$P$42&lt;&gt;"",'Bonding Program'!$P$42,'Bonding Program'!$C$8)),'Bonding Program'!$Z$42,0)+IF(AND('Bonding Program'!$P$42&lt;&gt;"",CI$3='Bonding Program'!$P$42,CI$3&lt;='Bonding Program'!$C$8),N('Bonding Program'!$O$42),0)</f>
        <v>0</v>
      </c>
      <c r="CJ183" s="19" t="n">
        <f aca="false">IF(AND('Bonding Program'!$S$42=1,'Bonding Program'!$H$42&gt;'Bonding Program'!$C$8,CJ$3='Bonding Program'!$H$42),'Bonding Program'!$T$42-'Bonding Program'!$U$42-'Bonding Program'!$Z$42,0)-IF(AND('Bonding Program'!$S$42=1,'Bonding Program'!$H$42&lt;='Bonding Program'!$C$8,CJ$3=IF('Bonding Program'!$P$42&lt;&gt;"",'Bonding Program'!$P$42,'Bonding Program'!$C$8)),'Bonding Program'!$Z$42,0)+IF(AND('Bonding Program'!$P$42&lt;&gt;"",CJ$3='Bonding Program'!$P$42,CJ$3&lt;='Bonding Program'!$C$8),N('Bonding Program'!$O$42),0)</f>
        <v>0</v>
      </c>
      <c r="CK183" s="19" t="n">
        <f aca="false">IF(AND('Bonding Program'!$S$42=1,'Bonding Program'!$H$42&gt;'Bonding Program'!$C$8,CK$3='Bonding Program'!$H$42),'Bonding Program'!$T$42-'Bonding Program'!$U$42-'Bonding Program'!$Z$42,0)-IF(AND('Bonding Program'!$S$42=1,'Bonding Program'!$H$42&lt;='Bonding Program'!$C$8,CK$3=IF('Bonding Program'!$P$42&lt;&gt;"",'Bonding Program'!$P$42,'Bonding Program'!$C$8)),'Bonding Program'!$Z$42,0)+IF(AND('Bonding Program'!$P$42&lt;&gt;"",CK$3='Bonding Program'!$P$42,CK$3&lt;='Bonding Program'!$C$8),N('Bonding Program'!$O$42),0)</f>
        <v>0</v>
      </c>
      <c r="CL183" s="19" t="n">
        <f aca="false">IF(AND('Bonding Program'!$S$42=1,'Bonding Program'!$H$42&gt;'Bonding Program'!$C$8,CL$3='Bonding Program'!$H$42),'Bonding Program'!$T$42-'Bonding Program'!$U$42-'Bonding Program'!$Z$42,0)-IF(AND('Bonding Program'!$S$42=1,'Bonding Program'!$H$42&lt;='Bonding Program'!$C$8,CL$3=IF('Bonding Program'!$P$42&lt;&gt;"",'Bonding Program'!$P$42,'Bonding Program'!$C$8)),'Bonding Program'!$Z$42,0)+IF(AND('Bonding Program'!$P$42&lt;&gt;"",CL$3='Bonding Program'!$P$42,CL$3&lt;='Bonding Program'!$C$8),N('Bonding Program'!$O$42),0)</f>
        <v>0</v>
      </c>
      <c r="CM183" s="19" t="n">
        <f aca="false">IF(AND('Bonding Program'!$S$42=1,'Bonding Program'!$H$42&gt;'Bonding Program'!$C$8,CM$3='Bonding Program'!$H$42),'Bonding Program'!$T$42-'Bonding Program'!$U$42-'Bonding Program'!$Z$42,0)-IF(AND('Bonding Program'!$S$42=1,'Bonding Program'!$H$42&lt;='Bonding Program'!$C$8,CM$3=IF('Bonding Program'!$P$42&lt;&gt;"",'Bonding Program'!$P$42,'Bonding Program'!$C$8)),'Bonding Program'!$Z$42,0)+IF(AND('Bonding Program'!$P$42&lt;&gt;"",CM$3='Bonding Program'!$P$42,CM$3&lt;='Bonding Program'!$C$8),N('Bonding Program'!$O$42),0)</f>
        <v>0</v>
      </c>
      <c r="CN183" s="19" t="n">
        <f aca="false">IF(AND('Bonding Program'!$S$42=1,'Bonding Program'!$H$42&gt;'Bonding Program'!$C$8,CN$3='Bonding Program'!$H$42),'Bonding Program'!$T$42-'Bonding Program'!$U$42-'Bonding Program'!$Z$42,0)-IF(AND('Bonding Program'!$S$42=1,'Bonding Program'!$H$42&lt;='Bonding Program'!$C$8,CN$3=IF('Bonding Program'!$P$42&lt;&gt;"",'Bonding Program'!$P$42,'Bonding Program'!$C$8)),'Bonding Program'!$Z$42,0)+IF(AND('Bonding Program'!$P$42&lt;&gt;"",CN$3='Bonding Program'!$P$42,CN$3&lt;='Bonding Program'!$C$8),N('Bonding Program'!$O$42),0)</f>
        <v>0</v>
      </c>
      <c r="CO183" s="19" t="n">
        <f aca="false">IF(AND('Bonding Program'!$S$42=1,'Bonding Program'!$H$42&gt;'Bonding Program'!$C$8,CO$3='Bonding Program'!$H$42),'Bonding Program'!$T$42-'Bonding Program'!$U$42-'Bonding Program'!$Z$42,0)-IF(AND('Bonding Program'!$S$42=1,'Bonding Program'!$H$42&lt;='Bonding Program'!$C$8,CO$3=IF('Bonding Program'!$P$42&lt;&gt;"",'Bonding Program'!$P$42,'Bonding Program'!$C$8)),'Bonding Program'!$Z$42,0)+IF(AND('Bonding Program'!$P$42&lt;&gt;"",CO$3='Bonding Program'!$P$42,CO$3&lt;='Bonding Program'!$C$8),N('Bonding Program'!$O$42),0)</f>
        <v>0</v>
      </c>
      <c r="CP183" s="19" t="n">
        <f aca="false">IF(AND('Bonding Program'!$S$42=1,'Bonding Program'!$H$42&gt;'Bonding Program'!$C$8,CP$3='Bonding Program'!$H$42),'Bonding Program'!$T$42-'Bonding Program'!$U$42-'Bonding Program'!$Z$42,0)-IF(AND('Bonding Program'!$S$42=1,'Bonding Program'!$H$42&lt;='Bonding Program'!$C$8,CP$3=IF('Bonding Program'!$P$42&lt;&gt;"",'Bonding Program'!$P$42,'Bonding Program'!$C$8)),'Bonding Program'!$Z$42,0)+IF(AND('Bonding Program'!$P$42&lt;&gt;"",CP$3='Bonding Program'!$P$42,CP$3&lt;='Bonding Program'!$C$8),N('Bonding Program'!$O$42),0)</f>
        <v>0</v>
      </c>
      <c r="CQ183" s="19" t="n">
        <f aca="false">IF(AND('Bonding Program'!$S$42=1,'Bonding Program'!$H$42&gt;'Bonding Program'!$C$8,CQ$3='Bonding Program'!$H$42),'Bonding Program'!$T$42-'Bonding Program'!$U$42-'Bonding Program'!$Z$42,0)-IF(AND('Bonding Program'!$S$42=1,'Bonding Program'!$H$42&lt;='Bonding Program'!$C$8,CQ$3=IF('Bonding Program'!$P$42&lt;&gt;"",'Bonding Program'!$P$42,'Bonding Program'!$C$8)),'Bonding Program'!$Z$42,0)+IF(AND('Bonding Program'!$P$42&lt;&gt;"",CQ$3='Bonding Program'!$P$42,CQ$3&lt;='Bonding Program'!$C$8),N('Bonding Program'!$O$42),0)</f>
        <v>0</v>
      </c>
      <c r="CR183" s="19" t="n">
        <f aca="false">IF(AND('Bonding Program'!$S$42=1,'Bonding Program'!$H$42&gt;'Bonding Program'!$C$8,CR$3='Bonding Program'!$H$42),'Bonding Program'!$T$42-'Bonding Program'!$U$42-'Bonding Program'!$Z$42,0)-IF(AND('Bonding Program'!$S$42=1,'Bonding Program'!$H$42&lt;='Bonding Program'!$C$8,CR$3=IF('Bonding Program'!$P$42&lt;&gt;"",'Bonding Program'!$P$42,'Bonding Program'!$C$8)),'Bonding Program'!$Z$42,0)+IF(AND('Bonding Program'!$P$42&lt;&gt;"",CR$3='Bonding Program'!$P$42,CR$3&lt;='Bonding Program'!$C$8),N('Bonding Program'!$O$42),0)</f>
        <v>0</v>
      </c>
      <c r="CS183" s="19" t="n">
        <f aca="false">IF(AND('Bonding Program'!$S$42=1,'Bonding Program'!$H$42&gt;'Bonding Program'!$C$8,CS$3='Bonding Program'!$H$42),'Bonding Program'!$T$42-'Bonding Program'!$U$42-'Bonding Program'!$Z$42,0)-IF(AND('Bonding Program'!$S$42=1,'Bonding Program'!$H$42&lt;='Bonding Program'!$C$8,CS$3=IF('Bonding Program'!$P$42&lt;&gt;"",'Bonding Program'!$P$42,'Bonding Program'!$C$8)),'Bonding Program'!$Z$42,0)+IF(AND('Bonding Program'!$P$42&lt;&gt;"",CS$3='Bonding Program'!$P$42,CS$3&lt;='Bonding Program'!$C$8),N('Bonding Program'!$O$42),0)</f>
        <v>0</v>
      </c>
      <c r="CT183" s="19" t="n">
        <f aca="false">IF(AND('Bonding Program'!$S$42=1,'Bonding Program'!$H$42&gt;'Bonding Program'!$C$8,CT$3='Bonding Program'!$H$42),'Bonding Program'!$T$42-'Bonding Program'!$U$42-'Bonding Program'!$Z$42,0)-IF(AND('Bonding Program'!$S$42=1,'Bonding Program'!$H$42&lt;='Bonding Program'!$C$8,CT$3=IF('Bonding Program'!$P$42&lt;&gt;"",'Bonding Program'!$P$42,'Bonding Program'!$C$8)),'Bonding Program'!$Z$42,0)+IF(AND('Bonding Program'!$P$42&lt;&gt;"",CT$3='Bonding Program'!$P$42,CT$3&lt;='Bonding Program'!$C$8),N('Bonding Program'!$O$42),0)</f>
        <v>0</v>
      </c>
      <c r="CU183" s="19" t="n">
        <f aca="false">IF(AND('Bonding Program'!$S$42=1,'Bonding Program'!$H$42&gt;'Bonding Program'!$C$8,CU$3='Bonding Program'!$H$42),'Bonding Program'!$T$42-'Bonding Program'!$U$42-'Bonding Program'!$Z$42,0)-IF(AND('Bonding Program'!$S$42=1,'Bonding Program'!$H$42&lt;='Bonding Program'!$C$8,CU$3=IF('Bonding Program'!$P$42&lt;&gt;"",'Bonding Program'!$P$42,'Bonding Program'!$C$8)),'Bonding Program'!$Z$42,0)+IF(AND('Bonding Program'!$P$42&lt;&gt;"",CU$3='Bonding Program'!$P$42,CU$3&lt;='Bonding Program'!$C$8),N('Bonding Program'!$O$42),0)</f>
        <v>0</v>
      </c>
      <c r="CV183" s="19" t="n">
        <f aca="false">IF(AND('Bonding Program'!$S$42=1,'Bonding Program'!$H$42&gt;'Bonding Program'!$C$8,CV$3='Bonding Program'!$H$42),'Bonding Program'!$T$42-'Bonding Program'!$U$42-'Bonding Program'!$Z$42,0)-IF(AND('Bonding Program'!$S$42=1,'Bonding Program'!$H$42&lt;='Bonding Program'!$C$8,CV$3=IF('Bonding Program'!$P$42&lt;&gt;"",'Bonding Program'!$P$42,'Bonding Program'!$C$8)),'Bonding Program'!$Z$42,0)+IF(AND('Bonding Program'!$P$42&lt;&gt;"",CV$3='Bonding Program'!$P$42,CV$3&lt;='Bonding Program'!$C$8),N('Bonding Program'!$O$42),0)</f>
        <v>0</v>
      </c>
      <c r="CW183" s="19" t="n">
        <f aca="false">IF(AND('Bonding Program'!$S$42=1,'Bonding Program'!$H$42&gt;'Bonding Program'!$C$8,CW$3='Bonding Program'!$H$42),'Bonding Program'!$T$42-'Bonding Program'!$U$42-'Bonding Program'!$Z$42,0)-IF(AND('Bonding Program'!$S$42=1,'Bonding Program'!$H$42&lt;='Bonding Program'!$C$8,CW$3=IF('Bonding Program'!$P$42&lt;&gt;"",'Bonding Program'!$P$42,'Bonding Program'!$C$8)),'Bonding Program'!$Z$42,0)+IF(AND('Bonding Program'!$P$42&lt;&gt;"",CW$3='Bonding Program'!$P$42,CW$3&lt;='Bonding Program'!$C$8),N('Bonding Program'!$O$42),0)</f>
        <v>0</v>
      </c>
      <c r="CX183" s="19" t="n">
        <f aca="false">IF(AND('Bonding Program'!$S$42=1,'Bonding Program'!$H$42&gt;'Bonding Program'!$C$8,CX$3='Bonding Program'!$H$42),'Bonding Program'!$T$42-'Bonding Program'!$U$42-'Bonding Program'!$Z$42,0)-IF(AND('Bonding Program'!$S$42=1,'Bonding Program'!$H$42&lt;='Bonding Program'!$C$8,CX$3=IF('Bonding Program'!$P$42&lt;&gt;"",'Bonding Program'!$P$42,'Bonding Program'!$C$8)),'Bonding Program'!$Z$42,0)+IF(AND('Bonding Program'!$P$42&lt;&gt;"",CX$3='Bonding Program'!$P$42,CX$3&lt;='Bonding Program'!$C$8),N('Bonding Program'!$O$42),0)</f>
        <v>0</v>
      </c>
      <c r="CY183" s="19" t="n">
        <f aca="false">IF(AND('Bonding Program'!$S$42=1,'Bonding Program'!$H$42&gt;'Bonding Program'!$C$8,CY$3='Bonding Program'!$H$42),'Bonding Program'!$T$42-'Bonding Program'!$U$42-'Bonding Program'!$Z$42,0)-IF(AND('Bonding Program'!$S$42=1,'Bonding Program'!$H$42&lt;='Bonding Program'!$C$8,CY$3=IF('Bonding Program'!$P$42&lt;&gt;"",'Bonding Program'!$P$42,'Bonding Program'!$C$8)),'Bonding Program'!$Z$42,0)+IF(AND('Bonding Program'!$P$42&lt;&gt;"",CY$3='Bonding Program'!$P$42,CY$3&lt;='Bonding Program'!$C$8),N('Bonding Program'!$O$42),0)</f>
        <v>0</v>
      </c>
      <c r="CZ183" s="19" t="n">
        <f aca="false">IF(AND('Bonding Program'!$S$42=1,'Bonding Program'!$H$42&gt;'Bonding Program'!$C$8,CZ$3='Bonding Program'!$H$42),'Bonding Program'!$T$42-'Bonding Program'!$U$42-'Bonding Program'!$Z$42,0)-IF(AND('Bonding Program'!$S$42=1,'Bonding Program'!$H$42&lt;='Bonding Program'!$C$8,CZ$3=IF('Bonding Program'!$P$42&lt;&gt;"",'Bonding Program'!$P$42,'Bonding Program'!$C$8)),'Bonding Program'!$Z$42,0)+IF(AND('Bonding Program'!$P$42&lt;&gt;"",CZ$3='Bonding Program'!$P$42,CZ$3&lt;='Bonding Program'!$C$8),N('Bonding Program'!$O$42),0)</f>
        <v>0</v>
      </c>
      <c r="DA183" s="19" t="n">
        <f aca="false">IF(AND('Bonding Program'!$S$42=1,'Bonding Program'!$H$42&gt;'Bonding Program'!$C$8,DA$3='Bonding Program'!$H$42),'Bonding Program'!$T$42-'Bonding Program'!$U$42-'Bonding Program'!$Z$42,0)-IF(AND('Bonding Program'!$S$42=1,'Bonding Program'!$H$42&lt;='Bonding Program'!$C$8,DA$3=IF('Bonding Program'!$P$42&lt;&gt;"",'Bonding Program'!$P$42,'Bonding Program'!$C$8)),'Bonding Program'!$Z$42,0)+IF(AND('Bonding Program'!$P$42&lt;&gt;"",DA$3='Bonding Program'!$P$42,DA$3&lt;='Bonding Program'!$C$8),N('Bonding Program'!$O$42),0)</f>
        <v>0</v>
      </c>
      <c r="DB183" s="19" t="n">
        <f aca="false">IF(AND('Bonding Program'!$S$42=1,'Bonding Program'!$H$42&gt;'Bonding Program'!$C$8,DB$3='Bonding Program'!$H$42),'Bonding Program'!$T$42-'Bonding Program'!$U$42-'Bonding Program'!$Z$42,0)-IF(AND('Bonding Program'!$S$42=1,'Bonding Program'!$H$42&lt;='Bonding Program'!$C$8,DB$3=IF('Bonding Program'!$P$42&lt;&gt;"",'Bonding Program'!$P$42,'Bonding Program'!$C$8)),'Bonding Program'!$Z$42,0)+IF(AND('Bonding Program'!$P$42&lt;&gt;"",DB$3='Bonding Program'!$P$42,DB$3&lt;='Bonding Program'!$C$8),N('Bonding Program'!$O$42),0)</f>
        <v>0</v>
      </c>
      <c r="DC183" s="19" t="n">
        <f aca="false">IF(AND('Bonding Program'!$S$42=1,'Bonding Program'!$H$42&gt;'Bonding Program'!$C$8,DC$3='Bonding Program'!$H$42),'Bonding Program'!$T$42-'Bonding Program'!$U$42-'Bonding Program'!$Z$42,0)-IF(AND('Bonding Program'!$S$42=1,'Bonding Program'!$H$42&lt;='Bonding Program'!$C$8,DC$3=IF('Bonding Program'!$P$42&lt;&gt;"",'Bonding Program'!$P$42,'Bonding Program'!$C$8)),'Bonding Program'!$Z$42,0)+IF(AND('Bonding Program'!$P$42&lt;&gt;"",DC$3='Bonding Program'!$P$42,DC$3&lt;='Bonding Program'!$C$8),N('Bonding Program'!$O$42),0)</f>
        <v>0</v>
      </c>
      <c r="DD183" s="19" t="n">
        <f aca="false">IF(AND('Bonding Program'!$S$42=1,'Bonding Program'!$H$42&gt;'Bonding Program'!$C$8,DD$3='Bonding Program'!$H$42),'Bonding Program'!$T$42-'Bonding Program'!$U$42-'Bonding Program'!$Z$42,0)-IF(AND('Bonding Program'!$S$42=1,'Bonding Program'!$H$42&lt;='Bonding Program'!$C$8,DD$3=IF('Bonding Program'!$P$42&lt;&gt;"",'Bonding Program'!$P$42,'Bonding Program'!$C$8)),'Bonding Program'!$Z$42,0)+IF(AND('Bonding Program'!$P$42&lt;&gt;"",DD$3='Bonding Program'!$P$42,DD$3&lt;='Bonding Program'!$C$8),N('Bonding Program'!$O$42),0)</f>
        <v>0</v>
      </c>
      <c r="DE183" s="19" t="n">
        <f aca="false">IF(AND('Bonding Program'!$S$42=1,'Bonding Program'!$H$42&gt;'Bonding Program'!$C$8,DE$3='Bonding Program'!$H$42),'Bonding Program'!$T$42-'Bonding Program'!$U$42-'Bonding Program'!$Z$42,0)-IF(AND('Bonding Program'!$S$42=1,'Bonding Program'!$H$42&lt;='Bonding Program'!$C$8,DE$3=IF('Bonding Program'!$P$42&lt;&gt;"",'Bonding Program'!$P$42,'Bonding Program'!$C$8)),'Bonding Program'!$Z$42,0)+IF(AND('Bonding Program'!$P$42&lt;&gt;"",DE$3='Bonding Program'!$P$42,DE$3&lt;='Bonding Program'!$C$8),N('Bonding Program'!$O$42),0)</f>
        <v>0</v>
      </c>
    </row>
    <row r="184" customFormat="false" ht="15" hidden="false" customHeight="true" outlineLevel="1" collapsed="false">
      <c r="A184" s="28" t="s">
        <v>39</v>
      </c>
      <c r="B184" s="19" t="n">
        <f aca="false">IF(AND('Bonding Program'!$S$43=1,'Bonding Program'!$H$43&gt;'Bonding Program'!$C$8,B$3='Bonding Program'!$H$43),'Bonding Program'!$T$43-'Bonding Program'!$U$43-'Bonding Program'!$Z$43,0)-IF(AND('Bonding Program'!$S$43=1,'Bonding Program'!$H$43&lt;='Bonding Program'!$C$8,B$3=IF('Bonding Program'!$P$43&lt;&gt;"",'Bonding Program'!$P$43,'Bonding Program'!$C$8)),'Bonding Program'!$Z$43,0)+IF(AND('Bonding Program'!$P$43&lt;&gt;"",B$3='Bonding Program'!$P$43,B$3&lt;='Bonding Program'!$C$8),N('Bonding Program'!$O$43),0)</f>
        <v>0</v>
      </c>
      <c r="C184" s="19" t="n">
        <f aca="false">IF(AND('Bonding Program'!$S$43=1,'Bonding Program'!$H$43&gt;'Bonding Program'!$C$8,C$3='Bonding Program'!$H$43),'Bonding Program'!$T$43-'Bonding Program'!$U$43-'Bonding Program'!$Z$43,0)-IF(AND('Bonding Program'!$S$43=1,'Bonding Program'!$H$43&lt;='Bonding Program'!$C$8,C$3=IF('Bonding Program'!$P$43&lt;&gt;"",'Bonding Program'!$P$43,'Bonding Program'!$C$8)),'Bonding Program'!$Z$43,0)+IF(AND('Bonding Program'!$P$43&lt;&gt;"",C$3='Bonding Program'!$P$43,C$3&lt;='Bonding Program'!$C$8),N('Bonding Program'!$O$43),0)</f>
        <v>0</v>
      </c>
      <c r="D184" s="19" t="n">
        <f aca="false">IF(AND('Bonding Program'!$S$43=1,'Bonding Program'!$H$43&gt;'Bonding Program'!$C$8,D$3='Bonding Program'!$H$43),'Bonding Program'!$T$43-'Bonding Program'!$U$43-'Bonding Program'!$Z$43,0)-IF(AND('Bonding Program'!$S$43=1,'Bonding Program'!$H$43&lt;='Bonding Program'!$C$8,D$3=IF('Bonding Program'!$P$43&lt;&gt;"",'Bonding Program'!$P$43,'Bonding Program'!$C$8)),'Bonding Program'!$Z$43,0)+IF(AND('Bonding Program'!$P$43&lt;&gt;"",D$3='Bonding Program'!$P$43,D$3&lt;='Bonding Program'!$C$8),N('Bonding Program'!$O$43),0)</f>
        <v>0</v>
      </c>
      <c r="E184" s="19" t="n">
        <f aca="false">IF(AND('Bonding Program'!$S$43=1,'Bonding Program'!$H$43&gt;'Bonding Program'!$C$8,E$3='Bonding Program'!$H$43),'Bonding Program'!$T$43-'Bonding Program'!$U$43-'Bonding Program'!$Z$43,0)-IF(AND('Bonding Program'!$S$43=1,'Bonding Program'!$H$43&lt;='Bonding Program'!$C$8,E$3=IF('Bonding Program'!$P$43&lt;&gt;"",'Bonding Program'!$P$43,'Bonding Program'!$C$8)),'Bonding Program'!$Z$43,0)+IF(AND('Bonding Program'!$P$43&lt;&gt;"",E$3='Bonding Program'!$P$43,E$3&lt;='Bonding Program'!$C$8),N('Bonding Program'!$O$43),0)</f>
        <v>0</v>
      </c>
      <c r="F184" s="19" t="n">
        <f aca="false">IF(AND('Bonding Program'!$S$43=1,'Bonding Program'!$H$43&gt;'Bonding Program'!$C$8,F$3='Bonding Program'!$H$43),'Bonding Program'!$T$43-'Bonding Program'!$U$43-'Bonding Program'!$Z$43,0)-IF(AND('Bonding Program'!$S$43=1,'Bonding Program'!$H$43&lt;='Bonding Program'!$C$8,F$3=IF('Bonding Program'!$P$43&lt;&gt;"",'Bonding Program'!$P$43,'Bonding Program'!$C$8)),'Bonding Program'!$Z$43,0)+IF(AND('Bonding Program'!$P$43&lt;&gt;"",F$3='Bonding Program'!$P$43,F$3&lt;='Bonding Program'!$C$8),N('Bonding Program'!$O$43),0)</f>
        <v>0</v>
      </c>
      <c r="G184" s="19" t="n">
        <f aca="false">IF(AND('Bonding Program'!$S$43=1,'Bonding Program'!$H$43&gt;'Bonding Program'!$C$8,G$3='Bonding Program'!$H$43),'Bonding Program'!$T$43-'Bonding Program'!$U$43-'Bonding Program'!$Z$43,0)-IF(AND('Bonding Program'!$S$43=1,'Bonding Program'!$H$43&lt;='Bonding Program'!$C$8,G$3=IF('Bonding Program'!$P$43&lt;&gt;"",'Bonding Program'!$P$43,'Bonding Program'!$C$8)),'Bonding Program'!$Z$43,0)+IF(AND('Bonding Program'!$P$43&lt;&gt;"",G$3='Bonding Program'!$P$43,G$3&lt;='Bonding Program'!$C$8),N('Bonding Program'!$O$43),0)</f>
        <v>0</v>
      </c>
      <c r="H184" s="19" t="n">
        <f aca="false">IF(AND('Bonding Program'!$S$43=1,'Bonding Program'!$H$43&gt;'Bonding Program'!$C$8,H$3='Bonding Program'!$H$43),'Bonding Program'!$T$43-'Bonding Program'!$U$43-'Bonding Program'!$Z$43,0)-IF(AND('Bonding Program'!$S$43=1,'Bonding Program'!$H$43&lt;='Bonding Program'!$C$8,H$3=IF('Bonding Program'!$P$43&lt;&gt;"",'Bonding Program'!$P$43,'Bonding Program'!$C$8)),'Bonding Program'!$Z$43,0)+IF(AND('Bonding Program'!$P$43&lt;&gt;"",H$3='Bonding Program'!$P$43,H$3&lt;='Bonding Program'!$C$8),N('Bonding Program'!$O$43),0)</f>
        <v>0</v>
      </c>
      <c r="I184" s="19" t="n">
        <f aca="false">IF(AND('Bonding Program'!$S$43=1,'Bonding Program'!$H$43&gt;'Bonding Program'!$C$8,I$3='Bonding Program'!$H$43),'Bonding Program'!$T$43-'Bonding Program'!$U$43-'Bonding Program'!$Z$43,0)-IF(AND('Bonding Program'!$S$43=1,'Bonding Program'!$H$43&lt;='Bonding Program'!$C$8,I$3=IF('Bonding Program'!$P$43&lt;&gt;"",'Bonding Program'!$P$43,'Bonding Program'!$C$8)),'Bonding Program'!$Z$43,0)+IF(AND('Bonding Program'!$P$43&lt;&gt;"",I$3='Bonding Program'!$P$43,I$3&lt;='Bonding Program'!$C$8),N('Bonding Program'!$O$43),0)</f>
        <v>0</v>
      </c>
      <c r="J184" s="19" t="n">
        <f aca="false">IF(AND('Bonding Program'!$S$43=1,'Bonding Program'!$H$43&gt;'Bonding Program'!$C$8,J$3='Bonding Program'!$H$43),'Bonding Program'!$T$43-'Bonding Program'!$U$43-'Bonding Program'!$Z$43,0)-IF(AND('Bonding Program'!$S$43=1,'Bonding Program'!$H$43&lt;='Bonding Program'!$C$8,J$3=IF('Bonding Program'!$P$43&lt;&gt;"",'Bonding Program'!$P$43,'Bonding Program'!$C$8)),'Bonding Program'!$Z$43,0)+IF(AND('Bonding Program'!$P$43&lt;&gt;"",J$3='Bonding Program'!$P$43,J$3&lt;='Bonding Program'!$C$8),N('Bonding Program'!$O$43),0)</f>
        <v>0</v>
      </c>
      <c r="K184" s="19" t="n">
        <f aca="false">IF(AND('Bonding Program'!$S$43=1,'Bonding Program'!$H$43&gt;'Bonding Program'!$C$8,K$3='Bonding Program'!$H$43),'Bonding Program'!$T$43-'Bonding Program'!$U$43-'Bonding Program'!$Z$43,0)-IF(AND('Bonding Program'!$S$43=1,'Bonding Program'!$H$43&lt;='Bonding Program'!$C$8,K$3=IF('Bonding Program'!$P$43&lt;&gt;"",'Bonding Program'!$P$43,'Bonding Program'!$C$8)),'Bonding Program'!$Z$43,0)+IF(AND('Bonding Program'!$P$43&lt;&gt;"",K$3='Bonding Program'!$P$43,K$3&lt;='Bonding Program'!$C$8),N('Bonding Program'!$O$43),0)</f>
        <v>0</v>
      </c>
      <c r="L184" s="19" t="n">
        <f aca="false">IF(AND('Bonding Program'!$S$43=1,'Bonding Program'!$H$43&gt;'Bonding Program'!$C$8,L$3='Bonding Program'!$H$43),'Bonding Program'!$T$43-'Bonding Program'!$U$43-'Bonding Program'!$Z$43,0)-IF(AND('Bonding Program'!$S$43=1,'Bonding Program'!$H$43&lt;='Bonding Program'!$C$8,L$3=IF('Bonding Program'!$P$43&lt;&gt;"",'Bonding Program'!$P$43,'Bonding Program'!$C$8)),'Bonding Program'!$Z$43,0)+IF(AND('Bonding Program'!$P$43&lt;&gt;"",L$3='Bonding Program'!$P$43,L$3&lt;='Bonding Program'!$C$8),N('Bonding Program'!$O$43),0)</f>
        <v>0</v>
      </c>
      <c r="M184" s="19" t="n">
        <f aca="false">IF(AND('Bonding Program'!$S$43=1,'Bonding Program'!$H$43&gt;'Bonding Program'!$C$8,M$3='Bonding Program'!$H$43),'Bonding Program'!$T$43-'Bonding Program'!$U$43-'Bonding Program'!$Z$43,0)-IF(AND('Bonding Program'!$S$43=1,'Bonding Program'!$H$43&lt;='Bonding Program'!$C$8,M$3=IF('Bonding Program'!$P$43&lt;&gt;"",'Bonding Program'!$P$43,'Bonding Program'!$C$8)),'Bonding Program'!$Z$43,0)+IF(AND('Bonding Program'!$P$43&lt;&gt;"",M$3='Bonding Program'!$P$43,M$3&lt;='Bonding Program'!$C$8),N('Bonding Program'!$O$43),0)</f>
        <v>0</v>
      </c>
      <c r="N184" s="19" t="n">
        <f aca="false">IF(AND('Bonding Program'!$S$43=1,'Bonding Program'!$H$43&gt;'Bonding Program'!$C$8,N$3='Bonding Program'!$H$43),'Bonding Program'!$T$43-'Bonding Program'!$U$43-'Bonding Program'!$Z$43,0)-IF(AND('Bonding Program'!$S$43=1,'Bonding Program'!$H$43&lt;='Bonding Program'!$C$8,N$3=IF('Bonding Program'!$P$43&lt;&gt;"",'Bonding Program'!$P$43,'Bonding Program'!$C$8)),'Bonding Program'!$Z$43,0)+IF(AND('Bonding Program'!$P$43&lt;&gt;"",N$3='Bonding Program'!$P$43,N$3&lt;='Bonding Program'!$C$8),N('Bonding Program'!$O$43),0)</f>
        <v>0</v>
      </c>
      <c r="O184" s="19" t="n">
        <f aca="false">IF(AND('Bonding Program'!$S$43=1,'Bonding Program'!$H$43&gt;'Bonding Program'!$C$8,O$3='Bonding Program'!$H$43),'Bonding Program'!$T$43-'Bonding Program'!$U$43-'Bonding Program'!$Z$43,0)-IF(AND('Bonding Program'!$S$43=1,'Bonding Program'!$H$43&lt;='Bonding Program'!$C$8,O$3=IF('Bonding Program'!$P$43&lt;&gt;"",'Bonding Program'!$P$43,'Bonding Program'!$C$8)),'Bonding Program'!$Z$43,0)+IF(AND('Bonding Program'!$P$43&lt;&gt;"",O$3='Bonding Program'!$P$43,O$3&lt;='Bonding Program'!$C$8),N('Bonding Program'!$O$43),0)</f>
        <v>0</v>
      </c>
      <c r="P184" s="19" t="n">
        <f aca="false">IF(AND('Bonding Program'!$S$43=1,'Bonding Program'!$H$43&gt;'Bonding Program'!$C$8,P$3='Bonding Program'!$H$43),'Bonding Program'!$T$43-'Bonding Program'!$U$43-'Bonding Program'!$Z$43,0)-IF(AND('Bonding Program'!$S$43=1,'Bonding Program'!$H$43&lt;='Bonding Program'!$C$8,P$3=IF('Bonding Program'!$P$43&lt;&gt;"",'Bonding Program'!$P$43,'Bonding Program'!$C$8)),'Bonding Program'!$Z$43,0)+IF(AND('Bonding Program'!$P$43&lt;&gt;"",P$3='Bonding Program'!$P$43,P$3&lt;='Bonding Program'!$C$8),N('Bonding Program'!$O$43),0)</f>
        <v>0</v>
      </c>
      <c r="Q184" s="19" t="n">
        <f aca="false">IF(AND('Bonding Program'!$S$43=1,'Bonding Program'!$H$43&gt;'Bonding Program'!$C$8,Q$3='Bonding Program'!$H$43),'Bonding Program'!$T$43-'Bonding Program'!$U$43-'Bonding Program'!$Z$43,0)-IF(AND('Bonding Program'!$S$43=1,'Bonding Program'!$H$43&lt;='Bonding Program'!$C$8,Q$3=IF('Bonding Program'!$P$43&lt;&gt;"",'Bonding Program'!$P$43,'Bonding Program'!$C$8)),'Bonding Program'!$Z$43,0)+IF(AND('Bonding Program'!$P$43&lt;&gt;"",Q$3='Bonding Program'!$P$43,Q$3&lt;='Bonding Program'!$C$8),N('Bonding Program'!$O$43),0)</f>
        <v>0</v>
      </c>
      <c r="R184" s="19" t="n">
        <f aca="false">IF(AND('Bonding Program'!$S$43=1,'Bonding Program'!$H$43&gt;'Bonding Program'!$C$8,R$3='Bonding Program'!$H$43),'Bonding Program'!$T$43-'Bonding Program'!$U$43-'Bonding Program'!$Z$43,0)-IF(AND('Bonding Program'!$S$43=1,'Bonding Program'!$H$43&lt;='Bonding Program'!$C$8,R$3=IF('Bonding Program'!$P$43&lt;&gt;"",'Bonding Program'!$P$43,'Bonding Program'!$C$8)),'Bonding Program'!$Z$43,0)+IF(AND('Bonding Program'!$P$43&lt;&gt;"",R$3='Bonding Program'!$P$43,R$3&lt;='Bonding Program'!$C$8),N('Bonding Program'!$O$43),0)</f>
        <v>0</v>
      </c>
      <c r="S184" s="19" t="n">
        <f aca="false">IF(AND('Bonding Program'!$S$43=1,'Bonding Program'!$H$43&gt;'Bonding Program'!$C$8,S$3='Bonding Program'!$H$43),'Bonding Program'!$T$43-'Bonding Program'!$U$43-'Bonding Program'!$Z$43,0)-IF(AND('Bonding Program'!$S$43=1,'Bonding Program'!$H$43&lt;='Bonding Program'!$C$8,S$3=IF('Bonding Program'!$P$43&lt;&gt;"",'Bonding Program'!$P$43,'Bonding Program'!$C$8)),'Bonding Program'!$Z$43,0)+IF(AND('Bonding Program'!$P$43&lt;&gt;"",S$3='Bonding Program'!$P$43,S$3&lt;='Bonding Program'!$C$8),N('Bonding Program'!$O$43),0)</f>
        <v>0</v>
      </c>
      <c r="T184" s="19" t="n">
        <f aca="false">IF(AND('Bonding Program'!$S$43=1,'Bonding Program'!$H$43&gt;'Bonding Program'!$C$8,T$3='Bonding Program'!$H$43),'Bonding Program'!$T$43-'Bonding Program'!$U$43-'Bonding Program'!$Z$43,0)-IF(AND('Bonding Program'!$S$43=1,'Bonding Program'!$H$43&lt;='Bonding Program'!$C$8,T$3=IF('Bonding Program'!$P$43&lt;&gt;"",'Bonding Program'!$P$43,'Bonding Program'!$C$8)),'Bonding Program'!$Z$43,0)+IF(AND('Bonding Program'!$P$43&lt;&gt;"",T$3='Bonding Program'!$P$43,T$3&lt;='Bonding Program'!$C$8),N('Bonding Program'!$O$43),0)</f>
        <v>0</v>
      </c>
      <c r="U184" s="19" t="n">
        <f aca="false">IF(AND('Bonding Program'!$S$43=1,'Bonding Program'!$H$43&gt;'Bonding Program'!$C$8,U$3='Bonding Program'!$H$43),'Bonding Program'!$T$43-'Bonding Program'!$U$43-'Bonding Program'!$Z$43,0)-IF(AND('Bonding Program'!$S$43=1,'Bonding Program'!$H$43&lt;='Bonding Program'!$C$8,U$3=IF('Bonding Program'!$P$43&lt;&gt;"",'Bonding Program'!$P$43,'Bonding Program'!$C$8)),'Bonding Program'!$Z$43,0)+IF(AND('Bonding Program'!$P$43&lt;&gt;"",U$3='Bonding Program'!$P$43,U$3&lt;='Bonding Program'!$C$8),N('Bonding Program'!$O$43),0)</f>
        <v>0</v>
      </c>
      <c r="V184" s="19" t="n">
        <f aca="false">IF(AND('Bonding Program'!$S$43=1,'Bonding Program'!$H$43&gt;'Bonding Program'!$C$8,V$3='Bonding Program'!$H$43),'Bonding Program'!$T$43-'Bonding Program'!$U$43-'Bonding Program'!$Z$43,0)-IF(AND('Bonding Program'!$S$43=1,'Bonding Program'!$H$43&lt;='Bonding Program'!$C$8,V$3=IF('Bonding Program'!$P$43&lt;&gt;"",'Bonding Program'!$P$43,'Bonding Program'!$C$8)),'Bonding Program'!$Z$43,0)+IF(AND('Bonding Program'!$P$43&lt;&gt;"",V$3='Bonding Program'!$P$43,V$3&lt;='Bonding Program'!$C$8),N('Bonding Program'!$O$43),0)</f>
        <v>0</v>
      </c>
      <c r="W184" s="19" t="n">
        <f aca="false">IF(AND('Bonding Program'!$S$43=1,'Bonding Program'!$H$43&gt;'Bonding Program'!$C$8,W$3='Bonding Program'!$H$43),'Bonding Program'!$T$43-'Bonding Program'!$U$43-'Bonding Program'!$Z$43,0)-IF(AND('Bonding Program'!$S$43=1,'Bonding Program'!$H$43&lt;='Bonding Program'!$C$8,W$3=IF('Bonding Program'!$P$43&lt;&gt;"",'Bonding Program'!$P$43,'Bonding Program'!$C$8)),'Bonding Program'!$Z$43,0)+IF(AND('Bonding Program'!$P$43&lt;&gt;"",W$3='Bonding Program'!$P$43,W$3&lt;='Bonding Program'!$C$8),N('Bonding Program'!$O$43),0)</f>
        <v>0</v>
      </c>
      <c r="X184" s="19" t="n">
        <f aca="false">IF(AND('Bonding Program'!$S$43=1,'Bonding Program'!$H$43&gt;'Bonding Program'!$C$8,X$3='Bonding Program'!$H$43),'Bonding Program'!$T$43-'Bonding Program'!$U$43-'Bonding Program'!$Z$43,0)-IF(AND('Bonding Program'!$S$43=1,'Bonding Program'!$H$43&lt;='Bonding Program'!$C$8,X$3=IF('Bonding Program'!$P$43&lt;&gt;"",'Bonding Program'!$P$43,'Bonding Program'!$C$8)),'Bonding Program'!$Z$43,0)+IF(AND('Bonding Program'!$P$43&lt;&gt;"",X$3='Bonding Program'!$P$43,X$3&lt;='Bonding Program'!$C$8),N('Bonding Program'!$O$43),0)</f>
        <v>0</v>
      </c>
      <c r="Y184" s="19" t="n">
        <f aca="false">IF(AND('Bonding Program'!$S$43=1,'Bonding Program'!$H$43&gt;'Bonding Program'!$C$8,Y$3='Bonding Program'!$H$43),'Bonding Program'!$T$43-'Bonding Program'!$U$43-'Bonding Program'!$Z$43,0)-IF(AND('Bonding Program'!$S$43=1,'Bonding Program'!$H$43&lt;='Bonding Program'!$C$8,Y$3=IF('Bonding Program'!$P$43&lt;&gt;"",'Bonding Program'!$P$43,'Bonding Program'!$C$8)),'Bonding Program'!$Z$43,0)+IF(AND('Bonding Program'!$P$43&lt;&gt;"",Y$3='Bonding Program'!$P$43,Y$3&lt;='Bonding Program'!$C$8),N('Bonding Program'!$O$43),0)</f>
        <v>0</v>
      </c>
      <c r="Z184" s="19" t="n">
        <f aca="false">IF(AND('Bonding Program'!$S$43=1,'Bonding Program'!$H$43&gt;'Bonding Program'!$C$8,Z$3='Bonding Program'!$H$43),'Bonding Program'!$T$43-'Bonding Program'!$U$43-'Bonding Program'!$Z$43,0)-IF(AND('Bonding Program'!$S$43=1,'Bonding Program'!$H$43&lt;='Bonding Program'!$C$8,Z$3=IF('Bonding Program'!$P$43&lt;&gt;"",'Bonding Program'!$P$43,'Bonding Program'!$C$8)),'Bonding Program'!$Z$43,0)+IF(AND('Bonding Program'!$P$43&lt;&gt;"",Z$3='Bonding Program'!$P$43,Z$3&lt;='Bonding Program'!$C$8),N('Bonding Program'!$O$43),0)</f>
        <v>0</v>
      </c>
      <c r="AA184" s="19" t="n">
        <f aca="false">IF(AND('Bonding Program'!$S$43=1,'Bonding Program'!$H$43&gt;'Bonding Program'!$C$8,AA$3='Bonding Program'!$H$43),'Bonding Program'!$T$43-'Bonding Program'!$U$43-'Bonding Program'!$Z$43,0)-IF(AND('Bonding Program'!$S$43=1,'Bonding Program'!$H$43&lt;='Bonding Program'!$C$8,AA$3=IF('Bonding Program'!$P$43&lt;&gt;"",'Bonding Program'!$P$43,'Bonding Program'!$C$8)),'Bonding Program'!$Z$43,0)+IF(AND('Bonding Program'!$P$43&lt;&gt;"",AA$3='Bonding Program'!$P$43,AA$3&lt;='Bonding Program'!$C$8),N('Bonding Program'!$O$43),0)</f>
        <v>0</v>
      </c>
      <c r="AB184" s="19" t="n">
        <f aca="false">IF(AND('Bonding Program'!$S$43=1,'Bonding Program'!$H$43&gt;'Bonding Program'!$C$8,AB$3='Bonding Program'!$H$43),'Bonding Program'!$T$43-'Bonding Program'!$U$43-'Bonding Program'!$Z$43,0)-IF(AND('Bonding Program'!$S$43=1,'Bonding Program'!$H$43&lt;='Bonding Program'!$C$8,AB$3=IF('Bonding Program'!$P$43&lt;&gt;"",'Bonding Program'!$P$43,'Bonding Program'!$C$8)),'Bonding Program'!$Z$43,0)+IF(AND('Bonding Program'!$P$43&lt;&gt;"",AB$3='Bonding Program'!$P$43,AB$3&lt;='Bonding Program'!$C$8),N('Bonding Program'!$O$43),0)</f>
        <v>0</v>
      </c>
      <c r="AC184" s="19" t="n">
        <f aca="false">IF(AND('Bonding Program'!$S$43=1,'Bonding Program'!$H$43&gt;'Bonding Program'!$C$8,AC$3='Bonding Program'!$H$43),'Bonding Program'!$T$43-'Bonding Program'!$U$43-'Bonding Program'!$Z$43,0)-IF(AND('Bonding Program'!$S$43=1,'Bonding Program'!$H$43&lt;='Bonding Program'!$C$8,AC$3=IF('Bonding Program'!$P$43&lt;&gt;"",'Bonding Program'!$P$43,'Bonding Program'!$C$8)),'Bonding Program'!$Z$43,0)+IF(AND('Bonding Program'!$P$43&lt;&gt;"",AC$3='Bonding Program'!$P$43,AC$3&lt;='Bonding Program'!$C$8),N('Bonding Program'!$O$43),0)</f>
        <v>0</v>
      </c>
      <c r="AD184" s="19" t="n">
        <f aca="false">IF(AND('Bonding Program'!$S$43=1,'Bonding Program'!$H$43&gt;'Bonding Program'!$C$8,AD$3='Bonding Program'!$H$43),'Bonding Program'!$T$43-'Bonding Program'!$U$43-'Bonding Program'!$Z$43,0)-IF(AND('Bonding Program'!$S$43=1,'Bonding Program'!$H$43&lt;='Bonding Program'!$C$8,AD$3=IF('Bonding Program'!$P$43&lt;&gt;"",'Bonding Program'!$P$43,'Bonding Program'!$C$8)),'Bonding Program'!$Z$43,0)+IF(AND('Bonding Program'!$P$43&lt;&gt;"",AD$3='Bonding Program'!$P$43,AD$3&lt;='Bonding Program'!$C$8),N('Bonding Program'!$O$43),0)</f>
        <v>0</v>
      </c>
      <c r="AE184" s="19" t="n">
        <f aca="false">IF(AND('Bonding Program'!$S$43=1,'Bonding Program'!$H$43&gt;'Bonding Program'!$C$8,AE$3='Bonding Program'!$H$43),'Bonding Program'!$T$43-'Bonding Program'!$U$43-'Bonding Program'!$Z$43,0)-IF(AND('Bonding Program'!$S$43=1,'Bonding Program'!$H$43&lt;='Bonding Program'!$C$8,AE$3=IF('Bonding Program'!$P$43&lt;&gt;"",'Bonding Program'!$P$43,'Bonding Program'!$C$8)),'Bonding Program'!$Z$43,0)+IF(AND('Bonding Program'!$P$43&lt;&gt;"",AE$3='Bonding Program'!$P$43,AE$3&lt;='Bonding Program'!$C$8),N('Bonding Program'!$O$43),0)</f>
        <v>0</v>
      </c>
      <c r="AF184" s="19" t="n">
        <f aca="false">IF(AND('Bonding Program'!$S$43=1,'Bonding Program'!$H$43&gt;'Bonding Program'!$C$8,AF$3='Bonding Program'!$H$43),'Bonding Program'!$T$43-'Bonding Program'!$U$43-'Bonding Program'!$Z$43,0)-IF(AND('Bonding Program'!$S$43=1,'Bonding Program'!$H$43&lt;='Bonding Program'!$C$8,AF$3=IF('Bonding Program'!$P$43&lt;&gt;"",'Bonding Program'!$P$43,'Bonding Program'!$C$8)),'Bonding Program'!$Z$43,0)+IF(AND('Bonding Program'!$P$43&lt;&gt;"",AF$3='Bonding Program'!$P$43,AF$3&lt;='Bonding Program'!$C$8),N('Bonding Program'!$O$43),0)</f>
        <v>0</v>
      </c>
      <c r="AG184" s="19" t="n">
        <f aca="false">IF(AND('Bonding Program'!$S$43=1,'Bonding Program'!$H$43&gt;'Bonding Program'!$C$8,AG$3='Bonding Program'!$H$43),'Bonding Program'!$T$43-'Bonding Program'!$U$43-'Bonding Program'!$Z$43,0)-IF(AND('Bonding Program'!$S$43=1,'Bonding Program'!$H$43&lt;='Bonding Program'!$C$8,AG$3=IF('Bonding Program'!$P$43&lt;&gt;"",'Bonding Program'!$P$43,'Bonding Program'!$C$8)),'Bonding Program'!$Z$43,0)+IF(AND('Bonding Program'!$P$43&lt;&gt;"",AG$3='Bonding Program'!$P$43,AG$3&lt;='Bonding Program'!$C$8),N('Bonding Program'!$O$43),0)</f>
        <v>0</v>
      </c>
      <c r="AH184" s="19" t="n">
        <f aca="false">IF(AND('Bonding Program'!$S$43=1,'Bonding Program'!$H$43&gt;'Bonding Program'!$C$8,AH$3='Bonding Program'!$H$43),'Bonding Program'!$T$43-'Bonding Program'!$U$43-'Bonding Program'!$Z$43,0)-IF(AND('Bonding Program'!$S$43=1,'Bonding Program'!$H$43&lt;='Bonding Program'!$C$8,AH$3=IF('Bonding Program'!$P$43&lt;&gt;"",'Bonding Program'!$P$43,'Bonding Program'!$C$8)),'Bonding Program'!$Z$43,0)+IF(AND('Bonding Program'!$P$43&lt;&gt;"",AH$3='Bonding Program'!$P$43,AH$3&lt;='Bonding Program'!$C$8),N('Bonding Program'!$O$43),0)</f>
        <v>0</v>
      </c>
      <c r="AI184" s="19" t="n">
        <f aca="false">IF(AND('Bonding Program'!$S$43=1,'Bonding Program'!$H$43&gt;'Bonding Program'!$C$8,AI$3='Bonding Program'!$H$43),'Bonding Program'!$T$43-'Bonding Program'!$U$43-'Bonding Program'!$Z$43,0)-IF(AND('Bonding Program'!$S$43=1,'Bonding Program'!$H$43&lt;='Bonding Program'!$C$8,AI$3=IF('Bonding Program'!$P$43&lt;&gt;"",'Bonding Program'!$P$43,'Bonding Program'!$C$8)),'Bonding Program'!$Z$43,0)+IF(AND('Bonding Program'!$P$43&lt;&gt;"",AI$3='Bonding Program'!$P$43,AI$3&lt;='Bonding Program'!$C$8),N('Bonding Program'!$O$43),0)</f>
        <v>0</v>
      </c>
      <c r="AJ184" s="19" t="n">
        <f aca="false">IF(AND('Bonding Program'!$S$43=1,'Bonding Program'!$H$43&gt;'Bonding Program'!$C$8,AJ$3='Bonding Program'!$H$43),'Bonding Program'!$T$43-'Bonding Program'!$U$43-'Bonding Program'!$Z$43,0)-IF(AND('Bonding Program'!$S$43=1,'Bonding Program'!$H$43&lt;='Bonding Program'!$C$8,AJ$3=IF('Bonding Program'!$P$43&lt;&gt;"",'Bonding Program'!$P$43,'Bonding Program'!$C$8)),'Bonding Program'!$Z$43,0)+IF(AND('Bonding Program'!$P$43&lt;&gt;"",AJ$3='Bonding Program'!$P$43,AJ$3&lt;='Bonding Program'!$C$8),N('Bonding Program'!$O$43),0)</f>
        <v>0</v>
      </c>
      <c r="AK184" s="19" t="n">
        <f aca="false">IF(AND('Bonding Program'!$S$43=1,'Bonding Program'!$H$43&gt;'Bonding Program'!$C$8,AK$3='Bonding Program'!$H$43),'Bonding Program'!$T$43-'Bonding Program'!$U$43-'Bonding Program'!$Z$43,0)-IF(AND('Bonding Program'!$S$43=1,'Bonding Program'!$H$43&lt;='Bonding Program'!$C$8,AK$3=IF('Bonding Program'!$P$43&lt;&gt;"",'Bonding Program'!$P$43,'Bonding Program'!$C$8)),'Bonding Program'!$Z$43,0)+IF(AND('Bonding Program'!$P$43&lt;&gt;"",AK$3='Bonding Program'!$P$43,AK$3&lt;='Bonding Program'!$C$8),N('Bonding Program'!$O$43),0)</f>
        <v>0</v>
      </c>
      <c r="AL184" s="19" t="n">
        <f aca="false">IF(AND('Bonding Program'!$S$43=1,'Bonding Program'!$H$43&gt;'Bonding Program'!$C$8,AL$3='Bonding Program'!$H$43),'Bonding Program'!$T$43-'Bonding Program'!$U$43-'Bonding Program'!$Z$43,0)-IF(AND('Bonding Program'!$S$43=1,'Bonding Program'!$H$43&lt;='Bonding Program'!$C$8,AL$3=IF('Bonding Program'!$P$43&lt;&gt;"",'Bonding Program'!$P$43,'Bonding Program'!$C$8)),'Bonding Program'!$Z$43,0)+IF(AND('Bonding Program'!$P$43&lt;&gt;"",AL$3='Bonding Program'!$P$43,AL$3&lt;='Bonding Program'!$C$8),N('Bonding Program'!$O$43),0)</f>
        <v>0</v>
      </c>
      <c r="AM184" s="19" t="n">
        <f aca="false">IF(AND('Bonding Program'!$S$43=1,'Bonding Program'!$H$43&gt;'Bonding Program'!$C$8,AM$3='Bonding Program'!$H$43),'Bonding Program'!$T$43-'Bonding Program'!$U$43-'Bonding Program'!$Z$43,0)-IF(AND('Bonding Program'!$S$43=1,'Bonding Program'!$H$43&lt;='Bonding Program'!$C$8,AM$3=IF('Bonding Program'!$P$43&lt;&gt;"",'Bonding Program'!$P$43,'Bonding Program'!$C$8)),'Bonding Program'!$Z$43,0)+IF(AND('Bonding Program'!$P$43&lt;&gt;"",AM$3='Bonding Program'!$P$43,AM$3&lt;='Bonding Program'!$C$8),N('Bonding Program'!$O$43),0)</f>
        <v>0</v>
      </c>
      <c r="AN184" s="19" t="n">
        <f aca="false">IF(AND('Bonding Program'!$S$43=1,'Bonding Program'!$H$43&gt;'Bonding Program'!$C$8,AN$3='Bonding Program'!$H$43),'Bonding Program'!$T$43-'Bonding Program'!$U$43-'Bonding Program'!$Z$43,0)-IF(AND('Bonding Program'!$S$43=1,'Bonding Program'!$H$43&lt;='Bonding Program'!$C$8,AN$3=IF('Bonding Program'!$P$43&lt;&gt;"",'Bonding Program'!$P$43,'Bonding Program'!$C$8)),'Bonding Program'!$Z$43,0)+IF(AND('Bonding Program'!$P$43&lt;&gt;"",AN$3='Bonding Program'!$P$43,AN$3&lt;='Bonding Program'!$C$8),N('Bonding Program'!$O$43),0)</f>
        <v>0</v>
      </c>
      <c r="AO184" s="19" t="n">
        <f aca="false">IF(AND('Bonding Program'!$S$43=1,'Bonding Program'!$H$43&gt;'Bonding Program'!$C$8,AO$3='Bonding Program'!$H$43),'Bonding Program'!$T$43-'Bonding Program'!$U$43-'Bonding Program'!$Z$43,0)-IF(AND('Bonding Program'!$S$43=1,'Bonding Program'!$H$43&lt;='Bonding Program'!$C$8,AO$3=IF('Bonding Program'!$P$43&lt;&gt;"",'Bonding Program'!$P$43,'Bonding Program'!$C$8)),'Bonding Program'!$Z$43,0)+IF(AND('Bonding Program'!$P$43&lt;&gt;"",AO$3='Bonding Program'!$P$43,AO$3&lt;='Bonding Program'!$C$8),N('Bonding Program'!$O$43),0)</f>
        <v>0</v>
      </c>
      <c r="AP184" s="19" t="n">
        <f aca="false">IF(AND('Bonding Program'!$S$43=1,'Bonding Program'!$H$43&gt;'Bonding Program'!$C$8,AP$3='Bonding Program'!$H$43),'Bonding Program'!$T$43-'Bonding Program'!$U$43-'Bonding Program'!$Z$43,0)-IF(AND('Bonding Program'!$S$43=1,'Bonding Program'!$H$43&lt;='Bonding Program'!$C$8,AP$3=IF('Bonding Program'!$P$43&lt;&gt;"",'Bonding Program'!$P$43,'Bonding Program'!$C$8)),'Bonding Program'!$Z$43,0)+IF(AND('Bonding Program'!$P$43&lt;&gt;"",AP$3='Bonding Program'!$P$43,AP$3&lt;='Bonding Program'!$C$8),N('Bonding Program'!$O$43),0)</f>
        <v>0</v>
      </c>
      <c r="AQ184" s="19" t="n">
        <f aca="false">IF(AND('Bonding Program'!$S$43=1,'Bonding Program'!$H$43&gt;'Bonding Program'!$C$8,AQ$3='Bonding Program'!$H$43),'Bonding Program'!$T$43-'Bonding Program'!$U$43-'Bonding Program'!$Z$43,0)-IF(AND('Bonding Program'!$S$43=1,'Bonding Program'!$H$43&lt;='Bonding Program'!$C$8,AQ$3=IF('Bonding Program'!$P$43&lt;&gt;"",'Bonding Program'!$P$43,'Bonding Program'!$C$8)),'Bonding Program'!$Z$43,0)+IF(AND('Bonding Program'!$P$43&lt;&gt;"",AQ$3='Bonding Program'!$P$43,AQ$3&lt;='Bonding Program'!$C$8),N('Bonding Program'!$O$43),0)</f>
        <v>0</v>
      </c>
      <c r="AR184" s="19" t="n">
        <f aca="false">IF(AND('Bonding Program'!$S$43=1,'Bonding Program'!$H$43&gt;'Bonding Program'!$C$8,AR$3='Bonding Program'!$H$43),'Bonding Program'!$T$43-'Bonding Program'!$U$43-'Bonding Program'!$Z$43,0)-IF(AND('Bonding Program'!$S$43=1,'Bonding Program'!$H$43&lt;='Bonding Program'!$C$8,AR$3=IF('Bonding Program'!$P$43&lt;&gt;"",'Bonding Program'!$P$43,'Bonding Program'!$C$8)),'Bonding Program'!$Z$43,0)+IF(AND('Bonding Program'!$P$43&lt;&gt;"",AR$3='Bonding Program'!$P$43,AR$3&lt;='Bonding Program'!$C$8),N('Bonding Program'!$O$43),0)</f>
        <v>0</v>
      </c>
      <c r="AS184" s="19" t="n">
        <f aca="false">IF(AND('Bonding Program'!$S$43=1,'Bonding Program'!$H$43&gt;'Bonding Program'!$C$8,AS$3='Bonding Program'!$H$43),'Bonding Program'!$T$43-'Bonding Program'!$U$43-'Bonding Program'!$Z$43,0)-IF(AND('Bonding Program'!$S$43=1,'Bonding Program'!$H$43&lt;='Bonding Program'!$C$8,AS$3=IF('Bonding Program'!$P$43&lt;&gt;"",'Bonding Program'!$P$43,'Bonding Program'!$C$8)),'Bonding Program'!$Z$43,0)+IF(AND('Bonding Program'!$P$43&lt;&gt;"",AS$3='Bonding Program'!$P$43,AS$3&lt;='Bonding Program'!$C$8),N('Bonding Program'!$O$43),0)</f>
        <v>0</v>
      </c>
      <c r="AT184" s="19" t="n">
        <f aca="false">IF(AND('Bonding Program'!$S$43=1,'Bonding Program'!$H$43&gt;'Bonding Program'!$C$8,AT$3='Bonding Program'!$H$43),'Bonding Program'!$T$43-'Bonding Program'!$U$43-'Bonding Program'!$Z$43,0)-IF(AND('Bonding Program'!$S$43=1,'Bonding Program'!$H$43&lt;='Bonding Program'!$C$8,AT$3=IF('Bonding Program'!$P$43&lt;&gt;"",'Bonding Program'!$P$43,'Bonding Program'!$C$8)),'Bonding Program'!$Z$43,0)+IF(AND('Bonding Program'!$P$43&lt;&gt;"",AT$3='Bonding Program'!$P$43,AT$3&lt;='Bonding Program'!$C$8),N('Bonding Program'!$O$43),0)</f>
        <v>0</v>
      </c>
      <c r="AU184" s="19" t="n">
        <f aca="false">IF(AND('Bonding Program'!$S$43=1,'Bonding Program'!$H$43&gt;'Bonding Program'!$C$8,AU$3='Bonding Program'!$H$43),'Bonding Program'!$T$43-'Bonding Program'!$U$43-'Bonding Program'!$Z$43,0)-IF(AND('Bonding Program'!$S$43=1,'Bonding Program'!$H$43&lt;='Bonding Program'!$C$8,AU$3=IF('Bonding Program'!$P$43&lt;&gt;"",'Bonding Program'!$P$43,'Bonding Program'!$C$8)),'Bonding Program'!$Z$43,0)+IF(AND('Bonding Program'!$P$43&lt;&gt;"",AU$3='Bonding Program'!$P$43,AU$3&lt;='Bonding Program'!$C$8),N('Bonding Program'!$O$43),0)</f>
        <v>0</v>
      </c>
      <c r="AV184" s="19" t="n">
        <f aca="false">IF(AND('Bonding Program'!$S$43=1,'Bonding Program'!$H$43&gt;'Bonding Program'!$C$8,AV$3='Bonding Program'!$H$43),'Bonding Program'!$T$43-'Bonding Program'!$U$43-'Bonding Program'!$Z$43,0)-IF(AND('Bonding Program'!$S$43=1,'Bonding Program'!$H$43&lt;='Bonding Program'!$C$8,AV$3=IF('Bonding Program'!$P$43&lt;&gt;"",'Bonding Program'!$P$43,'Bonding Program'!$C$8)),'Bonding Program'!$Z$43,0)+IF(AND('Bonding Program'!$P$43&lt;&gt;"",AV$3='Bonding Program'!$P$43,AV$3&lt;='Bonding Program'!$C$8),N('Bonding Program'!$O$43),0)</f>
        <v>0</v>
      </c>
      <c r="AW184" s="19" t="n">
        <f aca="false">IF(AND('Bonding Program'!$S$43=1,'Bonding Program'!$H$43&gt;'Bonding Program'!$C$8,AW$3='Bonding Program'!$H$43),'Bonding Program'!$T$43-'Bonding Program'!$U$43-'Bonding Program'!$Z$43,0)-IF(AND('Bonding Program'!$S$43=1,'Bonding Program'!$H$43&lt;='Bonding Program'!$C$8,AW$3=IF('Bonding Program'!$P$43&lt;&gt;"",'Bonding Program'!$P$43,'Bonding Program'!$C$8)),'Bonding Program'!$Z$43,0)+IF(AND('Bonding Program'!$P$43&lt;&gt;"",AW$3='Bonding Program'!$P$43,AW$3&lt;='Bonding Program'!$C$8),N('Bonding Program'!$O$43),0)</f>
        <v>0</v>
      </c>
      <c r="AX184" s="19" t="n">
        <f aca="false">IF(AND('Bonding Program'!$S$43=1,'Bonding Program'!$H$43&gt;'Bonding Program'!$C$8,AX$3='Bonding Program'!$H$43),'Bonding Program'!$T$43-'Bonding Program'!$U$43-'Bonding Program'!$Z$43,0)-IF(AND('Bonding Program'!$S$43=1,'Bonding Program'!$H$43&lt;='Bonding Program'!$C$8,AX$3=IF('Bonding Program'!$P$43&lt;&gt;"",'Bonding Program'!$P$43,'Bonding Program'!$C$8)),'Bonding Program'!$Z$43,0)+IF(AND('Bonding Program'!$P$43&lt;&gt;"",AX$3='Bonding Program'!$P$43,AX$3&lt;='Bonding Program'!$C$8),N('Bonding Program'!$O$43),0)</f>
        <v>0</v>
      </c>
      <c r="AY184" s="19" t="n">
        <f aca="false">IF(AND('Bonding Program'!$S$43=1,'Bonding Program'!$H$43&gt;'Bonding Program'!$C$8,AY$3='Bonding Program'!$H$43),'Bonding Program'!$T$43-'Bonding Program'!$U$43-'Bonding Program'!$Z$43,0)-IF(AND('Bonding Program'!$S$43=1,'Bonding Program'!$H$43&lt;='Bonding Program'!$C$8,AY$3=IF('Bonding Program'!$P$43&lt;&gt;"",'Bonding Program'!$P$43,'Bonding Program'!$C$8)),'Bonding Program'!$Z$43,0)+IF(AND('Bonding Program'!$P$43&lt;&gt;"",AY$3='Bonding Program'!$P$43,AY$3&lt;='Bonding Program'!$C$8),N('Bonding Program'!$O$43),0)</f>
        <v>0</v>
      </c>
      <c r="AZ184" s="19" t="n">
        <f aca="false">IF(AND('Bonding Program'!$S$43=1,'Bonding Program'!$H$43&gt;'Bonding Program'!$C$8,AZ$3='Bonding Program'!$H$43),'Bonding Program'!$T$43-'Bonding Program'!$U$43-'Bonding Program'!$Z$43,0)-IF(AND('Bonding Program'!$S$43=1,'Bonding Program'!$H$43&lt;='Bonding Program'!$C$8,AZ$3=IF('Bonding Program'!$P$43&lt;&gt;"",'Bonding Program'!$P$43,'Bonding Program'!$C$8)),'Bonding Program'!$Z$43,0)+IF(AND('Bonding Program'!$P$43&lt;&gt;"",AZ$3='Bonding Program'!$P$43,AZ$3&lt;='Bonding Program'!$C$8),N('Bonding Program'!$O$43),0)</f>
        <v>0</v>
      </c>
      <c r="BA184" s="19" t="n">
        <f aca="false">IF(AND('Bonding Program'!$S$43=1,'Bonding Program'!$H$43&gt;'Bonding Program'!$C$8,BA$3='Bonding Program'!$H$43),'Bonding Program'!$T$43-'Bonding Program'!$U$43-'Bonding Program'!$Z$43,0)-IF(AND('Bonding Program'!$S$43=1,'Bonding Program'!$H$43&lt;='Bonding Program'!$C$8,BA$3=IF('Bonding Program'!$P$43&lt;&gt;"",'Bonding Program'!$P$43,'Bonding Program'!$C$8)),'Bonding Program'!$Z$43,0)+IF(AND('Bonding Program'!$P$43&lt;&gt;"",BA$3='Bonding Program'!$P$43,BA$3&lt;='Bonding Program'!$C$8),N('Bonding Program'!$O$43),0)</f>
        <v>0</v>
      </c>
      <c r="BB184" s="19" t="n">
        <f aca="false">IF(AND('Bonding Program'!$S$43=1,'Bonding Program'!$H$43&gt;'Bonding Program'!$C$8,BB$3='Bonding Program'!$H$43),'Bonding Program'!$T$43-'Bonding Program'!$U$43-'Bonding Program'!$Z$43,0)-IF(AND('Bonding Program'!$S$43=1,'Bonding Program'!$H$43&lt;='Bonding Program'!$C$8,BB$3=IF('Bonding Program'!$P$43&lt;&gt;"",'Bonding Program'!$P$43,'Bonding Program'!$C$8)),'Bonding Program'!$Z$43,0)+IF(AND('Bonding Program'!$P$43&lt;&gt;"",BB$3='Bonding Program'!$P$43,BB$3&lt;='Bonding Program'!$C$8),N('Bonding Program'!$O$43),0)</f>
        <v>0</v>
      </c>
      <c r="BC184" s="19" t="n">
        <f aca="false">IF(AND('Bonding Program'!$S$43=1,'Bonding Program'!$H$43&gt;'Bonding Program'!$C$8,BC$3='Bonding Program'!$H$43),'Bonding Program'!$T$43-'Bonding Program'!$U$43-'Bonding Program'!$Z$43,0)-IF(AND('Bonding Program'!$S$43=1,'Bonding Program'!$H$43&lt;='Bonding Program'!$C$8,BC$3=IF('Bonding Program'!$P$43&lt;&gt;"",'Bonding Program'!$P$43,'Bonding Program'!$C$8)),'Bonding Program'!$Z$43,0)+IF(AND('Bonding Program'!$P$43&lt;&gt;"",BC$3='Bonding Program'!$P$43,BC$3&lt;='Bonding Program'!$C$8),N('Bonding Program'!$O$43),0)</f>
        <v>0</v>
      </c>
      <c r="BD184" s="19" t="n">
        <f aca="false">IF(AND('Bonding Program'!$S$43=1,'Bonding Program'!$H$43&gt;'Bonding Program'!$C$8,BD$3='Bonding Program'!$H$43),'Bonding Program'!$T$43-'Bonding Program'!$U$43-'Bonding Program'!$Z$43,0)-IF(AND('Bonding Program'!$S$43=1,'Bonding Program'!$H$43&lt;='Bonding Program'!$C$8,BD$3=IF('Bonding Program'!$P$43&lt;&gt;"",'Bonding Program'!$P$43,'Bonding Program'!$C$8)),'Bonding Program'!$Z$43,0)+IF(AND('Bonding Program'!$P$43&lt;&gt;"",BD$3='Bonding Program'!$P$43,BD$3&lt;='Bonding Program'!$C$8),N('Bonding Program'!$O$43),0)</f>
        <v>0</v>
      </c>
      <c r="BE184" s="19" t="n">
        <f aca="false">IF(AND('Bonding Program'!$S$43=1,'Bonding Program'!$H$43&gt;'Bonding Program'!$C$8,BE$3='Bonding Program'!$H$43),'Bonding Program'!$T$43-'Bonding Program'!$U$43-'Bonding Program'!$Z$43,0)-IF(AND('Bonding Program'!$S$43=1,'Bonding Program'!$H$43&lt;='Bonding Program'!$C$8,BE$3=IF('Bonding Program'!$P$43&lt;&gt;"",'Bonding Program'!$P$43,'Bonding Program'!$C$8)),'Bonding Program'!$Z$43,0)+IF(AND('Bonding Program'!$P$43&lt;&gt;"",BE$3='Bonding Program'!$P$43,BE$3&lt;='Bonding Program'!$C$8),N('Bonding Program'!$O$43),0)</f>
        <v>0</v>
      </c>
      <c r="BF184" s="19" t="n">
        <f aca="false">IF(AND('Bonding Program'!$S$43=1,'Bonding Program'!$H$43&gt;'Bonding Program'!$C$8,BF$3='Bonding Program'!$H$43),'Bonding Program'!$T$43-'Bonding Program'!$U$43-'Bonding Program'!$Z$43,0)-IF(AND('Bonding Program'!$S$43=1,'Bonding Program'!$H$43&lt;='Bonding Program'!$C$8,BF$3=IF('Bonding Program'!$P$43&lt;&gt;"",'Bonding Program'!$P$43,'Bonding Program'!$C$8)),'Bonding Program'!$Z$43,0)+IF(AND('Bonding Program'!$P$43&lt;&gt;"",BF$3='Bonding Program'!$P$43,BF$3&lt;='Bonding Program'!$C$8),N('Bonding Program'!$O$43),0)</f>
        <v>0</v>
      </c>
      <c r="BG184" s="19" t="n">
        <f aca="false">IF(AND('Bonding Program'!$S$43=1,'Bonding Program'!$H$43&gt;'Bonding Program'!$C$8,BG$3='Bonding Program'!$H$43),'Bonding Program'!$T$43-'Bonding Program'!$U$43-'Bonding Program'!$Z$43,0)-IF(AND('Bonding Program'!$S$43=1,'Bonding Program'!$H$43&lt;='Bonding Program'!$C$8,BG$3=IF('Bonding Program'!$P$43&lt;&gt;"",'Bonding Program'!$P$43,'Bonding Program'!$C$8)),'Bonding Program'!$Z$43,0)+IF(AND('Bonding Program'!$P$43&lt;&gt;"",BG$3='Bonding Program'!$P$43,BG$3&lt;='Bonding Program'!$C$8),N('Bonding Program'!$O$43),0)</f>
        <v>0</v>
      </c>
      <c r="BH184" s="19" t="n">
        <f aca="false">IF(AND('Bonding Program'!$S$43=1,'Bonding Program'!$H$43&gt;'Bonding Program'!$C$8,BH$3='Bonding Program'!$H$43),'Bonding Program'!$T$43-'Bonding Program'!$U$43-'Bonding Program'!$Z$43,0)-IF(AND('Bonding Program'!$S$43=1,'Bonding Program'!$H$43&lt;='Bonding Program'!$C$8,BH$3=IF('Bonding Program'!$P$43&lt;&gt;"",'Bonding Program'!$P$43,'Bonding Program'!$C$8)),'Bonding Program'!$Z$43,0)+IF(AND('Bonding Program'!$P$43&lt;&gt;"",BH$3='Bonding Program'!$P$43,BH$3&lt;='Bonding Program'!$C$8),N('Bonding Program'!$O$43),0)</f>
        <v>0</v>
      </c>
      <c r="BI184" s="19" t="n">
        <f aca="false">IF(AND('Bonding Program'!$S$43=1,'Bonding Program'!$H$43&gt;'Bonding Program'!$C$8,BI$3='Bonding Program'!$H$43),'Bonding Program'!$T$43-'Bonding Program'!$U$43-'Bonding Program'!$Z$43,0)-IF(AND('Bonding Program'!$S$43=1,'Bonding Program'!$H$43&lt;='Bonding Program'!$C$8,BI$3=IF('Bonding Program'!$P$43&lt;&gt;"",'Bonding Program'!$P$43,'Bonding Program'!$C$8)),'Bonding Program'!$Z$43,0)+IF(AND('Bonding Program'!$P$43&lt;&gt;"",BI$3='Bonding Program'!$P$43,BI$3&lt;='Bonding Program'!$C$8),N('Bonding Program'!$O$43),0)</f>
        <v>0</v>
      </c>
      <c r="BJ184" s="19" t="n">
        <f aca="false">IF(AND('Bonding Program'!$S$43=1,'Bonding Program'!$H$43&gt;'Bonding Program'!$C$8,BJ$3='Bonding Program'!$H$43),'Bonding Program'!$T$43-'Bonding Program'!$U$43-'Bonding Program'!$Z$43,0)-IF(AND('Bonding Program'!$S$43=1,'Bonding Program'!$H$43&lt;='Bonding Program'!$C$8,BJ$3=IF('Bonding Program'!$P$43&lt;&gt;"",'Bonding Program'!$P$43,'Bonding Program'!$C$8)),'Bonding Program'!$Z$43,0)+IF(AND('Bonding Program'!$P$43&lt;&gt;"",BJ$3='Bonding Program'!$P$43,BJ$3&lt;='Bonding Program'!$C$8),N('Bonding Program'!$O$43),0)</f>
        <v>0</v>
      </c>
      <c r="BK184" s="19" t="n">
        <f aca="false">IF(AND('Bonding Program'!$S$43=1,'Bonding Program'!$H$43&gt;'Bonding Program'!$C$8,BK$3='Bonding Program'!$H$43),'Bonding Program'!$T$43-'Bonding Program'!$U$43-'Bonding Program'!$Z$43,0)-IF(AND('Bonding Program'!$S$43=1,'Bonding Program'!$H$43&lt;='Bonding Program'!$C$8,BK$3=IF('Bonding Program'!$P$43&lt;&gt;"",'Bonding Program'!$P$43,'Bonding Program'!$C$8)),'Bonding Program'!$Z$43,0)+IF(AND('Bonding Program'!$P$43&lt;&gt;"",BK$3='Bonding Program'!$P$43,BK$3&lt;='Bonding Program'!$C$8),N('Bonding Program'!$O$43),0)</f>
        <v>0</v>
      </c>
      <c r="BL184" s="19" t="n">
        <f aca="false">IF(AND('Bonding Program'!$S$43=1,'Bonding Program'!$H$43&gt;'Bonding Program'!$C$8,BL$3='Bonding Program'!$H$43),'Bonding Program'!$T$43-'Bonding Program'!$U$43-'Bonding Program'!$Z$43,0)-IF(AND('Bonding Program'!$S$43=1,'Bonding Program'!$H$43&lt;='Bonding Program'!$C$8,BL$3=IF('Bonding Program'!$P$43&lt;&gt;"",'Bonding Program'!$P$43,'Bonding Program'!$C$8)),'Bonding Program'!$Z$43,0)+IF(AND('Bonding Program'!$P$43&lt;&gt;"",BL$3='Bonding Program'!$P$43,BL$3&lt;='Bonding Program'!$C$8),N('Bonding Program'!$O$43),0)</f>
        <v>0</v>
      </c>
      <c r="BM184" s="19" t="n">
        <f aca="false">IF(AND('Bonding Program'!$S$43=1,'Bonding Program'!$H$43&gt;'Bonding Program'!$C$8,BM$3='Bonding Program'!$H$43),'Bonding Program'!$T$43-'Bonding Program'!$U$43-'Bonding Program'!$Z$43,0)-IF(AND('Bonding Program'!$S$43=1,'Bonding Program'!$H$43&lt;='Bonding Program'!$C$8,BM$3=IF('Bonding Program'!$P$43&lt;&gt;"",'Bonding Program'!$P$43,'Bonding Program'!$C$8)),'Bonding Program'!$Z$43,0)+IF(AND('Bonding Program'!$P$43&lt;&gt;"",BM$3='Bonding Program'!$P$43,BM$3&lt;='Bonding Program'!$C$8),N('Bonding Program'!$O$43),0)</f>
        <v>0</v>
      </c>
      <c r="BN184" s="19" t="n">
        <f aca="false">IF(AND('Bonding Program'!$S$43=1,'Bonding Program'!$H$43&gt;'Bonding Program'!$C$8,BN$3='Bonding Program'!$H$43),'Bonding Program'!$T$43-'Bonding Program'!$U$43-'Bonding Program'!$Z$43,0)-IF(AND('Bonding Program'!$S$43=1,'Bonding Program'!$H$43&lt;='Bonding Program'!$C$8,BN$3=IF('Bonding Program'!$P$43&lt;&gt;"",'Bonding Program'!$P$43,'Bonding Program'!$C$8)),'Bonding Program'!$Z$43,0)+IF(AND('Bonding Program'!$P$43&lt;&gt;"",BN$3='Bonding Program'!$P$43,BN$3&lt;='Bonding Program'!$C$8),N('Bonding Program'!$O$43),0)</f>
        <v>0</v>
      </c>
      <c r="BO184" s="19" t="n">
        <f aca="false">IF(AND('Bonding Program'!$S$43=1,'Bonding Program'!$H$43&gt;'Bonding Program'!$C$8,BO$3='Bonding Program'!$H$43),'Bonding Program'!$T$43-'Bonding Program'!$U$43-'Bonding Program'!$Z$43,0)-IF(AND('Bonding Program'!$S$43=1,'Bonding Program'!$H$43&lt;='Bonding Program'!$C$8,BO$3=IF('Bonding Program'!$P$43&lt;&gt;"",'Bonding Program'!$P$43,'Bonding Program'!$C$8)),'Bonding Program'!$Z$43,0)+IF(AND('Bonding Program'!$P$43&lt;&gt;"",BO$3='Bonding Program'!$P$43,BO$3&lt;='Bonding Program'!$C$8),N('Bonding Program'!$O$43),0)</f>
        <v>0</v>
      </c>
      <c r="BP184" s="19" t="n">
        <f aca="false">IF(AND('Bonding Program'!$S$43=1,'Bonding Program'!$H$43&gt;'Bonding Program'!$C$8,BP$3='Bonding Program'!$H$43),'Bonding Program'!$T$43-'Bonding Program'!$U$43-'Bonding Program'!$Z$43,0)-IF(AND('Bonding Program'!$S$43=1,'Bonding Program'!$H$43&lt;='Bonding Program'!$C$8,BP$3=IF('Bonding Program'!$P$43&lt;&gt;"",'Bonding Program'!$P$43,'Bonding Program'!$C$8)),'Bonding Program'!$Z$43,0)+IF(AND('Bonding Program'!$P$43&lt;&gt;"",BP$3='Bonding Program'!$P$43,BP$3&lt;='Bonding Program'!$C$8),N('Bonding Program'!$O$43),0)</f>
        <v>0</v>
      </c>
      <c r="BQ184" s="19" t="n">
        <f aca="false">IF(AND('Bonding Program'!$S$43=1,'Bonding Program'!$H$43&gt;'Bonding Program'!$C$8,BQ$3='Bonding Program'!$H$43),'Bonding Program'!$T$43-'Bonding Program'!$U$43-'Bonding Program'!$Z$43,0)-IF(AND('Bonding Program'!$S$43=1,'Bonding Program'!$H$43&lt;='Bonding Program'!$C$8,BQ$3=IF('Bonding Program'!$P$43&lt;&gt;"",'Bonding Program'!$P$43,'Bonding Program'!$C$8)),'Bonding Program'!$Z$43,0)+IF(AND('Bonding Program'!$P$43&lt;&gt;"",BQ$3='Bonding Program'!$P$43,BQ$3&lt;='Bonding Program'!$C$8),N('Bonding Program'!$O$43),0)</f>
        <v>0</v>
      </c>
      <c r="BR184" s="19" t="n">
        <f aca="false">IF(AND('Bonding Program'!$S$43=1,'Bonding Program'!$H$43&gt;'Bonding Program'!$C$8,BR$3='Bonding Program'!$H$43),'Bonding Program'!$T$43-'Bonding Program'!$U$43-'Bonding Program'!$Z$43,0)-IF(AND('Bonding Program'!$S$43=1,'Bonding Program'!$H$43&lt;='Bonding Program'!$C$8,BR$3=IF('Bonding Program'!$P$43&lt;&gt;"",'Bonding Program'!$P$43,'Bonding Program'!$C$8)),'Bonding Program'!$Z$43,0)+IF(AND('Bonding Program'!$P$43&lt;&gt;"",BR$3='Bonding Program'!$P$43,BR$3&lt;='Bonding Program'!$C$8),N('Bonding Program'!$O$43),0)</f>
        <v>0</v>
      </c>
      <c r="BS184" s="19" t="n">
        <f aca="false">IF(AND('Bonding Program'!$S$43=1,'Bonding Program'!$H$43&gt;'Bonding Program'!$C$8,BS$3='Bonding Program'!$H$43),'Bonding Program'!$T$43-'Bonding Program'!$U$43-'Bonding Program'!$Z$43,0)-IF(AND('Bonding Program'!$S$43=1,'Bonding Program'!$H$43&lt;='Bonding Program'!$C$8,BS$3=IF('Bonding Program'!$P$43&lt;&gt;"",'Bonding Program'!$P$43,'Bonding Program'!$C$8)),'Bonding Program'!$Z$43,0)+IF(AND('Bonding Program'!$P$43&lt;&gt;"",BS$3='Bonding Program'!$P$43,BS$3&lt;='Bonding Program'!$C$8),N('Bonding Program'!$O$43),0)</f>
        <v>0</v>
      </c>
      <c r="BT184" s="19" t="n">
        <f aca="false">IF(AND('Bonding Program'!$S$43=1,'Bonding Program'!$H$43&gt;'Bonding Program'!$C$8,BT$3='Bonding Program'!$H$43),'Bonding Program'!$T$43-'Bonding Program'!$U$43-'Bonding Program'!$Z$43,0)-IF(AND('Bonding Program'!$S$43=1,'Bonding Program'!$H$43&lt;='Bonding Program'!$C$8,BT$3=IF('Bonding Program'!$P$43&lt;&gt;"",'Bonding Program'!$P$43,'Bonding Program'!$C$8)),'Bonding Program'!$Z$43,0)+IF(AND('Bonding Program'!$P$43&lt;&gt;"",BT$3='Bonding Program'!$P$43,BT$3&lt;='Bonding Program'!$C$8),N('Bonding Program'!$O$43),0)</f>
        <v>0</v>
      </c>
      <c r="BU184" s="19" t="n">
        <f aca="false">IF(AND('Bonding Program'!$S$43=1,'Bonding Program'!$H$43&gt;'Bonding Program'!$C$8,BU$3='Bonding Program'!$H$43),'Bonding Program'!$T$43-'Bonding Program'!$U$43-'Bonding Program'!$Z$43,0)-IF(AND('Bonding Program'!$S$43=1,'Bonding Program'!$H$43&lt;='Bonding Program'!$C$8,BU$3=IF('Bonding Program'!$P$43&lt;&gt;"",'Bonding Program'!$P$43,'Bonding Program'!$C$8)),'Bonding Program'!$Z$43,0)+IF(AND('Bonding Program'!$P$43&lt;&gt;"",BU$3='Bonding Program'!$P$43,BU$3&lt;='Bonding Program'!$C$8),N('Bonding Program'!$O$43),0)</f>
        <v>0</v>
      </c>
      <c r="BV184" s="19" t="n">
        <f aca="false">IF(AND('Bonding Program'!$S$43=1,'Bonding Program'!$H$43&gt;'Bonding Program'!$C$8,BV$3='Bonding Program'!$H$43),'Bonding Program'!$T$43-'Bonding Program'!$U$43-'Bonding Program'!$Z$43,0)-IF(AND('Bonding Program'!$S$43=1,'Bonding Program'!$H$43&lt;='Bonding Program'!$C$8,BV$3=IF('Bonding Program'!$P$43&lt;&gt;"",'Bonding Program'!$P$43,'Bonding Program'!$C$8)),'Bonding Program'!$Z$43,0)+IF(AND('Bonding Program'!$P$43&lt;&gt;"",BV$3='Bonding Program'!$P$43,BV$3&lt;='Bonding Program'!$C$8),N('Bonding Program'!$O$43),0)</f>
        <v>0</v>
      </c>
      <c r="BW184" s="19" t="n">
        <f aca="false">IF(AND('Bonding Program'!$S$43=1,'Bonding Program'!$H$43&gt;'Bonding Program'!$C$8,BW$3='Bonding Program'!$H$43),'Bonding Program'!$T$43-'Bonding Program'!$U$43-'Bonding Program'!$Z$43,0)-IF(AND('Bonding Program'!$S$43=1,'Bonding Program'!$H$43&lt;='Bonding Program'!$C$8,BW$3=IF('Bonding Program'!$P$43&lt;&gt;"",'Bonding Program'!$P$43,'Bonding Program'!$C$8)),'Bonding Program'!$Z$43,0)+IF(AND('Bonding Program'!$P$43&lt;&gt;"",BW$3='Bonding Program'!$P$43,BW$3&lt;='Bonding Program'!$C$8),N('Bonding Program'!$O$43),0)</f>
        <v>0</v>
      </c>
      <c r="BX184" s="19" t="n">
        <f aca="false">IF(AND('Bonding Program'!$S$43=1,'Bonding Program'!$H$43&gt;'Bonding Program'!$C$8,BX$3='Bonding Program'!$H$43),'Bonding Program'!$T$43-'Bonding Program'!$U$43-'Bonding Program'!$Z$43,0)-IF(AND('Bonding Program'!$S$43=1,'Bonding Program'!$H$43&lt;='Bonding Program'!$C$8,BX$3=IF('Bonding Program'!$P$43&lt;&gt;"",'Bonding Program'!$P$43,'Bonding Program'!$C$8)),'Bonding Program'!$Z$43,0)+IF(AND('Bonding Program'!$P$43&lt;&gt;"",BX$3='Bonding Program'!$P$43,BX$3&lt;='Bonding Program'!$C$8),N('Bonding Program'!$O$43),0)</f>
        <v>0</v>
      </c>
      <c r="BY184" s="19" t="n">
        <f aca="false">IF(AND('Bonding Program'!$S$43=1,'Bonding Program'!$H$43&gt;'Bonding Program'!$C$8,BY$3='Bonding Program'!$H$43),'Bonding Program'!$T$43-'Bonding Program'!$U$43-'Bonding Program'!$Z$43,0)-IF(AND('Bonding Program'!$S$43=1,'Bonding Program'!$H$43&lt;='Bonding Program'!$C$8,BY$3=IF('Bonding Program'!$P$43&lt;&gt;"",'Bonding Program'!$P$43,'Bonding Program'!$C$8)),'Bonding Program'!$Z$43,0)+IF(AND('Bonding Program'!$P$43&lt;&gt;"",BY$3='Bonding Program'!$P$43,BY$3&lt;='Bonding Program'!$C$8),N('Bonding Program'!$O$43),0)</f>
        <v>0</v>
      </c>
      <c r="BZ184" s="19" t="n">
        <f aca="false">IF(AND('Bonding Program'!$S$43=1,'Bonding Program'!$H$43&gt;'Bonding Program'!$C$8,BZ$3='Bonding Program'!$H$43),'Bonding Program'!$T$43-'Bonding Program'!$U$43-'Bonding Program'!$Z$43,0)-IF(AND('Bonding Program'!$S$43=1,'Bonding Program'!$H$43&lt;='Bonding Program'!$C$8,BZ$3=IF('Bonding Program'!$P$43&lt;&gt;"",'Bonding Program'!$P$43,'Bonding Program'!$C$8)),'Bonding Program'!$Z$43,0)+IF(AND('Bonding Program'!$P$43&lt;&gt;"",BZ$3='Bonding Program'!$P$43,BZ$3&lt;='Bonding Program'!$C$8),N('Bonding Program'!$O$43),0)</f>
        <v>0</v>
      </c>
      <c r="CA184" s="19" t="n">
        <f aca="false">IF(AND('Bonding Program'!$S$43=1,'Bonding Program'!$H$43&gt;'Bonding Program'!$C$8,CA$3='Bonding Program'!$H$43),'Bonding Program'!$T$43-'Bonding Program'!$U$43-'Bonding Program'!$Z$43,0)-IF(AND('Bonding Program'!$S$43=1,'Bonding Program'!$H$43&lt;='Bonding Program'!$C$8,CA$3=IF('Bonding Program'!$P$43&lt;&gt;"",'Bonding Program'!$P$43,'Bonding Program'!$C$8)),'Bonding Program'!$Z$43,0)+IF(AND('Bonding Program'!$P$43&lt;&gt;"",CA$3='Bonding Program'!$P$43,CA$3&lt;='Bonding Program'!$C$8),N('Bonding Program'!$O$43),0)</f>
        <v>0</v>
      </c>
      <c r="CB184" s="19" t="n">
        <f aca="false">IF(AND('Bonding Program'!$S$43=1,'Bonding Program'!$H$43&gt;'Bonding Program'!$C$8,CB$3='Bonding Program'!$H$43),'Bonding Program'!$T$43-'Bonding Program'!$U$43-'Bonding Program'!$Z$43,0)-IF(AND('Bonding Program'!$S$43=1,'Bonding Program'!$H$43&lt;='Bonding Program'!$C$8,CB$3=IF('Bonding Program'!$P$43&lt;&gt;"",'Bonding Program'!$P$43,'Bonding Program'!$C$8)),'Bonding Program'!$Z$43,0)+IF(AND('Bonding Program'!$P$43&lt;&gt;"",CB$3='Bonding Program'!$P$43,CB$3&lt;='Bonding Program'!$C$8),N('Bonding Program'!$O$43),0)</f>
        <v>0</v>
      </c>
      <c r="CC184" s="19" t="n">
        <f aca="false">IF(AND('Bonding Program'!$S$43=1,'Bonding Program'!$H$43&gt;'Bonding Program'!$C$8,CC$3='Bonding Program'!$H$43),'Bonding Program'!$T$43-'Bonding Program'!$U$43-'Bonding Program'!$Z$43,0)-IF(AND('Bonding Program'!$S$43=1,'Bonding Program'!$H$43&lt;='Bonding Program'!$C$8,CC$3=IF('Bonding Program'!$P$43&lt;&gt;"",'Bonding Program'!$P$43,'Bonding Program'!$C$8)),'Bonding Program'!$Z$43,0)+IF(AND('Bonding Program'!$P$43&lt;&gt;"",CC$3='Bonding Program'!$P$43,CC$3&lt;='Bonding Program'!$C$8),N('Bonding Program'!$O$43),0)</f>
        <v>0</v>
      </c>
      <c r="CD184" s="19" t="n">
        <f aca="false">IF(AND('Bonding Program'!$S$43=1,'Bonding Program'!$H$43&gt;'Bonding Program'!$C$8,CD$3='Bonding Program'!$H$43),'Bonding Program'!$T$43-'Bonding Program'!$U$43-'Bonding Program'!$Z$43,0)-IF(AND('Bonding Program'!$S$43=1,'Bonding Program'!$H$43&lt;='Bonding Program'!$C$8,CD$3=IF('Bonding Program'!$P$43&lt;&gt;"",'Bonding Program'!$P$43,'Bonding Program'!$C$8)),'Bonding Program'!$Z$43,0)+IF(AND('Bonding Program'!$P$43&lt;&gt;"",CD$3='Bonding Program'!$P$43,CD$3&lt;='Bonding Program'!$C$8),N('Bonding Program'!$O$43),0)</f>
        <v>0</v>
      </c>
      <c r="CE184" s="19" t="n">
        <f aca="false">IF(AND('Bonding Program'!$S$43=1,'Bonding Program'!$H$43&gt;'Bonding Program'!$C$8,CE$3='Bonding Program'!$H$43),'Bonding Program'!$T$43-'Bonding Program'!$U$43-'Bonding Program'!$Z$43,0)-IF(AND('Bonding Program'!$S$43=1,'Bonding Program'!$H$43&lt;='Bonding Program'!$C$8,CE$3=IF('Bonding Program'!$P$43&lt;&gt;"",'Bonding Program'!$P$43,'Bonding Program'!$C$8)),'Bonding Program'!$Z$43,0)+IF(AND('Bonding Program'!$P$43&lt;&gt;"",CE$3='Bonding Program'!$P$43,CE$3&lt;='Bonding Program'!$C$8),N('Bonding Program'!$O$43),0)</f>
        <v>0</v>
      </c>
      <c r="CF184" s="19" t="n">
        <f aca="false">IF(AND('Bonding Program'!$S$43=1,'Bonding Program'!$H$43&gt;'Bonding Program'!$C$8,CF$3='Bonding Program'!$H$43),'Bonding Program'!$T$43-'Bonding Program'!$U$43-'Bonding Program'!$Z$43,0)-IF(AND('Bonding Program'!$S$43=1,'Bonding Program'!$H$43&lt;='Bonding Program'!$C$8,CF$3=IF('Bonding Program'!$P$43&lt;&gt;"",'Bonding Program'!$P$43,'Bonding Program'!$C$8)),'Bonding Program'!$Z$43,0)+IF(AND('Bonding Program'!$P$43&lt;&gt;"",CF$3='Bonding Program'!$P$43,CF$3&lt;='Bonding Program'!$C$8),N('Bonding Program'!$O$43),0)</f>
        <v>0</v>
      </c>
      <c r="CG184" s="19" t="n">
        <f aca="false">IF(AND('Bonding Program'!$S$43=1,'Bonding Program'!$H$43&gt;'Bonding Program'!$C$8,CG$3='Bonding Program'!$H$43),'Bonding Program'!$T$43-'Bonding Program'!$U$43-'Bonding Program'!$Z$43,0)-IF(AND('Bonding Program'!$S$43=1,'Bonding Program'!$H$43&lt;='Bonding Program'!$C$8,CG$3=IF('Bonding Program'!$P$43&lt;&gt;"",'Bonding Program'!$P$43,'Bonding Program'!$C$8)),'Bonding Program'!$Z$43,0)+IF(AND('Bonding Program'!$P$43&lt;&gt;"",CG$3='Bonding Program'!$P$43,CG$3&lt;='Bonding Program'!$C$8),N('Bonding Program'!$O$43),0)</f>
        <v>0</v>
      </c>
      <c r="CH184" s="19" t="n">
        <f aca="false">IF(AND('Bonding Program'!$S$43=1,'Bonding Program'!$H$43&gt;'Bonding Program'!$C$8,CH$3='Bonding Program'!$H$43),'Bonding Program'!$T$43-'Bonding Program'!$U$43-'Bonding Program'!$Z$43,0)-IF(AND('Bonding Program'!$S$43=1,'Bonding Program'!$H$43&lt;='Bonding Program'!$C$8,CH$3=IF('Bonding Program'!$P$43&lt;&gt;"",'Bonding Program'!$P$43,'Bonding Program'!$C$8)),'Bonding Program'!$Z$43,0)+IF(AND('Bonding Program'!$P$43&lt;&gt;"",CH$3='Bonding Program'!$P$43,CH$3&lt;='Bonding Program'!$C$8),N('Bonding Program'!$O$43),0)</f>
        <v>0</v>
      </c>
      <c r="CI184" s="19" t="n">
        <f aca="false">IF(AND('Bonding Program'!$S$43=1,'Bonding Program'!$H$43&gt;'Bonding Program'!$C$8,CI$3='Bonding Program'!$H$43),'Bonding Program'!$T$43-'Bonding Program'!$U$43-'Bonding Program'!$Z$43,0)-IF(AND('Bonding Program'!$S$43=1,'Bonding Program'!$H$43&lt;='Bonding Program'!$C$8,CI$3=IF('Bonding Program'!$P$43&lt;&gt;"",'Bonding Program'!$P$43,'Bonding Program'!$C$8)),'Bonding Program'!$Z$43,0)+IF(AND('Bonding Program'!$P$43&lt;&gt;"",CI$3='Bonding Program'!$P$43,CI$3&lt;='Bonding Program'!$C$8),N('Bonding Program'!$O$43),0)</f>
        <v>0</v>
      </c>
      <c r="CJ184" s="19" t="n">
        <f aca="false">IF(AND('Bonding Program'!$S$43=1,'Bonding Program'!$H$43&gt;'Bonding Program'!$C$8,CJ$3='Bonding Program'!$H$43),'Bonding Program'!$T$43-'Bonding Program'!$U$43-'Bonding Program'!$Z$43,0)-IF(AND('Bonding Program'!$S$43=1,'Bonding Program'!$H$43&lt;='Bonding Program'!$C$8,CJ$3=IF('Bonding Program'!$P$43&lt;&gt;"",'Bonding Program'!$P$43,'Bonding Program'!$C$8)),'Bonding Program'!$Z$43,0)+IF(AND('Bonding Program'!$P$43&lt;&gt;"",CJ$3='Bonding Program'!$P$43,CJ$3&lt;='Bonding Program'!$C$8),N('Bonding Program'!$O$43),0)</f>
        <v>0</v>
      </c>
      <c r="CK184" s="19" t="n">
        <f aca="false">IF(AND('Bonding Program'!$S$43=1,'Bonding Program'!$H$43&gt;'Bonding Program'!$C$8,CK$3='Bonding Program'!$H$43),'Bonding Program'!$T$43-'Bonding Program'!$U$43-'Bonding Program'!$Z$43,0)-IF(AND('Bonding Program'!$S$43=1,'Bonding Program'!$H$43&lt;='Bonding Program'!$C$8,CK$3=IF('Bonding Program'!$P$43&lt;&gt;"",'Bonding Program'!$P$43,'Bonding Program'!$C$8)),'Bonding Program'!$Z$43,0)+IF(AND('Bonding Program'!$P$43&lt;&gt;"",CK$3='Bonding Program'!$P$43,CK$3&lt;='Bonding Program'!$C$8),N('Bonding Program'!$O$43),0)</f>
        <v>0</v>
      </c>
      <c r="CL184" s="19" t="n">
        <f aca="false">IF(AND('Bonding Program'!$S$43=1,'Bonding Program'!$H$43&gt;'Bonding Program'!$C$8,CL$3='Bonding Program'!$H$43),'Bonding Program'!$T$43-'Bonding Program'!$U$43-'Bonding Program'!$Z$43,0)-IF(AND('Bonding Program'!$S$43=1,'Bonding Program'!$H$43&lt;='Bonding Program'!$C$8,CL$3=IF('Bonding Program'!$P$43&lt;&gt;"",'Bonding Program'!$P$43,'Bonding Program'!$C$8)),'Bonding Program'!$Z$43,0)+IF(AND('Bonding Program'!$P$43&lt;&gt;"",CL$3='Bonding Program'!$P$43,CL$3&lt;='Bonding Program'!$C$8),N('Bonding Program'!$O$43),0)</f>
        <v>0</v>
      </c>
      <c r="CM184" s="19" t="n">
        <f aca="false">IF(AND('Bonding Program'!$S$43=1,'Bonding Program'!$H$43&gt;'Bonding Program'!$C$8,CM$3='Bonding Program'!$H$43),'Bonding Program'!$T$43-'Bonding Program'!$U$43-'Bonding Program'!$Z$43,0)-IF(AND('Bonding Program'!$S$43=1,'Bonding Program'!$H$43&lt;='Bonding Program'!$C$8,CM$3=IF('Bonding Program'!$P$43&lt;&gt;"",'Bonding Program'!$P$43,'Bonding Program'!$C$8)),'Bonding Program'!$Z$43,0)+IF(AND('Bonding Program'!$P$43&lt;&gt;"",CM$3='Bonding Program'!$P$43,CM$3&lt;='Bonding Program'!$C$8),N('Bonding Program'!$O$43),0)</f>
        <v>0</v>
      </c>
      <c r="CN184" s="19" t="n">
        <f aca="false">IF(AND('Bonding Program'!$S$43=1,'Bonding Program'!$H$43&gt;'Bonding Program'!$C$8,CN$3='Bonding Program'!$H$43),'Bonding Program'!$T$43-'Bonding Program'!$U$43-'Bonding Program'!$Z$43,0)-IF(AND('Bonding Program'!$S$43=1,'Bonding Program'!$H$43&lt;='Bonding Program'!$C$8,CN$3=IF('Bonding Program'!$P$43&lt;&gt;"",'Bonding Program'!$P$43,'Bonding Program'!$C$8)),'Bonding Program'!$Z$43,0)+IF(AND('Bonding Program'!$P$43&lt;&gt;"",CN$3='Bonding Program'!$P$43,CN$3&lt;='Bonding Program'!$C$8),N('Bonding Program'!$O$43),0)</f>
        <v>0</v>
      </c>
      <c r="CO184" s="19" t="n">
        <f aca="false">IF(AND('Bonding Program'!$S$43=1,'Bonding Program'!$H$43&gt;'Bonding Program'!$C$8,CO$3='Bonding Program'!$H$43),'Bonding Program'!$T$43-'Bonding Program'!$U$43-'Bonding Program'!$Z$43,0)-IF(AND('Bonding Program'!$S$43=1,'Bonding Program'!$H$43&lt;='Bonding Program'!$C$8,CO$3=IF('Bonding Program'!$P$43&lt;&gt;"",'Bonding Program'!$P$43,'Bonding Program'!$C$8)),'Bonding Program'!$Z$43,0)+IF(AND('Bonding Program'!$P$43&lt;&gt;"",CO$3='Bonding Program'!$P$43,CO$3&lt;='Bonding Program'!$C$8),N('Bonding Program'!$O$43),0)</f>
        <v>0</v>
      </c>
      <c r="CP184" s="19" t="n">
        <f aca="false">IF(AND('Bonding Program'!$S$43=1,'Bonding Program'!$H$43&gt;'Bonding Program'!$C$8,CP$3='Bonding Program'!$H$43),'Bonding Program'!$T$43-'Bonding Program'!$U$43-'Bonding Program'!$Z$43,0)-IF(AND('Bonding Program'!$S$43=1,'Bonding Program'!$H$43&lt;='Bonding Program'!$C$8,CP$3=IF('Bonding Program'!$P$43&lt;&gt;"",'Bonding Program'!$P$43,'Bonding Program'!$C$8)),'Bonding Program'!$Z$43,0)+IF(AND('Bonding Program'!$P$43&lt;&gt;"",CP$3='Bonding Program'!$P$43,CP$3&lt;='Bonding Program'!$C$8),N('Bonding Program'!$O$43),0)</f>
        <v>0</v>
      </c>
      <c r="CQ184" s="19" t="n">
        <f aca="false">IF(AND('Bonding Program'!$S$43=1,'Bonding Program'!$H$43&gt;'Bonding Program'!$C$8,CQ$3='Bonding Program'!$H$43),'Bonding Program'!$T$43-'Bonding Program'!$U$43-'Bonding Program'!$Z$43,0)-IF(AND('Bonding Program'!$S$43=1,'Bonding Program'!$H$43&lt;='Bonding Program'!$C$8,CQ$3=IF('Bonding Program'!$P$43&lt;&gt;"",'Bonding Program'!$P$43,'Bonding Program'!$C$8)),'Bonding Program'!$Z$43,0)+IF(AND('Bonding Program'!$P$43&lt;&gt;"",CQ$3='Bonding Program'!$P$43,CQ$3&lt;='Bonding Program'!$C$8),N('Bonding Program'!$O$43),0)</f>
        <v>0</v>
      </c>
      <c r="CR184" s="19" t="n">
        <f aca="false">IF(AND('Bonding Program'!$S$43=1,'Bonding Program'!$H$43&gt;'Bonding Program'!$C$8,CR$3='Bonding Program'!$H$43),'Bonding Program'!$T$43-'Bonding Program'!$U$43-'Bonding Program'!$Z$43,0)-IF(AND('Bonding Program'!$S$43=1,'Bonding Program'!$H$43&lt;='Bonding Program'!$C$8,CR$3=IF('Bonding Program'!$P$43&lt;&gt;"",'Bonding Program'!$P$43,'Bonding Program'!$C$8)),'Bonding Program'!$Z$43,0)+IF(AND('Bonding Program'!$P$43&lt;&gt;"",CR$3='Bonding Program'!$P$43,CR$3&lt;='Bonding Program'!$C$8),N('Bonding Program'!$O$43),0)</f>
        <v>0</v>
      </c>
      <c r="CS184" s="19" t="n">
        <f aca="false">IF(AND('Bonding Program'!$S$43=1,'Bonding Program'!$H$43&gt;'Bonding Program'!$C$8,CS$3='Bonding Program'!$H$43),'Bonding Program'!$T$43-'Bonding Program'!$U$43-'Bonding Program'!$Z$43,0)-IF(AND('Bonding Program'!$S$43=1,'Bonding Program'!$H$43&lt;='Bonding Program'!$C$8,CS$3=IF('Bonding Program'!$P$43&lt;&gt;"",'Bonding Program'!$P$43,'Bonding Program'!$C$8)),'Bonding Program'!$Z$43,0)+IF(AND('Bonding Program'!$P$43&lt;&gt;"",CS$3='Bonding Program'!$P$43,CS$3&lt;='Bonding Program'!$C$8),N('Bonding Program'!$O$43),0)</f>
        <v>0</v>
      </c>
      <c r="CT184" s="19" t="n">
        <f aca="false">IF(AND('Bonding Program'!$S$43=1,'Bonding Program'!$H$43&gt;'Bonding Program'!$C$8,CT$3='Bonding Program'!$H$43),'Bonding Program'!$T$43-'Bonding Program'!$U$43-'Bonding Program'!$Z$43,0)-IF(AND('Bonding Program'!$S$43=1,'Bonding Program'!$H$43&lt;='Bonding Program'!$C$8,CT$3=IF('Bonding Program'!$P$43&lt;&gt;"",'Bonding Program'!$P$43,'Bonding Program'!$C$8)),'Bonding Program'!$Z$43,0)+IF(AND('Bonding Program'!$P$43&lt;&gt;"",CT$3='Bonding Program'!$P$43,CT$3&lt;='Bonding Program'!$C$8),N('Bonding Program'!$O$43),0)</f>
        <v>0</v>
      </c>
      <c r="CU184" s="19" t="n">
        <f aca="false">IF(AND('Bonding Program'!$S$43=1,'Bonding Program'!$H$43&gt;'Bonding Program'!$C$8,CU$3='Bonding Program'!$H$43),'Bonding Program'!$T$43-'Bonding Program'!$U$43-'Bonding Program'!$Z$43,0)-IF(AND('Bonding Program'!$S$43=1,'Bonding Program'!$H$43&lt;='Bonding Program'!$C$8,CU$3=IF('Bonding Program'!$P$43&lt;&gt;"",'Bonding Program'!$P$43,'Bonding Program'!$C$8)),'Bonding Program'!$Z$43,0)+IF(AND('Bonding Program'!$P$43&lt;&gt;"",CU$3='Bonding Program'!$P$43,CU$3&lt;='Bonding Program'!$C$8),N('Bonding Program'!$O$43),0)</f>
        <v>0</v>
      </c>
      <c r="CV184" s="19" t="n">
        <f aca="false">IF(AND('Bonding Program'!$S$43=1,'Bonding Program'!$H$43&gt;'Bonding Program'!$C$8,CV$3='Bonding Program'!$H$43),'Bonding Program'!$T$43-'Bonding Program'!$U$43-'Bonding Program'!$Z$43,0)-IF(AND('Bonding Program'!$S$43=1,'Bonding Program'!$H$43&lt;='Bonding Program'!$C$8,CV$3=IF('Bonding Program'!$P$43&lt;&gt;"",'Bonding Program'!$P$43,'Bonding Program'!$C$8)),'Bonding Program'!$Z$43,0)+IF(AND('Bonding Program'!$P$43&lt;&gt;"",CV$3='Bonding Program'!$P$43,CV$3&lt;='Bonding Program'!$C$8),N('Bonding Program'!$O$43),0)</f>
        <v>0</v>
      </c>
      <c r="CW184" s="19" t="n">
        <f aca="false">IF(AND('Bonding Program'!$S$43=1,'Bonding Program'!$H$43&gt;'Bonding Program'!$C$8,CW$3='Bonding Program'!$H$43),'Bonding Program'!$T$43-'Bonding Program'!$U$43-'Bonding Program'!$Z$43,0)-IF(AND('Bonding Program'!$S$43=1,'Bonding Program'!$H$43&lt;='Bonding Program'!$C$8,CW$3=IF('Bonding Program'!$P$43&lt;&gt;"",'Bonding Program'!$P$43,'Bonding Program'!$C$8)),'Bonding Program'!$Z$43,0)+IF(AND('Bonding Program'!$P$43&lt;&gt;"",CW$3='Bonding Program'!$P$43,CW$3&lt;='Bonding Program'!$C$8),N('Bonding Program'!$O$43),0)</f>
        <v>0</v>
      </c>
      <c r="CX184" s="19" t="n">
        <f aca="false">IF(AND('Bonding Program'!$S$43=1,'Bonding Program'!$H$43&gt;'Bonding Program'!$C$8,CX$3='Bonding Program'!$H$43),'Bonding Program'!$T$43-'Bonding Program'!$U$43-'Bonding Program'!$Z$43,0)-IF(AND('Bonding Program'!$S$43=1,'Bonding Program'!$H$43&lt;='Bonding Program'!$C$8,CX$3=IF('Bonding Program'!$P$43&lt;&gt;"",'Bonding Program'!$P$43,'Bonding Program'!$C$8)),'Bonding Program'!$Z$43,0)+IF(AND('Bonding Program'!$P$43&lt;&gt;"",CX$3='Bonding Program'!$P$43,CX$3&lt;='Bonding Program'!$C$8),N('Bonding Program'!$O$43),0)</f>
        <v>0</v>
      </c>
      <c r="CY184" s="19" t="n">
        <f aca="false">IF(AND('Bonding Program'!$S$43=1,'Bonding Program'!$H$43&gt;'Bonding Program'!$C$8,CY$3='Bonding Program'!$H$43),'Bonding Program'!$T$43-'Bonding Program'!$U$43-'Bonding Program'!$Z$43,0)-IF(AND('Bonding Program'!$S$43=1,'Bonding Program'!$H$43&lt;='Bonding Program'!$C$8,CY$3=IF('Bonding Program'!$P$43&lt;&gt;"",'Bonding Program'!$P$43,'Bonding Program'!$C$8)),'Bonding Program'!$Z$43,0)+IF(AND('Bonding Program'!$P$43&lt;&gt;"",CY$3='Bonding Program'!$P$43,CY$3&lt;='Bonding Program'!$C$8),N('Bonding Program'!$O$43),0)</f>
        <v>0</v>
      </c>
      <c r="CZ184" s="19" t="n">
        <f aca="false">IF(AND('Bonding Program'!$S$43=1,'Bonding Program'!$H$43&gt;'Bonding Program'!$C$8,CZ$3='Bonding Program'!$H$43),'Bonding Program'!$T$43-'Bonding Program'!$U$43-'Bonding Program'!$Z$43,0)-IF(AND('Bonding Program'!$S$43=1,'Bonding Program'!$H$43&lt;='Bonding Program'!$C$8,CZ$3=IF('Bonding Program'!$P$43&lt;&gt;"",'Bonding Program'!$P$43,'Bonding Program'!$C$8)),'Bonding Program'!$Z$43,0)+IF(AND('Bonding Program'!$P$43&lt;&gt;"",CZ$3='Bonding Program'!$P$43,CZ$3&lt;='Bonding Program'!$C$8),N('Bonding Program'!$O$43),0)</f>
        <v>0</v>
      </c>
      <c r="DA184" s="19" t="n">
        <f aca="false">IF(AND('Bonding Program'!$S$43=1,'Bonding Program'!$H$43&gt;'Bonding Program'!$C$8,DA$3='Bonding Program'!$H$43),'Bonding Program'!$T$43-'Bonding Program'!$U$43-'Bonding Program'!$Z$43,0)-IF(AND('Bonding Program'!$S$43=1,'Bonding Program'!$H$43&lt;='Bonding Program'!$C$8,DA$3=IF('Bonding Program'!$P$43&lt;&gt;"",'Bonding Program'!$P$43,'Bonding Program'!$C$8)),'Bonding Program'!$Z$43,0)+IF(AND('Bonding Program'!$P$43&lt;&gt;"",DA$3='Bonding Program'!$P$43,DA$3&lt;='Bonding Program'!$C$8),N('Bonding Program'!$O$43),0)</f>
        <v>0</v>
      </c>
      <c r="DB184" s="19" t="n">
        <f aca="false">IF(AND('Bonding Program'!$S$43=1,'Bonding Program'!$H$43&gt;'Bonding Program'!$C$8,DB$3='Bonding Program'!$H$43),'Bonding Program'!$T$43-'Bonding Program'!$U$43-'Bonding Program'!$Z$43,0)-IF(AND('Bonding Program'!$S$43=1,'Bonding Program'!$H$43&lt;='Bonding Program'!$C$8,DB$3=IF('Bonding Program'!$P$43&lt;&gt;"",'Bonding Program'!$P$43,'Bonding Program'!$C$8)),'Bonding Program'!$Z$43,0)+IF(AND('Bonding Program'!$P$43&lt;&gt;"",DB$3='Bonding Program'!$P$43,DB$3&lt;='Bonding Program'!$C$8),N('Bonding Program'!$O$43),0)</f>
        <v>0</v>
      </c>
      <c r="DC184" s="19" t="n">
        <f aca="false">IF(AND('Bonding Program'!$S$43=1,'Bonding Program'!$H$43&gt;'Bonding Program'!$C$8,DC$3='Bonding Program'!$H$43),'Bonding Program'!$T$43-'Bonding Program'!$U$43-'Bonding Program'!$Z$43,0)-IF(AND('Bonding Program'!$S$43=1,'Bonding Program'!$H$43&lt;='Bonding Program'!$C$8,DC$3=IF('Bonding Program'!$P$43&lt;&gt;"",'Bonding Program'!$P$43,'Bonding Program'!$C$8)),'Bonding Program'!$Z$43,0)+IF(AND('Bonding Program'!$P$43&lt;&gt;"",DC$3='Bonding Program'!$P$43,DC$3&lt;='Bonding Program'!$C$8),N('Bonding Program'!$O$43),0)</f>
        <v>0</v>
      </c>
      <c r="DD184" s="19" t="n">
        <f aca="false">IF(AND('Bonding Program'!$S$43=1,'Bonding Program'!$H$43&gt;'Bonding Program'!$C$8,DD$3='Bonding Program'!$H$43),'Bonding Program'!$T$43-'Bonding Program'!$U$43-'Bonding Program'!$Z$43,0)-IF(AND('Bonding Program'!$S$43=1,'Bonding Program'!$H$43&lt;='Bonding Program'!$C$8,DD$3=IF('Bonding Program'!$P$43&lt;&gt;"",'Bonding Program'!$P$43,'Bonding Program'!$C$8)),'Bonding Program'!$Z$43,0)+IF(AND('Bonding Program'!$P$43&lt;&gt;"",DD$3='Bonding Program'!$P$43,DD$3&lt;='Bonding Program'!$C$8),N('Bonding Program'!$O$43),0)</f>
        <v>0</v>
      </c>
      <c r="DE184" s="19" t="n">
        <f aca="false">IF(AND('Bonding Program'!$S$43=1,'Bonding Program'!$H$43&gt;'Bonding Program'!$C$8,DE$3='Bonding Program'!$H$43),'Bonding Program'!$T$43-'Bonding Program'!$U$43-'Bonding Program'!$Z$43,0)-IF(AND('Bonding Program'!$S$43=1,'Bonding Program'!$H$43&lt;='Bonding Program'!$C$8,DE$3=IF('Bonding Program'!$P$43&lt;&gt;"",'Bonding Program'!$P$43,'Bonding Program'!$C$8)),'Bonding Program'!$Z$43,0)+IF(AND('Bonding Program'!$P$43&lt;&gt;"",DE$3='Bonding Program'!$P$43,DE$3&lt;='Bonding Program'!$C$8),N('Bonding Program'!$O$43),0)</f>
        <v>0</v>
      </c>
    </row>
    <row r="185" customFormat="false" ht="15" hidden="false" customHeight="true" outlineLevel="1" collapsed="false">
      <c r="A185" s="28" t="s">
        <v>40</v>
      </c>
      <c r="B185" s="19" t="n">
        <f aca="false">IF(AND('Bonding Program'!$S$44=1,'Bonding Program'!$H$44&gt;'Bonding Program'!$C$8,B$3='Bonding Program'!$H$44),'Bonding Program'!$T$44-'Bonding Program'!$U$44-'Bonding Program'!$Z$44,0)-IF(AND('Bonding Program'!$S$44=1,'Bonding Program'!$H$44&lt;='Bonding Program'!$C$8,B$3=IF('Bonding Program'!$P$44&lt;&gt;"",'Bonding Program'!$P$44,'Bonding Program'!$C$8)),'Bonding Program'!$Z$44,0)+IF(AND('Bonding Program'!$P$44&lt;&gt;"",B$3='Bonding Program'!$P$44,B$3&lt;='Bonding Program'!$C$8),N('Bonding Program'!$O$44),0)</f>
        <v>0</v>
      </c>
      <c r="C185" s="19" t="n">
        <f aca="false">IF(AND('Bonding Program'!$S$44=1,'Bonding Program'!$H$44&gt;'Bonding Program'!$C$8,C$3='Bonding Program'!$H$44),'Bonding Program'!$T$44-'Bonding Program'!$U$44-'Bonding Program'!$Z$44,0)-IF(AND('Bonding Program'!$S$44=1,'Bonding Program'!$H$44&lt;='Bonding Program'!$C$8,C$3=IF('Bonding Program'!$P$44&lt;&gt;"",'Bonding Program'!$P$44,'Bonding Program'!$C$8)),'Bonding Program'!$Z$44,0)+IF(AND('Bonding Program'!$P$44&lt;&gt;"",C$3='Bonding Program'!$P$44,C$3&lt;='Bonding Program'!$C$8),N('Bonding Program'!$O$44),0)</f>
        <v>0</v>
      </c>
      <c r="D185" s="19" t="n">
        <f aca="false">IF(AND('Bonding Program'!$S$44=1,'Bonding Program'!$H$44&gt;'Bonding Program'!$C$8,D$3='Bonding Program'!$H$44),'Bonding Program'!$T$44-'Bonding Program'!$U$44-'Bonding Program'!$Z$44,0)-IF(AND('Bonding Program'!$S$44=1,'Bonding Program'!$H$44&lt;='Bonding Program'!$C$8,D$3=IF('Bonding Program'!$P$44&lt;&gt;"",'Bonding Program'!$P$44,'Bonding Program'!$C$8)),'Bonding Program'!$Z$44,0)+IF(AND('Bonding Program'!$P$44&lt;&gt;"",D$3='Bonding Program'!$P$44,D$3&lt;='Bonding Program'!$C$8),N('Bonding Program'!$O$44),0)</f>
        <v>0</v>
      </c>
      <c r="E185" s="19" t="n">
        <f aca="false">IF(AND('Bonding Program'!$S$44=1,'Bonding Program'!$H$44&gt;'Bonding Program'!$C$8,E$3='Bonding Program'!$H$44),'Bonding Program'!$T$44-'Bonding Program'!$U$44-'Bonding Program'!$Z$44,0)-IF(AND('Bonding Program'!$S$44=1,'Bonding Program'!$H$44&lt;='Bonding Program'!$C$8,E$3=IF('Bonding Program'!$P$44&lt;&gt;"",'Bonding Program'!$P$44,'Bonding Program'!$C$8)),'Bonding Program'!$Z$44,0)+IF(AND('Bonding Program'!$P$44&lt;&gt;"",E$3='Bonding Program'!$P$44,E$3&lt;='Bonding Program'!$C$8),N('Bonding Program'!$O$44),0)</f>
        <v>0</v>
      </c>
      <c r="F185" s="19" t="n">
        <f aca="false">IF(AND('Bonding Program'!$S$44=1,'Bonding Program'!$H$44&gt;'Bonding Program'!$C$8,F$3='Bonding Program'!$H$44),'Bonding Program'!$T$44-'Bonding Program'!$U$44-'Bonding Program'!$Z$44,0)-IF(AND('Bonding Program'!$S$44=1,'Bonding Program'!$H$44&lt;='Bonding Program'!$C$8,F$3=IF('Bonding Program'!$P$44&lt;&gt;"",'Bonding Program'!$P$44,'Bonding Program'!$C$8)),'Bonding Program'!$Z$44,0)+IF(AND('Bonding Program'!$P$44&lt;&gt;"",F$3='Bonding Program'!$P$44,F$3&lt;='Bonding Program'!$C$8),N('Bonding Program'!$O$44),0)</f>
        <v>0</v>
      </c>
      <c r="G185" s="19" t="n">
        <f aca="false">IF(AND('Bonding Program'!$S$44=1,'Bonding Program'!$H$44&gt;'Bonding Program'!$C$8,G$3='Bonding Program'!$H$44),'Bonding Program'!$T$44-'Bonding Program'!$U$44-'Bonding Program'!$Z$44,0)-IF(AND('Bonding Program'!$S$44=1,'Bonding Program'!$H$44&lt;='Bonding Program'!$C$8,G$3=IF('Bonding Program'!$P$44&lt;&gt;"",'Bonding Program'!$P$44,'Bonding Program'!$C$8)),'Bonding Program'!$Z$44,0)+IF(AND('Bonding Program'!$P$44&lt;&gt;"",G$3='Bonding Program'!$P$44,G$3&lt;='Bonding Program'!$C$8),N('Bonding Program'!$O$44),0)</f>
        <v>0</v>
      </c>
      <c r="H185" s="19" t="n">
        <f aca="false">IF(AND('Bonding Program'!$S$44=1,'Bonding Program'!$H$44&gt;'Bonding Program'!$C$8,H$3='Bonding Program'!$H$44),'Bonding Program'!$T$44-'Bonding Program'!$U$44-'Bonding Program'!$Z$44,0)-IF(AND('Bonding Program'!$S$44=1,'Bonding Program'!$H$44&lt;='Bonding Program'!$C$8,H$3=IF('Bonding Program'!$P$44&lt;&gt;"",'Bonding Program'!$P$44,'Bonding Program'!$C$8)),'Bonding Program'!$Z$44,0)+IF(AND('Bonding Program'!$P$44&lt;&gt;"",H$3='Bonding Program'!$P$44,H$3&lt;='Bonding Program'!$C$8),N('Bonding Program'!$O$44),0)</f>
        <v>0</v>
      </c>
      <c r="I185" s="19" t="n">
        <f aca="false">IF(AND('Bonding Program'!$S$44=1,'Bonding Program'!$H$44&gt;'Bonding Program'!$C$8,I$3='Bonding Program'!$H$44),'Bonding Program'!$T$44-'Bonding Program'!$U$44-'Bonding Program'!$Z$44,0)-IF(AND('Bonding Program'!$S$44=1,'Bonding Program'!$H$44&lt;='Bonding Program'!$C$8,I$3=IF('Bonding Program'!$P$44&lt;&gt;"",'Bonding Program'!$P$44,'Bonding Program'!$C$8)),'Bonding Program'!$Z$44,0)+IF(AND('Bonding Program'!$P$44&lt;&gt;"",I$3='Bonding Program'!$P$44,I$3&lt;='Bonding Program'!$C$8),N('Bonding Program'!$O$44),0)</f>
        <v>0</v>
      </c>
      <c r="J185" s="19" t="n">
        <f aca="false">IF(AND('Bonding Program'!$S$44=1,'Bonding Program'!$H$44&gt;'Bonding Program'!$C$8,J$3='Bonding Program'!$H$44),'Bonding Program'!$T$44-'Bonding Program'!$U$44-'Bonding Program'!$Z$44,0)-IF(AND('Bonding Program'!$S$44=1,'Bonding Program'!$H$44&lt;='Bonding Program'!$C$8,J$3=IF('Bonding Program'!$P$44&lt;&gt;"",'Bonding Program'!$P$44,'Bonding Program'!$C$8)),'Bonding Program'!$Z$44,0)+IF(AND('Bonding Program'!$P$44&lt;&gt;"",J$3='Bonding Program'!$P$44,J$3&lt;='Bonding Program'!$C$8),N('Bonding Program'!$O$44),0)</f>
        <v>0</v>
      </c>
      <c r="K185" s="19" t="n">
        <f aca="false">IF(AND('Bonding Program'!$S$44=1,'Bonding Program'!$H$44&gt;'Bonding Program'!$C$8,K$3='Bonding Program'!$H$44),'Bonding Program'!$T$44-'Bonding Program'!$U$44-'Bonding Program'!$Z$44,0)-IF(AND('Bonding Program'!$S$44=1,'Bonding Program'!$H$44&lt;='Bonding Program'!$C$8,K$3=IF('Bonding Program'!$P$44&lt;&gt;"",'Bonding Program'!$P$44,'Bonding Program'!$C$8)),'Bonding Program'!$Z$44,0)+IF(AND('Bonding Program'!$P$44&lt;&gt;"",K$3='Bonding Program'!$P$44,K$3&lt;='Bonding Program'!$C$8),N('Bonding Program'!$O$44),0)</f>
        <v>0</v>
      </c>
      <c r="L185" s="19" t="n">
        <f aca="false">IF(AND('Bonding Program'!$S$44=1,'Bonding Program'!$H$44&gt;'Bonding Program'!$C$8,L$3='Bonding Program'!$H$44),'Bonding Program'!$T$44-'Bonding Program'!$U$44-'Bonding Program'!$Z$44,0)-IF(AND('Bonding Program'!$S$44=1,'Bonding Program'!$H$44&lt;='Bonding Program'!$C$8,L$3=IF('Bonding Program'!$P$44&lt;&gt;"",'Bonding Program'!$P$44,'Bonding Program'!$C$8)),'Bonding Program'!$Z$44,0)+IF(AND('Bonding Program'!$P$44&lt;&gt;"",L$3='Bonding Program'!$P$44,L$3&lt;='Bonding Program'!$C$8),N('Bonding Program'!$O$44),0)</f>
        <v>0</v>
      </c>
      <c r="M185" s="19" t="n">
        <f aca="false">IF(AND('Bonding Program'!$S$44=1,'Bonding Program'!$H$44&gt;'Bonding Program'!$C$8,M$3='Bonding Program'!$H$44),'Bonding Program'!$T$44-'Bonding Program'!$U$44-'Bonding Program'!$Z$44,0)-IF(AND('Bonding Program'!$S$44=1,'Bonding Program'!$H$44&lt;='Bonding Program'!$C$8,M$3=IF('Bonding Program'!$P$44&lt;&gt;"",'Bonding Program'!$P$44,'Bonding Program'!$C$8)),'Bonding Program'!$Z$44,0)+IF(AND('Bonding Program'!$P$44&lt;&gt;"",M$3='Bonding Program'!$P$44,M$3&lt;='Bonding Program'!$C$8),N('Bonding Program'!$O$44),0)</f>
        <v>0</v>
      </c>
      <c r="N185" s="19" t="n">
        <f aca="false">IF(AND('Bonding Program'!$S$44=1,'Bonding Program'!$H$44&gt;'Bonding Program'!$C$8,N$3='Bonding Program'!$H$44),'Bonding Program'!$T$44-'Bonding Program'!$U$44-'Bonding Program'!$Z$44,0)-IF(AND('Bonding Program'!$S$44=1,'Bonding Program'!$H$44&lt;='Bonding Program'!$C$8,N$3=IF('Bonding Program'!$P$44&lt;&gt;"",'Bonding Program'!$P$44,'Bonding Program'!$C$8)),'Bonding Program'!$Z$44,0)+IF(AND('Bonding Program'!$P$44&lt;&gt;"",N$3='Bonding Program'!$P$44,N$3&lt;='Bonding Program'!$C$8),N('Bonding Program'!$O$44),0)</f>
        <v>0</v>
      </c>
      <c r="O185" s="19" t="n">
        <f aca="false">IF(AND('Bonding Program'!$S$44=1,'Bonding Program'!$H$44&gt;'Bonding Program'!$C$8,O$3='Bonding Program'!$H$44),'Bonding Program'!$T$44-'Bonding Program'!$U$44-'Bonding Program'!$Z$44,0)-IF(AND('Bonding Program'!$S$44=1,'Bonding Program'!$H$44&lt;='Bonding Program'!$C$8,O$3=IF('Bonding Program'!$P$44&lt;&gt;"",'Bonding Program'!$P$44,'Bonding Program'!$C$8)),'Bonding Program'!$Z$44,0)+IF(AND('Bonding Program'!$P$44&lt;&gt;"",O$3='Bonding Program'!$P$44,O$3&lt;='Bonding Program'!$C$8),N('Bonding Program'!$O$44),0)</f>
        <v>0</v>
      </c>
      <c r="P185" s="19" t="n">
        <f aca="false">IF(AND('Bonding Program'!$S$44=1,'Bonding Program'!$H$44&gt;'Bonding Program'!$C$8,P$3='Bonding Program'!$H$44),'Bonding Program'!$T$44-'Bonding Program'!$U$44-'Bonding Program'!$Z$44,0)-IF(AND('Bonding Program'!$S$44=1,'Bonding Program'!$H$44&lt;='Bonding Program'!$C$8,P$3=IF('Bonding Program'!$P$44&lt;&gt;"",'Bonding Program'!$P$44,'Bonding Program'!$C$8)),'Bonding Program'!$Z$44,0)+IF(AND('Bonding Program'!$P$44&lt;&gt;"",P$3='Bonding Program'!$P$44,P$3&lt;='Bonding Program'!$C$8),N('Bonding Program'!$O$44),0)</f>
        <v>0</v>
      </c>
      <c r="Q185" s="19" t="n">
        <f aca="false">IF(AND('Bonding Program'!$S$44=1,'Bonding Program'!$H$44&gt;'Bonding Program'!$C$8,Q$3='Bonding Program'!$H$44),'Bonding Program'!$T$44-'Bonding Program'!$U$44-'Bonding Program'!$Z$44,0)-IF(AND('Bonding Program'!$S$44=1,'Bonding Program'!$H$44&lt;='Bonding Program'!$C$8,Q$3=IF('Bonding Program'!$P$44&lt;&gt;"",'Bonding Program'!$P$44,'Bonding Program'!$C$8)),'Bonding Program'!$Z$44,0)+IF(AND('Bonding Program'!$P$44&lt;&gt;"",Q$3='Bonding Program'!$P$44,Q$3&lt;='Bonding Program'!$C$8),N('Bonding Program'!$O$44),0)</f>
        <v>0</v>
      </c>
      <c r="R185" s="19" t="n">
        <f aca="false">IF(AND('Bonding Program'!$S$44=1,'Bonding Program'!$H$44&gt;'Bonding Program'!$C$8,R$3='Bonding Program'!$H$44),'Bonding Program'!$T$44-'Bonding Program'!$U$44-'Bonding Program'!$Z$44,0)-IF(AND('Bonding Program'!$S$44=1,'Bonding Program'!$H$44&lt;='Bonding Program'!$C$8,R$3=IF('Bonding Program'!$P$44&lt;&gt;"",'Bonding Program'!$P$44,'Bonding Program'!$C$8)),'Bonding Program'!$Z$44,0)+IF(AND('Bonding Program'!$P$44&lt;&gt;"",R$3='Bonding Program'!$P$44,R$3&lt;='Bonding Program'!$C$8),N('Bonding Program'!$O$44),0)</f>
        <v>0</v>
      </c>
      <c r="S185" s="19" t="n">
        <f aca="false">IF(AND('Bonding Program'!$S$44=1,'Bonding Program'!$H$44&gt;'Bonding Program'!$C$8,S$3='Bonding Program'!$H$44),'Bonding Program'!$T$44-'Bonding Program'!$U$44-'Bonding Program'!$Z$44,0)-IF(AND('Bonding Program'!$S$44=1,'Bonding Program'!$H$44&lt;='Bonding Program'!$C$8,S$3=IF('Bonding Program'!$P$44&lt;&gt;"",'Bonding Program'!$P$44,'Bonding Program'!$C$8)),'Bonding Program'!$Z$44,0)+IF(AND('Bonding Program'!$P$44&lt;&gt;"",S$3='Bonding Program'!$P$44,S$3&lt;='Bonding Program'!$C$8),N('Bonding Program'!$O$44),0)</f>
        <v>0</v>
      </c>
      <c r="T185" s="19" t="n">
        <f aca="false">IF(AND('Bonding Program'!$S$44=1,'Bonding Program'!$H$44&gt;'Bonding Program'!$C$8,T$3='Bonding Program'!$H$44),'Bonding Program'!$T$44-'Bonding Program'!$U$44-'Bonding Program'!$Z$44,0)-IF(AND('Bonding Program'!$S$44=1,'Bonding Program'!$H$44&lt;='Bonding Program'!$C$8,T$3=IF('Bonding Program'!$P$44&lt;&gt;"",'Bonding Program'!$P$44,'Bonding Program'!$C$8)),'Bonding Program'!$Z$44,0)+IF(AND('Bonding Program'!$P$44&lt;&gt;"",T$3='Bonding Program'!$P$44,T$3&lt;='Bonding Program'!$C$8),N('Bonding Program'!$O$44),0)</f>
        <v>0</v>
      </c>
      <c r="U185" s="19" t="n">
        <f aca="false">IF(AND('Bonding Program'!$S$44=1,'Bonding Program'!$H$44&gt;'Bonding Program'!$C$8,U$3='Bonding Program'!$H$44),'Bonding Program'!$T$44-'Bonding Program'!$U$44-'Bonding Program'!$Z$44,0)-IF(AND('Bonding Program'!$S$44=1,'Bonding Program'!$H$44&lt;='Bonding Program'!$C$8,U$3=IF('Bonding Program'!$P$44&lt;&gt;"",'Bonding Program'!$P$44,'Bonding Program'!$C$8)),'Bonding Program'!$Z$44,0)+IF(AND('Bonding Program'!$P$44&lt;&gt;"",U$3='Bonding Program'!$P$44,U$3&lt;='Bonding Program'!$C$8),N('Bonding Program'!$O$44),0)</f>
        <v>0</v>
      </c>
      <c r="V185" s="19" t="n">
        <f aca="false">IF(AND('Bonding Program'!$S$44=1,'Bonding Program'!$H$44&gt;'Bonding Program'!$C$8,V$3='Bonding Program'!$H$44),'Bonding Program'!$T$44-'Bonding Program'!$U$44-'Bonding Program'!$Z$44,0)-IF(AND('Bonding Program'!$S$44=1,'Bonding Program'!$H$44&lt;='Bonding Program'!$C$8,V$3=IF('Bonding Program'!$P$44&lt;&gt;"",'Bonding Program'!$P$44,'Bonding Program'!$C$8)),'Bonding Program'!$Z$44,0)+IF(AND('Bonding Program'!$P$44&lt;&gt;"",V$3='Bonding Program'!$P$44,V$3&lt;='Bonding Program'!$C$8),N('Bonding Program'!$O$44),0)</f>
        <v>0</v>
      </c>
      <c r="W185" s="19" t="n">
        <f aca="false">IF(AND('Bonding Program'!$S$44=1,'Bonding Program'!$H$44&gt;'Bonding Program'!$C$8,W$3='Bonding Program'!$H$44),'Bonding Program'!$T$44-'Bonding Program'!$U$44-'Bonding Program'!$Z$44,0)-IF(AND('Bonding Program'!$S$44=1,'Bonding Program'!$H$44&lt;='Bonding Program'!$C$8,W$3=IF('Bonding Program'!$P$44&lt;&gt;"",'Bonding Program'!$P$44,'Bonding Program'!$C$8)),'Bonding Program'!$Z$44,0)+IF(AND('Bonding Program'!$P$44&lt;&gt;"",W$3='Bonding Program'!$P$44,W$3&lt;='Bonding Program'!$C$8),N('Bonding Program'!$O$44),0)</f>
        <v>0</v>
      </c>
      <c r="X185" s="19" t="n">
        <f aca="false">IF(AND('Bonding Program'!$S$44=1,'Bonding Program'!$H$44&gt;'Bonding Program'!$C$8,X$3='Bonding Program'!$H$44),'Bonding Program'!$T$44-'Bonding Program'!$U$44-'Bonding Program'!$Z$44,0)-IF(AND('Bonding Program'!$S$44=1,'Bonding Program'!$H$44&lt;='Bonding Program'!$C$8,X$3=IF('Bonding Program'!$P$44&lt;&gt;"",'Bonding Program'!$P$44,'Bonding Program'!$C$8)),'Bonding Program'!$Z$44,0)+IF(AND('Bonding Program'!$P$44&lt;&gt;"",X$3='Bonding Program'!$P$44,X$3&lt;='Bonding Program'!$C$8),N('Bonding Program'!$O$44),0)</f>
        <v>0</v>
      </c>
      <c r="Y185" s="19" t="n">
        <f aca="false">IF(AND('Bonding Program'!$S$44=1,'Bonding Program'!$H$44&gt;'Bonding Program'!$C$8,Y$3='Bonding Program'!$H$44),'Bonding Program'!$T$44-'Bonding Program'!$U$44-'Bonding Program'!$Z$44,0)-IF(AND('Bonding Program'!$S$44=1,'Bonding Program'!$H$44&lt;='Bonding Program'!$C$8,Y$3=IF('Bonding Program'!$P$44&lt;&gt;"",'Bonding Program'!$P$44,'Bonding Program'!$C$8)),'Bonding Program'!$Z$44,0)+IF(AND('Bonding Program'!$P$44&lt;&gt;"",Y$3='Bonding Program'!$P$44,Y$3&lt;='Bonding Program'!$C$8),N('Bonding Program'!$O$44),0)</f>
        <v>0</v>
      </c>
      <c r="Z185" s="19" t="n">
        <f aca="false">IF(AND('Bonding Program'!$S$44=1,'Bonding Program'!$H$44&gt;'Bonding Program'!$C$8,Z$3='Bonding Program'!$H$44),'Bonding Program'!$T$44-'Bonding Program'!$U$44-'Bonding Program'!$Z$44,0)-IF(AND('Bonding Program'!$S$44=1,'Bonding Program'!$H$44&lt;='Bonding Program'!$C$8,Z$3=IF('Bonding Program'!$P$44&lt;&gt;"",'Bonding Program'!$P$44,'Bonding Program'!$C$8)),'Bonding Program'!$Z$44,0)+IF(AND('Bonding Program'!$P$44&lt;&gt;"",Z$3='Bonding Program'!$P$44,Z$3&lt;='Bonding Program'!$C$8),N('Bonding Program'!$O$44),0)</f>
        <v>0</v>
      </c>
      <c r="AA185" s="19" t="n">
        <f aca="false">IF(AND('Bonding Program'!$S$44=1,'Bonding Program'!$H$44&gt;'Bonding Program'!$C$8,AA$3='Bonding Program'!$H$44),'Bonding Program'!$T$44-'Bonding Program'!$U$44-'Bonding Program'!$Z$44,0)-IF(AND('Bonding Program'!$S$44=1,'Bonding Program'!$H$44&lt;='Bonding Program'!$C$8,AA$3=IF('Bonding Program'!$P$44&lt;&gt;"",'Bonding Program'!$P$44,'Bonding Program'!$C$8)),'Bonding Program'!$Z$44,0)+IF(AND('Bonding Program'!$P$44&lt;&gt;"",AA$3='Bonding Program'!$P$44,AA$3&lt;='Bonding Program'!$C$8),N('Bonding Program'!$O$44),0)</f>
        <v>0</v>
      </c>
      <c r="AB185" s="19" t="n">
        <f aca="false">IF(AND('Bonding Program'!$S$44=1,'Bonding Program'!$H$44&gt;'Bonding Program'!$C$8,AB$3='Bonding Program'!$H$44),'Bonding Program'!$T$44-'Bonding Program'!$U$44-'Bonding Program'!$Z$44,0)-IF(AND('Bonding Program'!$S$44=1,'Bonding Program'!$H$44&lt;='Bonding Program'!$C$8,AB$3=IF('Bonding Program'!$P$44&lt;&gt;"",'Bonding Program'!$P$44,'Bonding Program'!$C$8)),'Bonding Program'!$Z$44,0)+IF(AND('Bonding Program'!$P$44&lt;&gt;"",AB$3='Bonding Program'!$P$44,AB$3&lt;='Bonding Program'!$C$8),N('Bonding Program'!$O$44),0)</f>
        <v>0</v>
      </c>
      <c r="AC185" s="19" t="n">
        <f aca="false">IF(AND('Bonding Program'!$S$44=1,'Bonding Program'!$H$44&gt;'Bonding Program'!$C$8,AC$3='Bonding Program'!$H$44),'Bonding Program'!$T$44-'Bonding Program'!$U$44-'Bonding Program'!$Z$44,0)-IF(AND('Bonding Program'!$S$44=1,'Bonding Program'!$H$44&lt;='Bonding Program'!$C$8,AC$3=IF('Bonding Program'!$P$44&lt;&gt;"",'Bonding Program'!$P$44,'Bonding Program'!$C$8)),'Bonding Program'!$Z$44,0)+IF(AND('Bonding Program'!$P$44&lt;&gt;"",AC$3='Bonding Program'!$P$44,AC$3&lt;='Bonding Program'!$C$8),N('Bonding Program'!$O$44),0)</f>
        <v>0</v>
      </c>
      <c r="AD185" s="19" t="n">
        <f aca="false">IF(AND('Bonding Program'!$S$44=1,'Bonding Program'!$H$44&gt;'Bonding Program'!$C$8,AD$3='Bonding Program'!$H$44),'Bonding Program'!$T$44-'Bonding Program'!$U$44-'Bonding Program'!$Z$44,0)-IF(AND('Bonding Program'!$S$44=1,'Bonding Program'!$H$44&lt;='Bonding Program'!$C$8,AD$3=IF('Bonding Program'!$P$44&lt;&gt;"",'Bonding Program'!$P$44,'Bonding Program'!$C$8)),'Bonding Program'!$Z$44,0)+IF(AND('Bonding Program'!$P$44&lt;&gt;"",AD$3='Bonding Program'!$P$44,AD$3&lt;='Bonding Program'!$C$8),N('Bonding Program'!$O$44),0)</f>
        <v>0</v>
      </c>
      <c r="AE185" s="19" t="n">
        <f aca="false">IF(AND('Bonding Program'!$S$44=1,'Bonding Program'!$H$44&gt;'Bonding Program'!$C$8,AE$3='Bonding Program'!$H$44),'Bonding Program'!$T$44-'Bonding Program'!$U$44-'Bonding Program'!$Z$44,0)-IF(AND('Bonding Program'!$S$44=1,'Bonding Program'!$H$44&lt;='Bonding Program'!$C$8,AE$3=IF('Bonding Program'!$P$44&lt;&gt;"",'Bonding Program'!$P$44,'Bonding Program'!$C$8)),'Bonding Program'!$Z$44,0)+IF(AND('Bonding Program'!$P$44&lt;&gt;"",AE$3='Bonding Program'!$P$44,AE$3&lt;='Bonding Program'!$C$8),N('Bonding Program'!$O$44),0)</f>
        <v>0</v>
      </c>
      <c r="AF185" s="19" t="n">
        <f aca="false">IF(AND('Bonding Program'!$S$44=1,'Bonding Program'!$H$44&gt;'Bonding Program'!$C$8,AF$3='Bonding Program'!$H$44),'Bonding Program'!$T$44-'Bonding Program'!$U$44-'Bonding Program'!$Z$44,0)-IF(AND('Bonding Program'!$S$44=1,'Bonding Program'!$H$44&lt;='Bonding Program'!$C$8,AF$3=IF('Bonding Program'!$P$44&lt;&gt;"",'Bonding Program'!$P$44,'Bonding Program'!$C$8)),'Bonding Program'!$Z$44,0)+IF(AND('Bonding Program'!$P$44&lt;&gt;"",AF$3='Bonding Program'!$P$44,AF$3&lt;='Bonding Program'!$C$8),N('Bonding Program'!$O$44),0)</f>
        <v>0</v>
      </c>
      <c r="AG185" s="19" t="n">
        <f aca="false">IF(AND('Bonding Program'!$S$44=1,'Bonding Program'!$H$44&gt;'Bonding Program'!$C$8,AG$3='Bonding Program'!$H$44),'Bonding Program'!$T$44-'Bonding Program'!$U$44-'Bonding Program'!$Z$44,0)-IF(AND('Bonding Program'!$S$44=1,'Bonding Program'!$H$44&lt;='Bonding Program'!$C$8,AG$3=IF('Bonding Program'!$P$44&lt;&gt;"",'Bonding Program'!$P$44,'Bonding Program'!$C$8)),'Bonding Program'!$Z$44,0)+IF(AND('Bonding Program'!$P$44&lt;&gt;"",AG$3='Bonding Program'!$P$44,AG$3&lt;='Bonding Program'!$C$8),N('Bonding Program'!$O$44),0)</f>
        <v>0</v>
      </c>
      <c r="AH185" s="19" t="n">
        <f aca="false">IF(AND('Bonding Program'!$S$44=1,'Bonding Program'!$H$44&gt;'Bonding Program'!$C$8,AH$3='Bonding Program'!$H$44),'Bonding Program'!$T$44-'Bonding Program'!$U$44-'Bonding Program'!$Z$44,0)-IF(AND('Bonding Program'!$S$44=1,'Bonding Program'!$H$44&lt;='Bonding Program'!$C$8,AH$3=IF('Bonding Program'!$P$44&lt;&gt;"",'Bonding Program'!$P$44,'Bonding Program'!$C$8)),'Bonding Program'!$Z$44,0)+IF(AND('Bonding Program'!$P$44&lt;&gt;"",AH$3='Bonding Program'!$P$44,AH$3&lt;='Bonding Program'!$C$8),N('Bonding Program'!$O$44),0)</f>
        <v>0</v>
      </c>
      <c r="AI185" s="19" t="n">
        <f aca="false">IF(AND('Bonding Program'!$S$44=1,'Bonding Program'!$H$44&gt;'Bonding Program'!$C$8,AI$3='Bonding Program'!$H$44),'Bonding Program'!$T$44-'Bonding Program'!$U$44-'Bonding Program'!$Z$44,0)-IF(AND('Bonding Program'!$S$44=1,'Bonding Program'!$H$44&lt;='Bonding Program'!$C$8,AI$3=IF('Bonding Program'!$P$44&lt;&gt;"",'Bonding Program'!$P$44,'Bonding Program'!$C$8)),'Bonding Program'!$Z$44,0)+IF(AND('Bonding Program'!$P$44&lt;&gt;"",AI$3='Bonding Program'!$P$44,AI$3&lt;='Bonding Program'!$C$8),N('Bonding Program'!$O$44),0)</f>
        <v>0</v>
      </c>
      <c r="AJ185" s="19" t="n">
        <f aca="false">IF(AND('Bonding Program'!$S$44=1,'Bonding Program'!$H$44&gt;'Bonding Program'!$C$8,AJ$3='Bonding Program'!$H$44),'Bonding Program'!$T$44-'Bonding Program'!$U$44-'Bonding Program'!$Z$44,0)-IF(AND('Bonding Program'!$S$44=1,'Bonding Program'!$H$44&lt;='Bonding Program'!$C$8,AJ$3=IF('Bonding Program'!$P$44&lt;&gt;"",'Bonding Program'!$P$44,'Bonding Program'!$C$8)),'Bonding Program'!$Z$44,0)+IF(AND('Bonding Program'!$P$44&lt;&gt;"",AJ$3='Bonding Program'!$P$44,AJ$3&lt;='Bonding Program'!$C$8),N('Bonding Program'!$O$44),0)</f>
        <v>0</v>
      </c>
      <c r="AK185" s="19" t="n">
        <f aca="false">IF(AND('Bonding Program'!$S$44=1,'Bonding Program'!$H$44&gt;'Bonding Program'!$C$8,AK$3='Bonding Program'!$H$44),'Bonding Program'!$T$44-'Bonding Program'!$U$44-'Bonding Program'!$Z$44,0)-IF(AND('Bonding Program'!$S$44=1,'Bonding Program'!$H$44&lt;='Bonding Program'!$C$8,AK$3=IF('Bonding Program'!$P$44&lt;&gt;"",'Bonding Program'!$P$44,'Bonding Program'!$C$8)),'Bonding Program'!$Z$44,0)+IF(AND('Bonding Program'!$P$44&lt;&gt;"",AK$3='Bonding Program'!$P$44,AK$3&lt;='Bonding Program'!$C$8),N('Bonding Program'!$O$44),0)</f>
        <v>0</v>
      </c>
      <c r="AL185" s="19" t="n">
        <f aca="false">IF(AND('Bonding Program'!$S$44=1,'Bonding Program'!$H$44&gt;'Bonding Program'!$C$8,AL$3='Bonding Program'!$H$44),'Bonding Program'!$T$44-'Bonding Program'!$U$44-'Bonding Program'!$Z$44,0)-IF(AND('Bonding Program'!$S$44=1,'Bonding Program'!$H$44&lt;='Bonding Program'!$C$8,AL$3=IF('Bonding Program'!$P$44&lt;&gt;"",'Bonding Program'!$P$44,'Bonding Program'!$C$8)),'Bonding Program'!$Z$44,0)+IF(AND('Bonding Program'!$P$44&lt;&gt;"",AL$3='Bonding Program'!$P$44,AL$3&lt;='Bonding Program'!$C$8),N('Bonding Program'!$O$44),0)</f>
        <v>0</v>
      </c>
      <c r="AM185" s="19" t="n">
        <f aca="false">IF(AND('Bonding Program'!$S$44=1,'Bonding Program'!$H$44&gt;'Bonding Program'!$C$8,AM$3='Bonding Program'!$H$44),'Bonding Program'!$T$44-'Bonding Program'!$U$44-'Bonding Program'!$Z$44,0)-IF(AND('Bonding Program'!$S$44=1,'Bonding Program'!$H$44&lt;='Bonding Program'!$C$8,AM$3=IF('Bonding Program'!$P$44&lt;&gt;"",'Bonding Program'!$P$44,'Bonding Program'!$C$8)),'Bonding Program'!$Z$44,0)+IF(AND('Bonding Program'!$P$44&lt;&gt;"",AM$3='Bonding Program'!$P$44,AM$3&lt;='Bonding Program'!$C$8),N('Bonding Program'!$O$44),0)</f>
        <v>0</v>
      </c>
      <c r="AN185" s="19" t="n">
        <f aca="false">IF(AND('Bonding Program'!$S$44=1,'Bonding Program'!$H$44&gt;'Bonding Program'!$C$8,AN$3='Bonding Program'!$H$44),'Bonding Program'!$T$44-'Bonding Program'!$U$44-'Bonding Program'!$Z$44,0)-IF(AND('Bonding Program'!$S$44=1,'Bonding Program'!$H$44&lt;='Bonding Program'!$C$8,AN$3=IF('Bonding Program'!$P$44&lt;&gt;"",'Bonding Program'!$P$44,'Bonding Program'!$C$8)),'Bonding Program'!$Z$44,0)+IF(AND('Bonding Program'!$P$44&lt;&gt;"",AN$3='Bonding Program'!$P$44,AN$3&lt;='Bonding Program'!$C$8),N('Bonding Program'!$O$44),0)</f>
        <v>0</v>
      </c>
      <c r="AO185" s="19" t="n">
        <f aca="false">IF(AND('Bonding Program'!$S$44=1,'Bonding Program'!$H$44&gt;'Bonding Program'!$C$8,AO$3='Bonding Program'!$H$44),'Bonding Program'!$T$44-'Bonding Program'!$U$44-'Bonding Program'!$Z$44,0)-IF(AND('Bonding Program'!$S$44=1,'Bonding Program'!$H$44&lt;='Bonding Program'!$C$8,AO$3=IF('Bonding Program'!$P$44&lt;&gt;"",'Bonding Program'!$P$44,'Bonding Program'!$C$8)),'Bonding Program'!$Z$44,0)+IF(AND('Bonding Program'!$P$44&lt;&gt;"",AO$3='Bonding Program'!$P$44,AO$3&lt;='Bonding Program'!$C$8),N('Bonding Program'!$O$44),0)</f>
        <v>0</v>
      </c>
      <c r="AP185" s="19" t="n">
        <f aca="false">IF(AND('Bonding Program'!$S$44=1,'Bonding Program'!$H$44&gt;'Bonding Program'!$C$8,AP$3='Bonding Program'!$H$44),'Bonding Program'!$T$44-'Bonding Program'!$U$44-'Bonding Program'!$Z$44,0)-IF(AND('Bonding Program'!$S$44=1,'Bonding Program'!$H$44&lt;='Bonding Program'!$C$8,AP$3=IF('Bonding Program'!$P$44&lt;&gt;"",'Bonding Program'!$P$44,'Bonding Program'!$C$8)),'Bonding Program'!$Z$44,0)+IF(AND('Bonding Program'!$P$44&lt;&gt;"",AP$3='Bonding Program'!$P$44,AP$3&lt;='Bonding Program'!$C$8),N('Bonding Program'!$O$44),0)</f>
        <v>0</v>
      </c>
      <c r="AQ185" s="19" t="n">
        <f aca="false">IF(AND('Bonding Program'!$S$44=1,'Bonding Program'!$H$44&gt;'Bonding Program'!$C$8,AQ$3='Bonding Program'!$H$44),'Bonding Program'!$T$44-'Bonding Program'!$U$44-'Bonding Program'!$Z$44,0)-IF(AND('Bonding Program'!$S$44=1,'Bonding Program'!$H$44&lt;='Bonding Program'!$C$8,AQ$3=IF('Bonding Program'!$P$44&lt;&gt;"",'Bonding Program'!$P$44,'Bonding Program'!$C$8)),'Bonding Program'!$Z$44,0)+IF(AND('Bonding Program'!$P$44&lt;&gt;"",AQ$3='Bonding Program'!$P$44,AQ$3&lt;='Bonding Program'!$C$8),N('Bonding Program'!$O$44),0)</f>
        <v>0</v>
      </c>
      <c r="AR185" s="19" t="n">
        <f aca="false">IF(AND('Bonding Program'!$S$44=1,'Bonding Program'!$H$44&gt;'Bonding Program'!$C$8,AR$3='Bonding Program'!$H$44),'Bonding Program'!$T$44-'Bonding Program'!$U$44-'Bonding Program'!$Z$44,0)-IF(AND('Bonding Program'!$S$44=1,'Bonding Program'!$H$44&lt;='Bonding Program'!$C$8,AR$3=IF('Bonding Program'!$P$44&lt;&gt;"",'Bonding Program'!$P$44,'Bonding Program'!$C$8)),'Bonding Program'!$Z$44,0)+IF(AND('Bonding Program'!$P$44&lt;&gt;"",AR$3='Bonding Program'!$P$44,AR$3&lt;='Bonding Program'!$C$8),N('Bonding Program'!$O$44),0)</f>
        <v>0</v>
      </c>
      <c r="AS185" s="19" t="n">
        <f aca="false">IF(AND('Bonding Program'!$S$44=1,'Bonding Program'!$H$44&gt;'Bonding Program'!$C$8,AS$3='Bonding Program'!$H$44),'Bonding Program'!$T$44-'Bonding Program'!$U$44-'Bonding Program'!$Z$44,0)-IF(AND('Bonding Program'!$S$44=1,'Bonding Program'!$H$44&lt;='Bonding Program'!$C$8,AS$3=IF('Bonding Program'!$P$44&lt;&gt;"",'Bonding Program'!$P$44,'Bonding Program'!$C$8)),'Bonding Program'!$Z$44,0)+IF(AND('Bonding Program'!$P$44&lt;&gt;"",AS$3='Bonding Program'!$P$44,AS$3&lt;='Bonding Program'!$C$8),N('Bonding Program'!$O$44),0)</f>
        <v>0</v>
      </c>
      <c r="AT185" s="19" t="n">
        <f aca="false">IF(AND('Bonding Program'!$S$44=1,'Bonding Program'!$H$44&gt;'Bonding Program'!$C$8,AT$3='Bonding Program'!$H$44),'Bonding Program'!$T$44-'Bonding Program'!$U$44-'Bonding Program'!$Z$44,0)-IF(AND('Bonding Program'!$S$44=1,'Bonding Program'!$H$44&lt;='Bonding Program'!$C$8,AT$3=IF('Bonding Program'!$P$44&lt;&gt;"",'Bonding Program'!$P$44,'Bonding Program'!$C$8)),'Bonding Program'!$Z$44,0)+IF(AND('Bonding Program'!$P$44&lt;&gt;"",AT$3='Bonding Program'!$P$44,AT$3&lt;='Bonding Program'!$C$8),N('Bonding Program'!$O$44),0)</f>
        <v>0</v>
      </c>
      <c r="AU185" s="19" t="n">
        <f aca="false">IF(AND('Bonding Program'!$S$44=1,'Bonding Program'!$H$44&gt;'Bonding Program'!$C$8,AU$3='Bonding Program'!$H$44),'Bonding Program'!$T$44-'Bonding Program'!$U$44-'Bonding Program'!$Z$44,0)-IF(AND('Bonding Program'!$S$44=1,'Bonding Program'!$H$44&lt;='Bonding Program'!$C$8,AU$3=IF('Bonding Program'!$P$44&lt;&gt;"",'Bonding Program'!$P$44,'Bonding Program'!$C$8)),'Bonding Program'!$Z$44,0)+IF(AND('Bonding Program'!$P$44&lt;&gt;"",AU$3='Bonding Program'!$P$44,AU$3&lt;='Bonding Program'!$C$8),N('Bonding Program'!$O$44),0)</f>
        <v>0</v>
      </c>
      <c r="AV185" s="19" t="n">
        <f aca="false">IF(AND('Bonding Program'!$S$44=1,'Bonding Program'!$H$44&gt;'Bonding Program'!$C$8,AV$3='Bonding Program'!$H$44),'Bonding Program'!$T$44-'Bonding Program'!$U$44-'Bonding Program'!$Z$44,0)-IF(AND('Bonding Program'!$S$44=1,'Bonding Program'!$H$44&lt;='Bonding Program'!$C$8,AV$3=IF('Bonding Program'!$P$44&lt;&gt;"",'Bonding Program'!$P$44,'Bonding Program'!$C$8)),'Bonding Program'!$Z$44,0)+IF(AND('Bonding Program'!$P$44&lt;&gt;"",AV$3='Bonding Program'!$P$44,AV$3&lt;='Bonding Program'!$C$8),N('Bonding Program'!$O$44),0)</f>
        <v>0</v>
      </c>
      <c r="AW185" s="19" t="n">
        <f aca="false">IF(AND('Bonding Program'!$S$44=1,'Bonding Program'!$H$44&gt;'Bonding Program'!$C$8,AW$3='Bonding Program'!$H$44),'Bonding Program'!$T$44-'Bonding Program'!$U$44-'Bonding Program'!$Z$44,0)-IF(AND('Bonding Program'!$S$44=1,'Bonding Program'!$H$44&lt;='Bonding Program'!$C$8,AW$3=IF('Bonding Program'!$P$44&lt;&gt;"",'Bonding Program'!$P$44,'Bonding Program'!$C$8)),'Bonding Program'!$Z$44,0)+IF(AND('Bonding Program'!$P$44&lt;&gt;"",AW$3='Bonding Program'!$P$44,AW$3&lt;='Bonding Program'!$C$8),N('Bonding Program'!$O$44),0)</f>
        <v>0</v>
      </c>
      <c r="AX185" s="19" t="n">
        <f aca="false">IF(AND('Bonding Program'!$S$44=1,'Bonding Program'!$H$44&gt;'Bonding Program'!$C$8,AX$3='Bonding Program'!$H$44),'Bonding Program'!$T$44-'Bonding Program'!$U$44-'Bonding Program'!$Z$44,0)-IF(AND('Bonding Program'!$S$44=1,'Bonding Program'!$H$44&lt;='Bonding Program'!$C$8,AX$3=IF('Bonding Program'!$P$44&lt;&gt;"",'Bonding Program'!$P$44,'Bonding Program'!$C$8)),'Bonding Program'!$Z$44,0)+IF(AND('Bonding Program'!$P$44&lt;&gt;"",AX$3='Bonding Program'!$P$44,AX$3&lt;='Bonding Program'!$C$8),N('Bonding Program'!$O$44),0)</f>
        <v>0</v>
      </c>
      <c r="AY185" s="19" t="n">
        <f aca="false">IF(AND('Bonding Program'!$S$44=1,'Bonding Program'!$H$44&gt;'Bonding Program'!$C$8,AY$3='Bonding Program'!$H$44),'Bonding Program'!$T$44-'Bonding Program'!$U$44-'Bonding Program'!$Z$44,0)-IF(AND('Bonding Program'!$S$44=1,'Bonding Program'!$H$44&lt;='Bonding Program'!$C$8,AY$3=IF('Bonding Program'!$P$44&lt;&gt;"",'Bonding Program'!$P$44,'Bonding Program'!$C$8)),'Bonding Program'!$Z$44,0)+IF(AND('Bonding Program'!$P$44&lt;&gt;"",AY$3='Bonding Program'!$P$44,AY$3&lt;='Bonding Program'!$C$8),N('Bonding Program'!$O$44),0)</f>
        <v>0</v>
      </c>
      <c r="AZ185" s="19" t="n">
        <f aca="false">IF(AND('Bonding Program'!$S$44=1,'Bonding Program'!$H$44&gt;'Bonding Program'!$C$8,AZ$3='Bonding Program'!$H$44),'Bonding Program'!$T$44-'Bonding Program'!$U$44-'Bonding Program'!$Z$44,0)-IF(AND('Bonding Program'!$S$44=1,'Bonding Program'!$H$44&lt;='Bonding Program'!$C$8,AZ$3=IF('Bonding Program'!$P$44&lt;&gt;"",'Bonding Program'!$P$44,'Bonding Program'!$C$8)),'Bonding Program'!$Z$44,0)+IF(AND('Bonding Program'!$P$44&lt;&gt;"",AZ$3='Bonding Program'!$P$44,AZ$3&lt;='Bonding Program'!$C$8),N('Bonding Program'!$O$44),0)</f>
        <v>0</v>
      </c>
      <c r="BA185" s="19" t="n">
        <f aca="false">IF(AND('Bonding Program'!$S$44=1,'Bonding Program'!$H$44&gt;'Bonding Program'!$C$8,BA$3='Bonding Program'!$H$44),'Bonding Program'!$T$44-'Bonding Program'!$U$44-'Bonding Program'!$Z$44,0)-IF(AND('Bonding Program'!$S$44=1,'Bonding Program'!$H$44&lt;='Bonding Program'!$C$8,BA$3=IF('Bonding Program'!$P$44&lt;&gt;"",'Bonding Program'!$P$44,'Bonding Program'!$C$8)),'Bonding Program'!$Z$44,0)+IF(AND('Bonding Program'!$P$44&lt;&gt;"",BA$3='Bonding Program'!$P$44,BA$3&lt;='Bonding Program'!$C$8),N('Bonding Program'!$O$44),0)</f>
        <v>0</v>
      </c>
      <c r="BB185" s="19" t="n">
        <f aca="false">IF(AND('Bonding Program'!$S$44=1,'Bonding Program'!$H$44&gt;'Bonding Program'!$C$8,BB$3='Bonding Program'!$H$44),'Bonding Program'!$T$44-'Bonding Program'!$U$44-'Bonding Program'!$Z$44,0)-IF(AND('Bonding Program'!$S$44=1,'Bonding Program'!$H$44&lt;='Bonding Program'!$C$8,BB$3=IF('Bonding Program'!$P$44&lt;&gt;"",'Bonding Program'!$P$44,'Bonding Program'!$C$8)),'Bonding Program'!$Z$44,0)+IF(AND('Bonding Program'!$P$44&lt;&gt;"",BB$3='Bonding Program'!$P$44,BB$3&lt;='Bonding Program'!$C$8),N('Bonding Program'!$O$44),0)</f>
        <v>0</v>
      </c>
      <c r="BC185" s="19" t="n">
        <f aca="false">IF(AND('Bonding Program'!$S$44=1,'Bonding Program'!$H$44&gt;'Bonding Program'!$C$8,BC$3='Bonding Program'!$H$44),'Bonding Program'!$T$44-'Bonding Program'!$U$44-'Bonding Program'!$Z$44,0)-IF(AND('Bonding Program'!$S$44=1,'Bonding Program'!$H$44&lt;='Bonding Program'!$C$8,BC$3=IF('Bonding Program'!$P$44&lt;&gt;"",'Bonding Program'!$P$44,'Bonding Program'!$C$8)),'Bonding Program'!$Z$44,0)+IF(AND('Bonding Program'!$P$44&lt;&gt;"",BC$3='Bonding Program'!$P$44,BC$3&lt;='Bonding Program'!$C$8),N('Bonding Program'!$O$44),0)</f>
        <v>0</v>
      </c>
      <c r="BD185" s="19" t="n">
        <f aca="false">IF(AND('Bonding Program'!$S$44=1,'Bonding Program'!$H$44&gt;'Bonding Program'!$C$8,BD$3='Bonding Program'!$H$44),'Bonding Program'!$T$44-'Bonding Program'!$U$44-'Bonding Program'!$Z$44,0)-IF(AND('Bonding Program'!$S$44=1,'Bonding Program'!$H$44&lt;='Bonding Program'!$C$8,BD$3=IF('Bonding Program'!$P$44&lt;&gt;"",'Bonding Program'!$P$44,'Bonding Program'!$C$8)),'Bonding Program'!$Z$44,0)+IF(AND('Bonding Program'!$P$44&lt;&gt;"",BD$3='Bonding Program'!$P$44,BD$3&lt;='Bonding Program'!$C$8),N('Bonding Program'!$O$44),0)</f>
        <v>0</v>
      </c>
      <c r="BE185" s="19" t="n">
        <f aca="false">IF(AND('Bonding Program'!$S$44=1,'Bonding Program'!$H$44&gt;'Bonding Program'!$C$8,BE$3='Bonding Program'!$H$44),'Bonding Program'!$T$44-'Bonding Program'!$U$44-'Bonding Program'!$Z$44,0)-IF(AND('Bonding Program'!$S$44=1,'Bonding Program'!$H$44&lt;='Bonding Program'!$C$8,BE$3=IF('Bonding Program'!$P$44&lt;&gt;"",'Bonding Program'!$P$44,'Bonding Program'!$C$8)),'Bonding Program'!$Z$44,0)+IF(AND('Bonding Program'!$P$44&lt;&gt;"",BE$3='Bonding Program'!$P$44,BE$3&lt;='Bonding Program'!$C$8),N('Bonding Program'!$O$44),0)</f>
        <v>0</v>
      </c>
      <c r="BF185" s="19" t="n">
        <f aca="false">IF(AND('Bonding Program'!$S$44=1,'Bonding Program'!$H$44&gt;'Bonding Program'!$C$8,BF$3='Bonding Program'!$H$44),'Bonding Program'!$T$44-'Bonding Program'!$U$44-'Bonding Program'!$Z$44,0)-IF(AND('Bonding Program'!$S$44=1,'Bonding Program'!$H$44&lt;='Bonding Program'!$C$8,BF$3=IF('Bonding Program'!$P$44&lt;&gt;"",'Bonding Program'!$P$44,'Bonding Program'!$C$8)),'Bonding Program'!$Z$44,0)+IF(AND('Bonding Program'!$P$44&lt;&gt;"",BF$3='Bonding Program'!$P$44,BF$3&lt;='Bonding Program'!$C$8),N('Bonding Program'!$O$44),0)</f>
        <v>0</v>
      </c>
      <c r="BG185" s="19" t="n">
        <f aca="false">IF(AND('Bonding Program'!$S$44=1,'Bonding Program'!$H$44&gt;'Bonding Program'!$C$8,BG$3='Bonding Program'!$H$44),'Bonding Program'!$T$44-'Bonding Program'!$U$44-'Bonding Program'!$Z$44,0)-IF(AND('Bonding Program'!$S$44=1,'Bonding Program'!$H$44&lt;='Bonding Program'!$C$8,BG$3=IF('Bonding Program'!$P$44&lt;&gt;"",'Bonding Program'!$P$44,'Bonding Program'!$C$8)),'Bonding Program'!$Z$44,0)+IF(AND('Bonding Program'!$P$44&lt;&gt;"",BG$3='Bonding Program'!$P$44,BG$3&lt;='Bonding Program'!$C$8),N('Bonding Program'!$O$44),0)</f>
        <v>0</v>
      </c>
      <c r="BH185" s="19" t="n">
        <f aca="false">IF(AND('Bonding Program'!$S$44=1,'Bonding Program'!$H$44&gt;'Bonding Program'!$C$8,BH$3='Bonding Program'!$H$44),'Bonding Program'!$T$44-'Bonding Program'!$U$44-'Bonding Program'!$Z$44,0)-IF(AND('Bonding Program'!$S$44=1,'Bonding Program'!$H$44&lt;='Bonding Program'!$C$8,BH$3=IF('Bonding Program'!$P$44&lt;&gt;"",'Bonding Program'!$P$44,'Bonding Program'!$C$8)),'Bonding Program'!$Z$44,0)+IF(AND('Bonding Program'!$P$44&lt;&gt;"",BH$3='Bonding Program'!$P$44,BH$3&lt;='Bonding Program'!$C$8),N('Bonding Program'!$O$44),0)</f>
        <v>0</v>
      </c>
      <c r="BI185" s="19" t="n">
        <f aca="false">IF(AND('Bonding Program'!$S$44=1,'Bonding Program'!$H$44&gt;'Bonding Program'!$C$8,BI$3='Bonding Program'!$H$44),'Bonding Program'!$T$44-'Bonding Program'!$U$44-'Bonding Program'!$Z$44,0)-IF(AND('Bonding Program'!$S$44=1,'Bonding Program'!$H$44&lt;='Bonding Program'!$C$8,BI$3=IF('Bonding Program'!$P$44&lt;&gt;"",'Bonding Program'!$P$44,'Bonding Program'!$C$8)),'Bonding Program'!$Z$44,0)+IF(AND('Bonding Program'!$P$44&lt;&gt;"",BI$3='Bonding Program'!$P$44,BI$3&lt;='Bonding Program'!$C$8),N('Bonding Program'!$O$44),0)</f>
        <v>0</v>
      </c>
      <c r="BJ185" s="19" t="n">
        <f aca="false">IF(AND('Bonding Program'!$S$44=1,'Bonding Program'!$H$44&gt;'Bonding Program'!$C$8,BJ$3='Bonding Program'!$H$44),'Bonding Program'!$T$44-'Bonding Program'!$U$44-'Bonding Program'!$Z$44,0)-IF(AND('Bonding Program'!$S$44=1,'Bonding Program'!$H$44&lt;='Bonding Program'!$C$8,BJ$3=IF('Bonding Program'!$P$44&lt;&gt;"",'Bonding Program'!$P$44,'Bonding Program'!$C$8)),'Bonding Program'!$Z$44,0)+IF(AND('Bonding Program'!$P$44&lt;&gt;"",BJ$3='Bonding Program'!$P$44,BJ$3&lt;='Bonding Program'!$C$8),N('Bonding Program'!$O$44),0)</f>
        <v>0</v>
      </c>
      <c r="BK185" s="19" t="n">
        <f aca="false">IF(AND('Bonding Program'!$S$44=1,'Bonding Program'!$H$44&gt;'Bonding Program'!$C$8,BK$3='Bonding Program'!$H$44),'Bonding Program'!$T$44-'Bonding Program'!$U$44-'Bonding Program'!$Z$44,0)-IF(AND('Bonding Program'!$S$44=1,'Bonding Program'!$H$44&lt;='Bonding Program'!$C$8,BK$3=IF('Bonding Program'!$P$44&lt;&gt;"",'Bonding Program'!$P$44,'Bonding Program'!$C$8)),'Bonding Program'!$Z$44,0)+IF(AND('Bonding Program'!$P$44&lt;&gt;"",BK$3='Bonding Program'!$P$44,BK$3&lt;='Bonding Program'!$C$8),N('Bonding Program'!$O$44),0)</f>
        <v>0</v>
      </c>
      <c r="BL185" s="19" t="n">
        <f aca="false">IF(AND('Bonding Program'!$S$44=1,'Bonding Program'!$H$44&gt;'Bonding Program'!$C$8,BL$3='Bonding Program'!$H$44),'Bonding Program'!$T$44-'Bonding Program'!$U$44-'Bonding Program'!$Z$44,0)-IF(AND('Bonding Program'!$S$44=1,'Bonding Program'!$H$44&lt;='Bonding Program'!$C$8,BL$3=IF('Bonding Program'!$P$44&lt;&gt;"",'Bonding Program'!$P$44,'Bonding Program'!$C$8)),'Bonding Program'!$Z$44,0)+IF(AND('Bonding Program'!$P$44&lt;&gt;"",BL$3='Bonding Program'!$P$44,BL$3&lt;='Bonding Program'!$C$8),N('Bonding Program'!$O$44),0)</f>
        <v>0</v>
      </c>
      <c r="BM185" s="19" t="n">
        <f aca="false">IF(AND('Bonding Program'!$S$44=1,'Bonding Program'!$H$44&gt;'Bonding Program'!$C$8,BM$3='Bonding Program'!$H$44),'Bonding Program'!$T$44-'Bonding Program'!$U$44-'Bonding Program'!$Z$44,0)-IF(AND('Bonding Program'!$S$44=1,'Bonding Program'!$H$44&lt;='Bonding Program'!$C$8,BM$3=IF('Bonding Program'!$P$44&lt;&gt;"",'Bonding Program'!$P$44,'Bonding Program'!$C$8)),'Bonding Program'!$Z$44,0)+IF(AND('Bonding Program'!$P$44&lt;&gt;"",BM$3='Bonding Program'!$P$44,BM$3&lt;='Bonding Program'!$C$8),N('Bonding Program'!$O$44),0)</f>
        <v>0</v>
      </c>
      <c r="BN185" s="19" t="n">
        <f aca="false">IF(AND('Bonding Program'!$S$44=1,'Bonding Program'!$H$44&gt;'Bonding Program'!$C$8,BN$3='Bonding Program'!$H$44),'Bonding Program'!$T$44-'Bonding Program'!$U$44-'Bonding Program'!$Z$44,0)-IF(AND('Bonding Program'!$S$44=1,'Bonding Program'!$H$44&lt;='Bonding Program'!$C$8,BN$3=IF('Bonding Program'!$P$44&lt;&gt;"",'Bonding Program'!$P$44,'Bonding Program'!$C$8)),'Bonding Program'!$Z$44,0)+IF(AND('Bonding Program'!$P$44&lt;&gt;"",BN$3='Bonding Program'!$P$44,BN$3&lt;='Bonding Program'!$C$8),N('Bonding Program'!$O$44),0)</f>
        <v>0</v>
      </c>
      <c r="BO185" s="19" t="n">
        <f aca="false">IF(AND('Bonding Program'!$S$44=1,'Bonding Program'!$H$44&gt;'Bonding Program'!$C$8,BO$3='Bonding Program'!$H$44),'Bonding Program'!$T$44-'Bonding Program'!$U$44-'Bonding Program'!$Z$44,0)-IF(AND('Bonding Program'!$S$44=1,'Bonding Program'!$H$44&lt;='Bonding Program'!$C$8,BO$3=IF('Bonding Program'!$P$44&lt;&gt;"",'Bonding Program'!$P$44,'Bonding Program'!$C$8)),'Bonding Program'!$Z$44,0)+IF(AND('Bonding Program'!$P$44&lt;&gt;"",BO$3='Bonding Program'!$P$44,BO$3&lt;='Bonding Program'!$C$8),N('Bonding Program'!$O$44),0)</f>
        <v>0</v>
      </c>
      <c r="BP185" s="19" t="n">
        <f aca="false">IF(AND('Bonding Program'!$S$44=1,'Bonding Program'!$H$44&gt;'Bonding Program'!$C$8,BP$3='Bonding Program'!$H$44),'Bonding Program'!$T$44-'Bonding Program'!$U$44-'Bonding Program'!$Z$44,0)-IF(AND('Bonding Program'!$S$44=1,'Bonding Program'!$H$44&lt;='Bonding Program'!$C$8,BP$3=IF('Bonding Program'!$P$44&lt;&gt;"",'Bonding Program'!$P$44,'Bonding Program'!$C$8)),'Bonding Program'!$Z$44,0)+IF(AND('Bonding Program'!$P$44&lt;&gt;"",BP$3='Bonding Program'!$P$44,BP$3&lt;='Bonding Program'!$C$8),N('Bonding Program'!$O$44),0)</f>
        <v>0</v>
      </c>
      <c r="BQ185" s="19" t="n">
        <f aca="false">IF(AND('Bonding Program'!$S$44=1,'Bonding Program'!$H$44&gt;'Bonding Program'!$C$8,BQ$3='Bonding Program'!$H$44),'Bonding Program'!$T$44-'Bonding Program'!$U$44-'Bonding Program'!$Z$44,0)-IF(AND('Bonding Program'!$S$44=1,'Bonding Program'!$H$44&lt;='Bonding Program'!$C$8,BQ$3=IF('Bonding Program'!$P$44&lt;&gt;"",'Bonding Program'!$P$44,'Bonding Program'!$C$8)),'Bonding Program'!$Z$44,0)+IF(AND('Bonding Program'!$P$44&lt;&gt;"",BQ$3='Bonding Program'!$P$44,BQ$3&lt;='Bonding Program'!$C$8),N('Bonding Program'!$O$44),0)</f>
        <v>0</v>
      </c>
      <c r="BR185" s="19" t="n">
        <f aca="false">IF(AND('Bonding Program'!$S$44=1,'Bonding Program'!$H$44&gt;'Bonding Program'!$C$8,BR$3='Bonding Program'!$H$44),'Bonding Program'!$T$44-'Bonding Program'!$U$44-'Bonding Program'!$Z$44,0)-IF(AND('Bonding Program'!$S$44=1,'Bonding Program'!$H$44&lt;='Bonding Program'!$C$8,BR$3=IF('Bonding Program'!$P$44&lt;&gt;"",'Bonding Program'!$P$44,'Bonding Program'!$C$8)),'Bonding Program'!$Z$44,0)+IF(AND('Bonding Program'!$P$44&lt;&gt;"",BR$3='Bonding Program'!$P$44,BR$3&lt;='Bonding Program'!$C$8),N('Bonding Program'!$O$44),0)</f>
        <v>0</v>
      </c>
      <c r="BS185" s="19" t="n">
        <f aca="false">IF(AND('Bonding Program'!$S$44=1,'Bonding Program'!$H$44&gt;'Bonding Program'!$C$8,BS$3='Bonding Program'!$H$44),'Bonding Program'!$T$44-'Bonding Program'!$U$44-'Bonding Program'!$Z$44,0)-IF(AND('Bonding Program'!$S$44=1,'Bonding Program'!$H$44&lt;='Bonding Program'!$C$8,BS$3=IF('Bonding Program'!$P$44&lt;&gt;"",'Bonding Program'!$P$44,'Bonding Program'!$C$8)),'Bonding Program'!$Z$44,0)+IF(AND('Bonding Program'!$P$44&lt;&gt;"",BS$3='Bonding Program'!$P$44,BS$3&lt;='Bonding Program'!$C$8),N('Bonding Program'!$O$44),0)</f>
        <v>0</v>
      </c>
      <c r="BT185" s="19" t="n">
        <f aca="false">IF(AND('Bonding Program'!$S$44=1,'Bonding Program'!$H$44&gt;'Bonding Program'!$C$8,BT$3='Bonding Program'!$H$44),'Bonding Program'!$T$44-'Bonding Program'!$U$44-'Bonding Program'!$Z$44,0)-IF(AND('Bonding Program'!$S$44=1,'Bonding Program'!$H$44&lt;='Bonding Program'!$C$8,BT$3=IF('Bonding Program'!$P$44&lt;&gt;"",'Bonding Program'!$P$44,'Bonding Program'!$C$8)),'Bonding Program'!$Z$44,0)+IF(AND('Bonding Program'!$P$44&lt;&gt;"",BT$3='Bonding Program'!$P$44,BT$3&lt;='Bonding Program'!$C$8),N('Bonding Program'!$O$44),0)</f>
        <v>0</v>
      </c>
      <c r="BU185" s="19" t="n">
        <f aca="false">IF(AND('Bonding Program'!$S$44=1,'Bonding Program'!$H$44&gt;'Bonding Program'!$C$8,BU$3='Bonding Program'!$H$44),'Bonding Program'!$T$44-'Bonding Program'!$U$44-'Bonding Program'!$Z$44,0)-IF(AND('Bonding Program'!$S$44=1,'Bonding Program'!$H$44&lt;='Bonding Program'!$C$8,BU$3=IF('Bonding Program'!$P$44&lt;&gt;"",'Bonding Program'!$P$44,'Bonding Program'!$C$8)),'Bonding Program'!$Z$44,0)+IF(AND('Bonding Program'!$P$44&lt;&gt;"",BU$3='Bonding Program'!$P$44,BU$3&lt;='Bonding Program'!$C$8),N('Bonding Program'!$O$44),0)</f>
        <v>0</v>
      </c>
      <c r="BV185" s="19" t="n">
        <f aca="false">IF(AND('Bonding Program'!$S$44=1,'Bonding Program'!$H$44&gt;'Bonding Program'!$C$8,BV$3='Bonding Program'!$H$44),'Bonding Program'!$T$44-'Bonding Program'!$U$44-'Bonding Program'!$Z$44,0)-IF(AND('Bonding Program'!$S$44=1,'Bonding Program'!$H$44&lt;='Bonding Program'!$C$8,BV$3=IF('Bonding Program'!$P$44&lt;&gt;"",'Bonding Program'!$P$44,'Bonding Program'!$C$8)),'Bonding Program'!$Z$44,0)+IF(AND('Bonding Program'!$P$44&lt;&gt;"",BV$3='Bonding Program'!$P$44,BV$3&lt;='Bonding Program'!$C$8),N('Bonding Program'!$O$44),0)</f>
        <v>0</v>
      </c>
      <c r="BW185" s="19" t="n">
        <f aca="false">IF(AND('Bonding Program'!$S$44=1,'Bonding Program'!$H$44&gt;'Bonding Program'!$C$8,BW$3='Bonding Program'!$H$44),'Bonding Program'!$T$44-'Bonding Program'!$U$44-'Bonding Program'!$Z$44,0)-IF(AND('Bonding Program'!$S$44=1,'Bonding Program'!$H$44&lt;='Bonding Program'!$C$8,BW$3=IF('Bonding Program'!$P$44&lt;&gt;"",'Bonding Program'!$P$44,'Bonding Program'!$C$8)),'Bonding Program'!$Z$44,0)+IF(AND('Bonding Program'!$P$44&lt;&gt;"",BW$3='Bonding Program'!$P$44,BW$3&lt;='Bonding Program'!$C$8),N('Bonding Program'!$O$44),0)</f>
        <v>0</v>
      </c>
      <c r="BX185" s="19" t="n">
        <f aca="false">IF(AND('Bonding Program'!$S$44=1,'Bonding Program'!$H$44&gt;'Bonding Program'!$C$8,BX$3='Bonding Program'!$H$44),'Bonding Program'!$T$44-'Bonding Program'!$U$44-'Bonding Program'!$Z$44,0)-IF(AND('Bonding Program'!$S$44=1,'Bonding Program'!$H$44&lt;='Bonding Program'!$C$8,BX$3=IF('Bonding Program'!$P$44&lt;&gt;"",'Bonding Program'!$P$44,'Bonding Program'!$C$8)),'Bonding Program'!$Z$44,0)+IF(AND('Bonding Program'!$P$44&lt;&gt;"",BX$3='Bonding Program'!$P$44,BX$3&lt;='Bonding Program'!$C$8),N('Bonding Program'!$O$44),0)</f>
        <v>0</v>
      </c>
      <c r="BY185" s="19" t="n">
        <f aca="false">IF(AND('Bonding Program'!$S$44=1,'Bonding Program'!$H$44&gt;'Bonding Program'!$C$8,BY$3='Bonding Program'!$H$44),'Bonding Program'!$T$44-'Bonding Program'!$U$44-'Bonding Program'!$Z$44,0)-IF(AND('Bonding Program'!$S$44=1,'Bonding Program'!$H$44&lt;='Bonding Program'!$C$8,BY$3=IF('Bonding Program'!$P$44&lt;&gt;"",'Bonding Program'!$P$44,'Bonding Program'!$C$8)),'Bonding Program'!$Z$44,0)+IF(AND('Bonding Program'!$P$44&lt;&gt;"",BY$3='Bonding Program'!$P$44,BY$3&lt;='Bonding Program'!$C$8),N('Bonding Program'!$O$44),0)</f>
        <v>0</v>
      </c>
      <c r="BZ185" s="19" t="n">
        <f aca="false">IF(AND('Bonding Program'!$S$44=1,'Bonding Program'!$H$44&gt;'Bonding Program'!$C$8,BZ$3='Bonding Program'!$H$44),'Bonding Program'!$T$44-'Bonding Program'!$U$44-'Bonding Program'!$Z$44,0)-IF(AND('Bonding Program'!$S$44=1,'Bonding Program'!$H$44&lt;='Bonding Program'!$C$8,BZ$3=IF('Bonding Program'!$P$44&lt;&gt;"",'Bonding Program'!$P$44,'Bonding Program'!$C$8)),'Bonding Program'!$Z$44,0)+IF(AND('Bonding Program'!$P$44&lt;&gt;"",BZ$3='Bonding Program'!$P$44,BZ$3&lt;='Bonding Program'!$C$8),N('Bonding Program'!$O$44),0)</f>
        <v>0</v>
      </c>
      <c r="CA185" s="19" t="n">
        <f aca="false">IF(AND('Bonding Program'!$S$44=1,'Bonding Program'!$H$44&gt;'Bonding Program'!$C$8,CA$3='Bonding Program'!$H$44),'Bonding Program'!$T$44-'Bonding Program'!$U$44-'Bonding Program'!$Z$44,0)-IF(AND('Bonding Program'!$S$44=1,'Bonding Program'!$H$44&lt;='Bonding Program'!$C$8,CA$3=IF('Bonding Program'!$P$44&lt;&gt;"",'Bonding Program'!$P$44,'Bonding Program'!$C$8)),'Bonding Program'!$Z$44,0)+IF(AND('Bonding Program'!$P$44&lt;&gt;"",CA$3='Bonding Program'!$P$44,CA$3&lt;='Bonding Program'!$C$8),N('Bonding Program'!$O$44),0)</f>
        <v>0</v>
      </c>
      <c r="CB185" s="19" t="n">
        <f aca="false">IF(AND('Bonding Program'!$S$44=1,'Bonding Program'!$H$44&gt;'Bonding Program'!$C$8,CB$3='Bonding Program'!$H$44),'Bonding Program'!$T$44-'Bonding Program'!$U$44-'Bonding Program'!$Z$44,0)-IF(AND('Bonding Program'!$S$44=1,'Bonding Program'!$H$44&lt;='Bonding Program'!$C$8,CB$3=IF('Bonding Program'!$P$44&lt;&gt;"",'Bonding Program'!$P$44,'Bonding Program'!$C$8)),'Bonding Program'!$Z$44,0)+IF(AND('Bonding Program'!$P$44&lt;&gt;"",CB$3='Bonding Program'!$P$44,CB$3&lt;='Bonding Program'!$C$8),N('Bonding Program'!$O$44),0)</f>
        <v>0</v>
      </c>
      <c r="CC185" s="19" t="n">
        <f aca="false">IF(AND('Bonding Program'!$S$44=1,'Bonding Program'!$H$44&gt;'Bonding Program'!$C$8,CC$3='Bonding Program'!$H$44),'Bonding Program'!$T$44-'Bonding Program'!$U$44-'Bonding Program'!$Z$44,0)-IF(AND('Bonding Program'!$S$44=1,'Bonding Program'!$H$44&lt;='Bonding Program'!$C$8,CC$3=IF('Bonding Program'!$P$44&lt;&gt;"",'Bonding Program'!$P$44,'Bonding Program'!$C$8)),'Bonding Program'!$Z$44,0)+IF(AND('Bonding Program'!$P$44&lt;&gt;"",CC$3='Bonding Program'!$P$44,CC$3&lt;='Bonding Program'!$C$8),N('Bonding Program'!$O$44),0)</f>
        <v>0</v>
      </c>
      <c r="CD185" s="19" t="n">
        <f aca="false">IF(AND('Bonding Program'!$S$44=1,'Bonding Program'!$H$44&gt;'Bonding Program'!$C$8,CD$3='Bonding Program'!$H$44),'Bonding Program'!$T$44-'Bonding Program'!$U$44-'Bonding Program'!$Z$44,0)-IF(AND('Bonding Program'!$S$44=1,'Bonding Program'!$H$44&lt;='Bonding Program'!$C$8,CD$3=IF('Bonding Program'!$P$44&lt;&gt;"",'Bonding Program'!$P$44,'Bonding Program'!$C$8)),'Bonding Program'!$Z$44,0)+IF(AND('Bonding Program'!$P$44&lt;&gt;"",CD$3='Bonding Program'!$P$44,CD$3&lt;='Bonding Program'!$C$8),N('Bonding Program'!$O$44),0)</f>
        <v>0</v>
      </c>
      <c r="CE185" s="19" t="n">
        <f aca="false">IF(AND('Bonding Program'!$S$44=1,'Bonding Program'!$H$44&gt;'Bonding Program'!$C$8,CE$3='Bonding Program'!$H$44),'Bonding Program'!$T$44-'Bonding Program'!$U$44-'Bonding Program'!$Z$44,0)-IF(AND('Bonding Program'!$S$44=1,'Bonding Program'!$H$44&lt;='Bonding Program'!$C$8,CE$3=IF('Bonding Program'!$P$44&lt;&gt;"",'Bonding Program'!$P$44,'Bonding Program'!$C$8)),'Bonding Program'!$Z$44,0)+IF(AND('Bonding Program'!$P$44&lt;&gt;"",CE$3='Bonding Program'!$P$44,CE$3&lt;='Bonding Program'!$C$8),N('Bonding Program'!$O$44),0)</f>
        <v>0</v>
      </c>
      <c r="CF185" s="19" t="n">
        <f aca="false">IF(AND('Bonding Program'!$S$44=1,'Bonding Program'!$H$44&gt;'Bonding Program'!$C$8,CF$3='Bonding Program'!$H$44),'Bonding Program'!$T$44-'Bonding Program'!$U$44-'Bonding Program'!$Z$44,0)-IF(AND('Bonding Program'!$S$44=1,'Bonding Program'!$H$44&lt;='Bonding Program'!$C$8,CF$3=IF('Bonding Program'!$P$44&lt;&gt;"",'Bonding Program'!$P$44,'Bonding Program'!$C$8)),'Bonding Program'!$Z$44,0)+IF(AND('Bonding Program'!$P$44&lt;&gt;"",CF$3='Bonding Program'!$P$44,CF$3&lt;='Bonding Program'!$C$8),N('Bonding Program'!$O$44),0)</f>
        <v>0</v>
      </c>
      <c r="CG185" s="19" t="n">
        <f aca="false">IF(AND('Bonding Program'!$S$44=1,'Bonding Program'!$H$44&gt;'Bonding Program'!$C$8,CG$3='Bonding Program'!$H$44),'Bonding Program'!$T$44-'Bonding Program'!$U$44-'Bonding Program'!$Z$44,0)-IF(AND('Bonding Program'!$S$44=1,'Bonding Program'!$H$44&lt;='Bonding Program'!$C$8,CG$3=IF('Bonding Program'!$P$44&lt;&gt;"",'Bonding Program'!$P$44,'Bonding Program'!$C$8)),'Bonding Program'!$Z$44,0)+IF(AND('Bonding Program'!$P$44&lt;&gt;"",CG$3='Bonding Program'!$P$44,CG$3&lt;='Bonding Program'!$C$8),N('Bonding Program'!$O$44),0)</f>
        <v>0</v>
      </c>
      <c r="CH185" s="19" t="n">
        <f aca="false">IF(AND('Bonding Program'!$S$44=1,'Bonding Program'!$H$44&gt;'Bonding Program'!$C$8,CH$3='Bonding Program'!$H$44),'Bonding Program'!$T$44-'Bonding Program'!$U$44-'Bonding Program'!$Z$44,0)-IF(AND('Bonding Program'!$S$44=1,'Bonding Program'!$H$44&lt;='Bonding Program'!$C$8,CH$3=IF('Bonding Program'!$P$44&lt;&gt;"",'Bonding Program'!$P$44,'Bonding Program'!$C$8)),'Bonding Program'!$Z$44,0)+IF(AND('Bonding Program'!$P$44&lt;&gt;"",CH$3='Bonding Program'!$P$44,CH$3&lt;='Bonding Program'!$C$8),N('Bonding Program'!$O$44),0)</f>
        <v>0</v>
      </c>
      <c r="CI185" s="19" t="n">
        <f aca="false">IF(AND('Bonding Program'!$S$44=1,'Bonding Program'!$H$44&gt;'Bonding Program'!$C$8,CI$3='Bonding Program'!$H$44),'Bonding Program'!$T$44-'Bonding Program'!$U$44-'Bonding Program'!$Z$44,0)-IF(AND('Bonding Program'!$S$44=1,'Bonding Program'!$H$44&lt;='Bonding Program'!$C$8,CI$3=IF('Bonding Program'!$P$44&lt;&gt;"",'Bonding Program'!$P$44,'Bonding Program'!$C$8)),'Bonding Program'!$Z$44,0)+IF(AND('Bonding Program'!$P$44&lt;&gt;"",CI$3='Bonding Program'!$P$44,CI$3&lt;='Bonding Program'!$C$8),N('Bonding Program'!$O$44),0)</f>
        <v>0</v>
      </c>
      <c r="CJ185" s="19" t="n">
        <f aca="false">IF(AND('Bonding Program'!$S$44=1,'Bonding Program'!$H$44&gt;'Bonding Program'!$C$8,CJ$3='Bonding Program'!$H$44),'Bonding Program'!$T$44-'Bonding Program'!$U$44-'Bonding Program'!$Z$44,0)-IF(AND('Bonding Program'!$S$44=1,'Bonding Program'!$H$44&lt;='Bonding Program'!$C$8,CJ$3=IF('Bonding Program'!$P$44&lt;&gt;"",'Bonding Program'!$P$44,'Bonding Program'!$C$8)),'Bonding Program'!$Z$44,0)+IF(AND('Bonding Program'!$P$44&lt;&gt;"",CJ$3='Bonding Program'!$P$44,CJ$3&lt;='Bonding Program'!$C$8),N('Bonding Program'!$O$44),0)</f>
        <v>0</v>
      </c>
      <c r="CK185" s="19" t="n">
        <f aca="false">IF(AND('Bonding Program'!$S$44=1,'Bonding Program'!$H$44&gt;'Bonding Program'!$C$8,CK$3='Bonding Program'!$H$44),'Bonding Program'!$T$44-'Bonding Program'!$U$44-'Bonding Program'!$Z$44,0)-IF(AND('Bonding Program'!$S$44=1,'Bonding Program'!$H$44&lt;='Bonding Program'!$C$8,CK$3=IF('Bonding Program'!$P$44&lt;&gt;"",'Bonding Program'!$P$44,'Bonding Program'!$C$8)),'Bonding Program'!$Z$44,0)+IF(AND('Bonding Program'!$P$44&lt;&gt;"",CK$3='Bonding Program'!$P$44,CK$3&lt;='Bonding Program'!$C$8),N('Bonding Program'!$O$44),0)</f>
        <v>0</v>
      </c>
      <c r="CL185" s="19" t="n">
        <f aca="false">IF(AND('Bonding Program'!$S$44=1,'Bonding Program'!$H$44&gt;'Bonding Program'!$C$8,CL$3='Bonding Program'!$H$44),'Bonding Program'!$T$44-'Bonding Program'!$U$44-'Bonding Program'!$Z$44,0)-IF(AND('Bonding Program'!$S$44=1,'Bonding Program'!$H$44&lt;='Bonding Program'!$C$8,CL$3=IF('Bonding Program'!$P$44&lt;&gt;"",'Bonding Program'!$P$44,'Bonding Program'!$C$8)),'Bonding Program'!$Z$44,0)+IF(AND('Bonding Program'!$P$44&lt;&gt;"",CL$3='Bonding Program'!$P$44,CL$3&lt;='Bonding Program'!$C$8),N('Bonding Program'!$O$44),0)</f>
        <v>0</v>
      </c>
      <c r="CM185" s="19" t="n">
        <f aca="false">IF(AND('Bonding Program'!$S$44=1,'Bonding Program'!$H$44&gt;'Bonding Program'!$C$8,CM$3='Bonding Program'!$H$44),'Bonding Program'!$T$44-'Bonding Program'!$U$44-'Bonding Program'!$Z$44,0)-IF(AND('Bonding Program'!$S$44=1,'Bonding Program'!$H$44&lt;='Bonding Program'!$C$8,CM$3=IF('Bonding Program'!$P$44&lt;&gt;"",'Bonding Program'!$P$44,'Bonding Program'!$C$8)),'Bonding Program'!$Z$44,0)+IF(AND('Bonding Program'!$P$44&lt;&gt;"",CM$3='Bonding Program'!$P$44,CM$3&lt;='Bonding Program'!$C$8),N('Bonding Program'!$O$44),0)</f>
        <v>0</v>
      </c>
      <c r="CN185" s="19" t="n">
        <f aca="false">IF(AND('Bonding Program'!$S$44=1,'Bonding Program'!$H$44&gt;'Bonding Program'!$C$8,CN$3='Bonding Program'!$H$44),'Bonding Program'!$T$44-'Bonding Program'!$U$44-'Bonding Program'!$Z$44,0)-IF(AND('Bonding Program'!$S$44=1,'Bonding Program'!$H$44&lt;='Bonding Program'!$C$8,CN$3=IF('Bonding Program'!$P$44&lt;&gt;"",'Bonding Program'!$P$44,'Bonding Program'!$C$8)),'Bonding Program'!$Z$44,0)+IF(AND('Bonding Program'!$P$44&lt;&gt;"",CN$3='Bonding Program'!$P$44,CN$3&lt;='Bonding Program'!$C$8),N('Bonding Program'!$O$44),0)</f>
        <v>0</v>
      </c>
      <c r="CO185" s="19" t="n">
        <f aca="false">IF(AND('Bonding Program'!$S$44=1,'Bonding Program'!$H$44&gt;'Bonding Program'!$C$8,CO$3='Bonding Program'!$H$44),'Bonding Program'!$T$44-'Bonding Program'!$U$44-'Bonding Program'!$Z$44,0)-IF(AND('Bonding Program'!$S$44=1,'Bonding Program'!$H$44&lt;='Bonding Program'!$C$8,CO$3=IF('Bonding Program'!$P$44&lt;&gt;"",'Bonding Program'!$P$44,'Bonding Program'!$C$8)),'Bonding Program'!$Z$44,0)+IF(AND('Bonding Program'!$P$44&lt;&gt;"",CO$3='Bonding Program'!$P$44,CO$3&lt;='Bonding Program'!$C$8),N('Bonding Program'!$O$44),0)</f>
        <v>0</v>
      </c>
      <c r="CP185" s="19" t="n">
        <f aca="false">IF(AND('Bonding Program'!$S$44=1,'Bonding Program'!$H$44&gt;'Bonding Program'!$C$8,CP$3='Bonding Program'!$H$44),'Bonding Program'!$T$44-'Bonding Program'!$U$44-'Bonding Program'!$Z$44,0)-IF(AND('Bonding Program'!$S$44=1,'Bonding Program'!$H$44&lt;='Bonding Program'!$C$8,CP$3=IF('Bonding Program'!$P$44&lt;&gt;"",'Bonding Program'!$P$44,'Bonding Program'!$C$8)),'Bonding Program'!$Z$44,0)+IF(AND('Bonding Program'!$P$44&lt;&gt;"",CP$3='Bonding Program'!$P$44,CP$3&lt;='Bonding Program'!$C$8),N('Bonding Program'!$O$44),0)</f>
        <v>0</v>
      </c>
      <c r="CQ185" s="19" t="n">
        <f aca="false">IF(AND('Bonding Program'!$S$44=1,'Bonding Program'!$H$44&gt;'Bonding Program'!$C$8,CQ$3='Bonding Program'!$H$44),'Bonding Program'!$T$44-'Bonding Program'!$U$44-'Bonding Program'!$Z$44,0)-IF(AND('Bonding Program'!$S$44=1,'Bonding Program'!$H$44&lt;='Bonding Program'!$C$8,CQ$3=IF('Bonding Program'!$P$44&lt;&gt;"",'Bonding Program'!$P$44,'Bonding Program'!$C$8)),'Bonding Program'!$Z$44,0)+IF(AND('Bonding Program'!$P$44&lt;&gt;"",CQ$3='Bonding Program'!$P$44,CQ$3&lt;='Bonding Program'!$C$8),N('Bonding Program'!$O$44),0)</f>
        <v>0</v>
      </c>
      <c r="CR185" s="19" t="n">
        <f aca="false">IF(AND('Bonding Program'!$S$44=1,'Bonding Program'!$H$44&gt;'Bonding Program'!$C$8,CR$3='Bonding Program'!$H$44),'Bonding Program'!$T$44-'Bonding Program'!$U$44-'Bonding Program'!$Z$44,0)-IF(AND('Bonding Program'!$S$44=1,'Bonding Program'!$H$44&lt;='Bonding Program'!$C$8,CR$3=IF('Bonding Program'!$P$44&lt;&gt;"",'Bonding Program'!$P$44,'Bonding Program'!$C$8)),'Bonding Program'!$Z$44,0)+IF(AND('Bonding Program'!$P$44&lt;&gt;"",CR$3='Bonding Program'!$P$44,CR$3&lt;='Bonding Program'!$C$8),N('Bonding Program'!$O$44),0)</f>
        <v>0</v>
      </c>
      <c r="CS185" s="19" t="n">
        <f aca="false">IF(AND('Bonding Program'!$S$44=1,'Bonding Program'!$H$44&gt;'Bonding Program'!$C$8,CS$3='Bonding Program'!$H$44),'Bonding Program'!$T$44-'Bonding Program'!$U$44-'Bonding Program'!$Z$44,0)-IF(AND('Bonding Program'!$S$44=1,'Bonding Program'!$H$44&lt;='Bonding Program'!$C$8,CS$3=IF('Bonding Program'!$P$44&lt;&gt;"",'Bonding Program'!$P$44,'Bonding Program'!$C$8)),'Bonding Program'!$Z$44,0)+IF(AND('Bonding Program'!$P$44&lt;&gt;"",CS$3='Bonding Program'!$P$44,CS$3&lt;='Bonding Program'!$C$8),N('Bonding Program'!$O$44),0)</f>
        <v>0</v>
      </c>
      <c r="CT185" s="19" t="n">
        <f aca="false">IF(AND('Bonding Program'!$S$44=1,'Bonding Program'!$H$44&gt;'Bonding Program'!$C$8,CT$3='Bonding Program'!$H$44),'Bonding Program'!$T$44-'Bonding Program'!$U$44-'Bonding Program'!$Z$44,0)-IF(AND('Bonding Program'!$S$44=1,'Bonding Program'!$H$44&lt;='Bonding Program'!$C$8,CT$3=IF('Bonding Program'!$P$44&lt;&gt;"",'Bonding Program'!$P$44,'Bonding Program'!$C$8)),'Bonding Program'!$Z$44,0)+IF(AND('Bonding Program'!$P$44&lt;&gt;"",CT$3='Bonding Program'!$P$44,CT$3&lt;='Bonding Program'!$C$8),N('Bonding Program'!$O$44),0)</f>
        <v>0</v>
      </c>
      <c r="CU185" s="19" t="n">
        <f aca="false">IF(AND('Bonding Program'!$S$44=1,'Bonding Program'!$H$44&gt;'Bonding Program'!$C$8,CU$3='Bonding Program'!$H$44),'Bonding Program'!$T$44-'Bonding Program'!$U$44-'Bonding Program'!$Z$44,0)-IF(AND('Bonding Program'!$S$44=1,'Bonding Program'!$H$44&lt;='Bonding Program'!$C$8,CU$3=IF('Bonding Program'!$P$44&lt;&gt;"",'Bonding Program'!$P$44,'Bonding Program'!$C$8)),'Bonding Program'!$Z$44,0)+IF(AND('Bonding Program'!$P$44&lt;&gt;"",CU$3='Bonding Program'!$P$44,CU$3&lt;='Bonding Program'!$C$8),N('Bonding Program'!$O$44),0)</f>
        <v>0</v>
      </c>
      <c r="CV185" s="19" t="n">
        <f aca="false">IF(AND('Bonding Program'!$S$44=1,'Bonding Program'!$H$44&gt;'Bonding Program'!$C$8,CV$3='Bonding Program'!$H$44),'Bonding Program'!$T$44-'Bonding Program'!$U$44-'Bonding Program'!$Z$44,0)-IF(AND('Bonding Program'!$S$44=1,'Bonding Program'!$H$44&lt;='Bonding Program'!$C$8,CV$3=IF('Bonding Program'!$P$44&lt;&gt;"",'Bonding Program'!$P$44,'Bonding Program'!$C$8)),'Bonding Program'!$Z$44,0)+IF(AND('Bonding Program'!$P$44&lt;&gt;"",CV$3='Bonding Program'!$P$44,CV$3&lt;='Bonding Program'!$C$8),N('Bonding Program'!$O$44),0)</f>
        <v>0</v>
      </c>
      <c r="CW185" s="19" t="n">
        <f aca="false">IF(AND('Bonding Program'!$S$44=1,'Bonding Program'!$H$44&gt;'Bonding Program'!$C$8,CW$3='Bonding Program'!$H$44),'Bonding Program'!$T$44-'Bonding Program'!$U$44-'Bonding Program'!$Z$44,0)-IF(AND('Bonding Program'!$S$44=1,'Bonding Program'!$H$44&lt;='Bonding Program'!$C$8,CW$3=IF('Bonding Program'!$P$44&lt;&gt;"",'Bonding Program'!$P$44,'Bonding Program'!$C$8)),'Bonding Program'!$Z$44,0)+IF(AND('Bonding Program'!$P$44&lt;&gt;"",CW$3='Bonding Program'!$P$44,CW$3&lt;='Bonding Program'!$C$8),N('Bonding Program'!$O$44),0)</f>
        <v>0</v>
      </c>
      <c r="CX185" s="19" t="n">
        <f aca="false">IF(AND('Bonding Program'!$S$44=1,'Bonding Program'!$H$44&gt;'Bonding Program'!$C$8,CX$3='Bonding Program'!$H$44),'Bonding Program'!$T$44-'Bonding Program'!$U$44-'Bonding Program'!$Z$44,0)-IF(AND('Bonding Program'!$S$44=1,'Bonding Program'!$H$44&lt;='Bonding Program'!$C$8,CX$3=IF('Bonding Program'!$P$44&lt;&gt;"",'Bonding Program'!$P$44,'Bonding Program'!$C$8)),'Bonding Program'!$Z$44,0)+IF(AND('Bonding Program'!$P$44&lt;&gt;"",CX$3='Bonding Program'!$P$44,CX$3&lt;='Bonding Program'!$C$8),N('Bonding Program'!$O$44),0)</f>
        <v>0</v>
      </c>
      <c r="CY185" s="19" t="n">
        <f aca="false">IF(AND('Bonding Program'!$S$44=1,'Bonding Program'!$H$44&gt;'Bonding Program'!$C$8,CY$3='Bonding Program'!$H$44),'Bonding Program'!$T$44-'Bonding Program'!$U$44-'Bonding Program'!$Z$44,0)-IF(AND('Bonding Program'!$S$44=1,'Bonding Program'!$H$44&lt;='Bonding Program'!$C$8,CY$3=IF('Bonding Program'!$P$44&lt;&gt;"",'Bonding Program'!$P$44,'Bonding Program'!$C$8)),'Bonding Program'!$Z$44,0)+IF(AND('Bonding Program'!$P$44&lt;&gt;"",CY$3='Bonding Program'!$P$44,CY$3&lt;='Bonding Program'!$C$8),N('Bonding Program'!$O$44),0)</f>
        <v>0</v>
      </c>
      <c r="CZ185" s="19" t="n">
        <f aca="false">IF(AND('Bonding Program'!$S$44=1,'Bonding Program'!$H$44&gt;'Bonding Program'!$C$8,CZ$3='Bonding Program'!$H$44),'Bonding Program'!$T$44-'Bonding Program'!$U$44-'Bonding Program'!$Z$44,0)-IF(AND('Bonding Program'!$S$44=1,'Bonding Program'!$H$44&lt;='Bonding Program'!$C$8,CZ$3=IF('Bonding Program'!$P$44&lt;&gt;"",'Bonding Program'!$P$44,'Bonding Program'!$C$8)),'Bonding Program'!$Z$44,0)+IF(AND('Bonding Program'!$P$44&lt;&gt;"",CZ$3='Bonding Program'!$P$44,CZ$3&lt;='Bonding Program'!$C$8),N('Bonding Program'!$O$44),0)</f>
        <v>0</v>
      </c>
      <c r="DA185" s="19" t="n">
        <f aca="false">IF(AND('Bonding Program'!$S$44=1,'Bonding Program'!$H$44&gt;'Bonding Program'!$C$8,DA$3='Bonding Program'!$H$44),'Bonding Program'!$T$44-'Bonding Program'!$U$44-'Bonding Program'!$Z$44,0)-IF(AND('Bonding Program'!$S$44=1,'Bonding Program'!$H$44&lt;='Bonding Program'!$C$8,DA$3=IF('Bonding Program'!$P$44&lt;&gt;"",'Bonding Program'!$P$44,'Bonding Program'!$C$8)),'Bonding Program'!$Z$44,0)+IF(AND('Bonding Program'!$P$44&lt;&gt;"",DA$3='Bonding Program'!$P$44,DA$3&lt;='Bonding Program'!$C$8),N('Bonding Program'!$O$44),0)</f>
        <v>0</v>
      </c>
      <c r="DB185" s="19" t="n">
        <f aca="false">IF(AND('Bonding Program'!$S$44=1,'Bonding Program'!$H$44&gt;'Bonding Program'!$C$8,DB$3='Bonding Program'!$H$44),'Bonding Program'!$T$44-'Bonding Program'!$U$44-'Bonding Program'!$Z$44,0)-IF(AND('Bonding Program'!$S$44=1,'Bonding Program'!$H$44&lt;='Bonding Program'!$C$8,DB$3=IF('Bonding Program'!$P$44&lt;&gt;"",'Bonding Program'!$P$44,'Bonding Program'!$C$8)),'Bonding Program'!$Z$44,0)+IF(AND('Bonding Program'!$P$44&lt;&gt;"",DB$3='Bonding Program'!$P$44,DB$3&lt;='Bonding Program'!$C$8),N('Bonding Program'!$O$44),0)</f>
        <v>0</v>
      </c>
      <c r="DC185" s="19" t="n">
        <f aca="false">IF(AND('Bonding Program'!$S$44=1,'Bonding Program'!$H$44&gt;'Bonding Program'!$C$8,DC$3='Bonding Program'!$H$44),'Bonding Program'!$T$44-'Bonding Program'!$U$44-'Bonding Program'!$Z$44,0)-IF(AND('Bonding Program'!$S$44=1,'Bonding Program'!$H$44&lt;='Bonding Program'!$C$8,DC$3=IF('Bonding Program'!$P$44&lt;&gt;"",'Bonding Program'!$P$44,'Bonding Program'!$C$8)),'Bonding Program'!$Z$44,0)+IF(AND('Bonding Program'!$P$44&lt;&gt;"",DC$3='Bonding Program'!$P$44,DC$3&lt;='Bonding Program'!$C$8),N('Bonding Program'!$O$44),0)</f>
        <v>0</v>
      </c>
      <c r="DD185" s="19" t="n">
        <f aca="false">IF(AND('Bonding Program'!$S$44=1,'Bonding Program'!$H$44&gt;'Bonding Program'!$C$8,DD$3='Bonding Program'!$H$44),'Bonding Program'!$T$44-'Bonding Program'!$U$44-'Bonding Program'!$Z$44,0)-IF(AND('Bonding Program'!$S$44=1,'Bonding Program'!$H$44&lt;='Bonding Program'!$C$8,DD$3=IF('Bonding Program'!$P$44&lt;&gt;"",'Bonding Program'!$P$44,'Bonding Program'!$C$8)),'Bonding Program'!$Z$44,0)+IF(AND('Bonding Program'!$P$44&lt;&gt;"",DD$3='Bonding Program'!$P$44,DD$3&lt;='Bonding Program'!$C$8),N('Bonding Program'!$O$44),0)</f>
        <v>0</v>
      </c>
      <c r="DE185" s="19" t="n">
        <f aca="false">IF(AND('Bonding Program'!$S$44=1,'Bonding Program'!$H$44&gt;'Bonding Program'!$C$8,DE$3='Bonding Program'!$H$44),'Bonding Program'!$T$44-'Bonding Program'!$U$44-'Bonding Program'!$Z$44,0)-IF(AND('Bonding Program'!$S$44=1,'Bonding Program'!$H$44&lt;='Bonding Program'!$C$8,DE$3=IF('Bonding Program'!$P$44&lt;&gt;"",'Bonding Program'!$P$44,'Bonding Program'!$C$8)),'Bonding Program'!$Z$44,0)+IF(AND('Bonding Program'!$P$44&lt;&gt;"",DE$3='Bonding Program'!$P$44,DE$3&lt;='Bonding Program'!$C$8),N('Bonding Program'!$O$44),0)</f>
        <v>0</v>
      </c>
    </row>
    <row r="186" customFormat="false" ht="15" hidden="false" customHeight="true" outlineLevel="1" collapsed="false">
      <c r="A186" s="28" t="s">
        <v>41</v>
      </c>
      <c r="B186" s="19" t="n">
        <f aca="false">IF(AND('Bonding Program'!$S$45=1,'Bonding Program'!$H$45&gt;'Bonding Program'!$C$8,B$3='Bonding Program'!$H$45),'Bonding Program'!$T$45-'Bonding Program'!$U$45-'Bonding Program'!$Z$45,0)-IF(AND('Bonding Program'!$S$45=1,'Bonding Program'!$H$45&lt;='Bonding Program'!$C$8,B$3=IF('Bonding Program'!$P$45&lt;&gt;"",'Bonding Program'!$P$45,'Bonding Program'!$C$8)),'Bonding Program'!$Z$45,0)+IF(AND('Bonding Program'!$P$45&lt;&gt;"",B$3='Bonding Program'!$P$45,B$3&lt;='Bonding Program'!$C$8),N('Bonding Program'!$O$45),0)</f>
        <v>0</v>
      </c>
      <c r="C186" s="19" t="n">
        <f aca="false">IF(AND('Bonding Program'!$S$45=1,'Bonding Program'!$H$45&gt;'Bonding Program'!$C$8,C$3='Bonding Program'!$H$45),'Bonding Program'!$T$45-'Bonding Program'!$U$45-'Bonding Program'!$Z$45,0)-IF(AND('Bonding Program'!$S$45=1,'Bonding Program'!$H$45&lt;='Bonding Program'!$C$8,C$3=IF('Bonding Program'!$P$45&lt;&gt;"",'Bonding Program'!$P$45,'Bonding Program'!$C$8)),'Bonding Program'!$Z$45,0)+IF(AND('Bonding Program'!$P$45&lt;&gt;"",C$3='Bonding Program'!$P$45,C$3&lt;='Bonding Program'!$C$8),N('Bonding Program'!$O$45),0)</f>
        <v>0</v>
      </c>
      <c r="D186" s="19" t="n">
        <f aca="false">IF(AND('Bonding Program'!$S$45=1,'Bonding Program'!$H$45&gt;'Bonding Program'!$C$8,D$3='Bonding Program'!$H$45),'Bonding Program'!$T$45-'Bonding Program'!$U$45-'Bonding Program'!$Z$45,0)-IF(AND('Bonding Program'!$S$45=1,'Bonding Program'!$H$45&lt;='Bonding Program'!$C$8,D$3=IF('Bonding Program'!$P$45&lt;&gt;"",'Bonding Program'!$P$45,'Bonding Program'!$C$8)),'Bonding Program'!$Z$45,0)+IF(AND('Bonding Program'!$P$45&lt;&gt;"",D$3='Bonding Program'!$P$45,D$3&lt;='Bonding Program'!$C$8),N('Bonding Program'!$O$45),0)</f>
        <v>0</v>
      </c>
      <c r="E186" s="19" t="n">
        <f aca="false">IF(AND('Bonding Program'!$S$45=1,'Bonding Program'!$H$45&gt;'Bonding Program'!$C$8,E$3='Bonding Program'!$H$45),'Bonding Program'!$T$45-'Bonding Program'!$U$45-'Bonding Program'!$Z$45,0)-IF(AND('Bonding Program'!$S$45=1,'Bonding Program'!$H$45&lt;='Bonding Program'!$C$8,E$3=IF('Bonding Program'!$P$45&lt;&gt;"",'Bonding Program'!$P$45,'Bonding Program'!$C$8)),'Bonding Program'!$Z$45,0)+IF(AND('Bonding Program'!$P$45&lt;&gt;"",E$3='Bonding Program'!$P$45,E$3&lt;='Bonding Program'!$C$8),N('Bonding Program'!$O$45),0)</f>
        <v>0</v>
      </c>
      <c r="F186" s="19" t="n">
        <f aca="false">IF(AND('Bonding Program'!$S$45=1,'Bonding Program'!$H$45&gt;'Bonding Program'!$C$8,F$3='Bonding Program'!$H$45),'Bonding Program'!$T$45-'Bonding Program'!$U$45-'Bonding Program'!$Z$45,0)-IF(AND('Bonding Program'!$S$45=1,'Bonding Program'!$H$45&lt;='Bonding Program'!$C$8,F$3=IF('Bonding Program'!$P$45&lt;&gt;"",'Bonding Program'!$P$45,'Bonding Program'!$C$8)),'Bonding Program'!$Z$45,0)+IF(AND('Bonding Program'!$P$45&lt;&gt;"",F$3='Bonding Program'!$P$45,F$3&lt;='Bonding Program'!$C$8),N('Bonding Program'!$O$45),0)</f>
        <v>0</v>
      </c>
      <c r="G186" s="19" t="n">
        <f aca="false">IF(AND('Bonding Program'!$S$45=1,'Bonding Program'!$H$45&gt;'Bonding Program'!$C$8,G$3='Bonding Program'!$H$45),'Bonding Program'!$T$45-'Bonding Program'!$U$45-'Bonding Program'!$Z$45,0)-IF(AND('Bonding Program'!$S$45=1,'Bonding Program'!$H$45&lt;='Bonding Program'!$C$8,G$3=IF('Bonding Program'!$P$45&lt;&gt;"",'Bonding Program'!$P$45,'Bonding Program'!$C$8)),'Bonding Program'!$Z$45,0)+IF(AND('Bonding Program'!$P$45&lt;&gt;"",G$3='Bonding Program'!$P$45,G$3&lt;='Bonding Program'!$C$8),N('Bonding Program'!$O$45),0)</f>
        <v>0</v>
      </c>
      <c r="H186" s="19" t="n">
        <f aca="false">IF(AND('Bonding Program'!$S$45=1,'Bonding Program'!$H$45&gt;'Bonding Program'!$C$8,H$3='Bonding Program'!$H$45),'Bonding Program'!$T$45-'Bonding Program'!$U$45-'Bonding Program'!$Z$45,0)-IF(AND('Bonding Program'!$S$45=1,'Bonding Program'!$H$45&lt;='Bonding Program'!$C$8,H$3=IF('Bonding Program'!$P$45&lt;&gt;"",'Bonding Program'!$P$45,'Bonding Program'!$C$8)),'Bonding Program'!$Z$45,0)+IF(AND('Bonding Program'!$P$45&lt;&gt;"",H$3='Bonding Program'!$P$45,H$3&lt;='Bonding Program'!$C$8),N('Bonding Program'!$O$45),0)</f>
        <v>0</v>
      </c>
      <c r="I186" s="19" t="n">
        <f aca="false">IF(AND('Bonding Program'!$S$45=1,'Bonding Program'!$H$45&gt;'Bonding Program'!$C$8,I$3='Bonding Program'!$H$45),'Bonding Program'!$T$45-'Bonding Program'!$U$45-'Bonding Program'!$Z$45,0)-IF(AND('Bonding Program'!$S$45=1,'Bonding Program'!$H$45&lt;='Bonding Program'!$C$8,I$3=IF('Bonding Program'!$P$45&lt;&gt;"",'Bonding Program'!$P$45,'Bonding Program'!$C$8)),'Bonding Program'!$Z$45,0)+IF(AND('Bonding Program'!$P$45&lt;&gt;"",I$3='Bonding Program'!$P$45,I$3&lt;='Bonding Program'!$C$8),N('Bonding Program'!$O$45),0)</f>
        <v>0</v>
      </c>
      <c r="J186" s="19" t="n">
        <f aca="false">IF(AND('Bonding Program'!$S$45=1,'Bonding Program'!$H$45&gt;'Bonding Program'!$C$8,J$3='Bonding Program'!$H$45),'Bonding Program'!$T$45-'Bonding Program'!$U$45-'Bonding Program'!$Z$45,0)-IF(AND('Bonding Program'!$S$45=1,'Bonding Program'!$H$45&lt;='Bonding Program'!$C$8,J$3=IF('Bonding Program'!$P$45&lt;&gt;"",'Bonding Program'!$P$45,'Bonding Program'!$C$8)),'Bonding Program'!$Z$45,0)+IF(AND('Bonding Program'!$P$45&lt;&gt;"",J$3='Bonding Program'!$P$45,J$3&lt;='Bonding Program'!$C$8),N('Bonding Program'!$O$45),0)</f>
        <v>0</v>
      </c>
      <c r="K186" s="19" t="n">
        <f aca="false">IF(AND('Bonding Program'!$S$45=1,'Bonding Program'!$H$45&gt;'Bonding Program'!$C$8,K$3='Bonding Program'!$H$45),'Bonding Program'!$T$45-'Bonding Program'!$U$45-'Bonding Program'!$Z$45,0)-IF(AND('Bonding Program'!$S$45=1,'Bonding Program'!$H$45&lt;='Bonding Program'!$C$8,K$3=IF('Bonding Program'!$P$45&lt;&gt;"",'Bonding Program'!$P$45,'Bonding Program'!$C$8)),'Bonding Program'!$Z$45,0)+IF(AND('Bonding Program'!$P$45&lt;&gt;"",K$3='Bonding Program'!$P$45,K$3&lt;='Bonding Program'!$C$8),N('Bonding Program'!$O$45),0)</f>
        <v>0</v>
      </c>
      <c r="L186" s="19" t="n">
        <f aca="false">IF(AND('Bonding Program'!$S$45=1,'Bonding Program'!$H$45&gt;'Bonding Program'!$C$8,L$3='Bonding Program'!$H$45),'Bonding Program'!$T$45-'Bonding Program'!$U$45-'Bonding Program'!$Z$45,0)-IF(AND('Bonding Program'!$S$45=1,'Bonding Program'!$H$45&lt;='Bonding Program'!$C$8,L$3=IF('Bonding Program'!$P$45&lt;&gt;"",'Bonding Program'!$P$45,'Bonding Program'!$C$8)),'Bonding Program'!$Z$45,0)+IF(AND('Bonding Program'!$P$45&lt;&gt;"",L$3='Bonding Program'!$P$45,L$3&lt;='Bonding Program'!$C$8),N('Bonding Program'!$O$45),0)</f>
        <v>0</v>
      </c>
      <c r="M186" s="19" t="n">
        <f aca="false">IF(AND('Bonding Program'!$S$45=1,'Bonding Program'!$H$45&gt;'Bonding Program'!$C$8,M$3='Bonding Program'!$H$45),'Bonding Program'!$T$45-'Bonding Program'!$U$45-'Bonding Program'!$Z$45,0)-IF(AND('Bonding Program'!$S$45=1,'Bonding Program'!$H$45&lt;='Bonding Program'!$C$8,M$3=IF('Bonding Program'!$P$45&lt;&gt;"",'Bonding Program'!$P$45,'Bonding Program'!$C$8)),'Bonding Program'!$Z$45,0)+IF(AND('Bonding Program'!$P$45&lt;&gt;"",M$3='Bonding Program'!$P$45,M$3&lt;='Bonding Program'!$C$8),N('Bonding Program'!$O$45),0)</f>
        <v>0</v>
      </c>
      <c r="N186" s="19" t="n">
        <f aca="false">IF(AND('Bonding Program'!$S$45=1,'Bonding Program'!$H$45&gt;'Bonding Program'!$C$8,N$3='Bonding Program'!$H$45),'Bonding Program'!$T$45-'Bonding Program'!$U$45-'Bonding Program'!$Z$45,0)-IF(AND('Bonding Program'!$S$45=1,'Bonding Program'!$H$45&lt;='Bonding Program'!$C$8,N$3=IF('Bonding Program'!$P$45&lt;&gt;"",'Bonding Program'!$P$45,'Bonding Program'!$C$8)),'Bonding Program'!$Z$45,0)+IF(AND('Bonding Program'!$P$45&lt;&gt;"",N$3='Bonding Program'!$P$45,N$3&lt;='Bonding Program'!$C$8),N('Bonding Program'!$O$45),0)</f>
        <v>0</v>
      </c>
      <c r="O186" s="19" t="n">
        <f aca="false">IF(AND('Bonding Program'!$S$45=1,'Bonding Program'!$H$45&gt;'Bonding Program'!$C$8,O$3='Bonding Program'!$H$45),'Bonding Program'!$T$45-'Bonding Program'!$U$45-'Bonding Program'!$Z$45,0)-IF(AND('Bonding Program'!$S$45=1,'Bonding Program'!$H$45&lt;='Bonding Program'!$C$8,O$3=IF('Bonding Program'!$P$45&lt;&gt;"",'Bonding Program'!$P$45,'Bonding Program'!$C$8)),'Bonding Program'!$Z$45,0)+IF(AND('Bonding Program'!$P$45&lt;&gt;"",O$3='Bonding Program'!$P$45,O$3&lt;='Bonding Program'!$C$8),N('Bonding Program'!$O$45),0)</f>
        <v>0</v>
      </c>
      <c r="P186" s="19" t="n">
        <f aca="false">IF(AND('Bonding Program'!$S$45=1,'Bonding Program'!$H$45&gt;'Bonding Program'!$C$8,P$3='Bonding Program'!$H$45),'Bonding Program'!$T$45-'Bonding Program'!$U$45-'Bonding Program'!$Z$45,0)-IF(AND('Bonding Program'!$S$45=1,'Bonding Program'!$H$45&lt;='Bonding Program'!$C$8,P$3=IF('Bonding Program'!$P$45&lt;&gt;"",'Bonding Program'!$P$45,'Bonding Program'!$C$8)),'Bonding Program'!$Z$45,0)+IF(AND('Bonding Program'!$P$45&lt;&gt;"",P$3='Bonding Program'!$P$45,P$3&lt;='Bonding Program'!$C$8),N('Bonding Program'!$O$45),0)</f>
        <v>0</v>
      </c>
      <c r="Q186" s="19" t="n">
        <f aca="false">IF(AND('Bonding Program'!$S$45=1,'Bonding Program'!$H$45&gt;'Bonding Program'!$C$8,Q$3='Bonding Program'!$H$45),'Bonding Program'!$T$45-'Bonding Program'!$U$45-'Bonding Program'!$Z$45,0)-IF(AND('Bonding Program'!$S$45=1,'Bonding Program'!$H$45&lt;='Bonding Program'!$C$8,Q$3=IF('Bonding Program'!$P$45&lt;&gt;"",'Bonding Program'!$P$45,'Bonding Program'!$C$8)),'Bonding Program'!$Z$45,0)+IF(AND('Bonding Program'!$P$45&lt;&gt;"",Q$3='Bonding Program'!$P$45,Q$3&lt;='Bonding Program'!$C$8),N('Bonding Program'!$O$45),0)</f>
        <v>0</v>
      </c>
      <c r="R186" s="19" t="n">
        <f aca="false">IF(AND('Bonding Program'!$S$45=1,'Bonding Program'!$H$45&gt;'Bonding Program'!$C$8,R$3='Bonding Program'!$H$45),'Bonding Program'!$T$45-'Bonding Program'!$U$45-'Bonding Program'!$Z$45,0)-IF(AND('Bonding Program'!$S$45=1,'Bonding Program'!$H$45&lt;='Bonding Program'!$C$8,R$3=IF('Bonding Program'!$P$45&lt;&gt;"",'Bonding Program'!$P$45,'Bonding Program'!$C$8)),'Bonding Program'!$Z$45,0)+IF(AND('Bonding Program'!$P$45&lt;&gt;"",R$3='Bonding Program'!$P$45,R$3&lt;='Bonding Program'!$C$8),N('Bonding Program'!$O$45),0)</f>
        <v>0</v>
      </c>
      <c r="S186" s="19" t="n">
        <f aca="false">IF(AND('Bonding Program'!$S$45=1,'Bonding Program'!$H$45&gt;'Bonding Program'!$C$8,S$3='Bonding Program'!$H$45),'Bonding Program'!$T$45-'Bonding Program'!$U$45-'Bonding Program'!$Z$45,0)-IF(AND('Bonding Program'!$S$45=1,'Bonding Program'!$H$45&lt;='Bonding Program'!$C$8,S$3=IF('Bonding Program'!$P$45&lt;&gt;"",'Bonding Program'!$P$45,'Bonding Program'!$C$8)),'Bonding Program'!$Z$45,0)+IF(AND('Bonding Program'!$P$45&lt;&gt;"",S$3='Bonding Program'!$P$45,S$3&lt;='Bonding Program'!$C$8),N('Bonding Program'!$O$45),0)</f>
        <v>0</v>
      </c>
      <c r="T186" s="19" t="n">
        <f aca="false">IF(AND('Bonding Program'!$S$45=1,'Bonding Program'!$H$45&gt;'Bonding Program'!$C$8,T$3='Bonding Program'!$H$45),'Bonding Program'!$T$45-'Bonding Program'!$U$45-'Bonding Program'!$Z$45,0)-IF(AND('Bonding Program'!$S$45=1,'Bonding Program'!$H$45&lt;='Bonding Program'!$C$8,T$3=IF('Bonding Program'!$P$45&lt;&gt;"",'Bonding Program'!$P$45,'Bonding Program'!$C$8)),'Bonding Program'!$Z$45,0)+IF(AND('Bonding Program'!$P$45&lt;&gt;"",T$3='Bonding Program'!$P$45,T$3&lt;='Bonding Program'!$C$8),N('Bonding Program'!$O$45),0)</f>
        <v>0</v>
      </c>
      <c r="U186" s="19" t="n">
        <f aca="false">IF(AND('Bonding Program'!$S$45=1,'Bonding Program'!$H$45&gt;'Bonding Program'!$C$8,U$3='Bonding Program'!$H$45),'Bonding Program'!$T$45-'Bonding Program'!$U$45-'Bonding Program'!$Z$45,0)-IF(AND('Bonding Program'!$S$45=1,'Bonding Program'!$H$45&lt;='Bonding Program'!$C$8,U$3=IF('Bonding Program'!$P$45&lt;&gt;"",'Bonding Program'!$P$45,'Bonding Program'!$C$8)),'Bonding Program'!$Z$45,0)+IF(AND('Bonding Program'!$P$45&lt;&gt;"",U$3='Bonding Program'!$P$45,U$3&lt;='Bonding Program'!$C$8),N('Bonding Program'!$O$45),0)</f>
        <v>0</v>
      </c>
      <c r="V186" s="19" t="n">
        <f aca="false">IF(AND('Bonding Program'!$S$45=1,'Bonding Program'!$H$45&gt;'Bonding Program'!$C$8,V$3='Bonding Program'!$H$45),'Bonding Program'!$T$45-'Bonding Program'!$U$45-'Bonding Program'!$Z$45,0)-IF(AND('Bonding Program'!$S$45=1,'Bonding Program'!$H$45&lt;='Bonding Program'!$C$8,V$3=IF('Bonding Program'!$P$45&lt;&gt;"",'Bonding Program'!$P$45,'Bonding Program'!$C$8)),'Bonding Program'!$Z$45,0)+IF(AND('Bonding Program'!$P$45&lt;&gt;"",V$3='Bonding Program'!$P$45,V$3&lt;='Bonding Program'!$C$8),N('Bonding Program'!$O$45),0)</f>
        <v>0</v>
      </c>
      <c r="W186" s="19" t="n">
        <f aca="false">IF(AND('Bonding Program'!$S$45=1,'Bonding Program'!$H$45&gt;'Bonding Program'!$C$8,W$3='Bonding Program'!$H$45),'Bonding Program'!$T$45-'Bonding Program'!$U$45-'Bonding Program'!$Z$45,0)-IF(AND('Bonding Program'!$S$45=1,'Bonding Program'!$H$45&lt;='Bonding Program'!$C$8,W$3=IF('Bonding Program'!$P$45&lt;&gt;"",'Bonding Program'!$P$45,'Bonding Program'!$C$8)),'Bonding Program'!$Z$45,0)+IF(AND('Bonding Program'!$P$45&lt;&gt;"",W$3='Bonding Program'!$P$45,W$3&lt;='Bonding Program'!$C$8),N('Bonding Program'!$O$45),0)</f>
        <v>0</v>
      </c>
      <c r="X186" s="19" t="n">
        <f aca="false">IF(AND('Bonding Program'!$S$45=1,'Bonding Program'!$H$45&gt;'Bonding Program'!$C$8,X$3='Bonding Program'!$H$45),'Bonding Program'!$T$45-'Bonding Program'!$U$45-'Bonding Program'!$Z$45,0)-IF(AND('Bonding Program'!$S$45=1,'Bonding Program'!$H$45&lt;='Bonding Program'!$C$8,X$3=IF('Bonding Program'!$P$45&lt;&gt;"",'Bonding Program'!$P$45,'Bonding Program'!$C$8)),'Bonding Program'!$Z$45,0)+IF(AND('Bonding Program'!$P$45&lt;&gt;"",X$3='Bonding Program'!$P$45,X$3&lt;='Bonding Program'!$C$8),N('Bonding Program'!$O$45),0)</f>
        <v>0</v>
      </c>
      <c r="Y186" s="19" t="n">
        <f aca="false">IF(AND('Bonding Program'!$S$45=1,'Bonding Program'!$H$45&gt;'Bonding Program'!$C$8,Y$3='Bonding Program'!$H$45),'Bonding Program'!$T$45-'Bonding Program'!$U$45-'Bonding Program'!$Z$45,0)-IF(AND('Bonding Program'!$S$45=1,'Bonding Program'!$H$45&lt;='Bonding Program'!$C$8,Y$3=IF('Bonding Program'!$P$45&lt;&gt;"",'Bonding Program'!$P$45,'Bonding Program'!$C$8)),'Bonding Program'!$Z$45,0)+IF(AND('Bonding Program'!$P$45&lt;&gt;"",Y$3='Bonding Program'!$P$45,Y$3&lt;='Bonding Program'!$C$8),N('Bonding Program'!$O$45),0)</f>
        <v>0</v>
      </c>
      <c r="Z186" s="19" t="n">
        <f aca="false">IF(AND('Bonding Program'!$S$45=1,'Bonding Program'!$H$45&gt;'Bonding Program'!$C$8,Z$3='Bonding Program'!$H$45),'Bonding Program'!$T$45-'Bonding Program'!$U$45-'Bonding Program'!$Z$45,0)-IF(AND('Bonding Program'!$S$45=1,'Bonding Program'!$H$45&lt;='Bonding Program'!$C$8,Z$3=IF('Bonding Program'!$P$45&lt;&gt;"",'Bonding Program'!$P$45,'Bonding Program'!$C$8)),'Bonding Program'!$Z$45,0)+IF(AND('Bonding Program'!$P$45&lt;&gt;"",Z$3='Bonding Program'!$P$45,Z$3&lt;='Bonding Program'!$C$8),N('Bonding Program'!$O$45),0)</f>
        <v>0</v>
      </c>
      <c r="AA186" s="19" t="n">
        <f aca="false">IF(AND('Bonding Program'!$S$45=1,'Bonding Program'!$H$45&gt;'Bonding Program'!$C$8,AA$3='Bonding Program'!$H$45),'Bonding Program'!$T$45-'Bonding Program'!$U$45-'Bonding Program'!$Z$45,0)-IF(AND('Bonding Program'!$S$45=1,'Bonding Program'!$H$45&lt;='Bonding Program'!$C$8,AA$3=IF('Bonding Program'!$P$45&lt;&gt;"",'Bonding Program'!$P$45,'Bonding Program'!$C$8)),'Bonding Program'!$Z$45,0)+IF(AND('Bonding Program'!$P$45&lt;&gt;"",AA$3='Bonding Program'!$P$45,AA$3&lt;='Bonding Program'!$C$8),N('Bonding Program'!$O$45),0)</f>
        <v>0</v>
      </c>
      <c r="AB186" s="19" t="n">
        <f aca="false">IF(AND('Bonding Program'!$S$45=1,'Bonding Program'!$H$45&gt;'Bonding Program'!$C$8,AB$3='Bonding Program'!$H$45),'Bonding Program'!$T$45-'Bonding Program'!$U$45-'Bonding Program'!$Z$45,0)-IF(AND('Bonding Program'!$S$45=1,'Bonding Program'!$H$45&lt;='Bonding Program'!$C$8,AB$3=IF('Bonding Program'!$P$45&lt;&gt;"",'Bonding Program'!$P$45,'Bonding Program'!$C$8)),'Bonding Program'!$Z$45,0)+IF(AND('Bonding Program'!$P$45&lt;&gt;"",AB$3='Bonding Program'!$P$45,AB$3&lt;='Bonding Program'!$C$8),N('Bonding Program'!$O$45),0)</f>
        <v>0</v>
      </c>
      <c r="AC186" s="19" t="n">
        <f aca="false">IF(AND('Bonding Program'!$S$45=1,'Bonding Program'!$H$45&gt;'Bonding Program'!$C$8,AC$3='Bonding Program'!$H$45),'Bonding Program'!$T$45-'Bonding Program'!$U$45-'Bonding Program'!$Z$45,0)-IF(AND('Bonding Program'!$S$45=1,'Bonding Program'!$H$45&lt;='Bonding Program'!$C$8,AC$3=IF('Bonding Program'!$P$45&lt;&gt;"",'Bonding Program'!$P$45,'Bonding Program'!$C$8)),'Bonding Program'!$Z$45,0)+IF(AND('Bonding Program'!$P$45&lt;&gt;"",AC$3='Bonding Program'!$P$45,AC$3&lt;='Bonding Program'!$C$8),N('Bonding Program'!$O$45),0)</f>
        <v>0</v>
      </c>
      <c r="AD186" s="19" t="n">
        <f aca="false">IF(AND('Bonding Program'!$S$45=1,'Bonding Program'!$H$45&gt;'Bonding Program'!$C$8,AD$3='Bonding Program'!$H$45),'Bonding Program'!$T$45-'Bonding Program'!$U$45-'Bonding Program'!$Z$45,0)-IF(AND('Bonding Program'!$S$45=1,'Bonding Program'!$H$45&lt;='Bonding Program'!$C$8,AD$3=IF('Bonding Program'!$P$45&lt;&gt;"",'Bonding Program'!$P$45,'Bonding Program'!$C$8)),'Bonding Program'!$Z$45,0)+IF(AND('Bonding Program'!$P$45&lt;&gt;"",AD$3='Bonding Program'!$P$45,AD$3&lt;='Bonding Program'!$C$8),N('Bonding Program'!$O$45),0)</f>
        <v>0</v>
      </c>
      <c r="AE186" s="19" t="n">
        <f aca="false">IF(AND('Bonding Program'!$S$45=1,'Bonding Program'!$H$45&gt;'Bonding Program'!$C$8,AE$3='Bonding Program'!$H$45),'Bonding Program'!$T$45-'Bonding Program'!$U$45-'Bonding Program'!$Z$45,0)-IF(AND('Bonding Program'!$S$45=1,'Bonding Program'!$H$45&lt;='Bonding Program'!$C$8,AE$3=IF('Bonding Program'!$P$45&lt;&gt;"",'Bonding Program'!$P$45,'Bonding Program'!$C$8)),'Bonding Program'!$Z$45,0)+IF(AND('Bonding Program'!$P$45&lt;&gt;"",AE$3='Bonding Program'!$P$45,AE$3&lt;='Bonding Program'!$C$8),N('Bonding Program'!$O$45),0)</f>
        <v>0</v>
      </c>
      <c r="AF186" s="19" t="n">
        <f aca="false">IF(AND('Bonding Program'!$S$45=1,'Bonding Program'!$H$45&gt;'Bonding Program'!$C$8,AF$3='Bonding Program'!$H$45),'Bonding Program'!$T$45-'Bonding Program'!$U$45-'Bonding Program'!$Z$45,0)-IF(AND('Bonding Program'!$S$45=1,'Bonding Program'!$H$45&lt;='Bonding Program'!$C$8,AF$3=IF('Bonding Program'!$P$45&lt;&gt;"",'Bonding Program'!$P$45,'Bonding Program'!$C$8)),'Bonding Program'!$Z$45,0)+IF(AND('Bonding Program'!$P$45&lt;&gt;"",AF$3='Bonding Program'!$P$45,AF$3&lt;='Bonding Program'!$C$8),N('Bonding Program'!$O$45),0)</f>
        <v>0</v>
      </c>
      <c r="AG186" s="19" t="n">
        <f aca="false">IF(AND('Bonding Program'!$S$45=1,'Bonding Program'!$H$45&gt;'Bonding Program'!$C$8,AG$3='Bonding Program'!$H$45),'Bonding Program'!$T$45-'Bonding Program'!$U$45-'Bonding Program'!$Z$45,0)-IF(AND('Bonding Program'!$S$45=1,'Bonding Program'!$H$45&lt;='Bonding Program'!$C$8,AG$3=IF('Bonding Program'!$P$45&lt;&gt;"",'Bonding Program'!$P$45,'Bonding Program'!$C$8)),'Bonding Program'!$Z$45,0)+IF(AND('Bonding Program'!$P$45&lt;&gt;"",AG$3='Bonding Program'!$P$45,AG$3&lt;='Bonding Program'!$C$8),N('Bonding Program'!$O$45),0)</f>
        <v>0</v>
      </c>
      <c r="AH186" s="19" t="n">
        <f aca="false">IF(AND('Bonding Program'!$S$45=1,'Bonding Program'!$H$45&gt;'Bonding Program'!$C$8,AH$3='Bonding Program'!$H$45),'Bonding Program'!$T$45-'Bonding Program'!$U$45-'Bonding Program'!$Z$45,0)-IF(AND('Bonding Program'!$S$45=1,'Bonding Program'!$H$45&lt;='Bonding Program'!$C$8,AH$3=IF('Bonding Program'!$P$45&lt;&gt;"",'Bonding Program'!$P$45,'Bonding Program'!$C$8)),'Bonding Program'!$Z$45,0)+IF(AND('Bonding Program'!$P$45&lt;&gt;"",AH$3='Bonding Program'!$P$45,AH$3&lt;='Bonding Program'!$C$8),N('Bonding Program'!$O$45),0)</f>
        <v>0</v>
      </c>
      <c r="AI186" s="19" t="n">
        <f aca="false">IF(AND('Bonding Program'!$S$45=1,'Bonding Program'!$H$45&gt;'Bonding Program'!$C$8,AI$3='Bonding Program'!$H$45),'Bonding Program'!$T$45-'Bonding Program'!$U$45-'Bonding Program'!$Z$45,0)-IF(AND('Bonding Program'!$S$45=1,'Bonding Program'!$H$45&lt;='Bonding Program'!$C$8,AI$3=IF('Bonding Program'!$P$45&lt;&gt;"",'Bonding Program'!$P$45,'Bonding Program'!$C$8)),'Bonding Program'!$Z$45,0)+IF(AND('Bonding Program'!$P$45&lt;&gt;"",AI$3='Bonding Program'!$P$45,AI$3&lt;='Bonding Program'!$C$8),N('Bonding Program'!$O$45),0)</f>
        <v>0</v>
      </c>
      <c r="AJ186" s="19" t="n">
        <f aca="false">IF(AND('Bonding Program'!$S$45=1,'Bonding Program'!$H$45&gt;'Bonding Program'!$C$8,AJ$3='Bonding Program'!$H$45),'Bonding Program'!$T$45-'Bonding Program'!$U$45-'Bonding Program'!$Z$45,0)-IF(AND('Bonding Program'!$S$45=1,'Bonding Program'!$H$45&lt;='Bonding Program'!$C$8,AJ$3=IF('Bonding Program'!$P$45&lt;&gt;"",'Bonding Program'!$P$45,'Bonding Program'!$C$8)),'Bonding Program'!$Z$45,0)+IF(AND('Bonding Program'!$P$45&lt;&gt;"",AJ$3='Bonding Program'!$P$45,AJ$3&lt;='Bonding Program'!$C$8),N('Bonding Program'!$O$45),0)</f>
        <v>0</v>
      </c>
      <c r="AK186" s="19" t="n">
        <f aca="false">IF(AND('Bonding Program'!$S$45=1,'Bonding Program'!$H$45&gt;'Bonding Program'!$C$8,AK$3='Bonding Program'!$H$45),'Bonding Program'!$T$45-'Bonding Program'!$U$45-'Bonding Program'!$Z$45,0)-IF(AND('Bonding Program'!$S$45=1,'Bonding Program'!$H$45&lt;='Bonding Program'!$C$8,AK$3=IF('Bonding Program'!$P$45&lt;&gt;"",'Bonding Program'!$P$45,'Bonding Program'!$C$8)),'Bonding Program'!$Z$45,0)+IF(AND('Bonding Program'!$P$45&lt;&gt;"",AK$3='Bonding Program'!$P$45,AK$3&lt;='Bonding Program'!$C$8),N('Bonding Program'!$O$45),0)</f>
        <v>0</v>
      </c>
      <c r="AL186" s="19" t="n">
        <f aca="false">IF(AND('Bonding Program'!$S$45=1,'Bonding Program'!$H$45&gt;'Bonding Program'!$C$8,AL$3='Bonding Program'!$H$45),'Bonding Program'!$T$45-'Bonding Program'!$U$45-'Bonding Program'!$Z$45,0)-IF(AND('Bonding Program'!$S$45=1,'Bonding Program'!$H$45&lt;='Bonding Program'!$C$8,AL$3=IF('Bonding Program'!$P$45&lt;&gt;"",'Bonding Program'!$P$45,'Bonding Program'!$C$8)),'Bonding Program'!$Z$45,0)+IF(AND('Bonding Program'!$P$45&lt;&gt;"",AL$3='Bonding Program'!$P$45,AL$3&lt;='Bonding Program'!$C$8),N('Bonding Program'!$O$45),0)</f>
        <v>0</v>
      </c>
      <c r="AM186" s="19" t="n">
        <f aca="false">IF(AND('Bonding Program'!$S$45=1,'Bonding Program'!$H$45&gt;'Bonding Program'!$C$8,AM$3='Bonding Program'!$H$45),'Bonding Program'!$T$45-'Bonding Program'!$U$45-'Bonding Program'!$Z$45,0)-IF(AND('Bonding Program'!$S$45=1,'Bonding Program'!$H$45&lt;='Bonding Program'!$C$8,AM$3=IF('Bonding Program'!$P$45&lt;&gt;"",'Bonding Program'!$P$45,'Bonding Program'!$C$8)),'Bonding Program'!$Z$45,0)+IF(AND('Bonding Program'!$P$45&lt;&gt;"",AM$3='Bonding Program'!$P$45,AM$3&lt;='Bonding Program'!$C$8),N('Bonding Program'!$O$45),0)</f>
        <v>0</v>
      </c>
      <c r="AN186" s="19" t="n">
        <f aca="false">IF(AND('Bonding Program'!$S$45=1,'Bonding Program'!$H$45&gt;'Bonding Program'!$C$8,AN$3='Bonding Program'!$H$45),'Bonding Program'!$T$45-'Bonding Program'!$U$45-'Bonding Program'!$Z$45,0)-IF(AND('Bonding Program'!$S$45=1,'Bonding Program'!$H$45&lt;='Bonding Program'!$C$8,AN$3=IF('Bonding Program'!$P$45&lt;&gt;"",'Bonding Program'!$P$45,'Bonding Program'!$C$8)),'Bonding Program'!$Z$45,0)+IF(AND('Bonding Program'!$P$45&lt;&gt;"",AN$3='Bonding Program'!$P$45,AN$3&lt;='Bonding Program'!$C$8),N('Bonding Program'!$O$45),0)</f>
        <v>0</v>
      </c>
      <c r="AO186" s="19" t="n">
        <f aca="false">IF(AND('Bonding Program'!$S$45=1,'Bonding Program'!$H$45&gt;'Bonding Program'!$C$8,AO$3='Bonding Program'!$H$45),'Bonding Program'!$T$45-'Bonding Program'!$U$45-'Bonding Program'!$Z$45,0)-IF(AND('Bonding Program'!$S$45=1,'Bonding Program'!$H$45&lt;='Bonding Program'!$C$8,AO$3=IF('Bonding Program'!$P$45&lt;&gt;"",'Bonding Program'!$P$45,'Bonding Program'!$C$8)),'Bonding Program'!$Z$45,0)+IF(AND('Bonding Program'!$P$45&lt;&gt;"",AO$3='Bonding Program'!$P$45,AO$3&lt;='Bonding Program'!$C$8),N('Bonding Program'!$O$45),0)</f>
        <v>0</v>
      </c>
      <c r="AP186" s="19" t="n">
        <f aca="false">IF(AND('Bonding Program'!$S$45=1,'Bonding Program'!$H$45&gt;'Bonding Program'!$C$8,AP$3='Bonding Program'!$H$45),'Bonding Program'!$T$45-'Bonding Program'!$U$45-'Bonding Program'!$Z$45,0)-IF(AND('Bonding Program'!$S$45=1,'Bonding Program'!$H$45&lt;='Bonding Program'!$C$8,AP$3=IF('Bonding Program'!$P$45&lt;&gt;"",'Bonding Program'!$P$45,'Bonding Program'!$C$8)),'Bonding Program'!$Z$45,0)+IF(AND('Bonding Program'!$P$45&lt;&gt;"",AP$3='Bonding Program'!$P$45,AP$3&lt;='Bonding Program'!$C$8),N('Bonding Program'!$O$45),0)</f>
        <v>0</v>
      </c>
      <c r="AQ186" s="19" t="n">
        <f aca="false">IF(AND('Bonding Program'!$S$45=1,'Bonding Program'!$H$45&gt;'Bonding Program'!$C$8,AQ$3='Bonding Program'!$H$45),'Bonding Program'!$T$45-'Bonding Program'!$U$45-'Bonding Program'!$Z$45,0)-IF(AND('Bonding Program'!$S$45=1,'Bonding Program'!$H$45&lt;='Bonding Program'!$C$8,AQ$3=IF('Bonding Program'!$P$45&lt;&gt;"",'Bonding Program'!$P$45,'Bonding Program'!$C$8)),'Bonding Program'!$Z$45,0)+IF(AND('Bonding Program'!$P$45&lt;&gt;"",AQ$3='Bonding Program'!$P$45,AQ$3&lt;='Bonding Program'!$C$8),N('Bonding Program'!$O$45),0)</f>
        <v>0</v>
      </c>
      <c r="AR186" s="19" t="n">
        <f aca="false">IF(AND('Bonding Program'!$S$45=1,'Bonding Program'!$H$45&gt;'Bonding Program'!$C$8,AR$3='Bonding Program'!$H$45),'Bonding Program'!$T$45-'Bonding Program'!$U$45-'Bonding Program'!$Z$45,0)-IF(AND('Bonding Program'!$S$45=1,'Bonding Program'!$H$45&lt;='Bonding Program'!$C$8,AR$3=IF('Bonding Program'!$P$45&lt;&gt;"",'Bonding Program'!$P$45,'Bonding Program'!$C$8)),'Bonding Program'!$Z$45,0)+IF(AND('Bonding Program'!$P$45&lt;&gt;"",AR$3='Bonding Program'!$P$45,AR$3&lt;='Bonding Program'!$C$8),N('Bonding Program'!$O$45),0)</f>
        <v>0</v>
      </c>
      <c r="AS186" s="19" t="n">
        <f aca="false">IF(AND('Bonding Program'!$S$45=1,'Bonding Program'!$H$45&gt;'Bonding Program'!$C$8,AS$3='Bonding Program'!$H$45),'Bonding Program'!$T$45-'Bonding Program'!$U$45-'Bonding Program'!$Z$45,0)-IF(AND('Bonding Program'!$S$45=1,'Bonding Program'!$H$45&lt;='Bonding Program'!$C$8,AS$3=IF('Bonding Program'!$P$45&lt;&gt;"",'Bonding Program'!$P$45,'Bonding Program'!$C$8)),'Bonding Program'!$Z$45,0)+IF(AND('Bonding Program'!$P$45&lt;&gt;"",AS$3='Bonding Program'!$P$45,AS$3&lt;='Bonding Program'!$C$8),N('Bonding Program'!$O$45),0)</f>
        <v>0</v>
      </c>
      <c r="AT186" s="19" t="n">
        <f aca="false">IF(AND('Bonding Program'!$S$45=1,'Bonding Program'!$H$45&gt;'Bonding Program'!$C$8,AT$3='Bonding Program'!$H$45),'Bonding Program'!$T$45-'Bonding Program'!$U$45-'Bonding Program'!$Z$45,0)-IF(AND('Bonding Program'!$S$45=1,'Bonding Program'!$H$45&lt;='Bonding Program'!$C$8,AT$3=IF('Bonding Program'!$P$45&lt;&gt;"",'Bonding Program'!$P$45,'Bonding Program'!$C$8)),'Bonding Program'!$Z$45,0)+IF(AND('Bonding Program'!$P$45&lt;&gt;"",AT$3='Bonding Program'!$P$45,AT$3&lt;='Bonding Program'!$C$8),N('Bonding Program'!$O$45),0)</f>
        <v>0</v>
      </c>
      <c r="AU186" s="19" t="n">
        <f aca="false">IF(AND('Bonding Program'!$S$45=1,'Bonding Program'!$H$45&gt;'Bonding Program'!$C$8,AU$3='Bonding Program'!$H$45),'Bonding Program'!$T$45-'Bonding Program'!$U$45-'Bonding Program'!$Z$45,0)-IF(AND('Bonding Program'!$S$45=1,'Bonding Program'!$H$45&lt;='Bonding Program'!$C$8,AU$3=IF('Bonding Program'!$P$45&lt;&gt;"",'Bonding Program'!$P$45,'Bonding Program'!$C$8)),'Bonding Program'!$Z$45,0)+IF(AND('Bonding Program'!$P$45&lt;&gt;"",AU$3='Bonding Program'!$P$45,AU$3&lt;='Bonding Program'!$C$8),N('Bonding Program'!$O$45),0)</f>
        <v>0</v>
      </c>
      <c r="AV186" s="19" t="n">
        <f aca="false">IF(AND('Bonding Program'!$S$45=1,'Bonding Program'!$H$45&gt;'Bonding Program'!$C$8,AV$3='Bonding Program'!$H$45),'Bonding Program'!$T$45-'Bonding Program'!$U$45-'Bonding Program'!$Z$45,0)-IF(AND('Bonding Program'!$S$45=1,'Bonding Program'!$H$45&lt;='Bonding Program'!$C$8,AV$3=IF('Bonding Program'!$P$45&lt;&gt;"",'Bonding Program'!$P$45,'Bonding Program'!$C$8)),'Bonding Program'!$Z$45,0)+IF(AND('Bonding Program'!$P$45&lt;&gt;"",AV$3='Bonding Program'!$P$45,AV$3&lt;='Bonding Program'!$C$8),N('Bonding Program'!$O$45),0)</f>
        <v>0</v>
      </c>
      <c r="AW186" s="19" t="n">
        <f aca="false">IF(AND('Bonding Program'!$S$45=1,'Bonding Program'!$H$45&gt;'Bonding Program'!$C$8,AW$3='Bonding Program'!$H$45),'Bonding Program'!$T$45-'Bonding Program'!$U$45-'Bonding Program'!$Z$45,0)-IF(AND('Bonding Program'!$S$45=1,'Bonding Program'!$H$45&lt;='Bonding Program'!$C$8,AW$3=IF('Bonding Program'!$P$45&lt;&gt;"",'Bonding Program'!$P$45,'Bonding Program'!$C$8)),'Bonding Program'!$Z$45,0)+IF(AND('Bonding Program'!$P$45&lt;&gt;"",AW$3='Bonding Program'!$P$45,AW$3&lt;='Bonding Program'!$C$8),N('Bonding Program'!$O$45),0)</f>
        <v>0</v>
      </c>
      <c r="AX186" s="19" t="n">
        <f aca="false">IF(AND('Bonding Program'!$S$45=1,'Bonding Program'!$H$45&gt;'Bonding Program'!$C$8,AX$3='Bonding Program'!$H$45),'Bonding Program'!$T$45-'Bonding Program'!$U$45-'Bonding Program'!$Z$45,0)-IF(AND('Bonding Program'!$S$45=1,'Bonding Program'!$H$45&lt;='Bonding Program'!$C$8,AX$3=IF('Bonding Program'!$P$45&lt;&gt;"",'Bonding Program'!$P$45,'Bonding Program'!$C$8)),'Bonding Program'!$Z$45,0)+IF(AND('Bonding Program'!$P$45&lt;&gt;"",AX$3='Bonding Program'!$P$45,AX$3&lt;='Bonding Program'!$C$8),N('Bonding Program'!$O$45),0)</f>
        <v>0</v>
      </c>
      <c r="AY186" s="19" t="n">
        <f aca="false">IF(AND('Bonding Program'!$S$45=1,'Bonding Program'!$H$45&gt;'Bonding Program'!$C$8,AY$3='Bonding Program'!$H$45),'Bonding Program'!$T$45-'Bonding Program'!$U$45-'Bonding Program'!$Z$45,0)-IF(AND('Bonding Program'!$S$45=1,'Bonding Program'!$H$45&lt;='Bonding Program'!$C$8,AY$3=IF('Bonding Program'!$P$45&lt;&gt;"",'Bonding Program'!$P$45,'Bonding Program'!$C$8)),'Bonding Program'!$Z$45,0)+IF(AND('Bonding Program'!$P$45&lt;&gt;"",AY$3='Bonding Program'!$P$45,AY$3&lt;='Bonding Program'!$C$8),N('Bonding Program'!$O$45),0)</f>
        <v>0</v>
      </c>
      <c r="AZ186" s="19" t="n">
        <f aca="false">IF(AND('Bonding Program'!$S$45=1,'Bonding Program'!$H$45&gt;'Bonding Program'!$C$8,AZ$3='Bonding Program'!$H$45),'Bonding Program'!$T$45-'Bonding Program'!$U$45-'Bonding Program'!$Z$45,0)-IF(AND('Bonding Program'!$S$45=1,'Bonding Program'!$H$45&lt;='Bonding Program'!$C$8,AZ$3=IF('Bonding Program'!$P$45&lt;&gt;"",'Bonding Program'!$P$45,'Bonding Program'!$C$8)),'Bonding Program'!$Z$45,0)+IF(AND('Bonding Program'!$P$45&lt;&gt;"",AZ$3='Bonding Program'!$P$45,AZ$3&lt;='Bonding Program'!$C$8),N('Bonding Program'!$O$45),0)</f>
        <v>0</v>
      </c>
      <c r="BA186" s="19" t="n">
        <f aca="false">IF(AND('Bonding Program'!$S$45=1,'Bonding Program'!$H$45&gt;'Bonding Program'!$C$8,BA$3='Bonding Program'!$H$45),'Bonding Program'!$T$45-'Bonding Program'!$U$45-'Bonding Program'!$Z$45,0)-IF(AND('Bonding Program'!$S$45=1,'Bonding Program'!$H$45&lt;='Bonding Program'!$C$8,BA$3=IF('Bonding Program'!$P$45&lt;&gt;"",'Bonding Program'!$P$45,'Bonding Program'!$C$8)),'Bonding Program'!$Z$45,0)+IF(AND('Bonding Program'!$P$45&lt;&gt;"",BA$3='Bonding Program'!$P$45,BA$3&lt;='Bonding Program'!$C$8),N('Bonding Program'!$O$45),0)</f>
        <v>0</v>
      </c>
      <c r="BB186" s="19" t="n">
        <f aca="false">IF(AND('Bonding Program'!$S$45=1,'Bonding Program'!$H$45&gt;'Bonding Program'!$C$8,BB$3='Bonding Program'!$H$45),'Bonding Program'!$T$45-'Bonding Program'!$U$45-'Bonding Program'!$Z$45,0)-IF(AND('Bonding Program'!$S$45=1,'Bonding Program'!$H$45&lt;='Bonding Program'!$C$8,BB$3=IF('Bonding Program'!$P$45&lt;&gt;"",'Bonding Program'!$P$45,'Bonding Program'!$C$8)),'Bonding Program'!$Z$45,0)+IF(AND('Bonding Program'!$P$45&lt;&gt;"",BB$3='Bonding Program'!$P$45,BB$3&lt;='Bonding Program'!$C$8),N('Bonding Program'!$O$45),0)</f>
        <v>0</v>
      </c>
      <c r="BC186" s="19" t="n">
        <f aca="false">IF(AND('Bonding Program'!$S$45=1,'Bonding Program'!$H$45&gt;'Bonding Program'!$C$8,BC$3='Bonding Program'!$H$45),'Bonding Program'!$T$45-'Bonding Program'!$U$45-'Bonding Program'!$Z$45,0)-IF(AND('Bonding Program'!$S$45=1,'Bonding Program'!$H$45&lt;='Bonding Program'!$C$8,BC$3=IF('Bonding Program'!$P$45&lt;&gt;"",'Bonding Program'!$P$45,'Bonding Program'!$C$8)),'Bonding Program'!$Z$45,0)+IF(AND('Bonding Program'!$P$45&lt;&gt;"",BC$3='Bonding Program'!$P$45,BC$3&lt;='Bonding Program'!$C$8),N('Bonding Program'!$O$45),0)</f>
        <v>0</v>
      </c>
      <c r="BD186" s="19" t="n">
        <f aca="false">IF(AND('Bonding Program'!$S$45=1,'Bonding Program'!$H$45&gt;'Bonding Program'!$C$8,BD$3='Bonding Program'!$H$45),'Bonding Program'!$T$45-'Bonding Program'!$U$45-'Bonding Program'!$Z$45,0)-IF(AND('Bonding Program'!$S$45=1,'Bonding Program'!$H$45&lt;='Bonding Program'!$C$8,BD$3=IF('Bonding Program'!$P$45&lt;&gt;"",'Bonding Program'!$P$45,'Bonding Program'!$C$8)),'Bonding Program'!$Z$45,0)+IF(AND('Bonding Program'!$P$45&lt;&gt;"",BD$3='Bonding Program'!$P$45,BD$3&lt;='Bonding Program'!$C$8),N('Bonding Program'!$O$45),0)</f>
        <v>0</v>
      </c>
      <c r="BE186" s="19" t="n">
        <f aca="false">IF(AND('Bonding Program'!$S$45=1,'Bonding Program'!$H$45&gt;'Bonding Program'!$C$8,BE$3='Bonding Program'!$H$45),'Bonding Program'!$T$45-'Bonding Program'!$U$45-'Bonding Program'!$Z$45,0)-IF(AND('Bonding Program'!$S$45=1,'Bonding Program'!$H$45&lt;='Bonding Program'!$C$8,BE$3=IF('Bonding Program'!$P$45&lt;&gt;"",'Bonding Program'!$P$45,'Bonding Program'!$C$8)),'Bonding Program'!$Z$45,0)+IF(AND('Bonding Program'!$P$45&lt;&gt;"",BE$3='Bonding Program'!$P$45,BE$3&lt;='Bonding Program'!$C$8),N('Bonding Program'!$O$45),0)</f>
        <v>0</v>
      </c>
      <c r="BF186" s="19" t="n">
        <f aca="false">IF(AND('Bonding Program'!$S$45=1,'Bonding Program'!$H$45&gt;'Bonding Program'!$C$8,BF$3='Bonding Program'!$H$45),'Bonding Program'!$T$45-'Bonding Program'!$U$45-'Bonding Program'!$Z$45,0)-IF(AND('Bonding Program'!$S$45=1,'Bonding Program'!$H$45&lt;='Bonding Program'!$C$8,BF$3=IF('Bonding Program'!$P$45&lt;&gt;"",'Bonding Program'!$P$45,'Bonding Program'!$C$8)),'Bonding Program'!$Z$45,0)+IF(AND('Bonding Program'!$P$45&lt;&gt;"",BF$3='Bonding Program'!$P$45,BF$3&lt;='Bonding Program'!$C$8),N('Bonding Program'!$O$45),0)</f>
        <v>0</v>
      </c>
      <c r="BG186" s="19" t="n">
        <f aca="false">IF(AND('Bonding Program'!$S$45=1,'Bonding Program'!$H$45&gt;'Bonding Program'!$C$8,BG$3='Bonding Program'!$H$45),'Bonding Program'!$T$45-'Bonding Program'!$U$45-'Bonding Program'!$Z$45,0)-IF(AND('Bonding Program'!$S$45=1,'Bonding Program'!$H$45&lt;='Bonding Program'!$C$8,BG$3=IF('Bonding Program'!$P$45&lt;&gt;"",'Bonding Program'!$P$45,'Bonding Program'!$C$8)),'Bonding Program'!$Z$45,0)+IF(AND('Bonding Program'!$P$45&lt;&gt;"",BG$3='Bonding Program'!$P$45,BG$3&lt;='Bonding Program'!$C$8),N('Bonding Program'!$O$45),0)</f>
        <v>0</v>
      </c>
      <c r="BH186" s="19" t="n">
        <f aca="false">IF(AND('Bonding Program'!$S$45=1,'Bonding Program'!$H$45&gt;'Bonding Program'!$C$8,BH$3='Bonding Program'!$H$45),'Bonding Program'!$T$45-'Bonding Program'!$U$45-'Bonding Program'!$Z$45,0)-IF(AND('Bonding Program'!$S$45=1,'Bonding Program'!$H$45&lt;='Bonding Program'!$C$8,BH$3=IF('Bonding Program'!$P$45&lt;&gt;"",'Bonding Program'!$P$45,'Bonding Program'!$C$8)),'Bonding Program'!$Z$45,0)+IF(AND('Bonding Program'!$P$45&lt;&gt;"",BH$3='Bonding Program'!$P$45,BH$3&lt;='Bonding Program'!$C$8),N('Bonding Program'!$O$45),0)</f>
        <v>0</v>
      </c>
      <c r="BI186" s="19" t="n">
        <f aca="false">IF(AND('Bonding Program'!$S$45=1,'Bonding Program'!$H$45&gt;'Bonding Program'!$C$8,BI$3='Bonding Program'!$H$45),'Bonding Program'!$T$45-'Bonding Program'!$U$45-'Bonding Program'!$Z$45,0)-IF(AND('Bonding Program'!$S$45=1,'Bonding Program'!$H$45&lt;='Bonding Program'!$C$8,BI$3=IF('Bonding Program'!$P$45&lt;&gt;"",'Bonding Program'!$P$45,'Bonding Program'!$C$8)),'Bonding Program'!$Z$45,0)+IF(AND('Bonding Program'!$P$45&lt;&gt;"",BI$3='Bonding Program'!$P$45,BI$3&lt;='Bonding Program'!$C$8),N('Bonding Program'!$O$45),0)</f>
        <v>0</v>
      </c>
      <c r="BJ186" s="19" t="n">
        <f aca="false">IF(AND('Bonding Program'!$S$45=1,'Bonding Program'!$H$45&gt;'Bonding Program'!$C$8,BJ$3='Bonding Program'!$H$45),'Bonding Program'!$T$45-'Bonding Program'!$U$45-'Bonding Program'!$Z$45,0)-IF(AND('Bonding Program'!$S$45=1,'Bonding Program'!$H$45&lt;='Bonding Program'!$C$8,BJ$3=IF('Bonding Program'!$P$45&lt;&gt;"",'Bonding Program'!$P$45,'Bonding Program'!$C$8)),'Bonding Program'!$Z$45,0)+IF(AND('Bonding Program'!$P$45&lt;&gt;"",BJ$3='Bonding Program'!$P$45,BJ$3&lt;='Bonding Program'!$C$8),N('Bonding Program'!$O$45),0)</f>
        <v>0</v>
      </c>
      <c r="BK186" s="19" t="n">
        <f aca="false">IF(AND('Bonding Program'!$S$45=1,'Bonding Program'!$H$45&gt;'Bonding Program'!$C$8,BK$3='Bonding Program'!$H$45),'Bonding Program'!$T$45-'Bonding Program'!$U$45-'Bonding Program'!$Z$45,0)-IF(AND('Bonding Program'!$S$45=1,'Bonding Program'!$H$45&lt;='Bonding Program'!$C$8,BK$3=IF('Bonding Program'!$P$45&lt;&gt;"",'Bonding Program'!$P$45,'Bonding Program'!$C$8)),'Bonding Program'!$Z$45,0)+IF(AND('Bonding Program'!$P$45&lt;&gt;"",BK$3='Bonding Program'!$P$45,BK$3&lt;='Bonding Program'!$C$8),N('Bonding Program'!$O$45),0)</f>
        <v>0</v>
      </c>
      <c r="BL186" s="19" t="n">
        <f aca="false">IF(AND('Bonding Program'!$S$45=1,'Bonding Program'!$H$45&gt;'Bonding Program'!$C$8,BL$3='Bonding Program'!$H$45),'Bonding Program'!$T$45-'Bonding Program'!$U$45-'Bonding Program'!$Z$45,0)-IF(AND('Bonding Program'!$S$45=1,'Bonding Program'!$H$45&lt;='Bonding Program'!$C$8,BL$3=IF('Bonding Program'!$P$45&lt;&gt;"",'Bonding Program'!$P$45,'Bonding Program'!$C$8)),'Bonding Program'!$Z$45,0)+IF(AND('Bonding Program'!$P$45&lt;&gt;"",BL$3='Bonding Program'!$P$45,BL$3&lt;='Bonding Program'!$C$8),N('Bonding Program'!$O$45),0)</f>
        <v>0</v>
      </c>
      <c r="BM186" s="19" t="n">
        <f aca="false">IF(AND('Bonding Program'!$S$45=1,'Bonding Program'!$H$45&gt;'Bonding Program'!$C$8,BM$3='Bonding Program'!$H$45),'Bonding Program'!$T$45-'Bonding Program'!$U$45-'Bonding Program'!$Z$45,0)-IF(AND('Bonding Program'!$S$45=1,'Bonding Program'!$H$45&lt;='Bonding Program'!$C$8,BM$3=IF('Bonding Program'!$P$45&lt;&gt;"",'Bonding Program'!$P$45,'Bonding Program'!$C$8)),'Bonding Program'!$Z$45,0)+IF(AND('Bonding Program'!$P$45&lt;&gt;"",BM$3='Bonding Program'!$P$45,BM$3&lt;='Bonding Program'!$C$8),N('Bonding Program'!$O$45),0)</f>
        <v>0</v>
      </c>
      <c r="BN186" s="19" t="n">
        <f aca="false">IF(AND('Bonding Program'!$S$45=1,'Bonding Program'!$H$45&gt;'Bonding Program'!$C$8,BN$3='Bonding Program'!$H$45),'Bonding Program'!$T$45-'Bonding Program'!$U$45-'Bonding Program'!$Z$45,0)-IF(AND('Bonding Program'!$S$45=1,'Bonding Program'!$H$45&lt;='Bonding Program'!$C$8,BN$3=IF('Bonding Program'!$P$45&lt;&gt;"",'Bonding Program'!$P$45,'Bonding Program'!$C$8)),'Bonding Program'!$Z$45,0)+IF(AND('Bonding Program'!$P$45&lt;&gt;"",BN$3='Bonding Program'!$P$45,BN$3&lt;='Bonding Program'!$C$8),N('Bonding Program'!$O$45),0)</f>
        <v>0</v>
      </c>
      <c r="BO186" s="19" t="n">
        <f aca="false">IF(AND('Bonding Program'!$S$45=1,'Bonding Program'!$H$45&gt;'Bonding Program'!$C$8,BO$3='Bonding Program'!$H$45),'Bonding Program'!$T$45-'Bonding Program'!$U$45-'Bonding Program'!$Z$45,0)-IF(AND('Bonding Program'!$S$45=1,'Bonding Program'!$H$45&lt;='Bonding Program'!$C$8,BO$3=IF('Bonding Program'!$P$45&lt;&gt;"",'Bonding Program'!$P$45,'Bonding Program'!$C$8)),'Bonding Program'!$Z$45,0)+IF(AND('Bonding Program'!$P$45&lt;&gt;"",BO$3='Bonding Program'!$P$45,BO$3&lt;='Bonding Program'!$C$8),N('Bonding Program'!$O$45),0)</f>
        <v>0</v>
      </c>
      <c r="BP186" s="19" t="n">
        <f aca="false">IF(AND('Bonding Program'!$S$45=1,'Bonding Program'!$H$45&gt;'Bonding Program'!$C$8,BP$3='Bonding Program'!$H$45),'Bonding Program'!$T$45-'Bonding Program'!$U$45-'Bonding Program'!$Z$45,0)-IF(AND('Bonding Program'!$S$45=1,'Bonding Program'!$H$45&lt;='Bonding Program'!$C$8,BP$3=IF('Bonding Program'!$P$45&lt;&gt;"",'Bonding Program'!$P$45,'Bonding Program'!$C$8)),'Bonding Program'!$Z$45,0)+IF(AND('Bonding Program'!$P$45&lt;&gt;"",BP$3='Bonding Program'!$P$45,BP$3&lt;='Bonding Program'!$C$8),N('Bonding Program'!$O$45),0)</f>
        <v>0</v>
      </c>
      <c r="BQ186" s="19" t="n">
        <f aca="false">IF(AND('Bonding Program'!$S$45=1,'Bonding Program'!$H$45&gt;'Bonding Program'!$C$8,BQ$3='Bonding Program'!$H$45),'Bonding Program'!$T$45-'Bonding Program'!$U$45-'Bonding Program'!$Z$45,0)-IF(AND('Bonding Program'!$S$45=1,'Bonding Program'!$H$45&lt;='Bonding Program'!$C$8,BQ$3=IF('Bonding Program'!$P$45&lt;&gt;"",'Bonding Program'!$P$45,'Bonding Program'!$C$8)),'Bonding Program'!$Z$45,0)+IF(AND('Bonding Program'!$P$45&lt;&gt;"",BQ$3='Bonding Program'!$P$45,BQ$3&lt;='Bonding Program'!$C$8),N('Bonding Program'!$O$45),0)</f>
        <v>0</v>
      </c>
      <c r="BR186" s="19" t="n">
        <f aca="false">IF(AND('Bonding Program'!$S$45=1,'Bonding Program'!$H$45&gt;'Bonding Program'!$C$8,BR$3='Bonding Program'!$H$45),'Bonding Program'!$T$45-'Bonding Program'!$U$45-'Bonding Program'!$Z$45,0)-IF(AND('Bonding Program'!$S$45=1,'Bonding Program'!$H$45&lt;='Bonding Program'!$C$8,BR$3=IF('Bonding Program'!$P$45&lt;&gt;"",'Bonding Program'!$P$45,'Bonding Program'!$C$8)),'Bonding Program'!$Z$45,0)+IF(AND('Bonding Program'!$P$45&lt;&gt;"",BR$3='Bonding Program'!$P$45,BR$3&lt;='Bonding Program'!$C$8),N('Bonding Program'!$O$45),0)</f>
        <v>0</v>
      </c>
      <c r="BS186" s="19" t="n">
        <f aca="false">IF(AND('Bonding Program'!$S$45=1,'Bonding Program'!$H$45&gt;'Bonding Program'!$C$8,BS$3='Bonding Program'!$H$45),'Bonding Program'!$T$45-'Bonding Program'!$U$45-'Bonding Program'!$Z$45,0)-IF(AND('Bonding Program'!$S$45=1,'Bonding Program'!$H$45&lt;='Bonding Program'!$C$8,BS$3=IF('Bonding Program'!$P$45&lt;&gt;"",'Bonding Program'!$P$45,'Bonding Program'!$C$8)),'Bonding Program'!$Z$45,0)+IF(AND('Bonding Program'!$P$45&lt;&gt;"",BS$3='Bonding Program'!$P$45,BS$3&lt;='Bonding Program'!$C$8),N('Bonding Program'!$O$45),0)</f>
        <v>0</v>
      </c>
      <c r="BT186" s="19" t="n">
        <f aca="false">IF(AND('Bonding Program'!$S$45=1,'Bonding Program'!$H$45&gt;'Bonding Program'!$C$8,BT$3='Bonding Program'!$H$45),'Bonding Program'!$T$45-'Bonding Program'!$U$45-'Bonding Program'!$Z$45,0)-IF(AND('Bonding Program'!$S$45=1,'Bonding Program'!$H$45&lt;='Bonding Program'!$C$8,BT$3=IF('Bonding Program'!$P$45&lt;&gt;"",'Bonding Program'!$P$45,'Bonding Program'!$C$8)),'Bonding Program'!$Z$45,0)+IF(AND('Bonding Program'!$P$45&lt;&gt;"",BT$3='Bonding Program'!$P$45,BT$3&lt;='Bonding Program'!$C$8),N('Bonding Program'!$O$45),0)</f>
        <v>0</v>
      </c>
      <c r="BU186" s="19" t="n">
        <f aca="false">IF(AND('Bonding Program'!$S$45=1,'Bonding Program'!$H$45&gt;'Bonding Program'!$C$8,BU$3='Bonding Program'!$H$45),'Bonding Program'!$T$45-'Bonding Program'!$U$45-'Bonding Program'!$Z$45,0)-IF(AND('Bonding Program'!$S$45=1,'Bonding Program'!$H$45&lt;='Bonding Program'!$C$8,BU$3=IF('Bonding Program'!$P$45&lt;&gt;"",'Bonding Program'!$P$45,'Bonding Program'!$C$8)),'Bonding Program'!$Z$45,0)+IF(AND('Bonding Program'!$P$45&lt;&gt;"",BU$3='Bonding Program'!$P$45,BU$3&lt;='Bonding Program'!$C$8),N('Bonding Program'!$O$45),0)</f>
        <v>0</v>
      </c>
      <c r="BV186" s="19" t="n">
        <f aca="false">IF(AND('Bonding Program'!$S$45=1,'Bonding Program'!$H$45&gt;'Bonding Program'!$C$8,BV$3='Bonding Program'!$H$45),'Bonding Program'!$T$45-'Bonding Program'!$U$45-'Bonding Program'!$Z$45,0)-IF(AND('Bonding Program'!$S$45=1,'Bonding Program'!$H$45&lt;='Bonding Program'!$C$8,BV$3=IF('Bonding Program'!$P$45&lt;&gt;"",'Bonding Program'!$P$45,'Bonding Program'!$C$8)),'Bonding Program'!$Z$45,0)+IF(AND('Bonding Program'!$P$45&lt;&gt;"",BV$3='Bonding Program'!$P$45,BV$3&lt;='Bonding Program'!$C$8),N('Bonding Program'!$O$45),0)</f>
        <v>0</v>
      </c>
      <c r="BW186" s="19" t="n">
        <f aca="false">IF(AND('Bonding Program'!$S$45=1,'Bonding Program'!$H$45&gt;'Bonding Program'!$C$8,BW$3='Bonding Program'!$H$45),'Bonding Program'!$T$45-'Bonding Program'!$U$45-'Bonding Program'!$Z$45,0)-IF(AND('Bonding Program'!$S$45=1,'Bonding Program'!$H$45&lt;='Bonding Program'!$C$8,BW$3=IF('Bonding Program'!$P$45&lt;&gt;"",'Bonding Program'!$P$45,'Bonding Program'!$C$8)),'Bonding Program'!$Z$45,0)+IF(AND('Bonding Program'!$P$45&lt;&gt;"",BW$3='Bonding Program'!$P$45,BW$3&lt;='Bonding Program'!$C$8),N('Bonding Program'!$O$45),0)</f>
        <v>0</v>
      </c>
      <c r="BX186" s="19" t="n">
        <f aca="false">IF(AND('Bonding Program'!$S$45=1,'Bonding Program'!$H$45&gt;'Bonding Program'!$C$8,BX$3='Bonding Program'!$H$45),'Bonding Program'!$T$45-'Bonding Program'!$U$45-'Bonding Program'!$Z$45,0)-IF(AND('Bonding Program'!$S$45=1,'Bonding Program'!$H$45&lt;='Bonding Program'!$C$8,BX$3=IF('Bonding Program'!$P$45&lt;&gt;"",'Bonding Program'!$P$45,'Bonding Program'!$C$8)),'Bonding Program'!$Z$45,0)+IF(AND('Bonding Program'!$P$45&lt;&gt;"",BX$3='Bonding Program'!$P$45,BX$3&lt;='Bonding Program'!$C$8),N('Bonding Program'!$O$45),0)</f>
        <v>0</v>
      </c>
      <c r="BY186" s="19" t="n">
        <f aca="false">IF(AND('Bonding Program'!$S$45=1,'Bonding Program'!$H$45&gt;'Bonding Program'!$C$8,BY$3='Bonding Program'!$H$45),'Bonding Program'!$T$45-'Bonding Program'!$U$45-'Bonding Program'!$Z$45,0)-IF(AND('Bonding Program'!$S$45=1,'Bonding Program'!$H$45&lt;='Bonding Program'!$C$8,BY$3=IF('Bonding Program'!$P$45&lt;&gt;"",'Bonding Program'!$P$45,'Bonding Program'!$C$8)),'Bonding Program'!$Z$45,0)+IF(AND('Bonding Program'!$P$45&lt;&gt;"",BY$3='Bonding Program'!$P$45,BY$3&lt;='Bonding Program'!$C$8),N('Bonding Program'!$O$45),0)</f>
        <v>0</v>
      </c>
      <c r="BZ186" s="19" t="n">
        <f aca="false">IF(AND('Bonding Program'!$S$45=1,'Bonding Program'!$H$45&gt;'Bonding Program'!$C$8,BZ$3='Bonding Program'!$H$45),'Bonding Program'!$T$45-'Bonding Program'!$U$45-'Bonding Program'!$Z$45,0)-IF(AND('Bonding Program'!$S$45=1,'Bonding Program'!$H$45&lt;='Bonding Program'!$C$8,BZ$3=IF('Bonding Program'!$P$45&lt;&gt;"",'Bonding Program'!$P$45,'Bonding Program'!$C$8)),'Bonding Program'!$Z$45,0)+IF(AND('Bonding Program'!$P$45&lt;&gt;"",BZ$3='Bonding Program'!$P$45,BZ$3&lt;='Bonding Program'!$C$8),N('Bonding Program'!$O$45),0)</f>
        <v>0</v>
      </c>
      <c r="CA186" s="19" t="n">
        <f aca="false">IF(AND('Bonding Program'!$S$45=1,'Bonding Program'!$H$45&gt;'Bonding Program'!$C$8,CA$3='Bonding Program'!$H$45),'Bonding Program'!$T$45-'Bonding Program'!$U$45-'Bonding Program'!$Z$45,0)-IF(AND('Bonding Program'!$S$45=1,'Bonding Program'!$H$45&lt;='Bonding Program'!$C$8,CA$3=IF('Bonding Program'!$P$45&lt;&gt;"",'Bonding Program'!$P$45,'Bonding Program'!$C$8)),'Bonding Program'!$Z$45,0)+IF(AND('Bonding Program'!$P$45&lt;&gt;"",CA$3='Bonding Program'!$P$45,CA$3&lt;='Bonding Program'!$C$8),N('Bonding Program'!$O$45),0)</f>
        <v>0</v>
      </c>
      <c r="CB186" s="19" t="n">
        <f aca="false">IF(AND('Bonding Program'!$S$45=1,'Bonding Program'!$H$45&gt;'Bonding Program'!$C$8,CB$3='Bonding Program'!$H$45),'Bonding Program'!$T$45-'Bonding Program'!$U$45-'Bonding Program'!$Z$45,0)-IF(AND('Bonding Program'!$S$45=1,'Bonding Program'!$H$45&lt;='Bonding Program'!$C$8,CB$3=IF('Bonding Program'!$P$45&lt;&gt;"",'Bonding Program'!$P$45,'Bonding Program'!$C$8)),'Bonding Program'!$Z$45,0)+IF(AND('Bonding Program'!$P$45&lt;&gt;"",CB$3='Bonding Program'!$P$45,CB$3&lt;='Bonding Program'!$C$8),N('Bonding Program'!$O$45),0)</f>
        <v>0</v>
      </c>
      <c r="CC186" s="19" t="n">
        <f aca="false">IF(AND('Bonding Program'!$S$45=1,'Bonding Program'!$H$45&gt;'Bonding Program'!$C$8,CC$3='Bonding Program'!$H$45),'Bonding Program'!$T$45-'Bonding Program'!$U$45-'Bonding Program'!$Z$45,0)-IF(AND('Bonding Program'!$S$45=1,'Bonding Program'!$H$45&lt;='Bonding Program'!$C$8,CC$3=IF('Bonding Program'!$P$45&lt;&gt;"",'Bonding Program'!$P$45,'Bonding Program'!$C$8)),'Bonding Program'!$Z$45,0)+IF(AND('Bonding Program'!$P$45&lt;&gt;"",CC$3='Bonding Program'!$P$45,CC$3&lt;='Bonding Program'!$C$8),N('Bonding Program'!$O$45),0)</f>
        <v>0</v>
      </c>
      <c r="CD186" s="19" t="n">
        <f aca="false">IF(AND('Bonding Program'!$S$45=1,'Bonding Program'!$H$45&gt;'Bonding Program'!$C$8,CD$3='Bonding Program'!$H$45),'Bonding Program'!$T$45-'Bonding Program'!$U$45-'Bonding Program'!$Z$45,0)-IF(AND('Bonding Program'!$S$45=1,'Bonding Program'!$H$45&lt;='Bonding Program'!$C$8,CD$3=IF('Bonding Program'!$P$45&lt;&gt;"",'Bonding Program'!$P$45,'Bonding Program'!$C$8)),'Bonding Program'!$Z$45,0)+IF(AND('Bonding Program'!$P$45&lt;&gt;"",CD$3='Bonding Program'!$P$45,CD$3&lt;='Bonding Program'!$C$8),N('Bonding Program'!$O$45),0)</f>
        <v>0</v>
      </c>
      <c r="CE186" s="19" t="n">
        <f aca="false">IF(AND('Bonding Program'!$S$45=1,'Bonding Program'!$H$45&gt;'Bonding Program'!$C$8,CE$3='Bonding Program'!$H$45),'Bonding Program'!$T$45-'Bonding Program'!$U$45-'Bonding Program'!$Z$45,0)-IF(AND('Bonding Program'!$S$45=1,'Bonding Program'!$H$45&lt;='Bonding Program'!$C$8,CE$3=IF('Bonding Program'!$P$45&lt;&gt;"",'Bonding Program'!$P$45,'Bonding Program'!$C$8)),'Bonding Program'!$Z$45,0)+IF(AND('Bonding Program'!$P$45&lt;&gt;"",CE$3='Bonding Program'!$P$45,CE$3&lt;='Bonding Program'!$C$8),N('Bonding Program'!$O$45),0)</f>
        <v>0</v>
      </c>
      <c r="CF186" s="19" t="n">
        <f aca="false">IF(AND('Bonding Program'!$S$45=1,'Bonding Program'!$H$45&gt;'Bonding Program'!$C$8,CF$3='Bonding Program'!$H$45),'Bonding Program'!$T$45-'Bonding Program'!$U$45-'Bonding Program'!$Z$45,0)-IF(AND('Bonding Program'!$S$45=1,'Bonding Program'!$H$45&lt;='Bonding Program'!$C$8,CF$3=IF('Bonding Program'!$P$45&lt;&gt;"",'Bonding Program'!$P$45,'Bonding Program'!$C$8)),'Bonding Program'!$Z$45,0)+IF(AND('Bonding Program'!$P$45&lt;&gt;"",CF$3='Bonding Program'!$P$45,CF$3&lt;='Bonding Program'!$C$8),N('Bonding Program'!$O$45),0)</f>
        <v>0</v>
      </c>
      <c r="CG186" s="19" t="n">
        <f aca="false">IF(AND('Bonding Program'!$S$45=1,'Bonding Program'!$H$45&gt;'Bonding Program'!$C$8,CG$3='Bonding Program'!$H$45),'Bonding Program'!$T$45-'Bonding Program'!$U$45-'Bonding Program'!$Z$45,0)-IF(AND('Bonding Program'!$S$45=1,'Bonding Program'!$H$45&lt;='Bonding Program'!$C$8,CG$3=IF('Bonding Program'!$P$45&lt;&gt;"",'Bonding Program'!$P$45,'Bonding Program'!$C$8)),'Bonding Program'!$Z$45,0)+IF(AND('Bonding Program'!$P$45&lt;&gt;"",CG$3='Bonding Program'!$P$45,CG$3&lt;='Bonding Program'!$C$8),N('Bonding Program'!$O$45),0)</f>
        <v>0</v>
      </c>
      <c r="CH186" s="19" t="n">
        <f aca="false">IF(AND('Bonding Program'!$S$45=1,'Bonding Program'!$H$45&gt;'Bonding Program'!$C$8,CH$3='Bonding Program'!$H$45),'Bonding Program'!$T$45-'Bonding Program'!$U$45-'Bonding Program'!$Z$45,0)-IF(AND('Bonding Program'!$S$45=1,'Bonding Program'!$H$45&lt;='Bonding Program'!$C$8,CH$3=IF('Bonding Program'!$P$45&lt;&gt;"",'Bonding Program'!$P$45,'Bonding Program'!$C$8)),'Bonding Program'!$Z$45,0)+IF(AND('Bonding Program'!$P$45&lt;&gt;"",CH$3='Bonding Program'!$P$45,CH$3&lt;='Bonding Program'!$C$8),N('Bonding Program'!$O$45),0)</f>
        <v>0</v>
      </c>
      <c r="CI186" s="19" t="n">
        <f aca="false">IF(AND('Bonding Program'!$S$45=1,'Bonding Program'!$H$45&gt;'Bonding Program'!$C$8,CI$3='Bonding Program'!$H$45),'Bonding Program'!$T$45-'Bonding Program'!$U$45-'Bonding Program'!$Z$45,0)-IF(AND('Bonding Program'!$S$45=1,'Bonding Program'!$H$45&lt;='Bonding Program'!$C$8,CI$3=IF('Bonding Program'!$P$45&lt;&gt;"",'Bonding Program'!$P$45,'Bonding Program'!$C$8)),'Bonding Program'!$Z$45,0)+IF(AND('Bonding Program'!$P$45&lt;&gt;"",CI$3='Bonding Program'!$P$45,CI$3&lt;='Bonding Program'!$C$8),N('Bonding Program'!$O$45),0)</f>
        <v>0</v>
      </c>
      <c r="CJ186" s="19" t="n">
        <f aca="false">IF(AND('Bonding Program'!$S$45=1,'Bonding Program'!$H$45&gt;'Bonding Program'!$C$8,CJ$3='Bonding Program'!$H$45),'Bonding Program'!$T$45-'Bonding Program'!$U$45-'Bonding Program'!$Z$45,0)-IF(AND('Bonding Program'!$S$45=1,'Bonding Program'!$H$45&lt;='Bonding Program'!$C$8,CJ$3=IF('Bonding Program'!$P$45&lt;&gt;"",'Bonding Program'!$P$45,'Bonding Program'!$C$8)),'Bonding Program'!$Z$45,0)+IF(AND('Bonding Program'!$P$45&lt;&gt;"",CJ$3='Bonding Program'!$P$45,CJ$3&lt;='Bonding Program'!$C$8),N('Bonding Program'!$O$45),0)</f>
        <v>0</v>
      </c>
      <c r="CK186" s="19" t="n">
        <f aca="false">IF(AND('Bonding Program'!$S$45=1,'Bonding Program'!$H$45&gt;'Bonding Program'!$C$8,CK$3='Bonding Program'!$H$45),'Bonding Program'!$T$45-'Bonding Program'!$U$45-'Bonding Program'!$Z$45,0)-IF(AND('Bonding Program'!$S$45=1,'Bonding Program'!$H$45&lt;='Bonding Program'!$C$8,CK$3=IF('Bonding Program'!$P$45&lt;&gt;"",'Bonding Program'!$P$45,'Bonding Program'!$C$8)),'Bonding Program'!$Z$45,0)+IF(AND('Bonding Program'!$P$45&lt;&gt;"",CK$3='Bonding Program'!$P$45,CK$3&lt;='Bonding Program'!$C$8),N('Bonding Program'!$O$45),0)</f>
        <v>0</v>
      </c>
      <c r="CL186" s="19" t="n">
        <f aca="false">IF(AND('Bonding Program'!$S$45=1,'Bonding Program'!$H$45&gt;'Bonding Program'!$C$8,CL$3='Bonding Program'!$H$45),'Bonding Program'!$T$45-'Bonding Program'!$U$45-'Bonding Program'!$Z$45,0)-IF(AND('Bonding Program'!$S$45=1,'Bonding Program'!$H$45&lt;='Bonding Program'!$C$8,CL$3=IF('Bonding Program'!$P$45&lt;&gt;"",'Bonding Program'!$P$45,'Bonding Program'!$C$8)),'Bonding Program'!$Z$45,0)+IF(AND('Bonding Program'!$P$45&lt;&gt;"",CL$3='Bonding Program'!$P$45,CL$3&lt;='Bonding Program'!$C$8),N('Bonding Program'!$O$45),0)</f>
        <v>0</v>
      </c>
      <c r="CM186" s="19" t="n">
        <f aca="false">IF(AND('Bonding Program'!$S$45=1,'Bonding Program'!$H$45&gt;'Bonding Program'!$C$8,CM$3='Bonding Program'!$H$45),'Bonding Program'!$T$45-'Bonding Program'!$U$45-'Bonding Program'!$Z$45,0)-IF(AND('Bonding Program'!$S$45=1,'Bonding Program'!$H$45&lt;='Bonding Program'!$C$8,CM$3=IF('Bonding Program'!$P$45&lt;&gt;"",'Bonding Program'!$P$45,'Bonding Program'!$C$8)),'Bonding Program'!$Z$45,0)+IF(AND('Bonding Program'!$P$45&lt;&gt;"",CM$3='Bonding Program'!$P$45,CM$3&lt;='Bonding Program'!$C$8),N('Bonding Program'!$O$45),0)</f>
        <v>0</v>
      </c>
      <c r="CN186" s="19" t="n">
        <f aca="false">IF(AND('Bonding Program'!$S$45=1,'Bonding Program'!$H$45&gt;'Bonding Program'!$C$8,CN$3='Bonding Program'!$H$45),'Bonding Program'!$T$45-'Bonding Program'!$U$45-'Bonding Program'!$Z$45,0)-IF(AND('Bonding Program'!$S$45=1,'Bonding Program'!$H$45&lt;='Bonding Program'!$C$8,CN$3=IF('Bonding Program'!$P$45&lt;&gt;"",'Bonding Program'!$P$45,'Bonding Program'!$C$8)),'Bonding Program'!$Z$45,0)+IF(AND('Bonding Program'!$P$45&lt;&gt;"",CN$3='Bonding Program'!$P$45,CN$3&lt;='Bonding Program'!$C$8),N('Bonding Program'!$O$45),0)</f>
        <v>0</v>
      </c>
      <c r="CO186" s="19" t="n">
        <f aca="false">IF(AND('Bonding Program'!$S$45=1,'Bonding Program'!$H$45&gt;'Bonding Program'!$C$8,CO$3='Bonding Program'!$H$45),'Bonding Program'!$T$45-'Bonding Program'!$U$45-'Bonding Program'!$Z$45,0)-IF(AND('Bonding Program'!$S$45=1,'Bonding Program'!$H$45&lt;='Bonding Program'!$C$8,CO$3=IF('Bonding Program'!$P$45&lt;&gt;"",'Bonding Program'!$P$45,'Bonding Program'!$C$8)),'Bonding Program'!$Z$45,0)+IF(AND('Bonding Program'!$P$45&lt;&gt;"",CO$3='Bonding Program'!$P$45,CO$3&lt;='Bonding Program'!$C$8),N('Bonding Program'!$O$45),0)</f>
        <v>0</v>
      </c>
      <c r="CP186" s="19" t="n">
        <f aca="false">IF(AND('Bonding Program'!$S$45=1,'Bonding Program'!$H$45&gt;'Bonding Program'!$C$8,CP$3='Bonding Program'!$H$45),'Bonding Program'!$T$45-'Bonding Program'!$U$45-'Bonding Program'!$Z$45,0)-IF(AND('Bonding Program'!$S$45=1,'Bonding Program'!$H$45&lt;='Bonding Program'!$C$8,CP$3=IF('Bonding Program'!$P$45&lt;&gt;"",'Bonding Program'!$P$45,'Bonding Program'!$C$8)),'Bonding Program'!$Z$45,0)+IF(AND('Bonding Program'!$P$45&lt;&gt;"",CP$3='Bonding Program'!$P$45,CP$3&lt;='Bonding Program'!$C$8),N('Bonding Program'!$O$45),0)</f>
        <v>0</v>
      </c>
      <c r="CQ186" s="19" t="n">
        <f aca="false">IF(AND('Bonding Program'!$S$45=1,'Bonding Program'!$H$45&gt;'Bonding Program'!$C$8,CQ$3='Bonding Program'!$H$45),'Bonding Program'!$T$45-'Bonding Program'!$U$45-'Bonding Program'!$Z$45,0)-IF(AND('Bonding Program'!$S$45=1,'Bonding Program'!$H$45&lt;='Bonding Program'!$C$8,CQ$3=IF('Bonding Program'!$P$45&lt;&gt;"",'Bonding Program'!$P$45,'Bonding Program'!$C$8)),'Bonding Program'!$Z$45,0)+IF(AND('Bonding Program'!$P$45&lt;&gt;"",CQ$3='Bonding Program'!$P$45,CQ$3&lt;='Bonding Program'!$C$8),N('Bonding Program'!$O$45),0)</f>
        <v>0</v>
      </c>
      <c r="CR186" s="19" t="n">
        <f aca="false">IF(AND('Bonding Program'!$S$45=1,'Bonding Program'!$H$45&gt;'Bonding Program'!$C$8,CR$3='Bonding Program'!$H$45),'Bonding Program'!$T$45-'Bonding Program'!$U$45-'Bonding Program'!$Z$45,0)-IF(AND('Bonding Program'!$S$45=1,'Bonding Program'!$H$45&lt;='Bonding Program'!$C$8,CR$3=IF('Bonding Program'!$P$45&lt;&gt;"",'Bonding Program'!$P$45,'Bonding Program'!$C$8)),'Bonding Program'!$Z$45,0)+IF(AND('Bonding Program'!$P$45&lt;&gt;"",CR$3='Bonding Program'!$P$45,CR$3&lt;='Bonding Program'!$C$8),N('Bonding Program'!$O$45),0)</f>
        <v>0</v>
      </c>
      <c r="CS186" s="19" t="n">
        <f aca="false">IF(AND('Bonding Program'!$S$45=1,'Bonding Program'!$H$45&gt;'Bonding Program'!$C$8,CS$3='Bonding Program'!$H$45),'Bonding Program'!$T$45-'Bonding Program'!$U$45-'Bonding Program'!$Z$45,0)-IF(AND('Bonding Program'!$S$45=1,'Bonding Program'!$H$45&lt;='Bonding Program'!$C$8,CS$3=IF('Bonding Program'!$P$45&lt;&gt;"",'Bonding Program'!$P$45,'Bonding Program'!$C$8)),'Bonding Program'!$Z$45,0)+IF(AND('Bonding Program'!$P$45&lt;&gt;"",CS$3='Bonding Program'!$P$45,CS$3&lt;='Bonding Program'!$C$8),N('Bonding Program'!$O$45),0)</f>
        <v>0</v>
      </c>
      <c r="CT186" s="19" t="n">
        <f aca="false">IF(AND('Bonding Program'!$S$45=1,'Bonding Program'!$H$45&gt;'Bonding Program'!$C$8,CT$3='Bonding Program'!$H$45),'Bonding Program'!$T$45-'Bonding Program'!$U$45-'Bonding Program'!$Z$45,0)-IF(AND('Bonding Program'!$S$45=1,'Bonding Program'!$H$45&lt;='Bonding Program'!$C$8,CT$3=IF('Bonding Program'!$P$45&lt;&gt;"",'Bonding Program'!$P$45,'Bonding Program'!$C$8)),'Bonding Program'!$Z$45,0)+IF(AND('Bonding Program'!$P$45&lt;&gt;"",CT$3='Bonding Program'!$P$45,CT$3&lt;='Bonding Program'!$C$8),N('Bonding Program'!$O$45),0)</f>
        <v>0</v>
      </c>
      <c r="CU186" s="19" t="n">
        <f aca="false">IF(AND('Bonding Program'!$S$45=1,'Bonding Program'!$H$45&gt;'Bonding Program'!$C$8,CU$3='Bonding Program'!$H$45),'Bonding Program'!$T$45-'Bonding Program'!$U$45-'Bonding Program'!$Z$45,0)-IF(AND('Bonding Program'!$S$45=1,'Bonding Program'!$H$45&lt;='Bonding Program'!$C$8,CU$3=IF('Bonding Program'!$P$45&lt;&gt;"",'Bonding Program'!$P$45,'Bonding Program'!$C$8)),'Bonding Program'!$Z$45,0)+IF(AND('Bonding Program'!$P$45&lt;&gt;"",CU$3='Bonding Program'!$P$45,CU$3&lt;='Bonding Program'!$C$8),N('Bonding Program'!$O$45),0)</f>
        <v>0</v>
      </c>
      <c r="CV186" s="19" t="n">
        <f aca="false">IF(AND('Bonding Program'!$S$45=1,'Bonding Program'!$H$45&gt;'Bonding Program'!$C$8,CV$3='Bonding Program'!$H$45),'Bonding Program'!$T$45-'Bonding Program'!$U$45-'Bonding Program'!$Z$45,0)-IF(AND('Bonding Program'!$S$45=1,'Bonding Program'!$H$45&lt;='Bonding Program'!$C$8,CV$3=IF('Bonding Program'!$P$45&lt;&gt;"",'Bonding Program'!$P$45,'Bonding Program'!$C$8)),'Bonding Program'!$Z$45,0)+IF(AND('Bonding Program'!$P$45&lt;&gt;"",CV$3='Bonding Program'!$P$45,CV$3&lt;='Bonding Program'!$C$8),N('Bonding Program'!$O$45),0)</f>
        <v>0</v>
      </c>
      <c r="CW186" s="19" t="n">
        <f aca="false">IF(AND('Bonding Program'!$S$45=1,'Bonding Program'!$H$45&gt;'Bonding Program'!$C$8,CW$3='Bonding Program'!$H$45),'Bonding Program'!$T$45-'Bonding Program'!$U$45-'Bonding Program'!$Z$45,0)-IF(AND('Bonding Program'!$S$45=1,'Bonding Program'!$H$45&lt;='Bonding Program'!$C$8,CW$3=IF('Bonding Program'!$P$45&lt;&gt;"",'Bonding Program'!$P$45,'Bonding Program'!$C$8)),'Bonding Program'!$Z$45,0)+IF(AND('Bonding Program'!$P$45&lt;&gt;"",CW$3='Bonding Program'!$P$45,CW$3&lt;='Bonding Program'!$C$8),N('Bonding Program'!$O$45),0)</f>
        <v>0</v>
      </c>
      <c r="CX186" s="19" t="n">
        <f aca="false">IF(AND('Bonding Program'!$S$45=1,'Bonding Program'!$H$45&gt;'Bonding Program'!$C$8,CX$3='Bonding Program'!$H$45),'Bonding Program'!$T$45-'Bonding Program'!$U$45-'Bonding Program'!$Z$45,0)-IF(AND('Bonding Program'!$S$45=1,'Bonding Program'!$H$45&lt;='Bonding Program'!$C$8,CX$3=IF('Bonding Program'!$P$45&lt;&gt;"",'Bonding Program'!$P$45,'Bonding Program'!$C$8)),'Bonding Program'!$Z$45,0)+IF(AND('Bonding Program'!$P$45&lt;&gt;"",CX$3='Bonding Program'!$P$45,CX$3&lt;='Bonding Program'!$C$8),N('Bonding Program'!$O$45),0)</f>
        <v>0</v>
      </c>
      <c r="CY186" s="19" t="n">
        <f aca="false">IF(AND('Bonding Program'!$S$45=1,'Bonding Program'!$H$45&gt;'Bonding Program'!$C$8,CY$3='Bonding Program'!$H$45),'Bonding Program'!$T$45-'Bonding Program'!$U$45-'Bonding Program'!$Z$45,0)-IF(AND('Bonding Program'!$S$45=1,'Bonding Program'!$H$45&lt;='Bonding Program'!$C$8,CY$3=IF('Bonding Program'!$P$45&lt;&gt;"",'Bonding Program'!$P$45,'Bonding Program'!$C$8)),'Bonding Program'!$Z$45,0)+IF(AND('Bonding Program'!$P$45&lt;&gt;"",CY$3='Bonding Program'!$P$45,CY$3&lt;='Bonding Program'!$C$8),N('Bonding Program'!$O$45),0)</f>
        <v>0</v>
      </c>
      <c r="CZ186" s="19" t="n">
        <f aca="false">IF(AND('Bonding Program'!$S$45=1,'Bonding Program'!$H$45&gt;'Bonding Program'!$C$8,CZ$3='Bonding Program'!$H$45),'Bonding Program'!$T$45-'Bonding Program'!$U$45-'Bonding Program'!$Z$45,0)-IF(AND('Bonding Program'!$S$45=1,'Bonding Program'!$H$45&lt;='Bonding Program'!$C$8,CZ$3=IF('Bonding Program'!$P$45&lt;&gt;"",'Bonding Program'!$P$45,'Bonding Program'!$C$8)),'Bonding Program'!$Z$45,0)+IF(AND('Bonding Program'!$P$45&lt;&gt;"",CZ$3='Bonding Program'!$P$45,CZ$3&lt;='Bonding Program'!$C$8),N('Bonding Program'!$O$45),0)</f>
        <v>0</v>
      </c>
      <c r="DA186" s="19" t="n">
        <f aca="false">IF(AND('Bonding Program'!$S$45=1,'Bonding Program'!$H$45&gt;'Bonding Program'!$C$8,DA$3='Bonding Program'!$H$45),'Bonding Program'!$T$45-'Bonding Program'!$U$45-'Bonding Program'!$Z$45,0)-IF(AND('Bonding Program'!$S$45=1,'Bonding Program'!$H$45&lt;='Bonding Program'!$C$8,DA$3=IF('Bonding Program'!$P$45&lt;&gt;"",'Bonding Program'!$P$45,'Bonding Program'!$C$8)),'Bonding Program'!$Z$45,0)+IF(AND('Bonding Program'!$P$45&lt;&gt;"",DA$3='Bonding Program'!$P$45,DA$3&lt;='Bonding Program'!$C$8),N('Bonding Program'!$O$45),0)</f>
        <v>0</v>
      </c>
      <c r="DB186" s="19" t="n">
        <f aca="false">IF(AND('Bonding Program'!$S$45=1,'Bonding Program'!$H$45&gt;'Bonding Program'!$C$8,DB$3='Bonding Program'!$H$45),'Bonding Program'!$T$45-'Bonding Program'!$U$45-'Bonding Program'!$Z$45,0)-IF(AND('Bonding Program'!$S$45=1,'Bonding Program'!$H$45&lt;='Bonding Program'!$C$8,DB$3=IF('Bonding Program'!$P$45&lt;&gt;"",'Bonding Program'!$P$45,'Bonding Program'!$C$8)),'Bonding Program'!$Z$45,0)+IF(AND('Bonding Program'!$P$45&lt;&gt;"",DB$3='Bonding Program'!$P$45,DB$3&lt;='Bonding Program'!$C$8),N('Bonding Program'!$O$45),0)</f>
        <v>0</v>
      </c>
      <c r="DC186" s="19" t="n">
        <f aca="false">IF(AND('Bonding Program'!$S$45=1,'Bonding Program'!$H$45&gt;'Bonding Program'!$C$8,DC$3='Bonding Program'!$H$45),'Bonding Program'!$T$45-'Bonding Program'!$U$45-'Bonding Program'!$Z$45,0)-IF(AND('Bonding Program'!$S$45=1,'Bonding Program'!$H$45&lt;='Bonding Program'!$C$8,DC$3=IF('Bonding Program'!$P$45&lt;&gt;"",'Bonding Program'!$P$45,'Bonding Program'!$C$8)),'Bonding Program'!$Z$45,0)+IF(AND('Bonding Program'!$P$45&lt;&gt;"",DC$3='Bonding Program'!$P$45,DC$3&lt;='Bonding Program'!$C$8),N('Bonding Program'!$O$45),0)</f>
        <v>0</v>
      </c>
      <c r="DD186" s="19" t="n">
        <f aca="false">IF(AND('Bonding Program'!$S$45=1,'Bonding Program'!$H$45&gt;'Bonding Program'!$C$8,DD$3='Bonding Program'!$H$45),'Bonding Program'!$T$45-'Bonding Program'!$U$45-'Bonding Program'!$Z$45,0)-IF(AND('Bonding Program'!$S$45=1,'Bonding Program'!$H$45&lt;='Bonding Program'!$C$8,DD$3=IF('Bonding Program'!$P$45&lt;&gt;"",'Bonding Program'!$P$45,'Bonding Program'!$C$8)),'Bonding Program'!$Z$45,0)+IF(AND('Bonding Program'!$P$45&lt;&gt;"",DD$3='Bonding Program'!$P$45,DD$3&lt;='Bonding Program'!$C$8),N('Bonding Program'!$O$45),0)</f>
        <v>0</v>
      </c>
      <c r="DE186" s="19" t="n">
        <f aca="false">IF(AND('Bonding Program'!$S$45=1,'Bonding Program'!$H$45&gt;'Bonding Program'!$C$8,DE$3='Bonding Program'!$H$45),'Bonding Program'!$T$45-'Bonding Program'!$U$45-'Bonding Program'!$Z$45,0)-IF(AND('Bonding Program'!$S$45=1,'Bonding Program'!$H$45&lt;='Bonding Program'!$C$8,DE$3=IF('Bonding Program'!$P$45&lt;&gt;"",'Bonding Program'!$P$45,'Bonding Program'!$C$8)),'Bonding Program'!$Z$45,0)+IF(AND('Bonding Program'!$P$45&lt;&gt;"",DE$3='Bonding Program'!$P$45,DE$3&lt;='Bonding Program'!$C$8),N('Bonding Program'!$O$45),0)</f>
        <v>0</v>
      </c>
    </row>
    <row r="187" customFormat="false" ht="15" hidden="false" customHeight="true" outlineLevel="1" collapsed="false">
      <c r="A187" s="28" t="s">
        <v>42</v>
      </c>
      <c r="B187" s="19" t="n">
        <f aca="false">IF(AND('Bonding Program'!$S$46=1,'Bonding Program'!$H$46&gt;'Bonding Program'!$C$8,B$3='Bonding Program'!$H$46),'Bonding Program'!$T$46-'Bonding Program'!$U$46-'Bonding Program'!$Z$46,0)-IF(AND('Bonding Program'!$S$46=1,'Bonding Program'!$H$46&lt;='Bonding Program'!$C$8,B$3=IF('Bonding Program'!$P$46&lt;&gt;"",'Bonding Program'!$P$46,'Bonding Program'!$C$8)),'Bonding Program'!$Z$46,0)+IF(AND('Bonding Program'!$P$46&lt;&gt;"",B$3='Bonding Program'!$P$46,B$3&lt;='Bonding Program'!$C$8),N('Bonding Program'!$O$46),0)</f>
        <v>0</v>
      </c>
      <c r="C187" s="19" t="n">
        <f aca="false">IF(AND('Bonding Program'!$S$46=1,'Bonding Program'!$H$46&gt;'Bonding Program'!$C$8,C$3='Bonding Program'!$H$46),'Bonding Program'!$T$46-'Bonding Program'!$U$46-'Bonding Program'!$Z$46,0)-IF(AND('Bonding Program'!$S$46=1,'Bonding Program'!$H$46&lt;='Bonding Program'!$C$8,C$3=IF('Bonding Program'!$P$46&lt;&gt;"",'Bonding Program'!$P$46,'Bonding Program'!$C$8)),'Bonding Program'!$Z$46,0)+IF(AND('Bonding Program'!$P$46&lt;&gt;"",C$3='Bonding Program'!$P$46,C$3&lt;='Bonding Program'!$C$8),N('Bonding Program'!$O$46),0)</f>
        <v>0</v>
      </c>
      <c r="D187" s="19" t="n">
        <f aca="false">IF(AND('Bonding Program'!$S$46=1,'Bonding Program'!$H$46&gt;'Bonding Program'!$C$8,D$3='Bonding Program'!$H$46),'Bonding Program'!$T$46-'Bonding Program'!$U$46-'Bonding Program'!$Z$46,0)-IF(AND('Bonding Program'!$S$46=1,'Bonding Program'!$H$46&lt;='Bonding Program'!$C$8,D$3=IF('Bonding Program'!$P$46&lt;&gt;"",'Bonding Program'!$P$46,'Bonding Program'!$C$8)),'Bonding Program'!$Z$46,0)+IF(AND('Bonding Program'!$P$46&lt;&gt;"",D$3='Bonding Program'!$P$46,D$3&lt;='Bonding Program'!$C$8),N('Bonding Program'!$O$46),0)</f>
        <v>0</v>
      </c>
      <c r="E187" s="19" t="n">
        <f aca="false">IF(AND('Bonding Program'!$S$46=1,'Bonding Program'!$H$46&gt;'Bonding Program'!$C$8,E$3='Bonding Program'!$H$46),'Bonding Program'!$T$46-'Bonding Program'!$U$46-'Bonding Program'!$Z$46,0)-IF(AND('Bonding Program'!$S$46=1,'Bonding Program'!$H$46&lt;='Bonding Program'!$C$8,E$3=IF('Bonding Program'!$P$46&lt;&gt;"",'Bonding Program'!$P$46,'Bonding Program'!$C$8)),'Bonding Program'!$Z$46,0)+IF(AND('Bonding Program'!$P$46&lt;&gt;"",E$3='Bonding Program'!$P$46,E$3&lt;='Bonding Program'!$C$8),N('Bonding Program'!$O$46),0)</f>
        <v>0</v>
      </c>
      <c r="F187" s="19" t="n">
        <f aca="false">IF(AND('Bonding Program'!$S$46=1,'Bonding Program'!$H$46&gt;'Bonding Program'!$C$8,F$3='Bonding Program'!$H$46),'Bonding Program'!$T$46-'Bonding Program'!$U$46-'Bonding Program'!$Z$46,0)-IF(AND('Bonding Program'!$S$46=1,'Bonding Program'!$H$46&lt;='Bonding Program'!$C$8,F$3=IF('Bonding Program'!$P$46&lt;&gt;"",'Bonding Program'!$P$46,'Bonding Program'!$C$8)),'Bonding Program'!$Z$46,0)+IF(AND('Bonding Program'!$P$46&lt;&gt;"",F$3='Bonding Program'!$P$46,F$3&lt;='Bonding Program'!$C$8),N('Bonding Program'!$O$46),0)</f>
        <v>0</v>
      </c>
      <c r="G187" s="19" t="n">
        <f aca="false">IF(AND('Bonding Program'!$S$46=1,'Bonding Program'!$H$46&gt;'Bonding Program'!$C$8,G$3='Bonding Program'!$H$46),'Bonding Program'!$T$46-'Bonding Program'!$U$46-'Bonding Program'!$Z$46,0)-IF(AND('Bonding Program'!$S$46=1,'Bonding Program'!$H$46&lt;='Bonding Program'!$C$8,G$3=IF('Bonding Program'!$P$46&lt;&gt;"",'Bonding Program'!$P$46,'Bonding Program'!$C$8)),'Bonding Program'!$Z$46,0)+IF(AND('Bonding Program'!$P$46&lt;&gt;"",G$3='Bonding Program'!$P$46,G$3&lt;='Bonding Program'!$C$8),N('Bonding Program'!$O$46),0)</f>
        <v>0</v>
      </c>
      <c r="H187" s="19" t="n">
        <f aca="false">IF(AND('Bonding Program'!$S$46=1,'Bonding Program'!$H$46&gt;'Bonding Program'!$C$8,H$3='Bonding Program'!$H$46),'Bonding Program'!$T$46-'Bonding Program'!$U$46-'Bonding Program'!$Z$46,0)-IF(AND('Bonding Program'!$S$46=1,'Bonding Program'!$H$46&lt;='Bonding Program'!$C$8,H$3=IF('Bonding Program'!$P$46&lt;&gt;"",'Bonding Program'!$P$46,'Bonding Program'!$C$8)),'Bonding Program'!$Z$46,0)+IF(AND('Bonding Program'!$P$46&lt;&gt;"",H$3='Bonding Program'!$P$46,H$3&lt;='Bonding Program'!$C$8),N('Bonding Program'!$O$46),0)</f>
        <v>0</v>
      </c>
      <c r="I187" s="19" t="n">
        <f aca="false">IF(AND('Bonding Program'!$S$46=1,'Bonding Program'!$H$46&gt;'Bonding Program'!$C$8,I$3='Bonding Program'!$H$46),'Bonding Program'!$T$46-'Bonding Program'!$U$46-'Bonding Program'!$Z$46,0)-IF(AND('Bonding Program'!$S$46=1,'Bonding Program'!$H$46&lt;='Bonding Program'!$C$8,I$3=IF('Bonding Program'!$P$46&lt;&gt;"",'Bonding Program'!$P$46,'Bonding Program'!$C$8)),'Bonding Program'!$Z$46,0)+IF(AND('Bonding Program'!$P$46&lt;&gt;"",I$3='Bonding Program'!$P$46,I$3&lt;='Bonding Program'!$C$8),N('Bonding Program'!$O$46),0)</f>
        <v>0</v>
      </c>
      <c r="J187" s="19" t="n">
        <f aca="false">IF(AND('Bonding Program'!$S$46=1,'Bonding Program'!$H$46&gt;'Bonding Program'!$C$8,J$3='Bonding Program'!$H$46),'Bonding Program'!$T$46-'Bonding Program'!$U$46-'Bonding Program'!$Z$46,0)-IF(AND('Bonding Program'!$S$46=1,'Bonding Program'!$H$46&lt;='Bonding Program'!$C$8,J$3=IF('Bonding Program'!$P$46&lt;&gt;"",'Bonding Program'!$P$46,'Bonding Program'!$C$8)),'Bonding Program'!$Z$46,0)+IF(AND('Bonding Program'!$P$46&lt;&gt;"",J$3='Bonding Program'!$P$46,J$3&lt;='Bonding Program'!$C$8),N('Bonding Program'!$O$46),0)</f>
        <v>0</v>
      </c>
      <c r="K187" s="19" t="n">
        <f aca="false">IF(AND('Bonding Program'!$S$46=1,'Bonding Program'!$H$46&gt;'Bonding Program'!$C$8,K$3='Bonding Program'!$H$46),'Bonding Program'!$T$46-'Bonding Program'!$U$46-'Bonding Program'!$Z$46,0)-IF(AND('Bonding Program'!$S$46=1,'Bonding Program'!$H$46&lt;='Bonding Program'!$C$8,K$3=IF('Bonding Program'!$P$46&lt;&gt;"",'Bonding Program'!$P$46,'Bonding Program'!$C$8)),'Bonding Program'!$Z$46,0)+IF(AND('Bonding Program'!$P$46&lt;&gt;"",K$3='Bonding Program'!$P$46,K$3&lt;='Bonding Program'!$C$8),N('Bonding Program'!$O$46),0)</f>
        <v>0</v>
      </c>
      <c r="L187" s="19" t="n">
        <f aca="false">IF(AND('Bonding Program'!$S$46=1,'Bonding Program'!$H$46&gt;'Bonding Program'!$C$8,L$3='Bonding Program'!$H$46),'Bonding Program'!$T$46-'Bonding Program'!$U$46-'Bonding Program'!$Z$46,0)-IF(AND('Bonding Program'!$S$46=1,'Bonding Program'!$H$46&lt;='Bonding Program'!$C$8,L$3=IF('Bonding Program'!$P$46&lt;&gt;"",'Bonding Program'!$P$46,'Bonding Program'!$C$8)),'Bonding Program'!$Z$46,0)+IF(AND('Bonding Program'!$P$46&lt;&gt;"",L$3='Bonding Program'!$P$46,L$3&lt;='Bonding Program'!$C$8),N('Bonding Program'!$O$46),0)</f>
        <v>0</v>
      </c>
      <c r="M187" s="19" t="n">
        <f aca="false">IF(AND('Bonding Program'!$S$46=1,'Bonding Program'!$H$46&gt;'Bonding Program'!$C$8,M$3='Bonding Program'!$H$46),'Bonding Program'!$T$46-'Bonding Program'!$U$46-'Bonding Program'!$Z$46,0)-IF(AND('Bonding Program'!$S$46=1,'Bonding Program'!$H$46&lt;='Bonding Program'!$C$8,M$3=IF('Bonding Program'!$P$46&lt;&gt;"",'Bonding Program'!$P$46,'Bonding Program'!$C$8)),'Bonding Program'!$Z$46,0)+IF(AND('Bonding Program'!$P$46&lt;&gt;"",M$3='Bonding Program'!$P$46,M$3&lt;='Bonding Program'!$C$8),N('Bonding Program'!$O$46),0)</f>
        <v>0</v>
      </c>
      <c r="N187" s="19" t="n">
        <f aca="false">IF(AND('Bonding Program'!$S$46=1,'Bonding Program'!$H$46&gt;'Bonding Program'!$C$8,N$3='Bonding Program'!$H$46),'Bonding Program'!$T$46-'Bonding Program'!$U$46-'Bonding Program'!$Z$46,0)-IF(AND('Bonding Program'!$S$46=1,'Bonding Program'!$H$46&lt;='Bonding Program'!$C$8,N$3=IF('Bonding Program'!$P$46&lt;&gt;"",'Bonding Program'!$P$46,'Bonding Program'!$C$8)),'Bonding Program'!$Z$46,0)+IF(AND('Bonding Program'!$P$46&lt;&gt;"",N$3='Bonding Program'!$P$46,N$3&lt;='Bonding Program'!$C$8),N('Bonding Program'!$O$46),0)</f>
        <v>0</v>
      </c>
      <c r="O187" s="19" t="n">
        <f aca="false">IF(AND('Bonding Program'!$S$46=1,'Bonding Program'!$H$46&gt;'Bonding Program'!$C$8,O$3='Bonding Program'!$H$46),'Bonding Program'!$T$46-'Bonding Program'!$U$46-'Bonding Program'!$Z$46,0)-IF(AND('Bonding Program'!$S$46=1,'Bonding Program'!$H$46&lt;='Bonding Program'!$C$8,O$3=IF('Bonding Program'!$P$46&lt;&gt;"",'Bonding Program'!$P$46,'Bonding Program'!$C$8)),'Bonding Program'!$Z$46,0)+IF(AND('Bonding Program'!$P$46&lt;&gt;"",O$3='Bonding Program'!$P$46,O$3&lt;='Bonding Program'!$C$8),N('Bonding Program'!$O$46),0)</f>
        <v>0</v>
      </c>
      <c r="P187" s="19" t="n">
        <f aca="false">IF(AND('Bonding Program'!$S$46=1,'Bonding Program'!$H$46&gt;'Bonding Program'!$C$8,P$3='Bonding Program'!$H$46),'Bonding Program'!$T$46-'Bonding Program'!$U$46-'Bonding Program'!$Z$46,0)-IF(AND('Bonding Program'!$S$46=1,'Bonding Program'!$H$46&lt;='Bonding Program'!$C$8,P$3=IF('Bonding Program'!$P$46&lt;&gt;"",'Bonding Program'!$P$46,'Bonding Program'!$C$8)),'Bonding Program'!$Z$46,0)+IF(AND('Bonding Program'!$P$46&lt;&gt;"",P$3='Bonding Program'!$P$46,P$3&lt;='Bonding Program'!$C$8),N('Bonding Program'!$O$46),0)</f>
        <v>0</v>
      </c>
      <c r="Q187" s="19" t="n">
        <f aca="false">IF(AND('Bonding Program'!$S$46=1,'Bonding Program'!$H$46&gt;'Bonding Program'!$C$8,Q$3='Bonding Program'!$H$46),'Bonding Program'!$T$46-'Bonding Program'!$U$46-'Bonding Program'!$Z$46,0)-IF(AND('Bonding Program'!$S$46=1,'Bonding Program'!$H$46&lt;='Bonding Program'!$C$8,Q$3=IF('Bonding Program'!$P$46&lt;&gt;"",'Bonding Program'!$P$46,'Bonding Program'!$C$8)),'Bonding Program'!$Z$46,0)+IF(AND('Bonding Program'!$P$46&lt;&gt;"",Q$3='Bonding Program'!$P$46,Q$3&lt;='Bonding Program'!$C$8),N('Bonding Program'!$O$46),0)</f>
        <v>0</v>
      </c>
      <c r="R187" s="19" t="n">
        <f aca="false">IF(AND('Bonding Program'!$S$46=1,'Bonding Program'!$H$46&gt;'Bonding Program'!$C$8,R$3='Bonding Program'!$H$46),'Bonding Program'!$T$46-'Bonding Program'!$U$46-'Bonding Program'!$Z$46,0)-IF(AND('Bonding Program'!$S$46=1,'Bonding Program'!$H$46&lt;='Bonding Program'!$C$8,R$3=IF('Bonding Program'!$P$46&lt;&gt;"",'Bonding Program'!$P$46,'Bonding Program'!$C$8)),'Bonding Program'!$Z$46,0)+IF(AND('Bonding Program'!$P$46&lt;&gt;"",R$3='Bonding Program'!$P$46,R$3&lt;='Bonding Program'!$C$8),N('Bonding Program'!$O$46),0)</f>
        <v>0</v>
      </c>
      <c r="S187" s="19" t="n">
        <f aca="false">IF(AND('Bonding Program'!$S$46=1,'Bonding Program'!$H$46&gt;'Bonding Program'!$C$8,S$3='Bonding Program'!$H$46),'Bonding Program'!$T$46-'Bonding Program'!$U$46-'Bonding Program'!$Z$46,0)-IF(AND('Bonding Program'!$S$46=1,'Bonding Program'!$H$46&lt;='Bonding Program'!$C$8,S$3=IF('Bonding Program'!$P$46&lt;&gt;"",'Bonding Program'!$P$46,'Bonding Program'!$C$8)),'Bonding Program'!$Z$46,0)+IF(AND('Bonding Program'!$P$46&lt;&gt;"",S$3='Bonding Program'!$P$46,S$3&lt;='Bonding Program'!$C$8),N('Bonding Program'!$O$46),0)</f>
        <v>0</v>
      </c>
      <c r="T187" s="19" t="n">
        <f aca="false">IF(AND('Bonding Program'!$S$46=1,'Bonding Program'!$H$46&gt;'Bonding Program'!$C$8,T$3='Bonding Program'!$H$46),'Bonding Program'!$T$46-'Bonding Program'!$U$46-'Bonding Program'!$Z$46,0)-IF(AND('Bonding Program'!$S$46=1,'Bonding Program'!$H$46&lt;='Bonding Program'!$C$8,T$3=IF('Bonding Program'!$P$46&lt;&gt;"",'Bonding Program'!$P$46,'Bonding Program'!$C$8)),'Bonding Program'!$Z$46,0)+IF(AND('Bonding Program'!$P$46&lt;&gt;"",T$3='Bonding Program'!$P$46,T$3&lt;='Bonding Program'!$C$8),N('Bonding Program'!$O$46),0)</f>
        <v>0</v>
      </c>
      <c r="U187" s="19" t="n">
        <f aca="false">IF(AND('Bonding Program'!$S$46=1,'Bonding Program'!$H$46&gt;'Bonding Program'!$C$8,U$3='Bonding Program'!$H$46),'Bonding Program'!$T$46-'Bonding Program'!$U$46-'Bonding Program'!$Z$46,0)-IF(AND('Bonding Program'!$S$46=1,'Bonding Program'!$H$46&lt;='Bonding Program'!$C$8,U$3=IF('Bonding Program'!$P$46&lt;&gt;"",'Bonding Program'!$P$46,'Bonding Program'!$C$8)),'Bonding Program'!$Z$46,0)+IF(AND('Bonding Program'!$P$46&lt;&gt;"",U$3='Bonding Program'!$P$46,U$3&lt;='Bonding Program'!$C$8),N('Bonding Program'!$O$46),0)</f>
        <v>0</v>
      </c>
      <c r="V187" s="19" t="n">
        <f aca="false">IF(AND('Bonding Program'!$S$46=1,'Bonding Program'!$H$46&gt;'Bonding Program'!$C$8,V$3='Bonding Program'!$H$46),'Bonding Program'!$T$46-'Bonding Program'!$U$46-'Bonding Program'!$Z$46,0)-IF(AND('Bonding Program'!$S$46=1,'Bonding Program'!$H$46&lt;='Bonding Program'!$C$8,V$3=IF('Bonding Program'!$P$46&lt;&gt;"",'Bonding Program'!$P$46,'Bonding Program'!$C$8)),'Bonding Program'!$Z$46,0)+IF(AND('Bonding Program'!$P$46&lt;&gt;"",V$3='Bonding Program'!$P$46,V$3&lt;='Bonding Program'!$C$8),N('Bonding Program'!$O$46),0)</f>
        <v>0</v>
      </c>
      <c r="W187" s="19" t="n">
        <f aca="false">IF(AND('Bonding Program'!$S$46=1,'Bonding Program'!$H$46&gt;'Bonding Program'!$C$8,W$3='Bonding Program'!$H$46),'Bonding Program'!$T$46-'Bonding Program'!$U$46-'Bonding Program'!$Z$46,0)-IF(AND('Bonding Program'!$S$46=1,'Bonding Program'!$H$46&lt;='Bonding Program'!$C$8,W$3=IF('Bonding Program'!$P$46&lt;&gt;"",'Bonding Program'!$P$46,'Bonding Program'!$C$8)),'Bonding Program'!$Z$46,0)+IF(AND('Bonding Program'!$P$46&lt;&gt;"",W$3='Bonding Program'!$P$46,W$3&lt;='Bonding Program'!$C$8),N('Bonding Program'!$O$46),0)</f>
        <v>0</v>
      </c>
      <c r="X187" s="19" t="n">
        <f aca="false">IF(AND('Bonding Program'!$S$46=1,'Bonding Program'!$H$46&gt;'Bonding Program'!$C$8,X$3='Bonding Program'!$H$46),'Bonding Program'!$T$46-'Bonding Program'!$U$46-'Bonding Program'!$Z$46,0)-IF(AND('Bonding Program'!$S$46=1,'Bonding Program'!$H$46&lt;='Bonding Program'!$C$8,X$3=IF('Bonding Program'!$P$46&lt;&gt;"",'Bonding Program'!$P$46,'Bonding Program'!$C$8)),'Bonding Program'!$Z$46,0)+IF(AND('Bonding Program'!$P$46&lt;&gt;"",X$3='Bonding Program'!$P$46,X$3&lt;='Bonding Program'!$C$8),N('Bonding Program'!$O$46),0)</f>
        <v>0</v>
      </c>
      <c r="Y187" s="19" t="n">
        <f aca="false">IF(AND('Bonding Program'!$S$46=1,'Bonding Program'!$H$46&gt;'Bonding Program'!$C$8,Y$3='Bonding Program'!$H$46),'Bonding Program'!$T$46-'Bonding Program'!$U$46-'Bonding Program'!$Z$46,0)-IF(AND('Bonding Program'!$S$46=1,'Bonding Program'!$H$46&lt;='Bonding Program'!$C$8,Y$3=IF('Bonding Program'!$P$46&lt;&gt;"",'Bonding Program'!$P$46,'Bonding Program'!$C$8)),'Bonding Program'!$Z$46,0)+IF(AND('Bonding Program'!$P$46&lt;&gt;"",Y$3='Bonding Program'!$P$46,Y$3&lt;='Bonding Program'!$C$8),N('Bonding Program'!$O$46),0)</f>
        <v>0</v>
      </c>
      <c r="Z187" s="19" t="n">
        <f aca="false">IF(AND('Bonding Program'!$S$46=1,'Bonding Program'!$H$46&gt;'Bonding Program'!$C$8,Z$3='Bonding Program'!$H$46),'Bonding Program'!$T$46-'Bonding Program'!$U$46-'Bonding Program'!$Z$46,0)-IF(AND('Bonding Program'!$S$46=1,'Bonding Program'!$H$46&lt;='Bonding Program'!$C$8,Z$3=IF('Bonding Program'!$P$46&lt;&gt;"",'Bonding Program'!$P$46,'Bonding Program'!$C$8)),'Bonding Program'!$Z$46,0)+IF(AND('Bonding Program'!$P$46&lt;&gt;"",Z$3='Bonding Program'!$P$46,Z$3&lt;='Bonding Program'!$C$8),N('Bonding Program'!$O$46),0)</f>
        <v>0</v>
      </c>
      <c r="AA187" s="19" t="n">
        <f aca="false">IF(AND('Bonding Program'!$S$46=1,'Bonding Program'!$H$46&gt;'Bonding Program'!$C$8,AA$3='Bonding Program'!$H$46),'Bonding Program'!$T$46-'Bonding Program'!$U$46-'Bonding Program'!$Z$46,0)-IF(AND('Bonding Program'!$S$46=1,'Bonding Program'!$H$46&lt;='Bonding Program'!$C$8,AA$3=IF('Bonding Program'!$P$46&lt;&gt;"",'Bonding Program'!$P$46,'Bonding Program'!$C$8)),'Bonding Program'!$Z$46,0)+IF(AND('Bonding Program'!$P$46&lt;&gt;"",AA$3='Bonding Program'!$P$46,AA$3&lt;='Bonding Program'!$C$8),N('Bonding Program'!$O$46),0)</f>
        <v>0</v>
      </c>
      <c r="AB187" s="19" t="n">
        <f aca="false">IF(AND('Bonding Program'!$S$46=1,'Bonding Program'!$H$46&gt;'Bonding Program'!$C$8,AB$3='Bonding Program'!$H$46),'Bonding Program'!$T$46-'Bonding Program'!$U$46-'Bonding Program'!$Z$46,0)-IF(AND('Bonding Program'!$S$46=1,'Bonding Program'!$H$46&lt;='Bonding Program'!$C$8,AB$3=IF('Bonding Program'!$P$46&lt;&gt;"",'Bonding Program'!$P$46,'Bonding Program'!$C$8)),'Bonding Program'!$Z$46,0)+IF(AND('Bonding Program'!$P$46&lt;&gt;"",AB$3='Bonding Program'!$P$46,AB$3&lt;='Bonding Program'!$C$8),N('Bonding Program'!$O$46),0)</f>
        <v>0</v>
      </c>
      <c r="AC187" s="19" t="n">
        <f aca="false">IF(AND('Bonding Program'!$S$46=1,'Bonding Program'!$H$46&gt;'Bonding Program'!$C$8,AC$3='Bonding Program'!$H$46),'Bonding Program'!$T$46-'Bonding Program'!$U$46-'Bonding Program'!$Z$46,0)-IF(AND('Bonding Program'!$S$46=1,'Bonding Program'!$H$46&lt;='Bonding Program'!$C$8,AC$3=IF('Bonding Program'!$P$46&lt;&gt;"",'Bonding Program'!$P$46,'Bonding Program'!$C$8)),'Bonding Program'!$Z$46,0)+IF(AND('Bonding Program'!$P$46&lt;&gt;"",AC$3='Bonding Program'!$P$46,AC$3&lt;='Bonding Program'!$C$8),N('Bonding Program'!$O$46),0)</f>
        <v>0</v>
      </c>
      <c r="AD187" s="19" t="n">
        <f aca="false">IF(AND('Bonding Program'!$S$46=1,'Bonding Program'!$H$46&gt;'Bonding Program'!$C$8,AD$3='Bonding Program'!$H$46),'Bonding Program'!$T$46-'Bonding Program'!$U$46-'Bonding Program'!$Z$46,0)-IF(AND('Bonding Program'!$S$46=1,'Bonding Program'!$H$46&lt;='Bonding Program'!$C$8,AD$3=IF('Bonding Program'!$P$46&lt;&gt;"",'Bonding Program'!$P$46,'Bonding Program'!$C$8)),'Bonding Program'!$Z$46,0)+IF(AND('Bonding Program'!$P$46&lt;&gt;"",AD$3='Bonding Program'!$P$46,AD$3&lt;='Bonding Program'!$C$8),N('Bonding Program'!$O$46),0)</f>
        <v>0</v>
      </c>
      <c r="AE187" s="19" t="n">
        <f aca="false">IF(AND('Bonding Program'!$S$46=1,'Bonding Program'!$H$46&gt;'Bonding Program'!$C$8,AE$3='Bonding Program'!$H$46),'Bonding Program'!$T$46-'Bonding Program'!$U$46-'Bonding Program'!$Z$46,0)-IF(AND('Bonding Program'!$S$46=1,'Bonding Program'!$H$46&lt;='Bonding Program'!$C$8,AE$3=IF('Bonding Program'!$P$46&lt;&gt;"",'Bonding Program'!$P$46,'Bonding Program'!$C$8)),'Bonding Program'!$Z$46,0)+IF(AND('Bonding Program'!$P$46&lt;&gt;"",AE$3='Bonding Program'!$P$46,AE$3&lt;='Bonding Program'!$C$8),N('Bonding Program'!$O$46),0)</f>
        <v>0</v>
      </c>
      <c r="AF187" s="19" t="n">
        <f aca="false">IF(AND('Bonding Program'!$S$46=1,'Bonding Program'!$H$46&gt;'Bonding Program'!$C$8,AF$3='Bonding Program'!$H$46),'Bonding Program'!$T$46-'Bonding Program'!$U$46-'Bonding Program'!$Z$46,0)-IF(AND('Bonding Program'!$S$46=1,'Bonding Program'!$H$46&lt;='Bonding Program'!$C$8,AF$3=IF('Bonding Program'!$P$46&lt;&gt;"",'Bonding Program'!$P$46,'Bonding Program'!$C$8)),'Bonding Program'!$Z$46,0)+IF(AND('Bonding Program'!$P$46&lt;&gt;"",AF$3='Bonding Program'!$P$46,AF$3&lt;='Bonding Program'!$C$8),N('Bonding Program'!$O$46),0)</f>
        <v>0</v>
      </c>
      <c r="AG187" s="19" t="n">
        <f aca="false">IF(AND('Bonding Program'!$S$46=1,'Bonding Program'!$H$46&gt;'Bonding Program'!$C$8,AG$3='Bonding Program'!$H$46),'Bonding Program'!$T$46-'Bonding Program'!$U$46-'Bonding Program'!$Z$46,0)-IF(AND('Bonding Program'!$S$46=1,'Bonding Program'!$H$46&lt;='Bonding Program'!$C$8,AG$3=IF('Bonding Program'!$P$46&lt;&gt;"",'Bonding Program'!$P$46,'Bonding Program'!$C$8)),'Bonding Program'!$Z$46,0)+IF(AND('Bonding Program'!$P$46&lt;&gt;"",AG$3='Bonding Program'!$P$46,AG$3&lt;='Bonding Program'!$C$8),N('Bonding Program'!$O$46),0)</f>
        <v>0</v>
      </c>
      <c r="AH187" s="19" t="n">
        <f aca="false">IF(AND('Bonding Program'!$S$46=1,'Bonding Program'!$H$46&gt;'Bonding Program'!$C$8,AH$3='Bonding Program'!$H$46),'Bonding Program'!$T$46-'Bonding Program'!$U$46-'Bonding Program'!$Z$46,0)-IF(AND('Bonding Program'!$S$46=1,'Bonding Program'!$H$46&lt;='Bonding Program'!$C$8,AH$3=IF('Bonding Program'!$P$46&lt;&gt;"",'Bonding Program'!$P$46,'Bonding Program'!$C$8)),'Bonding Program'!$Z$46,0)+IF(AND('Bonding Program'!$P$46&lt;&gt;"",AH$3='Bonding Program'!$P$46,AH$3&lt;='Bonding Program'!$C$8),N('Bonding Program'!$O$46),0)</f>
        <v>0</v>
      </c>
      <c r="AI187" s="19" t="n">
        <f aca="false">IF(AND('Bonding Program'!$S$46=1,'Bonding Program'!$H$46&gt;'Bonding Program'!$C$8,AI$3='Bonding Program'!$H$46),'Bonding Program'!$T$46-'Bonding Program'!$U$46-'Bonding Program'!$Z$46,0)-IF(AND('Bonding Program'!$S$46=1,'Bonding Program'!$H$46&lt;='Bonding Program'!$C$8,AI$3=IF('Bonding Program'!$P$46&lt;&gt;"",'Bonding Program'!$P$46,'Bonding Program'!$C$8)),'Bonding Program'!$Z$46,0)+IF(AND('Bonding Program'!$P$46&lt;&gt;"",AI$3='Bonding Program'!$P$46,AI$3&lt;='Bonding Program'!$C$8),N('Bonding Program'!$O$46),0)</f>
        <v>0</v>
      </c>
      <c r="AJ187" s="19" t="n">
        <f aca="false">IF(AND('Bonding Program'!$S$46=1,'Bonding Program'!$H$46&gt;'Bonding Program'!$C$8,AJ$3='Bonding Program'!$H$46),'Bonding Program'!$T$46-'Bonding Program'!$U$46-'Bonding Program'!$Z$46,0)-IF(AND('Bonding Program'!$S$46=1,'Bonding Program'!$H$46&lt;='Bonding Program'!$C$8,AJ$3=IF('Bonding Program'!$P$46&lt;&gt;"",'Bonding Program'!$P$46,'Bonding Program'!$C$8)),'Bonding Program'!$Z$46,0)+IF(AND('Bonding Program'!$P$46&lt;&gt;"",AJ$3='Bonding Program'!$P$46,AJ$3&lt;='Bonding Program'!$C$8),N('Bonding Program'!$O$46),0)</f>
        <v>0</v>
      </c>
      <c r="AK187" s="19" t="n">
        <f aca="false">IF(AND('Bonding Program'!$S$46=1,'Bonding Program'!$H$46&gt;'Bonding Program'!$C$8,AK$3='Bonding Program'!$H$46),'Bonding Program'!$T$46-'Bonding Program'!$U$46-'Bonding Program'!$Z$46,0)-IF(AND('Bonding Program'!$S$46=1,'Bonding Program'!$H$46&lt;='Bonding Program'!$C$8,AK$3=IF('Bonding Program'!$P$46&lt;&gt;"",'Bonding Program'!$P$46,'Bonding Program'!$C$8)),'Bonding Program'!$Z$46,0)+IF(AND('Bonding Program'!$P$46&lt;&gt;"",AK$3='Bonding Program'!$P$46,AK$3&lt;='Bonding Program'!$C$8),N('Bonding Program'!$O$46),0)</f>
        <v>0</v>
      </c>
      <c r="AL187" s="19" t="n">
        <f aca="false">IF(AND('Bonding Program'!$S$46=1,'Bonding Program'!$H$46&gt;'Bonding Program'!$C$8,AL$3='Bonding Program'!$H$46),'Bonding Program'!$T$46-'Bonding Program'!$U$46-'Bonding Program'!$Z$46,0)-IF(AND('Bonding Program'!$S$46=1,'Bonding Program'!$H$46&lt;='Bonding Program'!$C$8,AL$3=IF('Bonding Program'!$P$46&lt;&gt;"",'Bonding Program'!$P$46,'Bonding Program'!$C$8)),'Bonding Program'!$Z$46,0)+IF(AND('Bonding Program'!$P$46&lt;&gt;"",AL$3='Bonding Program'!$P$46,AL$3&lt;='Bonding Program'!$C$8),N('Bonding Program'!$O$46),0)</f>
        <v>0</v>
      </c>
      <c r="AM187" s="19" t="n">
        <f aca="false">IF(AND('Bonding Program'!$S$46=1,'Bonding Program'!$H$46&gt;'Bonding Program'!$C$8,AM$3='Bonding Program'!$H$46),'Bonding Program'!$T$46-'Bonding Program'!$U$46-'Bonding Program'!$Z$46,0)-IF(AND('Bonding Program'!$S$46=1,'Bonding Program'!$H$46&lt;='Bonding Program'!$C$8,AM$3=IF('Bonding Program'!$P$46&lt;&gt;"",'Bonding Program'!$P$46,'Bonding Program'!$C$8)),'Bonding Program'!$Z$46,0)+IF(AND('Bonding Program'!$P$46&lt;&gt;"",AM$3='Bonding Program'!$P$46,AM$3&lt;='Bonding Program'!$C$8),N('Bonding Program'!$O$46),0)</f>
        <v>0</v>
      </c>
      <c r="AN187" s="19" t="n">
        <f aca="false">IF(AND('Bonding Program'!$S$46=1,'Bonding Program'!$H$46&gt;'Bonding Program'!$C$8,AN$3='Bonding Program'!$H$46),'Bonding Program'!$T$46-'Bonding Program'!$U$46-'Bonding Program'!$Z$46,0)-IF(AND('Bonding Program'!$S$46=1,'Bonding Program'!$H$46&lt;='Bonding Program'!$C$8,AN$3=IF('Bonding Program'!$P$46&lt;&gt;"",'Bonding Program'!$P$46,'Bonding Program'!$C$8)),'Bonding Program'!$Z$46,0)+IF(AND('Bonding Program'!$P$46&lt;&gt;"",AN$3='Bonding Program'!$P$46,AN$3&lt;='Bonding Program'!$C$8),N('Bonding Program'!$O$46),0)</f>
        <v>0</v>
      </c>
      <c r="AO187" s="19" t="n">
        <f aca="false">IF(AND('Bonding Program'!$S$46=1,'Bonding Program'!$H$46&gt;'Bonding Program'!$C$8,AO$3='Bonding Program'!$H$46),'Bonding Program'!$T$46-'Bonding Program'!$U$46-'Bonding Program'!$Z$46,0)-IF(AND('Bonding Program'!$S$46=1,'Bonding Program'!$H$46&lt;='Bonding Program'!$C$8,AO$3=IF('Bonding Program'!$P$46&lt;&gt;"",'Bonding Program'!$P$46,'Bonding Program'!$C$8)),'Bonding Program'!$Z$46,0)+IF(AND('Bonding Program'!$P$46&lt;&gt;"",AO$3='Bonding Program'!$P$46,AO$3&lt;='Bonding Program'!$C$8),N('Bonding Program'!$O$46),0)</f>
        <v>0</v>
      </c>
      <c r="AP187" s="19" t="n">
        <f aca="false">IF(AND('Bonding Program'!$S$46=1,'Bonding Program'!$H$46&gt;'Bonding Program'!$C$8,AP$3='Bonding Program'!$H$46),'Bonding Program'!$T$46-'Bonding Program'!$U$46-'Bonding Program'!$Z$46,0)-IF(AND('Bonding Program'!$S$46=1,'Bonding Program'!$H$46&lt;='Bonding Program'!$C$8,AP$3=IF('Bonding Program'!$P$46&lt;&gt;"",'Bonding Program'!$P$46,'Bonding Program'!$C$8)),'Bonding Program'!$Z$46,0)+IF(AND('Bonding Program'!$P$46&lt;&gt;"",AP$3='Bonding Program'!$P$46,AP$3&lt;='Bonding Program'!$C$8),N('Bonding Program'!$O$46),0)</f>
        <v>0</v>
      </c>
      <c r="AQ187" s="19" t="n">
        <f aca="false">IF(AND('Bonding Program'!$S$46=1,'Bonding Program'!$H$46&gt;'Bonding Program'!$C$8,AQ$3='Bonding Program'!$H$46),'Bonding Program'!$T$46-'Bonding Program'!$U$46-'Bonding Program'!$Z$46,0)-IF(AND('Bonding Program'!$S$46=1,'Bonding Program'!$H$46&lt;='Bonding Program'!$C$8,AQ$3=IF('Bonding Program'!$P$46&lt;&gt;"",'Bonding Program'!$P$46,'Bonding Program'!$C$8)),'Bonding Program'!$Z$46,0)+IF(AND('Bonding Program'!$P$46&lt;&gt;"",AQ$3='Bonding Program'!$P$46,AQ$3&lt;='Bonding Program'!$C$8),N('Bonding Program'!$O$46),0)</f>
        <v>0</v>
      </c>
      <c r="AR187" s="19" t="n">
        <f aca="false">IF(AND('Bonding Program'!$S$46=1,'Bonding Program'!$H$46&gt;'Bonding Program'!$C$8,AR$3='Bonding Program'!$H$46),'Bonding Program'!$T$46-'Bonding Program'!$U$46-'Bonding Program'!$Z$46,0)-IF(AND('Bonding Program'!$S$46=1,'Bonding Program'!$H$46&lt;='Bonding Program'!$C$8,AR$3=IF('Bonding Program'!$P$46&lt;&gt;"",'Bonding Program'!$P$46,'Bonding Program'!$C$8)),'Bonding Program'!$Z$46,0)+IF(AND('Bonding Program'!$P$46&lt;&gt;"",AR$3='Bonding Program'!$P$46,AR$3&lt;='Bonding Program'!$C$8),N('Bonding Program'!$O$46),0)</f>
        <v>0</v>
      </c>
      <c r="AS187" s="19" t="n">
        <f aca="false">IF(AND('Bonding Program'!$S$46=1,'Bonding Program'!$H$46&gt;'Bonding Program'!$C$8,AS$3='Bonding Program'!$H$46),'Bonding Program'!$T$46-'Bonding Program'!$U$46-'Bonding Program'!$Z$46,0)-IF(AND('Bonding Program'!$S$46=1,'Bonding Program'!$H$46&lt;='Bonding Program'!$C$8,AS$3=IF('Bonding Program'!$P$46&lt;&gt;"",'Bonding Program'!$P$46,'Bonding Program'!$C$8)),'Bonding Program'!$Z$46,0)+IF(AND('Bonding Program'!$P$46&lt;&gt;"",AS$3='Bonding Program'!$P$46,AS$3&lt;='Bonding Program'!$C$8),N('Bonding Program'!$O$46),0)</f>
        <v>0</v>
      </c>
      <c r="AT187" s="19" t="n">
        <f aca="false">IF(AND('Bonding Program'!$S$46=1,'Bonding Program'!$H$46&gt;'Bonding Program'!$C$8,AT$3='Bonding Program'!$H$46),'Bonding Program'!$T$46-'Bonding Program'!$U$46-'Bonding Program'!$Z$46,0)-IF(AND('Bonding Program'!$S$46=1,'Bonding Program'!$H$46&lt;='Bonding Program'!$C$8,AT$3=IF('Bonding Program'!$P$46&lt;&gt;"",'Bonding Program'!$P$46,'Bonding Program'!$C$8)),'Bonding Program'!$Z$46,0)+IF(AND('Bonding Program'!$P$46&lt;&gt;"",AT$3='Bonding Program'!$P$46,AT$3&lt;='Bonding Program'!$C$8),N('Bonding Program'!$O$46),0)</f>
        <v>0</v>
      </c>
      <c r="AU187" s="19" t="n">
        <f aca="false">IF(AND('Bonding Program'!$S$46=1,'Bonding Program'!$H$46&gt;'Bonding Program'!$C$8,AU$3='Bonding Program'!$H$46),'Bonding Program'!$T$46-'Bonding Program'!$U$46-'Bonding Program'!$Z$46,0)-IF(AND('Bonding Program'!$S$46=1,'Bonding Program'!$H$46&lt;='Bonding Program'!$C$8,AU$3=IF('Bonding Program'!$P$46&lt;&gt;"",'Bonding Program'!$P$46,'Bonding Program'!$C$8)),'Bonding Program'!$Z$46,0)+IF(AND('Bonding Program'!$P$46&lt;&gt;"",AU$3='Bonding Program'!$P$46,AU$3&lt;='Bonding Program'!$C$8),N('Bonding Program'!$O$46),0)</f>
        <v>0</v>
      </c>
      <c r="AV187" s="19" t="n">
        <f aca="false">IF(AND('Bonding Program'!$S$46=1,'Bonding Program'!$H$46&gt;'Bonding Program'!$C$8,AV$3='Bonding Program'!$H$46),'Bonding Program'!$T$46-'Bonding Program'!$U$46-'Bonding Program'!$Z$46,0)-IF(AND('Bonding Program'!$S$46=1,'Bonding Program'!$H$46&lt;='Bonding Program'!$C$8,AV$3=IF('Bonding Program'!$P$46&lt;&gt;"",'Bonding Program'!$P$46,'Bonding Program'!$C$8)),'Bonding Program'!$Z$46,0)+IF(AND('Bonding Program'!$P$46&lt;&gt;"",AV$3='Bonding Program'!$P$46,AV$3&lt;='Bonding Program'!$C$8),N('Bonding Program'!$O$46),0)</f>
        <v>0</v>
      </c>
      <c r="AW187" s="19" t="n">
        <f aca="false">IF(AND('Bonding Program'!$S$46=1,'Bonding Program'!$H$46&gt;'Bonding Program'!$C$8,AW$3='Bonding Program'!$H$46),'Bonding Program'!$T$46-'Bonding Program'!$U$46-'Bonding Program'!$Z$46,0)-IF(AND('Bonding Program'!$S$46=1,'Bonding Program'!$H$46&lt;='Bonding Program'!$C$8,AW$3=IF('Bonding Program'!$P$46&lt;&gt;"",'Bonding Program'!$P$46,'Bonding Program'!$C$8)),'Bonding Program'!$Z$46,0)+IF(AND('Bonding Program'!$P$46&lt;&gt;"",AW$3='Bonding Program'!$P$46,AW$3&lt;='Bonding Program'!$C$8),N('Bonding Program'!$O$46),0)</f>
        <v>0</v>
      </c>
      <c r="AX187" s="19" t="n">
        <f aca="false">IF(AND('Bonding Program'!$S$46=1,'Bonding Program'!$H$46&gt;'Bonding Program'!$C$8,AX$3='Bonding Program'!$H$46),'Bonding Program'!$T$46-'Bonding Program'!$U$46-'Bonding Program'!$Z$46,0)-IF(AND('Bonding Program'!$S$46=1,'Bonding Program'!$H$46&lt;='Bonding Program'!$C$8,AX$3=IF('Bonding Program'!$P$46&lt;&gt;"",'Bonding Program'!$P$46,'Bonding Program'!$C$8)),'Bonding Program'!$Z$46,0)+IF(AND('Bonding Program'!$P$46&lt;&gt;"",AX$3='Bonding Program'!$P$46,AX$3&lt;='Bonding Program'!$C$8),N('Bonding Program'!$O$46),0)</f>
        <v>0</v>
      </c>
      <c r="AY187" s="19" t="n">
        <f aca="false">IF(AND('Bonding Program'!$S$46=1,'Bonding Program'!$H$46&gt;'Bonding Program'!$C$8,AY$3='Bonding Program'!$H$46),'Bonding Program'!$T$46-'Bonding Program'!$U$46-'Bonding Program'!$Z$46,0)-IF(AND('Bonding Program'!$S$46=1,'Bonding Program'!$H$46&lt;='Bonding Program'!$C$8,AY$3=IF('Bonding Program'!$P$46&lt;&gt;"",'Bonding Program'!$P$46,'Bonding Program'!$C$8)),'Bonding Program'!$Z$46,0)+IF(AND('Bonding Program'!$P$46&lt;&gt;"",AY$3='Bonding Program'!$P$46,AY$3&lt;='Bonding Program'!$C$8),N('Bonding Program'!$O$46),0)</f>
        <v>0</v>
      </c>
      <c r="AZ187" s="19" t="n">
        <f aca="false">IF(AND('Bonding Program'!$S$46=1,'Bonding Program'!$H$46&gt;'Bonding Program'!$C$8,AZ$3='Bonding Program'!$H$46),'Bonding Program'!$T$46-'Bonding Program'!$U$46-'Bonding Program'!$Z$46,0)-IF(AND('Bonding Program'!$S$46=1,'Bonding Program'!$H$46&lt;='Bonding Program'!$C$8,AZ$3=IF('Bonding Program'!$P$46&lt;&gt;"",'Bonding Program'!$P$46,'Bonding Program'!$C$8)),'Bonding Program'!$Z$46,0)+IF(AND('Bonding Program'!$P$46&lt;&gt;"",AZ$3='Bonding Program'!$P$46,AZ$3&lt;='Bonding Program'!$C$8),N('Bonding Program'!$O$46),0)</f>
        <v>0</v>
      </c>
      <c r="BA187" s="19" t="n">
        <f aca="false">IF(AND('Bonding Program'!$S$46=1,'Bonding Program'!$H$46&gt;'Bonding Program'!$C$8,BA$3='Bonding Program'!$H$46),'Bonding Program'!$T$46-'Bonding Program'!$U$46-'Bonding Program'!$Z$46,0)-IF(AND('Bonding Program'!$S$46=1,'Bonding Program'!$H$46&lt;='Bonding Program'!$C$8,BA$3=IF('Bonding Program'!$P$46&lt;&gt;"",'Bonding Program'!$P$46,'Bonding Program'!$C$8)),'Bonding Program'!$Z$46,0)+IF(AND('Bonding Program'!$P$46&lt;&gt;"",BA$3='Bonding Program'!$P$46,BA$3&lt;='Bonding Program'!$C$8),N('Bonding Program'!$O$46),0)</f>
        <v>0</v>
      </c>
      <c r="BB187" s="19" t="n">
        <f aca="false">IF(AND('Bonding Program'!$S$46=1,'Bonding Program'!$H$46&gt;'Bonding Program'!$C$8,BB$3='Bonding Program'!$H$46),'Bonding Program'!$T$46-'Bonding Program'!$U$46-'Bonding Program'!$Z$46,0)-IF(AND('Bonding Program'!$S$46=1,'Bonding Program'!$H$46&lt;='Bonding Program'!$C$8,BB$3=IF('Bonding Program'!$P$46&lt;&gt;"",'Bonding Program'!$P$46,'Bonding Program'!$C$8)),'Bonding Program'!$Z$46,0)+IF(AND('Bonding Program'!$P$46&lt;&gt;"",BB$3='Bonding Program'!$P$46,BB$3&lt;='Bonding Program'!$C$8),N('Bonding Program'!$O$46),0)</f>
        <v>0</v>
      </c>
      <c r="BC187" s="19" t="n">
        <f aca="false">IF(AND('Bonding Program'!$S$46=1,'Bonding Program'!$H$46&gt;'Bonding Program'!$C$8,BC$3='Bonding Program'!$H$46),'Bonding Program'!$T$46-'Bonding Program'!$U$46-'Bonding Program'!$Z$46,0)-IF(AND('Bonding Program'!$S$46=1,'Bonding Program'!$H$46&lt;='Bonding Program'!$C$8,BC$3=IF('Bonding Program'!$P$46&lt;&gt;"",'Bonding Program'!$P$46,'Bonding Program'!$C$8)),'Bonding Program'!$Z$46,0)+IF(AND('Bonding Program'!$P$46&lt;&gt;"",BC$3='Bonding Program'!$P$46,BC$3&lt;='Bonding Program'!$C$8),N('Bonding Program'!$O$46),0)</f>
        <v>0</v>
      </c>
      <c r="BD187" s="19" t="n">
        <f aca="false">IF(AND('Bonding Program'!$S$46=1,'Bonding Program'!$H$46&gt;'Bonding Program'!$C$8,BD$3='Bonding Program'!$H$46),'Bonding Program'!$T$46-'Bonding Program'!$U$46-'Bonding Program'!$Z$46,0)-IF(AND('Bonding Program'!$S$46=1,'Bonding Program'!$H$46&lt;='Bonding Program'!$C$8,BD$3=IF('Bonding Program'!$P$46&lt;&gt;"",'Bonding Program'!$P$46,'Bonding Program'!$C$8)),'Bonding Program'!$Z$46,0)+IF(AND('Bonding Program'!$P$46&lt;&gt;"",BD$3='Bonding Program'!$P$46,BD$3&lt;='Bonding Program'!$C$8),N('Bonding Program'!$O$46),0)</f>
        <v>0</v>
      </c>
      <c r="BE187" s="19" t="n">
        <f aca="false">IF(AND('Bonding Program'!$S$46=1,'Bonding Program'!$H$46&gt;'Bonding Program'!$C$8,BE$3='Bonding Program'!$H$46),'Bonding Program'!$T$46-'Bonding Program'!$U$46-'Bonding Program'!$Z$46,0)-IF(AND('Bonding Program'!$S$46=1,'Bonding Program'!$H$46&lt;='Bonding Program'!$C$8,BE$3=IF('Bonding Program'!$P$46&lt;&gt;"",'Bonding Program'!$P$46,'Bonding Program'!$C$8)),'Bonding Program'!$Z$46,0)+IF(AND('Bonding Program'!$P$46&lt;&gt;"",BE$3='Bonding Program'!$P$46,BE$3&lt;='Bonding Program'!$C$8),N('Bonding Program'!$O$46),0)</f>
        <v>0</v>
      </c>
      <c r="BF187" s="19" t="n">
        <f aca="false">IF(AND('Bonding Program'!$S$46=1,'Bonding Program'!$H$46&gt;'Bonding Program'!$C$8,BF$3='Bonding Program'!$H$46),'Bonding Program'!$T$46-'Bonding Program'!$U$46-'Bonding Program'!$Z$46,0)-IF(AND('Bonding Program'!$S$46=1,'Bonding Program'!$H$46&lt;='Bonding Program'!$C$8,BF$3=IF('Bonding Program'!$P$46&lt;&gt;"",'Bonding Program'!$P$46,'Bonding Program'!$C$8)),'Bonding Program'!$Z$46,0)+IF(AND('Bonding Program'!$P$46&lt;&gt;"",BF$3='Bonding Program'!$P$46,BF$3&lt;='Bonding Program'!$C$8),N('Bonding Program'!$O$46),0)</f>
        <v>0</v>
      </c>
      <c r="BG187" s="19" t="n">
        <f aca="false">IF(AND('Bonding Program'!$S$46=1,'Bonding Program'!$H$46&gt;'Bonding Program'!$C$8,BG$3='Bonding Program'!$H$46),'Bonding Program'!$T$46-'Bonding Program'!$U$46-'Bonding Program'!$Z$46,0)-IF(AND('Bonding Program'!$S$46=1,'Bonding Program'!$H$46&lt;='Bonding Program'!$C$8,BG$3=IF('Bonding Program'!$P$46&lt;&gt;"",'Bonding Program'!$P$46,'Bonding Program'!$C$8)),'Bonding Program'!$Z$46,0)+IF(AND('Bonding Program'!$P$46&lt;&gt;"",BG$3='Bonding Program'!$P$46,BG$3&lt;='Bonding Program'!$C$8),N('Bonding Program'!$O$46),0)</f>
        <v>0</v>
      </c>
      <c r="BH187" s="19" t="n">
        <f aca="false">IF(AND('Bonding Program'!$S$46=1,'Bonding Program'!$H$46&gt;'Bonding Program'!$C$8,BH$3='Bonding Program'!$H$46),'Bonding Program'!$T$46-'Bonding Program'!$U$46-'Bonding Program'!$Z$46,0)-IF(AND('Bonding Program'!$S$46=1,'Bonding Program'!$H$46&lt;='Bonding Program'!$C$8,BH$3=IF('Bonding Program'!$P$46&lt;&gt;"",'Bonding Program'!$P$46,'Bonding Program'!$C$8)),'Bonding Program'!$Z$46,0)+IF(AND('Bonding Program'!$P$46&lt;&gt;"",BH$3='Bonding Program'!$P$46,BH$3&lt;='Bonding Program'!$C$8),N('Bonding Program'!$O$46),0)</f>
        <v>0</v>
      </c>
      <c r="BI187" s="19" t="n">
        <f aca="false">IF(AND('Bonding Program'!$S$46=1,'Bonding Program'!$H$46&gt;'Bonding Program'!$C$8,BI$3='Bonding Program'!$H$46),'Bonding Program'!$T$46-'Bonding Program'!$U$46-'Bonding Program'!$Z$46,0)-IF(AND('Bonding Program'!$S$46=1,'Bonding Program'!$H$46&lt;='Bonding Program'!$C$8,BI$3=IF('Bonding Program'!$P$46&lt;&gt;"",'Bonding Program'!$P$46,'Bonding Program'!$C$8)),'Bonding Program'!$Z$46,0)+IF(AND('Bonding Program'!$P$46&lt;&gt;"",BI$3='Bonding Program'!$P$46,BI$3&lt;='Bonding Program'!$C$8),N('Bonding Program'!$O$46),0)</f>
        <v>0</v>
      </c>
      <c r="BJ187" s="19" t="n">
        <f aca="false">IF(AND('Bonding Program'!$S$46=1,'Bonding Program'!$H$46&gt;'Bonding Program'!$C$8,BJ$3='Bonding Program'!$H$46),'Bonding Program'!$T$46-'Bonding Program'!$U$46-'Bonding Program'!$Z$46,0)-IF(AND('Bonding Program'!$S$46=1,'Bonding Program'!$H$46&lt;='Bonding Program'!$C$8,BJ$3=IF('Bonding Program'!$P$46&lt;&gt;"",'Bonding Program'!$P$46,'Bonding Program'!$C$8)),'Bonding Program'!$Z$46,0)+IF(AND('Bonding Program'!$P$46&lt;&gt;"",BJ$3='Bonding Program'!$P$46,BJ$3&lt;='Bonding Program'!$C$8),N('Bonding Program'!$O$46),0)</f>
        <v>0</v>
      </c>
      <c r="BK187" s="19" t="n">
        <f aca="false">IF(AND('Bonding Program'!$S$46=1,'Bonding Program'!$H$46&gt;'Bonding Program'!$C$8,BK$3='Bonding Program'!$H$46),'Bonding Program'!$T$46-'Bonding Program'!$U$46-'Bonding Program'!$Z$46,0)-IF(AND('Bonding Program'!$S$46=1,'Bonding Program'!$H$46&lt;='Bonding Program'!$C$8,BK$3=IF('Bonding Program'!$P$46&lt;&gt;"",'Bonding Program'!$P$46,'Bonding Program'!$C$8)),'Bonding Program'!$Z$46,0)+IF(AND('Bonding Program'!$P$46&lt;&gt;"",BK$3='Bonding Program'!$P$46,BK$3&lt;='Bonding Program'!$C$8),N('Bonding Program'!$O$46),0)</f>
        <v>0</v>
      </c>
      <c r="BL187" s="19" t="n">
        <f aca="false">IF(AND('Bonding Program'!$S$46=1,'Bonding Program'!$H$46&gt;'Bonding Program'!$C$8,BL$3='Bonding Program'!$H$46),'Bonding Program'!$T$46-'Bonding Program'!$U$46-'Bonding Program'!$Z$46,0)-IF(AND('Bonding Program'!$S$46=1,'Bonding Program'!$H$46&lt;='Bonding Program'!$C$8,BL$3=IF('Bonding Program'!$P$46&lt;&gt;"",'Bonding Program'!$P$46,'Bonding Program'!$C$8)),'Bonding Program'!$Z$46,0)+IF(AND('Bonding Program'!$P$46&lt;&gt;"",BL$3='Bonding Program'!$P$46,BL$3&lt;='Bonding Program'!$C$8),N('Bonding Program'!$O$46),0)</f>
        <v>0</v>
      </c>
      <c r="BM187" s="19" t="n">
        <f aca="false">IF(AND('Bonding Program'!$S$46=1,'Bonding Program'!$H$46&gt;'Bonding Program'!$C$8,BM$3='Bonding Program'!$H$46),'Bonding Program'!$T$46-'Bonding Program'!$U$46-'Bonding Program'!$Z$46,0)-IF(AND('Bonding Program'!$S$46=1,'Bonding Program'!$H$46&lt;='Bonding Program'!$C$8,BM$3=IF('Bonding Program'!$P$46&lt;&gt;"",'Bonding Program'!$P$46,'Bonding Program'!$C$8)),'Bonding Program'!$Z$46,0)+IF(AND('Bonding Program'!$P$46&lt;&gt;"",BM$3='Bonding Program'!$P$46,BM$3&lt;='Bonding Program'!$C$8),N('Bonding Program'!$O$46),0)</f>
        <v>0</v>
      </c>
      <c r="BN187" s="19" t="n">
        <f aca="false">IF(AND('Bonding Program'!$S$46=1,'Bonding Program'!$H$46&gt;'Bonding Program'!$C$8,BN$3='Bonding Program'!$H$46),'Bonding Program'!$T$46-'Bonding Program'!$U$46-'Bonding Program'!$Z$46,0)-IF(AND('Bonding Program'!$S$46=1,'Bonding Program'!$H$46&lt;='Bonding Program'!$C$8,BN$3=IF('Bonding Program'!$P$46&lt;&gt;"",'Bonding Program'!$P$46,'Bonding Program'!$C$8)),'Bonding Program'!$Z$46,0)+IF(AND('Bonding Program'!$P$46&lt;&gt;"",BN$3='Bonding Program'!$P$46,BN$3&lt;='Bonding Program'!$C$8),N('Bonding Program'!$O$46),0)</f>
        <v>0</v>
      </c>
      <c r="BO187" s="19" t="n">
        <f aca="false">IF(AND('Bonding Program'!$S$46=1,'Bonding Program'!$H$46&gt;'Bonding Program'!$C$8,BO$3='Bonding Program'!$H$46),'Bonding Program'!$T$46-'Bonding Program'!$U$46-'Bonding Program'!$Z$46,0)-IF(AND('Bonding Program'!$S$46=1,'Bonding Program'!$H$46&lt;='Bonding Program'!$C$8,BO$3=IF('Bonding Program'!$P$46&lt;&gt;"",'Bonding Program'!$P$46,'Bonding Program'!$C$8)),'Bonding Program'!$Z$46,0)+IF(AND('Bonding Program'!$P$46&lt;&gt;"",BO$3='Bonding Program'!$P$46,BO$3&lt;='Bonding Program'!$C$8),N('Bonding Program'!$O$46),0)</f>
        <v>0</v>
      </c>
      <c r="BP187" s="19" t="n">
        <f aca="false">IF(AND('Bonding Program'!$S$46=1,'Bonding Program'!$H$46&gt;'Bonding Program'!$C$8,BP$3='Bonding Program'!$H$46),'Bonding Program'!$T$46-'Bonding Program'!$U$46-'Bonding Program'!$Z$46,0)-IF(AND('Bonding Program'!$S$46=1,'Bonding Program'!$H$46&lt;='Bonding Program'!$C$8,BP$3=IF('Bonding Program'!$P$46&lt;&gt;"",'Bonding Program'!$P$46,'Bonding Program'!$C$8)),'Bonding Program'!$Z$46,0)+IF(AND('Bonding Program'!$P$46&lt;&gt;"",BP$3='Bonding Program'!$P$46,BP$3&lt;='Bonding Program'!$C$8),N('Bonding Program'!$O$46),0)</f>
        <v>0</v>
      </c>
      <c r="BQ187" s="19" t="n">
        <f aca="false">IF(AND('Bonding Program'!$S$46=1,'Bonding Program'!$H$46&gt;'Bonding Program'!$C$8,BQ$3='Bonding Program'!$H$46),'Bonding Program'!$T$46-'Bonding Program'!$U$46-'Bonding Program'!$Z$46,0)-IF(AND('Bonding Program'!$S$46=1,'Bonding Program'!$H$46&lt;='Bonding Program'!$C$8,BQ$3=IF('Bonding Program'!$P$46&lt;&gt;"",'Bonding Program'!$P$46,'Bonding Program'!$C$8)),'Bonding Program'!$Z$46,0)+IF(AND('Bonding Program'!$P$46&lt;&gt;"",BQ$3='Bonding Program'!$P$46,BQ$3&lt;='Bonding Program'!$C$8),N('Bonding Program'!$O$46),0)</f>
        <v>0</v>
      </c>
      <c r="BR187" s="19" t="n">
        <f aca="false">IF(AND('Bonding Program'!$S$46=1,'Bonding Program'!$H$46&gt;'Bonding Program'!$C$8,BR$3='Bonding Program'!$H$46),'Bonding Program'!$T$46-'Bonding Program'!$U$46-'Bonding Program'!$Z$46,0)-IF(AND('Bonding Program'!$S$46=1,'Bonding Program'!$H$46&lt;='Bonding Program'!$C$8,BR$3=IF('Bonding Program'!$P$46&lt;&gt;"",'Bonding Program'!$P$46,'Bonding Program'!$C$8)),'Bonding Program'!$Z$46,0)+IF(AND('Bonding Program'!$P$46&lt;&gt;"",BR$3='Bonding Program'!$P$46,BR$3&lt;='Bonding Program'!$C$8),N('Bonding Program'!$O$46),0)</f>
        <v>0</v>
      </c>
      <c r="BS187" s="19" t="n">
        <f aca="false">IF(AND('Bonding Program'!$S$46=1,'Bonding Program'!$H$46&gt;'Bonding Program'!$C$8,BS$3='Bonding Program'!$H$46),'Bonding Program'!$T$46-'Bonding Program'!$U$46-'Bonding Program'!$Z$46,0)-IF(AND('Bonding Program'!$S$46=1,'Bonding Program'!$H$46&lt;='Bonding Program'!$C$8,BS$3=IF('Bonding Program'!$P$46&lt;&gt;"",'Bonding Program'!$P$46,'Bonding Program'!$C$8)),'Bonding Program'!$Z$46,0)+IF(AND('Bonding Program'!$P$46&lt;&gt;"",BS$3='Bonding Program'!$P$46,BS$3&lt;='Bonding Program'!$C$8),N('Bonding Program'!$O$46),0)</f>
        <v>0</v>
      </c>
      <c r="BT187" s="19" t="n">
        <f aca="false">IF(AND('Bonding Program'!$S$46=1,'Bonding Program'!$H$46&gt;'Bonding Program'!$C$8,BT$3='Bonding Program'!$H$46),'Bonding Program'!$T$46-'Bonding Program'!$U$46-'Bonding Program'!$Z$46,0)-IF(AND('Bonding Program'!$S$46=1,'Bonding Program'!$H$46&lt;='Bonding Program'!$C$8,BT$3=IF('Bonding Program'!$P$46&lt;&gt;"",'Bonding Program'!$P$46,'Bonding Program'!$C$8)),'Bonding Program'!$Z$46,0)+IF(AND('Bonding Program'!$P$46&lt;&gt;"",BT$3='Bonding Program'!$P$46,BT$3&lt;='Bonding Program'!$C$8),N('Bonding Program'!$O$46),0)</f>
        <v>0</v>
      </c>
      <c r="BU187" s="19" t="n">
        <f aca="false">IF(AND('Bonding Program'!$S$46=1,'Bonding Program'!$H$46&gt;'Bonding Program'!$C$8,BU$3='Bonding Program'!$H$46),'Bonding Program'!$T$46-'Bonding Program'!$U$46-'Bonding Program'!$Z$46,0)-IF(AND('Bonding Program'!$S$46=1,'Bonding Program'!$H$46&lt;='Bonding Program'!$C$8,BU$3=IF('Bonding Program'!$P$46&lt;&gt;"",'Bonding Program'!$P$46,'Bonding Program'!$C$8)),'Bonding Program'!$Z$46,0)+IF(AND('Bonding Program'!$P$46&lt;&gt;"",BU$3='Bonding Program'!$P$46,BU$3&lt;='Bonding Program'!$C$8),N('Bonding Program'!$O$46),0)</f>
        <v>0</v>
      </c>
      <c r="BV187" s="19" t="n">
        <f aca="false">IF(AND('Bonding Program'!$S$46=1,'Bonding Program'!$H$46&gt;'Bonding Program'!$C$8,BV$3='Bonding Program'!$H$46),'Bonding Program'!$T$46-'Bonding Program'!$U$46-'Bonding Program'!$Z$46,0)-IF(AND('Bonding Program'!$S$46=1,'Bonding Program'!$H$46&lt;='Bonding Program'!$C$8,BV$3=IF('Bonding Program'!$P$46&lt;&gt;"",'Bonding Program'!$P$46,'Bonding Program'!$C$8)),'Bonding Program'!$Z$46,0)+IF(AND('Bonding Program'!$P$46&lt;&gt;"",BV$3='Bonding Program'!$P$46,BV$3&lt;='Bonding Program'!$C$8),N('Bonding Program'!$O$46),0)</f>
        <v>0</v>
      </c>
      <c r="BW187" s="19" t="n">
        <f aca="false">IF(AND('Bonding Program'!$S$46=1,'Bonding Program'!$H$46&gt;'Bonding Program'!$C$8,BW$3='Bonding Program'!$H$46),'Bonding Program'!$T$46-'Bonding Program'!$U$46-'Bonding Program'!$Z$46,0)-IF(AND('Bonding Program'!$S$46=1,'Bonding Program'!$H$46&lt;='Bonding Program'!$C$8,BW$3=IF('Bonding Program'!$P$46&lt;&gt;"",'Bonding Program'!$P$46,'Bonding Program'!$C$8)),'Bonding Program'!$Z$46,0)+IF(AND('Bonding Program'!$P$46&lt;&gt;"",BW$3='Bonding Program'!$P$46,BW$3&lt;='Bonding Program'!$C$8),N('Bonding Program'!$O$46),0)</f>
        <v>0</v>
      </c>
      <c r="BX187" s="19" t="n">
        <f aca="false">IF(AND('Bonding Program'!$S$46=1,'Bonding Program'!$H$46&gt;'Bonding Program'!$C$8,BX$3='Bonding Program'!$H$46),'Bonding Program'!$T$46-'Bonding Program'!$U$46-'Bonding Program'!$Z$46,0)-IF(AND('Bonding Program'!$S$46=1,'Bonding Program'!$H$46&lt;='Bonding Program'!$C$8,BX$3=IF('Bonding Program'!$P$46&lt;&gt;"",'Bonding Program'!$P$46,'Bonding Program'!$C$8)),'Bonding Program'!$Z$46,0)+IF(AND('Bonding Program'!$P$46&lt;&gt;"",BX$3='Bonding Program'!$P$46,BX$3&lt;='Bonding Program'!$C$8),N('Bonding Program'!$O$46),0)</f>
        <v>0</v>
      </c>
      <c r="BY187" s="19" t="n">
        <f aca="false">IF(AND('Bonding Program'!$S$46=1,'Bonding Program'!$H$46&gt;'Bonding Program'!$C$8,BY$3='Bonding Program'!$H$46),'Bonding Program'!$T$46-'Bonding Program'!$U$46-'Bonding Program'!$Z$46,0)-IF(AND('Bonding Program'!$S$46=1,'Bonding Program'!$H$46&lt;='Bonding Program'!$C$8,BY$3=IF('Bonding Program'!$P$46&lt;&gt;"",'Bonding Program'!$P$46,'Bonding Program'!$C$8)),'Bonding Program'!$Z$46,0)+IF(AND('Bonding Program'!$P$46&lt;&gt;"",BY$3='Bonding Program'!$P$46,BY$3&lt;='Bonding Program'!$C$8),N('Bonding Program'!$O$46),0)</f>
        <v>0</v>
      </c>
      <c r="BZ187" s="19" t="n">
        <f aca="false">IF(AND('Bonding Program'!$S$46=1,'Bonding Program'!$H$46&gt;'Bonding Program'!$C$8,BZ$3='Bonding Program'!$H$46),'Bonding Program'!$T$46-'Bonding Program'!$U$46-'Bonding Program'!$Z$46,0)-IF(AND('Bonding Program'!$S$46=1,'Bonding Program'!$H$46&lt;='Bonding Program'!$C$8,BZ$3=IF('Bonding Program'!$P$46&lt;&gt;"",'Bonding Program'!$P$46,'Bonding Program'!$C$8)),'Bonding Program'!$Z$46,0)+IF(AND('Bonding Program'!$P$46&lt;&gt;"",BZ$3='Bonding Program'!$P$46,BZ$3&lt;='Bonding Program'!$C$8),N('Bonding Program'!$O$46),0)</f>
        <v>0</v>
      </c>
      <c r="CA187" s="19" t="n">
        <f aca="false">IF(AND('Bonding Program'!$S$46=1,'Bonding Program'!$H$46&gt;'Bonding Program'!$C$8,CA$3='Bonding Program'!$H$46),'Bonding Program'!$T$46-'Bonding Program'!$U$46-'Bonding Program'!$Z$46,0)-IF(AND('Bonding Program'!$S$46=1,'Bonding Program'!$H$46&lt;='Bonding Program'!$C$8,CA$3=IF('Bonding Program'!$P$46&lt;&gt;"",'Bonding Program'!$P$46,'Bonding Program'!$C$8)),'Bonding Program'!$Z$46,0)+IF(AND('Bonding Program'!$P$46&lt;&gt;"",CA$3='Bonding Program'!$P$46,CA$3&lt;='Bonding Program'!$C$8),N('Bonding Program'!$O$46),0)</f>
        <v>0</v>
      </c>
      <c r="CB187" s="19" t="n">
        <f aca="false">IF(AND('Bonding Program'!$S$46=1,'Bonding Program'!$H$46&gt;'Bonding Program'!$C$8,CB$3='Bonding Program'!$H$46),'Bonding Program'!$T$46-'Bonding Program'!$U$46-'Bonding Program'!$Z$46,0)-IF(AND('Bonding Program'!$S$46=1,'Bonding Program'!$H$46&lt;='Bonding Program'!$C$8,CB$3=IF('Bonding Program'!$P$46&lt;&gt;"",'Bonding Program'!$P$46,'Bonding Program'!$C$8)),'Bonding Program'!$Z$46,0)+IF(AND('Bonding Program'!$P$46&lt;&gt;"",CB$3='Bonding Program'!$P$46,CB$3&lt;='Bonding Program'!$C$8),N('Bonding Program'!$O$46),0)</f>
        <v>0</v>
      </c>
      <c r="CC187" s="19" t="n">
        <f aca="false">IF(AND('Bonding Program'!$S$46=1,'Bonding Program'!$H$46&gt;'Bonding Program'!$C$8,CC$3='Bonding Program'!$H$46),'Bonding Program'!$T$46-'Bonding Program'!$U$46-'Bonding Program'!$Z$46,0)-IF(AND('Bonding Program'!$S$46=1,'Bonding Program'!$H$46&lt;='Bonding Program'!$C$8,CC$3=IF('Bonding Program'!$P$46&lt;&gt;"",'Bonding Program'!$P$46,'Bonding Program'!$C$8)),'Bonding Program'!$Z$46,0)+IF(AND('Bonding Program'!$P$46&lt;&gt;"",CC$3='Bonding Program'!$P$46,CC$3&lt;='Bonding Program'!$C$8),N('Bonding Program'!$O$46),0)</f>
        <v>0</v>
      </c>
      <c r="CD187" s="19" t="n">
        <f aca="false">IF(AND('Bonding Program'!$S$46=1,'Bonding Program'!$H$46&gt;'Bonding Program'!$C$8,CD$3='Bonding Program'!$H$46),'Bonding Program'!$T$46-'Bonding Program'!$U$46-'Bonding Program'!$Z$46,0)-IF(AND('Bonding Program'!$S$46=1,'Bonding Program'!$H$46&lt;='Bonding Program'!$C$8,CD$3=IF('Bonding Program'!$P$46&lt;&gt;"",'Bonding Program'!$P$46,'Bonding Program'!$C$8)),'Bonding Program'!$Z$46,0)+IF(AND('Bonding Program'!$P$46&lt;&gt;"",CD$3='Bonding Program'!$P$46,CD$3&lt;='Bonding Program'!$C$8),N('Bonding Program'!$O$46),0)</f>
        <v>0</v>
      </c>
      <c r="CE187" s="19" t="n">
        <f aca="false">IF(AND('Bonding Program'!$S$46=1,'Bonding Program'!$H$46&gt;'Bonding Program'!$C$8,CE$3='Bonding Program'!$H$46),'Bonding Program'!$T$46-'Bonding Program'!$U$46-'Bonding Program'!$Z$46,0)-IF(AND('Bonding Program'!$S$46=1,'Bonding Program'!$H$46&lt;='Bonding Program'!$C$8,CE$3=IF('Bonding Program'!$P$46&lt;&gt;"",'Bonding Program'!$P$46,'Bonding Program'!$C$8)),'Bonding Program'!$Z$46,0)+IF(AND('Bonding Program'!$P$46&lt;&gt;"",CE$3='Bonding Program'!$P$46,CE$3&lt;='Bonding Program'!$C$8),N('Bonding Program'!$O$46),0)</f>
        <v>0</v>
      </c>
      <c r="CF187" s="19" t="n">
        <f aca="false">IF(AND('Bonding Program'!$S$46=1,'Bonding Program'!$H$46&gt;'Bonding Program'!$C$8,CF$3='Bonding Program'!$H$46),'Bonding Program'!$T$46-'Bonding Program'!$U$46-'Bonding Program'!$Z$46,0)-IF(AND('Bonding Program'!$S$46=1,'Bonding Program'!$H$46&lt;='Bonding Program'!$C$8,CF$3=IF('Bonding Program'!$P$46&lt;&gt;"",'Bonding Program'!$P$46,'Bonding Program'!$C$8)),'Bonding Program'!$Z$46,0)+IF(AND('Bonding Program'!$P$46&lt;&gt;"",CF$3='Bonding Program'!$P$46,CF$3&lt;='Bonding Program'!$C$8),N('Bonding Program'!$O$46),0)</f>
        <v>0</v>
      </c>
      <c r="CG187" s="19" t="n">
        <f aca="false">IF(AND('Bonding Program'!$S$46=1,'Bonding Program'!$H$46&gt;'Bonding Program'!$C$8,CG$3='Bonding Program'!$H$46),'Bonding Program'!$T$46-'Bonding Program'!$U$46-'Bonding Program'!$Z$46,0)-IF(AND('Bonding Program'!$S$46=1,'Bonding Program'!$H$46&lt;='Bonding Program'!$C$8,CG$3=IF('Bonding Program'!$P$46&lt;&gt;"",'Bonding Program'!$P$46,'Bonding Program'!$C$8)),'Bonding Program'!$Z$46,0)+IF(AND('Bonding Program'!$P$46&lt;&gt;"",CG$3='Bonding Program'!$P$46,CG$3&lt;='Bonding Program'!$C$8),N('Bonding Program'!$O$46),0)</f>
        <v>0</v>
      </c>
      <c r="CH187" s="19" t="n">
        <f aca="false">IF(AND('Bonding Program'!$S$46=1,'Bonding Program'!$H$46&gt;'Bonding Program'!$C$8,CH$3='Bonding Program'!$H$46),'Bonding Program'!$T$46-'Bonding Program'!$U$46-'Bonding Program'!$Z$46,0)-IF(AND('Bonding Program'!$S$46=1,'Bonding Program'!$H$46&lt;='Bonding Program'!$C$8,CH$3=IF('Bonding Program'!$P$46&lt;&gt;"",'Bonding Program'!$P$46,'Bonding Program'!$C$8)),'Bonding Program'!$Z$46,0)+IF(AND('Bonding Program'!$P$46&lt;&gt;"",CH$3='Bonding Program'!$P$46,CH$3&lt;='Bonding Program'!$C$8),N('Bonding Program'!$O$46),0)</f>
        <v>0</v>
      </c>
      <c r="CI187" s="19" t="n">
        <f aca="false">IF(AND('Bonding Program'!$S$46=1,'Bonding Program'!$H$46&gt;'Bonding Program'!$C$8,CI$3='Bonding Program'!$H$46),'Bonding Program'!$T$46-'Bonding Program'!$U$46-'Bonding Program'!$Z$46,0)-IF(AND('Bonding Program'!$S$46=1,'Bonding Program'!$H$46&lt;='Bonding Program'!$C$8,CI$3=IF('Bonding Program'!$P$46&lt;&gt;"",'Bonding Program'!$P$46,'Bonding Program'!$C$8)),'Bonding Program'!$Z$46,0)+IF(AND('Bonding Program'!$P$46&lt;&gt;"",CI$3='Bonding Program'!$P$46,CI$3&lt;='Bonding Program'!$C$8),N('Bonding Program'!$O$46),0)</f>
        <v>0</v>
      </c>
      <c r="CJ187" s="19" t="n">
        <f aca="false">IF(AND('Bonding Program'!$S$46=1,'Bonding Program'!$H$46&gt;'Bonding Program'!$C$8,CJ$3='Bonding Program'!$H$46),'Bonding Program'!$T$46-'Bonding Program'!$U$46-'Bonding Program'!$Z$46,0)-IF(AND('Bonding Program'!$S$46=1,'Bonding Program'!$H$46&lt;='Bonding Program'!$C$8,CJ$3=IF('Bonding Program'!$P$46&lt;&gt;"",'Bonding Program'!$P$46,'Bonding Program'!$C$8)),'Bonding Program'!$Z$46,0)+IF(AND('Bonding Program'!$P$46&lt;&gt;"",CJ$3='Bonding Program'!$P$46,CJ$3&lt;='Bonding Program'!$C$8),N('Bonding Program'!$O$46),0)</f>
        <v>0</v>
      </c>
      <c r="CK187" s="19" t="n">
        <f aca="false">IF(AND('Bonding Program'!$S$46=1,'Bonding Program'!$H$46&gt;'Bonding Program'!$C$8,CK$3='Bonding Program'!$H$46),'Bonding Program'!$T$46-'Bonding Program'!$U$46-'Bonding Program'!$Z$46,0)-IF(AND('Bonding Program'!$S$46=1,'Bonding Program'!$H$46&lt;='Bonding Program'!$C$8,CK$3=IF('Bonding Program'!$P$46&lt;&gt;"",'Bonding Program'!$P$46,'Bonding Program'!$C$8)),'Bonding Program'!$Z$46,0)+IF(AND('Bonding Program'!$P$46&lt;&gt;"",CK$3='Bonding Program'!$P$46,CK$3&lt;='Bonding Program'!$C$8),N('Bonding Program'!$O$46),0)</f>
        <v>0</v>
      </c>
      <c r="CL187" s="19" t="n">
        <f aca="false">IF(AND('Bonding Program'!$S$46=1,'Bonding Program'!$H$46&gt;'Bonding Program'!$C$8,CL$3='Bonding Program'!$H$46),'Bonding Program'!$T$46-'Bonding Program'!$U$46-'Bonding Program'!$Z$46,0)-IF(AND('Bonding Program'!$S$46=1,'Bonding Program'!$H$46&lt;='Bonding Program'!$C$8,CL$3=IF('Bonding Program'!$P$46&lt;&gt;"",'Bonding Program'!$P$46,'Bonding Program'!$C$8)),'Bonding Program'!$Z$46,0)+IF(AND('Bonding Program'!$P$46&lt;&gt;"",CL$3='Bonding Program'!$P$46,CL$3&lt;='Bonding Program'!$C$8),N('Bonding Program'!$O$46),0)</f>
        <v>0</v>
      </c>
      <c r="CM187" s="19" t="n">
        <f aca="false">IF(AND('Bonding Program'!$S$46=1,'Bonding Program'!$H$46&gt;'Bonding Program'!$C$8,CM$3='Bonding Program'!$H$46),'Bonding Program'!$T$46-'Bonding Program'!$U$46-'Bonding Program'!$Z$46,0)-IF(AND('Bonding Program'!$S$46=1,'Bonding Program'!$H$46&lt;='Bonding Program'!$C$8,CM$3=IF('Bonding Program'!$P$46&lt;&gt;"",'Bonding Program'!$P$46,'Bonding Program'!$C$8)),'Bonding Program'!$Z$46,0)+IF(AND('Bonding Program'!$P$46&lt;&gt;"",CM$3='Bonding Program'!$P$46,CM$3&lt;='Bonding Program'!$C$8),N('Bonding Program'!$O$46),0)</f>
        <v>0</v>
      </c>
      <c r="CN187" s="19" t="n">
        <f aca="false">IF(AND('Bonding Program'!$S$46=1,'Bonding Program'!$H$46&gt;'Bonding Program'!$C$8,CN$3='Bonding Program'!$H$46),'Bonding Program'!$T$46-'Bonding Program'!$U$46-'Bonding Program'!$Z$46,0)-IF(AND('Bonding Program'!$S$46=1,'Bonding Program'!$H$46&lt;='Bonding Program'!$C$8,CN$3=IF('Bonding Program'!$P$46&lt;&gt;"",'Bonding Program'!$P$46,'Bonding Program'!$C$8)),'Bonding Program'!$Z$46,0)+IF(AND('Bonding Program'!$P$46&lt;&gt;"",CN$3='Bonding Program'!$P$46,CN$3&lt;='Bonding Program'!$C$8),N('Bonding Program'!$O$46),0)</f>
        <v>0</v>
      </c>
      <c r="CO187" s="19" t="n">
        <f aca="false">IF(AND('Bonding Program'!$S$46=1,'Bonding Program'!$H$46&gt;'Bonding Program'!$C$8,CO$3='Bonding Program'!$H$46),'Bonding Program'!$T$46-'Bonding Program'!$U$46-'Bonding Program'!$Z$46,0)-IF(AND('Bonding Program'!$S$46=1,'Bonding Program'!$H$46&lt;='Bonding Program'!$C$8,CO$3=IF('Bonding Program'!$P$46&lt;&gt;"",'Bonding Program'!$P$46,'Bonding Program'!$C$8)),'Bonding Program'!$Z$46,0)+IF(AND('Bonding Program'!$P$46&lt;&gt;"",CO$3='Bonding Program'!$P$46,CO$3&lt;='Bonding Program'!$C$8),N('Bonding Program'!$O$46),0)</f>
        <v>0</v>
      </c>
      <c r="CP187" s="19" t="n">
        <f aca="false">IF(AND('Bonding Program'!$S$46=1,'Bonding Program'!$H$46&gt;'Bonding Program'!$C$8,CP$3='Bonding Program'!$H$46),'Bonding Program'!$T$46-'Bonding Program'!$U$46-'Bonding Program'!$Z$46,0)-IF(AND('Bonding Program'!$S$46=1,'Bonding Program'!$H$46&lt;='Bonding Program'!$C$8,CP$3=IF('Bonding Program'!$P$46&lt;&gt;"",'Bonding Program'!$P$46,'Bonding Program'!$C$8)),'Bonding Program'!$Z$46,0)+IF(AND('Bonding Program'!$P$46&lt;&gt;"",CP$3='Bonding Program'!$P$46,CP$3&lt;='Bonding Program'!$C$8),N('Bonding Program'!$O$46),0)</f>
        <v>0</v>
      </c>
      <c r="CQ187" s="19" t="n">
        <f aca="false">IF(AND('Bonding Program'!$S$46=1,'Bonding Program'!$H$46&gt;'Bonding Program'!$C$8,CQ$3='Bonding Program'!$H$46),'Bonding Program'!$T$46-'Bonding Program'!$U$46-'Bonding Program'!$Z$46,0)-IF(AND('Bonding Program'!$S$46=1,'Bonding Program'!$H$46&lt;='Bonding Program'!$C$8,CQ$3=IF('Bonding Program'!$P$46&lt;&gt;"",'Bonding Program'!$P$46,'Bonding Program'!$C$8)),'Bonding Program'!$Z$46,0)+IF(AND('Bonding Program'!$P$46&lt;&gt;"",CQ$3='Bonding Program'!$P$46,CQ$3&lt;='Bonding Program'!$C$8),N('Bonding Program'!$O$46),0)</f>
        <v>0</v>
      </c>
      <c r="CR187" s="19" t="n">
        <f aca="false">IF(AND('Bonding Program'!$S$46=1,'Bonding Program'!$H$46&gt;'Bonding Program'!$C$8,CR$3='Bonding Program'!$H$46),'Bonding Program'!$T$46-'Bonding Program'!$U$46-'Bonding Program'!$Z$46,0)-IF(AND('Bonding Program'!$S$46=1,'Bonding Program'!$H$46&lt;='Bonding Program'!$C$8,CR$3=IF('Bonding Program'!$P$46&lt;&gt;"",'Bonding Program'!$P$46,'Bonding Program'!$C$8)),'Bonding Program'!$Z$46,0)+IF(AND('Bonding Program'!$P$46&lt;&gt;"",CR$3='Bonding Program'!$P$46,CR$3&lt;='Bonding Program'!$C$8),N('Bonding Program'!$O$46),0)</f>
        <v>0</v>
      </c>
      <c r="CS187" s="19" t="n">
        <f aca="false">IF(AND('Bonding Program'!$S$46=1,'Bonding Program'!$H$46&gt;'Bonding Program'!$C$8,CS$3='Bonding Program'!$H$46),'Bonding Program'!$T$46-'Bonding Program'!$U$46-'Bonding Program'!$Z$46,0)-IF(AND('Bonding Program'!$S$46=1,'Bonding Program'!$H$46&lt;='Bonding Program'!$C$8,CS$3=IF('Bonding Program'!$P$46&lt;&gt;"",'Bonding Program'!$P$46,'Bonding Program'!$C$8)),'Bonding Program'!$Z$46,0)+IF(AND('Bonding Program'!$P$46&lt;&gt;"",CS$3='Bonding Program'!$P$46,CS$3&lt;='Bonding Program'!$C$8),N('Bonding Program'!$O$46),0)</f>
        <v>0</v>
      </c>
      <c r="CT187" s="19" t="n">
        <f aca="false">IF(AND('Bonding Program'!$S$46=1,'Bonding Program'!$H$46&gt;'Bonding Program'!$C$8,CT$3='Bonding Program'!$H$46),'Bonding Program'!$T$46-'Bonding Program'!$U$46-'Bonding Program'!$Z$46,0)-IF(AND('Bonding Program'!$S$46=1,'Bonding Program'!$H$46&lt;='Bonding Program'!$C$8,CT$3=IF('Bonding Program'!$P$46&lt;&gt;"",'Bonding Program'!$P$46,'Bonding Program'!$C$8)),'Bonding Program'!$Z$46,0)+IF(AND('Bonding Program'!$P$46&lt;&gt;"",CT$3='Bonding Program'!$P$46,CT$3&lt;='Bonding Program'!$C$8),N('Bonding Program'!$O$46),0)</f>
        <v>0</v>
      </c>
      <c r="CU187" s="19" t="n">
        <f aca="false">IF(AND('Bonding Program'!$S$46=1,'Bonding Program'!$H$46&gt;'Bonding Program'!$C$8,CU$3='Bonding Program'!$H$46),'Bonding Program'!$T$46-'Bonding Program'!$U$46-'Bonding Program'!$Z$46,0)-IF(AND('Bonding Program'!$S$46=1,'Bonding Program'!$H$46&lt;='Bonding Program'!$C$8,CU$3=IF('Bonding Program'!$P$46&lt;&gt;"",'Bonding Program'!$P$46,'Bonding Program'!$C$8)),'Bonding Program'!$Z$46,0)+IF(AND('Bonding Program'!$P$46&lt;&gt;"",CU$3='Bonding Program'!$P$46,CU$3&lt;='Bonding Program'!$C$8),N('Bonding Program'!$O$46),0)</f>
        <v>0</v>
      </c>
      <c r="CV187" s="19" t="n">
        <f aca="false">IF(AND('Bonding Program'!$S$46=1,'Bonding Program'!$H$46&gt;'Bonding Program'!$C$8,CV$3='Bonding Program'!$H$46),'Bonding Program'!$T$46-'Bonding Program'!$U$46-'Bonding Program'!$Z$46,0)-IF(AND('Bonding Program'!$S$46=1,'Bonding Program'!$H$46&lt;='Bonding Program'!$C$8,CV$3=IF('Bonding Program'!$P$46&lt;&gt;"",'Bonding Program'!$P$46,'Bonding Program'!$C$8)),'Bonding Program'!$Z$46,0)+IF(AND('Bonding Program'!$P$46&lt;&gt;"",CV$3='Bonding Program'!$P$46,CV$3&lt;='Bonding Program'!$C$8),N('Bonding Program'!$O$46),0)</f>
        <v>0</v>
      </c>
      <c r="CW187" s="19" t="n">
        <f aca="false">IF(AND('Bonding Program'!$S$46=1,'Bonding Program'!$H$46&gt;'Bonding Program'!$C$8,CW$3='Bonding Program'!$H$46),'Bonding Program'!$T$46-'Bonding Program'!$U$46-'Bonding Program'!$Z$46,0)-IF(AND('Bonding Program'!$S$46=1,'Bonding Program'!$H$46&lt;='Bonding Program'!$C$8,CW$3=IF('Bonding Program'!$P$46&lt;&gt;"",'Bonding Program'!$P$46,'Bonding Program'!$C$8)),'Bonding Program'!$Z$46,0)+IF(AND('Bonding Program'!$P$46&lt;&gt;"",CW$3='Bonding Program'!$P$46,CW$3&lt;='Bonding Program'!$C$8),N('Bonding Program'!$O$46),0)</f>
        <v>0</v>
      </c>
      <c r="CX187" s="19" t="n">
        <f aca="false">IF(AND('Bonding Program'!$S$46=1,'Bonding Program'!$H$46&gt;'Bonding Program'!$C$8,CX$3='Bonding Program'!$H$46),'Bonding Program'!$T$46-'Bonding Program'!$U$46-'Bonding Program'!$Z$46,0)-IF(AND('Bonding Program'!$S$46=1,'Bonding Program'!$H$46&lt;='Bonding Program'!$C$8,CX$3=IF('Bonding Program'!$P$46&lt;&gt;"",'Bonding Program'!$P$46,'Bonding Program'!$C$8)),'Bonding Program'!$Z$46,0)+IF(AND('Bonding Program'!$P$46&lt;&gt;"",CX$3='Bonding Program'!$P$46,CX$3&lt;='Bonding Program'!$C$8),N('Bonding Program'!$O$46),0)</f>
        <v>0</v>
      </c>
      <c r="CY187" s="19" t="n">
        <f aca="false">IF(AND('Bonding Program'!$S$46=1,'Bonding Program'!$H$46&gt;'Bonding Program'!$C$8,CY$3='Bonding Program'!$H$46),'Bonding Program'!$T$46-'Bonding Program'!$U$46-'Bonding Program'!$Z$46,0)-IF(AND('Bonding Program'!$S$46=1,'Bonding Program'!$H$46&lt;='Bonding Program'!$C$8,CY$3=IF('Bonding Program'!$P$46&lt;&gt;"",'Bonding Program'!$P$46,'Bonding Program'!$C$8)),'Bonding Program'!$Z$46,0)+IF(AND('Bonding Program'!$P$46&lt;&gt;"",CY$3='Bonding Program'!$P$46,CY$3&lt;='Bonding Program'!$C$8),N('Bonding Program'!$O$46),0)</f>
        <v>0</v>
      </c>
      <c r="CZ187" s="19" t="n">
        <f aca="false">IF(AND('Bonding Program'!$S$46=1,'Bonding Program'!$H$46&gt;'Bonding Program'!$C$8,CZ$3='Bonding Program'!$H$46),'Bonding Program'!$T$46-'Bonding Program'!$U$46-'Bonding Program'!$Z$46,0)-IF(AND('Bonding Program'!$S$46=1,'Bonding Program'!$H$46&lt;='Bonding Program'!$C$8,CZ$3=IF('Bonding Program'!$P$46&lt;&gt;"",'Bonding Program'!$P$46,'Bonding Program'!$C$8)),'Bonding Program'!$Z$46,0)+IF(AND('Bonding Program'!$P$46&lt;&gt;"",CZ$3='Bonding Program'!$P$46,CZ$3&lt;='Bonding Program'!$C$8),N('Bonding Program'!$O$46),0)</f>
        <v>0</v>
      </c>
      <c r="DA187" s="19" t="n">
        <f aca="false">IF(AND('Bonding Program'!$S$46=1,'Bonding Program'!$H$46&gt;'Bonding Program'!$C$8,DA$3='Bonding Program'!$H$46),'Bonding Program'!$T$46-'Bonding Program'!$U$46-'Bonding Program'!$Z$46,0)-IF(AND('Bonding Program'!$S$46=1,'Bonding Program'!$H$46&lt;='Bonding Program'!$C$8,DA$3=IF('Bonding Program'!$P$46&lt;&gt;"",'Bonding Program'!$P$46,'Bonding Program'!$C$8)),'Bonding Program'!$Z$46,0)+IF(AND('Bonding Program'!$P$46&lt;&gt;"",DA$3='Bonding Program'!$P$46,DA$3&lt;='Bonding Program'!$C$8),N('Bonding Program'!$O$46),0)</f>
        <v>0</v>
      </c>
      <c r="DB187" s="19" t="n">
        <f aca="false">IF(AND('Bonding Program'!$S$46=1,'Bonding Program'!$H$46&gt;'Bonding Program'!$C$8,DB$3='Bonding Program'!$H$46),'Bonding Program'!$T$46-'Bonding Program'!$U$46-'Bonding Program'!$Z$46,0)-IF(AND('Bonding Program'!$S$46=1,'Bonding Program'!$H$46&lt;='Bonding Program'!$C$8,DB$3=IF('Bonding Program'!$P$46&lt;&gt;"",'Bonding Program'!$P$46,'Bonding Program'!$C$8)),'Bonding Program'!$Z$46,0)+IF(AND('Bonding Program'!$P$46&lt;&gt;"",DB$3='Bonding Program'!$P$46,DB$3&lt;='Bonding Program'!$C$8),N('Bonding Program'!$O$46),0)</f>
        <v>0</v>
      </c>
      <c r="DC187" s="19" t="n">
        <f aca="false">IF(AND('Bonding Program'!$S$46=1,'Bonding Program'!$H$46&gt;'Bonding Program'!$C$8,DC$3='Bonding Program'!$H$46),'Bonding Program'!$T$46-'Bonding Program'!$U$46-'Bonding Program'!$Z$46,0)-IF(AND('Bonding Program'!$S$46=1,'Bonding Program'!$H$46&lt;='Bonding Program'!$C$8,DC$3=IF('Bonding Program'!$P$46&lt;&gt;"",'Bonding Program'!$P$46,'Bonding Program'!$C$8)),'Bonding Program'!$Z$46,0)+IF(AND('Bonding Program'!$P$46&lt;&gt;"",DC$3='Bonding Program'!$P$46,DC$3&lt;='Bonding Program'!$C$8),N('Bonding Program'!$O$46),0)</f>
        <v>0</v>
      </c>
      <c r="DD187" s="19" t="n">
        <f aca="false">IF(AND('Bonding Program'!$S$46=1,'Bonding Program'!$H$46&gt;'Bonding Program'!$C$8,DD$3='Bonding Program'!$H$46),'Bonding Program'!$T$46-'Bonding Program'!$U$46-'Bonding Program'!$Z$46,0)-IF(AND('Bonding Program'!$S$46=1,'Bonding Program'!$H$46&lt;='Bonding Program'!$C$8,DD$3=IF('Bonding Program'!$P$46&lt;&gt;"",'Bonding Program'!$P$46,'Bonding Program'!$C$8)),'Bonding Program'!$Z$46,0)+IF(AND('Bonding Program'!$P$46&lt;&gt;"",DD$3='Bonding Program'!$P$46,DD$3&lt;='Bonding Program'!$C$8),N('Bonding Program'!$O$46),0)</f>
        <v>0</v>
      </c>
      <c r="DE187" s="19" t="n">
        <f aca="false">IF(AND('Bonding Program'!$S$46=1,'Bonding Program'!$H$46&gt;'Bonding Program'!$C$8,DE$3='Bonding Program'!$H$46),'Bonding Program'!$T$46-'Bonding Program'!$U$46-'Bonding Program'!$Z$46,0)-IF(AND('Bonding Program'!$S$46=1,'Bonding Program'!$H$46&lt;='Bonding Program'!$C$8,DE$3=IF('Bonding Program'!$P$46&lt;&gt;"",'Bonding Program'!$P$46,'Bonding Program'!$C$8)),'Bonding Program'!$Z$46,0)+IF(AND('Bonding Program'!$P$46&lt;&gt;"",DE$3='Bonding Program'!$P$46,DE$3&lt;='Bonding Program'!$C$8),N('Bonding Program'!$O$46),0)</f>
        <v>0</v>
      </c>
    </row>
    <row r="188" customFormat="false" ht="15" hidden="false" customHeight="true" outlineLevel="1" collapsed="false">
      <c r="A188" s="28" t="s">
        <v>43</v>
      </c>
      <c r="B188" s="19" t="n">
        <f aca="false">IF(AND('Bonding Program'!$S$47=1,'Bonding Program'!$H$47&gt;'Bonding Program'!$C$8,B$3='Bonding Program'!$H$47),'Bonding Program'!$T$47-'Bonding Program'!$U$47-'Bonding Program'!$Z$47,0)-IF(AND('Bonding Program'!$S$47=1,'Bonding Program'!$H$47&lt;='Bonding Program'!$C$8,B$3=IF('Bonding Program'!$P$47&lt;&gt;"",'Bonding Program'!$P$47,'Bonding Program'!$C$8)),'Bonding Program'!$Z$47,0)+IF(AND('Bonding Program'!$P$47&lt;&gt;"",B$3='Bonding Program'!$P$47,B$3&lt;='Bonding Program'!$C$8),N('Bonding Program'!$O$47),0)</f>
        <v>0</v>
      </c>
      <c r="C188" s="19" t="n">
        <f aca="false">IF(AND('Bonding Program'!$S$47=1,'Bonding Program'!$H$47&gt;'Bonding Program'!$C$8,C$3='Bonding Program'!$H$47),'Bonding Program'!$T$47-'Bonding Program'!$U$47-'Bonding Program'!$Z$47,0)-IF(AND('Bonding Program'!$S$47=1,'Bonding Program'!$H$47&lt;='Bonding Program'!$C$8,C$3=IF('Bonding Program'!$P$47&lt;&gt;"",'Bonding Program'!$P$47,'Bonding Program'!$C$8)),'Bonding Program'!$Z$47,0)+IF(AND('Bonding Program'!$P$47&lt;&gt;"",C$3='Bonding Program'!$P$47,C$3&lt;='Bonding Program'!$C$8),N('Bonding Program'!$O$47),0)</f>
        <v>0</v>
      </c>
      <c r="D188" s="19" t="n">
        <f aca="false">IF(AND('Bonding Program'!$S$47=1,'Bonding Program'!$H$47&gt;'Bonding Program'!$C$8,D$3='Bonding Program'!$H$47),'Bonding Program'!$T$47-'Bonding Program'!$U$47-'Bonding Program'!$Z$47,0)-IF(AND('Bonding Program'!$S$47=1,'Bonding Program'!$H$47&lt;='Bonding Program'!$C$8,D$3=IF('Bonding Program'!$P$47&lt;&gt;"",'Bonding Program'!$P$47,'Bonding Program'!$C$8)),'Bonding Program'!$Z$47,0)+IF(AND('Bonding Program'!$P$47&lt;&gt;"",D$3='Bonding Program'!$P$47,D$3&lt;='Bonding Program'!$C$8),N('Bonding Program'!$O$47),0)</f>
        <v>0</v>
      </c>
      <c r="E188" s="19" t="n">
        <f aca="false">IF(AND('Bonding Program'!$S$47=1,'Bonding Program'!$H$47&gt;'Bonding Program'!$C$8,E$3='Bonding Program'!$H$47),'Bonding Program'!$T$47-'Bonding Program'!$U$47-'Bonding Program'!$Z$47,0)-IF(AND('Bonding Program'!$S$47=1,'Bonding Program'!$H$47&lt;='Bonding Program'!$C$8,E$3=IF('Bonding Program'!$P$47&lt;&gt;"",'Bonding Program'!$P$47,'Bonding Program'!$C$8)),'Bonding Program'!$Z$47,0)+IF(AND('Bonding Program'!$P$47&lt;&gt;"",E$3='Bonding Program'!$P$47,E$3&lt;='Bonding Program'!$C$8),N('Bonding Program'!$O$47),0)</f>
        <v>0</v>
      </c>
      <c r="F188" s="19" t="n">
        <f aca="false">IF(AND('Bonding Program'!$S$47=1,'Bonding Program'!$H$47&gt;'Bonding Program'!$C$8,F$3='Bonding Program'!$H$47),'Bonding Program'!$T$47-'Bonding Program'!$U$47-'Bonding Program'!$Z$47,0)-IF(AND('Bonding Program'!$S$47=1,'Bonding Program'!$H$47&lt;='Bonding Program'!$C$8,F$3=IF('Bonding Program'!$P$47&lt;&gt;"",'Bonding Program'!$P$47,'Bonding Program'!$C$8)),'Bonding Program'!$Z$47,0)+IF(AND('Bonding Program'!$P$47&lt;&gt;"",F$3='Bonding Program'!$P$47,F$3&lt;='Bonding Program'!$C$8),N('Bonding Program'!$O$47),0)</f>
        <v>0</v>
      </c>
      <c r="G188" s="19" t="n">
        <f aca="false">IF(AND('Bonding Program'!$S$47=1,'Bonding Program'!$H$47&gt;'Bonding Program'!$C$8,G$3='Bonding Program'!$H$47),'Bonding Program'!$T$47-'Bonding Program'!$U$47-'Bonding Program'!$Z$47,0)-IF(AND('Bonding Program'!$S$47=1,'Bonding Program'!$H$47&lt;='Bonding Program'!$C$8,G$3=IF('Bonding Program'!$P$47&lt;&gt;"",'Bonding Program'!$P$47,'Bonding Program'!$C$8)),'Bonding Program'!$Z$47,0)+IF(AND('Bonding Program'!$P$47&lt;&gt;"",G$3='Bonding Program'!$P$47,G$3&lt;='Bonding Program'!$C$8),N('Bonding Program'!$O$47),0)</f>
        <v>0</v>
      </c>
      <c r="H188" s="19" t="n">
        <f aca="false">IF(AND('Bonding Program'!$S$47=1,'Bonding Program'!$H$47&gt;'Bonding Program'!$C$8,H$3='Bonding Program'!$H$47),'Bonding Program'!$T$47-'Bonding Program'!$U$47-'Bonding Program'!$Z$47,0)-IF(AND('Bonding Program'!$S$47=1,'Bonding Program'!$H$47&lt;='Bonding Program'!$C$8,H$3=IF('Bonding Program'!$P$47&lt;&gt;"",'Bonding Program'!$P$47,'Bonding Program'!$C$8)),'Bonding Program'!$Z$47,0)+IF(AND('Bonding Program'!$P$47&lt;&gt;"",H$3='Bonding Program'!$P$47,H$3&lt;='Bonding Program'!$C$8),N('Bonding Program'!$O$47),0)</f>
        <v>0</v>
      </c>
      <c r="I188" s="19" t="n">
        <f aca="false">IF(AND('Bonding Program'!$S$47=1,'Bonding Program'!$H$47&gt;'Bonding Program'!$C$8,I$3='Bonding Program'!$H$47),'Bonding Program'!$T$47-'Bonding Program'!$U$47-'Bonding Program'!$Z$47,0)-IF(AND('Bonding Program'!$S$47=1,'Bonding Program'!$H$47&lt;='Bonding Program'!$C$8,I$3=IF('Bonding Program'!$P$47&lt;&gt;"",'Bonding Program'!$P$47,'Bonding Program'!$C$8)),'Bonding Program'!$Z$47,0)+IF(AND('Bonding Program'!$P$47&lt;&gt;"",I$3='Bonding Program'!$P$47,I$3&lt;='Bonding Program'!$C$8),N('Bonding Program'!$O$47),0)</f>
        <v>0</v>
      </c>
      <c r="J188" s="19" t="n">
        <f aca="false">IF(AND('Bonding Program'!$S$47=1,'Bonding Program'!$H$47&gt;'Bonding Program'!$C$8,J$3='Bonding Program'!$H$47),'Bonding Program'!$T$47-'Bonding Program'!$U$47-'Bonding Program'!$Z$47,0)-IF(AND('Bonding Program'!$S$47=1,'Bonding Program'!$H$47&lt;='Bonding Program'!$C$8,J$3=IF('Bonding Program'!$P$47&lt;&gt;"",'Bonding Program'!$P$47,'Bonding Program'!$C$8)),'Bonding Program'!$Z$47,0)+IF(AND('Bonding Program'!$P$47&lt;&gt;"",J$3='Bonding Program'!$P$47,J$3&lt;='Bonding Program'!$C$8),N('Bonding Program'!$O$47),0)</f>
        <v>0</v>
      </c>
      <c r="K188" s="19" t="n">
        <f aca="false">IF(AND('Bonding Program'!$S$47=1,'Bonding Program'!$H$47&gt;'Bonding Program'!$C$8,K$3='Bonding Program'!$H$47),'Bonding Program'!$T$47-'Bonding Program'!$U$47-'Bonding Program'!$Z$47,0)-IF(AND('Bonding Program'!$S$47=1,'Bonding Program'!$H$47&lt;='Bonding Program'!$C$8,K$3=IF('Bonding Program'!$P$47&lt;&gt;"",'Bonding Program'!$P$47,'Bonding Program'!$C$8)),'Bonding Program'!$Z$47,0)+IF(AND('Bonding Program'!$P$47&lt;&gt;"",K$3='Bonding Program'!$P$47,K$3&lt;='Bonding Program'!$C$8),N('Bonding Program'!$O$47),0)</f>
        <v>0</v>
      </c>
      <c r="L188" s="19" t="n">
        <f aca="false">IF(AND('Bonding Program'!$S$47=1,'Bonding Program'!$H$47&gt;'Bonding Program'!$C$8,L$3='Bonding Program'!$H$47),'Bonding Program'!$T$47-'Bonding Program'!$U$47-'Bonding Program'!$Z$47,0)-IF(AND('Bonding Program'!$S$47=1,'Bonding Program'!$H$47&lt;='Bonding Program'!$C$8,L$3=IF('Bonding Program'!$P$47&lt;&gt;"",'Bonding Program'!$P$47,'Bonding Program'!$C$8)),'Bonding Program'!$Z$47,0)+IF(AND('Bonding Program'!$P$47&lt;&gt;"",L$3='Bonding Program'!$P$47,L$3&lt;='Bonding Program'!$C$8),N('Bonding Program'!$O$47),0)</f>
        <v>0</v>
      </c>
      <c r="M188" s="19" t="n">
        <f aca="false">IF(AND('Bonding Program'!$S$47=1,'Bonding Program'!$H$47&gt;'Bonding Program'!$C$8,M$3='Bonding Program'!$H$47),'Bonding Program'!$T$47-'Bonding Program'!$U$47-'Bonding Program'!$Z$47,0)-IF(AND('Bonding Program'!$S$47=1,'Bonding Program'!$H$47&lt;='Bonding Program'!$C$8,M$3=IF('Bonding Program'!$P$47&lt;&gt;"",'Bonding Program'!$P$47,'Bonding Program'!$C$8)),'Bonding Program'!$Z$47,0)+IF(AND('Bonding Program'!$P$47&lt;&gt;"",M$3='Bonding Program'!$P$47,M$3&lt;='Bonding Program'!$C$8),N('Bonding Program'!$O$47),0)</f>
        <v>0</v>
      </c>
      <c r="N188" s="19" t="n">
        <f aca="false">IF(AND('Bonding Program'!$S$47=1,'Bonding Program'!$H$47&gt;'Bonding Program'!$C$8,N$3='Bonding Program'!$H$47),'Bonding Program'!$T$47-'Bonding Program'!$U$47-'Bonding Program'!$Z$47,0)-IF(AND('Bonding Program'!$S$47=1,'Bonding Program'!$H$47&lt;='Bonding Program'!$C$8,N$3=IF('Bonding Program'!$P$47&lt;&gt;"",'Bonding Program'!$P$47,'Bonding Program'!$C$8)),'Bonding Program'!$Z$47,0)+IF(AND('Bonding Program'!$P$47&lt;&gt;"",N$3='Bonding Program'!$P$47,N$3&lt;='Bonding Program'!$C$8),N('Bonding Program'!$O$47),0)</f>
        <v>0</v>
      </c>
      <c r="O188" s="19" t="n">
        <f aca="false">IF(AND('Bonding Program'!$S$47=1,'Bonding Program'!$H$47&gt;'Bonding Program'!$C$8,O$3='Bonding Program'!$H$47),'Bonding Program'!$T$47-'Bonding Program'!$U$47-'Bonding Program'!$Z$47,0)-IF(AND('Bonding Program'!$S$47=1,'Bonding Program'!$H$47&lt;='Bonding Program'!$C$8,O$3=IF('Bonding Program'!$P$47&lt;&gt;"",'Bonding Program'!$P$47,'Bonding Program'!$C$8)),'Bonding Program'!$Z$47,0)+IF(AND('Bonding Program'!$P$47&lt;&gt;"",O$3='Bonding Program'!$P$47,O$3&lt;='Bonding Program'!$C$8),N('Bonding Program'!$O$47),0)</f>
        <v>0</v>
      </c>
      <c r="P188" s="19" t="n">
        <f aca="false">IF(AND('Bonding Program'!$S$47=1,'Bonding Program'!$H$47&gt;'Bonding Program'!$C$8,P$3='Bonding Program'!$H$47),'Bonding Program'!$T$47-'Bonding Program'!$U$47-'Bonding Program'!$Z$47,0)-IF(AND('Bonding Program'!$S$47=1,'Bonding Program'!$H$47&lt;='Bonding Program'!$C$8,P$3=IF('Bonding Program'!$P$47&lt;&gt;"",'Bonding Program'!$P$47,'Bonding Program'!$C$8)),'Bonding Program'!$Z$47,0)+IF(AND('Bonding Program'!$P$47&lt;&gt;"",P$3='Bonding Program'!$P$47,P$3&lt;='Bonding Program'!$C$8),N('Bonding Program'!$O$47),0)</f>
        <v>0</v>
      </c>
      <c r="Q188" s="19" t="n">
        <f aca="false">IF(AND('Bonding Program'!$S$47=1,'Bonding Program'!$H$47&gt;'Bonding Program'!$C$8,Q$3='Bonding Program'!$H$47),'Bonding Program'!$T$47-'Bonding Program'!$U$47-'Bonding Program'!$Z$47,0)-IF(AND('Bonding Program'!$S$47=1,'Bonding Program'!$H$47&lt;='Bonding Program'!$C$8,Q$3=IF('Bonding Program'!$P$47&lt;&gt;"",'Bonding Program'!$P$47,'Bonding Program'!$C$8)),'Bonding Program'!$Z$47,0)+IF(AND('Bonding Program'!$P$47&lt;&gt;"",Q$3='Bonding Program'!$P$47,Q$3&lt;='Bonding Program'!$C$8),N('Bonding Program'!$O$47),0)</f>
        <v>0</v>
      </c>
      <c r="R188" s="19" t="n">
        <f aca="false">IF(AND('Bonding Program'!$S$47=1,'Bonding Program'!$H$47&gt;'Bonding Program'!$C$8,R$3='Bonding Program'!$H$47),'Bonding Program'!$T$47-'Bonding Program'!$U$47-'Bonding Program'!$Z$47,0)-IF(AND('Bonding Program'!$S$47=1,'Bonding Program'!$H$47&lt;='Bonding Program'!$C$8,R$3=IF('Bonding Program'!$P$47&lt;&gt;"",'Bonding Program'!$P$47,'Bonding Program'!$C$8)),'Bonding Program'!$Z$47,0)+IF(AND('Bonding Program'!$P$47&lt;&gt;"",R$3='Bonding Program'!$P$47,R$3&lt;='Bonding Program'!$C$8),N('Bonding Program'!$O$47),0)</f>
        <v>0</v>
      </c>
      <c r="S188" s="19" t="n">
        <f aca="false">IF(AND('Bonding Program'!$S$47=1,'Bonding Program'!$H$47&gt;'Bonding Program'!$C$8,S$3='Bonding Program'!$H$47),'Bonding Program'!$T$47-'Bonding Program'!$U$47-'Bonding Program'!$Z$47,0)-IF(AND('Bonding Program'!$S$47=1,'Bonding Program'!$H$47&lt;='Bonding Program'!$C$8,S$3=IF('Bonding Program'!$P$47&lt;&gt;"",'Bonding Program'!$P$47,'Bonding Program'!$C$8)),'Bonding Program'!$Z$47,0)+IF(AND('Bonding Program'!$P$47&lt;&gt;"",S$3='Bonding Program'!$P$47,S$3&lt;='Bonding Program'!$C$8),N('Bonding Program'!$O$47),0)</f>
        <v>0</v>
      </c>
      <c r="T188" s="19" t="n">
        <f aca="false">IF(AND('Bonding Program'!$S$47=1,'Bonding Program'!$H$47&gt;'Bonding Program'!$C$8,T$3='Bonding Program'!$H$47),'Bonding Program'!$T$47-'Bonding Program'!$U$47-'Bonding Program'!$Z$47,0)-IF(AND('Bonding Program'!$S$47=1,'Bonding Program'!$H$47&lt;='Bonding Program'!$C$8,T$3=IF('Bonding Program'!$P$47&lt;&gt;"",'Bonding Program'!$P$47,'Bonding Program'!$C$8)),'Bonding Program'!$Z$47,0)+IF(AND('Bonding Program'!$P$47&lt;&gt;"",T$3='Bonding Program'!$P$47,T$3&lt;='Bonding Program'!$C$8),N('Bonding Program'!$O$47),0)</f>
        <v>0</v>
      </c>
      <c r="U188" s="19" t="n">
        <f aca="false">IF(AND('Bonding Program'!$S$47=1,'Bonding Program'!$H$47&gt;'Bonding Program'!$C$8,U$3='Bonding Program'!$H$47),'Bonding Program'!$T$47-'Bonding Program'!$U$47-'Bonding Program'!$Z$47,0)-IF(AND('Bonding Program'!$S$47=1,'Bonding Program'!$H$47&lt;='Bonding Program'!$C$8,U$3=IF('Bonding Program'!$P$47&lt;&gt;"",'Bonding Program'!$P$47,'Bonding Program'!$C$8)),'Bonding Program'!$Z$47,0)+IF(AND('Bonding Program'!$P$47&lt;&gt;"",U$3='Bonding Program'!$P$47,U$3&lt;='Bonding Program'!$C$8),N('Bonding Program'!$O$47),0)</f>
        <v>0</v>
      </c>
      <c r="V188" s="19" t="n">
        <f aca="false">IF(AND('Bonding Program'!$S$47=1,'Bonding Program'!$H$47&gt;'Bonding Program'!$C$8,V$3='Bonding Program'!$H$47),'Bonding Program'!$T$47-'Bonding Program'!$U$47-'Bonding Program'!$Z$47,0)-IF(AND('Bonding Program'!$S$47=1,'Bonding Program'!$H$47&lt;='Bonding Program'!$C$8,V$3=IF('Bonding Program'!$P$47&lt;&gt;"",'Bonding Program'!$P$47,'Bonding Program'!$C$8)),'Bonding Program'!$Z$47,0)+IF(AND('Bonding Program'!$P$47&lt;&gt;"",V$3='Bonding Program'!$P$47,V$3&lt;='Bonding Program'!$C$8),N('Bonding Program'!$O$47),0)</f>
        <v>0</v>
      </c>
      <c r="W188" s="19" t="n">
        <f aca="false">IF(AND('Bonding Program'!$S$47=1,'Bonding Program'!$H$47&gt;'Bonding Program'!$C$8,W$3='Bonding Program'!$H$47),'Bonding Program'!$T$47-'Bonding Program'!$U$47-'Bonding Program'!$Z$47,0)-IF(AND('Bonding Program'!$S$47=1,'Bonding Program'!$H$47&lt;='Bonding Program'!$C$8,W$3=IF('Bonding Program'!$P$47&lt;&gt;"",'Bonding Program'!$P$47,'Bonding Program'!$C$8)),'Bonding Program'!$Z$47,0)+IF(AND('Bonding Program'!$P$47&lt;&gt;"",W$3='Bonding Program'!$P$47,W$3&lt;='Bonding Program'!$C$8),N('Bonding Program'!$O$47),0)</f>
        <v>0</v>
      </c>
      <c r="X188" s="19" t="n">
        <f aca="false">IF(AND('Bonding Program'!$S$47=1,'Bonding Program'!$H$47&gt;'Bonding Program'!$C$8,X$3='Bonding Program'!$H$47),'Bonding Program'!$T$47-'Bonding Program'!$U$47-'Bonding Program'!$Z$47,0)-IF(AND('Bonding Program'!$S$47=1,'Bonding Program'!$H$47&lt;='Bonding Program'!$C$8,X$3=IF('Bonding Program'!$P$47&lt;&gt;"",'Bonding Program'!$P$47,'Bonding Program'!$C$8)),'Bonding Program'!$Z$47,0)+IF(AND('Bonding Program'!$P$47&lt;&gt;"",X$3='Bonding Program'!$P$47,X$3&lt;='Bonding Program'!$C$8),N('Bonding Program'!$O$47),0)</f>
        <v>0</v>
      </c>
      <c r="Y188" s="19" t="n">
        <f aca="false">IF(AND('Bonding Program'!$S$47=1,'Bonding Program'!$H$47&gt;'Bonding Program'!$C$8,Y$3='Bonding Program'!$H$47),'Bonding Program'!$T$47-'Bonding Program'!$U$47-'Bonding Program'!$Z$47,0)-IF(AND('Bonding Program'!$S$47=1,'Bonding Program'!$H$47&lt;='Bonding Program'!$C$8,Y$3=IF('Bonding Program'!$P$47&lt;&gt;"",'Bonding Program'!$P$47,'Bonding Program'!$C$8)),'Bonding Program'!$Z$47,0)+IF(AND('Bonding Program'!$P$47&lt;&gt;"",Y$3='Bonding Program'!$P$47,Y$3&lt;='Bonding Program'!$C$8),N('Bonding Program'!$O$47),0)</f>
        <v>0</v>
      </c>
      <c r="Z188" s="19" t="n">
        <f aca="false">IF(AND('Bonding Program'!$S$47=1,'Bonding Program'!$H$47&gt;'Bonding Program'!$C$8,Z$3='Bonding Program'!$H$47),'Bonding Program'!$T$47-'Bonding Program'!$U$47-'Bonding Program'!$Z$47,0)-IF(AND('Bonding Program'!$S$47=1,'Bonding Program'!$H$47&lt;='Bonding Program'!$C$8,Z$3=IF('Bonding Program'!$P$47&lt;&gt;"",'Bonding Program'!$P$47,'Bonding Program'!$C$8)),'Bonding Program'!$Z$47,0)+IF(AND('Bonding Program'!$P$47&lt;&gt;"",Z$3='Bonding Program'!$P$47,Z$3&lt;='Bonding Program'!$C$8),N('Bonding Program'!$O$47),0)</f>
        <v>0</v>
      </c>
      <c r="AA188" s="19" t="n">
        <f aca="false">IF(AND('Bonding Program'!$S$47=1,'Bonding Program'!$H$47&gt;'Bonding Program'!$C$8,AA$3='Bonding Program'!$H$47),'Bonding Program'!$T$47-'Bonding Program'!$U$47-'Bonding Program'!$Z$47,0)-IF(AND('Bonding Program'!$S$47=1,'Bonding Program'!$H$47&lt;='Bonding Program'!$C$8,AA$3=IF('Bonding Program'!$P$47&lt;&gt;"",'Bonding Program'!$P$47,'Bonding Program'!$C$8)),'Bonding Program'!$Z$47,0)+IF(AND('Bonding Program'!$P$47&lt;&gt;"",AA$3='Bonding Program'!$P$47,AA$3&lt;='Bonding Program'!$C$8),N('Bonding Program'!$O$47),0)</f>
        <v>0</v>
      </c>
      <c r="AB188" s="19" t="n">
        <f aca="false">IF(AND('Bonding Program'!$S$47=1,'Bonding Program'!$H$47&gt;'Bonding Program'!$C$8,AB$3='Bonding Program'!$H$47),'Bonding Program'!$T$47-'Bonding Program'!$U$47-'Bonding Program'!$Z$47,0)-IF(AND('Bonding Program'!$S$47=1,'Bonding Program'!$H$47&lt;='Bonding Program'!$C$8,AB$3=IF('Bonding Program'!$P$47&lt;&gt;"",'Bonding Program'!$P$47,'Bonding Program'!$C$8)),'Bonding Program'!$Z$47,0)+IF(AND('Bonding Program'!$P$47&lt;&gt;"",AB$3='Bonding Program'!$P$47,AB$3&lt;='Bonding Program'!$C$8),N('Bonding Program'!$O$47),0)</f>
        <v>0</v>
      </c>
      <c r="AC188" s="19" t="n">
        <f aca="false">IF(AND('Bonding Program'!$S$47=1,'Bonding Program'!$H$47&gt;'Bonding Program'!$C$8,AC$3='Bonding Program'!$H$47),'Bonding Program'!$T$47-'Bonding Program'!$U$47-'Bonding Program'!$Z$47,0)-IF(AND('Bonding Program'!$S$47=1,'Bonding Program'!$H$47&lt;='Bonding Program'!$C$8,AC$3=IF('Bonding Program'!$P$47&lt;&gt;"",'Bonding Program'!$P$47,'Bonding Program'!$C$8)),'Bonding Program'!$Z$47,0)+IF(AND('Bonding Program'!$P$47&lt;&gt;"",AC$3='Bonding Program'!$P$47,AC$3&lt;='Bonding Program'!$C$8),N('Bonding Program'!$O$47),0)</f>
        <v>0</v>
      </c>
      <c r="AD188" s="19" t="n">
        <f aca="false">IF(AND('Bonding Program'!$S$47=1,'Bonding Program'!$H$47&gt;'Bonding Program'!$C$8,AD$3='Bonding Program'!$H$47),'Bonding Program'!$T$47-'Bonding Program'!$U$47-'Bonding Program'!$Z$47,0)-IF(AND('Bonding Program'!$S$47=1,'Bonding Program'!$H$47&lt;='Bonding Program'!$C$8,AD$3=IF('Bonding Program'!$P$47&lt;&gt;"",'Bonding Program'!$P$47,'Bonding Program'!$C$8)),'Bonding Program'!$Z$47,0)+IF(AND('Bonding Program'!$P$47&lt;&gt;"",AD$3='Bonding Program'!$P$47,AD$3&lt;='Bonding Program'!$C$8),N('Bonding Program'!$O$47),0)</f>
        <v>0</v>
      </c>
      <c r="AE188" s="19" t="n">
        <f aca="false">IF(AND('Bonding Program'!$S$47=1,'Bonding Program'!$H$47&gt;'Bonding Program'!$C$8,AE$3='Bonding Program'!$H$47),'Bonding Program'!$T$47-'Bonding Program'!$U$47-'Bonding Program'!$Z$47,0)-IF(AND('Bonding Program'!$S$47=1,'Bonding Program'!$H$47&lt;='Bonding Program'!$C$8,AE$3=IF('Bonding Program'!$P$47&lt;&gt;"",'Bonding Program'!$P$47,'Bonding Program'!$C$8)),'Bonding Program'!$Z$47,0)+IF(AND('Bonding Program'!$P$47&lt;&gt;"",AE$3='Bonding Program'!$P$47,AE$3&lt;='Bonding Program'!$C$8),N('Bonding Program'!$O$47),0)</f>
        <v>0</v>
      </c>
      <c r="AF188" s="19" t="n">
        <f aca="false">IF(AND('Bonding Program'!$S$47=1,'Bonding Program'!$H$47&gt;'Bonding Program'!$C$8,AF$3='Bonding Program'!$H$47),'Bonding Program'!$T$47-'Bonding Program'!$U$47-'Bonding Program'!$Z$47,0)-IF(AND('Bonding Program'!$S$47=1,'Bonding Program'!$H$47&lt;='Bonding Program'!$C$8,AF$3=IF('Bonding Program'!$P$47&lt;&gt;"",'Bonding Program'!$P$47,'Bonding Program'!$C$8)),'Bonding Program'!$Z$47,0)+IF(AND('Bonding Program'!$P$47&lt;&gt;"",AF$3='Bonding Program'!$P$47,AF$3&lt;='Bonding Program'!$C$8),N('Bonding Program'!$O$47),0)</f>
        <v>0</v>
      </c>
      <c r="AG188" s="19" t="n">
        <f aca="false">IF(AND('Bonding Program'!$S$47=1,'Bonding Program'!$H$47&gt;'Bonding Program'!$C$8,AG$3='Bonding Program'!$H$47),'Bonding Program'!$T$47-'Bonding Program'!$U$47-'Bonding Program'!$Z$47,0)-IF(AND('Bonding Program'!$S$47=1,'Bonding Program'!$H$47&lt;='Bonding Program'!$C$8,AG$3=IF('Bonding Program'!$P$47&lt;&gt;"",'Bonding Program'!$P$47,'Bonding Program'!$C$8)),'Bonding Program'!$Z$47,0)+IF(AND('Bonding Program'!$P$47&lt;&gt;"",AG$3='Bonding Program'!$P$47,AG$3&lt;='Bonding Program'!$C$8),N('Bonding Program'!$O$47),0)</f>
        <v>0</v>
      </c>
      <c r="AH188" s="19" t="n">
        <f aca="false">IF(AND('Bonding Program'!$S$47=1,'Bonding Program'!$H$47&gt;'Bonding Program'!$C$8,AH$3='Bonding Program'!$H$47),'Bonding Program'!$T$47-'Bonding Program'!$U$47-'Bonding Program'!$Z$47,0)-IF(AND('Bonding Program'!$S$47=1,'Bonding Program'!$H$47&lt;='Bonding Program'!$C$8,AH$3=IF('Bonding Program'!$P$47&lt;&gt;"",'Bonding Program'!$P$47,'Bonding Program'!$C$8)),'Bonding Program'!$Z$47,0)+IF(AND('Bonding Program'!$P$47&lt;&gt;"",AH$3='Bonding Program'!$P$47,AH$3&lt;='Bonding Program'!$C$8),N('Bonding Program'!$O$47),0)</f>
        <v>0</v>
      </c>
      <c r="AI188" s="19" t="n">
        <f aca="false">IF(AND('Bonding Program'!$S$47=1,'Bonding Program'!$H$47&gt;'Bonding Program'!$C$8,AI$3='Bonding Program'!$H$47),'Bonding Program'!$T$47-'Bonding Program'!$U$47-'Bonding Program'!$Z$47,0)-IF(AND('Bonding Program'!$S$47=1,'Bonding Program'!$H$47&lt;='Bonding Program'!$C$8,AI$3=IF('Bonding Program'!$P$47&lt;&gt;"",'Bonding Program'!$P$47,'Bonding Program'!$C$8)),'Bonding Program'!$Z$47,0)+IF(AND('Bonding Program'!$P$47&lt;&gt;"",AI$3='Bonding Program'!$P$47,AI$3&lt;='Bonding Program'!$C$8),N('Bonding Program'!$O$47),0)</f>
        <v>0</v>
      </c>
      <c r="AJ188" s="19" t="n">
        <f aca="false">IF(AND('Bonding Program'!$S$47=1,'Bonding Program'!$H$47&gt;'Bonding Program'!$C$8,AJ$3='Bonding Program'!$H$47),'Bonding Program'!$T$47-'Bonding Program'!$U$47-'Bonding Program'!$Z$47,0)-IF(AND('Bonding Program'!$S$47=1,'Bonding Program'!$H$47&lt;='Bonding Program'!$C$8,AJ$3=IF('Bonding Program'!$P$47&lt;&gt;"",'Bonding Program'!$P$47,'Bonding Program'!$C$8)),'Bonding Program'!$Z$47,0)+IF(AND('Bonding Program'!$P$47&lt;&gt;"",AJ$3='Bonding Program'!$P$47,AJ$3&lt;='Bonding Program'!$C$8),N('Bonding Program'!$O$47),0)</f>
        <v>0</v>
      </c>
      <c r="AK188" s="19" t="n">
        <f aca="false">IF(AND('Bonding Program'!$S$47=1,'Bonding Program'!$H$47&gt;'Bonding Program'!$C$8,AK$3='Bonding Program'!$H$47),'Bonding Program'!$T$47-'Bonding Program'!$U$47-'Bonding Program'!$Z$47,0)-IF(AND('Bonding Program'!$S$47=1,'Bonding Program'!$H$47&lt;='Bonding Program'!$C$8,AK$3=IF('Bonding Program'!$P$47&lt;&gt;"",'Bonding Program'!$P$47,'Bonding Program'!$C$8)),'Bonding Program'!$Z$47,0)+IF(AND('Bonding Program'!$P$47&lt;&gt;"",AK$3='Bonding Program'!$P$47,AK$3&lt;='Bonding Program'!$C$8),N('Bonding Program'!$O$47),0)</f>
        <v>0</v>
      </c>
      <c r="AL188" s="19" t="n">
        <f aca="false">IF(AND('Bonding Program'!$S$47=1,'Bonding Program'!$H$47&gt;'Bonding Program'!$C$8,AL$3='Bonding Program'!$H$47),'Bonding Program'!$T$47-'Bonding Program'!$U$47-'Bonding Program'!$Z$47,0)-IF(AND('Bonding Program'!$S$47=1,'Bonding Program'!$H$47&lt;='Bonding Program'!$C$8,AL$3=IF('Bonding Program'!$P$47&lt;&gt;"",'Bonding Program'!$P$47,'Bonding Program'!$C$8)),'Bonding Program'!$Z$47,0)+IF(AND('Bonding Program'!$P$47&lt;&gt;"",AL$3='Bonding Program'!$P$47,AL$3&lt;='Bonding Program'!$C$8),N('Bonding Program'!$O$47),0)</f>
        <v>0</v>
      </c>
      <c r="AM188" s="19" t="n">
        <f aca="false">IF(AND('Bonding Program'!$S$47=1,'Bonding Program'!$H$47&gt;'Bonding Program'!$C$8,AM$3='Bonding Program'!$H$47),'Bonding Program'!$T$47-'Bonding Program'!$U$47-'Bonding Program'!$Z$47,0)-IF(AND('Bonding Program'!$S$47=1,'Bonding Program'!$H$47&lt;='Bonding Program'!$C$8,AM$3=IF('Bonding Program'!$P$47&lt;&gt;"",'Bonding Program'!$P$47,'Bonding Program'!$C$8)),'Bonding Program'!$Z$47,0)+IF(AND('Bonding Program'!$P$47&lt;&gt;"",AM$3='Bonding Program'!$P$47,AM$3&lt;='Bonding Program'!$C$8),N('Bonding Program'!$O$47),0)</f>
        <v>0</v>
      </c>
      <c r="AN188" s="19" t="n">
        <f aca="false">IF(AND('Bonding Program'!$S$47=1,'Bonding Program'!$H$47&gt;'Bonding Program'!$C$8,AN$3='Bonding Program'!$H$47),'Bonding Program'!$T$47-'Bonding Program'!$U$47-'Bonding Program'!$Z$47,0)-IF(AND('Bonding Program'!$S$47=1,'Bonding Program'!$H$47&lt;='Bonding Program'!$C$8,AN$3=IF('Bonding Program'!$P$47&lt;&gt;"",'Bonding Program'!$P$47,'Bonding Program'!$C$8)),'Bonding Program'!$Z$47,0)+IF(AND('Bonding Program'!$P$47&lt;&gt;"",AN$3='Bonding Program'!$P$47,AN$3&lt;='Bonding Program'!$C$8),N('Bonding Program'!$O$47),0)</f>
        <v>0</v>
      </c>
      <c r="AO188" s="19" t="n">
        <f aca="false">IF(AND('Bonding Program'!$S$47=1,'Bonding Program'!$H$47&gt;'Bonding Program'!$C$8,AO$3='Bonding Program'!$H$47),'Bonding Program'!$T$47-'Bonding Program'!$U$47-'Bonding Program'!$Z$47,0)-IF(AND('Bonding Program'!$S$47=1,'Bonding Program'!$H$47&lt;='Bonding Program'!$C$8,AO$3=IF('Bonding Program'!$P$47&lt;&gt;"",'Bonding Program'!$P$47,'Bonding Program'!$C$8)),'Bonding Program'!$Z$47,0)+IF(AND('Bonding Program'!$P$47&lt;&gt;"",AO$3='Bonding Program'!$P$47,AO$3&lt;='Bonding Program'!$C$8),N('Bonding Program'!$O$47),0)</f>
        <v>0</v>
      </c>
      <c r="AP188" s="19" t="n">
        <f aca="false">IF(AND('Bonding Program'!$S$47=1,'Bonding Program'!$H$47&gt;'Bonding Program'!$C$8,AP$3='Bonding Program'!$H$47),'Bonding Program'!$T$47-'Bonding Program'!$U$47-'Bonding Program'!$Z$47,0)-IF(AND('Bonding Program'!$S$47=1,'Bonding Program'!$H$47&lt;='Bonding Program'!$C$8,AP$3=IF('Bonding Program'!$P$47&lt;&gt;"",'Bonding Program'!$P$47,'Bonding Program'!$C$8)),'Bonding Program'!$Z$47,0)+IF(AND('Bonding Program'!$P$47&lt;&gt;"",AP$3='Bonding Program'!$P$47,AP$3&lt;='Bonding Program'!$C$8),N('Bonding Program'!$O$47),0)</f>
        <v>0</v>
      </c>
      <c r="AQ188" s="19" t="n">
        <f aca="false">IF(AND('Bonding Program'!$S$47=1,'Bonding Program'!$H$47&gt;'Bonding Program'!$C$8,AQ$3='Bonding Program'!$H$47),'Bonding Program'!$T$47-'Bonding Program'!$U$47-'Bonding Program'!$Z$47,0)-IF(AND('Bonding Program'!$S$47=1,'Bonding Program'!$H$47&lt;='Bonding Program'!$C$8,AQ$3=IF('Bonding Program'!$P$47&lt;&gt;"",'Bonding Program'!$P$47,'Bonding Program'!$C$8)),'Bonding Program'!$Z$47,0)+IF(AND('Bonding Program'!$P$47&lt;&gt;"",AQ$3='Bonding Program'!$P$47,AQ$3&lt;='Bonding Program'!$C$8),N('Bonding Program'!$O$47),0)</f>
        <v>0</v>
      </c>
      <c r="AR188" s="19" t="n">
        <f aca="false">IF(AND('Bonding Program'!$S$47=1,'Bonding Program'!$H$47&gt;'Bonding Program'!$C$8,AR$3='Bonding Program'!$H$47),'Bonding Program'!$T$47-'Bonding Program'!$U$47-'Bonding Program'!$Z$47,0)-IF(AND('Bonding Program'!$S$47=1,'Bonding Program'!$H$47&lt;='Bonding Program'!$C$8,AR$3=IF('Bonding Program'!$P$47&lt;&gt;"",'Bonding Program'!$P$47,'Bonding Program'!$C$8)),'Bonding Program'!$Z$47,0)+IF(AND('Bonding Program'!$P$47&lt;&gt;"",AR$3='Bonding Program'!$P$47,AR$3&lt;='Bonding Program'!$C$8),N('Bonding Program'!$O$47),0)</f>
        <v>0</v>
      </c>
      <c r="AS188" s="19" t="n">
        <f aca="false">IF(AND('Bonding Program'!$S$47=1,'Bonding Program'!$H$47&gt;'Bonding Program'!$C$8,AS$3='Bonding Program'!$H$47),'Bonding Program'!$T$47-'Bonding Program'!$U$47-'Bonding Program'!$Z$47,0)-IF(AND('Bonding Program'!$S$47=1,'Bonding Program'!$H$47&lt;='Bonding Program'!$C$8,AS$3=IF('Bonding Program'!$P$47&lt;&gt;"",'Bonding Program'!$P$47,'Bonding Program'!$C$8)),'Bonding Program'!$Z$47,0)+IF(AND('Bonding Program'!$P$47&lt;&gt;"",AS$3='Bonding Program'!$P$47,AS$3&lt;='Bonding Program'!$C$8),N('Bonding Program'!$O$47),0)</f>
        <v>0</v>
      </c>
      <c r="AT188" s="19" t="n">
        <f aca="false">IF(AND('Bonding Program'!$S$47=1,'Bonding Program'!$H$47&gt;'Bonding Program'!$C$8,AT$3='Bonding Program'!$H$47),'Bonding Program'!$T$47-'Bonding Program'!$U$47-'Bonding Program'!$Z$47,0)-IF(AND('Bonding Program'!$S$47=1,'Bonding Program'!$H$47&lt;='Bonding Program'!$C$8,AT$3=IF('Bonding Program'!$P$47&lt;&gt;"",'Bonding Program'!$P$47,'Bonding Program'!$C$8)),'Bonding Program'!$Z$47,0)+IF(AND('Bonding Program'!$P$47&lt;&gt;"",AT$3='Bonding Program'!$P$47,AT$3&lt;='Bonding Program'!$C$8),N('Bonding Program'!$O$47),0)</f>
        <v>0</v>
      </c>
      <c r="AU188" s="19" t="n">
        <f aca="false">IF(AND('Bonding Program'!$S$47=1,'Bonding Program'!$H$47&gt;'Bonding Program'!$C$8,AU$3='Bonding Program'!$H$47),'Bonding Program'!$T$47-'Bonding Program'!$U$47-'Bonding Program'!$Z$47,0)-IF(AND('Bonding Program'!$S$47=1,'Bonding Program'!$H$47&lt;='Bonding Program'!$C$8,AU$3=IF('Bonding Program'!$P$47&lt;&gt;"",'Bonding Program'!$P$47,'Bonding Program'!$C$8)),'Bonding Program'!$Z$47,0)+IF(AND('Bonding Program'!$P$47&lt;&gt;"",AU$3='Bonding Program'!$P$47,AU$3&lt;='Bonding Program'!$C$8),N('Bonding Program'!$O$47),0)</f>
        <v>0</v>
      </c>
      <c r="AV188" s="19" t="n">
        <f aca="false">IF(AND('Bonding Program'!$S$47=1,'Bonding Program'!$H$47&gt;'Bonding Program'!$C$8,AV$3='Bonding Program'!$H$47),'Bonding Program'!$T$47-'Bonding Program'!$U$47-'Bonding Program'!$Z$47,0)-IF(AND('Bonding Program'!$S$47=1,'Bonding Program'!$H$47&lt;='Bonding Program'!$C$8,AV$3=IF('Bonding Program'!$P$47&lt;&gt;"",'Bonding Program'!$P$47,'Bonding Program'!$C$8)),'Bonding Program'!$Z$47,0)+IF(AND('Bonding Program'!$P$47&lt;&gt;"",AV$3='Bonding Program'!$P$47,AV$3&lt;='Bonding Program'!$C$8),N('Bonding Program'!$O$47),0)</f>
        <v>0</v>
      </c>
      <c r="AW188" s="19" t="n">
        <f aca="false">IF(AND('Bonding Program'!$S$47=1,'Bonding Program'!$H$47&gt;'Bonding Program'!$C$8,AW$3='Bonding Program'!$H$47),'Bonding Program'!$T$47-'Bonding Program'!$U$47-'Bonding Program'!$Z$47,0)-IF(AND('Bonding Program'!$S$47=1,'Bonding Program'!$H$47&lt;='Bonding Program'!$C$8,AW$3=IF('Bonding Program'!$P$47&lt;&gt;"",'Bonding Program'!$P$47,'Bonding Program'!$C$8)),'Bonding Program'!$Z$47,0)+IF(AND('Bonding Program'!$P$47&lt;&gt;"",AW$3='Bonding Program'!$P$47,AW$3&lt;='Bonding Program'!$C$8),N('Bonding Program'!$O$47),0)</f>
        <v>0</v>
      </c>
      <c r="AX188" s="19" t="n">
        <f aca="false">IF(AND('Bonding Program'!$S$47=1,'Bonding Program'!$H$47&gt;'Bonding Program'!$C$8,AX$3='Bonding Program'!$H$47),'Bonding Program'!$T$47-'Bonding Program'!$U$47-'Bonding Program'!$Z$47,0)-IF(AND('Bonding Program'!$S$47=1,'Bonding Program'!$H$47&lt;='Bonding Program'!$C$8,AX$3=IF('Bonding Program'!$P$47&lt;&gt;"",'Bonding Program'!$P$47,'Bonding Program'!$C$8)),'Bonding Program'!$Z$47,0)+IF(AND('Bonding Program'!$P$47&lt;&gt;"",AX$3='Bonding Program'!$P$47,AX$3&lt;='Bonding Program'!$C$8),N('Bonding Program'!$O$47),0)</f>
        <v>0</v>
      </c>
      <c r="AY188" s="19" t="n">
        <f aca="false">IF(AND('Bonding Program'!$S$47=1,'Bonding Program'!$H$47&gt;'Bonding Program'!$C$8,AY$3='Bonding Program'!$H$47),'Bonding Program'!$T$47-'Bonding Program'!$U$47-'Bonding Program'!$Z$47,0)-IF(AND('Bonding Program'!$S$47=1,'Bonding Program'!$H$47&lt;='Bonding Program'!$C$8,AY$3=IF('Bonding Program'!$P$47&lt;&gt;"",'Bonding Program'!$P$47,'Bonding Program'!$C$8)),'Bonding Program'!$Z$47,0)+IF(AND('Bonding Program'!$P$47&lt;&gt;"",AY$3='Bonding Program'!$P$47,AY$3&lt;='Bonding Program'!$C$8),N('Bonding Program'!$O$47),0)</f>
        <v>0</v>
      </c>
      <c r="AZ188" s="19" t="n">
        <f aca="false">IF(AND('Bonding Program'!$S$47=1,'Bonding Program'!$H$47&gt;'Bonding Program'!$C$8,AZ$3='Bonding Program'!$H$47),'Bonding Program'!$T$47-'Bonding Program'!$U$47-'Bonding Program'!$Z$47,0)-IF(AND('Bonding Program'!$S$47=1,'Bonding Program'!$H$47&lt;='Bonding Program'!$C$8,AZ$3=IF('Bonding Program'!$P$47&lt;&gt;"",'Bonding Program'!$P$47,'Bonding Program'!$C$8)),'Bonding Program'!$Z$47,0)+IF(AND('Bonding Program'!$P$47&lt;&gt;"",AZ$3='Bonding Program'!$P$47,AZ$3&lt;='Bonding Program'!$C$8),N('Bonding Program'!$O$47),0)</f>
        <v>0</v>
      </c>
      <c r="BA188" s="19" t="n">
        <f aca="false">IF(AND('Bonding Program'!$S$47=1,'Bonding Program'!$H$47&gt;'Bonding Program'!$C$8,BA$3='Bonding Program'!$H$47),'Bonding Program'!$T$47-'Bonding Program'!$U$47-'Bonding Program'!$Z$47,0)-IF(AND('Bonding Program'!$S$47=1,'Bonding Program'!$H$47&lt;='Bonding Program'!$C$8,BA$3=IF('Bonding Program'!$P$47&lt;&gt;"",'Bonding Program'!$P$47,'Bonding Program'!$C$8)),'Bonding Program'!$Z$47,0)+IF(AND('Bonding Program'!$P$47&lt;&gt;"",BA$3='Bonding Program'!$P$47,BA$3&lt;='Bonding Program'!$C$8),N('Bonding Program'!$O$47),0)</f>
        <v>0</v>
      </c>
      <c r="BB188" s="19" t="n">
        <f aca="false">IF(AND('Bonding Program'!$S$47=1,'Bonding Program'!$H$47&gt;'Bonding Program'!$C$8,BB$3='Bonding Program'!$H$47),'Bonding Program'!$T$47-'Bonding Program'!$U$47-'Bonding Program'!$Z$47,0)-IF(AND('Bonding Program'!$S$47=1,'Bonding Program'!$H$47&lt;='Bonding Program'!$C$8,BB$3=IF('Bonding Program'!$P$47&lt;&gt;"",'Bonding Program'!$P$47,'Bonding Program'!$C$8)),'Bonding Program'!$Z$47,0)+IF(AND('Bonding Program'!$P$47&lt;&gt;"",BB$3='Bonding Program'!$P$47,BB$3&lt;='Bonding Program'!$C$8),N('Bonding Program'!$O$47),0)</f>
        <v>-265825.123152709</v>
      </c>
      <c r="BC188" s="19" t="n">
        <f aca="false">IF(AND('Bonding Program'!$S$47=1,'Bonding Program'!$H$47&gt;'Bonding Program'!$C$8,BC$3='Bonding Program'!$H$47),'Bonding Program'!$T$47-'Bonding Program'!$U$47-'Bonding Program'!$Z$47,0)-IF(AND('Bonding Program'!$S$47=1,'Bonding Program'!$H$47&lt;='Bonding Program'!$C$8,BC$3=IF('Bonding Program'!$P$47&lt;&gt;"",'Bonding Program'!$P$47,'Bonding Program'!$C$8)),'Bonding Program'!$Z$47,0)+IF(AND('Bonding Program'!$P$47&lt;&gt;"",BC$3='Bonding Program'!$P$47,BC$3&lt;='Bonding Program'!$C$8),N('Bonding Program'!$O$47),0)</f>
        <v>0</v>
      </c>
      <c r="BD188" s="19" t="n">
        <f aca="false">IF(AND('Bonding Program'!$S$47=1,'Bonding Program'!$H$47&gt;'Bonding Program'!$C$8,BD$3='Bonding Program'!$H$47),'Bonding Program'!$T$47-'Bonding Program'!$U$47-'Bonding Program'!$Z$47,0)-IF(AND('Bonding Program'!$S$47=1,'Bonding Program'!$H$47&lt;='Bonding Program'!$C$8,BD$3=IF('Bonding Program'!$P$47&lt;&gt;"",'Bonding Program'!$P$47,'Bonding Program'!$C$8)),'Bonding Program'!$Z$47,0)+IF(AND('Bonding Program'!$P$47&lt;&gt;"",BD$3='Bonding Program'!$P$47,BD$3&lt;='Bonding Program'!$C$8),N('Bonding Program'!$O$47),0)</f>
        <v>0</v>
      </c>
      <c r="BE188" s="19" t="n">
        <f aca="false">IF(AND('Bonding Program'!$S$47=1,'Bonding Program'!$H$47&gt;'Bonding Program'!$C$8,BE$3='Bonding Program'!$H$47),'Bonding Program'!$T$47-'Bonding Program'!$U$47-'Bonding Program'!$Z$47,0)-IF(AND('Bonding Program'!$S$47=1,'Bonding Program'!$H$47&lt;='Bonding Program'!$C$8,BE$3=IF('Bonding Program'!$P$47&lt;&gt;"",'Bonding Program'!$P$47,'Bonding Program'!$C$8)),'Bonding Program'!$Z$47,0)+IF(AND('Bonding Program'!$P$47&lt;&gt;"",BE$3='Bonding Program'!$P$47,BE$3&lt;='Bonding Program'!$C$8),N('Bonding Program'!$O$47),0)</f>
        <v>0</v>
      </c>
      <c r="BF188" s="19" t="n">
        <f aca="false">IF(AND('Bonding Program'!$S$47=1,'Bonding Program'!$H$47&gt;'Bonding Program'!$C$8,BF$3='Bonding Program'!$H$47),'Bonding Program'!$T$47-'Bonding Program'!$U$47-'Bonding Program'!$Z$47,0)-IF(AND('Bonding Program'!$S$47=1,'Bonding Program'!$H$47&lt;='Bonding Program'!$C$8,BF$3=IF('Bonding Program'!$P$47&lt;&gt;"",'Bonding Program'!$P$47,'Bonding Program'!$C$8)),'Bonding Program'!$Z$47,0)+IF(AND('Bonding Program'!$P$47&lt;&gt;"",BF$3='Bonding Program'!$P$47,BF$3&lt;='Bonding Program'!$C$8),N('Bonding Program'!$O$47),0)</f>
        <v>0</v>
      </c>
      <c r="BG188" s="19" t="n">
        <f aca="false">IF(AND('Bonding Program'!$S$47=1,'Bonding Program'!$H$47&gt;'Bonding Program'!$C$8,BG$3='Bonding Program'!$H$47),'Bonding Program'!$T$47-'Bonding Program'!$U$47-'Bonding Program'!$Z$47,0)-IF(AND('Bonding Program'!$S$47=1,'Bonding Program'!$H$47&lt;='Bonding Program'!$C$8,BG$3=IF('Bonding Program'!$P$47&lt;&gt;"",'Bonding Program'!$P$47,'Bonding Program'!$C$8)),'Bonding Program'!$Z$47,0)+IF(AND('Bonding Program'!$P$47&lt;&gt;"",BG$3='Bonding Program'!$P$47,BG$3&lt;='Bonding Program'!$C$8),N('Bonding Program'!$O$47),0)</f>
        <v>0</v>
      </c>
      <c r="BH188" s="19" t="n">
        <f aca="false">IF(AND('Bonding Program'!$S$47=1,'Bonding Program'!$H$47&gt;'Bonding Program'!$C$8,BH$3='Bonding Program'!$H$47),'Bonding Program'!$T$47-'Bonding Program'!$U$47-'Bonding Program'!$Z$47,0)-IF(AND('Bonding Program'!$S$47=1,'Bonding Program'!$H$47&lt;='Bonding Program'!$C$8,BH$3=IF('Bonding Program'!$P$47&lt;&gt;"",'Bonding Program'!$P$47,'Bonding Program'!$C$8)),'Bonding Program'!$Z$47,0)+IF(AND('Bonding Program'!$P$47&lt;&gt;"",BH$3='Bonding Program'!$P$47,BH$3&lt;='Bonding Program'!$C$8),N('Bonding Program'!$O$47),0)</f>
        <v>0</v>
      </c>
      <c r="BI188" s="19" t="n">
        <f aca="false">IF(AND('Bonding Program'!$S$47=1,'Bonding Program'!$H$47&gt;'Bonding Program'!$C$8,BI$3='Bonding Program'!$H$47),'Bonding Program'!$T$47-'Bonding Program'!$U$47-'Bonding Program'!$Z$47,0)-IF(AND('Bonding Program'!$S$47=1,'Bonding Program'!$H$47&lt;='Bonding Program'!$C$8,BI$3=IF('Bonding Program'!$P$47&lt;&gt;"",'Bonding Program'!$P$47,'Bonding Program'!$C$8)),'Bonding Program'!$Z$47,0)+IF(AND('Bonding Program'!$P$47&lt;&gt;"",BI$3='Bonding Program'!$P$47,BI$3&lt;='Bonding Program'!$C$8),N('Bonding Program'!$O$47),0)</f>
        <v>0</v>
      </c>
      <c r="BJ188" s="19" t="n">
        <f aca="false">IF(AND('Bonding Program'!$S$47=1,'Bonding Program'!$H$47&gt;'Bonding Program'!$C$8,BJ$3='Bonding Program'!$H$47),'Bonding Program'!$T$47-'Bonding Program'!$U$47-'Bonding Program'!$Z$47,0)-IF(AND('Bonding Program'!$S$47=1,'Bonding Program'!$H$47&lt;='Bonding Program'!$C$8,BJ$3=IF('Bonding Program'!$P$47&lt;&gt;"",'Bonding Program'!$P$47,'Bonding Program'!$C$8)),'Bonding Program'!$Z$47,0)+IF(AND('Bonding Program'!$P$47&lt;&gt;"",BJ$3='Bonding Program'!$P$47,BJ$3&lt;='Bonding Program'!$C$8),N('Bonding Program'!$O$47),0)</f>
        <v>0</v>
      </c>
      <c r="BK188" s="19" t="n">
        <f aca="false">IF(AND('Bonding Program'!$S$47=1,'Bonding Program'!$H$47&gt;'Bonding Program'!$C$8,BK$3='Bonding Program'!$H$47),'Bonding Program'!$T$47-'Bonding Program'!$U$47-'Bonding Program'!$Z$47,0)-IF(AND('Bonding Program'!$S$47=1,'Bonding Program'!$H$47&lt;='Bonding Program'!$C$8,BK$3=IF('Bonding Program'!$P$47&lt;&gt;"",'Bonding Program'!$P$47,'Bonding Program'!$C$8)),'Bonding Program'!$Z$47,0)+IF(AND('Bonding Program'!$P$47&lt;&gt;"",BK$3='Bonding Program'!$P$47,BK$3&lt;='Bonding Program'!$C$8),N('Bonding Program'!$O$47),0)</f>
        <v>0</v>
      </c>
      <c r="BL188" s="19" t="n">
        <f aca="false">IF(AND('Bonding Program'!$S$47=1,'Bonding Program'!$H$47&gt;'Bonding Program'!$C$8,BL$3='Bonding Program'!$H$47),'Bonding Program'!$T$47-'Bonding Program'!$U$47-'Bonding Program'!$Z$47,0)-IF(AND('Bonding Program'!$S$47=1,'Bonding Program'!$H$47&lt;='Bonding Program'!$C$8,BL$3=IF('Bonding Program'!$P$47&lt;&gt;"",'Bonding Program'!$P$47,'Bonding Program'!$C$8)),'Bonding Program'!$Z$47,0)+IF(AND('Bonding Program'!$P$47&lt;&gt;"",BL$3='Bonding Program'!$P$47,BL$3&lt;='Bonding Program'!$C$8),N('Bonding Program'!$O$47),0)</f>
        <v>0</v>
      </c>
      <c r="BM188" s="19" t="n">
        <f aca="false">IF(AND('Bonding Program'!$S$47=1,'Bonding Program'!$H$47&gt;'Bonding Program'!$C$8,BM$3='Bonding Program'!$H$47),'Bonding Program'!$T$47-'Bonding Program'!$U$47-'Bonding Program'!$Z$47,0)-IF(AND('Bonding Program'!$S$47=1,'Bonding Program'!$H$47&lt;='Bonding Program'!$C$8,BM$3=IF('Bonding Program'!$P$47&lt;&gt;"",'Bonding Program'!$P$47,'Bonding Program'!$C$8)),'Bonding Program'!$Z$47,0)+IF(AND('Bonding Program'!$P$47&lt;&gt;"",BM$3='Bonding Program'!$P$47,BM$3&lt;='Bonding Program'!$C$8),N('Bonding Program'!$O$47),0)</f>
        <v>0</v>
      </c>
      <c r="BN188" s="19" t="n">
        <f aca="false">IF(AND('Bonding Program'!$S$47=1,'Bonding Program'!$H$47&gt;'Bonding Program'!$C$8,BN$3='Bonding Program'!$H$47),'Bonding Program'!$T$47-'Bonding Program'!$U$47-'Bonding Program'!$Z$47,0)-IF(AND('Bonding Program'!$S$47=1,'Bonding Program'!$H$47&lt;='Bonding Program'!$C$8,BN$3=IF('Bonding Program'!$P$47&lt;&gt;"",'Bonding Program'!$P$47,'Bonding Program'!$C$8)),'Bonding Program'!$Z$47,0)+IF(AND('Bonding Program'!$P$47&lt;&gt;"",BN$3='Bonding Program'!$P$47,BN$3&lt;='Bonding Program'!$C$8),N('Bonding Program'!$O$47),0)</f>
        <v>0</v>
      </c>
      <c r="BO188" s="19" t="n">
        <f aca="false">IF(AND('Bonding Program'!$S$47=1,'Bonding Program'!$H$47&gt;'Bonding Program'!$C$8,BO$3='Bonding Program'!$H$47),'Bonding Program'!$T$47-'Bonding Program'!$U$47-'Bonding Program'!$Z$47,0)-IF(AND('Bonding Program'!$S$47=1,'Bonding Program'!$H$47&lt;='Bonding Program'!$C$8,BO$3=IF('Bonding Program'!$P$47&lt;&gt;"",'Bonding Program'!$P$47,'Bonding Program'!$C$8)),'Bonding Program'!$Z$47,0)+IF(AND('Bonding Program'!$P$47&lt;&gt;"",BO$3='Bonding Program'!$P$47,BO$3&lt;='Bonding Program'!$C$8),N('Bonding Program'!$O$47),0)</f>
        <v>0</v>
      </c>
      <c r="BP188" s="19" t="n">
        <f aca="false">IF(AND('Bonding Program'!$S$47=1,'Bonding Program'!$H$47&gt;'Bonding Program'!$C$8,BP$3='Bonding Program'!$H$47),'Bonding Program'!$T$47-'Bonding Program'!$U$47-'Bonding Program'!$Z$47,0)-IF(AND('Bonding Program'!$S$47=1,'Bonding Program'!$H$47&lt;='Bonding Program'!$C$8,BP$3=IF('Bonding Program'!$P$47&lt;&gt;"",'Bonding Program'!$P$47,'Bonding Program'!$C$8)),'Bonding Program'!$Z$47,0)+IF(AND('Bonding Program'!$P$47&lt;&gt;"",BP$3='Bonding Program'!$P$47,BP$3&lt;='Bonding Program'!$C$8),N('Bonding Program'!$O$47),0)</f>
        <v>0</v>
      </c>
      <c r="BQ188" s="19" t="n">
        <f aca="false">IF(AND('Bonding Program'!$S$47=1,'Bonding Program'!$H$47&gt;'Bonding Program'!$C$8,BQ$3='Bonding Program'!$H$47),'Bonding Program'!$T$47-'Bonding Program'!$U$47-'Bonding Program'!$Z$47,0)-IF(AND('Bonding Program'!$S$47=1,'Bonding Program'!$H$47&lt;='Bonding Program'!$C$8,BQ$3=IF('Bonding Program'!$P$47&lt;&gt;"",'Bonding Program'!$P$47,'Bonding Program'!$C$8)),'Bonding Program'!$Z$47,0)+IF(AND('Bonding Program'!$P$47&lt;&gt;"",BQ$3='Bonding Program'!$P$47,BQ$3&lt;='Bonding Program'!$C$8),N('Bonding Program'!$O$47),0)</f>
        <v>0</v>
      </c>
      <c r="BR188" s="19" t="n">
        <f aca="false">IF(AND('Bonding Program'!$S$47=1,'Bonding Program'!$H$47&gt;'Bonding Program'!$C$8,BR$3='Bonding Program'!$H$47),'Bonding Program'!$T$47-'Bonding Program'!$U$47-'Bonding Program'!$Z$47,0)-IF(AND('Bonding Program'!$S$47=1,'Bonding Program'!$H$47&lt;='Bonding Program'!$C$8,BR$3=IF('Bonding Program'!$P$47&lt;&gt;"",'Bonding Program'!$P$47,'Bonding Program'!$C$8)),'Bonding Program'!$Z$47,0)+IF(AND('Bonding Program'!$P$47&lt;&gt;"",BR$3='Bonding Program'!$P$47,BR$3&lt;='Bonding Program'!$C$8),N('Bonding Program'!$O$47),0)</f>
        <v>0</v>
      </c>
      <c r="BS188" s="19" t="n">
        <f aca="false">IF(AND('Bonding Program'!$S$47=1,'Bonding Program'!$H$47&gt;'Bonding Program'!$C$8,BS$3='Bonding Program'!$H$47),'Bonding Program'!$T$47-'Bonding Program'!$U$47-'Bonding Program'!$Z$47,0)-IF(AND('Bonding Program'!$S$47=1,'Bonding Program'!$H$47&lt;='Bonding Program'!$C$8,BS$3=IF('Bonding Program'!$P$47&lt;&gt;"",'Bonding Program'!$P$47,'Bonding Program'!$C$8)),'Bonding Program'!$Z$47,0)+IF(AND('Bonding Program'!$P$47&lt;&gt;"",BS$3='Bonding Program'!$P$47,BS$3&lt;='Bonding Program'!$C$8),N('Bonding Program'!$O$47),0)</f>
        <v>0</v>
      </c>
      <c r="BT188" s="19" t="n">
        <f aca="false">IF(AND('Bonding Program'!$S$47=1,'Bonding Program'!$H$47&gt;'Bonding Program'!$C$8,BT$3='Bonding Program'!$H$47),'Bonding Program'!$T$47-'Bonding Program'!$U$47-'Bonding Program'!$Z$47,0)-IF(AND('Bonding Program'!$S$47=1,'Bonding Program'!$H$47&lt;='Bonding Program'!$C$8,BT$3=IF('Bonding Program'!$P$47&lt;&gt;"",'Bonding Program'!$P$47,'Bonding Program'!$C$8)),'Bonding Program'!$Z$47,0)+IF(AND('Bonding Program'!$P$47&lt;&gt;"",BT$3='Bonding Program'!$P$47,BT$3&lt;='Bonding Program'!$C$8),N('Bonding Program'!$O$47),0)</f>
        <v>0</v>
      </c>
      <c r="BU188" s="19" t="n">
        <f aca="false">IF(AND('Bonding Program'!$S$47=1,'Bonding Program'!$H$47&gt;'Bonding Program'!$C$8,BU$3='Bonding Program'!$H$47),'Bonding Program'!$T$47-'Bonding Program'!$U$47-'Bonding Program'!$Z$47,0)-IF(AND('Bonding Program'!$S$47=1,'Bonding Program'!$H$47&lt;='Bonding Program'!$C$8,BU$3=IF('Bonding Program'!$P$47&lt;&gt;"",'Bonding Program'!$P$47,'Bonding Program'!$C$8)),'Bonding Program'!$Z$47,0)+IF(AND('Bonding Program'!$P$47&lt;&gt;"",BU$3='Bonding Program'!$P$47,BU$3&lt;='Bonding Program'!$C$8),N('Bonding Program'!$O$47),0)</f>
        <v>0</v>
      </c>
      <c r="BV188" s="19" t="n">
        <f aca="false">IF(AND('Bonding Program'!$S$47=1,'Bonding Program'!$H$47&gt;'Bonding Program'!$C$8,BV$3='Bonding Program'!$H$47),'Bonding Program'!$T$47-'Bonding Program'!$U$47-'Bonding Program'!$Z$47,0)-IF(AND('Bonding Program'!$S$47=1,'Bonding Program'!$H$47&lt;='Bonding Program'!$C$8,BV$3=IF('Bonding Program'!$P$47&lt;&gt;"",'Bonding Program'!$P$47,'Bonding Program'!$C$8)),'Bonding Program'!$Z$47,0)+IF(AND('Bonding Program'!$P$47&lt;&gt;"",BV$3='Bonding Program'!$P$47,BV$3&lt;='Bonding Program'!$C$8),N('Bonding Program'!$O$47),0)</f>
        <v>0</v>
      </c>
      <c r="BW188" s="19" t="n">
        <f aca="false">IF(AND('Bonding Program'!$S$47=1,'Bonding Program'!$H$47&gt;'Bonding Program'!$C$8,BW$3='Bonding Program'!$H$47),'Bonding Program'!$T$47-'Bonding Program'!$U$47-'Bonding Program'!$Z$47,0)-IF(AND('Bonding Program'!$S$47=1,'Bonding Program'!$H$47&lt;='Bonding Program'!$C$8,BW$3=IF('Bonding Program'!$P$47&lt;&gt;"",'Bonding Program'!$P$47,'Bonding Program'!$C$8)),'Bonding Program'!$Z$47,0)+IF(AND('Bonding Program'!$P$47&lt;&gt;"",BW$3='Bonding Program'!$P$47,BW$3&lt;='Bonding Program'!$C$8),N('Bonding Program'!$O$47),0)</f>
        <v>0</v>
      </c>
      <c r="BX188" s="19" t="n">
        <f aca="false">IF(AND('Bonding Program'!$S$47=1,'Bonding Program'!$H$47&gt;'Bonding Program'!$C$8,BX$3='Bonding Program'!$H$47),'Bonding Program'!$T$47-'Bonding Program'!$U$47-'Bonding Program'!$Z$47,0)-IF(AND('Bonding Program'!$S$47=1,'Bonding Program'!$H$47&lt;='Bonding Program'!$C$8,BX$3=IF('Bonding Program'!$P$47&lt;&gt;"",'Bonding Program'!$P$47,'Bonding Program'!$C$8)),'Bonding Program'!$Z$47,0)+IF(AND('Bonding Program'!$P$47&lt;&gt;"",BX$3='Bonding Program'!$P$47,BX$3&lt;='Bonding Program'!$C$8),N('Bonding Program'!$O$47),0)</f>
        <v>0</v>
      </c>
      <c r="BY188" s="19" t="n">
        <f aca="false">IF(AND('Bonding Program'!$S$47=1,'Bonding Program'!$H$47&gt;'Bonding Program'!$C$8,BY$3='Bonding Program'!$H$47),'Bonding Program'!$T$47-'Bonding Program'!$U$47-'Bonding Program'!$Z$47,0)-IF(AND('Bonding Program'!$S$47=1,'Bonding Program'!$H$47&lt;='Bonding Program'!$C$8,BY$3=IF('Bonding Program'!$P$47&lt;&gt;"",'Bonding Program'!$P$47,'Bonding Program'!$C$8)),'Bonding Program'!$Z$47,0)+IF(AND('Bonding Program'!$P$47&lt;&gt;"",BY$3='Bonding Program'!$P$47,BY$3&lt;='Bonding Program'!$C$8),N('Bonding Program'!$O$47),0)</f>
        <v>0</v>
      </c>
      <c r="BZ188" s="19" t="n">
        <f aca="false">IF(AND('Bonding Program'!$S$47=1,'Bonding Program'!$H$47&gt;'Bonding Program'!$C$8,BZ$3='Bonding Program'!$H$47),'Bonding Program'!$T$47-'Bonding Program'!$U$47-'Bonding Program'!$Z$47,0)-IF(AND('Bonding Program'!$S$47=1,'Bonding Program'!$H$47&lt;='Bonding Program'!$C$8,BZ$3=IF('Bonding Program'!$P$47&lt;&gt;"",'Bonding Program'!$P$47,'Bonding Program'!$C$8)),'Bonding Program'!$Z$47,0)+IF(AND('Bonding Program'!$P$47&lt;&gt;"",BZ$3='Bonding Program'!$P$47,BZ$3&lt;='Bonding Program'!$C$8),N('Bonding Program'!$O$47),0)</f>
        <v>0</v>
      </c>
      <c r="CA188" s="19" t="n">
        <f aca="false">IF(AND('Bonding Program'!$S$47=1,'Bonding Program'!$H$47&gt;'Bonding Program'!$C$8,CA$3='Bonding Program'!$H$47),'Bonding Program'!$T$47-'Bonding Program'!$U$47-'Bonding Program'!$Z$47,0)-IF(AND('Bonding Program'!$S$47=1,'Bonding Program'!$H$47&lt;='Bonding Program'!$C$8,CA$3=IF('Bonding Program'!$P$47&lt;&gt;"",'Bonding Program'!$P$47,'Bonding Program'!$C$8)),'Bonding Program'!$Z$47,0)+IF(AND('Bonding Program'!$P$47&lt;&gt;"",CA$3='Bonding Program'!$P$47,CA$3&lt;='Bonding Program'!$C$8),N('Bonding Program'!$O$47),0)</f>
        <v>0</v>
      </c>
      <c r="CB188" s="19" t="n">
        <f aca="false">IF(AND('Bonding Program'!$S$47=1,'Bonding Program'!$H$47&gt;'Bonding Program'!$C$8,CB$3='Bonding Program'!$H$47),'Bonding Program'!$T$47-'Bonding Program'!$U$47-'Bonding Program'!$Z$47,0)-IF(AND('Bonding Program'!$S$47=1,'Bonding Program'!$H$47&lt;='Bonding Program'!$C$8,CB$3=IF('Bonding Program'!$P$47&lt;&gt;"",'Bonding Program'!$P$47,'Bonding Program'!$C$8)),'Bonding Program'!$Z$47,0)+IF(AND('Bonding Program'!$P$47&lt;&gt;"",CB$3='Bonding Program'!$P$47,CB$3&lt;='Bonding Program'!$C$8),N('Bonding Program'!$O$47),0)</f>
        <v>0</v>
      </c>
      <c r="CC188" s="19" t="n">
        <f aca="false">IF(AND('Bonding Program'!$S$47=1,'Bonding Program'!$H$47&gt;'Bonding Program'!$C$8,CC$3='Bonding Program'!$H$47),'Bonding Program'!$T$47-'Bonding Program'!$U$47-'Bonding Program'!$Z$47,0)-IF(AND('Bonding Program'!$S$47=1,'Bonding Program'!$H$47&lt;='Bonding Program'!$C$8,CC$3=IF('Bonding Program'!$P$47&lt;&gt;"",'Bonding Program'!$P$47,'Bonding Program'!$C$8)),'Bonding Program'!$Z$47,0)+IF(AND('Bonding Program'!$P$47&lt;&gt;"",CC$3='Bonding Program'!$P$47,CC$3&lt;='Bonding Program'!$C$8),N('Bonding Program'!$O$47),0)</f>
        <v>0</v>
      </c>
      <c r="CD188" s="19" t="n">
        <f aca="false">IF(AND('Bonding Program'!$S$47=1,'Bonding Program'!$H$47&gt;'Bonding Program'!$C$8,CD$3='Bonding Program'!$H$47),'Bonding Program'!$T$47-'Bonding Program'!$U$47-'Bonding Program'!$Z$47,0)-IF(AND('Bonding Program'!$S$47=1,'Bonding Program'!$H$47&lt;='Bonding Program'!$C$8,CD$3=IF('Bonding Program'!$P$47&lt;&gt;"",'Bonding Program'!$P$47,'Bonding Program'!$C$8)),'Bonding Program'!$Z$47,0)+IF(AND('Bonding Program'!$P$47&lt;&gt;"",CD$3='Bonding Program'!$P$47,CD$3&lt;='Bonding Program'!$C$8),N('Bonding Program'!$O$47),0)</f>
        <v>0</v>
      </c>
      <c r="CE188" s="19" t="n">
        <f aca="false">IF(AND('Bonding Program'!$S$47=1,'Bonding Program'!$H$47&gt;'Bonding Program'!$C$8,CE$3='Bonding Program'!$H$47),'Bonding Program'!$T$47-'Bonding Program'!$U$47-'Bonding Program'!$Z$47,0)-IF(AND('Bonding Program'!$S$47=1,'Bonding Program'!$H$47&lt;='Bonding Program'!$C$8,CE$3=IF('Bonding Program'!$P$47&lt;&gt;"",'Bonding Program'!$P$47,'Bonding Program'!$C$8)),'Bonding Program'!$Z$47,0)+IF(AND('Bonding Program'!$P$47&lt;&gt;"",CE$3='Bonding Program'!$P$47,CE$3&lt;='Bonding Program'!$C$8),N('Bonding Program'!$O$47),0)</f>
        <v>0</v>
      </c>
      <c r="CF188" s="19" t="n">
        <f aca="false">IF(AND('Bonding Program'!$S$47=1,'Bonding Program'!$H$47&gt;'Bonding Program'!$C$8,CF$3='Bonding Program'!$H$47),'Bonding Program'!$T$47-'Bonding Program'!$U$47-'Bonding Program'!$Z$47,0)-IF(AND('Bonding Program'!$S$47=1,'Bonding Program'!$H$47&lt;='Bonding Program'!$C$8,CF$3=IF('Bonding Program'!$P$47&lt;&gt;"",'Bonding Program'!$P$47,'Bonding Program'!$C$8)),'Bonding Program'!$Z$47,0)+IF(AND('Bonding Program'!$P$47&lt;&gt;"",CF$3='Bonding Program'!$P$47,CF$3&lt;='Bonding Program'!$C$8),N('Bonding Program'!$O$47),0)</f>
        <v>0</v>
      </c>
      <c r="CG188" s="19" t="n">
        <f aca="false">IF(AND('Bonding Program'!$S$47=1,'Bonding Program'!$H$47&gt;'Bonding Program'!$C$8,CG$3='Bonding Program'!$H$47),'Bonding Program'!$T$47-'Bonding Program'!$U$47-'Bonding Program'!$Z$47,0)-IF(AND('Bonding Program'!$S$47=1,'Bonding Program'!$H$47&lt;='Bonding Program'!$C$8,CG$3=IF('Bonding Program'!$P$47&lt;&gt;"",'Bonding Program'!$P$47,'Bonding Program'!$C$8)),'Bonding Program'!$Z$47,0)+IF(AND('Bonding Program'!$P$47&lt;&gt;"",CG$3='Bonding Program'!$P$47,CG$3&lt;='Bonding Program'!$C$8),N('Bonding Program'!$O$47),0)</f>
        <v>0</v>
      </c>
      <c r="CH188" s="19" t="n">
        <f aca="false">IF(AND('Bonding Program'!$S$47=1,'Bonding Program'!$H$47&gt;'Bonding Program'!$C$8,CH$3='Bonding Program'!$H$47),'Bonding Program'!$T$47-'Bonding Program'!$U$47-'Bonding Program'!$Z$47,0)-IF(AND('Bonding Program'!$S$47=1,'Bonding Program'!$H$47&lt;='Bonding Program'!$C$8,CH$3=IF('Bonding Program'!$P$47&lt;&gt;"",'Bonding Program'!$P$47,'Bonding Program'!$C$8)),'Bonding Program'!$Z$47,0)+IF(AND('Bonding Program'!$P$47&lt;&gt;"",CH$3='Bonding Program'!$P$47,CH$3&lt;='Bonding Program'!$C$8),N('Bonding Program'!$O$47),0)</f>
        <v>0</v>
      </c>
      <c r="CI188" s="19" t="n">
        <f aca="false">IF(AND('Bonding Program'!$S$47=1,'Bonding Program'!$H$47&gt;'Bonding Program'!$C$8,CI$3='Bonding Program'!$H$47),'Bonding Program'!$T$47-'Bonding Program'!$U$47-'Bonding Program'!$Z$47,0)-IF(AND('Bonding Program'!$S$47=1,'Bonding Program'!$H$47&lt;='Bonding Program'!$C$8,CI$3=IF('Bonding Program'!$P$47&lt;&gt;"",'Bonding Program'!$P$47,'Bonding Program'!$C$8)),'Bonding Program'!$Z$47,0)+IF(AND('Bonding Program'!$P$47&lt;&gt;"",CI$3='Bonding Program'!$P$47,CI$3&lt;='Bonding Program'!$C$8),N('Bonding Program'!$O$47),0)</f>
        <v>0</v>
      </c>
      <c r="CJ188" s="19" t="n">
        <f aca="false">IF(AND('Bonding Program'!$S$47=1,'Bonding Program'!$H$47&gt;'Bonding Program'!$C$8,CJ$3='Bonding Program'!$H$47),'Bonding Program'!$T$47-'Bonding Program'!$U$47-'Bonding Program'!$Z$47,0)-IF(AND('Bonding Program'!$S$47=1,'Bonding Program'!$H$47&lt;='Bonding Program'!$C$8,CJ$3=IF('Bonding Program'!$P$47&lt;&gt;"",'Bonding Program'!$P$47,'Bonding Program'!$C$8)),'Bonding Program'!$Z$47,0)+IF(AND('Bonding Program'!$P$47&lt;&gt;"",CJ$3='Bonding Program'!$P$47,CJ$3&lt;='Bonding Program'!$C$8),N('Bonding Program'!$O$47),0)</f>
        <v>0</v>
      </c>
      <c r="CK188" s="19" t="n">
        <f aca="false">IF(AND('Bonding Program'!$S$47=1,'Bonding Program'!$H$47&gt;'Bonding Program'!$C$8,CK$3='Bonding Program'!$H$47),'Bonding Program'!$T$47-'Bonding Program'!$U$47-'Bonding Program'!$Z$47,0)-IF(AND('Bonding Program'!$S$47=1,'Bonding Program'!$H$47&lt;='Bonding Program'!$C$8,CK$3=IF('Bonding Program'!$P$47&lt;&gt;"",'Bonding Program'!$P$47,'Bonding Program'!$C$8)),'Bonding Program'!$Z$47,0)+IF(AND('Bonding Program'!$P$47&lt;&gt;"",CK$3='Bonding Program'!$P$47,CK$3&lt;='Bonding Program'!$C$8),N('Bonding Program'!$O$47),0)</f>
        <v>0</v>
      </c>
      <c r="CL188" s="19" t="n">
        <f aca="false">IF(AND('Bonding Program'!$S$47=1,'Bonding Program'!$H$47&gt;'Bonding Program'!$C$8,CL$3='Bonding Program'!$H$47),'Bonding Program'!$T$47-'Bonding Program'!$U$47-'Bonding Program'!$Z$47,0)-IF(AND('Bonding Program'!$S$47=1,'Bonding Program'!$H$47&lt;='Bonding Program'!$C$8,CL$3=IF('Bonding Program'!$P$47&lt;&gt;"",'Bonding Program'!$P$47,'Bonding Program'!$C$8)),'Bonding Program'!$Z$47,0)+IF(AND('Bonding Program'!$P$47&lt;&gt;"",CL$3='Bonding Program'!$P$47,CL$3&lt;='Bonding Program'!$C$8),N('Bonding Program'!$O$47),0)</f>
        <v>0</v>
      </c>
      <c r="CM188" s="19" t="n">
        <f aca="false">IF(AND('Bonding Program'!$S$47=1,'Bonding Program'!$H$47&gt;'Bonding Program'!$C$8,CM$3='Bonding Program'!$H$47),'Bonding Program'!$T$47-'Bonding Program'!$U$47-'Bonding Program'!$Z$47,0)-IF(AND('Bonding Program'!$S$47=1,'Bonding Program'!$H$47&lt;='Bonding Program'!$C$8,CM$3=IF('Bonding Program'!$P$47&lt;&gt;"",'Bonding Program'!$P$47,'Bonding Program'!$C$8)),'Bonding Program'!$Z$47,0)+IF(AND('Bonding Program'!$P$47&lt;&gt;"",CM$3='Bonding Program'!$P$47,CM$3&lt;='Bonding Program'!$C$8),N('Bonding Program'!$O$47),0)</f>
        <v>0</v>
      </c>
      <c r="CN188" s="19" t="n">
        <f aca="false">IF(AND('Bonding Program'!$S$47=1,'Bonding Program'!$H$47&gt;'Bonding Program'!$C$8,CN$3='Bonding Program'!$H$47),'Bonding Program'!$T$47-'Bonding Program'!$U$47-'Bonding Program'!$Z$47,0)-IF(AND('Bonding Program'!$S$47=1,'Bonding Program'!$H$47&lt;='Bonding Program'!$C$8,CN$3=IF('Bonding Program'!$P$47&lt;&gt;"",'Bonding Program'!$P$47,'Bonding Program'!$C$8)),'Bonding Program'!$Z$47,0)+IF(AND('Bonding Program'!$P$47&lt;&gt;"",CN$3='Bonding Program'!$P$47,CN$3&lt;='Bonding Program'!$C$8),N('Bonding Program'!$O$47),0)</f>
        <v>0</v>
      </c>
      <c r="CO188" s="19" t="n">
        <f aca="false">IF(AND('Bonding Program'!$S$47=1,'Bonding Program'!$H$47&gt;'Bonding Program'!$C$8,CO$3='Bonding Program'!$H$47),'Bonding Program'!$T$47-'Bonding Program'!$U$47-'Bonding Program'!$Z$47,0)-IF(AND('Bonding Program'!$S$47=1,'Bonding Program'!$H$47&lt;='Bonding Program'!$C$8,CO$3=IF('Bonding Program'!$P$47&lt;&gt;"",'Bonding Program'!$P$47,'Bonding Program'!$C$8)),'Bonding Program'!$Z$47,0)+IF(AND('Bonding Program'!$P$47&lt;&gt;"",CO$3='Bonding Program'!$P$47,CO$3&lt;='Bonding Program'!$C$8),N('Bonding Program'!$O$47),0)</f>
        <v>0</v>
      </c>
      <c r="CP188" s="19" t="n">
        <f aca="false">IF(AND('Bonding Program'!$S$47=1,'Bonding Program'!$H$47&gt;'Bonding Program'!$C$8,CP$3='Bonding Program'!$H$47),'Bonding Program'!$T$47-'Bonding Program'!$U$47-'Bonding Program'!$Z$47,0)-IF(AND('Bonding Program'!$S$47=1,'Bonding Program'!$H$47&lt;='Bonding Program'!$C$8,CP$3=IF('Bonding Program'!$P$47&lt;&gt;"",'Bonding Program'!$P$47,'Bonding Program'!$C$8)),'Bonding Program'!$Z$47,0)+IF(AND('Bonding Program'!$P$47&lt;&gt;"",CP$3='Bonding Program'!$P$47,CP$3&lt;='Bonding Program'!$C$8),N('Bonding Program'!$O$47),0)</f>
        <v>0</v>
      </c>
      <c r="CQ188" s="19" t="n">
        <f aca="false">IF(AND('Bonding Program'!$S$47=1,'Bonding Program'!$H$47&gt;'Bonding Program'!$C$8,CQ$3='Bonding Program'!$H$47),'Bonding Program'!$T$47-'Bonding Program'!$U$47-'Bonding Program'!$Z$47,0)-IF(AND('Bonding Program'!$S$47=1,'Bonding Program'!$H$47&lt;='Bonding Program'!$C$8,CQ$3=IF('Bonding Program'!$P$47&lt;&gt;"",'Bonding Program'!$P$47,'Bonding Program'!$C$8)),'Bonding Program'!$Z$47,0)+IF(AND('Bonding Program'!$P$47&lt;&gt;"",CQ$3='Bonding Program'!$P$47,CQ$3&lt;='Bonding Program'!$C$8),N('Bonding Program'!$O$47),0)</f>
        <v>0</v>
      </c>
      <c r="CR188" s="19" t="n">
        <f aca="false">IF(AND('Bonding Program'!$S$47=1,'Bonding Program'!$H$47&gt;'Bonding Program'!$C$8,CR$3='Bonding Program'!$H$47),'Bonding Program'!$T$47-'Bonding Program'!$U$47-'Bonding Program'!$Z$47,0)-IF(AND('Bonding Program'!$S$47=1,'Bonding Program'!$H$47&lt;='Bonding Program'!$C$8,CR$3=IF('Bonding Program'!$P$47&lt;&gt;"",'Bonding Program'!$P$47,'Bonding Program'!$C$8)),'Bonding Program'!$Z$47,0)+IF(AND('Bonding Program'!$P$47&lt;&gt;"",CR$3='Bonding Program'!$P$47,CR$3&lt;='Bonding Program'!$C$8),N('Bonding Program'!$O$47),0)</f>
        <v>0</v>
      </c>
      <c r="CS188" s="19" t="n">
        <f aca="false">IF(AND('Bonding Program'!$S$47=1,'Bonding Program'!$H$47&gt;'Bonding Program'!$C$8,CS$3='Bonding Program'!$H$47),'Bonding Program'!$T$47-'Bonding Program'!$U$47-'Bonding Program'!$Z$47,0)-IF(AND('Bonding Program'!$S$47=1,'Bonding Program'!$H$47&lt;='Bonding Program'!$C$8,CS$3=IF('Bonding Program'!$P$47&lt;&gt;"",'Bonding Program'!$P$47,'Bonding Program'!$C$8)),'Bonding Program'!$Z$47,0)+IF(AND('Bonding Program'!$P$47&lt;&gt;"",CS$3='Bonding Program'!$P$47,CS$3&lt;='Bonding Program'!$C$8),N('Bonding Program'!$O$47),0)</f>
        <v>0</v>
      </c>
      <c r="CT188" s="19" t="n">
        <f aca="false">IF(AND('Bonding Program'!$S$47=1,'Bonding Program'!$H$47&gt;'Bonding Program'!$C$8,CT$3='Bonding Program'!$H$47),'Bonding Program'!$T$47-'Bonding Program'!$U$47-'Bonding Program'!$Z$47,0)-IF(AND('Bonding Program'!$S$47=1,'Bonding Program'!$H$47&lt;='Bonding Program'!$C$8,CT$3=IF('Bonding Program'!$P$47&lt;&gt;"",'Bonding Program'!$P$47,'Bonding Program'!$C$8)),'Bonding Program'!$Z$47,0)+IF(AND('Bonding Program'!$P$47&lt;&gt;"",CT$3='Bonding Program'!$P$47,CT$3&lt;='Bonding Program'!$C$8),N('Bonding Program'!$O$47),0)</f>
        <v>0</v>
      </c>
      <c r="CU188" s="19" t="n">
        <f aca="false">IF(AND('Bonding Program'!$S$47=1,'Bonding Program'!$H$47&gt;'Bonding Program'!$C$8,CU$3='Bonding Program'!$H$47),'Bonding Program'!$T$47-'Bonding Program'!$U$47-'Bonding Program'!$Z$47,0)-IF(AND('Bonding Program'!$S$47=1,'Bonding Program'!$H$47&lt;='Bonding Program'!$C$8,CU$3=IF('Bonding Program'!$P$47&lt;&gt;"",'Bonding Program'!$P$47,'Bonding Program'!$C$8)),'Bonding Program'!$Z$47,0)+IF(AND('Bonding Program'!$P$47&lt;&gt;"",CU$3='Bonding Program'!$P$47,CU$3&lt;='Bonding Program'!$C$8),N('Bonding Program'!$O$47),0)</f>
        <v>0</v>
      </c>
      <c r="CV188" s="19" t="n">
        <f aca="false">IF(AND('Bonding Program'!$S$47=1,'Bonding Program'!$H$47&gt;'Bonding Program'!$C$8,CV$3='Bonding Program'!$H$47),'Bonding Program'!$T$47-'Bonding Program'!$U$47-'Bonding Program'!$Z$47,0)-IF(AND('Bonding Program'!$S$47=1,'Bonding Program'!$H$47&lt;='Bonding Program'!$C$8,CV$3=IF('Bonding Program'!$P$47&lt;&gt;"",'Bonding Program'!$P$47,'Bonding Program'!$C$8)),'Bonding Program'!$Z$47,0)+IF(AND('Bonding Program'!$P$47&lt;&gt;"",CV$3='Bonding Program'!$P$47,CV$3&lt;='Bonding Program'!$C$8),N('Bonding Program'!$O$47),0)</f>
        <v>0</v>
      </c>
      <c r="CW188" s="19" t="n">
        <f aca="false">IF(AND('Bonding Program'!$S$47=1,'Bonding Program'!$H$47&gt;'Bonding Program'!$C$8,CW$3='Bonding Program'!$H$47),'Bonding Program'!$T$47-'Bonding Program'!$U$47-'Bonding Program'!$Z$47,0)-IF(AND('Bonding Program'!$S$47=1,'Bonding Program'!$H$47&lt;='Bonding Program'!$C$8,CW$3=IF('Bonding Program'!$P$47&lt;&gt;"",'Bonding Program'!$P$47,'Bonding Program'!$C$8)),'Bonding Program'!$Z$47,0)+IF(AND('Bonding Program'!$P$47&lt;&gt;"",CW$3='Bonding Program'!$P$47,CW$3&lt;='Bonding Program'!$C$8),N('Bonding Program'!$O$47),0)</f>
        <v>0</v>
      </c>
      <c r="CX188" s="19" t="n">
        <f aca="false">IF(AND('Bonding Program'!$S$47=1,'Bonding Program'!$H$47&gt;'Bonding Program'!$C$8,CX$3='Bonding Program'!$H$47),'Bonding Program'!$T$47-'Bonding Program'!$U$47-'Bonding Program'!$Z$47,0)-IF(AND('Bonding Program'!$S$47=1,'Bonding Program'!$H$47&lt;='Bonding Program'!$C$8,CX$3=IF('Bonding Program'!$P$47&lt;&gt;"",'Bonding Program'!$P$47,'Bonding Program'!$C$8)),'Bonding Program'!$Z$47,0)+IF(AND('Bonding Program'!$P$47&lt;&gt;"",CX$3='Bonding Program'!$P$47,CX$3&lt;='Bonding Program'!$C$8),N('Bonding Program'!$O$47),0)</f>
        <v>0</v>
      </c>
      <c r="CY188" s="19" t="n">
        <f aca="false">IF(AND('Bonding Program'!$S$47=1,'Bonding Program'!$H$47&gt;'Bonding Program'!$C$8,CY$3='Bonding Program'!$H$47),'Bonding Program'!$T$47-'Bonding Program'!$U$47-'Bonding Program'!$Z$47,0)-IF(AND('Bonding Program'!$S$47=1,'Bonding Program'!$H$47&lt;='Bonding Program'!$C$8,CY$3=IF('Bonding Program'!$P$47&lt;&gt;"",'Bonding Program'!$P$47,'Bonding Program'!$C$8)),'Bonding Program'!$Z$47,0)+IF(AND('Bonding Program'!$P$47&lt;&gt;"",CY$3='Bonding Program'!$P$47,CY$3&lt;='Bonding Program'!$C$8),N('Bonding Program'!$O$47),0)</f>
        <v>0</v>
      </c>
      <c r="CZ188" s="19" t="n">
        <f aca="false">IF(AND('Bonding Program'!$S$47=1,'Bonding Program'!$H$47&gt;'Bonding Program'!$C$8,CZ$3='Bonding Program'!$H$47),'Bonding Program'!$T$47-'Bonding Program'!$U$47-'Bonding Program'!$Z$47,0)-IF(AND('Bonding Program'!$S$47=1,'Bonding Program'!$H$47&lt;='Bonding Program'!$C$8,CZ$3=IF('Bonding Program'!$P$47&lt;&gt;"",'Bonding Program'!$P$47,'Bonding Program'!$C$8)),'Bonding Program'!$Z$47,0)+IF(AND('Bonding Program'!$P$47&lt;&gt;"",CZ$3='Bonding Program'!$P$47,CZ$3&lt;='Bonding Program'!$C$8),N('Bonding Program'!$O$47),0)</f>
        <v>0</v>
      </c>
      <c r="DA188" s="19" t="n">
        <f aca="false">IF(AND('Bonding Program'!$S$47=1,'Bonding Program'!$H$47&gt;'Bonding Program'!$C$8,DA$3='Bonding Program'!$H$47),'Bonding Program'!$T$47-'Bonding Program'!$U$47-'Bonding Program'!$Z$47,0)-IF(AND('Bonding Program'!$S$47=1,'Bonding Program'!$H$47&lt;='Bonding Program'!$C$8,DA$3=IF('Bonding Program'!$P$47&lt;&gt;"",'Bonding Program'!$P$47,'Bonding Program'!$C$8)),'Bonding Program'!$Z$47,0)+IF(AND('Bonding Program'!$P$47&lt;&gt;"",DA$3='Bonding Program'!$P$47,DA$3&lt;='Bonding Program'!$C$8),N('Bonding Program'!$O$47),0)</f>
        <v>0</v>
      </c>
      <c r="DB188" s="19" t="n">
        <f aca="false">IF(AND('Bonding Program'!$S$47=1,'Bonding Program'!$H$47&gt;'Bonding Program'!$C$8,DB$3='Bonding Program'!$H$47),'Bonding Program'!$T$47-'Bonding Program'!$U$47-'Bonding Program'!$Z$47,0)-IF(AND('Bonding Program'!$S$47=1,'Bonding Program'!$H$47&lt;='Bonding Program'!$C$8,DB$3=IF('Bonding Program'!$P$47&lt;&gt;"",'Bonding Program'!$P$47,'Bonding Program'!$C$8)),'Bonding Program'!$Z$47,0)+IF(AND('Bonding Program'!$P$47&lt;&gt;"",DB$3='Bonding Program'!$P$47,DB$3&lt;='Bonding Program'!$C$8),N('Bonding Program'!$O$47),0)</f>
        <v>0</v>
      </c>
      <c r="DC188" s="19" t="n">
        <f aca="false">IF(AND('Bonding Program'!$S$47=1,'Bonding Program'!$H$47&gt;'Bonding Program'!$C$8,DC$3='Bonding Program'!$H$47),'Bonding Program'!$T$47-'Bonding Program'!$U$47-'Bonding Program'!$Z$47,0)-IF(AND('Bonding Program'!$S$47=1,'Bonding Program'!$H$47&lt;='Bonding Program'!$C$8,DC$3=IF('Bonding Program'!$P$47&lt;&gt;"",'Bonding Program'!$P$47,'Bonding Program'!$C$8)),'Bonding Program'!$Z$47,0)+IF(AND('Bonding Program'!$P$47&lt;&gt;"",DC$3='Bonding Program'!$P$47,DC$3&lt;='Bonding Program'!$C$8),N('Bonding Program'!$O$47),0)</f>
        <v>0</v>
      </c>
      <c r="DD188" s="19" t="n">
        <f aca="false">IF(AND('Bonding Program'!$S$47=1,'Bonding Program'!$H$47&gt;'Bonding Program'!$C$8,DD$3='Bonding Program'!$H$47),'Bonding Program'!$T$47-'Bonding Program'!$U$47-'Bonding Program'!$Z$47,0)-IF(AND('Bonding Program'!$S$47=1,'Bonding Program'!$H$47&lt;='Bonding Program'!$C$8,DD$3=IF('Bonding Program'!$P$47&lt;&gt;"",'Bonding Program'!$P$47,'Bonding Program'!$C$8)),'Bonding Program'!$Z$47,0)+IF(AND('Bonding Program'!$P$47&lt;&gt;"",DD$3='Bonding Program'!$P$47,DD$3&lt;='Bonding Program'!$C$8),N('Bonding Program'!$O$47),0)</f>
        <v>0</v>
      </c>
      <c r="DE188" s="19" t="n">
        <f aca="false">IF(AND('Bonding Program'!$S$47=1,'Bonding Program'!$H$47&gt;'Bonding Program'!$C$8,DE$3='Bonding Program'!$H$47),'Bonding Program'!$T$47-'Bonding Program'!$U$47-'Bonding Program'!$Z$47,0)-IF(AND('Bonding Program'!$S$47=1,'Bonding Program'!$H$47&lt;='Bonding Program'!$C$8,DE$3=IF('Bonding Program'!$P$47&lt;&gt;"",'Bonding Program'!$P$47,'Bonding Program'!$C$8)),'Bonding Program'!$Z$47,0)+IF(AND('Bonding Program'!$P$47&lt;&gt;"",DE$3='Bonding Program'!$P$47,DE$3&lt;='Bonding Program'!$C$8),N('Bonding Program'!$O$47),0)</f>
        <v>0</v>
      </c>
    </row>
    <row r="189" customFormat="false" ht="15" hidden="false" customHeight="true" outlineLevel="1" collapsed="false">
      <c r="A189" s="28" t="s">
        <v>44</v>
      </c>
      <c r="B189" s="19" t="n">
        <f aca="false">IF(AND('Bonding Program'!$S$48=1,'Bonding Program'!$H$48&gt;'Bonding Program'!$C$8,B$3='Bonding Program'!$H$48),'Bonding Program'!$T$48-'Bonding Program'!$U$48-'Bonding Program'!$Z$48,0)-IF(AND('Bonding Program'!$S$48=1,'Bonding Program'!$H$48&lt;='Bonding Program'!$C$8,B$3=IF('Bonding Program'!$P$48&lt;&gt;"",'Bonding Program'!$P$48,'Bonding Program'!$C$8)),'Bonding Program'!$Z$48,0)+IF(AND('Bonding Program'!$P$48&lt;&gt;"",B$3='Bonding Program'!$P$48,B$3&lt;='Bonding Program'!$C$8),N('Bonding Program'!$O$48),0)</f>
        <v>0</v>
      </c>
      <c r="C189" s="19" t="n">
        <f aca="false">IF(AND('Bonding Program'!$S$48=1,'Bonding Program'!$H$48&gt;'Bonding Program'!$C$8,C$3='Bonding Program'!$H$48),'Bonding Program'!$T$48-'Bonding Program'!$U$48-'Bonding Program'!$Z$48,0)-IF(AND('Bonding Program'!$S$48=1,'Bonding Program'!$H$48&lt;='Bonding Program'!$C$8,C$3=IF('Bonding Program'!$P$48&lt;&gt;"",'Bonding Program'!$P$48,'Bonding Program'!$C$8)),'Bonding Program'!$Z$48,0)+IF(AND('Bonding Program'!$P$48&lt;&gt;"",C$3='Bonding Program'!$P$48,C$3&lt;='Bonding Program'!$C$8),N('Bonding Program'!$O$48),0)</f>
        <v>0</v>
      </c>
      <c r="D189" s="19" t="n">
        <f aca="false">IF(AND('Bonding Program'!$S$48=1,'Bonding Program'!$H$48&gt;'Bonding Program'!$C$8,D$3='Bonding Program'!$H$48),'Bonding Program'!$T$48-'Bonding Program'!$U$48-'Bonding Program'!$Z$48,0)-IF(AND('Bonding Program'!$S$48=1,'Bonding Program'!$H$48&lt;='Bonding Program'!$C$8,D$3=IF('Bonding Program'!$P$48&lt;&gt;"",'Bonding Program'!$P$48,'Bonding Program'!$C$8)),'Bonding Program'!$Z$48,0)+IF(AND('Bonding Program'!$P$48&lt;&gt;"",D$3='Bonding Program'!$P$48,D$3&lt;='Bonding Program'!$C$8),N('Bonding Program'!$O$48),0)</f>
        <v>0</v>
      </c>
      <c r="E189" s="19" t="n">
        <f aca="false">IF(AND('Bonding Program'!$S$48=1,'Bonding Program'!$H$48&gt;'Bonding Program'!$C$8,E$3='Bonding Program'!$H$48),'Bonding Program'!$T$48-'Bonding Program'!$U$48-'Bonding Program'!$Z$48,0)-IF(AND('Bonding Program'!$S$48=1,'Bonding Program'!$H$48&lt;='Bonding Program'!$C$8,E$3=IF('Bonding Program'!$P$48&lt;&gt;"",'Bonding Program'!$P$48,'Bonding Program'!$C$8)),'Bonding Program'!$Z$48,0)+IF(AND('Bonding Program'!$P$48&lt;&gt;"",E$3='Bonding Program'!$P$48,E$3&lt;='Bonding Program'!$C$8),N('Bonding Program'!$O$48),0)</f>
        <v>0</v>
      </c>
      <c r="F189" s="19" t="n">
        <f aca="false">IF(AND('Bonding Program'!$S$48=1,'Bonding Program'!$H$48&gt;'Bonding Program'!$C$8,F$3='Bonding Program'!$H$48),'Bonding Program'!$T$48-'Bonding Program'!$U$48-'Bonding Program'!$Z$48,0)-IF(AND('Bonding Program'!$S$48=1,'Bonding Program'!$H$48&lt;='Bonding Program'!$C$8,F$3=IF('Bonding Program'!$P$48&lt;&gt;"",'Bonding Program'!$P$48,'Bonding Program'!$C$8)),'Bonding Program'!$Z$48,0)+IF(AND('Bonding Program'!$P$48&lt;&gt;"",F$3='Bonding Program'!$P$48,F$3&lt;='Bonding Program'!$C$8),N('Bonding Program'!$O$48),0)</f>
        <v>0</v>
      </c>
      <c r="G189" s="19" t="n">
        <f aca="false">IF(AND('Bonding Program'!$S$48=1,'Bonding Program'!$H$48&gt;'Bonding Program'!$C$8,G$3='Bonding Program'!$H$48),'Bonding Program'!$T$48-'Bonding Program'!$U$48-'Bonding Program'!$Z$48,0)-IF(AND('Bonding Program'!$S$48=1,'Bonding Program'!$H$48&lt;='Bonding Program'!$C$8,G$3=IF('Bonding Program'!$P$48&lt;&gt;"",'Bonding Program'!$P$48,'Bonding Program'!$C$8)),'Bonding Program'!$Z$48,0)+IF(AND('Bonding Program'!$P$48&lt;&gt;"",G$3='Bonding Program'!$P$48,G$3&lt;='Bonding Program'!$C$8),N('Bonding Program'!$O$48),0)</f>
        <v>0</v>
      </c>
      <c r="H189" s="19" t="n">
        <f aca="false">IF(AND('Bonding Program'!$S$48=1,'Bonding Program'!$H$48&gt;'Bonding Program'!$C$8,H$3='Bonding Program'!$H$48),'Bonding Program'!$T$48-'Bonding Program'!$U$48-'Bonding Program'!$Z$48,0)-IF(AND('Bonding Program'!$S$48=1,'Bonding Program'!$H$48&lt;='Bonding Program'!$C$8,H$3=IF('Bonding Program'!$P$48&lt;&gt;"",'Bonding Program'!$P$48,'Bonding Program'!$C$8)),'Bonding Program'!$Z$48,0)+IF(AND('Bonding Program'!$P$48&lt;&gt;"",H$3='Bonding Program'!$P$48,H$3&lt;='Bonding Program'!$C$8),N('Bonding Program'!$O$48),0)</f>
        <v>0</v>
      </c>
      <c r="I189" s="19" t="n">
        <f aca="false">IF(AND('Bonding Program'!$S$48=1,'Bonding Program'!$H$48&gt;'Bonding Program'!$C$8,I$3='Bonding Program'!$H$48),'Bonding Program'!$T$48-'Bonding Program'!$U$48-'Bonding Program'!$Z$48,0)-IF(AND('Bonding Program'!$S$48=1,'Bonding Program'!$H$48&lt;='Bonding Program'!$C$8,I$3=IF('Bonding Program'!$P$48&lt;&gt;"",'Bonding Program'!$P$48,'Bonding Program'!$C$8)),'Bonding Program'!$Z$48,0)+IF(AND('Bonding Program'!$P$48&lt;&gt;"",I$3='Bonding Program'!$P$48,I$3&lt;='Bonding Program'!$C$8),N('Bonding Program'!$O$48),0)</f>
        <v>0</v>
      </c>
      <c r="J189" s="19" t="n">
        <f aca="false">IF(AND('Bonding Program'!$S$48=1,'Bonding Program'!$H$48&gt;'Bonding Program'!$C$8,J$3='Bonding Program'!$H$48),'Bonding Program'!$T$48-'Bonding Program'!$U$48-'Bonding Program'!$Z$48,0)-IF(AND('Bonding Program'!$S$48=1,'Bonding Program'!$H$48&lt;='Bonding Program'!$C$8,J$3=IF('Bonding Program'!$P$48&lt;&gt;"",'Bonding Program'!$P$48,'Bonding Program'!$C$8)),'Bonding Program'!$Z$48,0)+IF(AND('Bonding Program'!$P$48&lt;&gt;"",J$3='Bonding Program'!$P$48,J$3&lt;='Bonding Program'!$C$8),N('Bonding Program'!$O$48),0)</f>
        <v>0</v>
      </c>
      <c r="K189" s="19" t="n">
        <f aca="false">IF(AND('Bonding Program'!$S$48=1,'Bonding Program'!$H$48&gt;'Bonding Program'!$C$8,K$3='Bonding Program'!$H$48),'Bonding Program'!$T$48-'Bonding Program'!$U$48-'Bonding Program'!$Z$48,0)-IF(AND('Bonding Program'!$S$48=1,'Bonding Program'!$H$48&lt;='Bonding Program'!$C$8,K$3=IF('Bonding Program'!$P$48&lt;&gt;"",'Bonding Program'!$P$48,'Bonding Program'!$C$8)),'Bonding Program'!$Z$48,0)+IF(AND('Bonding Program'!$P$48&lt;&gt;"",K$3='Bonding Program'!$P$48,K$3&lt;='Bonding Program'!$C$8),N('Bonding Program'!$O$48),0)</f>
        <v>0</v>
      </c>
      <c r="L189" s="19" t="n">
        <f aca="false">IF(AND('Bonding Program'!$S$48=1,'Bonding Program'!$H$48&gt;'Bonding Program'!$C$8,L$3='Bonding Program'!$H$48),'Bonding Program'!$T$48-'Bonding Program'!$U$48-'Bonding Program'!$Z$48,0)-IF(AND('Bonding Program'!$S$48=1,'Bonding Program'!$H$48&lt;='Bonding Program'!$C$8,L$3=IF('Bonding Program'!$P$48&lt;&gt;"",'Bonding Program'!$P$48,'Bonding Program'!$C$8)),'Bonding Program'!$Z$48,0)+IF(AND('Bonding Program'!$P$48&lt;&gt;"",L$3='Bonding Program'!$P$48,L$3&lt;='Bonding Program'!$C$8),N('Bonding Program'!$O$48),0)</f>
        <v>0</v>
      </c>
      <c r="M189" s="19" t="n">
        <f aca="false">IF(AND('Bonding Program'!$S$48=1,'Bonding Program'!$H$48&gt;'Bonding Program'!$C$8,M$3='Bonding Program'!$H$48),'Bonding Program'!$T$48-'Bonding Program'!$U$48-'Bonding Program'!$Z$48,0)-IF(AND('Bonding Program'!$S$48=1,'Bonding Program'!$H$48&lt;='Bonding Program'!$C$8,M$3=IF('Bonding Program'!$P$48&lt;&gt;"",'Bonding Program'!$P$48,'Bonding Program'!$C$8)),'Bonding Program'!$Z$48,0)+IF(AND('Bonding Program'!$P$48&lt;&gt;"",M$3='Bonding Program'!$P$48,M$3&lt;='Bonding Program'!$C$8),N('Bonding Program'!$O$48),0)</f>
        <v>0</v>
      </c>
      <c r="N189" s="19" t="n">
        <f aca="false">IF(AND('Bonding Program'!$S$48=1,'Bonding Program'!$H$48&gt;'Bonding Program'!$C$8,N$3='Bonding Program'!$H$48),'Bonding Program'!$T$48-'Bonding Program'!$U$48-'Bonding Program'!$Z$48,0)-IF(AND('Bonding Program'!$S$48=1,'Bonding Program'!$H$48&lt;='Bonding Program'!$C$8,N$3=IF('Bonding Program'!$P$48&lt;&gt;"",'Bonding Program'!$P$48,'Bonding Program'!$C$8)),'Bonding Program'!$Z$48,0)+IF(AND('Bonding Program'!$P$48&lt;&gt;"",N$3='Bonding Program'!$P$48,N$3&lt;='Bonding Program'!$C$8),N('Bonding Program'!$O$48),0)</f>
        <v>0</v>
      </c>
      <c r="O189" s="19" t="n">
        <f aca="false">IF(AND('Bonding Program'!$S$48=1,'Bonding Program'!$H$48&gt;'Bonding Program'!$C$8,O$3='Bonding Program'!$H$48),'Bonding Program'!$T$48-'Bonding Program'!$U$48-'Bonding Program'!$Z$48,0)-IF(AND('Bonding Program'!$S$48=1,'Bonding Program'!$H$48&lt;='Bonding Program'!$C$8,O$3=IF('Bonding Program'!$P$48&lt;&gt;"",'Bonding Program'!$P$48,'Bonding Program'!$C$8)),'Bonding Program'!$Z$48,0)+IF(AND('Bonding Program'!$P$48&lt;&gt;"",O$3='Bonding Program'!$P$48,O$3&lt;='Bonding Program'!$C$8),N('Bonding Program'!$O$48),0)</f>
        <v>0</v>
      </c>
      <c r="P189" s="19" t="n">
        <f aca="false">IF(AND('Bonding Program'!$S$48=1,'Bonding Program'!$H$48&gt;'Bonding Program'!$C$8,P$3='Bonding Program'!$H$48),'Bonding Program'!$T$48-'Bonding Program'!$U$48-'Bonding Program'!$Z$48,0)-IF(AND('Bonding Program'!$S$48=1,'Bonding Program'!$H$48&lt;='Bonding Program'!$C$8,P$3=IF('Bonding Program'!$P$48&lt;&gt;"",'Bonding Program'!$P$48,'Bonding Program'!$C$8)),'Bonding Program'!$Z$48,0)+IF(AND('Bonding Program'!$P$48&lt;&gt;"",P$3='Bonding Program'!$P$48,P$3&lt;='Bonding Program'!$C$8),N('Bonding Program'!$O$48),0)</f>
        <v>0</v>
      </c>
      <c r="Q189" s="19" t="n">
        <f aca="false">IF(AND('Bonding Program'!$S$48=1,'Bonding Program'!$H$48&gt;'Bonding Program'!$C$8,Q$3='Bonding Program'!$H$48),'Bonding Program'!$T$48-'Bonding Program'!$U$48-'Bonding Program'!$Z$48,0)-IF(AND('Bonding Program'!$S$48=1,'Bonding Program'!$H$48&lt;='Bonding Program'!$C$8,Q$3=IF('Bonding Program'!$P$48&lt;&gt;"",'Bonding Program'!$P$48,'Bonding Program'!$C$8)),'Bonding Program'!$Z$48,0)+IF(AND('Bonding Program'!$P$48&lt;&gt;"",Q$3='Bonding Program'!$P$48,Q$3&lt;='Bonding Program'!$C$8),N('Bonding Program'!$O$48),0)</f>
        <v>0</v>
      </c>
      <c r="R189" s="19" t="n">
        <f aca="false">IF(AND('Bonding Program'!$S$48=1,'Bonding Program'!$H$48&gt;'Bonding Program'!$C$8,R$3='Bonding Program'!$H$48),'Bonding Program'!$T$48-'Bonding Program'!$U$48-'Bonding Program'!$Z$48,0)-IF(AND('Bonding Program'!$S$48=1,'Bonding Program'!$H$48&lt;='Bonding Program'!$C$8,R$3=IF('Bonding Program'!$P$48&lt;&gt;"",'Bonding Program'!$P$48,'Bonding Program'!$C$8)),'Bonding Program'!$Z$48,0)+IF(AND('Bonding Program'!$P$48&lt;&gt;"",R$3='Bonding Program'!$P$48,R$3&lt;='Bonding Program'!$C$8),N('Bonding Program'!$O$48),0)</f>
        <v>0</v>
      </c>
      <c r="S189" s="19" t="n">
        <f aca="false">IF(AND('Bonding Program'!$S$48=1,'Bonding Program'!$H$48&gt;'Bonding Program'!$C$8,S$3='Bonding Program'!$H$48),'Bonding Program'!$T$48-'Bonding Program'!$U$48-'Bonding Program'!$Z$48,0)-IF(AND('Bonding Program'!$S$48=1,'Bonding Program'!$H$48&lt;='Bonding Program'!$C$8,S$3=IF('Bonding Program'!$P$48&lt;&gt;"",'Bonding Program'!$P$48,'Bonding Program'!$C$8)),'Bonding Program'!$Z$48,0)+IF(AND('Bonding Program'!$P$48&lt;&gt;"",S$3='Bonding Program'!$P$48,S$3&lt;='Bonding Program'!$C$8),N('Bonding Program'!$O$48),0)</f>
        <v>0</v>
      </c>
      <c r="T189" s="19" t="n">
        <f aca="false">IF(AND('Bonding Program'!$S$48=1,'Bonding Program'!$H$48&gt;'Bonding Program'!$C$8,T$3='Bonding Program'!$H$48),'Bonding Program'!$T$48-'Bonding Program'!$U$48-'Bonding Program'!$Z$48,0)-IF(AND('Bonding Program'!$S$48=1,'Bonding Program'!$H$48&lt;='Bonding Program'!$C$8,T$3=IF('Bonding Program'!$P$48&lt;&gt;"",'Bonding Program'!$P$48,'Bonding Program'!$C$8)),'Bonding Program'!$Z$48,0)+IF(AND('Bonding Program'!$P$48&lt;&gt;"",T$3='Bonding Program'!$P$48,T$3&lt;='Bonding Program'!$C$8),N('Bonding Program'!$O$48),0)</f>
        <v>0</v>
      </c>
      <c r="U189" s="19" t="n">
        <f aca="false">IF(AND('Bonding Program'!$S$48=1,'Bonding Program'!$H$48&gt;'Bonding Program'!$C$8,U$3='Bonding Program'!$H$48),'Bonding Program'!$T$48-'Bonding Program'!$U$48-'Bonding Program'!$Z$48,0)-IF(AND('Bonding Program'!$S$48=1,'Bonding Program'!$H$48&lt;='Bonding Program'!$C$8,U$3=IF('Bonding Program'!$P$48&lt;&gt;"",'Bonding Program'!$P$48,'Bonding Program'!$C$8)),'Bonding Program'!$Z$48,0)+IF(AND('Bonding Program'!$P$48&lt;&gt;"",U$3='Bonding Program'!$P$48,U$3&lt;='Bonding Program'!$C$8),N('Bonding Program'!$O$48),0)</f>
        <v>0</v>
      </c>
      <c r="V189" s="19" t="n">
        <f aca="false">IF(AND('Bonding Program'!$S$48=1,'Bonding Program'!$H$48&gt;'Bonding Program'!$C$8,V$3='Bonding Program'!$H$48),'Bonding Program'!$T$48-'Bonding Program'!$U$48-'Bonding Program'!$Z$48,0)-IF(AND('Bonding Program'!$S$48=1,'Bonding Program'!$H$48&lt;='Bonding Program'!$C$8,V$3=IF('Bonding Program'!$P$48&lt;&gt;"",'Bonding Program'!$P$48,'Bonding Program'!$C$8)),'Bonding Program'!$Z$48,0)+IF(AND('Bonding Program'!$P$48&lt;&gt;"",V$3='Bonding Program'!$P$48,V$3&lt;='Bonding Program'!$C$8),N('Bonding Program'!$O$48),0)</f>
        <v>0</v>
      </c>
      <c r="W189" s="19" t="n">
        <f aca="false">IF(AND('Bonding Program'!$S$48=1,'Bonding Program'!$H$48&gt;'Bonding Program'!$C$8,W$3='Bonding Program'!$H$48),'Bonding Program'!$T$48-'Bonding Program'!$U$48-'Bonding Program'!$Z$48,0)-IF(AND('Bonding Program'!$S$48=1,'Bonding Program'!$H$48&lt;='Bonding Program'!$C$8,W$3=IF('Bonding Program'!$P$48&lt;&gt;"",'Bonding Program'!$P$48,'Bonding Program'!$C$8)),'Bonding Program'!$Z$48,0)+IF(AND('Bonding Program'!$P$48&lt;&gt;"",W$3='Bonding Program'!$P$48,W$3&lt;='Bonding Program'!$C$8),N('Bonding Program'!$O$48),0)</f>
        <v>0</v>
      </c>
      <c r="X189" s="19" t="n">
        <f aca="false">IF(AND('Bonding Program'!$S$48=1,'Bonding Program'!$H$48&gt;'Bonding Program'!$C$8,X$3='Bonding Program'!$H$48),'Bonding Program'!$T$48-'Bonding Program'!$U$48-'Bonding Program'!$Z$48,0)-IF(AND('Bonding Program'!$S$48=1,'Bonding Program'!$H$48&lt;='Bonding Program'!$C$8,X$3=IF('Bonding Program'!$P$48&lt;&gt;"",'Bonding Program'!$P$48,'Bonding Program'!$C$8)),'Bonding Program'!$Z$48,0)+IF(AND('Bonding Program'!$P$48&lt;&gt;"",X$3='Bonding Program'!$P$48,X$3&lt;='Bonding Program'!$C$8),N('Bonding Program'!$O$48),0)</f>
        <v>0</v>
      </c>
      <c r="Y189" s="19" t="n">
        <f aca="false">IF(AND('Bonding Program'!$S$48=1,'Bonding Program'!$H$48&gt;'Bonding Program'!$C$8,Y$3='Bonding Program'!$H$48),'Bonding Program'!$T$48-'Bonding Program'!$U$48-'Bonding Program'!$Z$48,0)-IF(AND('Bonding Program'!$S$48=1,'Bonding Program'!$H$48&lt;='Bonding Program'!$C$8,Y$3=IF('Bonding Program'!$P$48&lt;&gt;"",'Bonding Program'!$P$48,'Bonding Program'!$C$8)),'Bonding Program'!$Z$48,0)+IF(AND('Bonding Program'!$P$48&lt;&gt;"",Y$3='Bonding Program'!$P$48,Y$3&lt;='Bonding Program'!$C$8),N('Bonding Program'!$O$48),0)</f>
        <v>0</v>
      </c>
      <c r="Z189" s="19" t="n">
        <f aca="false">IF(AND('Bonding Program'!$S$48=1,'Bonding Program'!$H$48&gt;'Bonding Program'!$C$8,Z$3='Bonding Program'!$H$48),'Bonding Program'!$T$48-'Bonding Program'!$U$48-'Bonding Program'!$Z$48,0)-IF(AND('Bonding Program'!$S$48=1,'Bonding Program'!$H$48&lt;='Bonding Program'!$C$8,Z$3=IF('Bonding Program'!$P$48&lt;&gt;"",'Bonding Program'!$P$48,'Bonding Program'!$C$8)),'Bonding Program'!$Z$48,0)+IF(AND('Bonding Program'!$P$48&lt;&gt;"",Z$3='Bonding Program'!$P$48,Z$3&lt;='Bonding Program'!$C$8),N('Bonding Program'!$O$48),0)</f>
        <v>0</v>
      </c>
      <c r="AA189" s="19" t="n">
        <f aca="false">IF(AND('Bonding Program'!$S$48=1,'Bonding Program'!$H$48&gt;'Bonding Program'!$C$8,AA$3='Bonding Program'!$H$48),'Bonding Program'!$T$48-'Bonding Program'!$U$48-'Bonding Program'!$Z$48,0)-IF(AND('Bonding Program'!$S$48=1,'Bonding Program'!$H$48&lt;='Bonding Program'!$C$8,AA$3=IF('Bonding Program'!$P$48&lt;&gt;"",'Bonding Program'!$P$48,'Bonding Program'!$C$8)),'Bonding Program'!$Z$48,0)+IF(AND('Bonding Program'!$P$48&lt;&gt;"",AA$3='Bonding Program'!$P$48,AA$3&lt;='Bonding Program'!$C$8),N('Bonding Program'!$O$48),0)</f>
        <v>0</v>
      </c>
      <c r="AB189" s="19" t="n">
        <f aca="false">IF(AND('Bonding Program'!$S$48=1,'Bonding Program'!$H$48&gt;'Bonding Program'!$C$8,AB$3='Bonding Program'!$H$48),'Bonding Program'!$T$48-'Bonding Program'!$U$48-'Bonding Program'!$Z$48,0)-IF(AND('Bonding Program'!$S$48=1,'Bonding Program'!$H$48&lt;='Bonding Program'!$C$8,AB$3=IF('Bonding Program'!$P$48&lt;&gt;"",'Bonding Program'!$P$48,'Bonding Program'!$C$8)),'Bonding Program'!$Z$48,0)+IF(AND('Bonding Program'!$P$48&lt;&gt;"",AB$3='Bonding Program'!$P$48,AB$3&lt;='Bonding Program'!$C$8),N('Bonding Program'!$O$48),0)</f>
        <v>0</v>
      </c>
      <c r="AC189" s="19" t="n">
        <f aca="false">IF(AND('Bonding Program'!$S$48=1,'Bonding Program'!$H$48&gt;'Bonding Program'!$C$8,AC$3='Bonding Program'!$H$48),'Bonding Program'!$T$48-'Bonding Program'!$U$48-'Bonding Program'!$Z$48,0)-IF(AND('Bonding Program'!$S$48=1,'Bonding Program'!$H$48&lt;='Bonding Program'!$C$8,AC$3=IF('Bonding Program'!$P$48&lt;&gt;"",'Bonding Program'!$P$48,'Bonding Program'!$C$8)),'Bonding Program'!$Z$48,0)+IF(AND('Bonding Program'!$P$48&lt;&gt;"",AC$3='Bonding Program'!$P$48,AC$3&lt;='Bonding Program'!$C$8),N('Bonding Program'!$O$48),0)</f>
        <v>0</v>
      </c>
      <c r="AD189" s="19" t="n">
        <f aca="false">IF(AND('Bonding Program'!$S$48=1,'Bonding Program'!$H$48&gt;'Bonding Program'!$C$8,AD$3='Bonding Program'!$H$48),'Bonding Program'!$T$48-'Bonding Program'!$U$48-'Bonding Program'!$Z$48,0)-IF(AND('Bonding Program'!$S$48=1,'Bonding Program'!$H$48&lt;='Bonding Program'!$C$8,AD$3=IF('Bonding Program'!$P$48&lt;&gt;"",'Bonding Program'!$P$48,'Bonding Program'!$C$8)),'Bonding Program'!$Z$48,0)+IF(AND('Bonding Program'!$P$48&lt;&gt;"",AD$3='Bonding Program'!$P$48,AD$3&lt;='Bonding Program'!$C$8),N('Bonding Program'!$O$48),0)</f>
        <v>0</v>
      </c>
      <c r="AE189" s="19" t="n">
        <f aca="false">IF(AND('Bonding Program'!$S$48=1,'Bonding Program'!$H$48&gt;'Bonding Program'!$C$8,AE$3='Bonding Program'!$H$48),'Bonding Program'!$T$48-'Bonding Program'!$U$48-'Bonding Program'!$Z$48,0)-IF(AND('Bonding Program'!$S$48=1,'Bonding Program'!$H$48&lt;='Bonding Program'!$C$8,AE$3=IF('Bonding Program'!$P$48&lt;&gt;"",'Bonding Program'!$P$48,'Bonding Program'!$C$8)),'Bonding Program'!$Z$48,0)+IF(AND('Bonding Program'!$P$48&lt;&gt;"",AE$3='Bonding Program'!$P$48,AE$3&lt;='Bonding Program'!$C$8),N('Bonding Program'!$O$48),0)</f>
        <v>0</v>
      </c>
      <c r="AF189" s="19" t="n">
        <f aca="false">IF(AND('Bonding Program'!$S$48=1,'Bonding Program'!$H$48&gt;'Bonding Program'!$C$8,AF$3='Bonding Program'!$H$48),'Bonding Program'!$T$48-'Bonding Program'!$U$48-'Bonding Program'!$Z$48,0)-IF(AND('Bonding Program'!$S$48=1,'Bonding Program'!$H$48&lt;='Bonding Program'!$C$8,AF$3=IF('Bonding Program'!$P$48&lt;&gt;"",'Bonding Program'!$P$48,'Bonding Program'!$C$8)),'Bonding Program'!$Z$48,0)+IF(AND('Bonding Program'!$P$48&lt;&gt;"",AF$3='Bonding Program'!$P$48,AF$3&lt;='Bonding Program'!$C$8),N('Bonding Program'!$O$48),0)</f>
        <v>0</v>
      </c>
      <c r="AG189" s="19" t="n">
        <f aca="false">IF(AND('Bonding Program'!$S$48=1,'Bonding Program'!$H$48&gt;'Bonding Program'!$C$8,AG$3='Bonding Program'!$H$48),'Bonding Program'!$T$48-'Bonding Program'!$U$48-'Bonding Program'!$Z$48,0)-IF(AND('Bonding Program'!$S$48=1,'Bonding Program'!$H$48&lt;='Bonding Program'!$C$8,AG$3=IF('Bonding Program'!$P$48&lt;&gt;"",'Bonding Program'!$P$48,'Bonding Program'!$C$8)),'Bonding Program'!$Z$48,0)+IF(AND('Bonding Program'!$P$48&lt;&gt;"",AG$3='Bonding Program'!$P$48,AG$3&lt;='Bonding Program'!$C$8),N('Bonding Program'!$O$48),0)</f>
        <v>0</v>
      </c>
      <c r="AH189" s="19" t="n">
        <f aca="false">IF(AND('Bonding Program'!$S$48=1,'Bonding Program'!$H$48&gt;'Bonding Program'!$C$8,AH$3='Bonding Program'!$H$48),'Bonding Program'!$T$48-'Bonding Program'!$U$48-'Bonding Program'!$Z$48,0)-IF(AND('Bonding Program'!$S$48=1,'Bonding Program'!$H$48&lt;='Bonding Program'!$C$8,AH$3=IF('Bonding Program'!$P$48&lt;&gt;"",'Bonding Program'!$P$48,'Bonding Program'!$C$8)),'Bonding Program'!$Z$48,0)+IF(AND('Bonding Program'!$P$48&lt;&gt;"",AH$3='Bonding Program'!$P$48,AH$3&lt;='Bonding Program'!$C$8),N('Bonding Program'!$O$48),0)</f>
        <v>0</v>
      </c>
      <c r="AI189" s="19" t="n">
        <f aca="false">IF(AND('Bonding Program'!$S$48=1,'Bonding Program'!$H$48&gt;'Bonding Program'!$C$8,AI$3='Bonding Program'!$H$48),'Bonding Program'!$T$48-'Bonding Program'!$U$48-'Bonding Program'!$Z$48,0)-IF(AND('Bonding Program'!$S$48=1,'Bonding Program'!$H$48&lt;='Bonding Program'!$C$8,AI$3=IF('Bonding Program'!$P$48&lt;&gt;"",'Bonding Program'!$P$48,'Bonding Program'!$C$8)),'Bonding Program'!$Z$48,0)+IF(AND('Bonding Program'!$P$48&lt;&gt;"",AI$3='Bonding Program'!$P$48,AI$3&lt;='Bonding Program'!$C$8),N('Bonding Program'!$O$48),0)</f>
        <v>0</v>
      </c>
      <c r="AJ189" s="19" t="n">
        <f aca="false">IF(AND('Bonding Program'!$S$48=1,'Bonding Program'!$H$48&gt;'Bonding Program'!$C$8,AJ$3='Bonding Program'!$H$48),'Bonding Program'!$T$48-'Bonding Program'!$U$48-'Bonding Program'!$Z$48,0)-IF(AND('Bonding Program'!$S$48=1,'Bonding Program'!$H$48&lt;='Bonding Program'!$C$8,AJ$3=IF('Bonding Program'!$P$48&lt;&gt;"",'Bonding Program'!$P$48,'Bonding Program'!$C$8)),'Bonding Program'!$Z$48,0)+IF(AND('Bonding Program'!$P$48&lt;&gt;"",AJ$3='Bonding Program'!$P$48,AJ$3&lt;='Bonding Program'!$C$8),N('Bonding Program'!$O$48),0)</f>
        <v>0</v>
      </c>
      <c r="AK189" s="19" t="n">
        <f aca="false">IF(AND('Bonding Program'!$S$48=1,'Bonding Program'!$H$48&gt;'Bonding Program'!$C$8,AK$3='Bonding Program'!$H$48),'Bonding Program'!$T$48-'Bonding Program'!$U$48-'Bonding Program'!$Z$48,0)-IF(AND('Bonding Program'!$S$48=1,'Bonding Program'!$H$48&lt;='Bonding Program'!$C$8,AK$3=IF('Bonding Program'!$P$48&lt;&gt;"",'Bonding Program'!$P$48,'Bonding Program'!$C$8)),'Bonding Program'!$Z$48,0)+IF(AND('Bonding Program'!$P$48&lt;&gt;"",AK$3='Bonding Program'!$P$48,AK$3&lt;='Bonding Program'!$C$8),N('Bonding Program'!$O$48),0)</f>
        <v>0</v>
      </c>
      <c r="AL189" s="19" t="n">
        <f aca="false">IF(AND('Bonding Program'!$S$48=1,'Bonding Program'!$H$48&gt;'Bonding Program'!$C$8,AL$3='Bonding Program'!$H$48),'Bonding Program'!$T$48-'Bonding Program'!$U$48-'Bonding Program'!$Z$48,0)-IF(AND('Bonding Program'!$S$48=1,'Bonding Program'!$H$48&lt;='Bonding Program'!$C$8,AL$3=IF('Bonding Program'!$P$48&lt;&gt;"",'Bonding Program'!$P$48,'Bonding Program'!$C$8)),'Bonding Program'!$Z$48,0)+IF(AND('Bonding Program'!$P$48&lt;&gt;"",AL$3='Bonding Program'!$P$48,AL$3&lt;='Bonding Program'!$C$8),N('Bonding Program'!$O$48),0)</f>
        <v>0</v>
      </c>
      <c r="AM189" s="19" t="n">
        <f aca="false">IF(AND('Bonding Program'!$S$48=1,'Bonding Program'!$H$48&gt;'Bonding Program'!$C$8,AM$3='Bonding Program'!$H$48),'Bonding Program'!$T$48-'Bonding Program'!$U$48-'Bonding Program'!$Z$48,0)-IF(AND('Bonding Program'!$S$48=1,'Bonding Program'!$H$48&lt;='Bonding Program'!$C$8,AM$3=IF('Bonding Program'!$P$48&lt;&gt;"",'Bonding Program'!$P$48,'Bonding Program'!$C$8)),'Bonding Program'!$Z$48,0)+IF(AND('Bonding Program'!$P$48&lt;&gt;"",AM$3='Bonding Program'!$P$48,AM$3&lt;='Bonding Program'!$C$8),N('Bonding Program'!$O$48),0)</f>
        <v>0</v>
      </c>
      <c r="AN189" s="19" t="n">
        <f aca="false">IF(AND('Bonding Program'!$S$48=1,'Bonding Program'!$H$48&gt;'Bonding Program'!$C$8,AN$3='Bonding Program'!$H$48),'Bonding Program'!$T$48-'Bonding Program'!$U$48-'Bonding Program'!$Z$48,0)-IF(AND('Bonding Program'!$S$48=1,'Bonding Program'!$H$48&lt;='Bonding Program'!$C$8,AN$3=IF('Bonding Program'!$P$48&lt;&gt;"",'Bonding Program'!$P$48,'Bonding Program'!$C$8)),'Bonding Program'!$Z$48,0)+IF(AND('Bonding Program'!$P$48&lt;&gt;"",AN$3='Bonding Program'!$P$48,AN$3&lt;='Bonding Program'!$C$8),N('Bonding Program'!$O$48),0)</f>
        <v>0</v>
      </c>
      <c r="AO189" s="19" t="n">
        <f aca="false">IF(AND('Bonding Program'!$S$48=1,'Bonding Program'!$H$48&gt;'Bonding Program'!$C$8,AO$3='Bonding Program'!$H$48),'Bonding Program'!$T$48-'Bonding Program'!$U$48-'Bonding Program'!$Z$48,0)-IF(AND('Bonding Program'!$S$48=1,'Bonding Program'!$H$48&lt;='Bonding Program'!$C$8,AO$3=IF('Bonding Program'!$P$48&lt;&gt;"",'Bonding Program'!$P$48,'Bonding Program'!$C$8)),'Bonding Program'!$Z$48,0)+IF(AND('Bonding Program'!$P$48&lt;&gt;"",AO$3='Bonding Program'!$P$48,AO$3&lt;='Bonding Program'!$C$8),N('Bonding Program'!$O$48),0)</f>
        <v>0</v>
      </c>
      <c r="AP189" s="19" t="n">
        <f aca="false">IF(AND('Bonding Program'!$S$48=1,'Bonding Program'!$H$48&gt;'Bonding Program'!$C$8,AP$3='Bonding Program'!$H$48),'Bonding Program'!$T$48-'Bonding Program'!$U$48-'Bonding Program'!$Z$48,0)-IF(AND('Bonding Program'!$S$48=1,'Bonding Program'!$H$48&lt;='Bonding Program'!$C$8,AP$3=IF('Bonding Program'!$P$48&lt;&gt;"",'Bonding Program'!$P$48,'Bonding Program'!$C$8)),'Bonding Program'!$Z$48,0)+IF(AND('Bonding Program'!$P$48&lt;&gt;"",AP$3='Bonding Program'!$P$48,AP$3&lt;='Bonding Program'!$C$8),N('Bonding Program'!$O$48),0)</f>
        <v>0</v>
      </c>
      <c r="AQ189" s="19" t="n">
        <f aca="false">IF(AND('Bonding Program'!$S$48=1,'Bonding Program'!$H$48&gt;'Bonding Program'!$C$8,AQ$3='Bonding Program'!$H$48),'Bonding Program'!$T$48-'Bonding Program'!$U$48-'Bonding Program'!$Z$48,0)-IF(AND('Bonding Program'!$S$48=1,'Bonding Program'!$H$48&lt;='Bonding Program'!$C$8,AQ$3=IF('Bonding Program'!$P$48&lt;&gt;"",'Bonding Program'!$P$48,'Bonding Program'!$C$8)),'Bonding Program'!$Z$48,0)+IF(AND('Bonding Program'!$P$48&lt;&gt;"",AQ$3='Bonding Program'!$P$48,AQ$3&lt;='Bonding Program'!$C$8),N('Bonding Program'!$O$48),0)</f>
        <v>0</v>
      </c>
      <c r="AR189" s="19" t="n">
        <f aca="false">IF(AND('Bonding Program'!$S$48=1,'Bonding Program'!$H$48&gt;'Bonding Program'!$C$8,AR$3='Bonding Program'!$H$48),'Bonding Program'!$T$48-'Bonding Program'!$U$48-'Bonding Program'!$Z$48,0)-IF(AND('Bonding Program'!$S$48=1,'Bonding Program'!$H$48&lt;='Bonding Program'!$C$8,AR$3=IF('Bonding Program'!$P$48&lt;&gt;"",'Bonding Program'!$P$48,'Bonding Program'!$C$8)),'Bonding Program'!$Z$48,0)+IF(AND('Bonding Program'!$P$48&lt;&gt;"",AR$3='Bonding Program'!$P$48,AR$3&lt;='Bonding Program'!$C$8),N('Bonding Program'!$O$48),0)</f>
        <v>0</v>
      </c>
      <c r="AS189" s="19" t="n">
        <f aca="false">IF(AND('Bonding Program'!$S$48=1,'Bonding Program'!$H$48&gt;'Bonding Program'!$C$8,AS$3='Bonding Program'!$H$48),'Bonding Program'!$T$48-'Bonding Program'!$U$48-'Bonding Program'!$Z$48,0)-IF(AND('Bonding Program'!$S$48=1,'Bonding Program'!$H$48&lt;='Bonding Program'!$C$8,AS$3=IF('Bonding Program'!$P$48&lt;&gt;"",'Bonding Program'!$P$48,'Bonding Program'!$C$8)),'Bonding Program'!$Z$48,0)+IF(AND('Bonding Program'!$P$48&lt;&gt;"",AS$3='Bonding Program'!$P$48,AS$3&lt;='Bonding Program'!$C$8),N('Bonding Program'!$O$48),0)</f>
        <v>0</v>
      </c>
      <c r="AT189" s="19" t="n">
        <f aca="false">IF(AND('Bonding Program'!$S$48=1,'Bonding Program'!$H$48&gt;'Bonding Program'!$C$8,AT$3='Bonding Program'!$H$48),'Bonding Program'!$T$48-'Bonding Program'!$U$48-'Bonding Program'!$Z$48,0)-IF(AND('Bonding Program'!$S$48=1,'Bonding Program'!$H$48&lt;='Bonding Program'!$C$8,AT$3=IF('Bonding Program'!$P$48&lt;&gt;"",'Bonding Program'!$P$48,'Bonding Program'!$C$8)),'Bonding Program'!$Z$48,0)+IF(AND('Bonding Program'!$P$48&lt;&gt;"",AT$3='Bonding Program'!$P$48,AT$3&lt;='Bonding Program'!$C$8),N('Bonding Program'!$O$48),0)</f>
        <v>0</v>
      </c>
      <c r="AU189" s="19" t="n">
        <f aca="false">IF(AND('Bonding Program'!$S$48=1,'Bonding Program'!$H$48&gt;'Bonding Program'!$C$8,AU$3='Bonding Program'!$H$48),'Bonding Program'!$T$48-'Bonding Program'!$U$48-'Bonding Program'!$Z$48,0)-IF(AND('Bonding Program'!$S$48=1,'Bonding Program'!$H$48&lt;='Bonding Program'!$C$8,AU$3=IF('Bonding Program'!$P$48&lt;&gt;"",'Bonding Program'!$P$48,'Bonding Program'!$C$8)),'Bonding Program'!$Z$48,0)+IF(AND('Bonding Program'!$P$48&lt;&gt;"",AU$3='Bonding Program'!$P$48,AU$3&lt;='Bonding Program'!$C$8),N('Bonding Program'!$O$48),0)</f>
        <v>0</v>
      </c>
      <c r="AV189" s="19" t="n">
        <f aca="false">IF(AND('Bonding Program'!$S$48=1,'Bonding Program'!$H$48&gt;'Bonding Program'!$C$8,AV$3='Bonding Program'!$H$48),'Bonding Program'!$T$48-'Bonding Program'!$U$48-'Bonding Program'!$Z$48,0)-IF(AND('Bonding Program'!$S$48=1,'Bonding Program'!$H$48&lt;='Bonding Program'!$C$8,AV$3=IF('Bonding Program'!$P$48&lt;&gt;"",'Bonding Program'!$P$48,'Bonding Program'!$C$8)),'Bonding Program'!$Z$48,0)+IF(AND('Bonding Program'!$P$48&lt;&gt;"",AV$3='Bonding Program'!$P$48,AV$3&lt;='Bonding Program'!$C$8),N('Bonding Program'!$O$48),0)</f>
        <v>0</v>
      </c>
      <c r="AW189" s="19" t="n">
        <f aca="false">IF(AND('Bonding Program'!$S$48=1,'Bonding Program'!$H$48&gt;'Bonding Program'!$C$8,AW$3='Bonding Program'!$H$48),'Bonding Program'!$T$48-'Bonding Program'!$U$48-'Bonding Program'!$Z$48,0)-IF(AND('Bonding Program'!$S$48=1,'Bonding Program'!$H$48&lt;='Bonding Program'!$C$8,AW$3=IF('Bonding Program'!$P$48&lt;&gt;"",'Bonding Program'!$P$48,'Bonding Program'!$C$8)),'Bonding Program'!$Z$48,0)+IF(AND('Bonding Program'!$P$48&lt;&gt;"",AW$3='Bonding Program'!$P$48,AW$3&lt;='Bonding Program'!$C$8),N('Bonding Program'!$O$48),0)</f>
        <v>0</v>
      </c>
      <c r="AX189" s="19" t="n">
        <f aca="false">IF(AND('Bonding Program'!$S$48=1,'Bonding Program'!$H$48&gt;'Bonding Program'!$C$8,AX$3='Bonding Program'!$H$48),'Bonding Program'!$T$48-'Bonding Program'!$U$48-'Bonding Program'!$Z$48,0)-IF(AND('Bonding Program'!$S$48=1,'Bonding Program'!$H$48&lt;='Bonding Program'!$C$8,AX$3=IF('Bonding Program'!$P$48&lt;&gt;"",'Bonding Program'!$P$48,'Bonding Program'!$C$8)),'Bonding Program'!$Z$48,0)+IF(AND('Bonding Program'!$P$48&lt;&gt;"",AX$3='Bonding Program'!$P$48,AX$3&lt;='Bonding Program'!$C$8),N('Bonding Program'!$O$48),0)</f>
        <v>0</v>
      </c>
      <c r="AY189" s="19" t="n">
        <f aca="false">IF(AND('Bonding Program'!$S$48=1,'Bonding Program'!$H$48&gt;'Bonding Program'!$C$8,AY$3='Bonding Program'!$H$48),'Bonding Program'!$T$48-'Bonding Program'!$U$48-'Bonding Program'!$Z$48,0)-IF(AND('Bonding Program'!$S$48=1,'Bonding Program'!$H$48&lt;='Bonding Program'!$C$8,AY$3=IF('Bonding Program'!$P$48&lt;&gt;"",'Bonding Program'!$P$48,'Bonding Program'!$C$8)),'Bonding Program'!$Z$48,0)+IF(AND('Bonding Program'!$P$48&lt;&gt;"",AY$3='Bonding Program'!$P$48,AY$3&lt;='Bonding Program'!$C$8),N('Bonding Program'!$O$48),0)</f>
        <v>0</v>
      </c>
      <c r="AZ189" s="19" t="n">
        <f aca="false">IF(AND('Bonding Program'!$S$48=1,'Bonding Program'!$H$48&gt;'Bonding Program'!$C$8,AZ$3='Bonding Program'!$H$48),'Bonding Program'!$T$48-'Bonding Program'!$U$48-'Bonding Program'!$Z$48,0)-IF(AND('Bonding Program'!$S$48=1,'Bonding Program'!$H$48&lt;='Bonding Program'!$C$8,AZ$3=IF('Bonding Program'!$P$48&lt;&gt;"",'Bonding Program'!$P$48,'Bonding Program'!$C$8)),'Bonding Program'!$Z$48,0)+IF(AND('Bonding Program'!$P$48&lt;&gt;"",AZ$3='Bonding Program'!$P$48,AZ$3&lt;='Bonding Program'!$C$8),N('Bonding Program'!$O$48),0)</f>
        <v>0</v>
      </c>
      <c r="BA189" s="19" t="n">
        <f aca="false">IF(AND('Bonding Program'!$S$48=1,'Bonding Program'!$H$48&gt;'Bonding Program'!$C$8,BA$3='Bonding Program'!$H$48),'Bonding Program'!$T$48-'Bonding Program'!$U$48-'Bonding Program'!$Z$48,0)-IF(AND('Bonding Program'!$S$48=1,'Bonding Program'!$H$48&lt;='Bonding Program'!$C$8,BA$3=IF('Bonding Program'!$P$48&lt;&gt;"",'Bonding Program'!$P$48,'Bonding Program'!$C$8)),'Bonding Program'!$Z$48,0)+IF(AND('Bonding Program'!$P$48&lt;&gt;"",BA$3='Bonding Program'!$P$48,BA$3&lt;='Bonding Program'!$C$8),N('Bonding Program'!$O$48),0)</f>
        <v>0</v>
      </c>
      <c r="BB189" s="19" t="n">
        <f aca="false">IF(AND('Bonding Program'!$S$48=1,'Bonding Program'!$H$48&gt;'Bonding Program'!$C$8,BB$3='Bonding Program'!$H$48),'Bonding Program'!$T$48-'Bonding Program'!$U$48-'Bonding Program'!$Z$48,0)-IF(AND('Bonding Program'!$S$48=1,'Bonding Program'!$H$48&lt;='Bonding Program'!$C$8,BB$3=IF('Bonding Program'!$P$48&lt;&gt;"",'Bonding Program'!$P$48,'Bonding Program'!$C$8)),'Bonding Program'!$Z$48,0)+IF(AND('Bonding Program'!$P$48&lt;&gt;"",BB$3='Bonding Program'!$P$48,BB$3&lt;='Bonding Program'!$C$8),N('Bonding Program'!$O$48),0)</f>
        <v>0</v>
      </c>
      <c r="BC189" s="19" t="n">
        <f aca="false">IF(AND('Bonding Program'!$S$48=1,'Bonding Program'!$H$48&gt;'Bonding Program'!$C$8,BC$3='Bonding Program'!$H$48),'Bonding Program'!$T$48-'Bonding Program'!$U$48-'Bonding Program'!$Z$48,0)-IF(AND('Bonding Program'!$S$48=1,'Bonding Program'!$H$48&lt;='Bonding Program'!$C$8,BC$3=IF('Bonding Program'!$P$48&lt;&gt;"",'Bonding Program'!$P$48,'Bonding Program'!$C$8)),'Bonding Program'!$Z$48,0)+IF(AND('Bonding Program'!$P$48&lt;&gt;"",BC$3='Bonding Program'!$P$48,BC$3&lt;='Bonding Program'!$C$8),N('Bonding Program'!$O$48),0)</f>
        <v>0</v>
      </c>
      <c r="BD189" s="19" t="n">
        <f aca="false">IF(AND('Bonding Program'!$S$48=1,'Bonding Program'!$H$48&gt;'Bonding Program'!$C$8,BD$3='Bonding Program'!$H$48),'Bonding Program'!$T$48-'Bonding Program'!$U$48-'Bonding Program'!$Z$48,0)-IF(AND('Bonding Program'!$S$48=1,'Bonding Program'!$H$48&lt;='Bonding Program'!$C$8,BD$3=IF('Bonding Program'!$P$48&lt;&gt;"",'Bonding Program'!$P$48,'Bonding Program'!$C$8)),'Bonding Program'!$Z$48,0)+IF(AND('Bonding Program'!$P$48&lt;&gt;"",BD$3='Bonding Program'!$P$48,BD$3&lt;='Bonding Program'!$C$8),N('Bonding Program'!$O$48),0)</f>
        <v>0</v>
      </c>
      <c r="BE189" s="19" t="n">
        <f aca="false">IF(AND('Bonding Program'!$S$48=1,'Bonding Program'!$H$48&gt;'Bonding Program'!$C$8,BE$3='Bonding Program'!$H$48),'Bonding Program'!$T$48-'Bonding Program'!$U$48-'Bonding Program'!$Z$48,0)-IF(AND('Bonding Program'!$S$48=1,'Bonding Program'!$H$48&lt;='Bonding Program'!$C$8,BE$3=IF('Bonding Program'!$P$48&lt;&gt;"",'Bonding Program'!$P$48,'Bonding Program'!$C$8)),'Bonding Program'!$Z$48,0)+IF(AND('Bonding Program'!$P$48&lt;&gt;"",BE$3='Bonding Program'!$P$48,BE$3&lt;='Bonding Program'!$C$8),N('Bonding Program'!$O$48),0)</f>
        <v>0</v>
      </c>
      <c r="BF189" s="19" t="n">
        <f aca="false">IF(AND('Bonding Program'!$S$48=1,'Bonding Program'!$H$48&gt;'Bonding Program'!$C$8,BF$3='Bonding Program'!$H$48),'Bonding Program'!$T$48-'Bonding Program'!$U$48-'Bonding Program'!$Z$48,0)-IF(AND('Bonding Program'!$S$48=1,'Bonding Program'!$H$48&lt;='Bonding Program'!$C$8,BF$3=IF('Bonding Program'!$P$48&lt;&gt;"",'Bonding Program'!$P$48,'Bonding Program'!$C$8)),'Bonding Program'!$Z$48,0)+IF(AND('Bonding Program'!$P$48&lt;&gt;"",BF$3='Bonding Program'!$P$48,BF$3&lt;='Bonding Program'!$C$8),N('Bonding Program'!$O$48),0)</f>
        <v>0</v>
      </c>
      <c r="BG189" s="19" t="n">
        <f aca="false">IF(AND('Bonding Program'!$S$48=1,'Bonding Program'!$H$48&gt;'Bonding Program'!$C$8,BG$3='Bonding Program'!$H$48),'Bonding Program'!$T$48-'Bonding Program'!$U$48-'Bonding Program'!$Z$48,0)-IF(AND('Bonding Program'!$S$48=1,'Bonding Program'!$H$48&lt;='Bonding Program'!$C$8,BG$3=IF('Bonding Program'!$P$48&lt;&gt;"",'Bonding Program'!$P$48,'Bonding Program'!$C$8)),'Bonding Program'!$Z$48,0)+IF(AND('Bonding Program'!$P$48&lt;&gt;"",BG$3='Bonding Program'!$P$48,BG$3&lt;='Bonding Program'!$C$8),N('Bonding Program'!$O$48),0)</f>
        <v>0</v>
      </c>
      <c r="BH189" s="19" t="n">
        <f aca="false">IF(AND('Bonding Program'!$S$48=1,'Bonding Program'!$H$48&gt;'Bonding Program'!$C$8,BH$3='Bonding Program'!$H$48),'Bonding Program'!$T$48-'Bonding Program'!$U$48-'Bonding Program'!$Z$48,0)-IF(AND('Bonding Program'!$S$48=1,'Bonding Program'!$H$48&lt;='Bonding Program'!$C$8,BH$3=IF('Bonding Program'!$P$48&lt;&gt;"",'Bonding Program'!$P$48,'Bonding Program'!$C$8)),'Bonding Program'!$Z$48,0)+IF(AND('Bonding Program'!$P$48&lt;&gt;"",BH$3='Bonding Program'!$P$48,BH$3&lt;='Bonding Program'!$C$8),N('Bonding Program'!$O$48),0)</f>
        <v>0</v>
      </c>
      <c r="BI189" s="19" t="n">
        <f aca="false">IF(AND('Bonding Program'!$S$48=1,'Bonding Program'!$H$48&gt;'Bonding Program'!$C$8,BI$3='Bonding Program'!$H$48),'Bonding Program'!$T$48-'Bonding Program'!$U$48-'Bonding Program'!$Z$48,0)-IF(AND('Bonding Program'!$S$48=1,'Bonding Program'!$H$48&lt;='Bonding Program'!$C$8,BI$3=IF('Bonding Program'!$P$48&lt;&gt;"",'Bonding Program'!$P$48,'Bonding Program'!$C$8)),'Bonding Program'!$Z$48,0)+IF(AND('Bonding Program'!$P$48&lt;&gt;"",BI$3='Bonding Program'!$P$48,BI$3&lt;='Bonding Program'!$C$8),N('Bonding Program'!$O$48),0)</f>
        <v>0</v>
      </c>
      <c r="BJ189" s="19" t="n">
        <f aca="false">IF(AND('Bonding Program'!$S$48=1,'Bonding Program'!$H$48&gt;'Bonding Program'!$C$8,BJ$3='Bonding Program'!$H$48),'Bonding Program'!$T$48-'Bonding Program'!$U$48-'Bonding Program'!$Z$48,0)-IF(AND('Bonding Program'!$S$48=1,'Bonding Program'!$H$48&lt;='Bonding Program'!$C$8,BJ$3=IF('Bonding Program'!$P$48&lt;&gt;"",'Bonding Program'!$P$48,'Bonding Program'!$C$8)),'Bonding Program'!$Z$48,0)+IF(AND('Bonding Program'!$P$48&lt;&gt;"",BJ$3='Bonding Program'!$P$48,BJ$3&lt;='Bonding Program'!$C$8),N('Bonding Program'!$O$48),0)</f>
        <v>0</v>
      </c>
      <c r="BK189" s="19" t="n">
        <f aca="false">IF(AND('Bonding Program'!$S$48=1,'Bonding Program'!$H$48&gt;'Bonding Program'!$C$8,BK$3='Bonding Program'!$H$48),'Bonding Program'!$T$48-'Bonding Program'!$U$48-'Bonding Program'!$Z$48,0)-IF(AND('Bonding Program'!$S$48=1,'Bonding Program'!$H$48&lt;='Bonding Program'!$C$8,BK$3=IF('Bonding Program'!$P$48&lt;&gt;"",'Bonding Program'!$P$48,'Bonding Program'!$C$8)),'Bonding Program'!$Z$48,0)+IF(AND('Bonding Program'!$P$48&lt;&gt;"",BK$3='Bonding Program'!$P$48,BK$3&lt;='Bonding Program'!$C$8),N('Bonding Program'!$O$48),0)</f>
        <v>0</v>
      </c>
      <c r="BL189" s="19" t="n">
        <f aca="false">IF(AND('Bonding Program'!$S$48=1,'Bonding Program'!$H$48&gt;'Bonding Program'!$C$8,BL$3='Bonding Program'!$H$48),'Bonding Program'!$T$48-'Bonding Program'!$U$48-'Bonding Program'!$Z$48,0)-IF(AND('Bonding Program'!$S$48=1,'Bonding Program'!$H$48&lt;='Bonding Program'!$C$8,BL$3=IF('Bonding Program'!$P$48&lt;&gt;"",'Bonding Program'!$P$48,'Bonding Program'!$C$8)),'Bonding Program'!$Z$48,0)+IF(AND('Bonding Program'!$P$48&lt;&gt;"",BL$3='Bonding Program'!$P$48,BL$3&lt;='Bonding Program'!$C$8),N('Bonding Program'!$O$48),0)</f>
        <v>0</v>
      </c>
      <c r="BM189" s="19" t="n">
        <f aca="false">IF(AND('Bonding Program'!$S$48=1,'Bonding Program'!$H$48&gt;'Bonding Program'!$C$8,BM$3='Bonding Program'!$H$48),'Bonding Program'!$T$48-'Bonding Program'!$U$48-'Bonding Program'!$Z$48,0)-IF(AND('Bonding Program'!$S$48=1,'Bonding Program'!$H$48&lt;='Bonding Program'!$C$8,BM$3=IF('Bonding Program'!$P$48&lt;&gt;"",'Bonding Program'!$P$48,'Bonding Program'!$C$8)),'Bonding Program'!$Z$48,0)+IF(AND('Bonding Program'!$P$48&lt;&gt;"",BM$3='Bonding Program'!$P$48,BM$3&lt;='Bonding Program'!$C$8),N('Bonding Program'!$O$48),0)</f>
        <v>0</v>
      </c>
      <c r="BN189" s="19" t="n">
        <f aca="false">IF(AND('Bonding Program'!$S$48=1,'Bonding Program'!$H$48&gt;'Bonding Program'!$C$8,BN$3='Bonding Program'!$H$48),'Bonding Program'!$T$48-'Bonding Program'!$U$48-'Bonding Program'!$Z$48,0)-IF(AND('Bonding Program'!$S$48=1,'Bonding Program'!$H$48&lt;='Bonding Program'!$C$8,BN$3=IF('Bonding Program'!$P$48&lt;&gt;"",'Bonding Program'!$P$48,'Bonding Program'!$C$8)),'Bonding Program'!$Z$48,0)+IF(AND('Bonding Program'!$P$48&lt;&gt;"",BN$3='Bonding Program'!$P$48,BN$3&lt;='Bonding Program'!$C$8),N('Bonding Program'!$O$48),0)</f>
        <v>0</v>
      </c>
      <c r="BO189" s="19" t="n">
        <f aca="false">IF(AND('Bonding Program'!$S$48=1,'Bonding Program'!$H$48&gt;'Bonding Program'!$C$8,BO$3='Bonding Program'!$H$48),'Bonding Program'!$T$48-'Bonding Program'!$U$48-'Bonding Program'!$Z$48,0)-IF(AND('Bonding Program'!$S$48=1,'Bonding Program'!$H$48&lt;='Bonding Program'!$C$8,BO$3=IF('Bonding Program'!$P$48&lt;&gt;"",'Bonding Program'!$P$48,'Bonding Program'!$C$8)),'Bonding Program'!$Z$48,0)+IF(AND('Bonding Program'!$P$48&lt;&gt;"",BO$3='Bonding Program'!$P$48,BO$3&lt;='Bonding Program'!$C$8),N('Bonding Program'!$O$48),0)</f>
        <v>0</v>
      </c>
      <c r="BP189" s="19" t="n">
        <f aca="false">IF(AND('Bonding Program'!$S$48=1,'Bonding Program'!$H$48&gt;'Bonding Program'!$C$8,BP$3='Bonding Program'!$H$48),'Bonding Program'!$T$48-'Bonding Program'!$U$48-'Bonding Program'!$Z$48,0)-IF(AND('Bonding Program'!$S$48=1,'Bonding Program'!$H$48&lt;='Bonding Program'!$C$8,BP$3=IF('Bonding Program'!$P$48&lt;&gt;"",'Bonding Program'!$P$48,'Bonding Program'!$C$8)),'Bonding Program'!$Z$48,0)+IF(AND('Bonding Program'!$P$48&lt;&gt;"",BP$3='Bonding Program'!$P$48,BP$3&lt;='Bonding Program'!$C$8),N('Bonding Program'!$O$48),0)</f>
        <v>0</v>
      </c>
      <c r="BQ189" s="19" t="n">
        <f aca="false">IF(AND('Bonding Program'!$S$48=1,'Bonding Program'!$H$48&gt;'Bonding Program'!$C$8,BQ$3='Bonding Program'!$H$48),'Bonding Program'!$T$48-'Bonding Program'!$U$48-'Bonding Program'!$Z$48,0)-IF(AND('Bonding Program'!$S$48=1,'Bonding Program'!$H$48&lt;='Bonding Program'!$C$8,BQ$3=IF('Bonding Program'!$P$48&lt;&gt;"",'Bonding Program'!$P$48,'Bonding Program'!$C$8)),'Bonding Program'!$Z$48,0)+IF(AND('Bonding Program'!$P$48&lt;&gt;"",BQ$3='Bonding Program'!$P$48,BQ$3&lt;='Bonding Program'!$C$8),N('Bonding Program'!$O$48),0)</f>
        <v>0</v>
      </c>
      <c r="BR189" s="19" t="n">
        <f aca="false">IF(AND('Bonding Program'!$S$48=1,'Bonding Program'!$H$48&gt;'Bonding Program'!$C$8,BR$3='Bonding Program'!$H$48),'Bonding Program'!$T$48-'Bonding Program'!$U$48-'Bonding Program'!$Z$48,0)-IF(AND('Bonding Program'!$S$48=1,'Bonding Program'!$H$48&lt;='Bonding Program'!$C$8,BR$3=IF('Bonding Program'!$P$48&lt;&gt;"",'Bonding Program'!$P$48,'Bonding Program'!$C$8)),'Bonding Program'!$Z$48,0)+IF(AND('Bonding Program'!$P$48&lt;&gt;"",BR$3='Bonding Program'!$P$48,BR$3&lt;='Bonding Program'!$C$8),N('Bonding Program'!$O$48),0)</f>
        <v>0</v>
      </c>
      <c r="BS189" s="19" t="n">
        <f aca="false">IF(AND('Bonding Program'!$S$48=1,'Bonding Program'!$H$48&gt;'Bonding Program'!$C$8,BS$3='Bonding Program'!$H$48),'Bonding Program'!$T$48-'Bonding Program'!$U$48-'Bonding Program'!$Z$48,0)-IF(AND('Bonding Program'!$S$48=1,'Bonding Program'!$H$48&lt;='Bonding Program'!$C$8,BS$3=IF('Bonding Program'!$P$48&lt;&gt;"",'Bonding Program'!$P$48,'Bonding Program'!$C$8)),'Bonding Program'!$Z$48,0)+IF(AND('Bonding Program'!$P$48&lt;&gt;"",BS$3='Bonding Program'!$P$48,BS$3&lt;='Bonding Program'!$C$8),N('Bonding Program'!$O$48),0)</f>
        <v>0</v>
      </c>
      <c r="BT189" s="19" t="n">
        <f aca="false">IF(AND('Bonding Program'!$S$48=1,'Bonding Program'!$H$48&gt;'Bonding Program'!$C$8,BT$3='Bonding Program'!$H$48),'Bonding Program'!$T$48-'Bonding Program'!$U$48-'Bonding Program'!$Z$48,0)-IF(AND('Bonding Program'!$S$48=1,'Bonding Program'!$H$48&lt;='Bonding Program'!$C$8,BT$3=IF('Bonding Program'!$P$48&lt;&gt;"",'Bonding Program'!$P$48,'Bonding Program'!$C$8)),'Bonding Program'!$Z$48,0)+IF(AND('Bonding Program'!$P$48&lt;&gt;"",BT$3='Bonding Program'!$P$48,BT$3&lt;='Bonding Program'!$C$8),N('Bonding Program'!$O$48),0)</f>
        <v>0</v>
      </c>
      <c r="BU189" s="19" t="n">
        <f aca="false">IF(AND('Bonding Program'!$S$48=1,'Bonding Program'!$H$48&gt;'Bonding Program'!$C$8,BU$3='Bonding Program'!$H$48),'Bonding Program'!$T$48-'Bonding Program'!$U$48-'Bonding Program'!$Z$48,0)-IF(AND('Bonding Program'!$S$48=1,'Bonding Program'!$H$48&lt;='Bonding Program'!$C$8,BU$3=IF('Bonding Program'!$P$48&lt;&gt;"",'Bonding Program'!$P$48,'Bonding Program'!$C$8)),'Bonding Program'!$Z$48,0)+IF(AND('Bonding Program'!$P$48&lt;&gt;"",BU$3='Bonding Program'!$P$48,BU$3&lt;='Bonding Program'!$C$8),N('Bonding Program'!$O$48),0)</f>
        <v>0</v>
      </c>
      <c r="BV189" s="19" t="n">
        <f aca="false">IF(AND('Bonding Program'!$S$48=1,'Bonding Program'!$H$48&gt;'Bonding Program'!$C$8,BV$3='Bonding Program'!$H$48),'Bonding Program'!$T$48-'Bonding Program'!$U$48-'Bonding Program'!$Z$48,0)-IF(AND('Bonding Program'!$S$48=1,'Bonding Program'!$H$48&lt;='Bonding Program'!$C$8,BV$3=IF('Bonding Program'!$P$48&lt;&gt;"",'Bonding Program'!$P$48,'Bonding Program'!$C$8)),'Bonding Program'!$Z$48,0)+IF(AND('Bonding Program'!$P$48&lt;&gt;"",BV$3='Bonding Program'!$P$48,BV$3&lt;='Bonding Program'!$C$8),N('Bonding Program'!$O$48),0)</f>
        <v>0</v>
      </c>
      <c r="BW189" s="19" t="n">
        <f aca="false">IF(AND('Bonding Program'!$S$48=1,'Bonding Program'!$H$48&gt;'Bonding Program'!$C$8,BW$3='Bonding Program'!$H$48),'Bonding Program'!$T$48-'Bonding Program'!$U$48-'Bonding Program'!$Z$48,0)-IF(AND('Bonding Program'!$S$48=1,'Bonding Program'!$H$48&lt;='Bonding Program'!$C$8,BW$3=IF('Bonding Program'!$P$48&lt;&gt;"",'Bonding Program'!$P$48,'Bonding Program'!$C$8)),'Bonding Program'!$Z$48,0)+IF(AND('Bonding Program'!$P$48&lt;&gt;"",BW$3='Bonding Program'!$P$48,BW$3&lt;='Bonding Program'!$C$8),N('Bonding Program'!$O$48),0)</f>
        <v>0</v>
      </c>
      <c r="BX189" s="19" t="n">
        <f aca="false">IF(AND('Bonding Program'!$S$48=1,'Bonding Program'!$H$48&gt;'Bonding Program'!$C$8,BX$3='Bonding Program'!$H$48),'Bonding Program'!$T$48-'Bonding Program'!$U$48-'Bonding Program'!$Z$48,0)-IF(AND('Bonding Program'!$S$48=1,'Bonding Program'!$H$48&lt;='Bonding Program'!$C$8,BX$3=IF('Bonding Program'!$P$48&lt;&gt;"",'Bonding Program'!$P$48,'Bonding Program'!$C$8)),'Bonding Program'!$Z$48,0)+IF(AND('Bonding Program'!$P$48&lt;&gt;"",BX$3='Bonding Program'!$P$48,BX$3&lt;='Bonding Program'!$C$8),N('Bonding Program'!$O$48),0)</f>
        <v>0</v>
      </c>
      <c r="BY189" s="19" t="n">
        <f aca="false">IF(AND('Bonding Program'!$S$48=1,'Bonding Program'!$H$48&gt;'Bonding Program'!$C$8,BY$3='Bonding Program'!$H$48),'Bonding Program'!$T$48-'Bonding Program'!$U$48-'Bonding Program'!$Z$48,0)-IF(AND('Bonding Program'!$S$48=1,'Bonding Program'!$H$48&lt;='Bonding Program'!$C$8,BY$3=IF('Bonding Program'!$P$48&lt;&gt;"",'Bonding Program'!$P$48,'Bonding Program'!$C$8)),'Bonding Program'!$Z$48,0)+IF(AND('Bonding Program'!$P$48&lt;&gt;"",BY$3='Bonding Program'!$P$48,BY$3&lt;='Bonding Program'!$C$8),N('Bonding Program'!$O$48),0)</f>
        <v>0</v>
      </c>
      <c r="BZ189" s="19" t="n">
        <f aca="false">IF(AND('Bonding Program'!$S$48=1,'Bonding Program'!$H$48&gt;'Bonding Program'!$C$8,BZ$3='Bonding Program'!$H$48),'Bonding Program'!$T$48-'Bonding Program'!$U$48-'Bonding Program'!$Z$48,0)-IF(AND('Bonding Program'!$S$48=1,'Bonding Program'!$H$48&lt;='Bonding Program'!$C$8,BZ$3=IF('Bonding Program'!$P$48&lt;&gt;"",'Bonding Program'!$P$48,'Bonding Program'!$C$8)),'Bonding Program'!$Z$48,0)+IF(AND('Bonding Program'!$P$48&lt;&gt;"",BZ$3='Bonding Program'!$P$48,BZ$3&lt;='Bonding Program'!$C$8),N('Bonding Program'!$O$48),0)</f>
        <v>0</v>
      </c>
      <c r="CA189" s="19" t="n">
        <f aca="false">IF(AND('Bonding Program'!$S$48=1,'Bonding Program'!$H$48&gt;'Bonding Program'!$C$8,CA$3='Bonding Program'!$H$48),'Bonding Program'!$T$48-'Bonding Program'!$U$48-'Bonding Program'!$Z$48,0)-IF(AND('Bonding Program'!$S$48=1,'Bonding Program'!$H$48&lt;='Bonding Program'!$C$8,CA$3=IF('Bonding Program'!$P$48&lt;&gt;"",'Bonding Program'!$P$48,'Bonding Program'!$C$8)),'Bonding Program'!$Z$48,0)+IF(AND('Bonding Program'!$P$48&lt;&gt;"",CA$3='Bonding Program'!$P$48,CA$3&lt;='Bonding Program'!$C$8),N('Bonding Program'!$O$48),0)</f>
        <v>0</v>
      </c>
      <c r="CB189" s="19" t="n">
        <f aca="false">IF(AND('Bonding Program'!$S$48=1,'Bonding Program'!$H$48&gt;'Bonding Program'!$C$8,CB$3='Bonding Program'!$H$48),'Bonding Program'!$T$48-'Bonding Program'!$U$48-'Bonding Program'!$Z$48,0)-IF(AND('Bonding Program'!$S$48=1,'Bonding Program'!$H$48&lt;='Bonding Program'!$C$8,CB$3=IF('Bonding Program'!$P$48&lt;&gt;"",'Bonding Program'!$P$48,'Bonding Program'!$C$8)),'Bonding Program'!$Z$48,0)+IF(AND('Bonding Program'!$P$48&lt;&gt;"",CB$3='Bonding Program'!$P$48,CB$3&lt;='Bonding Program'!$C$8),N('Bonding Program'!$O$48),0)</f>
        <v>0</v>
      </c>
      <c r="CC189" s="19" t="n">
        <f aca="false">IF(AND('Bonding Program'!$S$48=1,'Bonding Program'!$H$48&gt;'Bonding Program'!$C$8,CC$3='Bonding Program'!$H$48),'Bonding Program'!$T$48-'Bonding Program'!$U$48-'Bonding Program'!$Z$48,0)-IF(AND('Bonding Program'!$S$48=1,'Bonding Program'!$H$48&lt;='Bonding Program'!$C$8,CC$3=IF('Bonding Program'!$P$48&lt;&gt;"",'Bonding Program'!$P$48,'Bonding Program'!$C$8)),'Bonding Program'!$Z$48,0)+IF(AND('Bonding Program'!$P$48&lt;&gt;"",CC$3='Bonding Program'!$P$48,CC$3&lt;='Bonding Program'!$C$8),N('Bonding Program'!$O$48),0)</f>
        <v>0</v>
      </c>
      <c r="CD189" s="19" t="n">
        <f aca="false">IF(AND('Bonding Program'!$S$48=1,'Bonding Program'!$H$48&gt;'Bonding Program'!$C$8,CD$3='Bonding Program'!$H$48),'Bonding Program'!$T$48-'Bonding Program'!$U$48-'Bonding Program'!$Z$48,0)-IF(AND('Bonding Program'!$S$48=1,'Bonding Program'!$H$48&lt;='Bonding Program'!$C$8,CD$3=IF('Bonding Program'!$P$48&lt;&gt;"",'Bonding Program'!$P$48,'Bonding Program'!$C$8)),'Bonding Program'!$Z$48,0)+IF(AND('Bonding Program'!$P$48&lt;&gt;"",CD$3='Bonding Program'!$P$48,CD$3&lt;='Bonding Program'!$C$8),N('Bonding Program'!$O$48),0)</f>
        <v>0</v>
      </c>
      <c r="CE189" s="19" t="n">
        <f aca="false">IF(AND('Bonding Program'!$S$48=1,'Bonding Program'!$H$48&gt;'Bonding Program'!$C$8,CE$3='Bonding Program'!$H$48),'Bonding Program'!$T$48-'Bonding Program'!$U$48-'Bonding Program'!$Z$48,0)-IF(AND('Bonding Program'!$S$48=1,'Bonding Program'!$H$48&lt;='Bonding Program'!$C$8,CE$3=IF('Bonding Program'!$P$48&lt;&gt;"",'Bonding Program'!$P$48,'Bonding Program'!$C$8)),'Bonding Program'!$Z$48,0)+IF(AND('Bonding Program'!$P$48&lt;&gt;"",CE$3='Bonding Program'!$P$48,CE$3&lt;='Bonding Program'!$C$8),N('Bonding Program'!$O$48),0)</f>
        <v>0</v>
      </c>
      <c r="CF189" s="19" t="n">
        <f aca="false">IF(AND('Bonding Program'!$S$48=1,'Bonding Program'!$H$48&gt;'Bonding Program'!$C$8,CF$3='Bonding Program'!$H$48),'Bonding Program'!$T$48-'Bonding Program'!$U$48-'Bonding Program'!$Z$48,0)-IF(AND('Bonding Program'!$S$48=1,'Bonding Program'!$H$48&lt;='Bonding Program'!$C$8,CF$3=IF('Bonding Program'!$P$48&lt;&gt;"",'Bonding Program'!$P$48,'Bonding Program'!$C$8)),'Bonding Program'!$Z$48,0)+IF(AND('Bonding Program'!$P$48&lt;&gt;"",CF$3='Bonding Program'!$P$48,CF$3&lt;='Bonding Program'!$C$8),N('Bonding Program'!$O$48),0)</f>
        <v>0</v>
      </c>
      <c r="CG189" s="19" t="n">
        <f aca="false">IF(AND('Bonding Program'!$S$48=1,'Bonding Program'!$H$48&gt;'Bonding Program'!$C$8,CG$3='Bonding Program'!$H$48),'Bonding Program'!$T$48-'Bonding Program'!$U$48-'Bonding Program'!$Z$48,0)-IF(AND('Bonding Program'!$S$48=1,'Bonding Program'!$H$48&lt;='Bonding Program'!$C$8,CG$3=IF('Bonding Program'!$P$48&lt;&gt;"",'Bonding Program'!$P$48,'Bonding Program'!$C$8)),'Bonding Program'!$Z$48,0)+IF(AND('Bonding Program'!$P$48&lt;&gt;"",CG$3='Bonding Program'!$P$48,CG$3&lt;='Bonding Program'!$C$8),N('Bonding Program'!$O$48),0)</f>
        <v>0</v>
      </c>
      <c r="CH189" s="19" t="n">
        <f aca="false">IF(AND('Bonding Program'!$S$48=1,'Bonding Program'!$H$48&gt;'Bonding Program'!$C$8,CH$3='Bonding Program'!$H$48),'Bonding Program'!$T$48-'Bonding Program'!$U$48-'Bonding Program'!$Z$48,0)-IF(AND('Bonding Program'!$S$48=1,'Bonding Program'!$H$48&lt;='Bonding Program'!$C$8,CH$3=IF('Bonding Program'!$P$48&lt;&gt;"",'Bonding Program'!$P$48,'Bonding Program'!$C$8)),'Bonding Program'!$Z$48,0)+IF(AND('Bonding Program'!$P$48&lt;&gt;"",CH$3='Bonding Program'!$P$48,CH$3&lt;='Bonding Program'!$C$8),N('Bonding Program'!$O$48),0)</f>
        <v>0</v>
      </c>
      <c r="CI189" s="19" t="n">
        <f aca="false">IF(AND('Bonding Program'!$S$48=1,'Bonding Program'!$H$48&gt;'Bonding Program'!$C$8,CI$3='Bonding Program'!$H$48),'Bonding Program'!$T$48-'Bonding Program'!$U$48-'Bonding Program'!$Z$48,0)-IF(AND('Bonding Program'!$S$48=1,'Bonding Program'!$H$48&lt;='Bonding Program'!$C$8,CI$3=IF('Bonding Program'!$P$48&lt;&gt;"",'Bonding Program'!$P$48,'Bonding Program'!$C$8)),'Bonding Program'!$Z$48,0)+IF(AND('Bonding Program'!$P$48&lt;&gt;"",CI$3='Bonding Program'!$P$48,CI$3&lt;='Bonding Program'!$C$8),N('Bonding Program'!$O$48),0)</f>
        <v>0</v>
      </c>
      <c r="CJ189" s="19" t="n">
        <f aca="false">IF(AND('Bonding Program'!$S$48=1,'Bonding Program'!$H$48&gt;'Bonding Program'!$C$8,CJ$3='Bonding Program'!$H$48),'Bonding Program'!$T$48-'Bonding Program'!$U$48-'Bonding Program'!$Z$48,0)-IF(AND('Bonding Program'!$S$48=1,'Bonding Program'!$H$48&lt;='Bonding Program'!$C$8,CJ$3=IF('Bonding Program'!$P$48&lt;&gt;"",'Bonding Program'!$P$48,'Bonding Program'!$C$8)),'Bonding Program'!$Z$48,0)+IF(AND('Bonding Program'!$P$48&lt;&gt;"",CJ$3='Bonding Program'!$P$48,CJ$3&lt;='Bonding Program'!$C$8),N('Bonding Program'!$O$48),0)</f>
        <v>0</v>
      </c>
      <c r="CK189" s="19" t="n">
        <f aca="false">IF(AND('Bonding Program'!$S$48=1,'Bonding Program'!$H$48&gt;'Bonding Program'!$C$8,CK$3='Bonding Program'!$H$48),'Bonding Program'!$T$48-'Bonding Program'!$U$48-'Bonding Program'!$Z$48,0)-IF(AND('Bonding Program'!$S$48=1,'Bonding Program'!$H$48&lt;='Bonding Program'!$C$8,CK$3=IF('Bonding Program'!$P$48&lt;&gt;"",'Bonding Program'!$P$48,'Bonding Program'!$C$8)),'Bonding Program'!$Z$48,0)+IF(AND('Bonding Program'!$P$48&lt;&gt;"",CK$3='Bonding Program'!$P$48,CK$3&lt;='Bonding Program'!$C$8),N('Bonding Program'!$O$48),0)</f>
        <v>0</v>
      </c>
      <c r="CL189" s="19" t="n">
        <f aca="false">IF(AND('Bonding Program'!$S$48=1,'Bonding Program'!$H$48&gt;'Bonding Program'!$C$8,CL$3='Bonding Program'!$H$48),'Bonding Program'!$T$48-'Bonding Program'!$U$48-'Bonding Program'!$Z$48,0)-IF(AND('Bonding Program'!$S$48=1,'Bonding Program'!$H$48&lt;='Bonding Program'!$C$8,CL$3=IF('Bonding Program'!$P$48&lt;&gt;"",'Bonding Program'!$P$48,'Bonding Program'!$C$8)),'Bonding Program'!$Z$48,0)+IF(AND('Bonding Program'!$P$48&lt;&gt;"",CL$3='Bonding Program'!$P$48,CL$3&lt;='Bonding Program'!$C$8),N('Bonding Program'!$O$48),0)</f>
        <v>0</v>
      </c>
      <c r="CM189" s="19" t="n">
        <f aca="false">IF(AND('Bonding Program'!$S$48=1,'Bonding Program'!$H$48&gt;'Bonding Program'!$C$8,CM$3='Bonding Program'!$H$48),'Bonding Program'!$T$48-'Bonding Program'!$U$48-'Bonding Program'!$Z$48,0)-IF(AND('Bonding Program'!$S$48=1,'Bonding Program'!$H$48&lt;='Bonding Program'!$C$8,CM$3=IF('Bonding Program'!$P$48&lt;&gt;"",'Bonding Program'!$P$48,'Bonding Program'!$C$8)),'Bonding Program'!$Z$48,0)+IF(AND('Bonding Program'!$P$48&lt;&gt;"",CM$3='Bonding Program'!$P$48,CM$3&lt;='Bonding Program'!$C$8),N('Bonding Program'!$O$48),0)</f>
        <v>0</v>
      </c>
      <c r="CN189" s="19" t="n">
        <f aca="false">IF(AND('Bonding Program'!$S$48=1,'Bonding Program'!$H$48&gt;'Bonding Program'!$C$8,CN$3='Bonding Program'!$H$48),'Bonding Program'!$T$48-'Bonding Program'!$U$48-'Bonding Program'!$Z$48,0)-IF(AND('Bonding Program'!$S$48=1,'Bonding Program'!$H$48&lt;='Bonding Program'!$C$8,CN$3=IF('Bonding Program'!$P$48&lt;&gt;"",'Bonding Program'!$P$48,'Bonding Program'!$C$8)),'Bonding Program'!$Z$48,0)+IF(AND('Bonding Program'!$P$48&lt;&gt;"",CN$3='Bonding Program'!$P$48,CN$3&lt;='Bonding Program'!$C$8),N('Bonding Program'!$O$48),0)</f>
        <v>0</v>
      </c>
      <c r="CO189" s="19" t="n">
        <f aca="false">IF(AND('Bonding Program'!$S$48=1,'Bonding Program'!$H$48&gt;'Bonding Program'!$C$8,CO$3='Bonding Program'!$H$48),'Bonding Program'!$T$48-'Bonding Program'!$U$48-'Bonding Program'!$Z$48,0)-IF(AND('Bonding Program'!$S$48=1,'Bonding Program'!$H$48&lt;='Bonding Program'!$C$8,CO$3=IF('Bonding Program'!$P$48&lt;&gt;"",'Bonding Program'!$P$48,'Bonding Program'!$C$8)),'Bonding Program'!$Z$48,0)+IF(AND('Bonding Program'!$P$48&lt;&gt;"",CO$3='Bonding Program'!$P$48,CO$3&lt;='Bonding Program'!$C$8),N('Bonding Program'!$O$48),0)</f>
        <v>0</v>
      </c>
      <c r="CP189" s="19" t="n">
        <f aca="false">IF(AND('Bonding Program'!$S$48=1,'Bonding Program'!$H$48&gt;'Bonding Program'!$C$8,CP$3='Bonding Program'!$H$48),'Bonding Program'!$T$48-'Bonding Program'!$U$48-'Bonding Program'!$Z$48,0)-IF(AND('Bonding Program'!$S$48=1,'Bonding Program'!$H$48&lt;='Bonding Program'!$C$8,CP$3=IF('Bonding Program'!$P$48&lt;&gt;"",'Bonding Program'!$P$48,'Bonding Program'!$C$8)),'Bonding Program'!$Z$48,0)+IF(AND('Bonding Program'!$P$48&lt;&gt;"",CP$3='Bonding Program'!$P$48,CP$3&lt;='Bonding Program'!$C$8),N('Bonding Program'!$O$48),0)</f>
        <v>0</v>
      </c>
      <c r="CQ189" s="19" t="n">
        <f aca="false">IF(AND('Bonding Program'!$S$48=1,'Bonding Program'!$H$48&gt;'Bonding Program'!$C$8,CQ$3='Bonding Program'!$H$48),'Bonding Program'!$T$48-'Bonding Program'!$U$48-'Bonding Program'!$Z$48,0)-IF(AND('Bonding Program'!$S$48=1,'Bonding Program'!$H$48&lt;='Bonding Program'!$C$8,CQ$3=IF('Bonding Program'!$P$48&lt;&gt;"",'Bonding Program'!$P$48,'Bonding Program'!$C$8)),'Bonding Program'!$Z$48,0)+IF(AND('Bonding Program'!$P$48&lt;&gt;"",CQ$3='Bonding Program'!$P$48,CQ$3&lt;='Bonding Program'!$C$8),N('Bonding Program'!$O$48),0)</f>
        <v>0</v>
      </c>
      <c r="CR189" s="19" t="n">
        <f aca="false">IF(AND('Bonding Program'!$S$48=1,'Bonding Program'!$H$48&gt;'Bonding Program'!$C$8,CR$3='Bonding Program'!$H$48),'Bonding Program'!$T$48-'Bonding Program'!$U$48-'Bonding Program'!$Z$48,0)-IF(AND('Bonding Program'!$S$48=1,'Bonding Program'!$H$48&lt;='Bonding Program'!$C$8,CR$3=IF('Bonding Program'!$P$48&lt;&gt;"",'Bonding Program'!$P$48,'Bonding Program'!$C$8)),'Bonding Program'!$Z$48,0)+IF(AND('Bonding Program'!$P$48&lt;&gt;"",CR$3='Bonding Program'!$P$48,CR$3&lt;='Bonding Program'!$C$8),N('Bonding Program'!$O$48),0)</f>
        <v>0</v>
      </c>
      <c r="CS189" s="19" t="n">
        <f aca="false">IF(AND('Bonding Program'!$S$48=1,'Bonding Program'!$H$48&gt;'Bonding Program'!$C$8,CS$3='Bonding Program'!$H$48),'Bonding Program'!$T$48-'Bonding Program'!$U$48-'Bonding Program'!$Z$48,0)-IF(AND('Bonding Program'!$S$48=1,'Bonding Program'!$H$48&lt;='Bonding Program'!$C$8,CS$3=IF('Bonding Program'!$P$48&lt;&gt;"",'Bonding Program'!$P$48,'Bonding Program'!$C$8)),'Bonding Program'!$Z$48,0)+IF(AND('Bonding Program'!$P$48&lt;&gt;"",CS$3='Bonding Program'!$P$48,CS$3&lt;='Bonding Program'!$C$8),N('Bonding Program'!$O$48),0)</f>
        <v>0</v>
      </c>
      <c r="CT189" s="19" t="n">
        <f aca="false">IF(AND('Bonding Program'!$S$48=1,'Bonding Program'!$H$48&gt;'Bonding Program'!$C$8,CT$3='Bonding Program'!$H$48),'Bonding Program'!$T$48-'Bonding Program'!$U$48-'Bonding Program'!$Z$48,0)-IF(AND('Bonding Program'!$S$48=1,'Bonding Program'!$H$48&lt;='Bonding Program'!$C$8,CT$3=IF('Bonding Program'!$P$48&lt;&gt;"",'Bonding Program'!$P$48,'Bonding Program'!$C$8)),'Bonding Program'!$Z$48,0)+IF(AND('Bonding Program'!$P$48&lt;&gt;"",CT$3='Bonding Program'!$P$48,CT$3&lt;='Bonding Program'!$C$8),N('Bonding Program'!$O$48),0)</f>
        <v>0</v>
      </c>
      <c r="CU189" s="19" t="n">
        <f aca="false">IF(AND('Bonding Program'!$S$48=1,'Bonding Program'!$H$48&gt;'Bonding Program'!$C$8,CU$3='Bonding Program'!$H$48),'Bonding Program'!$T$48-'Bonding Program'!$U$48-'Bonding Program'!$Z$48,0)-IF(AND('Bonding Program'!$S$48=1,'Bonding Program'!$H$48&lt;='Bonding Program'!$C$8,CU$3=IF('Bonding Program'!$P$48&lt;&gt;"",'Bonding Program'!$P$48,'Bonding Program'!$C$8)),'Bonding Program'!$Z$48,0)+IF(AND('Bonding Program'!$P$48&lt;&gt;"",CU$3='Bonding Program'!$P$48,CU$3&lt;='Bonding Program'!$C$8),N('Bonding Program'!$O$48),0)</f>
        <v>0</v>
      </c>
      <c r="CV189" s="19" t="n">
        <f aca="false">IF(AND('Bonding Program'!$S$48=1,'Bonding Program'!$H$48&gt;'Bonding Program'!$C$8,CV$3='Bonding Program'!$H$48),'Bonding Program'!$T$48-'Bonding Program'!$U$48-'Bonding Program'!$Z$48,0)-IF(AND('Bonding Program'!$S$48=1,'Bonding Program'!$H$48&lt;='Bonding Program'!$C$8,CV$3=IF('Bonding Program'!$P$48&lt;&gt;"",'Bonding Program'!$P$48,'Bonding Program'!$C$8)),'Bonding Program'!$Z$48,0)+IF(AND('Bonding Program'!$P$48&lt;&gt;"",CV$3='Bonding Program'!$P$48,CV$3&lt;='Bonding Program'!$C$8),N('Bonding Program'!$O$48),0)</f>
        <v>0</v>
      </c>
      <c r="CW189" s="19" t="n">
        <f aca="false">IF(AND('Bonding Program'!$S$48=1,'Bonding Program'!$H$48&gt;'Bonding Program'!$C$8,CW$3='Bonding Program'!$H$48),'Bonding Program'!$T$48-'Bonding Program'!$U$48-'Bonding Program'!$Z$48,0)-IF(AND('Bonding Program'!$S$48=1,'Bonding Program'!$H$48&lt;='Bonding Program'!$C$8,CW$3=IF('Bonding Program'!$P$48&lt;&gt;"",'Bonding Program'!$P$48,'Bonding Program'!$C$8)),'Bonding Program'!$Z$48,0)+IF(AND('Bonding Program'!$P$48&lt;&gt;"",CW$3='Bonding Program'!$P$48,CW$3&lt;='Bonding Program'!$C$8),N('Bonding Program'!$O$48),0)</f>
        <v>0</v>
      </c>
      <c r="CX189" s="19" t="n">
        <f aca="false">IF(AND('Bonding Program'!$S$48=1,'Bonding Program'!$H$48&gt;'Bonding Program'!$C$8,CX$3='Bonding Program'!$H$48),'Bonding Program'!$T$48-'Bonding Program'!$U$48-'Bonding Program'!$Z$48,0)-IF(AND('Bonding Program'!$S$48=1,'Bonding Program'!$H$48&lt;='Bonding Program'!$C$8,CX$3=IF('Bonding Program'!$P$48&lt;&gt;"",'Bonding Program'!$P$48,'Bonding Program'!$C$8)),'Bonding Program'!$Z$48,0)+IF(AND('Bonding Program'!$P$48&lt;&gt;"",CX$3='Bonding Program'!$P$48,CX$3&lt;='Bonding Program'!$C$8),N('Bonding Program'!$O$48),0)</f>
        <v>0</v>
      </c>
      <c r="CY189" s="19" t="n">
        <f aca="false">IF(AND('Bonding Program'!$S$48=1,'Bonding Program'!$H$48&gt;'Bonding Program'!$C$8,CY$3='Bonding Program'!$H$48),'Bonding Program'!$T$48-'Bonding Program'!$U$48-'Bonding Program'!$Z$48,0)-IF(AND('Bonding Program'!$S$48=1,'Bonding Program'!$H$48&lt;='Bonding Program'!$C$8,CY$3=IF('Bonding Program'!$P$48&lt;&gt;"",'Bonding Program'!$P$48,'Bonding Program'!$C$8)),'Bonding Program'!$Z$48,0)+IF(AND('Bonding Program'!$P$48&lt;&gt;"",CY$3='Bonding Program'!$P$48,CY$3&lt;='Bonding Program'!$C$8),N('Bonding Program'!$O$48),0)</f>
        <v>0</v>
      </c>
      <c r="CZ189" s="19" t="n">
        <f aca="false">IF(AND('Bonding Program'!$S$48=1,'Bonding Program'!$H$48&gt;'Bonding Program'!$C$8,CZ$3='Bonding Program'!$H$48),'Bonding Program'!$T$48-'Bonding Program'!$U$48-'Bonding Program'!$Z$48,0)-IF(AND('Bonding Program'!$S$48=1,'Bonding Program'!$H$48&lt;='Bonding Program'!$C$8,CZ$3=IF('Bonding Program'!$P$48&lt;&gt;"",'Bonding Program'!$P$48,'Bonding Program'!$C$8)),'Bonding Program'!$Z$48,0)+IF(AND('Bonding Program'!$P$48&lt;&gt;"",CZ$3='Bonding Program'!$P$48,CZ$3&lt;='Bonding Program'!$C$8),N('Bonding Program'!$O$48),0)</f>
        <v>0</v>
      </c>
      <c r="DA189" s="19" t="n">
        <f aca="false">IF(AND('Bonding Program'!$S$48=1,'Bonding Program'!$H$48&gt;'Bonding Program'!$C$8,DA$3='Bonding Program'!$H$48),'Bonding Program'!$T$48-'Bonding Program'!$U$48-'Bonding Program'!$Z$48,0)-IF(AND('Bonding Program'!$S$48=1,'Bonding Program'!$H$48&lt;='Bonding Program'!$C$8,DA$3=IF('Bonding Program'!$P$48&lt;&gt;"",'Bonding Program'!$P$48,'Bonding Program'!$C$8)),'Bonding Program'!$Z$48,0)+IF(AND('Bonding Program'!$P$48&lt;&gt;"",DA$3='Bonding Program'!$P$48,DA$3&lt;='Bonding Program'!$C$8),N('Bonding Program'!$O$48),0)</f>
        <v>0</v>
      </c>
      <c r="DB189" s="19" t="n">
        <f aca="false">IF(AND('Bonding Program'!$S$48=1,'Bonding Program'!$H$48&gt;'Bonding Program'!$C$8,DB$3='Bonding Program'!$H$48),'Bonding Program'!$T$48-'Bonding Program'!$U$48-'Bonding Program'!$Z$48,0)-IF(AND('Bonding Program'!$S$48=1,'Bonding Program'!$H$48&lt;='Bonding Program'!$C$8,DB$3=IF('Bonding Program'!$P$48&lt;&gt;"",'Bonding Program'!$P$48,'Bonding Program'!$C$8)),'Bonding Program'!$Z$48,0)+IF(AND('Bonding Program'!$P$48&lt;&gt;"",DB$3='Bonding Program'!$P$48,DB$3&lt;='Bonding Program'!$C$8),N('Bonding Program'!$O$48),0)</f>
        <v>0</v>
      </c>
      <c r="DC189" s="19" t="n">
        <f aca="false">IF(AND('Bonding Program'!$S$48=1,'Bonding Program'!$H$48&gt;'Bonding Program'!$C$8,DC$3='Bonding Program'!$H$48),'Bonding Program'!$T$48-'Bonding Program'!$U$48-'Bonding Program'!$Z$48,0)-IF(AND('Bonding Program'!$S$48=1,'Bonding Program'!$H$48&lt;='Bonding Program'!$C$8,DC$3=IF('Bonding Program'!$P$48&lt;&gt;"",'Bonding Program'!$P$48,'Bonding Program'!$C$8)),'Bonding Program'!$Z$48,0)+IF(AND('Bonding Program'!$P$48&lt;&gt;"",DC$3='Bonding Program'!$P$48,DC$3&lt;='Bonding Program'!$C$8),N('Bonding Program'!$O$48),0)</f>
        <v>0</v>
      </c>
      <c r="DD189" s="19" t="n">
        <f aca="false">IF(AND('Bonding Program'!$S$48=1,'Bonding Program'!$H$48&gt;'Bonding Program'!$C$8,DD$3='Bonding Program'!$H$48),'Bonding Program'!$T$48-'Bonding Program'!$U$48-'Bonding Program'!$Z$48,0)-IF(AND('Bonding Program'!$S$48=1,'Bonding Program'!$H$48&lt;='Bonding Program'!$C$8,DD$3=IF('Bonding Program'!$P$48&lt;&gt;"",'Bonding Program'!$P$48,'Bonding Program'!$C$8)),'Bonding Program'!$Z$48,0)+IF(AND('Bonding Program'!$P$48&lt;&gt;"",DD$3='Bonding Program'!$P$48,DD$3&lt;='Bonding Program'!$C$8),N('Bonding Program'!$O$48),0)</f>
        <v>0</v>
      </c>
      <c r="DE189" s="19" t="n">
        <f aca="false">IF(AND('Bonding Program'!$S$48=1,'Bonding Program'!$H$48&gt;'Bonding Program'!$C$8,DE$3='Bonding Program'!$H$48),'Bonding Program'!$T$48-'Bonding Program'!$U$48-'Bonding Program'!$Z$48,0)-IF(AND('Bonding Program'!$S$48=1,'Bonding Program'!$H$48&lt;='Bonding Program'!$C$8,DE$3=IF('Bonding Program'!$P$48&lt;&gt;"",'Bonding Program'!$P$48,'Bonding Program'!$C$8)),'Bonding Program'!$Z$48,0)+IF(AND('Bonding Program'!$P$48&lt;&gt;"",DE$3='Bonding Program'!$P$48,DE$3&lt;='Bonding Program'!$C$8),N('Bonding Program'!$O$48),0)</f>
        <v>0</v>
      </c>
    </row>
    <row r="190" customFormat="false" ht="15" hidden="false" customHeight="true" outlineLevel="1" collapsed="false">
      <c r="A190" s="28" t="s">
        <v>45</v>
      </c>
      <c r="B190" s="19" t="n">
        <f aca="false">IF(AND('Bonding Program'!$S$49=1,'Bonding Program'!$H$49&gt;'Bonding Program'!$C$8,B$3='Bonding Program'!$H$49),'Bonding Program'!$T$49-'Bonding Program'!$U$49-'Bonding Program'!$Z$49,0)-IF(AND('Bonding Program'!$S$49=1,'Bonding Program'!$H$49&lt;='Bonding Program'!$C$8,B$3=IF('Bonding Program'!$P$49&lt;&gt;"",'Bonding Program'!$P$49,'Bonding Program'!$C$8)),'Bonding Program'!$Z$49,0)+IF(AND('Bonding Program'!$P$49&lt;&gt;"",B$3='Bonding Program'!$P$49,B$3&lt;='Bonding Program'!$C$8),N('Bonding Program'!$O$49),0)</f>
        <v>0</v>
      </c>
      <c r="C190" s="19" t="n">
        <f aca="false">IF(AND('Bonding Program'!$S$49=1,'Bonding Program'!$H$49&gt;'Bonding Program'!$C$8,C$3='Bonding Program'!$H$49),'Bonding Program'!$T$49-'Bonding Program'!$U$49-'Bonding Program'!$Z$49,0)-IF(AND('Bonding Program'!$S$49=1,'Bonding Program'!$H$49&lt;='Bonding Program'!$C$8,C$3=IF('Bonding Program'!$P$49&lt;&gt;"",'Bonding Program'!$P$49,'Bonding Program'!$C$8)),'Bonding Program'!$Z$49,0)+IF(AND('Bonding Program'!$P$49&lt;&gt;"",C$3='Bonding Program'!$P$49,C$3&lt;='Bonding Program'!$C$8),N('Bonding Program'!$O$49),0)</f>
        <v>0</v>
      </c>
      <c r="D190" s="19" t="n">
        <f aca="false">IF(AND('Bonding Program'!$S$49=1,'Bonding Program'!$H$49&gt;'Bonding Program'!$C$8,D$3='Bonding Program'!$H$49),'Bonding Program'!$T$49-'Bonding Program'!$U$49-'Bonding Program'!$Z$49,0)-IF(AND('Bonding Program'!$S$49=1,'Bonding Program'!$H$49&lt;='Bonding Program'!$C$8,D$3=IF('Bonding Program'!$P$49&lt;&gt;"",'Bonding Program'!$P$49,'Bonding Program'!$C$8)),'Bonding Program'!$Z$49,0)+IF(AND('Bonding Program'!$P$49&lt;&gt;"",D$3='Bonding Program'!$P$49,D$3&lt;='Bonding Program'!$C$8),N('Bonding Program'!$O$49),0)</f>
        <v>0</v>
      </c>
      <c r="E190" s="19" t="n">
        <f aca="false">IF(AND('Bonding Program'!$S$49=1,'Bonding Program'!$H$49&gt;'Bonding Program'!$C$8,E$3='Bonding Program'!$H$49),'Bonding Program'!$T$49-'Bonding Program'!$U$49-'Bonding Program'!$Z$49,0)-IF(AND('Bonding Program'!$S$49=1,'Bonding Program'!$H$49&lt;='Bonding Program'!$C$8,E$3=IF('Bonding Program'!$P$49&lt;&gt;"",'Bonding Program'!$P$49,'Bonding Program'!$C$8)),'Bonding Program'!$Z$49,0)+IF(AND('Bonding Program'!$P$49&lt;&gt;"",E$3='Bonding Program'!$P$49,E$3&lt;='Bonding Program'!$C$8),N('Bonding Program'!$O$49),0)</f>
        <v>0</v>
      </c>
      <c r="F190" s="19" t="n">
        <f aca="false">IF(AND('Bonding Program'!$S$49=1,'Bonding Program'!$H$49&gt;'Bonding Program'!$C$8,F$3='Bonding Program'!$H$49),'Bonding Program'!$T$49-'Bonding Program'!$U$49-'Bonding Program'!$Z$49,0)-IF(AND('Bonding Program'!$S$49=1,'Bonding Program'!$H$49&lt;='Bonding Program'!$C$8,F$3=IF('Bonding Program'!$P$49&lt;&gt;"",'Bonding Program'!$P$49,'Bonding Program'!$C$8)),'Bonding Program'!$Z$49,0)+IF(AND('Bonding Program'!$P$49&lt;&gt;"",F$3='Bonding Program'!$P$49,F$3&lt;='Bonding Program'!$C$8),N('Bonding Program'!$O$49),0)</f>
        <v>0</v>
      </c>
      <c r="G190" s="19" t="n">
        <f aca="false">IF(AND('Bonding Program'!$S$49=1,'Bonding Program'!$H$49&gt;'Bonding Program'!$C$8,G$3='Bonding Program'!$H$49),'Bonding Program'!$T$49-'Bonding Program'!$U$49-'Bonding Program'!$Z$49,0)-IF(AND('Bonding Program'!$S$49=1,'Bonding Program'!$H$49&lt;='Bonding Program'!$C$8,G$3=IF('Bonding Program'!$P$49&lt;&gt;"",'Bonding Program'!$P$49,'Bonding Program'!$C$8)),'Bonding Program'!$Z$49,0)+IF(AND('Bonding Program'!$P$49&lt;&gt;"",G$3='Bonding Program'!$P$49,G$3&lt;='Bonding Program'!$C$8),N('Bonding Program'!$O$49),0)</f>
        <v>0</v>
      </c>
      <c r="H190" s="19" t="n">
        <f aca="false">IF(AND('Bonding Program'!$S$49=1,'Bonding Program'!$H$49&gt;'Bonding Program'!$C$8,H$3='Bonding Program'!$H$49),'Bonding Program'!$T$49-'Bonding Program'!$U$49-'Bonding Program'!$Z$49,0)-IF(AND('Bonding Program'!$S$49=1,'Bonding Program'!$H$49&lt;='Bonding Program'!$C$8,H$3=IF('Bonding Program'!$P$49&lt;&gt;"",'Bonding Program'!$P$49,'Bonding Program'!$C$8)),'Bonding Program'!$Z$49,0)+IF(AND('Bonding Program'!$P$49&lt;&gt;"",H$3='Bonding Program'!$P$49,H$3&lt;='Bonding Program'!$C$8),N('Bonding Program'!$O$49),0)</f>
        <v>0</v>
      </c>
      <c r="I190" s="19" t="n">
        <f aca="false">IF(AND('Bonding Program'!$S$49=1,'Bonding Program'!$H$49&gt;'Bonding Program'!$C$8,I$3='Bonding Program'!$H$49),'Bonding Program'!$T$49-'Bonding Program'!$U$49-'Bonding Program'!$Z$49,0)-IF(AND('Bonding Program'!$S$49=1,'Bonding Program'!$H$49&lt;='Bonding Program'!$C$8,I$3=IF('Bonding Program'!$P$49&lt;&gt;"",'Bonding Program'!$P$49,'Bonding Program'!$C$8)),'Bonding Program'!$Z$49,0)+IF(AND('Bonding Program'!$P$49&lt;&gt;"",I$3='Bonding Program'!$P$49,I$3&lt;='Bonding Program'!$C$8),N('Bonding Program'!$O$49),0)</f>
        <v>0</v>
      </c>
      <c r="J190" s="19" t="n">
        <f aca="false">IF(AND('Bonding Program'!$S$49=1,'Bonding Program'!$H$49&gt;'Bonding Program'!$C$8,J$3='Bonding Program'!$H$49),'Bonding Program'!$T$49-'Bonding Program'!$U$49-'Bonding Program'!$Z$49,0)-IF(AND('Bonding Program'!$S$49=1,'Bonding Program'!$H$49&lt;='Bonding Program'!$C$8,J$3=IF('Bonding Program'!$P$49&lt;&gt;"",'Bonding Program'!$P$49,'Bonding Program'!$C$8)),'Bonding Program'!$Z$49,0)+IF(AND('Bonding Program'!$P$49&lt;&gt;"",J$3='Bonding Program'!$P$49,J$3&lt;='Bonding Program'!$C$8),N('Bonding Program'!$O$49),0)</f>
        <v>0</v>
      </c>
      <c r="K190" s="19" t="n">
        <f aca="false">IF(AND('Bonding Program'!$S$49=1,'Bonding Program'!$H$49&gt;'Bonding Program'!$C$8,K$3='Bonding Program'!$H$49),'Bonding Program'!$T$49-'Bonding Program'!$U$49-'Bonding Program'!$Z$49,0)-IF(AND('Bonding Program'!$S$49=1,'Bonding Program'!$H$49&lt;='Bonding Program'!$C$8,K$3=IF('Bonding Program'!$P$49&lt;&gt;"",'Bonding Program'!$P$49,'Bonding Program'!$C$8)),'Bonding Program'!$Z$49,0)+IF(AND('Bonding Program'!$P$49&lt;&gt;"",K$3='Bonding Program'!$P$49,K$3&lt;='Bonding Program'!$C$8),N('Bonding Program'!$O$49),0)</f>
        <v>0</v>
      </c>
      <c r="L190" s="19" t="n">
        <f aca="false">IF(AND('Bonding Program'!$S$49=1,'Bonding Program'!$H$49&gt;'Bonding Program'!$C$8,L$3='Bonding Program'!$H$49),'Bonding Program'!$T$49-'Bonding Program'!$U$49-'Bonding Program'!$Z$49,0)-IF(AND('Bonding Program'!$S$49=1,'Bonding Program'!$H$49&lt;='Bonding Program'!$C$8,L$3=IF('Bonding Program'!$P$49&lt;&gt;"",'Bonding Program'!$P$49,'Bonding Program'!$C$8)),'Bonding Program'!$Z$49,0)+IF(AND('Bonding Program'!$P$49&lt;&gt;"",L$3='Bonding Program'!$P$49,L$3&lt;='Bonding Program'!$C$8),N('Bonding Program'!$O$49),0)</f>
        <v>0</v>
      </c>
      <c r="M190" s="19" t="n">
        <f aca="false">IF(AND('Bonding Program'!$S$49=1,'Bonding Program'!$H$49&gt;'Bonding Program'!$C$8,M$3='Bonding Program'!$H$49),'Bonding Program'!$T$49-'Bonding Program'!$U$49-'Bonding Program'!$Z$49,0)-IF(AND('Bonding Program'!$S$49=1,'Bonding Program'!$H$49&lt;='Bonding Program'!$C$8,M$3=IF('Bonding Program'!$P$49&lt;&gt;"",'Bonding Program'!$P$49,'Bonding Program'!$C$8)),'Bonding Program'!$Z$49,0)+IF(AND('Bonding Program'!$P$49&lt;&gt;"",M$3='Bonding Program'!$P$49,M$3&lt;='Bonding Program'!$C$8),N('Bonding Program'!$O$49),0)</f>
        <v>0</v>
      </c>
      <c r="N190" s="19" t="n">
        <f aca="false">IF(AND('Bonding Program'!$S$49=1,'Bonding Program'!$H$49&gt;'Bonding Program'!$C$8,N$3='Bonding Program'!$H$49),'Bonding Program'!$T$49-'Bonding Program'!$U$49-'Bonding Program'!$Z$49,0)-IF(AND('Bonding Program'!$S$49=1,'Bonding Program'!$H$49&lt;='Bonding Program'!$C$8,N$3=IF('Bonding Program'!$P$49&lt;&gt;"",'Bonding Program'!$P$49,'Bonding Program'!$C$8)),'Bonding Program'!$Z$49,0)+IF(AND('Bonding Program'!$P$49&lt;&gt;"",N$3='Bonding Program'!$P$49,N$3&lt;='Bonding Program'!$C$8),N('Bonding Program'!$O$49),0)</f>
        <v>0</v>
      </c>
      <c r="O190" s="19" t="n">
        <f aca="false">IF(AND('Bonding Program'!$S$49=1,'Bonding Program'!$H$49&gt;'Bonding Program'!$C$8,O$3='Bonding Program'!$H$49),'Bonding Program'!$T$49-'Bonding Program'!$U$49-'Bonding Program'!$Z$49,0)-IF(AND('Bonding Program'!$S$49=1,'Bonding Program'!$H$49&lt;='Bonding Program'!$C$8,O$3=IF('Bonding Program'!$P$49&lt;&gt;"",'Bonding Program'!$P$49,'Bonding Program'!$C$8)),'Bonding Program'!$Z$49,0)+IF(AND('Bonding Program'!$P$49&lt;&gt;"",O$3='Bonding Program'!$P$49,O$3&lt;='Bonding Program'!$C$8),N('Bonding Program'!$O$49),0)</f>
        <v>0</v>
      </c>
      <c r="P190" s="19" t="n">
        <f aca="false">IF(AND('Bonding Program'!$S$49=1,'Bonding Program'!$H$49&gt;'Bonding Program'!$C$8,P$3='Bonding Program'!$H$49),'Bonding Program'!$T$49-'Bonding Program'!$U$49-'Bonding Program'!$Z$49,0)-IF(AND('Bonding Program'!$S$49=1,'Bonding Program'!$H$49&lt;='Bonding Program'!$C$8,P$3=IF('Bonding Program'!$P$49&lt;&gt;"",'Bonding Program'!$P$49,'Bonding Program'!$C$8)),'Bonding Program'!$Z$49,0)+IF(AND('Bonding Program'!$P$49&lt;&gt;"",P$3='Bonding Program'!$P$49,P$3&lt;='Bonding Program'!$C$8),N('Bonding Program'!$O$49),0)</f>
        <v>0</v>
      </c>
      <c r="Q190" s="19" t="n">
        <f aca="false">IF(AND('Bonding Program'!$S$49=1,'Bonding Program'!$H$49&gt;'Bonding Program'!$C$8,Q$3='Bonding Program'!$H$49),'Bonding Program'!$T$49-'Bonding Program'!$U$49-'Bonding Program'!$Z$49,0)-IF(AND('Bonding Program'!$S$49=1,'Bonding Program'!$H$49&lt;='Bonding Program'!$C$8,Q$3=IF('Bonding Program'!$P$49&lt;&gt;"",'Bonding Program'!$P$49,'Bonding Program'!$C$8)),'Bonding Program'!$Z$49,0)+IF(AND('Bonding Program'!$P$49&lt;&gt;"",Q$3='Bonding Program'!$P$49,Q$3&lt;='Bonding Program'!$C$8),N('Bonding Program'!$O$49),0)</f>
        <v>0</v>
      </c>
      <c r="R190" s="19" t="n">
        <f aca="false">IF(AND('Bonding Program'!$S$49=1,'Bonding Program'!$H$49&gt;'Bonding Program'!$C$8,R$3='Bonding Program'!$H$49),'Bonding Program'!$T$49-'Bonding Program'!$U$49-'Bonding Program'!$Z$49,0)-IF(AND('Bonding Program'!$S$49=1,'Bonding Program'!$H$49&lt;='Bonding Program'!$C$8,R$3=IF('Bonding Program'!$P$49&lt;&gt;"",'Bonding Program'!$P$49,'Bonding Program'!$C$8)),'Bonding Program'!$Z$49,0)+IF(AND('Bonding Program'!$P$49&lt;&gt;"",R$3='Bonding Program'!$P$49,R$3&lt;='Bonding Program'!$C$8),N('Bonding Program'!$O$49),0)</f>
        <v>0</v>
      </c>
      <c r="S190" s="19" t="n">
        <f aca="false">IF(AND('Bonding Program'!$S$49=1,'Bonding Program'!$H$49&gt;'Bonding Program'!$C$8,S$3='Bonding Program'!$H$49),'Bonding Program'!$T$49-'Bonding Program'!$U$49-'Bonding Program'!$Z$49,0)-IF(AND('Bonding Program'!$S$49=1,'Bonding Program'!$H$49&lt;='Bonding Program'!$C$8,S$3=IF('Bonding Program'!$P$49&lt;&gt;"",'Bonding Program'!$P$49,'Bonding Program'!$C$8)),'Bonding Program'!$Z$49,0)+IF(AND('Bonding Program'!$P$49&lt;&gt;"",S$3='Bonding Program'!$P$49,S$3&lt;='Bonding Program'!$C$8),N('Bonding Program'!$O$49),0)</f>
        <v>0</v>
      </c>
      <c r="T190" s="19" t="n">
        <f aca="false">IF(AND('Bonding Program'!$S$49=1,'Bonding Program'!$H$49&gt;'Bonding Program'!$C$8,T$3='Bonding Program'!$H$49),'Bonding Program'!$T$49-'Bonding Program'!$U$49-'Bonding Program'!$Z$49,0)-IF(AND('Bonding Program'!$S$49=1,'Bonding Program'!$H$49&lt;='Bonding Program'!$C$8,T$3=IF('Bonding Program'!$P$49&lt;&gt;"",'Bonding Program'!$P$49,'Bonding Program'!$C$8)),'Bonding Program'!$Z$49,0)+IF(AND('Bonding Program'!$P$49&lt;&gt;"",T$3='Bonding Program'!$P$49,T$3&lt;='Bonding Program'!$C$8),N('Bonding Program'!$O$49),0)</f>
        <v>0</v>
      </c>
      <c r="U190" s="19" t="n">
        <f aca="false">IF(AND('Bonding Program'!$S$49=1,'Bonding Program'!$H$49&gt;'Bonding Program'!$C$8,U$3='Bonding Program'!$H$49),'Bonding Program'!$T$49-'Bonding Program'!$U$49-'Bonding Program'!$Z$49,0)-IF(AND('Bonding Program'!$S$49=1,'Bonding Program'!$H$49&lt;='Bonding Program'!$C$8,U$3=IF('Bonding Program'!$P$49&lt;&gt;"",'Bonding Program'!$P$49,'Bonding Program'!$C$8)),'Bonding Program'!$Z$49,0)+IF(AND('Bonding Program'!$P$49&lt;&gt;"",U$3='Bonding Program'!$P$49,U$3&lt;='Bonding Program'!$C$8),N('Bonding Program'!$O$49),0)</f>
        <v>0</v>
      </c>
      <c r="V190" s="19" t="n">
        <f aca="false">IF(AND('Bonding Program'!$S$49=1,'Bonding Program'!$H$49&gt;'Bonding Program'!$C$8,V$3='Bonding Program'!$H$49),'Bonding Program'!$T$49-'Bonding Program'!$U$49-'Bonding Program'!$Z$49,0)-IF(AND('Bonding Program'!$S$49=1,'Bonding Program'!$H$49&lt;='Bonding Program'!$C$8,V$3=IF('Bonding Program'!$P$49&lt;&gt;"",'Bonding Program'!$P$49,'Bonding Program'!$C$8)),'Bonding Program'!$Z$49,0)+IF(AND('Bonding Program'!$P$49&lt;&gt;"",V$3='Bonding Program'!$P$49,V$3&lt;='Bonding Program'!$C$8),N('Bonding Program'!$O$49),0)</f>
        <v>0</v>
      </c>
      <c r="W190" s="19" t="n">
        <f aca="false">IF(AND('Bonding Program'!$S$49=1,'Bonding Program'!$H$49&gt;'Bonding Program'!$C$8,W$3='Bonding Program'!$H$49),'Bonding Program'!$T$49-'Bonding Program'!$U$49-'Bonding Program'!$Z$49,0)-IF(AND('Bonding Program'!$S$49=1,'Bonding Program'!$H$49&lt;='Bonding Program'!$C$8,W$3=IF('Bonding Program'!$P$49&lt;&gt;"",'Bonding Program'!$P$49,'Bonding Program'!$C$8)),'Bonding Program'!$Z$49,0)+IF(AND('Bonding Program'!$P$49&lt;&gt;"",W$3='Bonding Program'!$P$49,W$3&lt;='Bonding Program'!$C$8),N('Bonding Program'!$O$49),0)</f>
        <v>0</v>
      </c>
      <c r="X190" s="19" t="n">
        <f aca="false">IF(AND('Bonding Program'!$S$49=1,'Bonding Program'!$H$49&gt;'Bonding Program'!$C$8,X$3='Bonding Program'!$H$49),'Bonding Program'!$T$49-'Bonding Program'!$U$49-'Bonding Program'!$Z$49,0)-IF(AND('Bonding Program'!$S$49=1,'Bonding Program'!$H$49&lt;='Bonding Program'!$C$8,X$3=IF('Bonding Program'!$P$49&lt;&gt;"",'Bonding Program'!$P$49,'Bonding Program'!$C$8)),'Bonding Program'!$Z$49,0)+IF(AND('Bonding Program'!$P$49&lt;&gt;"",X$3='Bonding Program'!$P$49,X$3&lt;='Bonding Program'!$C$8),N('Bonding Program'!$O$49),0)</f>
        <v>0</v>
      </c>
      <c r="Y190" s="19" t="n">
        <f aca="false">IF(AND('Bonding Program'!$S$49=1,'Bonding Program'!$H$49&gt;'Bonding Program'!$C$8,Y$3='Bonding Program'!$H$49),'Bonding Program'!$T$49-'Bonding Program'!$U$49-'Bonding Program'!$Z$49,0)-IF(AND('Bonding Program'!$S$49=1,'Bonding Program'!$H$49&lt;='Bonding Program'!$C$8,Y$3=IF('Bonding Program'!$P$49&lt;&gt;"",'Bonding Program'!$P$49,'Bonding Program'!$C$8)),'Bonding Program'!$Z$49,0)+IF(AND('Bonding Program'!$P$49&lt;&gt;"",Y$3='Bonding Program'!$P$49,Y$3&lt;='Bonding Program'!$C$8),N('Bonding Program'!$O$49),0)</f>
        <v>0</v>
      </c>
      <c r="Z190" s="19" t="n">
        <f aca="false">IF(AND('Bonding Program'!$S$49=1,'Bonding Program'!$H$49&gt;'Bonding Program'!$C$8,Z$3='Bonding Program'!$H$49),'Bonding Program'!$T$49-'Bonding Program'!$U$49-'Bonding Program'!$Z$49,0)-IF(AND('Bonding Program'!$S$49=1,'Bonding Program'!$H$49&lt;='Bonding Program'!$C$8,Z$3=IF('Bonding Program'!$P$49&lt;&gt;"",'Bonding Program'!$P$49,'Bonding Program'!$C$8)),'Bonding Program'!$Z$49,0)+IF(AND('Bonding Program'!$P$49&lt;&gt;"",Z$3='Bonding Program'!$P$49,Z$3&lt;='Bonding Program'!$C$8),N('Bonding Program'!$O$49),0)</f>
        <v>0</v>
      </c>
      <c r="AA190" s="19" t="n">
        <f aca="false">IF(AND('Bonding Program'!$S$49=1,'Bonding Program'!$H$49&gt;'Bonding Program'!$C$8,AA$3='Bonding Program'!$H$49),'Bonding Program'!$T$49-'Bonding Program'!$U$49-'Bonding Program'!$Z$49,0)-IF(AND('Bonding Program'!$S$49=1,'Bonding Program'!$H$49&lt;='Bonding Program'!$C$8,AA$3=IF('Bonding Program'!$P$49&lt;&gt;"",'Bonding Program'!$P$49,'Bonding Program'!$C$8)),'Bonding Program'!$Z$49,0)+IF(AND('Bonding Program'!$P$49&lt;&gt;"",AA$3='Bonding Program'!$P$49,AA$3&lt;='Bonding Program'!$C$8),N('Bonding Program'!$O$49),0)</f>
        <v>0</v>
      </c>
      <c r="AB190" s="19" t="n">
        <f aca="false">IF(AND('Bonding Program'!$S$49=1,'Bonding Program'!$H$49&gt;'Bonding Program'!$C$8,AB$3='Bonding Program'!$H$49),'Bonding Program'!$T$49-'Bonding Program'!$U$49-'Bonding Program'!$Z$49,0)-IF(AND('Bonding Program'!$S$49=1,'Bonding Program'!$H$49&lt;='Bonding Program'!$C$8,AB$3=IF('Bonding Program'!$P$49&lt;&gt;"",'Bonding Program'!$P$49,'Bonding Program'!$C$8)),'Bonding Program'!$Z$49,0)+IF(AND('Bonding Program'!$P$49&lt;&gt;"",AB$3='Bonding Program'!$P$49,AB$3&lt;='Bonding Program'!$C$8),N('Bonding Program'!$O$49),0)</f>
        <v>0</v>
      </c>
      <c r="AC190" s="19" t="n">
        <f aca="false">IF(AND('Bonding Program'!$S$49=1,'Bonding Program'!$H$49&gt;'Bonding Program'!$C$8,AC$3='Bonding Program'!$H$49),'Bonding Program'!$T$49-'Bonding Program'!$U$49-'Bonding Program'!$Z$49,0)-IF(AND('Bonding Program'!$S$49=1,'Bonding Program'!$H$49&lt;='Bonding Program'!$C$8,AC$3=IF('Bonding Program'!$P$49&lt;&gt;"",'Bonding Program'!$P$49,'Bonding Program'!$C$8)),'Bonding Program'!$Z$49,0)+IF(AND('Bonding Program'!$P$49&lt;&gt;"",AC$3='Bonding Program'!$P$49,AC$3&lt;='Bonding Program'!$C$8),N('Bonding Program'!$O$49),0)</f>
        <v>0</v>
      </c>
      <c r="AD190" s="19" t="n">
        <f aca="false">IF(AND('Bonding Program'!$S$49=1,'Bonding Program'!$H$49&gt;'Bonding Program'!$C$8,AD$3='Bonding Program'!$H$49),'Bonding Program'!$T$49-'Bonding Program'!$U$49-'Bonding Program'!$Z$49,0)-IF(AND('Bonding Program'!$S$49=1,'Bonding Program'!$H$49&lt;='Bonding Program'!$C$8,AD$3=IF('Bonding Program'!$P$49&lt;&gt;"",'Bonding Program'!$P$49,'Bonding Program'!$C$8)),'Bonding Program'!$Z$49,0)+IF(AND('Bonding Program'!$P$49&lt;&gt;"",AD$3='Bonding Program'!$P$49,AD$3&lt;='Bonding Program'!$C$8),N('Bonding Program'!$O$49),0)</f>
        <v>0</v>
      </c>
      <c r="AE190" s="19" t="n">
        <f aca="false">IF(AND('Bonding Program'!$S$49=1,'Bonding Program'!$H$49&gt;'Bonding Program'!$C$8,AE$3='Bonding Program'!$H$49),'Bonding Program'!$T$49-'Bonding Program'!$U$49-'Bonding Program'!$Z$49,0)-IF(AND('Bonding Program'!$S$49=1,'Bonding Program'!$H$49&lt;='Bonding Program'!$C$8,AE$3=IF('Bonding Program'!$P$49&lt;&gt;"",'Bonding Program'!$P$49,'Bonding Program'!$C$8)),'Bonding Program'!$Z$49,0)+IF(AND('Bonding Program'!$P$49&lt;&gt;"",AE$3='Bonding Program'!$P$49,AE$3&lt;='Bonding Program'!$C$8),N('Bonding Program'!$O$49),0)</f>
        <v>0</v>
      </c>
      <c r="AF190" s="19" t="n">
        <f aca="false">IF(AND('Bonding Program'!$S$49=1,'Bonding Program'!$H$49&gt;'Bonding Program'!$C$8,AF$3='Bonding Program'!$H$49),'Bonding Program'!$T$49-'Bonding Program'!$U$49-'Bonding Program'!$Z$49,0)-IF(AND('Bonding Program'!$S$49=1,'Bonding Program'!$H$49&lt;='Bonding Program'!$C$8,AF$3=IF('Bonding Program'!$P$49&lt;&gt;"",'Bonding Program'!$P$49,'Bonding Program'!$C$8)),'Bonding Program'!$Z$49,0)+IF(AND('Bonding Program'!$P$49&lt;&gt;"",AF$3='Bonding Program'!$P$49,AF$3&lt;='Bonding Program'!$C$8),N('Bonding Program'!$O$49),0)</f>
        <v>0</v>
      </c>
      <c r="AG190" s="19" t="n">
        <f aca="false">IF(AND('Bonding Program'!$S$49=1,'Bonding Program'!$H$49&gt;'Bonding Program'!$C$8,AG$3='Bonding Program'!$H$49),'Bonding Program'!$T$49-'Bonding Program'!$U$49-'Bonding Program'!$Z$49,0)-IF(AND('Bonding Program'!$S$49=1,'Bonding Program'!$H$49&lt;='Bonding Program'!$C$8,AG$3=IF('Bonding Program'!$P$49&lt;&gt;"",'Bonding Program'!$P$49,'Bonding Program'!$C$8)),'Bonding Program'!$Z$49,0)+IF(AND('Bonding Program'!$P$49&lt;&gt;"",AG$3='Bonding Program'!$P$49,AG$3&lt;='Bonding Program'!$C$8),N('Bonding Program'!$O$49),0)</f>
        <v>0</v>
      </c>
      <c r="AH190" s="19" t="n">
        <f aca="false">IF(AND('Bonding Program'!$S$49=1,'Bonding Program'!$H$49&gt;'Bonding Program'!$C$8,AH$3='Bonding Program'!$H$49),'Bonding Program'!$T$49-'Bonding Program'!$U$49-'Bonding Program'!$Z$49,0)-IF(AND('Bonding Program'!$S$49=1,'Bonding Program'!$H$49&lt;='Bonding Program'!$C$8,AH$3=IF('Bonding Program'!$P$49&lt;&gt;"",'Bonding Program'!$P$49,'Bonding Program'!$C$8)),'Bonding Program'!$Z$49,0)+IF(AND('Bonding Program'!$P$49&lt;&gt;"",AH$3='Bonding Program'!$P$49,AH$3&lt;='Bonding Program'!$C$8),N('Bonding Program'!$O$49),0)</f>
        <v>0</v>
      </c>
      <c r="AI190" s="19" t="n">
        <f aca="false">IF(AND('Bonding Program'!$S$49=1,'Bonding Program'!$H$49&gt;'Bonding Program'!$C$8,AI$3='Bonding Program'!$H$49),'Bonding Program'!$T$49-'Bonding Program'!$U$49-'Bonding Program'!$Z$49,0)-IF(AND('Bonding Program'!$S$49=1,'Bonding Program'!$H$49&lt;='Bonding Program'!$C$8,AI$3=IF('Bonding Program'!$P$49&lt;&gt;"",'Bonding Program'!$P$49,'Bonding Program'!$C$8)),'Bonding Program'!$Z$49,0)+IF(AND('Bonding Program'!$P$49&lt;&gt;"",AI$3='Bonding Program'!$P$49,AI$3&lt;='Bonding Program'!$C$8),N('Bonding Program'!$O$49),0)</f>
        <v>0</v>
      </c>
      <c r="AJ190" s="19" t="n">
        <f aca="false">IF(AND('Bonding Program'!$S$49=1,'Bonding Program'!$H$49&gt;'Bonding Program'!$C$8,AJ$3='Bonding Program'!$H$49),'Bonding Program'!$T$49-'Bonding Program'!$U$49-'Bonding Program'!$Z$49,0)-IF(AND('Bonding Program'!$S$49=1,'Bonding Program'!$H$49&lt;='Bonding Program'!$C$8,AJ$3=IF('Bonding Program'!$P$49&lt;&gt;"",'Bonding Program'!$P$49,'Bonding Program'!$C$8)),'Bonding Program'!$Z$49,0)+IF(AND('Bonding Program'!$P$49&lt;&gt;"",AJ$3='Bonding Program'!$P$49,AJ$3&lt;='Bonding Program'!$C$8),N('Bonding Program'!$O$49),0)</f>
        <v>0</v>
      </c>
      <c r="AK190" s="19" t="n">
        <f aca="false">IF(AND('Bonding Program'!$S$49=1,'Bonding Program'!$H$49&gt;'Bonding Program'!$C$8,AK$3='Bonding Program'!$H$49),'Bonding Program'!$T$49-'Bonding Program'!$U$49-'Bonding Program'!$Z$49,0)-IF(AND('Bonding Program'!$S$49=1,'Bonding Program'!$H$49&lt;='Bonding Program'!$C$8,AK$3=IF('Bonding Program'!$P$49&lt;&gt;"",'Bonding Program'!$P$49,'Bonding Program'!$C$8)),'Bonding Program'!$Z$49,0)+IF(AND('Bonding Program'!$P$49&lt;&gt;"",AK$3='Bonding Program'!$P$49,AK$3&lt;='Bonding Program'!$C$8),N('Bonding Program'!$O$49),0)</f>
        <v>0</v>
      </c>
      <c r="AL190" s="19" t="n">
        <f aca="false">IF(AND('Bonding Program'!$S$49=1,'Bonding Program'!$H$49&gt;'Bonding Program'!$C$8,AL$3='Bonding Program'!$H$49),'Bonding Program'!$T$49-'Bonding Program'!$U$49-'Bonding Program'!$Z$49,0)-IF(AND('Bonding Program'!$S$49=1,'Bonding Program'!$H$49&lt;='Bonding Program'!$C$8,AL$3=IF('Bonding Program'!$P$49&lt;&gt;"",'Bonding Program'!$P$49,'Bonding Program'!$C$8)),'Bonding Program'!$Z$49,0)+IF(AND('Bonding Program'!$P$49&lt;&gt;"",AL$3='Bonding Program'!$P$49,AL$3&lt;='Bonding Program'!$C$8),N('Bonding Program'!$O$49),0)</f>
        <v>0</v>
      </c>
      <c r="AM190" s="19" t="n">
        <f aca="false">IF(AND('Bonding Program'!$S$49=1,'Bonding Program'!$H$49&gt;'Bonding Program'!$C$8,AM$3='Bonding Program'!$H$49),'Bonding Program'!$T$49-'Bonding Program'!$U$49-'Bonding Program'!$Z$49,0)-IF(AND('Bonding Program'!$S$49=1,'Bonding Program'!$H$49&lt;='Bonding Program'!$C$8,AM$3=IF('Bonding Program'!$P$49&lt;&gt;"",'Bonding Program'!$P$49,'Bonding Program'!$C$8)),'Bonding Program'!$Z$49,0)+IF(AND('Bonding Program'!$P$49&lt;&gt;"",AM$3='Bonding Program'!$P$49,AM$3&lt;='Bonding Program'!$C$8),N('Bonding Program'!$O$49),0)</f>
        <v>0</v>
      </c>
      <c r="AN190" s="19" t="n">
        <f aca="false">IF(AND('Bonding Program'!$S$49=1,'Bonding Program'!$H$49&gt;'Bonding Program'!$C$8,AN$3='Bonding Program'!$H$49),'Bonding Program'!$T$49-'Bonding Program'!$U$49-'Bonding Program'!$Z$49,0)-IF(AND('Bonding Program'!$S$49=1,'Bonding Program'!$H$49&lt;='Bonding Program'!$C$8,AN$3=IF('Bonding Program'!$P$49&lt;&gt;"",'Bonding Program'!$P$49,'Bonding Program'!$C$8)),'Bonding Program'!$Z$49,0)+IF(AND('Bonding Program'!$P$49&lt;&gt;"",AN$3='Bonding Program'!$P$49,AN$3&lt;='Bonding Program'!$C$8),N('Bonding Program'!$O$49),0)</f>
        <v>0</v>
      </c>
      <c r="AO190" s="19" t="n">
        <f aca="false">IF(AND('Bonding Program'!$S$49=1,'Bonding Program'!$H$49&gt;'Bonding Program'!$C$8,AO$3='Bonding Program'!$H$49),'Bonding Program'!$T$49-'Bonding Program'!$U$49-'Bonding Program'!$Z$49,0)-IF(AND('Bonding Program'!$S$49=1,'Bonding Program'!$H$49&lt;='Bonding Program'!$C$8,AO$3=IF('Bonding Program'!$P$49&lt;&gt;"",'Bonding Program'!$P$49,'Bonding Program'!$C$8)),'Bonding Program'!$Z$49,0)+IF(AND('Bonding Program'!$P$49&lt;&gt;"",AO$3='Bonding Program'!$P$49,AO$3&lt;='Bonding Program'!$C$8),N('Bonding Program'!$O$49),0)</f>
        <v>0</v>
      </c>
      <c r="AP190" s="19" t="n">
        <f aca="false">IF(AND('Bonding Program'!$S$49=1,'Bonding Program'!$H$49&gt;'Bonding Program'!$C$8,AP$3='Bonding Program'!$H$49),'Bonding Program'!$T$49-'Bonding Program'!$U$49-'Bonding Program'!$Z$49,0)-IF(AND('Bonding Program'!$S$49=1,'Bonding Program'!$H$49&lt;='Bonding Program'!$C$8,AP$3=IF('Bonding Program'!$P$49&lt;&gt;"",'Bonding Program'!$P$49,'Bonding Program'!$C$8)),'Bonding Program'!$Z$49,0)+IF(AND('Bonding Program'!$P$49&lt;&gt;"",AP$3='Bonding Program'!$P$49,AP$3&lt;='Bonding Program'!$C$8),N('Bonding Program'!$O$49),0)</f>
        <v>0</v>
      </c>
      <c r="AQ190" s="19" t="n">
        <f aca="false">IF(AND('Bonding Program'!$S$49=1,'Bonding Program'!$H$49&gt;'Bonding Program'!$C$8,AQ$3='Bonding Program'!$H$49),'Bonding Program'!$T$49-'Bonding Program'!$U$49-'Bonding Program'!$Z$49,0)-IF(AND('Bonding Program'!$S$49=1,'Bonding Program'!$H$49&lt;='Bonding Program'!$C$8,AQ$3=IF('Bonding Program'!$P$49&lt;&gt;"",'Bonding Program'!$P$49,'Bonding Program'!$C$8)),'Bonding Program'!$Z$49,0)+IF(AND('Bonding Program'!$P$49&lt;&gt;"",AQ$3='Bonding Program'!$P$49,AQ$3&lt;='Bonding Program'!$C$8),N('Bonding Program'!$O$49),0)</f>
        <v>0</v>
      </c>
      <c r="AR190" s="19" t="n">
        <f aca="false">IF(AND('Bonding Program'!$S$49=1,'Bonding Program'!$H$49&gt;'Bonding Program'!$C$8,AR$3='Bonding Program'!$H$49),'Bonding Program'!$T$49-'Bonding Program'!$U$49-'Bonding Program'!$Z$49,0)-IF(AND('Bonding Program'!$S$49=1,'Bonding Program'!$H$49&lt;='Bonding Program'!$C$8,AR$3=IF('Bonding Program'!$P$49&lt;&gt;"",'Bonding Program'!$P$49,'Bonding Program'!$C$8)),'Bonding Program'!$Z$49,0)+IF(AND('Bonding Program'!$P$49&lt;&gt;"",AR$3='Bonding Program'!$P$49,AR$3&lt;='Bonding Program'!$C$8),N('Bonding Program'!$O$49),0)</f>
        <v>0</v>
      </c>
      <c r="AS190" s="19" t="n">
        <f aca="false">IF(AND('Bonding Program'!$S$49=1,'Bonding Program'!$H$49&gt;'Bonding Program'!$C$8,AS$3='Bonding Program'!$H$49),'Bonding Program'!$T$49-'Bonding Program'!$U$49-'Bonding Program'!$Z$49,0)-IF(AND('Bonding Program'!$S$49=1,'Bonding Program'!$H$49&lt;='Bonding Program'!$C$8,AS$3=IF('Bonding Program'!$P$49&lt;&gt;"",'Bonding Program'!$P$49,'Bonding Program'!$C$8)),'Bonding Program'!$Z$49,0)+IF(AND('Bonding Program'!$P$49&lt;&gt;"",AS$3='Bonding Program'!$P$49,AS$3&lt;='Bonding Program'!$C$8),N('Bonding Program'!$O$49),0)</f>
        <v>0</v>
      </c>
      <c r="AT190" s="19" t="n">
        <f aca="false">IF(AND('Bonding Program'!$S$49=1,'Bonding Program'!$H$49&gt;'Bonding Program'!$C$8,AT$3='Bonding Program'!$H$49),'Bonding Program'!$T$49-'Bonding Program'!$U$49-'Bonding Program'!$Z$49,0)-IF(AND('Bonding Program'!$S$49=1,'Bonding Program'!$H$49&lt;='Bonding Program'!$C$8,AT$3=IF('Bonding Program'!$P$49&lt;&gt;"",'Bonding Program'!$P$49,'Bonding Program'!$C$8)),'Bonding Program'!$Z$49,0)+IF(AND('Bonding Program'!$P$49&lt;&gt;"",AT$3='Bonding Program'!$P$49,AT$3&lt;='Bonding Program'!$C$8),N('Bonding Program'!$O$49),0)</f>
        <v>0</v>
      </c>
      <c r="AU190" s="19" t="n">
        <f aca="false">IF(AND('Bonding Program'!$S$49=1,'Bonding Program'!$H$49&gt;'Bonding Program'!$C$8,AU$3='Bonding Program'!$H$49),'Bonding Program'!$T$49-'Bonding Program'!$U$49-'Bonding Program'!$Z$49,0)-IF(AND('Bonding Program'!$S$49=1,'Bonding Program'!$H$49&lt;='Bonding Program'!$C$8,AU$3=IF('Bonding Program'!$P$49&lt;&gt;"",'Bonding Program'!$P$49,'Bonding Program'!$C$8)),'Bonding Program'!$Z$49,0)+IF(AND('Bonding Program'!$P$49&lt;&gt;"",AU$3='Bonding Program'!$P$49,AU$3&lt;='Bonding Program'!$C$8),N('Bonding Program'!$O$49),0)</f>
        <v>0</v>
      </c>
      <c r="AV190" s="19" t="n">
        <f aca="false">IF(AND('Bonding Program'!$S$49=1,'Bonding Program'!$H$49&gt;'Bonding Program'!$C$8,AV$3='Bonding Program'!$H$49),'Bonding Program'!$T$49-'Bonding Program'!$U$49-'Bonding Program'!$Z$49,0)-IF(AND('Bonding Program'!$S$49=1,'Bonding Program'!$H$49&lt;='Bonding Program'!$C$8,AV$3=IF('Bonding Program'!$P$49&lt;&gt;"",'Bonding Program'!$P$49,'Bonding Program'!$C$8)),'Bonding Program'!$Z$49,0)+IF(AND('Bonding Program'!$P$49&lt;&gt;"",AV$3='Bonding Program'!$P$49,AV$3&lt;='Bonding Program'!$C$8),N('Bonding Program'!$O$49),0)</f>
        <v>0</v>
      </c>
      <c r="AW190" s="19" t="n">
        <f aca="false">IF(AND('Bonding Program'!$S$49=1,'Bonding Program'!$H$49&gt;'Bonding Program'!$C$8,AW$3='Bonding Program'!$H$49),'Bonding Program'!$T$49-'Bonding Program'!$U$49-'Bonding Program'!$Z$49,0)-IF(AND('Bonding Program'!$S$49=1,'Bonding Program'!$H$49&lt;='Bonding Program'!$C$8,AW$3=IF('Bonding Program'!$P$49&lt;&gt;"",'Bonding Program'!$P$49,'Bonding Program'!$C$8)),'Bonding Program'!$Z$49,0)+IF(AND('Bonding Program'!$P$49&lt;&gt;"",AW$3='Bonding Program'!$P$49,AW$3&lt;='Bonding Program'!$C$8),N('Bonding Program'!$O$49),0)</f>
        <v>0</v>
      </c>
      <c r="AX190" s="19" t="n">
        <f aca="false">IF(AND('Bonding Program'!$S$49=1,'Bonding Program'!$H$49&gt;'Bonding Program'!$C$8,AX$3='Bonding Program'!$H$49),'Bonding Program'!$T$49-'Bonding Program'!$U$49-'Bonding Program'!$Z$49,0)-IF(AND('Bonding Program'!$S$49=1,'Bonding Program'!$H$49&lt;='Bonding Program'!$C$8,AX$3=IF('Bonding Program'!$P$49&lt;&gt;"",'Bonding Program'!$P$49,'Bonding Program'!$C$8)),'Bonding Program'!$Z$49,0)+IF(AND('Bonding Program'!$P$49&lt;&gt;"",AX$3='Bonding Program'!$P$49,AX$3&lt;='Bonding Program'!$C$8),N('Bonding Program'!$O$49),0)</f>
        <v>0</v>
      </c>
      <c r="AY190" s="19" t="n">
        <f aca="false">IF(AND('Bonding Program'!$S$49=1,'Bonding Program'!$H$49&gt;'Bonding Program'!$C$8,AY$3='Bonding Program'!$H$49),'Bonding Program'!$T$49-'Bonding Program'!$U$49-'Bonding Program'!$Z$49,0)-IF(AND('Bonding Program'!$S$49=1,'Bonding Program'!$H$49&lt;='Bonding Program'!$C$8,AY$3=IF('Bonding Program'!$P$49&lt;&gt;"",'Bonding Program'!$P$49,'Bonding Program'!$C$8)),'Bonding Program'!$Z$49,0)+IF(AND('Bonding Program'!$P$49&lt;&gt;"",AY$3='Bonding Program'!$P$49,AY$3&lt;='Bonding Program'!$C$8),N('Bonding Program'!$O$49),0)</f>
        <v>0</v>
      </c>
      <c r="AZ190" s="19" t="n">
        <f aca="false">IF(AND('Bonding Program'!$S$49=1,'Bonding Program'!$H$49&gt;'Bonding Program'!$C$8,AZ$3='Bonding Program'!$H$49),'Bonding Program'!$T$49-'Bonding Program'!$U$49-'Bonding Program'!$Z$49,0)-IF(AND('Bonding Program'!$S$49=1,'Bonding Program'!$H$49&lt;='Bonding Program'!$C$8,AZ$3=IF('Bonding Program'!$P$49&lt;&gt;"",'Bonding Program'!$P$49,'Bonding Program'!$C$8)),'Bonding Program'!$Z$49,0)+IF(AND('Bonding Program'!$P$49&lt;&gt;"",AZ$3='Bonding Program'!$P$49,AZ$3&lt;='Bonding Program'!$C$8),N('Bonding Program'!$O$49),0)</f>
        <v>0</v>
      </c>
      <c r="BA190" s="19" t="n">
        <f aca="false">IF(AND('Bonding Program'!$S$49=1,'Bonding Program'!$H$49&gt;'Bonding Program'!$C$8,BA$3='Bonding Program'!$H$49),'Bonding Program'!$T$49-'Bonding Program'!$U$49-'Bonding Program'!$Z$49,0)-IF(AND('Bonding Program'!$S$49=1,'Bonding Program'!$H$49&lt;='Bonding Program'!$C$8,BA$3=IF('Bonding Program'!$P$49&lt;&gt;"",'Bonding Program'!$P$49,'Bonding Program'!$C$8)),'Bonding Program'!$Z$49,0)+IF(AND('Bonding Program'!$P$49&lt;&gt;"",BA$3='Bonding Program'!$P$49,BA$3&lt;='Bonding Program'!$C$8),N('Bonding Program'!$O$49),0)</f>
        <v>0</v>
      </c>
      <c r="BB190" s="19" t="n">
        <f aca="false">IF(AND('Bonding Program'!$S$49=1,'Bonding Program'!$H$49&gt;'Bonding Program'!$C$8,BB$3='Bonding Program'!$H$49),'Bonding Program'!$T$49-'Bonding Program'!$U$49-'Bonding Program'!$Z$49,0)-IF(AND('Bonding Program'!$S$49=1,'Bonding Program'!$H$49&lt;='Bonding Program'!$C$8,BB$3=IF('Bonding Program'!$P$49&lt;&gt;"",'Bonding Program'!$P$49,'Bonding Program'!$C$8)),'Bonding Program'!$Z$49,0)+IF(AND('Bonding Program'!$P$49&lt;&gt;"",BB$3='Bonding Program'!$P$49,BB$3&lt;='Bonding Program'!$C$8),N('Bonding Program'!$O$49),0)</f>
        <v>0</v>
      </c>
      <c r="BC190" s="19" t="n">
        <f aca="false">IF(AND('Bonding Program'!$S$49=1,'Bonding Program'!$H$49&gt;'Bonding Program'!$C$8,BC$3='Bonding Program'!$H$49),'Bonding Program'!$T$49-'Bonding Program'!$U$49-'Bonding Program'!$Z$49,0)-IF(AND('Bonding Program'!$S$49=1,'Bonding Program'!$H$49&lt;='Bonding Program'!$C$8,BC$3=IF('Bonding Program'!$P$49&lt;&gt;"",'Bonding Program'!$P$49,'Bonding Program'!$C$8)),'Bonding Program'!$Z$49,0)+IF(AND('Bonding Program'!$P$49&lt;&gt;"",BC$3='Bonding Program'!$P$49,BC$3&lt;='Bonding Program'!$C$8),N('Bonding Program'!$O$49),0)</f>
        <v>0</v>
      </c>
      <c r="BD190" s="19" t="n">
        <f aca="false">IF(AND('Bonding Program'!$S$49=1,'Bonding Program'!$H$49&gt;'Bonding Program'!$C$8,BD$3='Bonding Program'!$H$49),'Bonding Program'!$T$49-'Bonding Program'!$U$49-'Bonding Program'!$Z$49,0)-IF(AND('Bonding Program'!$S$49=1,'Bonding Program'!$H$49&lt;='Bonding Program'!$C$8,BD$3=IF('Bonding Program'!$P$49&lt;&gt;"",'Bonding Program'!$P$49,'Bonding Program'!$C$8)),'Bonding Program'!$Z$49,0)+IF(AND('Bonding Program'!$P$49&lt;&gt;"",BD$3='Bonding Program'!$P$49,BD$3&lt;='Bonding Program'!$C$8),N('Bonding Program'!$O$49),0)</f>
        <v>0</v>
      </c>
      <c r="BE190" s="19" t="n">
        <f aca="false">IF(AND('Bonding Program'!$S$49=1,'Bonding Program'!$H$49&gt;'Bonding Program'!$C$8,BE$3='Bonding Program'!$H$49),'Bonding Program'!$T$49-'Bonding Program'!$U$49-'Bonding Program'!$Z$49,0)-IF(AND('Bonding Program'!$S$49=1,'Bonding Program'!$H$49&lt;='Bonding Program'!$C$8,BE$3=IF('Bonding Program'!$P$49&lt;&gt;"",'Bonding Program'!$P$49,'Bonding Program'!$C$8)),'Bonding Program'!$Z$49,0)+IF(AND('Bonding Program'!$P$49&lt;&gt;"",BE$3='Bonding Program'!$P$49,BE$3&lt;='Bonding Program'!$C$8),N('Bonding Program'!$O$49),0)</f>
        <v>0</v>
      </c>
      <c r="BF190" s="19" t="n">
        <f aca="false">IF(AND('Bonding Program'!$S$49=1,'Bonding Program'!$H$49&gt;'Bonding Program'!$C$8,BF$3='Bonding Program'!$H$49),'Bonding Program'!$T$49-'Bonding Program'!$U$49-'Bonding Program'!$Z$49,0)-IF(AND('Bonding Program'!$S$49=1,'Bonding Program'!$H$49&lt;='Bonding Program'!$C$8,BF$3=IF('Bonding Program'!$P$49&lt;&gt;"",'Bonding Program'!$P$49,'Bonding Program'!$C$8)),'Bonding Program'!$Z$49,0)+IF(AND('Bonding Program'!$P$49&lt;&gt;"",BF$3='Bonding Program'!$P$49,BF$3&lt;='Bonding Program'!$C$8),N('Bonding Program'!$O$49),0)</f>
        <v>0</v>
      </c>
      <c r="BG190" s="19" t="n">
        <f aca="false">IF(AND('Bonding Program'!$S$49=1,'Bonding Program'!$H$49&gt;'Bonding Program'!$C$8,BG$3='Bonding Program'!$H$49),'Bonding Program'!$T$49-'Bonding Program'!$U$49-'Bonding Program'!$Z$49,0)-IF(AND('Bonding Program'!$S$49=1,'Bonding Program'!$H$49&lt;='Bonding Program'!$C$8,BG$3=IF('Bonding Program'!$P$49&lt;&gt;"",'Bonding Program'!$P$49,'Bonding Program'!$C$8)),'Bonding Program'!$Z$49,0)+IF(AND('Bonding Program'!$P$49&lt;&gt;"",BG$3='Bonding Program'!$P$49,BG$3&lt;='Bonding Program'!$C$8),N('Bonding Program'!$O$49),0)</f>
        <v>0</v>
      </c>
      <c r="BH190" s="19" t="n">
        <f aca="false">IF(AND('Bonding Program'!$S$49=1,'Bonding Program'!$H$49&gt;'Bonding Program'!$C$8,BH$3='Bonding Program'!$H$49),'Bonding Program'!$T$49-'Bonding Program'!$U$49-'Bonding Program'!$Z$49,0)-IF(AND('Bonding Program'!$S$49=1,'Bonding Program'!$H$49&lt;='Bonding Program'!$C$8,BH$3=IF('Bonding Program'!$P$49&lt;&gt;"",'Bonding Program'!$P$49,'Bonding Program'!$C$8)),'Bonding Program'!$Z$49,0)+IF(AND('Bonding Program'!$P$49&lt;&gt;"",BH$3='Bonding Program'!$P$49,BH$3&lt;='Bonding Program'!$C$8),N('Bonding Program'!$O$49),0)</f>
        <v>0</v>
      </c>
      <c r="BI190" s="19" t="n">
        <f aca="false">IF(AND('Bonding Program'!$S$49=1,'Bonding Program'!$H$49&gt;'Bonding Program'!$C$8,BI$3='Bonding Program'!$H$49),'Bonding Program'!$T$49-'Bonding Program'!$U$49-'Bonding Program'!$Z$49,0)-IF(AND('Bonding Program'!$S$49=1,'Bonding Program'!$H$49&lt;='Bonding Program'!$C$8,BI$3=IF('Bonding Program'!$P$49&lt;&gt;"",'Bonding Program'!$P$49,'Bonding Program'!$C$8)),'Bonding Program'!$Z$49,0)+IF(AND('Bonding Program'!$P$49&lt;&gt;"",BI$3='Bonding Program'!$P$49,BI$3&lt;='Bonding Program'!$C$8),N('Bonding Program'!$O$49),0)</f>
        <v>0</v>
      </c>
      <c r="BJ190" s="19" t="n">
        <f aca="false">IF(AND('Bonding Program'!$S$49=1,'Bonding Program'!$H$49&gt;'Bonding Program'!$C$8,BJ$3='Bonding Program'!$H$49),'Bonding Program'!$T$49-'Bonding Program'!$U$49-'Bonding Program'!$Z$49,0)-IF(AND('Bonding Program'!$S$49=1,'Bonding Program'!$H$49&lt;='Bonding Program'!$C$8,BJ$3=IF('Bonding Program'!$P$49&lt;&gt;"",'Bonding Program'!$P$49,'Bonding Program'!$C$8)),'Bonding Program'!$Z$49,0)+IF(AND('Bonding Program'!$P$49&lt;&gt;"",BJ$3='Bonding Program'!$P$49,BJ$3&lt;='Bonding Program'!$C$8),N('Bonding Program'!$O$49),0)</f>
        <v>0</v>
      </c>
      <c r="BK190" s="19" t="n">
        <f aca="false">IF(AND('Bonding Program'!$S$49=1,'Bonding Program'!$H$49&gt;'Bonding Program'!$C$8,BK$3='Bonding Program'!$H$49),'Bonding Program'!$T$49-'Bonding Program'!$U$49-'Bonding Program'!$Z$49,0)-IF(AND('Bonding Program'!$S$49=1,'Bonding Program'!$H$49&lt;='Bonding Program'!$C$8,BK$3=IF('Bonding Program'!$P$49&lt;&gt;"",'Bonding Program'!$P$49,'Bonding Program'!$C$8)),'Bonding Program'!$Z$49,0)+IF(AND('Bonding Program'!$P$49&lt;&gt;"",BK$3='Bonding Program'!$P$49,BK$3&lt;='Bonding Program'!$C$8),N('Bonding Program'!$O$49),0)</f>
        <v>0</v>
      </c>
      <c r="BL190" s="19" t="n">
        <f aca="false">IF(AND('Bonding Program'!$S$49=1,'Bonding Program'!$H$49&gt;'Bonding Program'!$C$8,BL$3='Bonding Program'!$H$49),'Bonding Program'!$T$49-'Bonding Program'!$U$49-'Bonding Program'!$Z$49,0)-IF(AND('Bonding Program'!$S$49=1,'Bonding Program'!$H$49&lt;='Bonding Program'!$C$8,BL$3=IF('Bonding Program'!$P$49&lt;&gt;"",'Bonding Program'!$P$49,'Bonding Program'!$C$8)),'Bonding Program'!$Z$49,0)+IF(AND('Bonding Program'!$P$49&lt;&gt;"",BL$3='Bonding Program'!$P$49,BL$3&lt;='Bonding Program'!$C$8),N('Bonding Program'!$O$49),0)</f>
        <v>0</v>
      </c>
      <c r="BM190" s="19" t="n">
        <f aca="false">IF(AND('Bonding Program'!$S$49=1,'Bonding Program'!$H$49&gt;'Bonding Program'!$C$8,BM$3='Bonding Program'!$H$49),'Bonding Program'!$T$49-'Bonding Program'!$U$49-'Bonding Program'!$Z$49,0)-IF(AND('Bonding Program'!$S$49=1,'Bonding Program'!$H$49&lt;='Bonding Program'!$C$8,BM$3=IF('Bonding Program'!$P$49&lt;&gt;"",'Bonding Program'!$P$49,'Bonding Program'!$C$8)),'Bonding Program'!$Z$49,0)+IF(AND('Bonding Program'!$P$49&lt;&gt;"",BM$3='Bonding Program'!$P$49,BM$3&lt;='Bonding Program'!$C$8),N('Bonding Program'!$O$49),0)</f>
        <v>0</v>
      </c>
      <c r="BN190" s="19" t="n">
        <f aca="false">IF(AND('Bonding Program'!$S$49=1,'Bonding Program'!$H$49&gt;'Bonding Program'!$C$8,BN$3='Bonding Program'!$H$49),'Bonding Program'!$T$49-'Bonding Program'!$U$49-'Bonding Program'!$Z$49,0)-IF(AND('Bonding Program'!$S$49=1,'Bonding Program'!$H$49&lt;='Bonding Program'!$C$8,BN$3=IF('Bonding Program'!$P$49&lt;&gt;"",'Bonding Program'!$P$49,'Bonding Program'!$C$8)),'Bonding Program'!$Z$49,0)+IF(AND('Bonding Program'!$P$49&lt;&gt;"",BN$3='Bonding Program'!$P$49,BN$3&lt;='Bonding Program'!$C$8),N('Bonding Program'!$O$49),0)</f>
        <v>0</v>
      </c>
      <c r="BO190" s="19" t="n">
        <f aca="false">IF(AND('Bonding Program'!$S$49=1,'Bonding Program'!$H$49&gt;'Bonding Program'!$C$8,BO$3='Bonding Program'!$H$49),'Bonding Program'!$T$49-'Bonding Program'!$U$49-'Bonding Program'!$Z$49,0)-IF(AND('Bonding Program'!$S$49=1,'Bonding Program'!$H$49&lt;='Bonding Program'!$C$8,BO$3=IF('Bonding Program'!$P$49&lt;&gt;"",'Bonding Program'!$P$49,'Bonding Program'!$C$8)),'Bonding Program'!$Z$49,0)+IF(AND('Bonding Program'!$P$49&lt;&gt;"",BO$3='Bonding Program'!$P$49,BO$3&lt;='Bonding Program'!$C$8),N('Bonding Program'!$O$49),0)</f>
        <v>0</v>
      </c>
      <c r="BP190" s="19" t="n">
        <f aca="false">IF(AND('Bonding Program'!$S$49=1,'Bonding Program'!$H$49&gt;'Bonding Program'!$C$8,BP$3='Bonding Program'!$H$49),'Bonding Program'!$T$49-'Bonding Program'!$U$49-'Bonding Program'!$Z$49,0)-IF(AND('Bonding Program'!$S$49=1,'Bonding Program'!$H$49&lt;='Bonding Program'!$C$8,BP$3=IF('Bonding Program'!$P$49&lt;&gt;"",'Bonding Program'!$P$49,'Bonding Program'!$C$8)),'Bonding Program'!$Z$49,0)+IF(AND('Bonding Program'!$P$49&lt;&gt;"",BP$3='Bonding Program'!$P$49,BP$3&lt;='Bonding Program'!$C$8),N('Bonding Program'!$O$49),0)</f>
        <v>0</v>
      </c>
      <c r="BQ190" s="19" t="n">
        <f aca="false">IF(AND('Bonding Program'!$S$49=1,'Bonding Program'!$H$49&gt;'Bonding Program'!$C$8,BQ$3='Bonding Program'!$H$49),'Bonding Program'!$T$49-'Bonding Program'!$U$49-'Bonding Program'!$Z$49,0)-IF(AND('Bonding Program'!$S$49=1,'Bonding Program'!$H$49&lt;='Bonding Program'!$C$8,BQ$3=IF('Bonding Program'!$P$49&lt;&gt;"",'Bonding Program'!$P$49,'Bonding Program'!$C$8)),'Bonding Program'!$Z$49,0)+IF(AND('Bonding Program'!$P$49&lt;&gt;"",BQ$3='Bonding Program'!$P$49,BQ$3&lt;='Bonding Program'!$C$8),N('Bonding Program'!$O$49),0)</f>
        <v>0</v>
      </c>
      <c r="BR190" s="19" t="n">
        <f aca="false">IF(AND('Bonding Program'!$S$49=1,'Bonding Program'!$H$49&gt;'Bonding Program'!$C$8,BR$3='Bonding Program'!$H$49),'Bonding Program'!$T$49-'Bonding Program'!$U$49-'Bonding Program'!$Z$49,0)-IF(AND('Bonding Program'!$S$49=1,'Bonding Program'!$H$49&lt;='Bonding Program'!$C$8,BR$3=IF('Bonding Program'!$P$49&lt;&gt;"",'Bonding Program'!$P$49,'Bonding Program'!$C$8)),'Bonding Program'!$Z$49,0)+IF(AND('Bonding Program'!$P$49&lt;&gt;"",BR$3='Bonding Program'!$P$49,BR$3&lt;='Bonding Program'!$C$8),N('Bonding Program'!$O$49),0)</f>
        <v>0</v>
      </c>
      <c r="BS190" s="19" t="n">
        <f aca="false">IF(AND('Bonding Program'!$S$49=1,'Bonding Program'!$H$49&gt;'Bonding Program'!$C$8,BS$3='Bonding Program'!$H$49),'Bonding Program'!$T$49-'Bonding Program'!$U$49-'Bonding Program'!$Z$49,0)-IF(AND('Bonding Program'!$S$49=1,'Bonding Program'!$H$49&lt;='Bonding Program'!$C$8,BS$3=IF('Bonding Program'!$P$49&lt;&gt;"",'Bonding Program'!$P$49,'Bonding Program'!$C$8)),'Bonding Program'!$Z$49,0)+IF(AND('Bonding Program'!$P$49&lt;&gt;"",BS$3='Bonding Program'!$P$49,BS$3&lt;='Bonding Program'!$C$8),N('Bonding Program'!$O$49),0)</f>
        <v>0</v>
      </c>
      <c r="BT190" s="19" t="n">
        <f aca="false">IF(AND('Bonding Program'!$S$49=1,'Bonding Program'!$H$49&gt;'Bonding Program'!$C$8,BT$3='Bonding Program'!$H$49),'Bonding Program'!$T$49-'Bonding Program'!$U$49-'Bonding Program'!$Z$49,0)-IF(AND('Bonding Program'!$S$49=1,'Bonding Program'!$H$49&lt;='Bonding Program'!$C$8,BT$3=IF('Bonding Program'!$P$49&lt;&gt;"",'Bonding Program'!$P$49,'Bonding Program'!$C$8)),'Bonding Program'!$Z$49,0)+IF(AND('Bonding Program'!$P$49&lt;&gt;"",BT$3='Bonding Program'!$P$49,BT$3&lt;='Bonding Program'!$C$8),N('Bonding Program'!$O$49),0)</f>
        <v>0</v>
      </c>
      <c r="BU190" s="19" t="n">
        <f aca="false">IF(AND('Bonding Program'!$S$49=1,'Bonding Program'!$H$49&gt;'Bonding Program'!$C$8,BU$3='Bonding Program'!$H$49),'Bonding Program'!$T$49-'Bonding Program'!$U$49-'Bonding Program'!$Z$49,0)-IF(AND('Bonding Program'!$S$49=1,'Bonding Program'!$H$49&lt;='Bonding Program'!$C$8,BU$3=IF('Bonding Program'!$P$49&lt;&gt;"",'Bonding Program'!$P$49,'Bonding Program'!$C$8)),'Bonding Program'!$Z$49,0)+IF(AND('Bonding Program'!$P$49&lt;&gt;"",BU$3='Bonding Program'!$P$49,BU$3&lt;='Bonding Program'!$C$8),N('Bonding Program'!$O$49),0)</f>
        <v>0</v>
      </c>
      <c r="BV190" s="19" t="n">
        <f aca="false">IF(AND('Bonding Program'!$S$49=1,'Bonding Program'!$H$49&gt;'Bonding Program'!$C$8,BV$3='Bonding Program'!$H$49),'Bonding Program'!$T$49-'Bonding Program'!$U$49-'Bonding Program'!$Z$49,0)-IF(AND('Bonding Program'!$S$49=1,'Bonding Program'!$H$49&lt;='Bonding Program'!$C$8,BV$3=IF('Bonding Program'!$P$49&lt;&gt;"",'Bonding Program'!$P$49,'Bonding Program'!$C$8)),'Bonding Program'!$Z$49,0)+IF(AND('Bonding Program'!$P$49&lt;&gt;"",BV$3='Bonding Program'!$P$49,BV$3&lt;='Bonding Program'!$C$8),N('Bonding Program'!$O$49),0)</f>
        <v>0</v>
      </c>
      <c r="BW190" s="19" t="n">
        <f aca="false">IF(AND('Bonding Program'!$S$49=1,'Bonding Program'!$H$49&gt;'Bonding Program'!$C$8,BW$3='Bonding Program'!$H$49),'Bonding Program'!$T$49-'Bonding Program'!$U$49-'Bonding Program'!$Z$49,0)-IF(AND('Bonding Program'!$S$49=1,'Bonding Program'!$H$49&lt;='Bonding Program'!$C$8,BW$3=IF('Bonding Program'!$P$49&lt;&gt;"",'Bonding Program'!$P$49,'Bonding Program'!$C$8)),'Bonding Program'!$Z$49,0)+IF(AND('Bonding Program'!$P$49&lt;&gt;"",BW$3='Bonding Program'!$P$49,BW$3&lt;='Bonding Program'!$C$8),N('Bonding Program'!$O$49),0)</f>
        <v>0</v>
      </c>
      <c r="BX190" s="19" t="n">
        <f aca="false">IF(AND('Bonding Program'!$S$49=1,'Bonding Program'!$H$49&gt;'Bonding Program'!$C$8,BX$3='Bonding Program'!$H$49),'Bonding Program'!$T$49-'Bonding Program'!$U$49-'Bonding Program'!$Z$49,0)-IF(AND('Bonding Program'!$S$49=1,'Bonding Program'!$H$49&lt;='Bonding Program'!$C$8,BX$3=IF('Bonding Program'!$P$49&lt;&gt;"",'Bonding Program'!$P$49,'Bonding Program'!$C$8)),'Bonding Program'!$Z$49,0)+IF(AND('Bonding Program'!$P$49&lt;&gt;"",BX$3='Bonding Program'!$P$49,BX$3&lt;='Bonding Program'!$C$8),N('Bonding Program'!$O$49),0)</f>
        <v>0</v>
      </c>
      <c r="BY190" s="19" t="n">
        <f aca="false">IF(AND('Bonding Program'!$S$49=1,'Bonding Program'!$H$49&gt;'Bonding Program'!$C$8,BY$3='Bonding Program'!$H$49),'Bonding Program'!$T$49-'Bonding Program'!$U$49-'Bonding Program'!$Z$49,0)-IF(AND('Bonding Program'!$S$49=1,'Bonding Program'!$H$49&lt;='Bonding Program'!$C$8,BY$3=IF('Bonding Program'!$P$49&lt;&gt;"",'Bonding Program'!$P$49,'Bonding Program'!$C$8)),'Bonding Program'!$Z$49,0)+IF(AND('Bonding Program'!$P$49&lt;&gt;"",BY$3='Bonding Program'!$P$49,BY$3&lt;='Bonding Program'!$C$8),N('Bonding Program'!$O$49),0)</f>
        <v>0</v>
      </c>
      <c r="BZ190" s="19" t="n">
        <f aca="false">IF(AND('Bonding Program'!$S$49=1,'Bonding Program'!$H$49&gt;'Bonding Program'!$C$8,BZ$3='Bonding Program'!$H$49),'Bonding Program'!$T$49-'Bonding Program'!$U$49-'Bonding Program'!$Z$49,0)-IF(AND('Bonding Program'!$S$49=1,'Bonding Program'!$H$49&lt;='Bonding Program'!$C$8,BZ$3=IF('Bonding Program'!$P$49&lt;&gt;"",'Bonding Program'!$P$49,'Bonding Program'!$C$8)),'Bonding Program'!$Z$49,0)+IF(AND('Bonding Program'!$P$49&lt;&gt;"",BZ$3='Bonding Program'!$P$49,BZ$3&lt;='Bonding Program'!$C$8),N('Bonding Program'!$O$49),0)</f>
        <v>0</v>
      </c>
      <c r="CA190" s="19" t="n">
        <f aca="false">IF(AND('Bonding Program'!$S$49=1,'Bonding Program'!$H$49&gt;'Bonding Program'!$C$8,CA$3='Bonding Program'!$H$49),'Bonding Program'!$T$49-'Bonding Program'!$U$49-'Bonding Program'!$Z$49,0)-IF(AND('Bonding Program'!$S$49=1,'Bonding Program'!$H$49&lt;='Bonding Program'!$C$8,CA$3=IF('Bonding Program'!$P$49&lt;&gt;"",'Bonding Program'!$P$49,'Bonding Program'!$C$8)),'Bonding Program'!$Z$49,0)+IF(AND('Bonding Program'!$P$49&lt;&gt;"",CA$3='Bonding Program'!$P$49,CA$3&lt;='Bonding Program'!$C$8),N('Bonding Program'!$O$49),0)</f>
        <v>0</v>
      </c>
      <c r="CB190" s="19" t="n">
        <f aca="false">IF(AND('Bonding Program'!$S$49=1,'Bonding Program'!$H$49&gt;'Bonding Program'!$C$8,CB$3='Bonding Program'!$H$49),'Bonding Program'!$T$49-'Bonding Program'!$U$49-'Bonding Program'!$Z$49,0)-IF(AND('Bonding Program'!$S$49=1,'Bonding Program'!$H$49&lt;='Bonding Program'!$C$8,CB$3=IF('Bonding Program'!$P$49&lt;&gt;"",'Bonding Program'!$P$49,'Bonding Program'!$C$8)),'Bonding Program'!$Z$49,0)+IF(AND('Bonding Program'!$P$49&lt;&gt;"",CB$3='Bonding Program'!$P$49,CB$3&lt;='Bonding Program'!$C$8),N('Bonding Program'!$O$49),0)</f>
        <v>0</v>
      </c>
      <c r="CC190" s="19" t="n">
        <f aca="false">IF(AND('Bonding Program'!$S$49=1,'Bonding Program'!$H$49&gt;'Bonding Program'!$C$8,CC$3='Bonding Program'!$H$49),'Bonding Program'!$T$49-'Bonding Program'!$U$49-'Bonding Program'!$Z$49,0)-IF(AND('Bonding Program'!$S$49=1,'Bonding Program'!$H$49&lt;='Bonding Program'!$C$8,CC$3=IF('Bonding Program'!$P$49&lt;&gt;"",'Bonding Program'!$P$49,'Bonding Program'!$C$8)),'Bonding Program'!$Z$49,0)+IF(AND('Bonding Program'!$P$49&lt;&gt;"",CC$3='Bonding Program'!$P$49,CC$3&lt;='Bonding Program'!$C$8),N('Bonding Program'!$O$49),0)</f>
        <v>0</v>
      </c>
      <c r="CD190" s="19" t="n">
        <f aca="false">IF(AND('Bonding Program'!$S$49=1,'Bonding Program'!$H$49&gt;'Bonding Program'!$C$8,CD$3='Bonding Program'!$H$49),'Bonding Program'!$T$49-'Bonding Program'!$U$49-'Bonding Program'!$Z$49,0)-IF(AND('Bonding Program'!$S$49=1,'Bonding Program'!$H$49&lt;='Bonding Program'!$C$8,CD$3=IF('Bonding Program'!$P$49&lt;&gt;"",'Bonding Program'!$P$49,'Bonding Program'!$C$8)),'Bonding Program'!$Z$49,0)+IF(AND('Bonding Program'!$P$49&lt;&gt;"",CD$3='Bonding Program'!$P$49,CD$3&lt;='Bonding Program'!$C$8),N('Bonding Program'!$O$49),0)</f>
        <v>0</v>
      </c>
      <c r="CE190" s="19" t="n">
        <f aca="false">IF(AND('Bonding Program'!$S$49=1,'Bonding Program'!$H$49&gt;'Bonding Program'!$C$8,CE$3='Bonding Program'!$H$49),'Bonding Program'!$T$49-'Bonding Program'!$U$49-'Bonding Program'!$Z$49,0)-IF(AND('Bonding Program'!$S$49=1,'Bonding Program'!$H$49&lt;='Bonding Program'!$C$8,CE$3=IF('Bonding Program'!$P$49&lt;&gt;"",'Bonding Program'!$P$49,'Bonding Program'!$C$8)),'Bonding Program'!$Z$49,0)+IF(AND('Bonding Program'!$P$49&lt;&gt;"",CE$3='Bonding Program'!$P$49,CE$3&lt;='Bonding Program'!$C$8),N('Bonding Program'!$O$49),0)</f>
        <v>0</v>
      </c>
      <c r="CF190" s="19" t="n">
        <f aca="false">IF(AND('Bonding Program'!$S$49=1,'Bonding Program'!$H$49&gt;'Bonding Program'!$C$8,CF$3='Bonding Program'!$H$49),'Bonding Program'!$T$49-'Bonding Program'!$U$49-'Bonding Program'!$Z$49,0)-IF(AND('Bonding Program'!$S$49=1,'Bonding Program'!$H$49&lt;='Bonding Program'!$C$8,CF$3=IF('Bonding Program'!$P$49&lt;&gt;"",'Bonding Program'!$P$49,'Bonding Program'!$C$8)),'Bonding Program'!$Z$49,0)+IF(AND('Bonding Program'!$P$49&lt;&gt;"",CF$3='Bonding Program'!$P$49,CF$3&lt;='Bonding Program'!$C$8),N('Bonding Program'!$O$49),0)</f>
        <v>0</v>
      </c>
      <c r="CG190" s="19" t="n">
        <f aca="false">IF(AND('Bonding Program'!$S$49=1,'Bonding Program'!$H$49&gt;'Bonding Program'!$C$8,CG$3='Bonding Program'!$H$49),'Bonding Program'!$T$49-'Bonding Program'!$U$49-'Bonding Program'!$Z$49,0)-IF(AND('Bonding Program'!$S$49=1,'Bonding Program'!$H$49&lt;='Bonding Program'!$C$8,CG$3=IF('Bonding Program'!$P$49&lt;&gt;"",'Bonding Program'!$P$49,'Bonding Program'!$C$8)),'Bonding Program'!$Z$49,0)+IF(AND('Bonding Program'!$P$49&lt;&gt;"",CG$3='Bonding Program'!$P$49,CG$3&lt;='Bonding Program'!$C$8),N('Bonding Program'!$O$49),0)</f>
        <v>0</v>
      </c>
      <c r="CH190" s="19" t="n">
        <f aca="false">IF(AND('Bonding Program'!$S$49=1,'Bonding Program'!$H$49&gt;'Bonding Program'!$C$8,CH$3='Bonding Program'!$H$49),'Bonding Program'!$T$49-'Bonding Program'!$U$49-'Bonding Program'!$Z$49,0)-IF(AND('Bonding Program'!$S$49=1,'Bonding Program'!$H$49&lt;='Bonding Program'!$C$8,CH$3=IF('Bonding Program'!$P$49&lt;&gt;"",'Bonding Program'!$P$49,'Bonding Program'!$C$8)),'Bonding Program'!$Z$49,0)+IF(AND('Bonding Program'!$P$49&lt;&gt;"",CH$3='Bonding Program'!$P$49,CH$3&lt;='Bonding Program'!$C$8),N('Bonding Program'!$O$49),0)</f>
        <v>0</v>
      </c>
      <c r="CI190" s="19" t="n">
        <f aca="false">IF(AND('Bonding Program'!$S$49=1,'Bonding Program'!$H$49&gt;'Bonding Program'!$C$8,CI$3='Bonding Program'!$H$49),'Bonding Program'!$T$49-'Bonding Program'!$U$49-'Bonding Program'!$Z$49,0)-IF(AND('Bonding Program'!$S$49=1,'Bonding Program'!$H$49&lt;='Bonding Program'!$C$8,CI$3=IF('Bonding Program'!$P$49&lt;&gt;"",'Bonding Program'!$P$49,'Bonding Program'!$C$8)),'Bonding Program'!$Z$49,0)+IF(AND('Bonding Program'!$P$49&lt;&gt;"",CI$3='Bonding Program'!$P$49,CI$3&lt;='Bonding Program'!$C$8),N('Bonding Program'!$O$49),0)</f>
        <v>0</v>
      </c>
      <c r="CJ190" s="19" t="n">
        <f aca="false">IF(AND('Bonding Program'!$S$49=1,'Bonding Program'!$H$49&gt;'Bonding Program'!$C$8,CJ$3='Bonding Program'!$H$49),'Bonding Program'!$T$49-'Bonding Program'!$U$49-'Bonding Program'!$Z$49,0)-IF(AND('Bonding Program'!$S$49=1,'Bonding Program'!$H$49&lt;='Bonding Program'!$C$8,CJ$3=IF('Bonding Program'!$P$49&lt;&gt;"",'Bonding Program'!$P$49,'Bonding Program'!$C$8)),'Bonding Program'!$Z$49,0)+IF(AND('Bonding Program'!$P$49&lt;&gt;"",CJ$3='Bonding Program'!$P$49,CJ$3&lt;='Bonding Program'!$C$8),N('Bonding Program'!$O$49),0)</f>
        <v>0</v>
      </c>
      <c r="CK190" s="19" t="n">
        <f aca="false">IF(AND('Bonding Program'!$S$49=1,'Bonding Program'!$H$49&gt;'Bonding Program'!$C$8,CK$3='Bonding Program'!$H$49),'Bonding Program'!$T$49-'Bonding Program'!$U$49-'Bonding Program'!$Z$49,0)-IF(AND('Bonding Program'!$S$49=1,'Bonding Program'!$H$49&lt;='Bonding Program'!$C$8,CK$3=IF('Bonding Program'!$P$49&lt;&gt;"",'Bonding Program'!$P$49,'Bonding Program'!$C$8)),'Bonding Program'!$Z$49,0)+IF(AND('Bonding Program'!$P$49&lt;&gt;"",CK$3='Bonding Program'!$P$49,CK$3&lt;='Bonding Program'!$C$8),N('Bonding Program'!$O$49),0)</f>
        <v>0</v>
      </c>
      <c r="CL190" s="19" t="n">
        <f aca="false">IF(AND('Bonding Program'!$S$49=1,'Bonding Program'!$H$49&gt;'Bonding Program'!$C$8,CL$3='Bonding Program'!$H$49),'Bonding Program'!$T$49-'Bonding Program'!$U$49-'Bonding Program'!$Z$49,0)-IF(AND('Bonding Program'!$S$49=1,'Bonding Program'!$H$49&lt;='Bonding Program'!$C$8,CL$3=IF('Bonding Program'!$P$49&lt;&gt;"",'Bonding Program'!$P$49,'Bonding Program'!$C$8)),'Bonding Program'!$Z$49,0)+IF(AND('Bonding Program'!$P$49&lt;&gt;"",CL$3='Bonding Program'!$P$49,CL$3&lt;='Bonding Program'!$C$8),N('Bonding Program'!$O$49),0)</f>
        <v>0</v>
      </c>
      <c r="CM190" s="19" t="n">
        <f aca="false">IF(AND('Bonding Program'!$S$49=1,'Bonding Program'!$H$49&gt;'Bonding Program'!$C$8,CM$3='Bonding Program'!$H$49),'Bonding Program'!$T$49-'Bonding Program'!$U$49-'Bonding Program'!$Z$49,0)-IF(AND('Bonding Program'!$S$49=1,'Bonding Program'!$H$49&lt;='Bonding Program'!$C$8,CM$3=IF('Bonding Program'!$P$49&lt;&gt;"",'Bonding Program'!$P$49,'Bonding Program'!$C$8)),'Bonding Program'!$Z$49,0)+IF(AND('Bonding Program'!$P$49&lt;&gt;"",CM$3='Bonding Program'!$P$49,CM$3&lt;='Bonding Program'!$C$8),N('Bonding Program'!$O$49),0)</f>
        <v>0</v>
      </c>
      <c r="CN190" s="19" t="n">
        <f aca="false">IF(AND('Bonding Program'!$S$49=1,'Bonding Program'!$H$49&gt;'Bonding Program'!$C$8,CN$3='Bonding Program'!$H$49),'Bonding Program'!$T$49-'Bonding Program'!$U$49-'Bonding Program'!$Z$49,0)-IF(AND('Bonding Program'!$S$49=1,'Bonding Program'!$H$49&lt;='Bonding Program'!$C$8,CN$3=IF('Bonding Program'!$P$49&lt;&gt;"",'Bonding Program'!$P$49,'Bonding Program'!$C$8)),'Bonding Program'!$Z$49,0)+IF(AND('Bonding Program'!$P$49&lt;&gt;"",CN$3='Bonding Program'!$P$49,CN$3&lt;='Bonding Program'!$C$8),N('Bonding Program'!$O$49),0)</f>
        <v>0</v>
      </c>
      <c r="CO190" s="19" t="n">
        <f aca="false">IF(AND('Bonding Program'!$S$49=1,'Bonding Program'!$H$49&gt;'Bonding Program'!$C$8,CO$3='Bonding Program'!$H$49),'Bonding Program'!$T$49-'Bonding Program'!$U$49-'Bonding Program'!$Z$49,0)-IF(AND('Bonding Program'!$S$49=1,'Bonding Program'!$H$49&lt;='Bonding Program'!$C$8,CO$3=IF('Bonding Program'!$P$49&lt;&gt;"",'Bonding Program'!$P$49,'Bonding Program'!$C$8)),'Bonding Program'!$Z$49,0)+IF(AND('Bonding Program'!$P$49&lt;&gt;"",CO$3='Bonding Program'!$P$49,CO$3&lt;='Bonding Program'!$C$8),N('Bonding Program'!$O$49),0)</f>
        <v>0</v>
      </c>
      <c r="CP190" s="19" t="n">
        <f aca="false">IF(AND('Bonding Program'!$S$49=1,'Bonding Program'!$H$49&gt;'Bonding Program'!$C$8,CP$3='Bonding Program'!$H$49),'Bonding Program'!$T$49-'Bonding Program'!$U$49-'Bonding Program'!$Z$49,0)-IF(AND('Bonding Program'!$S$49=1,'Bonding Program'!$H$49&lt;='Bonding Program'!$C$8,CP$3=IF('Bonding Program'!$P$49&lt;&gt;"",'Bonding Program'!$P$49,'Bonding Program'!$C$8)),'Bonding Program'!$Z$49,0)+IF(AND('Bonding Program'!$P$49&lt;&gt;"",CP$3='Bonding Program'!$P$49,CP$3&lt;='Bonding Program'!$C$8),N('Bonding Program'!$O$49),0)</f>
        <v>0</v>
      </c>
      <c r="CQ190" s="19" t="n">
        <f aca="false">IF(AND('Bonding Program'!$S$49=1,'Bonding Program'!$H$49&gt;'Bonding Program'!$C$8,CQ$3='Bonding Program'!$H$49),'Bonding Program'!$T$49-'Bonding Program'!$U$49-'Bonding Program'!$Z$49,0)-IF(AND('Bonding Program'!$S$49=1,'Bonding Program'!$H$49&lt;='Bonding Program'!$C$8,CQ$3=IF('Bonding Program'!$P$49&lt;&gt;"",'Bonding Program'!$P$49,'Bonding Program'!$C$8)),'Bonding Program'!$Z$49,0)+IF(AND('Bonding Program'!$P$49&lt;&gt;"",CQ$3='Bonding Program'!$P$49,CQ$3&lt;='Bonding Program'!$C$8),N('Bonding Program'!$O$49),0)</f>
        <v>0</v>
      </c>
      <c r="CR190" s="19" t="n">
        <f aca="false">IF(AND('Bonding Program'!$S$49=1,'Bonding Program'!$H$49&gt;'Bonding Program'!$C$8,CR$3='Bonding Program'!$H$49),'Bonding Program'!$T$49-'Bonding Program'!$U$49-'Bonding Program'!$Z$49,0)-IF(AND('Bonding Program'!$S$49=1,'Bonding Program'!$H$49&lt;='Bonding Program'!$C$8,CR$3=IF('Bonding Program'!$P$49&lt;&gt;"",'Bonding Program'!$P$49,'Bonding Program'!$C$8)),'Bonding Program'!$Z$49,0)+IF(AND('Bonding Program'!$P$49&lt;&gt;"",CR$3='Bonding Program'!$P$49,CR$3&lt;='Bonding Program'!$C$8),N('Bonding Program'!$O$49),0)</f>
        <v>0</v>
      </c>
      <c r="CS190" s="19" t="n">
        <f aca="false">IF(AND('Bonding Program'!$S$49=1,'Bonding Program'!$H$49&gt;'Bonding Program'!$C$8,CS$3='Bonding Program'!$H$49),'Bonding Program'!$T$49-'Bonding Program'!$U$49-'Bonding Program'!$Z$49,0)-IF(AND('Bonding Program'!$S$49=1,'Bonding Program'!$H$49&lt;='Bonding Program'!$C$8,CS$3=IF('Bonding Program'!$P$49&lt;&gt;"",'Bonding Program'!$P$49,'Bonding Program'!$C$8)),'Bonding Program'!$Z$49,0)+IF(AND('Bonding Program'!$P$49&lt;&gt;"",CS$3='Bonding Program'!$P$49,CS$3&lt;='Bonding Program'!$C$8),N('Bonding Program'!$O$49),0)</f>
        <v>0</v>
      </c>
      <c r="CT190" s="19" t="n">
        <f aca="false">IF(AND('Bonding Program'!$S$49=1,'Bonding Program'!$H$49&gt;'Bonding Program'!$C$8,CT$3='Bonding Program'!$H$49),'Bonding Program'!$T$49-'Bonding Program'!$U$49-'Bonding Program'!$Z$49,0)-IF(AND('Bonding Program'!$S$49=1,'Bonding Program'!$H$49&lt;='Bonding Program'!$C$8,CT$3=IF('Bonding Program'!$P$49&lt;&gt;"",'Bonding Program'!$P$49,'Bonding Program'!$C$8)),'Bonding Program'!$Z$49,0)+IF(AND('Bonding Program'!$P$49&lt;&gt;"",CT$3='Bonding Program'!$P$49,CT$3&lt;='Bonding Program'!$C$8),N('Bonding Program'!$O$49),0)</f>
        <v>0</v>
      </c>
      <c r="CU190" s="19" t="n">
        <f aca="false">IF(AND('Bonding Program'!$S$49=1,'Bonding Program'!$H$49&gt;'Bonding Program'!$C$8,CU$3='Bonding Program'!$H$49),'Bonding Program'!$T$49-'Bonding Program'!$U$49-'Bonding Program'!$Z$49,0)-IF(AND('Bonding Program'!$S$49=1,'Bonding Program'!$H$49&lt;='Bonding Program'!$C$8,CU$3=IF('Bonding Program'!$P$49&lt;&gt;"",'Bonding Program'!$P$49,'Bonding Program'!$C$8)),'Bonding Program'!$Z$49,0)+IF(AND('Bonding Program'!$P$49&lt;&gt;"",CU$3='Bonding Program'!$P$49,CU$3&lt;='Bonding Program'!$C$8),N('Bonding Program'!$O$49),0)</f>
        <v>0</v>
      </c>
      <c r="CV190" s="19" t="n">
        <f aca="false">IF(AND('Bonding Program'!$S$49=1,'Bonding Program'!$H$49&gt;'Bonding Program'!$C$8,CV$3='Bonding Program'!$H$49),'Bonding Program'!$T$49-'Bonding Program'!$U$49-'Bonding Program'!$Z$49,0)-IF(AND('Bonding Program'!$S$49=1,'Bonding Program'!$H$49&lt;='Bonding Program'!$C$8,CV$3=IF('Bonding Program'!$P$49&lt;&gt;"",'Bonding Program'!$P$49,'Bonding Program'!$C$8)),'Bonding Program'!$Z$49,0)+IF(AND('Bonding Program'!$P$49&lt;&gt;"",CV$3='Bonding Program'!$P$49,CV$3&lt;='Bonding Program'!$C$8),N('Bonding Program'!$O$49),0)</f>
        <v>0</v>
      </c>
      <c r="CW190" s="19" t="n">
        <f aca="false">IF(AND('Bonding Program'!$S$49=1,'Bonding Program'!$H$49&gt;'Bonding Program'!$C$8,CW$3='Bonding Program'!$H$49),'Bonding Program'!$T$49-'Bonding Program'!$U$49-'Bonding Program'!$Z$49,0)-IF(AND('Bonding Program'!$S$49=1,'Bonding Program'!$H$49&lt;='Bonding Program'!$C$8,CW$3=IF('Bonding Program'!$P$49&lt;&gt;"",'Bonding Program'!$P$49,'Bonding Program'!$C$8)),'Bonding Program'!$Z$49,0)+IF(AND('Bonding Program'!$P$49&lt;&gt;"",CW$3='Bonding Program'!$P$49,CW$3&lt;='Bonding Program'!$C$8),N('Bonding Program'!$O$49),0)</f>
        <v>0</v>
      </c>
      <c r="CX190" s="19" t="n">
        <f aca="false">IF(AND('Bonding Program'!$S$49=1,'Bonding Program'!$H$49&gt;'Bonding Program'!$C$8,CX$3='Bonding Program'!$H$49),'Bonding Program'!$T$49-'Bonding Program'!$U$49-'Bonding Program'!$Z$49,0)-IF(AND('Bonding Program'!$S$49=1,'Bonding Program'!$H$49&lt;='Bonding Program'!$C$8,CX$3=IF('Bonding Program'!$P$49&lt;&gt;"",'Bonding Program'!$P$49,'Bonding Program'!$C$8)),'Bonding Program'!$Z$49,0)+IF(AND('Bonding Program'!$P$49&lt;&gt;"",CX$3='Bonding Program'!$P$49,CX$3&lt;='Bonding Program'!$C$8),N('Bonding Program'!$O$49),0)</f>
        <v>0</v>
      </c>
      <c r="CY190" s="19" t="n">
        <f aca="false">IF(AND('Bonding Program'!$S$49=1,'Bonding Program'!$H$49&gt;'Bonding Program'!$C$8,CY$3='Bonding Program'!$H$49),'Bonding Program'!$T$49-'Bonding Program'!$U$49-'Bonding Program'!$Z$49,0)-IF(AND('Bonding Program'!$S$49=1,'Bonding Program'!$H$49&lt;='Bonding Program'!$C$8,CY$3=IF('Bonding Program'!$P$49&lt;&gt;"",'Bonding Program'!$P$49,'Bonding Program'!$C$8)),'Bonding Program'!$Z$49,0)+IF(AND('Bonding Program'!$P$49&lt;&gt;"",CY$3='Bonding Program'!$P$49,CY$3&lt;='Bonding Program'!$C$8),N('Bonding Program'!$O$49),0)</f>
        <v>0</v>
      </c>
      <c r="CZ190" s="19" t="n">
        <f aca="false">IF(AND('Bonding Program'!$S$49=1,'Bonding Program'!$H$49&gt;'Bonding Program'!$C$8,CZ$3='Bonding Program'!$H$49),'Bonding Program'!$T$49-'Bonding Program'!$U$49-'Bonding Program'!$Z$49,0)-IF(AND('Bonding Program'!$S$49=1,'Bonding Program'!$H$49&lt;='Bonding Program'!$C$8,CZ$3=IF('Bonding Program'!$P$49&lt;&gt;"",'Bonding Program'!$P$49,'Bonding Program'!$C$8)),'Bonding Program'!$Z$49,0)+IF(AND('Bonding Program'!$P$49&lt;&gt;"",CZ$3='Bonding Program'!$P$49,CZ$3&lt;='Bonding Program'!$C$8),N('Bonding Program'!$O$49),0)</f>
        <v>0</v>
      </c>
      <c r="DA190" s="19" t="n">
        <f aca="false">IF(AND('Bonding Program'!$S$49=1,'Bonding Program'!$H$49&gt;'Bonding Program'!$C$8,DA$3='Bonding Program'!$H$49),'Bonding Program'!$T$49-'Bonding Program'!$U$49-'Bonding Program'!$Z$49,0)-IF(AND('Bonding Program'!$S$49=1,'Bonding Program'!$H$49&lt;='Bonding Program'!$C$8,DA$3=IF('Bonding Program'!$P$49&lt;&gt;"",'Bonding Program'!$P$49,'Bonding Program'!$C$8)),'Bonding Program'!$Z$49,0)+IF(AND('Bonding Program'!$P$49&lt;&gt;"",DA$3='Bonding Program'!$P$49,DA$3&lt;='Bonding Program'!$C$8),N('Bonding Program'!$O$49),0)</f>
        <v>0</v>
      </c>
      <c r="DB190" s="19" t="n">
        <f aca="false">IF(AND('Bonding Program'!$S$49=1,'Bonding Program'!$H$49&gt;'Bonding Program'!$C$8,DB$3='Bonding Program'!$H$49),'Bonding Program'!$T$49-'Bonding Program'!$U$49-'Bonding Program'!$Z$49,0)-IF(AND('Bonding Program'!$S$49=1,'Bonding Program'!$H$49&lt;='Bonding Program'!$C$8,DB$3=IF('Bonding Program'!$P$49&lt;&gt;"",'Bonding Program'!$P$49,'Bonding Program'!$C$8)),'Bonding Program'!$Z$49,0)+IF(AND('Bonding Program'!$P$49&lt;&gt;"",DB$3='Bonding Program'!$P$49,DB$3&lt;='Bonding Program'!$C$8),N('Bonding Program'!$O$49),0)</f>
        <v>0</v>
      </c>
      <c r="DC190" s="19" t="n">
        <f aca="false">IF(AND('Bonding Program'!$S$49=1,'Bonding Program'!$H$49&gt;'Bonding Program'!$C$8,DC$3='Bonding Program'!$H$49),'Bonding Program'!$T$49-'Bonding Program'!$U$49-'Bonding Program'!$Z$49,0)-IF(AND('Bonding Program'!$S$49=1,'Bonding Program'!$H$49&lt;='Bonding Program'!$C$8,DC$3=IF('Bonding Program'!$P$49&lt;&gt;"",'Bonding Program'!$P$49,'Bonding Program'!$C$8)),'Bonding Program'!$Z$49,0)+IF(AND('Bonding Program'!$P$49&lt;&gt;"",DC$3='Bonding Program'!$P$49,DC$3&lt;='Bonding Program'!$C$8),N('Bonding Program'!$O$49),0)</f>
        <v>0</v>
      </c>
      <c r="DD190" s="19" t="n">
        <f aca="false">IF(AND('Bonding Program'!$S$49=1,'Bonding Program'!$H$49&gt;'Bonding Program'!$C$8,DD$3='Bonding Program'!$H$49),'Bonding Program'!$T$49-'Bonding Program'!$U$49-'Bonding Program'!$Z$49,0)-IF(AND('Bonding Program'!$S$49=1,'Bonding Program'!$H$49&lt;='Bonding Program'!$C$8,DD$3=IF('Bonding Program'!$P$49&lt;&gt;"",'Bonding Program'!$P$49,'Bonding Program'!$C$8)),'Bonding Program'!$Z$49,0)+IF(AND('Bonding Program'!$P$49&lt;&gt;"",DD$3='Bonding Program'!$P$49,DD$3&lt;='Bonding Program'!$C$8),N('Bonding Program'!$O$49),0)</f>
        <v>0</v>
      </c>
      <c r="DE190" s="19" t="n">
        <f aca="false">IF(AND('Bonding Program'!$S$49=1,'Bonding Program'!$H$49&gt;'Bonding Program'!$C$8,DE$3='Bonding Program'!$H$49),'Bonding Program'!$T$49-'Bonding Program'!$U$49-'Bonding Program'!$Z$49,0)-IF(AND('Bonding Program'!$S$49=1,'Bonding Program'!$H$49&lt;='Bonding Program'!$C$8,DE$3=IF('Bonding Program'!$P$49&lt;&gt;"",'Bonding Program'!$P$49,'Bonding Program'!$C$8)),'Bonding Program'!$Z$49,0)+IF(AND('Bonding Program'!$P$49&lt;&gt;"",DE$3='Bonding Program'!$P$49,DE$3&lt;='Bonding Program'!$C$8),N('Bonding Program'!$O$49),0)</f>
        <v>0</v>
      </c>
    </row>
    <row r="191" customFormat="false" ht="15" hidden="false" customHeight="true" outlineLevel="1" collapsed="false">
      <c r="A191" s="28" t="s">
        <v>46</v>
      </c>
      <c r="B191" s="19" t="n">
        <f aca="false">IF(AND('Bonding Program'!$S$50=1,'Bonding Program'!$H$50&gt;'Bonding Program'!$C$8,B$3='Bonding Program'!$H$50),'Bonding Program'!$T$50-'Bonding Program'!$U$50-'Bonding Program'!$Z$50,0)-IF(AND('Bonding Program'!$S$50=1,'Bonding Program'!$H$50&lt;='Bonding Program'!$C$8,B$3=IF('Bonding Program'!$P$50&lt;&gt;"",'Bonding Program'!$P$50,'Bonding Program'!$C$8)),'Bonding Program'!$Z$50,0)+IF(AND('Bonding Program'!$P$50&lt;&gt;"",B$3='Bonding Program'!$P$50,B$3&lt;='Bonding Program'!$C$8),N('Bonding Program'!$O$50),0)</f>
        <v>0</v>
      </c>
      <c r="C191" s="19" t="n">
        <f aca="false">IF(AND('Bonding Program'!$S$50=1,'Bonding Program'!$H$50&gt;'Bonding Program'!$C$8,C$3='Bonding Program'!$H$50),'Bonding Program'!$T$50-'Bonding Program'!$U$50-'Bonding Program'!$Z$50,0)-IF(AND('Bonding Program'!$S$50=1,'Bonding Program'!$H$50&lt;='Bonding Program'!$C$8,C$3=IF('Bonding Program'!$P$50&lt;&gt;"",'Bonding Program'!$P$50,'Bonding Program'!$C$8)),'Bonding Program'!$Z$50,0)+IF(AND('Bonding Program'!$P$50&lt;&gt;"",C$3='Bonding Program'!$P$50,C$3&lt;='Bonding Program'!$C$8),N('Bonding Program'!$O$50),0)</f>
        <v>0</v>
      </c>
      <c r="D191" s="19" t="n">
        <f aca="false">IF(AND('Bonding Program'!$S$50=1,'Bonding Program'!$H$50&gt;'Bonding Program'!$C$8,D$3='Bonding Program'!$H$50),'Bonding Program'!$T$50-'Bonding Program'!$U$50-'Bonding Program'!$Z$50,0)-IF(AND('Bonding Program'!$S$50=1,'Bonding Program'!$H$50&lt;='Bonding Program'!$C$8,D$3=IF('Bonding Program'!$P$50&lt;&gt;"",'Bonding Program'!$P$50,'Bonding Program'!$C$8)),'Bonding Program'!$Z$50,0)+IF(AND('Bonding Program'!$P$50&lt;&gt;"",D$3='Bonding Program'!$P$50,D$3&lt;='Bonding Program'!$C$8),N('Bonding Program'!$O$50),0)</f>
        <v>0</v>
      </c>
      <c r="E191" s="19" t="n">
        <f aca="false">IF(AND('Bonding Program'!$S$50=1,'Bonding Program'!$H$50&gt;'Bonding Program'!$C$8,E$3='Bonding Program'!$H$50),'Bonding Program'!$T$50-'Bonding Program'!$U$50-'Bonding Program'!$Z$50,0)-IF(AND('Bonding Program'!$S$50=1,'Bonding Program'!$H$50&lt;='Bonding Program'!$C$8,E$3=IF('Bonding Program'!$P$50&lt;&gt;"",'Bonding Program'!$P$50,'Bonding Program'!$C$8)),'Bonding Program'!$Z$50,0)+IF(AND('Bonding Program'!$P$50&lt;&gt;"",E$3='Bonding Program'!$P$50,E$3&lt;='Bonding Program'!$C$8),N('Bonding Program'!$O$50),0)</f>
        <v>0</v>
      </c>
      <c r="F191" s="19" t="n">
        <f aca="false">IF(AND('Bonding Program'!$S$50=1,'Bonding Program'!$H$50&gt;'Bonding Program'!$C$8,F$3='Bonding Program'!$H$50),'Bonding Program'!$T$50-'Bonding Program'!$U$50-'Bonding Program'!$Z$50,0)-IF(AND('Bonding Program'!$S$50=1,'Bonding Program'!$H$50&lt;='Bonding Program'!$C$8,F$3=IF('Bonding Program'!$P$50&lt;&gt;"",'Bonding Program'!$P$50,'Bonding Program'!$C$8)),'Bonding Program'!$Z$50,0)+IF(AND('Bonding Program'!$P$50&lt;&gt;"",F$3='Bonding Program'!$P$50,F$3&lt;='Bonding Program'!$C$8),N('Bonding Program'!$O$50),0)</f>
        <v>0</v>
      </c>
      <c r="G191" s="19" t="n">
        <f aca="false">IF(AND('Bonding Program'!$S$50=1,'Bonding Program'!$H$50&gt;'Bonding Program'!$C$8,G$3='Bonding Program'!$H$50),'Bonding Program'!$T$50-'Bonding Program'!$U$50-'Bonding Program'!$Z$50,0)-IF(AND('Bonding Program'!$S$50=1,'Bonding Program'!$H$50&lt;='Bonding Program'!$C$8,G$3=IF('Bonding Program'!$P$50&lt;&gt;"",'Bonding Program'!$P$50,'Bonding Program'!$C$8)),'Bonding Program'!$Z$50,0)+IF(AND('Bonding Program'!$P$50&lt;&gt;"",G$3='Bonding Program'!$P$50,G$3&lt;='Bonding Program'!$C$8),N('Bonding Program'!$O$50),0)</f>
        <v>0</v>
      </c>
      <c r="H191" s="19" t="n">
        <f aca="false">IF(AND('Bonding Program'!$S$50=1,'Bonding Program'!$H$50&gt;'Bonding Program'!$C$8,H$3='Bonding Program'!$H$50),'Bonding Program'!$T$50-'Bonding Program'!$U$50-'Bonding Program'!$Z$50,0)-IF(AND('Bonding Program'!$S$50=1,'Bonding Program'!$H$50&lt;='Bonding Program'!$C$8,H$3=IF('Bonding Program'!$P$50&lt;&gt;"",'Bonding Program'!$P$50,'Bonding Program'!$C$8)),'Bonding Program'!$Z$50,0)+IF(AND('Bonding Program'!$P$50&lt;&gt;"",H$3='Bonding Program'!$P$50,H$3&lt;='Bonding Program'!$C$8),N('Bonding Program'!$O$50),0)</f>
        <v>0</v>
      </c>
      <c r="I191" s="19" t="n">
        <f aca="false">IF(AND('Bonding Program'!$S$50=1,'Bonding Program'!$H$50&gt;'Bonding Program'!$C$8,I$3='Bonding Program'!$H$50),'Bonding Program'!$T$50-'Bonding Program'!$U$50-'Bonding Program'!$Z$50,0)-IF(AND('Bonding Program'!$S$50=1,'Bonding Program'!$H$50&lt;='Bonding Program'!$C$8,I$3=IF('Bonding Program'!$P$50&lt;&gt;"",'Bonding Program'!$P$50,'Bonding Program'!$C$8)),'Bonding Program'!$Z$50,0)+IF(AND('Bonding Program'!$P$50&lt;&gt;"",I$3='Bonding Program'!$P$50,I$3&lt;='Bonding Program'!$C$8),N('Bonding Program'!$O$50),0)</f>
        <v>0</v>
      </c>
      <c r="J191" s="19" t="n">
        <f aca="false">IF(AND('Bonding Program'!$S$50=1,'Bonding Program'!$H$50&gt;'Bonding Program'!$C$8,J$3='Bonding Program'!$H$50),'Bonding Program'!$T$50-'Bonding Program'!$U$50-'Bonding Program'!$Z$50,0)-IF(AND('Bonding Program'!$S$50=1,'Bonding Program'!$H$50&lt;='Bonding Program'!$C$8,J$3=IF('Bonding Program'!$P$50&lt;&gt;"",'Bonding Program'!$P$50,'Bonding Program'!$C$8)),'Bonding Program'!$Z$50,0)+IF(AND('Bonding Program'!$P$50&lt;&gt;"",J$3='Bonding Program'!$P$50,J$3&lt;='Bonding Program'!$C$8),N('Bonding Program'!$O$50),0)</f>
        <v>0</v>
      </c>
      <c r="K191" s="19" t="n">
        <f aca="false">IF(AND('Bonding Program'!$S$50=1,'Bonding Program'!$H$50&gt;'Bonding Program'!$C$8,K$3='Bonding Program'!$H$50),'Bonding Program'!$T$50-'Bonding Program'!$U$50-'Bonding Program'!$Z$50,0)-IF(AND('Bonding Program'!$S$50=1,'Bonding Program'!$H$50&lt;='Bonding Program'!$C$8,K$3=IF('Bonding Program'!$P$50&lt;&gt;"",'Bonding Program'!$P$50,'Bonding Program'!$C$8)),'Bonding Program'!$Z$50,0)+IF(AND('Bonding Program'!$P$50&lt;&gt;"",K$3='Bonding Program'!$P$50,K$3&lt;='Bonding Program'!$C$8),N('Bonding Program'!$O$50),0)</f>
        <v>0</v>
      </c>
      <c r="L191" s="19" t="n">
        <f aca="false">IF(AND('Bonding Program'!$S$50=1,'Bonding Program'!$H$50&gt;'Bonding Program'!$C$8,L$3='Bonding Program'!$H$50),'Bonding Program'!$T$50-'Bonding Program'!$U$50-'Bonding Program'!$Z$50,0)-IF(AND('Bonding Program'!$S$50=1,'Bonding Program'!$H$50&lt;='Bonding Program'!$C$8,L$3=IF('Bonding Program'!$P$50&lt;&gt;"",'Bonding Program'!$P$50,'Bonding Program'!$C$8)),'Bonding Program'!$Z$50,0)+IF(AND('Bonding Program'!$P$50&lt;&gt;"",L$3='Bonding Program'!$P$50,L$3&lt;='Bonding Program'!$C$8),N('Bonding Program'!$O$50),0)</f>
        <v>0</v>
      </c>
      <c r="M191" s="19" t="n">
        <f aca="false">IF(AND('Bonding Program'!$S$50=1,'Bonding Program'!$H$50&gt;'Bonding Program'!$C$8,M$3='Bonding Program'!$H$50),'Bonding Program'!$T$50-'Bonding Program'!$U$50-'Bonding Program'!$Z$50,0)-IF(AND('Bonding Program'!$S$50=1,'Bonding Program'!$H$50&lt;='Bonding Program'!$C$8,M$3=IF('Bonding Program'!$P$50&lt;&gt;"",'Bonding Program'!$P$50,'Bonding Program'!$C$8)),'Bonding Program'!$Z$50,0)+IF(AND('Bonding Program'!$P$50&lt;&gt;"",M$3='Bonding Program'!$P$50,M$3&lt;='Bonding Program'!$C$8),N('Bonding Program'!$O$50),0)</f>
        <v>0</v>
      </c>
      <c r="N191" s="19" t="n">
        <f aca="false">IF(AND('Bonding Program'!$S$50=1,'Bonding Program'!$H$50&gt;'Bonding Program'!$C$8,N$3='Bonding Program'!$H$50),'Bonding Program'!$T$50-'Bonding Program'!$U$50-'Bonding Program'!$Z$50,0)-IF(AND('Bonding Program'!$S$50=1,'Bonding Program'!$H$50&lt;='Bonding Program'!$C$8,N$3=IF('Bonding Program'!$P$50&lt;&gt;"",'Bonding Program'!$P$50,'Bonding Program'!$C$8)),'Bonding Program'!$Z$50,0)+IF(AND('Bonding Program'!$P$50&lt;&gt;"",N$3='Bonding Program'!$P$50,N$3&lt;='Bonding Program'!$C$8),N('Bonding Program'!$O$50),0)</f>
        <v>0</v>
      </c>
      <c r="O191" s="19" t="n">
        <f aca="false">IF(AND('Bonding Program'!$S$50=1,'Bonding Program'!$H$50&gt;'Bonding Program'!$C$8,O$3='Bonding Program'!$H$50),'Bonding Program'!$T$50-'Bonding Program'!$U$50-'Bonding Program'!$Z$50,0)-IF(AND('Bonding Program'!$S$50=1,'Bonding Program'!$H$50&lt;='Bonding Program'!$C$8,O$3=IF('Bonding Program'!$P$50&lt;&gt;"",'Bonding Program'!$P$50,'Bonding Program'!$C$8)),'Bonding Program'!$Z$50,0)+IF(AND('Bonding Program'!$P$50&lt;&gt;"",O$3='Bonding Program'!$P$50,O$3&lt;='Bonding Program'!$C$8),N('Bonding Program'!$O$50),0)</f>
        <v>0</v>
      </c>
      <c r="P191" s="19" t="n">
        <f aca="false">IF(AND('Bonding Program'!$S$50=1,'Bonding Program'!$H$50&gt;'Bonding Program'!$C$8,P$3='Bonding Program'!$H$50),'Bonding Program'!$T$50-'Bonding Program'!$U$50-'Bonding Program'!$Z$50,0)-IF(AND('Bonding Program'!$S$50=1,'Bonding Program'!$H$50&lt;='Bonding Program'!$C$8,P$3=IF('Bonding Program'!$P$50&lt;&gt;"",'Bonding Program'!$P$50,'Bonding Program'!$C$8)),'Bonding Program'!$Z$50,0)+IF(AND('Bonding Program'!$P$50&lt;&gt;"",P$3='Bonding Program'!$P$50,P$3&lt;='Bonding Program'!$C$8),N('Bonding Program'!$O$50),0)</f>
        <v>0</v>
      </c>
      <c r="Q191" s="19" t="n">
        <f aca="false">IF(AND('Bonding Program'!$S$50=1,'Bonding Program'!$H$50&gt;'Bonding Program'!$C$8,Q$3='Bonding Program'!$H$50),'Bonding Program'!$T$50-'Bonding Program'!$U$50-'Bonding Program'!$Z$50,0)-IF(AND('Bonding Program'!$S$50=1,'Bonding Program'!$H$50&lt;='Bonding Program'!$C$8,Q$3=IF('Bonding Program'!$P$50&lt;&gt;"",'Bonding Program'!$P$50,'Bonding Program'!$C$8)),'Bonding Program'!$Z$50,0)+IF(AND('Bonding Program'!$P$50&lt;&gt;"",Q$3='Bonding Program'!$P$50,Q$3&lt;='Bonding Program'!$C$8),N('Bonding Program'!$O$50),0)</f>
        <v>0</v>
      </c>
      <c r="R191" s="19" t="n">
        <f aca="false">IF(AND('Bonding Program'!$S$50=1,'Bonding Program'!$H$50&gt;'Bonding Program'!$C$8,R$3='Bonding Program'!$H$50),'Bonding Program'!$T$50-'Bonding Program'!$U$50-'Bonding Program'!$Z$50,0)-IF(AND('Bonding Program'!$S$50=1,'Bonding Program'!$H$50&lt;='Bonding Program'!$C$8,R$3=IF('Bonding Program'!$P$50&lt;&gt;"",'Bonding Program'!$P$50,'Bonding Program'!$C$8)),'Bonding Program'!$Z$50,0)+IF(AND('Bonding Program'!$P$50&lt;&gt;"",R$3='Bonding Program'!$P$50,R$3&lt;='Bonding Program'!$C$8),N('Bonding Program'!$O$50),0)</f>
        <v>0</v>
      </c>
      <c r="S191" s="19" t="n">
        <f aca="false">IF(AND('Bonding Program'!$S$50=1,'Bonding Program'!$H$50&gt;'Bonding Program'!$C$8,S$3='Bonding Program'!$H$50),'Bonding Program'!$T$50-'Bonding Program'!$U$50-'Bonding Program'!$Z$50,0)-IF(AND('Bonding Program'!$S$50=1,'Bonding Program'!$H$50&lt;='Bonding Program'!$C$8,S$3=IF('Bonding Program'!$P$50&lt;&gt;"",'Bonding Program'!$P$50,'Bonding Program'!$C$8)),'Bonding Program'!$Z$50,0)+IF(AND('Bonding Program'!$P$50&lt;&gt;"",S$3='Bonding Program'!$P$50,S$3&lt;='Bonding Program'!$C$8),N('Bonding Program'!$O$50),0)</f>
        <v>0</v>
      </c>
      <c r="T191" s="19" t="n">
        <f aca="false">IF(AND('Bonding Program'!$S$50=1,'Bonding Program'!$H$50&gt;'Bonding Program'!$C$8,T$3='Bonding Program'!$H$50),'Bonding Program'!$T$50-'Bonding Program'!$U$50-'Bonding Program'!$Z$50,0)-IF(AND('Bonding Program'!$S$50=1,'Bonding Program'!$H$50&lt;='Bonding Program'!$C$8,T$3=IF('Bonding Program'!$P$50&lt;&gt;"",'Bonding Program'!$P$50,'Bonding Program'!$C$8)),'Bonding Program'!$Z$50,0)+IF(AND('Bonding Program'!$P$50&lt;&gt;"",T$3='Bonding Program'!$P$50,T$3&lt;='Bonding Program'!$C$8),N('Bonding Program'!$O$50),0)</f>
        <v>0</v>
      </c>
      <c r="U191" s="19" t="n">
        <f aca="false">IF(AND('Bonding Program'!$S$50=1,'Bonding Program'!$H$50&gt;'Bonding Program'!$C$8,U$3='Bonding Program'!$H$50),'Bonding Program'!$T$50-'Bonding Program'!$U$50-'Bonding Program'!$Z$50,0)-IF(AND('Bonding Program'!$S$50=1,'Bonding Program'!$H$50&lt;='Bonding Program'!$C$8,U$3=IF('Bonding Program'!$P$50&lt;&gt;"",'Bonding Program'!$P$50,'Bonding Program'!$C$8)),'Bonding Program'!$Z$50,0)+IF(AND('Bonding Program'!$P$50&lt;&gt;"",U$3='Bonding Program'!$P$50,U$3&lt;='Bonding Program'!$C$8),N('Bonding Program'!$O$50),0)</f>
        <v>0</v>
      </c>
      <c r="V191" s="19" t="n">
        <f aca="false">IF(AND('Bonding Program'!$S$50=1,'Bonding Program'!$H$50&gt;'Bonding Program'!$C$8,V$3='Bonding Program'!$H$50),'Bonding Program'!$T$50-'Bonding Program'!$U$50-'Bonding Program'!$Z$50,0)-IF(AND('Bonding Program'!$S$50=1,'Bonding Program'!$H$50&lt;='Bonding Program'!$C$8,V$3=IF('Bonding Program'!$P$50&lt;&gt;"",'Bonding Program'!$P$50,'Bonding Program'!$C$8)),'Bonding Program'!$Z$50,0)+IF(AND('Bonding Program'!$P$50&lt;&gt;"",V$3='Bonding Program'!$P$50,V$3&lt;='Bonding Program'!$C$8),N('Bonding Program'!$O$50),0)</f>
        <v>0</v>
      </c>
      <c r="W191" s="19" t="n">
        <f aca="false">IF(AND('Bonding Program'!$S$50=1,'Bonding Program'!$H$50&gt;'Bonding Program'!$C$8,W$3='Bonding Program'!$H$50),'Bonding Program'!$T$50-'Bonding Program'!$U$50-'Bonding Program'!$Z$50,0)-IF(AND('Bonding Program'!$S$50=1,'Bonding Program'!$H$50&lt;='Bonding Program'!$C$8,W$3=IF('Bonding Program'!$P$50&lt;&gt;"",'Bonding Program'!$P$50,'Bonding Program'!$C$8)),'Bonding Program'!$Z$50,0)+IF(AND('Bonding Program'!$P$50&lt;&gt;"",W$3='Bonding Program'!$P$50,W$3&lt;='Bonding Program'!$C$8),N('Bonding Program'!$O$50),0)</f>
        <v>0</v>
      </c>
      <c r="X191" s="19" t="n">
        <f aca="false">IF(AND('Bonding Program'!$S$50=1,'Bonding Program'!$H$50&gt;'Bonding Program'!$C$8,X$3='Bonding Program'!$H$50),'Bonding Program'!$T$50-'Bonding Program'!$U$50-'Bonding Program'!$Z$50,0)-IF(AND('Bonding Program'!$S$50=1,'Bonding Program'!$H$50&lt;='Bonding Program'!$C$8,X$3=IF('Bonding Program'!$P$50&lt;&gt;"",'Bonding Program'!$P$50,'Bonding Program'!$C$8)),'Bonding Program'!$Z$50,0)+IF(AND('Bonding Program'!$P$50&lt;&gt;"",X$3='Bonding Program'!$P$50,X$3&lt;='Bonding Program'!$C$8),N('Bonding Program'!$O$50),0)</f>
        <v>0</v>
      </c>
      <c r="Y191" s="19" t="n">
        <f aca="false">IF(AND('Bonding Program'!$S$50=1,'Bonding Program'!$H$50&gt;'Bonding Program'!$C$8,Y$3='Bonding Program'!$H$50),'Bonding Program'!$T$50-'Bonding Program'!$U$50-'Bonding Program'!$Z$50,0)-IF(AND('Bonding Program'!$S$50=1,'Bonding Program'!$H$50&lt;='Bonding Program'!$C$8,Y$3=IF('Bonding Program'!$P$50&lt;&gt;"",'Bonding Program'!$P$50,'Bonding Program'!$C$8)),'Bonding Program'!$Z$50,0)+IF(AND('Bonding Program'!$P$50&lt;&gt;"",Y$3='Bonding Program'!$P$50,Y$3&lt;='Bonding Program'!$C$8),N('Bonding Program'!$O$50),0)</f>
        <v>0</v>
      </c>
      <c r="Z191" s="19" t="n">
        <f aca="false">IF(AND('Bonding Program'!$S$50=1,'Bonding Program'!$H$50&gt;'Bonding Program'!$C$8,Z$3='Bonding Program'!$H$50),'Bonding Program'!$T$50-'Bonding Program'!$U$50-'Bonding Program'!$Z$50,0)-IF(AND('Bonding Program'!$S$50=1,'Bonding Program'!$H$50&lt;='Bonding Program'!$C$8,Z$3=IF('Bonding Program'!$P$50&lt;&gt;"",'Bonding Program'!$P$50,'Bonding Program'!$C$8)),'Bonding Program'!$Z$50,0)+IF(AND('Bonding Program'!$P$50&lt;&gt;"",Z$3='Bonding Program'!$P$50,Z$3&lt;='Bonding Program'!$C$8),N('Bonding Program'!$O$50),0)</f>
        <v>0</v>
      </c>
      <c r="AA191" s="19" t="n">
        <f aca="false">IF(AND('Bonding Program'!$S$50=1,'Bonding Program'!$H$50&gt;'Bonding Program'!$C$8,AA$3='Bonding Program'!$H$50),'Bonding Program'!$T$50-'Bonding Program'!$U$50-'Bonding Program'!$Z$50,0)-IF(AND('Bonding Program'!$S$50=1,'Bonding Program'!$H$50&lt;='Bonding Program'!$C$8,AA$3=IF('Bonding Program'!$P$50&lt;&gt;"",'Bonding Program'!$P$50,'Bonding Program'!$C$8)),'Bonding Program'!$Z$50,0)+IF(AND('Bonding Program'!$P$50&lt;&gt;"",AA$3='Bonding Program'!$P$50,AA$3&lt;='Bonding Program'!$C$8),N('Bonding Program'!$O$50),0)</f>
        <v>0</v>
      </c>
      <c r="AB191" s="19" t="n">
        <f aca="false">IF(AND('Bonding Program'!$S$50=1,'Bonding Program'!$H$50&gt;'Bonding Program'!$C$8,AB$3='Bonding Program'!$H$50),'Bonding Program'!$T$50-'Bonding Program'!$U$50-'Bonding Program'!$Z$50,0)-IF(AND('Bonding Program'!$S$50=1,'Bonding Program'!$H$50&lt;='Bonding Program'!$C$8,AB$3=IF('Bonding Program'!$P$50&lt;&gt;"",'Bonding Program'!$P$50,'Bonding Program'!$C$8)),'Bonding Program'!$Z$50,0)+IF(AND('Bonding Program'!$P$50&lt;&gt;"",AB$3='Bonding Program'!$P$50,AB$3&lt;='Bonding Program'!$C$8),N('Bonding Program'!$O$50),0)</f>
        <v>0</v>
      </c>
      <c r="AC191" s="19" t="n">
        <f aca="false">IF(AND('Bonding Program'!$S$50=1,'Bonding Program'!$H$50&gt;'Bonding Program'!$C$8,AC$3='Bonding Program'!$H$50),'Bonding Program'!$T$50-'Bonding Program'!$U$50-'Bonding Program'!$Z$50,0)-IF(AND('Bonding Program'!$S$50=1,'Bonding Program'!$H$50&lt;='Bonding Program'!$C$8,AC$3=IF('Bonding Program'!$P$50&lt;&gt;"",'Bonding Program'!$P$50,'Bonding Program'!$C$8)),'Bonding Program'!$Z$50,0)+IF(AND('Bonding Program'!$P$50&lt;&gt;"",AC$3='Bonding Program'!$P$50,AC$3&lt;='Bonding Program'!$C$8),N('Bonding Program'!$O$50),0)</f>
        <v>0</v>
      </c>
      <c r="AD191" s="19" t="n">
        <f aca="false">IF(AND('Bonding Program'!$S$50=1,'Bonding Program'!$H$50&gt;'Bonding Program'!$C$8,AD$3='Bonding Program'!$H$50),'Bonding Program'!$T$50-'Bonding Program'!$U$50-'Bonding Program'!$Z$50,0)-IF(AND('Bonding Program'!$S$50=1,'Bonding Program'!$H$50&lt;='Bonding Program'!$C$8,AD$3=IF('Bonding Program'!$P$50&lt;&gt;"",'Bonding Program'!$P$50,'Bonding Program'!$C$8)),'Bonding Program'!$Z$50,0)+IF(AND('Bonding Program'!$P$50&lt;&gt;"",AD$3='Bonding Program'!$P$50,AD$3&lt;='Bonding Program'!$C$8),N('Bonding Program'!$O$50),0)</f>
        <v>0</v>
      </c>
      <c r="AE191" s="19" t="n">
        <f aca="false">IF(AND('Bonding Program'!$S$50=1,'Bonding Program'!$H$50&gt;'Bonding Program'!$C$8,AE$3='Bonding Program'!$H$50),'Bonding Program'!$T$50-'Bonding Program'!$U$50-'Bonding Program'!$Z$50,0)-IF(AND('Bonding Program'!$S$50=1,'Bonding Program'!$H$50&lt;='Bonding Program'!$C$8,AE$3=IF('Bonding Program'!$P$50&lt;&gt;"",'Bonding Program'!$P$50,'Bonding Program'!$C$8)),'Bonding Program'!$Z$50,0)+IF(AND('Bonding Program'!$P$50&lt;&gt;"",AE$3='Bonding Program'!$P$50,AE$3&lt;='Bonding Program'!$C$8),N('Bonding Program'!$O$50),0)</f>
        <v>0</v>
      </c>
      <c r="AF191" s="19" t="n">
        <f aca="false">IF(AND('Bonding Program'!$S$50=1,'Bonding Program'!$H$50&gt;'Bonding Program'!$C$8,AF$3='Bonding Program'!$H$50),'Bonding Program'!$T$50-'Bonding Program'!$U$50-'Bonding Program'!$Z$50,0)-IF(AND('Bonding Program'!$S$50=1,'Bonding Program'!$H$50&lt;='Bonding Program'!$C$8,AF$3=IF('Bonding Program'!$P$50&lt;&gt;"",'Bonding Program'!$P$50,'Bonding Program'!$C$8)),'Bonding Program'!$Z$50,0)+IF(AND('Bonding Program'!$P$50&lt;&gt;"",AF$3='Bonding Program'!$P$50,AF$3&lt;='Bonding Program'!$C$8),N('Bonding Program'!$O$50),0)</f>
        <v>0</v>
      </c>
      <c r="AG191" s="19" t="n">
        <f aca="false">IF(AND('Bonding Program'!$S$50=1,'Bonding Program'!$H$50&gt;'Bonding Program'!$C$8,AG$3='Bonding Program'!$H$50),'Bonding Program'!$T$50-'Bonding Program'!$U$50-'Bonding Program'!$Z$50,0)-IF(AND('Bonding Program'!$S$50=1,'Bonding Program'!$H$50&lt;='Bonding Program'!$C$8,AG$3=IF('Bonding Program'!$P$50&lt;&gt;"",'Bonding Program'!$P$50,'Bonding Program'!$C$8)),'Bonding Program'!$Z$50,0)+IF(AND('Bonding Program'!$P$50&lt;&gt;"",AG$3='Bonding Program'!$P$50,AG$3&lt;='Bonding Program'!$C$8),N('Bonding Program'!$O$50),0)</f>
        <v>0</v>
      </c>
      <c r="AH191" s="19" t="n">
        <f aca="false">IF(AND('Bonding Program'!$S$50=1,'Bonding Program'!$H$50&gt;'Bonding Program'!$C$8,AH$3='Bonding Program'!$H$50),'Bonding Program'!$T$50-'Bonding Program'!$U$50-'Bonding Program'!$Z$50,0)-IF(AND('Bonding Program'!$S$50=1,'Bonding Program'!$H$50&lt;='Bonding Program'!$C$8,AH$3=IF('Bonding Program'!$P$50&lt;&gt;"",'Bonding Program'!$P$50,'Bonding Program'!$C$8)),'Bonding Program'!$Z$50,0)+IF(AND('Bonding Program'!$P$50&lt;&gt;"",AH$3='Bonding Program'!$P$50,AH$3&lt;='Bonding Program'!$C$8),N('Bonding Program'!$O$50),0)</f>
        <v>0</v>
      </c>
      <c r="AI191" s="19" t="n">
        <f aca="false">IF(AND('Bonding Program'!$S$50=1,'Bonding Program'!$H$50&gt;'Bonding Program'!$C$8,AI$3='Bonding Program'!$H$50),'Bonding Program'!$T$50-'Bonding Program'!$U$50-'Bonding Program'!$Z$50,0)-IF(AND('Bonding Program'!$S$50=1,'Bonding Program'!$H$50&lt;='Bonding Program'!$C$8,AI$3=IF('Bonding Program'!$P$50&lt;&gt;"",'Bonding Program'!$P$50,'Bonding Program'!$C$8)),'Bonding Program'!$Z$50,0)+IF(AND('Bonding Program'!$P$50&lt;&gt;"",AI$3='Bonding Program'!$P$50,AI$3&lt;='Bonding Program'!$C$8),N('Bonding Program'!$O$50),0)</f>
        <v>0</v>
      </c>
      <c r="AJ191" s="19" t="n">
        <f aca="false">IF(AND('Bonding Program'!$S$50=1,'Bonding Program'!$H$50&gt;'Bonding Program'!$C$8,AJ$3='Bonding Program'!$H$50),'Bonding Program'!$T$50-'Bonding Program'!$U$50-'Bonding Program'!$Z$50,0)-IF(AND('Bonding Program'!$S$50=1,'Bonding Program'!$H$50&lt;='Bonding Program'!$C$8,AJ$3=IF('Bonding Program'!$P$50&lt;&gt;"",'Bonding Program'!$P$50,'Bonding Program'!$C$8)),'Bonding Program'!$Z$50,0)+IF(AND('Bonding Program'!$P$50&lt;&gt;"",AJ$3='Bonding Program'!$P$50,AJ$3&lt;='Bonding Program'!$C$8),N('Bonding Program'!$O$50),0)</f>
        <v>0</v>
      </c>
      <c r="AK191" s="19" t="n">
        <f aca="false">IF(AND('Bonding Program'!$S$50=1,'Bonding Program'!$H$50&gt;'Bonding Program'!$C$8,AK$3='Bonding Program'!$H$50),'Bonding Program'!$T$50-'Bonding Program'!$U$50-'Bonding Program'!$Z$50,0)-IF(AND('Bonding Program'!$S$50=1,'Bonding Program'!$H$50&lt;='Bonding Program'!$C$8,AK$3=IF('Bonding Program'!$P$50&lt;&gt;"",'Bonding Program'!$P$50,'Bonding Program'!$C$8)),'Bonding Program'!$Z$50,0)+IF(AND('Bonding Program'!$P$50&lt;&gt;"",AK$3='Bonding Program'!$P$50,AK$3&lt;='Bonding Program'!$C$8),N('Bonding Program'!$O$50),0)</f>
        <v>0</v>
      </c>
      <c r="AL191" s="19" t="n">
        <f aca="false">IF(AND('Bonding Program'!$S$50=1,'Bonding Program'!$H$50&gt;'Bonding Program'!$C$8,AL$3='Bonding Program'!$H$50),'Bonding Program'!$T$50-'Bonding Program'!$U$50-'Bonding Program'!$Z$50,0)-IF(AND('Bonding Program'!$S$50=1,'Bonding Program'!$H$50&lt;='Bonding Program'!$C$8,AL$3=IF('Bonding Program'!$P$50&lt;&gt;"",'Bonding Program'!$P$50,'Bonding Program'!$C$8)),'Bonding Program'!$Z$50,0)+IF(AND('Bonding Program'!$P$50&lt;&gt;"",AL$3='Bonding Program'!$P$50,AL$3&lt;='Bonding Program'!$C$8),N('Bonding Program'!$O$50),0)</f>
        <v>0</v>
      </c>
      <c r="AM191" s="19" t="n">
        <f aca="false">IF(AND('Bonding Program'!$S$50=1,'Bonding Program'!$H$50&gt;'Bonding Program'!$C$8,AM$3='Bonding Program'!$H$50),'Bonding Program'!$T$50-'Bonding Program'!$U$50-'Bonding Program'!$Z$50,0)-IF(AND('Bonding Program'!$S$50=1,'Bonding Program'!$H$50&lt;='Bonding Program'!$C$8,AM$3=IF('Bonding Program'!$P$50&lt;&gt;"",'Bonding Program'!$P$50,'Bonding Program'!$C$8)),'Bonding Program'!$Z$50,0)+IF(AND('Bonding Program'!$P$50&lt;&gt;"",AM$3='Bonding Program'!$P$50,AM$3&lt;='Bonding Program'!$C$8),N('Bonding Program'!$O$50),0)</f>
        <v>0</v>
      </c>
      <c r="AN191" s="19" t="n">
        <f aca="false">IF(AND('Bonding Program'!$S$50=1,'Bonding Program'!$H$50&gt;'Bonding Program'!$C$8,AN$3='Bonding Program'!$H$50),'Bonding Program'!$T$50-'Bonding Program'!$U$50-'Bonding Program'!$Z$50,0)-IF(AND('Bonding Program'!$S$50=1,'Bonding Program'!$H$50&lt;='Bonding Program'!$C$8,AN$3=IF('Bonding Program'!$P$50&lt;&gt;"",'Bonding Program'!$P$50,'Bonding Program'!$C$8)),'Bonding Program'!$Z$50,0)+IF(AND('Bonding Program'!$P$50&lt;&gt;"",AN$3='Bonding Program'!$P$50,AN$3&lt;='Bonding Program'!$C$8),N('Bonding Program'!$O$50),0)</f>
        <v>0</v>
      </c>
      <c r="AO191" s="19" t="n">
        <f aca="false">IF(AND('Bonding Program'!$S$50=1,'Bonding Program'!$H$50&gt;'Bonding Program'!$C$8,AO$3='Bonding Program'!$H$50),'Bonding Program'!$T$50-'Bonding Program'!$U$50-'Bonding Program'!$Z$50,0)-IF(AND('Bonding Program'!$S$50=1,'Bonding Program'!$H$50&lt;='Bonding Program'!$C$8,AO$3=IF('Bonding Program'!$P$50&lt;&gt;"",'Bonding Program'!$P$50,'Bonding Program'!$C$8)),'Bonding Program'!$Z$50,0)+IF(AND('Bonding Program'!$P$50&lt;&gt;"",AO$3='Bonding Program'!$P$50,AO$3&lt;='Bonding Program'!$C$8),N('Bonding Program'!$O$50),0)</f>
        <v>0</v>
      </c>
      <c r="AP191" s="19" t="n">
        <f aca="false">IF(AND('Bonding Program'!$S$50=1,'Bonding Program'!$H$50&gt;'Bonding Program'!$C$8,AP$3='Bonding Program'!$H$50),'Bonding Program'!$T$50-'Bonding Program'!$U$50-'Bonding Program'!$Z$50,0)-IF(AND('Bonding Program'!$S$50=1,'Bonding Program'!$H$50&lt;='Bonding Program'!$C$8,AP$3=IF('Bonding Program'!$P$50&lt;&gt;"",'Bonding Program'!$P$50,'Bonding Program'!$C$8)),'Bonding Program'!$Z$50,0)+IF(AND('Bonding Program'!$P$50&lt;&gt;"",AP$3='Bonding Program'!$P$50,AP$3&lt;='Bonding Program'!$C$8),N('Bonding Program'!$O$50),0)</f>
        <v>0</v>
      </c>
      <c r="AQ191" s="19" t="n">
        <f aca="false">IF(AND('Bonding Program'!$S$50=1,'Bonding Program'!$H$50&gt;'Bonding Program'!$C$8,AQ$3='Bonding Program'!$H$50),'Bonding Program'!$T$50-'Bonding Program'!$U$50-'Bonding Program'!$Z$50,0)-IF(AND('Bonding Program'!$S$50=1,'Bonding Program'!$H$50&lt;='Bonding Program'!$C$8,AQ$3=IF('Bonding Program'!$P$50&lt;&gt;"",'Bonding Program'!$P$50,'Bonding Program'!$C$8)),'Bonding Program'!$Z$50,0)+IF(AND('Bonding Program'!$P$50&lt;&gt;"",AQ$3='Bonding Program'!$P$50,AQ$3&lt;='Bonding Program'!$C$8),N('Bonding Program'!$O$50),0)</f>
        <v>0</v>
      </c>
      <c r="AR191" s="19" t="n">
        <f aca="false">IF(AND('Bonding Program'!$S$50=1,'Bonding Program'!$H$50&gt;'Bonding Program'!$C$8,AR$3='Bonding Program'!$H$50),'Bonding Program'!$T$50-'Bonding Program'!$U$50-'Bonding Program'!$Z$50,0)-IF(AND('Bonding Program'!$S$50=1,'Bonding Program'!$H$50&lt;='Bonding Program'!$C$8,AR$3=IF('Bonding Program'!$P$50&lt;&gt;"",'Bonding Program'!$P$50,'Bonding Program'!$C$8)),'Bonding Program'!$Z$50,0)+IF(AND('Bonding Program'!$P$50&lt;&gt;"",AR$3='Bonding Program'!$P$50,AR$3&lt;='Bonding Program'!$C$8),N('Bonding Program'!$O$50),0)</f>
        <v>0</v>
      </c>
      <c r="AS191" s="19" t="n">
        <f aca="false">IF(AND('Bonding Program'!$S$50=1,'Bonding Program'!$H$50&gt;'Bonding Program'!$C$8,AS$3='Bonding Program'!$H$50),'Bonding Program'!$T$50-'Bonding Program'!$U$50-'Bonding Program'!$Z$50,0)-IF(AND('Bonding Program'!$S$50=1,'Bonding Program'!$H$50&lt;='Bonding Program'!$C$8,AS$3=IF('Bonding Program'!$P$50&lt;&gt;"",'Bonding Program'!$P$50,'Bonding Program'!$C$8)),'Bonding Program'!$Z$50,0)+IF(AND('Bonding Program'!$P$50&lt;&gt;"",AS$3='Bonding Program'!$P$50,AS$3&lt;='Bonding Program'!$C$8),N('Bonding Program'!$O$50),0)</f>
        <v>0</v>
      </c>
      <c r="AT191" s="19" t="n">
        <f aca="false">IF(AND('Bonding Program'!$S$50=1,'Bonding Program'!$H$50&gt;'Bonding Program'!$C$8,AT$3='Bonding Program'!$H$50),'Bonding Program'!$T$50-'Bonding Program'!$U$50-'Bonding Program'!$Z$50,0)-IF(AND('Bonding Program'!$S$50=1,'Bonding Program'!$H$50&lt;='Bonding Program'!$C$8,AT$3=IF('Bonding Program'!$P$50&lt;&gt;"",'Bonding Program'!$P$50,'Bonding Program'!$C$8)),'Bonding Program'!$Z$50,0)+IF(AND('Bonding Program'!$P$50&lt;&gt;"",AT$3='Bonding Program'!$P$50,AT$3&lt;='Bonding Program'!$C$8),N('Bonding Program'!$O$50),0)</f>
        <v>0</v>
      </c>
      <c r="AU191" s="19" t="n">
        <f aca="false">IF(AND('Bonding Program'!$S$50=1,'Bonding Program'!$H$50&gt;'Bonding Program'!$C$8,AU$3='Bonding Program'!$H$50),'Bonding Program'!$T$50-'Bonding Program'!$U$50-'Bonding Program'!$Z$50,0)-IF(AND('Bonding Program'!$S$50=1,'Bonding Program'!$H$50&lt;='Bonding Program'!$C$8,AU$3=IF('Bonding Program'!$P$50&lt;&gt;"",'Bonding Program'!$P$50,'Bonding Program'!$C$8)),'Bonding Program'!$Z$50,0)+IF(AND('Bonding Program'!$P$50&lt;&gt;"",AU$3='Bonding Program'!$P$50,AU$3&lt;='Bonding Program'!$C$8),N('Bonding Program'!$O$50),0)</f>
        <v>0</v>
      </c>
      <c r="AV191" s="19" t="n">
        <f aca="false">IF(AND('Bonding Program'!$S$50=1,'Bonding Program'!$H$50&gt;'Bonding Program'!$C$8,AV$3='Bonding Program'!$H$50),'Bonding Program'!$T$50-'Bonding Program'!$U$50-'Bonding Program'!$Z$50,0)-IF(AND('Bonding Program'!$S$50=1,'Bonding Program'!$H$50&lt;='Bonding Program'!$C$8,AV$3=IF('Bonding Program'!$P$50&lt;&gt;"",'Bonding Program'!$P$50,'Bonding Program'!$C$8)),'Bonding Program'!$Z$50,0)+IF(AND('Bonding Program'!$P$50&lt;&gt;"",AV$3='Bonding Program'!$P$50,AV$3&lt;='Bonding Program'!$C$8),N('Bonding Program'!$O$50),0)</f>
        <v>0</v>
      </c>
      <c r="AW191" s="19" t="n">
        <f aca="false">IF(AND('Bonding Program'!$S$50=1,'Bonding Program'!$H$50&gt;'Bonding Program'!$C$8,AW$3='Bonding Program'!$H$50),'Bonding Program'!$T$50-'Bonding Program'!$U$50-'Bonding Program'!$Z$50,0)-IF(AND('Bonding Program'!$S$50=1,'Bonding Program'!$H$50&lt;='Bonding Program'!$C$8,AW$3=IF('Bonding Program'!$P$50&lt;&gt;"",'Bonding Program'!$P$50,'Bonding Program'!$C$8)),'Bonding Program'!$Z$50,0)+IF(AND('Bonding Program'!$P$50&lt;&gt;"",AW$3='Bonding Program'!$P$50,AW$3&lt;='Bonding Program'!$C$8),N('Bonding Program'!$O$50),0)</f>
        <v>0</v>
      </c>
      <c r="AX191" s="19" t="n">
        <f aca="false">IF(AND('Bonding Program'!$S$50=1,'Bonding Program'!$H$50&gt;'Bonding Program'!$C$8,AX$3='Bonding Program'!$H$50),'Bonding Program'!$T$50-'Bonding Program'!$U$50-'Bonding Program'!$Z$50,0)-IF(AND('Bonding Program'!$S$50=1,'Bonding Program'!$H$50&lt;='Bonding Program'!$C$8,AX$3=IF('Bonding Program'!$P$50&lt;&gt;"",'Bonding Program'!$P$50,'Bonding Program'!$C$8)),'Bonding Program'!$Z$50,0)+IF(AND('Bonding Program'!$P$50&lt;&gt;"",AX$3='Bonding Program'!$P$50,AX$3&lt;='Bonding Program'!$C$8),N('Bonding Program'!$O$50),0)</f>
        <v>0</v>
      </c>
      <c r="AY191" s="19" t="n">
        <f aca="false">IF(AND('Bonding Program'!$S$50=1,'Bonding Program'!$H$50&gt;'Bonding Program'!$C$8,AY$3='Bonding Program'!$H$50),'Bonding Program'!$T$50-'Bonding Program'!$U$50-'Bonding Program'!$Z$50,0)-IF(AND('Bonding Program'!$S$50=1,'Bonding Program'!$H$50&lt;='Bonding Program'!$C$8,AY$3=IF('Bonding Program'!$P$50&lt;&gt;"",'Bonding Program'!$P$50,'Bonding Program'!$C$8)),'Bonding Program'!$Z$50,0)+IF(AND('Bonding Program'!$P$50&lt;&gt;"",AY$3='Bonding Program'!$P$50,AY$3&lt;='Bonding Program'!$C$8),N('Bonding Program'!$O$50),0)</f>
        <v>0</v>
      </c>
      <c r="AZ191" s="19" t="n">
        <f aca="false">IF(AND('Bonding Program'!$S$50=1,'Bonding Program'!$H$50&gt;'Bonding Program'!$C$8,AZ$3='Bonding Program'!$H$50),'Bonding Program'!$T$50-'Bonding Program'!$U$50-'Bonding Program'!$Z$50,0)-IF(AND('Bonding Program'!$S$50=1,'Bonding Program'!$H$50&lt;='Bonding Program'!$C$8,AZ$3=IF('Bonding Program'!$P$50&lt;&gt;"",'Bonding Program'!$P$50,'Bonding Program'!$C$8)),'Bonding Program'!$Z$50,0)+IF(AND('Bonding Program'!$P$50&lt;&gt;"",AZ$3='Bonding Program'!$P$50,AZ$3&lt;='Bonding Program'!$C$8),N('Bonding Program'!$O$50),0)</f>
        <v>0</v>
      </c>
      <c r="BA191" s="19" t="n">
        <f aca="false">IF(AND('Bonding Program'!$S$50=1,'Bonding Program'!$H$50&gt;'Bonding Program'!$C$8,BA$3='Bonding Program'!$H$50),'Bonding Program'!$T$50-'Bonding Program'!$U$50-'Bonding Program'!$Z$50,0)-IF(AND('Bonding Program'!$S$50=1,'Bonding Program'!$H$50&lt;='Bonding Program'!$C$8,BA$3=IF('Bonding Program'!$P$50&lt;&gt;"",'Bonding Program'!$P$50,'Bonding Program'!$C$8)),'Bonding Program'!$Z$50,0)+IF(AND('Bonding Program'!$P$50&lt;&gt;"",BA$3='Bonding Program'!$P$50,BA$3&lt;='Bonding Program'!$C$8),N('Bonding Program'!$O$50),0)</f>
        <v>0</v>
      </c>
      <c r="BB191" s="19" t="n">
        <f aca="false">IF(AND('Bonding Program'!$S$50=1,'Bonding Program'!$H$50&gt;'Bonding Program'!$C$8,BB$3='Bonding Program'!$H$50),'Bonding Program'!$T$50-'Bonding Program'!$U$50-'Bonding Program'!$Z$50,0)-IF(AND('Bonding Program'!$S$50=1,'Bonding Program'!$H$50&lt;='Bonding Program'!$C$8,BB$3=IF('Bonding Program'!$P$50&lt;&gt;"",'Bonding Program'!$P$50,'Bonding Program'!$C$8)),'Bonding Program'!$Z$50,0)+IF(AND('Bonding Program'!$P$50&lt;&gt;"",BB$3='Bonding Program'!$P$50,BB$3&lt;='Bonding Program'!$C$8),N('Bonding Program'!$O$50),0)</f>
        <v>0</v>
      </c>
      <c r="BC191" s="19" t="n">
        <f aca="false">IF(AND('Bonding Program'!$S$50=1,'Bonding Program'!$H$50&gt;'Bonding Program'!$C$8,BC$3='Bonding Program'!$H$50),'Bonding Program'!$T$50-'Bonding Program'!$U$50-'Bonding Program'!$Z$50,0)-IF(AND('Bonding Program'!$S$50=1,'Bonding Program'!$H$50&lt;='Bonding Program'!$C$8,BC$3=IF('Bonding Program'!$P$50&lt;&gt;"",'Bonding Program'!$P$50,'Bonding Program'!$C$8)),'Bonding Program'!$Z$50,0)+IF(AND('Bonding Program'!$P$50&lt;&gt;"",BC$3='Bonding Program'!$P$50,BC$3&lt;='Bonding Program'!$C$8),N('Bonding Program'!$O$50),0)</f>
        <v>0</v>
      </c>
      <c r="BD191" s="19" t="n">
        <f aca="false">IF(AND('Bonding Program'!$S$50=1,'Bonding Program'!$H$50&gt;'Bonding Program'!$C$8,BD$3='Bonding Program'!$H$50),'Bonding Program'!$T$50-'Bonding Program'!$U$50-'Bonding Program'!$Z$50,0)-IF(AND('Bonding Program'!$S$50=1,'Bonding Program'!$H$50&lt;='Bonding Program'!$C$8,BD$3=IF('Bonding Program'!$P$50&lt;&gt;"",'Bonding Program'!$P$50,'Bonding Program'!$C$8)),'Bonding Program'!$Z$50,0)+IF(AND('Bonding Program'!$P$50&lt;&gt;"",BD$3='Bonding Program'!$P$50,BD$3&lt;='Bonding Program'!$C$8),N('Bonding Program'!$O$50),0)</f>
        <v>0</v>
      </c>
      <c r="BE191" s="19" t="n">
        <f aca="false">IF(AND('Bonding Program'!$S$50=1,'Bonding Program'!$H$50&gt;'Bonding Program'!$C$8,BE$3='Bonding Program'!$H$50),'Bonding Program'!$T$50-'Bonding Program'!$U$50-'Bonding Program'!$Z$50,0)-IF(AND('Bonding Program'!$S$50=1,'Bonding Program'!$H$50&lt;='Bonding Program'!$C$8,BE$3=IF('Bonding Program'!$P$50&lt;&gt;"",'Bonding Program'!$P$50,'Bonding Program'!$C$8)),'Bonding Program'!$Z$50,0)+IF(AND('Bonding Program'!$P$50&lt;&gt;"",BE$3='Bonding Program'!$P$50,BE$3&lt;='Bonding Program'!$C$8),N('Bonding Program'!$O$50),0)</f>
        <v>0</v>
      </c>
      <c r="BF191" s="19" t="n">
        <f aca="false">IF(AND('Bonding Program'!$S$50=1,'Bonding Program'!$H$50&gt;'Bonding Program'!$C$8,BF$3='Bonding Program'!$H$50),'Bonding Program'!$T$50-'Bonding Program'!$U$50-'Bonding Program'!$Z$50,0)-IF(AND('Bonding Program'!$S$50=1,'Bonding Program'!$H$50&lt;='Bonding Program'!$C$8,BF$3=IF('Bonding Program'!$P$50&lt;&gt;"",'Bonding Program'!$P$50,'Bonding Program'!$C$8)),'Bonding Program'!$Z$50,0)+IF(AND('Bonding Program'!$P$50&lt;&gt;"",BF$3='Bonding Program'!$P$50,BF$3&lt;='Bonding Program'!$C$8),N('Bonding Program'!$O$50),0)</f>
        <v>0</v>
      </c>
      <c r="BG191" s="19" t="n">
        <f aca="false">IF(AND('Bonding Program'!$S$50=1,'Bonding Program'!$H$50&gt;'Bonding Program'!$C$8,BG$3='Bonding Program'!$H$50),'Bonding Program'!$T$50-'Bonding Program'!$U$50-'Bonding Program'!$Z$50,0)-IF(AND('Bonding Program'!$S$50=1,'Bonding Program'!$H$50&lt;='Bonding Program'!$C$8,BG$3=IF('Bonding Program'!$P$50&lt;&gt;"",'Bonding Program'!$P$50,'Bonding Program'!$C$8)),'Bonding Program'!$Z$50,0)+IF(AND('Bonding Program'!$P$50&lt;&gt;"",BG$3='Bonding Program'!$P$50,BG$3&lt;='Bonding Program'!$C$8),N('Bonding Program'!$O$50),0)</f>
        <v>0</v>
      </c>
      <c r="BH191" s="19" t="n">
        <f aca="false">IF(AND('Bonding Program'!$S$50=1,'Bonding Program'!$H$50&gt;'Bonding Program'!$C$8,BH$3='Bonding Program'!$H$50),'Bonding Program'!$T$50-'Bonding Program'!$U$50-'Bonding Program'!$Z$50,0)-IF(AND('Bonding Program'!$S$50=1,'Bonding Program'!$H$50&lt;='Bonding Program'!$C$8,BH$3=IF('Bonding Program'!$P$50&lt;&gt;"",'Bonding Program'!$P$50,'Bonding Program'!$C$8)),'Bonding Program'!$Z$50,0)+IF(AND('Bonding Program'!$P$50&lt;&gt;"",BH$3='Bonding Program'!$P$50,BH$3&lt;='Bonding Program'!$C$8),N('Bonding Program'!$O$50),0)</f>
        <v>0</v>
      </c>
      <c r="BI191" s="19" t="n">
        <f aca="false">IF(AND('Bonding Program'!$S$50=1,'Bonding Program'!$H$50&gt;'Bonding Program'!$C$8,BI$3='Bonding Program'!$H$50),'Bonding Program'!$T$50-'Bonding Program'!$U$50-'Bonding Program'!$Z$50,0)-IF(AND('Bonding Program'!$S$50=1,'Bonding Program'!$H$50&lt;='Bonding Program'!$C$8,BI$3=IF('Bonding Program'!$P$50&lt;&gt;"",'Bonding Program'!$P$50,'Bonding Program'!$C$8)),'Bonding Program'!$Z$50,0)+IF(AND('Bonding Program'!$P$50&lt;&gt;"",BI$3='Bonding Program'!$P$50,BI$3&lt;='Bonding Program'!$C$8),N('Bonding Program'!$O$50),0)</f>
        <v>0</v>
      </c>
      <c r="BJ191" s="19" t="n">
        <f aca="false">IF(AND('Bonding Program'!$S$50=1,'Bonding Program'!$H$50&gt;'Bonding Program'!$C$8,BJ$3='Bonding Program'!$H$50),'Bonding Program'!$T$50-'Bonding Program'!$U$50-'Bonding Program'!$Z$50,0)-IF(AND('Bonding Program'!$S$50=1,'Bonding Program'!$H$50&lt;='Bonding Program'!$C$8,BJ$3=IF('Bonding Program'!$P$50&lt;&gt;"",'Bonding Program'!$P$50,'Bonding Program'!$C$8)),'Bonding Program'!$Z$50,0)+IF(AND('Bonding Program'!$P$50&lt;&gt;"",BJ$3='Bonding Program'!$P$50,BJ$3&lt;='Bonding Program'!$C$8),N('Bonding Program'!$O$50),0)</f>
        <v>0</v>
      </c>
      <c r="BK191" s="19" t="n">
        <f aca="false">IF(AND('Bonding Program'!$S$50=1,'Bonding Program'!$H$50&gt;'Bonding Program'!$C$8,BK$3='Bonding Program'!$H$50),'Bonding Program'!$T$50-'Bonding Program'!$U$50-'Bonding Program'!$Z$50,0)-IF(AND('Bonding Program'!$S$50=1,'Bonding Program'!$H$50&lt;='Bonding Program'!$C$8,BK$3=IF('Bonding Program'!$P$50&lt;&gt;"",'Bonding Program'!$P$50,'Bonding Program'!$C$8)),'Bonding Program'!$Z$50,0)+IF(AND('Bonding Program'!$P$50&lt;&gt;"",BK$3='Bonding Program'!$P$50,BK$3&lt;='Bonding Program'!$C$8),N('Bonding Program'!$O$50),0)</f>
        <v>0</v>
      </c>
      <c r="BL191" s="19" t="n">
        <f aca="false">IF(AND('Bonding Program'!$S$50=1,'Bonding Program'!$H$50&gt;'Bonding Program'!$C$8,BL$3='Bonding Program'!$H$50),'Bonding Program'!$T$50-'Bonding Program'!$U$50-'Bonding Program'!$Z$50,0)-IF(AND('Bonding Program'!$S$50=1,'Bonding Program'!$H$50&lt;='Bonding Program'!$C$8,BL$3=IF('Bonding Program'!$P$50&lt;&gt;"",'Bonding Program'!$P$50,'Bonding Program'!$C$8)),'Bonding Program'!$Z$50,0)+IF(AND('Bonding Program'!$P$50&lt;&gt;"",BL$3='Bonding Program'!$P$50,BL$3&lt;='Bonding Program'!$C$8),N('Bonding Program'!$O$50),0)</f>
        <v>0</v>
      </c>
      <c r="BM191" s="19" t="n">
        <f aca="false">IF(AND('Bonding Program'!$S$50=1,'Bonding Program'!$H$50&gt;'Bonding Program'!$C$8,BM$3='Bonding Program'!$H$50),'Bonding Program'!$T$50-'Bonding Program'!$U$50-'Bonding Program'!$Z$50,0)-IF(AND('Bonding Program'!$S$50=1,'Bonding Program'!$H$50&lt;='Bonding Program'!$C$8,BM$3=IF('Bonding Program'!$P$50&lt;&gt;"",'Bonding Program'!$P$50,'Bonding Program'!$C$8)),'Bonding Program'!$Z$50,0)+IF(AND('Bonding Program'!$P$50&lt;&gt;"",BM$3='Bonding Program'!$P$50,BM$3&lt;='Bonding Program'!$C$8),N('Bonding Program'!$O$50),0)</f>
        <v>0</v>
      </c>
      <c r="BN191" s="19" t="n">
        <f aca="false">IF(AND('Bonding Program'!$S$50=1,'Bonding Program'!$H$50&gt;'Bonding Program'!$C$8,BN$3='Bonding Program'!$H$50),'Bonding Program'!$T$50-'Bonding Program'!$U$50-'Bonding Program'!$Z$50,0)-IF(AND('Bonding Program'!$S$50=1,'Bonding Program'!$H$50&lt;='Bonding Program'!$C$8,BN$3=IF('Bonding Program'!$P$50&lt;&gt;"",'Bonding Program'!$P$50,'Bonding Program'!$C$8)),'Bonding Program'!$Z$50,0)+IF(AND('Bonding Program'!$P$50&lt;&gt;"",BN$3='Bonding Program'!$P$50,BN$3&lt;='Bonding Program'!$C$8),N('Bonding Program'!$O$50),0)</f>
        <v>0</v>
      </c>
      <c r="BO191" s="19" t="n">
        <f aca="false">IF(AND('Bonding Program'!$S$50=1,'Bonding Program'!$H$50&gt;'Bonding Program'!$C$8,BO$3='Bonding Program'!$H$50),'Bonding Program'!$T$50-'Bonding Program'!$U$50-'Bonding Program'!$Z$50,0)-IF(AND('Bonding Program'!$S$50=1,'Bonding Program'!$H$50&lt;='Bonding Program'!$C$8,BO$3=IF('Bonding Program'!$P$50&lt;&gt;"",'Bonding Program'!$P$50,'Bonding Program'!$C$8)),'Bonding Program'!$Z$50,0)+IF(AND('Bonding Program'!$P$50&lt;&gt;"",BO$3='Bonding Program'!$P$50,BO$3&lt;='Bonding Program'!$C$8),N('Bonding Program'!$O$50),0)</f>
        <v>0</v>
      </c>
      <c r="BP191" s="19" t="n">
        <f aca="false">IF(AND('Bonding Program'!$S$50=1,'Bonding Program'!$H$50&gt;'Bonding Program'!$C$8,BP$3='Bonding Program'!$H$50),'Bonding Program'!$T$50-'Bonding Program'!$U$50-'Bonding Program'!$Z$50,0)-IF(AND('Bonding Program'!$S$50=1,'Bonding Program'!$H$50&lt;='Bonding Program'!$C$8,BP$3=IF('Bonding Program'!$P$50&lt;&gt;"",'Bonding Program'!$P$50,'Bonding Program'!$C$8)),'Bonding Program'!$Z$50,0)+IF(AND('Bonding Program'!$P$50&lt;&gt;"",BP$3='Bonding Program'!$P$50,BP$3&lt;='Bonding Program'!$C$8),N('Bonding Program'!$O$50),0)</f>
        <v>0</v>
      </c>
      <c r="BQ191" s="19" t="n">
        <f aca="false">IF(AND('Bonding Program'!$S$50=1,'Bonding Program'!$H$50&gt;'Bonding Program'!$C$8,BQ$3='Bonding Program'!$H$50),'Bonding Program'!$T$50-'Bonding Program'!$U$50-'Bonding Program'!$Z$50,0)-IF(AND('Bonding Program'!$S$50=1,'Bonding Program'!$H$50&lt;='Bonding Program'!$C$8,BQ$3=IF('Bonding Program'!$P$50&lt;&gt;"",'Bonding Program'!$P$50,'Bonding Program'!$C$8)),'Bonding Program'!$Z$50,0)+IF(AND('Bonding Program'!$P$50&lt;&gt;"",BQ$3='Bonding Program'!$P$50,BQ$3&lt;='Bonding Program'!$C$8),N('Bonding Program'!$O$50),0)</f>
        <v>0</v>
      </c>
      <c r="BR191" s="19" t="n">
        <f aca="false">IF(AND('Bonding Program'!$S$50=1,'Bonding Program'!$H$50&gt;'Bonding Program'!$C$8,BR$3='Bonding Program'!$H$50),'Bonding Program'!$T$50-'Bonding Program'!$U$50-'Bonding Program'!$Z$50,0)-IF(AND('Bonding Program'!$S$50=1,'Bonding Program'!$H$50&lt;='Bonding Program'!$C$8,BR$3=IF('Bonding Program'!$P$50&lt;&gt;"",'Bonding Program'!$P$50,'Bonding Program'!$C$8)),'Bonding Program'!$Z$50,0)+IF(AND('Bonding Program'!$P$50&lt;&gt;"",BR$3='Bonding Program'!$P$50,BR$3&lt;='Bonding Program'!$C$8),N('Bonding Program'!$O$50),0)</f>
        <v>0</v>
      </c>
      <c r="BS191" s="19" t="n">
        <f aca="false">IF(AND('Bonding Program'!$S$50=1,'Bonding Program'!$H$50&gt;'Bonding Program'!$C$8,BS$3='Bonding Program'!$H$50),'Bonding Program'!$T$50-'Bonding Program'!$U$50-'Bonding Program'!$Z$50,0)-IF(AND('Bonding Program'!$S$50=1,'Bonding Program'!$H$50&lt;='Bonding Program'!$C$8,BS$3=IF('Bonding Program'!$P$50&lt;&gt;"",'Bonding Program'!$P$50,'Bonding Program'!$C$8)),'Bonding Program'!$Z$50,0)+IF(AND('Bonding Program'!$P$50&lt;&gt;"",BS$3='Bonding Program'!$P$50,BS$3&lt;='Bonding Program'!$C$8),N('Bonding Program'!$O$50),0)</f>
        <v>0</v>
      </c>
      <c r="BT191" s="19" t="n">
        <f aca="false">IF(AND('Bonding Program'!$S$50=1,'Bonding Program'!$H$50&gt;'Bonding Program'!$C$8,BT$3='Bonding Program'!$H$50),'Bonding Program'!$T$50-'Bonding Program'!$U$50-'Bonding Program'!$Z$50,0)-IF(AND('Bonding Program'!$S$50=1,'Bonding Program'!$H$50&lt;='Bonding Program'!$C$8,BT$3=IF('Bonding Program'!$P$50&lt;&gt;"",'Bonding Program'!$P$50,'Bonding Program'!$C$8)),'Bonding Program'!$Z$50,0)+IF(AND('Bonding Program'!$P$50&lt;&gt;"",BT$3='Bonding Program'!$P$50,BT$3&lt;='Bonding Program'!$C$8),N('Bonding Program'!$O$50),0)</f>
        <v>0</v>
      </c>
      <c r="BU191" s="19" t="n">
        <f aca="false">IF(AND('Bonding Program'!$S$50=1,'Bonding Program'!$H$50&gt;'Bonding Program'!$C$8,BU$3='Bonding Program'!$H$50),'Bonding Program'!$T$50-'Bonding Program'!$U$50-'Bonding Program'!$Z$50,0)-IF(AND('Bonding Program'!$S$50=1,'Bonding Program'!$H$50&lt;='Bonding Program'!$C$8,BU$3=IF('Bonding Program'!$P$50&lt;&gt;"",'Bonding Program'!$P$50,'Bonding Program'!$C$8)),'Bonding Program'!$Z$50,0)+IF(AND('Bonding Program'!$P$50&lt;&gt;"",BU$3='Bonding Program'!$P$50,BU$3&lt;='Bonding Program'!$C$8),N('Bonding Program'!$O$50),0)</f>
        <v>0</v>
      </c>
      <c r="BV191" s="19" t="n">
        <f aca="false">IF(AND('Bonding Program'!$S$50=1,'Bonding Program'!$H$50&gt;'Bonding Program'!$C$8,BV$3='Bonding Program'!$H$50),'Bonding Program'!$T$50-'Bonding Program'!$U$50-'Bonding Program'!$Z$50,0)-IF(AND('Bonding Program'!$S$50=1,'Bonding Program'!$H$50&lt;='Bonding Program'!$C$8,BV$3=IF('Bonding Program'!$P$50&lt;&gt;"",'Bonding Program'!$P$50,'Bonding Program'!$C$8)),'Bonding Program'!$Z$50,0)+IF(AND('Bonding Program'!$P$50&lt;&gt;"",BV$3='Bonding Program'!$P$50,BV$3&lt;='Bonding Program'!$C$8),N('Bonding Program'!$O$50),0)</f>
        <v>0</v>
      </c>
      <c r="BW191" s="19" t="n">
        <f aca="false">IF(AND('Bonding Program'!$S$50=1,'Bonding Program'!$H$50&gt;'Bonding Program'!$C$8,BW$3='Bonding Program'!$H$50),'Bonding Program'!$T$50-'Bonding Program'!$U$50-'Bonding Program'!$Z$50,0)-IF(AND('Bonding Program'!$S$50=1,'Bonding Program'!$H$50&lt;='Bonding Program'!$C$8,BW$3=IF('Bonding Program'!$P$50&lt;&gt;"",'Bonding Program'!$P$50,'Bonding Program'!$C$8)),'Bonding Program'!$Z$50,0)+IF(AND('Bonding Program'!$P$50&lt;&gt;"",BW$3='Bonding Program'!$P$50,BW$3&lt;='Bonding Program'!$C$8),N('Bonding Program'!$O$50),0)</f>
        <v>0</v>
      </c>
      <c r="BX191" s="19" t="n">
        <f aca="false">IF(AND('Bonding Program'!$S$50=1,'Bonding Program'!$H$50&gt;'Bonding Program'!$C$8,BX$3='Bonding Program'!$H$50),'Bonding Program'!$T$50-'Bonding Program'!$U$50-'Bonding Program'!$Z$50,0)-IF(AND('Bonding Program'!$S$50=1,'Bonding Program'!$H$50&lt;='Bonding Program'!$C$8,BX$3=IF('Bonding Program'!$P$50&lt;&gt;"",'Bonding Program'!$P$50,'Bonding Program'!$C$8)),'Bonding Program'!$Z$50,0)+IF(AND('Bonding Program'!$P$50&lt;&gt;"",BX$3='Bonding Program'!$P$50,BX$3&lt;='Bonding Program'!$C$8),N('Bonding Program'!$O$50),0)</f>
        <v>0</v>
      </c>
      <c r="BY191" s="19" t="n">
        <f aca="false">IF(AND('Bonding Program'!$S$50=1,'Bonding Program'!$H$50&gt;'Bonding Program'!$C$8,BY$3='Bonding Program'!$H$50),'Bonding Program'!$T$50-'Bonding Program'!$U$50-'Bonding Program'!$Z$50,0)-IF(AND('Bonding Program'!$S$50=1,'Bonding Program'!$H$50&lt;='Bonding Program'!$C$8,BY$3=IF('Bonding Program'!$P$50&lt;&gt;"",'Bonding Program'!$P$50,'Bonding Program'!$C$8)),'Bonding Program'!$Z$50,0)+IF(AND('Bonding Program'!$P$50&lt;&gt;"",BY$3='Bonding Program'!$P$50,BY$3&lt;='Bonding Program'!$C$8),N('Bonding Program'!$O$50),0)</f>
        <v>0</v>
      </c>
      <c r="BZ191" s="19" t="n">
        <f aca="false">IF(AND('Bonding Program'!$S$50=1,'Bonding Program'!$H$50&gt;'Bonding Program'!$C$8,BZ$3='Bonding Program'!$H$50),'Bonding Program'!$T$50-'Bonding Program'!$U$50-'Bonding Program'!$Z$50,0)-IF(AND('Bonding Program'!$S$50=1,'Bonding Program'!$H$50&lt;='Bonding Program'!$C$8,BZ$3=IF('Bonding Program'!$P$50&lt;&gt;"",'Bonding Program'!$P$50,'Bonding Program'!$C$8)),'Bonding Program'!$Z$50,0)+IF(AND('Bonding Program'!$P$50&lt;&gt;"",BZ$3='Bonding Program'!$P$50,BZ$3&lt;='Bonding Program'!$C$8),N('Bonding Program'!$O$50),0)</f>
        <v>0</v>
      </c>
      <c r="CA191" s="19" t="n">
        <f aca="false">IF(AND('Bonding Program'!$S$50=1,'Bonding Program'!$H$50&gt;'Bonding Program'!$C$8,CA$3='Bonding Program'!$H$50),'Bonding Program'!$T$50-'Bonding Program'!$U$50-'Bonding Program'!$Z$50,0)-IF(AND('Bonding Program'!$S$50=1,'Bonding Program'!$H$50&lt;='Bonding Program'!$C$8,CA$3=IF('Bonding Program'!$P$50&lt;&gt;"",'Bonding Program'!$P$50,'Bonding Program'!$C$8)),'Bonding Program'!$Z$50,0)+IF(AND('Bonding Program'!$P$50&lt;&gt;"",CA$3='Bonding Program'!$P$50,CA$3&lt;='Bonding Program'!$C$8),N('Bonding Program'!$O$50),0)</f>
        <v>0</v>
      </c>
      <c r="CB191" s="19" t="n">
        <f aca="false">IF(AND('Bonding Program'!$S$50=1,'Bonding Program'!$H$50&gt;'Bonding Program'!$C$8,CB$3='Bonding Program'!$H$50),'Bonding Program'!$T$50-'Bonding Program'!$U$50-'Bonding Program'!$Z$50,0)-IF(AND('Bonding Program'!$S$50=1,'Bonding Program'!$H$50&lt;='Bonding Program'!$C$8,CB$3=IF('Bonding Program'!$P$50&lt;&gt;"",'Bonding Program'!$P$50,'Bonding Program'!$C$8)),'Bonding Program'!$Z$50,0)+IF(AND('Bonding Program'!$P$50&lt;&gt;"",CB$3='Bonding Program'!$P$50,CB$3&lt;='Bonding Program'!$C$8),N('Bonding Program'!$O$50),0)</f>
        <v>0</v>
      </c>
      <c r="CC191" s="19" t="n">
        <f aca="false">IF(AND('Bonding Program'!$S$50=1,'Bonding Program'!$H$50&gt;'Bonding Program'!$C$8,CC$3='Bonding Program'!$H$50),'Bonding Program'!$T$50-'Bonding Program'!$U$50-'Bonding Program'!$Z$50,0)-IF(AND('Bonding Program'!$S$50=1,'Bonding Program'!$H$50&lt;='Bonding Program'!$C$8,CC$3=IF('Bonding Program'!$P$50&lt;&gt;"",'Bonding Program'!$P$50,'Bonding Program'!$C$8)),'Bonding Program'!$Z$50,0)+IF(AND('Bonding Program'!$P$50&lt;&gt;"",CC$3='Bonding Program'!$P$50,CC$3&lt;='Bonding Program'!$C$8),N('Bonding Program'!$O$50),0)</f>
        <v>0</v>
      </c>
      <c r="CD191" s="19" t="n">
        <f aca="false">IF(AND('Bonding Program'!$S$50=1,'Bonding Program'!$H$50&gt;'Bonding Program'!$C$8,CD$3='Bonding Program'!$H$50),'Bonding Program'!$T$50-'Bonding Program'!$U$50-'Bonding Program'!$Z$50,0)-IF(AND('Bonding Program'!$S$50=1,'Bonding Program'!$H$50&lt;='Bonding Program'!$C$8,CD$3=IF('Bonding Program'!$P$50&lt;&gt;"",'Bonding Program'!$P$50,'Bonding Program'!$C$8)),'Bonding Program'!$Z$50,0)+IF(AND('Bonding Program'!$P$50&lt;&gt;"",CD$3='Bonding Program'!$P$50,CD$3&lt;='Bonding Program'!$C$8),N('Bonding Program'!$O$50),0)</f>
        <v>0</v>
      </c>
      <c r="CE191" s="19" t="n">
        <f aca="false">IF(AND('Bonding Program'!$S$50=1,'Bonding Program'!$H$50&gt;'Bonding Program'!$C$8,CE$3='Bonding Program'!$H$50),'Bonding Program'!$T$50-'Bonding Program'!$U$50-'Bonding Program'!$Z$50,0)-IF(AND('Bonding Program'!$S$50=1,'Bonding Program'!$H$50&lt;='Bonding Program'!$C$8,CE$3=IF('Bonding Program'!$P$50&lt;&gt;"",'Bonding Program'!$P$50,'Bonding Program'!$C$8)),'Bonding Program'!$Z$50,0)+IF(AND('Bonding Program'!$P$50&lt;&gt;"",CE$3='Bonding Program'!$P$50,CE$3&lt;='Bonding Program'!$C$8),N('Bonding Program'!$O$50),0)</f>
        <v>0</v>
      </c>
      <c r="CF191" s="19" t="n">
        <f aca="false">IF(AND('Bonding Program'!$S$50=1,'Bonding Program'!$H$50&gt;'Bonding Program'!$C$8,CF$3='Bonding Program'!$H$50),'Bonding Program'!$T$50-'Bonding Program'!$U$50-'Bonding Program'!$Z$50,0)-IF(AND('Bonding Program'!$S$50=1,'Bonding Program'!$H$50&lt;='Bonding Program'!$C$8,CF$3=IF('Bonding Program'!$P$50&lt;&gt;"",'Bonding Program'!$P$50,'Bonding Program'!$C$8)),'Bonding Program'!$Z$50,0)+IF(AND('Bonding Program'!$P$50&lt;&gt;"",CF$3='Bonding Program'!$P$50,CF$3&lt;='Bonding Program'!$C$8),N('Bonding Program'!$O$50),0)</f>
        <v>0</v>
      </c>
      <c r="CG191" s="19" t="n">
        <f aca="false">IF(AND('Bonding Program'!$S$50=1,'Bonding Program'!$H$50&gt;'Bonding Program'!$C$8,CG$3='Bonding Program'!$H$50),'Bonding Program'!$T$50-'Bonding Program'!$U$50-'Bonding Program'!$Z$50,0)-IF(AND('Bonding Program'!$S$50=1,'Bonding Program'!$H$50&lt;='Bonding Program'!$C$8,CG$3=IF('Bonding Program'!$P$50&lt;&gt;"",'Bonding Program'!$P$50,'Bonding Program'!$C$8)),'Bonding Program'!$Z$50,0)+IF(AND('Bonding Program'!$P$50&lt;&gt;"",CG$3='Bonding Program'!$P$50,CG$3&lt;='Bonding Program'!$C$8),N('Bonding Program'!$O$50),0)</f>
        <v>0</v>
      </c>
      <c r="CH191" s="19" t="n">
        <f aca="false">IF(AND('Bonding Program'!$S$50=1,'Bonding Program'!$H$50&gt;'Bonding Program'!$C$8,CH$3='Bonding Program'!$H$50),'Bonding Program'!$T$50-'Bonding Program'!$U$50-'Bonding Program'!$Z$50,0)-IF(AND('Bonding Program'!$S$50=1,'Bonding Program'!$H$50&lt;='Bonding Program'!$C$8,CH$3=IF('Bonding Program'!$P$50&lt;&gt;"",'Bonding Program'!$P$50,'Bonding Program'!$C$8)),'Bonding Program'!$Z$50,0)+IF(AND('Bonding Program'!$P$50&lt;&gt;"",CH$3='Bonding Program'!$P$50,CH$3&lt;='Bonding Program'!$C$8),N('Bonding Program'!$O$50),0)</f>
        <v>0</v>
      </c>
      <c r="CI191" s="19" t="n">
        <f aca="false">IF(AND('Bonding Program'!$S$50=1,'Bonding Program'!$H$50&gt;'Bonding Program'!$C$8,CI$3='Bonding Program'!$H$50),'Bonding Program'!$T$50-'Bonding Program'!$U$50-'Bonding Program'!$Z$50,0)-IF(AND('Bonding Program'!$S$50=1,'Bonding Program'!$H$50&lt;='Bonding Program'!$C$8,CI$3=IF('Bonding Program'!$P$50&lt;&gt;"",'Bonding Program'!$P$50,'Bonding Program'!$C$8)),'Bonding Program'!$Z$50,0)+IF(AND('Bonding Program'!$P$50&lt;&gt;"",CI$3='Bonding Program'!$P$50,CI$3&lt;='Bonding Program'!$C$8),N('Bonding Program'!$O$50),0)</f>
        <v>0</v>
      </c>
      <c r="CJ191" s="19" t="n">
        <f aca="false">IF(AND('Bonding Program'!$S$50=1,'Bonding Program'!$H$50&gt;'Bonding Program'!$C$8,CJ$3='Bonding Program'!$H$50),'Bonding Program'!$T$50-'Bonding Program'!$U$50-'Bonding Program'!$Z$50,0)-IF(AND('Bonding Program'!$S$50=1,'Bonding Program'!$H$50&lt;='Bonding Program'!$C$8,CJ$3=IF('Bonding Program'!$P$50&lt;&gt;"",'Bonding Program'!$P$50,'Bonding Program'!$C$8)),'Bonding Program'!$Z$50,0)+IF(AND('Bonding Program'!$P$50&lt;&gt;"",CJ$3='Bonding Program'!$P$50,CJ$3&lt;='Bonding Program'!$C$8),N('Bonding Program'!$O$50),0)</f>
        <v>0</v>
      </c>
      <c r="CK191" s="19" t="n">
        <f aca="false">IF(AND('Bonding Program'!$S$50=1,'Bonding Program'!$H$50&gt;'Bonding Program'!$C$8,CK$3='Bonding Program'!$H$50),'Bonding Program'!$T$50-'Bonding Program'!$U$50-'Bonding Program'!$Z$50,0)-IF(AND('Bonding Program'!$S$50=1,'Bonding Program'!$H$50&lt;='Bonding Program'!$C$8,CK$3=IF('Bonding Program'!$P$50&lt;&gt;"",'Bonding Program'!$P$50,'Bonding Program'!$C$8)),'Bonding Program'!$Z$50,0)+IF(AND('Bonding Program'!$P$50&lt;&gt;"",CK$3='Bonding Program'!$P$50,CK$3&lt;='Bonding Program'!$C$8),N('Bonding Program'!$O$50),0)</f>
        <v>0</v>
      </c>
      <c r="CL191" s="19" t="n">
        <f aca="false">IF(AND('Bonding Program'!$S$50=1,'Bonding Program'!$H$50&gt;'Bonding Program'!$C$8,CL$3='Bonding Program'!$H$50),'Bonding Program'!$T$50-'Bonding Program'!$U$50-'Bonding Program'!$Z$50,0)-IF(AND('Bonding Program'!$S$50=1,'Bonding Program'!$H$50&lt;='Bonding Program'!$C$8,CL$3=IF('Bonding Program'!$P$50&lt;&gt;"",'Bonding Program'!$P$50,'Bonding Program'!$C$8)),'Bonding Program'!$Z$50,0)+IF(AND('Bonding Program'!$P$50&lt;&gt;"",CL$3='Bonding Program'!$P$50,CL$3&lt;='Bonding Program'!$C$8),N('Bonding Program'!$O$50),0)</f>
        <v>0</v>
      </c>
      <c r="CM191" s="19" t="n">
        <f aca="false">IF(AND('Bonding Program'!$S$50=1,'Bonding Program'!$H$50&gt;'Bonding Program'!$C$8,CM$3='Bonding Program'!$H$50),'Bonding Program'!$T$50-'Bonding Program'!$U$50-'Bonding Program'!$Z$50,0)-IF(AND('Bonding Program'!$S$50=1,'Bonding Program'!$H$50&lt;='Bonding Program'!$C$8,CM$3=IF('Bonding Program'!$P$50&lt;&gt;"",'Bonding Program'!$P$50,'Bonding Program'!$C$8)),'Bonding Program'!$Z$50,0)+IF(AND('Bonding Program'!$P$50&lt;&gt;"",CM$3='Bonding Program'!$P$50,CM$3&lt;='Bonding Program'!$C$8),N('Bonding Program'!$O$50),0)</f>
        <v>0</v>
      </c>
      <c r="CN191" s="19" t="n">
        <f aca="false">IF(AND('Bonding Program'!$S$50=1,'Bonding Program'!$H$50&gt;'Bonding Program'!$C$8,CN$3='Bonding Program'!$H$50),'Bonding Program'!$T$50-'Bonding Program'!$U$50-'Bonding Program'!$Z$50,0)-IF(AND('Bonding Program'!$S$50=1,'Bonding Program'!$H$50&lt;='Bonding Program'!$C$8,CN$3=IF('Bonding Program'!$P$50&lt;&gt;"",'Bonding Program'!$P$50,'Bonding Program'!$C$8)),'Bonding Program'!$Z$50,0)+IF(AND('Bonding Program'!$P$50&lt;&gt;"",CN$3='Bonding Program'!$P$50,CN$3&lt;='Bonding Program'!$C$8),N('Bonding Program'!$O$50),0)</f>
        <v>0</v>
      </c>
      <c r="CO191" s="19" t="n">
        <f aca="false">IF(AND('Bonding Program'!$S$50=1,'Bonding Program'!$H$50&gt;'Bonding Program'!$C$8,CO$3='Bonding Program'!$H$50),'Bonding Program'!$T$50-'Bonding Program'!$U$50-'Bonding Program'!$Z$50,0)-IF(AND('Bonding Program'!$S$50=1,'Bonding Program'!$H$50&lt;='Bonding Program'!$C$8,CO$3=IF('Bonding Program'!$P$50&lt;&gt;"",'Bonding Program'!$P$50,'Bonding Program'!$C$8)),'Bonding Program'!$Z$50,0)+IF(AND('Bonding Program'!$P$50&lt;&gt;"",CO$3='Bonding Program'!$P$50,CO$3&lt;='Bonding Program'!$C$8),N('Bonding Program'!$O$50),0)</f>
        <v>0</v>
      </c>
      <c r="CP191" s="19" t="n">
        <f aca="false">IF(AND('Bonding Program'!$S$50=1,'Bonding Program'!$H$50&gt;'Bonding Program'!$C$8,CP$3='Bonding Program'!$H$50),'Bonding Program'!$T$50-'Bonding Program'!$U$50-'Bonding Program'!$Z$50,0)-IF(AND('Bonding Program'!$S$50=1,'Bonding Program'!$H$50&lt;='Bonding Program'!$C$8,CP$3=IF('Bonding Program'!$P$50&lt;&gt;"",'Bonding Program'!$P$50,'Bonding Program'!$C$8)),'Bonding Program'!$Z$50,0)+IF(AND('Bonding Program'!$P$50&lt;&gt;"",CP$3='Bonding Program'!$P$50,CP$3&lt;='Bonding Program'!$C$8),N('Bonding Program'!$O$50),0)</f>
        <v>0</v>
      </c>
      <c r="CQ191" s="19" t="n">
        <f aca="false">IF(AND('Bonding Program'!$S$50=1,'Bonding Program'!$H$50&gt;'Bonding Program'!$C$8,CQ$3='Bonding Program'!$H$50),'Bonding Program'!$T$50-'Bonding Program'!$U$50-'Bonding Program'!$Z$50,0)-IF(AND('Bonding Program'!$S$50=1,'Bonding Program'!$H$50&lt;='Bonding Program'!$C$8,CQ$3=IF('Bonding Program'!$P$50&lt;&gt;"",'Bonding Program'!$P$50,'Bonding Program'!$C$8)),'Bonding Program'!$Z$50,0)+IF(AND('Bonding Program'!$P$50&lt;&gt;"",CQ$3='Bonding Program'!$P$50,CQ$3&lt;='Bonding Program'!$C$8),N('Bonding Program'!$O$50),0)</f>
        <v>0</v>
      </c>
      <c r="CR191" s="19" t="n">
        <f aca="false">IF(AND('Bonding Program'!$S$50=1,'Bonding Program'!$H$50&gt;'Bonding Program'!$C$8,CR$3='Bonding Program'!$H$50),'Bonding Program'!$T$50-'Bonding Program'!$U$50-'Bonding Program'!$Z$50,0)-IF(AND('Bonding Program'!$S$50=1,'Bonding Program'!$H$50&lt;='Bonding Program'!$C$8,CR$3=IF('Bonding Program'!$P$50&lt;&gt;"",'Bonding Program'!$P$50,'Bonding Program'!$C$8)),'Bonding Program'!$Z$50,0)+IF(AND('Bonding Program'!$P$50&lt;&gt;"",CR$3='Bonding Program'!$P$50,CR$3&lt;='Bonding Program'!$C$8),N('Bonding Program'!$O$50),0)</f>
        <v>0</v>
      </c>
      <c r="CS191" s="19" t="n">
        <f aca="false">IF(AND('Bonding Program'!$S$50=1,'Bonding Program'!$H$50&gt;'Bonding Program'!$C$8,CS$3='Bonding Program'!$H$50),'Bonding Program'!$T$50-'Bonding Program'!$U$50-'Bonding Program'!$Z$50,0)-IF(AND('Bonding Program'!$S$50=1,'Bonding Program'!$H$50&lt;='Bonding Program'!$C$8,CS$3=IF('Bonding Program'!$P$50&lt;&gt;"",'Bonding Program'!$P$50,'Bonding Program'!$C$8)),'Bonding Program'!$Z$50,0)+IF(AND('Bonding Program'!$P$50&lt;&gt;"",CS$3='Bonding Program'!$P$50,CS$3&lt;='Bonding Program'!$C$8),N('Bonding Program'!$O$50),0)</f>
        <v>0</v>
      </c>
      <c r="CT191" s="19" t="n">
        <f aca="false">IF(AND('Bonding Program'!$S$50=1,'Bonding Program'!$H$50&gt;'Bonding Program'!$C$8,CT$3='Bonding Program'!$H$50),'Bonding Program'!$T$50-'Bonding Program'!$U$50-'Bonding Program'!$Z$50,0)-IF(AND('Bonding Program'!$S$50=1,'Bonding Program'!$H$50&lt;='Bonding Program'!$C$8,CT$3=IF('Bonding Program'!$P$50&lt;&gt;"",'Bonding Program'!$P$50,'Bonding Program'!$C$8)),'Bonding Program'!$Z$50,0)+IF(AND('Bonding Program'!$P$50&lt;&gt;"",CT$3='Bonding Program'!$P$50,CT$3&lt;='Bonding Program'!$C$8),N('Bonding Program'!$O$50),0)</f>
        <v>0</v>
      </c>
      <c r="CU191" s="19" t="n">
        <f aca="false">IF(AND('Bonding Program'!$S$50=1,'Bonding Program'!$H$50&gt;'Bonding Program'!$C$8,CU$3='Bonding Program'!$H$50),'Bonding Program'!$T$50-'Bonding Program'!$U$50-'Bonding Program'!$Z$50,0)-IF(AND('Bonding Program'!$S$50=1,'Bonding Program'!$H$50&lt;='Bonding Program'!$C$8,CU$3=IF('Bonding Program'!$P$50&lt;&gt;"",'Bonding Program'!$P$50,'Bonding Program'!$C$8)),'Bonding Program'!$Z$50,0)+IF(AND('Bonding Program'!$P$50&lt;&gt;"",CU$3='Bonding Program'!$P$50,CU$3&lt;='Bonding Program'!$C$8),N('Bonding Program'!$O$50),0)</f>
        <v>0</v>
      </c>
      <c r="CV191" s="19" t="n">
        <f aca="false">IF(AND('Bonding Program'!$S$50=1,'Bonding Program'!$H$50&gt;'Bonding Program'!$C$8,CV$3='Bonding Program'!$H$50),'Bonding Program'!$T$50-'Bonding Program'!$U$50-'Bonding Program'!$Z$50,0)-IF(AND('Bonding Program'!$S$50=1,'Bonding Program'!$H$50&lt;='Bonding Program'!$C$8,CV$3=IF('Bonding Program'!$P$50&lt;&gt;"",'Bonding Program'!$P$50,'Bonding Program'!$C$8)),'Bonding Program'!$Z$50,0)+IF(AND('Bonding Program'!$P$50&lt;&gt;"",CV$3='Bonding Program'!$P$50,CV$3&lt;='Bonding Program'!$C$8),N('Bonding Program'!$O$50),0)</f>
        <v>0</v>
      </c>
      <c r="CW191" s="19" t="n">
        <f aca="false">IF(AND('Bonding Program'!$S$50=1,'Bonding Program'!$H$50&gt;'Bonding Program'!$C$8,CW$3='Bonding Program'!$H$50),'Bonding Program'!$T$50-'Bonding Program'!$U$50-'Bonding Program'!$Z$50,0)-IF(AND('Bonding Program'!$S$50=1,'Bonding Program'!$H$50&lt;='Bonding Program'!$C$8,CW$3=IF('Bonding Program'!$P$50&lt;&gt;"",'Bonding Program'!$P$50,'Bonding Program'!$C$8)),'Bonding Program'!$Z$50,0)+IF(AND('Bonding Program'!$P$50&lt;&gt;"",CW$3='Bonding Program'!$P$50,CW$3&lt;='Bonding Program'!$C$8),N('Bonding Program'!$O$50),0)</f>
        <v>0</v>
      </c>
      <c r="CX191" s="19" t="n">
        <f aca="false">IF(AND('Bonding Program'!$S$50=1,'Bonding Program'!$H$50&gt;'Bonding Program'!$C$8,CX$3='Bonding Program'!$H$50),'Bonding Program'!$T$50-'Bonding Program'!$U$50-'Bonding Program'!$Z$50,0)-IF(AND('Bonding Program'!$S$50=1,'Bonding Program'!$H$50&lt;='Bonding Program'!$C$8,CX$3=IF('Bonding Program'!$P$50&lt;&gt;"",'Bonding Program'!$P$50,'Bonding Program'!$C$8)),'Bonding Program'!$Z$50,0)+IF(AND('Bonding Program'!$P$50&lt;&gt;"",CX$3='Bonding Program'!$P$50,CX$3&lt;='Bonding Program'!$C$8),N('Bonding Program'!$O$50),0)</f>
        <v>0</v>
      </c>
      <c r="CY191" s="19" t="n">
        <f aca="false">IF(AND('Bonding Program'!$S$50=1,'Bonding Program'!$H$50&gt;'Bonding Program'!$C$8,CY$3='Bonding Program'!$H$50),'Bonding Program'!$T$50-'Bonding Program'!$U$50-'Bonding Program'!$Z$50,0)-IF(AND('Bonding Program'!$S$50=1,'Bonding Program'!$H$50&lt;='Bonding Program'!$C$8,CY$3=IF('Bonding Program'!$P$50&lt;&gt;"",'Bonding Program'!$P$50,'Bonding Program'!$C$8)),'Bonding Program'!$Z$50,0)+IF(AND('Bonding Program'!$P$50&lt;&gt;"",CY$3='Bonding Program'!$P$50,CY$3&lt;='Bonding Program'!$C$8),N('Bonding Program'!$O$50),0)</f>
        <v>0</v>
      </c>
      <c r="CZ191" s="19" t="n">
        <f aca="false">IF(AND('Bonding Program'!$S$50=1,'Bonding Program'!$H$50&gt;'Bonding Program'!$C$8,CZ$3='Bonding Program'!$H$50),'Bonding Program'!$T$50-'Bonding Program'!$U$50-'Bonding Program'!$Z$50,0)-IF(AND('Bonding Program'!$S$50=1,'Bonding Program'!$H$50&lt;='Bonding Program'!$C$8,CZ$3=IF('Bonding Program'!$P$50&lt;&gt;"",'Bonding Program'!$P$50,'Bonding Program'!$C$8)),'Bonding Program'!$Z$50,0)+IF(AND('Bonding Program'!$P$50&lt;&gt;"",CZ$3='Bonding Program'!$P$50,CZ$3&lt;='Bonding Program'!$C$8),N('Bonding Program'!$O$50),0)</f>
        <v>0</v>
      </c>
      <c r="DA191" s="19" t="n">
        <f aca="false">IF(AND('Bonding Program'!$S$50=1,'Bonding Program'!$H$50&gt;'Bonding Program'!$C$8,DA$3='Bonding Program'!$H$50),'Bonding Program'!$T$50-'Bonding Program'!$U$50-'Bonding Program'!$Z$50,0)-IF(AND('Bonding Program'!$S$50=1,'Bonding Program'!$H$50&lt;='Bonding Program'!$C$8,DA$3=IF('Bonding Program'!$P$50&lt;&gt;"",'Bonding Program'!$P$50,'Bonding Program'!$C$8)),'Bonding Program'!$Z$50,0)+IF(AND('Bonding Program'!$P$50&lt;&gt;"",DA$3='Bonding Program'!$P$50,DA$3&lt;='Bonding Program'!$C$8),N('Bonding Program'!$O$50),0)</f>
        <v>0</v>
      </c>
      <c r="DB191" s="19" t="n">
        <f aca="false">IF(AND('Bonding Program'!$S$50=1,'Bonding Program'!$H$50&gt;'Bonding Program'!$C$8,DB$3='Bonding Program'!$H$50),'Bonding Program'!$T$50-'Bonding Program'!$U$50-'Bonding Program'!$Z$50,0)-IF(AND('Bonding Program'!$S$50=1,'Bonding Program'!$H$50&lt;='Bonding Program'!$C$8,DB$3=IF('Bonding Program'!$P$50&lt;&gt;"",'Bonding Program'!$P$50,'Bonding Program'!$C$8)),'Bonding Program'!$Z$50,0)+IF(AND('Bonding Program'!$P$50&lt;&gt;"",DB$3='Bonding Program'!$P$50,DB$3&lt;='Bonding Program'!$C$8),N('Bonding Program'!$O$50),0)</f>
        <v>0</v>
      </c>
      <c r="DC191" s="19" t="n">
        <f aca="false">IF(AND('Bonding Program'!$S$50=1,'Bonding Program'!$H$50&gt;'Bonding Program'!$C$8,DC$3='Bonding Program'!$H$50),'Bonding Program'!$T$50-'Bonding Program'!$U$50-'Bonding Program'!$Z$50,0)-IF(AND('Bonding Program'!$S$50=1,'Bonding Program'!$H$50&lt;='Bonding Program'!$C$8,DC$3=IF('Bonding Program'!$P$50&lt;&gt;"",'Bonding Program'!$P$50,'Bonding Program'!$C$8)),'Bonding Program'!$Z$50,0)+IF(AND('Bonding Program'!$P$50&lt;&gt;"",DC$3='Bonding Program'!$P$50,DC$3&lt;='Bonding Program'!$C$8),N('Bonding Program'!$O$50),0)</f>
        <v>0</v>
      </c>
      <c r="DD191" s="19" t="n">
        <f aca="false">IF(AND('Bonding Program'!$S$50=1,'Bonding Program'!$H$50&gt;'Bonding Program'!$C$8,DD$3='Bonding Program'!$H$50),'Bonding Program'!$T$50-'Bonding Program'!$U$50-'Bonding Program'!$Z$50,0)-IF(AND('Bonding Program'!$S$50=1,'Bonding Program'!$H$50&lt;='Bonding Program'!$C$8,DD$3=IF('Bonding Program'!$P$50&lt;&gt;"",'Bonding Program'!$P$50,'Bonding Program'!$C$8)),'Bonding Program'!$Z$50,0)+IF(AND('Bonding Program'!$P$50&lt;&gt;"",DD$3='Bonding Program'!$P$50,DD$3&lt;='Bonding Program'!$C$8),N('Bonding Program'!$O$50),0)</f>
        <v>0</v>
      </c>
      <c r="DE191" s="19" t="n">
        <f aca="false">IF(AND('Bonding Program'!$S$50=1,'Bonding Program'!$H$50&gt;'Bonding Program'!$C$8,DE$3='Bonding Program'!$H$50),'Bonding Program'!$T$50-'Bonding Program'!$U$50-'Bonding Program'!$Z$50,0)-IF(AND('Bonding Program'!$S$50=1,'Bonding Program'!$H$50&lt;='Bonding Program'!$C$8,DE$3=IF('Bonding Program'!$P$50&lt;&gt;"",'Bonding Program'!$P$50,'Bonding Program'!$C$8)),'Bonding Program'!$Z$50,0)+IF(AND('Bonding Program'!$P$50&lt;&gt;"",DE$3='Bonding Program'!$P$50,DE$3&lt;='Bonding Program'!$C$8),N('Bonding Program'!$O$50),0)</f>
        <v>0</v>
      </c>
    </row>
    <row r="192" customFormat="false" ht="15" hidden="false" customHeight="true" outlineLevel="1" collapsed="false">
      <c r="A192" s="28" t="s">
        <v>47</v>
      </c>
      <c r="B192" s="19" t="n">
        <f aca="false">IF(AND('Bonding Program'!$S$51=1,'Bonding Program'!$H$51&gt;'Bonding Program'!$C$8,B$3='Bonding Program'!$H$51),'Bonding Program'!$T$51-'Bonding Program'!$U$51-'Bonding Program'!$Z$51,0)-IF(AND('Bonding Program'!$S$51=1,'Bonding Program'!$H$51&lt;='Bonding Program'!$C$8,B$3=IF('Bonding Program'!$P$51&lt;&gt;"",'Bonding Program'!$P$51,'Bonding Program'!$C$8)),'Bonding Program'!$Z$51,0)+IF(AND('Bonding Program'!$P$51&lt;&gt;"",B$3='Bonding Program'!$P$51,B$3&lt;='Bonding Program'!$C$8),N('Bonding Program'!$O$51),0)</f>
        <v>0</v>
      </c>
      <c r="C192" s="19" t="n">
        <f aca="false">IF(AND('Bonding Program'!$S$51=1,'Bonding Program'!$H$51&gt;'Bonding Program'!$C$8,C$3='Bonding Program'!$H$51),'Bonding Program'!$T$51-'Bonding Program'!$U$51-'Bonding Program'!$Z$51,0)-IF(AND('Bonding Program'!$S$51=1,'Bonding Program'!$H$51&lt;='Bonding Program'!$C$8,C$3=IF('Bonding Program'!$P$51&lt;&gt;"",'Bonding Program'!$P$51,'Bonding Program'!$C$8)),'Bonding Program'!$Z$51,0)+IF(AND('Bonding Program'!$P$51&lt;&gt;"",C$3='Bonding Program'!$P$51,C$3&lt;='Bonding Program'!$C$8),N('Bonding Program'!$O$51),0)</f>
        <v>0</v>
      </c>
      <c r="D192" s="19" t="n">
        <f aca="false">IF(AND('Bonding Program'!$S$51=1,'Bonding Program'!$H$51&gt;'Bonding Program'!$C$8,D$3='Bonding Program'!$H$51),'Bonding Program'!$T$51-'Bonding Program'!$U$51-'Bonding Program'!$Z$51,0)-IF(AND('Bonding Program'!$S$51=1,'Bonding Program'!$H$51&lt;='Bonding Program'!$C$8,D$3=IF('Bonding Program'!$P$51&lt;&gt;"",'Bonding Program'!$P$51,'Bonding Program'!$C$8)),'Bonding Program'!$Z$51,0)+IF(AND('Bonding Program'!$P$51&lt;&gt;"",D$3='Bonding Program'!$P$51,D$3&lt;='Bonding Program'!$C$8),N('Bonding Program'!$O$51),0)</f>
        <v>0</v>
      </c>
      <c r="E192" s="19" t="n">
        <f aca="false">IF(AND('Bonding Program'!$S$51=1,'Bonding Program'!$H$51&gt;'Bonding Program'!$C$8,E$3='Bonding Program'!$H$51),'Bonding Program'!$T$51-'Bonding Program'!$U$51-'Bonding Program'!$Z$51,0)-IF(AND('Bonding Program'!$S$51=1,'Bonding Program'!$H$51&lt;='Bonding Program'!$C$8,E$3=IF('Bonding Program'!$P$51&lt;&gt;"",'Bonding Program'!$P$51,'Bonding Program'!$C$8)),'Bonding Program'!$Z$51,0)+IF(AND('Bonding Program'!$P$51&lt;&gt;"",E$3='Bonding Program'!$P$51,E$3&lt;='Bonding Program'!$C$8),N('Bonding Program'!$O$51),0)</f>
        <v>0</v>
      </c>
      <c r="F192" s="19" t="n">
        <f aca="false">IF(AND('Bonding Program'!$S$51=1,'Bonding Program'!$H$51&gt;'Bonding Program'!$C$8,F$3='Bonding Program'!$H$51),'Bonding Program'!$T$51-'Bonding Program'!$U$51-'Bonding Program'!$Z$51,0)-IF(AND('Bonding Program'!$S$51=1,'Bonding Program'!$H$51&lt;='Bonding Program'!$C$8,F$3=IF('Bonding Program'!$P$51&lt;&gt;"",'Bonding Program'!$P$51,'Bonding Program'!$C$8)),'Bonding Program'!$Z$51,0)+IF(AND('Bonding Program'!$P$51&lt;&gt;"",F$3='Bonding Program'!$P$51,F$3&lt;='Bonding Program'!$C$8),N('Bonding Program'!$O$51),0)</f>
        <v>0</v>
      </c>
      <c r="G192" s="19" t="n">
        <f aca="false">IF(AND('Bonding Program'!$S$51=1,'Bonding Program'!$H$51&gt;'Bonding Program'!$C$8,G$3='Bonding Program'!$H$51),'Bonding Program'!$T$51-'Bonding Program'!$U$51-'Bonding Program'!$Z$51,0)-IF(AND('Bonding Program'!$S$51=1,'Bonding Program'!$H$51&lt;='Bonding Program'!$C$8,G$3=IF('Bonding Program'!$P$51&lt;&gt;"",'Bonding Program'!$P$51,'Bonding Program'!$C$8)),'Bonding Program'!$Z$51,0)+IF(AND('Bonding Program'!$P$51&lt;&gt;"",G$3='Bonding Program'!$P$51,G$3&lt;='Bonding Program'!$C$8),N('Bonding Program'!$O$51),0)</f>
        <v>0</v>
      </c>
      <c r="H192" s="19" t="n">
        <f aca="false">IF(AND('Bonding Program'!$S$51=1,'Bonding Program'!$H$51&gt;'Bonding Program'!$C$8,H$3='Bonding Program'!$H$51),'Bonding Program'!$T$51-'Bonding Program'!$U$51-'Bonding Program'!$Z$51,0)-IF(AND('Bonding Program'!$S$51=1,'Bonding Program'!$H$51&lt;='Bonding Program'!$C$8,H$3=IF('Bonding Program'!$P$51&lt;&gt;"",'Bonding Program'!$P$51,'Bonding Program'!$C$8)),'Bonding Program'!$Z$51,0)+IF(AND('Bonding Program'!$P$51&lt;&gt;"",H$3='Bonding Program'!$P$51,H$3&lt;='Bonding Program'!$C$8),N('Bonding Program'!$O$51),0)</f>
        <v>0</v>
      </c>
      <c r="I192" s="19" t="n">
        <f aca="false">IF(AND('Bonding Program'!$S$51=1,'Bonding Program'!$H$51&gt;'Bonding Program'!$C$8,I$3='Bonding Program'!$H$51),'Bonding Program'!$T$51-'Bonding Program'!$U$51-'Bonding Program'!$Z$51,0)-IF(AND('Bonding Program'!$S$51=1,'Bonding Program'!$H$51&lt;='Bonding Program'!$C$8,I$3=IF('Bonding Program'!$P$51&lt;&gt;"",'Bonding Program'!$P$51,'Bonding Program'!$C$8)),'Bonding Program'!$Z$51,0)+IF(AND('Bonding Program'!$P$51&lt;&gt;"",I$3='Bonding Program'!$P$51,I$3&lt;='Bonding Program'!$C$8),N('Bonding Program'!$O$51),0)</f>
        <v>0</v>
      </c>
      <c r="J192" s="19" t="n">
        <f aca="false">IF(AND('Bonding Program'!$S$51=1,'Bonding Program'!$H$51&gt;'Bonding Program'!$C$8,J$3='Bonding Program'!$H$51),'Bonding Program'!$T$51-'Bonding Program'!$U$51-'Bonding Program'!$Z$51,0)-IF(AND('Bonding Program'!$S$51=1,'Bonding Program'!$H$51&lt;='Bonding Program'!$C$8,J$3=IF('Bonding Program'!$P$51&lt;&gt;"",'Bonding Program'!$P$51,'Bonding Program'!$C$8)),'Bonding Program'!$Z$51,0)+IF(AND('Bonding Program'!$P$51&lt;&gt;"",J$3='Bonding Program'!$P$51,J$3&lt;='Bonding Program'!$C$8),N('Bonding Program'!$O$51),0)</f>
        <v>0</v>
      </c>
      <c r="K192" s="19" t="n">
        <f aca="false">IF(AND('Bonding Program'!$S$51=1,'Bonding Program'!$H$51&gt;'Bonding Program'!$C$8,K$3='Bonding Program'!$H$51),'Bonding Program'!$T$51-'Bonding Program'!$U$51-'Bonding Program'!$Z$51,0)-IF(AND('Bonding Program'!$S$51=1,'Bonding Program'!$H$51&lt;='Bonding Program'!$C$8,K$3=IF('Bonding Program'!$P$51&lt;&gt;"",'Bonding Program'!$P$51,'Bonding Program'!$C$8)),'Bonding Program'!$Z$51,0)+IF(AND('Bonding Program'!$P$51&lt;&gt;"",K$3='Bonding Program'!$P$51,K$3&lt;='Bonding Program'!$C$8),N('Bonding Program'!$O$51),0)</f>
        <v>0</v>
      </c>
      <c r="L192" s="19" t="n">
        <f aca="false">IF(AND('Bonding Program'!$S$51=1,'Bonding Program'!$H$51&gt;'Bonding Program'!$C$8,L$3='Bonding Program'!$H$51),'Bonding Program'!$T$51-'Bonding Program'!$U$51-'Bonding Program'!$Z$51,0)-IF(AND('Bonding Program'!$S$51=1,'Bonding Program'!$H$51&lt;='Bonding Program'!$C$8,L$3=IF('Bonding Program'!$P$51&lt;&gt;"",'Bonding Program'!$P$51,'Bonding Program'!$C$8)),'Bonding Program'!$Z$51,0)+IF(AND('Bonding Program'!$P$51&lt;&gt;"",L$3='Bonding Program'!$P$51,L$3&lt;='Bonding Program'!$C$8),N('Bonding Program'!$O$51),0)</f>
        <v>0</v>
      </c>
      <c r="M192" s="19" t="n">
        <f aca="false">IF(AND('Bonding Program'!$S$51=1,'Bonding Program'!$H$51&gt;'Bonding Program'!$C$8,M$3='Bonding Program'!$H$51),'Bonding Program'!$T$51-'Bonding Program'!$U$51-'Bonding Program'!$Z$51,0)-IF(AND('Bonding Program'!$S$51=1,'Bonding Program'!$H$51&lt;='Bonding Program'!$C$8,M$3=IF('Bonding Program'!$P$51&lt;&gt;"",'Bonding Program'!$P$51,'Bonding Program'!$C$8)),'Bonding Program'!$Z$51,0)+IF(AND('Bonding Program'!$P$51&lt;&gt;"",M$3='Bonding Program'!$P$51,M$3&lt;='Bonding Program'!$C$8),N('Bonding Program'!$O$51),0)</f>
        <v>0</v>
      </c>
      <c r="N192" s="19" t="n">
        <f aca="false">IF(AND('Bonding Program'!$S$51=1,'Bonding Program'!$H$51&gt;'Bonding Program'!$C$8,N$3='Bonding Program'!$H$51),'Bonding Program'!$T$51-'Bonding Program'!$U$51-'Bonding Program'!$Z$51,0)-IF(AND('Bonding Program'!$S$51=1,'Bonding Program'!$H$51&lt;='Bonding Program'!$C$8,N$3=IF('Bonding Program'!$P$51&lt;&gt;"",'Bonding Program'!$P$51,'Bonding Program'!$C$8)),'Bonding Program'!$Z$51,0)+IF(AND('Bonding Program'!$P$51&lt;&gt;"",N$3='Bonding Program'!$P$51,N$3&lt;='Bonding Program'!$C$8),N('Bonding Program'!$O$51),0)</f>
        <v>0</v>
      </c>
      <c r="O192" s="19" t="n">
        <f aca="false">IF(AND('Bonding Program'!$S$51=1,'Bonding Program'!$H$51&gt;'Bonding Program'!$C$8,O$3='Bonding Program'!$H$51),'Bonding Program'!$T$51-'Bonding Program'!$U$51-'Bonding Program'!$Z$51,0)-IF(AND('Bonding Program'!$S$51=1,'Bonding Program'!$H$51&lt;='Bonding Program'!$C$8,O$3=IF('Bonding Program'!$P$51&lt;&gt;"",'Bonding Program'!$P$51,'Bonding Program'!$C$8)),'Bonding Program'!$Z$51,0)+IF(AND('Bonding Program'!$P$51&lt;&gt;"",O$3='Bonding Program'!$P$51,O$3&lt;='Bonding Program'!$C$8),N('Bonding Program'!$O$51),0)</f>
        <v>0</v>
      </c>
      <c r="P192" s="19" t="n">
        <f aca="false">IF(AND('Bonding Program'!$S$51=1,'Bonding Program'!$H$51&gt;'Bonding Program'!$C$8,P$3='Bonding Program'!$H$51),'Bonding Program'!$T$51-'Bonding Program'!$U$51-'Bonding Program'!$Z$51,0)-IF(AND('Bonding Program'!$S$51=1,'Bonding Program'!$H$51&lt;='Bonding Program'!$C$8,P$3=IF('Bonding Program'!$P$51&lt;&gt;"",'Bonding Program'!$P$51,'Bonding Program'!$C$8)),'Bonding Program'!$Z$51,0)+IF(AND('Bonding Program'!$P$51&lt;&gt;"",P$3='Bonding Program'!$P$51,P$3&lt;='Bonding Program'!$C$8),N('Bonding Program'!$O$51),0)</f>
        <v>0</v>
      </c>
      <c r="Q192" s="19" t="n">
        <f aca="false">IF(AND('Bonding Program'!$S$51=1,'Bonding Program'!$H$51&gt;'Bonding Program'!$C$8,Q$3='Bonding Program'!$H$51),'Bonding Program'!$T$51-'Bonding Program'!$U$51-'Bonding Program'!$Z$51,0)-IF(AND('Bonding Program'!$S$51=1,'Bonding Program'!$H$51&lt;='Bonding Program'!$C$8,Q$3=IF('Bonding Program'!$P$51&lt;&gt;"",'Bonding Program'!$P$51,'Bonding Program'!$C$8)),'Bonding Program'!$Z$51,0)+IF(AND('Bonding Program'!$P$51&lt;&gt;"",Q$3='Bonding Program'!$P$51,Q$3&lt;='Bonding Program'!$C$8),N('Bonding Program'!$O$51),0)</f>
        <v>0</v>
      </c>
      <c r="R192" s="19" t="n">
        <f aca="false">IF(AND('Bonding Program'!$S$51=1,'Bonding Program'!$H$51&gt;'Bonding Program'!$C$8,R$3='Bonding Program'!$H$51),'Bonding Program'!$T$51-'Bonding Program'!$U$51-'Bonding Program'!$Z$51,0)-IF(AND('Bonding Program'!$S$51=1,'Bonding Program'!$H$51&lt;='Bonding Program'!$C$8,R$3=IF('Bonding Program'!$P$51&lt;&gt;"",'Bonding Program'!$P$51,'Bonding Program'!$C$8)),'Bonding Program'!$Z$51,0)+IF(AND('Bonding Program'!$P$51&lt;&gt;"",R$3='Bonding Program'!$P$51,R$3&lt;='Bonding Program'!$C$8),N('Bonding Program'!$O$51),0)</f>
        <v>0</v>
      </c>
      <c r="S192" s="19" t="n">
        <f aca="false">IF(AND('Bonding Program'!$S$51=1,'Bonding Program'!$H$51&gt;'Bonding Program'!$C$8,S$3='Bonding Program'!$H$51),'Bonding Program'!$T$51-'Bonding Program'!$U$51-'Bonding Program'!$Z$51,0)-IF(AND('Bonding Program'!$S$51=1,'Bonding Program'!$H$51&lt;='Bonding Program'!$C$8,S$3=IF('Bonding Program'!$P$51&lt;&gt;"",'Bonding Program'!$P$51,'Bonding Program'!$C$8)),'Bonding Program'!$Z$51,0)+IF(AND('Bonding Program'!$P$51&lt;&gt;"",S$3='Bonding Program'!$P$51,S$3&lt;='Bonding Program'!$C$8),N('Bonding Program'!$O$51),0)</f>
        <v>0</v>
      </c>
      <c r="T192" s="19" t="n">
        <f aca="false">IF(AND('Bonding Program'!$S$51=1,'Bonding Program'!$H$51&gt;'Bonding Program'!$C$8,T$3='Bonding Program'!$H$51),'Bonding Program'!$T$51-'Bonding Program'!$U$51-'Bonding Program'!$Z$51,0)-IF(AND('Bonding Program'!$S$51=1,'Bonding Program'!$H$51&lt;='Bonding Program'!$C$8,T$3=IF('Bonding Program'!$P$51&lt;&gt;"",'Bonding Program'!$P$51,'Bonding Program'!$C$8)),'Bonding Program'!$Z$51,0)+IF(AND('Bonding Program'!$P$51&lt;&gt;"",T$3='Bonding Program'!$P$51,T$3&lt;='Bonding Program'!$C$8),N('Bonding Program'!$O$51),0)</f>
        <v>0</v>
      </c>
      <c r="U192" s="19" t="n">
        <f aca="false">IF(AND('Bonding Program'!$S$51=1,'Bonding Program'!$H$51&gt;'Bonding Program'!$C$8,U$3='Bonding Program'!$H$51),'Bonding Program'!$T$51-'Bonding Program'!$U$51-'Bonding Program'!$Z$51,0)-IF(AND('Bonding Program'!$S$51=1,'Bonding Program'!$H$51&lt;='Bonding Program'!$C$8,U$3=IF('Bonding Program'!$P$51&lt;&gt;"",'Bonding Program'!$P$51,'Bonding Program'!$C$8)),'Bonding Program'!$Z$51,0)+IF(AND('Bonding Program'!$P$51&lt;&gt;"",U$3='Bonding Program'!$P$51,U$3&lt;='Bonding Program'!$C$8),N('Bonding Program'!$O$51),0)</f>
        <v>0</v>
      </c>
      <c r="V192" s="19" t="n">
        <f aca="false">IF(AND('Bonding Program'!$S$51=1,'Bonding Program'!$H$51&gt;'Bonding Program'!$C$8,V$3='Bonding Program'!$H$51),'Bonding Program'!$T$51-'Bonding Program'!$U$51-'Bonding Program'!$Z$51,0)-IF(AND('Bonding Program'!$S$51=1,'Bonding Program'!$H$51&lt;='Bonding Program'!$C$8,V$3=IF('Bonding Program'!$P$51&lt;&gt;"",'Bonding Program'!$P$51,'Bonding Program'!$C$8)),'Bonding Program'!$Z$51,0)+IF(AND('Bonding Program'!$P$51&lt;&gt;"",V$3='Bonding Program'!$P$51,V$3&lt;='Bonding Program'!$C$8),N('Bonding Program'!$O$51),0)</f>
        <v>0</v>
      </c>
      <c r="W192" s="19" t="n">
        <f aca="false">IF(AND('Bonding Program'!$S$51=1,'Bonding Program'!$H$51&gt;'Bonding Program'!$C$8,W$3='Bonding Program'!$H$51),'Bonding Program'!$T$51-'Bonding Program'!$U$51-'Bonding Program'!$Z$51,0)-IF(AND('Bonding Program'!$S$51=1,'Bonding Program'!$H$51&lt;='Bonding Program'!$C$8,W$3=IF('Bonding Program'!$P$51&lt;&gt;"",'Bonding Program'!$P$51,'Bonding Program'!$C$8)),'Bonding Program'!$Z$51,0)+IF(AND('Bonding Program'!$P$51&lt;&gt;"",W$3='Bonding Program'!$P$51,W$3&lt;='Bonding Program'!$C$8),N('Bonding Program'!$O$51),0)</f>
        <v>0</v>
      </c>
      <c r="X192" s="19" t="n">
        <f aca="false">IF(AND('Bonding Program'!$S$51=1,'Bonding Program'!$H$51&gt;'Bonding Program'!$C$8,X$3='Bonding Program'!$H$51),'Bonding Program'!$T$51-'Bonding Program'!$U$51-'Bonding Program'!$Z$51,0)-IF(AND('Bonding Program'!$S$51=1,'Bonding Program'!$H$51&lt;='Bonding Program'!$C$8,X$3=IF('Bonding Program'!$P$51&lt;&gt;"",'Bonding Program'!$P$51,'Bonding Program'!$C$8)),'Bonding Program'!$Z$51,0)+IF(AND('Bonding Program'!$P$51&lt;&gt;"",X$3='Bonding Program'!$P$51,X$3&lt;='Bonding Program'!$C$8),N('Bonding Program'!$O$51),0)</f>
        <v>0</v>
      </c>
      <c r="Y192" s="19" t="n">
        <f aca="false">IF(AND('Bonding Program'!$S$51=1,'Bonding Program'!$H$51&gt;'Bonding Program'!$C$8,Y$3='Bonding Program'!$H$51),'Bonding Program'!$T$51-'Bonding Program'!$U$51-'Bonding Program'!$Z$51,0)-IF(AND('Bonding Program'!$S$51=1,'Bonding Program'!$H$51&lt;='Bonding Program'!$C$8,Y$3=IF('Bonding Program'!$P$51&lt;&gt;"",'Bonding Program'!$P$51,'Bonding Program'!$C$8)),'Bonding Program'!$Z$51,0)+IF(AND('Bonding Program'!$P$51&lt;&gt;"",Y$3='Bonding Program'!$P$51,Y$3&lt;='Bonding Program'!$C$8),N('Bonding Program'!$O$51),0)</f>
        <v>0</v>
      </c>
      <c r="Z192" s="19" t="n">
        <f aca="false">IF(AND('Bonding Program'!$S$51=1,'Bonding Program'!$H$51&gt;'Bonding Program'!$C$8,Z$3='Bonding Program'!$H$51),'Bonding Program'!$T$51-'Bonding Program'!$U$51-'Bonding Program'!$Z$51,0)-IF(AND('Bonding Program'!$S$51=1,'Bonding Program'!$H$51&lt;='Bonding Program'!$C$8,Z$3=IF('Bonding Program'!$P$51&lt;&gt;"",'Bonding Program'!$P$51,'Bonding Program'!$C$8)),'Bonding Program'!$Z$51,0)+IF(AND('Bonding Program'!$P$51&lt;&gt;"",Z$3='Bonding Program'!$P$51,Z$3&lt;='Bonding Program'!$C$8),N('Bonding Program'!$O$51),0)</f>
        <v>0</v>
      </c>
      <c r="AA192" s="19" t="n">
        <f aca="false">IF(AND('Bonding Program'!$S$51=1,'Bonding Program'!$H$51&gt;'Bonding Program'!$C$8,AA$3='Bonding Program'!$H$51),'Bonding Program'!$T$51-'Bonding Program'!$U$51-'Bonding Program'!$Z$51,0)-IF(AND('Bonding Program'!$S$51=1,'Bonding Program'!$H$51&lt;='Bonding Program'!$C$8,AA$3=IF('Bonding Program'!$P$51&lt;&gt;"",'Bonding Program'!$P$51,'Bonding Program'!$C$8)),'Bonding Program'!$Z$51,0)+IF(AND('Bonding Program'!$P$51&lt;&gt;"",AA$3='Bonding Program'!$P$51,AA$3&lt;='Bonding Program'!$C$8),N('Bonding Program'!$O$51),0)</f>
        <v>0</v>
      </c>
      <c r="AB192" s="19" t="n">
        <f aca="false">IF(AND('Bonding Program'!$S$51=1,'Bonding Program'!$H$51&gt;'Bonding Program'!$C$8,AB$3='Bonding Program'!$H$51),'Bonding Program'!$T$51-'Bonding Program'!$U$51-'Bonding Program'!$Z$51,0)-IF(AND('Bonding Program'!$S$51=1,'Bonding Program'!$H$51&lt;='Bonding Program'!$C$8,AB$3=IF('Bonding Program'!$P$51&lt;&gt;"",'Bonding Program'!$P$51,'Bonding Program'!$C$8)),'Bonding Program'!$Z$51,0)+IF(AND('Bonding Program'!$P$51&lt;&gt;"",AB$3='Bonding Program'!$P$51,AB$3&lt;='Bonding Program'!$C$8),N('Bonding Program'!$O$51),0)</f>
        <v>0</v>
      </c>
      <c r="AC192" s="19" t="n">
        <f aca="false">IF(AND('Bonding Program'!$S$51=1,'Bonding Program'!$H$51&gt;'Bonding Program'!$C$8,AC$3='Bonding Program'!$H$51),'Bonding Program'!$T$51-'Bonding Program'!$U$51-'Bonding Program'!$Z$51,0)-IF(AND('Bonding Program'!$S$51=1,'Bonding Program'!$H$51&lt;='Bonding Program'!$C$8,AC$3=IF('Bonding Program'!$P$51&lt;&gt;"",'Bonding Program'!$P$51,'Bonding Program'!$C$8)),'Bonding Program'!$Z$51,0)+IF(AND('Bonding Program'!$P$51&lt;&gt;"",AC$3='Bonding Program'!$P$51,AC$3&lt;='Bonding Program'!$C$8),N('Bonding Program'!$O$51),0)</f>
        <v>0</v>
      </c>
      <c r="AD192" s="19" t="n">
        <f aca="false">IF(AND('Bonding Program'!$S$51=1,'Bonding Program'!$H$51&gt;'Bonding Program'!$C$8,AD$3='Bonding Program'!$H$51),'Bonding Program'!$T$51-'Bonding Program'!$U$51-'Bonding Program'!$Z$51,0)-IF(AND('Bonding Program'!$S$51=1,'Bonding Program'!$H$51&lt;='Bonding Program'!$C$8,AD$3=IF('Bonding Program'!$P$51&lt;&gt;"",'Bonding Program'!$P$51,'Bonding Program'!$C$8)),'Bonding Program'!$Z$51,0)+IF(AND('Bonding Program'!$P$51&lt;&gt;"",AD$3='Bonding Program'!$P$51,AD$3&lt;='Bonding Program'!$C$8),N('Bonding Program'!$O$51),0)</f>
        <v>0</v>
      </c>
      <c r="AE192" s="19" t="n">
        <f aca="false">IF(AND('Bonding Program'!$S$51=1,'Bonding Program'!$H$51&gt;'Bonding Program'!$C$8,AE$3='Bonding Program'!$H$51),'Bonding Program'!$T$51-'Bonding Program'!$U$51-'Bonding Program'!$Z$51,0)-IF(AND('Bonding Program'!$S$51=1,'Bonding Program'!$H$51&lt;='Bonding Program'!$C$8,AE$3=IF('Bonding Program'!$P$51&lt;&gt;"",'Bonding Program'!$P$51,'Bonding Program'!$C$8)),'Bonding Program'!$Z$51,0)+IF(AND('Bonding Program'!$P$51&lt;&gt;"",AE$3='Bonding Program'!$P$51,AE$3&lt;='Bonding Program'!$C$8),N('Bonding Program'!$O$51),0)</f>
        <v>0</v>
      </c>
      <c r="AF192" s="19" t="n">
        <f aca="false">IF(AND('Bonding Program'!$S$51=1,'Bonding Program'!$H$51&gt;'Bonding Program'!$C$8,AF$3='Bonding Program'!$H$51),'Bonding Program'!$T$51-'Bonding Program'!$U$51-'Bonding Program'!$Z$51,0)-IF(AND('Bonding Program'!$S$51=1,'Bonding Program'!$H$51&lt;='Bonding Program'!$C$8,AF$3=IF('Bonding Program'!$P$51&lt;&gt;"",'Bonding Program'!$P$51,'Bonding Program'!$C$8)),'Bonding Program'!$Z$51,0)+IF(AND('Bonding Program'!$P$51&lt;&gt;"",AF$3='Bonding Program'!$P$51,AF$3&lt;='Bonding Program'!$C$8),N('Bonding Program'!$O$51),0)</f>
        <v>0</v>
      </c>
      <c r="AG192" s="19" t="n">
        <f aca="false">IF(AND('Bonding Program'!$S$51=1,'Bonding Program'!$H$51&gt;'Bonding Program'!$C$8,AG$3='Bonding Program'!$H$51),'Bonding Program'!$T$51-'Bonding Program'!$U$51-'Bonding Program'!$Z$51,0)-IF(AND('Bonding Program'!$S$51=1,'Bonding Program'!$H$51&lt;='Bonding Program'!$C$8,AG$3=IF('Bonding Program'!$P$51&lt;&gt;"",'Bonding Program'!$P$51,'Bonding Program'!$C$8)),'Bonding Program'!$Z$51,0)+IF(AND('Bonding Program'!$P$51&lt;&gt;"",AG$3='Bonding Program'!$P$51,AG$3&lt;='Bonding Program'!$C$8),N('Bonding Program'!$O$51),0)</f>
        <v>0</v>
      </c>
      <c r="AH192" s="19" t="n">
        <f aca="false">IF(AND('Bonding Program'!$S$51=1,'Bonding Program'!$H$51&gt;'Bonding Program'!$C$8,AH$3='Bonding Program'!$H$51),'Bonding Program'!$T$51-'Bonding Program'!$U$51-'Bonding Program'!$Z$51,0)-IF(AND('Bonding Program'!$S$51=1,'Bonding Program'!$H$51&lt;='Bonding Program'!$C$8,AH$3=IF('Bonding Program'!$P$51&lt;&gt;"",'Bonding Program'!$P$51,'Bonding Program'!$C$8)),'Bonding Program'!$Z$51,0)+IF(AND('Bonding Program'!$P$51&lt;&gt;"",AH$3='Bonding Program'!$P$51,AH$3&lt;='Bonding Program'!$C$8),N('Bonding Program'!$O$51),0)</f>
        <v>0</v>
      </c>
      <c r="AI192" s="19" t="n">
        <f aca="false">IF(AND('Bonding Program'!$S$51=1,'Bonding Program'!$H$51&gt;'Bonding Program'!$C$8,AI$3='Bonding Program'!$H$51),'Bonding Program'!$T$51-'Bonding Program'!$U$51-'Bonding Program'!$Z$51,0)-IF(AND('Bonding Program'!$S$51=1,'Bonding Program'!$H$51&lt;='Bonding Program'!$C$8,AI$3=IF('Bonding Program'!$P$51&lt;&gt;"",'Bonding Program'!$P$51,'Bonding Program'!$C$8)),'Bonding Program'!$Z$51,0)+IF(AND('Bonding Program'!$P$51&lt;&gt;"",AI$3='Bonding Program'!$P$51,AI$3&lt;='Bonding Program'!$C$8),N('Bonding Program'!$O$51),0)</f>
        <v>0</v>
      </c>
      <c r="AJ192" s="19" t="n">
        <f aca="false">IF(AND('Bonding Program'!$S$51=1,'Bonding Program'!$H$51&gt;'Bonding Program'!$C$8,AJ$3='Bonding Program'!$H$51),'Bonding Program'!$T$51-'Bonding Program'!$U$51-'Bonding Program'!$Z$51,0)-IF(AND('Bonding Program'!$S$51=1,'Bonding Program'!$H$51&lt;='Bonding Program'!$C$8,AJ$3=IF('Bonding Program'!$P$51&lt;&gt;"",'Bonding Program'!$P$51,'Bonding Program'!$C$8)),'Bonding Program'!$Z$51,0)+IF(AND('Bonding Program'!$P$51&lt;&gt;"",AJ$3='Bonding Program'!$P$51,AJ$3&lt;='Bonding Program'!$C$8),N('Bonding Program'!$O$51),0)</f>
        <v>0</v>
      </c>
      <c r="AK192" s="19" t="n">
        <f aca="false">IF(AND('Bonding Program'!$S$51=1,'Bonding Program'!$H$51&gt;'Bonding Program'!$C$8,AK$3='Bonding Program'!$H$51),'Bonding Program'!$T$51-'Bonding Program'!$U$51-'Bonding Program'!$Z$51,0)-IF(AND('Bonding Program'!$S$51=1,'Bonding Program'!$H$51&lt;='Bonding Program'!$C$8,AK$3=IF('Bonding Program'!$P$51&lt;&gt;"",'Bonding Program'!$P$51,'Bonding Program'!$C$8)),'Bonding Program'!$Z$51,0)+IF(AND('Bonding Program'!$P$51&lt;&gt;"",AK$3='Bonding Program'!$P$51,AK$3&lt;='Bonding Program'!$C$8),N('Bonding Program'!$O$51),0)</f>
        <v>0</v>
      </c>
      <c r="AL192" s="19" t="n">
        <f aca="false">IF(AND('Bonding Program'!$S$51=1,'Bonding Program'!$H$51&gt;'Bonding Program'!$C$8,AL$3='Bonding Program'!$H$51),'Bonding Program'!$T$51-'Bonding Program'!$U$51-'Bonding Program'!$Z$51,0)-IF(AND('Bonding Program'!$S$51=1,'Bonding Program'!$H$51&lt;='Bonding Program'!$C$8,AL$3=IF('Bonding Program'!$P$51&lt;&gt;"",'Bonding Program'!$P$51,'Bonding Program'!$C$8)),'Bonding Program'!$Z$51,0)+IF(AND('Bonding Program'!$P$51&lt;&gt;"",AL$3='Bonding Program'!$P$51,AL$3&lt;='Bonding Program'!$C$8),N('Bonding Program'!$O$51),0)</f>
        <v>0</v>
      </c>
      <c r="AM192" s="19" t="n">
        <f aca="false">IF(AND('Bonding Program'!$S$51=1,'Bonding Program'!$H$51&gt;'Bonding Program'!$C$8,AM$3='Bonding Program'!$H$51),'Bonding Program'!$T$51-'Bonding Program'!$U$51-'Bonding Program'!$Z$51,0)-IF(AND('Bonding Program'!$S$51=1,'Bonding Program'!$H$51&lt;='Bonding Program'!$C$8,AM$3=IF('Bonding Program'!$P$51&lt;&gt;"",'Bonding Program'!$P$51,'Bonding Program'!$C$8)),'Bonding Program'!$Z$51,0)+IF(AND('Bonding Program'!$P$51&lt;&gt;"",AM$3='Bonding Program'!$P$51,AM$3&lt;='Bonding Program'!$C$8),N('Bonding Program'!$O$51),0)</f>
        <v>0</v>
      </c>
      <c r="AN192" s="19" t="n">
        <f aca="false">IF(AND('Bonding Program'!$S$51=1,'Bonding Program'!$H$51&gt;'Bonding Program'!$C$8,AN$3='Bonding Program'!$H$51),'Bonding Program'!$T$51-'Bonding Program'!$U$51-'Bonding Program'!$Z$51,0)-IF(AND('Bonding Program'!$S$51=1,'Bonding Program'!$H$51&lt;='Bonding Program'!$C$8,AN$3=IF('Bonding Program'!$P$51&lt;&gt;"",'Bonding Program'!$P$51,'Bonding Program'!$C$8)),'Bonding Program'!$Z$51,0)+IF(AND('Bonding Program'!$P$51&lt;&gt;"",AN$3='Bonding Program'!$P$51,AN$3&lt;='Bonding Program'!$C$8),N('Bonding Program'!$O$51),0)</f>
        <v>0</v>
      </c>
      <c r="AO192" s="19" t="n">
        <f aca="false">IF(AND('Bonding Program'!$S$51=1,'Bonding Program'!$H$51&gt;'Bonding Program'!$C$8,AO$3='Bonding Program'!$H$51),'Bonding Program'!$T$51-'Bonding Program'!$U$51-'Bonding Program'!$Z$51,0)-IF(AND('Bonding Program'!$S$51=1,'Bonding Program'!$H$51&lt;='Bonding Program'!$C$8,AO$3=IF('Bonding Program'!$P$51&lt;&gt;"",'Bonding Program'!$P$51,'Bonding Program'!$C$8)),'Bonding Program'!$Z$51,0)+IF(AND('Bonding Program'!$P$51&lt;&gt;"",AO$3='Bonding Program'!$P$51,AO$3&lt;='Bonding Program'!$C$8),N('Bonding Program'!$O$51),0)</f>
        <v>0</v>
      </c>
      <c r="AP192" s="19" t="n">
        <f aca="false">IF(AND('Bonding Program'!$S$51=1,'Bonding Program'!$H$51&gt;'Bonding Program'!$C$8,AP$3='Bonding Program'!$H$51),'Bonding Program'!$T$51-'Bonding Program'!$U$51-'Bonding Program'!$Z$51,0)-IF(AND('Bonding Program'!$S$51=1,'Bonding Program'!$H$51&lt;='Bonding Program'!$C$8,AP$3=IF('Bonding Program'!$P$51&lt;&gt;"",'Bonding Program'!$P$51,'Bonding Program'!$C$8)),'Bonding Program'!$Z$51,0)+IF(AND('Bonding Program'!$P$51&lt;&gt;"",AP$3='Bonding Program'!$P$51,AP$3&lt;='Bonding Program'!$C$8),N('Bonding Program'!$O$51),0)</f>
        <v>0</v>
      </c>
      <c r="AQ192" s="19" t="n">
        <f aca="false">IF(AND('Bonding Program'!$S$51=1,'Bonding Program'!$H$51&gt;'Bonding Program'!$C$8,AQ$3='Bonding Program'!$H$51),'Bonding Program'!$T$51-'Bonding Program'!$U$51-'Bonding Program'!$Z$51,0)-IF(AND('Bonding Program'!$S$51=1,'Bonding Program'!$H$51&lt;='Bonding Program'!$C$8,AQ$3=IF('Bonding Program'!$P$51&lt;&gt;"",'Bonding Program'!$P$51,'Bonding Program'!$C$8)),'Bonding Program'!$Z$51,0)+IF(AND('Bonding Program'!$P$51&lt;&gt;"",AQ$3='Bonding Program'!$P$51,AQ$3&lt;='Bonding Program'!$C$8),N('Bonding Program'!$O$51),0)</f>
        <v>0</v>
      </c>
      <c r="AR192" s="19" t="n">
        <f aca="false">IF(AND('Bonding Program'!$S$51=1,'Bonding Program'!$H$51&gt;'Bonding Program'!$C$8,AR$3='Bonding Program'!$H$51),'Bonding Program'!$T$51-'Bonding Program'!$U$51-'Bonding Program'!$Z$51,0)-IF(AND('Bonding Program'!$S$51=1,'Bonding Program'!$H$51&lt;='Bonding Program'!$C$8,AR$3=IF('Bonding Program'!$P$51&lt;&gt;"",'Bonding Program'!$P$51,'Bonding Program'!$C$8)),'Bonding Program'!$Z$51,0)+IF(AND('Bonding Program'!$P$51&lt;&gt;"",AR$3='Bonding Program'!$P$51,AR$3&lt;='Bonding Program'!$C$8),N('Bonding Program'!$O$51),0)</f>
        <v>0</v>
      </c>
      <c r="AS192" s="19" t="n">
        <f aca="false">IF(AND('Bonding Program'!$S$51=1,'Bonding Program'!$H$51&gt;'Bonding Program'!$C$8,AS$3='Bonding Program'!$H$51),'Bonding Program'!$T$51-'Bonding Program'!$U$51-'Bonding Program'!$Z$51,0)-IF(AND('Bonding Program'!$S$51=1,'Bonding Program'!$H$51&lt;='Bonding Program'!$C$8,AS$3=IF('Bonding Program'!$P$51&lt;&gt;"",'Bonding Program'!$P$51,'Bonding Program'!$C$8)),'Bonding Program'!$Z$51,0)+IF(AND('Bonding Program'!$P$51&lt;&gt;"",AS$3='Bonding Program'!$P$51,AS$3&lt;='Bonding Program'!$C$8),N('Bonding Program'!$O$51),0)</f>
        <v>0</v>
      </c>
      <c r="AT192" s="19" t="n">
        <f aca="false">IF(AND('Bonding Program'!$S$51=1,'Bonding Program'!$H$51&gt;'Bonding Program'!$C$8,AT$3='Bonding Program'!$H$51),'Bonding Program'!$T$51-'Bonding Program'!$U$51-'Bonding Program'!$Z$51,0)-IF(AND('Bonding Program'!$S$51=1,'Bonding Program'!$H$51&lt;='Bonding Program'!$C$8,AT$3=IF('Bonding Program'!$P$51&lt;&gt;"",'Bonding Program'!$P$51,'Bonding Program'!$C$8)),'Bonding Program'!$Z$51,0)+IF(AND('Bonding Program'!$P$51&lt;&gt;"",AT$3='Bonding Program'!$P$51,AT$3&lt;='Bonding Program'!$C$8),N('Bonding Program'!$O$51),0)</f>
        <v>0</v>
      </c>
      <c r="AU192" s="19" t="n">
        <f aca="false">IF(AND('Bonding Program'!$S$51=1,'Bonding Program'!$H$51&gt;'Bonding Program'!$C$8,AU$3='Bonding Program'!$H$51),'Bonding Program'!$T$51-'Bonding Program'!$U$51-'Bonding Program'!$Z$51,0)-IF(AND('Bonding Program'!$S$51=1,'Bonding Program'!$H$51&lt;='Bonding Program'!$C$8,AU$3=IF('Bonding Program'!$P$51&lt;&gt;"",'Bonding Program'!$P$51,'Bonding Program'!$C$8)),'Bonding Program'!$Z$51,0)+IF(AND('Bonding Program'!$P$51&lt;&gt;"",AU$3='Bonding Program'!$P$51,AU$3&lt;='Bonding Program'!$C$8),N('Bonding Program'!$O$51),0)</f>
        <v>0</v>
      </c>
      <c r="AV192" s="19" t="n">
        <f aca="false">IF(AND('Bonding Program'!$S$51=1,'Bonding Program'!$H$51&gt;'Bonding Program'!$C$8,AV$3='Bonding Program'!$H$51),'Bonding Program'!$T$51-'Bonding Program'!$U$51-'Bonding Program'!$Z$51,0)-IF(AND('Bonding Program'!$S$51=1,'Bonding Program'!$H$51&lt;='Bonding Program'!$C$8,AV$3=IF('Bonding Program'!$P$51&lt;&gt;"",'Bonding Program'!$P$51,'Bonding Program'!$C$8)),'Bonding Program'!$Z$51,0)+IF(AND('Bonding Program'!$P$51&lt;&gt;"",AV$3='Bonding Program'!$P$51,AV$3&lt;='Bonding Program'!$C$8),N('Bonding Program'!$O$51),0)</f>
        <v>0</v>
      </c>
      <c r="AW192" s="19" t="n">
        <f aca="false">IF(AND('Bonding Program'!$S$51=1,'Bonding Program'!$H$51&gt;'Bonding Program'!$C$8,AW$3='Bonding Program'!$H$51),'Bonding Program'!$T$51-'Bonding Program'!$U$51-'Bonding Program'!$Z$51,0)-IF(AND('Bonding Program'!$S$51=1,'Bonding Program'!$H$51&lt;='Bonding Program'!$C$8,AW$3=IF('Bonding Program'!$P$51&lt;&gt;"",'Bonding Program'!$P$51,'Bonding Program'!$C$8)),'Bonding Program'!$Z$51,0)+IF(AND('Bonding Program'!$P$51&lt;&gt;"",AW$3='Bonding Program'!$P$51,AW$3&lt;='Bonding Program'!$C$8),N('Bonding Program'!$O$51),0)</f>
        <v>0</v>
      </c>
      <c r="AX192" s="19" t="n">
        <f aca="false">IF(AND('Bonding Program'!$S$51=1,'Bonding Program'!$H$51&gt;'Bonding Program'!$C$8,AX$3='Bonding Program'!$H$51),'Bonding Program'!$T$51-'Bonding Program'!$U$51-'Bonding Program'!$Z$51,0)-IF(AND('Bonding Program'!$S$51=1,'Bonding Program'!$H$51&lt;='Bonding Program'!$C$8,AX$3=IF('Bonding Program'!$P$51&lt;&gt;"",'Bonding Program'!$P$51,'Bonding Program'!$C$8)),'Bonding Program'!$Z$51,0)+IF(AND('Bonding Program'!$P$51&lt;&gt;"",AX$3='Bonding Program'!$P$51,AX$3&lt;='Bonding Program'!$C$8),N('Bonding Program'!$O$51),0)</f>
        <v>0</v>
      </c>
      <c r="AY192" s="19" t="n">
        <f aca="false">IF(AND('Bonding Program'!$S$51=1,'Bonding Program'!$H$51&gt;'Bonding Program'!$C$8,AY$3='Bonding Program'!$H$51),'Bonding Program'!$T$51-'Bonding Program'!$U$51-'Bonding Program'!$Z$51,0)-IF(AND('Bonding Program'!$S$51=1,'Bonding Program'!$H$51&lt;='Bonding Program'!$C$8,AY$3=IF('Bonding Program'!$P$51&lt;&gt;"",'Bonding Program'!$P$51,'Bonding Program'!$C$8)),'Bonding Program'!$Z$51,0)+IF(AND('Bonding Program'!$P$51&lt;&gt;"",AY$3='Bonding Program'!$P$51,AY$3&lt;='Bonding Program'!$C$8),N('Bonding Program'!$O$51),0)</f>
        <v>0</v>
      </c>
      <c r="AZ192" s="19" t="n">
        <f aca="false">IF(AND('Bonding Program'!$S$51=1,'Bonding Program'!$H$51&gt;'Bonding Program'!$C$8,AZ$3='Bonding Program'!$H$51),'Bonding Program'!$T$51-'Bonding Program'!$U$51-'Bonding Program'!$Z$51,0)-IF(AND('Bonding Program'!$S$51=1,'Bonding Program'!$H$51&lt;='Bonding Program'!$C$8,AZ$3=IF('Bonding Program'!$P$51&lt;&gt;"",'Bonding Program'!$P$51,'Bonding Program'!$C$8)),'Bonding Program'!$Z$51,0)+IF(AND('Bonding Program'!$P$51&lt;&gt;"",AZ$3='Bonding Program'!$P$51,AZ$3&lt;='Bonding Program'!$C$8),N('Bonding Program'!$O$51),0)</f>
        <v>0</v>
      </c>
      <c r="BA192" s="19" t="n">
        <f aca="false">IF(AND('Bonding Program'!$S$51=1,'Bonding Program'!$H$51&gt;'Bonding Program'!$C$8,BA$3='Bonding Program'!$H$51),'Bonding Program'!$T$51-'Bonding Program'!$U$51-'Bonding Program'!$Z$51,0)-IF(AND('Bonding Program'!$S$51=1,'Bonding Program'!$H$51&lt;='Bonding Program'!$C$8,BA$3=IF('Bonding Program'!$P$51&lt;&gt;"",'Bonding Program'!$P$51,'Bonding Program'!$C$8)),'Bonding Program'!$Z$51,0)+IF(AND('Bonding Program'!$P$51&lt;&gt;"",BA$3='Bonding Program'!$P$51,BA$3&lt;='Bonding Program'!$C$8),N('Bonding Program'!$O$51),0)</f>
        <v>0</v>
      </c>
      <c r="BB192" s="19" t="n">
        <f aca="false">IF(AND('Bonding Program'!$S$51=1,'Bonding Program'!$H$51&gt;'Bonding Program'!$C$8,BB$3='Bonding Program'!$H$51),'Bonding Program'!$T$51-'Bonding Program'!$U$51-'Bonding Program'!$Z$51,0)-IF(AND('Bonding Program'!$S$51=1,'Bonding Program'!$H$51&lt;='Bonding Program'!$C$8,BB$3=IF('Bonding Program'!$P$51&lt;&gt;"",'Bonding Program'!$P$51,'Bonding Program'!$C$8)),'Bonding Program'!$Z$51,0)+IF(AND('Bonding Program'!$P$51&lt;&gt;"",BB$3='Bonding Program'!$P$51,BB$3&lt;='Bonding Program'!$C$8),N('Bonding Program'!$O$51),0)</f>
        <v>0</v>
      </c>
      <c r="BC192" s="19" t="n">
        <f aca="false">IF(AND('Bonding Program'!$S$51=1,'Bonding Program'!$H$51&gt;'Bonding Program'!$C$8,BC$3='Bonding Program'!$H$51),'Bonding Program'!$T$51-'Bonding Program'!$U$51-'Bonding Program'!$Z$51,0)-IF(AND('Bonding Program'!$S$51=1,'Bonding Program'!$H$51&lt;='Bonding Program'!$C$8,BC$3=IF('Bonding Program'!$P$51&lt;&gt;"",'Bonding Program'!$P$51,'Bonding Program'!$C$8)),'Bonding Program'!$Z$51,0)+IF(AND('Bonding Program'!$P$51&lt;&gt;"",BC$3='Bonding Program'!$P$51,BC$3&lt;='Bonding Program'!$C$8),N('Bonding Program'!$O$51),0)</f>
        <v>0</v>
      </c>
      <c r="BD192" s="19" t="n">
        <f aca="false">IF(AND('Bonding Program'!$S$51=1,'Bonding Program'!$H$51&gt;'Bonding Program'!$C$8,BD$3='Bonding Program'!$H$51),'Bonding Program'!$T$51-'Bonding Program'!$U$51-'Bonding Program'!$Z$51,0)-IF(AND('Bonding Program'!$S$51=1,'Bonding Program'!$H$51&lt;='Bonding Program'!$C$8,BD$3=IF('Bonding Program'!$P$51&lt;&gt;"",'Bonding Program'!$P$51,'Bonding Program'!$C$8)),'Bonding Program'!$Z$51,0)+IF(AND('Bonding Program'!$P$51&lt;&gt;"",BD$3='Bonding Program'!$P$51,BD$3&lt;='Bonding Program'!$C$8),N('Bonding Program'!$O$51),0)</f>
        <v>0</v>
      </c>
      <c r="BE192" s="19" t="n">
        <f aca="false">IF(AND('Bonding Program'!$S$51=1,'Bonding Program'!$H$51&gt;'Bonding Program'!$C$8,BE$3='Bonding Program'!$H$51),'Bonding Program'!$T$51-'Bonding Program'!$U$51-'Bonding Program'!$Z$51,0)-IF(AND('Bonding Program'!$S$51=1,'Bonding Program'!$H$51&lt;='Bonding Program'!$C$8,BE$3=IF('Bonding Program'!$P$51&lt;&gt;"",'Bonding Program'!$P$51,'Bonding Program'!$C$8)),'Bonding Program'!$Z$51,0)+IF(AND('Bonding Program'!$P$51&lt;&gt;"",BE$3='Bonding Program'!$P$51,BE$3&lt;='Bonding Program'!$C$8),N('Bonding Program'!$O$51),0)</f>
        <v>0</v>
      </c>
      <c r="BF192" s="19" t="n">
        <f aca="false">IF(AND('Bonding Program'!$S$51=1,'Bonding Program'!$H$51&gt;'Bonding Program'!$C$8,BF$3='Bonding Program'!$H$51),'Bonding Program'!$T$51-'Bonding Program'!$U$51-'Bonding Program'!$Z$51,0)-IF(AND('Bonding Program'!$S$51=1,'Bonding Program'!$H$51&lt;='Bonding Program'!$C$8,BF$3=IF('Bonding Program'!$P$51&lt;&gt;"",'Bonding Program'!$P$51,'Bonding Program'!$C$8)),'Bonding Program'!$Z$51,0)+IF(AND('Bonding Program'!$P$51&lt;&gt;"",BF$3='Bonding Program'!$P$51,BF$3&lt;='Bonding Program'!$C$8),N('Bonding Program'!$O$51),0)</f>
        <v>0</v>
      </c>
      <c r="BG192" s="19" t="n">
        <f aca="false">IF(AND('Bonding Program'!$S$51=1,'Bonding Program'!$H$51&gt;'Bonding Program'!$C$8,BG$3='Bonding Program'!$H$51),'Bonding Program'!$T$51-'Bonding Program'!$U$51-'Bonding Program'!$Z$51,0)-IF(AND('Bonding Program'!$S$51=1,'Bonding Program'!$H$51&lt;='Bonding Program'!$C$8,BG$3=IF('Bonding Program'!$P$51&lt;&gt;"",'Bonding Program'!$P$51,'Bonding Program'!$C$8)),'Bonding Program'!$Z$51,0)+IF(AND('Bonding Program'!$P$51&lt;&gt;"",BG$3='Bonding Program'!$P$51,BG$3&lt;='Bonding Program'!$C$8),N('Bonding Program'!$O$51),0)</f>
        <v>0</v>
      </c>
      <c r="BH192" s="19" t="n">
        <f aca="false">IF(AND('Bonding Program'!$S$51=1,'Bonding Program'!$H$51&gt;'Bonding Program'!$C$8,BH$3='Bonding Program'!$H$51),'Bonding Program'!$T$51-'Bonding Program'!$U$51-'Bonding Program'!$Z$51,0)-IF(AND('Bonding Program'!$S$51=1,'Bonding Program'!$H$51&lt;='Bonding Program'!$C$8,BH$3=IF('Bonding Program'!$P$51&lt;&gt;"",'Bonding Program'!$P$51,'Bonding Program'!$C$8)),'Bonding Program'!$Z$51,0)+IF(AND('Bonding Program'!$P$51&lt;&gt;"",BH$3='Bonding Program'!$P$51,BH$3&lt;='Bonding Program'!$C$8),N('Bonding Program'!$O$51),0)</f>
        <v>0</v>
      </c>
      <c r="BI192" s="19" t="n">
        <f aca="false">IF(AND('Bonding Program'!$S$51=1,'Bonding Program'!$H$51&gt;'Bonding Program'!$C$8,BI$3='Bonding Program'!$H$51),'Bonding Program'!$T$51-'Bonding Program'!$U$51-'Bonding Program'!$Z$51,0)-IF(AND('Bonding Program'!$S$51=1,'Bonding Program'!$H$51&lt;='Bonding Program'!$C$8,BI$3=IF('Bonding Program'!$P$51&lt;&gt;"",'Bonding Program'!$P$51,'Bonding Program'!$C$8)),'Bonding Program'!$Z$51,0)+IF(AND('Bonding Program'!$P$51&lt;&gt;"",BI$3='Bonding Program'!$P$51,BI$3&lt;='Bonding Program'!$C$8),N('Bonding Program'!$O$51),0)</f>
        <v>0</v>
      </c>
      <c r="BJ192" s="19" t="n">
        <f aca="false">IF(AND('Bonding Program'!$S$51=1,'Bonding Program'!$H$51&gt;'Bonding Program'!$C$8,BJ$3='Bonding Program'!$H$51),'Bonding Program'!$T$51-'Bonding Program'!$U$51-'Bonding Program'!$Z$51,0)-IF(AND('Bonding Program'!$S$51=1,'Bonding Program'!$H$51&lt;='Bonding Program'!$C$8,BJ$3=IF('Bonding Program'!$P$51&lt;&gt;"",'Bonding Program'!$P$51,'Bonding Program'!$C$8)),'Bonding Program'!$Z$51,0)+IF(AND('Bonding Program'!$P$51&lt;&gt;"",BJ$3='Bonding Program'!$P$51,BJ$3&lt;='Bonding Program'!$C$8),N('Bonding Program'!$O$51),0)</f>
        <v>0</v>
      </c>
      <c r="BK192" s="19" t="n">
        <f aca="false">IF(AND('Bonding Program'!$S$51=1,'Bonding Program'!$H$51&gt;'Bonding Program'!$C$8,BK$3='Bonding Program'!$H$51),'Bonding Program'!$T$51-'Bonding Program'!$U$51-'Bonding Program'!$Z$51,0)-IF(AND('Bonding Program'!$S$51=1,'Bonding Program'!$H$51&lt;='Bonding Program'!$C$8,BK$3=IF('Bonding Program'!$P$51&lt;&gt;"",'Bonding Program'!$P$51,'Bonding Program'!$C$8)),'Bonding Program'!$Z$51,0)+IF(AND('Bonding Program'!$P$51&lt;&gt;"",BK$3='Bonding Program'!$P$51,BK$3&lt;='Bonding Program'!$C$8),N('Bonding Program'!$O$51),0)</f>
        <v>0</v>
      </c>
      <c r="BL192" s="19" t="n">
        <f aca="false">IF(AND('Bonding Program'!$S$51=1,'Bonding Program'!$H$51&gt;'Bonding Program'!$C$8,BL$3='Bonding Program'!$H$51),'Bonding Program'!$T$51-'Bonding Program'!$U$51-'Bonding Program'!$Z$51,0)-IF(AND('Bonding Program'!$S$51=1,'Bonding Program'!$H$51&lt;='Bonding Program'!$C$8,BL$3=IF('Bonding Program'!$P$51&lt;&gt;"",'Bonding Program'!$P$51,'Bonding Program'!$C$8)),'Bonding Program'!$Z$51,0)+IF(AND('Bonding Program'!$P$51&lt;&gt;"",BL$3='Bonding Program'!$P$51,BL$3&lt;='Bonding Program'!$C$8),N('Bonding Program'!$O$51),0)</f>
        <v>0</v>
      </c>
      <c r="BM192" s="19" t="n">
        <f aca="false">IF(AND('Bonding Program'!$S$51=1,'Bonding Program'!$H$51&gt;'Bonding Program'!$C$8,BM$3='Bonding Program'!$H$51),'Bonding Program'!$T$51-'Bonding Program'!$U$51-'Bonding Program'!$Z$51,0)-IF(AND('Bonding Program'!$S$51=1,'Bonding Program'!$H$51&lt;='Bonding Program'!$C$8,BM$3=IF('Bonding Program'!$P$51&lt;&gt;"",'Bonding Program'!$P$51,'Bonding Program'!$C$8)),'Bonding Program'!$Z$51,0)+IF(AND('Bonding Program'!$P$51&lt;&gt;"",BM$3='Bonding Program'!$P$51,BM$3&lt;='Bonding Program'!$C$8),N('Bonding Program'!$O$51),0)</f>
        <v>0</v>
      </c>
      <c r="BN192" s="19" t="n">
        <f aca="false">IF(AND('Bonding Program'!$S$51=1,'Bonding Program'!$H$51&gt;'Bonding Program'!$C$8,BN$3='Bonding Program'!$H$51),'Bonding Program'!$T$51-'Bonding Program'!$U$51-'Bonding Program'!$Z$51,0)-IF(AND('Bonding Program'!$S$51=1,'Bonding Program'!$H$51&lt;='Bonding Program'!$C$8,BN$3=IF('Bonding Program'!$P$51&lt;&gt;"",'Bonding Program'!$P$51,'Bonding Program'!$C$8)),'Bonding Program'!$Z$51,0)+IF(AND('Bonding Program'!$P$51&lt;&gt;"",BN$3='Bonding Program'!$P$51,BN$3&lt;='Bonding Program'!$C$8),N('Bonding Program'!$O$51),0)</f>
        <v>0</v>
      </c>
      <c r="BO192" s="19" t="n">
        <f aca="false">IF(AND('Bonding Program'!$S$51=1,'Bonding Program'!$H$51&gt;'Bonding Program'!$C$8,BO$3='Bonding Program'!$H$51),'Bonding Program'!$T$51-'Bonding Program'!$U$51-'Bonding Program'!$Z$51,0)-IF(AND('Bonding Program'!$S$51=1,'Bonding Program'!$H$51&lt;='Bonding Program'!$C$8,BO$3=IF('Bonding Program'!$P$51&lt;&gt;"",'Bonding Program'!$P$51,'Bonding Program'!$C$8)),'Bonding Program'!$Z$51,0)+IF(AND('Bonding Program'!$P$51&lt;&gt;"",BO$3='Bonding Program'!$P$51,BO$3&lt;='Bonding Program'!$C$8),N('Bonding Program'!$O$51),0)</f>
        <v>0</v>
      </c>
      <c r="BP192" s="19" t="n">
        <f aca="false">IF(AND('Bonding Program'!$S$51=1,'Bonding Program'!$H$51&gt;'Bonding Program'!$C$8,BP$3='Bonding Program'!$H$51),'Bonding Program'!$T$51-'Bonding Program'!$U$51-'Bonding Program'!$Z$51,0)-IF(AND('Bonding Program'!$S$51=1,'Bonding Program'!$H$51&lt;='Bonding Program'!$C$8,BP$3=IF('Bonding Program'!$P$51&lt;&gt;"",'Bonding Program'!$P$51,'Bonding Program'!$C$8)),'Bonding Program'!$Z$51,0)+IF(AND('Bonding Program'!$P$51&lt;&gt;"",BP$3='Bonding Program'!$P$51,BP$3&lt;='Bonding Program'!$C$8),N('Bonding Program'!$O$51),0)</f>
        <v>0</v>
      </c>
      <c r="BQ192" s="19" t="n">
        <f aca="false">IF(AND('Bonding Program'!$S$51=1,'Bonding Program'!$H$51&gt;'Bonding Program'!$C$8,BQ$3='Bonding Program'!$H$51),'Bonding Program'!$T$51-'Bonding Program'!$U$51-'Bonding Program'!$Z$51,0)-IF(AND('Bonding Program'!$S$51=1,'Bonding Program'!$H$51&lt;='Bonding Program'!$C$8,BQ$3=IF('Bonding Program'!$P$51&lt;&gt;"",'Bonding Program'!$P$51,'Bonding Program'!$C$8)),'Bonding Program'!$Z$51,0)+IF(AND('Bonding Program'!$P$51&lt;&gt;"",BQ$3='Bonding Program'!$P$51,BQ$3&lt;='Bonding Program'!$C$8),N('Bonding Program'!$O$51),0)</f>
        <v>0</v>
      </c>
      <c r="BR192" s="19" t="n">
        <f aca="false">IF(AND('Bonding Program'!$S$51=1,'Bonding Program'!$H$51&gt;'Bonding Program'!$C$8,BR$3='Bonding Program'!$H$51),'Bonding Program'!$T$51-'Bonding Program'!$U$51-'Bonding Program'!$Z$51,0)-IF(AND('Bonding Program'!$S$51=1,'Bonding Program'!$H$51&lt;='Bonding Program'!$C$8,BR$3=IF('Bonding Program'!$P$51&lt;&gt;"",'Bonding Program'!$P$51,'Bonding Program'!$C$8)),'Bonding Program'!$Z$51,0)+IF(AND('Bonding Program'!$P$51&lt;&gt;"",BR$3='Bonding Program'!$P$51,BR$3&lt;='Bonding Program'!$C$8),N('Bonding Program'!$O$51),0)</f>
        <v>0</v>
      </c>
      <c r="BS192" s="19" t="n">
        <f aca="false">IF(AND('Bonding Program'!$S$51=1,'Bonding Program'!$H$51&gt;'Bonding Program'!$C$8,BS$3='Bonding Program'!$H$51),'Bonding Program'!$T$51-'Bonding Program'!$U$51-'Bonding Program'!$Z$51,0)-IF(AND('Bonding Program'!$S$51=1,'Bonding Program'!$H$51&lt;='Bonding Program'!$C$8,BS$3=IF('Bonding Program'!$P$51&lt;&gt;"",'Bonding Program'!$P$51,'Bonding Program'!$C$8)),'Bonding Program'!$Z$51,0)+IF(AND('Bonding Program'!$P$51&lt;&gt;"",BS$3='Bonding Program'!$P$51,BS$3&lt;='Bonding Program'!$C$8),N('Bonding Program'!$O$51),0)</f>
        <v>0</v>
      </c>
      <c r="BT192" s="19" t="n">
        <f aca="false">IF(AND('Bonding Program'!$S$51=1,'Bonding Program'!$H$51&gt;'Bonding Program'!$C$8,BT$3='Bonding Program'!$H$51),'Bonding Program'!$T$51-'Bonding Program'!$U$51-'Bonding Program'!$Z$51,0)-IF(AND('Bonding Program'!$S$51=1,'Bonding Program'!$H$51&lt;='Bonding Program'!$C$8,BT$3=IF('Bonding Program'!$P$51&lt;&gt;"",'Bonding Program'!$P$51,'Bonding Program'!$C$8)),'Bonding Program'!$Z$51,0)+IF(AND('Bonding Program'!$P$51&lt;&gt;"",BT$3='Bonding Program'!$P$51,BT$3&lt;='Bonding Program'!$C$8),N('Bonding Program'!$O$51),0)</f>
        <v>0</v>
      </c>
      <c r="BU192" s="19" t="n">
        <f aca="false">IF(AND('Bonding Program'!$S$51=1,'Bonding Program'!$H$51&gt;'Bonding Program'!$C$8,BU$3='Bonding Program'!$H$51),'Bonding Program'!$T$51-'Bonding Program'!$U$51-'Bonding Program'!$Z$51,0)-IF(AND('Bonding Program'!$S$51=1,'Bonding Program'!$H$51&lt;='Bonding Program'!$C$8,BU$3=IF('Bonding Program'!$P$51&lt;&gt;"",'Bonding Program'!$P$51,'Bonding Program'!$C$8)),'Bonding Program'!$Z$51,0)+IF(AND('Bonding Program'!$P$51&lt;&gt;"",BU$3='Bonding Program'!$P$51,BU$3&lt;='Bonding Program'!$C$8),N('Bonding Program'!$O$51),0)</f>
        <v>0</v>
      </c>
      <c r="BV192" s="19" t="n">
        <f aca="false">IF(AND('Bonding Program'!$S$51=1,'Bonding Program'!$H$51&gt;'Bonding Program'!$C$8,BV$3='Bonding Program'!$H$51),'Bonding Program'!$T$51-'Bonding Program'!$U$51-'Bonding Program'!$Z$51,0)-IF(AND('Bonding Program'!$S$51=1,'Bonding Program'!$H$51&lt;='Bonding Program'!$C$8,BV$3=IF('Bonding Program'!$P$51&lt;&gt;"",'Bonding Program'!$P$51,'Bonding Program'!$C$8)),'Bonding Program'!$Z$51,0)+IF(AND('Bonding Program'!$P$51&lt;&gt;"",BV$3='Bonding Program'!$P$51,BV$3&lt;='Bonding Program'!$C$8),N('Bonding Program'!$O$51),0)</f>
        <v>0</v>
      </c>
      <c r="BW192" s="19" t="n">
        <f aca="false">IF(AND('Bonding Program'!$S$51=1,'Bonding Program'!$H$51&gt;'Bonding Program'!$C$8,BW$3='Bonding Program'!$H$51),'Bonding Program'!$T$51-'Bonding Program'!$U$51-'Bonding Program'!$Z$51,0)-IF(AND('Bonding Program'!$S$51=1,'Bonding Program'!$H$51&lt;='Bonding Program'!$C$8,BW$3=IF('Bonding Program'!$P$51&lt;&gt;"",'Bonding Program'!$P$51,'Bonding Program'!$C$8)),'Bonding Program'!$Z$51,0)+IF(AND('Bonding Program'!$P$51&lt;&gt;"",BW$3='Bonding Program'!$P$51,BW$3&lt;='Bonding Program'!$C$8),N('Bonding Program'!$O$51),0)</f>
        <v>0</v>
      </c>
      <c r="BX192" s="19" t="n">
        <f aca="false">IF(AND('Bonding Program'!$S$51=1,'Bonding Program'!$H$51&gt;'Bonding Program'!$C$8,BX$3='Bonding Program'!$H$51),'Bonding Program'!$T$51-'Bonding Program'!$U$51-'Bonding Program'!$Z$51,0)-IF(AND('Bonding Program'!$S$51=1,'Bonding Program'!$H$51&lt;='Bonding Program'!$C$8,BX$3=IF('Bonding Program'!$P$51&lt;&gt;"",'Bonding Program'!$P$51,'Bonding Program'!$C$8)),'Bonding Program'!$Z$51,0)+IF(AND('Bonding Program'!$P$51&lt;&gt;"",BX$3='Bonding Program'!$P$51,BX$3&lt;='Bonding Program'!$C$8),N('Bonding Program'!$O$51),0)</f>
        <v>0</v>
      </c>
      <c r="BY192" s="19" t="n">
        <f aca="false">IF(AND('Bonding Program'!$S$51=1,'Bonding Program'!$H$51&gt;'Bonding Program'!$C$8,BY$3='Bonding Program'!$H$51),'Bonding Program'!$T$51-'Bonding Program'!$U$51-'Bonding Program'!$Z$51,0)-IF(AND('Bonding Program'!$S$51=1,'Bonding Program'!$H$51&lt;='Bonding Program'!$C$8,BY$3=IF('Bonding Program'!$P$51&lt;&gt;"",'Bonding Program'!$P$51,'Bonding Program'!$C$8)),'Bonding Program'!$Z$51,0)+IF(AND('Bonding Program'!$P$51&lt;&gt;"",BY$3='Bonding Program'!$P$51,BY$3&lt;='Bonding Program'!$C$8),N('Bonding Program'!$O$51),0)</f>
        <v>0</v>
      </c>
      <c r="BZ192" s="19" t="n">
        <f aca="false">IF(AND('Bonding Program'!$S$51=1,'Bonding Program'!$H$51&gt;'Bonding Program'!$C$8,BZ$3='Bonding Program'!$H$51),'Bonding Program'!$T$51-'Bonding Program'!$U$51-'Bonding Program'!$Z$51,0)-IF(AND('Bonding Program'!$S$51=1,'Bonding Program'!$H$51&lt;='Bonding Program'!$C$8,BZ$3=IF('Bonding Program'!$P$51&lt;&gt;"",'Bonding Program'!$P$51,'Bonding Program'!$C$8)),'Bonding Program'!$Z$51,0)+IF(AND('Bonding Program'!$P$51&lt;&gt;"",BZ$3='Bonding Program'!$P$51,BZ$3&lt;='Bonding Program'!$C$8),N('Bonding Program'!$O$51),0)</f>
        <v>0</v>
      </c>
      <c r="CA192" s="19" t="n">
        <f aca="false">IF(AND('Bonding Program'!$S$51=1,'Bonding Program'!$H$51&gt;'Bonding Program'!$C$8,CA$3='Bonding Program'!$H$51),'Bonding Program'!$T$51-'Bonding Program'!$U$51-'Bonding Program'!$Z$51,0)-IF(AND('Bonding Program'!$S$51=1,'Bonding Program'!$H$51&lt;='Bonding Program'!$C$8,CA$3=IF('Bonding Program'!$P$51&lt;&gt;"",'Bonding Program'!$P$51,'Bonding Program'!$C$8)),'Bonding Program'!$Z$51,0)+IF(AND('Bonding Program'!$P$51&lt;&gt;"",CA$3='Bonding Program'!$P$51,CA$3&lt;='Bonding Program'!$C$8),N('Bonding Program'!$O$51),0)</f>
        <v>0</v>
      </c>
      <c r="CB192" s="19" t="n">
        <f aca="false">IF(AND('Bonding Program'!$S$51=1,'Bonding Program'!$H$51&gt;'Bonding Program'!$C$8,CB$3='Bonding Program'!$H$51),'Bonding Program'!$T$51-'Bonding Program'!$U$51-'Bonding Program'!$Z$51,0)-IF(AND('Bonding Program'!$S$51=1,'Bonding Program'!$H$51&lt;='Bonding Program'!$C$8,CB$3=IF('Bonding Program'!$P$51&lt;&gt;"",'Bonding Program'!$P$51,'Bonding Program'!$C$8)),'Bonding Program'!$Z$51,0)+IF(AND('Bonding Program'!$P$51&lt;&gt;"",CB$3='Bonding Program'!$P$51,CB$3&lt;='Bonding Program'!$C$8),N('Bonding Program'!$O$51),0)</f>
        <v>0</v>
      </c>
      <c r="CC192" s="19" t="n">
        <f aca="false">IF(AND('Bonding Program'!$S$51=1,'Bonding Program'!$H$51&gt;'Bonding Program'!$C$8,CC$3='Bonding Program'!$H$51),'Bonding Program'!$T$51-'Bonding Program'!$U$51-'Bonding Program'!$Z$51,0)-IF(AND('Bonding Program'!$S$51=1,'Bonding Program'!$H$51&lt;='Bonding Program'!$C$8,CC$3=IF('Bonding Program'!$P$51&lt;&gt;"",'Bonding Program'!$P$51,'Bonding Program'!$C$8)),'Bonding Program'!$Z$51,0)+IF(AND('Bonding Program'!$P$51&lt;&gt;"",CC$3='Bonding Program'!$P$51,CC$3&lt;='Bonding Program'!$C$8),N('Bonding Program'!$O$51),0)</f>
        <v>0</v>
      </c>
      <c r="CD192" s="19" t="n">
        <f aca="false">IF(AND('Bonding Program'!$S$51=1,'Bonding Program'!$H$51&gt;'Bonding Program'!$C$8,CD$3='Bonding Program'!$H$51),'Bonding Program'!$T$51-'Bonding Program'!$U$51-'Bonding Program'!$Z$51,0)-IF(AND('Bonding Program'!$S$51=1,'Bonding Program'!$H$51&lt;='Bonding Program'!$C$8,CD$3=IF('Bonding Program'!$P$51&lt;&gt;"",'Bonding Program'!$P$51,'Bonding Program'!$C$8)),'Bonding Program'!$Z$51,0)+IF(AND('Bonding Program'!$P$51&lt;&gt;"",CD$3='Bonding Program'!$P$51,CD$3&lt;='Bonding Program'!$C$8),N('Bonding Program'!$O$51),0)</f>
        <v>0</v>
      </c>
      <c r="CE192" s="19" t="n">
        <f aca="false">IF(AND('Bonding Program'!$S$51=1,'Bonding Program'!$H$51&gt;'Bonding Program'!$C$8,CE$3='Bonding Program'!$H$51),'Bonding Program'!$T$51-'Bonding Program'!$U$51-'Bonding Program'!$Z$51,0)-IF(AND('Bonding Program'!$S$51=1,'Bonding Program'!$H$51&lt;='Bonding Program'!$C$8,CE$3=IF('Bonding Program'!$P$51&lt;&gt;"",'Bonding Program'!$P$51,'Bonding Program'!$C$8)),'Bonding Program'!$Z$51,0)+IF(AND('Bonding Program'!$P$51&lt;&gt;"",CE$3='Bonding Program'!$P$51,CE$3&lt;='Bonding Program'!$C$8),N('Bonding Program'!$O$51),0)</f>
        <v>0</v>
      </c>
      <c r="CF192" s="19" t="n">
        <f aca="false">IF(AND('Bonding Program'!$S$51=1,'Bonding Program'!$H$51&gt;'Bonding Program'!$C$8,CF$3='Bonding Program'!$H$51),'Bonding Program'!$T$51-'Bonding Program'!$U$51-'Bonding Program'!$Z$51,0)-IF(AND('Bonding Program'!$S$51=1,'Bonding Program'!$H$51&lt;='Bonding Program'!$C$8,CF$3=IF('Bonding Program'!$P$51&lt;&gt;"",'Bonding Program'!$P$51,'Bonding Program'!$C$8)),'Bonding Program'!$Z$51,0)+IF(AND('Bonding Program'!$P$51&lt;&gt;"",CF$3='Bonding Program'!$P$51,CF$3&lt;='Bonding Program'!$C$8),N('Bonding Program'!$O$51),0)</f>
        <v>0</v>
      </c>
      <c r="CG192" s="19" t="n">
        <f aca="false">IF(AND('Bonding Program'!$S$51=1,'Bonding Program'!$H$51&gt;'Bonding Program'!$C$8,CG$3='Bonding Program'!$H$51),'Bonding Program'!$T$51-'Bonding Program'!$U$51-'Bonding Program'!$Z$51,0)-IF(AND('Bonding Program'!$S$51=1,'Bonding Program'!$H$51&lt;='Bonding Program'!$C$8,CG$3=IF('Bonding Program'!$P$51&lt;&gt;"",'Bonding Program'!$P$51,'Bonding Program'!$C$8)),'Bonding Program'!$Z$51,0)+IF(AND('Bonding Program'!$P$51&lt;&gt;"",CG$3='Bonding Program'!$P$51,CG$3&lt;='Bonding Program'!$C$8),N('Bonding Program'!$O$51),0)</f>
        <v>0</v>
      </c>
      <c r="CH192" s="19" t="n">
        <f aca="false">IF(AND('Bonding Program'!$S$51=1,'Bonding Program'!$H$51&gt;'Bonding Program'!$C$8,CH$3='Bonding Program'!$H$51),'Bonding Program'!$T$51-'Bonding Program'!$U$51-'Bonding Program'!$Z$51,0)-IF(AND('Bonding Program'!$S$51=1,'Bonding Program'!$H$51&lt;='Bonding Program'!$C$8,CH$3=IF('Bonding Program'!$P$51&lt;&gt;"",'Bonding Program'!$P$51,'Bonding Program'!$C$8)),'Bonding Program'!$Z$51,0)+IF(AND('Bonding Program'!$P$51&lt;&gt;"",CH$3='Bonding Program'!$P$51,CH$3&lt;='Bonding Program'!$C$8),N('Bonding Program'!$O$51),0)</f>
        <v>0</v>
      </c>
      <c r="CI192" s="19" t="n">
        <f aca="false">IF(AND('Bonding Program'!$S$51=1,'Bonding Program'!$H$51&gt;'Bonding Program'!$C$8,CI$3='Bonding Program'!$H$51),'Bonding Program'!$T$51-'Bonding Program'!$U$51-'Bonding Program'!$Z$51,0)-IF(AND('Bonding Program'!$S$51=1,'Bonding Program'!$H$51&lt;='Bonding Program'!$C$8,CI$3=IF('Bonding Program'!$P$51&lt;&gt;"",'Bonding Program'!$P$51,'Bonding Program'!$C$8)),'Bonding Program'!$Z$51,0)+IF(AND('Bonding Program'!$P$51&lt;&gt;"",CI$3='Bonding Program'!$P$51,CI$3&lt;='Bonding Program'!$C$8),N('Bonding Program'!$O$51),0)</f>
        <v>0</v>
      </c>
      <c r="CJ192" s="19" t="n">
        <f aca="false">IF(AND('Bonding Program'!$S$51=1,'Bonding Program'!$H$51&gt;'Bonding Program'!$C$8,CJ$3='Bonding Program'!$H$51),'Bonding Program'!$T$51-'Bonding Program'!$U$51-'Bonding Program'!$Z$51,0)-IF(AND('Bonding Program'!$S$51=1,'Bonding Program'!$H$51&lt;='Bonding Program'!$C$8,CJ$3=IF('Bonding Program'!$P$51&lt;&gt;"",'Bonding Program'!$P$51,'Bonding Program'!$C$8)),'Bonding Program'!$Z$51,0)+IF(AND('Bonding Program'!$P$51&lt;&gt;"",CJ$3='Bonding Program'!$P$51,CJ$3&lt;='Bonding Program'!$C$8),N('Bonding Program'!$O$51),0)</f>
        <v>0</v>
      </c>
      <c r="CK192" s="19" t="n">
        <f aca="false">IF(AND('Bonding Program'!$S$51=1,'Bonding Program'!$H$51&gt;'Bonding Program'!$C$8,CK$3='Bonding Program'!$H$51),'Bonding Program'!$T$51-'Bonding Program'!$U$51-'Bonding Program'!$Z$51,0)-IF(AND('Bonding Program'!$S$51=1,'Bonding Program'!$H$51&lt;='Bonding Program'!$C$8,CK$3=IF('Bonding Program'!$P$51&lt;&gt;"",'Bonding Program'!$P$51,'Bonding Program'!$C$8)),'Bonding Program'!$Z$51,0)+IF(AND('Bonding Program'!$P$51&lt;&gt;"",CK$3='Bonding Program'!$P$51,CK$3&lt;='Bonding Program'!$C$8),N('Bonding Program'!$O$51),0)</f>
        <v>0</v>
      </c>
      <c r="CL192" s="19" t="n">
        <f aca="false">IF(AND('Bonding Program'!$S$51=1,'Bonding Program'!$H$51&gt;'Bonding Program'!$C$8,CL$3='Bonding Program'!$H$51),'Bonding Program'!$T$51-'Bonding Program'!$U$51-'Bonding Program'!$Z$51,0)-IF(AND('Bonding Program'!$S$51=1,'Bonding Program'!$H$51&lt;='Bonding Program'!$C$8,CL$3=IF('Bonding Program'!$P$51&lt;&gt;"",'Bonding Program'!$P$51,'Bonding Program'!$C$8)),'Bonding Program'!$Z$51,0)+IF(AND('Bonding Program'!$P$51&lt;&gt;"",CL$3='Bonding Program'!$P$51,CL$3&lt;='Bonding Program'!$C$8),N('Bonding Program'!$O$51),0)</f>
        <v>0</v>
      </c>
      <c r="CM192" s="19" t="n">
        <f aca="false">IF(AND('Bonding Program'!$S$51=1,'Bonding Program'!$H$51&gt;'Bonding Program'!$C$8,CM$3='Bonding Program'!$H$51),'Bonding Program'!$T$51-'Bonding Program'!$U$51-'Bonding Program'!$Z$51,0)-IF(AND('Bonding Program'!$S$51=1,'Bonding Program'!$H$51&lt;='Bonding Program'!$C$8,CM$3=IF('Bonding Program'!$P$51&lt;&gt;"",'Bonding Program'!$P$51,'Bonding Program'!$C$8)),'Bonding Program'!$Z$51,0)+IF(AND('Bonding Program'!$P$51&lt;&gt;"",CM$3='Bonding Program'!$P$51,CM$3&lt;='Bonding Program'!$C$8),N('Bonding Program'!$O$51),0)</f>
        <v>0</v>
      </c>
      <c r="CN192" s="19" t="n">
        <f aca="false">IF(AND('Bonding Program'!$S$51=1,'Bonding Program'!$H$51&gt;'Bonding Program'!$C$8,CN$3='Bonding Program'!$H$51),'Bonding Program'!$T$51-'Bonding Program'!$U$51-'Bonding Program'!$Z$51,0)-IF(AND('Bonding Program'!$S$51=1,'Bonding Program'!$H$51&lt;='Bonding Program'!$C$8,CN$3=IF('Bonding Program'!$P$51&lt;&gt;"",'Bonding Program'!$P$51,'Bonding Program'!$C$8)),'Bonding Program'!$Z$51,0)+IF(AND('Bonding Program'!$P$51&lt;&gt;"",CN$3='Bonding Program'!$P$51,CN$3&lt;='Bonding Program'!$C$8),N('Bonding Program'!$O$51),0)</f>
        <v>0</v>
      </c>
      <c r="CO192" s="19" t="n">
        <f aca="false">IF(AND('Bonding Program'!$S$51=1,'Bonding Program'!$H$51&gt;'Bonding Program'!$C$8,CO$3='Bonding Program'!$H$51),'Bonding Program'!$T$51-'Bonding Program'!$U$51-'Bonding Program'!$Z$51,0)-IF(AND('Bonding Program'!$S$51=1,'Bonding Program'!$H$51&lt;='Bonding Program'!$C$8,CO$3=IF('Bonding Program'!$P$51&lt;&gt;"",'Bonding Program'!$P$51,'Bonding Program'!$C$8)),'Bonding Program'!$Z$51,0)+IF(AND('Bonding Program'!$P$51&lt;&gt;"",CO$3='Bonding Program'!$P$51,CO$3&lt;='Bonding Program'!$C$8),N('Bonding Program'!$O$51),0)</f>
        <v>0</v>
      </c>
      <c r="CP192" s="19" t="n">
        <f aca="false">IF(AND('Bonding Program'!$S$51=1,'Bonding Program'!$H$51&gt;'Bonding Program'!$C$8,CP$3='Bonding Program'!$H$51),'Bonding Program'!$T$51-'Bonding Program'!$U$51-'Bonding Program'!$Z$51,0)-IF(AND('Bonding Program'!$S$51=1,'Bonding Program'!$H$51&lt;='Bonding Program'!$C$8,CP$3=IF('Bonding Program'!$P$51&lt;&gt;"",'Bonding Program'!$P$51,'Bonding Program'!$C$8)),'Bonding Program'!$Z$51,0)+IF(AND('Bonding Program'!$P$51&lt;&gt;"",CP$3='Bonding Program'!$P$51,CP$3&lt;='Bonding Program'!$C$8),N('Bonding Program'!$O$51),0)</f>
        <v>0</v>
      </c>
      <c r="CQ192" s="19" t="n">
        <f aca="false">IF(AND('Bonding Program'!$S$51=1,'Bonding Program'!$H$51&gt;'Bonding Program'!$C$8,CQ$3='Bonding Program'!$H$51),'Bonding Program'!$T$51-'Bonding Program'!$U$51-'Bonding Program'!$Z$51,0)-IF(AND('Bonding Program'!$S$51=1,'Bonding Program'!$H$51&lt;='Bonding Program'!$C$8,CQ$3=IF('Bonding Program'!$P$51&lt;&gt;"",'Bonding Program'!$P$51,'Bonding Program'!$C$8)),'Bonding Program'!$Z$51,0)+IF(AND('Bonding Program'!$P$51&lt;&gt;"",CQ$3='Bonding Program'!$P$51,CQ$3&lt;='Bonding Program'!$C$8),N('Bonding Program'!$O$51),0)</f>
        <v>0</v>
      </c>
      <c r="CR192" s="19" t="n">
        <f aca="false">IF(AND('Bonding Program'!$S$51=1,'Bonding Program'!$H$51&gt;'Bonding Program'!$C$8,CR$3='Bonding Program'!$H$51),'Bonding Program'!$T$51-'Bonding Program'!$U$51-'Bonding Program'!$Z$51,0)-IF(AND('Bonding Program'!$S$51=1,'Bonding Program'!$H$51&lt;='Bonding Program'!$C$8,CR$3=IF('Bonding Program'!$P$51&lt;&gt;"",'Bonding Program'!$P$51,'Bonding Program'!$C$8)),'Bonding Program'!$Z$51,0)+IF(AND('Bonding Program'!$P$51&lt;&gt;"",CR$3='Bonding Program'!$P$51,CR$3&lt;='Bonding Program'!$C$8),N('Bonding Program'!$O$51),0)</f>
        <v>0</v>
      </c>
      <c r="CS192" s="19" t="n">
        <f aca="false">IF(AND('Bonding Program'!$S$51=1,'Bonding Program'!$H$51&gt;'Bonding Program'!$C$8,CS$3='Bonding Program'!$H$51),'Bonding Program'!$T$51-'Bonding Program'!$U$51-'Bonding Program'!$Z$51,0)-IF(AND('Bonding Program'!$S$51=1,'Bonding Program'!$H$51&lt;='Bonding Program'!$C$8,CS$3=IF('Bonding Program'!$P$51&lt;&gt;"",'Bonding Program'!$P$51,'Bonding Program'!$C$8)),'Bonding Program'!$Z$51,0)+IF(AND('Bonding Program'!$P$51&lt;&gt;"",CS$3='Bonding Program'!$P$51,CS$3&lt;='Bonding Program'!$C$8),N('Bonding Program'!$O$51),0)</f>
        <v>0</v>
      </c>
      <c r="CT192" s="19" t="n">
        <f aca="false">IF(AND('Bonding Program'!$S$51=1,'Bonding Program'!$H$51&gt;'Bonding Program'!$C$8,CT$3='Bonding Program'!$H$51),'Bonding Program'!$T$51-'Bonding Program'!$U$51-'Bonding Program'!$Z$51,0)-IF(AND('Bonding Program'!$S$51=1,'Bonding Program'!$H$51&lt;='Bonding Program'!$C$8,CT$3=IF('Bonding Program'!$P$51&lt;&gt;"",'Bonding Program'!$P$51,'Bonding Program'!$C$8)),'Bonding Program'!$Z$51,0)+IF(AND('Bonding Program'!$P$51&lt;&gt;"",CT$3='Bonding Program'!$P$51,CT$3&lt;='Bonding Program'!$C$8),N('Bonding Program'!$O$51),0)</f>
        <v>0</v>
      </c>
      <c r="CU192" s="19" t="n">
        <f aca="false">IF(AND('Bonding Program'!$S$51=1,'Bonding Program'!$H$51&gt;'Bonding Program'!$C$8,CU$3='Bonding Program'!$H$51),'Bonding Program'!$T$51-'Bonding Program'!$U$51-'Bonding Program'!$Z$51,0)-IF(AND('Bonding Program'!$S$51=1,'Bonding Program'!$H$51&lt;='Bonding Program'!$C$8,CU$3=IF('Bonding Program'!$P$51&lt;&gt;"",'Bonding Program'!$P$51,'Bonding Program'!$C$8)),'Bonding Program'!$Z$51,0)+IF(AND('Bonding Program'!$P$51&lt;&gt;"",CU$3='Bonding Program'!$P$51,CU$3&lt;='Bonding Program'!$C$8),N('Bonding Program'!$O$51),0)</f>
        <v>0</v>
      </c>
      <c r="CV192" s="19" t="n">
        <f aca="false">IF(AND('Bonding Program'!$S$51=1,'Bonding Program'!$H$51&gt;'Bonding Program'!$C$8,CV$3='Bonding Program'!$H$51),'Bonding Program'!$T$51-'Bonding Program'!$U$51-'Bonding Program'!$Z$51,0)-IF(AND('Bonding Program'!$S$51=1,'Bonding Program'!$H$51&lt;='Bonding Program'!$C$8,CV$3=IF('Bonding Program'!$P$51&lt;&gt;"",'Bonding Program'!$P$51,'Bonding Program'!$C$8)),'Bonding Program'!$Z$51,0)+IF(AND('Bonding Program'!$P$51&lt;&gt;"",CV$3='Bonding Program'!$P$51,CV$3&lt;='Bonding Program'!$C$8),N('Bonding Program'!$O$51),0)</f>
        <v>0</v>
      </c>
      <c r="CW192" s="19" t="n">
        <f aca="false">IF(AND('Bonding Program'!$S$51=1,'Bonding Program'!$H$51&gt;'Bonding Program'!$C$8,CW$3='Bonding Program'!$H$51),'Bonding Program'!$T$51-'Bonding Program'!$U$51-'Bonding Program'!$Z$51,0)-IF(AND('Bonding Program'!$S$51=1,'Bonding Program'!$H$51&lt;='Bonding Program'!$C$8,CW$3=IF('Bonding Program'!$P$51&lt;&gt;"",'Bonding Program'!$P$51,'Bonding Program'!$C$8)),'Bonding Program'!$Z$51,0)+IF(AND('Bonding Program'!$P$51&lt;&gt;"",CW$3='Bonding Program'!$P$51,CW$3&lt;='Bonding Program'!$C$8),N('Bonding Program'!$O$51),0)</f>
        <v>0</v>
      </c>
      <c r="CX192" s="19" t="n">
        <f aca="false">IF(AND('Bonding Program'!$S$51=1,'Bonding Program'!$H$51&gt;'Bonding Program'!$C$8,CX$3='Bonding Program'!$H$51),'Bonding Program'!$T$51-'Bonding Program'!$U$51-'Bonding Program'!$Z$51,0)-IF(AND('Bonding Program'!$S$51=1,'Bonding Program'!$H$51&lt;='Bonding Program'!$C$8,CX$3=IF('Bonding Program'!$P$51&lt;&gt;"",'Bonding Program'!$P$51,'Bonding Program'!$C$8)),'Bonding Program'!$Z$51,0)+IF(AND('Bonding Program'!$P$51&lt;&gt;"",CX$3='Bonding Program'!$P$51,CX$3&lt;='Bonding Program'!$C$8),N('Bonding Program'!$O$51),0)</f>
        <v>0</v>
      </c>
      <c r="CY192" s="19" t="n">
        <f aca="false">IF(AND('Bonding Program'!$S$51=1,'Bonding Program'!$H$51&gt;'Bonding Program'!$C$8,CY$3='Bonding Program'!$H$51),'Bonding Program'!$T$51-'Bonding Program'!$U$51-'Bonding Program'!$Z$51,0)-IF(AND('Bonding Program'!$S$51=1,'Bonding Program'!$H$51&lt;='Bonding Program'!$C$8,CY$3=IF('Bonding Program'!$P$51&lt;&gt;"",'Bonding Program'!$P$51,'Bonding Program'!$C$8)),'Bonding Program'!$Z$51,0)+IF(AND('Bonding Program'!$P$51&lt;&gt;"",CY$3='Bonding Program'!$P$51,CY$3&lt;='Bonding Program'!$C$8),N('Bonding Program'!$O$51),0)</f>
        <v>0</v>
      </c>
      <c r="CZ192" s="19" t="n">
        <f aca="false">IF(AND('Bonding Program'!$S$51=1,'Bonding Program'!$H$51&gt;'Bonding Program'!$C$8,CZ$3='Bonding Program'!$H$51),'Bonding Program'!$T$51-'Bonding Program'!$U$51-'Bonding Program'!$Z$51,0)-IF(AND('Bonding Program'!$S$51=1,'Bonding Program'!$H$51&lt;='Bonding Program'!$C$8,CZ$3=IF('Bonding Program'!$P$51&lt;&gt;"",'Bonding Program'!$P$51,'Bonding Program'!$C$8)),'Bonding Program'!$Z$51,0)+IF(AND('Bonding Program'!$P$51&lt;&gt;"",CZ$3='Bonding Program'!$P$51,CZ$3&lt;='Bonding Program'!$C$8),N('Bonding Program'!$O$51),0)</f>
        <v>0</v>
      </c>
      <c r="DA192" s="19" t="n">
        <f aca="false">IF(AND('Bonding Program'!$S$51=1,'Bonding Program'!$H$51&gt;'Bonding Program'!$C$8,DA$3='Bonding Program'!$H$51),'Bonding Program'!$T$51-'Bonding Program'!$U$51-'Bonding Program'!$Z$51,0)-IF(AND('Bonding Program'!$S$51=1,'Bonding Program'!$H$51&lt;='Bonding Program'!$C$8,DA$3=IF('Bonding Program'!$P$51&lt;&gt;"",'Bonding Program'!$P$51,'Bonding Program'!$C$8)),'Bonding Program'!$Z$51,0)+IF(AND('Bonding Program'!$P$51&lt;&gt;"",DA$3='Bonding Program'!$P$51,DA$3&lt;='Bonding Program'!$C$8),N('Bonding Program'!$O$51),0)</f>
        <v>0</v>
      </c>
      <c r="DB192" s="19" t="n">
        <f aca="false">IF(AND('Bonding Program'!$S$51=1,'Bonding Program'!$H$51&gt;'Bonding Program'!$C$8,DB$3='Bonding Program'!$H$51),'Bonding Program'!$T$51-'Bonding Program'!$U$51-'Bonding Program'!$Z$51,0)-IF(AND('Bonding Program'!$S$51=1,'Bonding Program'!$H$51&lt;='Bonding Program'!$C$8,DB$3=IF('Bonding Program'!$P$51&lt;&gt;"",'Bonding Program'!$P$51,'Bonding Program'!$C$8)),'Bonding Program'!$Z$51,0)+IF(AND('Bonding Program'!$P$51&lt;&gt;"",DB$3='Bonding Program'!$P$51,DB$3&lt;='Bonding Program'!$C$8),N('Bonding Program'!$O$51),0)</f>
        <v>0</v>
      </c>
      <c r="DC192" s="19" t="n">
        <f aca="false">IF(AND('Bonding Program'!$S$51=1,'Bonding Program'!$H$51&gt;'Bonding Program'!$C$8,DC$3='Bonding Program'!$H$51),'Bonding Program'!$T$51-'Bonding Program'!$U$51-'Bonding Program'!$Z$51,0)-IF(AND('Bonding Program'!$S$51=1,'Bonding Program'!$H$51&lt;='Bonding Program'!$C$8,DC$3=IF('Bonding Program'!$P$51&lt;&gt;"",'Bonding Program'!$P$51,'Bonding Program'!$C$8)),'Bonding Program'!$Z$51,0)+IF(AND('Bonding Program'!$P$51&lt;&gt;"",DC$3='Bonding Program'!$P$51,DC$3&lt;='Bonding Program'!$C$8),N('Bonding Program'!$O$51),0)</f>
        <v>0</v>
      </c>
      <c r="DD192" s="19" t="n">
        <f aca="false">IF(AND('Bonding Program'!$S$51=1,'Bonding Program'!$H$51&gt;'Bonding Program'!$C$8,DD$3='Bonding Program'!$H$51),'Bonding Program'!$T$51-'Bonding Program'!$U$51-'Bonding Program'!$Z$51,0)-IF(AND('Bonding Program'!$S$51=1,'Bonding Program'!$H$51&lt;='Bonding Program'!$C$8,DD$3=IF('Bonding Program'!$P$51&lt;&gt;"",'Bonding Program'!$P$51,'Bonding Program'!$C$8)),'Bonding Program'!$Z$51,0)+IF(AND('Bonding Program'!$P$51&lt;&gt;"",DD$3='Bonding Program'!$P$51,DD$3&lt;='Bonding Program'!$C$8),N('Bonding Program'!$O$51),0)</f>
        <v>0</v>
      </c>
      <c r="DE192" s="19" t="n">
        <f aca="false">IF(AND('Bonding Program'!$S$51=1,'Bonding Program'!$H$51&gt;'Bonding Program'!$C$8,DE$3='Bonding Program'!$H$51),'Bonding Program'!$T$51-'Bonding Program'!$U$51-'Bonding Program'!$Z$51,0)-IF(AND('Bonding Program'!$S$51=1,'Bonding Program'!$H$51&lt;='Bonding Program'!$C$8,DE$3=IF('Bonding Program'!$P$51&lt;&gt;"",'Bonding Program'!$P$51,'Bonding Program'!$C$8)),'Bonding Program'!$Z$51,0)+IF(AND('Bonding Program'!$P$51&lt;&gt;"",DE$3='Bonding Program'!$P$51,DE$3&lt;='Bonding Program'!$C$8),N('Bonding Program'!$O$51),0)</f>
        <v>0</v>
      </c>
    </row>
    <row r="193" customFormat="false" ht="15" hidden="false" customHeight="true" outlineLevel="1" collapsed="false">
      <c r="A193" s="28" t="s">
        <v>48</v>
      </c>
      <c r="B193" s="19" t="n">
        <f aca="false">IF(AND('Bonding Program'!$S$52=1,'Bonding Program'!$H$52&gt;'Bonding Program'!$C$8,B$3='Bonding Program'!$H$52),'Bonding Program'!$T$52-'Bonding Program'!$U$52-'Bonding Program'!$Z$52,0)-IF(AND('Bonding Program'!$S$52=1,'Bonding Program'!$H$52&lt;='Bonding Program'!$C$8,B$3=IF('Bonding Program'!$P$52&lt;&gt;"",'Bonding Program'!$P$52,'Bonding Program'!$C$8)),'Bonding Program'!$Z$52,0)+IF(AND('Bonding Program'!$P$52&lt;&gt;"",B$3='Bonding Program'!$P$52,B$3&lt;='Bonding Program'!$C$8),N('Bonding Program'!$O$52),0)</f>
        <v>0</v>
      </c>
      <c r="C193" s="19" t="n">
        <f aca="false">IF(AND('Bonding Program'!$S$52=1,'Bonding Program'!$H$52&gt;'Bonding Program'!$C$8,C$3='Bonding Program'!$H$52),'Bonding Program'!$T$52-'Bonding Program'!$U$52-'Bonding Program'!$Z$52,0)-IF(AND('Bonding Program'!$S$52=1,'Bonding Program'!$H$52&lt;='Bonding Program'!$C$8,C$3=IF('Bonding Program'!$P$52&lt;&gt;"",'Bonding Program'!$P$52,'Bonding Program'!$C$8)),'Bonding Program'!$Z$52,0)+IF(AND('Bonding Program'!$P$52&lt;&gt;"",C$3='Bonding Program'!$P$52,C$3&lt;='Bonding Program'!$C$8),N('Bonding Program'!$O$52),0)</f>
        <v>0</v>
      </c>
      <c r="D193" s="19" t="n">
        <f aca="false">IF(AND('Bonding Program'!$S$52=1,'Bonding Program'!$H$52&gt;'Bonding Program'!$C$8,D$3='Bonding Program'!$H$52),'Bonding Program'!$T$52-'Bonding Program'!$U$52-'Bonding Program'!$Z$52,0)-IF(AND('Bonding Program'!$S$52=1,'Bonding Program'!$H$52&lt;='Bonding Program'!$C$8,D$3=IF('Bonding Program'!$P$52&lt;&gt;"",'Bonding Program'!$P$52,'Bonding Program'!$C$8)),'Bonding Program'!$Z$52,0)+IF(AND('Bonding Program'!$P$52&lt;&gt;"",D$3='Bonding Program'!$P$52,D$3&lt;='Bonding Program'!$C$8),N('Bonding Program'!$O$52),0)</f>
        <v>0</v>
      </c>
      <c r="E193" s="19" t="n">
        <f aca="false">IF(AND('Bonding Program'!$S$52=1,'Bonding Program'!$H$52&gt;'Bonding Program'!$C$8,E$3='Bonding Program'!$H$52),'Bonding Program'!$T$52-'Bonding Program'!$U$52-'Bonding Program'!$Z$52,0)-IF(AND('Bonding Program'!$S$52=1,'Bonding Program'!$H$52&lt;='Bonding Program'!$C$8,E$3=IF('Bonding Program'!$P$52&lt;&gt;"",'Bonding Program'!$P$52,'Bonding Program'!$C$8)),'Bonding Program'!$Z$52,0)+IF(AND('Bonding Program'!$P$52&lt;&gt;"",E$3='Bonding Program'!$P$52,E$3&lt;='Bonding Program'!$C$8),N('Bonding Program'!$O$52),0)</f>
        <v>0</v>
      </c>
      <c r="F193" s="19" t="n">
        <f aca="false">IF(AND('Bonding Program'!$S$52=1,'Bonding Program'!$H$52&gt;'Bonding Program'!$C$8,F$3='Bonding Program'!$H$52),'Bonding Program'!$T$52-'Bonding Program'!$U$52-'Bonding Program'!$Z$52,0)-IF(AND('Bonding Program'!$S$52=1,'Bonding Program'!$H$52&lt;='Bonding Program'!$C$8,F$3=IF('Bonding Program'!$P$52&lt;&gt;"",'Bonding Program'!$P$52,'Bonding Program'!$C$8)),'Bonding Program'!$Z$52,0)+IF(AND('Bonding Program'!$P$52&lt;&gt;"",F$3='Bonding Program'!$P$52,F$3&lt;='Bonding Program'!$C$8),N('Bonding Program'!$O$52),0)</f>
        <v>0</v>
      </c>
      <c r="G193" s="19" t="n">
        <f aca="false">IF(AND('Bonding Program'!$S$52=1,'Bonding Program'!$H$52&gt;'Bonding Program'!$C$8,G$3='Bonding Program'!$H$52),'Bonding Program'!$T$52-'Bonding Program'!$U$52-'Bonding Program'!$Z$52,0)-IF(AND('Bonding Program'!$S$52=1,'Bonding Program'!$H$52&lt;='Bonding Program'!$C$8,G$3=IF('Bonding Program'!$P$52&lt;&gt;"",'Bonding Program'!$P$52,'Bonding Program'!$C$8)),'Bonding Program'!$Z$52,0)+IF(AND('Bonding Program'!$P$52&lt;&gt;"",G$3='Bonding Program'!$P$52,G$3&lt;='Bonding Program'!$C$8),N('Bonding Program'!$O$52),0)</f>
        <v>0</v>
      </c>
      <c r="H193" s="19" t="n">
        <f aca="false">IF(AND('Bonding Program'!$S$52=1,'Bonding Program'!$H$52&gt;'Bonding Program'!$C$8,H$3='Bonding Program'!$H$52),'Bonding Program'!$T$52-'Bonding Program'!$U$52-'Bonding Program'!$Z$52,0)-IF(AND('Bonding Program'!$S$52=1,'Bonding Program'!$H$52&lt;='Bonding Program'!$C$8,H$3=IF('Bonding Program'!$P$52&lt;&gt;"",'Bonding Program'!$P$52,'Bonding Program'!$C$8)),'Bonding Program'!$Z$52,0)+IF(AND('Bonding Program'!$P$52&lt;&gt;"",H$3='Bonding Program'!$P$52,H$3&lt;='Bonding Program'!$C$8),N('Bonding Program'!$O$52),0)</f>
        <v>0</v>
      </c>
      <c r="I193" s="19" t="n">
        <f aca="false">IF(AND('Bonding Program'!$S$52=1,'Bonding Program'!$H$52&gt;'Bonding Program'!$C$8,I$3='Bonding Program'!$H$52),'Bonding Program'!$T$52-'Bonding Program'!$U$52-'Bonding Program'!$Z$52,0)-IF(AND('Bonding Program'!$S$52=1,'Bonding Program'!$H$52&lt;='Bonding Program'!$C$8,I$3=IF('Bonding Program'!$P$52&lt;&gt;"",'Bonding Program'!$P$52,'Bonding Program'!$C$8)),'Bonding Program'!$Z$52,0)+IF(AND('Bonding Program'!$P$52&lt;&gt;"",I$3='Bonding Program'!$P$52,I$3&lt;='Bonding Program'!$C$8),N('Bonding Program'!$O$52),0)</f>
        <v>0</v>
      </c>
      <c r="J193" s="19" t="n">
        <f aca="false">IF(AND('Bonding Program'!$S$52=1,'Bonding Program'!$H$52&gt;'Bonding Program'!$C$8,J$3='Bonding Program'!$H$52),'Bonding Program'!$T$52-'Bonding Program'!$U$52-'Bonding Program'!$Z$52,0)-IF(AND('Bonding Program'!$S$52=1,'Bonding Program'!$H$52&lt;='Bonding Program'!$C$8,J$3=IF('Bonding Program'!$P$52&lt;&gt;"",'Bonding Program'!$P$52,'Bonding Program'!$C$8)),'Bonding Program'!$Z$52,0)+IF(AND('Bonding Program'!$P$52&lt;&gt;"",J$3='Bonding Program'!$P$52,J$3&lt;='Bonding Program'!$C$8),N('Bonding Program'!$O$52),0)</f>
        <v>0</v>
      </c>
      <c r="K193" s="19" t="n">
        <f aca="false">IF(AND('Bonding Program'!$S$52=1,'Bonding Program'!$H$52&gt;'Bonding Program'!$C$8,K$3='Bonding Program'!$H$52),'Bonding Program'!$T$52-'Bonding Program'!$U$52-'Bonding Program'!$Z$52,0)-IF(AND('Bonding Program'!$S$52=1,'Bonding Program'!$H$52&lt;='Bonding Program'!$C$8,K$3=IF('Bonding Program'!$P$52&lt;&gt;"",'Bonding Program'!$P$52,'Bonding Program'!$C$8)),'Bonding Program'!$Z$52,0)+IF(AND('Bonding Program'!$P$52&lt;&gt;"",K$3='Bonding Program'!$P$52,K$3&lt;='Bonding Program'!$C$8),N('Bonding Program'!$O$52),0)</f>
        <v>0</v>
      </c>
      <c r="L193" s="19" t="n">
        <f aca="false">IF(AND('Bonding Program'!$S$52=1,'Bonding Program'!$H$52&gt;'Bonding Program'!$C$8,L$3='Bonding Program'!$H$52),'Bonding Program'!$T$52-'Bonding Program'!$U$52-'Bonding Program'!$Z$52,0)-IF(AND('Bonding Program'!$S$52=1,'Bonding Program'!$H$52&lt;='Bonding Program'!$C$8,L$3=IF('Bonding Program'!$P$52&lt;&gt;"",'Bonding Program'!$P$52,'Bonding Program'!$C$8)),'Bonding Program'!$Z$52,0)+IF(AND('Bonding Program'!$P$52&lt;&gt;"",L$3='Bonding Program'!$P$52,L$3&lt;='Bonding Program'!$C$8),N('Bonding Program'!$O$52),0)</f>
        <v>0</v>
      </c>
      <c r="M193" s="19" t="n">
        <f aca="false">IF(AND('Bonding Program'!$S$52=1,'Bonding Program'!$H$52&gt;'Bonding Program'!$C$8,M$3='Bonding Program'!$H$52),'Bonding Program'!$T$52-'Bonding Program'!$U$52-'Bonding Program'!$Z$52,0)-IF(AND('Bonding Program'!$S$52=1,'Bonding Program'!$H$52&lt;='Bonding Program'!$C$8,M$3=IF('Bonding Program'!$P$52&lt;&gt;"",'Bonding Program'!$P$52,'Bonding Program'!$C$8)),'Bonding Program'!$Z$52,0)+IF(AND('Bonding Program'!$P$52&lt;&gt;"",M$3='Bonding Program'!$P$52,M$3&lt;='Bonding Program'!$C$8),N('Bonding Program'!$O$52),0)</f>
        <v>0</v>
      </c>
      <c r="N193" s="19" t="n">
        <f aca="false">IF(AND('Bonding Program'!$S$52=1,'Bonding Program'!$H$52&gt;'Bonding Program'!$C$8,N$3='Bonding Program'!$H$52),'Bonding Program'!$T$52-'Bonding Program'!$U$52-'Bonding Program'!$Z$52,0)-IF(AND('Bonding Program'!$S$52=1,'Bonding Program'!$H$52&lt;='Bonding Program'!$C$8,N$3=IF('Bonding Program'!$P$52&lt;&gt;"",'Bonding Program'!$P$52,'Bonding Program'!$C$8)),'Bonding Program'!$Z$52,0)+IF(AND('Bonding Program'!$P$52&lt;&gt;"",N$3='Bonding Program'!$P$52,N$3&lt;='Bonding Program'!$C$8),N('Bonding Program'!$O$52),0)</f>
        <v>0</v>
      </c>
      <c r="O193" s="19" t="n">
        <f aca="false">IF(AND('Bonding Program'!$S$52=1,'Bonding Program'!$H$52&gt;'Bonding Program'!$C$8,O$3='Bonding Program'!$H$52),'Bonding Program'!$T$52-'Bonding Program'!$U$52-'Bonding Program'!$Z$52,0)-IF(AND('Bonding Program'!$S$52=1,'Bonding Program'!$H$52&lt;='Bonding Program'!$C$8,O$3=IF('Bonding Program'!$P$52&lt;&gt;"",'Bonding Program'!$P$52,'Bonding Program'!$C$8)),'Bonding Program'!$Z$52,0)+IF(AND('Bonding Program'!$P$52&lt;&gt;"",O$3='Bonding Program'!$P$52,O$3&lt;='Bonding Program'!$C$8),N('Bonding Program'!$O$52),0)</f>
        <v>0</v>
      </c>
      <c r="P193" s="19" t="n">
        <f aca="false">IF(AND('Bonding Program'!$S$52=1,'Bonding Program'!$H$52&gt;'Bonding Program'!$C$8,P$3='Bonding Program'!$H$52),'Bonding Program'!$T$52-'Bonding Program'!$U$52-'Bonding Program'!$Z$52,0)-IF(AND('Bonding Program'!$S$52=1,'Bonding Program'!$H$52&lt;='Bonding Program'!$C$8,P$3=IF('Bonding Program'!$P$52&lt;&gt;"",'Bonding Program'!$P$52,'Bonding Program'!$C$8)),'Bonding Program'!$Z$52,0)+IF(AND('Bonding Program'!$P$52&lt;&gt;"",P$3='Bonding Program'!$P$52,P$3&lt;='Bonding Program'!$C$8),N('Bonding Program'!$O$52),0)</f>
        <v>0</v>
      </c>
      <c r="Q193" s="19" t="n">
        <f aca="false">IF(AND('Bonding Program'!$S$52=1,'Bonding Program'!$H$52&gt;'Bonding Program'!$C$8,Q$3='Bonding Program'!$H$52),'Bonding Program'!$T$52-'Bonding Program'!$U$52-'Bonding Program'!$Z$52,0)-IF(AND('Bonding Program'!$S$52=1,'Bonding Program'!$H$52&lt;='Bonding Program'!$C$8,Q$3=IF('Bonding Program'!$P$52&lt;&gt;"",'Bonding Program'!$P$52,'Bonding Program'!$C$8)),'Bonding Program'!$Z$52,0)+IF(AND('Bonding Program'!$P$52&lt;&gt;"",Q$3='Bonding Program'!$P$52,Q$3&lt;='Bonding Program'!$C$8),N('Bonding Program'!$O$52),0)</f>
        <v>0</v>
      </c>
      <c r="R193" s="19" t="n">
        <f aca="false">IF(AND('Bonding Program'!$S$52=1,'Bonding Program'!$H$52&gt;'Bonding Program'!$C$8,R$3='Bonding Program'!$H$52),'Bonding Program'!$T$52-'Bonding Program'!$U$52-'Bonding Program'!$Z$52,0)-IF(AND('Bonding Program'!$S$52=1,'Bonding Program'!$H$52&lt;='Bonding Program'!$C$8,R$3=IF('Bonding Program'!$P$52&lt;&gt;"",'Bonding Program'!$P$52,'Bonding Program'!$C$8)),'Bonding Program'!$Z$52,0)+IF(AND('Bonding Program'!$P$52&lt;&gt;"",R$3='Bonding Program'!$P$52,R$3&lt;='Bonding Program'!$C$8),N('Bonding Program'!$O$52),0)</f>
        <v>0</v>
      </c>
      <c r="S193" s="19" t="n">
        <f aca="false">IF(AND('Bonding Program'!$S$52=1,'Bonding Program'!$H$52&gt;'Bonding Program'!$C$8,S$3='Bonding Program'!$H$52),'Bonding Program'!$T$52-'Bonding Program'!$U$52-'Bonding Program'!$Z$52,0)-IF(AND('Bonding Program'!$S$52=1,'Bonding Program'!$H$52&lt;='Bonding Program'!$C$8,S$3=IF('Bonding Program'!$P$52&lt;&gt;"",'Bonding Program'!$P$52,'Bonding Program'!$C$8)),'Bonding Program'!$Z$52,0)+IF(AND('Bonding Program'!$P$52&lt;&gt;"",S$3='Bonding Program'!$P$52,S$3&lt;='Bonding Program'!$C$8),N('Bonding Program'!$O$52),0)</f>
        <v>0</v>
      </c>
      <c r="T193" s="19" t="n">
        <f aca="false">IF(AND('Bonding Program'!$S$52=1,'Bonding Program'!$H$52&gt;'Bonding Program'!$C$8,T$3='Bonding Program'!$H$52),'Bonding Program'!$T$52-'Bonding Program'!$U$52-'Bonding Program'!$Z$52,0)-IF(AND('Bonding Program'!$S$52=1,'Bonding Program'!$H$52&lt;='Bonding Program'!$C$8,T$3=IF('Bonding Program'!$P$52&lt;&gt;"",'Bonding Program'!$P$52,'Bonding Program'!$C$8)),'Bonding Program'!$Z$52,0)+IF(AND('Bonding Program'!$P$52&lt;&gt;"",T$3='Bonding Program'!$P$52,T$3&lt;='Bonding Program'!$C$8),N('Bonding Program'!$O$52),0)</f>
        <v>0</v>
      </c>
      <c r="U193" s="19" t="n">
        <f aca="false">IF(AND('Bonding Program'!$S$52=1,'Bonding Program'!$H$52&gt;'Bonding Program'!$C$8,U$3='Bonding Program'!$H$52),'Bonding Program'!$T$52-'Bonding Program'!$U$52-'Bonding Program'!$Z$52,0)-IF(AND('Bonding Program'!$S$52=1,'Bonding Program'!$H$52&lt;='Bonding Program'!$C$8,U$3=IF('Bonding Program'!$P$52&lt;&gt;"",'Bonding Program'!$P$52,'Bonding Program'!$C$8)),'Bonding Program'!$Z$52,0)+IF(AND('Bonding Program'!$P$52&lt;&gt;"",U$3='Bonding Program'!$P$52,U$3&lt;='Bonding Program'!$C$8),N('Bonding Program'!$O$52),0)</f>
        <v>0</v>
      </c>
      <c r="V193" s="19" t="n">
        <f aca="false">IF(AND('Bonding Program'!$S$52=1,'Bonding Program'!$H$52&gt;'Bonding Program'!$C$8,V$3='Bonding Program'!$H$52),'Bonding Program'!$T$52-'Bonding Program'!$U$52-'Bonding Program'!$Z$52,0)-IF(AND('Bonding Program'!$S$52=1,'Bonding Program'!$H$52&lt;='Bonding Program'!$C$8,V$3=IF('Bonding Program'!$P$52&lt;&gt;"",'Bonding Program'!$P$52,'Bonding Program'!$C$8)),'Bonding Program'!$Z$52,0)+IF(AND('Bonding Program'!$P$52&lt;&gt;"",V$3='Bonding Program'!$P$52,V$3&lt;='Bonding Program'!$C$8),N('Bonding Program'!$O$52),0)</f>
        <v>0</v>
      </c>
      <c r="W193" s="19" t="n">
        <f aca="false">IF(AND('Bonding Program'!$S$52=1,'Bonding Program'!$H$52&gt;'Bonding Program'!$C$8,W$3='Bonding Program'!$H$52),'Bonding Program'!$T$52-'Bonding Program'!$U$52-'Bonding Program'!$Z$52,0)-IF(AND('Bonding Program'!$S$52=1,'Bonding Program'!$H$52&lt;='Bonding Program'!$C$8,W$3=IF('Bonding Program'!$P$52&lt;&gt;"",'Bonding Program'!$P$52,'Bonding Program'!$C$8)),'Bonding Program'!$Z$52,0)+IF(AND('Bonding Program'!$P$52&lt;&gt;"",W$3='Bonding Program'!$P$52,W$3&lt;='Bonding Program'!$C$8),N('Bonding Program'!$O$52),0)</f>
        <v>0</v>
      </c>
      <c r="X193" s="19" t="n">
        <f aca="false">IF(AND('Bonding Program'!$S$52=1,'Bonding Program'!$H$52&gt;'Bonding Program'!$C$8,X$3='Bonding Program'!$H$52),'Bonding Program'!$T$52-'Bonding Program'!$U$52-'Bonding Program'!$Z$52,0)-IF(AND('Bonding Program'!$S$52=1,'Bonding Program'!$H$52&lt;='Bonding Program'!$C$8,X$3=IF('Bonding Program'!$P$52&lt;&gt;"",'Bonding Program'!$P$52,'Bonding Program'!$C$8)),'Bonding Program'!$Z$52,0)+IF(AND('Bonding Program'!$P$52&lt;&gt;"",X$3='Bonding Program'!$P$52,X$3&lt;='Bonding Program'!$C$8),N('Bonding Program'!$O$52),0)</f>
        <v>0</v>
      </c>
      <c r="Y193" s="19" t="n">
        <f aca="false">IF(AND('Bonding Program'!$S$52=1,'Bonding Program'!$H$52&gt;'Bonding Program'!$C$8,Y$3='Bonding Program'!$H$52),'Bonding Program'!$T$52-'Bonding Program'!$U$52-'Bonding Program'!$Z$52,0)-IF(AND('Bonding Program'!$S$52=1,'Bonding Program'!$H$52&lt;='Bonding Program'!$C$8,Y$3=IF('Bonding Program'!$P$52&lt;&gt;"",'Bonding Program'!$P$52,'Bonding Program'!$C$8)),'Bonding Program'!$Z$52,0)+IF(AND('Bonding Program'!$P$52&lt;&gt;"",Y$3='Bonding Program'!$P$52,Y$3&lt;='Bonding Program'!$C$8),N('Bonding Program'!$O$52),0)</f>
        <v>0</v>
      </c>
      <c r="Z193" s="19" t="n">
        <f aca="false">IF(AND('Bonding Program'!$S$52=1,'Bonding Program'!$H$52&gt;'Bonding Program'!$C$8,Z$3='Bonding Program'!$H$52),'Bonding Program'!$T$52-'Bonding Program'!$U$52-'Bonding Program'!$Z$52,0)-IF(AND('Bonding Program'!$S$52=1,'Bonding Program'!$H$52&lt;='Bonding Program'!$C$8,Z$3=IF('Bonding Program'!$P$52&lt;&gt;"",'Bonding Program'!$P$52,'Bonding Program'!$C$8)),'Bonding Program'!$Z$52,0)+IF(AND('Bonding Program'!$P$52&lt;&gt;"",Z$3='Bonding Program'!$P$52,Z$3&lt;='Bonding Program'!$C$8),N('Bonding Program'!$O$52),0)</f>
        <v>0</v>
      </c>
      <c r="AA193" s="19" t="n">
        <f aca="false">IF(AND('Bonding Program'!$S$52=1,'Bonding Program'!$H$52&gt;'Bonding Program'!$C$8,AA$3='Bonding Program'!$H$52),'Bonding Program'!$T$52-'Bonding Program'!$U$52-'Bonding Program'!$Z$52,0)-IF(AND('Bonding Program'!$S$52=1,'Bonding Program'!$H$52&lt;='Bonding Program'!$C$8,AA$3=IF('Bonding Program'!$P$52&lt;&gt;"",'Bonding Program'!$P$52,'Bonding Program'!$C$8)),'Bonding Program'!$Z$52,0)+IF(AND('Bonding Program'!$P$52&lt;&gt;"",AA$3='Bonding Program'!$P$52,AA$3&lt;='Bonding Program'!$C$8),N('Bonding Program'!$O$52),0)</f>
        <v>0</v>
      </c>
      <c r="AB193" s="19" t="n">
        <f aca="false">IF(AND('Bonding Program'!$S$52=1,'Bonding Program'!$H$52&gt;'Bonding Program'!$C$8,AB$3='Bonding Program'!$H$52),'Bonding Program'!$T$52-'Bonding Program'!$U$52-'Bonding Program'!$Z$52,0)-IF(AND('Bonding Program'!$S$52=1,'Bonding Program'!$H$52&lt;='Bonding Program'!$C$8,AB$3=IF('Bonding Program'!$P$52&lt;&gt;"",'Bonding Program'!$P$52,'Bonding Program'!$C$8)),'Bonding Program'!$Z$52,0)+IF(AND('Bonding Program'!$P$52&lt;&gt;"",AB$3='Bonding Program'!$P$52,AB$3&lt;='Bonding Program'!$C$8),N('Bonding Program'!$O$52),0)</f>
        <v>0</v>
      </c>
      <c r="AC193" s="19" t="n">
        <f aca="false">IF(AND('Bonding Program'!$S$52=1,'Bonding Program'!$H$52&gt;'Bonding Program'!$C$8,AC$3='Bonding Program'!$H$52),'Bonding Program'!$T$52-'Bonding Program'!$U$52-'Bonding Program'!$Z$52,0)-IF(AND('Bonding Program'!$S$52=1,'Bonding Program'!$H$52&lt;='Bonding Program'!$C$8,AC$3=IF('Bonding Program'!$P$52&lt;&gt;"",'Bonding Program'!$P$52,'Bonding Program'!$C$8)),'Bonding Program'!$Z$52,0)+IF(AND('Bonding Program'!$P$52&lt;&gt;"",AC$3='Bonding Program'!$P$52,AC$3&lt;='Bonding Program'!$C$8),N('Bonding Program'!$O$52),0)</f>
        <v>0</v>
      </c>
      <c r="AD193" s="19" t="n">
        <f aca="false">IF(AND('Bonding Program'!$S$52=1,'Bonding Program'!$H$52&gt;'Bonding Program'!$C$8,AD$3='Bonding Program'!$H$52),'Bonding Program'!$T$52-'Bonding Program'!$U$52-'Bonding Program'!$Z$52,0)-IF(AND('Bonding Program'!$S$52=1,'Bonding Program'!$H$52&lt;='Bonding Program'!$C$8,AD$3=IF('Bonding Program'!$P$52&lt;&gt;"",'Bonding Program'!$P$52,'Bonding Program'!$C$8)),'Bonding Program'!$Z$52,0)+IF(AND('Bonding Program'!$P$52&lt;&gt;"",AD$3='Bonding Program'!$P$52,AD$3&lt;='Bonding Program'!$C$8),N('Bonding Program'!$O$52),0)</f>
        <v>0</v>
      </c>
      <c r="AE193" s="19" t="n">
        <f aca="false">IF(AND('Bonding Program'!$S$52=1,'Bonding Program'!$H$52&gt;'Bonding Program'!$C$8,AE$3='Bonding Program'!$H$52),'Bonding Program'!$T$52-'Bonding Program'!$U$52-'Bonding Program'!$Z$52,0)-IF(AND('Bonding Program'!$S$52=1,'Bonding Program'!$H$52&lt;='Bonding Program'!$C$8,AE$3=IF('Bonding Program'!$P$52&lt;&gt;"",'Bonding Program'!$P$52,'Bonding Program'!$C$8)),'Bonding Program'!$Z$52,0)+IF(AND('Bonding Program'!$P$52&lt;&gt;"",AE$3='Bonding Program'!$P$52,AE$3&lt;='Bonding Program'!$C$8),N('Bonding Program'!$O$52),0)</f>
        <v>0</v>
      </c>
      <c r="AF193" s="19" t="n">
        <f aca="false">IF(AND('Bonding Program'!$S$52=1,'Bonding Program'!$H$52&gt;'Bonding Program'!$C$8,AF$3='Bonding Program'!$H$52),'Bonding Program'!$T$52-'Bonding Program'!$U$52-'Bonding Program'!$Z$52,0)-IF(AND('Bonding Program'!$S$52=1,'Bonding Program'!$H$52&lt;='Bonding Program'!$C$8,AF$3=IF('Bonding Program'!$P$52&lt;&gt;"",'Bonding Program'!$P$52,'Bonding Program'!$C$8)),'Bonding Program'!$Z$52,0)+IF(AND('Bonding Program'!$P$52&lt;&gt;"",AF$3='Bonding Program'!$P$52,AF$3&lt;='Bonding Program'!$C$8),N('Bonding Program'!$O$52),0)</f>
        <v>0</v>
      </c>
      <c r="AG193" s="19" t="n">
        <f aca="false">IF(AND('Bonding Program'!$S$52=1,'Bonding Program'!$H$52&gt;'Bonding Program'!$C$8,AG$3='Bonding Program'!$H$52),'Bonding Program'!$T$52-'Bonding Program'!$U$52-'Bonding Program'!$Z$52,0)-IF(AND('Bonding Program'!$S$52=1,'Bonding Program'!$H$52&lt;='Bonding Program'!$C$8,AG$3=IF('Bonding Program'!$P$52&lt;&gt;"",'Bonding Program'!$P$52,'Bonding Program'!$C$8)),'Bonding Program'!$Z$52,0)+IF(AND('Bonding Program'!$P$52&lt;&gt;"",AG$3='Bonding Program'!$P$52,AG$3&lt;='Bonding Program'!$C$8),N('Bonding Program'!$O$52),0)</f>
        <v>0</v>
      </c>
      <c r="AH193" s="19" t="n">
        <f aca="false">IF(AND('Bonding Program'!$S$52=1,'Bonding Program'!$H$52&gt;'Bonding Program'!$C$8,AH$3='Bonding Program'!$H$52),'Bonding Program'!$T$52-'Bonding Program'!$U$52-'Bonding Program'!$Z$52,0)-IF(AND('Bonding Program'!$S$52=1,'Bonding Program'!$H$52&lt;='Bonding Program'!$C$8,AH$3=IF('Bonding Program'!$P$52&lt;&gt;"",'Bonding Program'!$P$52,'Bonding Program'!$C$8)),'Bonding Program'!$Z$52,0)+IF(AND('Bonding Program'!$P$52&lt;&gt;"",AH$3='Bonding Program'!$P$52,AH$3&lt;='Bonding Program'!$C$8),N('Bonding Program'!$O$52),0)</f>
        <v>0</v>
      </c>
      <c r="AI193" s="19" t="n">
        <f aca="false">IF(AND('Bonding Program'!$S$52=1,'Bonding Program'!$H$52&gt;'Bonding Program'!$C$8,AI$3='Bonding Program'!$H$52),'Bonding Program'!$T$52-'Bonding Program'!$U$52-'Bonding Program'!$Z$52,0)-IF(AND('Bonding Program'!$S$52=1,'Bonding Program'!$H$52&lt;='Bonding Program'!$C$8,AI$3=IF('Bonding Program'!$P$52&lt;&gt;"",'Bonding Program'!$P$52,'Bonding Program'!$C$8)),'Bonding Program'!$Z$52,0)+IF(AND('Bonding Program'!$P$52&lt;&gt;"",AI$3='Bonding Program'!$P$52,AI$3&lt;='Bonding Program'!$C$8),N('Bonding Program'!$O$52),0)</f>
        <v>0</v>
      </c>
      <c r="AJ193" s="19" t="n">
        <f aca="false">IF(AND('Bonding Program'!$S$52=1,'Bonding Program'!$H$52&gt;'Bonding Program'!$C$8,AJ$3='Bonding Program'!$H$52),'Bonding Program'!$T$52-'Bonding Program'!$U$52-'Bonding Program'!$Z$52,0)-IF(AND('Bonding Program'!$S$52=1,'Bonding Program'!$H$52&lt;='Bonding Program'!$C$8,AJ$3=IF('Bonding Program'!$P$52&lt;&gt;"",'Bonding Program'!$P$52,'Bonding Program'!$C$8)),'Bonding Program'!$Z$52,0)+IF(AND('Bonding Program'!$P$52&lt;&gt;"",AJ$3='Bonding Program'!$P$52,AJ$3&lt;='Bonding Program'!$C$8),N('Bonding Program'!$O$52),0)</f>
        <v>0</v>
      </c>
      <c r="AK193" s="19" t="n">
        <f aca="false">IF(AND('Bonding Program'!$S$52=1,'Bonding Program'!$H$52&gt;'Bonding Program'!$C$8,AK$3='Bonding Program'!$H$52),'Bonding Program'!$T$52-'Bonding Program'!$U$52-'Bonding Program'!$Z$52,0)-IF(AND('Bonding Program'!$S$52=1,'Bonding Program'!$H$52&lt;='Bonding Program'!$C$8,AK$3=IF('Bonding Program'!$P$52&lt;&gt;"",'Bonding Program'!$P$52,'Bonding Program'!$C$8)),'Bonding Program'!$Z$52,0)+IF(AND('Bonding Program'!$P$52&lt;&gt;"",AK$3='Bonding Program'!$P$52,AK$3&lt;='Bonding Program'!$C$8),N('Bonding Program'!$O$52),0)</f>
        <v>0</v>
      </c>
      <c r="AL193" s="19" t="n">
        <f aca="false">IF(AND('Bonding Program'!$S$52=1,'Bonding Program'!$H$52&gt;'Bonding Program'!$C$8,AL$3='Bonding Program'!$H$52),'Bonding Program'!$T$52-'Bonding Program'!$U$52-'Bonding Program'!$Z$52,0)-IF(AND('Bonding Program'!$S$52=1,'Bonding Program'!$H$52&lt;='Bonding Program'!$C$8,AL$3=IF('Bonding Program'!$P$52&lt;&gt;"",'Bonding Program'!$P$52,'Bonding Program'!$C$8)),'Bonding Program'!$Z$52,0)+IF(AND('Bonding Program'!$P$52&lt;&gt;"",AL$3='Bonding Program'!$P$52,AL$3&lt;='Bonding Program'!$C$8),N('Bonding Program'!$O$52),0)</f>
        <v>0</v>
      </c>
      <c r="AM193" s="19" t="n">
        <f aca="false">IF(AND('Bonding Program'!$S$52=1,'Bonding Program'!$H$52&gt;'Bonding Program'!$C$8,AM$3='Bonding Program'!$H$52),'Bonding Program'!$T$52-'Bonding Program'!$U$52-'Bonding Program'!$Z$52,0)-IF(AND('Bonding Program'!$S$52=1,'Bonding Program'!$H$52&lt;='Bonding Program'!$C$8,AM$3=IF('Bonding Program'!$P$52&lt;&gt;"",'Bonding Program'!$P$52,'Bonding Program'!$C$8)),'Bonding Program'!$Z$52,0)+IF(AND('Bonding Program'!$P$52&lt;&gt;"",AM$3='Bonding Program'!$P$52,AM$3&lt;='Bonding Program'!$C$8),N('Bonding Program'!$O$52),0)</f>
        <v>0</v>
      </c>
      <c r="AN193" s="19" t="n">
        <f aca="false">IF(AND('Bonding Program'!$S$52=1,'Bonding Program'!$H$52&gt;'Bonding Program'!$C$8,AN$3='Bonding Program'!$H$52),'Bonding Program'!$T$52-'Bonding Program'!$U$52-'Bonding Program'!$Z$52,0)-IF(AND('Bonding Program'!$S$52=1,'Bonding Program'!$H$52&lt;='Bonding Program'!$C$8,AN$3=IF('Bonding Program'!$P$52&lt;&gt;"",'Bonding Program'!$P$52,'Bonding Program'!$C$8)),'Bonding Program'!$Z$52,0)+IF(AND('Bonding Program'!$P$52&lt;&gt;"",AN$3='Bonding Program'!$P$52,AN$3&lt;='Bonding Program'!$C$8),N('Bonding Program'!$O$52),0)</f>
        <v>0</v>
      </c>
      <c r="AO193" s="19" t="n">
        <f aca="false">IF(AND('Bonding Program'!$S$52=1,'Bonding Program'!$H$52&gt;'Bonding Program'!$C$8,AO$3='Bonding Program'!$H$52),'Bonding Program'!$T$52-'Bonding Program'!$U$52-'Bonding Program'!$Z$52,0)-IF(AND('Bonding Program'!$S$52=1,'Bonding Program'!$H$52&lt;='Bonding Program'!$C$8,AO$3=IF('Bonding Program'!$P$52&lt;&gt;"",'Bonding Program'!$P$52,'Bonding Program'!$C$8)),'Bonding Program'!$Z$52,0)+IF(AND('Bonding Program'!$P$52&lt;&gt;"",AO$3='Bonding Program'!$P$52,AO$3&lt;='Bonding Program'!$C$8),N('Bonding Program'!$O$52),0)</f>
        <v>0</v>
      </c>
      <c r="AP193" s="19" t="n">
        <f aca="false">IF(AND('Bonding Program'!$S$52=1,'Bonding Program'!$H$52&gt;'Bonding Program'!$C$8,AP$3='Bonding Program'!$H$52),'Bonding Program'!$T$52-'Bonding Program'!$U$52-'Bonding Program'!$Z$52,0)-IF(AND('Bonding Program'!$S$52=1,'Bonding Program'!$H$52&lt;='Bonding Program'!$C$8,AP$3=IF('Bonding Program'!$P$52&lt;&gt;"",'Bonding Program'!$P$52,'Bonding Program'!$C$8)),'Bonding Program'!$Z$52,0)+IF(AND('Bonding Program'!$P$52&lt;&gt;"",AP$3='Bonding Program'!$P$52,AP$3&lt;='Bonding Program'!$C$8),N('Bonding Program'!$O$52),0)</f>
        <v>0</v>
      </c>
      <c r="AQ193" s="19" t="n">
        <f aca="false">IF(AND('Bonding Program'!$S$52=1,'Bonding Program'!$H$52&gt;'Bonding Program'!$C$8,AQ$3='Bonding Program'!$H$52),'Bonding Program'!$T$52-'Bonding Program'!$U$52-'Bonding Program'!$Z$52,0)-IF(AND('Bonding Program'!$S$52=1,'Bonding Program'!$H$52&lt;='Bonding Program'!$C$8,AQ$3=IF('Bonding Program'!$P$52&lt;&gt;"",'Bonding Program'!$P$52,'Bonding Program'!$C$8)),'Bonding Program'!$Z$52,0)+IF(AND('Bonding Program'!$P$52&lt;&gt;"",AQ$3='Bonding Program'!$P$52,AQ$3&lt;='Bonding Program'!$C$8),N('Bonding Program'!$O$52),0)</f>
        <v>0</v>
      </c>
      <c r="AR193" s="19" t="n">
        <f aca="false">IF(AND('Bonding Program'!$S$52=1,'Bonding Program'!$H$52&gt;'Bonding Program'!$C$8,AR$3='Bonding Program'!$H$52),'Bonding Program'!$T$52-'Bonding Program'!$U$52-'Bonding Program'!$Z$52,0)-IF(AND('Bonding Program'!$S$52=1,'Bonding Program'!$H$52&lt;='Bonding Program'!$C$8,AR$3=IF('Bonding Program'!$P$52&lt;&gt;"",'Bonding Program'!$P$52,'Bonding Program'!$C$8)),'Bonding Program'!$Z$52,0)+IF(AND('Bonding Program'!$P$52&lt;&gt;"",AR$3='Bonding Program'!$P$52,AR$3&lt;='Bonding Program'!$C$8),N('Bonding Program'!$O$52),0)</f>
        <v>0</v>
      </c>
      <c r="AS193" s="19" t="n">
        <f aca="false">IF(AND('Bonding Program'!$S$52=1,'Bonding Program'!$H$52&gt;'Bonding Program'!$C$8,AS$3='Bonding Program'!$H$52),'Bonding Program'!$T$52-'Bonding Program'!$U$52-'Bonding Program'!$Z$52,0)-IF(AND('Bonding Program'!$S$52=1,'Bonding Program'!$H$52&lt;='Bonding Program'!$C$8,AS$3=IF('Bonding Program'!$P$52&lt;&gt;"",'Bonding Program'!$P$52,'Bonding Program'!$C$8)),'Bonding Program'!$Z$52,0)+IF(AND('Bonding Program'!$P$52&lt;&gt;"",AS$3='Bonding Program'!$P$52,AS$3&lt;='Bonding Program'!$C$8),N('Bonding Program'!$O$52),0)</f>
        <v>0</v>
      </c>
      <c r="AT193" s="19" t="n">
        <f aca="false">IF(AND('Bonding Program'!$S$52=1,'Bonding Program'!$H$52&gt;'Bonding Program'!$C$8,AT$3='Bonding Program'!$H$52),'Bonding Program'!$T$52-'Bonding Program'!$U$52-'Bonding Program'!$Z$52,0)-IF(AND('Bonding Program'!$S$52=1,'Bonding Program'!$H$52&lt;='Bonding Program'!$C$8,AT$3=IF('Bonding Program'!$P$52&lt;&gt;"",'Bonding Program'!$P$52,'Bonding Program'!$C$8)),'Bonding Program'!$Z$52,0)+IF(AND('Bonding Program'!$P$52&lt;&gt;"",AT$3='Bonding Program'!$P$52,AT$3&lt;='Bonding Program'!$C$8),N('Bonding Program'!$O$52),0)</f>
        <v>0</v>
      </c>
      <c r="AU193" s="19" t="n">
        <f aca="false">IF(AND('Bonding Program'!$S$52=1,'Bonding Program'!$H$52&gt;'Bonding Program'!$C$8,AU$3='Bonding Program'!$H$52),'Bonding Program'!$T$52-'Bonding Program'!$U$52-'Bonding Program'!$Z$52,0)-IF(AND('Bonding Program'!$S$52=1,'Bonding Program'!$H$52&lt;='Bonding Program'!$C$8,AU$3=IF('Bonding Program'!$P$52&lt;&gt;"",'Bonding Program'!$P$52,'Bonding Program'!$C$8)),'Bonding Program'!$Z$52,0)+IF(AND('Bonding Program'!$P$52&lt;&gt;"",AU$3='Bonding Program'!$P$52,AU$3&lt;='Bonding Program'!$C$8),N('Bonding Program'!$O$52),0)</f>
        <v>0</v>
      </c>
      <c r="AV193" s="19" t="n">
        <f aca="false">IF(AND('Bonding Program'!$S$52=1,'Bonding Program'!$H$52&gt;'Bonding Program'!$C$8,AV$3='Bonding Program'!$H$52),'Bonding Program'!$T$52-'Bonding Program'!$U$52-'Bonding Program'!$Z$52,0)-IF(AND('Bonding Program'!$S$52=1,'Bonding Program'!$H$52&lt;='Bonding Program'!$C$8,AV$3=IF('Bonding Program'!$P$52&lt;&gt;"",'Bonding Program'!$P$52,'Bonding Program'!$C$8)),'Bonding Program'!$Z$52,0)+IF(AND('Bonding Program'!$P$52&lt;&gt;"",AV$3='Bonding Program'!$P$52,AV$3&lt;='Bonding Program'!$C$8),N('Bonding Program'!$O$52),0)</f>
        <v>0</v>
      </c>
      <c r="AW193" s="19" t="n">
        <f aca="false">IF(AND('Bonding Program'!$S$52=1,'Bonding Program'!$H$52&gt;'Bonding Program'!$C$8,AW$3='Bonding Program'!$H$52),'Bonding Program'!$T$52-'Bonding Program'!$U$52-'Bonding Program'!$Z$52,0)-IF(AND('Bonding Program'!$S$52=1,'Bonding Program'!$H$52&lt;='Bonding Program'!$C$8,AW$3=IF('Bonding Program'!$P$52&lt;&gt;"",'Bonding Program'!$P$52,'Bonding Program'!$C$8)),'Bonding Program'!$Z$52,0)+IF(AND('Bonding Program'!$P$52&lt;&gt;"",AW$3='Bonding Program'!$P$52,AW$3&lt;='Bonding Program'!$C$8),N('Bonding Program'!$O$52),0)</f>
        <v>0</v>
      </c>
      <c r="AX193" s="19" t="n">
        <f aca="false">IF(AND('Bonding Program'!$S$52=1,'Bonding Program'!$H$52&gt;'Bonding Program'!$C$8,AX$3='Bonding Program'!$H$52),'Bonding Program'!$T$52-'Bonding Program'!$U$52-'Bonding Program'!$Z$52,0)-IF(AND('Bonding Program'!$S$52=1,'Bonding Program'!$H$52&lt;='Bonding Program'!$C$8,AX$3=IF('Bonding Program'!$P$52&lt;&gt;"",'Bonding Program'!$P$52,'Bonding Program'!$C$8)),'Bonding Program'!$Z$52,0)+IF(AND('Bonding Program'!$P$52&lt;&gt;"",AX$3='Bonding Program'!$P$52,AX$3&lt;='Bonding Program'!$C$8),N('Bonding Program'!$O$52),0)</f>
        <v>0</v>
      </c>
      <c r="AY193" s="19" t="n">
        <f aca="false">IF(AND('Bonding Program'!$S$52=1,'Bonding Program'!$H$52&gt;'Bonding Program'!$C$8,AY$3='Bonding Program'!$H$52),'Bonding Program'!$T$52-'Bonding Program'!$U$52-'Bonding Program'!$Z$52,0)-IF(AND('Bonding Program'!$S$52=1,'Bonding Program'!$H$52&lt;='Bonding Program'!$C$8,AY$3=IF('Bonding Program'!$P$52&lt;&gt;"",'Bonding Program'!$P$52,'Bonding Program'!$C$8)),'Bonding Program'!$Z$52,0)+IF(AND('Bonding Program'!$P$52&lt;&gt;"",AY$3='Bonding Program'!$P$52,AY$3&lt;='Bonding Program'!$C$8),N('Bonding Program'!$O$52),0)</f>
        <v>0</v>
      </c>
      <c r="AZ193" s="19" t="n">
        <f aca="false">IF(AND('Bonding Program'!$S$52=1,'Bonding Program'!$H$52&gt;'Bonding Program'!$C$8,AZ$3='Bonding Program'!$H$52),'Bonding Program'!$T$52-'Bonding Program'!$U$52-'Bonding Program'!$Z$52,0)-IF(AND('Bonding Program'!$S$52=1,'Bonding Program'!$H$52&lt;='Bonding Program'!$C$8,AZ$3=IF('Bonding Program'!$P$52&lt;&gt;"",'Bonding Program'!$P$52,'Bonding Program'!$C$8)),'Bonding Program'!$Z$52,0)+IF(AND('Bonding Program'!$P$52&lt;&gt;"",AZ$3='Bonding Program'!$P$52,AZ$3&lt;='Bonding Program'!$C$8),N('Bonding Program'!$O$52),0)</f>
        <v>0</v>
      </c>
      <c r="BA193" s="19" t="n">
        <f aca="false">IF(AND('Bonding Program'!$S$52=1,'Bonding Program'!$H$52&gt;'Bonding Program'!$C$8,BA$3='Bonding Program'!$H$52),'Bonding Program'!$T$52-'Bonding Program'!$U$52-'Bonding Program'!$Z$52,0)-IF(AND('Bonding Program'!$S$52=1,'Bonding Program'!$H$52&lt;='Bonding Program'!$C$8,BA$3=IF('Bonding Program'!$P$52&lt;&gt;"",'Bonding Program'!$P$52,'Bonding Program'!$C$8)),'Bonding Program'!$Z$52,0)+IF(AND('Bonding Program'!$P$52&lt;&gt;"",BA$3='Bonding Program'!$P$52,BA$3&lt;='Bonding Program'!$C$8),N('Bonding Program'!$O$52),0)</f>
        <v>0</v>
      </c>
      <c r="BB193" s="19" t="n">
        <f aca="false">IF(AND('Bonding Program'!$S$52=1,'Bonding Program'!$H$52&gt;'Bonding Program'!$C$8,BB$3='Bonding Program'!$H$52),'Bonding Program'!$T$52-'Bonding Program'!$U$52-'Bonding Program'!$Z$52,0)-IF(AND('Bonding Program'!$S$52=1,'Bonding Program'!$H$52&lt;='Bonding Program'!$C$8,BB$3=IF('Bonding Program'!$P$52&lt;&gt;"",'Bonding Program'!$P$52,'Bonding Program'!$C$8)),'Bonding Program'!$Z$52,0)+IF(AND('Bonding Program'!$P$52&lt;&gt;"",BB$3='Bonding Program'!$P$52,BB$3&lt;='Bonding Program'!$C$8),N('Bonding Program'!$O$52),0)</f>
        <v>0</v>
      </c>
      <c r="BC193" s="19" t="n">
        <f aca="false">IF(AND('Bonding Program'!$S$52=1,'Bonding Program'!$H$52&gt;'Bonding Program'!$C$8,BC$3='Bonding Program'!$H$52),'Bonding Program'!$T$52-'Bonding Program'!$U$52-'Bonding Program'!$Z$52,0)-IF(AND('Bonding Program'!$S$52=1,'Bonding Program'!$H$52&lt;='Bonding Program'!$C$8,BC$3=IF('Bonding Program'!$P$52&lt;&gt;"",'Bonding Program'!$P$52,'Bonding Program'!$C$8)),'Bonding Program'!$Z$52,0)+IF(AND('Bonding Program'!$P$52&lt;&gt;"",BC$3='Bonding Program'!$P$52,BC$3&lt;='Bonding Program'!$C$8),N('Bonding Program'!$O$52),0)</f>
        <v>0</v>
      </c>
      <c r="BD193" s="19" t="n">
        <f aca="false">IF(AND('Bonding Program'!$S$52=1,'Bonding Program'!$H$52&gt;'Bonding Program'!$C$8,BD$3='Bonding Program'!$H$52),'Bonding Program'!$T$52-'Bonding Program'!$U$52-'Bonding Program'!$Z$52,0)-IF(AND('Bonding Program'!$S$52=1,'Bonding Program'!$H$52&lt;='Bonding Program'!$C$8,BD$3=IF('Bonding Program'!$P$52&lt;&gt;"",'Bonding Program'!$P$52,'Bonding Program'!$C$8)),'Bonding Program'!$Z$52,0)+IF(AND('Bonding Program'!$P$52&lt;&gt;"",BD$3='Bonding Program'!$P$52,BD$3&lt;='Bonding Program'!$C$8),N('Bonding Program'!$O$52),0)</f>
        <v>0</v>
      </c>
      <c r="BE193" s="19" t="n">
        <f aca="false">IF(AND('Bonding Program'!$S$52=1,'Bonding Program'!$H$52&gt;'Bonding Program'!$C$8,BE$3='Bonding Program'!$H$52),'Bonding Program'!$T$52-'Bonding Program'!$U$52-'Bonding Program'!$Z$52,0)-IF(AND('Bonding Program'!$S$52=1,'Bonding Program'!$H$52&lt;='Bonding Program'!$C$8,BE$3=IF('Bonding Program'!$P$52&lt;&gt;"",'Bonding Program'!$P$52,'Bonding Program'!$C$8)),'Bonding Program'!$Z$52,0)+IF(AND('Bonding Program'!$P$52&lt;&gt;"",BE$3='Bonding Program'!$P$52,BE$3&lt;='Bonding Program'!$C$8),N('Bonding Program'!$O$52),0)</f>
        <v>0</v>
      </c>
      <c r="BF193" s="19" t="n">
        <f aca="false">IF(AND('Bonding Program'!$S$52=1,'Bonding Program'!$H$52&gt;'Bonding Program'!$C$8,BF$3='Bonding Program'!$H$52),'Bonding Program'!$T$52-'Bonding Program'!$U$52-'Bonding Program'!$Z$52,0)-IF(AND('Bonding Program'!$S$52=1,'Bonding Program'!$H$52&lt;='Bonding Program'!$C$8,BF$3=IF('Bonding Program'!$P$52&lt;&gt;"",'Bonding Program'!$P$52,'Bonding Program'!$C$8)),'Bonding Program'!$Z$52,0)+IF(AND('Bonding Program'!$P$52&lt;&gt;"",BF$3='Bonding Program'!$P$52,BF$3&lt;='Bonding Program'!$C$8),N('Bonding Program'!$O$52),0)</f>
        <v>0</v>
      </c>
      <c r="BG193" s="19" t="n">
        <f aca="false">IF(AND('Bonding Program'!$S$52=1,'Bonding Program'!$H$52&gt;'Bonding Program'!$C$8,BG$3='Bonding Program'!$H$52),'Bonding Program'!$T$52-'Bonding Program'!$U$52-'Bonding Program'!$Z$52,0)-IF(AND('Bonding Program'!$S$52=1,'Bonding Program'!$H$52&lt;='Bonding Program'!$C$8,BG$3=IF('Bonding Program'!$P$52&lt;&gt;"",'Bonding Program'!$P$52,'Bonding Program'!$C$8)),'Bonding Program'!$Z$52,0)+IF(AND('Bonding Program'!$P$52&lt;&gt;"",BG$3='Bonding Program'!$P$52,BG$3&lt;='Bonding Program'!$C$8),N('Bonding Program'!$O$52),0)</f>
        <v>0</v>
      </c>
      <c r="BH193" s="19" t="n">
        <f aca="false">IF(AND('Bonding Program'!$S$52=1,'Bonding Program'!$H$52&gt;'Bonding Program'!$C$8,BH$3='Bonding Program'!$H$52),'Bonding Program'!$T$52-'Bonding Program'!$U$52-'Bonding Program'!$Z$52,0)-IF(AND('Bonding Program'!$S$52=1,'Bonding Program'!$H$52&lt;='Bonding Program'!$C$8,BH$3=IF('Bonding Program'!$P$52&lt;&gt;"",'Bonding Program'!$P$52,'Bonding Program'!$C$8)),'Bonding Program'!$Z$52,0)+IF(AND('Bonding Program'!$P$52&lt;&gt;"",BH$3='Bonding Program'!$P$52,BH$3&lt;='Bonding Program'!$C$8),N('Bonding Program'!$O$52),0)</f>
        <v>0</v>
      </c>
      <c r="BI193" s="19" t="n">
        <f aca="false">IF(AND('Bonding Program'!$S$52=1,'Bonding Program'!$H$52&gt;'Bonding Program'!$C$8,BI$3='Bonding Program'!$H$52),'Bonding Program'!$T$52-'Bonding Program'!$U$52-'Bonding Program'!$Z$52,0)-IF(AND('Bonding Program'!$S$52=1,'Bonding Program'!$H$52&lt;='Bonding Program'!$C$8,BI$3=IF('Bonding Program'!$P$52&lt;&gt;"",'Bonding Program'!$P$52,'Bonding Program'!$C$8)),'Bonding Program'!$Z$52,0)+IF(AND('Bonding Program'!$P$52&lt;&gt;"",BI$3='Bonding Program'!$P$52,BI$3&lt;='Bonding Program'!$C$8),N('Bonding Program'!$O$52),0)</f>
        <v>0</v>
      </c>
      <c r="BJ193" s="19" t="n">
        <f aca="false">IF(AND('Bonding Program'!$S$52=1,'Bonding Program'!$H$52&gt;'Bonding Program'!$C$8,BJ$3='Bonding Program'!$H$52),'Bonding Program'!$T$52-'Bonding Program'!$U$52-'Bonding Program'!$Z$52,0)-IF(AND('Bonding Program'!$S$52=1,'Bonding Program'!$H$52&lt;='Bonding Program'!$C$8,BJ$3=IF('Bonding Program'!$P$52&lt;&gt;"",'Bonding Program'!$P$52,'Bonding Program'!$C$8)),'Bonding Program'!$Z$52,0)+IF(AND('Bonding Program'!$P$52&lt;&gt;"",BJ$3='Bonding Program'!$P$52,BJ$3&lt;='Bonding Program'!$C$8),N('Bonding Program'!$O$52),0)</f>
        <v>0</v>
      </c>
      <c r="BK193" s="19" t="n">
        <f aca="false">IF(AND('Bonding Program'!$S$52=1,'Bonding Program'!$H$52&gt;'Bonding Program'!$C$8,BK$3='Bonding Program'!$H$52),'Bonding Program'!$T$52-'Bonding Program'!$U$52-'Bonding Program'!$Z$52,0)-IF(AND('Bonding Program'!$S$52=1,'Bonding Program'!$H$52&lt;='Bonding Program'!$C$8,BK$3=IF('Bonding Program'!$P$52&lt;&gt;"",'Bonding Program'!$P$52,'Bonding Program'!$C$8)),'Bonding Program'!$Z$52,0)+IF(AND('Bonding Program'!$P$52&lt;&gt;"",BK$3='Bonding Program'!$P$52,BK$3&lt;='Bonding Program'!$C$8),N('Bonding Program'!$O$52),0)</f>
        <v>0</v>
      </c>
      <c r="BL193" s="19" t="n">
        <f aca="false">IF(AND('Bonding Program'!$S$52=1,'Bonding Program'!$H$52&gt;'Bonding Program'!$C$8,BL$3='Bonding Program'!$H$52),'Bonding Program'!$T$52-'Bonding Program'!$U$52-'Bonding Program'!$Z$52,0)-IF(AND('Bonding Program'!$S$52=1,'Bonding Program'!$H$52&lt;='Bonding Program'!$C$8,BL$3=IF('Bonding Program'!$P$52&lt;&gt;"",'Bonding Program'!$P$52,'Bonding Program'!$C$8)),'Bonding Program'!$Z$52,0)+IF(AND('Bonding Program'!$P$52&lt;&gt;"",BL$3='Bonding Program'!$P$52,BL$3&lt;='Bonding Program'!$C$8),N('Bonding Program'!$O$52),0)</f>
        <v>0</v>
      </c>
      <c r="BM193" s="19" t="n">
        <f aca="false">IF(AND('Bonding Program'!$S$52=1,'Bonding Program'!$H$52&gt;'Bonding Program'!$C$8,BM$3='Bonding Program'!$H$52),'Bonding Program'!$T$52-'Bonding Program'!$U$52-'Bonding Program'!$Z$52,0)-IF(AND('Bonding Program'!$S$52=1,'Bonding Program'!$H$52&lt;='Bonding Program'!$C$8,BM$3=IF('Bonding Program'!$P$52&lt;&gt;"",'Bonding Program'!$P$52,'Bonding Program'!$C$8)),'Bonding Program'!$Z$52,0)+IF(AND('Bonding Program'!$P$52&lt;&gt;"",BM$3='Bonding Program'!$P$52,BM$3&lt;='Bonding Program'!$C$8),N('Bonding Program'!$O$52),0)</f>
        <v>0</v>
      </c>
      <c r="BN193" s="19" t="n">
        <f aca="false">IF(AND('Bonding Program'!$S$52=1,'Bonding Program'!$H$52&gt;'Bonding Program'!$C$8,BN$3='Bonding Program'!$H$52),'Bonding Program'!$T$52-'Bonding Program'!$U$52-'Bonding Program'!$Z$52,0)-IF(AND('Bonding Program'!$S$52=1,'Bonding Program'!$H$52&lt;='Bonding Program'!$C$8,BN$3=IF('Bonding Program'!$P$52&lt;&gt;"",'Bonding Program'!$P$52,'Bonding Program'!$C$8)),'Bonding Program'!$Z$52,0)+IF(AND('Bonding Program'!$P$52&lt;&gt;"",BN$3='Bonding Program'!$P$52,BN$3&lt;='Bonding Program'!$C$8),N('Bonding Program'!$O$52),0)</f>
        <v>0</v>
      </c>
      <c r="BO193" s="19" t="n">
        <f aca="false">IF(AND('Bonding Program'!$S$52=1,'Bonding Program'!$H$52&gt;'Bonding Program'!$C$8,BO$3='Bonding Program'!$H$52),'Bonding Program'!$T$52-'Bonding Program'!$U$52-'Bonding Program'!$Z$52,0)-IF(AND('Bonding Program'!$S$52=1,'Bonding Program'!$H$52&lt;='Bonding Program'!$C$8,BO$3=IF('Bonding Program'!$P$52&lt;&gt;"",'Bonding Program'!$P$52,'Bonding Program'!$C$8)),'Bonding Program'!$Z$52,0)+IF(AND('Bonding Program'!$P$52&lt;&gt;"",BO$3='Bonding Program'!$P$52,BO$3&lt;='Bonding Program'!$C$8),N('Bonding Program'!$O$52),0)</f>
        <v>0</v>
      </c>
      <c r="BP193" s="19" t="n">
        <f aca="false">IF(AND('Bonding Program'!$S$52=1,'Bonding Program'!$H$52&gt;'Bonding Program'!$C$8,BP$3='Bonding Program'!$H$52),'Bonding Program'!$T$52-'Bonding Program'!$U$52-'Bonding Program'!$Z$52,0)-IF(AND('Bonding Program'!$S$52=1,'Bonding Program'!$H$52&lt;='Bonding Program'!$C$8,BP$3=IF('Bonding Program'!$P$52&lt;&gt;"",'Bonding Program'!$P$52,'Bonding Program'!$C$8)),'Bonding Program'!$Z$52,0)+IF(AND('Bonding Program'!$P$52&lt;&gt;"",BP$3='Bonding Program'!$P$52,BP$3&lt;='Bonding Program'!$C$8),N('Bonding Program'!$O$52),0)</f>
        <v>0</v>
      </c>
      <c r="BQ193" s="19" t="n">
        <f aca="false">IF(AND('Bonding Program'!$S$52=1,'Bonding Program'!$H$52&gt;'Bonding Program'!$C$8,BQ$3='Bonding Program'!$H$52),'Bonding Program'!$T$52-'Bonding Program'!$U$52-'Bonding Program'!$Z$52,0)-IF(AND('Bonding Program'!$S$52=1,'Bonding Program'!$H$52&lt;='Bonding Program'!$C$8,BQ$3=IF('Bonding Program'!$P$52&lt;&gt;"",'Bonding Program'!$P$52,'Bonding Program'!$C$8)),'Bonding Program'!$Z$52,0)+IF(AND('Bonding Program'!$P$52&lt;&gt;"",BQ$3='Bonding Program'!$P$52,BQ$3&lt;='Bonding Program'!$C$8),N('Bonding Program'!$O$52),0)</f>
        <v>0</v>
      </c>
      <c r="BR193" s="19" t="n">
        <f aca="false">IF(AND('Bonding Program'!$S$52=1,'Bonding Program'!$H$52&gt;'Bonding Program'!$C$8,BR$3='Bonding Program'!$H$52),'Bonding Program'!$T$52-'Bonding Program'!$U$52-'Bonding Program'!$Z$52,0)-IF(AND('Bonding Program'!$S$52=1,'Bonding Program'!$H$52&lt;='Bonding Program'!$C$8,BR$3=IF('Bonding Program'!$P$52&lt;&gt;"",'Bonding Program'!$P$52,'Bonding Program'!$C$8)),'Bonding Program'!$Z$52,0)+IF(AND('Bonding Program'!$P$52&lt;&gt;"",BR$3='Bonding Program'!$P$52,BR$3&lt;='Bonding Program'!$C$8),N('Bonding Program'!$O$52),0)</f>
        <v>0</v>
      </c>
      <c r="BS193" s="19" t="n">
        <f aca="false">IF(AND('Bonding Program'!$S$52=1,'Bonding Program'!$H$52&gt;'Bonding Program'!$C$8,BS$3='Bonding Program'!$H$52),'Bonding Program'!$T$52-'Bonding Program'!$U$52-'Bonding Program'!$Z$52,0)-IF(AND('Bonding Program'!$S$52=1,'Bonding Program'!$H$52&lt;='Bonding Program'!$C$8,BS$3=IF('Bonding Program'!$P$52&lt;&gt;"",'Bonding Program'!$P$52,'Bonding Program'!$C$8)),'Bonding Program'!$Z$52,0)+IF(AND('Bonding Program'!$P$52&lt;&gt;"",BS$3='Bonding Program'!$P$52,BS$3&lt;='Bonding Program'!$C$8),N('Bonding Program'!$O$52),0)</f>
        <v>0</v>
      </c>
      <c r="BT193" s="19" t="n">
        <f aca="false">IF(AND('Bonding Program'!$S$52=1,'Bonding Program'!$H$52&gt;'Bonding Program'!$C$8,BT$3='Bonding Program'!$H$52),'Bonding Program'!$T$52-'Bonding Program'!$U$52-'Bonding Program'!$Z$52,0)-IF(AND('Bonding Program'!$S$52=1,'Bonding Program'!$H$52&lt;='Bonding Program'!$C$8,BT$3=IF('Bonding Program'!$P$52&lt;&gt;"",'Bonding Program'!$P$52,'Bonding Program'!$C$8)),'Bonding Program'!$Z$52,0)+IF(AND('Bonding Program'!$P$52&lt;&gt;"",BT$3='Bonding Program'!$P$52,BT$3&lt;='Bonding Program'!$C$8),N('Bonding Program'!$O$52),0)</f>
        <v>0</v>
      </c>
      <c r="BU193" s="19" t="n">
        <f aca="false">IF(AND('Bonding Program'!$S$52=1,'Bonding Program'!$H$52&gt;'Bonding Program'!$C$8,BU$3='Bonding Program'!$H$52),'Bonding Program'!$T$52-'Bonding Program'!$U$52-'Bonding Program'!$Z$52,0)-IF(AND('Bonding Program'!$S$52=1,'Bonding Program'!$H$52&lt;='Bonding Program'!$C$8,BU$3=IF('Bonding Program'!$P$52&lt;&gt;"",'Bonding Program'!$P$52,'Bonding Program'!$C$8)),'Bonding Program'!$Z$52,0)+IF(AND('Bonding Program'!$P$52&lt;&gt;"",BU$3='Bonding Program'!$P$52,BU$3&lt;='Bonding Program'!$C$8),N('Bonding Program'!$O$52),0)</f>
        <v>0</v>
      </c>
      <c r="BV193" s="19" t="n">
        <f aca="false">IF(AND('Bonding Program'!$S$52=1,'Bonding Program'!$H$52&gt;'Bonding Program'!$C$8,BV$3='Bonding Program'!$H$52),'Bonding Program'!$T$52-'Bonding Program'!$U$52-'Bonding Program'!$Z$52,0)-IF(AND('Bonding Program'!$S$52=1,'Bonding Program'!$H$52&lt;='Bonding Program'!$C$8,BV$3=IF('Bonding Program'!$P$52&lt;&gt;"",'Bonding Program'!$P$52,'Bonding Program'!$C$8)),'Bonding Program'!$Z$52,0)+IF(AND('Bonding Program'!$P$52&lt;&gt;"",BV$3='Bonding Program'!$P$52,BV$3&lt;='Bonding Program'!$C$8),N('Bonding Program'!$O$52),0)</f>
        <v>0</v>
      </c>
      <c r="BW193" s="19" t="n">
        <f aca="false">IF(AND('Bonding Program'!$S$52=1,'Bonding Program'!$H$52&gt;'Bonding Program'!$C$8,BW$3='Bonding Program'!$H$52),'Bonding Program'!$T$52-'Bonding Program'!$U$52-'Bonding Program'!$Z$52,0)-IF(AND('Bonding Program'!$S$52=1,'Bonding Program'!$H$52&lt;='Bonding Program'!$C$8,BW$3=IF('Bonding Program'!$P$52&lt;&gt;"",'Bonding Program'!$P$52,'Bonding Program'!$C$8)),'Bonding Program'!$Z$52,0)+IF(AND('Bonding Program'!$P$52&lt;&gt;"",BW$3='Bonding Program'!$P$52,BW$3&lt;='Bonding Program'!$C$8),N('Bonding Program'!$O$52),0)</f>
        <v>0</v>
      </c>
      <c r="BX193" s="19" t="n">
        <f aca="false">IF(AND('Bonding Program'!$S$52=1,'Bonding Program'!$H$52&gt;'Bonding Program'!$C$8,BX$3='Bonding Program'!$H$52),'Bonding Program'!$T$52-'Bonding Program'!$U$52-'Bonding Program'!$Z$52,0)-IF(AND('Bonding Program'!$S$52=1,'Bonding Program'!$H$52&lt;='Bonding Program'!$C$8,BX$3=IF('Bonding Program'!$P$52&lt;&gt;"",'Bonding Program'!$P$52,'Bonding Program'!$C$8)),'Bonding Program'!$Z$52,0)+IF(AND('Bonding Program'!$P$52&lt;&gt;"",BX$3='Bonding Program'!$P$52,BX$3&lt;='Bonding Program'!$C$8),N('Bonding Program'!$O$52),0)</f>
        <v>0</v>
      </c>
      <c r="BY193" s="19" t="n">
        <f aca="false">IF(AND('Bonding Program'!$S$52=1,'Bonding Program'!$H$52&gt;'Bonding Program'!$C$8,BY$3='Bonding Program'!$H$52),'Bonding Program'!$T$52-'Bonding Program'!$U$52-'Bonding Program'!$Z$52,0)-IF(AND('Bonding Program'!$S$52=1,'Bonding Program'!$H$52&lt;='Bonding Program'!$C$8,BY$3=IF('Bonding Program'!$P$52&lt;&gt;"",'Bonding Program'!$P$52,'Bonding Program'!$C$8)),'Bonding Program'!$Z$52,0)+IF(AND('Bonding Program'!$P$52&lt;&gt;"",BY$3='Bonding Program'!$P$52,BY$3&lt;='Bonding Program'!$C$8),N('Bonding Program'!$O$52),0)</f>
        <v>0</v>
      </c>
      <c r="BZ193" s="19" t="n">
        <f aca="false">IF(AND('Bonding Program'!$S$52=1,'Bonding Program'!$H$52&gt;'Bonding Program'!$C$8,BZ$3='Bonding Program'!$H$52),'Bonding Program'!$T$52-'Bonding Program'!$U$52-'Bonding Program'!$Z$52,0)-IF(AND('Bonding Program'!$S$52=1,'Bonding Program'!$H$52&lt;='Bonding Program'!$C$8,BZ$3=IF('Bonding Program'!$P$52&lt;&gt;"",'Bonding Program'!$P$52,'Bonding Program'!$C$8)),'Bonding Program'!$Z$52,0)+IF(AND('Bonding Program'!$P$52&lt;&gt;"",BZ$3='Bonding Program'!$P$52,BZ$3&lt;='Bonding Program'!$C$8),N('Bonding Program'!$O$52),0)</f>
        <v>0</v>
      </c>
      <c r="CA193" s="19" t="n">
        <f aca="false">IF(AND('Bonding Program'!$S$52=1,'Bonding Program'!$H$52&gt;'Bonding Program'!$C$8,CA$3='Bonding Program'!$H$52),'Bonding Program'!$T$52-'Bonding Program'!$U$52-'Bonding Program'!$Z$52,0)-IF(AND('Bonding Program'!$S$52=1,'Bonding Program'!$H$52&lt;='Bonding Program'!$C$8,CA$3=IF('Bonding Program'!$P$52&lt;&gt;"",'Bonding Program'!$P$52,'Bonding Program'!$C$8)),'Bonding Program'!$Z$52,0)+IF(AND('Bonding Program'!$P$52&lt;&gt;"",CA$3='Bonding Program'!$P$52,CA$3&lt;='Bonding Program'!$C$8),N('Bonding Program'!$O$52),0)</f>
        <v>0</v>
      </c>
      <c r="CB193" s="19" t="n">
        <f aca="false">IF(AND('Bonding Program'!$S$52=1,'Bonding Program'!$H$52&gt;'Bonding Program'!$C$8,CB$3='Bonding Program'!$H$52),'Bonding Program'!$T$52-'Bonding Program'!$U$52-'Bonding Program'!$Z$52,0)-IF(AND('Bonding Program'!$S$52=1,'Bonding Program'!$H$52&lt;='Bonding Program'!$C$8,CB$3=IF('Bonding Program'!$P$52&lt;&gt;"",'Bonding Program'!$P$52,'Bonding Program'!$C$8)),'Bonding Program'!$Z$52,0)+IF(AND('Bonding Program'!$P$52&lt;&gt;"",CB$3='Bonding Program'!$P$52,CB$3&lt;='Bonding Program'!$C$8),N('Bonding Program'!$O$52),0)</f>
        <v>0</v>
      </c>
      <c r="CC193" s="19" t="n">
        <f aca="false">IF(AND('Bonding Program'!$S$52=1,'Bonding Program'!$H$52&gt;'Bonding Program'!$C$8,CC$3='Bonding Program'!$H$52),'Bonding Program'!$T$52-'Bonding Program'!$U$52-'Bonding Program'!$Z$52,0)-IF(AND('Bonding Program'!$S$52=1,'Bonding Program'!$H$52&lt;='Bonding Program'!$C$8,CC$3=IF('Bonding Program'!$P$52&lt;&gt;"",'Bonding Program'!$P$52,'Bonding Program'!$C$8)),'Bonding Program'!$Z$52,0)+IF(AND('Bonding Program'!$P$52&lt;&gt;"",CC$3='Bonding Program'!$P$52,CC$3&lt;='Bonding Program'!$C$8),N('Bonding Program'!$O$52),0)</f>
        <v>0</v>
      </c>
      <c r="CD193" s="19" t="n">
        <f aca="false">IF(AND('Bonding Program'!$S$52=1,'Bonding Program'!$H$52&gt;'Bonding Program'!$C$8,CD$3='Bonding Program'!$H$52),'Bonding Program'!$T$52-'Bonding Program'!$U$52-'Bonding Program'!$Z$52,0)-IF(AND('Bonding Program'!$S$52=1,'Bonding Program'!$H$52&lt;='Bonding Program'!$C$8,CD$3=IF('Bonding Program'!$P$52&lt;&gt;"",'Bonding Program'!$P$52,'Bonding Program'!$C$8)),'Bonding Program'!$Z$52,0)+IF(AND('Bonding Program'!$P$52&lt;&gt;"",CD$3='Bonding Program'!$P$52,CD$3&lt;='Bonding Program'!$C$8),N('Bonding Program'!$O$52),0)</f>
        <v>0</v>
      </c>
      <c r="CE193" s="19" t="n">
        <f aca="false">IF(AND('Bonding Program'!$S$52=1,'Bonding Program'!$H$52&gt;'Bonding Program'!$C$8,CE$3='Bonding Program'!$H$52),'Bonding Program'!$T$52-'Bonding Program'!$U$52-'Bonding Program'!$Z$52,0)-IF(AND('Bonding Program'!$S$52=1,'Bonding Program'!$H$52&lt;='Bonding Program'!$C$8,CE$3=IF('Bonding Program'!$P$52&lt;&gt;"",'Bonding Program'!$P$52,'Bonding Program'!$C$8)),'Bonding Program'!$Z$52,0)+IF(AND('Bonding Program'!$P$52&lt;&gt;"",CE$3='Bonding Program'!$P$52,CE$3&lt;='Bonding Program'!$C$8),N('Bonding Program'!$O$52),0)</f>
        <v>0</v>
      </c>
      <c r="CF193" s="19" t="n">
        <f aca="false">IF(AND('Bonding Program'!$S$52=1,'Bonding Program'!$H$52&gt;'Bonding Program'!$C$8,CF$3='Bonding Program'!$H$52),'Bonding Program'!$T$52-'Bonding Program'!$U$52-'Bonding Program'!$Z$52,0)-IF(AND('Bonding Program'!$S$52=1,'Bonding Program'!$H$52&lt;='Bonding Program'!$C$8,CF$3=IF('Bonding Program'!$P$52&lt;&gt;"",'Bonding Program'!$P$52,'Bonding Program'!$C$8)),'Bonding Program'!$Z$52,0)+IF(AND('Bonding Program'!$P$52&lt;&gt;"",CF$3='Bonding Program'!$P$52,CF$3&lt;='Bonding Program'!$C$8),N('Bonding Program'!$O$52),0)</f>
        <v>0</v>
      </c>
      <c r="CG193" s="19" t="n">
        <f aca="false">IF(AND('Bonding Program'!$S$52=1,'Bonding Program'!$H$52&gt;'Bonding Program'!$C$8,CG$3='Bonding Program'!$H$52),'Bonding Program'!$T$52-'Bonding Program'!$U$52-'Bonding Program'!$Z$52,0)-IF(AND('Bonding Program'!$S$52=1,'Bonding Program'!$H$52&lt;='Bonding Program'!$C$8,CG$3=IF('Bonding Program'!$P$52&lt;&gt;"",'Bonding Program'!$P$52,'Bonding Program'!$C$8)),'Bonding Program'!$Z$52,0)+IF(AND('Bonding Program'!$P$52&lt;&gt;"",CG$3='Bonding Program'!$P$52,CG$3&lt;='Bonding Program'!$C$8),N('Bonding Program'!$O$52),0)</f>
        <v>0</v>
      </c>
      <c r="CH193" s="19" t="n">
        <f aca="false">IF(AND('Bonding Program'!$S$52=1,'Bonding Program'!$H$52&gt;'Bonding Program'!$C$8,CH$3='Bonding Program'!$H$52),'Bonding Program'!$T$52-'Bonding Program'!$U$52-'Bonding Program'!$Z$52,0)-IF(AND('Bonding Program'!$S$52=1,'Bonding Program'!$H$52&lt;='Bonding Program'!$C$8,CH$3=IF('Bonding Program'!$P$52&lt;&gt;"",'Bonding Program'!$P$52,'Bonding Program'!$C$8)),'Bonding Program'!$Z$52,0)+IF(AND('Bonding Program'!$P$52&lt;&gt;"",CH$3='Bonding Program'!$P$52,CH$3&lt;='Bonding Program'!$C$8),N('Bonding Program'!$O$52),0)</f>
        <v>0</v>
      </c>
      <c r="CI193" s="19" t="n">
        <f aca="false">IF(AND('Bonding Program'!$S$52=1,'Bonding Program'!$H$52&gt;'Bonding Program'!$C$8,CI$3='Bonding Program'!$H$52),'Bonding Program'!$T$52-'Bonding Program'!$U$52-'Bonding Program'!$Z$52,0)-IF(AND('Bonding Program'!$S$52=1,'Bonding Program'!$H$52&lt;='Bonding Program'!$C$8,CI$3=IF('Bonding Program'!$P$52&lt;&gt;"",'Bonding Program'!$P$52,'Bonding Program'!$C$8)),'Bonding Program'!$Z$52,0)+IF(AND('Bonding Program'!$P$52&lt;&gt;"",CI$3='Bonding Program'!$P$52,CI$3&lt;='Bonding Program'!$C$8),N('Bonding Program'!$O$52),0)</f>
        <v>0</v>
      </c>
      <c r="CJ193" s="19" t="n">
        <f aca="false">IF(AND('Bonding Program'!$S$52=1,'Bonding Program'!$H$52&gt;'Bonding Program'!$C$8,CJ$3='Bonding Program'!$H$52),'Bonding Program'!$T$52-'Bonding Program'!$U$52-'Bonding Program'!$Z$52,0)-IF(AND('Bonding Program'!$S$52=1,'Bonding Program'!$H$52&lt;='Bonding Program'!$C$8,CJ$3=IF('Bonding Program'!$P$52&lt;&gt;"",'Bonding Program'!$P$52,'Bonding Program'!$C$8)),'Bonding Program'!$Z$52,0)+IF(AND('Bonding Program'!$P$52&lt;&gt;"",CJ$3='Bonding Program'!$P$52,CJ$3&lt;='Bonding Program'!$C$8),N('Bonding Program'!$O$52),0)</f>
        <v>0</v>
      </c>
      <c r="CK193" s="19" t="n">
        <f aca="false">IF(AND('Bonding Program'!$S$52=1,'Bonding Program'!$H$52&gt;'Bonding Program'!$C$8,CK$3='Bonding Program'!$H$52),'Bonding Program'!$T$52-'Bonding Program'!$U$52-'Bonding Program'!$Z$52,0)-IF(AND('Bonding Program'!$S$52=1,'Bonding Program'!$H$52&lt;='Bonding Program'!$C$8,CK$3=IF('Bonding Program'!$P$52&lt;&gt;"",'Bonding Program'!$P$52,'Bonding Program'!$C$8)),'Bonding Program'!$Z$52,0)+IF(AND('Bonding Program'!$P$52&lt;&gt;"",CK$3='Bonding Program'!$P$52,CK$3&lt;='Bonding Program'!$C$8),N('Bonding Program'!$O$52),0)</f>
        <v>0</v>
      </c>
      <c r="CL193" s="19" t="n">
        <f aca="false">IF(AND('Bonding Program'!$S$52=1,'Bonding Program'!$H$52&gt;'Bonding Program'!$C$8,CL$3='Bonding Program'!$H$52),'Bonding Program'!$T$52-'Bonding Program'!$U$52-'Bonding Program'!$Z$52,0)-IF(AND('Bonding Program'!$S$52=1,'Bonding Program'!$H$52&lt;='Bonding Program'!$C$8,CL$3=IF('Bonding Program'!$P$52&lt;&gt;"",'Bonding Program'!$P$52,'Bonding Program'!$C$8)),'Bonding Program'!$Z$52,0)+IF(AND('Bonding Program'!$P$52&lt;&gt;"",CL$3='Bonding Program'!$P$52,CL$3&lt;='Bonding Program'!$C$8),N('Bonding Program'!$O$52),0)</f>
        <v>0</v>
      </c>
      <c r="CM193" s="19" t="n">
        <f aca="false">IF(AND('Bonding Program'!$S$52=1,'Bonding Program'!$H$52&gt;'Bonding Program'!$C$8,CM$3='Bonding Program'!$H$52),'Bonding Program'!$T$52-'Bonding Program'!$U$52-'Bonding Program'!$Z$52,0)-IF(AND('Bonding Program'!$S$52=1,'Bonding Program'!$H$52&lt;='Bonding Program'!$C$8,CM$3=IF('Bonding Program'!$P$52&lt;&gt;"",'Bonding Program'!$P$52,'Bonding Program'!$C$8)),'Bonding Program'!$Z$52,0)+IF(AND('Bonding Program'!$P$52&lt;&gt;"",CM$3='Bonding Program'!$P$52,CM$3&lt;='Bonding Program'!$C$8),N('Bonding Program'!$O$52),0)</f>
        <v>0</v>
      </c>
      <c r="CN193" s="19" t="n">
        <f aca="false">IF(AND('Bonding Program'!$S$52=1,'Bonding Program'!$H$52&gt;'Bonding Program'!$C$8,CN$3='Bonding Program'!$H$52),'Bonding Program'!$T$52-'Bonding Program'!$U$52-'Bonding Program'!$Z$52,0)-IF(AND('Bonding Program'!$S$52=1,'Bonding Program'!$H$52&lt;='Bonding Program'!$C$8,CN$3=IF('Bonding Program'!$P$52&lt;&gt;"",'Bonding Program'!$P$52,'Bonding Program'!$C$8)),'Bonding Program'!$Z$52,0)+IF(AND('Bonding Program'!$P$52&lt;&gt;"",CN$3='Bonding Program'!$P$52,CN$3&lt;='Bonding Program'!$C$8),N('Bonding Program'!$O$52),0)</f>
        <v>0</v>
      </c>
      <c r="CO193" s="19" t="n">
        <f aca="false">IF(AND('Bonding Program'!$S$52=1,'Bonding Program'!$H$52&gt;'Bonding Program'!$C$8,CO$3='Bonding Program'!$H$52),'Bonding Program'!$T$52-'Bonding Program'!$U$52-'Bonding Program'!$Z$52,0)-IF(AND('Bonding Program'!$S$52=1,'Bonding Program'!$H$52&lt;='Bonding Program'!$C$8,CO$3=IF('Bonding Program'!$P$52&lt;&gt;"",'Bonding Program'!$P$52,'Bonding Program'!$C$8)),'Bonding Program'!$Z$52,0)+IF(AND('Bonding Program'!$P$52&lt;&gt;"",CO$3='Bonding Program'!$P$52,CO$3&lt;='Bonding Program'!$C$8),N('Bonding Program'!$O$52),0)</f>
        <v>0</v>
      </c>
      <c r="CP193" s="19" t="n">
        <f aca="false">IF(AND('Bonding Program'!$S$52=1,'Bonding Program'!$H$52&gt;'Bonding Program'!$C$8,CP$3='Bonding Program'!$H$52),'Bonding Program'!$T$52-'Bonding Program'!$U$52-'Bonding Program'!$Z$52,0)-IF(AND('Bonding Program'!$S$52=1,'Bonding Program'!$H$52&lt;='Bonding Program'!$C$8,CP$3=IF('Bonding Program'!$P$52&lt;&gt;"",'Bonding Program'!$P$52,'Bonding Program'!$C$8)),'Bonding Program'!$Z$52,0)+IF(AND('Bonding Program'!$P$52&lt;&gt;"",CP$3='Bonding Program'!$P$52,CP$3&lt;='Bonding Program'!$C$8),N('Bonding Program'!$O$52),0)</f>
        <v>0</v>
      </c>
      <c r="CQ193" s="19" t="n">
        <f aca="false">IF(AND('Bonding Program'!$S$52=1,'Bonding Program'!$H$52&gt;'Bonding Program'!$C$8,CQ$3='Bonding Program'!$H$52),'Bonding Program'!$T$52-'Bonding Program'!$U$52-'Bonding Program'!$Z$52,0)-IF(AND('Bonding Program'!$S$52=1,'Bonding Program'!$H$52&lt;='Bonding Program'!$C$8,CQ$3=IF('Bonding Program'!$P$52&lt;&gt;"",'Bonding Program'!$P$52,'Bonding Program'!$C$8)),'Bonding Program'!$Z$52,0)+IF(AND('Bonding Program'!$P$52&lt;&gt;"",CQ$3='Bonding Program'!$P$52,CQ$3&lt;='Bonding Program'!$C$8),N('Bonding Program'!$O$52),0)</f>
        <v>0</v>
      </c>
      <c r="CR193" s="19" t="n">
        <f aca="false">IF(AND('Bonding Program'!$S$52=1,'Bonding Program'!$H$52&gt;'Bonding Program'!$C$8,CR$3='Bonding Program'!$H$52),'Bonding Program'!$T$52-'Bonding Program'!$U$52-'Bonding Program'!$Z$52,0)-IF(AND('Bonding Program'!$S$52=1,'Bonding Program'!$H$52&lt;='Bonding Program'!$C$8,CR$3=IF('Bonding Program'!$P$52&lt;&gt;"",'Bonding Program'!$P$52,'Bonding Program'!$C$8)),'Bonding Program'!$Z$52,0)+IF(AND('Bonding Program'!$P$52&lt;&gt;"",CR$3='Bonding Program'!$P$52,CR$3&lt;='Bonding Program'!$C$8),N('Bonding Program'!$O$52),0)</f>
        <v>0</v>
      </c>
      <c r="CS193" s="19" t="n">
        <f aca="false">IF(AND('Bonding Program'!$S$52=1,'Bonding Program'!$H$52&gt;'Bonding Program'!$C$8,CS$3='Bonding Program'!$H$52),'Bonding Program'!$T$52-'Bonding Program'!$U$52-'Bonding Program'!$Z$52,0)-IF(AND('Bonding Program'!$S$52=1,'Bonding Program'!$H$52&lt;='Bonding Program'!$C$8,CS$3=IF('Bonding Program'!$P$52&lt;&gt;"",'Bonding Program'!$P$52,'Bonding Program'!$C$8)),'Bonding Program'!$Z$52,0)+IF(AND('Bonding Program'!$P$52&lt;&gt;"",CS$3='Bonding Program'!$P$52,CS$3&lt;='Bonding Program'!$C$8),N('Bonding Program'!$O$52),0)</f>
        <v>0</v>
      </c>
      <c r="CT193" s="19" t="n">
        <f aca="false">IF(AND('Bonding Program'!$S$52=1,'Bonding Program'!$H$52&gt;'Bonding Program'!$C$8,CT$3='Bonding Program'!$H$52),'Bonding Program'!$T$52-'Bonding Program'!$U$52-'Bonding Program'!$Z$52,0)-IF(AND('Bonding Program'!$S$52=1,'Bonding Program'!$H$52&lt;='Bonding Program'!$C$8,CT$3=IF('Bonding Program'!$P$52&lt;&gt;"",'Bonding Program'!$P$52,'Bonding Program'!$C$8)),'Bonding Program'!$Z$52,0)+IF(AND('Bonding Program'!$P$52&lt;&gt;"",CT$3='Bonding Program'!$P$52,CT$3&lt;='Bonding Program'!$C$8),N('Bonding Program'!$O$52),0)</f>
        <v>0</v>
      </c>
      <c r="CU193" s="19" t="n">
        <f aca="false">IF(AND('Bonding Program'!$S$52=1,'Bonding Program'!$H$52&gt;'Bonding Program'!$C$8,CU$3='Bonding Program'!$H$52),'Bonding Program'!$T$52-'Bonding Program'!$U$52-'Bonding Program'!$Z$52,0)-IF(AND('Bonding Program'!$S$52=1,'Bonding Program'!$H$52&lt;='Bonding Program'!$C$8,CU$3=IF('Bonding Program'!$P$52&lt;&gt;"",'Bonding Program'!$P$52,'Bonding Program'!$C$8)),'Bonding Program'!$Z$52,0)+IF(AND('Bonding Program'!$P$52&lt;&gt;"",CU$3='Bonding Program'!$P$52,CU$3&lt;='Bonding Program'!$C$8),N('Bonding Program'!$O$52),0)</f>
        <v>0</v>
      </c>
      <c r="CV193" s="19" t="n">
        <f aca="false">IF(AND('Bonding Program'!$S$52=1,'Bonding Program'!$H$52&gt;'Bonding Program'!$C$8,CV$3='Bonding Program'!$H$52),'Bonding Program'!$T$52-'Bonding Program'!$U$52-'Bonding Program'!$Z$52,0)-IF(AND('Bonding Program'!$S$52=1,'Bonding Program'!$H$52&lt;='Bonding Program'!$C$8,CV$3=IF('Bonding Program'!$P$52&lt;&gt;"",'Bonding Program'!$P$52,'Bonding Program'!$C$8)),'Bonding Program'!$Z$52,0)+IF(AND('Bonding Program'!$P$52&lt;&gt;"",CV$3='Bonding Program'!$P$52,CV$3&lt;='Bonding Program'!$C$8),N('Bonding Program'!$O$52),0)</f>
        <v>0</v>
      </c>
      <c r="CW193" s="19" t="n">
        <f aca="false">IF(AND('Bonding Program'!$S$52=1,'Bonding Program'!$H$52&gt;'Bonding Program'!$C$8,CW$3='Bonding Program'!$H$52),'Bonding Program'!$T$52-'Bonding Program'!$U$52-'Bonding Program'!$Z$52,0)-IF(AND('Bonding Program'!$S$52=1,'Bonding Program'!$H$52&lt;='Bonding Program'!$C$8,CW$3=IF('Bonding Program'!$P$52&lt;&gt;"",'Bonding Program'!$P$52,'Bonding Program'!$C$8)),'Bonding Program'!$Z$52,0)+IF(AND('Bonding Program'!$P$52&lt;&gt;"",CW$3='Bonding Program'!$P$52,CW$3&lt;='Bonding Program'!$C$8),N('Bonding Program'!$O$52),0)</f>
        <v>0</v>
      </c>
      <c r="CX193" s="19" t="n">
        <f aca="false">IF(AND('Bonding Program'!$S$52=1,'Bonding Program'!$H$52&gt;'Bonding Program'!$C$8,CX$3='Bonding Program'!$H$52),'Bonding Program'!$T$52-'Bonding Program'!$U$52-'Bonding Program'!$Z$52,0)-IF(AND('Bonding Program'!$S$52=1,'Bonding Program'!$H$52&lt;='Bonding Program'!$C$8,CX$3=IF('Bonding Program'!$P$52&lt;&gt;"",'Bonding Program'!$P$52,'Bonding Program'!$C$8)),'Bonding Program'!$Z$52,0)+IF(AND('Bonding Program'!$P$52&lt;&gt;"",CX$3='Bonding Program'!$P$52,CX$3&lt;='Bonding Program'!$C$8),N('Bonding Program'!$O$52),0)</f>
        <v>0</v>
      </c>
      <c r="CY193" s="19" t="n">
        <f aca="false">IF(AND('Bonding Program'!$S$52=1,'Bonding Program'!$H$52&gt;'Bonding Program'!$C$8,CY$3='Bonding Program'!$H$52),'Bonding Program'!$T$52-'Bonding Program'!$U$52-'Bonding Program'!$Z$52,0)-IF(AND('Bonding Program'!$S$52=1,'Bonding Program'!$H$52&lt;='Bonding Program'!$C$8,CY$3=IF('Bonding Program'!$P$52&lt;&gt;"",'Bonding Program'!$P$52,'Bonding Program'!$C$8)),'Bonding Program'!$Z$52,0)+IF(AND('Bonding Program'!$P$52&lt;&gt;"",CY$3='Bonding Program'!$P$52,CY$3&lt;='Bonding Program'!$C$8),N('Bonding Program'!$O$52),0)</f>
        <v>0</v>
      </c>
      <c r="CZ193" s="19" t="n">
        <f aca="false">IF(AND('Bonding Program'!$S$52=1,'Bonding Program'!$H$52&gt;'Bonding Program'!$C$8,CZ$3='Bonding Program'!$H$52),'Bonding Program'!$T$52-'Bonding Program'!$U$52-'Bonding Program'!$Z$52,0)-IF(AND('Bonding Program'!$S$52=1,'Bonding Program'!$H$52&lt;='Bonding Program'!$C$8,CZ$3=IF('Bonding Program'!$P$52&lt;&gt;"",'Bonding Program'!$P$52,'Bonding Program'!$C$8)),'Bonding Program'!$Z$52,0)+IF(AND('Bonding Program'!$P$52&lt;&gt;"",CZ$3='Bonding Program'!$P$52,CZ$3&lt;='Bonding Program'!$C$8),N('Bonding Program'!$O$52),0)</f>
        <v>0</v>
      </c>
      <c r="DA193" s="19" t="n">
        <f aca="false">IF(AND('Bonding Program'!$S$52=1,'Bonding Program'!$H$52&gt;'Bonding Program'!$C$8,DA$3='Bonding Program'!$H$52),'Bonding Program'!$T$52-'Bonding Program'!$U$52-'Bonding Program'!$Z$52,0)-IF(AND('Bonding Program'!$S$52=1,'Bonding Program'!$H$52&lt;='Bonding Program'!$C$8,DA$3=IF('Bonding Program'!$P$52&lt;&gt;"",'Bonding Program'!$P$52,'Bonding Program'!$C$8)),'Bonding Program'!$Z$52,0)+IF(AND('Bonding Program'!$P$52&lt;&gt;"",DA$3='Bonding Program'!$P$52,DA$3&lt;='Bonding Program'!$C$8),N('Bonding Program'!$O$52),0)</f>
        <v>0</v>
      </c>
      <c r="DB193" s="19" t="n">
        <f aca="false">IF(AND('Bonding Program'!$S$52=1,'Bonding Program'!$H$52&gt;'Bonding Program'!$C$8,DB$3='Bonding Program'!$H$52),'Bonding Program'!$T$52-'Bonding Program'!$U$52-'Bonding Program'!$Z$52,0)-IF(AND('Bonding Program'!$S$52=1,'Bonding Program'!$H$52&lt;='Bonding Program'!$C$8,DB$3=IF('Bonding Program'!$P$52&lt;&gt;"",'Bonding Program'!$P$52,'Bonding Program'!$C$8)),'Bonding Program'!$Z$52,0)+IF(AND('Bonding Program'!$P$52&lt;&gt;"",DB$3='Bonding Program'!$P$52,DB$3&lt;='Bonding Program'!$C$8),N('Bonding Program'!$O$52),0)</f>
        <v>0</v>
      </c>
      <c r="DC193" s="19" t="n">
        <f aca="false">IF(AND('Bonding Program'!$S$52=1,'Bonding Program'!$H$52&gt;'Bonding Program'!$C$8,DC$3='Bonding Program'!$H$52),'Bonding Program'!$T$52-'Bonding Program'!$U$52-'Bonding Program'!$Z$52,0)-IF(AND('Bonding Program'!$S$52=1,'Bonding Program'!$H$52&lt;='Bonding Program'!$C$8,DC$3=IF('Bonding Program'!$P$52&lt;&gt;"",'Bonding Program'!$P$52,'Bonding Program'!$C$8)),'Bonding Program'!$Z$52,0)+IF(AND('Bonding Program'!$P$52&lt;&gt;"",DC$3='Bonding Program'!$P$52,DC$3&lt;='Bonding Program'!$C$8),N('Bonding Program'!$O$52),0)</f>
        <v>0</v>
      </c>
      <c r="DD193" s="19" t="n">
        <f aca="false">IF(AND('Bonding Program'!$S$52=1,'Bonding Program'!$H$52&gt;'Bonding Program'!$C$8,DD$3='Bonding Program'!$H$52),'Bonding Program'!$T$52-'Bonding Program'!$U$52-'Bonding Program'!$Z$52,0)-IF(AND('Bonding Program'!$S$52=1,'Bonding Program'!$H$52&lt;='Bonding Program'!$C$8,DD$3=IF('Bonding Program'!$P$52&lt;&gt;"",'Bonding Program'!$P$52,'Bonding Program'!$C$8)),'Bonding Program'!$Z$52,0)+IF(AND('Bonding Program'!$P$52&lt;&gt;"",DD$3='Bonding Program'!$P$52,DD$3&lt;='Bonding Program'!$C$8),N('Bonding Program'!$O$52),0)</f>
        <v>0</v>
      </c>
      <c r="DE193" s="19" t="n">
        <f aca="false">IF(AND('Bonding Program'!$S$52=1,'Bonding Program'!$H$52&gt;'Bonding Program'!$C$8,DE$3='Bonding Program'!$H$52),'Bonding Program'!$T$52-'Bonding Program'!$U$52-'Bonding Program'!$Z$52,0)-IF(AND('Bonding Program'!$S$52=1,'Bonding Program'!$H$52&lt;='Bonding Program'!$C$8,DE$3=IF('Bonding Program'!$P$52&lt;&gt;"",'Bonding Program'!$P$52,'Bonding Program'!$C$8)),'Bonding Program'!$Z$52,0)+IF(AND('Bonding Program'!$P$52&lt;&gt;"",DE$3='Bonding Program'!$P$52,DE$3&lt;='Bonding Program'!$C$8),N('Bonding Program'!$O$52),0)</f>
        <v>0</v>
      </c>
    </row>
    <row r="194" customFormat="false" ht="15" hidden="false" customHeight="true" outlineLevel="1" collapsed="false">
      <c r="A194" s="28" t="s">
        <v>49</v>
      </c>
      <c r="B194" s="19" t="n">
        <f aca="false">IF(AND('Bonding Program'!$S$53=1,'Bonding Program'!$H$53&gt;'Bonding Program'!$C$8,B$3='Bonding Program'!$H$53),'Bonding Program'!$T$53-'Bonding Program'!$U$53-'Bonding Program'!$Z$53,0)-IF(AND('Bonding Program'!$S$53=1,'Bonding Program'!$H$53&lt;='Bonding Program'!$C$8,B$3=IF('Bonding Program'!$P$53&lt;&gt;"",'Bonding Program'!$P$53,'Bonding Program'!$C$8)),'Bonding Program'!$Z$53,0)+IF(AND('Bonding Program'!$P$53&lt;&gt;"",B$3='Bonding Program'!$P$53,B$3&lt;='Bonding Program'!$C$8),N('Bonding Program'!$O$53),0)</f>
        <v>0</v>
      </c>
      <c r="C194" s="19" t="n">
        <f aca="false">IF(AND('Bonding Program'!$S$53=1,'Bonding Program'!$H$53&gt;'Bonding Program'!$C$8,C$3='Bonding Program'!$H$53),'Bonding Program'!$T$53-'Bonding Program'!$U$53-'Bonding Program'!$Z$53,0)-IF(AND('Bonding Program'!$S$53=1,'Bonding Program'!$H$53&lt;='Bonding Program'!$C$8,C$3=IF('Bonding Program'!$P$53&lt;&gt;"",'Bonding Program'!$P$53,'Bonding Program'!$C$8)),'Bonding Program'!$Z$53,0)+IF(AND('Bonding Program'!$P$53&lt;&gt;"",C$3='Bonding Program'!$P$53,C$3&lt;='Bonding Program'!$C$8),N('Bonding Program'!$O$53),0)</f>
        <v>0</v>
      </c>
      <c r="D194" s="19" t="n">
        <f aca="false">IF(AND('Bonding Program'!$S$53=1,'Bonding Program'!$H$53&gt;'Bonding Program'!$C$8,D$3='Bonding Program'!$H$53),'Bonding Program'!$T$53-'Bonding Program'!$U$53-'Bonding Program'!$Z$53,0)-IF(AND('Bonding Program'!$S$53=1,'Bonding Program'!$H$53&lt;='Bonding Program'!$C$8,D$3=IF('Bonding Program'!$P$53&lt;&gt;"",'Bonding Program'!$P$53,'Bonding Program'!$C$8)),'Bonding Program'!$Z$53,0)+IF(AND('Bonding Program'!$P$53&lt;&gt;"",D$3='Bonding Program'!$P$53,D$3&lt;='Bonding Program'!$C$8),N('Bonding Program'!$O$53),0)</f>
        <v>0</v>
      </c>
      <c r="E194" s="19" t="n">
        <f aca="false">IF(AND('Bonding Program'!$S$53=1,'Bonding Program'!$H$53&gt;'Bonding Program'!$C$8,E$3='Bonding Program'!$H$53),'Bonding Program'!$T$53-'Bonding Program'!$U$53-'Bonding Program'!$Z$53,0)-IF(AND('Bonding Program'!$S$53=1,'Bonding Program'!$H$53&lt;='Bonding Program'!$C$8,E$3=IF('Bonding Program'!$P$53&lt;&gt;"",'Bonding Program'!$P$53,'Bonding Program'!$C$8)),'Bonding Program'!$Z$53,0)+IF(AND('Bonding Program'!$P$53&lt;&gt;"",E$3='Bonding Program'!$P$53,E$3&lt;='Bonding Program'!$C$8),N('Bonding Program'!$O$53),0)</f>
        <v>0</v>
      </c>
      <c r="F194" s="19" t="n">
        <f aca="false">IF(AND('Bonding Program'!$S$53=1,'Bonding Program'!$H$53&gt;'Bonding Program'!$C$8,F$3='Bonding Program'!$H$53),'Bonding Program'!$T$53-'Bonding Program'!$U$53-'Bonding Program'!$Z$53,0)-IF(AND('Bonding Program'!$S$53=1,'Bonding Program'!$H$53&lt;='Bonding Program'!$C$8,F$3=IF('Bonding Program'!$P$53&lt;&gt;"",'Bonding Program'!$P$53,'Bonding Program'!$C$8)),'Bonding Program'!$Z$53,0)+IF(AND('Bonding Program'!$P$53&lt;&gt;"",F$3='Bonding Program'!$P$53,F$3&lt;='Bonding Program'!$C$8),N('Bonding Program'!$O$53),0)</f>
        <v>0</v>
      </c>
      <c r="G194" s="19" t="n">
        <f aca="false">IF(AND('Bonding Program'!$S$53=1,'Bonding Program'!$H$53&gt;'Bonding Program'!$C$8,G$3='Bonding Program'!$H$53),'Bonding Program'!$T$53-'Bonding Program'!$U$53-'Bonding Program'!$Z$53,0)-IF(AND('Bonding Program'!$S$53=1,'Bonding Program'!$H$53&lt;='Bonding Program'!$C$8,G$3=IF('Bonding Program'!$P$53&lt;&gt;"",'Bonding Program'!$P$53,'Bonding Program'!$C$8)),'Bonding Program'!$Z$53,0)+IF(AND('Bonding Program'!$P$53&lt;&gt;"",G$3='Bonding Program'!$P$53,G$3&lt;='Bonding Program'!$C$8),N('Bonding Program'!$O$53),0)</f>
        <v>0</v>
      </c>
      <c r="H194" s="19" t="n">
        <f aca="false">IF(AND('Bonding Program'!$S$53=1,'Bonding Program'!$H$53&gt;'Bonding Program'!$C$8,H$3='Bonding Program'!$H$53),'Bonding Program'!$T$53-'Bonding Program'!$U$53-'Bonding Program'!$Z$53,0)-IF(AND('Bonding Program'!$S$53=1,'Bonding Program'!$H$53&lt;='Bonding Program'!$C$8,H$3=IF('Bonding Program'!$P$53&lt;&gt;"",'Bonding Program'!$P$53,'Bonding Program'!$C$8)),'Bonding Program'!$Z$53,0)+IF(AND('Bonding Program'!$P$53&lt;&gt;"",H$3='Bonding Program'!$P$53,H$3&lt;='Bonding Program'!$C$8),N('Bonding Program'!$O$53),0)</f>
        <v>0</v>
      </c>
      <c r="I194" s="19" t="n">
        <f aca="false">IF(AND('Bonding Program'!$S$53=1,'Bonding Program'!$H$53&gt;'Bonding Program'!$C$8,I$3='Bonding Program'!$H$53),'Bonding Program'!$T$53-'Bonding Program'!$U$53-'Bonding Program'!$Z$53,0)-IF(AND('Bonding Program'!$S$53=1,'Bonding Program'!$H$53&lt;='Bonding Program'!$C$8,I$3=IF('Bonding Program'!$P$53&lt;&gt;"",'Bonding Program'!$P$53,'Bonding Program'!$C$8)),'Bonding Program'!$Z$53,0)+IF(AND('Bonding Program'!$P$53&lt;&gt;"",I$3='Bonding Program'!$P$53,I$3&lt;='Bonding Program'!$C$8),N('Bonding Program'!$O$53),0)</f>
        <v>0</v>
      </c>
      <c r="J194" s="19" t="n">
        <f aca="false">IF(AND('Bonding Program'!$S$53=1,'Bonding Program'!$H$53&gt;'Bonding Program'!$C$8,J$3='Bonding Program'!$H$53),'Bonding Program'!$T$53-'Bonding Program'!$U$53-'Bonding Program'!$Z$53,0)-IF(AND('Bonding Program'!$S$53=1,'Bonding Program'!$H$53&lt;='Bonding Program'!$C$8,J$3=IF('Bonding Program'!$P$53&lt;&gt;"",'Bonding Program'!$P$53,'Bonding Program'!$C$8)),'Bonding Program'!$Z$53,0)+IF(AND('Bonding Program'!$P$53&lt;&gt;"",J$3='Bonding Program'!$P$53,J$3&lt;='Bonding Program'!$C$8),N('Bonding Program'!$O$53),0)</f>
        <v>0</v>
      </c>
      <c r="K194" s="19" t="n">
        <f aca="false">IF(AND('Bonding Program'!$S$53=1,'Bonding Program'!$H$53&gt;'Bonding Program'!$C$8,K$3='Bonding Program'!$H$53),'Bonding Program'!$T$53-'Bonding Program'!$U$53-'Bonding Program'!$Z$53,0)-IF(AND('Bonding Program'!$S$53=1,'Bonding Program'!$H$53&lt;='Bonding Program'!$C$8,K$3=IF('Bonding Program'!$P$53&lt;&gt;"",'Bonding Program'!$P$53,'Bonding Program'!$C$8)),'Bonding Program'!$Z$53,0)+IF(AND('Bonding Program'!$P$53&lt;&gt;"",K$3='Bonding Program'!$P$53,K$3&lt;='Bonding Program'!$C$8),N('Bonding Program'!$O$53),0)</f>
        <v>0</v>
      </c>
      <c r="L194" s="19" t="n">
        <f aca="false">IF(AND('Bonding Program'!$S$53=1,'Bonding Program'!$H$53&gt;'Bonding Program'!$C$8,L$3='Bonding Program'!$H$53),'Bonding Program'!$T$53-'Bonding Program'!$U$53-'Bonding Program'!$Z$53,0)-IF(AND('Bonding Program'!$S$53=1,'Bonding Program'!$H$53&lt;='Bonding Program'!$C$8,L$3=IF('Bonding Program'!$P$53&lt;&gt;"",'Bonding Program'!$P$53,'Bonding Program'!$C$8)),'Bonding Program'!$Z$53,0)+IF(AND('Bonding Program'!$P$53&lt;&gt;"",L$3='Bonding Program'!$P$53,L$3&lt;='Bonding Program'!$C$8),N('Bonding Program'!$O$53),0)</f>
        <v>0</v>
      </c>
      <c r="M194" s="19" t="n">
        <f aca="false">IF(AND('Bonding Program'!$S$53=1,'Bonding Program'!$H$53&gt;'Bonding Program'!$C$8,M$3='Bonding Program'!$H$53),'Bonding Program'!$T$53-'Bonding Program'!$U$53-'Bonding Program'!$Z$53,0)-IF(AND('Bonding Program'!$S$53=1,'Bonding Program'!$H$53&lt;='Bonding Program'!$C$8,M$3=IF('Bonding Program'!$P$53&lt;&gt;"",'Bonding Program'!$P$53,'Bonding Program'!$C$8)),'Bonding Program'!$Z$53,0)+IF(AND('Bonding Program'!$P$53&lt;&gt;"",M$3='Bonding Program'!$P$53,M$3&lt;='Bonding Program'!$C$8),N('Bonding Program'!$O$53),0)</f>
        <v>0</v>
      </c>
      <c r="N194" s="19" t="n">
        <f aca="false">IF(AND('Bonding Program'!$S$53=1,'Bonding Program'!$H$53&gt;'Bonding Program'!$C$8,N$3='Bonding Program'!$H$53),'Bonding Program'!$T$53-'Bonding Program'!$U$53-'Bonding Program'!$Z$53,0)-IF(AND('Bonding Program'!$S$53=1,'Bonding Program'!$H$53&lt;='Bonding Program'!$C$8,N$3=IF('Bonding Program'!$P$53&lt;&gt;"",'Bonding Program'!$P$53,'Bonding Program'!$C$8)),'Bonding Program'!$Z$53,0)+IF(AND('Bonding Program'!$P$53&lt;&gt;"",N$3='Bonding Program'!$P$53,N$3&lt;='Bonding Program'!$C$8),N('Bonding Program'!$O$53),0)</f>
        <v>0</v>
      </c>
      <c r="O194" s="19" t="n">
        <f aca="false">IF(AND('Bonding Program'!$S$53=1,'Bonding Program'!$H$53&gt;'Bonding Program'!$C$8,O$3='Bonding Program'!$H$53),'Bonding Program'!$T$53-'Bonding Program'!$U$53-'Bonding Program'!$Z$53,0)-IF(AND('Bonding Program'!$S$53=1,'Bonding Program'!$H$53&lt;='Bonding Program'!$C$8,O$3=IF('Bonding Program'!$P$53&lt;&gt;"",'Bonding Program'!$P$53,'Bonding Program'!$C$8)),'Bonding Program'!$Z$53,0)+IF(AND('Bonding Program'!$P$53&lt;&gt;"",O$3='Bonding Program'!$P$53,O$3&lt;='Bonding Program'!$C$8),N('Bonding Program'!$O$53),0)</f>
        <v>0</v>
      </c>
      <c r="P194" s="19" t="n">
        <f aca="false">IF(AND('Bonding Program'!$S$53=1,'Bonding Program'!$H$53&gt;'Bonding Program'!$C$8,P$3='Bonding Program'!$H$53),'Bonding Program'!$T$53-'Bonding Program'!$U$53-'Bonding Program'!$Z$53,0)-IF(AND('Bonding Program'!$S$53=1,'Bonding Program'!$H$53&lt;='Bonding Program'!$C$8,P$3=IF('Bonding Program'!$P$53&lt;&gt;"",'Bonding Program'!$P$53,'Bonding Program'!$C$8)),'Bonding Program'!$Z$53,0)+IF(AND('Bonding Program'!$P$53&lt;&gt;"",P$3='Bonding Program'!$P$53,P$3&lt;='Bonding Program'!$C$8),N('Bonding Program'!$O$53),0)</f>
        <v>0</v>
      </c>
      <c r="Q194" s="19" t="n">
        <f aca="false">IF(AND('Bonding Program'!$S$53=1,'Bonding Program'!$H$53&gt;'Bonding Program'!$C$8,Q$3='Bonding Program'!$H$53),'Bonding Program'!$T$53-'Bonding Program'!$U$53-'Bonding Program'!$Z$53,0)-IF(AND('Bonding Program'!$S$53=1,'Bonding Program'!$H$53&lt;='Bonding Program'!$C$8,Q$3=IF('Bonding Program'!$P$53&lt;&gt;"",'Bonding Program'!$P$53,'Bonding Program'!$C$8)),'Bonding Program'!$Z$53,0)+IF(AND('Bonding Program'!$P$53&lt;&gt;"",Q$3='Bonding Program'!$P$53,Q$3&lt;='Bonding Program'!$C$8),N('Bonding Program'!$O$53),0)</f>
        <v>0</v>
      </c>
      <c r="R194" s="19" t="n">
        <f aca="false">IF(AND('Bonding Program'!$S$53=1,'Bonding Program'!$H$53&gt;'Bonding Program'!$C$8,R$3='Bonding Program'!$H$53),'Bonding Program'!$T$53-'Bonding Program'!$U$53-'Bonding Program'!$Z$53,0)-IF(AND('Bonding Program'!$S$53=1,'Bonding Program'!$H$53&lt;='Bonding Program'!$C$8,R$3=IF('Bonding Program'!$P$53&lt;&gt;"",'Bonding Program'!$P$53,'Bonding Program'!$C$8)),'Bonding Program'!$Z$53,0)+IF(AND('Bonding Program'!$P$53&lt;&gt;"",R$3='Bonding Program'!$P$53,R$3&lt;='Bonding Program'!$C$8),N('Bonding Program'!$O$53),0)</f>
        <v>0</v>
      </c>
      <c r="S194" s="19" t="n">
        <f aca="false">IF(AND('Bonding Program'!$S$53=1,'Bonding Program'!$H$53&gt;'Bonding Program'!$C$8,S$3='Bonding Program'!$H$53),'Bonding Program'!$T$53-'Bonding Program'!$U$53-'Bonding Program'!$Z$53,0)-IF(AND('Bonding Program'!$S$53=1,'Bonding Program'!$H$53&lt;='Bonding Program'!$C$8,S$3=IF('Bonding Program'!$P$53&lt;&gt;"",'Bonding Program'!$P$53,'Bonding Program'!$C$8)),'Bonding Program'!$Z$53,0)+IF(AND('Bonding Program'!$P$53&lt;&gt;"",S$3='Bonding Program'!$P$53,S$3&lt;='Bonding Program'!$C$8),N('Bonding Program'!$O$53),0)</f>
        <v>0</v>
      </c>
      <c r="T194" s="19" t="n">
        <f aca="false">IF(AND('Bonding Program'!$S$53=1,'Bonding Program'!$H$53&gt;'Bonding Program'!$C$8,T$3='Bonding Program'!$H$53),'Bonding Program'!$T$53-'Bonding Program'!$U$53-'Bonding Program'!$Z$53,0)-IF(AND('Bonding Program'!$S$53=1,'Bonding Program'!$H$53&lt;='Bonding Program'!$C$8,T$3=IF('Bonding Program'!$P$53&lt;&gt;"",'Bonding Program'!$P$53,'Bonding Program'!$C$8)),'Bonding Program'!$Z$53,0)+IF(AND('Bonding Program'!$P$53&lt;&gt;"",T$3='Bonding Program'!$P$53,T$3&lt;='Bonding Program'!$C$8),N('Bonding Program'!$O$53),0)</f>
        <v>0</v>
      </c>
      <c r="U194" s="19" t="n">
        <f aca="false">IF(AND('Bonding Program'!$S$53=1,'Bonding Program'!$H$53&gt;'Bonding Program'!$C$8,U$3='Bonding Program'!$H$53),'Bonding Program'!$T$53-'Bonding Program'!$U$53-'Bonding Program'!$Z$53,0)-IF(AND('Bonding Program'!$S$53=1,'Bonding Program'!$H$53&lt;='Bonding Program'!$C$8,U$3=IF('Bonding Program'!$P$53&lt;&gt;"",'Bonding Program'!$P$53,'Bonding Program'!$C$8)),'Bonding Program'!$Z$53,0)+IF(AND('Bonding Program'!$P$53&lt;&gt;"",U$3='Bonding Program'!$P$53,U$3&lt;='Bonding Program'!$C$8),N('Bonding Program'!$O$53),0)</f>
        <v>0</v>
      </c>
      <c r="V194" s="19" t="n">
        <f aca="false">IF(AND('Bonding Program'!$S$53=1,'Bonding Program'!$H$53&gt;'Bonding Program'!$C$8,V$3='Bonding Program'!$H$53),'Bonding Program'!$T$53-'Bonding Program'!$U$53-'Bonding Program'!$Z$53,0)-IF(AND('Bonding Program'!$S$53=1,'Bonding Program'!$H$53&lt;='Bonding Program'!$C$8,V$3=IF('Bonding Program'!$P$53&lt;&gt;"",'Bonding Program'!$P$53,'Bonding Program'!$C$8)),'Bonding Program'!$Z$53,0)+IF(AND('Bonding Program'!$P$53&lt;&gt;"",V$3='Bonding Program'!$P$53,V$3&lt;='Bonding Program'!$C$8),N('Bonding Program'!$O$53),0)</f>
        <v>0</v>
      </c>
      <c r="W194" s="19" t="n">
        <f aca="false">IF(AND('Bonding Program'!$S$53=1,'Bonding Program'!$H$53&gt;'Bonding Program'!$C$8,W$3='Bonding Program'!$H$53),'Bonding Program'!$T$53-'Bonding Program'!$U$53-'Bonding Program'!$Z$53,0)-IF(AND('Bonding Program'!$S$53=1,'Bonding Program'!$H$53&lt;='Bonding Program'!$C$8,W$3=IF('Bonding Program'!$P$53&lt;&gt;"",'Bonding Program'!$P$53,'Bonding Program'!$C$8)),'Bonding Program'!$Z$53,0)+IF(AND('Bonding Program'!$P$53&lt;&gt;"",W$3='Bonding Program'!$P$53,W$3&lt;='Bonding Program'!$C$8),N('Bonding Program'!$O$53),0)</f>
        <v>0</v>
      </c>
      <c r="X194" s="19" t="n">
        <f aca="false">IF(AND('Bonding Program'!$S$53=1,'Bonding Program'!$H$53&gt;'Bonding Program'!$C$8,X$3='Bonding Program'!$H$53),'Bonding Program'!$T$53-'Bonding Program'!$U$53-'Bonding Program'!$Z$53,0)-IF(AND('Bonding Program'!$S$53=1,'Bonding Program'!$H$53&lt;='Bonding Program'!$C$8,X$3=IF('Bonding Program'!$P$53&lt;&gt;"",'Bonding Program'!$P$53,'Bonding Program'!$C$8)),'Bonding Program'!$Z$53,0)+IF(AND('Bonding Program'!$P$53&lt;&gt;"",X$3='Bonding Program'!$P$53,X$3&lt;='Bonding Program'!$C$8),N('Bonding Program'!$O$53),0)</f>
        <v>0</v>
      </c>
      <c r="Y194" s="19" t="n">
        <f aca="false">IF(AND('Bonding Program'!$S$53=1,'Bonding Program'!$H$53&gt;'Bonding Program'!$C$8,Y$3='Bonding Program'!$H$53),'Bonding Program'!$T$53-'Bonding Program'!$U$53-'Bonding Program'!$Z$53,0)-IF(AND('Bonding Program'!$S$53=1,'Bonding Program'!$H$53&lt;='Bonding Program'!$C$8,Y$3=IF('Bonding Program'!$P$53&lt;&gt;"",'Bonding Program'!$P$53,'Bonding Program'!$C$8)),'Bonding Program'!$Z$53,0)+IF(AND('Bonding Program'!$P$53&lt;&gt;"",Y$3='Bonding Program'!$P$53,Y$3&lt;='Bonding Program'!$C$8),N('Bonding Program'!$O$53),0)</f>
        <v>0</v>
      </c>
      <c r="Z194" s="19" t="n">
        <f aca="false">IF(AND('Bonding Program'!$S$53=1,'Bonding Program'!$H$53&gt;'Bonding Program'!$C$8,Z$3='Bonding Program'!$H$53),'Bonding Program'!$T$53-'Bonding Program'!$U$53-'Bonding Program'!$Z$53,0)-IF(AND('Bonding Program'!$S$53=1,'Bonding Program'!$H$53&lt;='Bonding Program'!$C$8,Z$3=IF('Bonding Program'!$P$53&lt;&gt;"",'Bonding Program'!$P$53,'Bonding Program'!$C$8)),'Bonding Program'!$Z$53,0)+IF(AND('Bonding Program'!$P$53&lt;&gt;"",Z$3='Bonding Program'!$P$53,Z$3&lt;='Bonding Program'!$C$8),N('Bonding Program'!$O$53),0)</f>
        <v>0</v>
      </c>
      <c r="AA194" s="19" t="n">
        <f aca="false">IF(AND('Bonding Program'!$S$53=1,'Bonding Program'!$H$53&gt;'Bonding Program'!$C$8,AA$3='Bonding Program'!$H$53),'Bonding Program'!$T$53-'Bonding Program'!$U$53-'Bonding Program'!$Z$53,0)-IF(AND('Bonding Program'!$S$53=1,'Bonding Program'!$H$53&lt;='Bonding Program'!$C$8,AA$3=IF('Bonding Program'!$P$53&lt;&gt;"",'Bonding Program'!$P$53,'Bonding Program'!$C$8)),'Bonding Program'!$Z$53,0)+IF(AND('Bonding Program'!$P$53&lt;&gt;"",AA$3='Bonding Program'!$P$53,AA$3&lt;='Bonding Program'!$C$8),N('Bonding Program'!$O$53),0)</f>
        <v>0</v>
      </c>
      <c r="AB194" s="19" t="n">
        <f aca="false">IF(AND('Bonding Program'!$S$53=1,'Bonding Program'!$H$53&gt;'Bonding Program'!$C$8,AB$3='Bonding Program'!$H$53),'Bonding Program'!$T$53-'Bonding Program'!$U$53-'Bonding Program'!$Z$53,0)-IF(AND('Bonding Program'!$S$53=1,'Bonding Program'!$H$53&lt;='Bonding Program'!$C$8,AB$3=IF('Bonding Program'!$P$53&lt;&gt;"",'Bonding Program'!$P$53,'Bonding Program'!$C$8)),'Bonding Program'!$Z$53,0)+IF(AND('Bonding Program'!$P$53&lt;&gt;"",AB$3='Bonding Program'!$P$53,AB$3&lt;='Bonding Program'!$C$8),N('Bonding Program'!$O$53),0)</f>
        <v>0</v>
      </c>
      <c r="AC194" s="19" t="n">
        <f aca="false">IF(AND('Bonding Program'!$S$53=1,'Bonding Program'!$H$53&gt;'Bonding Program'!$C$8,AC$3='Bonding Program'!$H$53),'Bonding Program'!$T$53-'Bonding Program'!$U$53-'Bonding Program'!$Z$53,0)-IF(AND('Bonding Program'!$S$53=1,'Bonding Program'!$H$53&lt;='Bonding Program'!$C$8,AC$3=IF('Bonding Program'!$P$53&lt;&gt;"",'Bonding Program'!$P$53,'Bonding Program'!$C$8)),'Bonding Program'!$Z$53,0)+IF(AND('Bonding Program'!$P$53&lt;&gt;"",AC$3='Bonding Program'!$P$53,AC$3&lt;='Bonding Program'!$C$8),N('Bonding Program'!$O$53),0)</f>
        <v>0</v>
      </c>
      <c r="AD194" s="19" t="n">
        <f aca="false">IF(AND('Bonding Program'!$S$53=1,'Bonding Program'!$H$53&gt;'Bonding Program'!$C$8,AD$3='Bonding Program'!$H$53),'Bonding Program'!$T$53-'Bonding Program'!$U$53-'Bonding Program'!$Z$53,0)-IF(AND('Bonding Program'!$S$53=1,'Bonding Program'!$H$53&lt;='Bonding Program'!$C$8,AD$3=IF('Bonding Program'!$P$53&lt;&gt;"",'Bonding Program'!$P$53,'Bonding Program'!$C$8)),'Bonding Program'!$Z$53,0)+IF(AND('Bonding Program'!$P$53&lt;&gt;"",AD$3='Bonding Program'!$P$53,AD$3&lt;='Bonding Program'!$C$8),N('Bonding Program'!$O$53),0)</f>
        <v>0</v>
      </c>
      <c r="AE194" s="19" t="n">
        <f aca="false">IF(AND('Bonding Program'!$S$53=1,'Bonding Program'!$H$53&gt;'Bonding Program'!$C$8,AE$3='Bonding Program'!$H$53),'Bonding Program'!$T$53-'Bonding Program'!$U$53-'Bonding Program'!$Z$53,0)-IF(AND('Bonding Program'!$S$53=1,'Bonding Program'!$H$53&lt;='Bonding Program'!$C$8,AE$3=IF('Bonding Program'!$P$53&lt;&gt;"",'Bonding Program'!$P$53,'Bonding Program'!$C$8)),'Bonding Program'!$Z$53,0)+IF(AND('Bonding Program'!$P$53&lt;&gt;"",AE$3='Bonding Program'!$P$53,AE$3&lt;='Bonding Program'!$C$8),N('Bonding Program'!$O$53),0)</f>
        <v>0</v>
      </c>
      <c r="AF194" s="19" t="n">
        <f aca="false">IF(AND('Bonding Program'!$S$53=1,'Bonding Program'!$H$53&gt;'Bonding Program'!$C$8,AF$3='Bonding Program'!$H$53),'Bonding Program'!$T$53-'Bonding Program'!$U$53-'Bonding Program'!$Z$53,0)-IF(AND('Bonding Program'!$S$53=1,'Bonding Program'!$H$53&lt;='Bonding Program'!$C$8,AF$3=IF('Bonding Program'!$P$53&lt;&gt;"",'Bonding Program'!$P$53,'Bonding Program'!$C$8)),'Bonding Program'!$Z$53,0)+IF(AND('Bonding Program'!$P$53&lt;&gt;"",AF$3='Bonding Program'!$P$53,AF$3&lt;='Bonding Program'!$C$8),N('Bonding Program'!$O$53),0)</f>
        <v>0</v>
      </c>
      <c r="AG194" s="19" t="n">
        <f aca="false">IF(AND('Bonding Program'!$S$53=1,'Bonding Program'!$H$53&gt;'Bonding Program'!$C$8,AG$3='Bonding Program'!$H$53),'Bonding Program'!$T$53-'Bonding Program'!$U$53-'Bonding Program'!$Z$53,0)-IF(AND('Bonding Program'!$S$53=1,'Bonding Program'!$H$53&lt;='Bonding Program'!$C$8,AG$3=IF('Bonding Program'!$P$53&lt;&gt;"",'Bonding Program'!$P$53,'Bonding Program'!$C$8)),'Bonding Program'!$Z$53,0)+IF(AND('Bonding Program'!$P$53&lt;&gt;"",AG$3='Bonding Program'!$P$53,AG$3&lt;='Bonding Program'!$C$8),N('Bonding Program'!$O$53),0)</f>
        <v>0</v>
      </c>
      <c r="AH194" s="19" t="n">
        <f aca="false">IF(AND('Bonding Program'!$S$53=1,'Bonding Program'!$H$53&gt;'Bonding Program'!$C$8,AH$3='Bonding Program'!$H$53),'Bonding Program'!$T$53-'Bonding Program'!$U$53-'Bonding Program'!$Z$53,0)-IF(AND('Bonding Program'!$S$53=1,'Bonding Program'!$H$53&lt;='Bonding Program'!$C$8,AH$3=IF('Bonding Program'!$P$53&lt;&gt;"",'Bonding Program'!$P$53,'Bonding Program'!$C$8)),'Bonding Program'!$Z$53,0)+IF(AND('Bonding Program'!$P$53&lt;&gt;"",AH$3='Bonding Program'!$P$53,AH$3&lt;='Bonding Program'!$C$8),N('Bonding Program'!$O$53),0)</f>
        <v>0</v>
      </c>
      <c r="AI194" s="19" t="n">
        <f aca="false">IF(AND('Bonding Program'!$S$53=1,'Bonding Program'!$H$53&gt;'Bonding Program'!$C$8,AI$3='Bonding Program'!$H$53),'Bonding Program'!$T$53-'Bonding Program'!$U$53-'Bonding Program'!$Z$53,0)-IF(AND('Bonding Program'!$S$53=1,'Bonding Program'!$H$53&lt;='Bonding Program'!$C$8,AI$3=IF('Bonding Program'!$P$53&lt;&gt;"",'Bonding Program'!$P$53,'Bonding Program'!$C$8)),'Bonding Program'!$Z$53,0)+IF(AND('Bonding Program'!$P$53&lt;&gt;"",AI$3='Bonding Program'!$P$53,AI$3&lt;='Bonding Program'!$C$8),N('Bonding Program'!$O$53),0)</f>
        <v>0</v>
      </c>
      <c r="AJ194" s="19" t="n">
        <f aca="false">IF(AND('Bonding Program'!$S$53=1,'Bonding Program'!$H$53&gt;'Bonding Program'!$C$8,AJ$3='Bonding Program'!$H$53),'Bonding Program'!$T$53-'Bonding Program'!$U$53-'Bonding Program'!$Z$53,0)-IF(AND('Bonding Program'!$S$53=1,'Bonding Program'!$H$53&lt;='Bonding Program'!$C$8,AJ$3=IF('Bonding Program'!$P$53&lt;&gt;"",'Bonding Program'!$P$53,'Bonding Program'!$C$8)),'Bonding Program'!$Z$53,0)+IF(AND('Bonding Program'!$P$53&lt;&gt;"",AJ$3='Bonding Program'!$P$53,AJ$3&lt;='Bonding Program'!$C$8),N('Bonding Program'!$O$53),0)</f>
        <v>0</v>
      </c>
      <c r="AK194" s="19" t="n">
        <f aca="false">IF(AND('Bonding Program'!$S$53=1,'Bonding Program'!$H$53&gt;'Bonding Program'!$C$8,AK$3='Bonding Program'!$H$53),'Bonding Program'!$T$53-'Bonding Program'!$U$53-'Bonding Program'!$Z$53,0)-IF(AND('Bonding Program'!$S$53=1,'Bonding Program'!$H$53&lt;='Bonding Program'!$C$8,AK$3=IF('Bonding Program'!$P$53&lt;&gt;"",'Bonding Program'!$P$53,'Bonding Program'!$C$8)),'Bonding Program'!$Z$53,0)+IF(AND('Bonding Program'!$P$53&lt;&gt;"",AK$3='Bonding Program'!$P$53,AK$3&lt;='Bonding Program'!$C$8),N('Bonding Program'!$O$53),0)</f>
        <v>0</v>
      </c>
      <c r="AL194" s="19" t="n">
        <f aca="false">IF(AND('Bonding Program'!$S$53=1,'Bonding Program'!$H$53&gt;'Bonding Program'!$C$8,AL$3='Bonding Program'!$H$53),'Bonding Program'!$T$53-'Bonding Program'!$U$53-'Bonding Program'!$Z$53,0)-IF(AND('Bonding Program'!$S$53=1,'Bonding Program'!$H$53&lt;='Bonding Program'!$C$8,AL$3=IF('Bonding Program'!$P$53&lt;&gt;"",'Bonding Program'!$P$53,'Bonding Program'!$C$8)),'Bonding Program'!$Z$53,0)+IF(AND('Bonding Program'!$P$53&lt;&gt;"",AL$3='Bonding Program'!$P$53,AL$3&lt;='Bonding Program'!$C$8),N('Bonding Program'!$O$53),0)</f>
        <v>0</v>
      </c>
      <c r="AM194" s="19" t="n">
        <f aca="false">IF(AND('Bonding Program'!$S$53=1,'Bonding Program'!$H$53&gt;'Bonding Program'!$C$8,AM$3='Bonding Program'!$H$53),'Bonding Program'!$T$53-'Bonding Program'!$U$53-'Bonding Program'!$Z$53,0)-IF(AND('Bonding Program'!$S$53=1,'Bonding Program'!$H$53&lt;='Bonding Program'!$C$8,AM$3=IF('Bonding Program'!$P$53&lt;&gt;"",'Bonding Program'!$P$53,'Bonding Program'!$C$8)),'Bonding Program'!$Z$53,0)+IF(AND('Bonding Program'!$P$53&lt;&gt;"",AM$3='Bonding Program'!$P$53,AM$3&lt;='Bonding Program'!$C$8),N('Bonding Program'!$O$53),0)</f>
        <v>0</v>
      </c>
      <c r="AN194" s="19" t="n">
        <f aca="false">IF(AND('Bonding Program'!$S$53=1,'Bonding Program'!$H$53&gt;'Bonding Program'!$C$8,AN$3='Bonding Program'!$H$53),'Bonding Program'!$T$53-'Bonding Program'!$U$53-'Bonding Program'!$Z$53,0)-IF(AND('Bonding Program'!$S$53=1,'Bonding Program'!$H$53&lt;='Bonding Program'!$C$8,AN$3=IF('Bonding Program'!$P$53&lt;&gt;"",'Bonding Program'!$P$53,'Bonding Program'!$C$8)),'Bonding Program'!$Z$53,0)+IF(AND('Bonding Program'!$P$53&lt;&gt;"",AN$3='Bonding Program'!$P$53,AN$3&lt;='Bonding Program'!$C$8),N('Bonding Program'!$O$53),0)</f>
        <v>0</v>
      </c>
      <c r="AO194" s="19" t="n">
        <f aca="false">IF(AND('Bonding Program'!$S$53=1,'Bonding Program'!$H$53&gt;'Bonding Program'!$C$8,AO$3='Bonding Program'!$H$53),'Bonding Program'!$T$53-'Bonding Program'!$U$53-'Bonding Program'!$Z$53,0)-IF(AND('Bonding Program'!$S$53=1,'Bonding Program'!$H$53&lt;='Bonding Program'!$C$8,AO$3=IF('Bonding Program'!$P$53&lt;&gt;"",'Bonding Program'!$P$53,'Bonding Program'!$C$8)),'Bonding Program'!$Z$53,0)+IF(AND('Bonding Program'!$P$53&lt;&gt;"",AO$3='Bonding Program'!$P$53,AO$3&lt;='Bonding Program'!$C$8),N('Bonding Program'!$O$53),0)</f>
        <v>0</v>
      </c>
      <c r="AP194" s="19" t="n">
        <f aca="false">IF(AND('Bonding Program'!$S$53=1,'Bonding Program'!$H$53&gt;'Bonding Program'!$C$8,AP$3='Bonding Program'!$H$53),'Bonding Program'!$T$53-'Bonding Program'!$U$53-'Bonding Program'!$Z$53,0)-IF(AND('Bonding Program'!$S$53=1,'Bonding Program'!$H$53&lt;='Bonding Program'!$C$8,AP$3=IF('Bonding Program'!$P$53&lt;&gt;"",'Bonding Program'!$P$53,'Bonding Program'!$C$8)),'Bonding Program'!$Z$53,0)+IF(AND('Bonding Program'!$P$53&lt;&gt;"",AP$3='Bonding Program'!$P$53,AP$3&lt;='Bonding Program'!$C$8),N('Bonding Program'!$O$53),0)</f>
        <v>0</v>
      </c>
      <c r="AQ194" s="19" t="n">
        <f aca="false">IF(AND('Bonding Program'!$S$53=1,'Bonding Program'!$H$53&gt;'Bonding Program'!$C$8,AQ$3='Bonding Program'!$H$53),'Bonding Program'!$T$53-'Bonding Program'!$U$53-'Bonding Program'!$Z$53,0)-IF(AND('Bonding Program'!$S$53=1,'Bonding Program'!$H$53&lt;='Bonding Program'!$C$8,AQ$3=IF('Bonding Program'!$P$53&lt;&gt;"",'Bonding Program'!$P$53,'Bonding Program'!$C$8)),'Bonding Program'!$Z$53,0)+IF(AND('Bonding Program'!$P$53&lt;&gt;"",AQ$3='Bonding Program'!$P$53,AQ$3&lt;='Bonding Program'!$C$8),N('Bonding Program'!$O$53),0)</f>
        <v>0</v>
      </c>
      <c r="AR194" s="19" t="n">
        <f aca="false">IF(AND('Bonding Program'!$S$53=1,'Bonding Program'!$H$53&gt;'Bonding Program'!$C$8,AR$3='Bonding Program'!$H$53),'Bonding Program'!$T$53-'Bonding Program'!$U$53-'Bonding Program'!$Z$53,0)-IF(AND('Bonding Program'!$S$53=1,'Bonding Program'!$H$53&lt;='Bonding Program'!$C$8,AR$3=IF('Bonding Program'!$P$53&lt;&gt;"",'Bonding Program'!$P$53,'Bonding Program'!$C$8)),'Bonding Program'!$Z$53,0)+IF(AND('Bonding Program'!$P$53&lt;&gt;"",AR$3='Bonding Program'!$P$53,AR$3&lt;='Bonding Program'!$C$8),N('Bonding Program'!$O$53),0)</f>
        <v>0</v>
      </c>
      <c r="AS194" s="19" t="n">
        <f aca="false">IF(AND('Bonding Program'!$S$53=1,'Bonding Program'!$H$53&gt;'Bonding Program'!$C$8,AS$3='Bonding Program'!$H$53),'Bonding Program'!$T$53-'Bonding Program'!$U$53-'Bonding Program'!$Z$53,0)-IF(AND('Bonding Program'!$S$53=1,'Bonding Program'!$H$53&lt;='Bonding Program'!$C$8,AS$3=IF('Bonding Program'!$P$53&lt;&gt;"",'Bonding Program'!$P$53,'Bonding Program'!$C$8)),'Bonding Program'!$Z$53,0)+IF(AND('Bonding Program'!$P$53&lt;&gt;"",AS$3='Bonding Program'!$P$53,AS$3&lt;='Bonding Program'!$C$8),N('Bonding Program'!$O$53),0)</f>
        <v>0</v>
      </c>
      <c r="AT194" s="19" t="n">
        <f aca="false">IF(AND('Bonding Program'!$S$53=1,'Bonding Program'!$H$53&gt;'Bonding Program'!$C$8,AT$3='Bonding Program'!$H$53),'Bonding Program'!$T$53-'Bonding Program'!$U$53-'Bonding Program'!$Z$53,0)-IF(AND('Bonding Program'!$S$53=1,'Bonding Program'!$H$53&lt;='Bonding Program'!$C$8,AT$3=IF('Bonding Program'!$P$53&lt;&gt;"",'Bonding Program'!$P$53,'Bonding Program'!$C$8)),'Bonding Program'!$Z$53,0)+IF(AND('Bonding Program'!$P$53&lt;&gt;"",AT$3='Bonding Program'!$P$53,AT$3&lt;='Bonding Program'!$C$8),N('Bonding Program'!$O$53),0)</f>
        <v>0</v>
      </c>
      <c r="AU194" s="19" t="n">
        <f aca="false">IF(AND('Bonding Program'!$S$53=1,'Bonding Program'!$H$53&gt;'Bonding Program'!$C$8,AU$3='Bonding Program'!$H$53),'Bonding Program'!$T$53-'Bonding Program'!$U$53-'Bonding Program'!$Z$53,0)-IF(AND('Bonding Program'!$S$53=1,'Bonding Program'!$H$53&lt;='Bonding Program'!$C$8,AU$3=IF('Bonding Program'!$P$53&lt;&gt;"",'Bonding Program'!$P$53,'Bonding Program'!$C$8)),'Bonding Program'!$Z$53,0)+IF(AND('Bonding Program'!$P$53&lt;&gt;"",AU$3='Bonding Program'!$P$53,AU$3&lt;='Bonding Program'!$C$8),N('Bonding Program'!$O$53),0)</f>
        <v>0</v>
      </c>
      <c r="AV194" s="19" t="n">
        <f aca="false">IF(AND('Bonding Program'!$S$53=1,'Bonding Program'!$H$53&gt;'Bonding Program'!$C$8,AV$3='Bonding Program'!$H$53),'Bonding Program'!$T$53-'Bonding Program'!$U$53-'Bonding Program'!$Z$53,0)-IF(AND('Bonding Program'!$S$53=1,'Bonding Program'!$H$53&lt;='Bonding Program'!$C$8,AV$3=IF('Bonding Program'!$P$53&lt;&gt;"",'Bonding Program'!$P$53,'Bonding Program'!$C$8)),'Bonding Program'!$Z$53,0)+IF(AND('Bonding Program'!$P$53&lt;&gt;"",AV$3='Bonding Program'!$P$53,AV$3&lt;='Bonding Program'!$C$8),N('Bonding Program'!$O$53),0)</f>
        <v>0</v>
      </c>
      <c r="AW194" s="19" t="n">
        <f aca="false">IF(AND('Bonding Program'!$S$53=1,'Bonding Program'!$H$53&gt;'Bonding Program'!$C$8,AW$3='Bonding Program'!$H$53),'Bonding Program'!$T$53-'Bonding Program'!$U$53-'Bonding Program'!$Z$53,0)-IF(AND('Bonding Program'!$S$53=1,'Bonding Program'!$H$53&lt;='Bonding Program'!$C$8,AW$3=IF('Bonding Program'!$P$53&lt;&gt;"",'Bonding Program'!$P$53,'Bonding Program'!$C$8)),'Bonding Program'!$Z$53,0)+IF(AND('Bonding Program'!$P$53&lt;&gt;"",AW$3='Bonding Program'!$P$53,AW$3&lt;='Bonding Program'!$C$8),N('Bonding Program'!$O$53),0)</f>
        <v>0</v>
      </c>
      <c r="AX194" s="19" t="n">
        <f aca="false">IF(AND('Bonding Program'!$S$53=1,'Bonding Program'!$H$53&gt;'Bonding Program'!$C$8,AX$3='Bonding Program'!$H$53),'Bonding Program'!$T$53-'Bonding Program'!$U$53-'Bonding Program'!$Z$53,0)-IF(AND('Bonding Program'!$S$53=1,'Bonding Program'!$H$53&lt;='Bonding Program'!$C$8,AX$3=IF('Bonding Program'!$P$53&lt;&gt;"",'Bonding Program'!$P$53,'Bonding Program'!$C$8)),'Bonding Program'!$Z$53,0)+IF(AND('Bonding Program'!$P$53&lt;&gt;"",AX$3='Bonding Program'!$P$53,AX$3&lt;='Bonding Program'!$C$8),N('Bonding Program'!$O$53),0)</f>
        <v>0</v>
      </c>
      <c r="AY194" s="19" t="n">
        <f aca="false">IF(AND('Bonding Program'!$S$53=1,'Bonding Program'!$H$53&gt;'Bonding Program'!$C$8,AY$3='Bonding Program'!$H$53),'Bonding Program'!$T$53-'Bonding Program'!$U$53-'Bonding Program'!$Z$53,0)-IF(AND('Bonding Program'!$S$53=1,'Bonding Program'!$H$53&lt;='Bonding Program'!$C$8,AY$3=IF('Bonding Program'!$P$53&lt;&gt;"",'Bonding Program'!$P$53,'Bonding Program'!$C$8)),'Bonding Program'!$Z$53,0)+IF(AND('Bonding Program'!$P$53&lt;&gt;"",AY$3='Bonding Program'!$P$53,AY$3&lt;='Bonding Program'!$C$8),N('Bonding Program'!$O$53),0)</f>
        <v>0</v>
      </c>
      <c r="AZ194" s="19" t="n">
        <f aca="false">IF(AND('Bonding Program'!$S$53=1,'Bonding Program'!$H$53&gt;'Bonding Program'!$C$8,AZ$3='Bonding Program'!$H$53),'Bonding Program'!$T$53-'Bonding Program'!$U$53-'Bonding Program'!$Z$53,0)-IF(AND('Bonding Program'!$S$53=1,'Bonding Program'!$H$53&lt;='Bonding Program'!$C$8,AZ$3=IF('Bonding Program'!$P$53&lt;&gt;"",'Bonding Program'!$P$53,'Bonding Program'!$C$8)),'Bonding Program'!$Z$53,0)+IF(AND('Bonding Program'!$P$53&lt;&gt;"",AZ$3='Bonding Program'!$P$53,AZ$3&lt;='Bonding Program'!$C$8),N('Bonding Program'!$O$53),0)</f>
        <v>0</v>
      </c>
      <c r="BA194" s="19" t="n">
        <f aca="false">IF(AND('Bonding Program'!$S$53=1,'Bonding Program'!$H$53&gt;'Bonding Program'!$C$8,BA$3='Bonding Program'!$H$53),'Bonding Program'!$T$53-'Bonding Program'!$U$53-'Bonding Program'!$Z$53,0)-IF(AND('Bonding Program'!$S$53=1,'Bonding Program'!$H$53&lt;='Bonding Program'!$C$8,BA$3=IF('Bonding Program'!$P$53&lt;&gt;"",'Bonding Program'!$P$53,'Bonding Program'!$C$8)),'Bonding Program'!$Z$53,0)+IF(AND('Bonding Program'!$P$53&lt;&gt;"",BA$3='Bonding Program'!$P$53,BA$3&lt;='Bonding Program'!$C$8),N('Bonding Program'!$O$53),0)</f>
        <v>0</v>
      </c>
      <c r="BB194" s="19" t="n">
        <f aca="false">IF(AND('Bonding Program'!$S$53=1,'Bonding Program'!$H$53&gt;'Bonding Program'!$C$8,BB$3='Bonding Program'!$H$53),'Bonding Program'!$T$53-'Bonding Program'!$U$53-'Bonding Program'!$Z$53,0)-IF(AND('Bonding Program'!$S$53=1,'Bonding Program'!$H$53&lt;='Bonding Program'!$C$8,BB$3=IF('Bonding Program'!$P$53&lt;&gt;"",'Bonding Program'!$P$53,'Bonding Program'!$C$8)),'Bonding Program'!$Z$53,0)+IF(AND('Bonding Program'!$P$53&lt;&gt;"",BB$3='Bonding Program'!$P$53,BB$3&lt;='Bonding Program'!$C$8),N('Bonding Program'!$O$53),0)</f>
        <v>0</v>
      </c>
      <c r="BC194" s="19" t="n">
        <f aca="false">IF(AND('Bonding Program'!$S$53=1,'Bonding Program'!$H$53&gt;'Bonding Program'!$C$8,BC$3='Bonding Program'!$H$53),'Bonding Program'!$T$53-'Bonding Program'!$U$53-'Bonding Program'!$Z$53,0)-IF(AND('Bonding Program'!$S$53=1,'Bonding Program'!$H$53&lt;='Bonding Program'!$C$8,BC$3=IF('Bonding Program'!$P$53&lt;&gt;"",'Bonding Program'!$P$53,'Bonding Program'!$C$8)),'Bonding Program'!$Z$53,0)+IF(AND('Bonding Program'!$P$53&lt;&gt;"",BC$3='Bonding Program'!$P$53,BC$3&lt;='Bonding Program'!$C$8),N('Bonding Program'!$O$53),0)</f>
        <v>0</v>
      </c>
      <c r="BD194" s="19" t="n">
        <f aca="false">IF(AND('Bonding Program'!$S$53=1,'Bonding Program'!$H$53&gt;'Bonding Program'!$C$8,BD$3='Bonding Program'!$H$53),'Bonding Program'!$T$53-'Bonding Program'!$U$53-'Bonding Program'!$Z$53,0)-IF(AND('Bonding Program'!$S$53=1,'Bonding Program'!$H$53&lt;='Bonding Program'!$C$8,BD$3=IF('Bonding Program'!$P$53&lt;&gt;"",'Bonding Program'!$P$53,'Bonding Program'!$C$8)),'Bonding Program'!$Z$53,0)+IF(AND('Bonding Program'!$P$53&lt;&gt;"",BD$3='Bonding Program'!$P$53,BD$3&lt;='Bonding Program'!$C$8),N('Bonding Program'!$O$53),0)</f>
        <v>0</v>
      </c>
      <c r="BE194" s="19" t="n">
        <f aca="false">IF(AND('Bonding Program'!$S$53=1,'Bonding Program'!$H$53&gt;'Bonding Program'!$C$8,BE$3='Bonding Program'!$H$53),'Bonding Program'!$T$53-'Bonding Program'!$U$53-'Bonding Program'!$Z$53,0)-IF(AND('Bonding Program'!$S$53=1,'Bonding Program'!$H$53&lt;='Bonding Program'!$C$8,BE$3=IF('Bonding Program'!$P$53&lt;&gt;"",'Bonding Program'!$P$53,'Bonding Program'!$C$8)),'Bonding Program'!$Z$53,0)+IF(AND('Bonding Program'!$P$53&lt;&gt;"",BE$3='Bonding Program'!$P$53,BE$3&lt;='Bonding Program'!$C$8),N('Bonding Program'!$O$53),0)</f>
        <v>0</v>
      </c>
      <c r="BF194" s="19" t="n">
        <f aca="false">IF(AND('Bonding Program'!$S$53=1,'Bonding Program'!$H$53&gt;'Bonding Program'!$C$8,BF$3='Bonding Program'!$H$53),'Bonding Program'!$T$53-'Bonding Program'!$U$53-'Bonding Program'!$Z$53,0)-IF(AND('Bonding Program'!$S$53=1,'Bonding Program'!$H$53&lt;='Bonding Program'!$C$8,BF$3=IF('Bonding Program'!$P$53&lt;&gt;"",'Bonding Program'!$P$53,'Bonding Program'!$C$8)),'Bonding Program'!$Z$53,0)+IF(AND('Bonding Program'!$P$53&lt;&gt;"",BF$3='Bonding Program'!$P$53,BF$3&lt;='Bonding Program'!$C$8),N('Bonding Program'!$O$53),0)</f>
        <v>0</v>
      </c>
      <c r="BG194" s="19" t="n">
        <f aca="false">IF(AND('Bonding Program'!$S$53=1,'Bonding Program'!$H$53&gt;'Bonding Program'!$C$8,BG$3='Bonding Program'!$H$53),'Bonding Program'!$T$53-'Bonding Program'!$U$53-'Bonding Program'!$Z$53,0)-IF(AND('Bonding Program'!$S$53=1,'Bonding Program'!$H$53&lt;='Bonding Program'!$C$8,BG$3=IF('Bonding Program'!$P$53&lt;&gt;"",'Bonding Program'!$P$53,'Bonding Program'!$C$8)),'Bonding Program'!$Z$53,0)+IF(AND('Bonding Program'!$P$53&lt;&gt;"",BG$3='Bonding Program'!$P$53,BG$3&lt;='Bonding Program'!$C$8),N('Bonding Program'!$O$53),0)</f>
        <v>0</v>
      </c>
      <c r="BH194" s="19" t="n">
        <f aca="false">IF(AND('Bonding Program'!$S$53=1,'Bonding Program'!$H$53&gt;'Bonding Program'!$C$8,BH$3='Bonding Program'!$H$53),'Bonding Program'!$T$53-'Bonding Program'!$U$53-'Bonding Program'!$Z$53,0)-IF(AND('Bonding Program'!$S$53=1,'Bonding Program'!$H$53&lt;='Bonding Program'!$C$8,BH$3=IF('Bonding Program'!$P$53&lt;&gt;"",'Bonding Program'!$P$53,'Bonding Program'!$C$8)),'Bonding Program'!$Z$53,0)+IF(AND('Bonding Program'!$P$53&lt;&gt;"",BH$3='Bonding Program'!$P$53,BH$3&lt;='Bonding Program'!$C$8),N('Bonding Program'!$O$53),0)</f>
        <v>-265825.123152709</v>
      </c>
      <c r="BI194" s="19" t="n">
        <f aca="false">IF(AND('Bonding Program'!$S$53=1,'Bonding Program'!$H$53&gt;'Bonding Program'!$C$8,BI$3='Bonding Program'!$H$53),'Bonding Program'!$T$53-'Bonding Program'!$U$53-'Bonding Program'!$Z$53,0)-IF(AND('Bonding Program'!$S$53=1,'Bonding Program'!$H$53&lt;='Bonding Program'!$C$8,BI$3=IF('Bonding Program'!$P$53&lt;&gt;"",'Bonding Program'!$P$53,'Bonding Program'!$C$8)),'Bonding Program'!$Z$53,0)+IF(AND('Bonding Program'!$P$53&lt;&gt;"",BI$3='Bonding Program'!$P$53,BI$3&lt;='Bonding Program'!$C$8),N('Bonding Program'!$O$53),0)</f>
        <v>0</v>
      </c>
      <c r="BJ194" s="19" t="n">
        <f aca="false">IF(AND('Bonding Program'!$S$53=1,'Bonding Program'!$H$53&gt;'Bonding Program'!$C$8,BJ$3='Bonding Program'!$H$53),'Bonding Program'!$T$53-'Bonding Program'!$U$53-'Bonding Program'!$Z$53,0)-IF(AND('Bonding Program'!$S$53=1,'Bonding Program'!$H$53&lt;='Bonding Program'!$C$8,BJ$3=IF('Bonding Program'!$P$53&lt;&gt;"",'Bonding Program'!$P$53,'Bonding Program'!$C$8)),'Bonding Program'!$Z$53,0)+IF(AND('Bonding Program'!$P$53&lt;&gt;"",BJ$3='Bonding Program'!$P$53,BJ$3&lt;='Bonding Program'!$C$8),N('Bonding Program'!$O$53),0)</f>
        <v>0</v>
      </c>
      <c r="BK194" s="19" t="n">
        <f aca="false">IF(AND('Bonding Program'!$S$53=1,'Bonding Program'!$H$53&gt;'Bonding Program'!$C$8,BK$3='Bonding Program'!$H$53),'Bonding Program'!$T$53-'Bonding Program'!$U$53-'Bonding Program'!$Z$53,0)-IF(AND('Bonding Program'!$S$53=1,'Bonding Program'!$H$53&lt;='Bonding Program'!$C$8,BK$3=IF('Bonding Program'!$P$53&lt;&gt;"",'Bonding Program'!$P$53,'Bonding Program'!$C$8)),'Bonding Program'!$Z$53,0)+IF(AND('Bonding Program'!$P$53&lt;&gt;"",BK$3='Bonding Program'!$P$53,BK$3&lt;='Bonding Program'!$C$8),N('Bonding Program'!$O$53),0)</f>
        <v>0</v>
      </c>
      <c r="BL194" s="19" t="n">
        <f aca="false">IF(AND('Bonding Program'!$S$53=1,'Bonding Program'!$H$53&gt;'Bonding Program'!$C$8,BL$3='Bonding Program'!$H$53),'Bonding Program'!$T$53-'Bonding Program'!$U$53-'Bonding Program'!$Z$53,0)-IF(AND('Bonding Program'!$S$53=1,'Bonding Program'!$H$53&lt;='Bonding Program'!$C$8,BL$3=IF('Bonding Program'!$P$53&lt;&gt;"",'Bonding Program'!$P$53,'Bonding Program'!$C$8)),'Bonding Program'!$Z$53,0)+IF(AND('Bonding Program'!$P$53&lt;&gt;"",BL$3='Bonding Program'!$P$53,BL$3&lt;='Bonding Program'!$C$8),N('Bonding Program'!$O$53),0)</f>
        <v>0</v>
      </c>
      <c r="BM194" s="19" t="n">
        <f aca="false">IF(AND('Bonding Program'!$S$53=1,'Bonding Program'!$H$53&gt;'Bonding Program'!$C$8,BM$3='Bonding Program'!$H$53),'Bonding Program'!$T$53-'Bonding Program'!$U$53-'Bonding Program'!$Z$53,0)-IF(AND('Bonding Program'!$S$53=1,'Bonding Program'!$H$53&lt;='Bonding Program'!$C$8,BM$3=IF('Bonding Program'!$P$53&lt;&gt;"",'Bonding Program'!$P$53,'Bonding Program'!$C$8)),'Bonding Program'!$Z$53,0)+IF(AND('Bonding Program'!$P$53&lt;&gt;"",BM$3='Bonding Program'!$P$53,BM$3&lt;='Bonding Program'!$C$8),N('Bonding Program'!$O$53),0)</f>
        <v>0</v>
      </c>
      <c r="BN194" s="19" t="n">
        <f aca="false">IF(AND('Bonding Program'!$S$53=1,'Bonding Program'!$H$53&gt;'Bonding Program'!$C$8,BN$3='Bonding Program'!$H$53),'Bonding Program'!$T$53-'Bonding Program'!$U$53-'Bonding Program'!$Z$53,0)-IF(AND('Bonding Program'!$S$53=1,'Bonding Program'!$H$53&lt;='Bonding Program'!$C$8,BN$3=IF('Bonding Program'!$P$53&lt;&gt;"",'Bonding Program'!$P$53,'Bonding Program'!$C$8)),'Bonding Program'!$Z$53,0)+IF(AND('Bonding Program'!$P$53&lt;&gt;"",BN$3='Bonding Program'!$P$53,BN$3&lt;='Bonding Program'!$C$8),N('Bonding Program'!$O$53),0)</f>
        <v>0</v>
      </c>
      <c r="BO194" s="19" t="n">
        <f aca="false">IF(AND('Bonding Program'!$S$53=1,'Bonding Program'!$H$53&gt;'Bonding Program'!$C$8,BO$3='Bonding Program'!$H$53),'Bonding Program'!$T$53-'Bonding Program'!$U$53-'Bonding Program'!$Z$53,0)-IF(AND('Bonding Program'!$S$53=1,'Bonding Program'!$H$53&lt;='Bonding Program'!$C$8,BO$3=IF('Bonding Program'!$P$53&lt;&gt;"",'Bonding Program'!$P$53,'Bonding Program'!$C$8)),'Bonding Program'!$Z$53,0)+IF(AND('Bonding Program'!$P$53&lt;&gt;"",BO$3='Bonding Program'!$P$53,BO$3&lt;='Bonding Program'!$C$8),N('Bonding Program'!$O$53),0)</f>
        <v>0</v>
      </c>
      <c r="BP194" s="19" t="n">
        <f aca="false">IF(AND('Bonding Program'!$S$53=1,'Bonding Program'!$H$53&gt;'Bonding Program'!$C$8,BP$3='Bonding Program'!$H$53),'Bonding Program'!$T$53-'Bonding Program'!$U$53-'Bonding Program'!$Z$53,0)-IF(AND('Bonding Program'!$S$53=1,'Bonding Program'!$H$53&lt;='Bonding Program'!$C$8,BP$3=IF('Bonding Program'!$P$53&lt;&gt;"",'Bonding Program'!$P$53,'Bonding Program'!$C$8)),'Bonding Program'!$Z$53,0)+IF(AND('Bonding Program'!$P$53&lt;&gt;"",BP$3='Bonding Program'!$P$53,BP$3&lt;='Bonding Program'!$C$8),N('Bonding Program'!$O$53),0)</f>
        <v>0</v>
      </c>
      <c r="BQ194" s="19" t="n">
        <f aca="false">IF(AND('Bonding Program'!$S$53=1,'Bonding Program'!$H$53&gt;'Bonding Program'!$C$8,BQ$3='Bonding Program'!$H$53),'Bonding Program'!$T$53-'Bonding Program'!$U$53-'Bonding Program'!$Z$53,0)-IF(AND('Bonding Program'!$S$53=1,'Bonding Program'!$H$53&lt;='Bonding Program'!$C$8,BQ$3=IF('Bonding Program'!$P$53&lt;&gt;"",'Bonding Program'!$P$53,'Bonding Program'!$C$8)),'Bonding Program'!$Z$53,0)+IF(AND('Bonding Program'!$P$53&lt;&gt;"",BQ$3='Bonding Program'!$P$53,BQ$3&lt;='Bonding Program'!$C$8),N('Bonding Program'!$O$53),0)</f>
        <v>0</v>
      </c>
      <c r="BR194" s="19" t="n">
        <f aca="false">IF(AND('Bonding Program'!$S$53=1,'Bonding Program'!$H$53&gt;'Bonding Program'!$C$8,BR$3='Bonding Program'!$H$53),'Bonding Program'!$T$53-'Bonding Program'!$U$53-'Bonding Program'!$Z$53,0)-IF(AND('Bonding Program'!$S$53=1,'Bonding Program'!$H$53&lt;='Bonding Program'!$C$8,BR$3=IF('Bonding Program'!$P$53&lt;&gt;"",'Bonding Program'!$P$53,'Bonding Program'!$C$8)),'Bonding Program'!$Z$53,0)+IF(AND('Bonding Program'!$P$53&lt;&gt;"",BR$3='Bonding Program'!$P$53,BR$3&lt;='Bonding Program'!$C$8),N('Bonding Program'!$O$53),0)</f>
        <v>0</v>
      </c>
      <c r="BS194" s="19" t="n">
        <f aca="false">IF(AND('Bonding Program'!$S$53=1,'Bonding Program'!$H$53&gt;'Bonding Program'!$C$8,BS$3='Bonding Program'!$H$53),'Bonding Program'!$T$53-'Bonding Program'!$U$53-'Bonding Program'!$Z$53,0)-IF(AND('Bonding Program'!$S$53=1,'Bonding Program'!$H$53&lt;='Bonding Program'!$C$8,BS$3=IF('Bonding Program'!$P$53&lt;&gt;"",'Bonding Program'!$P$53,'Bonding Program'!$C$8)),'Bonding Program'!$Z$53,0)+IF(AND('Bonding Program'!$P$53&lt;&gt;"",BS$3='Bonding Program'!$P$53,BS$3&lt;='Bonding Program'!$C$8),N('Bonding Program'!$O$53),0)</f>
        <v>0</v>
      </c>
      <c r="BT194" s="19" t="n">
        <f aca="false">IF(AND('Bonding Program'!$S$53=1,'Bonding Program'!$H$53&gt;'Bonding Program'!$C$8,BT$3='Bonding Program'!$H$53),'Bonding Program'!$T$53-'Bonding Program'!$U$53-'Bonding Program'!$Z$53,0)-IF(AND('Bonding Program'!$S$53=1,'Bonding Program'!$H$53&lt;='Bonding Program'!$C$8,BT$3=IF('Bonding Program'!$P$53&lt;&gt;"",'Bonding Program'!$P$53,'Bonding Program'!$C$8)),'Bonding Program'!$Z$53,0)+IF(AND('Bonding Program'!$P$53&lt;&gt;"",BT$3='Bonding Program'!$P$53,BT$3&lt;='Bonding Program'!$C$8),N('Bonding Program'!$O$53),0)</f>
        <v>0</v>
      </c>
      <c r="BU194" s="19" t="n">
        <f aca="false">IF(AND('Bonding Program'!$S$53=1,'Bonding Program'!$H$53&gt;'Bonding Program'!$C$8,BU$3='Bonding Program'!$H$53),'Bonding Program'!$T$53-'Bonding Program'!$U$53-'Bonding Program'!$Z$53,0)-IF(AND('Bonding Program'!$S$53=1,'Bonding Program'!$H$53&lt;='Bonding Program'!$C$8,BU$3=IF('Bonding Program'!$P$53&lt;&gt;"",'Bonding Program'!$P$53,'Bonding Program'!$C$8)),'Bonding Program'!$Z$53,0)+IF(AND('Bonding Program'!$P$53&lt;&gt;"",BU$3='Bonding Program'!$P$53,BU$3&lt;='Bonding Program'!$C$8),N('Bonding Program'!$O$53),0)</f>
        <v>0</v>
      </c>
      <c r="BV194" s="19" t="n">
        <f aca="false">IF(AND('Bonding Program'!$S$53=1,'Bonding Program'!$H$53&gt;'Bonding Program'!$C$8,BV$3='Bonding Program'!$H$53),'Bonding Program'!$T$53-'Bonding Program'!$U$53-'Bonding Program'!$Z$53,0)-IF(AND('Bonding Program'!$S$53=1,'Bonding Program'!$H$53&lt;='Bonding Program'!$C$8,BV$3=IF('Bonding Program'!$P$53&lt;&gt;"",'Bonding Program'!$P$53,'Bonding Program'!$C$8)),'Bonding Program'!$Z$53,0)+IF(AND('Bonding Program'!$P$53&lt;&gt;"",BV$3='Bonding Program'!$P$53,BV$3&lt;='Bonding Program'!$C$8),N('Bonding Program'!$O$53),0)</f>
        <v>0</v>
      </c>
      <c r="BW194" s="19" t="n">
        <f aca="false">IF(AND('Bonding Program'!$S$53=1,'Bonding Program'!$H$53&gt;'Bonding Program'!$C$8,BW$3='Bonding Program'!$H$53),'Bonding Program'!$T$53-'Bonding Program'!$U$53-'Bonding Program'!$Z$53,0)-IF(AND('Bonding Program'!$S$53=1,'Bonding Program'!$H$53&lt;='Bonding Program'!$C$8,BW$3=IF('Bonding Program'!$P$53&lt;&gt;"",'Bonding Program'!$P$53,'Bonding Program'!$C$8)),'Bonding Program'!$Z$53,0)+IF(AND('Bonding Program'!$P$53&lt;&gt;"",BW$3='Bonding Program'!$P$53,BW$3&lt;='Bonding Program'!$C$8),N('Bonding Program'!$O$53),0)</f>
        <v>0</v>
      </c>
      <c r="BX194" s="19" t="n">
        <f aca="false">IF(AND('Bonding Program'!$S$53=1,'Bonding Program'!$H$53&gt;'Bonding Program'!$C$8,BX$3='Bonding Program'!$H$53),'Bonding Program'!$T$53-'Bonding Program'!$U$53-'Bonding Program'!$Z$53,0)-IF(AND('Bonding Program'!$S$53=1,'Bonding Program'!$H$53&lt;='Bonding Program'!$C$8,BX$3=IF('Bonding Program'!$P$53&lt;&gt;"",'Bonding Program'!$P$53,'Bonding Program'!$C$8)),'Bonding Program'!$Z$53,0)+IF(AND('Bonding Program'!$P$53&lt;&gt;"",BX$3='Bonding Program'!$P$53,BX$3&lt;='Bonding Program'!$C$8),N('Bonding Program'!$O$53),0)</f>
        <v>0</v>
      </c>
      <c r="BY194" s="19" t="n">
        <f aca="false">IF(AND('Bonding Program'!$S$53=1,'Bonding Program'!$H$53&gt;'Bonding Program'!$C$8,BY$3='Bonding Program'!$H$53),'Bonding Program'!$T$53-'Bonding Program'!$U$53-'Bonding Program'!$Z$53,0)-IF(AND('Bonding Program'!$S$53=1,'Bonding Program'!$H$53&lt;='Bonding Program'!$C$8,BY$3=IF('Bonding Program'!$P$53&lt;&gt;"",'Bonding Program'!$P$53,'Bonding Program'!$C$8)),'Bonding Program'!$Z$53,0)+IF(AND('Bonding Program'!$P$53&lt;&gt;"",BY$3='Bonding Program'!$P$53,BY$3&lt;='Bonding Program'!$C$8),N('Bonding Program'!$O$53),0)</f>
        <v>0</v>
      </c>
      <c r="BZ194" s="19" t="n">
        <f aca="false">IF(AND('Bonding Program'!$S$53=1,'Bonding Program'!$H$53&gt;'Bonding Program'!$C$8,BZ$3='Bonding Program'!$H$53),'Bonding Program'!$T$53-'Bonding Program'!$U$53-'Bonding Program'!$Z$53,0)-IF(AND('Bonding Program'!$S$53=1,'Bonding Program'!$H$53&lt;='Bonding Program'!$C$8,BZ$3=IF('Bonding Program'!$P$53&lt;&gt;"",'Bonding Program'!$P$53,'Bonding Program'!$C$8)),'Bonding Program'!$Z$53,0)+IF(AND('Bonding Program'!$P$53&lt;&gt;"",BZ$3='Bonding Program'!$P$53,BZ$3&lt;='Bonding Program'!$C$8),N('Bonding Program'!$O$53),0)</f>
        <v>0</v>
      </c>
      <c r="CA194" s="19" t="n">
        <f aca="false">IF(AND('Bonding Program'!$S$53=1,'Bonding Program'!$H$53&gt;'Bonding Program'!$C$8,CA$3='Bonding Program'!$H$53),'Bonding Program'!$T$53-'Bonding Program'!$U$53-'Bonding Program'!$Z$53,0)-IF(AND('Bonding Program'!$S$53=1,'Bonding Program'!$H$53&lt;='Bonding Program'!$C$8,CA$3=IF('Bonding Program'!$P$53&lt;&gt;"",'Bonding Program'!$P$53,'Bonding Program'!$C$8)),'Bonding Program'!$Z$53,0)+IF(AND('Bonding Program'!$P$53&lt;&gt;"",CA$3='Bonding Program'!$P$53,CA$3&lt;='Bonding Program'!$C$8),N('Bonding Program'!$O$53),0)</f>
        <v>0</v>
      </c>
      <c r="CB194" s="19" t="n">
        <f aca="false">IF(AND('Bonding Program'!$S$53=1,'Bonding Program'!$H$53&gt;'Bonding Program'!$C$8,CB$3='Bonding Program'!$H$53),'Bonding Program'!$T$53-'Bonding Program'!$U$53-'Bonding Program'!$Z$53,0)-IF(AND('Bonding Program'!$S$53=1,'Bonding Program'!$H$53&lt;='Bonding Program'!$C$8,CB$3=IF('Bonding Program'!$P$53&lt;&gt;"",'Bonding Program'!$P$53,'Bonding Program'!$C$8)),'Bonding Program'!$Z$53,0)+IF(AND('Bonding Program'!$P$53&lt;&gt;"",CB$3='Bonding Program'!$P$53,CB$3&lt;='Bonding Program'!$C$8),N('Bonding Program'!$O$53),0)</f>
        <v>0</v>
      </c>
      <c r="CC194" s="19" t="n">
        <f aca="false">IF(AND('Bonding Program'!$S$53=1,'Bonding Program'!$H$53&gt;'Bonding Program'!$C$8,CC$3='Bonding Program'!$H$53),'Bonding Program'!$T$53-'Bonding Program'!$U$53-'Bonding Program'!$Z$53,0)-IF(AND('Bonding Program'!$S$53=1,'Bonding Program'!$H$53&lt;='Bonding Program'!$C$8,CC$3=IF('Bonding Program'!$P$53&lt;&gt;"",'Bonding Program'!$P$53,'Bonding Program'!$C$8)),'Bonding Program'!$Z$53,0)+IF(AND('Bonding Program'!$P$53&lt;&gt;"",CC$3='Bonding Program'!$P$53,CC$3&lt;='Bonding Program'!$C$8),N('Bonding Program'!$O$53),0)</f>
        <v>0</v>
      </c>
      <c r="CD194" s="19" t="n">
        <f aca="false">IF(AND('Bonding Program'!$S$53=1,'Bonding Program'!$H$53&gt;'Bonding Program'!$C$8,CD$3='Bonding Program'!$H$53),'Bonding Program'!$T$53-'Bonding Program'!$U$53-'Bonding Program'!$Z$53,0)-IF(AND('Bonding Program'!$S$53=1,'Bonding Program'!$H$53&lt;='Bonding Program'!$C$8,CD$3=IF('Bonding Program'!$P$53&lt;&gt;"",'Bonding Program'!$P$53,'Bonding Program'!$C$8)),'Bonding Program'!$Z$53,0)+IF(AND('Bonding Program'!$P$53&lt;&gt;"",CD$3='Bonding Program'!$P$53,CD$3&lt;='Bonding Program'!$C$8),N('Bonding Program'!$O$53),0)</f>
        <v>0</v>
      </c>
      <c r="CE194" s="19" t="n">
        <f aca="false">IF(AND('Bonding Program'!$S$53=1,'Bonding Program'!$H$53&gt;'Bonding Program'!$C$8,CE$3='Bonding Program'!$H$53),'Bonding Program'!$T$53-'Bonding Program'!$U$53-'Bonding Program'!$Z$53,0)-IF(AND('Bonding Program'!$S$53=1,'Bonding Program'!$H$53&lt;='Bonding Program'!$C$8,CE$3=IF('Bonding Program'!$P$53&lt;&gt;"",'Bonding Program'!$P$53,'Bonding Program'!$C$8)),'Bonding Program'!$Z$53,0)+IF(AND('Bonding Program'!$P$53&lt;&gt;"",CE$3='Bonding Program'!$P$53,CE$3&lt;='Bonding Program'!$C$8),N('Bonding Program'!$O$53),0)</f>
        <v>0</v>
      </c>
      <c r="CF194" s="19" t="n">
        <f aca="false">IF(AND('Bonding Program'!$S$53=1,'Bonding Program'!$H$53&gt;'Bonding Program'!$C$8,CF$3='Bonding Program'!$H$53),'Bonding Program'!$T$53-'Bonding Program'!$U$53-'Bonding Program'!$Z$53,0)-IF(AND('Bonding Program'!$S$53=1,'Bonding Program'!$H$53&lt;='Bonding Program'!$C$8,CF$3=IF('Bonding Program'!$P$53&lt;&gt;"",'Bonding Program'!$P$53,'Bonding Program'!$C$8)),'Bonding Program'!$Z$53,0)+IF(AND('Bonding Program'!$P$53&lt;&gt;"",CF$3='Bonding Program'!$P$53,CF$3&lt;='Bonding Program'!$C$8),N('Bonding Program'!$O$53),0)</f>
        <v>0</v>
      </c>
      <c r="CG194" s="19" t="n">
        <f aca="false">IF(AND('Bonding Program'!$S$53=1,'Bonding Program'!$H$53&gt;'Bonding Program'!$C$8,CG$3='Bonding Program'!$H$53),'Bonding Program'!$T$53-'Bonding Program'!$U$53-'Bonding Program'!$Z$53,0)-IF(AND('Bonding Program'!$S$53=1,'Bonding Program'!$H$53&lt;='Bonding Program'!$C$8,CG$3=IF('Bonding Program'!$P$53&lt;&gt;"",'Bonding Program'!$P$53,'Bonding Program'!$C$8)),'Bonding Program'!$Z$53,0)+IF(AND('Bonding Program'!$P$53&lt;&gt;"",CG$3='Bonding Program'!$P$53,CG$3&lt;='Bonding Program'!$C$8),N('Bonding Program'!$O$53),0)</f>
        <v>0</v>
      </c>
      <c r="CH194" s="19" t="n">
        <f aca="false">IF(AND('Bonding Program'!$S$53=1,'Bonding Program'!$H$53&gt;'Bonding Program'!$C$8,CH$3='Bonding Program'!$H$53),'Bonding Program'!$T$53-'Bonding Program'!$U$53-'Bonding Program'!$Z$53,0)-IF(AND('Bonding Program'!$S$53=1,'Bonding Program'!$H$53&lt;='Bonding Program'!$C$8,CH$3=IF('Bonding Program'!$P$53&lt;&gt;"",'Bonding Program'!$P$53,'Bonding Program'!$C$8)),'Bonding Program'!$Z$53,0)+IF(AND('Bonding Program'!$P$53&lt;&gt;"",CH$3='Bonding Program'!$P$53,CH$3&lt;='Bonding Program'!$C$8),N('Bonding Program'!$O$53),0)</f>
        <v>0</v>
      </c>
      <c r="CI194" s="19" t="n">
        <f aca="false">IF(AND('Bonding Program'!$S$53=1,'Bonding Program'!$H$53&gt;'Bonding Program'!$C$8,CI$3='Bonding Program'!$H$53),'Bonding Program'!$T$53-'Bonding Program'!$U$53-'Bonding Program'!$Z$53,0)-IF(AND('Bonding Program'!$S$53=1,'Bonding Program'!$H$53&lt;='Bonding Program'!$C$8,CI$3=IF('Bonding Program'!$P$53&lt;&gt;"",'Bonding Program'!$P$53,'Bonding Program'!$C$8)),'Bonding Program'!$Z$53,0)+IF(AND('Bonding Program'!$P$53&lt;&gt;"",CI$3='Bonding Program'!$P$53,CI$3&lt;='Bonding Program'!$C$8),N('Bonding Program'!$O$53),0)</f>
        <v>0</v>
      </c>
      <c r="CJ194" s="19" t="n">
        <f aca="false">IF(AND('Bonding Program'!$S$53=1,'Bonding Program'!$H$53&gt;'Bonding Program'!$C$8,CJ$3='Bonding Program'!$H$53),'Bonding Program'!$T$53-'Bonding Program'!$U$53-'Bonding Program'!$Z$53,0)-IF(AND('Bonding Program'!$S$53=1,'Bonding Program'!$H$53&lt;='Bonding Program'!$C$8,CJ$3=IF('Bonding Program'!$P$53&lt;&gt;"",'Bonding Program'!$P$53,'Bonding Program'!$C$8)),'Bonding Program'!$Z$53,0)+IF(AND('Bonding Program'!$P$53&lt;&gt;"",CJ$3='Bonding Program'!$P$53,CJ$3&lt;='Bonding Program'!$C$8),N('Bonding Program'!$O$53),0)</f>
        <v>0</v>
      </c>
      <c r="CK194" s="19" t="n">
        <f aca="false">IF(AND('Bonding Program'!$S$53=1,'Bonding Program'!$H$53&gt;'Bonding Program'!$C$8,CK$3='Bonding Program'!$H$53),'Bonding Program'!$T$53-'Bonding Program'!$U$53-'Bonding Program'!$Z$53,0)-IF(AND('Bonding Program'!$S$53=1,'Bonding Program'!$H$53&lt;='Bonding Program'!$C$8,CK$3=IF('Bonding Program'!$P$53&lt;&gt;"",'Bonding Program'!$P$53,'Bonding Program'!$C$8)),'Bonding Program'!$Z$53,0)+IF(AND('Bonding Program'!$P$53&lt;&gt;"",CK$3='Bonding Program'!$P$53,CK$3&lt;='Bonding Program'!$C$8),N('Bonding Program'!$O$53),0)</f>
        <v>0</v>
      </c>
      <c r="CL194" s="19" t="n">
        <f aca="false">IF(AND('Bonding Program'!$S$53=1,'Bonding Program'!$H$53&gt;'Bonding Program'!$C$8,CL$3='Bonding Program'!$H$53),'Bonding Program'!$T$53-'Bonding Program'!$U$53-'Bonding Program'!$Z$53,0)-IF(AND('Bonding Program'!$S$53=1,'Bonding Program'!$H$53&lt;='Bonding Program'!$C$8,CL$3=IF('Bonding Program'!$P$53&lt;&gt;"",'Bonding Program'!$P$53,'Bonding Program'!$C$8)),'Bonding Program'!$Z$53,0)+IF(AND('Bonding Program'!$P$53&lt;&gt;"",CL$3='Bonding Program'!$P$53,CL$3&lt;='Bonding Program'!$C$8),N('Bonding Program'!$O$53),0)</f>
        <v>0</v>
      </c>
      <c r="CM194" s="19" t="n">
        <f aca="false">IF(AND('Bonding Program'!$S$53=1,'Bonding Program'!$H$53&gt;'Bonding Program'!$C$8,CM$3='Bonding Program'!$H$53),'Bonding Program'!$T$53-'Bonding Program'!$U$53-'Bonding Program'!$Z$53,0)-IF(AND('Bonding Program'!$S$53=1,'Bonding Program'!$H$53&lt;='Bonding Program'!$C$8,CM$3=IF('Bonding Program'!$P$53&lt;&gt;"",'Bonding Program'!$P$53,'Bonding Program'!$C$8)),'Bonding Program'!$Z$53,0)+IF(AND('Bonding Program'!$P$53&lt;&gt;"",CM$3='Bonding Program'!$P$53,CM$3&lt;='Bonding Program'!$C$8),N('Bonding Program'!$O$53),0)</f>
        <v>0</v>
      </c>
      <c r="CN194" s="19" t="n">
        <f aca="false">IF(AND('Bonding Program'!$S$53=1,'Bonding Program'!$H$53&gt;'Bonding Program'!$C$8,CN$3='Bonding Program'!$H$53),'Bonding Program'!$T$53-'Bonding Program'!$U$53-'Bonding Program'!$Z$53,0)-IF(AND('Bonding Program'!$S$53=1,'Bonding Program'!$H$53&lt;='Bonding Program'!$C$8,CN$3=IF('Bonding Program'!$P$53&lt;&gt;"",'Bonding Program'!$P$53,'Bonding Program'!$C$8)),'Bonding Program'!$Z$53,0)+IF(AND('Bonding Program'!$P$53&lt;&gt;"",CN$3='Bonding Program'!$P$53,CN$3&lt;='Bonding Program'!$C$8),N('Bonding Program'!$O$53),0)</f>
        <v>0</v>
      </c>
      <c r="CO194" s="19" t="n">
        <f aca="false">IF(AND('Bonding Program'!$S$53=1,'Bonding Program'!$H$53&gt;'Bonding Program'!$C$8,CO$3='Bonding Program'!$H$53),'Bonding Program'!$T$53-'Bonding Program'!$U$53-'Bonding Program'!$Z$53,0)-IF(AND('Bonding Program'!$S$53=1,'Bonding Program'!$H$53&lt;='Bonding Program'!$C$8,CO$3=IF('Bonding Program'!$P$53&lt;&gt;"",'Bonding Program'!$P$53,'Bonding Program'!$C$8)),'Bonding Program'!$Z$53,0)+IF(AND('Bonding Program'!$P$53&lt;&gt;"",CO$3='Bonding Program'!$P$53,CO$3&lt;='Bonding Program'!$C$8),N('Bonding Program'!$O$53),0)</f>
        <v>0</v>
      </c>
      <c r="CP194" s="19" t="n">
        <f aca="false">IF(AND('Bonding Program'!$S$53=1,'Bonding Program'!$H$53&gt;'Bonding Program'!$C$8,CP$3='Bonding Program'!$H$53),'Bonding Program'!$T$53-'Bonding Program'!$U$53-'Bonding Program'!$Z$53,0)-IF(AND('Bonding Program'!$S$53=1,'Bonding Program'!$H$53&lt;='Bonding Program'!$C$8,CP$3=IF('Bonding Program'!$P$53&lt;&gt;"",'Bonding Program'!$P$53,'Bonding Program'!$C$8)),'Bonding Program'!$Z$53,0)+IF(AND('Bonding Program'!$P$53&lt;&gt;"",CP$3='Bonding Program'!$P$53,CP$3&lt;='Bonding Program'!$C$8),N('Bonding Program'!$O$53),0)</f>
        <v>0</v>
      </c>
      <c r="CQ194" s="19" t="n">
        <f aca="false">IF(AND('Bonding Program'!$S$53=1,'Bonding Program'!$H$53&gt;'Bonding Program'!$C$8,CQ$3='Bonding Program'!$H$53),'Bonding Program'!$T$53-'Bonding Program'!$U$53-'Bonding Program'!$Z$53,0)-IF(AND('Bonding Program'!$S$53=1,'Bonding Program'!$H$53&lt;='Bonding Program'!$C$8,CQ$3=IF('Bonding Program'!$P$53&lt;&gt;"",'Bonding Program'!$P$53,'Bonding Program'!$C$8)),'Bonding Program'!$Z$53,0)+IF(AND('Bonding Program'!$P$53&lt;&gt;"",CQ$3='Bonding Program'!$P$53,CQ$3&lt;='Bonding Program'!$C$8),N('Bonding Program'!$O$53),0)</f>
        <v>0</v>
      </c>
      <c r="CR194" s="19" t="n">
        <f aca="false">IF(AND('Bonding Program'!$S$53=1,'Bonding Program'!$H$53&gt;'Bonding Program'!$C$8,CR$3='Bonding Program'!$H$53),'Bonding Program'!$T$53-'Bonding Program'!$U$53-'Bonding Program'!$Z$53,0)-IF(AND('Bonding Program'!$S$53=1,'Bonding Program'!$H$53&lt;='Bonding Program'!$C$8,CR$3=IF('Bonding Program'!$P$53&lt;&gt;"",'Bonding Program'!$P$53,'Bonding Program'!$C$8)),'Bonding Program'!$Z$53,0)+IF(AND('Bonding Program'!$P$53&lt;&gt;"",CR$3='Bonding Program'!$P$53,CR$3&lt;='Bonding Program'!$C$8),N('Bonding Program'!$O$53),0)</f>
        <v>0</v>
      </c>
      <c r="CS194" s="19" t="n">
        <f aca="false">IF(AND('Bonding Program'!$S$53=1,'Bonding Program'!$H$53&gt;'Bonding Program'!$C$8,CS$3='Bonding Program'!$H$53),'Bonding Program'!$T$53-'Bonding Program'!$U$53-'Bonding Program'!$Z$53,0)-IF(AND('Bonding Program'!$S$53=1,'Bonding Program'!$H$53&lt;='Bonding Program'!$C$8,CS$3=IF('Bonding Program'!$P$53&lt;&gt;"",'Bonding Program'!$P$53,'Bonding Program'!$C$8)),'Bonding Program'!$Z$53,0)+IF(AND('Bonding Program'!$P$53&lt;&gt;"",CS$3='Bonding Program'!$P$53,CS$3&lt;='Bonding Program'!$C$8),N('Bonding Program'!$O$53),0)</f>
        <v>0</v>
      </c>
      <c r="CT194" s="19" t="n">
        <f aca="false">IF(AND('Bonding Program'!$S$53=1,'Bonding Program'!$H$53&gt;'Bonding Program'!$C$8,CT$3='Bonding Program'!$H$53),'Bonding Program'!$T$53-'Bonding Program'!$U$53-'Bonding Program'!$Z$53,0)-IF(AND('Bonding Program'!$S$53=1,'Bonding Program'!$H$53&lt;='Bonding Program'!$C$8,CT$3=IF('Bonding Program'!$P$53&lt;&gt;"",'Bonding Program'!$P$53,'Bonding Program'!$C$8)),'Bonding Program'!$Z$53,0)+IF(AND('Bonding Program'!$P$53&lt;&gt;"",CT$3='Bonding Program'!$P$53,CT$3&lt;='Bonding Program'!$C$8),N('Bonding Program'!$O$53),0)</f>
        <v>0</v>
      </c>
      <c r="CU194" s="19" t="n">
        <f aca="false">IF(AND('Bonding Program'!$S$53=1,'Bonding Program'!$H$53&gt;'Bonding Program'!$C$8,CU$3='Bonding Program'!$H$53),'Bonding Program'!$T$53-'Bonding Program'!$U$53-'Bonding Program'!$Z$53,0)-IF(AND('Bonding Program'!$S$53=1,'Bonding Program'!$H$53&lt;='Bonding Program'!$C$8,CU$3=IF('Bonding Program'!$P$53&lt;&gt;"",'Bonding Program'!$P$53,'Bonding Program'!$C$8)),'Bonding Program'!$Z$53,0)+IF(AND('Bonding Program'!$P$53&lt;&gt;"",CU$3='Bonding Program'!$P$53,CU$3&lt;='Bonding Program'!$C$8),N('Bonding Program'!$O$53),0)</f>
        <v>0</v>
      </c>
      <c r="CV194" s="19" t="n">
        <f aca="false">IF(AND('Bonding Program'!$S$53=1,'Bonding Program'!$H$53&gt;'Bonding Program'!$C$8,CV$3='Bonding Program'!$H$53),'Bonding Program'!$T$53-'Bonding Program'!$U$53-'Bonding Program'!$Z$53,0)-IF(AND('Bonding Program'!$S$53=1,'Bonding Program'!$H$53&lt;='Bonding Program'!$C$8,CV$3=IF('Bonding Program'!$P$53&lt;&gt;"",'Bonding Program'!$P$53,'Bonding Program'!$C$8)),'Bonding Program'!$Z$53,0)+IF(AND('Bonding Program'!$P$53&lt;&gt;"",CV$3='Bonding Program'!$P$53,CV$3&lt;='Bonding Program'!$C$8),N('Bonding Program'!$O$53),0)</f>
        <v>0</v>
      </c>
      <c r="CW194" s="19" t="n">
        <f aca="false">IF(AND('Bonding Program'!$S$53=1,'Bonding Program'!$H$53&gt;'Bonding Program'!$C$8,CW$3='Bonding Program'!$H$53),'Bonding Program'!$T$53-'Bonding Program'!$U$53-'Bonding Program'!$Z$53,0)-IF(AND('Bonding Program'!$S$53=1,'Bonding Program'!$H$53&lt;='Bonding Program'!$C$8,CW$3=IF('Bonding Program'!$P$53&lt;&gt;"",'Bonding Program'!$P$53,'Bonding Program'!$C$8)),'Bonding Program'!$Z$53,0)+IF(AND('Bonding Program'!$P$53&lt;&gt;"",CW$3='Bonding Program'!$P$53,CW$3&lt;='Bonding Program'!$C$8),N('Bonding Program'!$O$53),0)</f>
        <v>0</v>
      </c>
      <c r="CX194" s="19" t="n">
        <f aca="false">IF(AND('Bonding Program'!$S$53=1,'Bonding Program'!$H$53&gt;'Bonding Program'!$C$8,CX$3='Bonding Program'!$H$53),'Bonding Program'!$T$53-'Bonding Program'!$U$53-'Bonding Program'!$Z$53,0)-IF(AND('Bonding Program'!$S$53=1,'Bonding Program'!$H$53&lt;='Bonding Program'!$C$8,CX$3=IF('Bonding Program'!$P$53&lt;&gt;"",'Bonding Program'!$P$53,'Bonding Program'!$C$8)),'Bonding Program'!$Z$53,0)+IF(AND('Bonding Program'!$P$53&lt;&gt;"",CX$3='Bonding Program'!$P$53,CX$3&lt;='Bonding Program'!$C$8),N('Bonding Program'!$O$53),0)</f>
        <v>0</v>
      </c>
      <c r="CY194" s="19" t="n">
        <f aca="false">IF(AND('Bonding Program'!$S$53=1,'Bonding Program'!$H$53&gt;'Bonding Program'!$C$8,CY$3='Bonding Program'!$H$53),'Bonding Program'!$T$53-'Bonding Program'!$U$53-'Bonding Program'!$Z$53,0)-IF(AND('Bonding Program'!$S$53=1,'Bonding Program'!$H$53&lt;='Bonding Program'!$C$8,CY$3=IF('Bonding Program'!$P$53&lt;&gt;"",'Bonding Program'!$P$53,'Bonding Program'!$C$8)),'Bonding Program'!$Z$53,0)+IF(AND('Bonding Program'!$P$53&lt;&gt;"",CY$3='Bonding Program'!$P$53,CY$3&lt;='Bonding Program'!$C$8),N('Bonding Program'!$O$53),0)</f>
        <v>0</v>
      </c>
      <c r="CZ194" s="19" t="n">
        <f aca="false">IF(AND('Bonding Program'!$S$53=1,'Bonding Program'!$H$53&gt;'Bonding Program'!$C$8,CZ$3='Bonding Program'!$H$53),'Bonding Program'!$T$53-'Bonding Program'!$U$53-'Bonding Program'!$Z$53,0)-IF(AND('Bonding Program'!$S$53=1,'Bonding Program'!$H$53&lt;='Bonding Program'!$C$8,CZ$3=IF('Bonding Program'!$P$53&lt;&gt;"",'Bonding Program'!$P$53,'Bonding Program'!$C$8)),'Bonding Program'!$Z$53,0)+IF(AND('Bonding Program'!$P$53&lt;&gt;"",CZ$3='Bonding Program'!$P$53,CZ$3&lt;='Bonding Program'!$C$8),N('Bonding Program'!$O$53),0)</f>
        <v>0</v>
      </c>
      <c r="DA194" s="19" t="n">
        <f aca="false">IF(AND('Bonding Program'!$S$53=1,'Bonding Program'!$H$53&gt;'Bonding Program'!$C$8,DA$3='Bonding Program'!$H$53),'Bonding Program'!$T$53-'Bonding Program'!$U$53-'Bonding Program'!$Z$53,0)-IF(AND('Bonding Program'!$S$53=1,'Bonding Program'!$H$53&lt;='Bonding Program'!$C$8,DA$3=IF('Bonding Program'!$P$53&lt;&gt;"",'Bonding Program'!$P$53,'Bonding Program'!$C$8)),'Bonding Program'!$Z$53,0)+IF(AND('Bonding Program'!$P$53&lt;&gt;"",DA$3='Bonding Program'!$P$53,DA$3&lt;='Bonding Program'!$C$8),N('Bonding Program'!$O$53),0)</f>
        <v>0</v>
      </c>
      <c r="DB194" s="19" t="n">
        <f aca="false">IF(AND('Bonding Program'!$S$53=1,'Bonding Program'!$H$53&gt;'Bonding Program'!$C$8,DB$3='Bonding Program'!$H$53),'Bonding Program'!$T$53-'Bonding Program'!$U$53-'Bonding Program'!$Z$53,0)-IF(AND('Bonding Program'!$S$53=1,'Bonding Program'!$H$53&lt;='Bonding Program'!$C$8,DB$3=IF('Bonding Program'!$P$53&lt;&gt;"",'Bonding Program'!$P$53,'Bonding Program'!$C$8)),'Bonding Program'!$Z$53,0)+IF(AND('Bonding Program'!$P$53&lt;&gt;"",DB$3='Bonding Program'!$P$53,DB$3&lt;='Bonding Program'!$C$8),N('Bonding Program'!$O$53),0)</f>
        <v>0</v>
      </c>
      <c r="DC194" s="19" t="n">
        <f aca="false">IF(AND('Bonding Program'!$S$53=1,'Bonding Program'!$H$53&gt;'Bonding Program'!$C$8,DC$3='Bonding Program'!$H$53),'Bonding Program'!$T$53-'Bonding Program'!$U$53-'Bonding Program'!$Z$53,0)-IF(AND('Bonding Program'!$S$53=1,'Bonding Program'!$H$53&lt;='Bonding Program'!$C$8,DC$3=IF('Bonding Program'!$P$53&lt;&gt;"",'Bonding Program'!$P$53,'Bonding Program'!$C$8)),'Bonding Program'!$Z$53,0)+IF(AND('Bonding Program'!$P$53&lt;&gt;"",DC$3='Bonding Program'!$P$53,DC$3&lt;='Bonding Program'!$C$8),N('Bonding Program'!$O$53),0)</f>
        <v>0</v>
      </c>
      <c r="DD194" s="19" t="n">
        <f aca="false">IF(AND('Bonding Program'!$S$53=1,'Bonding Program'!$H$53&gt;'Bonding Program'!$C$8,DD$3='Bonding Program'!$H$53),'Bonding Program'!$T$53-'Bonding Program'!$U$53-'Bonding Program'!$Z$53,0)-IF(AND('Bonding Program'!$S$53=1,'Bonding Program'!$H$53&lt;='Bonding Program'!$C$8,DD$3=IF('Bonding Program'!$P$53&lt;&gt;"",'Bonding Program'!$P$53,'Bonding Program'!$C$8)),'Bonding Program'!$Z$53,0)+IF(AND('Bonding Program'!$P$53&lt;&gt;"",DD$3='Bonding Program'!$P$53,DD$3&lt;='Bonding Program'!$C$8),N('Bonding Program'!$O$53),0)</f>
        <v>0</v>
      </c>
      <c r="DE194" s="19" t="n">
        <f aca="false">IF(AND('Bonding Program'!$S$53=1,'Bonding Program'!$H$53&gt;'Bonding Program'!$C$8,DE$3='Bonding Program'!$H$53),'Bonding Program'!$T$53-'Bonding Program'!$U$53-'Bonding Program'!$Z$53,0)-IF(AND('Bonding Program'!$S$53=1,'Bonding Program'!$H$53&lt;='Bonding Program'!$C$8,DE$3=IF('Bonding Program'!$P$53&lt;&gt;"",'Bonding Program'!$P$53,'Bonding Program'!$C$8)),'Bonding Program'!$Z$53,0)+IF(AND('Bonding Program'!$P$53&lt;&gt;"",DE$3='Bonding Program'!$P$53,DE$3&lt;='Bonding Program'!$C$8),N('Bonding Program'!$O$53),0)</f>
        <v>0</v>
      </c>
    </row>
    <row r="195" customFormat="false" ht="15" hidden="false" customHeight="true" outlineLevel="1" collapsed="false">
      <c r="A195" s="28" t="s">
        <v>50</v>
      </c>
      <c r="B195" s="19" t="n">
        <f aca="false">IF(AND('Bonding Program'!$S$54=1,'Bonding Program'!$H$54&gt;'Bonding Program'!$C$8,B$3='Bonding Program'!$H$54),'Bonding Program'!$T$54-'Bonding Program'!$U$54-'Bonding Program'!$Z$54,0)-IF(AND('Bonding Program'!$S$54=1,'Bonding Program'!$H$54&lt;='Bonding Program'!$C$8,B$3=IF('Bonding Program'!$P$54&lt;&gt;"",'Bonding Program'!$P$54,'Bonding Program'!$C$8)),'Bonding Program'!$Z$54,0)+IF(AND('Bonding Program'!$P$54&lt;&gt;"",B$3='Bonding Program'!$P$54,B$3&lt;='Bonding Program'!$C$8),N('Bonding Program'!$O$54),0)</f>
        <v>0</v>
      </c>
      <c r="C195" s="19" t="n">
        <f aca="false">IF(AND('Bonding Program'!$S$54=1,'Bonding Program'!$H$54&gt;'Bonding Program'!$C$8,C$3='Bonding Program'!$H$54),'Bonding Program'!$T$54-'Bonding Program'!$U$54-'Bonding Program'!$Z$54,0)-IF(AND('Bonding Program'!$S$54=1,'Bonding Program'!$H$54&lt;='Bonding Program'!$C$8,C$3=IF('Bonding Program'!$P$54&lt;&gt;"",'Bonding Program'!$P$54,'Bonding Program'!$C$8)),'Bonding Program'!$Z$54,0)+IF(AND('Bonding Program'!$P$54&lt;&gt;"",C$3='Bonding Program'!$P$54,C$3&lt;='Bonding Program'!$C$8),N('Bonding Program'!$O$54),0)</f>
        <v>0</v>
      </c>
      <c r="D195" s="19" t="n">
        <f aca="false">IF(AND('Bonding Program'!$S$54=1,'Bonding Program'!$H$54&gt;'Bonding Program'!$C$8,D$3='Bonding Program'!$H$54),'Bonding Program'!$T$54-'Bonding Program'!$U$54-'Bonding Program'!$Z$54,0)-IF(AND('Bonding Program'!$S$54=1,'Bonding Program'!$H$54&lt;='Bonding Program'!$C$8,D$3=IF('Bonding Program'!$P$54&lt;&gt;"",'Bonding Program'!$P$54,'Bonding Program'!$C$8)),'Bonding Program'!$Z$54,0)+IF(AND('Bonding Program'!$P$54&lt;&gt;"",D$3='Bonding Program'!$P$54,D$3&lt;='Bonding Program'!$C$8),N('Bonding Program'!$O$54),0)</f>
        <v>0</v>
      </c>
      <c r="E195" s="19" t="n">
        <f aca="false">IF(AND('Bonding Program'!$S$54=1,'Bonding Program'!$H$54&gt;'Bonding Program'!$C$8,E$3='Bonding Program'!$H$54),'Bonding Program'!$T$54-'Bonding Program'!$U$54-'Bonding Program'!$Z$54,0)-IF(AND('Bonding Program'!$S$54=1,'Bonding Program'!$H$54&lt;='Bonding Program'!$C$8,E$3=IF('Bonding Program'!$P$54&lt;&gt;"",'Bonding Program'!$P$54,'Bonding Program'!$C$8)),'Bonding Program'!$Z$54,0)+IF(AND('Bonding Program'!$P$54&lt;&gt;"",E$3='Bonding Program'!$P$54,E$3&lt;='Bonding Program'!$C$8),N('Bonding Program'!$O$54),0)</f>
        <v>0</v>
      </c>
      <c r="F195" s="19" t="n">
        <f aca="false">IF(AND('Bonding Program'!$S$54=1,'Bonding Program'!$H$54&gt;'Bonding Program'!$C$8,F$3='Bonding Program'!$H$54),'Bonding Program'!$T$54-'Bonding Program'!$U$54-'Bonding Program'!$Z$54,0)-IF(AND('Bonding Program'!$S$54=1,'Bonding Program'!$H$54&lt;='Bonding Program'!$C$8,F$3=IF('Bonding Program'!$P$54&lt;&gt;"",'Bonding Program'!$P$54,'Bonding Program'!$C$8)),'Bonding Program'!$Z$54,0)+IF(AND('Bonding Program'!$P$54&lt;&gt;"",F$3='Bonding Program'!$P$54,F$3&lt;='Bonding Program'!$C$8),N('Bonding Program'!$O$54),0)</f>
        <v>0</v>
      </c>
      <c r="G195" s="19" t="n">
        <f aca="false">IF(AND('Bonding Program'!$S$54=1,'Bonding Program'!$H$54&gt;'Bonding Program'!$C$8,G$3='Bonding Program'!$H$54),'Bonding Program'!$T$54-'Bonding Program'!$U$54-'Bonding Program'!$Z$54,0)-IF(AND('Bonding Program'!$S$54=1,'Bonding Program'!$H$54&lt;='Bonding Program'!$C$8,G$3=IF('Bonding Program'!$P$54&lt;&gt;"",'Bonding Program'!$P$54,'Bonding Program'!$C$8)),'Bonding Program'!$Z$54,0)+IF(AND('Bonding Program'!$P$54&lt;&gt;"",G$3='Bonding Program'!$P$54,G$3&lt;='Bonding Program'!$C$8),N('Bonding Program'!$O$54),0)</f>
        <v>0</v>
      </c>
      <c r="H195" s="19" t="n">
        <f aca="false">IF(AND('Bonding Program'!$S$54=1,'Bonding Program'!$H$54&gt;'Bonding Program'!$C$8,H$3='Bonding Program'!$H$54),'Bonding Program'!$T$54-'Bonding Program'!$U$54-'Bonding Program'!$Z$54,0)-IF(AND('Bonding Program'!$S$54=1,'Bonding Program'!$H$54&lt;='Bonding Program'!$C$8,H$3=IF('Bonding Program'!$P$54&lt;&gt;"",'Bonding Program'!$P$54,'Bonding Program'!$C$8)),'Bonding Program'!$Z$54,0)+IF(AND('Bonding Program'!$P$54&lt;&gt;"",H$3='Bonding Program'!$P$54,H$3&lt;='Bonding Program'!$C$8),N('Bonding Program'!$O$54),0)</f>
        <v>0</v>
      </c>
      <c r="I195" s="19" t="n">
        <f aca="false">IF(AND('Bonding Program'!$S$54=1,'Bonding Program'!$H$54&gt;'Bonding Program'!$C$8,I$3='Bonding Program'!$H$54),'Bonding Program'!$T$54-'Bonding Program'!$U$54-'Bonding Program'!$Z$54,0)-IF(AND('Bonding Program'!$S$54=1,'Bonding Program'!$H$54&lt;='Bonding Program'!$C$8,I$3=IF('Bonding Program'!$P$54&lt;&gt;"",'Bonding Program'!$P$54,'Bonding Program'!$C$8)),'Bonding Program'!$Z$54,0)+IF(AND('Bonding Program'!$P$54&lt;&gt;"",I$3='Bonding Program'!$P$54,I$3&lt;='Bonding Program'!$C$8),N('Bonding Program'!$O$54),0)</f>
        <v>0</v>
      </c>
      <c r="J195" s="19" t="n">
        <f aca="false">IF(AND('Bonding Program'!$S$54=1,'Bonding Program'!$H$54&gt;'Bonding Program'!$C$8,J$3='Bonding Program'!$H$54),'Bonding Program'!$T$54-'Bonding Program'!$U$54-'Bonding Program'!$Z$54,0)-IF(AND('Bonding Program'!$S$54=1,'Bonding Program'!$H$54&lt;='Bonding Program'!$C$8,J$3=IF('Bonding Program'!$P$54&lt;&gt;"",'Bonding Program'!$P$54,'Bonding Program'!$C$8)),'Bonding Program'!$Z$54,0)+IF(AND('Bonding Program'!$P$54&lt;&gt;"",J$3='Bonding Program'!$P$54,J$3&lt;='Bonding Program'!$C$8),N('Bonding Program'!$O$54),0)</f>
        <v>0</v>
      </c>
      <c r="K195" s="19" t="n">
        <f aca="false">IF(AND('Bonding Program'!$S$54=1,'Bonding Program'!$H$54&gt;'Bonding Program'!$C$8,K$3='Bonding Program'!$H$54),'Bonding Program'!$T$54-'Bonding Program'!$U$54-'Bonding Program'!$Z$54,0)-IF(AND('Bonding Program'!$S$54=1,'Bonding Program'!$H$54&lt;='Bonding Program'!$C$8,K$3=IF('Bonding Program'!$P$54&lt;&gt;"",'Bonding Program'!$P$54,'Bonding Program'!$C$8)),'Bonding Program'!$Z$54,0)+IF(AND('Bonding Program'!$P$54&lt;&gt;"",K$3='Bonding Program'!$P$54,K$3&lt;='Bonding Program'!$C$8),N('Bonding Program'!$O$54),0)</f>
        <v>0</v>
      </c>
      <c r="L195" s="19" t="n">
        <f aca="false">IF(AND('Bonding Program'!$S$54=1,'Bonding Program'!$H$54&gt;'Bonding Program'!$C$8,L$3='Bonding Program'!$H$54),'Bonding Program'!$T$54-'Bonding Program'!$U$54-'Bonding Program'!$Z$54,0)-IF(AND('Bonding Program'!$S$54=1,'Bonding Program'!$H$54&lt;='Bonding Program'!$C$8,L$3=IF('Bonding Program'!$P$54&lt;&gt;"",'Bonding Program'!$P$54,'Bonding Program'!$C$8)),'Bonding Program'!$Z$54,0)+IF(AND('Bonding Program'!$P$54&lt;&gt;"",L$3='Bonding Program'!$P$54,L$3&lt;='Bonding Program'!$C$8),N('Bonding Program'!$O$54),0)</f>
        <v>0</v>
      </c>
      <c r="M195" s="19" t="n">
        <f aca="false">IF(AND('Bonding Program'!$S$54=1,'Bonding Program'!$H$54&gt;'Bonding Program'!$C$8,M$3='Bonding Program'!$H$54),'Bonding Program'!$T$54-'Bonding Program'!$U$54-'Bonding Program'!$Z$54,0)-IF(AND('Bonding Program'!$S$54=1,'Bonding Program'!$H$54&lt;='Bonding Program'!$C$8,M$3=IF('Bonding Program'!$P$54&lt;&gt;"",'Bonding Program'!$P$54,'Bonding Program'!$C$8)),'Bonding Program'!$Z$54,0)+IF(AND('Bonding Program'!$P$54&lt;&gt;"",M$3='Bonding Program'!$P$54,M$3&lt;='Bonding Program'!$C$8),N('Bonding Program'!$O$54),0)</f>
        <v>0</v>
      </c>
      <c r="N195" s="19" t="n">
        <f aca="false">IF(AND('Bonding Program'!$S$54=1,'Bonding Program'!$H$54&gt;'Bonding Program'!$C$8,N$3='Bonding Program'!$H$54),'Bonding Program'!$T$54-'Bonding Program'!$U$54-'Bonding Program'!$Z$54,0)-IF(AND('Bonding Program'!$S$54=1,'Bonding Program'!$H$54&lt;='Bonding Program'!$C$8,N$3=IF('Bonding Program'!$P$54&lt;&gt;"",'Bonding Program'!$P$54,'Bonding Program'!$C$8)),'Bonding Program'!$Z$54,0)+IF(AND('Bonding Program'!$P$54&lt;&gt;"",N$3='Bonding Program'!$P$54,N$3&lt;='Bonding Program'!$C$8),N('Bonding Program'!$O$54),0)</f>
        <v>0</v>
      </c>
      <c r="O195" s="19" t="n">
        <f aca="false">IF(AND('Bonding Program'!$S$54=1,'Bonding Program'!$H$54&gt;'Bonding Program'!$C$8,O$3='Bonding Program'!$H$54),'Bonding Program'!$T$54-'Bonding Program'!$U$54-'Bonding Program'!$Z$54,0)-IF(AND('Bonding Program'!$S$54=1,'Bonding Program'!$H$54&lt;='Bonding Program'!$C$8,O$3=IF('Bonding Program'!$P$54&lt;&gt;"",'Bonding Program'!$P$54,'Bonding Program'!$C$8)),'Bonding Program'!$Z$54,0)+IF(AND('Bonding Program'!$P$54&lt;&gt;"",O$3='Bonding Program'!$P$54,O$3&lt;='Bonding Program'!$C$8),N('Bonding Program'!$O$54),0)</f>
        <v>0</v>
      </c>
      <c r="P195" s="19" t="n">
        <f aca="false">IF(AND('Bonding Program'!$S$54=1,'Bonding Program'!$H$54&gt;'Bonding Program'!$C$8,P$3='Bonding Program'!$H$54),'Bonding Program'!$T$54-'Bonding Program'!$U$54-'Bonding Program'!$Z$54,0)-IF(AND('Bonding Program'!$S$54=1,'Bonding Program'!$H$54&lt;='Bonding Program'!$C$8,P$3=IF('Bonding Program'!$P$54&lt;&gt;"",'Bonding Program'!$P$54,'Bonding Program'!$C$8)),'Bonding Program'!$Z$54,0)+IF(AND('Bonding Program'!$P$54&lt;&gt;"",P$3='Bonding Program'!$P$54,P$3&lt;='Bonding Program'!$C$8),N('Bonding Program'!$O$54),0)</f>
        <v>0</v>
      </c>
      <c r="Q195" s="19" t="n">
        <f aca="false">IF(AND('Bonding Program'!$S$54=1,'Bonding Program'!$H$54&gt;'Bonding Program'!$C$8,Q$3='Bonding Program'!$H$54),'Bonding Program'!$T$54-'Bonding Program'!$U$54-'Bonding Program'!$Z$54,0)-IF(AND('Bonding Program'!$S$54=1,'Bonding Program'!$H$54&lt;='Bonding Program'!$C$8,Q$3=IF('Bonding Program'!$P$54&lt;&gt;"",'Bonding Program'!$P$54,'Bonding Program'!$C$8)),'Bonding Program'!$Z$54,0)+IF(AND('Bonding Program'!$P$54&lt;&gt;"",Q$3='Bonding Program'!$P$54,Q$3&lt;='Bonding Program'!$C$8),N('Bonding Program'!$O$54),0)</f>
        <v>0</v>
      </c>
      <c r="R195" s="19" t="n">
        <f aca="false">IF(AND('Bonding Program'!$S$54=1,'Bonding Program'!$H$54&gt;'Bonding Program'!$C$8,R$3='Bonding Program'!$H$54),'Bonding Program'!$T$54-'Bonding Program'!$U$54-'Bonding Program'!$Z$54,0)-IF(AND('Bonding Program'!$S$54=1,'Bonding Program'!$H$54&lt;='Bonding Program'!$C$8,R$3=IF('Bonding Program'!$P$54&lt;&gt;"",'Bonding Program'!$P$54,'Bonding Program'!$C$8)),'Bonding Program'!$Z$54,0)+IF(AND('Bonding Program'!$P$54&lt;&gt;"",R$3='Bonding Program'!$P$54,R$3&lt;='Bonding Program'!$C$8),N('Bonding Program'!$O$54),0)</f>
        <v>0</v>
      </c>
      <c r="S195" s="19" t="n">
        <f aca="false">IF(AND('Bonding Program'!$S$54=1,'Bonding Program'!$H$54&gt;'Bonding Program'!$C$8,S$3='Bonding Program'!$H$54),'Bonding Program'!$T$54-'Bonding Program'!$U$54-'Bonding Program'!$Z$54,0)-IF(AND('Bonding Program'!$S$54=1,'Bonding Program'!$H$54&lt;='Bonding Program'!$C$8,S$3=IF('Bonding Program'!$P$54&lt;&gt;"",'Bonding Program'!$P$54,'Bonding Program'!$C$8)),'Bonding Program'!$Z$54,0)+IF(AND('Bonding Program'!$P$54&lt;&gt;"",S$3='Bonding Program'!$P$54,S$3&lt;='Bonding Program'!$C$8),N('Bonding Program'!$O$54),0)</f>
        <v>0</v>
      </c>
      <c r="T195" s="19" t="n">
        <f aca="false">IF(AND('Bonding Program'!$S$54=1,'Bonding Program'!$H$54&gt;'Bonding Program'!$C$8,T$3='Bonding Program'!$H$54),'Bonding Program'!$T$54-'Bonding Program'!$U$54-'Bonding Program'!$Z$54,0)-IF(AND('Bonding Program'!$S$54=1,'Bonding Program'!$H$54&lt;='Bonding Program'!$C$8,T$3=IF('Bonding Program'!$P$54&lt;&gt;"",'Bonding Program'!$P$54,'Bonding Program'!$C$8)),'Bonding Program'!$Z$54,0)+IF(AND('Bonding Program'!$P$54&lt;&gt;"",T$3='Bonding Program'!$P$54,T$3&lt;='Bonding Program'!$C$8),N('Bonding Program'!$O$54),0)</f>
        <v>0</v>
      </c>
      <c r="U195" s="19" t="n">
        <f aca="false">IF(AND('Bonding Program'!$S$54=1,'Bonding Program'!$H$54&gt;'Bonding Program'!$C$8,U$3='Bonding Program'!$H$54),'Bonding Program'!$T$54-'Bonding Program'!$U$54-'Bonding Program'!$Z$54,0)-IF(AND('Bonding Program'!$S$54=1,'Bonding Program'!$H$54&lt;='Bonding Program'!$C$8,U$3=IF('Bonding Program'!$P$54&lt;&gt;"",'Bonding Program'!$P$54,'Bonding Program'!$C$8)),'Bonding Program'!$Z$54,0)+IF(AND('Bonding Program'!$P$54&lt;&gt;"",U$3='Bonding Program'!$P$54,U$3&lt;='Bonding Program'!$C$8),N('Bonding Program'!$O$54),0)</f>
        <v>0</v>
      </c>
      <c r="V195" s="19" t="n">
        <f aca="false">IF(AND('Bonding Program'!$S$54=1,'Bonding Program'!$H$54&gt;'Bonding Program'!$C$8,V$3='Bonding Program'!$H$54),'Bonding Program'!$T$54-'Bonding Program'!$U$54-'Bonding Program'!$Z$54,0)-IF(AND('Bonding Program'!$S$54=1,'Bonding Program'!$H$54&lt;='Bonding Program'!$C$8,V$3=IF('Bonding Program'!$P$54&lt;&gt;"",'Bonding Program'!$P$54,'Bonding Program'!$C$8)),'Bonding Program'!$Z$54,0)+IF(AND('Bonding Program'!$P$54&lt;&gt;"",V$3='Bonding Program'!$P$54,V$3&lt;='Bonding Program'!$C$8),N('Bonding Program'!$O$54),0)</f>
        <v>0</v>
      </c>
      <c r="W195" s="19" t="n">
        <f aca="false">IF(AND('Bonding Program'!$S$54=1,'Bonding Program'!$H$54&gt;'Bonding Program'!$C$8,W$3='Bonding Program'!$H$54),'Bonding Program'!$T$54-'Bonding Program'!$U$54-'Bonding Program'!$Z$54,0)-IF(AND('Bonding Program'!$S$54=1,'Bonding Program'!$H$54&lt;='Bonding Program'!$C$8,W$3=IF('Bonding Program'!$P$54&lt;&gt;"",'Bonding Program'!$P$54,'Bonding Program'!$C$8)),'Bonding Program'!$Z$54,0)+IF(AND('Bonding Program'!$P$54&lt;&gt;"",W$3='Bonding Program'!$P$54,W$3&lt;='Bonding Program'!$C$8),N('Bonding Program'!$O$54),0)</f>
        <v>0</v>
      </c>
      <c r="X195" s="19" t="n">
        <f aca="false">IF(AND('Bonding Program'!$S$54=1,'Bonding Program'!$H$54&gt;'Bonding Program'!$C$8,X$3='Bonding Program'!$H$54),'Bonding Program'!$T$54-'Bonding Program'!$U$54-'Bonding Program'!$Z$54,0)-IF(AND('Bonding Program'!$S$54=1,'Bonding Program'!$H$54&lt;='Bonding Program'!$C$8,X$3=IF('Bonding Program'!$P$54&lt;&gt;"",'Bonding Program'!$P$54,'Bonding Program'!$C$8)),'Bonding Program'!$Z$54,0)+IF(AND('Bonding Program'!$P$54&lt;&gt;"",X$3='Bonding Program'!$P$54,X$3&lt;='Bonding Program'!$C$8),N('Bonding Program'!$O$54),0)</f>
        <v>0</v>
      </c>
      <c r="Y195" s="19" t="n">
        <f aca="false">IF(AND('Bonding Program'!$S$54=1,'Bonding Program'!$H$54&gt;'Bonding Program'!$C$8,Y$3='Bonding Program'!$H$54),'Bonding Program'!$T$54-'Bonding Program'!$U$54-'Bonding Program'!$Z$54,0)-IF(AND('Bonding Program'!$S$54=1,'Bonding Program'!$H$54&lt;='Bonding Program'!$C$8,Y$3=IF('Bonding Program'!$P$54&lt;&gt;"",'Bonding Program'!$P$54,'Bonding Program'!$C$8)),'Bonding Program'!$Z$54,0)+IF(AND('Bonding Program'!$P$54&lt;&gt;"",Y$3='Bonding Program'!$P$54,Y$3&lt;='Bonding Program'!$C$8),N('Bonding Program'!$O$54),0)</f>
        <v>0</v>
      </c>
      <c r="Z195" s="19" t="n">
        <f aca="false">IF(AND('Bonding Program'!$S$54=1,'Bonding Program'!$H$54&gt;'Bonding Program'!$C$8,Z$3='Bonding Program'!$H$54),'Bonding Program'!$T$54-'Bonding Program'!$U$54-'Bonding Program'!$Z$54,0)-IF(AND('Bonding Program'!$S$54=1,'Bonding Program'!$H$54&lt;='Bonding Program'!$C$8,Z$3=IF('Bonding Program'!$P$54&lt;&gt;"",'Bonding Program'!$P$54,'Bonding Program'!$C$8)),'Bonding Program'!$Z$54,0)+IF(AND('Bonding Program'!$P$54&lt;&gt;"",Z$3='Bonding Program'!$P$54,Z$3&lt;='Bonding Program'!$C$8),N('Bonding Program'!$O$54),0)</f>
        <v>0</v>
      </c>
      <c r="AA195" s="19" t="n">
        <f aca="false">IF(AND('Bonding Program'!$S$54=1,'Bonding Program'!$H$54&gt;'Bonding Program'!$C$8,AA$3='Bonding Program'!$H$54),'Bonding Program'!$T$54-'Bonding Program'!$U$54-'Bonding Program'!$Z$54,0)-IF(AND('Bonding Program'!$S$54=1,'Bonding Program'!$H$54&lt;='Bonding Program'!$C$8,AA$3=IF('Bonding Program'!$P$54&lt;&gt;"",'Bonding Program'!$P$54,'Bonding Program'!$C$8)),'Bonding Program'!$Z$54,0)+IF(AND('Bonding Program'!$P$54&lt;&gt;"",AA$3='Bonding Program'!$P$54,AA$3&lt;='Bonding Program'!$C$8),N('Bonding Program'!$O$54),0)</f>
        <v>0</v>
      </c>
      <c r="AB195" s="19" t="n">
        <f aca="false">IF(AND('Bonding Program'!$S$54=1,'Bonding Program'!$H$54&gt;'Bonding Program'!$C$8,AB$3='Bonding Program'!$H$54),'Bonding Program'!$T$54-'Bonding Program'!$U$54-'Bonding Program'!$Z$54,0)-IF(AND('Bonding Program'!$S$54=1,'Bonding Program'!$H$54&lt;='Bonding Program'!$C$8,AB$3=IF('Bonding Program'!$P$54&lt;&gt;"",'Bonding Program'!$P$54,'Bonding Program'!$C$8)),'Bonding Program'!$Z$54,0)+IF(AND('Bonding Program'!$P$54&lt;&gt;"",AB$3='Bonding Program'!$P$54,AB$3&lt;='Bonding Program'!$C$8),N('Bonding Program'!$O$54),0)</f>
        <v>0</v>
      </c>
      <c r="AC195" s="19" t="n">
        <f aca="false">IF(AND('Bonding Program'!$S$54=1,'Bonding Program'!$H$54&gt;'Bonding Program'!$C$8,AC$3='Bonding Program'!$H$54),'Bonding Program'!$T$54-'Bonding Program'!$U$54-'Bonding Program'!$Z$54,0)-IF(AND('Bonding Program'!$S$54=1,'Bonding Program'!$H$54&lt;='Bonding Program'!$C$8,AC$3=IF('Bonding Program'!$P$54&lt;&gt;"",'Bonding Program'!$P$54,'Bonding Program'!$C$8)),'Bonding Program'!$Z$54,0)+IF(AND('Bonding Program'!$P$54&lt;&gt;"",AC$3='Bonding Program'!$P$54,AC$3&lt;='Bonding Program'!$C$8),N('Bonding Program'!$O$54),0)</f>
        <v>0</v>
      </c>
      <c r="AD195" s="19" t="n">
        <f aca="false">IF(AND('Bonding Program'!$S$54=1,'Bonding Program'!$H$54&gt;'Bonding Program'!$C$8,AD$3='Bonding Program'!$H$54),'Bonding Program'!$T$54-'Bonding Program'!$U$54-'Bonding Program'!$Z$54,0)-IF(AND('Bonding Program'!$S$54=1,'Bonding Program'!$H$54&lt;='Bonding Program'!$C$8,AD$3=IF('Bonding Program'!$P$54&lt;&gt;"",'Bonding Program'!$P$54,'Bonding Program'!$C$8)),'Bonding Program'!$Z$54,0)+IF(AND('Bonding Program'!$P$54&lt;&gt;"",AD$3='Bonding Program'!$P$54,AD$3&lt;='Bonding Program'!$C$8),N('Bonding Program'!$O$54),0)</f>
        <v>0</v>
      </c>
      <c r="AE195" s="19" t="n">
        <f aca="false">IF(AND('Bonding Program'!$S$54=1,'Bonding Program'!$H$54&gt;'Bonding Program'!$C$8,AE$3='Bonding Program'!$H$54),'Bonding Program'!$T$54-'Bonding Program'!$U$54-'Bonding Program'!$Z$54,0)-IF(AND('Bonding Program'!$S$54=1,'Bonding Program'!$H$54&lt;='Bonding Program'!$C$8,AE$3=IF('Bonding Program'!$P$54&lt;&gt;"",'Bonding Program'!$P$54,'Bonding Program'!$C$8)),'Bonding Program'!$Z$54,0)+IF(AND('Bonding Program'!$P$54&lt;&gt;"",AE$3='Bonding Program'!$P$54,AE$3&lt;='Bonding Program'!$C$8),N('Bonding Program'!$O$54),0)</f>
        <v>0</v>
      </c>
      <c r="AF195" s="19" t="n">
        <f aca="false">IF(AND('Bonding Program'!$S$54=1,'Bonding Program'!$H$54&gt;'Bonding Program'!$C$8,AF$3='Bonding Program'!$H$54),'Bonding Program'!$T$54-'Bonding Program'!$U$54-'Bonding Program'!$Z$54,0)-IF(AND('Bonding Program'!$S$54=1,'Bonding Program'!$H$54&lt;='Bonding Program'!$C$8,AF$3=IF('Bonding Program'!$P$54&lt;&gt;"",'Bonding Program'!$P$54,'Bonding Program'!$C$8)),'Bonding Program'!$Z$54,0)+IF(AND('Bonding Program'!$P$54&lt;&gt;"",AF$3='Bonding Program'!$P$54,AF$3&lt;='Bonding Program'!$C$8),N('Bonding Program'!$O$54),0)</f>
        <v>0</v>
      </c>
      <c r="AG195" s="19" t="n">
        <f aca="false">IF(AND('Bonding Program'!$S$54=1,'Bonding Program'!$H$54&gt;'Bonding Program'!$C$8,AG$3='Bonding Program'!$H$54),'Bonding Program'!$T$54-'Bonding Program'!$U$54-'Bonding Program'!$Z$54,0)-IF(AND('Bonding Program'!$S$54=1,'Bonding Program'!$H$54&lt;='Bonding Program'!$C$8,AG$3=IF('Bonding Program'!$P$54&lt;&gt;"",'Bonding Program'!$P$54,'Bonding Program'!$C$8)),'Bonding Program'!$Z$54,0)+IF(AND('Bonding Program'!$P$54&lt;&gt;"",AG$3='Bonding Program'!$P$54,AG$3&lt;='Bonding Program'!$C$8),N('Bonding Program'!$O$54),0)</f>
        <v>0</v>
      </c>
      <c r="AH195" s="19" t="n">
        <f aca="false">IF(AND('Bonding Program'!$S$54=1,'Bonding Program'!$H$54&gt;'Bonding Program'!$C$8,AH$3='Bonding Program'!$H$54),'Bonding Program'!$T$54-'Bonding Program'!$U$54-'Bonding Program'!$Z$54,0)-IF(AND('Bonding Program'!$S$54=1,'Bonding Program'!$H$54&lt;='Bonding Program'!$C$8,AH$3=IF('Bonding Program'!$P$54&lt;&gt;"",'Bonding Program'!$P$54,'Bonding Program'!$C$8)),'Bonding Program'!$Z$54,0)+IF(AND('Bonding Program'!$P$54&lt;&gt;"",AH$3='Bonding Program'!$P$54,AH$3&lt;='Bonding Program'!$C$8),N('Bonding Program'!$O$54),0)</f>
        <v>0</v>
      </c>
      <c r="AI195" s="19" t="n">
        <f aca="false">IF(AND('Bonding Program'!$S$54=1,'Bonding Program'!$H$54&gt;'Bonding Program'!$C$8,AI$3='Bonding Program'!$H$54),'Bonding Program'!$T$54-'Bonding Program'!$U$54-'Bonding Program'!$Z$54,0)-IF(AND('Bonding Program'!$S$54=1,'Bonding Program'!$H$54&lt;='Bonding Program'!$C$8,AI$3=IF('Bonding Program'!$P$54&lt;&gt;"",'Bonding Program'!$P$54,'Bonding Program'!$C$8)),'Bonding Program'!$Z$54,0)+IF(AND('Bonding Program'!$P$54&lt;&gt;"",AI$3='Bonding Program'!$P$54,AI$3&lt;='Bonding Program'!$C$8),N('Bonding Program'!$O$54),0)</f>
        <v>0</v>
      </c>
      <c r="AJ195" s="19" t="n">
        <f aca="false">IF(AND('Bonding Program'!$S$54=1,'Bonding Program'!$H$54&gt;'Bonding Program'!$C$8,AJ$3='Bonding Program'!$H$54),'Bonding Program'!$T$54-'Bonding Program'!$U$54-'Bonding Program'!$Z$54,0)-IF(AND('Bonding Program'!$S$54=1,'Bonding Program'!$H$54&lt;='Bonding Program'!$C$8,AJ$3=IF('Bonding Program'!$P$54&lt;&gt;"",'Bonding Program'!$P$54,'Bonding Program'!$C$8)),'Bonding Program'!$Z$54,0)+IF(AND('Bonding Program'!$P$54&lt;&gt;"",AJ$3='Bonding Program'!$P$54,AJ$3&lt;='Bonding Program'!$C$8),N('Bonding Program'!$O$54),0)</f>
        <v>0</v>
      </c>
      <c r="AK195" s="19" t="n">
        <f aca="false">IF(AND('Bonding Program'!$S$54=1,'Bonding Program'!$H$54&gt;'Bonding Program'!$C$8,AK$3='Bonding Program'!$H$54),'Bonding Program'!$T$54-'Bonding Program'!$U$54-'Bonding Program'!$Z$54,0)-IF(AND('Bonding Program'!$S$54=1,'Bonding Program'!$H$54&lt;='Bonding Program'!$C$8,AK$3=IF('Bonding Program'!$P$54&lt;&gt;"",'Bonding Program'!$P$54,'Bonding Program'!$C$8)),'Bonding Program'!$Z$54,0)+IF(AND('Bonding Program'!$P$54&lt;&gt;"",AK$3='Bonding Program'!$P$54,AK$3&lt;='Bonding Program'!$C$8),N('Bonding Program'!$O$54),0)</f>
        <v>0</v>
      </c>
      <c r="AL195" s="19" t="n">
        <f aca="false">IF(AND('Bonding Program'!$S$54=1,'Bonding Program'!$H$54&gt;'Bonding Program'!$C$8,AL$3='Bonding Program'!$H$54),'Bonding Program'!$T$54-'Bonding Program'!$U$54-'Bonding Program'!$Z$54,0)-IF(AND('Bonding Program'!$S$54=1,'Bonding Program'!$H$54&lt;='Bonding Program'!$C$8,AL$3=IF('Bonding Program'!$P$54&lt;&gt;"",'Bonding Program'!$P$54,'Bonding Program'!$C$8)),'Bonding Program'!$Z$54,0)+IF(AND('Bonding Program'!$P$54&lt;&gt;"",AL$3='Bonding Program'!$P$54,AL$3&lt;='Bonding Program'!$C$8),N('Bonding Program'!$O$54),0)</f>
        <v>0</v>
      </c>
      <c r="AM195" s="19" t="n">
        <f aca="false">IF(AND('Bonding Program'!$S$54=1,'Bonding Program'!$H$54&gt;'Bonding Program'!$C$8,AM$3='Bonding Program'!$H$54),'Bonding Program'!$T$54-'Bonding Program'!$U$54-'Bonding Program'!$Z$54,0)-IF(AND('Bonding Program'!$S$54=1,'Bonding Program'!$H$54&lt;='Bonding Program'!$C$8,AM$3=IF('Bonding Program'!$P$54&lt;&gt;"",'Bonding Program'!$P$54,'Bonding Program'!$C$8)),'Bonding Program'!$Z$54,0)+IF(AND('Bonding Program'!$P$54&lt;&gt;"",AM$3='Bonding Program'!$P$54,AM$3&lt;='Bonding Program'!$C$8),N('Bonding Program'!$O$54),0)</f>
        <v>0</v>
      </c>
      <c r="AN195" s="19" t="n">
        <f aca="false">IF(AND('Bonding Program'!$S$54=1,'Bonding Program'!$H$54&gt;'Bonding Program'!$C$8,AN$3='Bonding Program'!$H$54),'Bonding Program'!$T$54-'Bonding Program'!$U$54-'Bonding Program'!$Z$54,0)-IF(AND('Bonding Program'!$S$54=1,'Bonding Program'!$H$54&lt;='Bonding Program'!$C$8,AN$3=IF('Bonding Program'!$P$54&lt;&gt;"",'Bonding Program'!$P$54,'Bonding Program'!$C$8)),'Bonding Program'!$Z$54,0)+IF(AND('Bonding Program'!$P$54&lt;&gt;"",AN$3='Bonding Program'!$P$54,AN$3&lt;='Bonding Program'!$C$8),N('Bonding Program'!$O$54),0)</f>
        <v>0</v>
      </c>
      <c r="AO195" s="19" t="n">
        <f aca="false">IF(AND('Bonding Program'!$S$54=1,'Bonding Program'!$H$54&gt;'Bonding Program'!$C$8,AO$3='Bonding Program'!$H$54),'Bonding Program'!$T$54-'Bonding Program'!$U$54-'Bonding Program'!$Z$54,0)-IF(AND('Bonding Program'!$S$54=1,'Bonding Program'!$H$54&lt;='Bonding Program'!$C$8,AO$3=IF('Bonding Program'!$P$54&lt;&gt;"",'Bonding Program'!$P$54,'Bonding Program'!$C$8)),'Bonding Program'!$Z$54,0)+IF(AND('Bonding Program'!$P$54&lt;&gt;"",AO$3='Bonding Program'!$P$54,AO$3&lt;='Bonding Program'!$C$8),N('Bonding Program'!$O$54),0)</f>
        <v>0</v>
      </c>
      <c r="AP195" s="19" t="n">
        <f aca="false">IF(AND('Bonding Program'!$S$54=1,'Bonding Program'!$H$54&gt;'Bonding Program'!$C$8,AP$3='Bonding Program'!$H$54),'Bonding Program'!$T$54-'Bonding Program'!$U$54-'Bonding Program'!$Z$54,0)-IF(AND('Bonding Program'!$S$54=1,'Bonding Program'!$H$54&lt;='Bonding Program'!$C$8,AP$3=IF('Bonding Program'!$P$54&lt;&gt;"",'Bonding Program'!$P$54,'Bonding Program'!$C$8)),'Bonding Program'!$Z$54,0)+IF(AND('Bonding Program'!$P$54&lt;&gt;"",AP$3='Bonding Program'!$P$54,AP$3&lt;='Bonding Program'!$C$8),N('Bonding Program'!$O$54),0)</f>
        <v>0</v>
      </c>
      <c r="AQ195" s="19" t="n">
        <f aca="false">IF(AND('Bonding Program'!$S$54=1,'Bonding Program'!$H$54&gt;'Bonding Program'!$C$8,AQ$3='Bonding Program'!$H$54),'Bonding Program'!$T$54-'Bonding Program'!$U$54-'Bonding Program'!$Z$54,0)-IF(AND('Bonding Program'!$S$54=1,'Bonding Program'!$H$54&lt;='Bonding Program'!$C$8,AQ$3=IF('Bonding Program'!$P$54&lt;&gt;"",'Bonding Program'!$P$54,'Bonding Program'!$C$8)),'Bonding Program'!$Z$54,0)+IF(AND('Bonding Program'!$P$54&lt;&gt;"",AQ$3='Bonding Program'!$P$54,AQ$3&lt;='Bonding Program'!$C$8),N('Bonding Program'!$O$54),0)</f>
        <v>0</v>
      </c>
      <c r="AR195" s="19" t="n">
        <f aca="false">IF(AND('Bonding Program'!$S$54=1,'Bonding Program'!$H$54&gt;'Bonding Program'!$C$8,AR$3='Bonding Program'!$H$54),'Bonding Program'!$T$54-'Bonding Program'!$U$54-'Bonding Program'!$Z$54,0)-IF(AND('Bonding Program'!$S$54=1,'Bonding Program'!$H$54&lt;='Bonding Program'!$C$8,AR$3=IF('Bonding Program'!$P$54&lt;&gt;"",'Bonding Program'!$P$54,'Bonding Program'!$C$8)),'Bonding Program'!$Z$54,0)+IF(AND('Bonding Program'!$P$54&lt;&gt;"",AR$3='Bonding Program'!$P$54,AR$3&lt;='Bonding Program'!$C$8),N('Bonding Program'!$O$54),0)</f>
        <v>0</v>
      </c>
      <c r="AS195" s="19" t="n">
        <f aca="false">IF(AND('Bonding Program'!$S$54=1,'Bonding Program'!$H$54&gt;'Bonding Program'!$C$8,AS$3='Bonding Program'!$H$54),'Bonding Program'!$T$54-'Bonding Program'!$U$54-'Bonding Program'!$Z$54,0)-IF(AND('Bonding Program'!$S$54=1,'Bonding Program'!$H$54&lt;='Bonding Program'!$C$8,AS$3=IF('Bonding Program'!$P$54&lt;&gt;"",'Bonding Program'!$P$54,'Bonding Program'!$C$8)),'Bonding Program'!$Z$54,0)+IF(AND('Bonding Program'!$P$54&lt;&gt;"",AS$3='Bonding Program'!$P$54,AS$3&lt;='Bonding Program'!$C$8),N('Bonding Program'!$O$54),0)</f>
        <v>0</v>
      </c>
      <c r="AT195" s="19" t="n">
        <f aca="false">IF(AND('Bonding Program'!$S$54=1,'Bonding Program'!$H$54&gt;'Bonding Program'!$C$8,AT$3='Bonding Program'!$H$54),'Bonding Program'!$T$54-'Bonding Program'!$U$54-'Bonding Program'!$Z$54,0)-IF(AND('Bonding Program'!$S$54=1,'Bonding Program'!$H$54&lt;='Bonding Program'!$C$8,AT$3=IF('Bonding Program'!$P$54&lt;&gt;"",'Bonding Program'!$P$54,'Bonding Program'!$C$8)),'Bonding Program'!$Z$54,0)+IF(AND('Bonding Program'!$P$54&lt;&gt;"",AT$3='Bonding Program'!$P$54,AT$3&lt;='Bonding Program'!$C$8),N('Bonding Program'!$O$54),0)</f>
        <v>0</v>
      </c>
      <c r="AU195" s="19" t="n">
        <f aca="false">IF(AND('Bonding Program'!$S$54=1,'Bonding Program'!$H$54&gt;'Bonding Program'!$C$8,AU$3='Bonding Program'!$H$54),'Bonding Program'!$T$54-'Bonding Program'!$U$54-'Bonding Program'!$Z$54,0)-IF(AND('Bonding Program'!$S$54=1,'Bonding Program'!$H$54&lt;='Bonding Program'!$C$8,AU$3=IF('Bonding Program'!$P$54&lt;&gt;"",'Bonding Program'!$P$54,'Bonding Program'!$C$8)),'Bonding Program'!$Z$54,0)+IF(AND('Bonding Program'!$P$54&lt;&gt;"",AU$3='Bonding Program'!$P$54,AU$3&lt;='Bonding Program'!$C$8),N('Bonding Program'!$O$54),0)</f>
        <v>0</v>
      </c>
      <c r="AV195" s="19" t="n">
        <f aca="false">IF(AND('Bonding Program'!$S$54=1,'Bonding Program'!$H$54&gt;'Bonding Program'!$C$8,AV$3='Bonding Program'!$H$54),'Bonding Program'!$T$54-'Bonding Program'!$U$54-'Bonding Program'!$Z$54,0)-IF(AND('Bonding Program'!$S$54=1,'Bonding Program'!$H$54&lt;='Bonding Program'!$C$8,AV$3=IF('Bonding Program'!$P$54&lt;&gt;"",'Bonding Program'!$P$54,'Bonding Program'!$C$8)),'Bonding Program'!$Z$54,0)+IF(AND('Bonding Program'!$P$54&lt;&gt;"",AV$3='Bonding Program'!$P$54,AV$3&lt;='Bonding Program'!$C$8),N('Bonding Program'!$O$54),0)</f>
        <v>0</v>
      </c>
      <c r="AW195" s="19" t="n">
        <f aca="false">IF(AND('Bonding Program'!$S$54=1,'Bonding Program'!$H$54&gt;'Bonding Program'!$C$8,AW$3='Bonding Program'!$H$54),'Bonding Program'!$T$54-'Bonding Program'!$U$54-'Bonding Program'!$Z$54,0)-IF(AND('Bonding Program'!$S$54=1,'Bonding Program'!$H$54&lt;='Bonding Program'!$C$8,AW$3=IF('Bonding Program'!$P$54&lt;&gt;"",'Bonding Program'!$P$54,'Bonding Program'!$C$8)),'Bonding Program'!$Z$54,0)+IF(AND('Bonding Program'!$P$54&lt;&gt;"",AW$3='Bonding Program'!$P$54,AW$3&lt;='Bonding Program'!$C$8),N('Bonding Program'!$O$54),0)</f>
        <v>0</v>
      </c>
      <c r="AX195" s="19" t="n">
        <f aca="false">IF(AND('Bonding Program'!$S$54=1,'Bonding Program'!$H$54&gt;'Bonding Program'!$C$8,AX$3='Bonding Program'!$H$54),'Bonding Program'!$T$54-'Bonding Program'!$U$54-'Bonding Program'!$Z$54,0)-IF(AND('Bonding Program'!$S$54=1,'Bonding Program'!$H$54&lt;='Bonding Program'!$C$8,AX$3=IF('Bonding Program'!$P$54&lt;&gt;"",'Bonding Program'!$P$54,'Bonding Program'!$C$8)),'Bonding Program'!$Z$54,0)+IF(AND('Bonding Program'!$P$54&lt;&gt;"",AX$3='Bonding Program'!$P$54,AX$3&lt;='Bonding Program'!$C$8),N('Bonding Program'!$O$54),0)</f>
        <v>0</v>
      </c>
      <c r="AY195" s="19" t="n">
        <f aca="false">IF(AND('Bonding Program'!$S$54=1,'Bonding Program'!$H$54&gt;'Bonding Program'!$C$8,AY$3='Bonding Program'!$H$54),'Bonding Program'!$T$54-'Bonding Program'!$U$54-'Bonding Program'!$Z$54,0)-IF(AND('Bonding Program'!$S$54=1,'Bonding Program'!$H$54&lt;='Bonding Program'!$C$8,AY$3=IF('Bonding Program'!$P$54&lt;&gt;"",'Bonding Program'!$P$54,'Bonding Program'!$C$8)),'Bonding Program'!$Z$54,0)+IF(AND('Bonding Program'!$P$54&lt;&gt;"",AY$3='Bonding Program'!$P$54,AY$3&lt;='Bonding Program'!$C$8),N('Bonding Program'!$O$54),0)</f>
        <v>0</v>
      </c>
      <c r="AZ195" s="19" t="n">
        <f aca="false">IF(AND('Bonding Program'!$S$54=1,'Bonding Program'!$H$54&gt;'Bonding Program'!$C$8,AZ$3='Bonding Program'!$H$54),'Bonding Program'!$T$54-'Bonding Program'!$U$54-'Bonding Program'!$Z$54,0)-IF(AND('Bonding Program'!$S$54=1,'Bonding Program'!$H$54&lt;='Bonding Program'!$C$8,AZ$3=IF('Bonding Program'!$P$54&lt;&gt;"",'Bonding Program'!$P$54,'Bonding Program'!$C$8)),'Bonding Program'!$Z$54,0)+IF(AND('Bonding Program'!$P$54&lt;&gt;"",AZ$3='Bonding Program'!$P$54,AZ$3&lt;='Bonding Program'!$C$8),N('Bonding Program'!$O$54),0)</f>
        <v>0</v>
      </c>
      <c r="BA195" s="19" t="n">
        <f aca="false">IF(AND('Bonding Program'!$S$54=1,'Bonding Program'!$H$54&gt;'Bonding Program'!$C$8,BA$3='Bonding Program'!$H$54),'Bonding Program'!$T$54-'Bonding Program'!$U$54-'Bonding Program'!$Z$54,0)-IF(AND('Bonding Program'!$S$54=1,'Bonding Program'!$H$54&lt;='Bonding Program'!$C$8,BA$3=IF('Bonding Program'!$P$54&lt;&gt;"",'Bonding Program'!$P$54,'Bonding Program'!$C$8)),'Bonding Program'!$Z$54,0)+IF(AND('Bonding Program'!$P$54&lt;&gt;"",BA$3='Bonding Program'!$P$54,BA$3&lt;='Bonding Program'!$C$8),N('Bonding Program'!$O$54),0)</f>
        <v>0</v>
      </c>
      <c r="BB195" s="19" t="n">
        <f aca="false">IF(AND('Bonding Program'!$S$54=1,'Bonding Program'!$H$54&gt;'Bonding Program'!$C$8,BB$3='Bonding Program'!$H$54),'Bonding Program'!$T$54-'Bonding Program'!$U$54-'Bonding Program'!$Z$54,0)-IF(AND('Bonding Program'!$S$54=1,'Bonding Program'!$H$54&lt;='Bonding Program'!$C$8,BB$3=IF('Bonding Program'!$P$54&lt;&gt;"",'Bonding Program'!$P$54,'Bonding Program'!$C$8)),'Bonding Program'!$Z$54,0)+IF(AND('Bonding Program'!$P$54&lt;&gt;"",BB$3='Bonding Program'!$P$54,BB$3&lt;='Bonding Program'!$C$8),N('Bonding Program'!$O$54),0)</f>
        <v>0</v>
      </c>
      <c r="BC195" s="19" t="n">
        <f aca="false">IF(AND('Bonding Program'!$S$54=1,'Bonding Program'!$H$54&gt;'Bonding Program'!$C$8,BC$3='Bonding Program'!$H$54),'Bonding Program'!$T$54-'Bonding Program'!$U$54-'Bonding Program'!$Z$54,0)-IF(AND('Bonding Program'!$S$54=1,'Bonding Program'!$H$54&lt;='Bonding Program'!$C$8,BC$3=IF('Bonding Program'!$P$54&lt;&gt;"",'Bonding Program'!$P$54,'Bonding Program'!$C$8)),'Bonding Program'!$Z$54,0)+IF(AND('Bonding Program'!$P$54&lt;&gt;"",BC$3='Bonding Program'!$P$54,BC$3&lt;='Bonding Program'!$C$8),N('Bonding Program'!$O$54),0)</f>
        <v>0</v>
      </c>
      <c r="BD195" s="19" t="n">
        <f aca="false">IF(AND('Bonding Program'!$S$54=1,'Bonding Program'!$H$54&gt;'Bonding Program'!$C$8,BD$3='Bonding Program'!$H$54),'Bonding Program'!$T$54-'Bonding Program'!$U$54-'Bonding Program'!$Z$54,0)-IF(AND('Bonding Program'!$S$54=1,'Bonding Program'!$H$54&lt;='Bonding Program'!$C$8,BD$3=IF('Bonding Program'!$P$54&lt;&gt;"",'Bonding Program'!$P$54,'Bonding Program'!$C$8)),'Bonding Program'!$Z$54,0)+IF(AND('Bonding Program'!$P$54&lt;&gt;"",BD$3='Bonding Program'!$P$54,BD$3&lt;='Bonding Program'!$C$8),N('Bonding Program'!$O$54),0)</f>
        <v>0</v>
      </c>
      <c r="BE195" s="19" t="n">
        <f aca="false">IF(AND('Bonding Program'!$S$54=1,'Bonding Program'!$H$54&gt;'Bonding Program'!$C$8,BE$3='Bonding Program'!$H$54),'Bonding Program'!$T$54-'Bonding Program'!$U$54-'Bonding Program'!$Z$54,0)-IF(AND('Bonding Program'!$S$54=1,'Bonding Program'!$H$54&lt;='Bonding Program'!$C$8,BE$3=IF('Bonding Program'!$P$54&lt;&gt;"",'Bonding Program'!$P$54,'Bonding Program'!$C$8)),'Bonding Program'!$Z$54,0)+IF(AND('Bonding Program'!$P$54&lt;&gt;"",BE$3='Bonding Program'!$P$54,BE$3&lt;='Bonding Program'!$C$8),N('Bonding Program'!$O$54),0)</f>
        <v>0</v>
      </c>
      <c r="BF195" s="19" t="n">
        <f aca="false">IF(AND('Bonding Program'!$S$54=1,'Bonding Program'!$H$54&gt;'Bonding Program'!$C$8,BF$3='Bonding Program'!$H$54),'Bonding Program'!$T$54-'Bonding Program'!$U$54-'Bonding Program'!$Z$54,0)-IF(AND('Bonding Program'!$S$54=1,'Bonding Program'!$H$54&lt;='Bonding Program'!$C$8,BF$3=IF('Bonding Program'!$P$54&lt;&gt;"",'Bonding Program'!$P$54,'Bonding Program'!$C$8)),'Bonding Program'!$Z$54,0)+IF(AND('Bonding Program'!$P$54&lt;&gt;"",BF$3='Bonding Program'!$P$54,BF$3&lt;='Bonding Program'!$C$8),N('Bonding Program'!$O$54),0)</f>
        <v>0</v>
      </c>
      <c r="BG195" s="19" t="n">
        <f aca="false">IF(AND('Bonding Program'!$S$54=1,'Bonding Program'!$H$54&gt;'Bonding Program'!$C$8,BG$3='Bonding Program'!$H$54),'Bonding Program'!$T$54-'Bonding Program'!$U$54-'Bonding Program'!$Z$54,0)-IF(AND('Bonding Program'!$S$54=1,'Bonding Program'!$H$54&lt;='Bonding Program'!$C$8,BG$3=IF('Bonding Program'!$P$54&lt;&gt;"",'Bonding Program'!$P$54,'Bonding Program'!$C$8)),'Bonding Program'!$Z$54,0)+IF(AND('Bonding Program'!$P$54&lt;&gt;"",BG$3='Bonding Program'!$P$54,BG$3&lt;='Bonding Program'!$C$8),N('Bonding Program'!$O$54),0)</f>
        <v>0</v>
      </c>
      <c r="BH195" s="19" t="n">
        <f aca="false">IF(AND('Bonding Program'!$S$54=1,'Bonding Program'!$H$54&gt;'Bonding Program'!$C$8,BH$3='Bonding Program'!$H$54),'Bonding Program'!$T$54-'Bonding Program'!$U$54-'Bonding Program'!$Z$54,0)-IF(AND('Bonding Program'!$S$54=1,'Bonding Program'!$H$54&lt;='Bonding Program'!$C$8,BH$3=IF('Bonding Program'!$P$54&lt;&gt;"",'Bonding Program'!$P$54,'Bonding Program'!$C$8)),'Bonding Program'!$Z$54,0)+IF(AND('Bonding Program'!$P$54&lt;&gt;"",BH$3='Bonding Program'!$P$54,BH$3&lt;='Bonding Program'!$C$8),N('Bonding Program'!$O$54),0)</f>
        <v>0</v>
      </c>
      <c r="BI195" s="19" t="n">
        <f aca="false">IF(AND('Bonding Program'!$S$54=1,'Bonding Program'!$H$54&gt;'Bonding Program'!$C$8,BI$3='Bonding Program'!$H$54),'Bonding Program'!$T$54-'Bonding Program'!$U$54-'Bonding Program'!$Z$54,0)-IF(AND('Bonding Program'!$S$54=1,'Bonding Program'!$H$54&lt;='Bonding Program'!$C$8,BI$3=IF('Bonding Program'!$P$54&lt;&gt;"",'Bonding Program'!$P$54,'Bonding Program'!$C$8)),'Bonding Program'!$Z$54,0)+IF(AND('Bonding Program'!$P$54&lt;&gt;"",BI$3='Bonding Program'!$P$54,BI$3&lt;='Bonding Program'!$C$8),N('Bonding Program'!$O$54),0)</f>
        <v>0</v>
      </c>
      <c r="BJ195" s="19" t="n">
        <f aca="false">IF(AND('Bonding Program'!$S$54=1,'Bonding Program'!$H$54&gt;'Bonding Program'!$C$8,BJ$3='Bonding Program'!$H$54),'Bonding Program'!$T$54-'Bonding Program'!$U$54-'Bonding Program'!$Z$54,0)-IF(AND('Bonding Program'!$S$54=1,'Bonding Program'!$H$54&lt;='Bonding Program'!$C$8,BJ$3=IF('Bonding Program'!$P$54&lt;&gt;"",'Bonding Program'!$P$54,'Bonding Program'!$C$8)),'Bonding Program'!$Z$54,0)+IF(AND('Bonding Program'!$P$54&lt;&gt;"",BJ$3='Bonding Program'!$P$54,BJ$3&lt;='Bonding Program'!$C$8),N('Bonding Program'!$O$54),0)</f>
        <v>0</v>
      </c>
      <c r="BK195" s="19" t="n">
        <f aca="false">IF(AND('Bonding Program'!$S$54=1,'Bonding Program'!$H$54&gt;'Bonding Program'!$C$8,BK$3='Bonding Program'!$H$54),'Bonding Program'!$T$54-'Bonding Program'!$U$54-'Bonding Program'!$Z$54,0)-IF(AND('Bonding Program'!$S$54=1,'Bonding Program'!$H$54&lt;='Bonding Program'!$C$8,BK$3=IF('Bonding Program'!$P$54&lt;&gt;"",'Bonding Program'!$P$54,'Bonding Program'!$C$8)),'Bonding Program'!$Z$54,0)+IF(AND('Bonding Program'!$P$54&lt;&gt;"",BK$3='Bonding Program'!$P$54,BK$3&lt;='Bonding Program'!$C$8),N('Bonding Program'!$O$54),0)</f>
        <v>0</v>
      </c>
      <c r="BL195" s="19" t="n">
        <f aca="false">IF(AND('Bonding Program'!$S$54=1,'Bonding Program'!$H$54&gt;'Bonding Program'!$C$8,BL$3='Bonding Program'!$H$54),'Bonding Program'!$T$54-'Bonding Program'!$U$54-'Bonding Program'!$Z$54,0)-IF(AND('Bonding Program'!$S$54=1,'Bonding Program'!$H$54&lt;='Bonding Program'!$C$8,BL$3=IF('Bonding Program'!$P$54&lt;&gt;"",'Bonding Program'!$P$54,'Bonding Program'!$C$8)),'Bonding Program'!$Z$54,0)+IF(AND('Bonding Program'!$P$54&lt;&gt;"",BL$3='Bonding Program'!$P$54,BL$3&lt;='Bonding Program'!$C$8),N('Bonding Program'!$O$54),0)</f>
        <v>0</v>
      </c>
      <c r="BM195" s="19" t="n">
        <f aca="false">IF(AND('Bonding Program'!$S$54=1,'Bonding Program'!$H$54&gt;'Bonding Program'!$C$8,BM$3='Bonding Program'!$H$54),'Bonding Program'!$T$54-'Bonding Program'!$U$54-'Bonding Program'!$Z$54,0)-IF(AND('Bonding Program'!$S$54=1,'Bonding Program'!$H$54&lt;='Bonding Program'!$C$8,BM$3=IF('Bonding Program'!$P$54&lt;&gt;"",'Bonding Program'!$P$54,'Bonding Program'!$C$8)),'Bonding Program'!$Z$54,0)+IF(AND('Bonding Program'!$P$54&lt;&gt;"",BM$3='Bonding Program'!$P$54,BM$3&lt;='Bonding Program'!$C$8),N('Bonding Program'!$O$54),0)</f>
        <v>0</v>
      </c>
      <c r="BN195" s="19" t="n">
        <f aca="false">IF(AND('Bonding Program'!$S$54=1,'Bonding Program'!$H$54&gt;'Bonding Program'!$C$8,BN$3='Bonding Program'!$H$54),'Bonding Program'!$T$54-'Bonding Program'!$U$54-'Bonding Program'!$Z$54,0)-IF(AND('Bonding Program'!$S$54=1,'Bonding Program'!$H$54&lt;='Bonding Program'!$C$8,BN$3=IF('Bonding Program'!$P$54&lt;&gt;"",'Bonding Program'!$P$54,'Bonding Program'!$C$8)),'Bonding Program'!$Z$54,0)+IF(AND('Bonding Program'!$P$54&lt;&gt;"",BN$3='Bonding Program'!$P$54,BN$3&lt;='Bonding Program'!$C$8),N('Bonding Program'!$O$54),0)</f>
        <v>0</v>
      </c>
      <c r="BO195" s="19" t="n">
        <f aca="false">IF(AND('Bonding Program'!$S$54=1,'Bonding Program'!$H$54&gt;'Bonding Program'!$C$8,BO$3='Bonding Program'!$H$54),'Bonding Program'!$T$54-'Bonding Program'!$U$54-'Bonding Program'!$Z$54,0)-IF(AND('Bonding Program'!$S$54=1,'Bonding Program'!$H$54&lt;='Bonding Program'!$C$8,BO$3=IF('Bonding Program'!$P$54&lt;&gt;"",'Bonding Program'!$P$54,'Bonding Program'!$C$8)),'Bonding Program'!$Z$54,0)+IF(AND('Bonding Program'!$P$54&lt;&gt;"",BO$3='Bonding Program'!$P$54,BO$3&lt;='Bonding Program'!$C$8),N('Bonding Program'!$O$54),0)</f>
        <v>0</v>
      </c>
      <c r="BP195" s="19" t="n">
        <f aca="false">IF(AND('Bonding Program'!$S$54=1,'Bonding Program'!$H$54&gt;'Bonding Program'!$C$8,BP$3='Bonding Program'!$H$54),'Bonding Program'!$T$54-'Bonding Program'!$U$54-'Bonding Program'!$Z$54,0)-IF(AND('Bonding Program'!$S$54=1,'Bonding Program'!$H$54&lt;='Bonding Program'!$C$8,BP$3=IF('Bonding Program'!$P$54&lt;&gt;"",'Bonding Program'!$P$54,'Bonding Program'!$C$8)),'Bonding Program'!$Z$54,0)+IF(AND('Bonding Program'!$P$54&lt;&gt;"",BP$3='Bonding Program'!$P$54,BP$3&lt;='Bonding Program'!$C$8),N('Bonding Program'!$O$54),0)</f>
        <v>0</v>
      </c>
      <c r="BQ195" s="19" t="n">
        <f aca="false">IF(AND('Bonding Program'!$S$54=1,'Bonding Program'!$H$54&gt;'Bonding Program'!$C$8,BQ$3='Bonding Program'!$H$54),'Bonding Program'!$T$54-'Bonding Program'!$U$54-'Bonding Program'!$Z$54,0)-IF(AND('Bonding Program'!$S$54=1,'Bonding Program'!$H$54&lt;='Bonding Program'!$C$8,BQ$3=IF('Bonding Program'!$P$54&lt;&gt;"",'Bonding Program'!$P$54,'Bonding Program'!$C$8)),'Bonding Program'!$Z$54,0)+IF(AND('Bonding Program'!$P$54&lt;&gt;"",BQ$3='Bonding Program'!$P$54,BQ$3&lt;='Bonding Program'!$C$8),N('Bonding Program'!$O$54),0)</f>
        <v>0</v>
      </c>
      <c r="BR195" s="19" t="n">
        <f aca="false">IF(AND('Bonding Program'!$S$54=1,'Bonding Program'!$H$54&gt;'Bonding Program'!$C$8,BR$3='Bonding Program'!$H$54),'Bonding Program'!$T$54-'Bonding Program'!$U$54-'Bonding Program'!$Z$54,0)-IF(AND('Bonding Program'!$S$54=1,'Bonding Program'!$H$54&lt;='Bonding Program'!$C$8,BR$3=IF('Bonding Program'!$P$54&lt;&gt;"",'Bonding Program'!$P$54,'Bonding Program'!$C$8)),'Bonding Program'!$Z$54,0)+IF(AND('Bonding Program'!$P$54&lt;&gt;"",BR$3='Bonding Program'!$P$54,BR$3&lt;='Bonding Program'!$C$8),N('Bonding Program'!$O$54),0)</f>
        <v>0</v>
      </c>
      <c r="BS195" s="19" t="n">
        <f aca="false">IF(AND('Bonding Program'!$S$54=1,'Bonding Program'!$H$54&gt;'Bonding Program'!$C$8,BS$3='Bonding Program'!$H$54),'Bonding Program'!$T$54-'Bonding Program'!$U$54-'Bonding Program'!$Z$54,0)-IF(AND('Bonding Program'!$S$54=1,'Bonding Program'!$H$54&lt;='Bonding Program'!$C$8,BS$3=IF('Bonding Program'!$P$54&lt;&gt;"",'Bonding Program'!$P$54,'Bonding Program'!$C$8)),'Bonding Program'!$Z$54,0)+IF(AND('Bonding Program'!$P$54&lt;&gt;"",BS$3='Bonding Program'!$P$54,BS$3&lt;='Bonding Program'!$C$8),N('Bonding Program'!$O$54),0)</f>
        <v>0</v>
      </c>
      <c r="BT195" s="19" t="n">
        <f aca="false">IF(AND('Bonding Program'!$S$54=1,'Bonding Program'!$H$54&gt;'Bonding Program'!$C$8,BT$3='Bonding Program'!$H$54),'Bonding Program'!$T$54-'Bonding Program'!$U$54-'Bonding Program'!$Z$54,0)-IF(AND('Bonding Program'!$S$54=1,'Bonding Program'!$H$54&lt;='Bonding Program'!$C$8,BT$3=IF('Bonding Program'!$P$54&lt;&gt;"",'Bonding Program'!$P$54,'Bonding Program'!$C$8)),'Bonding Program'!$Z$54,0)+IF(AND('Bonding Program'!$P$54&lt;&gt;"",BT$3='Bonding Program'!$P$54,BT$3&lt;='Bonding Program'!$C$8),N('Bonding Program'!$O$54),0)</f>
        <v>0</v>
      </c>
      <c r="BU195" s="19" t="n">
        <f aca="false">IF(AND('Bonding Program'!$S$54=1,'Bonding Program'!$H$54&gt;'Bonding Program'!$C$8,BU$3='Bonding Program'!$H$54),'Bonding Program'!$T$54-'Bonding Program'!$U$54-'Bonding Program'!$Z$54,0)-IF(AND('Bonding Program'!$S$54=1,'Bonding Program'!$H$54&lt;='Bonding Program'!$C$8,BU$3=IF('Bonding Program'!$P$54&lt;&gt;"",'Bonding Program'!$P$54,'Bonding Program'!$C$8)),'Bonding Program'!$Z$54,0)+IF(AND('Bonding Program'!$P$54&lt;&gt;"",BU$3='Bonding Program'!$P$54,BU$3&lt;='Bonding Program'!$C$8),N('Bonding Program'!$O$54),0)</f>
        <v>0</v>
      </c>
      <c r="BV195" s="19" t="n">
        <f aca="false">IF(AND('Bonding Program'!$S$54=1,'Bonding Program'!$H$54&gt;'Bonding Program'!$C$8,BV$3='Bonding Program'!$H$54),'Bonding Program'!$T$54-'Bonding Program'!$U$54-'Bonding Program'!$Z$54,0)-IF(AND('Bonding Program'!$S$54=1,'Bonding Program'!$H$54&lt;='Bonding Program'!$C$8,BV$3=IF('Bonding Program'!$P$54&lt;&gt;"",'Bonding Program'!$P$54,'Bonding Program'!$C$8)),'Bonding Program'!$Z$54,0)+IF(AND('Bonding Program'!$P$54&lt;&gt;"",BV$3='Bonding Program'!$P$54,BV$3&lt;='Bonding Program'!$C$8),N('Bonding Program'!$O$54),0)</f>
        <v>0</v>
      </c>
      <c r="BW195" s="19" t="n">
        <f aca="false">IF(AND('Bonding Program'!$S$54=1,'Bonding Program'!$H$54&gt;'Bonding Program'!$C$8,BW$3='Bonding Program'!$H$54),'Bonding Program'!$T$54-'Bonding Program'!$U$54-'Bonding Program'!$Z$54,0)-IF(AND('Bonding Program'!$S$54=1,'Bonding Program'!$H$54&lt;='Bonding Program'!$C$8,BW$3=IF('Bonding Program'!$P$54&lt;&gt;"",'Bonding Program'!$P$54,'Bonding Program'!$C$8)),'Bonding Program'!$Z$54,0)+IF(AND('Bonding Program'!$P$54&lt;&gt;"",BW$3='Bonding Program'!$P$54,BW$3&lt;='Bonding Program'!$C$8),N('Bonding Program'!$O$54),0)</f>
        <v>0</v>
      </c>
      <c r="BX195" s="19" t="n">
        <f aca="false">IF(AND('Bonding Program'!$S$54=1,'Bonding Program'!$H$54&gt;'Bonding Program'!$C$8,BX$3='Bonding Program'!$H$54),'Bonding Program'!$T$54-'Bonding Program'!$U$54-'Bonding Program'!$Z$54,0)-IF(AND('Bonding Program'!$S$54=1,'Bonding Program'!$H$54&lt;='Bonding Program'!$C$8,BX$3=IF('Bonding Program'!$P$54&lt;&gt;"",'Bonding Program'!$P$54,'Bonding Program'!$C$8)),'Bonding Program'!$Z$54,0)+IF(AND('Bonding Program'!$P$54&lt;&gt;"",BX$3='Bonding Program'!$P$54,BX$3&lt;='Bonding Program'!$C$8),N('Bonding Program'!$O$54),0)</f>
        <v>0</v>
      </c>
      <c r="BY195" s="19" t="n">
        <f aca="false">IF(AND('Bonding Program'!$S$54=1,'Bonding Program'!$H$54&gt;'Bonding Program'!$C$8,BY$3='Bonding Program'!$H$54),'Bonding Program'!$T$54-'Bonding Program'!$U$54-'Bonding Program'!$Z$54,0)-IF(AND('Bonding Program'!$S$54=1,'Bonding Program'!$H$54&lt;='Bonding Program'!$C$8,BY$3=IF('Bonding Program'!$P$54&lt;&gt;"",'Bonding Program'!$P$54,'Bonding Program'!$C$8)),'Bonding Program'!$Z$54,0)+IF(AND('Bonding Program'!$P$54&lt;&gt;"",BY$3='Bonding Program'!$P$54,BY$3&lt;='Bonding Program'!$C$8),N('Bonding Program'!$O$54),0)</f>
        <v>0</v>
      </c>
      <c r="BZ195" s="19" t="n">
        <f aca="false">IF(AND('Bonding Program'!$S$54=1,'Bonding Program'!$H$54&gt;'Bonding Program'!$C$8,BZ$3='Bonding Program'!$H$54),'Bonding Program'!$T$54-'Bonding Program'!$U$54-'Bonding Program'!$Z$54,0)-IF(AND('Bonding Program'!$S$54=1,'Bonding Program'!$H$54&lt;='Bonding Program'!$C$8,BZ$3=IF('Bonding Program'!$P$54&lt;&gt;"",'Bonding Program'!$P$54,'Bonding Program'!$C$8)),'Bonding Program'!$Z$54,0)+IF(AND('Bonding Program'!$P$54&lt;&gt;"",BZ$3='Bonding Program'!$P$54,BZ$3&lt;='Bonding Program'!$C$8),N('Bonding Program'!$O$54),0)</f>
        <v>0</v>
      </c>
      <c r="CA195" s="19" t="n">
        <f aca="false">IF(AND('Bonding Program'!$S$54=1,'Bonding Program'!$H$54&gt;'Bonding Program'!$C$8,CA$3='Bonding Program'!$H$54),'Bonding Program'!$T$54-'Bonding Program'!$U$54-'Bonding Program'!$Z$54,0)-IF(AND('Bonding Program'!$S$54=1,'Bonding Program'!$H$54&lt;='Bonding Program'!$C$8,CA$3=IF('Bonding Program'!$P$54&lt;&gt;"",'Bonding Program'!$P$54,'Bonding Program'!$C$8)),'Bonding Program'!$Z$54,0)+IF(AND('Bonding Program'!$P$54&lt;&gt;"",CA$3='Bonding Program'!$P$54,CA$3&lt;='Bonding Program'!$C$8),N('Bonding Program'!$O$54),0)</f>
        <v>0</v>
      </c>
      <c r="CB195" s="19" t="n">
        <f aca="false">IF(AND('Bonding Program'!$S$54=1,'Bonding Program'!$H$54&gt;'Bonding Program'!$C$8,CB$3='Bonding Program'!$H$54),'Bonding Program'!$T$54-'Bonding Program'!$U$54-'Bonding Program'!$Z$54,0)-IF(AND('Bonding Program'!$S$54=1,'Bonding Program'!$H$54&lt;='Bonding Program'!$C$8,CB$3=IF('Bonding Program'!$P$54&lt;&gt;"",'Bonding Program'!$P$54,'Bonding Program'!$C$8)),'Bonding Program'!$Z$54,0)+IF(AND('Bonding Program'!$P$54&lt;&gt;"",CB$3='Bonding Program'!$P$54,CB$3&lt;='Bonding Program'!$C$8),N('Bonding Program'!$O$54),0)</f>
        <v>0</v>
      </c>
      <c r="CC195" s="19" t="n">
        <f aca="false">IF(AND('Bonding Program'!$S$54=1,'Bonding Program'!$H$54&gt;'Bonding Program'!$C$8,CC$3='Bonding Program'!$H$54),'Bonding Program'!$T$54-'Bonding Program'!$U$54-'Bonding Program'!$Z$54,0)-IF(AND('Bonding Program'!$S$54=1,'Bonding Program'!$H$54&lt;='Bonding Program'!$C$8,CC$3=IF('Bonding Program'!$P$54&lt;&gt;"",'Bonding Program'!$P$54,'Bonding Program'!$C$8)),'Bonding Program'!$Z$54,0)+IF(AND('Bonding Program'!$P$54&lt;&gt;"",CC$3='Bonding Program'!$P$54,CC$3&lt;='Bonding Program'!$C$8),N('Bonding Program'!$O$54),0)</f>
        <v>0</v>
      </c>
      <c r="CD195" s="19" t="n">
        <f aca="false">IF(AND('Bonding Program'!$S$54=1,'Bonding Program'!$H$54&gt;'Bonding Program'!$C$8,CD$3='Bonding Program'!$H$54),'Bonding Program'!$T$54-'Bonding Program'!$U$54-'Bonding Program'!$Z$54,0)-IF(AND('Bonding Program'!$S$54=1,'Bonding Program'!$H$54&lt;='Bonding Program'!$C$8,CD$3=IF('Bonding Program'!$P$54&lt;&gt;"",'Bonding Program'!$P$54,'Bonding Program'!$C$8)),'Bonding Program'!$Z$54,0)+IF(AND('Bonding Program'!$P$54&lt;&gt;"",CD$3='Bonding Program'!$P$54,CD$3&lt;='Bonding Program'!$C$8),N('Bonding Program'!$O$54),0)</f>
        <v>0</v>
      </c>
      <c r="CE195" s="19" t="n">
        <f aca="false">IF(AND('Bonding Program'!$S$54=1,'Bonding Program'!$H$54&gt;'Bonding Program'!$C$8,CE$3='Bonding Program'!$H$54),'Bonding Program'!$T$54-'Bonding Program'!$U$54-'Bonding Program'!$Z$54,0)-IF(AND('Bonding Program'!$S$54=1,'Bonding Program'!$H$54&lt;='Bonding Program'!$C$8,CE$3=IF('Bonding Program'!$P$54&lt;&gt;"",'Bonding Program'!$P$54,'Bonding Program'!$C$8)),'Bonding Program'!$Z$54,0)+IF(AND('Bonding Program'!$P$54&lt;&gt;"",CE$3='Bonding Program'!$P$54,CE$3&lt;='Bonding Program'!$C$8),N('Bonding Program'!$O$54),0)</f>
        <v>0</v>
      </c>
      <c r="CF195" s="19" t="n">
        <f aca="false">IF(AND('Bonding Program'!$S$54=1,'Bonding Program'!$H$54&gt;'Bonding Program'!$C$8,CF$3='Bonding Program'!$H$54),'Bonding Program'!$T$54-'Bonding Program'!$U$54-'Bonding Program'!$Z$54,0)-IF(AND('Bonding Program'!$S$54=1,'Bonding Program'!$H$54&lt;='Bonding Program'!$C$8,CF$3=IF('Bonding Program'!$P$54&lt;&gt;"",'Bonding Program'!$P$54,'Bonding Program'!$C$8)),'Bonding Program'!$Z$54,0)+IF(AND('Bonding Program'!$P$54&lt;&gt;"",CF$3='Bonding Program'!$P$54,CF$3&lt;='Bonding Program'!$C$8),N('Bonding Program'!$O$54),0)</f>
        <v>0</v>
      </c>
      <c r="CG195" s="19" t="n">
        <f aca="false">IF(AND('Bonding Program'!$S$54=1,'Bonding Program'!$H$54&gt;'Bonding Program'!$C$8,CG$3='Bonding Program'!$H$54),'Bonding Program'!$T$54-'Bonding Program'!$U$54-'Bonding Program'!$Z$54,0)-IF(AND('Bonding Program'!$S$54=1,'Bonding Program'!$H$54&lt;='Bonding Program'!$C$8,CG$3=IF('Bonding Program'!$P$54&lt;&gt;"",'Bonding Program'!$P$54,'Bonding Program'!$C$8)),'Bonding Program'!$Z$54,0)+IF(AND('Bonding Program'!$P$54&lt;&gt;"",CG$3='Bonding Program'!$P$54,CG$3&lt;='Bonding Program'!$C$8),N('Bonding Program'!$O$54),0)</f>
        <v>0</v>
      </c>
      <c r="CH195" s="19" t="n">
        <f aca="false">IF(AND('Bonding Program'!$S$54=1,'Bonding Program'!$H$54&gt;'Bonding Program'!$C$8,CH$3='Bonding Program'!$H$54),'Bonding Program'!$T$54-'Bonding Program'!$U$54-'Bonding Program'!$Z$54,0)-IF(AND('Bonding Program'!$S$54=1,'Bonding Program'!$H$54&lt;='Bonding Program'!$C$8,CH$3=IF('Bonding Program'!$P$54&lt;&gt;"",'Bonding Program'!$P$54,'Bonding Program'!$C$8)),'Bonding Program'!$Z$54,0)+IF(AND('Bonding Program'!$P$54&lt;&gt;"",CH$3='Bonding Program'!$P$54,CH$3&lt;='Bonding Program'!$C$8),N('Bonding Program'!$O$54),0)</f>
        <v>0</v>
      </c>
      <c r="CI195" s="19" t="n">
        <f aca="false">IF(AND('Bonding Program'!$S$54=1,'Bonding Program'!$H$54&gt;'Bonding Program'!$C$8,CI$3='Bonding Program'!$H$54),'Bonding Program'!$T$54-'Bonding Program'!$U$54-'Bonding Program'!$Z$54,0)-IF(AND('Bonding Program'!$S$54=1,'Bonding Program'!$H$54&lt;='Bonding Program'!$C$8,CI$3=IF('Bonding Program'!$P$54&lt;&gt;"",'Bonding Program'!$P$54,'Bonding Program'!$C$8)),'Bonding Program'!$Z$54,0)+IF(AND('Bonding Program'!$P$54&lt;&gt;"",CI$3='Bonding Program'!$P$54,CI$3&lt;='Bonding Program'!$C$8),N('Bonding Program'!$O$54),0)</f>
        <v>0</v>
      </c>
      <c r="CJ195" s="19" t="n">
        <f aca="false">IF(AND('Bonding Program'!$S$54=1,'Bonding Program'!$H$54&gt;'Bonding Program'!$C$8,CJ$3='Bonding Program'!$H$54),'Bonding Program'!$T$54-'Bonding Program'!$U$54-'Bonding Program'!$Z$54,0)-IF(AND('Bonding Program'!$S$54=1,'Bonding Program'!$H$54&lt;='Bonding Program'!$C$8,CJ$3=IF('Bonding Program'!$P$54&lt;&gt;"",'Bonding Program'!$P$54,'Bonding Program'!$C$8)),'Bonding Program'!$Z$54,0)+IF(AND('Bonding Program'!$P$54&lt;&gt;"",CJ$3='Bonding Program'!$P$54,CJ$3&lt;='Bonding Program'!$C$8),N('Bonding Program'!$O$54),0)</f>
        <v>0</v>
      </c>
      <c r="CK195" s="19" t="n">
        <f aca="false">IF(AND('Bonding Program'!$S$54=1,'Bonding Program'!$H$54&gt;'Bonding Program'!$C$8,CK$3='Bonding Program'!$H$54),'Bonding Program'!$T$54-'Bonding Program'!$U$54-'Bonding Program'!$Z$54,0)-IF(AND('Bonding Program'!$S$54=1,'Bonding Program'!$H$54&lt;='Bonding Program'!$C$8,CK$3=IF('Bonding Program'!$P$54&lt;&gt;"",'Bonding Program'!$P$54,'Bonding Program'!$C$8)),'Bonding Program'!$Z$54,0)+IF(AND('Bonding Program'!$P$54&lt;&gt;"",CK$3='Bonding Program'!$P$54,CK$3&lt;='Bonding Program'!$C$8),N('Bonding Program'!$O$54),0)</f>
        <v>0</v>
      </c>
      <c r="CL195" s="19" t="n">
        <f aca="false">IF(AND('Bonding Program'!$S$54=1,'Bonding Program'!$H$54&gt;'Bonding Program'!$C$8,CL$3='Bonding Program'!$H$54),'Bonding Program'!$T$54-'Bonding Program'!$U$54-'Bonding Program'!$Z$54,0)-IF(AND('Bonding Program'!$S$54=1,'Bonding Program'!$H$54&lt;='Bonding Program'!$C$8,CL$3=IF('Bonding Program'!$P$54&lt;&gt;"",'Bonding Program'!$P$54,'Bonding Program'!$C$8)),'Bonding Program'!$Z$54,0)+IF(AND('Bonding Program'!$P$54&lt;&gt;"",CL$3='Bonding Program'!$P$54,CL$3&lt;='Bonding Program'!$C$8),N('Bonding Program'!$O$54),0)</f>
        <v>0</v>
      </c>
      <c r="CM195" s="19" t="n">
        <f aca="false">IF(AND('Bonding Program'!$S$54=1,'Bonding Program'!$H$54&gt;'Bonding Program'!$C$8,CM$3='Bonding Program'!$H$54),'Bonding Program'!$T$54-'Bonding Program'!$U$54-'Bonding Program'!$Z$54,0)-IF(AND('Bonding Program'!$S$54=1,'Bonding Program'!$H$54&lt;='Bonding Program'!$C$8,CM$3=IF('Bonding Program'!$P$54&lt;&gt;"",'Bonding Program'!$P$54,'Bonding Program'!$C$8)),'Bonding Program'!$Z$54,0)+IF(AND('Bonding Program'!$P$54&lt;&gt;"",CM$3='Bonding Program'!$P$54,CM$3&lt;='Bonding Program'!$C$8),N('Bonding Program'!$O$54),0)</f>
        <v>0</v>
      </c>
      <c r="CN195" s="19" t="n">
        <f aca="false">IF(AND('Bonding Program'!$S$54=1,'Bonding Program'!$H$54&gt;'Bonding Program'!$C$8,CN$3='Bonding Program'!$H$54),'Bonding Program'!$T$54-'Bonding Program'!$U$54-'Bonding Program'!$Z$54,0)-IF(AND('Bonding Program'!$S$54=1,'Bonding Program'!$H$54&lt;='Bonding Program'!$C$8,CN$3=IF('Bonding Program'!$P$54&lt;&gt;"",'Bonding Program'!$P$54,'Bonding Program'!$C$8)),'Bonding Program'!$Z$54,0)+IF(AND('Bonding Program'!$P$54&lt;&gt;"",CN$3='Bonding Program'!$P$54,CN$3&lt;='Bonding Program'!$C$8),N('Bonding Program'!$O$54),0)</f>
        <v>0</v>
      </c>
      <c r="CO195" s="19" t="n">
        <f aca="false">IF(AND('Bonding Program'!$S$54=1,'Bonding Program'!$H$54&gt;'Bonding Program'!$C$8,CO$3='Bonding Program'!$H$54),'Bonding Program'!$T$54-'Bonding Program'!$U$54-'Bonding Program'!$Z$54,0)-IF(AND('Bonding Program'!$S$54=1,'Bonding Program'!$H$54&lt;='Bonding Program'!$C$8,CO$3=IF('Bonding Program'!$P$54&lt;&gt;"",'Bonding Program'!$P$54,'Bonding Program'!$C$8)),'Bonding Program'!$Z$54,0)+IF(AND('Bonding Program'!$P$54&lt;&gt;"",CO$3='Bonding Program'!$P$54,CO$3&lt;='Bonding Program'!$C$8),N('Bonding Program'!$O$54),0)</f>
        <v>0</v>
      </c>
      <c r="CP195" s="19" t="n">
        <f aca="false">IF(AND('Bonding Program'!$S$54=1,'Bonding Program'!$H$54&gt;'Bonding Program'!$C$8,CP$3='Bonding Program'!$H$54),'Bonding Program'!$T$54-'Bonding Program'!$U$54-'Bonding Program'!$Z$54,0)-IF(AND('Bonding Program'!$S$54=1,'Bonding Program'!$H$54&lt;='Bonding Program'!$C$8,CP$3=IF('Bonding Program'!$P$54&lt;&gt;"",'Bonding Program'!$P$54,'Bonding Program'!$C$8)),'Bonding Program'!$Z$54,0)+IF(AND('Bonding Program'!$P$54&lt;&gt;"",CP$3='Bonding Program'!$P$54,CP$3&lt;='Bonding Program'!$C$8),N('Bonding Program'!$O$54),0)</f>
        <v>0</v>
      </c>
      <c r="CQ195" s="19" t="n">
        <f aca="false">IF(AND('Bonding Program'!$S$54=1,'Bonding Program'!$H$54&gt;'Bonding Program'!$C$8,CQ$3='Bonding Program'!$H$54),'Bonding Program'!$T$54-'Bonding Program'!$U$54-'Bonding Program'!$Z$54,0)-IF(AND('Bonding Program'!$S$54=1,'Bonding Program'!$H$54&lt;='Bonding Program'!$C$8,CQ$3=IF('Bonding Program'!$P$54&lt;&gt;"",'Bonding Program'!$P$54,'Bonding Program'!$C$8)),'Bonding Program'!$Z$54,0)+IF(AND('Bonding Program'!$P$54&lt;&gt;"",CQ$3='Bonding Program'!$P$54,CQ$3&lt;='Bonding Program'!$C$8),N('Bonding Program'!$O$54),0)</f>
        <v>0</v>
      </c>
      <c r="CR195" s="19" t="n">
        <f aca="false">IF(AND('Bonding Program'!$S$54=1,'Bonding Program'!$H$54&gt;'Bonding Program'!$C$8,CR$3='Bonding Program'!$H$54),'Bonding Program'!$T$54-'Bonding Program'!$U$54-'Bonding Program'!$Z$54,0)-IF(AND('Bonding Program'!$S$54=1,'Bonding Program'!$H$54&lt;='Bonding Program'!$C$8,CR$3=IF('Bonding Program'!$P$54&lt;&gt;"",'Bonding Program'!$P$54,'Bonding Program'!$C$8)),'Bonding Program'!$Z$54,0)+IF(AND('Bonding Program'!$P$54&lt;&gt;"",CR$3='Bonding Program'!$P$54,CR$3&lt;='Bonding Program'!$C$8),N('Bonding Program'!$O$54),0)</f>
        <v>0</v>
      </c>
      <c r="CS195" s="19" t="n">
        <f aca="false">IF(AND('Bonding Program'!$S$54=1,'Bonding Program'!$H$54&gt;'Bonding Program'!$C$8,CS$3='Bonding Program'!$H$54),'Bonding Program'!$T$54-'Bonding Program'!$U$54-'Bonding Program'!$Z$54,0)-IF(AND('Bonding Program'!$S$54=1,'Bonding Program'!$H$54&lt;='Bonding Program'!$C$8,CS$3=IF('Bonding Program'!$P$54&lt;&gt;"",'Bonding Program'!$P$54,'Bonding Program'!$C$8)),'Bonding Program'!$Z$54,0)+IF(AND('Bonding Program'!$P$54&lt;&gt;"",CS$3='Bonding Program'!$P$54,CS$3&lt;='Bonding Program'!$C$8),N('Bonding Program'!$O$54),0)</f>
        <v>0</v>
      </c>
      <c r="CT195" s="19" t="n">
        <f aca="false">IF(AND('Bonding Program'!$S$54=1,'Bonding Program'!$H$54&gt;'Bonding Program'!$C$8,CT$3='Bonding Program'!$H$54),'Bonding Program'!$T$54-'Bonding Program'!$U$54-'Bonding Program'!$Z$54,0)-IF(AND('Bonding Program'!$S$54=1,'Bonding Program'!$H$54&lt;='Bonding Program'!$C$8,CT$3=IF('Bonding Program'!$P$54&lt;&gt;"",'Bonding Program'!$P$54,'Bonding Program'!$C$8)),'Bonding Program'!$Z$54,0)+IF(AND('Bonding Program'!$P$54&lt;&gt;"",CT$3='Bonding Program'!$P$54,CT$3&lt;='Bonding Program'!$C$8),N('Bonding Program'!$O$54),0)</f>
        <v>0</v>
      </c>
      <c r="CU195" s="19" t="n">
        <f aca="false">IF(AND('Bonding Program'!$S$54=1,'Bonding Program'!$H$54&gt;'Bonding Program'!$C$8,CU$3='Bonding Program'!$H$54),'Bonding Program'!$T$54-'Bonding Program'!$U$54-'Bonding Program'!$Z$54,0)-IF(AND('Bonding Program'!$S$54=1,'Bonding Program'!$H$54&lt;='Bonding Program'!$C$8,CU$3=IF('Bonding Program'!$P$54&lt;&gt;"",'Bonding Program'!$P$54,'Bonding Program'!$C$8)),'Bonding Program'!$Z$54,0)+IF(AND('Bonding Program'!$P$54&lt;&gt;"",CU$3='Bonding Program'!$P$54,CU$3&lt;='Bonding Program'!$C$8),N('Bonding Program'!$O$54),0)</f>
        <v>0</v>
      </c>
      <c r="CV195" s="19" t="n">
        <f aca="false">IF(AND('Bonding Program'!$S$54=1,'Bonding Program'!$H$54&gt;'Bonding Program'!$C$8,CV$3='Bonding Program'!$H$54),'Bonding Program'!$T$54-'Bonding Program'!$U$54-'Bonding Program'!$Z$54,0)-IF(AND('Bonding Program'!$S$54=1,'Bonding Program'!$H$54&lt;='Bonding Program'!$C$8,CV$3=IF('Bonding Program'!$P$54&lt;&gt;"",'Bonding Program'!$P$54,'Bonding Program'!$C$8)),'Bonding Program'!$Z$54,0)+IF(AND('Bonding Program'!$P$54&lt;&gt;"",CV$3='Bonding Program'!$P$54,CV$3&lt;='Bonding Program'!$C$8),N('Bonding Program'!$O$54),0)</f>
        <v>0</v>
      </c>
      <c r="CW195" s="19" t="n">
        <f aca="false">IF(AND('Bonding Program'!$S$54=1,'Bonding Program'!$H$54&gt;'Bonding Program'!$C$8,CW$3='Bonding Program'!$H$54),'Bonding Program'!$T$54-'Bonding Program'!$U$54-'Bonding Program'!$Z$54,0)-IF(AND('Bonding Program'!$S$54=1,'Bonding Program'!$H$54&lt;='Bonding Program'!$C$8,CW$3=IF('Bonding Program'!$P$54&lt;&gt;"",'Bonding Program'!$P$54,'Bonding Program'!$C$8)),'Bonding Program'!$Z$54,0)+IF(AND('Bonding Program'!$P$54&lt;&gt;"",CW$3='Bonding Program'!$P$54,CW$3&lt;='Bonding Program'!$C$8),N('Bonding Program'!$O$54),0)</f>
        <v>0</v>
      </c>
      <c r="CX195" s="19" t="n">
        <f aca="false">IF(AND('Bonding Program'!$S$54=1,'Bonding Program'!$H$54&gt;'Bonding Program'!$C$8,CX$3='Bonding Program'!$H$54),'Bonding Program'!$T$54-'Bonding Program'!$U$54-'Bonding Program'!$Z$54,0)-IF(AND('Bonding Program'!$S$54=1,'Bonding Program'!$H$54&lt;='Bonding Program'!$C$8,CX$3=IF('Bonding Program'!$P$54&lt;&gt;"",'Bonding Program'!$P$54,'Bonding Program'!$C$8)),'Bonding Program'!$Z$54,0)+IF(AND('Bonding Program'!$P$54&lt;&gt;"",CX$3='Bonding Program'!$P$54,CX$3&lt;='Bonding Program'!$C$8),N('Bonding Program'!$O$54),0)</f>
        <v>0</v>
      </c>
      <c r="CY195" s="19" t="n">
        <f aca="false">IF(AND('Bonding Program'!$S$54=1,'Bonding Program'!$H$54&gt;'Bonding Program'!$C$8,CY$3='Bonding Program'!$H$54),'Bonding Program'!$T$54-'Bonding Program'!$U$54-'Bonding Program'!$Z$54,0)-IF(AND('Bonding Program'!$S$54=1,'Bonding Program'!$H$54&lt;='Bonding Program'!$C$8,CY$3=IF('Bonding Program'!$P$54&lt;&gt;"",'Bonding Program'!$P$54,'Bonding Program'!$C$8)),'Bonding Program'!$Z$54,0)+IF(AND('Bonding Program'!$P$54&lt;&gt;"",CY$3='Bonding Program'!$P$54,CY$3&lt;='Bonding Program'!$C$8),N('Bonding Program'!$O$54),0)</f>
        <v>0</v>
      </c>
      <c r="CZ195" s="19" t="n">
        <f aca="false">IF(AND('Bonding Program'!$S$54=1,'Bonding Program'!$H$54&gt;'Bonding Program'!$C$8,CZ$3='Bonding Program'!$H$54),'Bonding Program'!$T$54-'Bonding Program'!$U$54-'Bonding Program'!$Z$54,0)-IF(AND('Bonding Program'!$S$54=1,'Bonding Program'!$H$54&lt;='Bonding Program'!$C$8,CZ$3=IF('Bonding Program'!$P$54&lt;&gt;"",'Bonding Program'!$P$54,'Bonding Program'!$C$8)),'Bonding Program'!$Z$54,0)+IF(AND('Bonding Program'!$P$54&lt;&gt;"",CZ$3='Bonding Program'!$P$54,CZ$3&lt;='Bonding Program'!$C$8),N('Bonding Program'!$O$54),0)</f>
        <v>0</v>
      </c>
      <c r="DA195" s="19" t="n">
        <f aca="false">IF(AND('Bonding Program'!$S$54=1,'Bonding Program'!$H$54&gt;'Bonding Program'!$C$8,DA$3='Bonding Program'!$H$54),'Bonding Program'!$T$54-'Bonding Program'!$U$54-'Bonding Program'!$Z$54,0)-IF(AND('Bonding Program'!$S$54=1,'Bonding Program'!$H$54&lt;='Bonding Program'!$C$8,DA$3=IF('Bonding Program'!$P$54&lt;&gt;"",'Bonding Program'!$P$54,'Bonding Program'!$C$8)),'Bonding Program'!$Z$54,0)+IF(AND('Bonding Program'!$P$54&lt;&gt;"",DA$3='Bonding Program'!$P$54,DA$3&lt;='Bonding Program'!$C$8),N('Bonding Program'!$O$54),0)</f>
        <v>0</v>
      </c>
      <c r="DB195" s="19" t="n">
        <f aca="false">IF(AND('Bonding Program'!$S$54=1,'Bonding Program'!$H$54&gt;'Bonding Program'!$C$8,DB$3='Bonding Program'!$H$54),'Bonding Program'!$T$54-'Bonding Program'!$U$54-'Bonding Program'!$Z$54,0)-IF(AND('Bonding Program'!$S$54=1,'Bonding Program'!$H$54&lt;='Bonding Program'!$C$8,DB$3=IF('Bonding Program'!$P$54&lt;&gt;"",'Bonding Program'!$P$54,'Bonding Program'!$C$8)),'Bonding Program'!$Z$54,0)+IF(AND('Bonding Program'!$P$54&lt;&gt;"",DB$3='Bonding Program'!$P$54,DB$3&lt;='Bonding Program'!$C$8),N('Bonding Program'!$O$54),0)</f>
        <v>0</v>
      </c>
      <c r="DC195" s="19" t="n">
        <f aca="false">IF(AND('Bonding Program'!$S$54=1,'Bonding Program'!$H$54&gt;'Bonding Program'!$C$8,DC$3='Bonding Program'!$H$54),'Bonding Program'!$T$54-'Bonding Program'!$U$54-'Bonding Program'!$Z$54,0)-IF(AND('Bonding Program'!$S$54=1,'Bonding Program'!$H$54&lt;='Bonding Program'!$C$8,DC$3=IF('Bonding Program'!$P$54&lt;&gt;"",'Bonding Program'!$P$54,'Bonding Program'!$C$8)),'Bonding Program'!$Z$54,0)+IF(AND('Bonding Program'!$P$54&lt;&gt;"",DC$3='Bonding Program'!$P$54,DC$3&lt;='Bonding Program'!$C$8),N('Bonding Program'!$O$54),0)</f>
        <v>0</v>
      </c>
      <c r="DD195" s="19" t="n">
        <f aca="false">IF(AND('Bonding Program'!$S$54=1,'Bonding Program'!$H$54&gt;'Bonding Program'!$C$8,DD$3='Bonding Program'!$H$54),'Bonding Program'!$T$54-'Bonding Program'!$U$54-'Bonding Program'!$Z$54,0)-IF(AND('Bonding Program'!$S$54=1,'Bonding Program'!$H$54&lt;='Bonding Program'!$C$8,DD$3=IF('Bonding Program'!$P$54&lt;&gt;"",'Bonding Program'!$P$54,'Bonding Program'!$C$8)),'Bonding Program'!$Z$54,0)+IF(AND('Bonding Program'!$P$54&lt;&gt;"",DD$3='Bonding Program'!$P$54,DD$3&lt;='Bonding Program'!$C$8),N('Bonding Program'!$O$54),0)</f>
        <v>0</v>
      </c>
      <c r="DE195" s="19" t="n">
        <f aca="false">IF(AND('Bonding Program'!$S$54=1,'Bonding Program'!$H$54&gt;'Bonding Program'!$C$8,DE$3='Bonding Program'!$H$54),'Bonding Program'!$T$54-'Bonding Program'!$U$54-'Bonding Program'!$Z$54,0)-IF(AND('Bonding Program'!$S$54=1,'Bonding Program'!$H$54&lt;='Bonding Program'!$C$8,DE$3=IF('Bonding Program'!$P$54&lt;&gt;"",'Bonding Program'!$P$54,'Bonding Program'!$C$8)),'Bonding Program'!$Z$54,0)+IF(AND('Bonding Program'!$P$54&lt;&gt;"",DE$3='Bonding Program'!$P$54,DE$3&lt;='Bonding Program'!$C$8),N('Bonding Program'!$O$54),0)</f>
        <v>0</v>
      </c>
    </row>
    <row r="196" customFormat="false" ht="15" hidden="false" customHeight="true" outlineLevel="0" collapsed="false">
      <c r="A196" s="29" t="s">
        <v>58</v>
      </c>
      <c r="B196" s="30" t="n">
        <f aca="false">SUM(B152:B195)</f>
        <v>0</v>
      </c>
      <c r="C196" s="30" t="n">
        <f aca="false">SUM(C152:C195)</f>
        <v>0</v>
      </c>
      <c r="D196" s="30" t="n">
        <f aca="false">SUM(D152:D195)</f>
        <v>0</v>
      </c>
      <c r="E196" s="30" t="n">
        <f aca="false">SUM(E152:E195)</f>
        <v>0</v>
      </c>
      <c r="F196" s="30" t="n">
        <f aca="false">SUM(F152:F195)</f>
        <v>0</v>
      </c>
      <c r="G196" s="30" t="n">
        <f aca="false">SUM(G152:G195)</f>
        <v>0</v>
      </c>
      <c r="H196" s="30" t="n">
        <f aca="false">SUM(H152:H195)</f>
        <v>0</v>
      </c>
      <c r="I196" s="30" t="n">
        <f aca="false">SUM(I152:I195)</f>
        <v>-692876.895125</v>
      </c>
      <c r="J196" s="30" t="n">
        <f aca="false">SUM(J152:J195)</f>
        <v>0</v>
      </c>
      <c r="K196" s="30" t="n">
        <f aca="false">SUM(K152:K195)</f>
        <v>0</v>
      </c>
      <c r="L196" s="30" t="n">
        <f aca="false">SUM(L152:L195)</f>
        <v>0</v>
      </c>
      <c r="M196" s="30" t="n">
        <f aca="false">SUM(M152:M195)</f>
        <v>-376823.150184729</v>
      </c>
      <c r="N196" s="30" t="n">
        <f aca="false">SUM(N152:N195)</f>
        <v>0</v>
      </c>
      <c r="O196" s="30" t="n">
        <f aca="false">SUM(O152:O195)</f>
        <v>0</v>
      </c>
      <c r="P196" s="30" t="n">
        <f aca="false">SUM(P152:P195)</f>
        <v>0</v>
      </c>
      <c r="Q196" s="30" t="n">
        <f aca="false">SUM(Q152:Q195)</f>
        <v>-802202.980665025</v>
      </c>
      <c r="R196" s="30" t="n">
        <f aca="false">SUM(R152:R195)</f>
        <v>-271425.438238916</v>
      </c>
      <c r="S196" s="30" t="n">
        <f aca="false">SUM(S152:S195)</f>
        <v>-200563.017426108</v>
      </c>
      <c r="T196" s="30" t="n">
        <f aca="false">SUM(T152:T195)</f>
        <v>-326836.756046798</v>
      </c>
      <c r="U196" s="30" t="n">
        <f aca="false">SUM(U152:U195)</f>
        <v>0</v>
      </c>
      <c r="V196" s="30" t="n">
        <f aca="false">SUM(V152:V195)</f>
        <v>0</v>
      </c>
      <c r="W196" s="30" t="n">
        <f aca="false">SUM(W152:W195)</f>
        <v>0</v>
      </c>
      <c r="X196" s="30" t="n">
        <f aca="false">SUM(X152:X195)</f>
        <v>0</v>
      </c>
      <c r="Y196" s="30" t="n">
        <f aca="false">SUM(Y152:Y195)</f>
        <v>0</v>
      </c>
      <c r="Z196" s="30" t="n">
        <f aca="false">SUM(Z152:Z195)</f>
        <v>0</v>
      </c>
      <c r="AA196" s="30" t="n">
        <f aca="false">SUM(AA152:AA195)</f>
        <v>0</v>
      </c>
      <c r="AB196" s="30" t="n">
        <f aca="false">SUM(AB152:AB195)</f>
        <v>0</v>
      </c>
      <c r="AC196" s="30" t="n">
        <f aca="false">SUM(AC152:AC195)</f>
        <v>0</v>
      </c>
      <c r="AD196" s="30" t="n">
        <f aca="false">SUM(AD152:AD195)</f>
        <v>0</v>
      </c>
      <c r="AE196" s="30" t="n">
        <f aca="false">SUM(AE152:AE195)</f>
        <v>-732873.342955665</v>
      </c>
      <c r="AF196" s="30" t="n">
        <f aca="false">SUM(AF152:AF195)</f>
        <v>0</v>
      </c>
      <c r="AG196" s="30" t="n">
        <f aca="false">SUM(AG152:AG195)</f>
        <v>0</v>
      </c>
      <c r="AH196" s="30" t="n">
        <f aca="false">SUM(AH152:AH195)</f>
        <v>0</v>
      </c>
      <c r="AI196" s="30" t="n">
        <f aca="false">SUM(AI152:AI195)</f>
        <v>0</v>
      </c>
      <c r="AJ196" s="30" t="n">
        <f aca="false">SUM(AJ152:AJ195)</f>
        <v>-265825.123152709</v>
      </c>
      <c r="AK196" s="30" t="n">
        <f aca="false">SUM(AK152:AK195)</f>
        <v>0</v>
      </c>
      <c r="AL196" s="30" t="n">
        <f aca="false">SUM(AL152:AL195)</f>
        <v>0</v>
      </c>
      <c r="AM196" s="30" t="n">
        <f aca="false">SUM(AM152:AM195)</f>
        <v>0</v>
      </c>
      <c r="AN196" s="30" t="n">
        <f aca="false">SUM(AN152:AN195)</f>
        <v>0</v>
      </c>
      <c r="AO196" s="30" t="n">
        <f aca="false">SUM(AO152:AO195)</f>
        <v>0</v>
      </c>
      <c r="AP196" s="30" t="n">
        <f aca="false">SUM(AP152:AP195)</f>
        <v>-318990.147783251</v>
      </c>
      <c r="AQ196" s="30" t="n">
        <f aca="false">SUM(AQ152:AQ195)</f>
        <v>0</v>
      </c>
      <c r="AR196" s="30" t="n">
        <f aca="false">SUM(AR152:AR195)</f>
        <v>0</v>
      </c>
      <c r="AS196" s="30" t="n">
        <f aca="false">SUM(AS152:AS195)</f>
        <v>0</v>
      </c>
      <c r="AT196" s="30" t="n">
        <f aca="false">SUM(AT152:AT195)</f>
        <v>0</v>
      </c>
      <c r="AU196" s="30" t="n">
        <f aca="false">SUM(AU152:AU195)</f>
        <v>0</v>
      </c>
      <c r="AV196" s="30" t="n">
        <f aca="false">SUM(AV152:AV195)</f>
        <v>0</v>
      </c>
      <c r="AW196" s="30" t="n">
        <f aca="false">SUM(AW152:AW195)</f>
        <v>0</v>
      </c>
      <c r="AX196" s="30" t="n">
        <f aca="false">SUM(AX152:AX195)</f>
        <v>0</v>
      </c>
      <c r="AY196" s="30" t="n">
        <f aca="false">SUM(AY152:AY195)</f>
        <v>0</v>
      </c>
      <c r="AZ196" s="30" t="n">
        <f aca="false">SUM(AZ152:AZ195)</f>
        <v>0</v>
      </c>
      <c r="BA196" s="30" t="n">
        <f aca="false">SUM(BA152:BA195)</f>
        <v>0</v>
      </c>
      <c r="BB196" s="30" t="n">
        <f aca="false">SUM(BB152:BB195)</f>
        <v>-265825.123152709</v>
      </c>
      <c r="BC196" s="30" t="n">
        <f aca="false">SUM(BC152:BC195)</f>
        <v>0</v>
      </c>
      <c r="BD196" s="30" t="n">
        <f aca="false">SUM(BD152:BD195)</f>
        <v>0</v>
      </c>
      <c r="BE196" s="30" t="n">
        <f aca="false">SUM(BE152:BE195)</f>
        <v>0</v>
      </c>
      <c r="BF196" s="30" t="n">
        <f aca="false">SUM(BF152:BF195)</f>
        <v>0</v>
      </c>
      <c r="BG196" s="30" t="n">
        <f aca="false">SUM(BG152:BG195)</f>
        <v>0</v>
      </c>
      <c r="BH196" s="30" t="n">
        <f aca="false">SUM(BH152:BH195)</f>
        <v>-265825.123152709</v>
      </c>
      <c r="BI196" s="30" t="n">
        <f aca="false">SUM(BI152:BI195)</f>
        <v>0</v>
      </c>
      <c r="BJ196" s="30" t="n">
        <f aca="false">SUM(BJ152:BJ195)</f>
        <v>0</v>
      </c>
      <c r="BK196" s="30" t="n">
        <f aca="false">SUM(BK152:BK195)</f>
        <v>0</v>
      </c>
      <c r="BL196" s="30" t="n">
        <f aca="false">SUM(BL152:BL195)</f>
        <v>0</v>
      </c>
      <c r="BM196" s="30" t="n">
        <f aca="false">SUM(BM152:BM195)</f>
        <v>0</v>
      </c>
      <c r="BN196" s="30" t="n">
        <f aca="false">SUM(BN152:BN195)</f>
        <v>0</v>
      </c>
      <c r="BO196" s="30" t="n">
        <f aca="false">SUM(BO152:BO195)</f>
        <v>0</v>
      </c>
      <c r="BP196" s="30" t="n">
        <f aca="false">SUM(BP152:BP195)</f>
        <v>0</v>
      </c>
      <c r="BQ196" s="30" t="n">
        <f aca="false">SUM(BQ152:BQ195)</f>
        <v>0</v>
      </c>
      <c r="BR196" s="30" t="n">
        <f aca="false">SUM(BR152:BR195)</f>
        <v>0</v>
      </c>
      <c r="BS196" s="30" t="n">
        <f aca="false">SUM(BS152:BS195)</f>
        <v>0</v>
      </c>
      <c r="BT196" s="30" t="n">
        <f aca="false">SUM(BT152:BT195)</f>
        <v>0</v>
      </c>
      <c r="BU196" s="30" t="n">
        <f aca="false">SUM(BU152:BU195)</f>
        <v>0</v>
      </c>
      <c r="BV196" s="30" t="n">
        <f aca="false">SUM(BV152:BV195)</f>
        <v>0</v>
      </c>
      <c r="BW196" s="30" t="n">
        <f aca="false">SUM(BW152:BW195)</f>
        <v>0</v>
      </c>
      <c r="BX196" s="30" t="n">
        <f aca="false">SUM(BX152:BX195)</f>
        <v>0</v>
      </c>
      <c r="BY196" s="30" t="n">
        <f aca="false">SUM(BY152:BY195)</f>
        <v>0</v>
      </c>
      <c r="BZ196" s="30" t="n">
        <f aca="false">SUM(BZ152:BZ195)</f>
        <v>0</v>
      </c>
      <c r="CA196" s="30" t="n">
        <f aca="false">SUM(CA152:CA195)</f>
        <v>0</v>
      </c>
      <c r="CB196" s="30" t="n">
        <f aca="false">SUM(CB152:CB195)</f>
        <v>0</v>
      </c>
      <c r="CC196" s="30" t="n">
        <f aca="false">SUM(CC152:CC195)</f>
        <v>0</v>
      </c>
      <c r="CD196" s="30" t="n">
        <f aca="false">SUM(CD152:CD195)</f>
        <v>0</v>
      </c>
      <c r="CE196" s="30" t="n">
        <f aca="false">SUM(CE152:CE195)</f>
        <v>0</v>
      </c>
      <c r="CF196" s="30" t="n">
        <f aca="false">SUM(CF152:CF195)</f>
        <v>0</v>
      </c>
      <c r="CG196" s="30" t="n">
        <f aca="false">SUM(CG152:CG195)</f>
        <v>0</v>
      </c>
      <c r="CH196" s="30" t="n">
        <f aca="false">SUM(CH152:CH195)</f>
        <v>0</v>
      </c>
      <c r="CI196" s="30" t="n">
        <f aca="false">SUM(CI152:CI195)</f>
        <v>0</v>
      </c>
      <c r="CJ196" s="30" t="n">
        <f aca="false">SUM(CJ152:CJ195)</f>
        <v>0</v>
      </c>
      <c r="CK196" s="30" t="n">
        <f aca="false">SUM(CK152:CK195)</f>
        <v>0</v>
      </c>
      <c r="CL196" s="30" t="n">
        <f aca="false">SUM(CL152:CL195)</f>
        <v>0</v>
      </c>
      <c r="CM196" s="30" t="n">
        <f aca="false">SUM(CM152:CM195)</f>
        <v>0</v>
      </c>
      <c r="CN196" s="30" t="n">
        <f aca="false">SUM(CN152:CN195)</f>
        <v>0</v>
      </c>
      <c r="CO196" s="30" t="n">
        <f aca="false">SUM(CO152:CO195)</f>
        <v>0</v>
      </c>
      <c r="CP196" s="30" t="n">
        <f aca="false">SUM(CP152:CP195)</f>
        <v>0</v>
      </c>
      <c r="CQ196" s="30" t="n">
        <f aca="false">SUM(CQ152:CQ195)</f>
        <v>0</v>
      </c>
      <c r="CR196" s="30" t="n">
        <f aca="false">SUM(CR152:CR195)</f>
        <v>0</v>
      </c>
      <c r="CS196" s="30" t="n">
        <f aca="false">SUM(CS152:CS195)</f>
        <v>0</v>
      </c>
      <c r="CT196" s="30" t="n">
        <f aca="false">SUM(CT152:CT195)</f>
        <v>0</v>
      </c>
      <c r="CU196" s="30" t="n">
        <f aca="false">SUM(CU152:CU195)</f>
        <v>0</v>
      </c>
      <c r="CV196" s="30" t="n">
        <f aca="false">SUM(CV152:CV195)</f>
        <v>0</v>
      </c>
      <c r="CW196" s="30" t="n">
        <f aca="false">SUM(CW152:CW195)</f>
        <v>0</v>
      </c>
      <c r="CX196" s="30" t="n">
        <f aca="false">SUM(CX152:CX195)</f>
        <v>0</v>
      </c>
      <c r="CY196" s="30" t="n">
        <f aca="false">SUM(CY152:CY195)</f>
        <v>0</v>
      </c>
      <c r="CZ196" s="30" t="n">
        <f aca="false">SUM(CZ152:CZ195)</f>
        <v>0</v>
      </c>
      <c r="DA196" s="30" t="n">
        <f aca="false">SUM(DA152:DA195)</f>
        <v>0</v>
      </c>
      <c r="DB196" s="30" t="n">
        <f aca="false">SUM(DB152:DB195)</f>
        <v>0</v>
      </c>
      <c r="DC196" s="30" t="n">
        <f aca="false">SUM(DC152:DC195)</f>
        <v>0</v>
      </c>
      <c r="DD196" s="30" t="n">
        <f aca="false">SUM(DD152:DD195)</f>
        <v>0</v>
      </c>
      <c r="DE196" s="30" t="n">
        <f aca="false">SUM(DE152:DE195)</f>
        <v>0</v>
      </c>
    </row>
    <row r="197" customFormat="false" ht="15" hidden="false" customHeight="true" outlineLevel="0" collapsed="false">
      <c r="A197" s="22" t="s">
        <v>59</v>
      </c>
      <c r="B197" s="13" t="n">
        <f aca="false">IF(B$3&lt;6,0,-SUMPRODUCT(('Deal Terms'!$D$4:$D$47=1)*('Deal Terms'!$G$4:$G$47=B$3)*('Deal Terms'!$K$4:$K$47&gt;0),'Deal Terms'!$K$4:$K$47))</f>
        <v>0</v>
      </c>
      <c r="C197" s="13" t="n">
        <f aca="false">IF(C$3&lt;6,0,-SUMPRODUCT(('Deal Terms'!$D$4:$D$47=1)*('Deal Terms'!$G$4:$G$47=C$3)*('Deal Terms'!$K$4:$K$47&gt;0),'Deal Terms'!$K$4:$K$47))</f>
        <v>0</v>
      </c>
      <c r="D197" s="13" t="n">
        <f aca="false">IF(D$3&lt;6,0,-SUMPRODUCT(('Deal Terms'!$D$4:$D$47=1)*('Deal Terms'!$G$4:$G$47=D$3)*('Deal Terms'!$K$4:$K$47&gt;0),'Deal Terms'!$K$4:$K$47))</f>
        <v>0</v>
      </c>
      <c r="E197" s="13" t="n">
        <f aca="false">IF(E$3&lt;6,0,-SUMPRODUCT(('Deal Terms'!$D$4:$D$47=1)*('Deal Terms'!$G$4:$G$47=E$3)*('Deal Terms'!$K$4:$K$47&gt;0),'Deal Terms'!$K$4:$K$47))</f>
        <v>0</v>
      </c>
      <c r="F197" s="13" t="n">
        <f aca="false">IF(F$3&lt;6,0,-SUMPRODUCT(('Deal Terms'!$D$4:$D$47=1)*('Deal Terms'!$G$4:$G$47=F$3)*('Deal Terms'!$K$4:$K$47&gt;0),'Deal Terms'!$K$4:$K$47))</f>
        <v>0</v>
      </c>
      <c r="G197" s="13" t="n">
        <f aca="false">IF(G$3&lt;6,0,-SUMPRODUCT(('Deal Terms'!$D$4:$D$47=1)*('Deal Terms'!$G$4:$G$47=G$3)*('Deal Terms'!$K$4:$K$47&gt;0),'Deal Terms'!$K$4:$K$47))</f>
        <v>0</v>
      </c>
      <c r="H197" s="13" t="n">
        <f aca="false">IF(H$3&lt;6,0,-SUMPRODUCT(('Deal Terms'!$D$4:$D$47=1)*('Deal Terms'!$G$4:$G$47=H$3)*('Deal Terms'!$K$4:$K$47&gt;0),'Deal Terms'!$K$4:$K$47))</f>
        <v>0</v>
      </c>
      <c r="I197" s="13" t="n">
        <f aca="false">IF(I$3&lt;6,0,-SUMPRODUCT(('Deal Terms'!$D$4:$D$47=1)*('Deal Terms'!$G$4:$G$47=I$3)*('Deal Terms'!$K$4:$K$47&gt;0),'Deal Terms'!$K$4:$K$47))</f>
        <v>0</v>
      </c>
      <c r="J197" s="13" t="n">
        <f aca="false">IF(J$3&lt;6,0,-SUMPRODUCT(('Deal Terms'!$D$4:$D$47=1)*('Deal Terms'!$G$4:$G$47=J$3)*('Deal Terms'!$K$4:$K$47&gt;0),'Deal Terms'!$K$4:$K$47)-IF('Deal Terms'!$O$1=1,'Deal Terms'!J$104-'Deal Terms'!I$104,0))</f>
        <v>-225272.52</v>
      </c>
      <c r="K197" s="13" t="n">
        <f aca="false">IF(K$3&lt;6,0,-SUMPRODUCT(('Deal Terms'!$D$4:$D$47=1)*('Deal Terms'!$G$4:$G$47=K$3)*('Deal Terms'!$K$4:$K$47&gt;0),'Deal Terms'!$K$4:$K$47)-IF('Deal Terms'!$O$1=1,'Deal Terms'!K$104-'Deal Terms'!J$104,0))</f>
        <v>-23358.1900000001</v>
      </c>
      <c r="L197" s="13" t="n">
        <f aca="false">IF(L$3&lt;6,0,-SUMPRODUCT(('Deal Terms'!$D$4:$D$47=1)*('Deal Terms'!$G$4:$G$47=L$3)*('Deal Terms'!$K$4:$K$47&gt;0),'Deal Terms'!$K$4:$K$47)-IF('Deal Terms'!$O$1=1,'Deal Terms'!L$104-'Deal Terms'!K$104,0))</f>
        <v>-3105.12999999966</v>
      </c>
      <c r="M197" s="13" t="n">
        <f aca="false">IF(M$3&lt;6,0,-SUMPRODUCT(('Deal Terms'!$D$4:$D$47=1)*('Deal Terms'!$G$4:$G$47=M$3)*('Deal Terms'!$K$4:$K$47&gt;0),'Deal Terms'!$K$4:$K$47)-IF('Deal Terms'!$O$1=1,'Deal Terms'!M$104-'Deal Terms'!L$104,0))</f>
        <v>-882.790000000503</v>
      </c>
      <c r="N197" s="13" t="n">
        <f aca="false">IF(N$3&lt;6,0,-SUMPRODUCT(('Deal Terms'!$D$4:$D$47=1)*('Deal Terms'!$G$4:$G$47=N$3)*('Deal Terms'!$K$4:$K$47&gt;0),'Deal Terms'!$K$4:$K$47)-IF('Deal Terms'!$O$1=1,'Deal Terms'!N$104-'Deal Terms'!M$104,0))</f>
        <v>-8622.43999999901</v>
      </c>
      <c r="O197" s="13" t="n">
        <f aca="false">IF(O$3&lt;6,0,-SUMPRODUCT(('Deal Terms'!$D$4:$D$47=1)*('Deal Terms'!$G$4:$G$47=O$3)*('Deal Terms'!$K$4:$K$47&gt;0),'Deal Terms'!$K$4:$K$47)-IF('Deal Terms'!$O$1=1,'Deal Terms'!O$104-'Deal Terms'!N$104,0))</f>
        <v>-14325.7700000005</v>
      </c>
      <c r="P197" s="13" t="n">
        <f aca="false">IF(P$3&lt;6,0,-SUMPRODUCT(('Deal Terms'!$D$4:$D$47=1)*('Deal Terms'!$G$4:$G$47=P$3)*('Deal Terms'!$K$4:$K$47&gt;0),'Deal Terms'!$K$4:$K$47)-IF('Deal Terms'!$O$1=1,'Deal Terms'!P$104-'Deal Terms'!O$104,0))</f>
        <v>-7777.29999999981</v>
      </c>
      <c r="Q197" s="13" t="n">
        <f aca="false">IF(Q$3&lt;6,0,-SUMPRODUCT(('Deal Terms'!$D$4:$D$47=1)*('Deal Terms'!$G$4:$G$47=Q$3)*('Deal Terms'!$K$4:$K$47&gt;0),'Deal Terms'!$K$4:$K$47)-IF('Deal Terms'!$O$1=1,'Deal Terms'!Q$104-'Deal Terms'!P$104,0))</f>
        <v>-13441.7200000007</v>
      </c>
      <c r="R197" s="13" t="n">
        <f aca="false">IF(R$3&lt;6,0,-SUMPRODUCT(('Deal Terms'!$D$4:$D$47=1)*('Deal Terms'!$G$4:$G$47=R$3)*('Deal Terms'!$K$4:$K$47&gt;0),'Deal Terms'!$K$4:$K$47)-IF('Deal Terms'!$O$1=1,'Deal Terms'!R$104-'Deal Terms'!Q$104,0))</f>
        <v>16836.5099999998</v>
      </c>
      <c r="S197" s="13" t="n">
        <f aca="false">IF(S$3&lt;6,0,-SUMPRODUCT(('Deal Terms'!$D$4:$D$47=1)*('Deal Terms'!$G$4:$G$47=S$3)*('Deal Terms'!$K$4:$K$47&gt;0),'Deal Terms'!$K$4:$K$47)-IF('Deal Terms'!$O$1=1,'Deal Terms'!S$104-'Deal Terms'!R$104,0))</f>
        <v>61455.8100000005</v>
      </c>
      <c r="T197" s="13" t="n">
        <f aca="false">IF(T$3&lt;6,0,-SUMPRODUCT(('Deal Terms'!$D$4:$D$47=1)*('Deal Terms'!$G$4:$G$47=T$3)*('Deal Terms'!$K$4:$K$47&gt;0),'Deal Terms'!$K$4:$K$47)-IF('Deal Terms'!$O$1=1,'Deal Terms'!T$104-'Deal Terms'!S$104,0))</f>
        <v>20872.6200000001</v>
      </c>
      <c r="U197" s="13" t="n">
        <f aca="false">IF(U$3&lt;6,0,-SUMPRODUCT(('Deal Terms'!$D$4:$D$47=1)*('Deal Terms'!$G$4:$G$47=U$3)*('Deal Terms'!$K$4:$K$47&gt;0),'Deal Terms'!$K$4:$K$47)-IF('Deal Terms'!$O$1=1,'Deal Terms'!U$104-'Deal Terms'!T$104,0))</f>
        <v>3301.97000000067</v>
      </c>
      <c r="V197" s="13" t="n">
        <f aca="false">IF(V$3&lt;6,0,-SUMPRODUCT(('Deal Terms'!$D$4:$D$47=1)*('Deal Terms'!$G$4:$G$47=V$3)*('Deal Terms'!$K$4:$K$47&gt;0),'Deal Terms'!$K$4:$K$47)-IF('Deal Terms'!$O$1=1,'Deal Terms'!V$104-'Deal Terms'!U$104,0))</f>
        <v>-3432.9700000016</v>
      </c>
      <c r="W197" s="13" t="n">
        <f aca="false">IF(W$3&lt;6,0,-SUMPRODUCT(('Deal Terms'!$D$4:$D$47=1)*('Deal Terms'!$G$4:$G$47=W$3)*('Deal Terms'!$K$4:$K$47&gt;0),'Deal Terms'!$K$4:$K$47)-IF('Deal Terms'!$O$1=1,'Deal Terms'!W$104-'Deal Terms'!V$104,0))</f>
        <v>-5785.3200000003</v>
      </c>
      <c r="X197" s="13" t="n">
        <f aca="false">IF(X$3&lt;6,0,-SUMPRODUCT(('Deal Terms'!$D$4:$D$47=1)*('Deal Terms'!$G$4:$G$47=X$3)*('Deal Terms'!$K$4:$K$47&gt;0),'Deal Terms'!$K$4:$K$47)-IF('Deal Terms'!$O$1=1,'Deal Terms'!X$104-'Deal Terms'!W$104,0))</f>
        <v>-0</v>
      </c>
      <c r="Y197" s="13" t="n">
        <f aca="false">IF(Y$3&lt;6,0,-SUMPRODUCT(('Deal Terms'!$D$4:$D$47=1)*('Deal Terms'!$G$4:$G$47=Y$3)*('Deal Terms'!$K$4:$K$47&gt;0),'Deal Terms'!$K$4:$K$47)-IF('Deal Terms'!$O$1=1,'Deal Terms'!Y$104-'Deal Terms'!X$104,0))</f>
        <v>-0</v>
      </c>
      <c r="Z197" s="13" t="n">
        <f aca="false">IF(Z$3&lt;6,0,-SUMPRODUCT(('Deal Terms'!$D$4:$D$47=1)*('Deal Terms'!$G$4:$G$47=Z$3)*('Deal Terms'!$K$4:$K$47&gt;0),'Deal Terms'!$K$4:$K$47)-IF('Deal Terms'!$O$1=1,'Deal Terms'!Z$104-'Deal Terms'!Y$104,0))</f>
        <v>-0</v>
      </c>
      <c r="AA197" s="13" t="n">
        <f aca="false">IF(AA$3&lt;6,0,-SUMPRODUCT(('Deal Terms'!$D$4:$D$47=1)*('Deal Terms'!$G$4:$G$47=AA$3)*('Deal Terms'!$K$4:$K$47&gt;0),'Deal Terms'!$K$4:$K$47)-IF('Deal Terms'!$O$1=1,'Deal Terms'!AA$104-'Deal Terms'!Z$104,0))</f>
        <v>-0</v>
      </c>
      <c r="AB197" s="13" t="n">
        <f aca="false">IF(AB$3&lt;6,0,-SUMPRODUCT(('Deal Terms'!$D$4:$D$47=1)*('Deal Terms'!$G$4:$G$47=AB$3)*('Deal Terms'!$K$4:$K$47&gt;0),'Deal Terms'!$K$4:$K$47)-IF('Deal Terms'!$O$1=1,'Deal Terms'!AB$104-'Deal Terms'!AA$104,0))</f>
        <v>-0</v>
      </c>
      <c r="AC197" s="13" t="n">
        <f aca="false">IF(AC$3&lt;6,0,-SUMPRODUCT(('Deal Terms'!$D$4:$D$47=1)*('Deal Terms'!$G$4:$G$47=AC$3)*('Deal Terms'!$K$4:$K$47&gt;0),'Deal Terms'!$K$4:$K$47)-IF('Deal Terms'!$O$1=1,'Deal Terms'!AC$104-'Deal Terms'!AB$104,0))</f>
        <v>-0</v>
      </c>
      <c r="AD197" s="13" t="n">
        <f aca="false">IF(AD$3&lt;6,0,-SUMPRODUCT(('Deal Terms'!$D$4:$D$47=1)*('Deal Terms'!$G$4:$G$47=AD$3)*('Deal Terms'!$K$4:$K$47&gt;0),'Deal Terms'!$K$4:$K$47)-IF('Deal Terms'!$O$1=1,'Deal Terms'!AD$104-'Deal Terms'!AC$104,0))</f>
        <v>-0</v>
      </c>
      <c r="AE197" s="13" t="n">
        <f aca="false">IF(AE$3&lt;6,0,-SUMPRODUCT(('Deal Terms'!$D$4:$D$47=1)*('Deal Terms'!$G$4:$G$47=AE$3)*('Deal Terms'!$K$4:$K$47&gt;0),'Deal Terms'!$K$4:$K$47)-IF('Deal Terms'!$O$1=1,'Deal Terms'!AE$104-'Deal Terms'!AD$104,0))</f>
        <v>-0</v>
      </c>
      <c r="AF197" s="13" t="n">
        <f aca="false">IF(AF$3&lt;6,0,-SUMPRODUCT(('Deal Terms'!$D$4:$D$47=1)*('Deal Terms'!$G$4:$G$47=AF$3)*('Deal Terms'!$K$4:$K$47&gt;0),'Deal Terms'!$K$4:$K$47)-IF('Deal Terms'!$O$1=1,'Deal Terms'!AF$104-'Deal Terms'!AE$104,0))</f>
        <v>-0</v>
      </c>
      <c r="AG197" s="13" t="n">
        <f aca="false">IF(AG$3&lt;6,0,-SUMPRODUCT(('Deal Terms'!$D$4:$D$47=1)*('Deal Terms'!$G$4:$G$47=AG$3)*('Deal Terms'!$K$4:$K$47&gt;0),'Deal Terms'!$K$4:$K$47)-IF('Deal Terms'!$O$1=1,'Deal Terms'!AG$104-'Deal Terms'!AF$104,0))</f>
        <v>-0</v>
      </c>
      <c r="AH197" s="13" t="n">
        <f aca="false">IF(AH$3&lt;6,0,-SUMPRODUCT(('Deal Terms'!$D$4:$D$47=1)*('Deal Terms'!$G$4:$G$47=AH$3)*('Deal Terms'!$K$4:$K$47&gt;0),'Deal Terms'!$K$4:$K$47)-IF('Deal Terms'!$O$1=1,'Deal Terms'!AH$104-'Deal Terms'!AG$104,0))</f>
        <v>-0</v>
      </c>
      <c r="AI197" s="13" t="n">
        <f aca="false">IF(AI$3&lt;6,0,-SUMPRODUCT(('Deal Terms'!$D$4:$D$47=1)*('Deal Terms'!$G$4:$G$47=AI$3)*('Deal Terms'!$K$4:$K$47&gt;0),'Deal Terms'!$K$4:$K$47)-IF('Deal Terms'!$O$1=1,'Deal Terms'!AI$104-'Deal Terms'!AH$104,0))</f>
        <v>-0</v>
      </c>
      <c r="AJ197" s="13" t="n">
        <f aca="false">IF(AJ$3&lt;6,0,-SUMPRODUCT(('Deal Terms'!$D$4:$D$47=1)*('Deal Terms'!$G$4:$G$47=AJ$3)*('Deal Terms'!$K$4:$K$47&gt;0),'Deal Terms'!$K$4:$K$47)-IF('Deal Terms'!$O$1=1,'Deal Terms'!AJ$104-'Deal Terms'!AI$104,0))</f>
        <v>-0</v>
      </c>
      <c r="AK197" s="13" t="n">
        <f aca="false">IF(AK$3&lt;6,0,-SUMPRODUCT(('Deal Terms'!$D$4:$D$47=1)*('Deal Terms'!$G$4:$G$47=AK$3)*('Deal Terms'!$K$4:$K$47&gt;0),'Deal Terms'!$K$4:$K$47)-IF('Deal Terms'!$O$1=1,'Deal Terms'!AK$104-'Deal Terms'!AJ$104,0))</f>
        <v>-0</v>
      </c>
      <c r="AL197" s="13" t="n">
        <f aca="false">IF(AL$3&lt;6,0,-SUMPRODUCT(('Deal Terms'!$D$4:$D$47=1)*('Deal Terms'!$G$4:$G$47=AL$3)*('Deal Terms'!$K$4:$K$47&gt;0),'Deal Terms'!$K$4:$K$47)-IF('Deal Terms'!$O$1=1,'Deal Terms'!AL$104-'Deal Terms'!AK$104,0))</f>
        <v>-0</v>
      </c>
      <c r="AM197" s="13" t="n">
        <f aca="false">IF(AM$3&lt;6,0,-SUMPRODUCT(('Deal Terms'!$D$4:$D$47=1)*('Deal Terms'!$G$4:$G$47=AM$3)*('Deal Terms'!$K$4:$K$47&gt;0),'Deal Terms'!$K$4:$K$47)-IF('Deal Terms'!$O$1=1,'Deal Terms'!AM$104-'Deal Terms'!AL$104,0))</f>
        <v>-0</v>
      </c>
      <c r="AN197" s="13" t="n">
        <f aca="false">IF(AN$3&lt;6,0,-SUMPRODUCT(('Deal Terms'!$D$4:$D$47=1)*('Deal Terms'!$G$4:$G$47=AN$3)*('Deal Terms'!$K$4:$K$47&gt;0),'Deal Terms'!$K$4:$K$47)-IF('Deal Terms'!$O$1=1,'Deal Terms'!AN$104-'Deal Terms'!AM$104,0))</f>
        <v>-0</v>
      </c>
      <c r="AO197" s="13" t="n">
        <f aca="false">IF(AO$3&lt;6,0,-SUMPRODUCT(('Deal Terms'!$D$4:$D$47=1)*('Deal Terms'!$G$4:$G$47=AO$3)*('Deal Terms'!$K$4:$K$47&gt;0),'Deal Terms'!$K$4:$K$47)-IF('Deal Terms'!$O$1=1,'Deal Terms'!AO$104-'Deal Terms'!AN$104,0))</f>
        <v>-0</v>
      </c>
      <c r="AP197" s="13" t="n">
        <f aca="false">IF(AP$3&lt;6,0,-SUMPRODUCT(('Deal Terms'!$D$4:$D$47=1)*('Deal Terms'!$G$4:$G$47=AP$3)*('Deal Terms'!$K$4:$K$47&gt;0),'Deal Terms'!$K$4:$K$47)-IF('Deal Terms'!$O$1=1,'Deal Terms'!AP$104-'Deal Terms'!AO$104,0))</f>
        <v>-0</v>
      </c>
      <c r="AQ197" s="13" t="n">
        <f aca="false">IF(AQ$3&lt;6,0,-SUMPRODUCT(('Deal Terms'!$D$4:$D$47=1)*('Deal Terms'!$G$4:$G$47=AQ$3)*('Deal Terms'!$K$4:$K$47&gt;0),'Deal Terms'!$K$4:$K$47)-IF('Deal Terms'!$O$1=1,'Deal Terms'!AQ$104-'Deal Terms'!AP$104,0))</f>
        <v>-0</v>
      </c>
      <c r="AR197" s="13" t="n">
        <f aca="false">IF(AR$3&lt;6,0,-SUMPRODUCT(('Deal Terms'!$D$4:$D$47=1)*('Deal Terms'!$G$4:$G$47=AR$3)*('Deal Terms'!$K$4:$K$47&gt;0),'Deal Terms'!$K$4:$K$47)-IF('Deal Terms'!$O$1=1,'Deal Terms'!AR$104-'Deal Terms'!AQ$104,0))</f>
        <v>-0</v>
      </c>
      <c r="AS197" s="13" t="n">
        <f aca="false">IF(AS$3&lt;6,0,-SUMPRODUCT(('Deal Terms'!$D$4:$D$47=1)*('Deal Terms'!$G$4:$G$47=AS$3)*('Deal Terms'!$K$4:$K$47&gt;0),'Deal Terms'!$K$4:$K$47)-IF('Deal Terms'!$O$1=1,'Deal Terms'!AS$104-'Deal Terms'!AR$104,0))</f>
        <v>-0</v>
      </c>
      <c r="AT197" s="13" t="n">
        <f aca="false">IF(AT$3&lt;6,0,-SUMPRODUCT(('Deal Terms'!$D$4:$D$47=1)*('Deal Terms'!$G$4:$G$47=AT$3)*('Deal Terms'!$K$4:$K$47&gt;0),'Deal Terms'!$K$4:$K$47)-IF('Deal Terms'!$O$1=1,'Deal Terms'!AT$104-'Deal Terms'!AS$104,0))</f>
        <v>-0</v>
      </c>
      <c r="AU197" s="13" t="n">
        <f aca="false">IF(AU$3&lt;6,0,-SUMPRODUCT(('Deal Terms'!$D$4:$D$47=1)*('Deal Terms'!$G$4:$G$47=AU$3)*('Deal Terms'!$K$4:$K$47&gt;0),'Deal Terms'!$K$4:$K$47)-IF('Deal Terms'!$O$1=1,'Deal Terms'!AU$104-'Deal Terms'!AT$104,0))</f>
        <v>-0</v>
      </c>
      <c r="AV197" s="13" t="n">
        <f aca="false">IF(AV$3&lt;6,0,-SUMPRODUCT(('Deal Terms'!$D$4:$D$47=1)*('Deal Terms'!$G$4:$G$47=AV$3)*('Deal Terms'!$K$4:$K$47&gt;0),'Deal Terms'!$K$4:$K$47)-IF('Deal Terms'!$O$1=1,'Deal Terms'!AV$104-'Deal Terms'!AU$104,0))</f>
        <v>-0</v>
      </c>
      <c r="AW197" s="13" t="n">
        <f aca="false">IF(AW$3&lt;6,0,-SUMPRODUCT(('Deal Terms'!$D$4:$D$47=1)*('Deal Terms'!$G$4:$G$47=AW$3)*('Deal Terms'!$K$4:$K$47&gt;0),'Deal Terms'!$K$4:$K$47)-IF('Deal Terms'!$O$1=1,'Deal Terms'!AW$104-'Deal Terms'!AV$104,0))</f>
        <v>-0</v>
      </c>
      <c r="AX197" s="13" t="n">
        <f aca="false">IF(AX$3&lt;6,0,-SUMPRODUCT(('Deal Terms'!$D$4:$D$47=1)*('Deal Terms'!$G$4:$G$47=AX$3)*('Deal Terms'!$K$4:$K$47&gt;0),'Deal Terms'!$K$4:$K$47)-IF('Deal Terms'!$O$1=1,'Deal Terms'!AX$104-'Deal Terms'!AW$104,0))</f>
        <v>-0</v>
      </c>
      <c r="AY197" s="13" t="n">
        <f aca="false">IF(AY$3&lt;6,0,-SUMPRODUCT(('Deal Terms'!$D$4:$D$47=1)*('Deal Terms'!$G$4:$G$47=AY$3)*('Deal Terms'!$K$4:$K$47&gt;0),'Deal Terms'!$K$4:$K$47)-IF('Deal Terms'!$O$1=1,'Deal Terms'!AY$104-'Deal Terms'!AX$104,0))</f>
        <v>-0</v>
      </c>
      <c r="AZ197" s="13" t="n">
        <f aca="false">IF(AZ$3&lt;6,0,-SUMPRODUCT(('Deal Terms'!$D$4:$D$47=1)*('Deal Terms'!$G$4:$G$47=AZ$3)*('Deal Terms'!$K$4:$K$47&gt;0),'Deal Terms'!$K$4:$K$47)-IF('Deal Terms'!$O$1=1,'Deal Terms'!AZ$104-'Deal Terms'!AY$104,0))</f>
        <v>-0</v>
      </c>
      <c r="BA197" s="13" t="n">
        <f aca="false">IF(BA$3&lt;6,0,-SUMPRODUCT(('Deal Terms'!$D$4:$D$47=1)*('Deal Terms'!$G$4:$G$47=BA$3)*('Deal Terms'!$K$4:$K$47&gt;0),'Deal Terms'!$K$4:$K$47)-IF('Deal Terms'!$O$1=1,'Deal Terms'!BA$104-'Deal Terms'!AZ$104,0))</f>
        <v>-0</v>
      </c>
      <c r="BB197" s="13" t="n">
        <f aca="false">IF(BB$3&lt;6,0,-SUMPRODUCT(('Deal Terms'!$D$4:$D$47=1)*('Deal Terms'!$G$4:$G$47=BB$3)*('Deal Terms'!$K$4:$K$47&gt;0),'Deal Terms'!$K$4:$K$47)-IF('Deal Terms'!$O$1=1,'Deal Terms'!BB$104-'Deal Terms'!BA$104,0))</f>
        <v>-0</v>
      </c>
      <c r="BC197" s="13" t="n">
        <f aca="false">IF(BC$3&lt;6,0,-SUMPRODUCT(('Deal Terms'!$D$4:$D$47=1)*('Deal Terms'!$G$4:$G$47=BC$3)*('Deal Terms'!$K$4:$K$47&gt;0),'Deal Terms'!$K$4:$K$47)-IF('Deal Terms'!$O$1=1,'Deal Terms'!BC$104-'Deal Terms'!BB$104,0))</f>
        <v>-0</v>
      </c>
      <c r="BD197" s="13" t="n">
        <f aca="false">IF(BD$3&lt;6,0,-SUMPRODUCT(('Deal Terms'!$D$4:$D$47=1)*('Deal Terms'!$G$4:$G$47=BD$3)*('Deal Terms'!$K$4:$K$47&gt;0),'Deal Terms'!$K$4:$K$47)-IF('Deal Terms'!$O$1=1,'Deal Terms'!BD$104-'Deal Terms'!BC$104,0))</f>
        <v>-0</v>
      </c>
      <c r="BE197" s="13" t="n">
        <f aca="false">IF(BE$3&lt;6,0,-SUMPRODUCT(('Deal Terms'!$D$4:$D$47=1)*('Deal Terms'!$G$4:$G$47=BE$3)*('Deal Terms'!$K$4:$K$47&gt;0),'Deal Terms'!$K$4:$K$47)-IF('Deal Terms'!$O$1=1,'Deal Terms'!BE$104-'Deal Terms'!BD$104,0))</f>
        <v>-0</v>
      </c>
      <c r="BF197" s="13" t="n">
        <f aca="false">IF(BF$3&lt;6,0,-SUMPRODUCT(('Deal Terms'!$D$4:$D$47=1)*('Deal Terms'!$G$4:$G$47=BF$3)*('Deal Terms'!$K$4:$K$47&gt;0),'Deal Terms'!$K$4:$K$47)-IF('Deal Terms'!$O$1=1,'Deal Terms'!BF$104-'Deal Terms'!BE$104,0))</f>
        <v>-0</v>
      </c>
      <c r="BG197" s="13" t="n">
        <f aca="false">IF(BG$3&lt;6,0,-SUMPRODUCT(('Deal Terms'!$D$4:$D$47=1)*('Deal Terms'!$G$4:$G$47=BG$3)*('Deal Terms'!$K$4:$K$47&gt;0),'Deal Terms'!$K$4:$K$47)-IF('Deal Terms'!$O$1=1,'Deal Terms'!BG$104-'Deal Terms'!BF$104,0))</f>
        <v>-0</v>
      </c>
      <c r="BH197" s="13" t="n">
        <f aca="false">IF(BH$3&lt;6,0,-SUMPRODUCT(('Deal Terms'!$D$4:$D$47=1)*('Deal Terms'!$G$4:$G$47=BH$3)*('Deal Terms'!$K$4:$K$47&gt;0),'Deal Terms'!$K$4:$K$47)-IF('Deal Terms'!$O$1=1,'Deal Terms'!BH$104-'Deal Terms'!BG$104,0))</f>
        <v>-0</v>
      </c>
      <c r="BI197" s="13" t="n">
        <f aca="false">IF(BI$3&lt;6,0,-SUMPRODUCT(('Deal Terms'!$D$4:$D$47=1)*('Deal Terms'!$G$4:$G$47=BI$3)*('Deal Terms'!$K$4:$K$47&gt;0),'Deal Terms'!$K$4:$K$47)-IF('Deal Terms'!$O$1=1,'Deal Terms'!BI$104-'Deal Terms'!BH$104,0))</f>
        <v>-0</v>
      </c>
      <c r="BJ197" s="13" t="n">
        <f aca="false">IF(BJ$3&lt;6,0,-SUMPRODUCT(('Deal Terms'!$D$4:$D$47=1)*('Deal Terms'!$G$4:$G$47=BJ$3)*('Deal Terms'!$K$4:$K$47&gt;0),'Deal Terms'!$K$4:$K$47)-IF('Deal Terms'!$O$1=1,'Deal Terms'!BJ$104-'Deal Terms'!BI$104,0))</f>
        <v>-0</v>
      </c>
      <c r="BK197" s="13" t="n">
        <f aca="false">IF(BK$3&lt;6,0,-SUMPRODUCT(('Deal Terms'!$D$4:$D$47=1)*('Deal Terms'!$G$4:$G$47=BK$3)*('Deal Terms'!$K$4:$K$47&gt;0),'Deal Terms'!$K$4:$K$47)-IF('Deal Terms'!$O$1=1,'Deal Terms'!BK$104-'Deal Terms'!BJ$104,0))</f>
        <v>-0</v>
      </c>
      <c r="BL197" s="13" t="n">
        <f aca="false">IF(BL$3&lt;6,0,-SUMPRODUCT(('Deal Terms'!$D$4:$D$47=1)*('Deal Terms'!$G$4:$G$47=BL$3)*('Deal Terms'!$K$4:$K$47&gt;0),'Deal Terms'!$K$4:$K$47)-IF('Deal Terms'!$O$1=1,'Deal Terms'!BL$104-'Deal Terms'!BK$104,0))</f>
        <v>-0</v>
      </c>
      <c r="BM197" s="13" t="n">
        <f aca="false">IF(BM$3&lt;6,0,-SUMPRODUCT(('Deal Terms'!$D$4:$D$47=1)*('Deal Terms'!$G$4:$G$47=BM$3)*('Deal Terms'!$K$4:$K$47&gt;0),'Deal Terms'!$K$4:$K$47)-IF('Deal Terms'!$O$1=1,'Deal Terms'!BM$104-'Deal Terms'!BL$104,0))</f>
        <v>-0</v>
      </c>
      <c r="BN197" s="13" t="n">
        <f aca="false">IF(BN$3&lt;6,0,-SUMPRODUCT(('Deal Terms'!$D$4:$D$47=1)*('Deal Terms'!$G$4:$G$47=BN$3)*('Deal Terms'!$K$4:$K$47&gt;0),'Deal Terms'!$K$4:$K$47)-IF('Deal Terms'!$O$1=1,'Deal Terms'!BN$104-'Deal Terms'!BM$104,0))</f>
        <v>-0</v>
      </c>
      <c r="BO197" s="13" t="n">
        <f aca="false">IF(BO$3&lt;6,0,-SUMPRODUCT(('Deal Terms'!$D$4:$D$47=1)*('Deal Terms'!$G$4:$G$47=BO$3)*('Deal Terms'!$K$4:$K$47&gt;0),'Deal Terms'!$K$4:$K$47)-IF('Deal Terms'!$O$1=1,'Deal Terms'!BO$104-'Deal Terms'!BN$104,0))</f>
        <v>-0</v>
      </c>
      <c r="BP197" s="13" t="n">
        <f aca="false">IF(BP$3&lt;6,0,-SUMPRODUCT(('Deal Terms'!$D$4:$D$47=1)*('Deal Terms'!$G$4:$G$47=BP$3)*('Deal Terms'!$K$4:$K$47&gt;0),'Deal Terms'!$K$4:$K$47)-IF('Deal Terms'!$O$1=1,'Deal Terms'!BP$104-'Deal Terms'!BO$104,0))</f>
        <v>-0</v>
      </c>
      <c r="BQ197" s="13" t="n">
        <f aca="false">IF(BQ$3&lt;6,0,-SUMPRODUCT(('Deal Terms'!$D$4:$D$47=1)*('Deal Terms'!$G$4:$G$47=BQ$3)*('Deal Terms'!$K$4:$K$47&gt;0),'Deal Terms'!$K$4:$K$47)-IF('Deal Terms'!$O$1=1,'Deal Terms'!BQ$104-'Deal Terms'!BP$104,0))</f>
        <v>-0</v>
      </c>
      <c r="BR197" s="13" t="n">
        <f aca="false">IF(BR$3&lt;6,0,-SUMPRODUCT(('Deal Terms'!$D$4:$D$47=1)*('Deal Terms'!$G$4:$G$47=BR$3)*('Deal Terms'!$K$4:$K$47&gt;0),'Deal Terms'!$K$4:$K$47)-IF('Deal Terms'!$O$1=1,'Deal Terms'!BR$104-'Deal Terms'!BQ$104,0))</f>
        <v>-0</v>
      </c>
      <c r="BS197" s="13" t="n">
        <f aca="false">IF(BS$3&lt;6,0,-SUMPRODUCT(('Deal Terms'!$D$4:$D$47=1)*('Deal Terms'!$G$4:$G$47=BS$3)*('Deal Terms'!$K$4:$K$47&gt;0),'Deal Terms'!$K$4:$K$47)-IF('Deal Terms'!$O$1=1,'Deal Terms'!BS$104-'Deal Terms'!BR$104,0))</f>
        <v>-0</v>
      </c>
      <c r="BT197" s="13" t="n">
        <f aca="false">IF(BT$3&lt;6,0,-SUMPRODUCT(('Deal Terms'!$D$4:$D$47=1)*('Deal Terms'!$G$4:$G$47=BT$3)*('Deal Terms'!$K$4:$K$47&gt;0),'Deal Terms'!$K$4:$K$47)-IF('Deal Terms'!$O$1=1,'Deal Terms'!BT$104-'Deal Terms'!BS$104,0))</f>
        <v>-0</v>
      </c>
      <c r="BU197" s="13" t="n">
        <f aca="false">IF(BU$3&lt;6,0,-SUMPRODUCT(('Deal Terms'!$D$4:$D$47=1)*('Deal Terms'!$G$4:$G$47=BU$3)*('Deal Terms'!$K$4:$K$47&gt;0),'Deal Terms'!$K$4:$K$47)-IF('Deal Terms'!$O$1=1,'Deal Terms'!BU$104-'Deal Terms'!BT$104,0))</f>
        <v>-0</v>
      </c>
      <c r="BV197" s="13" t="n">
        <f aca="false">IF(BV$3&lt;6,0,-SUMPRODUCT(('Deal Terms'!$D$4:$D$47=1)*('Deal Terms'!$G$4:$G$47=BV$3)*('Deal Terms'!$K$4:$K$47&gt;0),'Deal Terms'!$K$4:$K$47)-IF('Deal Terms'!$O$1=1,'Deal Terms'!BV$104-'Deal Terms'!BU$104,0))</f>
        <v>-0</v>
      </c>
      <c r="BW197" s="13" t="n">
        <f aca="false">IF(BW$3&lt;6,0,-SUMPRODUCT(('Deal Terms'!$D$4:$D$47=1)*('Deal Terms'!$G$4:$G$47=BW$3)*('Deal Terms'!$K$4:$K$47&gt;0),'Deal Terms'!$K$4:$K$47)-IF('Deal Terms'!$O$1=1,'Deal Terms'!BW$104-'Deal Terms'!BV$104,0))</f>
        <v>-0</v>
      </c>
      <c r="BX197" s="13" t="n">
        <f aca="false">IF(BX$3&lt;6,0,-SUMPRODUCT(('Deal Terms'!$D$4:$D$47=1)*('Deal Terms'!$G$4:$G$47=BX$3)*('Deal Terms'!$K$4:$K$47&gt;0),'Deal Terms'!$K$4:$K$47)-IF('Deal Terms'!$O$1=1,'Deal Terms'!BX$104-'Deal Terms'!BW$104,0))</f>
        <v>-0</v>
      </c>
      <c r="BY197" s="13" t="n">
        <f aca="false">IF(BY$3&lt;6,0,-SUMPRODUCT(('Deal Terms'!$D$4:$D$47=1)*('Deal Terms'!$G$4:$G$47=BY$3)*('Deal Terms'!$K$4:$K$47&gt;0),'Deal Terms'!$K$4:$K$47)-IF('Deal Terms'!$O$1=1,'Deal Terms'!BY$104-'Deal Terms'!BX$104,0))</f>
        <v>-0</v>
      </c>
      <c r="BZ197" s="13" t="n">
        <f aca="false">IF(BZ$3&lt;6,0,-SUMPRODUCT(('Deal Terms'!$D$4:$D$47=1)*('Deal Terms'!$G$4:$G$47=BZ$3)*('Deal Terms'!$K$4:$K$47&gt;0),'Deal Terms'!$K$4:$K$47)-IF('Deal Terms'!$O$1=1,'Deal Terms'!BZ$104-'Deal Terms'!BY$104,0))</f>
        <v>-0</v>
      </c>
      <c r="CA197" s="13" t="n">
        <f aca="false">IF(CA$3&lt;6,0,-SUMPRODUCT(('Deal Terms'!$D$4:$D$47=1)*('Deal Terms'!$G$4:$G$47=CA$3)*('Deal Terms'!$K$4:$K$47&gt;0),'Deal Terms'!$K$4:$K$47)-IF('Deal Terms'!$O$1=1,'Deal Terms'!CA$104-'Deal Terms'!BZ$104,0))</f>
        <v>-0</v>
      </c>
      <c r="CB197" s="13" t="n">
        <f aca="false">IF(CB$3&lt;6,0,-SUMPRODUCT(('Deal Terms'!$D$4:$D$47=1)*('Deal Terms'!$G$4:$G$47=CB$3)*('Deal Terms'!$K$4:$K$47&gt;0),'Deal Terms'!$K$4:$K$47)-IF('Deal Terms'!$O$1=1,'Deal Terms'!CB$104-'Deal Terms'!CA$104,0))</f>
        <v>-0</v>
      </c>
      <c r="CC197" s="13" t="n">
        <f aca="false">IF(CC$3&lt;6,0,-SUMPRODUCT(('Deal Terms'!$D$4:$D$47=1)*('Deal Terms'!$G$4:$G$47=CC$3)*('Deal Terms'!$K$4:$K$47&gt;0),'Deal Terms'!$K$4:$K$47)-IF('Deal Terms'!$O$1=1,'Deal Terms'!CC$104-'Deal Terms'!CB$104,0))</f>
        <v>-0</v>
      </c>
      <c r="CD197" s="13" t="n">
        <f aca="false">IF(CD$3&lt;6,0,-SUMPRODUCT(('Deal Terms'!$D$4:$D$47=1)*('Deal Terms'!$G$4:$G$47=CD$3)*('Deal Terms'!$K$4:$K$47&gt;0),'Deal Terms'!$K$4:$K$47)-IF('Deal Terms'!$O$1=1,'Deal Terms'!CD$104-'Deal Terms'!CC$104,0))</f>
        <v>-0</v>
      </c>
      <c r="CE197" s="13" t="n">
        <f aca="false">IF(CE$3&lt;6,0,-SUMPRODUCT(('Deal Terms'!$D$4:$D$47=1)*('Deal Terms'!$G$4:$G$47=CE$3)*('Deal Terms'!$K$4:$K$47&gt;0),'Deal Terms'!$K$4:$K$47)-IF('Deal Terms'!$O$1=1,'Deal Terms'!CE$104-'Deal Terms'!CD$104,0))</f>
        <v>-0</v>
      </c>
      <c r="CF197" s="13" t="n">
        <f aca="false">IF(CF$3&lt;6,0,-SUMPRODUCT(('Deal Terms'!$D$4:$D$47=1)*('Deal Terms'!$G$4:$G$47=CF$3)*('Deal Terms'!$K$4:$K$47&gt;0),'Deal Terms'!$K$4:$K$47)-IF('Deal Terms'!$O$1=1,'Deal Terms'!CF$104-'Deal Terms'!CE$104,0))</f>
        <v>-0</v>
      </c>
      <c r="CG197" s="13" t="n">
        <f aca="false">IF(CG$3&lt;6,0,-SUMPRODUCT(('Deal Terms'!$D$4:$D$47=1)*('Deal Terms'!$G$4:$G$47=CG$3)*('Deal Terms'!$K$4:$K$47&gt;0),'Deal Terms'!$K$4:$K$47)-IF('Deal Terms'!$O$1=1,'Deal Terms'!CG$104-'Deal Terms'!CF$104,0))</f>
        <v>-0</v>
      </c>
      <c r="CH197" s="13" t="n">
        <f aca="false">IF(CH$3&lt;6,0,-SUMPRODUCT(('Deal Terms'!$D$4:$D$47=1)*('Deal Terms'!$G$4:$G$47=CH$3)*('Deal Terms'!$K$4:$K$47&gt;0),'Deal Terms'!$K$4:$K$47)-IF('Deal Terms'!$O$1=1,'Deal Terms'!CH$104-'Deal Terms'!CG$104,0))</f>
        <v>-0</v>
      </c>
      <c r="CI197" s="13" t="n">
        <f aca="false">IF(CI$3&lt;6,0,-SUMPRODUCT(('Deal Terms'!$D$4:$D$47=1)*('Deal Terms'!$G$4:$G$47=CI$3)*('Deal Terms'!$K$4:$K$47&gt;0),'Deal Terms'!$K$4:$K$47)-IF('Deal Terms'!$O$1=1,'Deal Terms'!CI$104-'Deal Terms'!CH$104,0))</f>
        <v>-0</v>
      </c>
      <c r="CJ197" s="13" t="n">
        <f aca="false">IF(CJ$3&lt;6,0,-SUMPRODUCT(('Deal Terms'!$D$4:$D$47=1)*('Deal Terms'!$G$4:$G$47=CJ$3)*('Deal Terms'!$K$4:$K$47&gt;0),'Deal Terms'!$K$4:$K$47)-IF('Deal Terms'!$O$1=1,'Deal Terms'!CJ$104-'Deal Terms'!CI$104,0))</f>
        <v>-0</v>
      </c>
      <c r="CK197" s="13" t="n">
        <f aca="false">IF(CK$3&lt;6,0,-SUMPRODUCT(('Deal Terms'!$D$4:$D$47=1)*('Deal Terms'!$G$4:$G$47=CK$3)*('Deal Terms'!$K$4:$K$47&gt;0),'Deal Terms'!$K$4:$K$47)-IF('Deal Terms'!$O$1=1,'Deal Terms'!CK$104-'Deal Terms'!CJ$104,0))</f>
        <v>-0</v>
      </c>
      <c r="CL197" s="13" t="n">
        <f aca="false">IF(CL$3&lt;6,0,-SUMPRODUCT(('Deal Terms'!$D$4:$D$47=1)*('Deal Terms'!$G$4:$G$47=CL$3)*('Deal Terms'!$K$4:$K$47&gt;0),'Deal Terms'!$K$4:$K$47)-IF('Deal Terms'!$O$1=1,'Deal Terms'!CL$104-'Deal Terms'!CK$104,0))</f>
        <v>-0</v>
      </c>
      <c r="CM197" s="13" t="n">
        <f aca="false">IF(CM$3&lt;6,0,-SUMPRODUCT(('Deal Terms'!$D$4:$D$47=1)*('Deal Terms'!$G$4:$G$47=CM$3)*('Deal Terms'!$K$4:$K$47&gt;0),'Deal Terms'!$K$4:$K$47)-IF('Deal Terms'!$O$1=1,'Deal Terms'!CM$104-'Deal Terms'!CL$104,0))</f>
        <v>-0</v>
      </c>
      <c r="CN197" s="13" t="n">
        <f aca="false">IF(CN$3&lt;6,0,-SUMPRODUCT(('Deal Terms'!$D$4:$D$47=1)*('Deal Terms'!$G$4:$G$47=CN$3)*('Deal Terms'!$K$4:$K$47&gt;0),'Deal Terms'!$K$4:$K$47)-IF('Deal Terms'!$O$1=1,'Deal Terms'!CN$104-'Deal Terms'!CM$104,0))</f>
        <v>-0</v>
      </c>
      <c r="CO197" s="13" t="n">
        <f aca="false">IF(CO$3&lt;6,0,-SUMPRODUCT(('Deal Terms'!$D$4:$D$47=1)*('Deal Terms'!$G$4:$G$47=CO$3)*('Deal Terms'!$K$4:$K$47&gt;0),'Deal Terms'!$K$4:$K$47)-IF('Deal Terms'!$O$1=1,'Deal Terms'!CO$104-'Deal Terms'!CN$104,0))</f>
        <v>-0</v>
      </c>
      <c r="CP197" s="13" t="n">
        <f aca="false">IF(CP$3&lt;6,0,-SUMPRODUCT(('Deal Terms'!$D$4:$D$47=1)*('Deal Terms'!$G$4:$G$47=CP$3)*('Deal Terms'!$K$4:$K$47&gt;0),'Deal Terms'!$K$4:$K$47)-IF('Deal Terms'!$O$1=1,'Deal Terms'!CP$104-'Deal Terms'!CO$104,0))</f>
        <v>-0</v>
      </c>
      <c r="CQ197" s="13" t="n">
        <f aca="false">IF(CQ$3&lt;6,0,-SUMPRODUCT(('Deal Terms'!$D$4:$D$47=1)*('Deal Terms'!$G$4:$G$47=CQ$3)*('Deal Terms'!$K$4:$K$47&gt;0),'Deal Terms'!$K$4:$K$47)-IF('Deal Terms'!$O$1=1,'Deal Terms'!CQ$104-'Deal Terms'!CP$104,0))</f>
        <v>-0</v>
      </c>
      <c r="CR197" s="13" t="n">
        <f aca="false">IF(CR$3&lt;6,0,-SUMPRODUCT(('Deal Terms'!$D$4:$D$47=1)*('Deal Terms'!$G$4:$G$47=CR$3)*('Deal Terms'!$K$4:$K$47&gt;0),'Deal Terms'!$K$4:$K$47)-IF('Deal Terms'!$O$1=1,'Deal Terms'!CR$104-'Deal Terms'!CQ$104,0))</f>
        <v>-0</v>
      </c>
      <c r="CS197" s="13" t="n">
        <f aca="false">IF(CS$3&lt;6,0,-SUMPRODUCT(('Deal Terms'!$D$4:$D$47=1)*('Deal Terms'!$G$4:$G$47=CS$3)*('Deal Terms'!$K$4:$K$47&gt;0),'Deal Terms'!$K$4:$K$47)-IF('Deal Terms'!$O$1=1,'Deal Terms'!CS$104-'Deal Terms'!CR$104,0))</f>
        <v>-0</v>
      </c>
      <c r="CT197" s="13" t="n">
        <f aca="false">IF(CT$3&lt;6,0,-SUMPRODUCT(('Deal Terms'!$D$4:$D$47=1)*('Deal Terms'!$G$4:$G$47=CT$3)*('Deal Terms'!$K$4:$K$47&gt;0),'Deal Terms'!$K$4:$K$47)-IF('Deal Terms'!$O$1=1,'Deal Terms'!CT$104-'Deal Terms'!CS$104,0))</f>
        <v>-0</v>
      </c>
      <c r="CU197" s="13" t="n">
        <f aca="false">IF(CU$3&lt;6,0,-SUMPRODUCT(('Deal Terms'!$D$4:$D$47=1)*('Deal Terms'!$G$4:$G$47=CU$3)*('Deal Terms'!$K$4:$K$47&gt;0),'Deal Terms'!$K$4:$K$47)-IF('Deal Terms'!$O$1=1,'Deal Terms'!CU$104-'Deal Terms'!CT$104,0))</f>
        <v>-0</v>
      </c>
      <c r="CV197" s="13" t="n">
        <f aca="false">IF(CV$3&lt;6,0,-SUMPRODUCT(('Deal Terms'!$D$4:$D$47=1)*('Deal Terms'!$G$4:$G$47=CV$3)*('Deal Terms'!$K$4:$K$47&gt;0),'Deal Terms'!$K$4:$K$47)-IF('Deal Terms'!$O$1=1,'Deal Terms'!CV$104-'Deal Terms'!CU$104,0))</f>
        <v>-0</v>
      </c>
      <c r="CW197" s="13" t="n">
        <f aca="false">IF(CW$3&lt;6,0,-SUMPRODUCT(('Deal Terms'!$D$4:$D$47=1)*('Deal Terms'!$G$4:$G$47=CW$3)*('Deal Terms'!$K$4:$K$47&gt;0),'Deal Terms'!$K$4:$K$47)-IF('Deal Terms'!$O$1=1,'Deal Terms'!CW$104-'Deal Terms'!CV$104,0))</f>
        <v>-0</v>
      </c>
      <c r="CX197" s="13" t="n">
        <f aca="false">IF(CX$3&lt;6,0,-SUMPRODUCT(('Deal Terms'!$D$4:$D$47=1)*('Deal Terms'!$G$4:$G$47=CX$3)*('Deal Terms'!$K$4:$K$47&gt;0),'Deal Terms'!$K$4:$K$47)-IF('Deal Terms'!$O$1=1,'Deal Terms'!CX$104-'Deal Terms'!CW$104,0))</f>
        <v>-0</v>
      </c>
      <c r="CY197" s="13" t="n">
        <f aca="false">IF(CY$3&lt;6,0,-SUMPRODUCT(('Deal Terms'!$D$4:$D$47=1)*('Deal Terms'!$G$4:$G$47=CY$3)*('Deal Terms'!$K$4:$K$47&gt;0),'Deal Terms'!$K$4:$K$47)-IF('Deal Terms'!$O$1=1,'Deal Terms'!CY$104-'Deal Terms'!CX$104,0))</f>
        <v>-0</v>
      </c>
      <c r="CZ197" s="13" t="n">
        <f aca="false">IF(CZ$3&lt;6,0,-SUMPRODUCT(('Deal Terms'!$D$4:$D$47=1)*('Deal Terms'!$G$4:$G$47=CZ$3)*('Deal Terms'!$K$4:$K$47&gt;0),'Deal Terms'!$K$4:$K$47)-IF('Deal Terms'!$O$1=1,'Deal Terms'!CZ$104-'Deal Terms'!CY$104,0))</f>
        <v>-0</v>
      </c>
      <c r="DA197" s="13" t="n">
        <f aca="false">IF(DA$3&lt;6,0,-SUMPRODUCT(('Deal Terms'!$D$4:$D$47=1)*('Deal Terms'!$G$4:$G$47=DA$3)*('Deal Terms'!$K$4:$K$47&gt;0),'Deal Terms'!$K$4:$K$47)-IF('Deal Terms'!$O$1=1,'Deal Terms'!DA$104-'Deal Terms'!CZ$104,0))</f>
        <v>-0</v>
      </c>
      <c r="DB197" s="13" t="n">
        <f aca="false">IF(DB$3&lt;6,0,-SUMPRODUCT(('Deal Terms'!$D$4:$D$47=1)*('Deal Terms'!$G$4:$G$47=DB$3)*('Deal Terms'!$K$4:$K$47&gt;0),'Deal Terms'!$K$4:$K$47)-IF('Deal Terms'!$O$1=1,'Deal Terms'!DB$104-'Deal Terms'!DA$104,0))</f>
        <v>-0</v>
      </c>
      <c r="DC197" s="13" t="n">
        <f aca="false">IF(DC$3&lt;6,0,-SUMPRODUCT(('Deal Terms'!$D$4:$D$47=1)*('Deal Terms'!$G$4:$G$47=DC$3)*('Deal Terms'!$K$4:$K$47&gt;0),'Deal Terms'!$K$4:$K$47)-IF('Deal Terms'!$O$1=1,'Deal Terms'!DC$104-'Deal Terms'!DB$104,0))</f>
        <v>-0</v>
      </c>
      <c r="DD197" s="13" t="n">
        <f aca="false">IF(DD$3&lt;6,0,-SUMPRODUCT(('Deal Terms'!$D$4:$D$47=1)*('Deal Terms'!$G$4:$G$47=DD$3)*('Deal Terms'!$K$4:$K$47&gt;0),'Deal Terms'!$K$4:$K$47)-IF('Deal Terms'!$O$1=1,'Deal Terms'!DD$104-'Deal Terms'!DC$104,0))</f>
        <v>-0</v>
      </c>
      <c r="DE197" s="13" t="n">
        <f aca="false">IF(DE$3&lt;6,0,-SUMPRODUCT(('Deal Terms'!$D$4:$D$47=1)*('Deal Terms'!$G$4:$G$47=DE$3)*('Deal Terms'!$K$4:$K$47&gt;0),'Deal Terms'!$K$4:$K$47)-IF('Deal Terms'!$O$1=1,'Deal Terms'!DE$104-'Deal Terms'!DD$104,0))</f>
        <v>-0</v>
      </c>
    </row>
    <row r="198" customFormat="false" ht="15" hidden="false" customHeight="true" outlineLevel="0" collapsed="false">
      <c r="A198" s="22" t="s">
        <v>60</v>
      </c>
      <c r="B198" s="13" t="n">
        <f aca="false">IF(B$3&lt;6,0,-SUMPRODUCT(('Deal Terms'!$E$4:$E$47=1)*('Deal Terms'!$G$4:$G$47=B$3)*('Deal Terms'!$K$4:$K$47&gt;0)*'Deal Terms'!$L$4:$L$47,'Deal Terms'!$K$4:$K$47))</f>
        <v>0</v>
      </c>
      <c r="C198" s="13" t="n">
        <f aca="false">IF(C$3&lt;6,0,-SUMPRODUCT(('Deal Terms'!$E$4:$E$47=1)*('Deal Terms'!$G$4:$G$47=C$3)*('Deal Terms'!$K$4:$K$47&gt;0)*'Deal Terms'!$L$4:$L$47,'Deal Terms'!$K$4:$K$47))</f>
        <v>0</v>
      </c>
      <c r="D198" s="13" t="n">
        <f aca="false">IF(D$3&lt;6,0,-SUMPRODUCT(('Deal Terms'!$E$4:$E$47=1)*('Deal Terms'!$G$4:$G$47=D$3)*('Deal Terms'!$K$4:$K$47&gt;0)*'Deal Terms'!$L$4:$L$47,'Deal Terms'!$K$4:$K$47))</f>
        <v>0</v>
      </c>
      <c r="E198" s="13" t="n">
        <f aca="false">IF(E$3&lt;6,0,-SUMPRODUCT(('Deal Terms'!$E$4:$E$47=1)*('Deal Terms'!$G$4:$G$47=E$3)*('Deal Terms'!$K$4:$K$47&gt;0)*'Deal Terms'!$L$4:$L$47,'Deal Terms'!$K$4:$K$47))</f>
        <v>0</v>
      </c>
      <c r="F198" s="13" t="n">
        <f aca="false">IF(F$3&lt;6,0,-SUMPRODUCT(('Deal Terms'!$E$4:$E$47=1)*('Deal Terms'!$G$4:$G$47=F$3)*('Deal Terms'!$K$4:$K$47&gt;0)*'Deal Terms'!$L$4:$L$47,'Deal Terms'!$K$4:$K$47))</f>
        <v>0</v>
      </c>
      <c r="G198" s="13" t="n">
        <f aca="false">IF(G$3&lt;6,0,-SUMPRODUCT(('Deal Terms'!$E$4:$E$47=1)*('Deal Terms'!$G$4:$G$47=G$3)*('Deal Terms'!$K$4:$K$47&gt;0)*'Deal Terms'!$L$4:$L$47,'Deal Terms'!$K$4:$K$47))</f>
        <v>0</v>
      </c>
      <c r="H198" s="13" t="n">
        <f aca="false">IF(H$3&lt;6,0,-SUMPRODUCT(('Deal Terms'!$E$4:$E$47=1)*('Deal Terms'!$G$4:$G$47=H$3)*('Deal Terms'!$K$4:$K$47&gt;0)*'Deal Terms'!$L$4:$L$47,'Deal Terms'!$K$4:$K$47))</f>
        <v>0</v>
      </c>
      <c r="I198" s="13" t="n">
        <f aca="false">IF(I$3&lt;6,0,-SUMPRODUCT(('Deal Terms'!$E$4:$E$47=1)*('Deal Terms'!$G$4:$G$47=I$3)*('Deal Terms'!$K$4:$K$47&gt;0)*'Deal Terms'!$L$4:$L$47,'Deal Terms'!$K$4:$K$47))</f>
        <v>0</v>
      </c>
      <c r="J198" s="13" t="n">
        <f aca="false">IF(J$3&lt;6,0,-SUMPRODUCT(('Deal Terms'!$E$4:$E$47=1)*('Deal Terms'!$G$4:$G$47=J$3)*('Deal Terms'!$K$4:$K$47&gt;0)*'Deal Terms'!$L$4:$L$47,'Deal Terms'!$K$4:$K$47))</f>
        <v>-0</v>
      </c>
      <c r="K198" s="13" t="n">
        <f aca="false">IF(K$3&lt;6,0,-SUMPRODUCT(('Deal Terms'!$E$4:$E$47=1)*('Deal Terms'!$G$4:$G$47=K$3)*('Deal Terms'!$K$4:$K$47&gt;0)*'Deal Terms'!$L$4:$L$47,'Deal Terms'!$K$4:$K$47))</f>
        <v>-0</v>
      </c>
      <c r="L198" s="13" t="n">
        <f aca="false">IF(L$3&lt;6,0,-SUMPRODUCT(('Deal Terms'!$E$4:$E$47=1)*('Deal Terms'!$G$4:$G$47=L$3)*('Deal Terms'!$K$4:$K$47&gt;0)*'Deal Terms'!$L$4:$L$47,'Deal Terms'!$K$4:$K$47))</f>
        <v>-0</v>
      </c>
      <c r="M198" s="13" t="n">
        <f aca="false">IF(M$3&lt;6,0,-SUMPRODUCT(('Deal Terms'!$E$4:$E$47=1)*('Deal Terms'!$G$4:$G$47=M$3)*('Deal Terms'!$K$4:$K$47&gt;0)*'Deal Terms'!$L$4:$L$47,'Deal Terms'!$K$4:$K$47))</f>
        <v>-74091.8856037736</v>
      </c>
      <c r="N198" s="13" t="n">
        <f aca="false">IF(N$3&lt;6,0,-SUMPRODUCT(('Deal Terms'!$E$4:$E$47=1)*('Deal Terms'!$G$4:$G$47=N$3)*('Deal Terms'!$K$4:$K$47&gt;0)*'Deal Terms'!$L$4:$L$47,'Deal Terms'!$K$4:$K$47))</f>
        <v>-0</v>
      </c>
      <c r="O198" s="13" t="n">
        <f aca="false">IF(O$3&lt;6,0,-SUMPRODUCT(('Deal Terms'!$E$4:$E$47=1)*('Deal Terms'!$G$4:$G$47=O$3)*('Deal Terms'!$K$4:$K$47&gt;0)*'Deal Terms'!$L$4:$L$47,'Deal Terms'!$K$4:$K$47))</f>
        <v>-0</v>
      </c>
      <c r="P198" s="13" t="n">
        <f aca="false">IF(P$3&lt;6,0,-SUMPRODUCT(('Deal Terms'!$E$4:$E$47=1)*('Deal Terms'!$G$4:$G$47=P$3)*('Deal Terms'!$K$4:$K$47&gt;0)*'Deal Terms'!$L$4:$L$47,'Deal Terms'!$K$4:$K$47))</f>
        <v>-0</v>
      </c>
      <c r="Q198" s="13" t="n">
        <f aca="false">IF(Q$3&lt;6,0,-SUMPRODUCT(('Deal Terms'!$E$4:$E$47=1)*('Deal Terms'!$G$4:$G$47=Q$3)*('Deal Terms'!$K$4:$K$47&gt;0)*'Deal Terms'!$L$4:$L$47,'Deal Terms'!$K$4:$K$47))</f>
        <v>-0</v>
      </c>
      <c r="R198" s="13" t="n">
        <f aca="false">IF(R$3&lt;6,0,-SUMPRODUCT(('Deal Terms'!$E$4:$E$47=1)*('Deal Terms'!$G$4:$G$47=R$3)*('Deal Terms'!$K$4:$K$47&gt;0)*'Deal Terms'!$L$4:$L$47,'Deal Terms'!$K$4:$K$47))</f>
        <v>-0</v>
      </c>
      <c r="S198" s="13" t="n">
        <f aca="false">IF(S$3&lt;6,0,-SUMPRODUCT(('Deal Terms'!$E$4:$E$47=1)*('Deal Terms'!$G$4:$G$47=S$3)*('Deal Terms'!$K$4:$K$47&gt;0)*'Deal Terms'!$L$4:$L$47,'Deal Terms'!$K$4:$K$47))</f>
        <v>-1690.5</v>
      </c>
      <c r="T198" s="13" t="n">
        <f aca="false">IF(T$3&lt;6,0,-SUMPRODUCT(('Deal Terms'!$E$4:$E$47=1)*('Deal Terms'!$G$4:$G$47=T$3)*('Deal Terms'!$K$4:$K$47&gt;0)*'Deal Terms'!$L$4:$L$47,'Deal Terms'!$K$4:$K$47))</f>
        <v>-0</v>
      </c>
      <c r="U198" s="13" t="n">
        <f aca="false">IF(U$3&lt;6,0,-SUMPRODUCT(('Deal Terms'!$E$4:$E$47=1)*('Deal Terms'!$G$4:$G$47=U$3)*('Deal Terms'!$K$4:$K$47&gt;0)*'Deal Terms'!$L$4:$L$47,'Deal Terms'!$K$4:$K$47))</f>
        <v>-0</v>
      </c>
      <c r="V198" s="13" t="n">
        <f aca="false">IF(V$3&lt;6,0,-SUMPRODUCT(('Deal Terms'!$E$4:$E$47=1)*('Deal Terms'!$G$4:$G$47=V$3)*('Deal Terms'!$K$4:$K$47&gt;0)*'Deal Terms'!$L$4:$L$47,'Deal Terms'!$K$4:$K$47))</f>
        <v>-0</v>
      </c>
      <c r="W198" s="13" t="n">
        <f aca="false">IF(W$3&lt;6,0,-SUMPRODUCT(('Deal Terms'!$E$4:$E$47=1)*('Deal Terms'!$G$4:$G$47=W$3)*('Deal Terms'!$K$4:$K$47&gt;0)*'Deal Terms'!$L$4:$L$47,'Deal Terms'!$K$4:$K$47))</f>
        <v>-0</v>
      </c>
      <c r="X198" s="13" t="n">
        <f aca="false">IF(X$3&lt;6,0,-SUMPRODUCT(('Deal Terms'!$E$4:$E$47=1)*('Deal Terms'!$G$4:$G$47=X$3)*('Deal Terms'!$K$4:$K$47&gt;0)*'Deal Terms'!$L$4:$L$47,'Deal Terms'!$K$4:$K$47))</f>
        <v>-0</v>
      </c>
      <c r="Y198" s="13" t="n">
        <f aca="false">IF(Y$3&lt;6,0,-SUMPRODUCT(('Deal Terms'!$E$4:$E$47=1)*('Deal Terms'!$G$4:$G$47=Y$3)*('Deal Terms'!$K$4:$K$47&gt;0)*'Deal Terms'!$L$4:$L$47,'Deal Terms'!$K$4:$K$47))</f>
        <v>-0</v>
      </c>
      <c r="Z198" s="13" t="n">
        <f aca="false">IF(Z$3&lt;6,0,-SUMPRODUCT(('Deal Terms'!$E$4:$E$47=1)*('Deal Terms'!$G$4:$G$47=Z$3)*('Deal Terms'!$K$4:$K$47&gt;0)*'Deal Terms'!$L$4:$L$47,'Deal Terms'!$K$4:$K$47))</f>
        <v>-0</v>
      </c>
      <c r="AA198" s="13" t="n">
        <f aca="false">IF(AA$3&lt;6,0,-SUMPRODUCT(('Deal Terms'!$E$4:$E$47=1)*('Deal Terms'!$G$4:$G$47=AA$3)*('Deal Terms'!$K$4:$K$47&gt;0)*'Deal Terms'!$L$4:$L$47,'Deal Terms'!$K$4:$K$47))</f>
        <v>-0</v>
      </c>
      <c r="AB198" s="13" t="n">
        <f aca="false">IF(AB$3&lt;6,0,-SUMPRODUCT(('Deal Terms'!$E$4:$E$47=1)*('Deal Terms'!$G$4:$G$47=AB$3)*('Deal Terms'!$K$4:$K$47&gt;0)*'Deal Terms'!$L$4:$L$47,'Deal Terms'!$K$4:$K$47))</f>
        <v>-0</v>
      </c>
      <c r="AC198" s="13" t="n">
        <f aca="false">IF(AC$3&lt;6,0,-SUMPRODUCT(('Deal Terms'!$E$4:$E$47=1)*('Deal Terms'!$G$4:$G$47=AC$3)*('Deal Terms'!$K$4:$K$47&gt;0)*'Deal Terms'!$L$4:$L$47,'Deal Terms'!$K$4:$K$47))</f>
        <v>-0</v>
      </c>
      <c r="AD198" s="13" t="n">
        <f aca="false">IF(AD$3&lt;6,0,-SUMPRODUCT(('Deal Terms'!$E$4:$E$47=1)*('Deal Terms'!$G$4:$G$47=AD$3)*('Deal Terms'!$K$4:$K$47&gt;0)*'Deal Terms'!$L$4:$L$47,'Deal Terms'!$K$4:$K$47))</f>
        <v>-0</v>
      </c>
      <c r="AE198" s="13" t="n">
        <f aca="false">IF(AE$3&lt;6,0,-SUMPRODUCT(('Deal Terms'!$E$4:$E$47=1)*('Deal Terms'!$G$4:$G$47=AE$3)*('Deal Terms'!$K$4:$K$47&gt;0)*'Deal Terms'!$L$4:$L$47,'Deal Terms'!$K$4:$K$47))</f>
        <v>-0</v>
      </c>
      <c r="AF198" s="13" t="n">
        <f aca="false">IF(AF$3&lt;6,0,-SUMPRODUCT(('Deal Terms'!$E$4:$E$47=1)*('Deal Terms'!$G$4:$G$47=AF$3)*('Deal Terms'!$K$4:$K$47&gt;0)*'Deal Terms'!$L$4:$L$47,'Deal Terms'!$K$4:$K$47))</f>
        <v>-0</v>
      </c>
      <c r="AG198" s="13" t="n">
        <f aca="false">IF(AG$3&lt;6,0,-SUMPRODUCT(('Deal Terms'!$E$4:$E$47=1)*('Deal Terms'!$G$4:$G$47=AG$3)*('Deal Terms'!$K$4:$K$47&gt;0)*'Deal Terms'!$L$4:$L$47,'Deal Terms'!$K$4:$K$47))</f>
        <v>-0</v>
      </c>
      <c r="AH198" s="13" t="n">
        <f aca="false">IF(AH$3&lt;6,0,-SUMPRODUCT(('Deal Terms'!$E$4:$E$47=1)*('Deal Terms'!$G$4:$G$47=AH$3)*('Deal Terms'!$K$4:$K$47&gt;0)*'Deal Terms'!$L$4:$L$47,'Deal Terms'!$K$4:$K$47))</f>
        <v>-0</v>
      </c>
      <c r="AI198" s="13" t="n">
        <f aca="false">IF(AI$3&lt;6,0,-SUMPRODUCT(('Deal Terms'!$E$4:$E$47=1)*('Deal Terms'!$G$4:$G$47=AI$3)*('Deal Terms'!$K$4:$K$47&gt;0)*'Deal Terms'!$L$4:$L$47,'Deal Terms'!$K$4:$K$47))</f>
        <v>-0</v>
      </c>
      <c r="AJ198" s="13" t="n">
        <f aca="false">IF(AJ$3&lt;6,0,-SUMPRODUCT(('Deal Terms'!$E$4:$E$47=1)*('Deal Terms'!$G$4:$G$47=AJ$3)*('Deal Terms'!$K$4:$K$47&gt;0)*'Deal Terms'!$L$4:$L$47,'Deal Terms'!$K$4:$K$47))</f>
        <v>-0</v>
      </c>
      <c r="AK198" s="13" t="n">
        <f aca="false">IF(AK$3&lt;6,0,-SUMPRODUCT(('Deal Terms'!$E$4:$E$47=1)*('Deal Terms'!$G$4:$G$47=AK$3)*('Deal Terms'!$K$4:$K$47&gt;0)*'Deal Terms'!$L$4:$L$47,'Deal Terms'!$K$4:$K$47))</f>
        <v>-0</v>
      </c>
      <c r="AL198" s="13" t="n">
        <f aca="false">IF(AL$3&lt;6,0,-SUMPRODUCT(('Deal Terms'!$E$4:$E$47=1)*('Deal Terms'!$G$4:$G$47=AL$3)*('Deal Terms'!$K$4:$K$47&gt;0)*'Deal Terms'!$L$4:$L$47,'Deal Terms'!$K$4:$K$47))</f>
        <v>-0</v>
      </c>
      <c r="AM198" s="13" t="n">
        <f aca="false">IF(AM$3&lt;6,0,-SUMPRODUCT(('Deal Terms'!$E$4:$E$47=1)*('Deal Terms'!$G$4:$G$47=AM$3)*('Deal Terms'!$K$4:$K$47&gt;0)*'Deal Terms'!$L$4:$L$47,'Deal Terms'!$K$4:$K$47))</f>
        <v>-0</v>
      </c>
      <c r="AN198" s="13" t="n">
        <f aca="false">IF(AN$3&lt;6,0,-SUMPRODUCT(('Deal Terms'!$E$4:$E$47=1)*('Deal Terms'!$G$4:$G$47=AN$3)*('Deal Terms'!$K$4:$K$47&gt;0)*'Deal Terms'!$L$4:$L$47,'Deal Terms'!$K$4:$K$47))</f>
        <v>-0</v>
      </c>
      <c r="AO198" s="13" t="n">
        <f aca="false">IF(AO$3&lt;6,0,-SUMPRODUCT(('Deal Terms'!$E$4:$E$47=1)*('Deal Terms'!$G$4:$G$47=AO$3)*('Deal Terms'!$K$4:$K$47&gt;0)*'Deal Terms'!$L$4:$L$47,'Deal Terms'!$K$4:$K$47))</f>
        <v>-0</v>
      </c>
      <c r="AP198" s="13" t="n">
        <f aca="false">IF(AP$3&lt;6,0,-SUMPRODUCT(('Deal Terms'!$E$4:$E$47=1)*('Deal Terms'!$G$4:$G$47=AP$3)*('Deal Terms'!$K$4:$K$47&gt;0)*'Deal Terms'!$L$4:$L$47,'Deal Terms'!$K$4:$K$47))</f>
        <v>-0</v>
      </c>
      <c r="AQ198" s="13" t="n">
        <f aca="false">IF(AQ$3&lt;6,0,-SUMPRODUCT(('Deal Terms'!$E$4:$E$47=1)*('Deal Terms'!$G$4:$G$47=AQ$3)*('Deal Terms'!$K$4:$K$47&gt;0)*'Deal Terms'!$L$4:$L$47,'Deal Terms'!$K$4:$K$47))</f>
        <v>-0</v>
      </c>
      <c r="AR198" s="13" t="n">
        <f aca="false">IF(AR$3&lt;6,0,-SUMPRODUCT(('Deal Terms'!$E$4:$E$47=1)*('Deal Terms'!$G$4:$G$47=AR$3)*('Deal Terms'!$K$4:$K$47&gt;0)*'Deal Terms'!$L$4:$L$47,'Deal Terms'!$K$4:$K$47))</f>
        <v>-0</v>
      </c>
      <c r="AS198" s="13" t="n">
        <f aca="false">IF(AS$3&lt;6,0,-SUMPRODUCT(('Deal Terms'!$E$4:$E$47=1)*('Deal Terms'!$G$4:$G$47=AS$3)*('Deal Terms'!$K$4:$K$47&gt;0)*'Deal Terms'!$L$4:$L$47,'Deal Terms'!$K$4:$K$47))</f>
        <v>-0</v>
      </c>
      <c r="AT198" s="13" t="n">
        <f aca="false">IF(AT$3&lt;6,0,-SUMPRODUCT(('Deal Terms'!$E$4:$E$47=1)*('Deal Terms'!$G$4:$G$47=AT$3)*('Deal Terms'!$K$4:$K$47&gt;0)*'Deal Terms'!$L$4:$L$47,'Deal Terms'!$K$4:$K$47))</f>
        <v>-0</v>
      </c>
      <c r="AU198" s="13" t="n">
        <f aca="false">IF(AU$3&lt;6,0,-SUMPRODUCT(('Deal Terms'!$E$4:$E$47=1)*('Deal Terms'!$G$4:$G$47=AU$3)*('Deal Terms'!$K$4:$K$47&gt;0)*'Deal Terms'!$L$4:$L$47,'Deal Terms'!$K$4:$K$47))</f>
        <v>-0</v>
      </c>
      <c r="AV198" s="13" t="n">
        <f aca="false">IF(AV$3&lt;6,0,-SUMPRODUCT(('Deal Terms'!$E$4:$E$47=1)*('Deal Terms'!$G$4:$G$47=AV$3)*('Deal Terms'!$K$4:$K$47&gt;0)*'Deal Terms'!$L$4:$L$47,'Deal Terms'!$K$4:$K$47))</f>
        <v>-0</v>
      </c>
      <c r="AW198" s="13" t="n">
        <f aca="false">IF(AW$3&lt;6,0,-SUMPRODUCT(('Deal Terms'!$E$4:$E$47=1)*('Deal Terms'!$G$4:$G$47=AW$3)*('Deal Terms'!$K$4:$K$47&gt;0)*'Deal Terms'!$L$4:$L$47,'Deal Terms'!$K$4:$K$47))</f>
        <v>-0</v>
      </c>
      <c r="AX198" s="13" t="n">
        <f aca="false">IF(AX$3&lt;6,0,-SUMPRODUCT(('Deal Terms'!$E$4:$E$47=1)*('Deal Terms'!$G$4:$G$47=AX$3)*('Deal Terms'!$K$4:$K$47&gt;0)*'Deal Terms'!$L$4:$L$47,'Deal Terms'!$K$4:$K$47))</f>
        <v>-0</v>
      </c>
      <c r="AY198" s="13" t="n">
        <f aca="false">IF(AY$3&lt;6,0,-SUMPRODUCT(('Deal Terms'!$E$4:$E$47=1)*('Deal Terms'!$G$4:$G$47=AY$3)*('Deal Terms'!$K$4:$K$47&gt;0)*'Deal Terms'!$L$4:$L$47,'Deal Terms'!$K$4:$K$47))</f>
        <v>-0</v>
      </c>
      <c r="AZ198" s="13" t="n">
        <f aca="false">IF(AZ$3&lt;6,0,-SUMPRODUCT(('Deal Terms'!$E$4:$E$47=1)*('Deal Terms'!$G$4:$G$47=AZ$3)*('Deal Terms'!$K$4:$K$47&gt;0)*'Deal Terms'!$L$4:$L$47,'Deal Terms'!$K$4:$K$47))</f>
        <v>-0</v>
      </c>
      <c r="BA198" s="13" t="n">
        <f aca="false">IF(BA$3&lt;6,0,-SUMPRODUCT(('Deal Terms'!$E$4:$E$47=1)*('Deal Terms'!$G$4:$G$47=BA$3)*('Deal Terms'!$K$4:$K$47&gt;0)*'Deal Terms'!$L$4:$L$47,'Deal Terms'!$K$4:$K$47))</f>
        <v>-0</v>
      </c>
      <c r="BB198" s="13" t="n">
        <f aca="false">IF(BB$3&lt;6,0,-SUMPRODUCT(('Deal Terms'!$E$4:$E$47=1)*('Deal Terms'!$G$4:$G$47=BB$3)*('Deal Terms'!$K$4:$K$47&gt;0)*'Deal Terms'!$L$4:$L$47,'Deal Terms'!$K$4:$K$47))</f>
        <v>-0</v>
      </c>
      <c r="BC198" s="13" t="n">
        <f aca="false">IF(BC$3&lt;6,0,-SUMPRODUCT(('Deal Terms'!$E$4:$E$47=1)*('Deal Terms'!$G$4:$G$47=BC$3)*('Deal Terms'!$K$4:$K$47&gt;0)*'Deal Terms'!$L$4:$L$47,'Deal Terms'!$K$4:$K$47))</f>
        <v>-0</v>
      </c>
      <c r="BD198" s="13" t="n">
        <f aca="false">IF(BD$3&lt;6,0,-SUMPRODUCT(('Deal Terms'!$E$4:$E$47=1)*('Deal Terms'!$G$4:$G$47=BD$3)*('Deal Terms'!$K$4:$K$47&gt;0)*'Deal Terms'!$L$4:$L$47,'Deal Terms'!$K$4:$K$47))</f>
        <v>-0</v>
      </c>
      <c r="BE198" s="13" t="n">
        <f aca="false">IF(BE$3&lt;6,0,-SUMPRODUCT(('Deal Terms'!$E$4:$E$47=1)*('Deal Terms'!$G$4:$G$47=BE$3)*('Deal Terms'!$K$4:$K$47&gt;0)*'Deal Terms'!$L$4:$L$47,'Deal Terms'!$K$4:$K$47))</f>
        <v>-0</v>
      </c>
      <c r="BF198" s="13" t="n">
        <f aca="false">IF(BF$3&lt;6,0,-SUMPRODUCT(('Deal Terms'!$E$4:$E$47=1)*('Deal Terms'!$G$4:$G$47=BF$3)*('Deal Terms'!$K$4:$K$47&gt;0)*'Deal Terms'!$L$4:$L$47,'Deal Terms'!$K$4:$K$47))</f>
        <v>-0</v>
      </c>
      <c r="BG198" s="13" t="n">
        <f aca="false">IF(BG$3&lt;6,0,-SUMPRODUCT(('Deal Terms'!$E$4:$E$47=1)*('Deal Terms'!$G$4:$G$47=BG$3)*('Deal Terms'!$K$4:$K$47&gt;0)*'Deal Terms'!$L$4:$L$47,'Deal Terms'!$K$4:$K$47))</f>
        <v>-0</v>
      </c>
      <c r="BH198" s="13" t="n">
        <f aca="false">IF(BH$3&lt;6,0,-SUMPRODUCT(('Deal Terms'!$E$4:$E$47=1)*('Deal Terms'!$G$4:$G$47=BH$3)*('Deal Terms'!$K$4:$K$47&gt;0)*'Deal Terms'!$L$4:$L$47,'Deal Terms'!$K$4:$K$47))</f>
        <v>-0</v>
      </c>
      <c r="BI198" s="13" t="n">
        <f aca="false">IF(BI$3&lt;6,0,-SUMPRODUCT(('Deal Terms'!$E$4:$E$47=1)*('Deal Terms'!$G$4:$G$47=BI$3)*('Deal Terms'!$K$4:$K$47&gt;0)*'Deal Terms'!$L$4:$L$47,'Deal Terms'!$K$4:$K$47))</f>
        <v>-0</v>
      </c>
      <c r="BJ198" s="13" t="n">
        <f aca="false">IF(BJ$3&lt;6,0,-SUMPRODUCT(('Deal Terms'!$E$4:$E$47=1)*('Deal Terms'!$G$4:$G$47=BJ$3)*('Deal Terms'!$K$4:$K$47&gt;0)*'Deal Terms'!$L$4:$L$47,'Deal Terms'!$K$4:$K$47))</f>
        <v>-0</v>
      </c>
      <c r="BK198" s="13" t="n">
        <f aca="false">IF(BK$3&lt;6,0,-SUMPRODUCT(('Deal Terms'!$E$4:$E$47=1)*('Deal Terms'!$G$4:$G$47=BK$3)*('Deal Terms'!$K$4:$K$47&gt;0)*'Deal Terms'!$L$4:$L$47,'Deal Terms'!$K$4:$K$47))</f>
        <v>-0</v>
      </c>
      <c r="BL198" s="13" t="n">
        <f aca="false">IF(BL$3&lt;6,0,-SUMPRODUCT(('Deal Terms'!$E$4:$E$47=1)*('Deal Terms'!$G$4:$G$47=BL$3)*('Deal Terms'!$K$4:$K$47&gt;0)*'Deal Terms'!$L$4:$L$47,'Deal Terms'!$K$4:$K$47))</f>
        <v>-0</v>
      </c>
      <c r="BM198" s="13" t="n">
        <f aca="false">IF(BM$3&lt;6,0,-SUMPRODUCT(('Deal Terms'!$E$4:$E$47=1)*('Deal Terms'!$G$4:$G$47=BM$3)*('Deal Terms'!$K$4:$K$47&gt;0)*'Deal Terms'!$L$4:$L$47,'Deal Terms'!$K$4:$K$47))</f>
        <v>-0</v>
      </c>
      <c r="BN198" s="13" t="n">
        <f aca="false">IF(BN$3&lt;6,0,-SUMPRODUCT(('Deal Terms'!$E$4:$E$47=1)*('Deal Terms'!$G$4:$G$47=BN$3)*('Deal Terms'!$K$4:$K$47&gt;0)*'Deal Terms'!$L$4:$L$47,'Deal Terms'!$K$4:$K$47))</f>
        <v>-0</v>
      </c>
      <c r="BO198" s="13" t="n">
        <f aca="false">IF(BO$3&lt;6,0,-SUMPRODUCT(('Deal Terms'!$E$4:$E$47=1)*('Deal Terms'!$G$4:$G$47=BO$3)*('Deal Terms'!$K$4:$K$47&gt;0)*'Deal Terms'!$L$4:$L$47,'Deal Terms'!$K$4:$K$47))</f>
        <v>-0</v>
      </c>
      <c r="BP198" s="13" t="n">
        <f aca="false">IF(BP$3&lt;6,0,-SUMPRODUCT(('Deal Terms'!$E$4:$E$47=1)*('Deal Terms'!$G$4:$G$47=BP$3)*('Deal Terms'!$K$4:$K$47&gt;0)*'Deal Terms'!$L$4:$L$47,'Deal Terms'!$K$4:$K$47))</f>
        <v>-0</v>
      </c>
      <c r="BQ198" s="13" t="n">
        <f aca="false">IF(BQ$3&lt;6,0,-SUMPRODUCT(('Deal Terms'!$E$4:$E$47=1)*('Deal Terms'!$G$4:$G$47=BQ$3)*('Deal Terms'!$K$4:$K$47&gt;0)*'Deal Terms'!$L$4:$L$47,'Deal Terms'!$K$4:$K$47))</f>
        <v>-0</v>
      </c>
      <c r="BR198" s="13" t="n">
        <f aca="false">IF(BR$3&lt;6,0,-SUMPRODUCT(('Deal Terms'!$E$4:$E$47=1)*('Deal Terms'!$G$4:$G$47=BR$3)*('Deal Terms'!$K$4:$K$47&gt;0)*'Deal Terms'!$L$4:$L$47,'Deal Terms'!$K$4:$K$47))</f>
        <v>-0</v>
      </c>
      <c r="BS198" s="13" t="n">
        <f aca="false">IF(BS$3&lt;6,0,-SUMPRODUCT(('Deal Terms'!$E$4:$E$47=1)*('Deal Terms'!$G$4:$G$47=BS$3)*('Deal Terms'!$K$4:$K$47&gt;0)*'Deal Terms'!$L$4:$L$47,'Deal Terms'!$K$4:$K$47))</f>
        <v>-0</v>
      </c>
      <c r="BT198" s="13" t="n">
        <f aca="false">IF(BT$3&lt;6,0,-SUMPRODUCT(('Deal Terms'!$E$4:$E$47=1)*('Deal Terms'!$G$4:$G$47=BT$3)*('Deal Terms'!$K$4:$K$47&gt;0)*'Deal Terms'!$L$4:$L$47,'Deal Terms'!$K$4:$K$47))</f>
        <v>-0</v>
      </c>
      <c r="BU198" s="13" t="n">
        <f aca="false">IF(BU$3&lt;6,0,-SUMPRODUCT(('Deal Terms'!$E$4:$E$47=1)*('Deal Terms'!$G$4:$G$47=BU$3)*('Deal Terms'!$K$4:$K$47&gt;0)*'Deal Terms'!$L$4:$L$47,'Deal Terms'!$K$4:$K$47))</f>
        <v>-0</v>
      </c>
      <c r="BV198" s="13" t="n">
        <f aca="false">IF(BV$3&lt;6,0,-SUMPRODUCT(('Deal Terms'!$E$4:$E$47=1)*('Deal Terms'!$G$4:$G$47=BV$3)*('Deal Terms'!$K$4:$K$47&gt;0)*'Deal Terms'!$L$4:$L$47,'Deal Terms'!$K$4:$K$47))</f>
        <v>-0</v>
      </c>
      <c r="BW198" s="13" t="n">
        <f aca="false">IF(BW$3&lt;6,0,-SUMPRODUCT(('Deal Terms'!$E$4:$E$47=1)*('Deal Terms'!$G$4:$G$47=BW$3)*('Deal Terms'!$K$4:$K$47&gt;0)*'Deal Terms'!$L$4:$L$47,'Deal Terms'!$K$4:$K$47))</f>
        <v>-0</v>
      </c>
      <c r="BX198" s="13" t="n">
        <f aca="false">IF(BX$3&lt;6,0,-SUMPRODUCT(('Deal Terms'!$E$4:$E$47=1)*('Deal Terms'!$G$4:$G$47=BX$3)*('Deal Terms'!$K$4:$K$47&gt;0)*'Deal Terms'!$L$4:$L$47,'Deal Terms'!$K$4:$K$47))</f>
        <v>-0</v>
      </c>
      <c r="BY198" s="13" t="n">
        <f aca="false">IF(BY$3&lt;6,0,-SUMPRODUCT(('Deal Terms'!$E$4:$E$47=1)*('Deal Terms'!$G$4:$G$47=BY$3)*('Deal Terms'!$K$4:$K$47&gt;0)*'Deal Terms'!$L$4:$L$47,'Deal Terms'!$K$4:$K$47))</f>
        <v>-0</v>
      </c>
      <c r="BZ198" s="13" t="n">
        <f aca="false">IF(BZ$3&lt;6,0,-SUMPRODUCT(('Deal Terms'!$E$4:$E$47=1)*('Deal Terms'!$G$4:$G$47=BZ$3)*('Deal Terms'!$K$4:$K$47&gt;0)*'Deal Terms'!$L$4:$L$47,'Deal Terms'!$K$4:$K$47))</f>
        <v>-0</v>
      </c>
      <c r="CA198" s="13" t="n">
        <f aca="false">IF(CA$3&lt;6,0,-SUMPRODUCT(('Deal Terms'!$E$4:$E$47=1)*('Deal Terms'!$G$4:$G$47=CA$3)*('Deal Terms'!$K$4:$K$47&gt;0)*'Deal Terms'!$L$4:$L$47,'Deal Terms'!$K$4:$K$47))</f>
        <v>-0</v>
      </c>
      <c r="CB198" s="13" t="n">
        <f aca="false">IF(CB$3&lt;6,0,-SUMPRODUCT(('Deal Terms'!$E$4:$E$47=1)*('Deal Terms'!$G$4:$G$47=CB$3)*('Deal Terms'!$K$4:$K$47&gt;0)*'Deal Terms'!$L$4:$L$47,'Deal Terms'!$K$4:$K$47))</f>
        <v>-0</v>
      </c>
      <c r="CC198" s="13" t="n">
        <f aca="false">IF(CC$3&lt;6,0,-SUMPRODUCT(('Deal Terms'!$E$4:$E$47=1)*('Deal Terms'!$G$4:$G$47=CC$3)*('Deal Terms'!$K$4:$K$47&gt;0)*'Deal Terms'!$L$4:$L$47,'Deal Terms'!$K$4:$K$47))</f>
        <v>-0</v>
      </c>
      <c r="CD198" s="13" t="n">
        <f aca="false">IF(CD$3&lt;6,0,-SUMPRODUCT(('Deal Terms'!$E$4:$E$47=1)*('Deal Terms'!$G$4:$G$47=CD$3)*('Deal Terms'!$K$4:$K$47&gt;0)*'Deal Terms'!$L$4:$L$47,'Deal Terms'!$K$4:$K$47))</f>
        <v>-0</v>
      </c>
      <c r="CE198" s="13" t="n">
        <f aca="false">IF(CE$3&lt;6,0,-SUMPRODUCT(('Deal Terms'!$E$4:$E$47=1)*('Deal Terms'!$G$4:$G$47=CE$3)*('Deal Terms'!$K$4:$K$47&gt;0)*'Deal Terms'!$L$4:$L$47,'Deal Terms'!$K$4:$K$47))</f>
        <v>-0</v>
      </c>
      <c r="CF198" s="13" t="n">
        <f aca="false">IF(CF$3&lt;6,0,-SUMPRODUCT(('Deal Terms'!$E$4:$E$47=1)*('Deal Terms'!$G$4:$G$47=CF$3)*('Deal Terms'!$K$4:$K$47&gt;0)*'Deal Terms'!$L$4:$L$47,'Deal Terms'!$K$4:$K$47))</f>
        <v>-0</v>
      </c>
      <c r="CG198" s="13" t="n">
        <f aca="false">IF(CG$3&lt;6,0,-SUMPRODUCT(('Deal Terms'!$E$4:$E$47=1)*('Deal Terms'!$G$4:$G$47=CG$3)*('Deal Terms'!$K$4:$K$47&gt;0)*'Deal Terms'!$L$4:$L$47,'Deal Terms'!$K$4:$K$47))</f>
        <v>-0</v>
      </c>
      <c r="CH198" s="13" t="n">
        <f aca="false">IF(CH$3&lt;6,0,-SUMPRODUCT(('Deal Terms'!$E$4:$E$47=1)*('Deal Terms'!$G$4:$G$47=CH$3)*('Deal Terms'!$K$4:$K$47&gt;0)*'Deal Terms'!$L$4:$L$47,'Deal Terms'!$K$4:$K$47))</f>
        <v>-0</v>
      </c>
      <c r="CI198" s="13" t="n">
        <f aca="false">IF(CI$3&lt;6,0,-SUMPRODUCT(('Deal Terms'!$E$4:$E$47=1)*('Deal Terms'!$G$4:$G$47=CI$3)*('Deal Terms'!$K$4:$K$47&gt;0)*'Deal Terms'!$L$4:$L$47,'Deal Terms'!$K$4:$K$47))</f>
        <v>-0</v>
      </c>
      <c r="CJ198" s="13" t="n">
        <f aca="false">IF(CJ$3&lt;6,0,-SUMPRODUCT(('Deal Terms'!$E$4:$E$47=1)*('Deal Terms'!$G$4:$G$47=CJ$3)*('Deal Terms'!$K$4:$K$47&gt;0)*'Deal Terms'!$L$4:$L$47,'Deal Terms'!$K$4:$K$47))</f>
        <v>-0</v>
      </c>
      <c r="CK198" s="13" t="n">
        <f aca="false">IF(CK$3&lt;6,0,-SUMPRODUCT(('Deal Terms'!$E$4:$E$47=1)*('Deal Terms'!$G$4:$G$47=CK$3)*('Deal Terms'!$K$4:$K$47&gt;0)*'Deal Terms'!$L$4:$L$47,'Deal Terms'!$K$4:$K$47))</f>
        <v>-0</v>
      </c>
      <c r="CL198" s="13" t="n">
        <f aca="false">IF(CL$3&lt;6,0,-SUMPRODUCT(('Deal Terms'!$E$4:$E$47=1)*('Deal Terms'!$G$4:$G$47=CL$3)*('Deal Terms'!$K$4:$K$47&gt;0)*'Deal Terms'!$L$4:$L$47,'Deal Terms'!$K$4:$K$47))</f>
        <v>-0</v>
      </c>
      <c r="CM198" s="13" t="n">
        <f aca="false">IF(CM$3&lt;6,0,-SUMPRODUCT(('Deal Terms'!$E$4:$E$47=1)*('Deal Terms'!$G$4:$G$47=CM$3)*('Deal Terms'!$K$4:$K$47&gt;0)*'Deal Terms'!$L$4:$L$47,'Deal Terms'!$K$4:$K$47))</f>
        <v>-0</v>
      </c>
      <c r="CN198" s="13" t="n">
        <f aca="false">IF(CN$3&lt;6,0,-SUMPRODUCT(('Deal Terms'!$E$4:$E$47=1)*('Deal Terms'!$G$4:$G$47=CN$3)*('Deal Terms'!$K$4:$K$47&gt;0)*'Deal Terms'!$L$4:$L$47,'Deal Terms'!$K$4:$K$47))</f>
        <v>-0</v>
      </c>
      <c r="CO198" s="13" t="n">
        <f aca="false">IF(CO$3&lt;6,0,-SUMPRODUCT(('Deal Terms'!$E$4:$E$47=1)*('Deal Terms'!$G$4:$G$47=CO$3)*('Deal Terms'!$K$4:$K$47&gt;0)*'Deal Terms'!$L$4:$L$47,'Deal Terms'!$K$4:$K$47))</f>
        <v>-0</v>
      </c>
      <c r="CP198" s="13" t="n">
        <f aca="false">IF(CP$3&lt;6,0,-SUMPRODUCT(('Deal Terms'!$E$4:$E$47=1)*('Deal Terms'!$G$4:$G$47=CP$3)*('Deal Terms'!$K$4:$K$47&gt;0)*'Deal Terms'!$L$4:$L$47,'Deal Terms'!$K$4:$K$47))</f>
        <v>-0</v>
      </c>
      <c r="CQ198" s="13" t="n">
        <f aca="false">IF(CQ$3&lt;6,0,-SUMPRODUCT(('Deal Terms'!$E$4:$E$47=1)*('Deal Terms'!$G$4:$G$47=CQ$3)*('Deal Terms'!$K$4:$K$47&gt;0)*'Deal Terms'!$L$4:$L$47,'Deal Terms'!$K$4:$K$47))</f>
        <v>-0</v>
      </c>
      <c r="CR198" s="13" t="n">
        <f aca="false">IF(CR$3&lt;6,0,-SUMPRODUCT(('Deal Terms'!$E$4:$E$47=1)*('Deal Terms'!$G$4:$G$47=CR$3)*('Deal Terms'!$K$4:$K$47&gt;0)*'Deal Terms'!$L$4:$L$47,'Deal Terms'!$K$4:$K$47))</f>
        <v>-0</v>
      </c>
      <c r="CS198" s="13" t="n">
        <f aca="false">IF(CS$3&lt;6,0,-SUMPRODUCT(('Deal Terms'!$E$4:$E$47=1)*('Deal Terms'!$G$4:$G$47=CS$3)*('Deal Terms'!$K$4:$K$47&gt;0)*'Deal Terms'!$L$4:$L$47,'Deal Terms'!$K$4:$K$47))</f>
        <v>-0</v>
      </c>
      <c r="CT198" s="13" t="n">
        <f aca="false">IF(CT$3&lt;6,0,-SUMPRODUCT(('Deal Terms'!$E$4:$E$47=1)*('Deal Terms'!$G$4:$G$47=CT$3)*('Deal Terms'!$K$4:$K$47&gt;0)*'Deal Terms'!$L$4:$L$47,'Deal Terms'!$K$4:$K$47))</f>
        <v>-0</v>
      </c>
      <c r="CU198" s="13" t="n">
        <f aca="false">IF(CU$3&lt;6,0,-SUMPRODUCT(('Deal Terms'!$E$4:$E$47=1)*('Deal Terms'!$G$4:$G$47=CU$3)*('Deal Terms'!$K$4:$K$47&gt;0)*'Deal Terms'!$L$4:$L$47,'Deal Terms'!$K$4:$K$47))</f>
        <v>-0</v>
      </c>
      <c r="CV198" s="13" t="n">
        <f aca="false">IF(CV$3&lt;6,0,-SUMPRODUCT(('Deal Terms'!$E$4:$E$47=1)*('Deal Terms'!$G$4:$G$47=CV$3)*('Deal Terms'!$K$4:$K$47&gt;0)*'Deal Terms'!$L$4:$L$47,'Deal Terms'!$K$4:$K$47))</f>
        <v>-0</v>
      </c>
      <c r="CW198" s="13" t="n">
        <f aca="false">IF(CW$3&lt;6,0,-SUMPRODUCT(('Deal Terms'!$E$4:$E$47=1)*('Deal Terms'!$G$4:$G$47=CW$3)*('Deal Terms'!$K$4:$K$47&gt;0)*'Deal Terms'!$L$4:$L$47,'Deal Terms'!$K$4:$K$47))</f>
        <v>-0</v>
      </c>
      <c r="CX198" s="13" t="n">
        <f aca="false">IF(CX$3&lt;6,0,-SUMPRODUCT(('Deal Terms'!$E$4:$E$47=1)*('Deal Terms'!$G$4:$G$47=CX$3)*('Deal Terms'!$K$4:$K$47&gt;0)*'Deal Terms'!$L$4:$L$47,'Deal Terms'!$K$4:$K$47))</f>
        <v>-0</v>
      </c>
      <c r="CY198" s="13" t="n">
        <f aca="false">IF(CY$3&lt;6,0,-SUMPRODUCT(('Deal Terms'!$E$4:$E$47=1)*('Deal Terms'!$G$4:$G$47=CY$3)*('Deal Terms'!$K$4:$K$47&gt;0)*'Deal Terms'!$L$4:$L$47,'Deal Terms'!$K$4:$K$47))</f>
        <v>-0</v>
      </c>
      <c r="CZ198" s="13" t="n">
        <f aca="false">IF(CZ$3&lt;6,0,-SUMPRODUCT(('Deal Terms'!$E$4:$E$47=1)*('Deal Terms'!$G$4:$G$47=CZ$3)*('Deal Terms'!$K$4:$K$47&gt;0)*'Deal Terms'!$L$4:$L$47,'Deal Terms'!$K$4:$K$47))</f>
        <v>-0</v>
      </c>
      <c r="DA198" s="13" t="n">
        <f aca="false">IF(DA$3&lt;6,0,-SUMPRODUCT(('Deal Terms'!$E$4:$E$47=1)*('Deal Terms'!$G$4:$G$47=DA$3)*('Deal Terms'!$K$4:$K$47&gt;0)*'Deal Terms'!$L$4:$L$47,'Deal Terms'!$K$4:$K$47))</f>
        <v>-0</v>
      </c>
      <c r="DB198" s="13" t="n">
        <f aca="false">IF(DB$3&lt;6,0,-SUMPRODUCT(('Deal Terms'!$E$4:$E$47=1)*('Deal Terms'!$G$4:$G$47=DB$3)*('Deal Terms'!$K$4:$K$47&gt;0)*'Deal Terms'!$L$4:$L$47,'Deal Terms'!$K$4:$K$47))</f>
        <v>-0</v>
      </c>
      <c r="DC198" s="13" t="n">
        <f aca="false">IF(DC$3&lt;6,0,-SUMPRODUCT(('Deal Terms'!$E$4:$E$47=1)*('Deal Terms'!$G$4:$G$47=DC$3)*('Deal Terms'!$K$4:$K$47&gt;0)*'Deal Terms'!$L$4:$L$47,'Deal Terms'!$K$4:$K$47))</f>
        <v>-0</v>
      </c>
      <c r="DD198" s="13" t="n">
        <f aca="false">IF(DD$3&lt;6,0,-SUMPRODUCT(('Deal Terms'!$E$4:$E$47=1)*('Deal Terms'!$G$4:$G$47=DD$3)*('Deal Terms'!$K$4:$K$47&gt;0)*'Deal Terms'!$L$4:$L$47,'Deal Terms'!$K$4:$K$47))</f>
        <v>-0</v>
      </c>
      <c r="DE198" s="13" t="n">
        <f aca="false">IF(DE$3&lt;6,0,-SUMPRODUCT(('Deal Terms'!$E$4:$E$47=1)*('Deal Terms'!$G$4:$G$47=DE$3)*('Deal Terms'!$K$4:$K$47&gt;0)*'Deal Terms'!$L$4:$L$47,'Deal Terms'!$K$4:$K$47))</f>
        <v>-0</v>
      </c>
    </row>
    <row r="199" customFormat="false" ht="15" hidden="false" customHeight="true" outlineLevel="0" collapsed="false">
      <c r="A199" s="31" t="s">
        <v>61</v>
      </c>
      <c r="B199" s="32" t="n">
        <f aca="false">B197+B198+B10+B11+B57+B104+B196</f>
        <v>218756.86</v>
      </c>
      <c r="C199" s="32" t="n">
        <f aca="false">C197+C198+C10+C11+C57+C104+C196</f>
        <v>-51000.77</v>
      </c>
      <c r="D199" s="32" t="n">
        <f aca="false">D197+D198+D10+D11+D57+D104+D196</f>
        <v>594184.52</v>
      </c>
      <c r="E199" s="32" t="n">
        <f aca="false">E197+E198+E10+E11+E57+E104+E196</f>
        <v>447358.25</v>
      </c>
      <c r="F199" s="32" t="n">
        <f aca="false">F197+F198+F10+F11+F57+F104+F196</f>
        <v>465536.7</v>
      </c>
      <c r="G199" s="32" t="n">
        <f aca="false">G197+G198+G10+G11+G57+G104+G196</f>
        <v>641351.13</v>
      </c>
      <c r="H199" s="32" t="n">
        <f aca="false">H197+H198+H10+H11+H57+H104+H196</f>
        <v>1766649.51</v>
      </c>
      <c r="I199" s="32" t="n">
        <f aca="false">I197+I198+I10+I11+I57+I104+I196</f>
        <v>-132141.505125</v>
      </c>
      <c r="J199" s="32" t="n">
        <f aca="false">J197+J198+J10+J11+J57+J104+J196</f>
        <v>702607.028396964</v>
      </c>
      <c r="K199" s="32" t="n">
        <f aca="false">K197+K198+K10+K11+K57+K104+K196</f>
        <v>770495.389718767</v>
      </c>
      <c r="L199" s="32" t="n">
        <f aca="false">L197+L198+L10+L11+L57+L104+L196</f>
        <v>609302.628116041</v>
      </c>
      <c r="M199" s="32" t="n">
        <f aca="false">M197+M198+M10+M11+M57+M104+M196</f>
        <v>202550.231435551</v>
      </c>
      <c r="N199" s="32" t="n">
        <f aca="false">N197+N198+N10+N11+N57+N104+N196</f>
        <v>921198.021338766</v>
      </c>
      <c r="O199" s="32" t="n">
        <f aca="false">O197+O198+O10+O11+O57+O104+O196</f>
        <v>831983.497819715</v>
      </c>
      <c r="P199" s="32" t="n">
        <f aca="false">P197+P198+P10+P11+P57+P104+P196</f>
        <v>852806.987819716</v>
      </c>
      <c r="Q199" s="32" t="n">
        <f aca="false">Q197+Q198+Q10+Q11+Q57+Q104+Q196</f>
        <v>169427.681211907</v>
      </c>
      <c r="R199" s="32" t="n">
        <f aca="false">R197+R198+R10+R11+R57+R104+R196</f>
        <v>736482.701731266</v>
      </c>
      <c r="S199" s="32" t="n">
        <f aca="false">S197+S198+S10+S11+S57+S104+S196</f>
        <v>861251.627420825</v>
      </c>
      <c r="T199" s="32" t="n">
        <f aca="false">T197+T198+T10+T11+T57+T104+T196</f>
        <v>922973.338934083</v>
      </c>
      <c r="U199" s="32" t="n">
        <f aca="false">U197+U198+U10+U11+U57+U104+U196</f>
        <v>1144080.80498088</v>
      </c>
      <c r="V199" s="32" t="n">
        <f aca="false">V197+V198+V10+V11+V57+V104+V196</f>
        <v>1222659.89498088</v>
      </c>
      <c r="W199" s="32" t="n">
        <f aca="false">W197+W198+W10+W11+W57+W104+W196</f>
        <v>1110973.59498088</v>
      </c>
      <c r="X199" s="32" t="n">
        <f aca="false">X197+X198+X10+X11+X57+X104+X196</f>
        <v>1404851.5398398</v>
      </c>
      <c r="Y199" s="32" t="n">
        <f aca="false">Y197+Y198+Y10+Y11+Y57+Y104+Y196</f>
        <v>1243090.7198398</v>
      </c>
      <c r="Z199" s="32" t="n">
        <f aca="false">Z197+Z198+Z10+Z11+Z57+Z104+Z196</f>
        <v>1369436.8998398</v>
      </c>
      <c r="AA199" s="32" t="n">
        <f aca="false">AA197+AA198+AA10+AA11+AA57+AA104+AA196</f>
        <v>1398675.55320094</v>
      </c>
      <c r="AB199" s="32" t="n">
        <f aca="false">AB197+AB198+AB10+AB11+AB57+AB104+AB196</f>
        <v>1320695.73110043</v>
      </c>
      <c r="AC199" s="32" t="n">
        <f aca="false">AC197+AC198+AC10+AC11+AC57+AC104+AC196</f>
        <v>1091970.26185688</v>
      </c>
      <c r="AD199" s="32" t="n">
        <f aca="false">AD197+AD198+AD10+AD11+AD57+AD104+AD196</f>
        <v>1114920.17185688</v>
      </c>
      <c r="AE199" s="32" t="n">
        <f aca="false">AE197+AE198+AE10+AE11+AE57+AE104+AE196</f>
        <v>530638.47976976</v>
      </c>
      <c r="AF199" s="32" t="n">
        <f aca="false">AF197+AF198+AF10+AF11+AF57+AF104+AF196</f>
        <v>1433131.63684014</v>
      </c>
      <c r="AG199" s="32" t="n">
        <f aca="false">AG197+AG198+AG10+AG11+AG57+AG104+AG196</f>
        <v>1451580.62509166</v>
      </c>
      <c r="AH199" s="32" t="n">
        <f aca="false">AH197+AH198+AH10+AH11+AH57+AH104+AH196</f>
        <v>1423239.20212976</v>
      </c>
      <c r="AI199" s="32" t="n">
        <f aca="false">AI197+AI198+AI10+AI11+AI57+AI104+AI196</f>
        <v>1507365.58212976</v>
      </c>
      <c r="AJ199" s="32" t="n">
        <f aca="false">AJ197+AJ198+AJ10+AJ11+AJ57+AJ104+AJ196</f>
        <v>1429400.32663805</v>
      </c>
      <c r="AK199" s="32" t="n">
        <f aca="false">AK197+AK198+AK10+AK11+AK57+AK104+AK196</f>
        <v>1414918.80967213</v>
      </c>
      <c r="AL199" s="32" t="n">
        <f aca="false">AL197+AL198+AL10+AL11+AL57+AL104+AL196</f>
        <v>1494288.17005258</v>
      </c>
      <c r="AM199" s="32" t="n">
        <f aca="false">AM197+AM198+AM10+AM11+AM57+AM104+AM196</f>
        <v>1392487.50978468</v>
      </c>
      <c r="AN199" s="32" t="n">
        <f aca="false">AN197+AN198+AN10+AN11+AN57+AN104+AN196</f>
        <v>1374298.70978468</v>
      </c>
      <c r="AO199" s="32" t="n">
        <f aca="false">AO197+AO198+AO10+AO11+AO57+AO104+AO196</f>
        <v>1424663.34978468</v>
      </c>
      <c r="AP199" s="32" t="n">
        <f aca="false">AP197+AP198+AP10+AP11+AP57+AP104+AP196</f>
        <v>1214025.10200143</v>
      </c>
      <c r="AQ199" s="32" t="n">
        <f aca="false">AQ197+AQ198+AQ10+AQ11+AQ57+AQ104+AQ196</f>
        <v>1623308.49978468</v>
      </c>
      <c r="AR199" s="32" t="n">
        <f aca="false">AR197+AR198+AR10+AR11+AR57+AR104+AR196</f>
        <v>1623308.49978468</v>
      </c>
      <c r="AS199" s="32" t="n">
        <f aca="false">AS197+AS198+AS10+AS11+AS57+AS104+AS196</f>
        <v>1623308.49978468</v>
      </c>
      <c r="AT199" s="32" t="n">
        <f aca="false">AT197+AT198+AT10+AT11+AT57+AT104+AT196</f>
        <v>2004145.98513818</v>
      </c>
      <c r="AU199" s="32" t="n">
        <f aca="false">AU197+AU198+AU10+AU11+AU57+AU104+AU196</f>
        <v>1601381.5439703</v>
      </c>
      <c r="AV199" s="32" t="n">
        <f aca="false">AV197+AV198+AV10+AV11+AV57+AV104+AV196</f>
        <v>1421765.14086855</v>
      </c>
      <c r="AW199" s="32" t="n">
        <f aca="false">AW197+AW198+AW10+AW11+AW57+AW104+AW196</f>
        <v>1421765.14086855</v>
      </c>
      <c r="AX199" s="32" t="n">
        <f aca="false">AX197+AX198+AX10+AX11+AX57+AX104+AX196</f>
        <v>1421765.14086855</v>
      </c>
      <c r="AY199" s="32" t="n">
        <f aca="false">AY197+AY198+AY10+AY11+AY57+AY104+AY196</f>
        <v>1530117.04086855</v>
      </c>
      <c r="AZ199" s="32" t="n">
        <f aca="false">AZ197+AZ198+AZ10+AZ11+AZ57+AZ104+AZ196</f>
        <v>1512058.39086855</v>
      </c>
      <c r="BA199" s="32" t="n">
        <f aca="false">BA197+BA198+BA10+BA11+BA57+BA104+BA196</f>
        <v>1493999.74086855</v>
      </c>
      <c r="BB199" s="32" t="n">
        <f aca="false">BB197+BB198+BB10+BB11+BB57+BB104+BB196</f>
        <v>1228174.61771584</v>
      </c>
      <c r="BC199" s="32" t="n">
        <f aca="false">BC197+BC198+BC10+BC11+BC57+BC104+BC196</f>
        <v>1493999.74086855</v>
      </c>
      <c r="BD199" s="32" t="n">
        <f aca="false">BD197+BD198+BD10+BD11+BD57+BD104+BD196</f>
        <v>1512058.39086855</v>
      </c>
      <c r="BE199" s="32" t="n">
        <f aca="false">BE197+BE198+BE10+BE11+BE57+BE104+BE196</f>
        <v>1530117.04086855</v>
      </c>
      <c r="BF199" s="32" t="n">
        <f aca="false">BF197+BF198+BF10+BF11+BF57+BF104+BF196</f>
        <v>1493999.74086855</v>
      </c>
      <c r="BG199" s="32" t="n">
        <f aca="false">BG197+BG198+BG10+BG11+BG57+BG104+BG196</f>
        <v>1512058.39086855</v>
      </c>
      <c r="BH199" s="32" t="n">
        <f aca="false">BH197+BH198+BH10+BH11+BH57+BH104+BH196</f>
        <v>1513228.19277144</v>
      </c>
      <c r="BI199" s="32" t="n">
        <f aca="false">BI197+BI198+BI10+BI11+BI57+BI104+BI196</f>
        <v>1246046.85</v>
      </c>
      <c r="BJ199" s="32" t="n">
        <f aca="false">BJ197+BJ198+BJ10+BJ11+BJ57+BJ104+BJ196</f>
        <v>1065460.35</v>
      </c>
      <c r="BK199" s="32" t="n">
        <f aca="false">BK197+BK198+BK10+BK11+BK57+BK104+BK196</f>
        <v>1065460.35</v>
      </c>
      <c r="BL199" s="32" t="n">
        <f aca="false">BL197+BL198+BL10+BL11+BL57+BL104+BL196</f>
        <v>1065460.35</v>
      </c>
      <c r="BM199" s="32" t="n">
        <f aca="false">BM197+BM198+BM10+BM11+BM57+BM104+BM196</f>
        <v>1173812.25</v>
      </c>
      <c r="BN199" s="32" t="n">
        <f aca="false">BN197+BN198+BN10+BN11+BN57+BN104+BN196</f>
        <v>1047401.7</v>
      </c>
      <c r="BO199" s="32" t="n">
        <f aca="false">BO197+BO198+BO10+BO11+BO57+BO104+BO196</f>
        <v>866815.199999999</v>
      </c>
      <c r="BP199" s="32" t="n">
        <f aca="false">BP197+BP198+BP10+BP11+BP57+BP104+BP196</f>
        <v>866815.2</v>
      </c>
      <c r="BQ199" s="32" t="n">
        <f aca="false">BQ197+BQ198+BQ10+BQ11+BQ57+BQ104+BQ196</f>
        <v>866815.2</v>
      </c>
      <c r="BR199" s="32" t="n">
        <f aca="false">BR197+BR198+BR10+BR11+BR57+BR104+BR196</f>
        <v>957108.45</v>
      </c>
      <c r="BS199" s="32" t="n">
        <f aca="false">BS197+BS198+BS10+BS11+BS57+BS104+BS196</f>
        <v>884873.85</v>
      </c>
      <c r="BT199" s="32" t="n">
        <f aca="false">BT197+BT198+BT10+BT11+BT57+BT104+BT196</f>
        <v>758463.3</v>
      </c>
      <c r="BU199" s="32" t="n">
        <f aca="false">BU197+BU198+BU10+BU11+BU57+BU104+BU196</f>
        <v>668170.05</v>
      </c>
      <c r="BV199" s="32" t="n">
        <f aca="false">BV197+BV198+BV10+BV11+BV57+BV104+BV196</f>
        <v>595935.45</v>
      </c>
      <c r="BW199" s="32" t="n">
        <f aca="false">BW197+BW198+BW10+BW11+BW57+BW104+BW196</f>
        <v>469524.9</v>
      </c>
      <c r="BX199" s="32" t="n">
        <f aca="false">BX197+BX198+BX10+BX11+BX57+BX104+BX196</f>
        <v>379231.65</v>
      </c>
      <c r="BY199" s="32" t="n">
        <f aca="false">BY197+BY198+BY10+BY11+BY57+BY104+BY196</f>
        <v>306997.05</v>
      </c>
      <c r="BZ199" s="32" t="n">
        <f aca="false">BZ197+BZ198+BZ10+BZ11+BZ57+BZ104+BZ196</f>
        <v>180586.5</v>
      </c>
      <c r="CA199" s="32" t="n">
        <f aca="false">CA197+CA198+CA10+CA11+CA57+CA104+CA196</f>
        <v>0</v>
      </c>
      <c r="CB199" s="32" t="n">
        <f aca="false">CB197+CB198+CB10+CB11+CB57+CB104+CB196</f>
        <v>0</v>
      </c>
      <c r="CC199" s="32" t="n">
        <f aca="false">CC197+CC198+CC10+CC11+CC57+CC104+CC196</f>
        <v>0</v>
      </c>
      <c r="CD199" s="32" t="n">
        <f aca="false">CD197+CD198+CD10+CD11+CD57+CD104+CD196</f>
        <v>0</v>
      </c>
      <c r="CE199" s="32" t="n">
        <f aca="false">CE197+CE198+CE10+CE11+CE57+CE104+CE196</f>
        <v>0</v>
      </c>
      <c r="CF199" s="32" t="n">
        <f aca="false">CF197+CF198+CF10+CF11+CF57+CF104+CF196</f>
        <v>0</v>
      </c>
      <c r="CG199" s="32" t="n">
        <f aca="false">CG197+CG198+CG10+CG11+CG57+CG104+CG196</f>
        <v>0</v>
      </c>
      <c r="CH199" s="32" t="n">
        <f aca="false">CH197+CH198+CH10+CH11+CH57+CH104+CH196</f>
        <v>0</v>
      </c>
      <c r="CI199" s="32" t="n">
        <f aca="false">CI197+CI198+CI10+CI11+CI57+CI104+CI196</f>
        <v>0</v>
      </c>
      <c r="CJ199" s="32" t="n">
        <f aca="false">CJ197+CJ198+CJ10+CJ11+CJ57+CJ104+CJ196</f>
        <v>0</v>
      </c>
      <c r="CK199" s="32" t="n">
        <f aca="false">CK197+CK198+CK10+CK11+CK57+CK104+CK196</f>
        <v>0</v>
      </c>
      <c r="CL199" s="32" t="n">
        <f aca="false">CL197+CL198+CL10+CL11+CL57+CL104+CL196</f>
        <v>0</v>
      </c>
      <c r="CM199" s="32" t="n">
        <f aca="false">CM197+CM198+CM10+CM11+CM57+CM104+CM196</f>
        <v>0</v>
      </c>
      <c r="CN199" s="32" t="n">
        <f aca="false">CN197+CN198+CN10+CN11+CN57+CN104+CN196</f>
        <v>0</v>
      </c>
      <c r="CO199" s="32" t="n">
        <f aca="false">CO197+CO198+CO10+CO11+CO57+CO104+CO196</f>
        <v>0</v>
      </c>
      <c r="CP199" s="32" t="n">
        <f aca="false">CP197+CP198+CP10+CP11+CP57+CP104+CP196</f>
        <v>0</v>
      </c>
      <c r="CQ199" s="32" t="n">
        <f aca="false">CQ197+CQ198+CQ10+CQ11+CQ57+CQ104+CQ196</f>
        <v>0</v>
      </c>
      <c r="CR199" s="32" t="n">
        <f aca="false">CR197+CR198+CR10+CR11+CR57+CR104+CR196</f>
        <v>0</v>
      </c>
      <c r="CS199" s="32" t="n">
        <f aca="false">CS197+CS198+CS10+CS11+CS57+CS104+CS196</f>
        <v>0</v>
      </c>
      <c r="CT199" s="32" t="n">
        <f aca="false">CT197+CT198+CT10+CT11+CT57+CT104+CT196</f>
        <v>0</v>
      </c>
      <c r="CU199" s="32" t="n">
        <f aca="false">CU197+CU198+CU10+CU11+CU57+CU104+CU196</f>
        <v>0</v>
      </c>
      <c r="CV199" s="32" t="n">
        <f aca="false">CV197+CV198+CV10+CV11+CV57+CV104+CV196</f>
        <v>0</v>
      </c>
      <c r="CW199" s="32" t="n">
        <f aca="false">CW197+CW198+CW10+CW11+CW57+CW104+CW196</f>
        <v>0</v>
      </c>
      <c r="CX199" s="32" t="n">
        <f aca="false">CX197+CX198+CX10+CX11+CX57+CX104+CX196</f>
        <v>0</v>
      </c>
      <c r="CY199" s="32" t="n">
        <f aca="false">CY197+CY198+CY10+CY11+CY57+CY104+CY196</f>
        <v>0</v>
      </c>
      <c r="CZ199" s="32" t="n">
        <f aca="false">CZ197+CZ198+CZ10+CZ11+CZ57+CZ104+CZ196</f>
        <v>0</v>
      </c>
      <c r="DA199" s="32" t="n">
        <f aca="false">DA197+DA198+DA10+DA11+DA57+DA104+DA196</f>
        <v>0</v>
      </c>
      <c r="DB199" s="32" t="n">
        <f aca="false">DB197+DB198+DB10+DB11+DB57+DB104+DB196</f>
        <v>0</v>
      </c>
      <c r="DC199" s="32" t="n">
        <f aca="false">DC197+DC198+DC10+DC11+DC57+DC104+DC196</f>
        <v>0</v>
      </c>
      <c r="DD199" s="32" t="n">
        <f aca="false">DD197+DD198+DD10+DD11+DD57+DD104+DD196</f>
        <v>0</v>
      </c>
      <c r="DE199" s="32" t="n">
        <f aca="false">DE197+DE198+DE10+DE11+DE57+DE104+DE196</f>
        <v>0</v>
      </c>
    </row>
    <row r="200" customFormat="false" ht="15" hidden="false" customHeight="true" outlineLevel="0" collapsed="false">
      <c r="A200" s="22" t="s">
        <v>62</v>
      </c>
      <c r="B200" s="33" t="n">
        <f aca="false">IFERROR(B199/B58,0)</f>
        <v>0.150473411652305</v>
      </c>
      <c r="C200" s="33" t="n">
        <f aca="false">IFERROR(C199/C58,0)</f>
        <v>-0.0168735833579273</v>
      </c>
      <c r="D200" s="33" t="n">
        <f aca="false">IFERROR(D199/D58,0)</f>
        <v>0.222356457869786</v>
      </c>
      <c r="E200" s="33" t="n">
        <f aca="false">IFERROR(E199/E58,0)</f>
        <v>0.121157878546931</v>
      </c>
      <c r="F200" s="33" t="n">
        <f aca="false">IFERROR(F199/F58,0)</f>
        <v>0.105418977135063</v>
      </c>
      <c r="G200" s="33" t="n">
        <f aca="false">IFERROR(G199/G58,0)</f>
        <v>0.1025790393097</v>
      </c>
      <c r="H200" s="33" t="n">
        <f aca="false">IFERROR(H199/H58,0)</f>
        <v>0.251459036074756</v>
      </c>
      <c r="I200" s="33" t="n">
        <f aca="false">IFERROR(I199/I58,0)</f>
        <v>-0.0217885116394688</v>
      </c>
      <c r="J200" s="33" t="n">
        <f aca="false">IFERROR(J199/J58,0)</f>
        <v>0.120264568352806</v>
      </c>
      <c r="K200" s="33" t="n">
        <f aca="false">IFERROR(K199/K58,0)</f>
        <v>0.126835733721255</v>
      </c>
      <c r="L200" s="33" t="n">
        <f aca="false">IFERROR(L199/L58,0)</f>
        <v>0.116653336706502</v>
      </c>
      <c r="M200" s="33" t="n">
        <f aca="false">IFERROR(M199/M58,0)</f>
        <v>0.0387636134188943</v>
      </c>
      <c r="N200" s="33" t="n">
        <f aca="false">IFERROR(N199/N58,0)</f>
        <v>0.141753424702375</v>
      </c>
      <c r="O200" s="33" t="n">
        <f aca="false">IFERROR(O199/O58,0)</f>
        <v>0.127602452213543</v>
      </c>
      <c r="P200" s="33" t="n">
        <f aca="false">IFERROR(P199/P58,0)</f>
        <v>0.117826686268274</v>
      </c>
      <c r="Q200" s="33" t="n">
        <f aca="false">IFERROR(Q199/Q58,0)</f>
        <v>0.0214022384976853</v>
      </c>
      <c r="R200" s="33" t="n">
        <f aca="false">IFERROR(R199/R58,0)</f>
        <v>0.0880197737674962</v>
      </c>
      <c r="S200" s="33" t="n">
        <f aca="false">IFERROR(S199/S58,0)</f>
        <v>0.093555535542091</v>
      </c>
      <c r="T200" s="33" t="n">
        <f aca="false">IFERROR(T199/T58,0)</f>
        <v>0.0837030703164793</v>
      </c>
      <c r="U200" s="33" t="n">
        <f aca="false">IFERROR(U199/U58,0)</f>
        <v>0.106877135599552</v>
      </c>
      <c r="V200" s="33" t="n">
        <f aca="false">IFERROR(V199/V58,0)</f>
        <v>0.104813459274355</v>
      </c>
      <c r="W200" s="33" t="n">
        <f aca="false">IFERROR(W199/W58,0)</f>
        <v>0.104999635683923</v>
      </c>
      <c r="X200" s="33" t="n">
        <f aca="false">IFERROR(X199/X58,0)</f>
        <v>0.109101036540359</v>
      </c>
      <c r="Y200" s="33" t="n">
        <f aca="false">IFERROR(Y199/Y58,0)</f>
        <v>0.105142912854175</v>
      </c>
      <c r="Z200" s="33" t="n">
        <f aca="false">IFERROR(Z199/Z58,0)</f>
        <v>0.105504124156408</v>
      </c>
      <c r="AA200" s="33" t="n">
        <f aca="false">IFERROR(AA199/AA58,0)</f>
        <v>0.111654318878868</v>
      </c>
      <c r="AB200" s="33" t="n">
        <f aca="false">IFERROR(AB199/AB58,0)</f>
        <v>0.111524102605206</v>
      </c>
      <c r="AC200" s="33" t="n">
        <f aca="false">IFERROR(AC199/AC58,0)</f>
        <v>0.0999405982873616</v>
      </c>
      <c r="AD200" s="33" t="n">
        <f aca="false">IFERROR(AD199/AD58,0)</f>
        <v>0.101375430915423</v>
      </c>
      <c r="AE200" s="33" t="n">
        <f aca="false">IFERROR(AE199/AE58,0)</f>
        <v>0.0467274083058083</v>
      </c>
      <c r="AF200" s="33" t="n">
        <f aca="false">IFERROR(AF199/AF58,0)</f>
        <v>0.125962697066448</v>
      </c>
      <c r="AG200" s="33" t="n">
        <f aca="false">IFERROR(AG199/AG58,0)</f>
        <v>0.120297658131078</v>
      </c>
      <c r="AH200" s="33" t="n">
        <f aca="false">IFERROR(AH199/AH58,0)</f>
        <v>0.118763025932089</v>
      </c>
      <c r="AI200" s="33" t="n">
        <f aca="false">IFERROR(AI199/AI58,0)</f>
        <v>0.123205057333188</v>
      </c>
      <c r="AJ200" s="33" t="n">
        <f aca="false">IFERROR(AJ199/AJ58,0)</f>
        <v>0.123440070691142</v>
      </c>
      <c r="AK200" s="33" t="n">
        <f aca="false">IFERROR(AK199/AK58,0)</f>
        <v>0.127663499186504</v>
      </c>
      <c r="AL200" s="33" t="n">
        <f aca="false">IFERROR(AL199/AL58,0)</f>
        <v>0.129396403629503</v>
      </c>
      <c r="AM200" s="33" t="n">
        <f aca="false">IFERROR(AM199/AM58,0)</f>
        <v>0.11588088878134</v>
      </c>
      <c r="AN200" s="33" t="n">
        <f aca="false">IFERROR(AN199/AN58,0)</f>
        <v>0.115018093165253</v>
      </c>
      <c r="AO200" s="33" t="n">
        <f aca="false">IFERROR(AO199/AO58,0)</f>
        <v>0.114567154132869</v>
      </c>
      <c r="AP200" s="33" t="n">
        <f aca="false">IFERROR(AP199/AP58,0)</f>
        <v>0.0912132314976807</v>
      </c>
      <c r="AQ200" s="33" t="n">
        <f aca="false">IFERROR(AQ199/AQ58,0)</f>
        <v>0.119640445625933</v>
      </c>
      <c r="AR200" s="33" t="n">
        <f aca="false">IFERROR(AR199/AR58,0)</f>
        <v>0.115732206027807</v>
      </c>
      <c r="AS200" s="33" t="n">
        <f aca="false">IFERROR(AS199/AS58,0)</f>
        <v>0.113459835674228</v>
      </c>
      <c r="AT200" s="33" t="n">
        <f aca="false">IFERROR(AT199/AT58,0)</f>
        <v>0.139270505557044</v>
      </c>
      <c r="AU200" s="33" t="n">
        <f aca="false">IFERROR(AU199/AU58,0)</f>
        <v>0.116580257034026</v>
      </c>
      <c r="AV200" s="33" t="n">
        <f aca="false">IFERROR(AV199/AV58,0)</f>
        <v>0.100929264933503</v>
      </c>
      <c r="AW200" s="33" t="n">
        <f aca="false">IFERROR(AW199/AW58,0)</f>
        <v>0.102175883807562</v>
      </c>
      <c r="AX200" s="33" t="n">
        <f aca="false">IFERROR(AX199/AX58,0)</f>
        <v>0.104952843551079</v>
      </c>
      <c r="AY200" s="33" t="n">
        <f aca="false">IFERROR(AY199/AY58,0)</f>
        <v>0.117684748993385</v>
      </c>
      <c r="AZ200" s="33" t="n">
        <f aca="false">IFERROR(AZ199/AZ58,0)</f>
        <v>0.122665255463964</v>
      </c>
      <c r="BA200" s="33" t="n">
        <f aca="false">IFERROR(BA199/BA58,0)</f>
        <v>0.126719532569899</v>
      </c>
      <c r="BB200" s="33" t="n">
        <f aca="false">IFERROR(BB199/BB58,0)</f>
        <v>0.108326694104081</v>
      </c>
      <c r="BC200" s="33" t="n">
        <f aca="false">IFERROR(BC199/BC58,0)</f>
        <v>0.136113265752294</v>
      </c>
      <c r="BD200" s="33" t="n">
        <f aca="false">IFERROR(BD199/BD58,0)</f>
        <v>0.139980532019807</v>
      </c>
      <c r="BE200" s="33" t="n">
        <f aca="false">IFERROR(BE199/BE58,0)</f>
        <v>0.143202294413868</v>
      </c>
      <c r="BF200" s="33" t="n">
        <f aca="false">IFERROR(BF199/BF58,0)</f>
        <v>0.140576412637835</v>
      </c>
      <c r="BG200" s="33" t="n">
        <f aca="false">IFERROR(BG199/BG58,0)</f>
        <v>0.139439809317718</v>
      </c>
      <c r="BH200" s="33" t="n">
        <f aca="false">IFERROR(BH199/BH58,0)</f>
        <v>0.136320147316772</v>
      </c>
      <c r="BI200" s="33" t="n">
        <f aca="false">IFERROR(BI199/BI58,0)</f>
        <v>0.119723705180603</v>
      </c>
      <c r="BJ200" s="33" t="n">
        <f aca="false">IFERROR(BJ199/BJ58,0)</f>
        <v>0.102279369286709</v>
      </c>
      <c r="BK200" s="33" t="n">
        <f aca="false">IFERROR(BK199/BK58,0)</f>
        <v>0.0999036135698816</v>
      </c>
      <c r="BL200" s="33" t="n">
        <f aca="false">IFERROR(BL199/BL58,0)</f>
        <v>0.099234977426113</v>
      </c>
      <c r="BM200" s="33" t="n">
        <f aca="false">IFERROR(BM199/BM58,0)</f>
        <v>0.110481303037037</v>
      </c>
      <c r="BN200" s="33" t="n">
        <f aca="false">IFERROR(BN199/BN58,0)</f>
        <v>0.105239330669297</v>
      </c>
      <c r="BO200" s="33" t="n">
        <f aca="false">IFERROR(BO199/BO58,0)</f>
        <v>0.0936285020555675</v>
      </c>
      <c r="BP200" s="33" t="n">
        <f aca="false">IFERROR(BP199/BP58,0)</f>
        <v>0.0986870795512299</v>
      </c>
      <c r="BQ200" s="33" t="n">
        <f aca="false">IFERROR(BQ199/BQ58,0)</f>
        <v>0.10623805486288</v>
      </c>
      <c r="BR200" s="33" t="n">
        <f aca="false">IFERROR(BR199/BR58,0)</f>
        <v>0.128981248494042</v>
      </c>
      <c r="BS200" s="33" t="n">
        <f aca="false">IFERROR(BS199/BS58,0)</f>
        <v>0.140614793545671</v>
      </c>
      <c r="BT200" s="33" t="n">
        <f aca="false">IFERROR(BT199/BT58,0)</f>
        <v>0.147568216879158</v>
      </c>
      <c r="BU200" s="33" t="n">
        <f aca="false">IFERROR(BU199/BU58,0)</f>
        <v>0.161917146660327</v>
      </c>
      <c r="BV200" s="33" t="n">
        <f aca="false">IFERROR(BV199/BV58,0)</f>
        <v>0.186542461631791</v>
      </c>
      <c r="BW200" s="33" t="n">
        <f aca="false">IFERROR(BW199/BW58,0)</f>
        <v>0.204494591960196</v>
      </c>
      <c r="BX200" s="33" t="n">
        <f aca="false">IFERROR(BX199/BX58,0)</f>
        <v>0.240068197226912</v>
      </c>
      <c r="BY200" s="33" t="n">
        <f aca="false">IFERROR(BY199/BY58,0)</f>
        <v>0.316909667489401</v>
      </c>
      <c r="BZ200" s="33" t="n">
        <f aca="false">IFERROR(BZ199/BZ58,0)</f>
        <v>0.454014405852849</v>
      </c>
      <c r="CA200" s="33" t="n">
        <f aca="false">IFERROR(CA199/CA58,0)</f>
        <v>0</v>
      </c>
      <c r="CB200" s="33" t="n">
        <f aca="false">IFERROR(CB199/CB58,0)</f>
        <v>0</v>
      </c>
      <c r="CC200" s="33" t="n">
        <f aca="false">IFERROR(CC199/CC58,0)</f>
        <v>0</v>
      </c>
      <c r="CD200" s="33" t="n">
        <f aca="false">IFERROR(CD199/CD58,0)</f>
        <v>0</v>
      </c>
      <c r="CE200" s="33" t="n">
        <f aca="false">IFERROR(CE199/CE58,0)</f>
        <v>0</v>
      </c>
      <c r="CF200" s="33" t="n">
        <f aca="false">IFERROR(CF199/CF58,0)</f>
        <v>0</v>
      </c>
      <c r="CG200" s="33" t="n">
        <f aca="false">IFERROR(CG199/CG58,0)</f>
        <v>0</v>
      </c>
      <c r="CH200" s="33" t="n">
        <f aca="false">IFERROR(CH199/CH58,0)</f>
        <v>0</v>
      </c>
      <c r="CI200" s="33" t="n">
        <f aca="false">IFERROR(CI199/CI58,0)</f>
        <v>0</v>
      </c>
      <c r="CJ200" s="33" t="n">
        <f aca="false">IFERROR(CJ199/CJ58,0)</f>
        <v>0</v>
      </c>
      <c r="CK200" s="33" t="n">
        <f aca="false">IFERROR(CK199/CK58,0)</f>
        <v>0</v>
      </c>
      <c r="CL200" s="33" t="n">
        <f aca="false">IFERROR(CL199/CL58,0)</f>
        <v>0</v>
      </c>
      <c r="CM200" s="33" t="n">
        <f aca="false">IFERROR(CM199/CM58,0)</f>
        <v>0</v>
      </c>
      <c r="CN200" s="33" t="n">
        <f aca="false">IFERROR(CN199/CN58,0)</f>
        <v>0</v>
      </c>
      <c r="CO200" s="33" t="n">
        <f aca="false">IFERROR(CO199/CO58,0)</f>
        <v>0</v>
      </c>
      <c r="CP200" s="33" t="n">
        <f aca="false">IFERROR(CP199/CP58,0)</f>
        <v>0</v>
      </c>
      <c r="CQ200" s="33" t="n">
        <f aca="false">IFERROR(CQ199/CQ58,0)</f>
        <v>0</v>
      </c>
      <c r="CR200" s="33" t="n">
        <f aca="false">IFERROR(CR199/CR58,0)</f>
        <v>0</v>
      </c>
      <c r="CS200" s="33" t="n">
        <f aca="false">IFERROR(CS199/CS58,0)</f>
        <v>0</v>
      </c>
      <c r="CT200" s="33" t="n">
        <f aca="false">IFERROR(CT199/CT58,0)</f>
        <v>0</v>
      </c>
      <c r="CU200" s="33" t="n">
        <f aca="false">IFERROR(CU199/CU58,0)</f>
        <v>0</v>
      </c>
      <c r="CV200" s="33" t="n">
        <f aca="false">IFERROR(CV199/CV58,0)</f>
        <v>0</v>
      </c>
      <c r="CW200" s="33" t="n">
        <f aca="false">IFERROR(CW199/CW58,0)</f>
        <v>0</v>
      </c>
      <c r="CX200" s="33" t="n">
        <f aca="false">IFERROR(CX199/CX58,0)</f>
        <v>0</v>
      </c>
      <c r="CY200" s="33" t="n">
        <f aca="false">IFERROR(CY199/CY58,0)</f>
        <v>0</v>
      </c>
      <c r="CZ200" s="33" t="n">
        <f aca="false">IFERROR(CZ199/CZ58,0)</f>
        <v>0</v>
      </c>
      <c r="DA200" s="33" t="n">
        <f aca="false">IFERROR(DA199/DA58,0)</f>
        <v>0</v>
      </c>
      <c r="DB200" s="33" t="n">
        <f aca="false">IFERROR(DB199/DB58,0)</f>
        <v>0</v>
      </c>
      <c r="DC200" s="33" t="n">
        <f aca="false">IFERROR(DC199/DC58,0)</f>
        <v>0</v>
      </c>
      <c r="DD200" s="33" t="n">
        <f aca="false">IFERROR(DD199/DD58,0)</f>
        <v>0</v>
      </c>
      <c r="DE200" s="33" t="n">
        <f aca="false">IFERROR(DE199/DE58,0)</f>
        <v>0</v>
      </c>
    </row>
    <row r="201" customFormat="false" ht="15" hidden="false" customHeight="true" outlineLevel="0" collapsed="false">
      <c r="A201" s="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13"/>
      <c r="AG201" s="13"/>
      <c r="AH201" s="13"/>
      <c r="AI201" s="13"/>
      <c r="AJ201" s="13"/>
      <c r="AK201" s="13"/>
      <c r="AL201" s="13"/>
      <c r="AM201" s="13"/>
      <c r="AN201" s="13"/>
      <c r="AO201" s="13"/>
      <c r="AP201" s="13"/>
      <c r="AQ201" s="13"/>
      <c r="AR201" s="13"/>
      <c r="AS201" s="13"/>
      <c r="AT201" s="13"/>
      <c r="AU201" s="13"/>
      <c r="AV201" s="13"/>
      <c r="AW201" s="13"/>
      <c r="AX201" s="13"/>
      <c r="AY201" s="13"/>
      <c r="AZ201" s="13"/>
      <c r="BA201" s="13"/>
      <c r="BB201" s="13"/>
      <c r="BC201" s="13"/>
      <c r="BD201" s="13"/>
      <c r="BE201" s="13"/>
      <c r="BF201" s="13"/>
      <c r="BG201" s="13"/>
      <c r="BH201" s="13"/>
      <c r="BI201" s="13"/>
      <c r="BJ201" s="13"/>
      <c r="BK201" s="13"/>
      <c r="BL201" s="13"/>
      <c r="BM201" s="13"/>
      <c r="BN201" s="13"/>
      <c r="BO201" s="13"/>
      <c r="BP201" s="13"/>
      <c r="BQ201" s="13"/>
      <c r="BR201" s="13"/>
      <c r="BS201" s="13"/>
      <c r="BT201" s="13"/>
      <c r="BU201" s="13"/>
      <c r="BV201" s="13"/>
      <c r="BW201" s="13"/>
      <c r="BX201" s="13"/>
      <c r="BY201" s="13"/>
      <c r="BZ201" s="13"/>
      <c r="CA201" s="13"/>
      <c r="CB201" s="13"/>
      <c r="CC201" s="13"/>
      <c r="CD201" s="13"/>
      <c r="CE201" s="13"/>
      <c r="CF201" s="13"/>
      <c r="CG201" s="13"/>
      <c r="CH201" s="13"/>
      <c r="CI201" s="13"/>
      <c r="CJ201" s="13"/>
      <c r="CK201" s="13"/>
      <c r="CL201" s="13"/>
      <c r="CM201" s="13"/>
      <c r="CN201" s="13"/>
      <c r="CO201" s="13"/>
      <c r="CP201" s="13"/>
      <c r="CQ201" s="13"/>
      <c r="CR201" s="13"/>
      <c r="CS201" s="13"/>
      <c r="CT201" s="13"/>
      <c r="CU201" s="13"/>
      <c r="CV201" s="13"/>
      <c r="CW201" s="13"/>
      <c r="CX201" s="13"/>
      <c r="CY201" s="13"/>
      <c r="CZ201" s="13"/>
      <c r="DA201" s="13"/>
      <c r="DB201" s="13"/>
      <c r="DC201" s="13"/>
      <c r="DD201" s="13"/>
      <c r="DE201" s="13"/>
    </row>
    <row r="202" customFormat="false" ht="15" hidden="false" customHeight="true" outlineLevel="0" collapsed="false">
      <c r="A202" s="23" t="s">
        <v>63</v>
      </c>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c r="AA202" s="34"/>
      <c r="AB202" s="34"/>
      <c r="AC202" s="34"/>
      <c r="AD202" s="34"/>
      <c r="AE202" s="34"/>
      <c r="AF202" s="34"/>
      <c r="AG202" s="34"/>
      <c r="AH202" s="34"/>
      <c r="AI202" s="34"/>
      <c r="AJ202" s="34"/>
      <c r="AK202" s="34"/>
      <c r="AL202" s="34"/>
      <c r="AM202" s="34"/>
      <c r="AN202" s="34"/>
      <c r="AO202" s="34"/>
      <c r="AP202" s="34"/>
      <c r="AQ202" s="34"/>
      <c r="AR202" s="34"/>
      <c r="AS202" s="34"/>
      <c r="AT202" s="34"/>
      <c r="AU202" s="34"/>
      <c r="AV202" s="34"/>
      <c r="AW202" s="34"/>
      <c r="AX202" s="34"/>
      <c r="AY202" s="34"/>
      <c r="AZ202" s="34"/>
      <c r="BA202" s="34"/>
      <c r="BB202" s="34"/>
      <c r="BC202" s="34"/>
      <c r="BD202" s="34"/>
      <c r="BE202" s="34"/>
      <c r="BF202" s="34"/>
      <c r="BG202" s="34"/>
      <c r="BH202" s="34"/>
      <c r="BI202" s="34"/>
      <c r="BJ202" s="34"/>
      <c r="BK202" s="34"/>
      <c r="BL202" s="34"/>
      <c r="BM202" s="34"/>
      <c r="BN202" s="34"/>
      <c r="BO202" s="34"/>
      <c r="BP202" s="34"/>
      <c r="BQ202" s="34"/>
      <c r="BR202" s="34"/>
      <c r="BS202" s="34"/>
      <c r="BT202" s="34"/>
      <c r="BU202" s="34"/>
      <c r="BV202" s="34"/>
      <c r="BW202" s="34"/>
      <c r="BX202" s="34"/>
      <c r="BY202" s="34"/>
      <c r="BZ202" s="34"/>
      <c r="CA202" s="34"/>
      <c r="CB202" s="34"/>
      <c r="CC202" s="34"/>
      <c r="CD202" s="34"/>
      <c r="CE202" s="34"/>
      <c r="CF202" s="34"/>
      <c r="CG202" s="34"/>
      <c r="CH202" s="34"/>
      <c r="CI202" s="34"/>
      <c r="CJ202" s="34"/>
      <c r="CK202" s="34"/>
      <c r="CL202" s="34"/>
      <c r="CM202" s="34"/>
      <c r="CN202" s="34"/>
      <c r="CO202" s="34"/>
      <c r="CP202" s="34"/>
      <c r="CQ202" s="34"/>
      <c r="CR202" s="34"/>
      <c r="CS202" s="34"/>
      <c r="CT202" s="34"/>
      <c r="CU202" s="34"/>
      <c r="CV202" s="34"/>
      <c r="CW202" s="34"/>
      <c r="CX202" s="34"/>
      <c r="CY202" s="34"/>
      <c r="CZ202" s="34"/>
      <c r="DA202" s="34"/>
      <c r="DB202" s="34"/>
      <c r="DC202" s="34"/>
      <c r="DD202" s="34"/>
      <c r="DE202" s="34"/>
    </row>
    <row r="203" customFormat="false" ht="15" hidden="false" customHeight="true" outlineLevel="0" collapsed="false">
      <c r="A203" s="22" t="s">
        <v>64</v>
      </c>
      <c r="B203" s="13" t="n">
        <f aca="false">IF(ISBLANK(Actuals!C21),0,Actuals!C21)</f>
        <v>-144550.9</v>
      </c>
      <c r="C203" s="13" t="n">
        <f aca="false">IF(ISBLANK(Actuals!D21),0,Actuals!D21)</f>
        <v>-150672.84</v>
      </c>
      <c r="D203" s="13" t="n">
        <f aca="false">IF(ISBLANK(Actuals!E21),0,Actuals!E21)</f>
        <v>-178867.86</v>
      </c>
      <c r="E203" s="13" t="n">
        <f aca="false">IF(ISBLANK(Actuals!F21),(-(SUMPRODUCT((Personnel!$O$9:$O$100="GC")*(Personnel!$G$9:$G$100="Yes")*(1&gt;=Personnel!$E$9:$E$100)*((Personnel!$K$9:$K$100="")+(1&lt;=Personnel!$K$9:$K$100)&gt;0)*Personnel!$D$9:$D$100*(1-Personnel!$H$9:$H$100))+Staffing!E81))*Escalation!$B$2,Actuals!F21)</f>
        <v>-187693.63</v>
      </c>
      <c r="F203" s="13" t="n">
        <f aca="false">IF(ISBLANK(Actuals!G21),(-(SUMPRODUCT((Personnel!$O$9:$O$100="GC")*(Personnel!$G$9:$G$100="Yes")*(2&gt;=Personnel!$E$9:$E$100)*((Personnel!$K$9:$K$100="")+(2&lt;=Personnel!$K$9:$K$100)&gt;0)*Personnel!$D$9:$D$100*(1-Personnel!$H$9:$H$100))+Staffing!F81))*Escalation!$B$3,Actuals!G21)</f>
        <v>-295949.1</v>
      </c>
      <c r="G203" s="13" t="n">
        <f aca="false">IF(ISBLANK(Actuals!H21),(-(SUMPRODUCT((Personnel!$O$9:$O$100="GC")*(Personnel!$G$9:$G$100="Yes")*(3&gt;=Personnel!$E$9:$E$100)*((Personnel!$K$9:$K$100="")+(3&lt;=Personnel!$K$9:$K$100)&gt;0)*Personnel!$D$9:$D$100*(1-Personnel!$H$9:$H$100))+Staffing!G81))*Escalation!$B$4,Actuals!H21)</f>
        <v>-198645.92</v>
      </c>
      <c r="H203" s="13" t="n">
        <f aca="false">IF(ISBLANK(Actuals!I21),(-(SUMPRODUCT((Personnel!$O$9:$O$100="GC")*(Personnel!$G$9:$G$100="Yes")*(4&gt;=Personnel!$E$9:$E$100)*((Personnel!$K$9:$K$100="")+(4&lt;=Personnel!$K$9:$K$100)&gt;0)*Personnel!$D$9:$D$100*(1-Personnel!$H$9:$H$100))+Staffing!H81))*Escalation!$B$5,Actuals!I21)</f>
        <v>-215851.71</v>
      </c>
      <c r="I203" s="13" t="n">
        <f aca="false">IF(ISBLANK(Actuals!J21),(-(SUMPRODUCT((Personnel!$O$9:$O$100="GC")*(Personnel!$G$9:$G$100="Yes")*(5&gt;=Personnel!$E$9:$E$100)*((Personnel!$K$9:$K$100="")+(5&lt;=Personnel!$K$9:$K$100)&gt;0)*Personnel!$D$9:$D$100*(1-Personnel!$H$9:$H$100))+Staffing!I81))*Escalation!$B$6,Actuals!J21)</f>
        <v>-217610.65</v>
      </c>
      <c r="J203" s="13" t="n">
        <f aca="false">IF(ISBLANK(Actuals!K21),(-(SUMPRODUCT((Personnel!$O$9:$O$100="GC")*(Personnel!$G$9:$G$100="Yes")*(6&gt;=Personnel!$E$9:$E$100)*((Personnel!$K$9:$K$100="")+(6&lt;=Personnel!$K$9:$K$100)&gt;0)*Personnel!$D$9:$D$100*(1-Personnel!$H$9:$H$100))+Staffing!J81))*Escalation!$B$7,Actuals!K21)</f>
        <v>-259631</v>
      </c>
      <c r="K203" s="13" t="n">
        <f aca="false">IF(ISBLANK(Actuals!L21),(-(SUMPRODUCT((Personnel!$O$9:$O$100="GC")*(Personnel!$G$9:$G$100="Yes")*(7&gt;=Personnel!$E$9:$E$100)*((Personnel!$K$9:$K$100="")+(7&lt;=Personnel!$K$9:$K$100)&gt;0)*Personnel!$D$9:$D$100*(1-Personnel!$H$9:$H$100))+Staffing!K81))*Escalation!$B$8,Actuals!L21)</f>
        <v>-259631</v>
      </c>
      <c r="L203" s="13" t="n">
        <f aca="false">IF(ISBLANK(Actuals!M21),(-(SUMPRODUCT((Personnel!$O$9:$O$100="GC")*(Personnel!$G$9:$G$100="Yes")*(8&gt;=Personnel!$E$9:$E$100)*((Personnel!$K$9:$K$100="")+(8&lt;=Personnel!$K$9:$K$100)&gt;0)*Personnel!$D$9:$D$100*(1-Personnel!$H$9:$H$100))+Staffing!L81))*Escalation!$B$9,Actuals!M21)</f>
        <v>-259631</v>
      </c>
      <c r="M203" s="13" t="n">
        <f aca="false">IF(ISBLANK(Actuals!N21),(-(SUMPRODUCT((Personnel!$O$9:$O$100="GC")*(Personnel!$G$9:$G$100="Yes")*(9&gt;=Personnel!$E$9:$E$100)*((Personnel!$K$9:$K$100="")+(9&lt;=Personnel!$K$9:$K$100)&gt;0)*Personnel!$D$9:$D$100*(1-Personnel!$H$9:$H$100))+Staffing!M81))*Escalation!$B$10,Actuals!N21)</f>
        <v>-283381</v>
      </c>
      <c r="N203" s="13" t="n">
        <f aca="false">IF(ISBLANK(Actuals!O21),(-(SUMPRODUCT((Personnel!$O$9:$O$100="GC")*(Personnel!$G$9:$G$100="Yes")*(10&gt;=Personnel!$E$9:$E$100)*((Personnel!$K$9:$K$100="")+(10&lt;=Personnel!$K$9:$K$100)&gt;0)*Personnel!$D$9:$D$100*(1-Personnel!$H$9:$H$100))+Staffing!N81))*Escalation!$B$11,Actuals!O21)</f>
        <v>-304631</v>
      </c>
      <c r="O203" s="13" t="n">
        <f aca="false">IF(ISBLANK(Actuals!P21),(-(SUMPRODUCT((Personnel!$O$9:$O$100="GC")*(Personnel!$G$9:$G$100="Yes")*(11&gt;=Personnel!$E$9:$E$100)*((Personnel!$K$9:$K$100="")+(11&lt;=Personnel!$K$9:$K$100)&gt;0)*Personnel!$D$9:$D$100*(1-Personnel!$H$9:$H$100))+Staffing!O81))*Escalation!$B$12,Actuals!P21)</f>
        <v>-350047.666666667</v>
      </c>
      <c r="P203" s="13" t="n">
        <f aca="false">IF(ISBLANK(Actuals!Q21),(-(SUMPRODUCT((Personnel!$O$9:$O$100="GC")*(Personnel!$G$9:$G$100="Yes")*(12&gt;=Personnel!$E$9:$E$100)*((Personnel!$K$9:$K$100="")+(12&lt;=Personnel!$K$9:$K$100)&gt;0)*Personnel!$D$9:$D$100*(1-Personnel!$H$9:$H$100))+Staffing!P81))*Escalation!$B$13,Actuals!Q21)</f>
        <v>-350047.666666667</v>
      </c>
      <c r="Q203" s="13" t="n">
        <f aca="false">IF(ISBLANK(Actuals!R21),(-(SUMPRODUCT((Personnel!$O$9:$O$100="GC")*(Personnel!$G$9:$G$100="Yes")*(13&gt;=Personnel!$E$9:$E$100)*((Personnel!$K$9:$K$100="")+(13&lt;=Personnel!$K$9:$K$100)&gt;0)*Personnel!$D$9:$D$100*(1-Personnel!$H$9:$H$100))+Staffing!Q81))*Escalation!$B$14,Actuals!R21)</f>
        <v>-381273.62</v>
      </c>
      <c r="R203" s="13" t="n">
        <f aca="false">IF(ISBLANK(Actuals!S21),(-(SUMPRODUCT((Personnel!$O$9:$O$100="GC")*(Personnel!$G$9:$G$100="Yes")*(14&gt;=Personnel!$E$9:$E$100)*((Personnel!$K$9:$K$100="")+(14&lt;=Personnel!$K$9:$K$100)&gt;0)*Personnel!$D$9:$D$100*(1-Personnel!$H$9:$H$100))+Staffing!R81))*Escalation!$B$15,Actuals!S21)</f>
        <v>-412723.62</v>
      </c>
      <c r="S203" s="13" t="n">
        <f aca="false">IF(ISBLANK(Actuals!T21),(-(SUMPRODUCT((Personnel!$O$9:$O$100="GC")*(Personnel!$G$9:$G$100="Yes")*(15&gt;=Personnel!$E$9:$E$100)*((Personnel!$K$9:$K$100="")+(15&lt;=Personnel!$K$9:$K$100)&gt;0)*Personnel!$D$9:$D$100*(1-Personnel!$H$9:$H$100))+Staffing!S81))*Escalation!$B$16,Actuals!T21)</f>
        <v>-423348.62</v>
      </c>
      <c r="T203" s="13" t="n">
        <f aca="false">IF(ISBLANK(Actuals!U21),(-(SUMPRODUCT((Personnel!$O$9:$O$100="GC")*(Personnel!$G$9:$G$100="Yes")*(16&gt;=Personnel!$E$9:$E$100)*((Personnel!$K$9:$K$100="")+(16&lt;=Personnel!$K$9:$K$100)&gt;0)*Personnel!$D$9:$D$100*(1-Personnel!$H$9:$H$100))+Staffing!T81))*Escalation!$B$17,Actuals!U21)</f>
        <v>-433973.62</v>
      </c>
      <c r="U203" s="13" t="n">
        <f aca="false">IF(ISBLANK(Actuals!V21),(-(SUMPRODUCT((Personnel!$O$9:$O$100="GC")*(Personnel!$G$9:$G$100="Yes")*(17&gt;=Personnel!$E$9:$E$100)*((Personnel!$K$9:$K$100="")+(17&lt;=Personnel!$K$9:$K$100)&gt;0)*Personnel!$D$9:$D$100*(1-Personnel!$H$9:$H$100))+Staffing!U81))*Escalation!$B$18,Actuals!V21)</f>
        <v>-433973.62</v>
      </c>
      <c r="V203" s="13" t="n">
        <f aca="false">IF(ISBLANK(Actuals!W21),(-(SUMPRODUCT((Personnel!$O$9:$O$100="GC")*(Personnel!$G$9:$G$100="Yes")*(18&gt;=Personnel!$E$9:$E$100)*((Personnel!$K$9:$K$100="")+(18&lt;=Personnel!$K$9:$K$100)&gt;0)*Personnel!$D$9:$D$100*(1-Personnel!$H$9:$H$100))+Staffing!V81))*Escalation!$B$19,Actuals!W21)</f>
        <v>-433973.62</v>
      </c>
      <c r="W203" s="13" t="n">
        <f aca="false">IF(ISBLANK(Actuals!X21),(-(SUMPRODUCT((Personnel!$O$9:$O$100="GC")*(Personnel!$G$9:$G$100="Yes")*(19&gt;=Personnel!$E$9:$E$100)*((Personnel!$K$9:$K$100="")+(19&lt;=Personnel!$K$9:$K$100)&gt;0)*Personnel!$D$9:$D$100*(1-Personnel!$H$9:$H$100))+Staffing!W81))*Escalation!$B$20,Actuals!X21)</f>
        <v>-433973.62</v>
      </c>
      <c r="X203" s="13" t="n">
        <f aca="false">IF(ISBLANK(Actuals!Y21),(-(SUMPRODUCT((Personnel!$O$9:$O$100="GC")*(Personnel!$G$9:$G$100="Yes")*(20&gt;=Personnel!$E$9:$E$100)*((Personnel!$K$9:$K$100="")+(20&lt;=Personnel!$K$9:$K$100)&gt;0)*Personnel!$D$9:$D$100*(1-Personnel!$H$9:$H$100))+Staffing!X81))*Escalation!$B$21,Actuals!Y21)</f>
        <v>-433973.62</v>
      </c>
      <c r="Y203" s="13" t="n">
        <f aca="false">IF(ISBLANK(Actuals!Z21),(-(SUMPRODUCT((Personnel!$O$9:$O$100="GC")*(Personnel!$G$9:$G$100="Yes")*(21&gt;=Personnel!$E$9:$E$100)*((Personnel!$K$9:$K$100="")+(21&lt;=Personnel!$K$9:$K$100)&gt;0)*Personnel!$D$9:$D$100*(1-Personnel!$H$9:$H$100))+Staffing!Y81))*Escalation!$B$22,Actuals!Z21)</f>
        <v>-433973.62</v>
      </c>
      <c r="Z203" s="13" t="n">
        <f aca="false">IF(ISBLANK(Actuals!AA21),(-(SUMPRODUCT((Personnel!$O$9:$O$100="GC")*(Personnel!$G$9:$G$100="Yes")*(22&gt;=Personnel!$E$9:$E$100)*((Personnel!$K$9:$K$100="")+(22&lt;=Personnel!$K$9:$K$100)&gt;0)*Personnel!$D$9:$D$100*(1-Personnel!$H$9:$H$100))+Staffing!Z81))*Escalation!$B$23,Actuals!AA21)</f>
        <v>-423348.62</v>
      </c>
      <c r="AA203" s="13" t="n">
        <f aca="false">IF(ISBLANK(Actuals!AB21),(-(SUMPRODUCT((Personnel!$O$9:$O$100="GC")*(Personnel!$G$9:$G$100="Yes")*(23&gt;=Personnel!$E$9:$E$100)*((Personnel!$K$9:$K$100="")+(23&lt;=Personnel!$K$9:$K$100)&gt;0)*Personnel!$D$9:$D$100*(1-Personnel!$H$9:$H$100))+Staffing!AA81))*Escalation!$B$24,Actuals!AB21)</f>
        <v>-423348.62</v>
      </c>
      <c r="AB203" s="13" t="n">
        <f aca="false">IF(ISBLANK(Actuals!AC21),(-(SUMPRODUCT((Personnel!$O$9:$O$100="GC")*(Personnel!$G$9:$G$100="Yes")*(24&gt;=Personnel!$E$9:$E$100)*((Personnel!$K$9:$K$100="")+(24&lt;=Personnel!$K$9:$K$100)&gt;0)*Personnel!$D$9:$D$100*(1-Personnel!$H$9:$H$100))+Staffing!AB81))*Escalation!$B$25,Actuals!AC21)</f>
        <v>-416548.62</v>
      </c>
      <c r="AC203" s="13" t="n">
        <f aca="false">IF(ISBLANK(Actuals!AD21),(-(SUMPRODUCT((Personnel!$O$9:$O$100="GC")*(Personnel!$G$9:$G$100="Yes")*(25&gt;=Personnel!$E$9:$E$100)*((Personnel!$K$9:$K$100="")+(25&lt;=Personnel!$K$9:$K$100)&gt;0)*Personnel!$D$9:$D$100*(1-Personnel!$H$9:$H$100))+Staffing!AC81))*Escalation!$B$26,Actuals!AD21)</f>
        <v>-424879.5924</v>
      </c>
      <c r="AD203" s="13" t="n">
        <f aca="false">IF(ISBLANK(Actuals!AE21),(-(SUMPRODUCT((Personnel!$O$9:$O$100="GC")*(Personnel!$G$9:$G$100="Yes")*(26&gt;=Personnel!$E$9:$E$100)*((Personnel!$K$9:$K$100="")+(26&lt;=Personnel!$K$9:$K$100)&gt;0)*Personnel!$D$9:$D$100*(1-Personnel!$H$9:$H$100))+Staffing!AD81))*Escalation!$B$27,Actuals!AE21)</f>
        <v>-424879.5924</v>
      </c>
      <c r="AE203" s="13" t="n">
        <f aca="false">IF(ISBLANK(Actuals!AF21),(-(SUMPRODUCT((Personnel!$O$9:$O$100="GC")*(Personnel!$G$9:$G$100="Yes")*(27&gt;=Personnel!$E$9:$E$100)*((Personnel!$K$9:$K$100="")+(27&lt;=Personnel!$K$9:$K$100)&gt;0)*Personnel!$D$9:$D$100*(1-Personnel!$H$9:$H$100))+Staffing!AE81))*Escalation!$B$28,Actuals!AF21)</f>
        <v>-424879.5924</v>
      </c>
      <c r="AF203" s="13" t="n">
        <f aca="false">IF(ISBLANK(Actuals!AG21),(-(SUMPRODUCT((Personnel!$O$9:$O$100="GC")*(Personnel!$G$9:$G$100="Yes")*(28&gt;=Personnel!$E$9:$E$100)*((Personnel!$K$9:$K$100="")+(28&lt;=Personnel!$K$9:$K$100)&gt;0)*Personnel!$D$9:$D$100*(1-Personnel!$H$9:$H$100))+Staffing!AF81))*Escalation!$B$29,Actuals!AG21)</f>
        <v>-424879.5924</v>
      </c>
      <c r="AG203" s="13" t="n">
        <f aca="false">IF(ISBLANK(Actuals!AH21),(-(SUMPRODUCT((Personnel!$O$9:$O$100="GC")*(Personnel!$G$9:$G$100="Yes")*(29&gt;=Personnel!$E$9:$E$100)*((Personnel!$K$9:$K$100="")+(29&lt;=Personnel!$K$9:$K$100)&gt;0)*Personnel!$D$9:$D$100*(1-Personnel!$H$9:$H$100))+Staffing!AG81))*Escalation!$B$30,Actuals!AH21)</f>
        <v>-424879.5924</v>
      </c>
      <c r="AH203" s="13" t="n">
        <f aca="false">IF(ISBLANK(Actuals!AI21),(-(SUMPRODUCT((Personnel!$O$9:$O$100="GC")*(Personnel!$G$9:$G$100="Yes")*(30&gt;=Personnel!$E$9:$E$100)*((Personnel!$K$9:$K$100="")+(30&lt;=Personnel!$K$9:$K$100)&gt;0)*Personnel!$D$9:$D$100*(1-Personnel!$H$9:$H$100))+Staffing!AH81))*Escalation!$B$31,Actuals!AI21)</f>
        <v>-424879.5924</v>
      </c>
      <c r="AI203" s="13" t="n">
        <f aca="false">IF(ISBLANK(Actuals!AJ21),(-(SUMPRODUCT((Personnel!$O$9:$O$100="GC")*(Personnel!$G$9:$G$100="Yes")*(31&gt;=Personnel!$E$9:$E$100)*((Personnel!$K$9:$K$100="")+(31&lt;=Personnel!$K$9:$K$100)&gt;0)*Personnel!$D$9:$D$100*(1-Personnel!$H$9:$H$100))+Staffing!AI81))*Escalation!$B$32,Actuals!AJ21)</f>
        <v>-424879.5924</v>
      </c>
      <c r="AJ203" s="13" t="n">
        <f aca="false">IF(ISBLANK(Actuals!AK21),(-(SUMPRODUCT((Personnel!$O$9:$O$100="GC")*(Personnel!$G$9:$G$100="Yes")*(32&gt;=Personnel!$E$9:$E$100)*((Personnel!$K$9:$K$100="")+(32&lt;=Personnel!$K$9:$K$100)&gt;0)*Personnel!$D$9:$D$100*(1-Personnel!$H$9:$H$100))+Staffing!AJ81))*Escalation!$B$33,Actuals!AK21)</f>
        <v>-442653.0924</v>
      </c>
      <c r="AK203" s="13" t="n">
        <f aca="false">IF(ISBLANK(Actuals!AL21),(-(SUMPRODUCT((Personnel!$O$9:$O$100="GC")*(Personnel!$G$9:$G$100="Yes")*(33&gt;=Personnel!$E$9:$E$100)*((Personnel!$K$9:$K$100="")+(33&lt;=Personnel!$K$9:$K$100)&gt;0)*Personnel!$D$9:$D$100*(1-Personnel!$H$9:$H$100))+Staffing!AK81))*Escalation!$B$34,Actuals!AL21)</f>
        <v>-442653.0924</v>
      </c>
      <c r="AL203" s="13" t="n">
        <f aca="false">IF(ISBLANK(Actuals!AM21),(-(SUMPRODUCT((Personnel!$O$9:$O$100="GC")*(Personnel!$G$9:$G$100="Yes")*(34&gt;=Personnel!$E$9:$E$100)*((Personnel!$K$9:$K$100="")+(34&lt;=Personnel!$K$9:$K$100)&gt;0)*Personnel!$D$9:$D$100*(1-Personnel!$H$9:$H$100))+Staffing!AL81))*Escalation!$B$35,Actuals!AM21)</f>
        <v>-442653.0924</v>
      </c>
      <c r="AM203" s="13" t="n">
        <f aca="false">IF(ISBLANK(Actuals!AN21),(-(SUMPRODUCT((Personnel!$O$9:$O$100="GC")*(Personnel!$G$9:$G$100="Yes")*(35&gt;=Personnel!$E$9:$E$100)*((Personnel!$K$9:$K$100="")+(35&lt;=Personnel!$K$9:$K$100)&gt;0)*Personnel!$D$9:$D$100*(1-Personnel!$H$9:$H$100))+Staffing!AM81))*Escalation!$B$36,Actuals!AN21)</f>
        <v>-442653.0924</v>
      </c>
      <c r="AN203" s="13" t="n">
        <f aca="false">IF(ISBLANK(Actuals!AO21),(-(SUMPRODUCT((Personnel!$O$9:$O$100="GC")*(Personnel!$G$9:$G$100="Yes")*(36&gt;=Personnel!$E$9:$E$100)*((Personnel!$K$9:$K$100="")+(36&lt;=Personnel!$K$9:$K$100)&gt;0)*Personnel!$D$9:$D$100*(1-Personnel!$H$9:$H$100))+Staffing!AN81))*Escalation!$B$37,Actuals!AO21)</f>
        <v>-442653.0924</v>
      </c>
      <c r="AO203" s="13" t="n">
        <f aca="false">IF(ISBLANK(Actuals!AP21),(-(SUMPRODUCT((Personnel!$O$9:$O$100="GC")*(Personnel!$G$9:$G$100="Yes")*(37&gt;=Personnel!$E$9:$E$100)*((Personnel!$K$9:$K$100="")+(37&lt;=Personnel!$K$9:$K$100)&gt;0)*Personnel!$D$9:$D$100*(1-Personnel!$H$9:$H$100))+Staffing!AO81))*Escalation!$B$38,Actuals!AP21)</f>
        <v>-451506.154248</v>
      </c>
      <c r="AP203" s="13" t="n">
        <f aca="false">IF(ISBLANK(Actuals!AQ21),(-(SUMPRODUCT((Personnel!$O$9:$O$100="GC")*(Personnel!$G$9:$G$100="Yes")*(38&gt;=Personnel!$E$9:$E$100)*((Personnel!$K$9:$K$100="")+(38&lt;=Personnel!$K$9:$K$100)&gt;0)*Personnel!$D$9:$D$100*(1-Personnel!$H$9:$H$100))+Staffing!AP81))*Escalation!$B$39,Actuals!AQ21)</f>
        <v>-451506.154248</v>
      </c>
      <c r="AQ203" s="13" t="n">
        <f aca="false">IF(ISBLANK(Actuals!AR21),(-(SUMPRODUCT((Personnel!$O$9:$O$100="GC")*(Personnel!$G$9:$G$100="Yes")*(39&gt;=Personnel!$E$9:$E$100)*((Personnel!$K$9:$K$100="")+(39&lt;=Personnel!$K$9:$K$100)&gt;0)*Personnel!$D$9:$D$100*(1-Personnel!$H$9:$H$100))+Staffing!AQ81))*Escalation!$B$40,Actuals!AR21)</f>
        <v>-474056.824248</v>
      </c>
      <c r="AR203" s="13" t="n">
        <f aca="false">IF(ISBLANK(Actuals!AS21),(-(SUMPRODUCT((Personnel!$O$9:$O$100="GC")*(Personnel!$G$9:$G$100="Yes")*(40&gt;=Personnel!$E$9:$E$100)*((Personnel!$K$9:$K$100="")+(40&lt;=Personnel!$K$9:$K$100)&gt;0)*Personnel!$D$9:$D$100*(1-Personnel!$H$9:$H$100))+Staffing!AR81))*Escalation!$B$41,Actuals!AS21)</f>
        <v>-474056.824248</v>
      </c>
      <c r="AS203" s="13" t="n">
        <f aca="false">IF(ISBLANK(Actuals!AT21),(-(SUMPRODUCT((Personnel!$O$9:$O$100="GC")*(Personnel!$G$9:$G$100="Yes")*(41&gt;=Personnel!$E$9:$E$100)*((Personnel!$K$9:$K$100="")+(41&lt;=Personnel!$K$9:$K$100)&gt;0)*Personnel!$D$9:$D$100*(1-Personnel!$H$9:$H$100))+Staffing!AS81))*Escalation!$B$42,Actuals!AT21)</f>
        <v>-474056.824248</v>
      </c>
      <c r="AT203" s="13" t="n">
        <f aca="false">IF(ISBLANK(Actuals!AU21),(-(SUMPRODUCT((Personnel!$O$9:$O$100="GC")*(Personnel!$G$9:$G$100="Yes")*(42&gt;=Personnel!$E$9:$E$100)*((Personnel!$K$9:$K$100="")+(42&lt;=Personnel!$K$9:$K$100)&gt;0)*Personnel!$D$9:$D$100*(1-Personnel!$H$9:$H$100))+Staffing!AT81))*Escalation!$B$43,Actuals!AU21)</f>
        <v>-474056.824248</v>
      </c>
      <c r="AU203" s="13" t="n">
        <f aca="false">IF(ISBLANK(Actuals!AV21),(-(SUMPRODUCT((Personnel!$O$9:$O$100="GC")*(Personnel!$G$9:$G$100="Yes")*(43&gt;=Personnel!$E$9:$E$100)*((Personnel!$K$9:$K$100="")+(43&lt;=Personnel!$K$9:$K$100)&gt;0)*Personnel!$D$9:$D$100*(1-Personnel!$H$9:$H$100))+Staffing!AU81))*Escalation!$B$44,Actuals!AV21)</f>
        <v>-496165.324248</v>
      </c>
      <c r="AV203" s="13" t="n">
        <f aca="false">IF(ISBLANK(Actuals!AW21),(-(SUMPRODUCT((Personnel!$O$9:$O$100="GC")*(Personnel!$G$9:$G$100="Yes")*(44&gt;=Personnel!$E$9:$E$100)*((Personnel!$K$9:$K$100="")+(44&lt;=Personnel!$K$9:$K$100)&gt;0)*Personnel!$D$9:$D$100*(1-Personnel!$H$9:$H$100))+Staffing!AV81))*Escalation!$B$45,Actuals!AW21)</f>
        <v>-496165.324248</v>
      </c>
      <c r="AW203" s="13" t="n">
        <f aca="false">IF(ISBLANK(Actuals!AX21),(-(SUMPRODUCT((Personnel!$O$9:$O$100="GC")*(Personnel!$G$9:$G$100="Yes")*(45&gt;=Personnel!$E$9:$E$100)*((Personnel!$K$9:$K$100="")+(45&lt;=Personnel!$K$9:$K$100)&gt;0)*Personnel!$D$9:$D$100*(1-Personnel!$H$9:$H$100))+Staffing!AW81))*Escalation!$B$46,Actuals!AX21)</f>
        <v>-484668.904248</v>
      </c>
      <c r="AX203" s="13" t="n">
        <f aca="false">IF(ISBLANK(Actuals!AY21),(-(SUMPRODUCT((Personnel!$O$9:$O$100="GC")*(Personnel!$G$9:$G$100="Yes")*(46&gt;=Personnel!$E$9:$E$100)*((Personnel!$K$9:$K$100="")+(46&lt;=Personnel!$K$9:$K$100)&gt;0)*Personnel!$D$9:$D$100*(1-Personnel!$H$9:$H$100))+Staffing!AX81))*Escalation!$B$47,Actuals!AY21)</f>
        <v>-484668.904248</v>
      </c>
      <c r="AY203" s="13" t="n">
        <f aca="false">IF(ISBLANK(Actuals!AZ21),(-(SUMPRODUCT((Personnel!$O$9:$O$100="GC")*(Personnel!$G$9:$G$100="Yes")*(47&gt;=Personnel!$E$9:$E$100)*((Personnel!$K$9:$K$100="")+(47&lt;=Personnel!$K$9:$K$100)&gt;0)*Personnel!$D$9:$D$100*(1-Personnel!$H$9:$H$100))+Staffing!AY81))*Escalation!$B$48,Actuals!AZ21)</f>
        <v>-484668.904248</v>
      </c>
      <c r="AZ203" s="13" t="n">
        <f aca="false">IF(ISBLANK(Actuals!BA21),(-(SUMPRODUCT((Personnel!$O$9:$O$100="GC")*(Personnel!$G$9:$G$100="Yes")*(48&gt;=Personnel!$E$9:$E$100)*((Personnel!$K$9:$K$100="")+(48&lt;=Personnel!$K$9:$K$100)&gt;0)*Personnel!$D$9:$D$100*(1-Personnel!$H$9:$H$100))+Staffing!AZ81))*Escalation!$B$49,Actuals!BA21)</f>
        <v>-484668.904248</v>
      </c>
      <c r="BA203" s="13" t="n">
        <f aca="false">IF(ISBLANK(Actuals!BB21),(-(SUMPRODUCT((Personnel!$O$9:$O$100="GC")*(Personnel!$G$9:$G$100="Yes")*(49&gt;=Personnel!$E$9:$E$100)*((Personnel!$K$9:$K$100="")+(49&lt;=Personnel!$K$9:$K$100)&gt;0)*Personnel!$D$9:$D$100*(1-Personnel!$H$9:$H$100))+Staffing!BA81))*Escalation!$B$50,Actuals!BB21)</f>
        <v>-471811.61233296</v>
      </c>
      <c r="BB203" s="13" t="n">
        <f aca="false">IF(ISBLANK(Actuals!BC21),(-(SUMPRODUCT((Personnel!$O$9:$O$100="GC")*(Personnel!$G$9:$G$100="Yes")*(50&gt;=Personnel!$E$9:$E$100)*((Personnel!$K$9:$K$100="")+(50&lt;=Personnel!$K$9:$K$100)&gt;0)*Personnel!$D$9:$D$100*(1-Personnel!$H$9:$H$100))+Staffing!BB81))*Escalation!$B$51,Actuals!BC21)</f>
        <v>-444299.79493296</v>
      </c>
      <c r="BC203" s="13" t="n">
        <f aca="false">IF(ISBLANK(Actuals!BD21),(-(SUMPRODUCT((Personnel!$O$9:$O$100="GC")*(Personnel!$G$9:$G$100="Yes")*(51&gt;=Personnel!$E$9:$E$100)*((Personnel!$K$9:$K$100="")+(51&lt;=Personnel!$K$9:$K$100)&gt;0)*Personnel!$D$9:$D$100*(1-Personnel!$H$9:$H$100))+Staffing!BC81))*Escalation!$B$52,Actuals!BD21)</f>
        <v>-444299.79493296</v>
      </c>
      <c r="BD203" s="13" t="n">
        <f aca="false">IF(ISBLANK(Actuals!BE21),(-(SUMPRODUCT((Personnel!$O$9:$O$100="GC")*(Personnel!$G$9:$G$100="Yes")*(52&gt;=Personnel!$E$9:$E$100)*((Personnel!$K$9:$K$100="")+(52&lt;=Personnel!$K$9:$K$100)&gt;0)*Personnel!$D$9:$D$100*(1-Personnel!$H$9:$H$100))+Staffing!BD81))*Escalation!$B$53,Actuals!BE21)</f>
        <v>-444299.79493296</v>
      </c>
      <c r="BE203" s="13" t="n">
        <f aca="false">IF(ISBLANK(Actuals!BF21),(-(SUMPRODUCT((Personnel!$O$9:$O$100="GC")*(Personnel!$G$9:$G$100="Yes")*(53&gt;=Personnel!$E$9:$E$100)*((Personnel!$K$9:$K$100="")+(53&lt;=Personnel!$K$9:$K$100)&gt;0)*Personnel!$D$9:$D$100*(1-Personnel!$H$9:$H$100))+Staffing!BE81))*Escalation!$B$54,Actuals!BF21)</f>
        <v>-444299.79493296</v>
      </c>
      <c r="BF203" s="13" t="n">
        <f aca="false">IF(ISBLANK(Actuals!BG21),(-(SUMPRODUCT((Personnel!$O$9:$O$100="GC")*(Personnel!$G$9:$G$100="Yes")*(54&gt;=Personnel!$E$9:$E$100)*((Personnel!$K$9:$K$100="")+(54&lt;=Personnel!$K$9:$K$100)&gt;0)*Personnel!$D$9:$D$100*(1-Personnel!$H$9:$H$100))+Staffing!BF81))*Escalation!$B$55,Actuals!BG21)</f>
        <v>-444299.79493296</v>
      </c>
      <c r="BG203" s="13" t="n">
        <f aca="false">IF(ISBLANK(Actuals!BH21),(-(SUMPRODUCT((Personnel!$O$9:$O$100="GC")*(Personnel!$G$9:$G$100="Yes")*(55&gt;=Personnel!$E$9:$E$100)*((Personnel!$K$9:$K$100="")+(55&lt;=Personnel!$K$9:$K$100)&gt;0)*Personnel!$D$9:$D$100*(1-Personnel!$H$9:$H$100))+Staffing!BG81))*Escalation!$B$56,Actuals!BH21)</f>
        <v>-444299.79493296</v>
      </c>
      <c r="BH203" s="13" t="n">
        <f aca="false">IF(ISBLANK(Actuals!BI21),(-(SUMPRODUCT((Personnel!$O$9:$O$100="GC")*(Personnel!$G$9:$G$100="Yes")*(56&gt;=Personnel!$E$9:$E$100)*((Personnel!$K$9:$K$100="")+(56&lt;=Personnel!$K$9:$K$100)&gt;0)*Personnel!$D$9:$D$100*(1-Personnel!$H$9:$H$100))+Staffing!BH81))*Escalation!$B$57,Actuals!BI21)</f>
        <v>-444299.79493296</v>
      </c>
      <c r="BI203" s="13" t="n">
        <f aca="false">IF(ISBLANK(Actuals!BJ21),(-(SUMPRODUCT((Personnel!$O$9:$O$100="GC")*(Personnel!$G$9:$G$100="Yes")*(57&gt;=Personnel!$E$9:$E$100)*((Personnel!$K$9:$K$100="")+(57&lt;=Personnel!$K$9:$K$100)&gt;0)*Personnel!$D$9:$D$100*(1-Personnel!$H$9:$H$100))+Staffing!BI81))*Escalation!$B$58,Actuals!BJ21)</f>
        <v>-444299.79493296</v>
      </c>
      <c r="BJ203" s="13" t="n">
        <f aca="false">IF(ISBLANK(Actuals!BK21),(-(SUMPRODUCT((Personnel!$O$9:$O$100="GC")*(Personnel!$G$9:$G$100="Yes")*(58&gt;=Personnel!$E$9:$E$100)*((Personnel!$K$9:$K$100="")+(58&lt;=Personnel!$K$9:$K$100)&gt;0)*Personnel!$D$9:$D$100*(1-Personnel!$H$9:$H$100))+Staffing!BJ81))*Escalation!$B$59,Actuals!BK21)</f>
        <v>-444299.79493296</v>
      </c>
      <c r="BK203" s="13" t="n">
        <f aca="false">IF(ISBLANK(Actuals!BL21),(-(SUMPRODUCT((Personnel!$O$9:$O$100="GC")*(Personnel!$G$9:$G$100="Yes")*(59&gt;=Personnel!$E$9:$E$100)*((Personnel!$K$9:$K$100="")+(59&lt;=Personnel!$K$9:$K$100)&gt;0)*Personnel!$D$9:$D$100*(1-Personnel!$H$9:$H$100))+Staffing!BK81))*Escalation!$B$60,Actuals!BL21)</f>
        <v>-432573.44653296</v>
      </c>
      <c r="BL203" s="13" t="n">
        <f aca="false">IF(ISBLANK(Actuals!BM21),(-(SUMPRODUCT((Personnel!$O$9:$O$100="GC")*(Personnel!$G$9:$G$100="Yes")*(60&gt;=Personnel!$E$9:$E$100)*((Personnel!$K$9:$K$100="")+(60&lt;=Personnel!$K$9:$K$100)&gt;0)*Personnel!$D$9:$D$100*(1-Personnel!$H$9:$H$100))+Staffing!BL81))*Escalation!$B$61,Actuals!BM21)</f>
        <v>-432573.44653296</v>
      </c>
      <c r="BM203" s="13" t="n">
        <f aca="false">IF(ISBLANK(Actuals!BN21),(-(SUMPRODUCT((Personnel!$O$9:$O$100="GC")*(Personnel!$G$9:$G$100="Yes")*(61&gt;=Personnel!$E$9:$E$100)*((Personnel!$K$9:$K$100="")+(61&lt;=Personnel!$K$9:$K$100)&gt;0)*Personnel!$D$9:$D$100*(1-Personnel!$H$9:$H$100))+Staffing!BM81))*Escalation!$B$62,Actuals!BN21)</f>
        <v>-429724.073763619</v>
      </c>
      <c r="BN203" s="13" t="n">
        <f aca="false">IF(ISBLANK(Actuals!BO21),(-(SUMPRODUCT((Personnel!$O$9:$O$100="GC")*(Personnel!$G$9:$G$100="Yes")*(62&gt;=Personnel!$E$9:$E$100)*((Personnel!$K$9:$K$100="")+(62&lt;=Personnel!$K$9:$K$100)&gt;0)*Personnel!$D$9:$D$100*(1-Personnel!$H$9:$H$100))+Staffing!BN81))*Escalation!$B$63,Actuals!BO21)</f>
        <v>-410862.693375619</v>
      </c>
      <c r="BO203" s="13" t="n">
        <f aca="false">IF(ISBLANK(Actuals!BP21),(-(SUMPRODUCT((Personnel!$O$9:$O$100="GC")*(Personnel!$G$9:$G$100="Yes")*(63&gt;=Personnel!$E$9:$E$100)*((Personnel!$K$9:$K$100="")+(63&lt;=Personnel!$K$9:$K$100)&gt;0)*Personnel!$D$9:$D$100*(1-Personnel!$H$9:$H$100))+Staffing!BO81))*Escalation!$B$64,Actuals!BP21)</f>
        <v>-362559.158235619</v>
      </c>
      <c r="BP203" s="13" t="n">
        <f aca="false">IF(ISBLANK(Actuals!BQ21),(-(SUMPRODUCT((Personnel!$O$9:$O$100="GC")*(Personnel!$G$9:$G$100="Yes")*(64&gt;=Personnel!$E$9:$E$100)*((Personnel!$K$9:$K$100="")+(64&lt;=Personnel!$K$9:$K$100)&gt;0)*Personnel!$D$9:$D$100*(1-Personnel!$H$9:$H$100))+Staffing!BP81))*Escalation!$B$65,Actuals!BQ21)</f>
        <v>-336337.239159619</v>
      </c>
      <c r="BQ203" s="13" t="n">
        <f aca="false">IF(ISBLANK(Actuals!BR21),(-(SUMPRODUCT((Personnel!$O$9:$O$100="GC")*(Personnel!$G$9:$G$100="Yes")*(65&gt;=Personnel!$E$9:$E$100)*((Personnel!$K$9:$K$100="")+(65&lt;=Personnel!$K$9:$K$100)&gt;0)*Personnel!$D$9:$D$100*(1-Personnel!$H$9:$H$100))+Staffing!BQ81))*Escalation!$B$66,Actuals!BR21)</f>
        <v>-324376.363791619</v>
      </c>
      <c r="BR203" s="13" t="n">
        <f aca="false">IF(ISBLANK(Actuals!BS21),(-(SUMPRODUCT((Personnel!$O$9:$O$100="GC")*(Personnel!$G$9:$G$100="Yes")*(66&gt;=Personnel!$E$9:$E$100)*((Personnel!$K$9:$K$100="")+(66&lt;=Personnel!$K$9:$K$100)&gt;0)*Personnel!$D$9:$D$100*(1-Personnel!$H$9:$H$100))+Staffing!BR81))*Escalation!$B$67,Actuals!BS21)</f>
        <v>-324376.363791619</v>
      </c>
      <c r="BS203" s="13" t="n">
        <f aca="false">IF(ISBLANK(Actuals!BT21),(-(SUMPRODUCT((Personnel!$O$9:$O$100="GC")*(Personnel!$G$9:$G$100="Yes")*(67&gt;=Personnel!$E$9:$E$100)*((Personnel!$K$9:$K$100="")+(67&lt;=Personnel!$K$9:$K$100)&gt;0)*Personnel!$D$9:$D$100*(1-Personnel!$H$9:$H$100))+Staffing!BS81))*Escalation!$B$68,Actuals!BT21)</f>
        <v>-324376.363791619</v>
      </c>
      <c r="BT203" s="13" t="n">
        <f aca="false">IF(ISBLANK(Actuals!BU21),(-(SUMPRODUCT((Personnel!$O$9:$O$100="GC")*(Personnel!$G$9:$G$100="Yes")*(68&gt;=Personnel!$E$9:$E$100)*((Personnel!$K$9:$K$100="")+(68&lt;=Personnel!$K$9:$K$100)&gt;0)*Personnel!$D$9:$D$100*(1-Personnel!$H$9:$H$100))+Staffing!BT81))*Escalation!$B$69,Actuals!BU21)</f>
        <v>-309655.286415619</v>
      </c>
      <c r="BU203" s="13" t="n">
        <f aca="false">IF(ISBLANK(Actuals!BV21),(-(SUMPRODUCT((Personnel!$O$9:$O$100="GC")*(Personnel!$G$9:$G$100="Yes")*(69&gt;=Personnel!$E$9:$E$100)*((Personnel!$K$9:$K$100="")+(69&lt;=Personnel!$K$9:$K$100)&gt;0)*Personnel!$D$9:$D$100*(1-Personnel!$H$9:$H$100))+Staffing!BU81))*Escalation!$B$70,Actuals!BV21)</f>
        <v>-283433.367339619</v>
      </c>
      <c r="BV203" s="13" t="n">
        <f aca="false">IF(ISBLANK(Actuals!BW21),(-(SUMPRODUCT((Personnel!$O$9:$O$100="GC")*(Personnel!$G$9:$G$100="Yes")*(70&gt;=Personnel!$E$9:$E$100)*((Personnel!$K$9:$K$100="")+(70&lt;=Personnel!$K$9:$K$100)&gt;0)*Personnel!$D$9:$D$100*(1-Personnel!$H$9:$H$100))+Staffing!BV81))*Escalation!$B$71,Actuals!BW21)</f>
        <v>-283433.367339619</v>
      </c>
      <c r="BW203" s="13" t="n">
        <f aca="false">IF(ISBLANK(Actuals!BX21),(-(SUMPRODUCT((Personnel!$O$9:$O$100="GC")*(Personnel!$G$9:$G$100="Yes")*(71&gt;=Personnel!$E$9:$E$100)*((Personnel!$K$9:$K$100="")+(71&lt;=Personnel!$K$9:$K$100)&gt;0)*Personnel!$D$9:$D$100*(1-Personnel!$H$9:$H$100))+Staffing!BW81))*Escalation!$B$72,Actuals!BX21)</f>
        <v>-283433.367339619</v>
      </c>
      <c r="BX203" s="13" t="n">
        <f aca="false">IF(ISBLANK(Actuals!BY21),(-(SUMPRODUCT((Personnel!$O$9:$O$100="GC")*(Personnel!$G$9:$G$100="Yes")*(72&gt;=Personnel!$E$9:$E$100)*((Personnel!$K$9:$K$100="")+(72&lt;=Personnel!$K$9:$K$100)&gt;0)*Personnel!$D$9:$D$100*(1-Personnel!$H$9:$H$100))+Staffing!BX81))*Escalation!$B$73,Actuals!BY21)</f>
        <v>-283433.367339619</v>
      </c>
      <c r="BY203" s="13" t="n">
        <f aca="false">IF(ISBLANK(Actuals!BZ21),(-(SUMPRODUCT((Personnel!$O$9:$O$100="GC")*(Personnel!$G$9:$G$100="Yes")*(73&gt;=Personnel!$E$9:$E$100)*((Personnel!$K$9:$K$100="")+(73&lt;=Personnel!$K$9:$K$100)&gt;0)*Personnel!$D$9:$D$100*(1-Personnel!$H$9:$H$100))+Staffing!BY81))*Escalation!$B$74,Actuals!BZ21)</f>
        <v>-289102.034686412</v>
      </c>
      <c r="BZ203" s="13" t="n">
        <f aca="false">IF(ISBLANK(Actuals!CA21),(-(SUMPRODUCT((Personnel!$O$9:$O$100="GC")*(Personnel!$G$9:$G$100="Yes")*(74&gt;=Personnel!$E$9:$E$100)*((Personnel!$K$9:$K$100="")+(74&lt;=Personnel!$K$9:$K$100)&gt;0)*Personnel!$D$9:$D$100*(1-Personnel!$H$9:$H$100))+Staffing!BZ81))*Escalation!$B$75,Actuals!CA21)</f>
        <v>-289102.034686412</v>
      </c>
      <c r="CA203" s="13" t="n">
        <f aca="false">IF(ISBLANK(Actuals!CB21),(-(SUMPRODUCT((Personnel!$O$9:$O$100="GC")*(Personnel!$G$9:$G$100="Yes")*(75&gt;=Personnel!$E$9:$E$100)*((Personnel!$K$9:$K$100="")+(75&lt;=Personnel!$K$9:$K$100)&gt;0)*Personnel!$D$9:$D$100*(1-Personnel!$H$9:$H$100))+Staffing!CA81))*Escalation!$B$76,Actuals!CB21)</f>
        <v>-289102.034686412</v>
      </c>
      <c r="CB203" s="13" t="n">
        <f aca="false">IF(ISBLANK(Actuals!CC21),(-(SUMPRODUCT((Personnel!$O$9:$O$100="GC")*(Personnel!$G$9:$G$100="Yes")*(76&gt;=Personnel!$E$9:$E$100)*((Personnel!$K$9:$K$100="")+(76&lt;=Personnel!$K$9:$K$100)&gt;0)*Personnel!$D$9:$D$100*(1-Personnel!$H$9:$H$100))+Staffing!CB81))*Escalation!$B$77,Actuals!CC21)</f>
        <v>-289102.034686412</v>
      </c>
      <c r="CC203" s="13" t="n">
        <f aca="false">IF(ISBLANK(Actuals!CD21),(-(SUMPRODUCT((Personnel!$O$9:$O$100="GC")*(Personnel!$G$9:$G$100="Yes")*(77&gt;=Personnel!$E$9:$E$100)*((Personnel!$K$9:$K$100="")+(77&lt;=Personnel!$K$9:$K$100)&gt;0)*Personnel!$D$9:$D$100*(1-Personnel!$H$9:$H$100))+Staffing!CC81))*Escalation!$B$78,Actuals!CD21)</f>
        <v>-289102.034686412</v>
      </c>
      <c r="CD203" s="13" t="n">
        <f aca="false">IF(ISBLANK(Actuals!CE21),(-(SUMPRODUCT((Personnel!$O$9:$O$100="GC")*(Personnel!$G$9:$G$100="Yes")*(78&gt;=Personnel!$E$9:$E$100)*((Personnel!$K$9:$K$100="")+(78&lt;=Personnel!$K$9:$K$100)&gt;0)*Personnel!$D$9:$D$100*(1-Personnel!$H$9:$H$100))+Staffing!CD81))*Escalation!$B$79,Actuals!CE21)</f>
        <v>-289102.034686412</v>
      </c>
      <c r="CE203" s="13" t="n">
        <f aca="false">IF(ISBLANK(Actuals!CF21),(-(SUMPRODUCT((Personnel!$O$9:$O$100="GC")*(Personnel!$G$9:$G$100="Yes")*(79&gt;=Personnel!$E$9:$E$100)*((Personnel!$K$9:$K$100="")+(79&lt;=Personnel!$K$9:$K$100)&gt;0)*Personnel!$D$9:$D$100*(1-Personnel!$H$9:$H$100))+Staffing!CE81))*Escalation!$B$80,Actuals!CF21)</f>
        <v>-289102.034686412</v>
      </c>
      <c r="CF203" s="13" t="n">
        <f aca="false">IF(ISBLANK(Actuals!CG21),(-(SUMPRODUCT((Personnel!$O$9:$O$100="GC")*(Personnel!$G$9:$G$100="Yes")*(80&gt;=Personnel!$E$9:$E$100)*((Personnel!$K$9:$K$100="")+(80&lt;=Personnel!$K$9:$K$100)&gt;0)*Personnel!$D$9:$D$100*(1-Personnel!$H$9:$H$100))+Staffing!CF81))*Escalation!$B$81,Actuals!CG21)</f>
        <v>-289102.034686412</v>
      </c>
      <c r="CG203" s="13" t="n">
        <f aca="false">IF(ISBLANK(Actuals!CH21),(-(SUMPRODUCT((Personnel!$O$9:$O$100="GC")*(Personnel!$G$9:$G$100="Yes")*(81&gt;=Personnel!$E$9:$E$100)*((Personnel!$K$9:$K$100="")+(81&lt;=Personnel!$K$9:$K$100)&gt;0)*Personnel!$D$9:$D$100*(1-Personnel!$H$9:$H$100))+Staffing!CG81))*Escalation!$B$82,Actuals!CH21)</f>
        <v>-289102.034686412</v>
      </c>
      <c r="CH203" s="13" t="n">
        <f aca="false">IF(ISBLANK(Actuals!CI21),(-(SUMPRODUCT((Personnel!$O$9:$O$100="GC")*(Personnel!$G$9:$G$100="Yes")*(82&gt;=Personnel!$E$9:$E$100)*((Personnel!$K$9:$K$100="")+(82&lt;=Personnel!$K$9:$K$100)&gt;0)*Personnel!$D$9:$D$100*(1-Personnel!$H$9:$H$100))+Staffing!CH81))*Escalation!$B$83,Actuals!CI21)</f>
        <v>-289102.034686412</v>
      </c>
      <c r="CI203" s="13" t="n">
        <f aca="false">IF(ISBLANK(Actuals!CJ21),(-(SUMPRODUCT((Personnel!$O$9:$O$100="GC")*(Personnel!$G$9:$G$100="Yes")*(83&gt;=Personnel!$E$9:$E$100)*((Personnel!$K$9:$K$100="")+(83&lt;=Personnel!$K$9:$K$100)&gt;0)*Personnel!$D$9:$D$100*(1-Personnel!$H$9:$H$100))+Staffing!CI81))*Escalation!$B$84,Actuals!CJ21)</f>
        <v>-289102.034686412</v>
      </c>
      <c r="CJ203" s="13" t="n">
        <f aca="false">IF(ISBLANK(Actuals!CK21),(-(SUMPRODUCT((Personnel!$O$9:$O$100="GC")*(Personnel!$G$9:$G$100="Yes")*(84&gt;=Personnel!$E$9:$E$100)*((Personnel!$K$9:$K$100="")+(84&lt;=Personnel!$K$9:$K$100)&gt;0)*Personnel!$D$9:$D$100*(1-Personnel!$H$9:$H$100))+Staffing!CJ81))*Escalation!$B$85,Actuals!CK21)</f>
        <v>-289102.034686412</v>
      </c>
      <c r="CK203" s="13" t="n">
        <f aca="false">IF(ISBLANK(Actuals!CL21),(-(SUMPRODUCT((Personnel!$O$9:$O$100="GC")*(Personnel!$G$9:$G$100="Yes")*(85&gt;=Personnel!$E$9:$E$100)*((Personnel!$K$9:$K$100="")+(85&lt;=Personnel!$K$9:$K$100)&gt;0)*Personnel!$D$9:$D$100*(1-Personnel!$H$9:$H$100))+Staffing!CK81))*Escalation!$B$86,Actuals!CL21)</f>
        <v>-294884.07538014</v>
      </c>
      <c r="CL203" s="13" t="n">
        <f aca="false">IF(ISBLANK(Actuals!CM21),(-(SUMPRODUCT((Personnel!$O$9:$O$100="GC")*(Personnel!$G$9:$G$100="Yes")*(86&gt;=Personnel!$E$9:$E$100)*((Personnel!$K$9:$K$100="")+(86&lt;=Personnel!$K$9:$K$100)&gt;0)*Personnel!$D$9:$D$100*(1-Personnel!$H$9:$H$100))+Staffing!CL81))*Escalation!$B$87,Actuals!CM21)</f>
        <v>-294884.07538014</v>
      </c>
      <c r="CM203" s="13" t="n">
        <f aca="false">IF(ISBLANK(Actuals!CN21),(-(SUMPRODUCT((Personnel!$O$9:$O$100="GC")*(Personnel!$G$9:$G$100="Yes")*(87&gt;=Personnel!$E$9:$E$100)*((Personnel!$K$9:$K$100="")+(87&lt;=Personnel!$K$9:$K$100)&gt;0)*Personnel!$D$9:$D$100*(1-Personnel!$H$9:$H$100))+Staffing!CM81))*Escalation!$B$88,Actuals!CN21)</f>
        <v>-294884.07538014</v>
      </c>
      <c r="CN203" s="13" t="n">
        <f aca="false">IF(ISBLANK(Actuals!CO21),(-(SUMPRODUCT((Personnel!$O$9:$O$100="GC")*(Personnel!$G$9:$G$100="Yes")*(88&gt;=Personnel!$E$9:$E$100)*((Personnel!$K$9:$K$100="")+(88&lt;=Personnel!$K$9:$K$100)&gt;0)*Personnel!$D$9:$D$100*(1-Personnel!$H$9:$H$100))+Staffing!CN81))*Escalation!$B$89,Actuals!CO21)</f>
        <v>-294884.07538014</v>
      </c>
      <c r="CO203" s="13" t="n">
        <f aca="false">IF(ISBLANK(Actuals!CP21),(-(SUMPRODUCT((Personnel!$O$9:$O$100="GC")*(Personnel!$G$9:$G$100="Yes")*(89&gt;=Personnel!$E$9:$E$100)*((Personnel!$K$9:$K$100="")+(89&lt;=Personnel!$K$9:$K$100)&gt;0)*Personnel!$D$9:$D$100*(1-Personnel!$H$9:$H$100))+Staffing!CO81))*Escalation!$B$90,Actuals!CP21)</f>
        <v>-294884.07538014</v>
      </c>
      <c r="CP203" s="13" t="n">
        <f aca="false">IF(ISBLANK(Actuals!CQ21),(-(SUMPRODUCT((Personnel!$O$9:$O$100="GC")*(Personnel!$G$9:$G$100="Yes")*(90&gt;=Personnel!$E$9:$E$100)*((Personnel!$K$9:$K$100="")+(90&lt;=Personnel!$K$9:$K$100)&gt;0)*Personnel!$D$9:$D$100*(1-Personnel!$H$9:$H$100))+Staffing!CP81))*Escalation!$B$91,Actuals!CQ21)</f>
        <v>-294884.07538014</v>
      </c>
      <c r="CQ203" s="13" t="n">
        <f aca="false">IF(ISBLANK(Actuals!CR21),(-(SUMPRODUCT((Personnel!$O$9:$O$100="GC")*(Personnel!$G$9:$G$100="Yes")*(91&gt;=Personnel!$E$9:$E$100)*((Personnel!$K$9:$K$100="")+(91&lt;=Personnel!$K$9:$K$100)&gt;0)*Personnel!$D$9:$D$100*(1-Personnel!$H$9:$H$100))+Staffing!CQ81))*Escalation!$B$92,Actuals!CR21)</f>
        <v>-294884.07538014</v>
      </c>
      <c r="CR203" s="13" t="n">
        <f aca="false">IF(ISBLANK(Actuals!CS21),(-(SUMPRODUCT((Personnel!$O$9:$O$100="GC")*(Personnel!$G$9:$G$100="Yes")*(92&gt;=Personnel!$E$9:$E$100)*((Personnel!$K$9:$K$100="")+(92&lt;=Personnel!$K$9:$K$100)&gt;0)*Personnel!$D$9:$D$100*(1-Personnel!$H$9:$H$100))+Staffing!CR81))*Escalation!$B$93,Actuals!CS21)</f>
        <v>-294884.07538014</v>
      </c>
      <c r="CS203" s="13" t="n">
        <f aca="false">IF(ISBLANK(Actuals!CT21),(-(SUMPRODUCT((Personnel!$O$9:$O$100="GC")*(Personnel!$G$9:$G$100="Yes")*(93&gt;=Personnel!$E$9:$E$100)*((Personnel!$K$9:$K$100="")+(93&lt;=Personnel!$K$9:$K$100)&gt;0)*Personnel!$D$9:$D$100*(1-Personnel!$H$9:$H$100))+Staffing!CS81))*Escalation!$B$94,Actuals!CT21)</f>
        <v>-294884.07538014</v>
      </c>
      <c r="CT203" s="13" t="n">
        <f aca="false">IF(ISBLANK(Actuals!CU21),(-(SUMPRODUCT((Personnel!$O$9:$O$100="GC")*(Personnel!$G$9:$G$100="Yes")*(94&gt;=Personnel!$E$9:$E$100)*((Personnel!$K$9:$K$100="")+(94&lt;=Personnel!$K$9:$K$100)&gt;0)*Personnel!$D$9:$D$100*(1-Personnel!$H$9:$H$100))+Staffing!CT81))*Escalation!$B$95,Actuals!CU21)</f>
        <v>-294884.07538014</v>
      </c>
      <c r="CU203" s="13" t="n">
        <f aca="false">IF(ISBLANK(Actuals!CV21),(-(SUMPRODUCT((Personnel!$O$9:$O$100="GC")*(Personnel!$G$9:$G$100="Yes")*(95&gt;=Personnel!$E$9:$E$100)*((Personnel!$K$9:$K$100="")+(95&lt;=Personnel!$K$9:$K$100)&gt;0)*Personnel!$D$9:$D$100*(1-Personnel!$H$9:$H$100))+Staffing!CU81))*Escalation!$B$96,Actuals!CV21)</f>
        <v>-294884.07538014</v>
      </c>
      <c r="CV203" s="13" t="n">
        <f aca="false">IF(ISBLANK(Actuals!CW21),(-(SUMPRODUCT((Personnel!$O$9:$O$100="GC")*(Personnel!$G$9:$G$100="Yes")*(96&gt;=Personnel!$E$9:$E$100)*((Personnel!$K$9:$K$100="")+(96&lt;=Personnel!$K$9:$K$100)&gt;0)*Personnel!$D$9:$D$100*(1-Personnel!$H$9:$H$100))+Staffing!CV81))*Escalation!$B$97,Actuals!CW21)</f>
        <v>-294884.07538014</v>
      </c>
      <c r="CW203" s="13" t="n">
        <f aca="false">IF(ISBLANK(Actuals!CX21),(-(SUMPRODUCT((Personnel!$O$9:$O$100="GC")*(Personnel!$G$9:$G$100="Yes")*(97&gt;=Personnel!$E$9:$E$100)*((Personnel!$K$9:$K$100="")+(97&lt;=Personnel!$K$9:$K$100)&gt;0)*Personnel!$D$9:$D$100*(1-Personnel!$H$9:$H$100))+Staffing!CW81))*Escalation!$B$98,Actuals!CX21)</f>
        <v>-300781.756887743</v>
      </c>
      <c r="CX203" s="13" t="n">
        <f aca="false">IF(ISBLANK(Actuals!CY21),(-(SUMPRODUCT((Personnel!$O$9:$O$100="GC")*(Personnel!$G$9:$G$100="Yes")*(98&gt;=Personnel!$E$9:$E$100)*((Personnel!$K$9:$K$100="")+(98&lt;=Personnel!$K$9:$K$100)&gt;0)*Personnel!$D$9:$D$100*(1-Personnel!$H$9:$H$100))+Staffing!CX81))*Escalation!$B$99,Actuals!CY21)</f>
        <v>-300781.756887743</v>
      </c>
      <c r="CY203" s="13" t="n">
        <f aca="false">IF(ISBLANK(Actuals!CZ21),(-(SUMPRODUCT((Personnel!$O$9:$O$100="GC")*(Personnel!$G$9:$G$100="Yes")*(99&gt;=Personnel!$E$9:$E$100)*((Personnel!$K$9:$K$100="")+(99&lt;=Personnel!$K$9:$K$100)&gt;0)*Personnel!$D$9:$D$100*(1-Personnel!$H$9:$H$100))+Staffing!CY81))*Escalation!$B$100,Actuals!CZ21)</f>
        <v>-300781.756887743</v>
      </c>
      <c r="CZ203" s="13" t="n">
        <f aca="false">IF(ISBLANK(Actuals!DA21),(-(SUMPRODUCT((Personnel!$O$9:$O$100="GC")*(Personnel!$G$9:$G$100="Yes")*(100&gt;=Personnel!$E$9:$E$100)*((Personnel!$K$9:$K$100="")+(100&lt;=Personnel!$K$9:$K$100)&gt;0)*Personnel!$D$9:$D$100*(1-Personnel!$H$9:$H$100))+Staffing!CZ81))*Escalation!$B$101,Actuals!DA21)</f>
        <v>-300781.756887743</v>
      </c>
      <c r="DA203" s="13" t="n">
        <f aca="false">IF(ISBLANK(Actuals!DB21),(-(SUMPRODUCT((Personnel!$O$9:$O$100="GC")*(Personnel!$G$9:$G$100="Yes")*(101&gt;=Personnel!$E$9:$E$100)*((Personnel!$K$9:$K$100="")+(101&lt;=Personnel!$K$9:$K$100)&gt;0)*Personnel!$D$9:$D$100*(1-Personnel!$H$9:$H$100))+Staffing!DA81))*Escalation!$B$102,Actuals!DB21)</f>
        <v>-300781.756887743</v>
      </c>
      <c r="DB203" s="13" t="n">
        <f aca="false">IF(ISBLANK(Actuals!DC21),(-(SUMPRODUCT((Personnel!$O$9:$O$100="GC")*(Personnel!$G$9:$G$100="Yes")*(102&gt;=Personnel!$E$9:$E$100)*((Personnel!$K$9:$K$100="")+(102&lt;=Personnel!$K$9:$K$100)&gt;0)*Personnel!$D$9:$D$100*(1-Personnel!$H$9:$H$100))+Staffing!DB81))*Escalation!$B$103,Actuals!DC21)</f>
        <v>-300781.756887743</v>
      </c>
      <c r="DC203" s="13" t="n">
        <f aca="false">IF(ISBLANK(Actuals!DD21),(-(SUMPRODUCT((Personnel!$O$9:$O$100="GC")*(Personnel!$G$9:$G$100="Yes")*(103&gt;=Personnel!$E$9:$E$100)*((Personnel!$K$9:$K$100="")+(103&lt;=Personnel!$K$9:$K$100)&gt;0)*Personnel!$D$9:$D$100*(1-Personnel!$H$9:$H$100))+Staffing!DC81))*Escalation!$B$104,Actuals!DD21)</f>
        <v>-300781.756887743</v>
      </c>
      <c r="DD203" s="13" t="n">
        <f aca="false">IF(ISBLANK(Actuals!DE21),(-(SUMPRODUCT((Personnel!$O$9:$O$100="GC")*(Personnel!$G$9:$G$100="Yes")*(104&gt;=Personnel!$E$9:$E$100)*((Personnel!$K$9:$K$100="")+(104&lt;=Personnel!$K$9:$K$100)&gt;0)*Personnel!$D$9:$D$100*(1-Personnel!$H$9:$H$100))+Staffing!DD81))*Escalation!$B$105,Actuals!DE21)</f>
        <v>-300781.756887743</v>
      </c>
      <c r="DE203" s="13" t="n">
        <f aca="false">IF(ISBLANK(Actuals!DF21),(-(SUMPRODUCT((Personnel!$O$9:$O$100="GC")*(Personnel!$G$9:$G$100="Yes")*(105&gt;=Personnel!$E$9:$E$100)*((Personnel!$K$9:$K$100="")+(105&lt;=Personnel!$K$9:$K$100)&gt;0)*Personnel!$D$9:$D$100*(1-Personnel!$H$9:$H$100))+Staffing!DE81))*Escalation!$B$106,Actuals!DF21)</f>
        <v>-300781.756887743</v>
      </c>
    </row>
    <row r="204" customFormat="false" ht="15" hidden="false" customHeight="true" outlineLevel="0" collapsed="false">
      <c r="A204" s="22" t="s">
        <v>65</v>
      </c>
      <c r="B204" s="13" t="n">
        <f aca="false">IF(ISBLANK(Actuals!C22),0,Actuals!C22)</f>
        <v>-7450.37</v>
      </c>
      <c r="C204" s="13" t="n">
        <f aca="false">IF(ISBLANK(Actuals!D22),0,Actuals!D22)</f>
        <v>-10567.2</v>
      </c>
      <c r="D204" s="13" t="n">
        <f aca="false">IF(ISBLANK(Actuals!E22),0,Actuals!E22)</f>
        <v>-17033.3</v>
      </c>
      <c r="E204" s="13" t="n">
        <f aca="false">IF(ISBLANK(Actuals!F22),-Helpers!C4*Assumptions!$B$20,Actuals!F22)</f>
        <v>-14599.57</v>
      </c>
      <c r="F204" s="13" t="n">
        <f aca="false">IF(ISBLANK(Actuals!G22),-Helpers!D4*Assumptions!$B$20,Actuals!G22)</f>
        <v>-23689.02</v>
      </c>
      <c r="G204" s="13" t="n">
        <f aca="false">IF(ISBLANK(Actuals!H22),-Helpers!E4*Assumptions!$B$20,Actuals!H22)</f>
        <v>-14793.67</v>
      </c>
      <c r="H204" s="13" t="n">
        <f aca="false">IF(ISBLANK(Actuals!I22),-Helpers!F4*Assumptions!$B$20,Actuals!I22)</f>
        <v>-16311.09</v>
      </c>
      <c r="I204" s="13" t="n">
        <f aca="false">IF(ISBLANK(Actuals!J22),-Helpers!G4*Assumptions!$B$20,Actuals!J22)</f>
        <v>-16725.56</v>
      </c>
      <c r="J204" s="13" t="n">
        <f aca="false">IF(ISBLANK(Actuals!K22),-Helpers!H4*Assumptions!$B$20,Actuals!K22)</f>
        <v>-21965.8366666667</v>
      </c>
      <c r="K204" s="13" t="n">
        <f aca="false">IF(ISBLANK(Actuals!L22),-Helpers!I4*Assumptions!$B$20,Actuals!L22)</f>
        <v>-21965.8366666667</v>
      </c>
      <c r="L204" s="13" t="n">
        <f aca="false">IF(ISBLANK(Actuals!M22),-Helpers!J4*Assumptions!$B$20,Actuals!M22)</f>
        <v>-21965.8366666667</v>
      </c>
      <c r="M204" s="13" t="n">
        <f aca="false">IF(ISBLANK(Actuals!N22),-Helpers!K4*Assumptions!$B$20,Actuals!N22)</f>
        <v>-23628.3366666667</v>
      </c>
      <c r="N204" s="13" t="n">
        <f aca="false">IF(ISBLANK(Actuals!O22),-Helpers!L4*Assumptions!$B$20,Actuals!O22)</f>
        <v>-25115.8366666667</v>
      </c>
      <c r="O204" s="13" t="n">
        <f aca="false">IF(ISBLANK(Actuals!P22),-Helpers!M4*Assumptions!$B$20,Actuals!P22)</f>
        <v>-28295.0033333333</v>
      </c>
      <c r="P204" s="13" t="n">
        <f aca="false">IF(ISBLANK(Actuals!Q22),-Helpers!N4*Assumptions!$B$20,Actuals!Q22)</f>
        <v>-28295.0033333333</v>
      </c>
      <c r="Q204" s="13" t="n">
        <f aca="false">IF(ISBLANK(Actuals!R22),-Helpers!O4*Assumptions!$B$20,Actuals!R22)</f>
        <v>-30556.6534</v>
      </c>
      <c r="R204" s="13" t="n">
        <f aca="false">IF(ISBLANK(Actuals!S22),-Helpers!P4*Assumptions!$B$20,Actuals!S22)</f>
        <v>-32758.1534</v>
      </c>
      <c r="S204" s="13" t="n">
        <f aca="false">IF(ISBLANK(Actuals!T22),-Helpers!Q4*Assumptions!$B$20,Actuals!T22)</f>
        <v>-33501.9034</v>
      </c>
      <c r="T204" s="13" t="n">
        <f aca="false">IF(ISBLANK(Actuals!U22),-Helpers!R4*Assumptions!$B$20,Actuals!U22)</f>
        <v>-34245.6534</v>
      </c>
      <c r="U204" s="13" t="n">
        <f aca="false">IF(ISBLANK(Actuals!V22),-Helpers!S4*Assumptions!$B$20,Actuals!V22)</f>
        <v>-34245.6534</v>
      </c>
      <c r="V204" s="13" t="n">
        <f aca="false">IF(ISBLANK(Actuals!W22),-Helpers!T4*Assumptions!$B$20,Actuals!W22)</f>
        <v>-34245.6534</v>
      </c>
      <c r="W204" s="13" t="n">
        <f aca="false">IF(ISBLANK(Actuals!X22),-Helpers!U4*Assumptions!$B$20,Actuals!X22)</f>
        <v>-34245.6534</v>
      </c>
      <c r="X204" s="13" t="n">
        <f aca="false">IF(ISBLANK(Actuals!Y22),-Helpers!V4*Assumptions!$B$20,Actuals!Y22)</f>
        <v>-34245.6534</v>
      </c>
      <c r="Y204" s="13" t="n">
        <f aca="false">IF(ISBLANK(Actuals!Z22),-Helpers!W4*Assumptions!$B$20,Actuals!Z22)</f>
        <v>-34245.6534</v>
      </c>
      <c r="Z204" s="13" t="n">
        <f aca="false">IF(ISBLANK(Actuals!AA22),-Helpers!X4*Assumptions!$B$20,Actuals!AA22)</f>
        <v>-33501.9034</v>
      </c>
      <c r="AA204" s="13" t="n">
        <f aca="false">IF(ISBLANK(Actuals!AB22),-Helpers!Y4*Assumptions!$B$20,Actuals!AB22)</f>
        <v>-33501.9034</v>
      </c>
      <c r="AB204" s="13" t="n">
        <f aca="false">IF(ISBLANK(Actuals!AC22),-Helpers!Z4*Assumptions!$B$20,Actuals!AC22)</f>
        <v>-33025.9034</v>
      </c>
      <c r="AC204" s="13" t="n">
        <f aca="false">IF(ISBLANK(Actuals!AD22),-Helpers!AA4*Assumptions!$B$20,Actuals!AD22)</f>
        <v>-33686.421468</v>
      </c>
      <c r="AD204" s="13" t="n">
        <f aca="false">IF(ISBLANK(Actuals!AE22),-Helpers!AB4*Assumptions!$B$20,Actuals!AE22)</f>
        <v>-33686.421468</v>
      </c>
      <c r="AE204" s="13" t="n">
        <f aca="false">IF(ISBLANK(Actuals!AF22),-Helpers!AC4*Assumptions!$B$20,Actuals!AF22)</f>
        <v>-33686.421468</v>
      </c>
      <c r="AF204" s="13" t="n">
        <f aca="false">IF(ISBLANK(Actuals!AG22),-Helpers!AD4*Assumptions!$B$20,Actuals!AG22)</f>
        <v>-33686.421468</v>
      </c>
      <c r="AG204" s="13" t="n">
        <f aca="false">IF(ISBLANK(Actuals!AH22),-Helpers!AE4*Assumptions!$B$20,Actuals!AH22)</f>
        <v>-33686.421468</v>
      </c>
      <c r="AH204" s="13" t="n">
        <f aca="false">IF(ISBLANK(Actuals!AI22),-Helpers!AF4*Assumptions!$B$20,Actuals!AI22)</f>
        <v>-33686.421468</v>
      </c>
      <c r="AI204" s="13" t="n">
        <f aca="false">IF(ISBLANK(Actuals!AJ22),-Helpers!AG4*Assumptions!$B$20,Actuals!AJ22)</f>
        <v>-33686.421468</v>
      </c>
      <c r="AJ204" s="13" t="n">
        <f aca="false">IF(ISBLANK(Actuals!AK22),-Helpers!AH4*Assumptions!$B$20,Actuals!AK22)</f>
        <v>-34930.566468</v>
      </c>
      <c r="AK204" s="13" t="n">
        <f aca="false">IF(ISBLANK(Actuals!AL22),-Helpers!AI4*Assumptions!$B$20,Actuals!AL22)</f>
        <v>-34930.566468</v>
      </c>
      <c r="AL204" s="13" t="n">
        <f aca="false">IF(ISBLANK(Actuals!AM22),-Helpers!AJ4*Assumptions!$B$20,Actuals!AM22)</f>
        <v>-34930.566468</v>
      </c>
      <c r="AM204" s="13" t="n">
        <f aca="false">IF(ISBLANK(Actuals!AN22),-Helpers!AK4*Assumptions!$B$20,Actuals!AN22)</f>
        <v>-34930.566468</v>
      </c>
      <c r="AN204" s="13" t="n">
        <f aca="false">IF(ISBLANK(Actuals!AO22),-Helpers!AL4*Assumptions!$B$20,Actuals!AO22)</f>
        <v>-34930.566468</v>
      </c>
      <c r="AO204" s="13" t="n">
        <f aca="false">IF(ISBLANK(Actuals!AP22),-Helpers!AM4*Assumptions!$B$20,Actuals!AP22)</f>
        <v>-35629.17779736</v>
      </c>
      <c r="AP204" s="13" t="n">
        <f aca="false">IF(ISBLANK(Actuals!AQ22),-Helpers!AN4*Assumptions!$B$20,Actuals!AQ22)</f>
        <v>-35629.17779736</v>
      </c>
      <c r="AQ204" s="13" t="n">
        <f aca="false">IF(ISBLANK(Actuals!AR22),-Helpers!AO4*Assumptions!$B$20,Actuals!AR22)</f>
        <v>-37207.72469736</v>
      </c>
      <c r="AR204" s="13" t="n">
        <f aca="false">IF(ISBLANK(Actuals!AS22),-Helpers!AP4*Assumptions!$B$20,Actuals!AS22)</f>
        <v>-37207.72469736</v>
      </c>
      <c r="AS204" s="13" t="n">
        <f aca="false">IF(ISBLANK(Actuals!AT22),-Helpers!AQ4*Assumptions!$B$20,Actuals!AT22)</f>
        <v>-37207.72469736</v>
      </c>
      <c r="AT204" s="13" t="n">
        <f aca="false">IF(ISBLANK(Actuals!AU22),-Helpers!AR4*Assumptions!$B$20,Actuals!AU22)</f>
        <v>-37207.72469736</v>
      </c>
      <c r="AU204" s="13" t="n">
        <f aca="false">IF(ISBLANK(Actuals!AV22),-Helpers!AS4*Assumptions!$B$20,Actuals!AV22)</f>
        <v>-38755.31969736</v>
      </c>
      <c r="AV204" s="13" t="n">
        <f aca="false">IF(ISBLANK(Actuals!AW22),-Helpers!AT4*Assumptions!$B$20,Actuals!AW22)</f>
        <v>-38755.31969736</v>
      </c>
      <c r="AW204" s="13" t="n">
        <f aca="false">IF(ISBLANK(Actuals!AX22),-Helpers!AU4*Assumptions!$B$20,Actuals!AX22)</f>
        <v>-37950.57029736</v>
      </c>
      <c r="AX204" s="13" t="n">
        <f aca="false">IF(ISBLANK(Actuals!AY22),-Helpers!AV4*Assumptions!$B$20,Actuals!AY22)</f>
        <v>-37950.57029736</v>
      </c>
      <c r="AY204" s="13" t="n">
        <f aca="false">IF(ISBLANK(Actuals!AZ22),-Helpers!AW4*Assumptions!$B$20,Actuals!AZ22)</f>
        <v>-37950.57029736</v>
      </c>
      <c r="AZ204" s="13" t="n">
        <f aca="false">IF(ISBLANK(Actuals!BA22),-Helpers!AX4*Assumptions!$B$20,Actuals!BA22)</f>
        <v>-37950.57029736</v>
      </c>
      <c r="BA204" s="13" t="n">
        <f aca="false">IF(ISBLANK(Actuals!BB22),-Helpers!AY4*Assumptions!$B$20,Actuals!BB22)</f>
        <v>-37131.0348033072</v>
      </c>
      <c r="BB204" s="13" t="n">
        <f aca="false">IF(ISBLANK(Actuals!BC22),-Helpers!AZ4*Assumptions!$B$20,Actuals!BC22)</f>
        <v>-35205.2075853072</v>
      </c>
      <c r="BC204" s="13" t="n">
        <f aca="false">IF(ISBLANK(Actuals!BD22),-Helpers!BA4*Assumptions!$B$20,Actuals!BD22)</f>
        <v>-35205.2075853072</v>
      </c>
      <c r="BD204" s="13" t="n">
        <f aca="false">IF(ISBLANK(Actuals!BE22),-Helpers!BB4*Assumptions!$B$20,Actuals!BE22)</f>
        <v>-35205.2075853072</v>
      </c>
      <c r="BE204" s="13" t="n">
        <f aca="false">IF(ISBLANK(Actuals!BF22),-Helpers!BC4*Assumptions!$B$20,Actuals!BF22)</f>
        <v>-35205.2075853072</v>
      </c>
      <c r="BF204" s="13" t="n">
        <f aca="false">IF(ISBLANK(Actuals!BG22),-Helpers!BD4*Assumptions!$B$20,Actuals!BG22)</f>
        <v>-35205.2075853072</v>
      </c>
      <c r="BG204" s="13" t="n">
        <f aca="false">IF(ISBLANK(Actuals!BH22),-Helpers!BE4*Assumptions!$B$20,Actuals!BH22)</f>
        <v>-35205.2075853072</v>
      </c>
      <c r="BH204" s="13" t="n">
        <f aca="false">IF(ISBLANK(Actuals!BI22),-Helpers!BF4*Assumptions!$B$20,Actuals!BI22)</f>
        <v>-35205.2075853072</v>
      </c>
      <c r="BI204" s="13" t="n">
        <f aca="false">IF(ISBLANK(Actuals!BJ22),-Helpers!BG4*Assumptions!$B$20,Actuals!BJ22)</f>
        <v>-35205.2075853072</v>
      </c>
      <c r="BJ204" s="13" t="n">
        <f aca="false">IF(ISBLANK(Actuals!BK22),-Helpers!BH4*Assumptions!$B$20,Actuals!BK22)</f>
        <v>-35205.2075853072</v>
      </c>
      <c r="BK204" s="13" t="n">
        <f aca="false">IF(ISBLANK(Actuals!BL22),-Helpers!BI4*Assumptions!$B$20,Actuals!BL22)</f>
        <v>-34384.3631973072</v>
      </c>
      <c r="BL204" s="13" t="n">
        <f aca="false">IF(ISBLANK(Actuals!BM22),-Helpers!BJ4*Assumptions!$B$20,Actuals!BM22)</f>
        <v>-34384.3631973072</v>
      </c>
      <c r="BM204" s="13" t="n">
        <f aca="false">IF(ISBLANK(Actuals!BN22),-Helpers!BK4*Assumptions!$B$20,Actuals!BN22)</f>
        <v>-34266.9915422533</v>
      </c>
      <c r="BN204" s="13" t="n">
        <f aca="false">IF(ISBLANK(Actuals!BO22),-Helpers!BL4*Assumptions!$B$20,Actuals!BO22)</f>
        <v>-32946.6949150934</v>
      </c>
      <c r="BO204" s="13" t="n">
        <f aca="false">IF(ISBLANK(Actuals!BP22),-Helpers!BM4*Assumptions!$B$20,Actuals!BP22)</f>
        <v>-29565.4474552934</v>
      </c>
      <c r="BP204" s="13" t="n">
        <f aca="false">IF(ISBLANK(Actuals!BQ22),-Helpers!BN4*Assumptions!$B$20,Actuals!BQ22)</f>
        <v>-27729.9131199734</v>
      </c>
      <c r="BQ204" s="13" t="n">
        <f aca="false">IF(ISBLANK(Actuals!BR22),-Helpers!BO4*Assumptions!$B$20,Actuals!BR22)</f>
        <v>-26892.6518442133</v>
      </c>
      <c r="BR204" s="13" t="n">
        <f aca="false">IF(ISBLANK(Actuals!BS22),-Helpers!BP4*Assumptions!$B$20,Actuals!BS22)</f>
        <v>-26892.6518442133</v>
      </c>
      <c r="BS204" s="13" t="n">
        <f aca="false">IF(ISBLANK(Actuals!BT22),-Helpers!BQ4*Assumptions!$B$20,Actuals!BT22)</f>
        <v>-26892.6518442133</v>
      </c>
      <c r="BT204" s="13" t="n">
        <f aca="false">IF(ISBLANK(Actuals!BU22),-Helpers!BR4*Assumptions!$B$20,Actuals!BU22)</f>
        <v>-25862.1764278933</v>
      </c>
      <c r="BU204" s="13" t="n">
        <f aca="false">IF(ISBLANK(Actuals!BV22),-Helpers!BS4*Assumptions!$B$20,Actuals!BV22)</f>
        <v>-24026.6420925733</v>
      </c>
      <c r="BV204" s="13" t="n">
        <f aca="false">IF(ISBLANK(Actuals!BW22),-Helpers!BT4*Assumptions!$B$20,Actuals!BW22)</f>
        <v>-24026.6420925733</v>
      </c>
      <c r="BW204" s="13" t="n">
        <f aca="false">IF(ISBLANK(Actuals!BX22),-Helpers!BU4*Assumptions!$B$20,Actuals!BX22)</f>
        <v>-24026.6420925733</v>
      </c>
      <c r="BX204" s="13" t="n">
        <f aca="false">IF(ISBLANK(Actuals!BY22),-Helpers!BV4*Assumptions!$B$20,Actuals!BY22)</f>
        <v>-24026.6420925733</v>
      </c>
      <c r="BY204" s="13" t="n">
        <f aca="false">IF(ISBLANK(Actuals!BZ22),-Helpers!BW4*Assumptions!$B$20,Actuals!BZ22)</f>
        <v>-24507.1749344248</v>
      </c>
      <c r="BZ204" s="13" t="n">
        <f aca="false">IF(ISBLANK(Actuals!CA22),-Helpers!BX4*Assumptions!$B$20,Actuals!CA22)</f>
        <v>-24507.1749344248</v>
      </c>
      <c r="CA204" s="13" t="n">
        <f aca="false">IF(ISBLANK(Actuals!CB22),-Helpers!BY4*Assumptions!$B$20,Actuals!CB22)</f>
        <v>-24507.1749344248</v>
      </c>
      <c r="CB204" s="13" t="n">
        <f aca="false">IF(ISBLANK(Actuals!CC22),-Helpers!BZ4*Assumptions!$B$20,Actuals!CC22)</f>
        <v>-24507.1749344248</v>
      </c>
      <c r="CC204" s="13" t="n">
        <f aca="false">IF(ISBLANK(Actuals!CD22),-Helpers!CA4*Assumptions!$B$20,Actuals!CD22)</f>
        <v>-24507.1749344248</v>
      </c>
      <c r="CD204" s="13" t="n">
        <f aca="false">IF(ISBLANK(Actuals!CE22),-Helpers!CB4*Assumptions!$B$20,Actuals!CE22)</f>
        <v>-24507.1749344248</v>
      </c>
      <c r="CE204" s="13" t="n">
        <f aca="false">IF(ISBLANK(Actuals!CF22),-Helpers!CC4*Assumptions!$B$20,Actuals!CF22)</f>
        <v>-24507.1749344248</v>
      </c>
      <c r="CF204" s="13" t="n">
        <f aca="false">IF(ISBLANK(Actuals!CG22),-Helpers!CD4*Assumptions!$B$20,Actuals!CG22)</f>
        <v>-24507.1749344248</v>
      </c>
      <c r="CG204" s="13" t="n">
        <f aca="false">IF(ISBLANK(Actuals!CH22),-Helpers!CE4*Assumptions!$B$20,Actuals!CH22)</f>
        <v>-24507.1749344248</v>
      </c>
      <c r="CH204" s="13" t="n">
        <f aca="false">IF(ISBLANK(Actuals!CI22),-Helpers!CF4*Assumptions!$B$20,Actuals!CI22)</f>
        <v>-24507.1749344248</v>
      </c>
      <c r="CI204" s="13" t="n">
        <f aca="false">IF(ISBLANK(Actuals!CJ22),-Helpers!CG4*Assumptions!$B$20,Actuals!CJ22)</f>
        <v>-24507.1749344248</v>
      </c>
      <c r="CJ204" s="13" t="n">
        <f aca="false">IF(ISBLANK(Actuals!CK22),-Helpers!CH4*Assumptions!$B$20,Actuals!CK22)</f>
        <v>-24507.1749344248</v>
      </c>
      <c r="CK204" s="13" t="n">
        <f aca="false">IF(ISBLANK(Actuals!CL22),-Helpers!CI4*Assumptions!$B$20,Actuals!CL22)</f>
        <v>-24997.3184331133</v>
      </c>
      <c r="CL204" s="13" t="n">
        <f aca="false">IF(ISBLANK(Actuals!CM22),-Helpers!CJ4*Assumptions!$B$20,Actuals!CM22)</f>
        <v>-24997.3184331133</v>
      </c>
      <c r="CM204" s="13" t="n">
        <f aca="false">IF(ISBLANK(Actuals!CN22),-Helpers!CK4*Assumptions!$B$20,Actuals!CN22)</f>
        <v>-24997.3184331133</v>
      </c>
      <c r="CN204" s="13" t="n">
        <f aca="false">IF(ISBLANK(Actuals!CO22),-Helpers!CL4*Assumptions!$B$20,Actuals!CO22)</f>
        <v>-24997.3184331133</v>
      </c>
      <c r="CO204" s="13" t="n">
        <f aca="false">IF(ISBLANK(Actuals!CP22),-Helpers!CM4*Assumptions!$B$20,Actuals!CP22)</f>
        <v>-24997.3184331133</v>
      </c>
      <c r="CP204" s="13" t="n">
        <f aca="false">IF(ISBLANK(Actuals!CQ22),-Helpers!CN4*Assumptions!$B$20,Actuals!CQ22)</f>
        <v>-24997.3184331133</v>
      </c>
      <c r="CQ204" s="13" t="n">
        <f aca="false">IF(ISBLANK(Actuals!CR22),-Helpers!CO4*Assumptions!$B$20,Actuals!CR22)</f>
        <v>-24997.3184331133</v>
      </c>
      <c r="CR204" s="13" t="n">
        <f aca="false">IF(ISBLANK(Actuals!CS22),-Helpers!CP4*Assumptions!$B$20,Actuals!CS22)</f>
        <v>-24997.3184331133</v>
      </c>
      <c r="CS204" s="13" t="n">
        <f aca="false">IF(ISBLANK(Actuals!CT22),-Helpers!CQ4*Assumptions!$B$20,Actuals!CT22)</f>
        <v>-24997.3184331133</v>
      </c>
      <c r="CT204" s="13" t="n">
        <f aca="false">IF(ISBLANK(Actuals!CU22),-Helpers!CR4*Assumptions!$B$20,Actuals!CU22)</f>
        <v>-0</v>
      </c>
      <c r="CU204" s="13" t="n">
        <f aca="false">IF(ISBLANK(Actuals!CV22),-Helpers!CS4*Assumptions!$B$20,Actuals!CV22)</f>
        <v>-0</v>
      </c>
      <c r="CV204" s="13" t="n">
        <f aca="false">IF(ISBLANK(Actuals!CW22),-Helpers!CT4*Assumptions!$B$20,Actuals!CW22)</f>
        <v>-0</v>
      </c>
      <c r="CW204" s="13" t="n">
        <f aca="false">IF(ISBLANK(Actuals!CX22),-Helpers!CU4*Assumptions!$B$20,Actuals!CX22)</f>
        <v>-0</v>
      </c>
      <c r="CX204" s="13" t="n">
        <f aca="false">IF(ISBLANK(Actuals!CY22),-Helpers!CV4*Assumptions!$B$20,Actuals!CY22)</f>
        <v>-0</v>
      </c>
      <c r="CY204" s="13" t="n">
        <f aca="false">IF(ISBLANK(Actuals!CZ22),-Helpers!CW4*Assumptions!$B$20,Actuals!CZ22)</f>
        <v>-0</v>
      </c>
      <c r="CZ204" s="13" t="n">
        <f aca="false">IF(ISBLANK(Actuals!DA22),-Helpers!CX4*Assumptions!$B$20,Actuals!DA22)</f>
        <v>-0</v>
      </c>
      <c r="DA204" s="13" t="n">
        <f aca="false">IF(ISBLANK(Actuals!DB22),-Helpers!CY4*Assumptions!$B$20,Actuals!DB22)</f>
        <v>-0</v>
      </c>
      <c r="DB204" s="13" t="n">
        <f aca="false">IF(ISBLANK(Actuals!DC22),-Helpers!CZ4*Assumptions!$B$20,Actuals!DC22)</f>
        <v>-0</v>
      </c>
      <c r="DC204" s="13" t="n">
        <f aca="false">IF(ISBLANK(Actuals!DD22),-Helpers!DA4*Assumptions!$B$20,Actuals!DD22)</f>
        <v>-0</v>
      </c>
      <c r="DD204" s="13" t="n">
        <f aca="false">IF(ISBLANK(Actuals!DE22),-Helpers!DB4*Assumptions!$B$20,Actuals!DE22)</f>
        <v>-0</v>
      </c>
      <c r="DE204" s="13" t="n">
        <f aca="false">IF(ISBLANK(Actuals!DF22),-Helpers!DC4*Assumptions!$B$20,Actuals!DF22)</f>
        <v>-0</v>
      </c>
    </row>
    <row r="205" customFormat="false" ht="15" hidden="false" customHeight="true" outlineLevel="0" collapsed="false">
      <c r="A205" s="22" t="s">
        <v>66</v>
      </c>
      <c r="B205" s="13" t="n">
        <f aca="false">IF(ISBLANK(Actuals!C23),0,Actuals!C23)</f>
        <v>0</v>
      </c>
      <c r="C205" s="13" t="n">
        <f aca="false">IF(ISBLANK(Actuals!D23),0,Actuals!D23)</f>
        <v>0</v>
      </c>
      <c r="D205" s="13" t="n">
        <f aca="false">IF(ISBLANK(Actuals!E23),0,Actuals!E23)</f>
        <v>0</v>
      </c>
      <c r="E205" s="13" t="n">
        <f aca="false">IF(ISBLANK(Actuals!F23),-(SUMPRODUCT((Personnel!$F$9:$F$100="SixPeak")*(Personnel!$G$9:$G$100="Yes")*(1&gt;=Personnel!$E$9:$E$100)*((Personnel!$K$9:$K$100="")+(1&lt;=Personnel!$K$9:$K$100)&gt;0)*Personnel!$D$9:$D$100*Personnel!$I$9:$I$100)),Actuals!F23)</f>
        <v>0</v>
      </c>
      <c r="F205" s="13" t="n">
        <f aca="false">IF(ISBLANK(Actuals!G23),-(SUMPRODUCT((Personnel!$F$9:$F$100="SixPeak")*(Personnel!$G$9:$G$100="Yes")*(2&gt;=Personnel!$E$9:$E$100)*((Personnel!$K$9:$K$100="")+(2&lt;=Personnel!$K$9:$K$100)&gt;0)*Personnel!$D$9:$D$100*Personnel!$I$9:$I$100)),Actuals!G23)</f>
        <v>0</v>
      </c>
      <c r="G205" s="13" t="n">
        <f aca="false">IF(ISBLANK(Actuals!H23),-(SUMPRODUCT((Personnel!$F$9:$F$100="SixPeak")*(Personnel!$G$9:$G$100="Yes")*(3&gt;=Personnel!$E$9:$E$100)*((Personnel!$K$9:$K$100="")+(3&lt;=Personnel!$K$9:$K$100)&gt;0)*Personnel!$D$9:$D$100*Personnel!$I$9:$I$100)),Actuals!H23)</f>
        <v>0</v>
      </c>
      <c r="H205" s="13" t="n">
        <f aca="false">IF(ISBLANK(Actuals!I23),-(SUMPRODUCT((Personnel!$F$9:$F$100="SixPeak")*(Personnel!$G$9:$G$100="Yes")*(4&gt;=Personnel!$E$9:$E$100)*((Personnel!$K$9:$K$100="")+(4&lt;=Personnel!$K$9:$K$100)&gt;0)*Personnel!$D$9:$D$100*Personnel!$I$9:$I$100)),Actuals!I23)</f>
        <v>0</v>
      </c>
      <c r="I205" s="13" t="n">
        <f aca="false">IF(ISBLANK(Actuals!J23),-(SUMPRODUCT((Personnel!$F$9:$F$100="SixPeak")*(Personnel!$G$9:$G$100="Yes")*(5&gt;=Personnel!$E$9:$E$100)*((Personnel!$K$9:$K$100="")+(5&lt;=Personnel!$K$9:$K$100)&gt;0)*Personnel!$D$9:$D$100*Personnel!$I$9:$I$100)),Actuals!J23)</f>
        <v>0</v>
      </c>
      <c r="J205" s="13" t="n">
        <f aca="false">IF(ISBLANK(Actuals!K23),-(SUMPRODUCT((Personnel!$F$9:$F$100="SixPeak")*(Personnel!$G$9:$G$100="Yes")*(6&gt;=Personnel!$E$9:$E$100)*((Personnel!$K$9:$K$100="")+(6&lt;=Personnel!$K$9:$K$100)&gt;0)*Personnel!$D$9:$D$100*Personnel!$I$9:$I$100)),Actuals!K23)</f>
        <v>-0</v>
      </c>
      <c r="K205" s="13" t="n">
        <f aca="false">IF(ISBLANK(Actuals!L23),-(SUMPRODUCT((Personnel!$F$9:$F$100="SixPeak")*(Personnel!$G$9:$G$100="Yes")*(7&gt;=Personnel!$E$9:$E$100)*((Personnel!$K$9:$K$100="")+(7&lt;=Personnel!$K$9:$K$100)&gt;0)*Personnel!$D$9:$D$100*Personnel!$I$9:$I$100)),Actuals!L23)</f>
        <v>-0</v>
      </c>
      <c r="L205" s="13" t="n">
        <f aca="false">IF(ISBLANK(Actuals!M23),-(SUMPRODUCT((Personnel!$F$9:$F$100="SixPeak")*(Personnel!$G$9:$G$100="Yes")*(8&gt;=Personnel!$E$9:$E$100)*((Personnel!$K$9:$K$100="")+(8&lt;=Personnel!$K$9:$K$100)&gt;0)*Personnel!$D$9:$D$100*Personnel!$I$9:$I$100)),Actuals!M23)</f>
        <v>-0</v>
      </c>
      <c r="M205" s="13" t="n">
        <f aca="false">IF(ISBLANK(Actuals!N23),-(SUMPRODUCT((Personnel!$F$9:$F$100="SixPeak")*(Personnel!$G$9:$G$100="Yes")*(9&gt;=Personnel!$E$9:$E$100)*((Personnel!$K$9:$K$100="")+(9&lt;=Personnel!$K$9:$K$100)&gt;0)*Personnel!$D$9:$D$100*Personnel!$I$9:$I$100)),Actuals!N23)</f>
        <v>-0</v>
      </c>
      <c r="N205" s="13" t="n">
        <f aca="false">IF(ISBLANK(Actuals!O23),-(SUMPRODUCT((Personnel!$F$9:$F$100="SixPeak")*(Personnel!$G$9:$G$100="Yes")*(10&gt;=Personnel!$E$9:$E$100)*((Personnel!$K$9:$K$100="")+(10&lt;=Personnel!$K$9:$K$100)&gt;0)*Personnel!$D$9:$D$100*Personnel!$I$9:$I$100)),Actuals!O23)</f>
        <v>-0</v>
      </c>
      <c r="O205" s="13" t="n">
        <f aca="false">IF(ISBLANK(Actuals!P23),-(SUMPRODUCT((Personnel!$F$9:$F$100="SixPeak")*(Personnel!$G$9:$G$100="Yes")*(11&gt;=Personnel!$E$9:$E$100)*((Personnel!$K$9:$K$100="")+(11&lt;=Personnel!$K$9:$K$100)&gt;0)*Personnel!$D$9:$D$100*Personnel!$I$9:$I$100)),Actuals!P23)</f>
        <v>-0</v>
      </c>
      <c r="P205" s="13" t="n">
        <f aca="false">IF(ISBLANK(Actuals!Q23),-(SUMPRODUCT((Personnel!$F$9:$F$100="SixPeak")*(Personnel!$G$9:$G$100="Yes")*(12&gt;=Personnel!$E$9:$E$100)*((Personnel!$K$9:$K$100="")+(12&lt;=Personnel!$K$9:$K$100)&gt;0)*Personnel!$D$9:$D$100*Personnel!$I$9:$I$100)),Actuals!Q23)</f>
        <v>-0</v>
      </c>
      <c r="Q205" s="13" t="n">
        <f aca="false">IF(ISBLANK(Actuals!R23),-(SUMPRODUCT((Personnel!$F$9:$F$100="SixPeak")*(Personnel!$G$9:$G$100="Yes")*(13&gt;=Personnel!$E$9:$E$100)*((Personnel!$K$9:$K$100="")+(13&lt;=Personnel!$K$9:$K$100)&gt;0)*Personnel!$D$9:$D$100*Personnel!$I$9:$I$100)),Actuals!R23)</f>
        <v>-0</v>
      </c>
      <c r="R205" s="13" t="n">
        <f aca="false">IF(ISBLANK(Actuals!S23),-(SUMPRODUCT((Personnel!$F$9:$F$100="SixPeak")*(Personnel!$G$9:$G$100="Yes")*(14&gt;=Personnel!$E$9:$E$100)*((Personnel!$K$9:$K$100="")+(14&lt;=Personnel!$K$9:$K$100)&gt;0)*Personnel!$D$9:$D$100*Personnel!$I$9:$I$100)),Actuals!S23)</f>
        <v>-0</v>
      </c>
      <c r="S205" s="13" t="n">
        <f aca="false">IF(ISBLANK(Actuals!T23),-(SUMPRODUCT((Personnel!$F$9:$F$100="SixPeak")*(Personnel!$G$9:$G$100="Yes")*(15&gt;=Personnel!$E$9:$E$100)*((Personnel!$K$9:$K$100="")+(15&lt;=Personnel!$K$9:$K$100)&gt;0)*Personnel!$D$9:$D$100*Personnel!$I$9:$I$100)),Actuals!T23)</f>
        <v>-0</v>
      </c>
      <c r="T205" s="13" t="n">
        <f aca="false">IF(ISBLANK(Actuals!U23),-(SUMPRODUCT((Personnel!$F$9:$F$100="SixPeak")*(Personnel!$G$9:$G$100="Yes")*(16&gt;=Personnel!$E$9:$E$100)*((Personnel!$K$9:$K$100="")+(16&lt;=Personnel!$K$9:$K$100)&gt;0)*Personnel!$D$9:$D$100*Personnel!$I$9:$I$100)),Actuals!U23)</f>
        <v>-0</v>
      </c>
      <c r="U205" s="13" t="n">
        <f aca="false">IF(ISBLANK(Actuals!V23),-(SUMPRODUCT((Personnel!$F$9:$F$100="SixPeak")*(Personnel!$G$9:$G$100="Yes")*(17&gt;=Personnel!$E$9:$E$100)*((Personnel!$K$9:$K$100="")+(17&lt;=Personnel!$K$9:$K$100)&gt;0)*Personnel!$D$9:$D$100*Personnel!$I$9:$I$100)),Actuals!V23)</f>
        <v>-0</v>
      </c>
      <c r="V205" s="13" t="n">
        <f aca="false">IF(ISBLANK(Actuals!W23),-(SUMPRODUCT((Personnel!$F$9:$F$100="SixPeak")*(Personnel!$G$9:$G$100="Yes")*(18&gt;=Personnel!$E$9:$E$100)*((Personnel!$K$9:$K$100="")+(18&lt;=Personnel!$K$9:$K$100)&gt;0)*Personnel!$D$9:$D$100*Personnel!$I$9:$I$100)),Actuals!W23)</f>
        <v>-0</v>
      </c>
      <c r="W205" s="13" t="n">
        <f aca="false">IF(ISBLANK(Actuals!X23),-(SUMPRODUCT((Personnel!$F$9:$F$100="SixPeak")*(Personnel!$G$9:$G$100="Yes")*(19&gt;=Personnel!$E$9:$E$100)*((Personnel!$K$9:$K$100="")+(19&lt;=Personnel!$K$9:$K$100)&gt;0)*Personnel!$D$9:$D$100*Personnel!$I$9:$I$100)),Actuals!X23)</f>
        <v>-0</v>
      </c>
      <c r="X205" s="13" t="n">
        <f aca="false">IF(ISBLANK(Actuals!Y23),-(SUMPRODUCT((Personnel!$F$9:$F$100="SixPeak")*(Personnel!$G$9:$G$100="Yes")*(20&gt;=Personnel!$E$9:$E$100)*((Personnel!$K$9:$K$100="")+(20&lt;=Personnel!$K$9:$K$100)&gt;0)*Personnel!$D$9:$D$100*Personnel!$I$9:$I$100)),Actuals!Y23)</f>
        <v>-0</v>
      </c>
      <c r="Y205" s="13" t="n">
        <f aca="false">IF(ISBLANK(Actuals!Z23),-(SUMPRODUCT((Personnel!$F$9:$F$100="SixPeak")*(Personnel!$G$9:$G$100="Yes")*(21&gt;=Personnel!$E$9:$E$100)*((Personnel!$K$9:$K$100="")+(21&lt;=Personnel!$K$9:$K$100)&gt;0)*Personnel!$D$9:$D$100*Personnel!$I$9:$I$100)),Actuals!Z23)</f>
        <v>-0</v>
      </c>
      <c r="Z205" s="13" t="n">
        <f aca="false">IF(ISBLANK(Actuals!AA23),-(SUMPRODUCT((Personnel!$F$9:$F$100="SixPeak")*(Personnel!$G$9:$G$100="Yes")*(22&gt;=Personnel!$E$9:$E$100)*((Personnel!$K$9:$K$100="")+(22&lt;=Personnel!$K$9:$K$100)&gt;0)*Personnel!$D$9:$D$100*Personnel!$I$9:$I$100)),Actuals!AA23)</f>
        <v>-0</v>
      </c>
      <c r="AA205" s="13" t="n">
        <f aca="false">IF(ISBLANK(Actuals!AB23),-(SUMPRODUCT((Personnel!$F$9:$F$100="SixPeak")*(Personnel!$G$9:$G$100="Yes")*(23&gt;=Personnel!$E$9:$E$100)*((Personnel!$K$9:$K$100="")+(23&lt;=Personnel!$K$9:$K$100)&gt;0)*Personnel!$D$9:$D$100*Personnel!$I$9:$I$100)),Actuals!AB23)</f>
        <v>-0</v>
      </c>
      <c r="AB205" s="13" t="n">
        <f aca="false">IF(ISBLANK(Actuals!AC23),-(SUMPRODUCT((Personnel!$F$9:$F$100="SixPeak")*(Personnel!$G$9:$G$100="Yes")*(24&gt;=Personnel!$E$9:$E$100)*((Personnel!$K$9:$K$100="")+(24&lt;=Personnel!$K$9:$K$100)&gt;0)*Personnel!$D$9:$D$100*Personnel!$I$9:$I$100)),Actuals!AC23)</f>
        <v>-0</v>
      </c>
      <c r="AC205" s="13" t="n">
        <f aca="false">IF(ISBLANK(Actuals!AD23),-(SUMPRODUCT((Personnel!$F$9:$F$100="SixPeak")*(Personnel!$G$9:$G$100="Yes")*(25&gt;=Personnel!$E$9:$E$100)*((Personnel!$K$9:$K$100="")+(25&lt;=Personnel!$K$9:$K$100)&gt;0)*Personnel!$D$9:$D$100*Personnel!$I$9:$I$100)),Actuals!AD23)</f>
        <v>-0</v>
      </c>
      <c r="AD205" s="13" t="n">
        <f aca="false">IF(ISBLANK(Actuals!AE23),-(SUMPRODUCT((Personnel!$F$9:$F$100="SixPeak")*(Personnel!$G$9:$G$100="Yes")*(26&gt;=Personnel!$E$9:$E$100)*((Personnel!$K$9:$K$100="")+(26&lt;=Personnel!$K$9:$K$100)&gt;0)*Personnel!$D$9:$D$100*Personnel!$I$9:$I$100)),Actuals!AE23)</f>
        <v>-0</v>
      </c>
      <c r="AE205" s="13" t="n">
        <f aca="false">IF(ISBLANK(Actuals!AF23),-(SUMPRODUCT((Personnel!$F$9:$F$100="SixPeak")*(Personnel!$G$9:$G$100="Yes")*(27&gt;=Personnel!$E$9:$E$100)*((Personnel!$K$9:$K$100="")+(27&lt;=Personnel!$K$9:$K$100)&gt;0)*Personnel!$D$9:$D$100*Personnel!$I$9:$I$100)),Actuals!AF23)</f>
        <v>-0</v>
      </c>
      <c r="AF205" s="13" t="n">
        <f aca="false">IF(ISBLANK(Actuals!AG23),-(SUMPRODUCT((Personnel!$F$9:$F$100="SixPeak")*(Personnel!$G$9:$G$100="Yes")*(28&gt;=Personnel!$E$9:$E$100)*((Personnel!$K$9:$K$100="")+(28&lt;=Personnel!$K$9:$K$100)&gt;0)*Personnel!$D$9:$D$100*Personnel!$I$9:$I$100)),Actuals!AG23)</f>
        <v>-0</v>
      </c>
      <c r="AG205" s="13" t="n">
        <f aca="false">IF(ISBLANK(Actuals!AH23),-(SUMPRODUCT((Personnel!$F$9:$F$100="SixPeak")*(Personnel!$G$9:$G$100="Yes")*(29&gt;=Personnel!$E$9:$E$100)*((Personnel!$K$9:$K$100="")+(29&lt;=Personnel!$K$9:$K$100)&gt;0)*Personnel!$D$9:$D$100*Personnel!$I$9:$I$100)),Actuals!AH23)</f>
        <v>-0</v>
      </c>
      <c r="AH205" s="13" t="n">
        <f aca="false">IF(ISBLANK(Actuals!AI23),-(SUMPRODUCT((Personnel!$F$9:$F$100="SixPeak")*(Personnel!$G$9:$G$100="Yes")*(30&gt;=Personnel!$E$9:$E$100)*((Personnel!$K$9:$K$100="")+(30&lt;=Personnel!$K$9:$K$100)&gt;0)*Personnel!$D$9:$D$100*Personnel!$I$9:$I$100)),Actuals!AI23)</f>
        <v>-0</v>
      </c>
      <c r="AI205" s="13" t="n">
        <f aca="false">IF(ISBLANK(Actuals!AJ23),-(SUMPRODUCT((Personnel!$F$9:$F$100="SixPeak")*(Personnel!$G$9:$G$100="Yes")*(31&gt;=Personnel!$E$9:$E$100)*((Personnel!$K$9:$K$100="")+(31&lt;=Personnel!$K$9:$K$100)&gt;0)*Personnel!$D$9:$D$100*Personnel!$I$9:$I$100)),Actuals!AJ23)</f>
        <v>-0</v>
      </c>
      <c r="AJ205" s="13" t="n">
        <f aca="false">IF(ISBLANK(Actuals!AK23),-(SUMPRODUCT((Personnel!$F$9:$F$100="SixPeak")*(Personnel!$G$9:$G$100="Yes")*(32&gt;=Personnel!$E$9:$E$100)*((Personnel!$K$9:$K$100="")+(32&lt;=Personnel!$K$9:$K$100)&gt;0)*Personnel!$D$9:$D$100*Personnel!$I$9:$I$100)),Actuals!AK23)</f>
        <v>-0</v>
      </c>
      <c r="AK205" s="13" t="n">
        <f aca="false">IF(ISBLANK(Actuals!AL23),-(SUMPRODUCT((Personnel!$F$9:$F$100="SixPeak")*(Personnel!$G$9:$G$100="Yes")*(33&gt;=Personnel!$E$9:$E$100)*((Personnel!$K$9:$K$100="")+(33&lt;=Personnel!$K$9:$K$100)&gt;0)*Personnel!$D$9:$D$100*Personnel!$I$9:$I$100)),Actuals!AL23)</f>
        <v>-0</v>
      </c>
      <c r="AL205" s="13" t="n">
        <f aca="false">IF(ISBLANK(Actuals!AM23),-(SUMPRODUCT((Personnel!$F$9:$F$100="SixPeak")*(Personnel!$G$9:$G$100="Yes")*(34&gt;=Personnel!$E$9:$E$100)*((Personnel!$K$9:$K$100="")+(34&lt;=Personnel!$K$9:$K$100)&gt;0)*Personnel!$D$9:$D$100*Personnel!$I$9:$I$100)),Actuals!AM23)</f>
        <v>-0</v>
      </c>
      <c r="AM205" s="13" t="n">
        <f aca="false">IF(ISBLANK(Actuals!AN23),-(SUMPRODUCT((Personnel!$F$9:$F$100="SixPeak")*(Personnel!$G$9:$G$100="Yes")*(35&gt;=Personnel!$E$9:$E$100)*((Personnel!$K$9:$K$100="")+(35&lt;=Personnel!$K$9:$K$100)&gt;0)*Personnel!$D$9:$D$100*Personnel!$I$9:$I$100)),Actuals!AN23)</f>
        <v>-0</v>
      </c>
      <c r="AN205" s="13" t="n">
        <f aca="false">IF(ISBLANK(Actuals!AO23),-(SUMPRODUCT((Personnel!$F$9:$F$100="SixPeak")*(Personnel!$G$9:$G$100="Yes")*(36&gt;=Personnel!$E$9:$E$100)*((Personnel!$K$9:$K$100="")+(36&lt;=Personnel!$K$9:$K$100)&gt;0)*Personnel!$D$9:$D$100*Personnel!$I$9:$I$100)),Actuals!AO23)</f>
        <v>-0</v>
      </c>
      <c r="AO205" s="13" t="n">
        <f aca="false">IF(ISBLANK(Actuals!AP23),-(SUMPRODUCT((Personnel!$F$9:$F$100="SixPeak")*(Personnel!$G$9:$G$100="Yes")*(37&gt;=Personnel!$E$9:$E$100)*((Personnel!$K$9:$K$100="")+(37&lt;=Personnel!$K$9:$K$100)&gt;0)*Personnel!$D$9:$D$100*Personnel!$I$9:$I$100)),Actuals!AP23)</f>
        <v>-0</v>
      </c>
      <c r="AP205" s="13" t="n">
        <f aca="false">IF(ISBLANK(Actuals!AQ23),-(SUMPRODUCT((Personnel!$F$9:$F$100="SixPeak")*(Personnel!$G$9:$G$100="Yes")*(38&gt;=Personnel!$E$9:$E$100)*((Personnel!$K$9:$K$100="")+(38&lt;=Personnel!$K$9:$K$100)&gt;0)*Personnel!$D$9:$D$100*Personnel!$I$9:$I$100)),Actuals!AQ23)</f>
        <v>-0</v>
      </c>
      <c r="AQ205" s="13" t="n">
        <f aca="false">IF(ISBLANK(Actuals!AR23),-(SUMPRODUCT((Personnel!$F$9:$F$100="SixPeak")*(Personnel!$G$9:$G$100="Yes")*(39&gt;=Personnel!$E$9:$E$100)*((Personnel!$K$9:$K$100="")+(39&lt;=Personnel!$K$9:$K$100)&gt;0)*Personnel!$D$9:$D$100*Personnel!$I$9:$I$100)),Actuals!AR23)</f>
        <v>-0</v>
      </c>
      <c r="AR205" s="13" t="n">
        <f aca="false">IF(ISBLANK(Actuals!AS23),-(SUMPRODUCT((Personnel!$F$9:$F$100="SixPeak")*(Personnel!$G$9:$G$100="Yes")*(40&gt;=Personnel!$E$9:$E$100)*((Personnel!$K$9:$K$100="")+(40&lt;=Personnel!$K$9:$K$100)&gt;0)*Personnel!$D$9:$D$100*Personnel!$I$9:$I$100)),Actuals!AS23)</f>
        <v>-0</v>
      </c>
      <c r="AS205" s="13" t="n">
        <f aca="false">IF(ISBLANK(Actuals!AT23),-(SUMPRODUCT((Personnel!$F$9:$F$100="SixPeak")*(Personnel!$G$9:$G$100="Yes")*(41&gt;=Personnel!$E$9:$E$100)*((Personnel!$K$9:$K$100="")+(41&lt;=Personnel!$K$9:$K$100)&gt;0)*Personnel!$D$9:$D$100*Personnel!$I$9:$I$100)),Actuals!AT23)</f>
        <v>-0</v>
      </c>
      <c r="AT205" s="13" t="n">
        <f aca="false">IF(ISBLANK(Actuals!AU23),-(SUMPRODUCT((Personnel!$F$9:$F$100="SixPeak")*(Personnel!$G$9:$G$100="Yes")*(42&gt;=Personnel!$E$9:$E$100)*((Personnel!$K$9:$K$100="")+(42&lt;=Personnel!$K$9:$K$100)&gt;0)*Personnel!$D$9:$D$100*Personnel!$I$9:$I$100)),Actuals!AU23)</f>
        <v>-0</v>
      </c>
      <c r="AU205" s="13" t="n">
        <f aca="false">IF(ISBLANK(Actuals!AV23),-(SUMPRODUCT((Personnel!$F$9:$F$100="SixPeak")*(Personnel!$G$9:$G$100="Yes")*(43&gt;=Personnel!$E$9:$E$100)*((Personnel!$K$9:$K$100="")+(43&lt;=Personnel!$K$9:$K$100)&gt;0)*Personnel!$D$9:$D$100*Personnel!$I$9:$I$100)),Actuals!AV23)</f>
        <v>-0</v>
      </c>
      <c r="AV205" s="13" t="n">
        <f aca="false">IF(ISBLANK(Actuals!AW23),-(SUMPRODUCT((Personnel!$F$9:$F$100="SixPeak")*(Personnel!$G$9:$G$100="Yes")*(44&gt;=Personnel!$E$9:$E$100)*((Personnel!$K$9:$K$100="")+(44&lt;=Personnel!$K$9:$K$100)&gt;0)*Personnel!$D$9:$D$100*Personnel!$I$9:$I$100)),Actuals!AW23)</f>
        <v>-0</v>
      </c>
      <c r="AW205" s="13" t="n">
        <f aca="false">IF(ISBLANK(Actuals!AX23),-(SUMPRODUCT((Personnel!$F$9:$F$100="SixPeak")*(Personnel!$G$9:$G$100="Yes")*(45&gt;=Personnel!$E$9:$E$100)*((Personnel!$K$9:$K$100="")+(45&lt;=Personnel!$K$9:$K$100)&gt;0)*Personnel!$D$9:$D$100*Personnel!$I$9:$I$100)),Actuals!AX23)</f>
        <v>-0</v>
      </c>
      <c r="AX205" s="13" t="n">
        <f aca="false">IF(ISBLANK(Actuals!AY23),-(SUMPRODUCT((Personnel!$F$9:$F$100="SixPeak")*(Personnel!$G$9:$G$100="Yes")*(46&gt;=Personnel!$E$9:$E$100)*((Personnel!$K$9:$K$100="")+(46&lt;=Personnel!$K$9:$K$100)&gt;0)*Personnel!$D$9:$D$100*Personnel!$I$9:$I$100)),Actuals!AY23)</f>
        <v>-0</v>
      </c>
      <c r="AY205" s="13" t="n">
        <f aca="false">IF(ISBLANK(Actuals!AZ23),-(SUMPRODUCT((Personnel!$F$9:$F$100="SixPeak")*(Personnel!$G$9:$G$100="Yes")*(47&gt;=Personnel!$E$9:$E$100)*((Personnel!$K$9:$K$100="")+(47&lt;=Personnel!$K$9:$K$100)&gt;0)*Personnel!$D$9:$D$100*Personnel!$I$9:$I$100)),Actuals!AZ23)</f>
        <v>-0</v>
      </c>
      <c r="AZ205" s="13" t="n">
        <f aca="false">IF(ISBLANK(Actuals!BA23),-(SUMPRODUCT((Personnel!$F$9:$F$100="SixPeak")*(Personnel!$G$9:$G$100="Yes")*(48&gt;=Personnel!$E$9:$E$100)*((Personnel!$K$9:$K$100="")+(48&lt;=Personnel!$K$9:$K$100)&gt;0)*Personnel!$D$9:$D$100*Personnel!$I$9:$I$100)),Actuals!BA23)</f>
        <v>-0</v>
      </c>
      <c r="BA205" s="13" t="n">
        <f aca="false">IF(ISBLANK(Actuals!BB23),-(SUMPRODUCT((Personnel!$F$9:$F$100="SixPeak")*(Personnel!$G$9:$G$100="Yes")*(49&gt;=Personnel!$E$9:$E$100)*((Personnel!$K$9:$K$100="")+(49&lt;=Personnel!$K$9:$K$100)&gt;0)*Personnel!$D$9:$D$100*Personnel!$I$9:$I$100)),Actuals!BB23)</f>
        <v>-0</v>
      </c>
      <c r="BB205" s="13" t="n">
        <f aca="false">IF(ISBLANK(Actuals!BC23),-(SUMPRODUCT((Personnel!$F$9:$F$100="SixPeak")*(Personnel!$G$9:$G$100="Yes")*(50&gt;=Personnel!$E$9:$E$100)*((Personnel!$K$9:$K$100="")+(50&lt;=Personnel!$K$9:$K$100)&gt;0)*Personnel!$D$9:$D$100*Personnel!$I$9:$I$100)),Actuals!BC23)</f>
        <v>-0</v>
      </c>
      <c r="BC205" s="13" t="n">
        <f aca="false">IF(ISBLANK(Actuals!BD23),-(SUMPRODUCT((Personnel!$F$9:$F$100="SixPeak")*(Personnel!$G$9:$G$100="Yes")*(51&gt;=Personnel!$E$9:$E$100)*((Personnel!$K$9:$K$100="")+(51&lt;=Personnel!$K$9:$K$100)&gt;0)*Personnel!$D$9:$D$100*Personnel!$I$9:$I$100)),Actuals!BD23)</f>
        <v>-0</v>
      </c>
      <c r="BD205" s="13" t="n">
        <f aca="false">IF(ISBLANK(Actuals!BE23),-(SUMPRODUCT((Personnel!$F$9:$F$100="SixPeak")*(Personnel!$G$9:$G$100="Yes")*(52&gt;=Personnel!$E$9:$E$100)*((Personnel!$K$9:$K$100="")+(52&lt;=Personnel!$K$9:$K$100)&gt;0)*Personnel!$D$9:$D$100*Personnel!$I$9:$I$100)),Actuals!BE23)</f>
        <v>-0</v>
      </c>
      <c r="BE205" s="13" t="n">
        <f aca="false">IF(ISBLANK(Actuals!BF23),-(SUMPRODUCT((Personnel!$F$9:$F$100="SixPeak")*(Personnel!$G$9:$G$100="Yes")*(53&gt;=Personnel!$E$9:$E$100)*((Personnel!$K$9:$K$100="")+(53&lt;=Personnel!$K$9:$K$100)&gt;0)*Personnel!$D$9:$D$100*Personnel!$I$9:$I$100)),Actuals!BF23)</f>
        <v>-0</v>
      </c>
      <c r="BF205" s="13" t="n">
        <f aca="false">IF(ISBLANK(Actuals!BG23),-(SUMPRODUCT((Personnel!$F$9:$F$100="SixPeak")*(Personnel!$G$9:$G$100="Yes")*(54&gt;=Personnel!$E$9:$E$100)*((Personnel!$K$9:$K$100="")+(54&lt;=Personnel!$K$9:$K$100)&gt;0)*Personnel!$D$9:$D$100*Personnel!$I$9:$I$100)),Actuals!BG23)</f>
        <v>-0</v>
      </c>
      <c r="BG205" s="13" t="n">
        <f aca="false">IF(ISBLANK(Actuals!BH23),-(SUMPRODUCT((Personnel!$F$9:$F$100="SixPeak")*(Personnel!$G$9:$G$100="Yes")*(55&gt;=Personnel!$E$9:$E$100)*((Personnel!$K$9:$K$100="")+(55&lt;=Personnel!$K$9:$K$100)&gt;0)*Personnel!$D$9:$D$100*Personnel!$I$9:$I$100)),Actuals!BH23)</f>
        <v>-0</v>
      </c>
      <c r="BH205" s="13" t="n">
        <f aca="false">IF(ISBLANK(Actuals!BI23),-(SUMPRODUCT((Personnel!$F$9:$F$100="SixPeak")*(Personnel!$G$9:$G$100="Yes")*(56&gt;=Personnel!$E$9:$E$100)*((Personnel!$K$9:$K$100="")+(56&lt;=Personnel!$K$9:$K$100)&gt;0)*Personnel!$D$9:$D$100*Personnel!$I$9:$I$100)),Actuals!BI23)</f>
        <v>-0</v>
      </c>
      <c r="BI205" s="13" t="n">
        <f aca="false">IF(ISBLANK(Actuals!BJ23),-(SUMPRODUCT((Personnel!$F$9:$F$100="SixPeak")*(Personnel!$G$9:$G$100="Yes")*(57&gt;=Personnel!$E$9:$E$100)*((Personnel!$K$9:$K$100="")+(57&lt;=Personnel!$K$9:$K$100)&gt;0)*Personnel!$D$9:$D$100*Personnel!$I$9:$I$100)),Actuals!BJ23)</f>
        <v>-0</v>
      </c>
      <c r="BJ205" s="13" t="n">
        <f aca="false">IF(ISBLANK(Actuals!BK23),-(SUMPRODUCT((Personnel!$F$9:$F$100="SixPeak")*(Personnel!$G$9:$G$100="Yes")*(58&gt;=Personnel!$E$9:$E$100)*((Personnel!$K$9:$K$100="")+(58&lt;=Personnel!$K$9:$K$100)&gt;0)*Personnel!$D$9:$D$100*Personnel!$I$9:$I$100)),Actuals!BK23)</f>
        <v>-0</v>
      </c>
      <c r="BK205" s="13" t="n">
        <f aca="false">IF(ISBLANK(Actuals!BL23),-(SUMPRODUCT((Personnel!$F$9:$F$100="SixPeak")*(Personnel!$G$9:$G$100="Yes")*(59&gt;=Personnel!$E$9:$E$100)*((Personnel!$K$9:$K$100="")+(59&lt;=Personnel!$K$9:$K$100)&gt;0)*Personnel!$D$9:$D$100*Personnel!$I$9:$I$100)),Actuals!BL23)</f>
        <v>-0</v>
      </c>
      <c r="BL205" s="13" t="n">
        <f aca="false">IF(ISBLANK(Actuals!BM23),-(SUMPRODUCT((Personnel!$F$9:$F$100="SixPeak")*(Personnel!$G$9:$G$100="Yes")*(60&gt;=Personnel!$E$9:$E$100)*((Personnel!$K$9:$K$100="")+(60&lt;=Personnel!$K$9:$K$100)&gt;0)*Personnel!$D$9:$D$100*Personnel!$I$9:$I$100)),Actuals!BM23)</f>
        <v>-0</v>
      </c>
      <c r="BM205" s="13" t="n">
        <f aca="false">IF(ISBLANK(Actuals!BN23),-(SUMPRODUCT((Personnel!$F$9:$F$100="SixPeak")*(Personnel!$G$9:$G$100="Yes")*(61&gt;=Personnel!$E$9:$E$100)*((Personnel!$K$9:$K$100="")+(61&lt;=Personnel!$K$9:$K$100)&gt;0)*Personnel!$D$9:$D$100*Personnel!$I$9:$I$100)),Actuals!BN23)</f>
        <v>-0</v>
      </c>
      <c r="BN205" s="13" t="n">
        <f aca="false">IF(ISBLANK(Actuals!BO23),-(SUMPRODUCT((Personnel!$F$9:$F$100="SixPeak")*(Personnel!$G$9:$G$100="Yes")*(62&gt;=Personnel!$E$9:$E$100)*((Personnel!$K$9:$K$100="")+(62&lt;=Personnel!$K$9:$K$100)&gt;0)*Personnel!$D$9:$D$100*Personnel!$I$9:$I$100)),Actuals!BO23)</f>
        <v>-0</v>
      </c>
      <c r="BO205" s="13" t="n">
        <f aca="false">IF(ISBLANK(Actuals!BP23),-(SUMPRODUCT((Personnel!$F$9:$F$100="SixPeak")*(Personnel!$G$9:$G$100="Yes")*(63&gt;=Personnel!$E$9:$E$100)*((Personnel!$K$9:$K$100="")+(63&lt;=Personnel!$K$9:$K$100)&gt;0)*Personnel!$D$9:$D$100*Personnel!$I$9:$I$100)),Actuals!BP23)</f>
        <v>-0</v>
      </c>
      <c r="BP205" s="13" t="n">
        <f aca="false">IF(ISBLANK(Actuals!BQ23),-(SUMPRODUCT((Personnel!$F$9:$F$100="SixPeak")*(Personnel!$G$9:$G$100="Yes")*(64&gt;=Personnel!$E$9:$E$100)*((Personnel!$K$9:$K$100="")+(64&lt;=Personnel!$K$9:$K$100)&gt;0)*Personnel!$D$9:$D$100*Personnel!$I$9:$I$100)),Actuals!BQ23)</f>
        <v>-0</v>
      </c>
      <c r="BQ205" s="13" t="n">
        <f aca="false">IF(ISBLANK(Actuals!BR23),-(SUMPRODUCT((Personnel!$F$9:$F$100="SixPeak")*(Personnel!$G$9:$G$100="Yes")*(65&gt;=Personnel!$E$9:$E$100)*((Personnel!$K$9:$K$100="")+(65&lt;=Personnel!$K$9:$K$100)&gt;0)*Personnel!$D$9:$D$100*Personnel!$I$9:$I$100)),Actuals!BR23)</f>
        <v>-0</v>
      </c>
      <c r="BR205" s="13" t="n">
        <f aca="false">IF(ISBLANK(Actuals!BS23),-(SUMPRODUCT((Personnel!$F$9:$F$100="SixPeak")*(Personnel!$G$9:$G$100="Yes")*(66&gt;=Personnel!$E$9:$E$100)*((Personnel!$K$9:$K$100="")+(66&lt;=Personnel!$K$9:$K$100)&gt;0)*Personnel!$D$9:$D$100*Personnel!$I$9:$I$100)),Actuals!BS23)</f>
        <v>-0</v>
      </c>
      <c r="BS205" s="13" t="n">
        <f aca="false">IF(ISBLANK(Actuals!BT23),-(SUMPRODUCT((Personnel!$F$9:$F$100="SixPeak")*(Personnel!$G$9:$G$100="Yes")*(67&gt;=Personnel!$E$9:$E$100)*((Personnel!$K$9:$K$100="")+(67&lt;=Personnel!$K$9:$K$100)&gt;0)*Personnel!$D$9:$D$100*Personnel!$I$9:$I$100)),Actuals!BT23)</f>
        <v>-0</v>
      </c>
      <c r="BT205" s="13" t="n">
        <f aca="false">IF(ISBLANK(Actuals!BU23),-(SUMPRODUCT((Personnel!$F$9:$F$100="SixPeak")*(Personnel!$G$9:$G$100="Yes")*(68&gt;=Personnel!$E$9:$E$100)*((Personnel!$K$9:$K$100="")+(68&lt;=Personnel!$K$9:$K$100)&gt;0)*Personnel!$D$9:$D$100*Personnel!$I$9:$I$100)),Actuals!BU23)</f>
        <v>-0</v>
      </c>
      <c r="BU205" s="13" t="n">
        <f aca="false">IF(ISBLANK(Actuals!BV23),-(SUMPRODUCT((Personnel!$F$9:$F$100="SixPeak")*(Personnel!$G$9:$G$100="Yes")*(69&gt;=Personnel!$E$9:$E$100)*((Personnel!$K$9:$K$100="")+(69&lt;=Personnel!$K$9:$K$100)&gt;0)*Personnel!$D$9:$D$100*Personnel!$I$9:$I$100)),Actuals!BV23)</f>
        <v>-0</v>
      </c>
      <c r="BV205" s="13" t="n">
        <f aca="false">IF(ISBLANK(Actuals!BW23),-(SUMPRODUCT((Personnel!$F$9:$F$100="SixPeak")*(Personnel!$G$9:$G$100="Yes")*(70&gt;=Personnel!$E$9:$E$100)*((Personnel!$K$9:$K$100="")+(70&lt;=Personnel!$K$9:$K$100)&gt;0)*Personnel!$D$9:$D$100*Personnel!$I$9:$I$100)),Actuals!BW23)</f>
        <v>-0</v>
      </c>
      <c r="BW205" s="13" t="n">
        <f aca="false">IF(ISBLANK(Actuals!BX23),-(SUMPRODUCT((Personnel!$F$9:$F$100="SixPeak")*(Personnel!$G$9:$G$100="Yes")*(71&gt;=Personnel!$E$9:$E$100)*((Personnel!$K$9:$K$100="")+(71&lt;=Personnel!$K$9:$K$100)&gt;0)*Personnel!$D$9:$D$100*Personnel!$I$9:$I$100)),Actuals!BX23)</f>
        <v>-0</v>
      </c>
      <c r="BX205" s="13" t="n">
        <f aca="false">IF(ISBLANK(Actuals!BY23),-(SUMPRODUCT((Personnel!$F$9:$F$100="SixPeak")*(Personnel!$G$9:$G$100="Yes")*(72&gt;=Personnel!$E$9:$E$100)*((Personnel!$K$9:$K$100="")+(72&lt;=Personnel!$K$9:$K$100)&gt;0)*Personnel!$D$9:$D$100*Personnel!$I$9:$I$100)),Actuals!BY23)</f>
        <v>-0</v>
      </c>
      <c r="BY205" s="13" t="n">
        <f aca="false">IF(ISBLANK(Actuals!BZ23),-(SUMPRODUCT((Personnel!$F$9:$F$100="SixPeak")*(Personnel!$G$9:$G$100="Yes")*(73&gt;=Personnel!$E$9:$E$100)*((Personnel!$K$9:$K$100="")+(73&lt;=Personnel!$K$9:$K$100)&gt;0)*Personnel!$D$9:$D$100*Personnel!$I$9:$I$100)),Actuals!BZ23)</f>
        <v>-0</v>
      </c>
      <c r="BZ205" s="13" t="n">
        <f aca="false">IF(ISBLANK(Actuals!CA23),-(SUMPRODUCT((Personnel!$F$9:$F$100="SixPeak")*(Personnel!$G$9:$G$100="Yes")*(74&gt;=Personnel!$E$9:$E$100)*((Personnel!$K$9:$K$100="")+(74&lt;=Personnel!$K$9:$K$100)&gt;0)*Personnel!$D$9:$D$100*Personnel!$I$9:$I$100)),Actuals!CA23)</f>
        <v>-0</v>
      </c>
      <c r="CA205" s="13" t="n">
        <f aca="false">IF(ISBLANK(Actuals!CB23),-(SUMPRODUCT((Personnel!$F$9:$F$100="SixPeak")*(Personnel!$G$9:$G$100="Yes")*(75&gt;=Personnel!$E$9:$E$100)*((Personnel!$K$9:$K$100="")+(75&lt;=Personnel!$K$9:$K$100)&gt;0)*Personnel!$D$9:$D$100*Personnel!$I$9:$I$100)),Actuals!CB23)</f>
        <v>-0</v>
      </c>
      <c r="CB205" s="13" t="n">
        <f aca="false">IF(ISBLANK(Actuals!CC23),-(SUMPRODUCT((Personnel!$F$9:$F$100="SixPeak")*(Personnel!$G$9:$G$100="Yes")*(76&gt;=Personnel!$E$9:$E$100)*((Personnel!$K$9:$K$100="")+(76&lt;=Personnel!$K$9:$K$100)&gt;0)*Personnel!$D$9:$D$100*Personnel!$I$9:$I$100)),Actuals!CC23)</f>
        <v>-0</v>
      </c>
      <c r="CC205" s="13" t="n">
        <f aca="false">IF(ISBLANK(Actuals!CD23),-(SUMPRODUCT((Personnel!$F$9:$F$100="SixPeak")*(Personnel!$G$9:$G$100="Yes")*(77&gt;=Personnel!$E$9:$E$100)*((Personnel!$K$9:$K$100="")+(77&lt;=Personnel!$K$9:$K$100)&gt;0)*Personnel!$D$9:$D$100*Personnel!$I$9:$I$100)),Actuals!CD23)</f>
        <v>-0</v>
      </c>
      <c r="CD205" s="13" t="n">
        <f aca="false">IF(ISBLANK(Actuals!CE23),-(SUMPRODUCT((Personnel!$F$9:$F$100="SixPeak")*(Personnel!$G$9:$G$100="Yes")*(78&gt;=Personnel!$E$9:$E$100)*((Personnel!$K$9:$K$100="")+(78&lt;=Personnel!$K$9:$K$100)&gt;0)*Personnel!$D$9:$D$100*Personnel!$I$9:$I$100)),Actuals!CE23)</f>
        <v>-0</v>
      </c>
      <c r="CE205" s="13" t="n">
        <f aca="false">IF(ISBLANK(Actuals!CF23),-(SUMPRODUCT((Personnel!$F$9:$F$100="SixPeak")*(Personnel!$G$9:$G$100="Yes")*(79&gt;=Personnel!$E$9:$E$100)*((Personnel!$K$9:$K$100="")+(79&lt;=Personnel!$K$9:$K$100)&gt;0)*Personnel!$D$9:$D$100*Personnel!$I$9:$I$100)),Actuals!CF23)</f>
        <v>-0</v>
      </c>
      <c r="CF205" s="13" t="n">
        <f aca="false">IF(ISBLANK(Actuals!CG23),-(SUMPRODUCT((Personnel!$F$9:$F$100="SixPeak")*(Personnel!$G$9:$G$100="Yes")*(80&gt;=Personnel!$E$9:$E$100)*((Personnel!$K$9:$K$100="")+(80&lt;=Personnel!$K$9:$K$100)&gt;0)*Personnel!$D$9:$D$100*Personnel!$I$9:$I$100)),Actuals!CG23)</f>
        <v>-0</v>
      </c>
      <c r="CG205" s="13" t="n">
        <f aca="false">IF(ISBLANK(Actuals!CH23),-(SUMPRODUCT((Personnel!$F$9:$F$100="SixPeak")*(Personnel!$G$9:$G$100="Yes")*(81&gt;=Personnel!$E$9:$E$100)*((Personnel!$K$9:$K$100="")+(81&lt;=Personnel!$K$9:$K$100)&gt;0)*Personnel!$D$9:$D$100*Personnel!$I$9:$I$100)),Actuals!CH23)</f>
        <v>-0</v>
      </c>
      <c r="CH205" s="13" t="n">
        <f aca="false">IF(ISBLANK(Actuals!CI23),-(SUMPRODUCT((Personnel!$F$9:$F$100="SixPeak")*(Personnel!$G$9:$G$100="Yes")*(82&gt;=Personnel!$E$9:$E$100)*((Personnel!$K$9:$K$100="")+(82&lt;=Personnel!$K$9:$K$100)&gt;0)*Personnel!$D$9:$D$100*Personnel!$I$9:$I$100)),Actuals!CI23)</f>
        <v>-0</v>
      </c>
      <c r="CI205" s="13" t="n">
        <f aca="false">IF(ISBLANK(Actuals!CJ23),-(SUMPRODUCT((Personnel!$F$9:$F$100="SixPeak")*(Personnel!$G$9:$G$100="Yes")*(83&gt;=Personnel!$E$9:$E$100)*((Personnel!$K$9:$K$100="")+(83&lt;=Personnel!$K$9:$K$100)&gt;0)*Personnel!$D$9:$D$100*Personnel!$I$9:$I$100)),Actuals!CJ23)</f>
        <v>-0</v>
      </c>
      <c r="CJ205" s="13" t="n">
        <f aca="false">IF(ISBLANK(Actuals!CK23),-(SUMPRODUCT((Personnel!$F$9:$F$100="SixPeak")*(Personnel!$G$9:$G$100="Yes")*(84&gt;=Personnel!$E$9:$E$100)*((Personnel!$K$9:$K$100="")+(84&lt;=Personnel!$K$9:$K$100)&gt;0)*Personnel!$D$9:$D$100*Personnel!$I$9:$I$100)),Actuals!CK23)</f>
        <v>-0</v>
      </c>
      <c r="CK205" s="13" t="n">
        <f aca="false">IF(ISBLANK(Actuals!CL23),-(SUMPRODUCT((Personnel!$F$9:$F$100="SixPeak")*(Personnel!$G$9:$G$100="Yes")*(85&gt;=Personnel!$E$9:$E$100)*((Personnel!$K$9:$K$100="")+(85&lt;=Personnel!$K$9:$K$100)&gt;0)*Personnel!$D$9:$D$100*Personnel!$I$9:$I$100)),Actuals!CL23)</f>
        <v>-0</v>
      </c>
      <c r="CL205" s="13" t="n">
        <f aca="false">IF(ISBLANK(Actuals!CM23),-(SUMPRODUCT((Personnel!$F$9:$F$100="SixPeak")*(Personnel!$G$9:$G$100="Yes")*(86&gt;=Personnel!$E$9:$E$100)*((Personnel!$K$9:$K$100="")+(86&lt;=Personnel!$K$9:$K$100)&gt;0)*Personnel!$D$9:$D$100*Personnel!$I$9:$I$100)),Actuals!CM23)</f>
        <v>-0</v>
      </c>
      <c r="CM205" s="13" t="n">
        <f aca="false">IF(ISBLANK(Actuals!CN23),-(SUMPRODUCT((Personnel!$F$9:$F$100="SixPeak")*(Personnel!$G$9:$G$100="Yes")*(87&gt;=Personnel!$E$9:$E$100)*((Personnel!$K$9:$K$100="")+(87&lt;=Personnel!$K$9:$K$100)&gt;0)*Personnel!$D$9:$D$100*Personnel!$I$9:$I$100)),Actuals!CN23)</f>
        <v>-0</v>
      </c>
      <c r="CN205" s="13" t="n">
        <f aca="false">IF(ISBLANK(Actuals!CO23),-(SUMPRODUCT((Personnel!$F$9:$F$100="SixPeak")*(Personnel!$G$9:$G$100="Yes")*(88&gt;=Personnel!$E$9:$E$100)*((Personnel!$K$9:$K$100="")+(88&lt;=Personnel!$K$9:$K$100)&gt;0)*Personnel!$D$9:$D$100*Personnel!$I$9:$I$100)),Actuals!CO23)</f>
        <v>-0</v>
      </c>
      <c r="CO205" s="13" t="n">
        <f aca="false">IF(ISBLANK(Actuals!CP23),-(SUMPRODUCT((Personnel!$F$9:$F$100="SixPeak")*(Personnel!$G$9:$G$100="Yes")*(89&gt;=Personnel!$E$9:$E$100)*((Personnel!$K$9:$K$100="")+(89&lt;=Personnel!$K$9:$K$100)&gt;0)*Personnel!$D$9:$D$100*Personnel!$I$9:$I$100)),Actuals!CP23)</f>
        <v>-0</v>
      </c>
      <c r="CP205" s="13" t="n">
        <f aca="false">IF(ISBLANK(Actuals!CQ23),-(SUMPRODUCT((Personnel!$F$9:$F$100="SixPeak")*(Personnel!$G$9:$G$100="Yes")*(90&gt;=Personnel!$E$9:$E$100)*((Personnel!$K$9:$K$100="")+(90&lt;=Personnel!$K$9:$K$100)&gt;0)*Personnel!$D$9:$D$100*Personnel!$I$9:$I$100)),Actuals!CQ23)</f>
        <v>-0</v>
      </c>
      <c r="CQ205" s="13" t="n">
        <f aca="false">IF(ISBLANK(Actuals!CR23),-(SUMPRODUCT((Personnel!$F$9:$F$100="SixPeak")*(Personnel!$G$9:$G$100="Yes")*(91&gt;=Personnel!$E$9:$E$100)*((Personnel!$K$9:$K$100="")+(91&lt;=Personnel!$K$9:$K$100)&gt;0)*Personnel!$D$9:$D$100*Personnel!$I$9:$I$100)),Actuals!CR23)</f>
        <v>-0</v>
      </c>
      <c r="CR205" s="13" t="n">
        <f aca="false">IF(ISBLANK(Actuals!CS23),-(SUMPRODUCT((Personnel!$F$9:$F$100="SixPeak")*(Personnel!$G$9:$G$100="Yes")*(92&gt;=Personnel!$E$9:$E$100)*((Personnel!$K$9:$K$100="")+(92&lt;=Personnel!$K$9:$K$100)&gt;0)*Personnel!$D$9:$D$100*Personnel!$I$9:$I$100)),Actuals!CS23)</f>
        <v>-0</v>
      </c>
      <c r="CS205" s="13" t="n">
        <f aca="false">IF(ISBLANK(Actuals!CT23),-(SUMPRODUCT((Personnel!$F$9:$F$100="SixPeak")*(Personnel!$G$9:$G$100="Yes")*(93&gt;=Personnel!$E$9:$E$100)*((Personnel!$K$9:$K$100="")+(93&lt;=Personnel!$K$9:$K$100)&gt;0)*Personnel!$D$9:$D$100*Personnel!$I$9:$I$100)),Actuals!CT23)</f>
        <v>-0</v>
      </c>
      <c r="CT205" s="13" t="n">
        <f aca="false">IF(ISBLANK(Actuals!CU23),-(SUMPRODUCT((Personnel!$F$9:$F$100="SixPeak")*(Personnel!$G$9:$G$100="Yes")*(94&gt;=Personnel!$E$9:$E$100)*((Personnel!$K$9:$K$100="")+(94&lt;=Personnel!$K$9:$K$100)&gt;0)*Personnel!$D$9:$D$100*Personnel!$I$9:$I$100)),Actuals!CU23)</f>
        <v>-0</v>
      </c>
      <c r="CU205" s="13" t="n">
        <f aca="false">IF(ISBLANK(Actuals!CV23),-(SUMPRODUCT((Personnel!$F$9:$F$100="SixPeak")*(Personnel!$G$9:$G$100="Yes")*(95&gt;=Personnel!$E$9:$E$100)*((Personnel!$K$9:$K$100="")+(95&lt;=Personnel!$K$9:$K$100)&gt;0)*Personnel!$D$9:$D$100*Personnel!$I$9:$I$100)),Actuals!CV23)</f>
        <v>-0</v>
      </c>
      <c r="CV205" s="13" t="n">
        <f aca="false">IF(ISBLANK(Actuals!CW23),-(SUMPRODUCT((Personnel!$F$9:$F$100="SixPeak")*(Personnel!$G$9:$G$100="Yes")*(96&gt;=Personnel!$E$9:$E$100)*((Personnel!$K$9:$K$100="")+(96&lt;=Personnel!$K$9:$K$100)&gt;0)*Personnel!$D$9:$D$100*Personnel!$I$9:$I$100)),Actuals!CW23)</f>
        <v>-0</v>
      </c>
      <c r="CW205" s="13" t="n">
        <f aca="false">IF(ISBLANK(Actuals!CX23),-(SUMPRODUCT((Personnel!$F$9:$F$100="SixPeak")*(Personnel!$G$9:$G$100="Yes")*(97&gt;=Personnel!$E$9:$E$100)*((Personnel!$K$9:$K$100="")+(97&lt;=Personnel!$K$9:$K$100)&gt;0)*Personnel!$D$9:$D$100*Personnel!$I$9:$I$100)),Actuals!CX23)</f>
        <v>-0</v>
      </c>
      <c r="CX205" s="13" t="n">
        <f aca="false">IF(ISBLANK(Actuals!CY23),-(SUMPRODUCT((Personnel!$F$9:$F$100="SixPeak")*(Personnel!$G$9:$G$100="Yes")*(98&gt;=Personnel!$E$9:$E$100)*((Personnel!$K$9:$K$100="")+(98&lt;=Personnel!$K$9:$K$100)&gt;0)*Personnel!$D$9:$D$100*Personnel!$I$9:$I$100)),Actuals!CY23)</f>
        <v>-0</v>
      </c>
      <c r="CY205" s="13" t="n">
        <f aca="false">IF(ISBLANK(Actuals!CZ23),-(SUMPRODUCT((Personnel!$F$9:$F$100="SixPeak")*(Personnel!$G$9:$G$100="Yes")*(99&gt;=Personnel!$E$9:$E$100)*((Personnel!$K$9:$K$100="")+(99&lt;=Personnel!$K$9:$K$100)&gt;0)*Personnel!$D$9:$D$100*Personnel!$I$9:$I$100)),Actuals!CZ23)</f>
        <v>-0</v>
      </c>
      <c r="CZ205" s="13" t="n">
        <f aca="false">IF(ISBLANK(Actuals!DA23),-(SUMPRODUCT((Personnel!$F$9:$F$100="SixPeak")*(Personnel!$G$9:$G$100="Yes")*(100&gt;=Personnel!$E$9:$E$100)*((Personnel!$K$9:$K$100="")+(100&lt;=Personnel!$K$9:$K$100)&gt;0)*Personnel!$D$9:$D$100*Personnel!$I$9:$I$100)),Actuals!DA23)</f>
        <v>-0</v>
      </c>
      <c r="DA205" s="13" t="n">
        <f aca="false">IF(ISBLANK(Actuals!DB23),-(SUMPRODUCT((Personnel!$F$9:$F$100="SixPeak")*(Personnel!$G$9:$G$100="Yes")*(101&gt;=Personnel!$E$9:$E$100)*((Personnel!$K$9:$K$100="")+(101&lt;=Personnel!$K$9:$K$100)&gt;0)*Personnel!$D$9:$D$100*Personnel!$I$9:$I$100)),Actuals!DB23)</f>
        <v>-0</v>
      </c>
      <c r="DB205" s="13" t="n">
        <f aca="false">IF(ISBLANK(Actuals!DC23),-(SUMPRODUCT((Personnel!$F$9:$F$100="SixPeak")*(Personnel!$G$9:$G$100="Yes")*(102&gt;=Personnel!$E$9:$E$100)*((Personnel!$K$9:$K$100="")+(102&lt;=Personnel!$K$9:$K$100)&gt;0)*Personnel!$D$9:$D$100*Personnel!$I$9:$I$100)),Actuals!DC23)</f>
        <v>-0</v>
      </c>
      <c r="DC205" s="13" t="n">
        <f aca="false">IF(ISBLANK(Actuals!DD23),-(SUMPRODUCT((Personnel!$F$9:$F$100="SixPeak")*(Personnel!$G$9:$G$100="Yes")*(103&gt;=Personnel!$E$9:$E$100)*((Personnel!$K$9:$K$100="")+(103&lt;=Personnel!$K$9:$K$100)&gt;0)*Personnel!$D$9:$D$100*Personnel!$I$9:$I$100)),Actuals!DD23)</f>
        <v>-0</v>
      </c>
      <c r="DD205" s="13" t="n">
        <f aca="false">IF(ISBLANK(Actuals!DE23),-(SUMPRODUCT((Personnel!$F$9:$F$100="SixPeak")*(Personnel!$G$9:$G$100="Yes")*(104&gt;=Personnel!$E$9:$E$100)*((Personnel!$K$9:$K$100="")+(104&lt;=Personnel!$K$9:$K$100)&gt;0)*Personnel!$D$9:$D$100*Personnel!$I$9:$I$100)),Actuals!DE23)</f>
        <v>-0</v>
      </c>
      <c r="DE205" s="13" t="n">
        <f aca="false">IF(ISBLANK(Actuals!DF23),-(SUMPRODUCT((Personnel!$F$9:$F$100="SixPeak")*(Personnel!$G$9:$G$100="Yes")*(105&gt;=Personnel!$E$9:$E$100)*((Personnel!$K$9:$K$100="")+(105&lt;=Personnel!$K$9:$K$100)&gt;0)*Personnel!$D$9:$D$100*Personnel!$I$9:$I$100)),Actuals!DF23)</f>
        <v>-0</v>
      </c>
    </row>
    <row r="206" customFormat="false" ht="15" hidden="false" customHeight="true" outlineLevel="0" collapsed="false">
      <c r="A206" s="22" t="s">
        <v>67</v>
      </c>
      <c r="B206" s="13" t="n">
        <f aca="false">IF(ISBLANK(Actuals!C24),0,Actuals!C24)</f>
        <v>-9482.97</v>
      </c>
      <c r="C206" s="13" t="n">
        <f aca="false">IF(ISBLANK(Actuals!D24),0,Actuals!D24)</f>
        <v>-10343.29</v>
      </c>
      <c r="D206" s="13" t="n">
        <f aca="false">IF(ISBLANK(Actuals!E24),0,Actuals!E24)</f>
        <v>-3729.48</v>
      </c>
      <c r="E206" s="13" t="n">
        <f aca="false">IF(ISBLANK(Actuals!F24),-Helpers!C4*Assumptions!$B$22,Actuals!F24)</f>
        <v>-3206.79</v>
      </c>
      <c r="F206" s="13" t="n">
        <f aca="false">IF(ISBLANK(Actuals!G24),-Helpers!D4*Assumptions!$B$22,Actuals!G24)</f>
        <v>10942.55</v>
      </c>
      <c r="G206" s="13" t="n">
        <f aca="false">IF(ISBLANK(Actuals!H24),-Helpers!E4*Assumptions!$B$22,Actuals!H24)</f>
        <v>-8982.91</v>
      </c>
      <c r="H206" s="13" t="n">
        <f aca="false">IF(ISBLANK(Actuals!I24),-Helpers!F4*Assumptions!$B$22,Actuals!I24)</f>
        <v>-14712.5</v>
      </c>
      <c r="I206" s="13" t="n">
        <f aca="false">IF(ISBLANK(Actuals!J24),-Helpers!G4*Assumptions!$B$22,Actuals!J24)</f>
        <v>-12426.27</v>
      </c>
      <c r="J206" s="13" t="n">
        <f aca="false">IF(ISBLANK(Actuals!K24),-Helpers!H4*Assumptions!$B$22,Actuals!K24)</f>
        <v>-15689.8833333333</v>
      </c>
      <c r="K206" s="13" t="n">
        <f aca="false">IF(ISBLANK(Actuals!L24),-Helpers!I4*Assumptions!$B$22,Actuals!L24)</f>
        <v>-15689.8833333333</v>
      </c>
      <c r="L206" s="13" t="n">
        <f aca="false">IF(ISBLANK(Actuals!M24),-Helpers!J4*Assumptions!$B$22,Actuals!M24)</f>
        <v>-15689.8833333333</v>
      </c>
      <c r="M206" s="13" t="n">
        <f aca="false">IF(ISBLANK(Actuals!N24),-Helpers!K4*Assumptions!$B$22,Actuals!N24)</f>
        <v>-16877.3833333333</v>
      </c>
      <c r="N206" s="13" t="n">
        <f aca="false">IF(ISBLANK(Actuals!O24),-Helpers!L4*Assumptions!$B$22,Actuals!O24)</f>
        <v>-17939.8833333333</v>
      </c>
      <c r="O206" s="13" t="n">
        <f aca="false">IF(ISBLANK(Actuals!P24),-Helpers!M4*Assumptions!$B$22,Actuals!P24)</f>
        <v>-20210.7166666667</v>
      </c>
      <c r="P206" s="13" t="n">
        <f aca="false">IF(ISBLANK(Actuals!Q24),-Helpers!N4*Assumptions!$B$22,Actuals!Q24)</f>
        <v>-20210.7166666667</v>
      </c>
      <c r="Q206" s="13" t="n">
        <f aca="false">IF(ISBLANK(Actuals!R24),-Helpers!O4*Assumptions!$B$22,Actuals!R24)</f>
        <v>-21826.181</v>
      </c>
      <c r="R206" s="13" t="n">
        <f aca="false">IF(ISBLANK(Actuals!S24),-Helpers!P4*Assumptions!$B$22,Actuals!S24)</f>
        <v>-23398.681</v>
      </c>
      <c r="S206" s="13" t="n">
        <f aca="false">IF(ISBLANK(Actuals!T24),-Helpers!Q4*Assumptions!$B$22,Actuals!T24)</f>
        <v>-23929.931</v>
      </c>
      <c r="T206" s="13" t="n">
        <f aca="false">IF(ISBLANK(Actuals!U24),-Helpers!R4*Assumptions!$B$22,Actuals!U24)</f>
        <v>-24461.181</v>
      </c>
      <c r="U206" s="13" t="n">
        <f aca="false">IF(ISBLANK(Actuals!V24),-Helpers!S4*Assumptions!$B$22,Actuals!V24)</f>
        <v>-24461.181</v>
      </c>
      <c r="V206" s="13" t="n">
        <f aca="false">IF(ISBLANK(Actuals!W24),-Helpers!T4*Assumptions!$B$22,Actuals!W24)</f>
        <v>-24461.181</v>
      </c>
      <c r="W206" s="13" t="n">
        <f aca="false">IF(ISBLANK(Actuals!X24),-Helpers!U4*Assumptions!$B$22,Actuals!X24)</f>
        <v>-24461.181</v>
      </c>
      <c r="X206" s="13" t="n">
        <f aca="false">IF(ISBLANK(Actuals!Y24),-Helpers!V4*Assumptions!$B$22,Actuals!Y24)</f>
        <v>-24461.181</v>
      </c>
      <c r="Y206" s="13" t="n">
        <f aca="false">IF(ISBLANK(Actuals!Z24),-Helpers!W4*Assumptions!$B$22,Actuals!Z24)</f>
        <v>-24461.181</v>
      </c>
      <c r="Z206" s="13" t="n">
        <f aca="false">IF(ISBLANK(Actuals!AA24),-Helpers!X4*Assumptions!$B$22,Actuals!AA24)</f>
        <v>-23929.931</v>
      </c>
      <c r="AA206" s="13" t="n">
        <f aca="false">IF(ISBLANK(Actuals!AB24),-Helpers!Y4*Assumptions!$B$22,Actuals!AB24)</f>
        <v>-23929.931</v>
      </c>
      <c r="AB206" s="13" t="n">
        <f aca="false">IF(ISBLANK(Actuals!AC24),-Helpers!Z4*Assumptions!$B$22,Actuals!AC24)</f>
        <v>-23589.931</v>
      </c>
      <c r="AC206" s="13" t="n">
        <f aca="false">IF(ISBLANK(Actuals!AD24),-Helpers!AA4*Assumptions!$B$22,Actuals!AD24)</f>
        <v>-24061.72962</v>
      </c>
      <c r="AD206" s="13" t="n">
        <f aca="false">IF(ISBLANK(Actuals!AE24),-Helpers!AB4*Assumptions!$B$22,Actuals!AE24)</f>
        <v>-24061.72962</v>
      </c>
      <c r="AE206" s="13" t="n">
        <f aca="false">IF(ISBLANK(Actuals!AF24),-Helpers!AC4*Assumptions!$B$22,Actuals!AF24)</f>
        <v>-24061.72962</v>
      </c>
      <c r="AF206" s="13" t="n">
        <f aca="false">IF(ISBLANK(Actuals!AG24),-Helpers!AD4*Assumptions!$B$22,Actuals!AG24)</f>
        <v>-24061.72962</v>
      </c>
      <c r="AG206" s="13" t="n">
        <f aca="false">IF(ISBLANK(Actuals!AH24),-Helpers!AE4*Assumptions!$B$22,Actuals!AH24)</f>
        <v>-24061.72962</v>
      </c>
      <c r="AH206" s="13" t="n">
        <f aca="false">IF(ISBLANK(Actuals!AI24),-Helpers!AF4*Assumptions!$B$22,Actuals!AI24)</f>
        <v>-24061.72962</v>
      </c>
      <c r="AI206" s="13" t="n">
        <f aca="false">IF(ISBLANK(Actuals!AJ24),-Helpers!AG4*Assumptions!$B$22,Actuals!AJ24)</f>
        <v>-24061.72962</v>
      </c>
      <c r="AJ206" s="13" t="n">
        <f aca="false">IF(ISBLANK(Actuals!AK24),-Helpers!AH4*Assumptions!$B$22,Actuals!AK24)</f>
        <v>-24950.40462</v>
      </c>
      <c r="AK206" s="13" t="n">
        <f aca="false">IF(ISBLANK(Actuals!AL24),-Helpers!AI4*Assumptions!$B$22,Actuals!AL24)</f>
        <v>-24950.40462</v>
      </c>
      <c r="AL206" s="13" t="n">
        <f aca="false">IF(ISBLANK(Actuals!AM24),-Helpers!AJ4*Assumptions!$B$22,Actuals!AM24)</f>
        <v>-24950.40462</v>
      </c>
      <c r="AM206" s="13" t="n">
        <f aca="false">IF(ISBLANK(Actuals!AN24),-Helpers!AK4*Assumptions!$B$22,Actuals!AN24)</f>
        <v>-24950.40462</v>
      </c>
      <c r="AN206" s="13" t="n">
        <f aca="false">IF(ISBLANK(Actuals!AO24),-Helpers!AL4*Assumptions!$B$22,Actuals!AO24)</f>
        <v>-24950.40462</v>
      </c>
      <c r="AO206" s="13" t="n">
        <f aca="false">IF(ISBLANK(Actuals!AP24),-Helpers!AM4*Assumptions!$B$22,Actuals!AP24)</f>
        <v>-25449.4127124</v>
      </c>
      <c r="AP206" s="13" t="n">
        <f aca="false">IF(ISBLANK(Actuals!AQ24),-Helpers!AN4*Assumptions!$B$22,Actuals!AQ24)</f>
        <v>-25449.4127124</v>
      </c>
      <c r="AQ206" s="13" t="n">
        <f aca="false">IF(ISBLANK(Actuals!AR24),-Helpers!AO4*Assumptions!$B$22,Actuals!AR24)</f>
        <v>-26576.9462124</v>
      </c>
      <c r="AR206" s="13" t="n">
        <f aca="false">IF(ISBLANK(Actuals!AS24),-Helpers!AP4*Assumptions!$B$22,Actuals!AS24)</f>
        <v>-26576.9462124</v>
      </c>
      <c r="AS206" s="13" t="n">
        <f aca="false">IF(ISBLANK(Actuals!AT24),-Helpers!AQ4*Assumptions!$B$22,Actuals!AT24)</f>
        <v>-26576.9462124</v>
      </c>
      <c r="AT206" s="13" t="n">
        <f aca="false">IF(ISBLANK(Actuals!AU24),-Helpers!AR4*Assumptions!$B$22,Actuals!AU24)</f>
        <v>-26576.9462124</v>
      </c>
      <c r="AU206" s="13" t="n">
        <f aca="false">IF(ISBLANK(Actuals!AV24),-Helpers!AS4*Assumptions!$B$22,Actuals!AV24)</f>
        <v>-27682.3712124</v>
      </c>
      <c r="AV206" s="13" t="n">
        <f aca="false">IF(ISBLANK(Actuals!AW24),-Helpers!AT4*Assumptions!$B$22,Actuals!AW24)</f>
        <v>-27682.3712124</v>
      </c>
      <c r="AW206" s="13" t="n">
        <f aca="false">IF(ISBLANK(Actuals!AX24),-Helpers!AU4*Assumptions!$B$22,Actuals!AX24)</f>
        <v>-27107.5502124</v>
      </c>
      <c r="AX206" s="13" t="n">
        <f aca="false">IF(ISBLANK(Actuals!AY24),-Helpers!AV4*Assumptions!$B$22,Actuals!AY24)</f>
        <v>-27107.5502124</v>
      </c>
      <c r="AY206" s="13" t="n">
        <f aca="false">IF(ISBLANK(Actuals!AZ24),-Helpers!AW4*Assumptions!$B$22,Actuals!AZ24)</f>
        <v>-27107.5502124</v>
      </c>
      <c r="AZ206" s="13" t="n">
        <f aca="false">IF(ISBLANK(Actuals!BA24),-Helpers!AX4*Assumptions!$B$22,Actuals!BA24)</f>
        <v>-27107.5502124</v>
      </c>
      <c r="BA206" s="13" t="n">
        <f aca="false">IF(ISBLANK(Actuals!BB24),-Helpers!AY4*Assumptions!$B$22,Actuals!BB24)</f>
        <v>-26522.167716648</v>
      </c>
      <c r="BB206" s="13" t="n">
        <f aca="false">IF(ISBLANK(Actuals!BC24),-Helpers!AZ4*Assumptions!$B$22,Actuals!BC24)</f>
        <v>-25146.576846648</v>
      </c>
      <c r="BC206" s="13" t="n">
        <f aca="false">IF(ISBLANK(Actuals!BD24),-Helpers!BA4*Assumptions!$B$22,Actuals!BD24)</f>
        <v>-25146.576846648</v>
      </c>
      <c r="BD206" s="13" t="n">
        <f aca="false">IF(ISBLANK(Actuals!BE24),-Helpers!BB4*Assumptions!$B$22,Actuals!BE24)</f>
        <v>-25146.576846648</v>
      </c>
      <c r="BE206" s="13" t="n">
        <f aca="false">IF(ISBLANK(Actuals!BF24),-Helpers!BC4*Assumptions!$B$22,Actuals!BF24)</f>
        <v>-25146.576846648</v>
      </c>
      <c r="BF206" s="13" t="n">
        <f aca="false">IF(ISBLANK(Actuals!BG24),-Helpers!BD4*Assumptions!$B$22,Actuals!BG24)</f>
        <v>-25146.576846648</v>
      </c>
      <c r="BG206" s="13" t="n">
        <f aca="false">IF(ISBLANK(Actuals!BH24),-Helpers!BE4*Assumptions!$B$22,Actuals!BH24)</f>
        <v>-25146.576846648</v>
      </c>
      <c r="BH206" s="13" t="n">
        <f aca="false">IF(ISBLANK(Actuals!BI24),-Helpers!BF4*Assumptions!$B$22,Actuals!BI24)</f>
        <v>-25146.576846648</v>
      </c>
      <c r="BI206" s="13" t="n">
        <f aca="false">IF(ISBLANK(Actuals!BJ24),-Helpers!BG4*Assumptions!$B$22,Actuals!BJ24)</f>
        <v>-25146.576846648</v>
      </c>
      <c r="BJ206" s="13" t="n">
        <f aca="false">IF(ISBLANK(Actuals!BK24),-Helpers!BH4*Assumptions!$B$22,Actuals!BK24)</f>
        <v>-25146.576846648</v>
      </c>
      <c r="BK206" s="13" t="n">
        <f aca="false">IF(ISBLANK(Actuals!BL24),-Helpers!BI4*Assumptions!$B$22,Actuals!BL24)</f>
        <v>-24560.259426648</v>
      </c>
      <c r="BL206" s="13" t="n">
        <f aca="false">IF(ISBLANK(Actuals!BM24),-Helpers!BJ4*Assumptions!$B$22,Actuals!BM24)</f>
        <v>-24560.259426648</v>
      </c>
      <c r="BM206" s="13" t="n">
        <f aca="false">IF(ISBLANK(Actuals!BN24),-Helpers!BK4*Assumptions!$B$22,Actuals!BN24)</f>
        <v>-24476.422530181</v>
      </c>
      <c r="BN206" s="13" t="n">
        <f aca="false">IF(ISBLANK(Actuals!BO24),-Helpers!BL4*Assumptions!$B$22,Actuals!BO24)</f>
        <v>-23533.353510781</v>
      </c>
      <c r="BO206" s="13" t="n">
        <f aca="false">IF(ISBLANK(Actuals!BP24),-Helpers!BM4*Assumptions!$B$22,Actuals!BP24)</f>
        <v>-21118.176753781</v>
      </c>
      <c r="BP206" s="13" t="n">
        <f aca="false">IF(ISBLANK(Actuals!BQ24),-Helpers!BN4*Assumptions!$B$22,Actuals!BQ24)</f>
        <v>-19807.080799981</v>
      </c>
      <c r="BQ206" s="13" t="n">
        <f aca="false">IF(ISBLANK(Actuals!BR24),-Helpers!BO4*Assumptions!$B$22,Actuals!BR24)</f>
        <v>-19209.037031581</v>
      </c>
      <c r="BR206" s="13" t="n">
        <f aca="false">IF(ISBLANK(Actuals!BS24),-Helpers!BP4*Assumptions!$B$22,Actuals!BS24)</f>
        <v>-19209.037031581</v>
      </c>
      <c r="BS206" s="13" t="n">
        <f aca="false">IF(ISBLANK(Actuals!BT24),-Helpers!BQ4*Assumptions!$B$22,Actuals!BT24)</f>
        <v>-19209.037031581</v>
      </c>
      <c r="BT206" s="13" t="n">
        <f aca="false">IF(ISBLANK(Actuals!BU24),-Helpers!BR4*Assumptions!$B$22,Actuals!BU24)</f>
        <v>-18472.983162781</v>
      </c>
      <c r="BU206" s="13" t="n">
        <f aca="false">IF(ISBLANK(Actuals!BV24),-Helpers!BS4*Assumptions!$B$22,Actuals!BV24)</f>
        <v>-17161.887208981</v>
      </c>
      <c r="BV206" s="13" t="n">
        <f aca="false">IF(ISBLANK(Actuals!BW24),-Helpers!BT4*Assumptions!$B$22,Actuals!BW24)</f>
        <v>-17161.887208981</v>
      </c>
      <c r="BW206" s="13" t="n">
        <f aca="false">IF(ISBLANK(Actuals!BX24),-Helpers!BU4*Assumptions!$B$22,Actuals!BX24)</f>
        <v>-17161.887208981</v>
      </c>
      <c r="BX206" s="13" t="n">
        <f aca="false">IF(ISBLANK(Actuals!BY24),-Helpers!BV4*Assumptions!$B$22,Actuals!BY24)</f>
        <v>-17161.887208981</v>
      </c>
      <c r="BY206" s="13" t="n">
        <f aca="false">IF(ISBLANK(Actuals!BZ24),-Helpers!BW4*Assumptions!$B$22,Actuals!BZ24)</f>
        <v>-17505.1249531606</v>
      </c>
      <c r="BZ206" s="13" t="n">
        <f aca="false">IF(ISBLANK(Actuals!CA24),-Helpers!BX4*Assumptions!$B$22,Actuals!CA24)</f>
        <v>-17505.1249531606</v>
      </c>
      <c r="CA206" s="13" t="n">
        <f aca="false">IF(ISBLANK(Actuals!CB24),-Helpers!BY4*Assumptions!$B$22,Actuals!CB24)</f>
        <v>-17505.1249531606</v>
      </c>
      <c r="CB206" s="13" t="n">
        <f aca="false">IF(ISBLANK(Actuals!CC24),-Helpers!BZ4*Assumptions!$B$22,Actuals!CC24)</f>
        <v>-17505.1249531606</v>
      </c>
      <c r="CC206" s="13" t="n">
        <f aca="false">IF(ISBLANK(Actuals!CD24),-Helpers!CA4*Assumptions!$B$22,Actuals!CD24)</f>
        <v>-17505.1249531606</v>
      </c>
      <c r="CD206" s="13" t="n">
        <f aca="false">IF(ISBLANK(Actuals!CE24),-Helpers!CB4*Assumptions!$B$22,Actuals!CE24)</f>
        <v>-17505.1249531606</v>
      </c>
      <c r="CE206" s="13" t="n">
        <f aca="false">IF(ISBLANK(Actuals!CF24),-Helpers!CC4*Assumptions!$B$22,Actuals!CF24)</f>
        <v>-17505.1249531606</v>
      </c>
      <c r="CF206" s="13" t="n">
        <f aca="false">IF(ISBLANK(Actuals!CG24),-Helpers!CD4*Assumptions!$B$22,Actuals!CG24)</f>
        <v>-17505.1249531606</v>
      </c>
      <c r="CG206" s="13" t="n">
        <f aca="false">IF(ISBLANK(Actuals!CH24),-Helpers!CE4*Assumptions!$B$22,Actuals!CH24)</f>
        <v>-17505.1249531606</v>
      </c>
      <c r="CH206" s="13" t="n">
        <f aca="false">IF(ISBLANK(Actuals!CI24),-Helpers!CF4*Assumptions!$B$22,Actuals!CI24)</f>
        <v>-17505.1249531606</v>
      </c>
      <c r="CI206" s="13" t="n">
        <f aca="false">IF(ISBLANK(Actuals!CJ24),-Helpers!CG4*Assumptions!$B$22,Actuals!CJ24)</f>
        <v>-17505.1249531606</v>
      </c>
      <c r="CJ206" s="13" t="n">
        <f aca="false">IF(ISBLANK(Actuals!CK24),-Helpers!CH4*Assumptions!$B$22,Actuals!CK24)</f>
        <v>-17505.1249531606</v>
      </c>
      <c r="CK206" s="13" t="n">
        <f aca="false">IF(ISBLANK(Actuals!CL24),-Helpers!CI4*Assumptions!$B$22,Actuals!CL24)</f>
        <v>-17855.2274522238</v>
      </c>
      <c r="CL206" s="13" t="n">
        <f aca="false">IF(ISBLANK(Actuals!CM24),-Helpers!CJ4*Assumptions!$B$22,Actuals!CM24)</f>
        <v>-17855.2274522238</v>
      </c>
      <c r="CM206" s="13" t="n">
        <f aca="false">IF(ISBLANK(Actuals!CN24),-Helpers!CK4*Assumptions!$B$22,Actuals!CN24)</f>
        <v>-17855.2274522238</v>
      </c>
      <c r="CN206" s="13" t="n">
        <f aca="false">IF(ISBLANK(Actuals!CO24),-Helpers!CL4*Assumptions!$B$22,Actuals!CO24)</f>
        <v>-17855.2274522238</v>
      </c>
      <c r="CO206" s="13" t="n">
        <f aca="false">IF(ISBLANK(Actuals!CP24),-Helpers!CM4*Assumptions!$B$22,Actuals!CP24)</f>
        <v>-17855.2274522238</v>
      </c>
      <c r="CP206" s="13" t="n">
        <f aca="false">IF(ISBLANK(Actuals!CQ24),-Helpers!CN4*Assumptions!$B$22,Actuals!CQ24)</f>
        <v>-17855.2274522238</v>
      </c>
      <c r="CQ206" s="13" t="n">
        <f aca="false">IF(ISBLANK(Actuals!CR24),-Helpers!CO4*Assumptions!$B$22,Actuals!CR24)</f>
        <v>-17855.2274522238</v>
      </c>
      <c r="CR206" s="13" t="n">
        <f aca="false">IF(ISBLANK(Actuals!CS24),-Helpers!CP4*Assumptions!$B$22,Actuals!CS24)</f>
        <v>-17855.2274522238</v>
      </c>
      <c r="CS206" s="13" t="n">
        <f aca="false">IF(ISBLANK(Actuals!CT24),-Helpers!CQ4*Assumptions!$B$22,Actuals!CT24)</f>
        <v>-17855.2274522238</v>
      </c>
      <c r="CT206" s="13" t="n">
        <f aca="false">IF(ISBLANK(Actuals!CU24),-Helpers!CR4*Assumptions!$B$22,Actuals!CU24)</f>
        <v>-0</v>
      </c>
      <c r="CU206" s="13" t="n">
        <f aca="false">IF(ISBLANK(Actuals!CV24),-Helpers!CS4*Assumptions!$B$22,Actuals!CV24)</f>
        <v>-0</v>
      </c>
      <c r="CV206" s="13" t="n">
        <f aca="false">IF(ISBLANK(Actuals!CW24),-Helpers!CT4*Assumptions!$B$22,Actuals!CW24)</f>
        <v>-0</v>
      </c>
      <c r="CW206" s="13" t="n">
        <f aca="false">IF(ISBLANK(Actuals!CX24),-Helpers!CU4*Assumptions!$B$22,Actuals!CX24)</f>
        <v>-0</v>
      </c>
      <c r="CX206" s="13" t="n">
        <f aca="false">IF(ISBLANK(Actuals!CY24),-Helpers!CV4*Assumptions!$B$22,Actuals!CY24)</f>
        <v>-0</v>
      </c>
      <c r="CY206" s="13" t="n">
        <f aca="false">IF(ISBLANK(Actuals!CZ24),-Helpers!CW4*Assumptions!$B$22,Actuals!CZ24)</f>
        <v>-0</v>
      </c>
      <c r="CZ206" s="13" t="n">
        <f aca="false">IF(ISBLANK(Actuals!DA24),-Helpers!CX4*Assumptions!$B$22,Actuals!DA24)</f>
        <v>-0</v>
      </c>
      <c r="DA206" s="13" t="n">
        <f aca="false">IF(ISBLANK(Actuals!DB24),-Helpers!CY4*Assumptions!$B$22,Actuals!DB24)</f>
        <v>-0</v>
      </c>
      <c r="DB206" s="13" t="n">
        <f aca="false">IF(ISBLANK(Actuals!DC24),-Helpers!CZ4*Assumptions!$B$22,Actuals!DC24)</f>
        <v>-0</v>
      </c>
      <c r="DC206" s="13" t="n">
        <f aca="false">IF(ISBLANK(Actuals!DD24),-Helpers!DA4*Assumptions!$B$22,Actuals!DD24)</f>
        <v>-0</v>
      </c>
      <c r="DD206" s="13" t="n">
        <f aca="false">IF(ISBLANK(Actuals!DE24),-Helpers!DB4*Assumptions!$B$22,Actuals!DE24)</f>
        <v>-0</v>
      </c>
      <c r="DE206" s="13" t="n">
        <f aca="false">IF(ISBLANK(Actuals!DF24),-Helpers!DC4*Assumptions!$B$22,Actuals!DF24)</f>
        <v>-0</v>
      </c>
    </row>
    <row r="207" customFormat="false" ht="15" hidden="false" customHeight="true" outlineLevel="0" collapsed="false">
      <c r="A207" s="22" t="s">
        <v>68</v>
      </c>
      <c r="B207" s="13" t="n">
        <f aca="false">IF(ISBLANK(Actuals!C25),0,Actuals!C25)</f>
        <v>-2542.47</v>
      </c>
      <c r="C207" s="13" t="n">
        <f aca="false">IF(ISBLANK(Actuals!D25),0,Actuals!D25)</f>
        <v>-1618.75</v>
      </c>
      <c r="D207" s="13" t="n">
        <f aca="false">IF(ISBLANK(Actuals!E25),0,Actuals!E25)</f>
        <v>3406.77</v>
      </c>
      <c r="E207" s="13" t="n">
        <f aca="false">IF(ISBLANK(Actuals!F25),-Helpers!C4*Assumptions!$B$23,Actuals!F25)</f>
        <v>2575.42</v>
      </c>
      <c r="F207" s="13" t="n">
        <f aca="false">IF(ISBLANK(Actuals!G25),-Helpers!D4*Assumptions!$B$23,Actuals!G25)</f>
        <v>-1896.11</v>
      </c>
      <c r="G207" s="13" t="n">
        <f aca="false">IF(ISBLANK(Actuals!H25),-Helpers!E4*Assumptions!$B$23,Actuals!H25)</f>
        <v>-2888.37</v>
      </c>
      <c r="H207" s="13" t="n">
        <f aca="false">IF(ISBLANK(Actuals!I25),-Helpers!F4*Assumptions!$B$23,Actuals!I25)</f>
        <v>636.26</v>
      </c>
      <c r="I207" s="13" t="n">
        <f aca="false">IF(ISBLANK(Actuals!J25),-Helpers!G4*Assumptions!$B$23,Actuals!J25)</f>
        <v>-2370.43</v>
      </c>
      <c r="J207" s="13" t="n">
        <f aca="false">IF(ISBLANK(Actuals!K25),-Helpers!H4*Assumptions!$B$23,Actuals!K25)</f>
        <v>-6275.95333333333</v>
      </c>
      <c r="K207" s="13" t="n">
        <f aca="false">IF(ISBLANK(Actuals!L25),-Helpers!I4*Assumptions!$B$23,Actuals!L25)</f>
        <v>-6275.95333333333</v>
      </c>
      <c r="L207" s="13" t="n">
        <f aca="false">IF(ISBLANK(Actuals!M25),-Helpers!J4*Assumptions!$B$23,Actuals!M25)</f>
        <v>-6275.95333333333</v>
      </c>
      <c r="M207" s="13" t="n">
        <f aca="false">IF(ISBLANK(Actuals!N25),-Helpers!K4*Assumptions!$B$23,Actuals!N25)</f>
        <v>-6750.95333333333</v>
      </c>
      <c r="N207" s="13" t="n">
        <f aca="false">IF(ISBLANK(Actuals!O25),-Helpers!L4*Assumptions!$B$23,Actuals!O25)</f>
        <v>-7175.95333333333</v>
      </c>
      <c r="O207" s="13" t="n">
        <f aca="false">IF(ISBLANK(Actuals!P25),-Helpers!M4*Assumptions!$B$23,Actuals!P25)</f>
        <v>-8084.28666666667</v>
      </c>
      <c r="P207" s="13" t="n">
        <f aca="false">IF(ISBLANK(Actuals!Q25),-Helpers!N4*Assumptions!$B$23,Actuals!Q25)</f>
        <v>-8084.28666666667</v>
      </c>
      <c r="Q207" s="13" t="n">
        <f aca="false">IF(ISBLANK(Actuals!R25),-Helpers!O4*Assumptions!$B$23,Actuals!R25)</f>
        <v>-8730.4724</v>
      </c>
      <c r="R207" s="13" t="n">
        <f aca="false">IF(ISBLANK(Actuals!S25),-Helpers!P4*Assumptions!$B$23,Actuals!S25)</f>
        <v>-9359.4724</v>
      </c>
      <c r="S207" s="13" t="n">
        <f aca="false">IF(ISBLANK(Actuals!T25),-Helpers!Q4*Assumptions!$B$23,Actuals!T25)</f>
        <v>-9571.9724</v>
      </c>
      <c r="T207" s="13" t="n">
        <f aca="false">IF(ISBLANK(Actuals!U25),-Helpers!R4*Assumptions!$B$23,Actuals!U25)</f>
        <v>-9784.4724</v>
      </c>
      <c r="U207" s="13" t="n">
        <f aca="false">IF(ISBLANK(Actuals!V25),-Helpers!S4*Assumptions!$B$23,Actuals!V25)</f>
        <v>-9784.4724</v>
      </c>
      <c r="V207" s="13" t="n">
        <f aca="false">IF(ISBLANK(Actuals!W25),-Helpers!T4*Assumptions!$B$23,Actuals!W25)</f>
        <v>-9784.4724</v>
      </c>
      <c r="W207" s="13" t="n">
        <f aca="false">IF(ISBLANK(Actuals!X25),-Helpers!U4*Assumptions!$B$23,Actuals!X25)</f>
        <v>-9784.4724</v>
      </c>
      <c r="X207" s="13" t="n">
        <f aca="false">IF(ISBLANK(Actuals!Y25),-Helpers!V4*Assumptions!$B$23,Actuals!Y25)</f>
        <v>-9784.4724</v>
      </c>
      <c r="Y207" s="13" t="n">
        <f aca="false">IF(ISBLANK(Actuals!Z25),-Helpers!W4*Assumptions!$B$23,Actuals!Z25)</f>
        <v>-9784.4724</v>
      </c>
      <c r="Z207" s="13" t="n">
        <f aca="false">IF(ISBLANK(Actuals!AA25),-Helpers!X4*Assumptions!$B$23,Actuals!AA25)</f>
        <v>-9571.9724</v>
      </c>
      <c r="AA207" s="13" t="n">
        <f aca="false">IF(ISBLANK(Actuals!AB25),-Helpers!Y4*Assumptions!$B$23,Actuals!AB25)</f>
        <v>-9571.9724</v>
      </c>
      <c r="AB207" s="13" t="n">
        <f aca="false">IF(ISBLANK(Actuals!AC25),-Helpers!Z4*Assumptions!$B$23,Actuals!AC25)</f>
        <v>-9435.9724</v>
      </c>
      <c r="AC207" s="13" t="n">
        <f aca="false">IF(ISBLANK(Actuals!AD25),-Helpers!AA4*Assumptions!$B$23,Actuals!AD25)</f>
        <v>-9624.691848</v>
      </c>
      <c r="AD207" s="13" t="n">
        <f aca="false">IF(ISBLANK(Actuals!AE25),-Helpers!AB4*Assumptions!$B$23,Actuals!AE25)</f>
        <v>-9624.691848</v>
      </c>
      <c r="AE207" s="13" t="n">
        <f aca="false">IF(ISBLANK(Actuals!AF25),-Helpers!AC4*Assumptions!$B$23,Actuals!AF25)</f>
        <v>-9624.691848</v>
      </c>
      <c r="AF207" s="13" t="n">
        <f aca="false">IF(ISBLANK(Actuals!AG25),-Helpers!AD4*Assumptions!$B$23,Actuals!AG25)</f>
        <v>-9624.691848</v>
      </c>
      <c r="AG207" s="13" t="n">
        <f aca="false">IF(ISBLANK(Actuals!AH25),-Helpers!AE4*Assumptions!$B$23,Actuals!AH25)</f>
        <v>-9624.691848</v>
      </c>
      <c r="AH207" s="13" t="n">
        <f aca="false">IF(ISBLANK(Actuals!AI25),-Helpers!AF4*Assumptions!$B$23,Actuals!AI25)</f>
        <v>-9624.691848</v>
      </c>
      <c r="AI207" s="13" t="n">
        <f aca="false">IF(ISBLANK(Actuals!AJ25),-Helpers!AG4*Assumptions!$B$23,Actuals!AJ25)</f>
        <v>-9624.691848</v>
      </c>
      <c r="AJ207" s="13" t="n">
        <f aca="false">IF(ISBLANK(Actuals!AK25),-Helpers!AH4*Assumptions!$B$23,Actuals!AK25)</f>
        <v>-9980.161848</v>
      </c>
      <c r="AK207" s="13" t="n">
        <f aca="false">IF(ISBLANK(Actuals!AL25),-Helpers!AI4*Assumptions!$B$23,Actuals!AL25)</f>
        <v>-9980.161848</v>
      </c>
      <c r="AL207" s="13" t="n">
        <f aca="false">IF(ISBLANK(Actuals!AM25),-Helpers!AJ4*Assumptions!$B$23,Actuals!AM25)</f>
        <v>-9980.161848</v>
      </c>
      <c r="AM207" s="13" t="n">
        <f aca="false">IF(ISBLANK(Actuals!AN25),-Helpers!AK4*Assumptions!$B$23,Actuals!AN25)</f>
        <v>-9980.161848</v>
      </c>
      <c r="AN207" s="13" t="n">
        <f aca="false">IF(ISBLANK(Actuals!AO25),-Helpers!AL4*Assumptions!$B$23,Actuals!AO25)</f>
        <v>-9980.161848</v>
      </c>
      <c r="AO207" s="13" t="n">
        <f aca="false">IF(ISBLANK(Actuals!AP25),-Helpers!AM4*Assumptions!$B$23,Actuals!AP25)</f>
        <v>-10179.76508496</v>
      </c>
      <c r="AP207" s="13" t="n">
        <f aca="false">IF(ISBLANK(Actuals!AQ25),-Helpers!AN4*Assumptions!$B$23,Actuals!AQ25)</f>
        <v>-10179.76508496</v>
      </c>
      <c r="AQ207" s="13" t="n">
        <f aca="false">IF(ISBLANK(Actuals!AR25),-Helpers!AO4*Assumptions!$B$23,Actuals!AR25)</f>
        <v>-10630.77848496</v>
      </c>
      <c r="AR207" s="13" t="n">
        <f aca="false">IF(ISBLANK(Actuals!AS25),-Helpers!AP4*Assumptions!$B$23,Actuals!AS25)</f>
        <v>-10630.77848496</v>
      </c>
      <c r="AS207" s="13" t="n">
        <f aca="false">IF(ISBLANK(Actuals!AT25),-Helpers!AQ4*Assumptions!$B$23,Actuals!AT25)</f>
        <v>-10630.77848496</v>
      </c>
      <c r="AT207" s="13" t="n">
        <f aca="false">IF(ISBLANK(Actuals!AU25),-Helpers!AR4*Assumptions!$B$23,Actuals!AU25)</f>
        <v>-10630.77848496</v>
      </c>
      <c r="AU207" s="13" t="n">
        <f aca="false">IF(ISBLANK(Actuals!AV25),-Helpers!AS4*Assumptions!$B$23,Actuals!AV25)</f>
        <v>-11072.94848496</v>
      </c>
      <c r="AV207" s="13" t="n">
        <f aca="false">IF(ISBLANK(Actuals!AW25),-Helpers!AT4*Assumptions!$B$23,Actuals!AW25)</f>
        <v>-11072.94848496</v>
      </c>
      <c r="AW207" s="13" t="n">
        <f aca="false">IF(ISBLANK(Actuals!AX25),-Helpers!AU4*Assumptions!$B$23,Actuals!AX25)</f>
        <v>-10843.02008496</v>
      </c>
      <c r="AX207" s="13" t="n">
        <f aca="false">IF(ISBLANK(Actuals!AY25),-Helpers!AV4*Assumptions!$B$23,Actuals!AY25)</f>
        <v>-10843.02008496</v>
      </c>
      <c r="AY207" s="13" t="n">
        <f aca="false">IF(ISBLANK(Actuals!AZ25),-Helpers!AW4*Assumptions!$B$23,Actuals!AZ25)</f>
        <v>-10843.02008496</v>
      </c>
      <c r="AZ207" s="13" t="n">
        <f aca="false">IF(ISBLANK(Actuals!BA25),-Helpers!AX4*Assumptions!$B$23,Actuals!BA25)</f>
        <v>-10843.02008496</v>
      </c>
      <c r="BA207" s="13" t="n">
        <f aca="false">IF(ISBLANK(Actuals!BB25),-Helpers!AY4*Assumptions!$B$23,Actuals!BB25)</f>
        <v>-10608.8670866592</v>
      </c>
      <c r="BB207" s="13" t="n">
        <f aca="false">IF(ISBLANK(Actuals!BC25),-Helpers!AZ4*Assumptions!$B$23,Actuals!BC25)</f>
        <v>-10058.6307386592</v>
      </c>
      <c r="BC207" s="13" t="n">
        <f aca="false">IF(ISBLANK(Actuals!BD25),-Helpers!BA4*Assumptions!$B$23,Actuals!BD25)</f>
        <v>-10058.6307386592</v>
      </c>
      <c r="BD207" s="13" t="n">
        <f aca="false">IF(ISBLANK(Actuals!BE25),-Helpers!BB4*Assumptions!$B$23,Actuals!BE25)</f>
        <v>-10058.6307386592</v>
      </c>
      <c r="BE207" s="13" t="n">
        <f aca="false">IF(ISBLANK(Actuals!BF25),-Helpers!BC4*Assumptions!$B$23,Actuals!BF25)</f>
        <v>-10058.6307386592</v>
      </c>
      <c r="BF207" s="13" t="n">
        <f aca="false">IF(ISBLANK(Actuals!BG25),-Helpers!BD4*Assumptions!$B$23,Actuals!BG25)</f>
        <v>-10058.6307386592</v>
      </c>
      <c r="BG207" s="13" t="n">
        <f aca="false">IF(ISBLANK(Actuals!BH25),-Helpers!BE4*Assumptions!$B$23,Actuals!BH25)</f>
        <v>-10058.6307386592</v>
      </c>
      <c r="BH207" s="13" t="n">
        <f aca="false">IF(ISBLANK(Actuals!BI25),-Helpers!BF4*Assumptions!$B$23,Actuals!BI25)</f>
        <v>-10058.6307386592</v>
      </c>
      <c r="BI207" s="13" t="n">
        <f aca="false">IF(ISBLANK(Actuals!BJ25),-Helpers!BG4*Assumptions!$B$23,Actuals!BJ25)</f>
        <v>-10058.6307386592</v>
      </c>
      <c r="BJ207" s="13" t="n">
        <f aca="false">IF(ISBLANK(Actuals!BK25),-Helpers!BH4*Assumptions!$B$23,Actuals!BK25)</f>
        <v>-10058.6307386592</v>
      </c>
      <c r="BK207" s="13" t="n">
        <f aca="false">IF(ISBLANK(Actuals!BL25),-Helpers!BI4*Assumptions!$B$23,Actuals!BL25)</f>
        <v>-9824.1037706592</v>
      </c>
      <c r="BL207" s="13" t="n">
        <f aca="false">IF(ISBLANK(Actuals!BM25),-Helpers!BJ4*Assumptions!$B$23,Actuals!BM25)</f>
        <v>-9824.1037706592</v>
      </c>
      <c r="BM207" s="13" t="n">
        <f aca="false">IF(ISBLANK(Actuals!BN25),-Helpers!BK4*Assumptions!$B$23,Actuals!BN25)</f>
        <v>-9790.56901207239</v>
      </c>
      <c r="BN207" s="13" t="n">
        <f aca="false">IF(ISBLANK(Actuals!BO25),-Helpers!BL4*Assumptions!$B$23,Actuals!BO25)</f>
        <v>-9413.34140431239</v>
      </c>
      <c r="BO207" s="13" t="n">
        <f aca="false">IF(ISBLANK(Actuals!BP25),-Helpers!BM4*Assumptions!$B$23,Actuals!BP25)</f>
        <v>-8447.27070151239</v>
      </c>
      <c r="BP207" s="13" t="n">
        <f aca="false">IF(ISBLANK(Actuals!BQ25),-Helpers!BN4*Assumptions!$B$23,Actuals!BQ25)</f>
        <v>-7922.83231999239</v>
      </c>
      <c r="BQ207" s="13" t="n">
        <f aca="false">IF(ISBLANK(Actuals!BR25),-Helpers!BO4*Assumptions!$B$23,Actuals!BR25)</f>
        <v>-7683.61481263238</v>
      </c>
      <c r="BR207" s="13" t="n">
        <f aca="false">IF(ISBLANK(Actuals!BS25),-Helpers!BP4*Assumptions!$B$23,Actuals!BS25)</f>
        <v>-7683.61481263238</v>
      </c>
      <c r="BS207" s="13" t="n">
        <f aca="false">IF(ISBLANK(Actuals!BT25),-Helpers!BQ4*Assumptions!$B$23,Actuals!BT25)</f>
        <v>-7683.61481263238</v>
      </c>
      <c r="BT207" s="13" t="n">
        <f aca="false">IF(ISBLANK(Actuals!BU25),-Helpers!BR4*Assumptions!$B$23,Actuals!BU25)</f>
        <v>-7389.19326511239</v>
      </c>
      <c r="BU207" s="13" t="n">
        <f aca="false">IF(ISBLANK(Actuals!BV25),-Helpers!BS4*Assumptions!$B$23,Actuals!BV25)</f>
        <v>-6864.75488359238</v>
      </c>
      <c r="BV207" s="13" t="n">
        <f aca="false">IF(ISBLANK(Actuals!BW25),-Helpers!BT4*Assumptions!$B$23,Actuals!BW25)</f>
        <v>-6864.75488359238</v>
      </c>
      <c r="BW207" s="13" t="n">
        <f aca="false">IF(ISBLANK(Actuals!BX25),-Helpers!BU4*Assumptions!$B$23,Actuals!BX25)</f>
        <v>-6864.75488359238</v>
      </c>
      <c r="BX207" s="13" t="n">
        <f aca="false">IF(ISBLANK(Actuals!BY25),-Helpers!BV4*Assumptions!$B$23,Actuals!BY25)</f>
        <v>-6864.75488359238</v>
      </c>
      <c r="BY207" s="13" t="n">
        <f aca="false">IF(ISBLANK(Actuals!BZ25),-Helpers!BW4*Assumptions!$B$23,Actuals!BZ25)</f>
        <v>-7002.04998126423</v>
      </c>
      <c r="BZ207" s="13" t="n">
        <f aca="false">IF(ISBLANK(Actuals!CA25),-Helpers!BX4*Assumptions!$B$23,Actuals!CA25)</f>
        <v>-7002.04998126423</v>
      </c>
      <c r="CA207" s="13" t="n">
        <f aca="false">IF(ISBLANK(Actuals!CB25),-Helpers!BY4*Assumptions!$B$23,Actuals!CB25)</f>
        <v>-7002.04998126423</v>
      </c>
      <c r="CB207" s="13" t="n">
        <f aca="false">IF(ISBLANK(Actuals!CC25),-Helpers!BZ4*Assumptions!$B$23,Actuals!CC25)</f>
        <v>-7002.04998126423</v>
      </c>
      <c r="CC207" s="13" t="n">
        <f aca="false">IF(ISBLANK(Actuals!CD25),-Helpers!CA4*Assumptions!$B$23,Actuals!CD25)</f>
        <v>-7002.04998126423</v>
      </c>
      <c r="CD207" s="13" t="n">
        <f aca="false">IF(ISBLANK(Actuals!CE25),-Helpers!CB4*Assumptions!$B$23,Actuals!CE25)</f>
        <v>-7002.04998126423</v>
      </c>
      <c r="CE207" s="13" t="n">
        <f aca="false">IF(ISBLANK(Actuals!CF25),-Helpers!CC4*Assumptions!$B$23,Actuals!CF25)</f>
        <v>-7002.04998126423</v>
      </c>
      <c r="CF207" s="13" t="n">
        <f aca="false">IF(ISBLANK(Actuals!CG25),-Helpers!CD4*Assumptions!$B$23,Actuals!CG25)</f>
        <v>-7002.04998126423</v>
      </c>
      <c r="CG207" s="13" t="n">
        <f aca="false">IF(ISBLANK(Actuals!CH25),-Helpers!CE4*Assumptions!$B$23,Actuals!CH25)</f>
        <v>-7002.04998126423</v>
      </c>
      <c r="CH207" s="13" t="n">
        <f aca="false">IF(ISBLANK(Actuals!CI25),-Helpers!CF4*Assumptions!$B$23,Actuals!CI25)</f>
        <v>-7002.04998126423</v>
      </c>
      <c r="CI207" s="13" t="n">
        <f aca="false">IF(ISBLANK(Actuals!CJ25),-Helpers!CG4*Assumptions!$B$23,Actuals!CJ25)</f>
        <v>-7002.04998126423</v>
      </c>
      <c r="CJ207" s="13" t="n">
        <f aca="false">IF(ISBLANK(Actuals!CK25),-Helpers!CH4*Assumptions!$B$23,Actuals!CK25)</f>
        <v>-7002.04998126423</v>
      </c>
      <c r="CK207" s="13" t="n">
        <f aca="false">IF(ISBLANK(Actuals!CL25),-Helpers!CI4*Assumptions!$B$23,Actuals!CL25)</f>
        <v>-7142.09098088952</v>
      </c>
      <c r="CL207" s="13" t="n">
        <f aca="false">IF(ISBLANK(Actuals!CM25),-Helpers!CJ4*Assumptions!$B$23,Actuals!CM25)</f>
        <v>-7142.09098088952</v>
      </c>
      <c r="CM207" s="13" t="n">
        <f aca="false">IF(ISBLANK(Actuals!CN25),-Helpers!CK4*Assumptions!$B$23,Actuals!CN25)</f>
        <v>-7142.09098088952</v>
      </c>
      <c r="CN207" s="13" t="n">
        <f aca="false">IF(ISBLANK(Actuals!CO25),-Helpers!CL4*Assumptions!$B$23,Actuals!CO25)</f>
        <v>-7142.09098088952</v>
      </c>
      <c r="CO207" s="13" t="n">
        <f aca="false">IF(ISBLANK(Actuals!CP25),-Helpers!CM4*Assumptions!$B$23,Actuals!CP25)</f>
        <v>-7142.09098088952</v>
      </c>
      <c r="CP207" s="13" t="n">
        <f aca="false">IF(ISBLANK(Actuals!CQ25),-Helpers!CN4*Assumptions!$B$23,Actuals!CQ25)</f>
        <v>-7142.09098088952</v>
      </c>
      <c r="CQ207" s="13" t="n">
        <f aca="false">IF(ISBLANK(Actuals!CR25),-Helpers!CO4*Assumptions!$B$23,Actuals!CR25)</f>
        <v>-7142.09098088952</v>
      </c>
      <c r="CR207" s="13" t="n">
        <f aca="false">IF(ISBLANK(Actuals!CS25),-Helpers!CP4*Assumptions!$B$23,Actuals!CS25)</f>
        <v>-7142.09098088952</v>
      </c>
      <c r="CS207" s="13" t="n">
        <f aca="false">IF(ISBLANK(Actuals!CT25),-Helpers!CQ4*Assumptions!$B$23,Actuals!CT25)</f>
        <v>-7142.09098088952</v>
      </c>
      <c r="CT207" s="13" t="n">
        <f aca="false">IF(ISBLANK(Actuals!CU25),-Helpers!CR4*Assumptions!$B$23,Actuals!CU25)</f>
        <v>-0</v>
      </c>
      <c r="CU207" s="13" t="n">
        <f aca="false">IF(ISBLANK(Actuals!CV25),-Helpers!CS4*Assumptions!$B$23,Actuals!CV25)</f>
        <v>-0</v>
      </c>
      <c r="CV207" s="13" t="n">
        <f aca="false">IF(ISBLANK(Actuals!CW25),-Helpers!CT4*Assumptions!$B$23,Actuals!CW25)</f>
        <v>-0</v>
      </c>
      <c r="CW207" s="13" t="n">
        <f aca="false">IF(ISBLANK(Actuals!CX25),-Helpers!CU4*Assumptions!$B$23,Actuals!CX25)</f>
        <v>-0</v>
      </c>
      <c r="CX207" s="13" t="n">
        <f aca="false">IF(ISBLANK(Actuals!CY25),-Helpers!CV4*Assumptions!$B$23,Actuals!CY25)</f>
        <v>-0</v>
      </c>
      <c r="CY207" s="13" t="n">
        <f aca="false">IF(ISBLANK(Actuals!CZ25),-Helpers!CW4*Assumptions!$B$23,Actuals!CZ25)</f>
        <v>-0</v>
      </c>
      <c r="CZ207" s="13" t="n">
        <f aca="false">IF(ISBLANK(Actuals!DA25),-Helpers!CX4*Assumptions!$B$23,Actuals!DA25)</f>
        <v>-0</v>
      </c>
      <c r="DA207" s="13" t="n">
        <f aca="false">IF(ISBLANK(Actuals!DB25),-Helpers!CY4*Assumptions!$B$23,Actuals!DB25)</f>
        <v>-0</v>
      </c>
      <c r="DB207" s="13" t="n">
        <f aca="false">IF(ISBLANK(Actuals!DC25),-Helpers!CZ4*Assumptions!$B$23,Actuals!DC25)</f>
        <v>-0</v>
      </c>
      <c r="DC207" s="13" t="n">
        <f aca="false">IF(ISBLANK(Actuals!DD25),-Helpers!DA4*Assumptions!$B$23,Actuals!DD25)</f>
        <v>-0</v>
      </c>
      <c r="DD207" s="13" t="n">
        <f aca="false">IF(ISBLANK(Actuals!DE25),-Helpers!DB4*Assumptions!$B$23,Actuals!DE25)</f>
        <v>-0</v>
      </c>
      <c r="DE207" s="13" t="n">
        <f aca="false">IF(ISBLANK(Actuals!DF25),-Helpers!DC4*Assumptions!$B$23,Actuals!DF25)</f>
        <v>-0</v>
      </c>
    </row>
    <row r="208" customFormat="false" ht="15" hidden="false" customHeight="true" outlineLevel="0" collapsed="false">
      <c r="A208" s="22" t="s">
        <v>69</v>
      </c>
      <c r="B208" s="13" t="n">
        <f aca="false">IF(ISBLANK(Actuals!C26),0,Actuals!C26)</f>
        <v>-195</v>
      </c>
      <c r="C208" s="13" t="n">
        <f aca="false">IF(ISBLANK(Actuals!D26),0,Actuals!D26)</f>
        <v>-200</v>
      </c>
      <c r="D208" s="13" t="n">
        <f aca="false">IF(ISBLANK(Actuals!E26),0,Actuals!E26)</f>
        <v>0</v>
      </c>
      <c r="E208" s="13" t="n">
        <f aca="false">IF(ISBLANK(Actuals!F26),-Helpers!C4*Assumptions!$B$21,Actuals!F26)</f>
        <v>0</v>
      </c>
      <c r="F208" s="13" t="n">
        <f aca="false">IF(ISBLANK(Actuals!G26),-Helpers!D4*Assumptions!$B$21,Actuals!G26)</f>
        <v>0</v>
      </c>
      <c r="G208" s="13" t="n">
        <f aca="false">IF(ISBLANK(Actuals!H26),-Helpers!E4*Assumptions!$B$21,Actuals!H26)</f>
        <v>0</v>
      </c>
      <c r="H208" s="13" t="n">
        <f aca="false">IF(ISBLANK(Actuals!I26),-Helpers!F4*Assumptions!$B$21,Actuals!I26)</f>
        <v>0</v>
      </c>
      <c r="I208" s="13" t="n">
        <f aca="false">IF(ISBLANK(Actuals!J26),-Helpers!G4*Assumptions!$B$21,Actuals!J26)</f>
        <v>0</v>
      </c>
      <c r="J208" s="13" t="n">
        <f aca="false">IF(ISBLANK(Actuals!K26),-Helpers!H4*Assumptions!$B$21,Actuals!K26)</f>
        <v>-1568.98833333333</v>
      </c>
      <c r="K208" s="13" t="n">
        <f aca="false">IF(ISBLANK(Actuals!L26),-Helpers!I4*Assumptions!$B$21,Actuals!L26)</f>
        <v>-1568.98833333333</v>
      </c>
      <c r="L208" s="13" t="n">
        <f aca="false">IF(ISBLANK(Actuals!M26),-Helpers!J4*Assumptions!$B$21,Actuals!M26)</f>
        <v>-1568.98833333333</v>
      </c>
      <c r="M208" s="13" t="n">
        <f aca="false">IF(ISBLANK(Actuals!N26),-Helpers!K4*Assumptions!$B$21,Actuals!N26)</f>
        <v>-1687.73833333333</v>
      </c>
      <c r="N208" s="13" t="n">
        <f aca="false">IF(ISBLANK(Actuals!O26),-Helpers!L4*Assumptions!$B$21,Actuals!O26)</f>
        <v>-1793.98833333333</v>
      </c>
      <c r="O208" s="13" t="n">
        <f aca="false">IF(ISBLANK(Actuals!P26),-Helpers!M4*Assumptions!$B$21,Actuals!P26)</f>
        <v>-2021.07166666667</v>
      </c>
      <c r="P208" s="13" t="n">
        <f aca="false">IF(ISBLANK(Actuals!Q26),-Helpers!N4*Assumptions!$B$21,Actuals!Q26)</f>
        <v>-2021.07166666667</v>
      </c>
      <c r="Q208" s="13" t="n">
        <f aca="false">IF(ISBLANK(Actuals!R26),-Helpers!O4*Assumptions!$B$21,Actuals!R26)</f>
        <v>-2182.6181</v>
      </c>
      <c r="R208" s="13" t="n">
        <f aca="false">IF(ISBLANK(Actuals!S26),-Helpers!P4*Assumptions!$B$21,Actuals!S26)</f>
        <v>-2339.8681</v>
      </c>
      <c r="S208" s="13" t="n">
        <f aca="false">IF(ISBLANK(Actuals!T26),-Helpers!Q4*Assumptions!$B$21,Actuals!T26)</f>
        <v>-2392.9931</v>
      </c>
      <c r="T208" s="13" t="n">
        <f aca="false">IF(ISBLANK(Actuals!U26),-Helpers!R4*Assumptions!$B$21,Actuals!U26)</f>
        <v>-2446.1181</v>
      </c>
      <c r="U208" s="13" t="n">
        <f aca="false">IF(ISBLANK(Actuals!V26),-Helpers!S4*Assumptions!$B$21,Actuals!V26)</f>
        <v>-2446.1181</v>
      </c>
      <c r="V208" s="13" t="n">
        <f aca="false">IF(ISBLANK(Actuals!W26),-Helpers!T4*Assumptions!$B$21,Actuals!W26)</f>
        <v>-2446.1181</v>
      </c>
      <c r="W208" s="13" t="n">
        <f aca="false">IF(ISBLANK(Actuals!X26),-Helpers!U4*Assumptions!$B$21,Actuals!X26)</f>
        <v>-2446.1181</v>
      </c>
      <c r="X208" s="13" t="n">
        <f aca="false">IF(ISBLANK(Actuals!Y26),-Helpers!V4*Assumptions!$B$21,Actuals!Y26)</f>
        <v>-2446.1181</v>
      </c>
      <c r="Y208" s="13" t="n">
        <f aca="false">IF(ISBLANK(Actuals!Z26),-Helpers!W4*Assumptions!$B$21,Actuals!Z26)</f>
        <v>-2446.1181</v>
      </c>
      <c r="Z208" s="13" t="n">
        <f aca="false">IF(ISBLANK(Actuals!AA26),-Helpers!X4*Assumptions!$B$21,Actuals!AA26)</f>
        <v>-2392.9931</v>
      </c>
      <c r="AA208" s="13" t="n">
        <f aca="false">IF(ISBLANK(Actuals!AB26),-Helpers!Y4*Assumptions!$B$21,Actuals!AB26)</f>
        <v>-2392.9931</v>
      </c>
      <c r="AB208" s="13" t="n">
        <f aca="false">IF(ISBLANK(Actuals!AC26),-Helpers!Z4*Assumptions!$B$21,Actuals!AC26)</f>
        <v>-2358.9931</v>
      </c>
      <c r="AC208" s="13" t="n">
        <f aca="false">IF(ISBLANK(Actuals!AD26),-Helpers!AA4*Assumptions!$B$21,Actuals!AD26)</f>
        <v>-2406.172962</v>
      </c>
      <c r="AD208" s="13" t="n">
        <f aca="false">IF(ISBLANK(Actuals!AE26),-Helpers!AB4*Assumptions!$B$21,Actuals!AE26)</f>
        <v>-2406.172962</v>
      </c>
      <c r="AE208" s="13" t="n">
        <f aca="false">IF(ISBLANK(Actuals!AF26),-Helpers!AC4*Assumptions!$B$21,Actuals!AF26)</f>
        <v>-2406.172962</v>
      </c>
      <c r="AF208" s="13" t="n">
        <f aca="false">IF(ISBLANK(Actuals!AG26),-Helpers!AD4*Assumptions!$B$21,Actuals!AG26)</f>
        <v>-2406.172962</v>
      </c>
      <c r="AG208" s="13" t="n">
        <f aca="false">IF(ISBLANK(Actuals!AH26),-Helpers!AE4*Assumptions!$B$21,Actuals!AH26)</f>
        <v>-2406.172962</v>
      </c>
      <c r="AH208" s="13" t="n">
        <f aca="false">IF(ISBLANK(Actuals!AI26),-Helpers!AF4*Assumptions!$B$21,Actuals!AI26)</f>
        <v>-2406.172962</v>
      </c>
      <c r="AI208" s="13" t="n">
        <f aca="false">IF(ISBLANK(Actuals!AJ26),-Helpers!AG4*Assumptions!$B$21,Actuals!AJ26)</f>
        <v>-2406.172962</v>
      </c>
      <c r="AJ208" s="13" t="n">
        <f aca="false">IF(ISBLANK(Actuals!AK26),-Helpers!AH4*Assumptions!$B$21,Actuals!AK26)</f>
        <v>-2495.040462</v>
      </c>
      <c r="AK208" s="13" t="n">
        <f aca="false">IF(ISBLANK(Actuals!AL26),-Helpers!AI4*Assumptions!$B$21,Actuals!AL26)</f>
        <v>-2495.040462</v>
      </c>
      <c r="AL208" s="13" t="n">
        <f aca="false">IF(ISBLANK(Actuals!AM26),-Helpers!AJ4*Assumptions!$B$21,Actuals!AM26)</f>
        <v>-2495.040462</v>
      </c>
      <c r="AM208" s="13" t="n">
        <f aca="false">IF(ISBLANK(Actuals!AN26),-Helpers!AK4*Assumptions!$B$21,Actuals!AN26)</f>
        <v>-2495.040462</v>
      </c>
      <c r="AN208" s="13" t="n">
        <f aca="false">IF(ISBLANK(Actuals!AO26),-Helpers!AL4*Assumptions!$B$21,Actuals!AO26)</f>
        <v>-2495.040462</v>
      </c>
      <c r="AO208" s="13" t="n">
        <f aca="false">IF(ISBLANK(Actuals!AP26),-Helpers!AM4*Assumptions!$B$21,Actuals!AP26)</f>
        <v>-2544.94127124</v>
      </c>
      <c r="AP208" s="13" t="n">
        <f aca="false">IF(ISBLANK(Actuals!AQ26),-Helpers!AN4*Assumptions!$B$21,Actuals!AQ26)</f>
        <v>-2544.94127124</v>
      </c>
      <c r="AQ208" s="13" t="n">
        <f aca="false">IF(ISBLANK(Actuals!AR26),-Helpers!AO4*Assumptions!$B$21,Actuals!AR26)</f>
        <v>-2657.69462124</v>
      </c>
      <c r="AR208" s="13" t="n">
        <f aca="false">IF(ISBLANK(Actuals!AS26),-Helpers!AP4*Assumptions!$B$21,Actuals!AS26)</f>
        <v>-2657.69462124</v>
      </c>
      <c r="AS208" s="13" t="n">
        <f aca="false">IF(ISBLANK(Actuals!AT26),-Helpers!AQ4*Assumptions!$B$21,Actuals!AT26)</f>
        <v>-2657.69462124</v>
      </c>
      <c r="AT208" s="13" t="n">
        <f aca="false">IF(ISBLANK(Actuals!AU26),-Helpers!AR4*Assumptions!$B$21,Actuals!AU26)</f>
        <v>-2657.69462124</v>
      </c>
      <c r="AU208" s="13" t="n">
        <f aca="false">IF(ISBLANK(Actuals!AV26),-Helpers!AS4*Assumptions!$B$21,Actuals!AV26)</f>
        <v>-2768.23712124</v>
      </c>
      <c r="AV208" s="13" t="n">
        <f aca="false">IF(ISBLANK(Actuals!AW26),-Helpers!AT4*Assumptions!$B$21,Actuals!AW26)</f>
        <v>-2768.23712124</v>
      </c>
      <c r="AW208" s="13" t="n">
        <f aca="false">IF(ISBLANK(Actuals!AX26),-Helpers!AU4*Assumptions!$B$21,Actuals!AX26)</f>
        <v>-2710.75502124</v>
      </c>
      <c r="AX208" s="13" t="n">
        <f aca="false">IF(ISBLANK(Actuals!AY26),-Helpers!AV4*Assumptions!$B$21,Actuals!AY26)</f>
        <v>-2710.75502124</v>
      </c>
      <c r="AY208" s="13" t="n">
        <f aca="false">IF(ISBLANK(Actuals!AZ26),-Helpers!AW4*Assumptions!$B$21,Actuals!AZ26)</f>
        <v>-2710.75502124</v>
      </c>
      <c r="AZ208" s="13" t="n">
        <f aca="false">IF(ISBLANK(Actuals!BA26),-Helpers!AX4*Assumptions!$B$21,Actuals!BA26)</f>
        <v>-2710.75502124</v>
      </c>
      <c r="BA208" s="13" t="n">
        <f aca="false">IF(ISBLANK(Actuals!BB26),-Helpers!AY4*Assumptions!$B$21,Actuals!BB26)</f>
        <v>-2652.2167716648</v>
      </c>
      <c r="BB208" s="13" t="n">
        <f aca="false">IF(ISBLANK(Actuals!BC26),-Helpers!AZ4*Assumptions!$B$21,Actuals!BC26)</f>
        <v>-2514.6576846648</v>
      </c>
      <c r="BC208" s="13" t="n">
        <f aca="false">IF(ISBLANK(Actuals!BD26),-Helpers!BA4*Assumptions!$B$21,Actuals!BD26)</f>
        <v>-2514.6576846648</v>
      </c>
      <c r="BD208" s="13" t="n">
        <f aca="false">IF(ISBLANK(Actuals!BE26),-Helpers!BB4*Assumptions!$B$21,Actuals!BE26)</f>
        <v>-2514.6576846648</v>
      </c>
      <c r="BE208" s="13" t="n">
        <f aca="false">IF(ISBLANK(Actuals!BF26),-Helpers!BC4*Assumptions!$B$21,Actuals!BF26)</f>
        <v>-2514.6576846648</v>
      </c>
      <c r="BF208" s="13" t="n">
        <f aca="false">IF(ISBLANK(Actuals!BG26),-Helpers!BD4*Assumptions!$B$21,Actuals!BG26)</f>
        <v>-2514.6576846648</v>
      </c>
      <c r="BG208" s="13" t="n">
        <f aca="false">IF(ISBLANK(Actuals!BH26),-Helpers!BE4*Assumptions!$B$21,Actuals!BH26)</f>
        <v>-2514.6576846648</v>
      </c>
      <c r="BH208" s="13" t="n">
        <f aca="false">IF(ISBLANK(Actuals!BI26),-Helpers!BF4*Assumptions!$B$21,Actuals!BI26)</f>
        <v>-2514.6576846648</v>
      </c>
      <c r="BI208" s="13" t="n">
        <f aca="false">IF(ISBLANK(Actuals!BJ26),-Helpers!BG4*Assumptions!$B$21,Actuals!BJ26)</f>
        <v>-2514.6576846648</v>
      </c>
      <c r="BJ208" s="13" t="n">
        <f aca="false">IF(ISBLANK(Actuals!BK26),-Helpers!BH4*Assumptions!$B$21,Actuals!BK26)</f>
        <v>-2514.6576846648</v>
      </c>
      <c r="BK208" s="13" t="n">
        <f aca="false">IF(ISBLANK(Actuals!BL26),-Helpers!BI4*Assumptions!$B$21,Actuals!BL26)</f>
        <v>-2456.0259426648</v>
      </c>
      <c r="BL208" s="13" t="n">
        <f aca="false">IF(ISBLANK(Actuals!BM26),-Helpers!BJ4*Assumptions!$B$21,Actuals!BM26)</f>
        <v>-2456.0259426648</v>
      </c>
      <c r="BM208" s="13" t="n">
        <f aca="false">IF(ISBLANK(Actuals!BN26),-Helpers!BK4*Assumptions!$B$21,Actuals!BN26)</f>
        <v>-2447.6422530181</v>
      </c>
      <c r="BN208" s="13" t="n">
        <f aca="false">IF(ISBLANK(Actuals!BO26),-Helpers!BL4*Assumptions!$B$21,Actuals!BO26)</f>
        <v>-2353.3353510781</v>
      </c>
      <c r="BO208" s="13" t="n">
        <f aca="false">IF(ISBLANK(Actuals!BP26),-Helpers!BM4*Assumptions!$B$21,Actuals!BP26)</f>
        <v>-2111.8176753781</v>
      </c>
      <c r="BP208" s="13" t="n">
        <f aca="false">IF(ISBLANK(Actuals!BQ26),-Helpers!BN4*Assumptions!$B$21,Actuals!BQ26)</f>
        <v>-1980.7080799981</v>
      </c>
      <c r="BQ208" s="13" t="n">
        <f aca="false">IF(ISBLANK(Actuals!BR26),-Helpers!BO4*Assumptions!$B$21,Actuals!BR26)</f>
        <v>-1920.9037031581</v>
      </c>
      <c r="BR208" s="13" t="n">
        <f aca="false">IF(ISBLANK(Actuals!BS26),-Helpers!BP4*Assumptions!$B$21,Actuals!BS26)</f>
        <v>-1920.9037031581</v>
      </c>
      <c r="BS208" s="13" t="n">
        <f aca="false">IF(ISBLANK(Actuals!BT26),-Helpers!BQ4*Assumptions!$B$21,Actuals!BT26)</f>
        <v>-1920.9037031581</v>
      </c>
      <c r="BT208" s="13" t="n">
        <f aca="false">IF(ISBLANK(Actuals!BU26),-Helpers!BR4*Assumptions!$B$21,Actuals!BU26)</f>
        <v>-1847.2983162781</v>
      </c>
      <c r="BU208" s="13" t="n">
        <f aca="false">IF(ISBLANK(Actuals!BV26),-Helpers!BS4*Assumptions!$B$21,Actuals!BV26)</f>
        <v>-1716.1887208981</v>
      </c>
      <c r="BV208" s="13" t="n">
        <f aca="false">IF(ISBLANK(Actuals!BW26),-Helpers!BT4*Assumptions!$B$21,Actuals!BW26)</f>
        <v>-1716.1887208981</v>
      </c>
      <c r="BW208" s="13" t="n">
        <f aca="false">IF(ISBLANK(Actuals!BX26),-Helpers!BU4*Assumptions!$B$21,Actuals!BX26)</f>
        <v>-1716.1887208981</v>
      </c>
      <c r="BX208" s="13" t="n">
        <f aca="false">IF(ISBLANK(Actuals!BY26),-Helpers!BV4*Assumptions!$B$21,Actuals!BY26)</f>
        <v>-1716.1887208981</v>
      </c>
      <c r="BY208" s="13" t="n">
        <f aca="false">IF(ISBLANK(Actuals!BZ26),-Helpers!BW4*Assumptions!$B$21,Actuals!BZ26)</f>
        <v>-1750.51249531606</v>
      </c>
      <c r="BZ208" s="13" t="n">
        <f aca="false">IF(ISBLANK(Actuals!CA26),-Helpers!BX4*Assumptions!$B$21,Actuals!CA26)</f>
        <v>-1750.51249531606</v>
      </c>
      <c r="CA208" s="13" t="n">
        <f aca="false">IF(ISBLANK(Actuals!CB26),-Helpers!BY4*Assumptions!$B$21,Actuals!CB26)</f>
        <v>-1750.51249531606</v>
      </c>
      <c r="CB208" s="13" t="n">
        <f aca="false">IF(ISBLANK(Actuals!CC26),-Helpers!BZ4*Assumptions!$B$21,Actuals!CC26)</f>
        <v>-1750.51249531606</v>
      </c>
      <c r="CC208" s="13" t="n">
        <f aca="false">IF(ISBLANK(Actuals!CD26),-Helpers!CA4*Assumptions!$B$21,Actuals!CD26)</f>
        <v>-1750.51249531606</v>
      </c>
      <c r="CD208" s="13" t="n">
        <f aca="false">IF(ISBLANK(Actuals!CE26),-Helpers!CB4*Assumptions!$B$21,Actuals!CE26)</f>
        <v>-1750.51249531606</v>
      </c>
      <c r="CE208" s="13" t="n">
        <f aca="false">IF(ISBLANK(Actuals!CF26),-Helpers!CC4*Assumptions!$B$21,Actuals!CF26)</f>
        <v>-1750.51249531606</v>
      </c>
      <c r="CF208" s="13" t="n">
        <f aca="false">IF(ISBLANK(Actuals!CG26),-Helpers!CD4*Assumptions!$B$21,Actuals!CG26)</f>
        <v>-1750.51249531606</v>
      </c>
      <c r="CG208" s="13" t="n">
        <f aca="false">IF(ISBLANK(Actuals!CH26),-Helpers!CE4*Assumptions!$B$21,Actuals!CH26)</f>
        <v>-1750.51249531606</v>
      </c>
      <c r="CH208" s="13" t="n">
        <f aca="false">IF(ISBLANK(Actuals!CI26),-Helpers!CF4*Assumptions!$B$21,Actuals!CI26)</f>
        <v>-1750.51249531606</v>
      </c>
      <c r="CI208" s="13" t="n">
        <f aca="false">IF(ISBLANK(Actuals!CJ26),-Helpers!CG4*Assumptions!$B$21,Actuals!CJ26)</f>
        <v>-1750.51249531606</v>
      </c>
      <c r="CJ208" s="13" t="n">
        <f aca="false">IF(ISBLANK(Actuals!CK26),-Helpers!CH4*Assumptions!$B$21,Actuals!CK26)</f>
        <v>-1750.51249531606</v>
      </c>
      <c r="CK208" s="13" t="n">
        <f aca="false">IF(ISBLANK(Actuals!CL26),-Helpers!CI4*Assumptions!$B$21,Actuals!CL26)</f>
        <v>-1785.52274522238</v>
      </c>
      <c r="CL208" s="13" t="n">
        <f aca="false">IF(ISBLANK(Actuals!CM26),-Helpers!CJ4*Assumptions!$B$21,Actuals!CM26)</f>
        <v>-1785.52274522238</v>
      </c>
      <c r="CM208" s="13" t="n">
        <f aca="false">IF(ISBLANK(Actuals!CN26),-Helpers!CK4*Assumptions!$B$21,Actuals!CN26)</f>
        <v>-1785.52274522238</v>
      </c>
      <c r="CN208" s="13" t="n">
        <f aca="false">IF(ISBLANK(Actuals!CO26),-Helpers!CL4*Assumptions!$B$21,Actuals!CO26)</f>
        <v>-1785.52274522238</v>
      </c>
      <c r="CO208" s="13" t="n">
        <f aca="false">IF(ISBLANK(Actuals!CP26),-Helpers!CM4*Assumptions!$B$21,Actuals!CP26)</f>
        <v>-1785.52274522238</v>
      </c>
      <c r="CP208" s="13" t="n">
        <f aca="false">IF(ISBLANK(Actuals!CQ26),-Helpers!CN4*Assumptions!$B$21,Actuals!CQ26)</f>
        <v>-1785.52274522238</v>
      </c>
      <c r="CQ208" s="13" t="n">
        <f aca="false">IF(ISBLANK(Actuals!CR26),-Helpers!CO4*Assumptions!$B$21,Actuals!CR26)</f>
        <v>-1785.52274522238</v>
      </c>
      <c r="CR208" s="13" t="n">
        <f aca="false">IF(ISBLANK(Actuals!CS26),-Helpers!CP4*Assumptions!$B$21,Actuals!CS26)</f>
        <v>-1785.52274522238</v>
      </c>
      <c r="CS208" s="13" t="n">
        <f aca="false">IF(ISBLANK(Actuals!CT26),-Helpers!CQ4*Assumptions!$B$21,Actuals!CT26)</f>
        <v>-1785.52274522238</v>
      </c>
      <c r="CT208" s="13" t="n">
        <f aca="false">IF(ISBLANK(Actuals!CU26),-Helpers!CR4*Assumptions!$B$21,Actuals!CU26)</f>
        <v>-0</v>
      </c>
      <c r="CU208" s="13" t="n">
        <f aca="false">IF(ISBLANK(Actuals!CV26),-Helpers!CS4*Assumptions!$B$21,Actuals!CV26)</f>
        <v>-0</v>
      </c>
      <c r="CV208" s="13" t="n">
        <f aca="false">IF(ISBLANK(Actuals!CW26),-Helpers!CT4*Assumptions!$B$21,Actuals!CW26)</f>
        <v>-0</v>
      </c>
      <c r="CW208" s="13" t="n">
        <f aca="false">IF(ISBLANK(Actuals!CX26),-Helpers!CU4*Assumptions!$B$21,Actuals!CX26)</f>
        <v>-0</v>
      </c>
      <c r="CX208" s="13" t="n">
        <f aca="false">IF(ISBLANK(Actuals!CY26),-Helpers!CV4*Assumptions!$B$21,Actuals!CY26)</f>
        <v>-0</v>
      </c>
      <c r="CY208" s="13" t="n">
        <f aca="false">IF(ISBLANK(Actuals!CZ26),-Helpers!CW4*Assumptions!$B$21,Actuals!CZ26)</f>
        <v>-0</v>
      </c>
      <c r="CZ208" s="13" t="n">
        <f aca="false">IF(ISBLANK(Actuals!DA26),-Helpers!CX4*Assumptions!$B$21,Actuals!DA26)</f>
        <v>-0</v>
      </c>
      <c r="DA208" s="13" t="n">
        <f aca="false">IF(ISBLANK(Actuals!DB26),-Helpers!CY4*Assumptions!$B$21,Actuals!DB26)</f>
        <v>-0</v>
      </c>
      <c r="DB208" s="13" t="n">
        <f aca="false">IF(ISBLANK(Actuals!DC26),-Helpers!CZ4*Assumptions!$B$21,Actuals!DC26)</f>
        <v>-0</v>
      </c>
      <c r="DC208" s="13" t="n">
        <f aca="false">IF(ISBLANK(Actuals!DD26),-Helpers!DA4*Assumptions!$B$21,Actuals!DD26)</f>
        <v>-0</v>
      </c>
      <c r="DD208" s="13" t="n">
        <f aca="false">IF(ISBLANK(Actuals!DE26),-Helpers!DB4*Assumptions!$B$21,Actuals!DE26)</f>
        <v>-0</v>
      </c>
      <c r="DE208" s="13" t="n">
        <f aca="false">IF(ISBLANK(Actuals!DF26),-Helpers!DC4*Assumptions!$B$21,Actuals!DF26)</f>
        <v>-0</v>
      </c>
    </row>
    <row r="209" customFormat="false" ht="15" hidden="false" customHeight="true" outlineLevel="0" collapsed="false">
      <c r="A209" s="22" t="s">
        <v>70</v>
      </c>
      <c r="B209" s="13" t="n">
        <f aca="false">IF(ISBLANK(Actuals!C27),0,Actuals!C27)</f>
        <v>-33002.28</v>
      </c>
      <c r="C209" s="13" t="n">
        <f aca="false">IF(ISBLANK(Actuals!D27),0,Actuals!D27)</f>
        <v>-29166.66</v>
      </c>
      <c r="D209" s="13" t="n">
        <f aca="false">IF(ISBLANK(Actuals!E27),0,Actuals!E27)</f>
        <v>-41666.66</v>
      </c>
      <c r="E209" s="13" t="n">
        <f aca="false">IF(ISBLANK(Actuals!F27),-(SUMPRODUCT((Personnel!$O$9:$O$100="GC")*(Personnel!$G$9:$G$100="Yes")*(1&gt;=Personnel!$E$9:$E$100)*((Personnel!$K$9:$K$100="")+(1&lt;=Personnel!$K$9:$K$100)&gt;0)*Personnel!$D$9:$D$100*Personnel!$H$9:$H$100))*Escalation!$B$2,Actuals!F27)</f>
        <v>-29166.66</v>
      </c>
      <c r="F209" s="13" t="n">
        <f aca="false">IF(ISBLANK(Actuals!G27),-(SUMPRODUCT((Personnel!$O$9:$O$100="GC")*(Personnel!$G$9:$G$100="Yes")*(2&gt;=Personnel!$E$9:$E$100)*((Personnel!$K$9:$K$100="")+(2&lt;=Personnel!$K$9:$K$100)&gt;0)*Personnel!$D$9:$D$100*Personnel!$H$9:$H$100))*Escalation!$B$3,Actuals!G27)</f>
        <v>-29166.66</v>
      </c>
      <c r="G209" s="13" t="n">
        <f aca="false">IF(ISBLANK(Actuals!H27),-(SUMPRODUCT((Personnel!$O$9:$O$100="GC")*(Personnel!$G$9:$G$100="Yes")*(3&gt;=Personnel!$E$9:$E$100)*((Personnel!$K$9:$K$100="")+(3&lt;=Personnel!$K$9:$K$100)&gt;0)*Personnel!$D$9:$D$100*Personnel!$H$9:$H$100))*Escalation!$B$4,Actuals!H27)</f>
        <v>-29166.66</v>
      </c>
      <c r="H209" s="13" t="n">
        <f aca="false">IF(ISBLANK(Actuals!I27),-(SUMPRODUCT((Personnel!$O$9:$O$100="GC")*(Personnel!$G$9:$G$100="Yes")*(4&gt;=Personnel!$E$9:$E$100)*((Personnel!$K$9:$K$100="")+(4&lt;=Personnel!$K$9:$K$100)&gt;0)*Personnel!$D$9:$D$100*Personnel!$H$9:$H$100))*Escalation!$B$5,Actuals!I27)</f>
        <v>-29166.66</v>
      </c>
      <c r="I209" s="13" t="n">
        <f aca="false">IF(ISBLANK(Actuals!J27),-(SUMPRODUCT((Personnel!$O$9:$O$100="GC")*(Personnel!$G$9:$G$100="Yes")*(5&gt;=Personnel!$E$9:$E$100)*((Personnel!$K$9:$K$100="")+(5&lt;=Personnel!$K$9:$K$100)&gt;0)*Personnel!$D$9:$D$100*Personnel!$H$9:$H$100))*Escalation!$B$6,Actuals!J27)</f>
        <v>-29166.66</v>
      </c>
      <c r="J209" s="13" t="n">
        <f aca="false">IF(ISBLANK(Actuals!K27),-(SUMPRODUCT((Personnel!$O$9:$O$100="GC")*(Personnel!$G$9:$G$100="Yes")*(6&gt;=Personnel!$E$9:$E$100)*((Personnel!$K$9:$K$100="")+(6&lt;=Personnel!$K$9:$K$100)&gt;0)*Personnel!$D$9:$D$100*Personnel!$H$9:$H$100))*Escalation!$B$7,Actuals!K27)</f>
        <v>-27083.3333333333</v>
      </c>
      <c r="K209" s="13" t="n">
        <f aca="false">IF(ISBLANK(Actuals!L27),-(SUMPRODUCT((Personnel!$O$9:$O$100="GC")*(Personnel!$G$9:$G$100="Yes")*(7&gt;=Personnel!$E$9:$E$100)*((Personnel!$K$9:$K$100="")+(7&lt;=Personnel!$K$9:$K$100)&gt;0)*Personnel!$D$9:$D$100*Personnel!$H$9:$H$100))*Escalation!$B$8,Actuals!L27)</f>
        <v>-27083.3333333333</v>
      </c>
      <c r="L209" s="13" t="n">
        <f aca="false">IF(ISBLANK(Actuals!M27),-(SUMPRODUCT((Personnel!$O$9:$O$100="GC")*(Personnel!$G$9:$G$100="Yes")*(8&gt;=Personnel!$E$9:$E$100)*((Personnel!$K$9:$K$100="")+(8&lt;=Personnel!$K$9:$K$100)&gt;0)*Personnel!$D$9:$D$100*Personnel!$H$9:$H$100))*Escalation!$B$9,Actuals!M27)</f>
        <v>-27083.3333333333</v>
      </c>
      <c r="M209" s="13" t="n">
        <f aca="false">IF(ISBLANK(Actuals!N27),-(SUMPRODUCT((Personnel!$O$9:$O$100="GC")*(Personnel!$G$9:$G$100="Yes")*(9&gt;=Personnel!$E$9:$E$100)*((Personnel!$K$9:$K$100="")+(9&lt;=Personnel!$K$9:$K$100)&gt;0)*Personnel!$D$9:$D$100*Personnel!$H$9:$H$100))*Escalation!$B$10,Actuals!N27)</f>
        <v>-27083.3333333333</v>
      </c>
      <c r="N209" s="13" t="n">
        <f aca="false">IF(ISBLANK(Actuals!O27),-(SUMPRODUCT((Personnel!$O$9:$O$100="GC")*(Personnel!$G$9:$G$100="Yes")*(10&gt;=Personnel!$E$9:$E$100)*((Personnel!$K$9:$K$100="")+(10&lt;=Personnel!$K$9:$K$100)&gt;0)*Personnel!$D$9:$D$100*Personnel!$H$9:$H$100))*Escalation!$B$11,Actuals!O27)</f>
        <v>-16666.6666666667</v>
      </c>
      <c r="O209" s="13" t="n">
        <f aca="false">IF(ISBLANK(Actuals!P27),-(SUMPRODUCT((Personnel!$O$9:$O$100="GC")*(Personnel!$G$9:$G$100="Yes")*(11&gt;=Personnel!$E$9:$E$100)*((Personnel!$K$9:$K$100="")+(11&lt;=Personnel!$K$9:$K$100)&gt;0)*Personnel!$D$9:$D$100*Personnel!$H$9:$H$100))*Escalation!$B$12,Actuals!P27)</f>
        <v>-16666.6666666667</v>
      </c>
      <c r="P209" s="13" t="n">
        <f aca="false">IF(ISBLANK(Actuals!Q27),-(SUMPRODUCT((Personnel!$O$9:$O$100="GC")*(Personnel!$G$9:$G$100="Yes")*(12&gt;=Personnel!$E$9:$E$100)*((Personnel!$K$9:$K$100="")+(12&lt;=Personnel!$K$9:$K$100)&gt;0)*Personnel!$D$9:$D$100*Personnel!$H$9:$H$100))*Escalation!$B$13,Actuals!Q27)</f>
        <v>-16666.6666666667</v>
      </c>
      <c r="Q209" s="13" t="n">
        <f aca="false">IF(ISBLANK(Actuals!R27),-(SUMPRODUCT((Personnel!$O$9:$O$100="GC")*(Personnel!$G$9:$G$100="Yes")*(13&gt;=Personnel!$E$9:$E$100)*((Personnel!$K$9:$K$100="")+(13&lt;=Personnel!$K$9:$K$100)&gt;0)*Personnel!$D$9:$D$100*Personnel!$H$9:$H$100))*Escalation!$B$14,Actuals!R27)</f>
        <v>-17000</v>
      </c>
      <c r="R209" s="13" t="n">
        <f aca="false">IF(ISBLANK(Actuals!S27),-(SUMPRODUCT((Personnel!$O$9:$O$100="GC")*(Personnel!$G$9:$G$100="Yes")*(14&gt;=Personnel!$E$9:$E$100)*((Personnel!$K$9:$K$100="")+(14&lt;=Personnel!$K$9:$K$100)&gt;0)*Personnel!$D$9:$D$100*Personnel!$H$9:$H$100))*Escalation!$B$15,Actuals!S27)</f>
        <v>-17000</v>
      </c>
      <c r="S209" s="13" t="n">
        <f aca="false">IF(ISBLANK(Actuals!T27),-(SUMPRODUCT((Personnel!$O$9:$O$100="GC")*(Personnel!$G$9:$G$100="Yes")*(15&gt;=Personnel!$E$9:$E$100)*((Personnel!$K$9:$K$100="")+(15&lt;=Personnel!$K$9:$K$100)&gt;0)*Personnel!$D$9:$D$100*Personnel!$H$9:$H$100))*Escalation!$B$16,Actuals!T27)</f>
        <v>-17000</v>
      </c>
      <c r="T209" s="13" t="n">
        <f aca="false">IF(ISBLANK(Actuals!U27),-(SUMPRODUCT((Personnel!$O$9:$O$100="GC")*(Personnel!$G$9:$G$100="Yes")*(16&gt;=Personnel!$E$9:$E$100)*((Personnel!$K$9:$K$100="")+(16&lt;=Personnel!$K$9:$K$100)&gt;0)*Personnel!$D$9:$D$100*Personnel!$H$9:$H$100))*Escalation!$B$17,Actuals!U27)</f>
        <v>-17000</v>
      </c>
      <c r="U209" s="13" t="n">
        <f aca="false">IF(ISBLANK(Actuals!V27),-(SUMPRODUCT((Personnel!$O$9:$O$100="GC")*(Personnel!$G$9:$G$100="Yes")*(17&gt;=Personnel!$E$9:$E$100)*((Personnel!$K$9:$K$100="")+(17&lt;=Personnel!$K$9:$K$100)&gt;0)*Personnel!$D$9:$D$100*Personnel!$H$9:$H$100))*Escalation!$B$18,Actuals!V27)</f>
        <v>-17000</v>
      </c>
      <c r="V209" s="13" t="n">
        <f aca="false">IF(ISBLANK(Actuals!W27),-(SUMPRODUCT((Personnel!$O$9:$O$100="GC")*(Personnel!$G$9:$G$100="Yes")*(18&gt;=Personnel!$E$9:$E$100)*((Personnel!$K$9:$K$100="")+(18&lt;=Personnel!$K$9:$K$100)&gt;0)*Personnel!$D$9:$D$100*Personnel!$H$9:$H$100))*Escalation!$B$19,Actuals!W27)</f>
        <v>-17000</v>
      </c>
      <c r="W209" s="13" t="n">
        <f aca="false">IF(ISBLANK(Actuals!X27),-(SUMPRODUCT((Personnel!$O$9:$O$100="GC")*(Personnel!$G$9:$G$100="Yes")*(19&gt;=Personnel!$E$9:$E$100)*((Personnel!$K$9:$K$100="")+(19&lt;=Personnel!$K$9:$K$100)&gt;0)*Personnel!$D$9:$D$100*Personnel!$H$9:$H$100))*Escalation!$B$20,Actuals!X27)</f>
        <v>-17000</v>
      </c>
      <c r="X209" s="13" t="n">
        <f aca="false">IF(ISBLANK(Actuals!Y27),-(SUMPRODUCT((Personnel!$O$9:$O$100="GC")*(Personnel!$G$9:$G$100="Yes")*(20&gt;=Personnel!$E$9:$E$100)*((Personnel!$K$9:$K$100="")+(20&lt;=Personnel!$K$9:$K$100)&gt;0)*Personnel!$D$9:$D$100*Personnel!$H$9:$H$100))*Escalation!$B$21,Actuals!Y27)</f>
        <v>-17000</v>
      </c>
      <c r="Y209" s="13" t="n">
        <f aca="false">IF(ISBLANK(Actuals!Z27),-(SUMPRODUCT((Personnel!$O$9:$O$100="GC")*(Personnel!$G$9:$G$100="Yes")*(21&gt;=Personnel!$E$9:$E$100)*((Personnel!$K$9:$K$100="")+(21&lt;=Personnel!$K$9:$K$100)&gt;0)*Personnel!$D$9:$D$100*Personnel!$H$9:$H$100))*Escalation!$B$22,Actuals!Z27)</f>
        <v>-17000</v>
      </c>
      <c r="Z209" s="13" t="n">
        <f aca="false">IF(ISBLANK(Actuals!AA27),-(SUMPRODUCT((Personnel!$O$9:$O$100="GC")*(Personnel!$G$9:$G$100="Yes")*(22&gt;=Personnel!$E$9:$E$100)*((Personnel!$K$9:$K$100="")+(22&lt;=Personnel!$K$9:$K$100)&gt;0)*Personnel!$D$9:$D$100*Personnel!$H$9:$H$100))*Escalation!$B$23,Actuals!AA27)</f>
        <v>-17000</v>
      </c>
      <c r="AA209" s="13" t="n">
        <f aca="false">IF(ISBLANK(Actuals!AB27),-(SUMPRODUCT((Personnel!$O$9:$O$100="GC")*(Personnel!$G$9:$G$100="Yes")*(23&gt;=Personnel!$E$9:$E$100)*((Personnel!$K$9:$K$100="")+(23&lt;=Personnel!$K$9:$K$100)&gt;0)*Personnel!$D$9:$D$100*Personnel!$H$9:$H$100))*Escalation!$B$24,Actuals!AB27)</f>
        <v>-17000</v>
      </c>
      <c r="AB209" s="13" t="n">
        <f aca="false">IF(ISBLANK(Actuals!AC27),-(SUMPRODUCT((Personnel!$O$9:$O$100="GC")*(Personnel!$G$9:$G$100="Yes")*(24&gt;=Personnel!$E$9:$E$100)*((Personnel!$K$9:$K$100="")+(24&lt;=Personnel!$K$9:$K$100)&gt;0)*Personnel!$D$9:$D$100*Personnel!$H$9:$H$100))*Escalation!$B$25,Actuals!AC27)</f>
        <v>-17000</v>
      </c>
      <c r="AC209" s="13" t="n">
        <f aca="false">IF(ISBLANK(Actuals!AD27),-(SUMPRODUCT((Personnel!$O$9:$O$100="GC")*(Personnel!$G$9:$G$100="Yes")*(25&gt;=Personnel!$E$9:$E$100)*((Personnel!$K$9:$K$100="")+(25&lt;=Personnel!$K$9:$K$100)&gt;0)*Personnel!$D$9:$D$100*Personnel!$H$9:$H$100))*Escalation!$B$26,Actuals!AD27)</f>
        <v>-17340</v>
      </c>
      <c r="AD209" s="13" t="n">
        <f aca="false">IF(ISBLANK(Actuals!AE27),-(SUMPRODUCT((Personnel!$O$9:$O$100="GC")*(Personnel!$G$9:$G$100="Yes")*(26&gt;=Personnel!$E$9:$E$100)*((Personnel!$K$9:$K$100="")+(26&lt;=Personnel!$K$9:$K$100)&gt;0)*Personnel!$D$9:$D$100*Personnel!$H$9:$H$100))*Escalation!$B$27,Actuals!AE27)</f>
        <v>-17340</v>
      </c>
      <c r="AE209" s="13" t="n">
        <f aca="false">IF(ISBLANK(Actuals!AF27),-(SUMPRODUCT((Personnel!$O$9:$O$100="GC")*(Personnel!$G$9:$G$100="Yes")*(27&gt;=Personnel!$E$9:$E$100)*((Personnel!$K$9:$K$100="")+(27&lt;=Personnel!$K$9:$K$100)&gt;0)*Personnel!$D$9:$D$100*Personnel!$H$9:$H$100))*Escalation!$B$28,Actuals!AF27)</f>
        <v>-17340</v>
      </c>
      <c r="AF209" s="13" t="n">
        <f aca="false">IF(ISBLANK(Actuals!AG27),-(SUMPRODUCT((Personnel!$O$9:$O$100="GC")*(Personnel!$G$9:$G$100="Yes")*(28&gt;=Personnel!$E$9:$E$100)*((Personnel!$K$9:$K$100="")+(28&lt;=Personnel!$K$9:$K$100)&gt;0)*Personnel!$D$9:$D$100*Personnel!$H$9:$H$100))*Escalation!$B$29,Actuals!AG27)</f>
        <v>-17340</v>
      </c>
      <c r="AG209" s="13" t="n">
        <f aca="false">IF(ISBLANK(Actuals!AH27),-(SUMPRODUCT((Personnel!$O$9:$O$100="GC")*(Personnel!$G$9:$G$100="Yes")*(29&gt;=Personnel!$E$9:$E$100)*((Personnel!$K$9:$K$100="")+(29&lt;=Personnel!$K$9:$K$100)&gt;0)*Personnel!$D$9:$D$100*Personnel!$H$9:$H$100))*Escalation!$B$30,Actuals!AH27)</f>
        <v>-17340</v>
      </c>
      <c r="AH209" s="13" t="n">
        <f aca="false">IF(ISBLANK(Actuals!AI27),-(SUMPRODUCT((Personnel!$O$9:$O$100="GC")*(Personnel!$G$9:$G$100="Yes")*(30&gt;=Personnel!$E$9:$E$100)*((Personnel!$K$9:$K$100="")+(30&lt;=Personnel!$K$9:$K$100)&gt;0)*Personnel!$D$9:$D$100*Personnel!$H$9:$H$100))*Escalation!$B$31,Actuals!AI27)</f>
        <v>-17340</v>
      </c>
      <c r="AI209" s="13" t="n">
        <f aca="false">IF(ISBLANK(Actuals!AJ27),-(SUMPRODUCT((Personnel!$O$9:$O$100="GC")*(Personnel!$G$9:$G$100="Yes")*(31&gt;=Personnel!$E$9:$E$100)*((Personnel!$K$9:$K$100="")+(31&lt;=Personnel!$K$9:$K$100)&gt;0)*Personnel!$D$9:$D$100*Personnel!$H$9:$H$100))*Escalation!$B$32,Actuals!AJ27)</f>
        <v>-17340</v>
      </c>
      <c r="AJ209" s="13" t="n">
        <f aca="false">IF(ISBLANK(Actuals!AK27),-(SUMPRODUCT((Personnel!$O$9:$O$100="GC")*(Personnel!$G$9:$G$100="Yes")*(32&gt;=Personnel!$E$9:$E$100)*((Personnel!$K$9:$K$100="")+(32&lt;=Personnel!$K$9:$K$100)&gt;0)*Personnel!$D$9:$D$100*Personnel!$H$9:$H$100))*Escalation!$B$33,Actuals!AK27)</f>
        <v>-17340</v>
      </c>
      <c r="AK209" s="13" t="n">
        <f aca="false">IF(ISBLANK(Actuals!AL27),-(SUMPRODUCT((Personnel!$O$9:$O$100="GC")*(Personnel!$G$9:$G$100="Yes")*(33&gt;=Personnel!$E$9:$E$100)*((Personnel!$K$9:$K$100="")+(33&lt;=Personnel!$K$9:$K$100)&gt;0)*Personnel!$D$9:$D$100*Personnel!$H$9:$H$100))*Escalation!$B$34,Actuals!AL27)</f>
        <v>-17340</v>
      </c>
      <c r="AL209" s="13" t="n">
        <f aca="false">IF(ISBLANK(Actuals!AM27),-(SUMPRODUCT((Personnel!$O$9:$O$100="GC")*(Personnel!$G$9:$G$100="Yes")*(34&gt;=Personnel!$E$9:$E$100)*((Personnel!$K$9:$K$100="")+(34&lt;=Personnel!$K$9:$K$100)&gt;0)*Personnel!$D$9:$D$100*Personnel!$H$9:$H$100))*Escalation!$B$35,Actuals!AM27)</f>
        <v>-17340</v>
      </c>
      <c r="AM209" s="13" t="n">
        <f aca="false">IF(ISBLANK(Actuals!AN27),-(SUMPRODUCT((Personnel!$O$9:$O$100="GC")*(Personnel!$G$9:$G$100="Yes")*(35&gt;=Personnel!$E$9:$E$100)*((Personnel!$K$9:$K$100="")+(35&lt;=Personnel!$K$9:$K$100)&gt;0)*Personnel!$D$9:$D$100*Personnel!$H$9:$H$100))*Escalation!$B$36,Actuals!AN27)</f>
        <v>-17340</v>
      </c>
      <c r="AN209" s="13" t="n">
        <f aca="false">IF(ISBLANK(Actuals!AO27),-(SUMPRODUCT((Personnel!$O$9:$O$100="GC")*(Personnel!$G$9:$G$100="Yes")*(36&gt;=Personnel!$E$9:$E$100)*((Personnel!$K$9:$K$100="")+(36&lt;=Personnel!$K$9:$K$100)&gt;0)*Personnel!$D$9:$D$100*Personnel!$H$9:$H$100))*Escalation!$B$37,Actuals!AO27)</f>
        <v>-17340</v>
      </c>
      <c r="AO209" s="13" t="n">
        <f aca="false">IF(ISBLANK(Actuals!AP27),-(SUMPRODUCT((Personnel!$O$9:$O$100="GC")*(Personnel!$G$9:$G$100="Yes")*(37&gt;=Personnel!$E$9:$E$100)*((Personnel!$K$9:$K$100="")+(37&lt;=Personnel!$K$9:$K$100)&gt;0)*Personnel!$D$9:$D$100*Personnel!$H$9:$H$100))*Escalation!$B$38,Actuals!AP27)</f>
        <v>-17686.8</v>
      </c>
      <c r="AP209" s="13" t="n">
        <f aca="false">IF(ISBLANK(Actuals!AQ27),-(SUMPRODUCT((Personnel!$O$9:$O$100="GC")*(Personnel!$G$9:$G$100="Yes")*(38&gt;=Personnel!$E$9:$E$100)*((Personnel!$K$9:$K$100="")+(38&lt;=Personnel!$K$9:$K$100)&gt;0)*Personnel!$D$9:$D$100*Personnel!$H$9:$H$100))*Escalation!$B$39,Actuals!AQ27)</f>
        <v>-17686.8</v>
      </c>
      <c r="AQ209" s="13" t="n">
        <f aca="false">IF(ISBLANK(Actuals!AR27),-(SUMPRODUCT((Personnel!$O$9:$O$100="GC")*(Personnel!$G$9:$G$100="Yes")*(39&gt;=Personnel!$E$9:$E$100)*((Personnel!$K$9:$K$100="")+(39&lt;=Personnel!$K$9:$K$100)&gt;0)*Personnel!$D$9:$D$100*Personnel!$H$9:$H$100))*Escalation!$B$40,Actuals!AR27)</f>
        <v>-17686.8</v>
      </c>
      <c r="AR209" s="13" t="n">
        <f aca="false">IF(ISBLANK(Actuals!AS27),-(SUMPRODUCT((Personnel!$O$9:$O$100="GC")*(Personnel!$G$9:$G$100="Yes")*(40&gt;=Personnel!$E$9:$E$100)*((Personnel!$K$9:$K$100="")+(40&lt;=Personnel!$K$9:$K$100)&gt;0)*Personnel!$D$9:$D$100*Personnel!$H$9:$H$100))*Escalation!$B$41,Actuals!AS27)</f>
        <v>-17686.8</v>
      </c>
      <c r="AS209" s="13" t="n">
        <f aca="false">IF(ISBLANK(Actuals!AT27),-(SUMPRODUCT((Personnel!$O$9:$O$100="GC")*(Personnel!$G$9:$G$100="Yes")*(41&gt;=Personnel!$E$9:$E$100)*((Personnel!$K$9:$K$100="")+(41&lt;=Personnel!$K$9:$K$100)&gt;0)*Personnel!$D$9:$D$100*Personnel!$H$9:$H$100))*Escalation!$B$42,Actuals!AT27)</f>
        <v>-17686.8</v>
      </c>
      <c r="AT209" s="13" t="n">
        <f aca="false">IF(ISBLANK(Actuals!AU27),-(SUMPRODUCT((Personnel!$O$9:$O$100="GC")*(Personnel!$G$9:$G$100="Yes")*(42&gt;=Personnel!$E$9:$E$100)*((Personnel!$K$9:$K$100="")+(42&lt;=Personnel!$K$9:$K$100)&gt;0)*Personnel!$D$9:$D$100*Personnel!$H$9:$H$100))*Escalation!$B$43,Actuals!AU27)</f>
        <v>-17686.8</v>
      </c>
      <c r="AU209" s="13" t="n">
        <f aca="false">IF(ISBLANK(Actuals!AV27),-(SUMPRODUCT((Personnel!$O$9:$O$100="GC")*(Personnel!$G$9:$G$100="Yes")*(43&gt;=Personnel!$E$9:$E$100)*((Personnel!$K$9:$K$100="")+(43&lt;=Personnel!$K$9:$K$100)&gt;0)*Personnel!$D$9:$D$100*Personnel!$H$9:$H$100))*Escalation!$B$44,Actuals!AV27)</f>
        <v>-17686.8</v>
      </c>
      <c r="AV209" s="13" t="n">
        <f aca="false">IF(ISBLANK(Actuals!AW27),-(SUMPRODUCT((Personnel!$O$9:$O$100="GC")*(Personnel!$G$9:$G$100="Yes")*(44&gt;=Personnel!$E$9:$E$100)*((Personnel!$K$9:$K$100="")+(44&lt;=Personnel!$K$9:$K$100)&gt;0)*Personnel!$D$9:$D$100*Personnel!$H$9:$H$100))*Escalation!$B$45,Actuals!AW27)</f>
        <v>-17686.8</v>
      </c>
      <c r="AW209" s="13" t="n">
        <f aca="false">IF(ISBLANK(Actuals!AX27),-(SUMPRODUCT((Personnel!$O$9:$O$100="GC")*(Personnel!$G$9:$G$100="Yes")*(45&gt;=Personnel!$E$9:$E$100)*((Personnel!$K$9:$K$100="")+(45&lt;=Personnel!$K$9:$K$100)&gt;0)*Personnel!$D$9:$D$100*Personnel!$H$9:$H$100))*Escalation!$B$46,Actuals!AX27)</f>
        <v>-17686.8</v>
      </c>
      <c r="AX209" s="13" t="n">
        <f aca="false">IF(ISBLANK(Actuals!AY27),-(SUMPRODUCT((Personnel!$O$9:$O$100="GC")*(Personnel!$G$9:$G$100="Yes")*(46&gt;=Personnel!$E$9:$E$100)*((Personnel!$K$9:$K$100="")+(46&lt;=Personnel!$K$9:$K$100)&gt;0)*Personnel!$D$9:$D$100*Personnel!$H$9:$H$100))*Escalation!$B$47,Actuals!AY27)</f>
        <v>-17686.8</v>
      </c>
      <c r="AY209" s="13" t="n">
        <f aca="false">IF(ISBLANK(Actuals!AZ27),-(SUMPRODUCT((Personnel!$O$9:$O$100="GC")*(Personnel!$G$9:$G$100="Yes")*(47&gt;=Personnel!$E$9:$E$100)*((Personnel!$K$9:$K$100="")+(47&lt;=Personnel!$K$9:$K$100)&gt;0)*Personnel!$D$9:$D$100*Personnel!$H$9:$H$100))*Escalation!$B$48,Actuals!AZ27)</f>
        <v>-17686.8</v>
      </c>
      <c r="AZ209" s="13" t="n">
        <f aca="false">IF(ISBLANK(Actuals!BA27),-(SUMPRODUCT((Personnel!$O$9:$O$100="GC")*(Personnel!$G$9:$G$100="Yes")*(48&gt;=Personnel!$E$9:$E$100)*((Personnel!$K$9:$K$100="")+(48&lt;=Personnel!$K$9:$K$100)&gt;0)*Personnel!$D$9:$D$100*Personnel!$H$9:$H$100))*Escalation!$B$49,Actuals!BA27)</f>
        <v>-17686.8</v>
      </c>
      <c r="BA209" s="13" t="n">
        <f aca="false">IF(ISBLANK(Actuals!BB27),-(SUMPRODUCT((Personnel!$O$9:$O$100="GC")*(Personnel!$G$9:$G$100="Yes")*(49&gt;=Personnel!$E$9:$E$100)*((Personnel!$K$9:$K$100="")+(49&lt;=Personnel!$K$9:$K$100)&gt;0)*Personnel!$D$9:$D$100*Personnel!$H$9:$H$100))*Escalation!$B$50,Actuals!BB27)</f>
        <v>-18040.536</v>
      </c>
      <c r="BB209" s="13" t="n">
        <f aca="false">IF(ISBLANK(Actuals!BC27),-(SUMPRODUCT((Personnel!$O$9:$O$100="GC")*(Personnel!$G$9:$G$100="Yes")*(50&gt;=Personnel!$E$9:$E$100)*((Personnel!$K$9:$K$100="")+(50&lt;=Personnel!$K$9:$K$100)&gt;0)*Personnel!$D$9:$D$100*Personnel!$H$9:$H$100))*Escalation!$B$51,Actuals!BC27)</f>
        <v>-18040.536</v>
      </c>
      <c r="BC209" s="13" t="n">
        <f aca="false">IF(ISBLANK(Actuals!BD27),-(SUMPRODUCT((Personnel!$O$9:$O$100="GC")*(Personnel!$G$9:$G$100="Yes")*(51&gt;=Personnel!$E$9:$E$100)*((Personnel!$K$9:$K$100="")+(51&lt;=Personnel!$K$9:$K$100)&gt;0)*Personnel!$D$9:$D$100*Personnel!$H$9:$H$100))*Escalation!$B$52,Actuals!BD27)</f>
        <v>-18040.536</v>
      </c>
      <c r="BD209" s="13" t="n">
        <f aca="false">IF(ISBLANK(Actuals!BE27),-(SUMPRODUCT((Personnel!$O$9:$O$100="GC")*(Personnel!$G$9:$G$100="Yes")*(52&gt;=Personnel!$E$9:$E$100)*((Personnel!$K$9:$K$100="")+(52&lt;=Personnel!$K$9:$K$100)&gt;0)*Personnel!$D$9:$D$100*Personnel!$H$9:$H$100))*Escalation!$B$53,Actuals!BE27)</f>
        <v>-18040.536</v>
      </c>
      <c r="BE209" s="13" t="n">
        <f aca="false">IF(ISBLANK(Actuals!BF27),-(SUMPRODUCT((Personnel!$O$9:$O$100="GC")*(Personnel!$G$9:$G$100="Yes")*(53&gt;=Personnel!$E$9:$E$100)*((Personnel!$K$9:$K$100="")+(53&lt;=Personnel!$K$9:$K$100)&gt;0)*Personnel!$D$9:$D$100*Personnel!$H$9:$H$100))*Escalation!$B$54,Actuals!BF27)</f>
        <v>-18040.536</v>
      </c>
      <c r="BF209" s="13" t="n">
        <f aca="false">IF(ISBLANK(Actuals!BG27),-(SUMPRODUCT((Personnel!$O$9:$O$100="GC")*(Personnel!$G$9:$G$100="Yes")*(54&gt;=Personnel!$E$9:$E$100)*((Personnel!$K$9:$K$100="")+(54&lt;=Personnel!$K$9:$K$100)&gt;0)*Personnel!$D$9:$D$100*Personnel!$H$9:$H$100))*Escalation!$B$55,Actuals!BG27)</f>
        <v>-18040.536</v>
      </c>
      <c r="BG209" s="13" t="n">
        <f aca="false">IF(ISBLANK(Actuals!BH27),-(SUMPRODUCT((Personnel!$O$9:$O$100="GC")*(Personnel!$G$9:$G$100="Yes")*(55&gt;=Personnel!$E$9:$E$100)*((Personnel!$K$9:$K$100="")+(55&lt;=Personnel!$K$9:$K$100)&gt;0)*Personnel!$D$9:$D$100*Personnel!$H$9:$H$100))*Escalation!$B$56,Actuals!BH27)</f>
        <v>-18040.536</v>
      </c>
      <c r="BH209" s="13" t="n">
        <f aca="false">IF(ISBLANK(Actuals!BI27),-(SUMPRODUCT((Personnel!$O$9:$O$100="GC")*(Personnel!$G$9:$G$100="Yes")*(56&gt;=Personnel!$E$9:$E$100)*((Personnel!$K$9:$K$100="")+(56&lt;=Personnel!$K$9:$K$100)&gt;0)*Personnel!$D$9:$D$100*Personnel!$H$9:$H$100))*Escalation!$B$57,Actuals!BI27)</f>
        <v>-18040.536</v>
      </c>
      <c r="BI209" s="13" t="n">
        <f aca="false">IF(ISBLANK(Actuals!BJ27),-(SUMPRODUCT((Personnel!$O$9:$O$100="GC")*(Personnel!$G$9:$G$100="Yes")*(57&gt;=Personnel!$E$9:$E$100)*((Personnel!$K$9:$K$100="")+(57&lt;=Personnel!$K$9:$K$100)&gt;0)*Personnel!$D$9:$D$100*Personnel!$H$9:$H$100))*Escalation!$B$58,Actuals!BJ27)</f>
        <v>-18040.536</v>
      </c>
      <c r="BJ209" s="13" t="n">
        <f aca="false">IF(ISBLANK(Actuals!BK27),-(SUMPRODUCT((Personnel!$O$9:$O$100="GC")*(Personnel!$G$9:$G$100="Yes")*(58&gt;=Personnel!$E$9:$E$100)*((Personnel!$K$9:$K$100="")+(58&lt;=Personnel!$K$9:$K$100)&gt;0)*Personnel!$D$9:$D$100*Personnel!$H$9:$H$100))*Escalation!$B$59,Actuals!BK27)</f>
        <v>-18040.536</v>
      </c>
      <c r="BK209" s="13" t="n">
        <f aca="false">IF(ISBLANK(Actuals!BL27),-(SUMPRODUCT((Personnel!$O$9:$O$100="GC")*(Personnel!$G$9:$G$100="Yes")*(59&gt;=Personnel!$E$9:$E$100)*((Personnel!$K$9:$K$100="")+(59&lt;=Personnel!$K$9:$K$100)&gt;0)*Personnel!$D$9:$D$100*Personnel!$H$9:$H$100))*Escalation!$B$60,Actuals!BL27)</f>
        <v>-18040.536</v>
      </c>
      <c r="BL209" s="13" t="n">
        <f aca="false">IF(ISBLANK(Actuals!BM27),-(SUMPRODUCT((Personnel!$O$9:$O$100="GC")*(Personnel!$G$9:$G$100="Yes")*(60&gt;=Personnel!$E$9:$E$100)*((Personnel!$K$9:$K$100="")+(60&lt;=Personnel!$K$9:$K$100)&gt;0)*Personnel!$D$9:$D$100*Personnel!$H$9:$H$100))*Escalation!$B$61,Actuals!BM27)</f>
        <v>-18040.536</v>
      </c>
      <c r="BM209" s="13" t="n">
        <f aca="false">IF(ISBLANK(Actuals!BN27),-(SUMPRODUCT((Personnel!$O$9:$O$100="GC")*(Personnel!$G$9:$G$100="Yes")*(61&gt;=Personnel!$E$9:$E$100)*((Personnel!$K$9:$K$100="")+(61&lt;=Personnel!$K$9:$K$100)&gt;0)*Personnel!$D$9:$D$100*Personnel!$H$9:$H$100))*Escalation!$B$62,Actuals!BN27)</f>
        <v>-18401.34672</v>
      </c>
      <c r="BN209" s="13" t="n">
        <f aca="false">IF(ISBLANK(Actuals!BO27),-(SUMPRODUCT((Personnel!$O$9:$O$100="GC")*(Personnel!$G$9:$G$100="Yes")*(62&gt;=Personnel!$E$9:$E$100)*((Personnel!$K$9:$K$100="")+(62&lt;=Personnel!$K$9:$K$100)&gt;0)*Personnel!$D$9:$D$100*Personnel!$H$9:$H$100))*Escalation!$B$63,Actuals!BO27)</f>
        <v>-18401.34672</v>
      </c>
      <c r="BO209" s="13" t="n">
        <f aca="false">IF(ISBLANK(Actuals!BP27),-(SUMPRODUCT((Personnel!$O$9:$O$100="GC")*(Personnel!$G$9:$G$100="Yes")*(63&gt;=Personnel!$E$9:$E$100)*((Personnel!$K$9:$K$100="")+(63&lt;=Personnel!$K$9:$K$100)&gt;0)*Personnel!$D$9:$D$100*Personnel!$H$9:$H$100))*Escalation!$B$64,Actuals!BP27)</f>
        <v>-18401.34672</v>
      </c>
      <c r="BP209" s="13" t="n">
        <f aca="false">IF(ISBLANK(Actuals!BQ27),-(SUMPRODUCT((Personnel!$O$9:$O$100="GC")*(Personnel!$G$9:$G$100="Yes")*(64&gt;=Personnel!$E$9:$E$100)*((Personnel!$K$9:$K$100="")+(64&lt;=Personnel!$K$9:$K$100)&gt;0)*Personnel!$D$9:$D$100*Personnel!$H$9:$H$100))*Escalation!$B$65,Actuals!BQ27)</f>
        <v>-18401.34672</v>
      </c>
      <c r="BQ209" s="13" t="n">
        <f aca="false">IF(ISBLANK(Actuals!BR27),-(SUMPRODUCT((Personnel!$O$9:$O$100="GC")*(Personnel!$G$9:$G$100="Yes")*(65&gt;=Personnel!$E$9:$E$100)*((Personnel!$K$9:$K$100="")+(65&lt;=Personnel!$K$9:$K$100)&gt;0)*Personnel!$D$9:$D$100*Personnel!$H$9:$H$100))*Escalation!$B$66,Actuals!BR27)</f>
        <v>-18401.34672</v>
      </c>
      <c r="BR209" s="13" t="n">
        <f aca="false">IF(ISBLANK(Actuals!BS27),-(SUMPRODUCT((Personnel!$O$9:$O$100="GC")*(Personnel!$G$9:$G$100="Yes")*(66&gt;=Personnel!$E$9:$E$100)*((Personnel!$K$9:$K$100="")+(66&lt;=Personnel!$K$9:$K$100)&gt;0)*Personnel!$D$9:$D$100*Personnel!$H$9:$H$100))*Escalation!$B$67,Actuals!BS27)</f>
        <v>-18401.34672</v>
      </c>
      <c r="BS209" s="13" t="n">
        <f aca="false">IF(ISBLANK(Actuals!BT27),-(SUMPRODUCT((Personnel!$O$9:$O$100="GC")*(Personnel!$G$9:$G$100="Yes")*(67&gt;=Personnel!$E$9:$E$100)*((Personnel!$K$9:$K$100="")+(67&lt;=Personnel!$K$9:$K$100)&gt;0)*Personnel!$D$9:$D$100*Personnel!$H$9:$H$100))*Escalation!$B$68,Actuals!BT27)</f>
        <v>-18401.34672</v>
      </c>
      <c r="BT209" s="13" t="n">
        <f aca="false">IF(ISBLANK(Actuals!BU27),-(SUMPRODUCT((Personnel!$O$9:$O$100="GC")*(Personnel!$G$9:$G$100="Yes")*(68&gt;=Personnel!$E$9:$E$100)*((Personnel!$K$9:$K$100="")+(68&lt;=Personnel!$K$9:$K$100)&gt;0)*Personnel!$D$9:$D$100*Personnel!$H$9:$H$100))*Escalation!$B$69,Actuals!BU27)</f>
        <v>-18401.34672</v>
      </c>
      <c r="BU209" s="13" t="n">
        <f aca="false">IF(ISBLANK(Actuals!BV27),-(SUMPRODUCT((Personnel!$O$9:$O$100="GC")*(Personnel!$G$9:$G$100="Yes")*(69&gt;=Personnel!$E$9:$E$100)*((Personnel!$K$9:$K$100="")+(69&lt;=Personnel!$K$9:$K$100)&gt;0)*Personnel!$D$9:$D$100*Personnel!$H$9:$H$100))*Escalation!$B$70,Actuals!BV27)</f>
        <v>-18401.34672</v>
      </c>
      <c r="BV209" s="13" t="n">
        <f aca="false">IF(ISBLANK(Actuals!BW27),-(SUMPRODUCT((Personnel!$O$9:$O$100="GC")*(Personnel!$G$9:$G$100="Yes")*(70&gt;=Personnel!$E$9:$E$100)*((Personnel!$K$9:$K$100="")+(70&lt;=Personnel!$K$9:$K$100)&gt;0)*Personnel!$D$9:$D$100*Personnel!$H$9:$H$100))*Escalation!$B$71,Actuals!BW27)</f>
        <v>-18401.34672</v>
      </c>
      <c r="BW209" s="13" t="n">
        <f aca="false">IF(ISBLANK(Actuals!BX27),-(SUMPRODUCT((Personnel!$O$9:$O$100="GC")*(Personnel!$G$9:$G$100="Yes")*(71&gt;=Personnel!$E$9:$E$100)*((Personnel!$K$9:$K$100="")+(71&lt;=Personnel!$K$9:$K$100)&gt;0)*Personnel!$D$9:$D$100*Personnel!$H$9:$H$100))*Escalation!$B$72,Actuals!BX27)</f>
        <v>-18401.34672</v>
      </c>
      <c r="BX209" s="13" t="n">
        <f aca="false">IF(ISBLANK(Actuals!BY27),-(SUMPRODUCT((Personnel!$O$9:$O$100="GC")*(Personnel!$G$9:$G$100="Yes")*(72&gt;=Personnel!$E$9:$E$100)*((Personnel!$K$9:$K$100="")+(72&lt;=Personnel!$K$9:$K$100)&gt;0)*Personnel!$D$9:$D$100*Personnel!$H$9:$H$100))*Escalation!$B$73,Actuals!BY27)</f>
        <v>-18401.34672</v>
      </c>
      <c r="BY209" s="13" t="n">
        <f aca="false">IF(ISBLANK(Actuals!BZ27),-(SUMPRODUCT((Personnel!$O$9:$O$100="GC")*(Personnel!$G$9:$G$100="Yes")*(73&gt;=Personnel!$E$9:$E$100)*((Personnel!$K$9:$K$100="")+(73&lt;=Personnel!$K$9:$K$100)&gt;0)*Personnel!$D$9:$D$100*Personnel!$H$9:$H$100))*Escalation!$B$74,Actuals!BZ27)</f>
        <v>-18769.3736544</v>
      </c>
      <c r="BZ209" s="13" t="n">
        <f aca="false">IF(ISBLANK(Actuals!CA27),-(SUMPRODUCT((Personnel!$O$9:$O$100="GC")*(Personnel!$G$9:$G$100="Yes")*(74&gt;=Personnel!$E$9:$E$100)*((Personnel!$K$9:$K$100="")+(74&lt;=Personnel!$K$9:$K$100)&gt;0)*Personnel!$D$9:$D$100*Personnel!$H$9:$H$100))*Escalation!$B$75,Actuals!CA27)</f>
        <v>-18769.3736544</v>
      </c>
      <c r="CA209" s="13" t="n">
        <f aca="false">IF(ISBLANK(Actuals!CB27),-(SUMPRODUCT((Personnel!$O$9:$O$100="GC")*(Personnel!$G$9:$G$100="Yes")*(75&gt;=Personnel!$E$9:$E$100)*((Personnel!$K$9:$K$100="")+(75&lt;=Personnel!$K$9:$K$100)&gt;0)*Personnel!$D$9:$D$100*Personnel!$H$9:$H$100))*Escalation!$B$76,Actuals!CB27)</f>
        <v>-18769.3736544</v>
      </c>
      <c r="CB209" s="13" t="n">
        <f aca="false">IF(ISBLANK(Actuals!CC27),-(SUMPRODUCT((Personnel!$O$9:$O$100="GC")*(Personnel!$G$9:$G$100="Yes")*(76&gt;=Personnel!$E$9:$E$100)*((Personnel!$K$9:$K$100="")+(76&lt;=Personnel!$K$9:$K$100)&gt;0)*Personnel!$D$9:$D$100*Personnel!$H$9:$H$100))*Escalation!$B$77,Actuals!CC27)</f>
        <v>-18769.3736544</v>
      </c>
      <c r="CC209" s="13" t="n">
        <f aca="false">IF(ISBLANK(Actuals!CD27),-(SUMPRODUCT((Personnel!$O$9:$O$100="GC")*(Personnel!$G$9:$G$100="Yes")*(77&gt;=Personnel!$E$9:$E$100)*((Personnel!$K$9:$K$100="")+(77&lt;=Personnel!$K$9:$K$100)&gt;0)*Personnel!$D$9:$D$100*Personnel!$H$9:$H$100))*Escalation!$B$78,Actuals!CD27)</f>
        <v>-18769.3736544</v>
      </c>
      <c r="CD209" s="13" t="n">
        <f aca="false">IF(ISBLANK(Actuals!CE27),-(SUMPRODUCT((Personnel!$O$9:$O$100="GC")*(Personnel!$G$9:$G$100="Yes")*(78&gt;=Personnel!$E$9:$E$100)*((Personnel!$K$9:$K$100="")+(78&lt;=Personnel!$K$9:$K$100)&gt;0)*Personnel!$D$9:$D$100*Personnel!$H$9:$H$100))*Escalation!$B$79,Actuals!CE27)</f>
        <v>-18769.3736544</v>
      </c>
      <c r="CE209" s="13" t="n">
        <f aca="false">IF(ISBLANK(Actuals!CF27),-(SUMPRODUCT((Personnel!$O$9:$O$100="GC")*(Personnel!$G$9:$G$100="Yes")*(79&gt;=Personnel!$E$9:$E$100)*((Personnel!$K$9:$K$100="")+(79&lt;=Personnel!$K$9:$K$100)&gt;0)*Personnel!$D$9:$D$100*Personnel!$H$9:$H$100))*Escalation!$B$80,Actuals!CF27)</f>
        <v>-18769.3736544</v>
      </c>
      <c r="CF209" s="13" t="n">
        <f aca="false">IF(ISBLANK(Actuals!CG27),-(SUMPRODUCT((Personnel!$O$9:$O$100="GC")*(Personnel!$G$9:$G$100="Yes")*(80&gt;=Personnel!$E$9:$E$100)*((Personnel!$K$9:$K$100="")+(80&lt;=Personnel!$K$9:$K$100)&gt;0)*Personnel!$D$9:$D$100*Personnel!$H$9:$H$100))*Escalation!$B$81,Actuals!CG27)</f>
        <v>-18769.3736544</v>
      </c>
      <c r="CG209" s="13" t="n">
        <f aca="false">IF(ISBLANK(Actuals!CH27),-(SUMPRODUCT((Personnel!$O$9:$O$100="GC")*(Personnel!$G$9:$G$100="Yes")*(81&gt;=Personnel!$E$9:$E$100)*((Personnel!$K$9:$K$100="")+(81&lt;=Personnel!$K$9:$K$100)&gt;0)*Personnel!$D$9:$D$100*Personnel!$H$9:$H$100))*Escalation!$B$82,Actuals!CH27)</f>
        <v>-18769.3736544</v>
      </c>
      <c r="CH209" s="13" t="n">
        <f aca="false">IF(ISBLANK(Actuals!CI27),-(SUMPRODUCT((Personnel!$O$9:$O$100="GC")*(Personnel!$G$9:$G$100="Yes")*(82&gt;=Personnel!$E$9:$E$100)*((Personnel!$K$9:$K$100="")+(82&lt;=Personnel!$K$9:$K$100)&gt;0)*Personnel!$D$9:$D$100*Personnel!$H$9:$H$100))*Escalation!$B$83,Actuals!CI27)</f>
        <v>-18769.3736544</v>
      </c>
      <c r="CI209" s="13" t="n">
        <f aca="false">IF(ISBLANK(Actuals!CJ27),-(SUMPRODUCT((Personnel!$O$9:$O$100="GC")*(Personnel!$G$9:$G$100="Yes")*(83&gt;=Personnel!$E$9:$E$100)*((Personnel!$K$9:$K$100="")+(83&lt;=Personnel!$K$9:$K$100)&gt;0)*Personnel!$D$9:$D$100*Personnel!$H$9:$H$100))*Escalation!$B$84,Actuals!CJ27)</f>
        <v>-18769.3736544</v>
      </c>
      <c r="CJ209" s="13" t="n">
        <f aca="false">IF(ISBLANK(Actuals!CK27),-(SUMPRODUCT((Personnel!$O$9:$O$100="GC")*(Personnel!$G$9:$G$100="Yes")*(84&gt;=Personnel!$E$9:$E$100)*((Personnel!$K$9:$K$100="")+(84&lt;=Personnel!$K$9:$K$100)&gt;0)*Personnel!$D$9:$D$100*Personnel!$H$9:$H$100))*Escalation!$B$85,Actuals!CK27)</f>
        <v>-18769.3736544</v>
      </c>
      <c r="CK209" s="13" t="n">
        <f aca="false">IF(ISBLANK(Actuals!CL27),-(SUMPRODUCT((Personnel!$O$9:$O$100="GC")*(Personnel!$G$9:$G$100="Yes")*(85&gt;=Personnel!$E$9:$E$100)*((Personnel!$K$9:$K$100="")+(85&lt;=Personnel!$K$9:$K$100)&gt;0)*Personnel!$D$9:$D$100*Personnel!$H$9:$H$100))*Escalation!$B$86,Actuals!CL27)</f>
        <v>-19144.761127488</v>
      </c>
      <c r="CL209" s="13" t="n">
        <f aca="false">IF(ISBLANK(Actuals!CM27),-(SUMPRODUCT((Personnel!$O$9:$O$100="GC")*(Personnel!$G$9:$G$100="Yes")*(86&gt;=Personnel!$E$9:$E$100)*((Personnel!$K$9:$K$100="")+(86&lt;=Personnel!$K$9:$K$100)&gt;0)*Personnel!$D$9:$D$100*Personnel!$H$9:$H$100))*Escalation!$B$87,Actuals!CM27)</f>
        <v>-19144.761127488</v>
      </c>
      <c r="CM209" s="13" t="n">
        <f aca="false">IF(ISBLANK(Actuals!CN27),-(SUMPRODUCT((Personnel!$O$9:$O$100="GC")*(Personnel!$G$9:$G$100="Yes")*(87&gt;=Personnel!$E$9:$E$100)*((Personnel!$K$9:$K$100="")+(87&lt;=Personnel!$K$9:$K$100)&gt;0)*Personnel!$D$9:$D$100*Personnel!$H$9:$H$100))*Escalation!$B$88,Actuals!CN27)</f>
        <v>-19144.761127488</v>
      </c>
      <c r="CN209" s="13" t="n">
        <f aca="false">IF(ISBLANK(Actuals!CO27),-(SUMPRODUCT((Personnel!$O$9:$O$100="GC")*(Personnel!$G$9:$G$100="Yes")*(88&gt;=Personnel!$E$9:$E$100)*((Personnel!$K$9:$K$100="")+(88&lt;=Personnel!$K$9:$K$100)&gt;0)*Personnel!$D$9:$D$100*Personnel!$H$9:$H$100))*Escalation!$B$89,Actuals!CO27)</f>
        <v>-19144.761127488</v>
      </c>
      <c r="CO209" s="13" t="n">
        <f aca="false">IF(ISBLANK(Actuals!CP27),-(SUMPRODUCT((Personnel!$O$9:$O$100="GC")*(Personnel!$G$9:$G$100="Yes")*(89&gt;=Personnel!$E$9:$E$100)*((Personnel!$K$9:$K$100="")+(89&lt;=Personnel!$K$9:$K$100)&gt;0)*Personnel!$D$9:$D$100*Personnel!$H$9:$H$100))*Escalation!$B$90,Actuals!CP27)</f>
        <v>-19144.761127488</v>
      </c>
      <c r="CP209" s="13" t="n">
        <f aca="false">IF(ISBLANK(Actuals!CQ27),-(SUMPRODUCT((Personnel!$O$9:$O$100="GC")*(Personnel!$G$9:$G$100="Yes")*(90&gt;=Personnel!$E$9:$E$100)*((Personnel!$K$9:$K$100="")+(90&lt;=Personnel!$K$9:$K$100)&gt;0)*Personnel!$D$9:$D$100*Personnel!$H$9:$H$100))*Escalation!$B$91,Actuals!CQ27)</f>
        <v>-19144.761127488</v>
      </c>
      <c r="CQ209" s="13" t="n">
        <f aca="false">IF(ISBLANK(Actuals!CR27),-(SUMPRODUCT((Personnel!$O$9:$O$100="GC")*(Personnel!$G$9:$G$100="Yes")*(91&gt;=Personnel!$E$9:$E$100)*((Personnel!$K$9:$K$100="")+(91&lt;=Personnel!$K$9:$K$100)&gt;0)*Personnel!$D$9:$D$100*Personnel!$H$9:$H$100))*Escalation!$B$92,Actuals!CR27)</f>
        <v>-19144.761127488</v>
      </c>
      <c r="CR209" s="13" t="n">
        <f aca="false">IF(ISBLANK(Actuals!CS27),-(SUMPRODUCT((Personnel!$O$9:$O$100="GC")*(Personnel!$G$9:$G$100="Yes")*(92&gt;=Personnel!$E$9:$E$100)*((Personnel!$K$9:$K$100="")+(92&lt;=Personnel!$K$9:$K$100)&gt;0)*Personnel!$D$9:$D$100*Personnel!$H$9:$H$100))*Escalation!$B$93,Actuals!CS27)</f>
        <v>-19144.761127488</v>
      </c>
      <c r="CS209" s="13" t="n">
        <f aca="false">IF(ISBLANK(Actuals!CT27),-(SUMPRODUCT((Personnel!$O$9:$O$100="GC")*(Personnel!$G$9:$G$100="Yes")*(93&gt;=Personnel!$E$9:$E$100)*((Personnel!$K$9:$K$100="")+(93&lt;=Personnel!$K$9:$K$100)&gt;0)*Personnel!$D$9:$D$100*Personnel!$H$9:$H$100))*Escalation!$B$94,Actuals!CT27)</f>
        <v>-19144.761127488</v>
      </c>
      <c r="CT209" s="13" t="n">
        <f aca="false">IF(ISBLANK(Actuals!CU27),-(SUMPRODUCT((Personnel!$O$9:$O$100="GC")*(Personnel!$G$9:$G$100="Yes")*(94&gt;=Personnel!$E$9:$E$100)*((Personnel!$K$9:$K$100="")+(94&lt;=Personnel!$K$9:$K$100)&gt;0)*Personnel!$D$9:$D$100*Personnel!$H$9:$H$100))*Escalation!$B$95,Actuals!CU27)</f>
        <v>-19144.761127488</v>
      </c>
      <c r="CU209" s="13" t="n">
        <f aca="false">IF(ISBLANK(Actuals!CV27),-(SUMPRODUCT((Personnel!$O$9:$O$100="GC")*(Personnel!$G$9:$G$100="Yes")*(95&gt;=Personnel!$E$9:$E$100)*((Personnel!$K$9:$K$100="")+(95&lt;=Personnel!$K$9:$K$100)&gt;0)*Personnel!$D$9:$D$100*Personnel!$H$9:$H$100))*Escalation!$B$96,Actuals!CV27)</f>
        <v>-19144.761127488</v>
      </c>
      <c r="CV209" s="13" t="n">
        <f aca="false">IF(ISBLANK(Actuals!CW27),-(SUMPRODUCT((Personnel!$O$9:$O$100="GC")*(Personnel!$G$9:$G$100="Yes")*(96&gt;=Personnel!$E$9:$E$100)*((Personnel!$K$9:$K$100="")+(96&lt;=Personnel!$K$9:$K$100)&gt;0)*Personnel!$D$9:$D$100*Personnel!$H$9:$H$100))*Escalation!$B$97,Actuals!CW27)</f>
        <v>-19144.761127488</v>
      </c>
      <c r="CW209" s="13" t="n">
        <f aca="false">IF(ISBLANK(Actuals!CX27),-(SUMPRODUCT((Personnel!$O$9:$O$100="GC")*(Personnel!$G$9:$G$100="Yes")*(97&gt;=Personnel!$E$9:$E$100)*((Personnel!$K$9:$K$100="")+(97&lt;=Personnel!$K$9:$K$100)&gt;0)*Personnel!$D$9:$D$100*Personnel!$H$9:$H$100))*Escalation!$B$98,Actuals!CX27)</f>
        <v>-19527.6563500378</v>
      </c>
      <c r="CX209" s="13" t="n">
        <f aca="false">IF(ISBLANK(Actuals!CY27),-(SUMPRODUCT((Personnel!$O$9:$O$100="GC")*(Personnel!$G$9:$G$100="Yes")*(98&gt;=Personnel!$E$9:$E$100)*((Personnel!$K$9:$K$100="")+(98&lt;=Personnel!$K$9:$K$100)&gt;0)*Personnel!$D$9:$D$100*Personnel!$H$9:$H$100))*Escalation!$B$99,Actuals!CY27)</f>
        <v>-19527.6563500378</v>
      </c>
      <c r="CY209" s="13" t="n">
        <f aca="false">IF(ISBLANK(Actuals!CZ27),-(SUMPRODUCT((Personnel!$O$9:$O$100="GC")*(Personnel!$G$9:$G$100="Yes")*(99&gt;=Personnel!$E$9:$E$100)*((Personnel!$K$9:$K$100="")+(99&lt;=Personnel!$K$9:$K$100)&gt;0)*Personnel!$D$9:$D$100*Personnel!$H$9:$H$100))*Escalation!$B$100,Actuals!CZ27)</f>
        <v>-19527.6563500378</v>
      </c>
      <c r="CZ209" s="13" t="n">
        <f aca="false">IF(ISBLANK(Actuals!DA27),-(SUMPRODUCT((Personnel!$O$9:$O$100="GC")*(Personnel!$G$9:$G$100="Yes")*(100&gt;=Personnel!$E$9:$E$100)*((Personnel!$K$9:$K$100="")+(100&lt;=Personnel!$K$9:$K$100)&gt;0)*Personnel!$D$9:$D$100*Personnel!$H$9:$H$100))*Escalation!$B$101,Actuals!DA27)</f>
        <v>-19527.6563500378</v>
      </c>
      <c r="DA209" s="13" t="n">
        <f aca="false">IF(ISBLANK(Actuals!DB27),-(SUMPRODUCT((Personnel!$O$9:$O$100="GC")*(Personnel!$G$9:$G$100="Yes")*(101&gt;=Personnel!$E$9:$E$100)*((Personnel!$K$9:$K$100="")+(101&lt;=Personnel!$K$9:$K$100)&gt;0)*Personnel!$D$9:$D$100*Personnel!$H$9:$H$100))*Escalation!$B$102,Actuals!DB27)</f>
        <v>-19527.6563500378</v>
      </c>
      <c r="DB209" s="13" t="n">
        <f aca="false">IF(ISBLANK(Actuals!DC27),-(SUMPRODUCT((Personnel!$O$9:$O$100="GC")*(Personnel!$G$9:$G$100="Yes")*(102&gt;=Personnel!$E$9:$E$100)*((Personnel!$K$9:$K$100="")+(102&lt;=Personnel!$K$9:$K$100)&gt;0)*Personnel!$D$9:$D$100*Personnel!$H$9:$H$100))*Escalation!$B$103,Actuals!DC27)</f>
        <v>-19527.6563500378</v>
      </c>
      <c r="DC209" s="13" t="n">
        <f aca="false">IF(ISBLANK(Actuals!DD27),-(SUMPRODUCT((Personnel!$O$9:$O$100="GC")*(Personnel!$G$9:$G$100="Yes")*(103&gt;=Personnel!$E$9:$E$100)*((Personnel!$K$9:$K$100="")+(103&lt;=Personnel!$K$9:$K$100)&gt;0)*Personnel!$D$9:$D$100*Personnel!$H$9:$H$100))*Escalation!$B$104,Actuals!DD27)</f>
        <v>-19527.6563500378</v>
      </c>
      <c r="DD209" s="13" t="n">
        <f aca="false">IF(ISBLANK(Actuals!DE27),-(SUMPRODUCT((Personnel!$O$9:$O$100="GC")*(Personnel!$G$9:$G$100="Yes")*(104&gt;=Personnel!$E$9:$E$100)*((Personnel!$K$9:$K$100="")+(104&lt;=Personnel!$K$9:$K$100)&gt;0)*Personnel!$D$9:$D$100*Personnel!$H$9:$H$100))*Escalation!$B$105,Actuals!DE27)</f>
        <v>-19527.6563500378</v>
      </c>
      <c r="DE209" s="13" t="n">
        <f aca="false">IF(ISBLANK(Actuals!DF27),-(SUMPRODUCT((Personnel!$O$9:$O$100="GC")*(Personnel!$G$9:$G$100="Yes")*(105&gt;=Personnel!$E$9:$E$100)*((Personnel!$K$9:$K$100="")+(105&lt;=Personnel!$K$9:$K$100)&gt;0)*Personnel!$D$9:$D$100*Personnel!$H$9:$H$100))*Escalation!$B$106,Actuals!DF27)</f>
        <v>-19527.6563500378</v>
      </c>
    </row>
    <row r="210" customFormat="false" ht="15" hidden="false" customHeight="true" outlineLevel="0" collapsed="false">
      <c r="A210" s="22" t="s">
        <v>71</v>
      </c>
      <c r="B210" s="13" t="n">
        <f aca="false">IF(ISBLANK(Actuals!C28),0,Actuals!C28)</f>
        <v>0</v>
      </c>
      <c r="C210" s="13" t="n">
        <f aca="false">IF(ISBLANK(Actuals!D28),0,Actuals!D28)</f>
        <v>0</v>
      </c>
      <c r="D210" s="13" t="n">
        <f aca="false">IF(ISBLANK(Actuals!E28),0,Actuals!E28)</f>
        <v>0</v>
      </c>
      <c r="E210" s="13" t="n">
        <f aca="false">IF(ISBLANK(Actuals!F28),0*Escalation!$B$2,Actuals!F28)</f>
        <v>251304.48</v>
      </c>
      <c r="F210" s="13" t="n">
        <f aca="false">IF(ISBLANK(Actuals!G28),0*Escalation!$B$3,Actuals!G28)</f>
        <v>81510</v>
      </c>
      <c r="G210" s="13" t="n">
        <f aca="false">IF(ISBLANK(Actuals!H28),0*Escalation!$B$4,Actuals!H28)</f>
        <v>0</v>
      </c>
      <c r="H210" s="13" t="n">
        <f aca="false">IF(ISBLANK(Actuals!I28),0*Escalation!$B$5,Actuals!I28)</f>
        <v>0</v>
      </c>
      <c r="I210" s="13" t="n">
        <f aca="false">IF(ISBLANK(Actuals!J28),0*Escalation!$B$6,Actuals!J28)</f>
        <v>0</v>
      </c>
      <c r="J210" s="13" t="n">
        <f aca="false">IF(ISBLANK(Actuals!K28),0*Escalation!$B$7,Actuals!K28)</f>
        <v>0</v>
      </c>
      <c r="K210" s="13" t="n">
        <f aca="false">IF(ISBLANK(Actuals!L28),0*Escalation!$B$8,Actuals!L28)</f>
        <v>0</v>
      </c>
      <c r="L210" s="13" t="n">
        <f aca="false">IF(ISBLANK(Actuals!M28),0*Escalation!$B$9,Actuals!M28)</f>
        <v>0</v>
      </c>
      <c r="M210" s="13" t="n">
        <f aca="false">IF(ISBLANK(Actuals!N28),0*Escalation!$B$10,Actuals!N28)</f>
        <v>0</v>
      </c>
      <c r="N210" s="13" t="n">
        <f aca="false">IF(ISBLANK(Actuals!O28),0*Escalation!$B$11,Actuals!O28)</f>
        <v>0</v>
      </c>
      <c r="O210" s="13" t="n">
        <f aca="false">IF(ISBLANK(Actuals!P28),0*Escalation!$B$12,Actuals!P28)</f>
        <v>0</v>
      </c>
      <c r="P210" s="13" t="n">
        <f aca="false">IF(ISBLANK(Actuals!Q28),0*Escalation!$B$13,Actuals!Q28)</f>
        <v>0</v>
      </c>
      <c r="Q210" s="13" t="n">
        <f aca="false">IF(ISBLANK(Actuals!R28),0*Escalation!$B$14,Actuals!R28)</f>
        <v>0</v>
      </c>
      <c r="R210" s="13" t="n">
        <f aca="false">IF(ISBLANK(Actuals!S28),0*Escalation!$B$15,Actuals!S28)</f>
        <v>0</v>
      </c>
      <c r="S210" s="13" t="n">
        <f aca="false">IF(ISBLANK(Actuals!T28),0*Escalation!$B$16,Actuals!T28)</f>
        <v>0</v>
      </c>
      <c r="T210" s="13" t="n">
        <f aca="false">IF(ISBLANK(Actuals!U28),0*Escalation!$B$17,Actuals!U28)</f>
        <v>0</v>
      </c>
      <c r="U210" s="13" t="n">
        <f aca="false">IF(ISBLANK(Actuals!V28),0*Escalation!$B$18,Actuals!V28)</f>
        <v>0</v>
      </c>
      <c r="V210" s="13" t="n">
        <f aca="false">IF(ISBLANK(Actuals!W28),0*Escalation!$B$19,Actuals!W28)</f>
        <v>0</v>
      </c>
      <c r="W210" s="13" t="n">
        <f aca="false">IF(ISBLANK(Actuals!X28),0*Escalation!$B$20,Actuals!X28)</f>
        <v>0</v>
      </c>
      <c r="X210" s="13" t="n">
        <f aca="false">IF(ISBLANK(Actuals!Y28),0*Escalation!$B$21,Actuals!Y28)</f>
        <v>0</v>
      </c>
      <c r="Y210" s="13" t="n">
        <f aca="false">IF(ISBLANK(Actuals!Z28),0*Escalation!$B$22,Actuals!Z28)</f>
        <v>0</v>
      </c>
      <c r="Z210" s="13" t="n">
        <f aca="false">IF(ISBLANK(Actuals!AA28),0*Escalation!$B$23,Actuals!AA28)</f>
        <v>0</v>
      </c>
      <c r="AA210" s="13" t="n">
        <f aca="false">IF(ISBLANK(Actuals!AB28),0*Escalation!$B$24,Actuals!AB28)</f>
        <v>0</v>
      </c>
      <c r="AB210" s="13" t="n">
        <f aca="false">IF(ISBLANK(Actuals!AC28),0*Escalation!$B$25,Actuals!AC28)</f>
        <v>0</v>
      </c>
      <c r="AC210" s="13" t="n">
        <f aca="false">IF(ISBLANK(Actuals!AD28),0*Escalation!$B$26,Actuals!AD28)</f>
        <v>0</v>
      </c>
      <c r="AD210" s="13" t="n">
        <f aca="false">IF(ISBLANK(Actuals!AE28),0*Escalation!$B$27,Actuals!AE28)</f>
        <v>0</v>
      </c>
      <c r="AE210" s="13" t="n">
        <f aca="false">IF(ISBLANK(Actuals!AF28),0*Escalation!$B$28,Actuals!AF28)</f>
        <v>0</v>
      </c>
      <c r="AF210" s="13" t="n">
        <f aca="false">IF(ISBLANK(Actuals!AG28),0*Escalation!$B$29,Actuals!AG28)</f>
        <v>0</v>
      </c>
      <c r="AG210" s="13" t="n">
        <f aca="false">IF(ISBLANK(Actuals!AH28),0*Escalation!$B$30,Actuals!AH28)</f>
        <v>0</v>
      </c>
      <c r="AH210" s="13" t="n">
        <f aca="false">IF(ISBLANK(Actuals!AI28),0*Escalation!$B$31,Actuals!AI28)</f>
        <v>0</v>
      </c>
      <c r="AI210" s="13" t="n">
        <f aca="false">IF(ISBLANK(Actuals!AJ28),0*Escalation!$B$32,Actuals!AJ28)</f>
        <v>0</v>
      </c>
      <c r="AJ210" s="13" t="n">
        <f aca="false">IF(ISBLANK(Actuals!AK28),0*Escalation!$B$33,Actuals!AK28)</f>
        <v>0</v>
      </c>
      <c r="AK210" s="13" t="n">
        <f aca="false">IF(ISBLANK(Actuals!AL28),0*Escalation!$B$34,Actuals!AL28)</f>
        <v>0</v>
      </c>
      <c r="AL210" s="13" t="n">
        <f aca="false">IF(ISBLANK(Actuals!AM28),0*Escalation!$B$35,Actuals!AM28)</f>
        <v>0</v>
      </c>
      <c r="AM210" s="13" t="n">
        <f aca="false">IF(ISBLANK(Actuals!AN28),0*Escalation!$B$36,Actuals!AN28)</f>
        <v>0</v>
      </c>
      <c r="AN210" s="13" t="n">
        <f aca="false">IF(ISBLANK(Actuals!AO28),0*Escalation!$B$37,Actuals!AO28)</f>
        <v>0</v>
      </c>
      <c r="AO210" s="13" t="n">
        <f aca="false">IF(ISBLANK(Actuals!AP28),0*Escalation!$B$38,Actuals!AP28)</f>
        <v>0</v>
      </c>
      <c r="AP210" s="13" t="n">
        <f aca="false">IF(ISBLANK(Actuals!AQ28),0*Escalation!$B$39,Actuals!AQ28)</f>
        <v>0</v>
      </c>
      <c r="AQ210" s="13" t="n">
        <f aca="false">IF(ISBLANK(Actuals!AR28),0*Escalation!$B$40,Actuals!AR28)</f>
        <v>0</v>
      </c>
      <c r="AR210" s="13" t="n">
        <f aca="false">IF(ISBLANK(Actuals!AS28),0*Escalation!$B$41,Actuals!AS28)</f>
        <v>0</v>
      </c>
      <c r="AS210" s="13" t="n">
        <f aca="false">IF(ISBLANK(Actuals!AT28),0*Escalation!$B$42,Actuals!AT28)</f>
        <v>0</v>
      </c>
      <c r="AT210" s="13" t="n">
        <f aca="false">IF(ISBLANK(Actuals!AU28),0*Escalation!$B$43,Actuals!AU28)</f>
        <v>0</v>
      </c>
      <c r="AU210" s="13" t="n">
        <f aca="false">IF(ISBLANK(Actuals!AV28),0*Escalation!$B$44,Actuals!AV28)</f>
        <v>0</v>
      </c>
      <c r="AV210" s="13" t="n">
        <f aca="false">IF(ISBLANK(Actuals!AW28),0*Escalation!$B$45,Actuals!AW28)</f>
        <v>0</v>
      </c>
      <c r="AW210" s="13" t="n">
        <f aca="false">IF(ISBLANK(Actuals!AX28),0*Escalation!$B$46,Actuals!AX28)</f>
        <v>0</v>
      </c>
      <c r="AX210" s="13" t="n">
        <f aca="false">IF(ISBLANK(Actuals!AY28),0*Escalation!$B$47,Actuals!AY28)</f>
        <v>0</v>
      </c>
      <c r="AY210" s="13" t="n">
        <f aca="false">IF(ISBLANK(Actuals!AZ28),0*Escalation!$B$48,Actuals!AZ28)</f>
        <v>0</v>
      </c>
      <c r="AZ210" s="13" t="n">
        <f aca="false">IF(ISBLANK(Actuals!BA28),0*Escalation!$B$49,Actuals!BA28)</f>
        <v>0</v>
      </c>
      <c r="BA210" s="13" t="n">
        <f aca="false">IF(ISBLANK(Actuals!BB28),0*Escalation!$B$50,Actuals!BB28)</f>
        <v>0</v>
      </c>
      <c r="BB210" s="13" t="n">
        <f aca="false">IF(ISBLANK(Actuals!BC28),0*Escalation!$B$51,Actuals!BC28)</f>
        <v>0</v>
      </c>
      <c r="BC210" s="13" t="n">
        <f aca="false">IF(ISBLANK(Actuals!BD28),0*Escalation!$B$52,Actuals!BD28)</f>
        <v>0</v>
      </c>
      <c r="BD210" s="13" t="n">
        <f aca="false">IF(ISBLANK(Actuals!BE28),0*Escalation!$B$53,Actuals!BE28)</f>
        <v>0</v>
      </c>
      <c r="BE210" s="13" t="n">
        <f aca="false">IF(ISBLANK(Actuals!BF28),0*Escalation!$B$54,Actuals!BF28)</f>
        <v>0</v>
      </c>
      <c r="BF210" s="13" t="n">
        <f aca="false">IF(ISBLANK(Actuals!BG28),0*Escalation!$B$55,Actuals!BG28)</f>
        <v>0</v>
      </c>
      <c r="BG210" s="13" t="n">
        <f aca="false">IF(ISBLANK(Actuals!BH28),0*Escalation!$B$56,Actuals!BH28)</f>
        <v>0</v>
      </c>
      <c r="BH210" s="13" t="n">
        <f aca="false">IF(ISBLANK(Actuals!BI28),0*Escalation!$B$57,Actuals!BI28)</f>
        <v>0</v>
      </c>
      <c r="BI210" s="13" t="n">
        <f aca="false">IF(ISBLANK(Actuals!BJ28),0*Escalation!$B$58,Actuals!BJ28)</f>
        <v>0</v>
      </c>
      <c r="BJ210" s="13" t="n">
        <f aca="false">IF(ISBLANK(Actuals!BK28),0*Escalation!$B$59,Actuals!BK28)</f>
        <v>0</v>
      </c>
      <c r="BK210" s="13" t="n">
        <f aca="false">IF(ISBLANK(Actuals!BL28),0*Escalation!$B$60,Actuals!BL28)</f>
        <v>0</v>
      </c>
      <c r="BL210" s="13" t="n">
        <f aca="false">IF(ISBLANK(Actuals!BM28),0*Escalation!$B$61,Actuals!BM28)</f>
        <v>0</v>
      </c>
      <c r="BM210" s="13" t="n">
        <f aca="false">IF(ISBLANK(Actuals!BN28),0*Escalation!$B$62,Actuals!BN28)</f>
        <v>0</v>
      </c>
      <c r="BN210" s="13" t="n">
        <f aca="false">IF(ISBLANK(Actuals!BO28),0*Escalation!$B$63,Actuals!BO28)</f>
        <v>0</v>
      </c>
      <c r="BO210" s="13" t="n">
        <f aca="false">IF(ISBLANK(Actuals!BP28),0*Escalation!$B$64,Actuals!BP28)</f>
        <v>0</v>
      </c>
      <c r="BP210" s="13" t="n">
        <f aca="false">IF(ISBLANK(Actuals!BQ28),0*Escalation!$B$65,Actuals!BQ28)</f>
        <v>0</v>
      </c>
      <c r="BQ210" s="13" t="n">
        <f aca="false">IF(ISBLANK(Actuals!BR28),0*Escalation!$B$66,Actuals!BR28)</f>
        <v>0</v>
      </c>
      <c r="BR210" s="13" t="n">
        <f aca="false">IF(ISBLANK(Actuals!BS28),0*Escalation!$B$67,Actuals!BS28)</f>
        <v>0</v>
      </c>
      <c r="BS210" s="13" t="n">
        <f aca="false">IF(ISBLANK(Actuals!BT28),0*Escalation!$B$68,Actuals!BT28)</f>
        <v>0</v>
      </c>
      <c r="BT210" s="13" t="n">
        <f aca="false">IF(ISBLANK(Actuals!BU28),0*Escalation!$B$69,Actuals!BU28)</f>
        <v>0</v>
      </c>
      <c r="BU210" s="13" t="n">
        <f aca="false">IF(ISBLANK(Actuals!BV28),0*Escalation!$B$70,Actuals!BV28)</f>
        <v>0</v>
      </c>
      <c r="BV210" s="13" t="n">
        <f aca="false">IF(ISBLANK(Actuals!BW28),0*Escalation!$B$71,Actuals!BW28)</f>
        <v>0</v>
      </c>
      <c r="BW210" s="13" t="n">
        <f aca="false">IF(ISBLANK(Actuals!BX28),0*Escalation!$B$72,Actuals!BX28)</f>
        <v>0</v>
      </c>
      <c r="BX210" s="13" t="n">
        <f aca="false">IF(ISBLANK(Actuals!BY28),0*Escalation!$B$73,Actuals!BY28)</f>
        <v>0</v>
      </c>
      <c r="BY210" s="13" t="n">
        <f aca="false">IF(ISBLANK(Actuals!BZ28),0*Escalation!$B$74,Actuals!BZ28)</f>
        <v>0</v>
      </c>
      <c r="BZ210" s="13" t="n">
        <f aca="false">IF(ISBLANK(Actuals!CA28),0*Escalation!$B$75,Actuals!CA28)</f>
        <v>0</v>
      </c>
      <c r="CA210" s="13" t="n">
        <f aca="false">IF(ISBLANK(Actuals!CB28),0*Escalation!$B$76,Actuals!CB28)</f>
        <v>0</v>
      </c>
      <c r="CB210" s="13" t="n">
        <f aca="false">IF(ISBLANK(Actuals!CC28),0*Escalation!$B$77,Actuals!CC28)</f>
        <v>0</v>
      </c>
      <c r="CC210" s="13" t="n">
        <f aca="false">IF(ISBLANK(Actuals!CD28),0*Escalation!$B$78,Actuals!CD28)</f>
        <v>0</v>
      </c>
      <c r="CD210" s="13" t="n">
        <f aca="false">IF(ISBLANK(Actuals!CE28),0*Escalation!$B$79,Actuals!CE28)</f>
        <v>0</v>
      </c>
      <c r="CE210" s="13" t="n">
        <f aca="false">IF(ISBLANK(Actuals!CF28),0*Escalation!$B$80,Actuals!CF28)</f>
        <v>0</v>
      </c>
      <c r="CF210" s="13" t="n">
        <f aca="false">IF(ISBLANK(Actuals!CG28),0*Escalation!$B$81,Actuals!CG28)</f>
        <v>0</v>
      </c>
      <c r="CG210" s="13" t="n">
        <f aca="false">IF(ISBLANK(Actuals!CH28),0*Escalation!$B$82,Actuals!CH28)</f>
        <v>0</v>
      </c>
      <c r="CH210" s="13" t="n">
        <f aca="false">IF(ISBLANK(Actuals!CI28),0*Escalation!$B$83,Actuals!CI28)</f>
        <v>0</v>
      </c>
      <c r="CI210" s="13" t="n">
        <f aca="false">IF(ISBLANK(Actuals!CJ28),0*Escalation!$B$84,Actuals!CJ28)</f>
        <v>0</v>
      </c>
      <c r="CJ210" s="13" t="n">
        <f aca="false">IF(ISBLANK(Actuals!CK28),0*Escalation!$B$85,Actuals!CK28)</f>
        <v>0</v>
      </c>
      <c r="CK210" s="13" t="n">
        <f aca="false">IF(ISBLANK(Actuals!CL28),0*Escalation!$B$86,Actuals!CL28)</f>
        <v>0</v>
      </c>
      <c r="CL210" s="13" t="n">
        <f aca="false">IF(ISBLANK(Actuals!CM28),0*Escalation!$B$87,Actuals!CM28)</f>
        <v>0</v>
      </c>
      <c r="CM210" s="13" t="n">
        <f aca="false">IF(ISBLANK(Actuals!CN28),0*Escalation!$B$88,Actuals!CN28)</f>
        <v>0</v>
      </c>
      <c r="CN210" s="13" t="n">
        <f aca="false">IF(ISBLANK(Actuals!CO28),0*Escalation!$B$89,Actuals!CO28)</f>
        <v>0</v>
      </c>
      <c r="CO210" s="13" t="n">
        <f aca="false">IF(ISBLANK(Actuals!CP28),0*Escalation!$B$90,Actuals!CP28)</f>
        <v>0</v>
      </c>
      <c r="CP210" s="13" t="n">
        <f aca="false">IF(ISBLANK(Actuals!CQ28),0*Escalation!$B$91,Actuals!CQ28)</f>
        <v>0</v>
      </c>
      <c r="CQ210" s="13" t="n">
        <f aca="false">IF(ISBLANK(Actuals!CR28),0*Escalation!$B$92,Actuals!CR28)</f>
        <v>0</v>
      </c>
      <c r="CR210" s="13" t="n">
        <f aca="false">IF(ISBLANK(Actuals!CS28),0*Escalation!$B$93,Actuals!CS28)</f>
        <v>0</v>
      </c>
      <c r="CS210" s="13" t="n">
        <f aca="false">IF(ISBLANK(Actuals!CT28),0*Escalation!$B$94,Actuals!CT28)</f>
        <v>0</v>
      </c>
      <c r="CT210" s="13" t="n">
        <f aca="false">IF(ISBLANK(Actuals!CU28),0*Escalation!$B$95,Actuals!CU28)</f>
        <v>0</v>
      </c>
      <c r="CU210" s="13" t="n">
        <f aca="false">IF(ISBLANK(Actuals!CV28),0*Escalation!$B$96,Actuals!CV28)</f>
        <v>0</v>
      </c>
      <c r="CV210" s="13" t="n">
        <f aca="false">IF(ISBLANK(Actuals!CW28),0*Escalation!$B$97,Actuals!CW28)</f>
        <v>0</v>
      </c>
      <c r="CW210" s="13" t="n">
        <f aca="false">IF(ISBLANK(Actuals!CX28),0*Escalation!$B$98,Actuals!CX28)</f>
        <v>0</v>
      </c>
      <c r="CX210" s="13" t="n">
        <f aca="false">IF(ISBLANK(Actuals!CY28),0*Escalation!$B$99,Actuals!CY28)</f>
        <v>0</v>
      </c>
      <c r="CY210" s="13" t="n">
        <f aca="false">IF(ISBLANK(Actuals!CZ28),0*Escalation!$B$100,Actuals!CZ28)</f>
        <v>0</v>
      </c>
      <c r="CZ210" s="13" t="n">
        <f aca="false">IF(ISBLANK(Actuals!DA28),0*Escalation!$B$101,Actuals!DA28)</f>
        <v>0</v>
      </c>
      <c r="DA210" s="13" t="n">
        <f aca="false">IF(ISBLANK(Actuals!DB28),0*Escalation!$B$102,Actuals!DB28)</f>
        <v>0</v>
      </c>
      <c r="DB210" s="13" t="n">
        <f aca="false">IF(ISBLANK(Actuals!DC28),0*Escalation!$B$103,Actuals!DC28)</f>
        <v>0</v>
      </c>
      <c r="DC210" s="13" t="n">
        <f aca="false">IF(ISBLANK(Actuals!DD28),0*Escalation!$B$104,Actuals!DD28)</f>
        <v>0</v>
      </c>
      <c r="DD210" s="13" t="n">
        <f aca="false">IF(ISBLANK(Actuals!DE28),0*Escalation!$B$105,Actuals!DE28)</f>
        <v>0</v>
      </c>
      <c r="DE210" s="13" t="n">
        <f aca="false">IF(ISBLANK(Actuals!DF28),0*Escalation!$B$106,Actuals!DF28)</f>
        <v>0</v>
      </c>
    </row>
    <row r="211" customFormat="false" ht="15" hidden="false" customHeight="true" outlineLevel="0" collapsed="false">
      <c r="A211" s="22" t="s">
        <v>72</v>
      </c>
      <c r="B211" s="13" t="n">
        <f aca="false">IF(ISBLANK(Actuals!C29),0,Actuals!C29)</f>
        <v>-10400</v>
      </c>
      <c r="C211" s="13" t="n">
        <f aca="false">IF(ISBLANK(Actuals!D29),0,Actuals!D29)</f>
        <v>-10400</v>
      </c>
      <c r="D211" s="13" t="n">
        <f aca="false">IF(ISBLANK(Actuals!E29),0,Actuals!E29)</f>
        <v>-400</v>
      </c>
      <c r="E211" s="13" t="n">
        <f aca="false">IF(ISBLANK(Actuals!F29),-10400*Escalation!$B$2,Actuals!F29)</f>
        <v>-10400</v>
      </c>
      <c r="F211" s="13" t="n">
        <f aca="false">IF(ISBLANK(Actuals!G29),-10400*Escalation!$B$3,Actuals!G29)</f>
        <v>-20400</v>
      </c>
      <c r="G211" s="13" t="n">
        <f aca="false">IF(ISBLANK(Actuals!H29),-10400*Escalation!$B$4,Actuals!H29)</f>
        <v>-20405</v>
      </c>
      <c r="H211" s="13" t="n">
        <f aca="false">IF(ISBLANK(Actuals!I29),-10400*Escalation!$B$5,Actuals!I29)</f>
        <v>-20405</v>
      </c>
      <c r="I211" s="13" t="n">
        <f aca="false">IF(ISBLANK(Actuals!J29),-10400*Escalation!$B$6,Actuals!J29)</f>
        <v>-20405</v>
      </c>
      <c r="J211" s="13" t="n">
        <f aca="false">IF(ISBLANK(Actuals!K29),-10400*Escalation!$B$7,Actuals!K29)</f>
        <v>-10400</v>
      </c>
      <c r="K211" s="13" t="n">
        <f aca="false">IF(ISBLANK(Actuals!L29),-10400*Escalation!$B$8,Actuals!L29)</f>
        <v>-10400</v>
      </c>
      <c r="L211" s="13" t="n">
        <f aca="false">IF(ISBLANK(Actuals!M29),-10400*Escalation!$B$9,Actuals!M29)</f>
        <v>-10400</v>
      </c>
      <c r="M211" s="13" t="n">
        <f aca="false">IF(ISBLANK(Actuals!N29),-10400*Escalation!$B$10,Actuals!N29)</f>
        <v>-10400</v>
      </c>
      <c r="N211" s="13" t="n">
        <f aca="false">IF(ISBLANK(Actuals!O29),-10400*Escalation!$B$11,Actuals!O29)</f>
        <v>-10400</v>
      </c>
      <c r="O211" s="13" t="n">
        <f aca="false">IF(ISBLANK(Actuals!P29),-10400*Escalation!$B$12,Actuals!P29)</f>
        <v>-10400</v>
      </c>
      <c r="P211" s="13" t="n">
        <f aca="false">IF(ISBLANK(Actuals!Q29),-10400*Escalation!$B$13,Actuals!Q29)</f>
        <v>-10400</v>
      </c>
      <c r="Q211" s="13" t="n">
        <f aca="false">IF(ISBLANK(Actuals!R29),-10400*Escalation!$B$14,Actuals!R29)</f>
        <v>-10608</v>
      </c>
      <c r="R211" s="13" t="n">
        <f aca="false">IF(ISBLANK(Actuals!S29),-10400*Escalation!$B$15,Actuals!S29)</f>
        <v>-10608</v>
      </c>
      <c r="S211" s="13" t="n">
        <f aca="false">IF(ISBLANK(Actuals!T29),-10400*Escalation!$B$16,Actuals!T29)</f>
        <v>-10608</v>
      </c>
      <c r="T211" s="13" t="n">
        <f aca="false">IF(ISBLANK(Actuals!U29),-10400*Escalation!$B$17,Actuals!U29)</f>
        <v>-10608</v>
      </c>
      <c r="U211" s="13" t="n">
        <f aca="false">IF(ISBLANK(Actuals!V29),-10400*Escalation!$B$18,Actuals!V29)</f>
        <v>-10608</v>
      </c>
      <c r="V211" s="13" t="n">
        <f aca="false">IF(ISBLANK(Actuals!W29),-10400*Escalation!$B$19,Actuals!W29)</f>
        <v>-10608</v>
      </c>
      <c r="W211" s="13" t="n">
        <f aca="false">IF(ISBLANK(Actuals!X29),-10400*Escalation!$B$20,Actuals!X29)</f>
        <v>-10608</v>
      </c>
      <c r="X211" s="13" t="n">
        <f aca="false">IF(ISBLANK(Actuals!Y29),-10400*Escalation!$B$21,Actuals!Y29)</f>
        <v>-10608</v>
      </c>
      <c r="Y211" s="13" t="n">
        <f aca="false">IF(ISBLANK(Actuals!Z29),-10400*Escalation!$B$22,Actuals!Z29)</f>
        <v>-10608</v>
      </c>
      <c r="Z211" s="13" t="n">
        <f aca="false">IF(ISBLANK(Actuals!AA29),-10400*Escalation!$B$23,Actuals!AA29)</f>
        <v>-10608</v>
      </c>
      <c r="AA211" s="13" t="n">
        <f aca="false">IF(ISBLANK(Actuals!AB29),-10400*Escalation!$B$24,Actuals!AB29)</f>
        <v>-10608</v>
      </c>
      <c r="AB211" s="13" t="n">
        <f aca="false">IF(ISBLANK(Actuals!AC29),-10400*Escalation!$B$25,Actuals!AC29)</f>
        <v>-10608</v>
      </c>
      <c r="AC211" s="13" t="n">
        <f aca="false">IF(ISBLANK(Actuals!AD29),-10400*Escalation!$B$26,Actuals!AD29)</f>
        <v>-10820.16</v>
      </c>
      <c r="AD211" s="13" t="n">
        <f aca="false">IF(ISBLANK(Actuals!AE29),-10400*Escalation!$B$27,Actuals!AE29)</f>
        <v>-10820.16</v>
      </c>
      <c r="AE211" s="13" t="n">
        <f aca="false">IF(ISBLANK(Actuals!AF29),-10400*Escalation!$B$28,Actuals!AF29)</f>
        <v>-10820.16</v>
      </c>
      <c r="AF211" s="13" t="n">
        <f aca="false">IF(ISBLANK(Actuals!AG29),-10400*Escalation!$B$29,Actuals!AG29)</f>
        <v>-10820.16</v>
      </c>
      <c r="AG211" s="13" t="n">
        <f aca="false">IF(ISBLANK(Actuals!AH29),-10400*Escalation!$B$30,Actuals!AH29)</f>
        <v>-10820.16</v>
      </c>
      <c r="AH211" s="13" t="n">
        <f aca="false">IF(ISBLANK(Actuals!AI29),-10400*Escalation!$B$31,Actuals!AI29)</f>
        <v>-10820.16</v>
      </c>
      <c r="AI211" s="13" t="n">
        <f aca="false">IF(ISBLANK(Actuals!AJ29),-10400*Escalation!$B$32,Actuals!AJ29)</f>
        <v>-10820.16</v>
      </c>
      <c r="AJ211" s="13" t="n">
        <f aca="false">IF(ISBLANK(Actuals!AK29),-10400*Escalation!$B$33,Actuals!AK29)</f>
        <v>-10820.16</v>
      </c>
      <c r="AK211" s="13" t="n">
        <f aca="false">IF(ISBLANK(Actuals!AL29),-10400*Escalation!$B$34,Actuals!AL29)</f>
        <v>-10820.16</v>
      </c>
      <c r="AL211" s="13" t="n">
        <f aca="false">IF(ISBLANK(Actuals!AM29),-10400*Escalation!$B$35,Actuals!AM29)</f>
        <v>-10820.16</v>
      </c>
      <c r="AM211" s="13" t="n">
        <f aca="false">IF(ISBLANK(Actuals!AN29),-10400*Escalation!$B$36,Actuals!AN29)</f>
        <v>-10820.16</v>
      </c>
      <c r="AN211" s="13" t="n">
        <f aca="false">IF(ISBLANK(Actuals!AO29),-10400*Escalation!$B$37,Actuals!AO29)</f>
        <v>-10820.16</v>
      </c>
      <c r="AO211" s="13" t="n">
        <f aca="false">IF(ISBLANK(Actuals!AP29),-10400*Escalation!$B$38,Actuals!AP29)</f>
        <v>-11036.5632</v>
      </c>
      <c r="AP211" s="13" t="n">
        <f aca="false">IF(ISBLANK(Actuals!AQ29),-10400*Escalation!$B$39,Actuals!AQ29)</f>
        <v>-11036.5632</v>
      </c>
      <c r="AQ211" s="13" t="n">
        <f aca="false">IF(ISBLANK(Actuals!AR29),-10400*Escalation!$B$40,Actuals!AR29)</f>
        <v>-11036.5632</v>
      </c>
      <c r="AR211" s="13" t="n">
        <f aca="false">IF(ISBLANK(Actuals!AS29),-10400*Escalation!$B$41,Actuals!AS29)</f>
        <v>-11036.5632</v>
      </c>
      <c r="AS211" s="13" t="n">
        <f aca="false">IF(ISBLANK(Actuals!AT29),-10400*Escalation!$B$42,Actuals!AT29)</f>
        <v>-11036.5632</v>
      </c>
      <c r="AT211" s="13" t="n">
        <f aca="false">IF(ISBLANK(Actuals!AU29),-10400*Escalation!$B$43,Actuals!AU29)</f>
        <v>-11036.5632</v>
      </c>
      <c r="AU211" s="13" t="n">
        <f aca="false">IF(ISBLANK(Actuals!AV29),-10400*Escalation!$B$44,Actuals!AV29)</f>
        <v>-11036.5632</v>
      </c>
      <c r="AV211" s="13" t="n">
        <f aca="false">IF(ISBLANK(Actuals!AW29),-10400*Escalation!$B$45,Actuals!AW29)</f>
        <v>-11036.5632</v>
      </c>
      <c r="AW211" s="13" t="n">
        <f aca="false">IF(ISBLANK(Actuals!AX29),-10400*Escalation!$B$46,Actuals!AX29)</f>
        <v>-11036.5632</v>
      </c>
      <c r="AX211" s="13" t="n">
        <f aca="false">IF(ISBLANK(Actuals!AY29),-10400*Escalation!$B$47,Actuals!AY29)</f>
        <v>-11036.5632</v>
      </c>
      <c r="AY211" s="13" t="n">
        <f aca="false">IF(ISBLANK(Actuals!AZ29),-10400*Escalation!$B$48,Actuals!AZ29)</f>
        <v>-11036.5632</v>
      </c>
      <c r="AZ211" s="13" t="n">
        <f aca="false">IF(ISBLANK(Actuals!BA29),-10400*Escalation!$B$49,Actuals!BA29)</f>
        <v>-11036.5632</v>
      </c>
      <c r="BA211" s="13" t="n">
        <f aca="false">IF(ISBLANK(Actuals!BB29),-10400*Escalation!$B$50,Actuals!BB29)</f>
        <v>-11257.294464</v>
      </c>
      <c r="BB211" s="13" t="n">
        <f aca="false">IF(ISBLANK(Actuals!BC29),-10400*Escalation!$B$51,Actuals!BC29)</f>
        <v>-11257.294464</v>
      </c>
      <c r="BC211" s="13" t="n">
        <f aca="false">IF(ISBLANK(Actuals!BD29),-10400*Escalation!$B$52,Actuals!BD29)</f>
        <v>-11257.294464</v>
      </c>
      <c r="BD211" s="13" t="n">
        <f aca="false">IF(ISBLANK(Actuals!BE29),-10400*Escalation!$B$53,Actuals!BE29)</f>
        <v>-11257.294464</v>
      </c>
      <c r="BE211" s="13" t="n">
        <f aca="false">IF(ISBLANK(Actuals!BF29),-10400*Escalation!$B$54,Actuals!BF29)</f>
        <v>-11257.294464</v>
      </c>
      <c r="BF211" s="13" t="n">
        <f aca="false">IF(ISBLANK(Actuals!BG29),-10400*Escalation!$B$55,Actuals!BG29)</f>
        <v>-11257.294464</v>
      </c>
      <c r="BG211" s="13" t="n">
        <f aca="false">IF(ISBLANK(Actuals!BH29),-10400*Escalation!$B$56,Actuals!BH29)</f>
        <v>-11257.294464</v>
      </c>
      <c r="BH211" s="13" t="n">
        <f aca="false">IF(ISBLANK(Actuals!BI29),-10400*Escalation!$B$57,Actuals!BI29)</f>
        <v>-11257.294464</v>
      </c>
      <c r="BI211" s="13" t="n">
        <f aca="false">IF(ISBLANK(Actuals!BJ29),-10400*Escalation!$B$58,Actuals!BJ29)</f>
        <v>-11257.294464</v>
      </c>
      <c r="BJ211" s="13" t="n">
        <f aca="false">IF(ISBLANK(Actuals!BK29),-10400*Escalation!$B$59,Actuals!BK29)</f>
        <v>-11257.294464</v>
      </c>
      <c r="BK211" s="13" t="n">
        <f aca="false">IF(ISBLANK(Actuals!BL29),-10400*Escalation!$B$60,Actuals!BL29)</f>
        <v>-11257.294464</v>
      </c>
      <c r="BL211" s="13" t="n">
        <f aca="false">IF(ISBLANK(Actuals!BM29),-10400*Escalation!$B$61,Actuals!BM29)</f>
        <v>-11257.294464</v>
      </c>
      <c r="BM211" s="13" t="n">
        <f aca="false">IF(ISBLANK(Actuals!BN29),-10400*Escalation!$B$62,Actuals!BN29)</f>
        <v>-11482.44035328</v>
      </c>
      <c r="BN211" s="13" t="n">
        <f aca="false">IF(ISBLANK(Actuals!BO29),-10400*Escalation!$B$63,Actuals!BO29)</f>
        <v>-11482.44035328</v>
      </c>
      <c r="BO211" s="13" t="n">
        <f aca="false">IF(ISBLANK(Actuals!BP29),-10400*Escalation!$B$64,Actuals!BP29)</f>
        <v>-11482.44035328</v>
      </c>
      <c r="BP211" s="13" t="n">
        <f aca="false">IF(ISBLANK(Actuals!BQ29),-10400*Escalation!$B$65,Actuals!BQ29)</f>
        <v>-11482.44035328</v>
      </c>
      <c r="BQ211" s="13" t="n">
        <f aca="false">IF(ISBLANK(Actuals!BR29),-10400*Escalation!$B$66,Actuals!BR29)</f>
        <v>-11482.44035328</v>
      </c>
      <c r="BR211" s="13" t="n">
        <f aca="false">IF(ISBLANK(Actuals!BS29),-10400*Escalation!$B$67,Actuals!BS29)</f>
        <v>-11482.44035328</v>
      </c>
      <c r="BS211" s="13" t="n">
        <f aca="false">IF(ISBLANK(Actuals!BT29),-10400*Escalation!$B$68,Actuals!BT29)</f>
        <v>-11482.44035328</v>
      </c>
      <c r="BT211" s="13" t="n">
        <f aca="false">IF(ISBLANK(Actuals!BU29),-10400*Escalation!$B$69,Actuals!BU29)</f>
        <v>-11482.44035328</v>
      </c>
      <c r="BU211" s="13" t="n">
        <f aca="false">IF(ISBLANK(Actuals!BV29),-10400*Escalation!$B$70,Actuals!BV29)</f>
        <v>-11482.44035328</v>
      </c>
      <c r="BV211" s="13" t="n">
        <f aca="false">IF(ISBLANK(Actuals!BW29),-10400*Escalation!$B$71,Actuals!BW29)</f>
        <v>-11482.44035328</v>
      </c>
      <c r="BW211" s="13" t="n">
        <f aca="false">IF(ISBLANK(Actuals!BX29),-10400*Escalation!$B$72,Actuals!BX29)</f>
        <v>-11482.44035328</v>
      </c>
      <c r="BX211" s="13" t="n">
        <f aca="false">IF(ISBLANK(Actuals!BY29),-10400*Escalation!$B$73,Actuals!BY29)</f>
        <v>-11482.44035328</v>
      </c>
      <c r="BY211" s="13" t="n">
        <f aca="false">IF(ISBLANK(Actuals!BZ29),-10400*Escalation!$B$74,Actuals!BZ29)</f>
        <v>-11712.0891603456</v>
      </c>
      <c r="BZ211" s="13" t="n">
        <f aca="false">IF(ISBLANK(Actuals!CA29),-10400*Escalation!$B$75,Actuals!CA29)</f>
        <v>-11712.0891603456</v>
      </c>
      <c r="CA211" s="13" t="n">
        <f aca="false">IF(ISBLANK(Actuals!CB29),-10400*Escalation!$B$76,Actuals!CB29)</f>
        <v>-11712.0891603456</v>
      </c>
      <c r="CB211" s="13" t="n">
        <f aca="false">IF(ISBLANK(Actuals!CC29),-10400*Escalation!$B$77,Actuals!CC29)</f>
        <v>-11712.0891603456</v>
      </c>
      <c r="CC211" s="13" t="n">
        <f aca="false">IF(ISBLANK(Actuals!CD29),-10400*Escalation!$B$78,Actuals!CD29)</f>
        <v>-11712.0891603456</v>
      </c>
      <c r="CD211" s="13" t="n">
        <f aca="false">IF(ISBLANK(Actuals!CE29),-10400*Escalation!$B$79,Actuals!CE29)</f>
        <v>-11712.0891603456</v>
      </c>
      <c r="CE211" s="13" t="n">
        <f aca="false">IF(ISBLANK(Actuals!CF29),-10400*Escalation!$B$80,Actuals!CF29)</f>
        <v>-11712.0891603456</v>
      </c>
      <c r="CF211" s="13" t="n">
        <f aca="false">IF(ISBLANK(Actuals!CG29),-10400*Escalation!$B$81,Actuals!CG29)</f>
        <v>-11712.0891603456</v>
      </c>
      <c r="CG211" s="13" t="n">
        <f aca="false">IF(ISBLANK(Actuals!CH29),-10400*Escalation!$B$82,Actuals!CH29)</f>
        <v>-11712.0891603456</v>
      </c>
      <c r="CH211" s="13" t="n">
        <f aca="false">IF(ISBLANK(Actuals!CI29),-10400*Escalation!$B$83,Actuals!CI29)</f>
        <v>-11712.0891603456</v>
      </c>
      <c r="CI211" s="13" t="n">
        <f aca="false">IF(ISBLANK(Actuals!CJ29),-10400*Escalation!$B$84,Actuals!CJ29)</f>
        <v>-11712.0891603456</v>
      </c>
      <c r="CJ211" s="13" t="n">
        <f aca="false">IF(ISBLANK(Actuals!CK29),-10400*Escalation!$B$85,Actuals!CK29)</f>
        <v>-11712.0891603456</v>
      </c>
      <c r="CK211" s="13" t="n">
        <f aca="false">IF(ISBLANK(Actuals!CL29),-10400*Escalation!$B$86,Actuals!CL29)</f>
        <v>-11946.3309435525</v>
      </c>
      <c r="CL211" s="13" t="n">
        <f aca="false">IF(ISBLANK(Actuals!CM29),-10400*Escalation!$B$87,Actuals!CM29)</f>
        <v>-11946.3309435525</v>
      </c>
      <c r="CM211" s="13" t="n">
        <f aca="false">IF(ISBLANK(Actuals!CN29),-10400*Escalation!$B$88,Actuals!CN29)</f>
        <v>-11946.3309435525</v>
      </c>
      <c r="CN211" s="13" t="n">
        <f aca="false">IF(ISBLANK(Actuals!CO29),-10400*Escalation!$B$89,Actuals!CO29)</f>
        <v>-11946.3309435525</v>
      </c>
      <c r="CO211" s="13" t="n">
        <f aca="false">IF(ISBLANK(Actuals!CP29),-10400*Escalation!$B$90,Actuals!CP29)</f>
        <v>-11946.3309435525</v>
      </c>
      <c r="CP211" s="13" t="n">
        <f aca="false">IF(ISBLANK(Actuals!CQ29),-10400*Escalation!$B$91,Actuals!CQ29)</f>
        <v>-11946.3309435525</v>
      </c>
      <c r="CQ211" s="13" t="n">
        <f aca="false">IF(ISBLANK(Actuals!CR29),-10400*Escalation!$B$92,Actuals!CR29)</f>
        <v>-11946.3309435525</v>
      </c>
      <c r="CR211" s="13" t="n">
        <f aca="false">IF(ISBLANK(Actuals!CS29),-10400*Escalation!$B$93,Actuals!CS29)</f>
        <v>-11946.3309435525</v>
      </c>
      <c r="CS211" s="13" t="n">
        <f aca="false">IF(ISBLANK(Actuals!CT29),-10400*Escalation!$B$94,Actuals!CT29)</f>
        <v>-11946.3309435525</v>
      </c>
      <c r="CT211" s="13" t="n">
        <f aca="false">IF(ISBLANK(Actuals!CU29),-10400*Escalation!$B$95,Actuals!CU29)</f>
        <v>-11946.3309435525</v>
      </c>
      <c r="CU211" s="13" t="n">
        <f aca="false">IF(ISBLANK(Actuals!CV29),-10400*Escalation!$B$96,Actuals!CV29)</f>
        <v>-11946.3309435525</v>
      </c>
      <c r="CV211" s="13" t="n">
        <f aca="false">IF(ISBLANK(Actuals!CW29),-10400*Escalation!$B$97,Actuals!CW29)</f>
        <v>-11946.3309435525</v>
      </c>
      <c r="CW211" s="13" t="n">
        <f aca="false">IF(ISBLANK(Actuals!CX29),-10400*Escalation!$B$98,Actuals!CX29)</f>
        <v>-12185.2575624236</v>
      </c>
      <c r="CX211" s="13" t="n">
        <f aca="false">IF(ISBLANK(Actuals!CY29),-10400*Escalation!$B$99,Actuals!CY29)</f>
        <v>-12185.2575624236</v>
      </c>
      <c r="CY211" s="13" t="n">
        <f aca="false">IF(ISBLANK(Actuals!CZ29),-10400*Escalation!$B$100,Actuals!CZ29)</f>
        <v>-12185.2575624236</v>
      </c>
      <c r="CZ211" s="13" t="n">
        <f aca="false">IF(ISBLANK(Actuals!DA29),-10400*Escalation!$B$101,Actuals!DA29)</f>
        <v>-12185.2575624236</v>
      </c>
      <c r="DA211" s="13" t="n">
        <f aca="false">IF(ISBLANK(Actuals!DB29),-10400*Escalation!$B$102,Actuals!DB29)</f>
        <v>-12185.2575624236</v>
      </c>
      <c r="DB211" s="13" t="n">
        <f aca="false">IF(ISBLANK(Actuals!DC29),-10400*Escalation!$B$103,Actuals!DC29)</f>
        <v>-12185.2575624236</v>
      </c>
      <c r="DC211" s="13" t="n">
        <f aca="false">IF(ISBLANK(Actuals!DD29),-10400*Escalation!$B$104,Actuals!DD29)</f>
        <v>-12185.2575624236</v>
      </c>
      <c r="DD211" s="13" t="n">
        <f aca="false">IF(ISBLANK(Actuals!DE29),-10400*Escalation!$B$105,Actuals!DE29)</f>
        <v>-12185.2575624236</v>
      </c>
      <c r="DE211" s="13" t="n">
        <f aca="false">IF(ISBLANK(Actuals!DF29),-10400*Escalation!$B$106,Actuals!DF29)</f>
        <v>-12185.2575624236</v>
      </c>
    </row>
    <row r="212" customFormat="false" ht="15" hidden="false" customHeight="true" outlineLevel="0" collapsed="false">
      <c r="A212" s="22" t="s">
        <v>73</v>
      </c>
      <c r="B212" s="13" t="n">
        <f aca="false">IF(ISBLANK(Actuals!C30),0,Actuals!C30)</f>
        <v>-1988</v>
      </c>
      <c r="C212" s="13" t="n">
        <f aca="false">IF(ISBLANK(Actuals!D30),0,Actuals!D30)</f>
        <v>-955.32</v>
      </c>
      <c r="D212" s="13" t="n">
        <f aca="false">IF(ISBLANK(Actuals!E30),0,Actuals!E30)</f>
        <v>-9130.61</v>
      </c>
      <c r="E212" s="13" t="n">
        <f aca="false">IF(ISBLANK(Actuals!F30),-4024.64*Escalation!$B$2,Actuals!F30)</f>
        <v>-1028.89</v>
      </c>
      <c r="F212" s="13" t="n">
        <f aca="false">IF(ISBLANK(Actuals!G30),-4024.64*Escalation!$B$3,Actuals!G30)</f>
        <v>-7005.14</v>
      </c>
      <c r="G212" s="13" t="n">
        <f aca="false">IF(ISBLANK(Actuals!H30),-4024.64*Escalation!$B$4,Actuals!H30)</f>
        <v>-4121.06</v>
      </c>
      <c r="H212" s="13" t="n">
        <f aca="false">IF(ISBLANK(Actuals!I30),-4024.64*Escalation!$B$5,Actuals!I30)</f>
        <v>-2683.91</v>
      </c>
      <c r="I212" s="13" t="n">
        <f aca="false">IF(ISBLANK(Actuals!J30),-4024.64*Escalation!$B$6,Actuals!J30)</f>
        <v>-17047.56</v>
      </c>
      <c r="J212" s="13" t="n">
        <f aca="false">IF(ISBLANK(Actuals!K30),-4024.64*Escalation!$B$7,Actuals!K30)</f>
        <v>-4024.64</v>
      </c>
      <c r="K212" s="13" t="n">
        <f aca="false">IF(ISBLANK(Actuals!L30),-4024.64*Escalation!$B$8,Actuals!L30)</f>
        <v>-4024.64</v>
      </c>
      <c r="L212" s="13" t="n">
        <f aca="false">IF(ISBLANK(Actuals!M30),-4024.64*Escalation!$B$9,Actuals!M30)</f>
        <v>-4024.64</v>
      </c>
      <c r="M212" s="13" t="n">
        <f aca="false">IF(ISBLANK(Actuals!N30),-4024.64*Escalation!$B$10,Actuals!N30)</f>
        <v>-4024.64</v>
      </c>
      <c r="N212" s="13" t="n">
        <f aca="false">IF(ISBLANK(Actuals!O30),-4024.64*Escalation!$B$11,Actuals!O30)</f>
        <v>-4024.64</v>
      </c>
      <c r="O212" s="13" t="n">
        <f aca="false">IF(ISBLANK(Actuals!P30),-4024.64*Escalation!$B$12,Actuals!P30)</f>
        <v>-4024.64</v>
      </c>
      <c r="P212" s="13" t="n">
        <f aca="false">IF(ISBLANK(Actuals!Q30),-4024.64*Escalation!$B$13,Actuals!Q30)</f>
        <v>-4024.64</v>
      </c>
      <c r="Q212" s="13" t="n">
        <f aca="false">IF(ISBLANK(Actuals!R30),-4024.64*Escalation!$B$14,Actuals!R30)</f>
        <v>-4105.1328</v>
      </c>
      <c r="R212" s="13" t="n">
        <f aca="false">IF(ISBLANK(Actuals!S30),-4024.64*Escalation!$B$15,Actuals!S30)</f>
        <v>-4105.1328</v>
      </c>
      <c r="S212" s="13" t="n">
        <f aca="false">IF(ISBLANK(Actuals!T30),-4024.64*Escalation!$B$16,Actuals!T30)</f>
        <v>-4105.1328</v>
      </c>
      <c r="T212" s="13" t="n">
        <f aca="false">IF(ISBLANK(Actuals!U30),-4024.64*Escalation!$B$17,Actuals!U30)</f>
        <v>-4105.1328</v>
      </c>
      <c r="U212" s="13" t="n">
        <f aca="false">IF(ISBLANK(Actuals!V30),-4024.64*Escalation!$B$18,Actuals!V30)</f>
        <v>-4105.1328</v>
      </c>
      <c r="V212" s="13" t="n">
        <f aca="false">IF(ISBLANK(Actuals!W30),-4024.64*Escalation!$B$19,Actuals!W30)</f>
        <v>-4105.1328</v>
      </c>
      <c r="W212" s="13" t="n">
        <f aca="false">IF(ISBLANK(Actuals!X30),-4024.64*Escalation!$B$20,Actuals!X30)</f>
        <v>-4105.1328</v>
      </c>
      <c r="X212" s="13" t="n">
        <f aca="false">IF(ISBLANK(Actuals!Y30),-4024.64*Escalation!$B$21,Actuals!Y30)</f>
        <v>-4105.1328</v>
      </c>
      <c r="Y212" s="13" t="n">
        <f aca="false">IF(ISBLANK(Actuals!Z30),-4024.64*Escalation!$B$22,Actuals!Z30)</f>
        <v>-4105.1328</v>
      </c>
      <c r="Z212" s="13" t="n">
        <f aca="false">IF(ISBLANK(Actuals!AA30),-4024.64*Escalation!$B$23,Actuals!AA30)</f>
        <v>-4105.1328</v>
      </c>
      <c r="AA212" s="13" t="n">
        <f aca="false">IF(ISBLANK(Actuals!AB30),-4024.64*Escalation!$B$24,Actuals!AB30)</f>
        <v>-4105.1328</v>
      </c>
      <c r="AB212" s="13" t="n">
        <f aca="false">IF(ISBLANK(Actuals!AC30),-4024.64*Escalation!$B$25,Actuals!AC30)</f>
        <v>-4105.1328</v>
      </c>
      <c r="AC212" s="13" t="n">
        <f aca="false">IF(ISBLANK(Actuals!AD30),-4024.64*Escalation!$B$26,Actuals!AD30)</f>
        <v>-4187.235456</v>
      </c>
      <c r="AD212" s="13" t="n">
        <f aca="false">IF(ISBLANK(Actuals!AE30),-4024.64*Escalation!$B$27,Actuals!AE30)</f>
        <v>-4187.235456</v>
      </c>
      <c r="AE212" s="13" t="n">
        <f aca="false">IF(ISBLANK(Actuals!AF30),-4024.64*Escalation!$B$28,Actuals!AF30)</f>
        <v>-4187.235456</v>
      </c>
      <c r="AF212" s="13" t="n">
        <f aca="false">IF(ISBLANK(Actuals!AG30),-4024.64*Escalation!$B$29,Actuals!AG30)</f>
        <v>-4187.235456</v>
      </c>
      <c r="AG212" s="13" t="n">
        <f aca="false">IF(ISBLANK(Actuals!AH30),-4024.64*Escalation!$B$30,Actuals!AH30)</f>
        <v>-4187.235456</v>
      </c>
      <c r="AH212" s="13" t="n">
        <f aca="false">IF(ISBLANK(Actuals!AI30),-4024.64*Escalation!$B$31,Actuals!AI30)</f>
        <v>-4187.235456</v>
      </c>
      <c r="AI212" s="13" t="n">
        <f aca="false">IF(ISBLANK(Actuals!AJ30),-4024.64*Escalation!$B$32,Actuals!AJ30)</f>
        <v>-4187.235456</v>
      </c>
      <c r="AJ212" s="13" t="n">
        <f aca="false">IF(ISBLANK(Actuals!AK30),-4024.64*Escalation!$B$33,Actuals!AK30)</f>
        <v>-4187.235456</v>
      </c>
      <c r="AK212" s="13" t="n">
        <f aca="false">IF(ISBLANK(Actuals!AL30),-4024.64*Escalation!$B$34,Actuals!AL30)</f>
        <v>-4187.235456</v>
      </c>
      <c r="AL212" s="13" t="n">
        <f aca="false">IF(ISBLANK(Actuals!AM30),-4024.64*Escalation!$B$35,Actuals!AM30)</f>
        <v>-4187.235456</v>
      </c>
      <c r="AM212" s="13" t="n">
        <f aca="false">IF(ISBLANK(Actuals!AN30),-4024.64*Escalation!$B$36,Actuals!AN30)</f>
        <v>-4187.235456</v>
      </c>
      <c r="AN212" s="13" t="n">
        <f aca="false">IF(ISBLANK(Actuals!AO30),-4024.64*Escalation!$B$37,Actuals!AO30)</f>
        <v>-4187.235456</v>
      </c>
      <c r="AO212" s="13" t="n">
        <f aca="false">IF(ISBLANK(Actuals!AP30),-4024.64*Escalation!$B$38,Actuals!AP30)</f>
        <v>-4270.98016512</v>
      </c>
      <c r="AP212" s="13" t="n">
        <f aca="false">IF(ISBLANK(Actuals!AQ30),-4024.64*Escalation!$B$39,Actuals!AQ30)</f>
        <v>-4270.98016512</v>
      </c>
      <c r="AQ212" s="13" t="n">
        <f aca="false">IF(ISBLANK(Actuals!AR30),-4024.64*Escalation!$B$40,Actuals!AR30)</f>
        <v>-4270.98016512</v>
      </c>
      <c r="AR212" s="13" t="n">
        <f aca="false">IF(ISBLANK(Actuals!AS30),-4024.64*Escalation!$B$41,Actuals!AS30)</f>
        <v>-4270.98016512</v>
      </c>
      <c r="AS212" s="13" t="n">
        <f aca="false">IF(ISBLANK(Actuals!AT30),-4024.64*Escalation!$B$42,Actuals!AT30)</f>
        <v>-4270.98016512</v>
      </c>
      <c r="AT212" s="13" t="n">
        <f aca="false">IF(ISBLANK(Actuals!AU30),-4024.64*Escalation!$B$43,Actuals!AU30)</f>
        <v>-4270.98016512</v>
      </c>
      <c r="AU212" s="13" t="n">
        <f aca="false">IF(ISBLANK(Actuals!AV30),-4024.64*Escalation!$B$44,Actuals!AV30)</f>
        <v>-4270.98016512</v>
      </c>
      <c r="AV212" s="13" t="n">
        <f aca="false">IF(ISBLANK(Actuals!AW30),-4024.64*Escalation!$B$45,Actuals!AW30)</f>
        <v>-4270.98016512</v>
      </c>
      <c r="AW212" s="13" t="n">
        <f aca="false">IF(ISBLANK(Actuals!AX30),-4024.64*Escalation!$B$46,Actuals!AX30)</f>
        <v>-4270.98016512</v>
      </c>
      <c r="AX212" s="13" t="n">
        <f aca="false">IF(ISBLANK(Actuals!AY30),-4024.64*Escalation!$B$47,Actuals!AY30)</f>
        <v>-4270.98016512</v>
      </c>
      <c r="AY212" s="13" t="n">
        <f aca="false">IF(ISBLANK(Actuals!AZ30),-4024.64*Escalation!$B$48,Actuals!AZ30)</f>
        <v>-4270.98016512</v>
      </c>
      <c r="AZ212" s="13" t="n">
        <f aca="false">IF(ISBLANK(Actuals!BA30),-4024.64*Escalation!$B$49,Actuals!BA30)</f>
        <v>-4270.98016512</v>
      </c>
      <c r="BA212" s="13" t="n">
        <f aca="false">IF(ISBLANK(Actuals!BB30),-4024.64*Escalation!$B$50,Actuals!BB30)</f>
        <v>-4356.3997684224</v>
      </c>
      <c r="BB212" s="13" t="n">
        <f aca="false">IF(ISBLANK(Actuals!BC30),-4024.64*Escalation!$B$51,Actuals!BC30)</f>
        <v>-4356.3997684224</v>
      </c>
      <c r="BC212" s="13" t="n">
        <f aca="false">IF(ISBLANK(Actuals!BD30),-4024.64*Escalation!$B$52,Actuals!BD30)</f>
        <v>-4356.3997684224</v>
      </c>
      <c r="BD212" s="13" t="n">
        <f aca="false">IF(ISBLANK(Actuals!BE30),-4024.64*Escalation!$B$53,Actuals!BE30)</f>
        <v>-4356.3997684224</v>
      </c>
      <c r="BE212" s="13" t="n">
        <f aca="false">IF(ISBLANK(Actuals!BF30),-4024.64*Escalation!$B$54,Actuals!BF30)</f>
        <v>-4356.3997684224</v>
      </c>
      <c r="BF212" s="13" t="n">
        <f aca="false">IF(ISBLANK(Actuals!BG30),-4024.64*Escalation!$B$55,Actuals!BG30)</f>
        <v>-4356.3997684224</v>
      </c>
      <c r="BG212" s="13" t="n">
        <f aca="false">IF(ISBLANK(Actuals!BH30),-4024.64*Escalation!$B$56,Actuals!BH30)</f>
        <v>-4356.3997684224</v>
      </c>
      <c r="BH212" s="13" t="n">
        <f aca="false">IF(ISBLANK(Actuals!BI30),-4024.64*Escalation!$B$57,Actuals!BI30)</f>
        <v>-4356.3997684224</v>
      </c>
      <c r="BI212" s="13" t="n">
        <f aca="false">IF(ISBLANK(Actuals!BJ30),-4024.64*Escalation!$B$58,Actuals!BJ30)</f>
        <v>-4356.3997684224</v>
      </c>
      <c r="BJ212" s="13" t="n">
        <f aca="false">IF(ISBLANK(Actuals!BK30),-4024.64*Escalation!$B$59,Actuals!BK30)</f>
        <v>-4356.3997684224</v>
      </c>
      <c r="BK212" s="13" t="n">
        <f aca="false">IF(ISBLANK(Actuals!BL30),-4024.64*Escalation!$B$60,Actuals!BL30)</f>
        <v>-4356.3997684224</v>
      </c>
      <c r="BL212" s="13" t="n">
        <f aca="false">IF(ISBLANK(Actuals!BM30),-4024.64*Escalation!$B$61,Actuals!BM30)</f>
        <v>-4356.3997684224</v>
      </c>
      <c r="BM212" s="13" t="n">
        <f aca="false">IF(ISBLANK(Actuals!BN30),-4024.64*Escalation!$B$62,Actuals!BN30)</f>
        <v>-4443.52776379085</v>
      </c>
      <c r="BN212" s="13" t="n">
        <f aca="false">IF(ISBLANK(Actuals!BO30),-4024.64*Escalation!$B$63,Actuals!BO30)</f>
        <v>-4443.52776379085</v>
      </c>
      <c r="BO212" s="13" t="n">
        <f aca="false">IF(ISBLANK(Actuals!BP30),-4024.64*Escalation!$B$64,Actuals!BP30)</f>
        <v>-4443.52776379085</v>
      </c>
      <c r="BP212" s="13" t="n">
        <f aca="false">IF(ISBLANK(Actuals!BQ30),-4024.64*Escalation!$B$65,Actuals!BQ30)</f>
        <v>-4443.52776379085</v>
      </c>
      <c r="BQ212" s="13" t="n">
        <f aca="false">IF(ISBLANK(Actuals!BR30),-4024.64*Escalation!$B$66,Actuals!BR30)</f>
        <v>-4443.52776379085</v>
      </c>
      <c r="BR212" s="13" t="n">
        <f aca="false">IF(ISBLANK(Actuals!BS30),-4024.64*Escalation!$B$67,Actuals!BS30)</f>
        <v>-4443.52776379085</v>
      </c>
      <c r="BS212" s="13" t="n">
        <f aca="false">IF(ISBLANK(Actuals!BT30),-4024.64*Escalation!$B$68,Actuals!BT30)</f>
        <v>-4443.52776379085</v>
      </c>
      <c r="BT212" s="13" t="n">
        <f aca="false">IF(ISBLANK(Actuals!BU30),-4024.64*Escalation!$B$69,Actuals!BU30)</f>
        <v>-4443.52776379085</v>
      </c>
      <c r="BU212" s="13" t="n">
        <f aca="false">IF(ISBLANK(Actuals!BV30),-4024.64*Escalation!$B$70,Actuals!BV30)</f>
        <v>-4443.52776379085</v>
      </c>
      <c r="BV212" s="13" t="n">
        <f aca="false">IF(ISBLANK(Actuals!BW30),-4024.64*Escalation!$B$71,Actuals!BW30)</f>
        <v>-4443.52776379085</v>
      </c>
      <c r="BW212" s="13" t="n">
        <f aca="false">IF(ISBLANK(Actuals!BX30),-4024.64*Escalation!$B$72,Actuals!BX30)</f>
        <v>-4443.52776379085</v>
      </c>
      <c r="BX212" s="13" t="n">
        <f aca="false">IF(ISBLANK(Actuals!BY30),-4024.64*Escalation!$B$73,Actuals!BY30)</f>
        <v>-4443.52776379085</v>
      </c>
      <c r="BY212" s="13" t="n">
        <f aca="false">IF(ISBLANK(Actuals!BZ30),-4024.64*Escalation!$B$74,Actuals!BZ30)</f>
        <v>-4532.39831906667</v>
      </c>
      <c r="BZ212" s="13" t="n">
        <f aca="false">IF(ISBLANK(Actuals!CA30),-4024.64*Escalation!$B$75,Actuals!CA30)</f>
        <v>-4532.39831906667</v>
      </c>
      <c r="CA212" s="13" t="n">
        <f aca="false">IF(ISBLANK(Actuals!CB30),-4024.64*Escalation!$B$76,Actuals!CB30)</f>
        <v>-4532.39831906667</v>
      </c>
      <c r="CB212" s="13" t="n">
        <f aca="false">IF(ISBLANK(Actuals!CC30),-4024.64*Escalation!$B$77,Actuals!CC30)</f>
        <v>-4532.39831906667</v>
      </c>
      <c r="CC212" s="13" t="n">
        <f aca="false">IF(ISBLANK(Actuals!CD30),-4024.64*Escalation!$B$78,Actuals!CD30)</f>
        <v>-4532.39831906667</v>
      </c>
      <c r="CD212" s="13" t="n">
        <f aca="false">IF(ISBLANK(Actuals!CE30),-4024.64*Escalation!$B$79,Actuals!CE30)</f>
        <v>-4532.39831906667</v>
      </c>
      <c r="CE212" s="13" t="n">
        <f aca="false">IF(ISBLANK(Actuals!CF30),-4024.64*Escalation!$B$80,Actuals!CF30)</f>
        <v>-4532.39831906667</v>
      </c>
      <c r="CF212" s="13" t="n">
        <f aca="false">IF(ISBLANK(Actuals!CG30),-4024.64*Escalation!$B$81,Actuals!CG30)</f>
        <v>-4532.39831906667</v>
      </c>
      <c r="CG212" s="13" t="n">
        <f aca="false">IF(ISBLANK(Actuals!CH30),-4024.64*Escalation!$B$82,Actuals!CH30)</f>
        <v>-4532.39831906667</v>
      </c>
      <c r="CH212" s="13" t="n">
        <f aca="false">IF(ISBLANK(Actuals!CI30),-4024.64*Escalation!$B$83,Actuals!CI30)</f>
        <v>-4532.39831906667</v>
      </c>
      <c r="CI212" s="13" t="n">
        <f aca="false">IF(ISBLANK(Actuals!CJ30),-4024.64*Escalation!$B$84,Actuals!CJ30)</f>
        <v>-4532.39831906667</v>
      </c>
      <c r="CJ212" s="13" t="n">
        <f aca="false">IF(ISBLANK(Actuals!CK30),-4024.64*Escalation!$B$85,Actuals!CK30)</f>
        <v>-4532.39831906667</v>
      </c>
      <c r="CK212" s="13" t="n">
        <f aca="false">IF(ISBLANK(Actuals!CL30),-4024.64*Escalation!$B$86,Actuals!CL30)</f>
        <v>-4623.046285448</v>
      </c>
      <c r="CL212" s="13" t="n">
        <f aca="false">IF(ISBLANK(Actuals!CM30),-4024.64*Escalation!$B$87,Actuals!CM30)</f>
        <v>-4623.046285448</v>
      </c>
      <c r="CM212" s="13" t="n">
        <f aca="false">IF(ISBLANK(Actuals!CN30),-4024.64*Escalation!$B$88,Actuals!CN30)</f>
        <v>-4623.046285448</v>
      </c>
      <c r="CN212" s="13" t="n">
        <f aca="false">IF(ISBLANK(Actuals!CO30),-4024.64*Escalation!$B$89,Actuals!CO30)</f>
        <v>-4623.046285448</v>
      </c>
      <c r="CO212" s="13" t="n">
        <f aca="false">IF(ISBLANK(Actuals!CP30),-4024.64*Escalation!$B$90,Actuals!CP30)</f>
        <v>-4623.046285448</v>
      </c>
      <c r="CP212" s="13" t="n">
        <f aca="false">IF(ISBLANK(Actuals!CQ30),-4024.64*Escalation!$B$91,Actuals!CQ30)</f>
        <v>-4623.046285448</v>
      </c>
      <c r="CQ212" s="13" t="n">
        <f aca="false">IF(ISBLANK(Actuals!CR30),-4024.64*Escalation!$B$92,Actuals!CR30)</f>
        <v>-4623.046285448</v>
      </c>
      <c r="CR212" s="13" t="n">
        <f aca="false">IF(ISBLANK(Actuals!CS30),-4024.64*Escalation!$B$93,Actuals!CS30)</f>
        <v>-4623.046285448</v>
      </c>
      <c r="CS212" s="13" t="n">
        <f aca="false">IF(ISBLANK(Actuals!CT30),-4024.64*Escalation!$B$94,Actuals!CT30)</f>
        <v>-4623.046285448</v>
      </c>
      <c r="CT212" s="13" t="n">
        <f aca="false">IF(ISBLANK(Actuals!CU30),-4024.64*Escalation!$B$95,Actuals!CU30)</f>
        <v>-4623.046285448</v>
      </c>
      <c r="CU212" s="13" t="n">
        <f aca="false">IF(ISBLANK(Actuals!CV30),-4024.64*Escalation!$B$96,Actuals!CV30)</f>
        <v>-4623.046285448</v>
      </c>
      <c r="CV212" s="13" t="n">
        <f aca="false">IF(ISBLANK(Actuals!CW30),-4024.64*Escalation!$B$97,Actuals!CW30)</f>
        <v>-4623.046285448</v>
      </c>
      <c r="CW212" s="13" t="n">
        <f aca="false">IF(ISBLANK(Actuals!CX30),-4024.64*Escalation!$B$98,Actuals!CX30)</f>
        <v>-4715.50721115696</v>
      </c>
      <c r="CX212" s="13" t="n">
        <f aca="false">IF(ISBLANK(Actuals!CY30),-4024.64*Escalation!$B$99,Actuals!CY30)</f>
        <v>-4715.50721115696</v>
      </c>
      <c r="CY212" s="13" t="n">
        <f aca="false">IF(ISBLANK(Actuals!CZ30),-4024.64*Escalation!$B$100,Actuals!CZ30)</f>
        <v>-4715.50721115696</v>
      </c>
      <c r="CZ212" s="13" t="n">
        <f aca="false">IF(ISBLANK(Actuals!DA30),-4024.64*Escalation!$B$101,Actuals!DA30)</f>
        <v>-4715.50721115696</v>
      </c>
      <c r="DA212" s="13" t="n">
        <f aca="false">IF(ISBLANK(Actuals!DB30),-4024.64*Escalation!$B$102,Actuals!DB30)</f>
        <v>-4715.50721115696</v>
      </c>
      <c r="DB212" s="13" t="n">
        <f aca="false">IF(ISBLANK(Actuals!DC30),-4024.64*Escalation!$B$103,Actuals!DC30)</f>
        <v>-4715.50721115696</v>
      </c>
      <c r="DC212" s="13" t="n">
        <f aca="false">IF(ISBLANK(Actuals!DD30),-4024.64*Escalation!$B$104,Actuals!DD30)</f>
        <v>-4715.50721115696</v>
      </c>
      <c r="DD212" s="13" t="n">
        <f aca="false">IF(ISBLANK(Actuals!DE30),-4024.64*Escalation!$B$105,Actuals!DE30)</f>
        <v>-4715.50721115696</v>
      </c>
      <c r="DE212" s="13" t="n">
        <f aca="false">IF(ISBLANK(Actuals!DF30),-4024.64*Escalation!$B$106,Actuals!DF30)</f>
        <v>-4715.50721115696</v>
      </c>
    </row>
    <row r="213" customFormat="false" ht="15" hidden="false" customHeight="true" outlineLevel="0" collapsed="false">
      <c r="A213" s="22" t="s">
        <v>74</v>
      </c>
      <c r="B213" s="13" t="n">
        <f aca="false">IF(ISBLANK(Actuals!C31),0,Actuals!C31)</f>
        <v>0</v>
      </c>
      <c r="C213" s="13" t="n">
        <f aca="false">IF(ISBLANK(Actuals!D31),0,Actuals!D31)</f>
        <v>0</v>
      </c>
      <c r="D213" s="13" t="n">
        <f aca="false">IF(ISBLANK(Actuals!E31),0,Actuals!E31)</f>
        <v>-1077.38</v>
      </c>
      <c r="E213" s="13" t="n">
        <f aca="false">IF(ISBLANK(Actuals!F31),-359.13*Escalation!$B$2,Actuals!F31)</f>
        <v>-211.28</v>
      </c>
      <c r="F213" s="13" t="n">
        <f aca="false">IF(ISBLANK(Actuals!G31),-359.13*Escalation!$B$3,Actuals!G31)</f>
        <v>-1254.17</v>
      </c>
      <c r="G213" s="13" t="n">
        <f aca="false">IF(ISBLANK(Actuals!H31),-359.13*Escalation!$B$4,Actuals!H31)</f>
        <v>0</v>
      </c>
      <c r="H213" s="13" t="n">
        <f aca="false">IF(ISBLANK(Actuals!I31),-359.13*Escalation!$B$5,Actuals!I31)</f>
        <v>-169.62</v>
      </c>
      <c r="I213" s="13" t="n">
        <f aca="false">IF(ISBLANK(Actuals!J31),-359.13*Escalation!$B$6,Actuals!J31)</f>
        <v>-2331.88</v>
      </c>
      <c r="J213" s="13" t="n">
        <f aca="false">IF(ISBLANK(Actuals!K31),-359.13*Escalation!$B$7,Actuals!K31)</f>
        <v>-359.13</v>
      </c>
      <c r="K213" s="13" t="n">
        <f aca="false">IF(ISBLANK(Actuals!L31),-359.13*Escalation!$B$8,Actuals!L31)</f>
        <v>-359.13</v>
      </c>
      <c r="L213" s="13" t="n">
        <f aca="false">IF(ISBLANK(Actuals!M31),-359.13*Escalation!$B$9,Actuals!M31)</f>
        <v>-359.13</v>
      </c>
      <c r="M213" s="13" t="n">
        <f aca="false">IF(ISBLANK(Actuals!N31),-359.13*Escalation!$B$10,Actuals!N31)</f>
        <v>-359.13</v>
      </c>
      <c r="N213" s="13" t="n">
        <f aca="false">IF(ISBLANK(Actuals!O31),-359.13*Escalation!$B$11,Actuals!O31)</f>
        <v>-359.13</v>
      </c>
      <c r="O213" s="13" t="n">
        <f aca="false">IF(ISBLANK(Actuals!P31),-359.13*Escalation!$B$12,Actuals!P31)</f>
        <v>-359.13</v>
      </c>
      <c r="P213" s="13" t="n">
        <f aca="false">IF(ISBLANK(Actuals!Q31),-359.13*Escalation!$B$13,Actuals!Q31)</f>
        <v>-359.13</v>
      </c>
      <c r="Q213" s="13" t="n">
        <f aca="false">IF(ISBLANK(Actuals!R31),-359.13*Escalation!$B$14,Actuals!R31)</f>
        <v>-366.3126</v>
      </c>
      <c r="R213" s="13" t="n">
        <f aca="false">IF(ISBLANK(Actuals!S31),-359.13*Escalation!$B$15,Actuals!S31)</f>
        <v>-366.3126</v>
      </c>
      <c r="S213" s="13" t="n">
        <f aca="false">IF(ISBLANK(Actuals!T31),-359.13*Escalation!$B$16,Actuals!T31)</f>
        <v>-366.3126</v>
      </c>
      <c r="T213" s="13" t="n">
        <f aca="false">IF(ISBLANK(Actuals!U31),-359.13*Escalation!$B$17,Actuals!U31)</f>
        <v>-366.3126</v>
      </c>
      <c r="U213" s="13" t="n">
        <f aca="false">IF(ISBLANK(Actuals!V31),-359.13*Escalation!$B$18,Actuals!V31)</f>
        <v>-366.3126</v>
      </c>
      <c r="V213" s="13" t="n">
        <f aca="false">IF(ISBLANK(Actuals!W31),-359.13*Escalation!$B$19,Actuals!W31)</f>
        <v>-366.3126</v>
      </c>
      <c r="W213" s="13" t="n">
        <f aca="false">IF(ISBLANK(Actuals!X31),-359.13*Escalation!$B$20,Actuals!X31)</f>
        <v>-366.3126</v>
      </c>
      <c r="X213" s="13" t="n">
        <f aca="false">IF(ISBLANK(Actuals!Y31),-359.13*Escalation!$B$21,Actuals!Y31)</f>
        <v>-366.3126</v>
      </c>
      <c r="Y213" s="13" t="n">
        <f aca="false">IF(ISBLANK(Actuals!Z31),-359.13*Escalation!$B$22,Actuals!Z31)</f>
        <v>-366.3126</v>
      </c>
      <c r="Z213" s="13" t="n">
        <f aca="false">IF(ISBLANK(Actuals!AA31),-359.13*Escalation!$B$23,Actuals!AA31)</f>
        <v>-366.3126</v>
      </c>
      <c r="AA213" s="13" t="n">
        <f aca="false">IF(ISBLANK(Actuals!AB31),-359.13*Escalation!$B$24,Actuals!AB31)</f>
        <v>-366.3126</v>
      </c>
      <c r="AB213" s="13" t="n">
        <f aca="false">IF(ISBLANK(Actuals!AC31),-359.13*Escalation!$B$25,Actuals!AC31)</f>
        <v>-366.3126</v>
      </c>
      <c r="AC213" s="13" t="n">
        <f aca="false">IF(ISBLANK(Actuals!AD31),-359.13*Escalation!$B$26,Actuals!AD31)</f>
        <v>-373.638852</v>
      </c>
      <c r="AD213" s="13" t="n">
        <f aca="false">IF(ISBLANK(Actuals!AE31),-359.13*Escalation!$B$27,Actuals!AE31)</f>
        <v>-373.638852</v>
      </c>
      <c r="AE213" s="13" t="n">
        <f aca="false">IF(ISBLANK(Actuals!AF31),-359.13*Escalation!$B$28,Actuals!AF31)</f>
        <v>-373.638852</v>
      </c>
      <c r="AF213" s="13" t="n">
        <f aca="false">IF(ISBLANK(Actuals!AG31),-359.13*Escalation!$B$29,Actuals!AG31)</f>
        <v>-373.638852</v>
      </c>
      <c r="AG213" s="13" t="n">
        <f aca="false">IF(ISBLANK(Actuals!AH31),-359.13*Escalation!$B$30,Actuals!AH31)</f>
        <v>-373.638852</v>
      </c>
      <c r="AH213" s="13" t="n">
        <f aca="false">IF(ISBLANK(Actuals!AI31),-359.13*Escalation!$B$31,Actuals!AI31)</f>
        <v>-373.638852</v>
      </c>
      <c r="AI213" s="13" t="n">
        <f aca="false">IF(ISBLANK(Actuals!AJ31),-359.13*Escalation!$B$32,Actuals!AJ31)</f>
        <v>-373.638852</v>
      </c>
      <c r="AJ213" s="13" t="n">
        <f aca="false">IF(ISBLANK(Actuals!AK31),-359.13*Escalation!$B$33,Actuals!AK31)</f>
        <v>-373.638852</v>
      </c>
      <c r="AK213" s="13" t="n">
        <f aca="false">IF(ISBLANK(Actuals!AL31),-359.13*Escalation!$B$34,Actuals!AL31)</f>
        <v>-373.638852</v>
      </c>
      <c r="AL213" s="13" t="n">
        <f aca="false">IF(ISBLANK(Actuals!AM31),-359.13*Escalation!$B$35,Actuals!AM31)</f>
        <v>-373.638852</v>
      </c>
      <c r="AM213" s="13" t="n">
        <f aca="false">IF(ISBLANK(Actuals!AN31),-359.13*Escalation!$B$36,Actuals!AN31)</f>
        <v>-373.638852</v>
      </c>
      <c r="AN213" s="13" t="n">
        <f aca="false">IF(ISBLANK(Actuals!AO31),-359.13*Escalation!$B$37,Actuals!AO31)</f>
        <v>-373.638852</v>
      </c>
      <c r="AO213" s="13" t="n">
        <f aca="false">IF(ISBLANK(Actuals!AP31),-359.13*Escalation!$B$38,Actuals!AP31)</f>
        <v>-381.11162904</v>
      </c>
      <c r="AP213" s="13" t="n">
        <f aca="false">IF(ISBLANK(Actuals!AQ31),-359.13*Escalation!$B$39,Actuals!AQ31)</f>
        <v>-381.11162904</v>
      </c>
      <c r="AQ213" s="13" t="n">
        <f aca="false">IF(ISBLANK(Actuals!AR31),-359.13*Escalation!$B$40,Actuals!AR31)</f>
        <v>-381.11162904</v>
      </c>
      <c r="AR213" s="13" t="n">
        <f aca="false">IF(ISBLANK(Actuals!AS31),-359.13*Escalation!$B$41,Actuals!AS31)</f>
        <v>-381.11162904</v>
      </c>
      <c r="AS213" s="13" t="n">
        <f aca="false">IF(ISBLANK(Actuals!AT31),-359.13*Escalation!$B$42,Actuals!AT31)</f>
        <v>-381.11162904</v>
      </c>
      <c r="AT213" s="13" t="n">
        <f aca="false">IF(ISBLANK(Actuals!AU31),-359.13*Escalation!$B$43,Actuals!AU31)</f>
        <v>-381.11162904</v>
      </c>
      <c r="AU213" s="13" t="n">
        <f aca="false">IF(ISBLANK(Actuals!AV31),-359.13*Escalation!$B$44,Actuals!AV31)</f>
        <v>-381.11162904</v>
      </c>
      <c r="AV213" s="13" t="n">
        <f aca="false">IF(ISBLANK(Actuals!AW31),-359.13*Escalation!$B$45,Actuals!AW31)</f>
        <v>-381.11162904</v>
      </c>
      <c r="AW213" s="13" t="n">
        <f aca="false">IF(ISBLANK(Actuals!AX31),-359.13*Escalation!$B$46,Actuals!AX31)</f>
        <v>-381.11162904</v>
      </c>
      <c r="AX213" s="13" t="n">
        <f aca="false">IF(ISBLANK(Actuals!AY31),-359.13*Escalation!$B$47,Actuals!AY31)</f>
        <v>-381.11162904</v>
      </c>
      <c r="AY213" s="13" t="n">
        <f aca="false">IF(ISBLANK(Actuals!AZ31),-359.13*Escalation!$B$48,Actuals!AZ31)</f>
        <v>-381.11162904</v>
      </c>
      <c r="AZ213" s="13" t="n">
        <f aca="false">IF(ISBLANK(Actuals!BA31),-359.13*Escalation!$B$49,Actuals!BA31)</f>
        <v>-381.11162904</v>
      </c>
      <c r="BA213" s="13" t="n">
        <f aca="false">IF(ISBLANK(Actuals!BB31),-359.13*Escalation!$B$50,Actuals!BB31)</f>
        <v>-388.7338616208</v>
      </c>
      <c r="BB213" s="13" t="n">
        <f aca="false">IF(ISBLANK(Actuals!BC31),-359.13*Escalation!$B$51,Actuals!BC31)</f>
        <v>-388.7338616208</v>
      </c>
      <c r="BC213" s="13" t="n">
        <f aca="false">IF(ISBLANK(Actuals!BD31),-359.13*Escalation!$B$52,Actuals!BD31)</f>
        <v>-388.7338616208</v>
      </c>
      <c r="BD213" s="13" t="n">
        <f aca="false">IF(ISBLANK(Actuals!BE31),-359.13*Escalation!$B$53,Actuals!BE31)</f>
        <v>-388.7338616208</v>
      </c>
      <c r="BE213" s="13" t="n">
        <f aca="false">IF(ISBLANK(Actuals!BF31),-359.13*Escalation!$B$54,Actuals!BF31)</f>
        <v>-388.7338616208</v>
      </c>
      <c r="BF213" s="13" t="n">
        <f aca="false">IF(ISBLANK(Actuals!BG31),-359.13*Escalation!$B$55,Actuals!BG31)</f>
        <v>-388.7338616208</v>
      </c>
      <c r="BG213" s="13" t="n">
        <f aca="false">IF(ISBLANK(Actuals!BH31),-359.13*Escalation!$B$56,Actuals!BH31)</f>
        <v>-388.7338616208</v>
      </c>
      <c r="BH213" s="13" t="n">
        <f aca="false">IF(ISBLANK(Actuals!BI31),-359.13*Escalation!$B$57,Actuals!BI31)</f>
        <v>-388.7338616208</v>
      </c>
      <c r="BI213" s="13" t="n">
        <f aca="false">IF(ISBLANK(Actuals!BJ31),-359.13*Escalation!$B$58,Actuals!BJ31)</f>
        <v>-388.7338616208</v>
      </c>
      <c r="BJ213" s="13" t="n">
        <f aca="false">IF(ISBLANK(Actuals!BK31),-359.13*Escalation!$B$59,Actuals!BK31)</f>
        <v>-388.7338616208</v>
      </c>
      <c r="BK213" s="13" t="n">
        <f aca="false">IF(ISBLANK(Actuals!BL31),-359.13*Escalation!$B$60,Actuals!BL31)</f>
        <v>-388.7338616208</v>
      </c>
      <c r="BL213" s="13" t="n">
        <f aca="false">IF(ISBLANK(Actuals!BM31),-359.13*Escalation!$B$61,Actuals!BM31)</f>
        <v>-388.7338616208</v>
      </c>
      <c r="BM213" s="13" t="n">
        <f aca="false">IF(ISBLANK(Actuals!BN31),-359.13*Escalation!$B$62,Actuals!BN31)</f>
        <v>-396.508538853216</v>
      </c>
      <c r="BN213" s="13" t="n">
        <f aca="false">IF(ISBLANK(Actuals!BO31),-359.13*Escalation!$B$63,Actuals!BO31)</f>
        <v>-396.508538853216</v>
      </c>
      <c r="BO213" s="13" t="n">
        <f aca="false">IF(ISBLANK(Actuals!BP31),-359.13*Escalation!$B$64,Actuals!BP31)</f>
        <v>-396.508538853216</v>
      </c>
      <c r="BP213" s="13" t="n">
        <f aca="false">IF(ISBLANK(Actuals!BQ31),-359.13*Escalation!$B$65,Actuals!BQ31)</f>
        <v>-396.508538853216</v>
      </c>
      <c r="BQ213" s="13" t="n">
        <f aca="false">IF(ISBLANK(Actuals!BR31),-359.13*Escalation!$B$66,Actuals!BR31)</f>
        <v>-396.508538853216</v>
      </c>
      <c r="BR213" s="13" t="n">
        <f aca="false">IF(ISBLANK(Actuals!BS31),-359.13*Escalation!$B$67,Actuals!BS31)</f>
        <v>-396.508538853216</v>
      </c>
      <c r="BS213" s="13" t="n">
        <f aca="false">IF(ISBLANK(Actuals!BT31),-359.13*Escalation!$B$68,Actuals!BT31)</f>
        <v>-396.508538853216</v>
      </c>
      <c r="BT213" s="13" t="n">
        <f aca="false">IF(ISBLANK(Actuals!BU31),-359.13*Escalation!$B$69,Actuals!BU31)</f>
        <v>-396.508538853216</v>
      </c>
      <c r="BU213" s="13" t="n">
        <f aca="false">IF(ISBLANK(Actuals!BV31),-359.13*Escalation!$B$70,Actuals!BV31)</f>
        <v>-396.508538853216</v>
      </c>
      <c r="BV213" s="13" t="n">
        <f aca="false">IF(ISBLANK(Actuals!BW31),-359.13*Escalation!$B$71,Actuals!BW31)</f>
        <v>-396.508538853216</v>
      </c>
      <c r="BW213" s="13" t="n">
        <f aca="false">IF(ISBLANK(Actuals!BX31),-359.13*Escalation!$B$72,Actuals!BX31)</f>
        <v>-396.508538853216</v>
      </c>
      <c r="BX213" s="13" t="n">
        <f aca="false">IF(ISBLANK(Actuals!BY31),-359.13*Escalation!$B$73,Actuals!BY31)</f>
        <v>-396.508538853216</v>
      </c>
      <c r="BY213" s="13" t="n">
        <f aca="false">IF(ISBLANK(Actuals!BZ31),-359.13*Escalation!$B$74,Actuals!BZ31)</f>
        <v>-404.43870963028</v>
      </c>
      <c r="BZ213" s="13" t="n">
        <f aca="false">IF(ISBLANK(Actuals!CA31),-359.13*Escalation!$B$75,Actuals!CA31)</f>
        <v>-404.43870963028</v>
      </c>
      <c r="CA213" s="13" t="n">
        <f aca="false">IF(ISBLANK(Actuals!CB31),-359.13*Escalation!$B$76,Actuals!CB31)</f>
        <v>-404.43870963028</v>
      </c>
      <c r="CB213" s="13" t="n">
        <f aca="false">IF(ISBLANK(Actuals!CC31),-359.13*Escalation!$B$77,Actuals!CC31)</f>
        <v>-404.43870963028</v>
      </c>
      <c r="CC213" s="13" t="n">
        <f aca="false">IF(ISBLANK(Actuals!CD31),-359.13*Escalation!$B$78,Actuals!CD31)</f>
        <v>-404.43870963028</v>
      </c>
      <c r="CD213" s="13" t="n">
        <f aca="false">IF(ISBLANK(Actuals!CE31),-359.13*Escalation!$B$79,Actuals!CE31)</f>
        <v>-404.43870963028</v>
      </c>
      <c r="CE213" s="13" t="n">
        <f aca="false">IF(ISBLANK(Actuals!CF31),-359.13*Escalation!$B$80,Actuals!CF31)</f>
        <v>-404.43870963028</v>
      </c>
      <c r="CF213" s="13" t="n">
        <f aca="false">IF(ISBLANK(Actuals!CG31),-359.13*Escalation!$B$81,Actuals!CG31)</f>
        <v>-404.43870963028</v>
      </c>
      <c r="CG213" s="13" t="n">
        <f aca="false">IF(ISBLANK(Actuals!CH31),-359.13*Escalation!$B$82,Actuals!CH31)</f>
        <v>-404.43870963028</v>
      </c>
      <c r="CH213" s="13" t="n">
        <f aca="false">IF(ISBLANK(Actuals!CI31),-359.13*Escalation!$B$83,Actuals!CI31)</f>
        <v>-404.43870963028</v>
      </c>
      <c r="CI213" s="13" t="n">
        <f aca="false">IF(ISBLANK(Actuals!CJ31),-359.13*Escalation!$B$84,Actuals!CJ31)</f>
        <v>-404.43870963028</v>
      </c>
      <c r="CJ213" s="13" t="n">
        <f aca="false">IF(ISBLANK(Actuals!CK31),-359.13*Escalation!$B$85,Actuals!CK31)</f>
        <v>-404.43870963028</v>
      </c>
      <c r="CK213" s="13" t="n">
        <f aca="false">IF(ISBLANK(Actuals!CL31),-359.13*Escalation!$B$86,Actuals!CL31)</f>
        <v>-412.527483822886</v>
      </c>
      <c r="CL213" s="13" t="n">
        <f aca="false">IF(ISBLANK(Actuals!CM31),-359.13*Escalation!$B$87,Actuals!CM31)</f>
        <v>-412.527483822886</v>
      </c>
      <c r="CM213" s="13" t="n">
        <f aca="false">IF(ISBLANK(Actuals!CN31),-359.13*Escalation!$B$88,Actuals!CN31)</f>
        <v>-412.527483822886</v>
      </c>
      <c r="CN213" s="13" t="n">
        <f aca="false">IF(ISBLANK(Actuals!CO31),-359.13*Escalation!$B$89,Actuals!CO31)</f>
        <v>-412.527483822886</v>
      </c>
      <c r="CO213" s="13" t="n">
        <f aca="false">IF(ISBLANK(Actuals!CP31),-359.13*Escalation!$B$90,Actuals!CP31)</f>
        <v>-412.527483822886</v>
      </c>
      <c r="CP213" s="13" t="n">
        <f aca="false">IF(ISBLANK(Actuals!CQ31),-359.13*Escalation!$B$91,Actuals!CQ31)</f>
        <v>-412.527483822886</v>
      </c>
      <c r="CQ213" s="13" t="n">
        <f aca="false">IF(ISBLANK(Actuals!CR31),-359.13*Escalation!$B$92,Actuals!CR31)</f>
        <v>-412.527483822886</v>
      </c>
      <c r="CR213" s="13" t="n">
        <f aca="false">IF(ISBLANK(Actuals!CS31),-359.13*Escalation!$B$93,Actuals!CS31)</f>
        <v>-412.527483822886</v>
      </c>
      <c r="CS213" s="13" t="n">
        <f aca="false">IF(ISBLANK(Actuals!CT31),-359.13*Escalation!$B$94,Actuals!CT31)</f>
        <v>-412.527483822886</v>
      </c>
      <c r="CT213" s="13" t="n">
        <f aca="false">IF(ISBLANK(Actuals!CU31),-359.13*Escalation!$B$95,Actuals!CU31)</f>
        <v>-412.527483822886</v>
      </c>
      <c r="CU213" s="13" t="n">
        <f aca="false">IF(ISBLANK(Actuals!CV31),-359.13*Escalation!$B$96,Actuals!CV31)</f>
        <v>-412.527483822886</v>
      </c>
      <c r="CV213" s="13" t="n">
        <f aca="false">IF(ISBLANK(Actuals!CW31),-359.13*Escalation!$B$97,Actuals!CW31)</f>
        <v>-412.527483822886</v>
      </c>
      <c r="CW213" s="13" t="n">
        <f aca="false">IF(ISBLANK(Actuals!CX31),-359.13*Escalation!$B$98,Actuals!CX31)</f>
        <v>-420.778033499344</v>
      </c>
      <c r="CX213" s="13" t="n">
        <f aca="false">IF(ISBLANK(Actuals!CY31),-359.13*Escalation!$B$99,Actuals!CY31)</f>
        <v>-420.778033499344</v>
      </c>
      <c r="CY213" s="13" t="n">
        <f aca="false">IF(ISBLANK(Actuals!CZ31),-359.13*Escalation!$B$100,Actuals!CZ31)</f>
        <v>-420.778033499344</v>
      </c>
      <c r="CZ213" s="13" t="n">
        <f aca="false">IF(ISBLANK(Actuals!DA31),-359.13*Escalation!$B$101,Actuals!DA31)</f>
        <v>-420.778033499344</v>
      </c>
      <c r="DA213" s="13" t="n">
        <f aca="false">IF(ISBLANK(Actuals!DB31),-359.13*Escalation!$B$102,Actuals!DB31)</f>
        <v>-420.778033499344</v>
      </c>
      <c r="DB213" s="13" t="n">
        <f aca="false">IF(ISBLANK(Actuals!DC31),-359.13*Escalation!$B$103,Actuals!DC31)</f>
        <v>-420.778033499344</v>
      </c>
      <c r="DC213" s="13" t="n">
        <f aca="false">IF(ISBLANK(Actuals!DD31),-359.13*Escalation!$B$104,Actuals!DD31)</f>
        <v>-420.778033499344</v>
      </c>
      <c r="DD213" s="13" t="n">
        <f aca="false">IF(ISBLANK(Actuals!DE31),-359.13*Escalation!$B$105,Actuals!DE31)</f>
        <v>-420.778033499344</v>
      </c>
      <c r="DE213" s="13" t="n">
        <f aca="false">IF(ISBLANK(Actuals!DF31),-359.13*Escalation!$B$106,Actuals!DF31)</f>
        <v>-420.778033499344</v>
      </c>
    </row>
    <row r="214" customFormat="false" ht="15" hidden="false" customHeight="true" outlineLevel="0" collapsed="false">
      <c r="A214" s="22" t="s">
        <v>75</v>
      </c>
      <c r="B214" s="13" t="n">
        <f aca="false">IF(ISBLANK(Actuals!C32),0,Actuals!C32)</f>
        <v>-79</v>
      </c>
      <c r="C214" s="13" t="n">
        <f aca="false">IF(ISBLANK(Actuals!D32),0,Actuals!D32)</f>
        <v>0</v>
      </c>
      <c r="D214" s="13" t="n">
        <f aca="false">IF(ISBLANK(Actuals!E32),0,Actuals!E32)</f>
        <v>0</v>
      </c>
      <c r="E214" s="13" t="n">
        <f aca="false">IF(ISBLANK(Actuals!F32),-26.33*Escalation!$B$2,Actuals!F32)</f>
        <v>0</v>
      </c>
      <c r="F214" s="13" t="n">
        <f aca="false">IF(ISBLANK(Actuals!G32),-26.33*Escalation!$B$3,Actuals!G32)</f>
        <v>0</v>
      </c>
      <c r="G214" s="13" t="n">
        <f aca="false">IF(ISBLANK(Actuals!H32),-26.33*Escalation!$B$4,Actuals!H32)</f>
        <v>0</v>
      </c>
      <c r="H214" s="13" t="n">
        <f aca="false">IF(ISBLANK(Actuals!I32),-26.33*Escalation!$B$5,Actuals!I32)</f>
        <v>0</v>
      </c>
      <c r="I214" s="13" t="n">
        <f aca="false">IF(ISBLANK(Actuals!J32),-26.33*Escalation!$B$6,Actuals!J32)</f>
        <v>-89</v>
      </c>
      <c r="J214" s="13" t="n">
        <f aca="false">IF(ISBLANK(Actuals!K32),-26.33*Escalation!$B$7,Actuals!K32)</f>
        <v>-26.33</v>
      </c>
      <c r="K214" s="13" t="n">
        <f aca="false">IF(ISBLANK(Actuals!L32),-26.33*Escalation!$B$8,Actuals!L32)</f>
        <v>-26.33</v>
      </c>
      <c r="L214" s="13" t="n">
        <f aca="false">IF(ISBLANK(Actuals!M32),-26.33*Escalation!$B$9,Actuals!M32)</f>
        <v>-26.33</v>
      </c>
      <c r="M214" s="13" t="n">
        <f aca="false">IF(ISBLANK(Actuals!N32),-26.33*Escalation!$B$10,Actuals!N32)</f>
        <v>-26.33</v>
      </c>
      <c r="N214" s="13" t="n">
        <f aca="false">IF(ISBLANK(Actuals!O32),-26.33*Escalation!$B$11,Actuals!O32)</f>
        <v>-26.33</v>
      </c>
      <c r="O214" s="13" t="n">
        <f aca="false">IF(ISBLANK(Actuals!P32),-26.33*Escalation!$B$12,Actuals!P32)</f>
        <v>-26.33</v>
      </c>
      <c r="P214" s="13" t="n">
        <f aca="false">IF(ISBLANK(Actuals!Q32),-26.33*Escalation!$B$13,Actuals!Q32)</f>
        <v>-26.33</v>
      </c>
      <c r="Q214" s="13" t="n">
        <f aca="false">IF(ISBLANK(Actuals!R32),-26.33*Escalation!$B$14,Actuals!R32)</f>
        <v>-26.8566</v>
      </c>
      <c r="R214" s="13" t="n">
        <f aca="false">IF(ISBLANK(Actuals!S32),-26.33*Escalation!$B$15,Actuals!S32)</f>
        <v>-26.8566</v>
      </c>
      <c r="S214" s="13" t="n">
        <f aca="false">IF(ISBLANK(Actuals!T32),-26.33*Escalation!$B$16,Actuals!T32)</f>
        <v>-26.8566</v>
      </c>
      <c r="T214" s="13" t="n">
        <f aca="false">IF(ISBLANK(Actuals!U32),-26.33*Escalation!$B$17,Actuals!U32)</f>
        <v>-26.8566</v>
      </c>
      <c r="U214" s="13" t="n">
        <f aca="false">IF(ISBLANK(Actuals!V32),-26.33*Escalation!$B$18,Actuals!V32)</f>
        <v>-26.8566</v>
      </c>
      <c r="V214" s="13" t="n">
        <f aca="false">IF(ISBLANK(Actuals!W32),-26.33*Escalation!$B$19,Actuals!W32)</f>
        <v>-26.8566</v>
      </c>
      <c r="W214" s="13" t="n">
        <f aca="false">IF(ISBLANK(Actuals!X32),-26.33*Escalation!$B$20,Actuals!X32)</f>
        <v>-26.8566</v>
      </c>
      <c r="X214" s="13" t="n">
        <f aca="false">IF(ISBLANK(Actuals!Y32),-26.33*Escalation!$B$21,Actuals!Y32)</f>
        <v>-26.8566</v>
      </c>
      <c r="Y214" s="13" t="n">
        <f aca="false">IF(ISBLANK(Actuals!Z32),-26.33*Escalation!$B$22,Actuals!Z32)</f>
        <v>-26.8566</v>
      </c>
      <c r="Z214" s="13" t="n">
        <f aca="false">IF(ISBLANK(Actuals!AA32),-26.33*Escalation!$B$23,Actuals!AA32)</f>
        <v>-26.8566</v>
      </c>
      <c r="AA214" s="13" t="n">
        <f aca="false">IF(ISBLANK(Actuals!AB32),-26.33*Escalation!$B$24,Actuals!AB32)</f>
        <v>-26.8566</v>
      </c>
      <c r="AB214" s="13" t="n">
        <f aca="false">IF(ISBLANK(Actuals!AC32),-26.33*Escalation!$B$25,Actuals!AC32)</f>
        <v>-26.8566</v>
      </c>
      <c r="AC214" s="13" t="n">
        <f aca="false">IF(ISBLANK(Actuals!AD32),-26.33*Escalation!$B$26,Actuals!AD32)</f>
        <v>-27.393732</v>
      </c>
      <c r="AD214" s="13" t="n">
        <f aca="false">IF(ISBLANK(Actuals!AE32),-26.33*Escalation!$B$27,Actuals!AE32)</f>
        <v>-27.393732</v>
      </c>
      <c r="AE214" s="13" t="n">
        <f aca="false">IF(ISBLANK(Actuals!AF32),-26.33*Escalation!$B$28,Actuals!AF32)</f>
        <v>-27.393732</v>
      </c>
      <c r="AF214" s="13" t="n">
        <f aca="false">IF(ISBLANK(Actuals!AG32),-26.33*Escalation!$B$29,Actuals!AG32)</f>
        <v>-27.393732</v>
      </c>
      <c r="AG214" s="13" t="n">
        <f aca="false">IF(ISBLANK(Actuals!AH32),-26.33*Escalation!$B$30,Actuals!AH32)</f>
        <v>-27.393732</v>
      </c>
      <c r="AH214" s="13" t="n">
        <f aca="false">IF(ISBLANK(Actuals!AI32),-26.33*Escalation!$B$31,Actuals!AI32)</f>
        <v>-27.393732</v>
      </c>
      <c r="AI214" s="13" t="n">
        <f aca="false">IF(ISBLANK(Actuals!AJ32),-26.33*Escalation!$B$32,Actuals!AJ32)</f>
        <v>-27.393732</v>
      </c>
      <c r="AJ214" s="13" t="n">
        <f aca="false">IF(ISBLANK(Actuals!AK32),-26.33*Escalation!$B$33,Actuals!AK32)</f>
        <v>-27.393732</v>
      </c>
      <c r="AK214" s="13" t="n">
        <f aca="false">IF(ISBLANK(Actuals!AL32),-26.33*Escalation!$B$34,Actuals!AL32)</f>
        <v>-27.393732</v>
      </c>
      <c r="AL214" s="13" t="n">
        <f aca="false">IF(ISBLANK(Actuals!AM32),-26.33*Escalation!$B$35,Actuals!AM32)</f>
        <v>-27.393732</v>
      </c>
      <c r="AM214" s="13" t="n">
        <f aca="false">IF(ISBLANK(Actuals!AN32),-26.33*Escalation!$B$36,Actuals!AN32)</f>
        <v>-27.393732</v>
      </c>
      <c r="AN214" s="13" t="n">
        <f aca="false">IF(ISBLANK(Actuals!AO32),-26.33*Escalation!$B$37,Actuals!AO32)</f>
        <v>-27.393732</v>
      </c>
      <c r="AO214" s="13" t="n">
        <f aca="false">IF(ISBLANK(Actuals!AP32),-26.33*Escalation!$B$38,Actuals!AP32)</f>
        <v>-27.94160664</v>
      </c>
      <c r="AP214" s="13" t="n">
        <f aca="false">IF(ISBLANK(Actuals!AQ32),-26.33*Escalation!$B$39,Actuals!AQ32)</f>
        <v>-27.94160664</v>
      </c>
      <c r="AQ214" s="13" t="n">
        <f aca="false">IF(ISBLANK(Actuals!AR32),-26.33*Escalation!$B$40,Actuals!AR32)</f>
        <v>-27.94160664</v>
      </c>
      <c r="AR214" s="13" t="n">
        <f aca="false">IF(ISBLANK(Actuals!AS32),-26.33*Escalation!$B$41,Actuals!AS32)</f>
        <v>-27.94160664</v>
      </c>
      <c r="AS214" s="13" t="n">
        <f aca="false">IF(ISBLANK(Actuals!AT32),-26.33*Escalation!$B$42,Actuals!AT32)</f>
        <v>-27.94160664</v>
      </c>
      <c r="AT214" s="13" t="n">
        <f aca="false">IF(ISBLANK(Actuals!AU32),-26.33*Escalation!$B$43,Actuals!AU32)</f>
        <v>-27.94160664</v>
      </c>
      <c r="AU214" s="13" t="n">
        <f aca="false">IF(ISBLANK(Actuals!AV32),-26.33*Escalation!$B$44,Actuals!AV32)</f>
        <v>-27.94160664</v>
      </c>
      <c r="AV214" s="13" t="n">
        <f aca="false">IF(ISBLANK(Actuals!AW32),-26.33*Escalation!$B$45,Actuals!AW32)</f>
        <v>-27.94160664</v>
      </c>
      <c r="AW214" s="13" t="n">
        <f aca="false">IF(ISBLANK(Actuals!AX32),-26.33*Escalation!$B$46,Actuals!AX32)</f>
        <v>-27.94160664</v>
      </c>
      <c r="AX214" s="13" t="n">
        <f aca="false">IF(ISBLANK(Actuals!AY32),-26.33*Escalation!$B$47,Actuals!AY32)</f>
        <v>-27.94160664</v>
      </c>
      <c r="AY214" s="13" t="n">
        <f aca="false">IF(ISBLANK(Actuals!AZ32),-26.33*Escalation!$B$48,Actuals!AZ32)</f>
        <v>-27.94160664</v>
      </c>
      <c r="AZ214" s="13" t="n">
        <f aca="false">IF(ISBLANK(Actuals!BA32),-26.33*Escalation!$B$49,Actuals!BA32)</f>
        <v>-27.94160664</v>
      </c>
      <c r="BA214" s="13" t="n">
        <f aca="false">IF(ISBLANK(Actuals!BB32),-26.33*Escalation!$B$50,Actuals!BB32)</f>
        <v>-28.5004387728</v>
      </c>
      <c r="BB214" s="13" t="n">
        <f aca="false">IF(ISBLANK(Actuals!BC32),-26.33*Escalation!$B$51,Actuals!BC32)</f>
        <v>-28.5004387728</v>
      </c>
      <c r="BC214" s="13" t="n">
        <f aca="false">IF(ISBLANK(Actuals!BD32),-26.33*Escalation!$B$52,Actuals!BD32)</f>
        <v>-28.5004387728</v>
      </c>
      <c r="BD214" s="13" t="n">
        <f aca="false">IF(ISBLANK(Actuals!BE32),-26.33*Escalation!$B$53,Actuals!BE32)</f>
        <v>-28.5004387728</v>
      </c>
      <c r="BE214" s="13" t="n">
        <f aca="false">IF(ISBLANK(Actuals!BF32),-26.33*Escalation!$B$54,Actuals!BF32)</f>
        <v>-28.5004387728</v>
      </c>
      <c r="BF214" s="13" t="n">
        <f aca="false">IF(ISBLANK(Actuals!BG32),-26.33*Escalation!$B$55,Actuals!BG32)</f>
        <v>-28.5004387728</v>
      </c>
      <c r="BG214" s="13" t="n">
        <f aca="false">IF(ISBLANK(Actuals!BH32),-26.33*Escalation!$B$56,Actuals!BH32)</f>
        <v>-28.5004387728</v>
      </c>
      <c r="BH214" s="13" t="n">
        <f aca="false">IF(ISBLANK(Actuals!BI32),-26.33*Escalation!$B$57,Actuals!BI32)</f>
        <v>-28.5004387728</v>
      </c>
      <c r="BI214" s="13" t="n">
        <f aca="false">IF(ISBLANK(Actuals!BJ32),-26.33*Escalation!$B$58,Actuals!BJ32)</f>
        <v>-28.5004387728</v>
      </c>
      <c r="BJ214" s="13" t="n">
        <f aca="false">IF(ISBLANK(Actuals!BK32),-26.33*Escalation!$B$59,Actuals!BK32)</f>
        <v>-28.5004387728</v>
      </c>
      <c r="BK214" s="13" t="n">
        <f aca="false">IF(ISBLANK(Actuals!BL32),-26.33*Escalation!$B$60,Actuals!BL32)</f>
        <v>-28.5004387728</v>
      </c>
      <c r="BL214" s="13" t="n">
        <f aca="false">IF(ISBLANK(Actuals!BM32),-26.33*Escalation!$B$61,Actuals!BM32)</f>
        <v>-28.5004387728</v>
      </c>
      <c r="BM214" s="13" t="n">
        <f aca="false">IF(ISBLANK(Actuals!BN32),-26.33*Escalation!$B$62,Actuals!BN32)</f>
        <v>-29.070447548256</v>
      </c>
      <c r="BN214" s="13" t="n">
        <f aca="false">IF(ISBLANK(Actuals!BO32),-26.33*Escalation!$B$63,Actuals!BO32)</f>
        <v>-29.070447548256</v>
      </c>
      <c r="BO214" s="13" t="n">
        <f aca="false">IF(ISBLANK(Actuals!BP32),-26.33*Escalation!$B$64,Actuals!BP32)</f>
        <v>-29.070447548256</v>
      </c>
      <c r="BP214" s="13" t="n">
        <f aca="false">IF(ISBLANK(Actuals!BQ32),-26.33*Escalation!$B$65,Actuals!BQ32)</f>
        <v>-29.070447548256</v>
      </c>
      <c r="BQ214" s="13" t="n">
        <f aca="false">IF(ISBLANK(Actuals!BR32),-26.33*Escalation!$B$66,Actuals!BR32)</f>
        <v>-29.070447548256</v>
      </c>
      <c r="BR214" s="13" t="n">
        <f aca="false">IF(ISBLANK(Actuals!BS32),-26.33*Escalation!$B$67,Actuals!BS32)</f>
        <v>-29.070447548256</v>
      </c>
      <c r="BS214" s="13" t="n">
        <f aca="false">IF(ISBLANK(Actuals!BT32),-26.33*Escalation!$B$68,Actuals!BT32)</f>
        <v>-29.070447548256</v>
      </c>
      <c r="BT214" s="13" t="n">
        <f aca="false">IF(ISBLANK(Actuals!BU32),-26.33*Escalation!$B$69,Actuals!BU32)</f>
        <v>-29.070447548256</v>
      </c>
      <c r="BU214" s="13" t="n">
        <f aca="false">IF(ISBLANK(Actuals!BV32),-26.33*Escalation!$B$70,Actuals!BV32)</f>
        <v>-29.070447548256</v>
      </c>
      <c r="BV214" s="13" t="n">
        <f aca="false">IF(ISBLANK(Actuals!BW32),-26.33*Escalation!$B$71,Actuals!BW32)</f>
        <v>-29.070447548256</v>
      </c>
      <c r="BW214" s="13" t="n">
        <f aca="false">IF(ISBLANK(Actuals!BX32),-26.33*Escalation!$B$72,Actuals!BX32)</f>
        <v>-29.070447548256</v>
      </c>
      <c r="BX214" s="13" t="n">
        <f aca="false">IF(ISBLANK(Actuals!BY32),-26.33*Escalation!$B$73,Actuals!BY32)</f>
        <v>-29.070447548256</v>
      </c>
      <c r="BY214" s="13" t="n">
        <f aca="false">IF(ISBLANK(Actuals!BZ32),-26.33*Escalation!$B$74,Actuals!BZ32)</f>
        <v>-29.6518564992211</v>
      </c>
      <c r="BZ214" s="13" t="n">
        <f aca="false">IF(ISBLANK(Actuals!CA32),-26.33*Escalation!$B$75,Actuals!CA32)</f>
        <v>-29.6518564992211</v>
      </c>
      <c r="CA214" s="13" t="n">
        <f aca="false">IF(ISBLANK(Actuals!CB32),-26.33*Escalation!$B$76,Actuals!CB32)</f>
        <v>-29.6518564992211</v>
      </c>
      <c r="CB214" s="13" t="n">
        <f aca="false">IF(ISBLANK(Actuals!CC32),-26.33*Escalation!$B$77,Actuals!CC32)</f>
        <v>-29.6518564992211</v>
      </c>
      <c r="CC214" s="13" t="n">
        <f aca="false">IF(ISBLANK(Actuals!CD32),-26.33*Escalation!$B$78,Actuals!CD32)</f>
        <v>-29.6518564992211</v>
      </c>
      <c r="CD214" s="13" t="n">
        <f aca="false">IF(ISBLANK(Actuals!CE32),-26.33*Escalation!$B$79,Actuals!CE32)</f>
        <v>-29.6518564992211</v>
      </c>
      <c r="CE214" s="13" t="n">
        <f aca="false">IF(ISBLANK(Actuals!CF32),-26.33*Escalation!$B$80,Actuals!CF32)</f>
        <v>-29.6518564992211</v>
      </c>
      <c r="CF214" s="13" t="n">
        <f aca="false">IF(ISBLANK(Actuals!CG32),-26.33*Escalation!$B$81,Actuals!CG32)</f>
        <v>-29.6518564992211</v>
      </c>
      <c r="CG214" s="13" t="n">
        <f aca="false">IF(ISBLANK(Actuals!CH32),-26.33*Escalation!$B$82,Actuals!CH32)</f>
        <v>-29.6518564992211</v>
      </c>
      <c r="CH214" s="13" t="n">
        <f aca="false">IF(ISBLANK(Actuals!CI32),-26.33*Escalation!$B$83,Actuals!CI32)</f>
        <v>-29.6518564992211</v>
      </c>
      <c r="CI214" s="13" t="n">
        <f aca="false">IF(ISBLANK(Actuals!CJ32),-26.33*Escalation!$B$84,Actuals!CJ32)</f>
        <v>-29.6518564992211</v>
      </c>
      <c r="CJ214" s="13" t="n">
        <f aca="false">IF(ISBLANK(Actuals!CK32),-26.33*Escalation!$B$85,Actuals!CK32)</f>
        <v>-29.6518564992211</v>
      </c>
      <c r="CK214" s="13" t="n">
        <f aca="false">IF(ISBLANK(Actuals!CL32),-26.33*Escalation!$B$86,Actuals!CL32)</f>
        <v>-30.2448936292055</v>
      </c>
      <c r="CL214" s="13" t="n">
        <f aca="false">IF(ISBLANK(Actuals!CM32),-26.33*Escalation!$B$87,Actuals!CM32)</f>
        <v>-30.2448936292055</v>
      </c>
      <c r="CM214" s="13" t="n">
        <f aca="false">IF(ISBLANK(Actuals!CN32),-26.33*Escalation!$B$88,Actuals!CN32)</f>
        <v>-30.2448936292055</v>
      </c>
      <c r="CN214" s="13" t="n">
        <f aca="false">IF(ISBLANK(Actuals!CO32),-26.33*Escalation!$B$89,Actuals!CO32)</f>
        <v>-30.2448936292055</v>
      </c>
      <c r="CO214" s="13" t="n">
        <f aca="false">IF(ISBLANK(Actuals!CP32),-26.33*Escalation!$B$90,Actuals!CP32)</f>
        <v>-30.2448936292055</v>
      </c>
      <c r="CP214" s="13" t="n">
        <f aca="false">IF(ISBLANK(Actuals!CQ32),-26.33*Escalation!$B$91,Actuals!CQ32)</f>
        <v>-30.2448936292055</v>
      </c>
      <c r="CQ214" s="13" t="n">
        <f aca="false">IF(ISBLANK(Actuals!CR32),-26.33*Escalation!$B$92,Actuals!CR32)</f>
        <v>-30.2448936292055</v>
      </c>
      <c r="CR214" s="13" t="n">
        <f aca="false">IF(ISBLANK(Actuals!CS32),-26.33*Escalation!$B$93,Actuals!CS32)</f>
        <v>-30.2448936292055</v>
      </c>
      <c r="CS214" s="13" t="n">
        <f aca="false">IF(ISBLANK(Actuals!CT32),-26.33*Escalation!$B$94,Actuals!CT32)</f>
        <v>-30.2448936292055</v>
      </c>
      <c r="CT214" s="13" t="n">
        <f aca="false">IF(ISBLANK(Actuals!CU32),-26.33*Escalation!$B$95,Actuals!CU32)</f>
        <v>-30.2448936292055</v>
      </c>
      <c r="CU214" s="13" t="n">
        <f aca="false">IF(ISBLANK(Actuals!CV32),-26.33*Escalation!$B$96,Actuals!CV32)</f>
        <v>-30.2448936292055</v>
      </c>
      <c r="CV214" s="13" t="n">
        <f aca="false">IF(ISBLANK(Actuals!CW32),-26.33*Escalation!$B$97,Actuals!CW32)</f>
        <v>-30.2448936292055</v>
      </c>
      <c r="CW214" s="13" t="n">
        <f aca="false">IF(ISBLANK(Actuals!CX32),-26.33*Escalation!$B$98,Actuals!CX32)</f>
        <v>-30.8497915017897</v>
      </c>
      <c r="CX214" s="13" t="n">
        <f aca="false">IF(ISBLANK(Actuals!CY32),-26.33*Escalation!$B$99,Actuals!CY32)</f>
        <v>-30.8497915017897</v>
      </c>
      <c r="CY214" s="13" t="n">
        <f aca="false">IF(ISBLANK(Actuals!CZ32),-26.33*Escalation!$B$100,Actuals!CZ32)</f>
        <v>-30.8497915017897</v>
      </c>
      <c r="CZ214" s="13" t="n">
        <f aca="false">IF(ISBLANK(Actuals!DA32),-26.33*Escalation!$B$101,Actuals!DA32)</f>
        <v>-30.8497915017897</v>
      </c>
      <c r="DA214" s="13" t="n">
        <f aca="false">IF(ISBLANK(Actuals!DB32),-26.33*Escalation!$B$102,Actuals!DB32)</f>
        <v>-30.8497915017897</v>
      </c>
      <c r="DB214" s="13" t="n">
        <f aca="false">IF(ISBLANK(Actuals!DC32),-26.33*Escalation!$B$103,Actuals!DC32)</f>
        <v>-30.8497915017897</v>
      </c>
      <c r="DC214" s="13" t="n">
        <f aca="false">IF(ISBLANK(Actuals!DD32),-26.33*Escalation!$B$104,Actuals!DD32)</f>
        <v>-30.8497915017897</v>
      </c>
      <c r="DD214" s="13" t="n">
        <f aca="false">IF(ISBLANK(Actuals!DE32),-26.33*Escalation!$B$105,Actuals!DE32)</f>
        <v>-30.8497915017897</v>
      </c>
      <c r="DE214" s="13" t="n">
        <f aca="false">IF(ISBLANK(Actuals!DF32),-26.33*Escalation!$B$106,Actuals!DF32)</f>
        <v>-30.8497915017897</v>
      </c>
    </row>
    <row r="215" customFormat="false" ht="15" hidden="false" customHeight="true" outlineLevel="0" collapsed="false">
      <c r="A215" s="22" t="s">
        <v>76</v>
      </c>
      <c r="B215" s="13" t="n">
        <f aca="false">IF(ISBLANK(Actuals!C33),0,Actuals!C33)</f>
        <v>-3405.64</v>
      </c>
      <c r="C215" s="13" t="n">
        <f aca="false">IF(ISBLANK(Actuals!D33),0,Actuals!D33)</f>
        <v>-5015.38</v>
      </c>
      <c r="D215" s="13" t="n">
        <f aca="false">IF(ISBLANK(Actuals!E33),0,Actuals!E33)</f>
        <v>-7481.39</v>
      </c>
      <c r="E215" s="13" t="n">
        <f aca="false">IF(ISBLANK(Actuals!F33),-5300.8*Escalation!$B$2,Actuals!F33)</f>
        <v>-5111.12</v>
      </c>
      <c r="F215" s="13" t="n">
        <f aca="false">IF(ISBLANK(Actuals!G33),-5300.8*Escalation!$B$3,Actuals!G33)</f>
        <v>-4038.48</v>
      </c>
      <c r="G215" s="13" t="n">
        <f aca="false">IF(ISBLANK(Actuals!H33),-5300.8*Escalation!$B$4,Actuals!H33)</f>
        <v>-6114.98</v>
      </c>
      <c r="H215" s="13" t="n">
        <f aca="false">IF(ISBLANK(Actuals!I33),-5300.8*Escalation!$B$5,Actuals!I33)</f>
        <v>-12545.93</v>
      </c>
      <c r="I215" s="13" t="n">
        <f aca="false">IF(ISBLANK(Actuals!J33),-5300.8*Escalation!$B$6,Actuals!J33)</f>
        <v>-5885.72</v>
      </c>
      <c r="J215" s="13" t="n">
        <f aca="false">IF(ISBLANK(Actuals!K33),-5300.8*Escalation!$B$7,Actuals!K33)</f>
        <v>-5300.8</v>
      </c>
      <c r="K215" s="13" t="n">
        <f aca="false">IF(ISBLANK(Actuals!L33),-5300.8*Escalation!$B$8,Actuals!L33)</f>
        <v>-5300.8</v>
      </c>
      <c r="L215" s="13" t="n">
        <f aca="false">IF(ISBLANK(Actuals!M33),-5300.8*Escalation!$B$9,Actuals!M33)</f>
        <v>-5300.8</v>
      </c>
      <c r="M215" s="13" t="n">
        <f aca="false">IF(ISBLANK(Actuals!N33),-5300.8*Escalation!$B$10,Actuals!N33)</f>
        <v>-5300.8</v>
      </c>
      <c r="N215" s="13" t="n">
        <f aca="false">IF(ISBLANK(Actuals!O33),-5300.8*Escalation!$B$11,Actuals!O33)</f>
        <v>-5300.8</v>
      </c>
      <c r="O215" s="13" t="n">
        <f aca="false">IF(ISBLANK(Actuals!P33),-5300.8*Escalation!$B$12,Actuals!P33)</f>
        <v>-5300.8</v>
      </c>
      <c r="P215" s="13" t="n">
        <f aca="false">IF(ISBLANK(Actuals!Q33),-5300.8*Escalation!$B$13,Actuals!Q33)</f>
        <v>-5300.8</v>
      </c>
      <c r="Q215" s="13" t="n">
        <f aca="false">IF(ISBLANK(Actuals!R33),-5300.8*Escalation!$B$14,Actuals!R33)</f>
        <v>-5406.816</v>
      </c>
      <c r="R215" s="13" t="n">
        <f aca="false">IF(ISBLANK(Actuals!S33),-5300.8*Escalation!$B$15,Actuals!S33)</f>
        <v>-5406.816</v>
      </c>
      <c r="S215" s="13" t="n">
        <f aca="false">IF(ISBLANK(Actuals!T33),-5300.8*Escalation!$B$16,Actuals!T33)</f>
        <v>-5406.816</v>
      </c>
      <c r="T215" s="13" t="n">
        <f aca="false">IF(ISBLANK(Actuals!U33),-5300.8*Escalation!$B$17,Actuals!U33)</f>
        <v>-5406.816</v>
      </c>
      <c r="U215" s="13" t="n">
        <f aca="false">IF(ISBLANK(Actuals!V33),-5300.8*Escalation!$B$18,Actuals!V33)</f>
        <v>-5406.816</v>
      </c>
      <c r="V215" s="13" t="n">
        <f aca="false">IF(ISBLANK(Actuals!W33),-5300.8*Escalation!$B$19,Actuals!W33)</f>
        <v>-5406.816</v>
      </c>
      <c r="W215" s="13" t="n">
        <f aca="false">IF(ISBLANK(Actuals!X33),-5300.8*Escalation!$B$20,Actuals!X33)</f>
        <v>-5406.816</v>
      </c>
      <c r="X215" s="13" t="n">
        <f aca="false">IF(ISBLANK(Actuals!Y33),-5300.8*Escalation!$B$21,Actuals!Y33)</f>
        <v>-5406.816</v>
      </c>
      <c r="Y215" s="13" t="n">
        <f aca="false">IF(ISBLANK(Actuals!Z33),-5300.8*Escalation!$B$22,Actuals!Z33)</f>
        <v>-5406.816</v>
      </c>
      <c r="Z215" s="13" t="n">
        <f aca="false">IF(ISBLANK(Actuals!AA33),-5300.8*Escalation!$B$23,Actuals!AA33)</f>
        <v>-5406.816</v>
      </c>
      <c r="AA215" s="13" t="n">
        <f aca="false">IF(ISBLANK(Actuals!AB33),-5300.8*Escalation!$B$24,Actuals!AB33)</f>
        <v>-5406.816</v>
      </c>
      <c r="AB215" s="13" t="n">
        <f aca="false">IF(ISBLANK(Actuals!AC33),-5300.8*Escalation!$B$25,Actuals!AC33)</f>
        <v>-5406.816</v>
      </c>
      <c r="AC215" s="13" t="n">
        <f aca="false">IF(ISBLANK(Actuals!AD33),-5300.8*Escalation!$B$26,Actuals!AD33)</f>
        <v>-5514.95232</v>
      </c>
      <c r="AD215" s="13" t="n">
        <f aca="false">IF(ISBLANK(Actuals!AE33),-5300.8*Escalation!$B$27,Actuals!AE33)</f>
        <v>-5514.95232</v>
      </c>
      <c r="AE215" s="13" t="n">
        <f aca="false">IF(ISBLANK(Actuals!AF33),-5300.8*Escalation!$B$28,Actuals!AF33)</f>
        <v>-5514.95232</v>
      </c>
      <c r="AF215" s="13" t="n">
        <f aca="false">IF(ISBLANK(Actuals!AG33),-5300.8*Escalation!$B$29,Actuals!AG33)</f>
        <v>-5514.95232</v>
      </c>
      <c r="AG215" s="13" t="n">
        <f aca="false">IF(ISBLANK(Actuals!AH33),-5300.8*Escalation!$B$30,Actuals!AH33)</f>
        <v>-5514.95232</v>
      </c>
      <c r="AH215" s="13" t="n">
        <f aca="false">IF(ISBLANK(Actuals!AI33),-5300.8*Escalation!$B$31,Actuals!AI33)</f>
        <v>-5514.95232</v>
      </c>
      <c r="AI215" s="13" t="n">
        <f aca="false">IF(ISBLANK(Actuals!AJ33),-5300.8*Escalation!$B$32,Actuals!AJ33)</f>
        <v>-5514.95232</v>
      </c>
      <c r="AJ215" s="13" t="n">
        <f aca="false">IF(ISBLANK(Actuals!AK33),-5300.8*Escalation!$B$33,Actuals!AK33)</f>
        <v>-5514.95232</v>
      </c>
      <c r="AK215" s="13" t="n">
        <f aca="false">IF(ISBLANK(Actuals!AL33),-5300.8*Escalation!$B$34,Actuals!AL33)</f>
        <v>-5514.95232</v>
      </c>
      <c r="AL215" s="13" t="n">
        <f aca="false">IF(ISBLANK(Actuals!AM33),-5300.8*Escalation!$B$35,Actuals!AM33)</f>
        <v>-5514.95232</v>
      </c>
      <c r="AM215" s="13" t="n">
        <f aca="false">IF(ISBLANK(Actuals!AN33),-5300.8*Escalation!$B$36,Actuals!AN33)</f>
        <v>-5514.95232</v>
      </c>
      <c r="AN215" s="13" t="n">
        <f aca="false">IF(ISBLANK(Actuals!AO33),-5300.8*Escalation!$B$37,Actuals!AO33)</f>
        <v>-5514.95232</v>
      </c>
      <c r="AO215" s="13" t="n">
        <f aca="false">IF(ISBLANK(Actuals!AP33),-5300.8*Escalation!$B$38,Actuals!AP33)</f>
        <v>-5625.2513664</v>
      </c>
      <c r="AP215" s="13" t="n">
        <f aca="false">IF(ISBLANK(Actuals!AQ33),-5300.8*Escalation!$B$39,Actuals!AQ33)</f>
        <v>-5625.2513664</v>
      </c>
      <c r="AQ215" s="13" t="n">
        <f aca="false">IF(ISBLANK(Actuals!AR33),-5300.8*Escalation!$B$40,Actuals!AR33)</f>
        <v>-5625.2513664</v>
      </c>
      <c r="AR215" s="13" t="n">
        <f aca="false">IF(ISBLANK(Actuals!AS33),-5300.8*Escalation!$B$41,Actuals!AS33)</f>
        <v>-5625.2513664</v>
      </c>
      <c r="AS215" s="13" t="n">
        <f aca="false">IF(ISBLANK(Actuals!AT33),-5300.8*Escalation!$B$42,Actuals!AT33)</f>
        <v>-5625.2513664</v>
      </c>
      <c r="AT215" s="13" t="n">
        <f aca="false">IF(ISBLANK(Actuals!AU33),-5300.8*Escalation!$B$43,Actuals!AU33)</f>
        <v>-5625.2513664</v>
      </c>
      <c r="AU215" s="13" t="n">
        <f aca="false">IF(ISBLANK(Actuals!AV33),-5300.8*Escalation!$B$44,Actuals!AV33)</f>
        <v>-5625.2513664</v>
      </c>
      <c r="AV215" s="13" t="n">
        <f aca="false">IF(ISBLANK(Actuals!AW33),-5300.8*Escalation!$B$45,Actuals!AW33)</f>
        <v>-5625.2513664</v>
      </c>
      <c r="AW215" s="13" t="n">
        <f aca="false">IF(ISBLANK(Actuals!AX33),-5300.8*Escalation!$B$46,Actuals!AX33)</f>
        <v>-5625.2513664</v>
      </c>
      <c r="AX215" s="13" t="n">
        <f aca="false">IF(ISBLANK(Actuals!AY33),-5300.8*Escalation!$B$47,Actuals!AY33)</f>
        <v>-5625.2513664</v>
      </c>
      <c r="AY215" s="13" t="n">
        <f aca="false">IF(ISBLANK(Actuals!AZ33),-5300.8*Escalation!$B$48,Actuals!AZ33)</f>
        <v>-5625.2513664</v>
      </c>
      <c r="AZ215" s="13" t="n">
        <f aca="false">IF(ISBLANK(Actuals!BA33),-5300.8*Escalation!$B$49,Actuals!BA33)</f>
        <v>-5625.2513664</v>
      </c>
      <c r="BA215" s="13" t="n">
        <f aca="false">IF(ISBLANK(Actuals!BB33),-5300.8*Escalation!$B$50,Actuals!BB33)</f>
        <v>-5737.756393728</v>
      </c>
      <c r="BB215" s="13" t="n">
        <f aca="false">IF(ISBLANK(Actuals!BC33),-5300.8*Escalation!$B$51,Actuals!BC33)</f>
        <v>-5737.756393728</v>
      </c>
      <c r="BC215" s="13" t="n">
        <f aca="false">IF(ISBLANK(Actuals!BD33),-5300.8*Escalation!$B$52,Actuals!BD33)</f>
        <v>-5737.756393728</v>
      </c>
      <c r="BD215" s="13" t="n">
        <f aca="false">IF(ISBLANK(Actuals!BE33),-5300.8*Escalation!$B$53,Actuals!BE33)</f>
        <v>-5737.756393728</v>
      </c>
      <c r="BE215" s="13" t="n">
        <f aca="false">IF(ISBLANK(Actuals!BF33),-5300.8*Escalation!$B$54,Actuals!BF33)</f>
        <v>-5737.756393728</v>
      </c>
      <c r="BF215" s="13" t="n">
        <f aca="false">IF(ISBLANK(Actuals!BG33),-5300.8*Escalation!$B$55,Actuals!BG33)</f>
        <v>-5737.756393728</v>
      </c>
      <c r="BG215" s="13" t="n">
        <f aca="false">IF(ISBLANK(Actuals!BH33),-5300.8*Escalation!$B$56,Actuals!BH33)</f>
        <v>-5737.756393728</v>
      </c>
      <c r="BH215" s="13" t="n">
        <f aca="false">IF(ISBLANK(Actuals!BI33),-5300.8*Escalation!$B$57,Actuals!BI33)</f>
        <v>-5737.756393728</v>
      </c>
      <c r="BI215" s="13" t="n">
        <f aca="false">IF(ISBLANK(Actuals!BJ33),-5300.8*Escalation!$B$58,Actuals!BJ33)</f>
        <v>-5737.756393728</v>
      </c>
      <c r="BJ215" s="13" t="n">
        <f aca="false">IF(ISBLANK(Actuals!BK33),-5300.8*Escalation!$B$59,Actuals!BK33)</f>
        <v>-5737.756393728</v>
      </c>
      <c r="BK215" s="13" t="n">
        <f aca="false">IF(ISBLANK(Actuals!BL33),-5300.8*Escalation!$B$60,Actuals!BL33)</f>
        <v>-5737.756393728</v>
      </c>
      <c r="BL215" s="13" t="n">
        <f aca="false">IF(ISBLANK(Actuals!BM33),-5300.8*Escalation!$B$61,Actuals!BM33)</f>
        <v>-5737.756393728</v>
      </c>
      <c r="BM215" s="13" t="n">
        <f aca="false">IF(ISBLANK(Actuals!BN33),-5300.8*Escalation!$B$62,Actuals!BN33)</f>
        <v>-5852.51152160256</v>
      </c>
      <c r="BN215" s="13" t="n">
        <f aca="false">IF(ISBLANK(Actuals!BO33),-5300.8*Escalation!$B$63,Actuals!BO33)</f>
        <v>-5852.51152160256</v>
      </c>
      <c r="BO215" s="13" t="n">
        <f aca="false">IF(ISBLANK(Actuals!BP33),-5300.8*Escalation!$B$64,Actuals!BP33)</f>
        <v>-5852.51152160256</v>
      </c>
      <c r="BP215" s="13" t="n">
        <f aca="false">IF(ISBLANK(Actuals!BQ33),-5300.8*Escalation!$B$65,Actuals!BQ33)</f>
        <v>-5852.51152160256</v>
      </c>
      <c r="BQ215" s="13" t="n">
        <f aca="false">IF(ISBLANK(Actuals!BR33),-5300.8*Escalation!$B$66,Actuals!BR33)</f>
        <v>-5852.51152160256</v>
      </c>
      <c r="BR215" s="13" t="n">
        <f aca="false">IF(ISBLANK(Actuals!BS33),-5300.8*Escalation!$B$67,Actuals!BS33)</f>
        <v>-5852.51152160256</v>
      </c>
      <c r="BS215" s="13" t="n">
        <f aca="false">IF(ISBLANK(Actuals!BT33),-5300.8*Escalation!$B$68,Actuals!BT33)</f>
        <v>-5852.51152160256</v>
      </c>
      <c r="BT215" s="13" t="n">
        <f aca="false">IF(ISBLANK(Actuals!BU33),-5300.8*Escalation!$B$69,Actuals!BU33)</f>
        <v>-5852.51152160256</v>
      </c>
      <c r="BU215" s="13" t="n">
        <f aca="false">IF(ISBLANK(Actuals!BV33),-5300.8*Escalation!$B$70,Actuals!BV33)</f>
        <v>-5852.51152160256</v>
      </c>
      <c r="BV215" s="13" t="n">
        <f aca="false">IF(ISBLANK(Actuals!BW33),-5300.8*Escalation!$B$71,Actuals!BW33)</f>
        <v>-5852.51152160256</v>
      </c>
      <c r="BW215" s="13" t="n">
        <f aca="false">IF(ISBLANK(Actuals!BX33),-5300.8*Escalation!$B$72,Actuals!BX33)</f>
        <v>-5852.51152160256</v>
      </c>
      <c r="BX215" s="13" t="n">
        <f aca="false">IF(ISBLANK(Actuals!BY33),-5300.8*Escalation!$B$73,Actuals!BY33)</f>
        <v>-5852.51152160256</v>
      </c>
      <c r="BY215" s="13" t="n">
        <f aca="false">IF(ISBLANK(Actuals!BZ33),-5300.8*Escalation!$B$74,Actuals!BZ33)</f>
        <v>-5969.56175203461</v>
      </c>
      <c r="BZ215" s="13" t="n">
        <f aca="false">IF(ISBLANK(Actuals!CA33),-5300.8*Escalation!$B$75,Actuals!CA33)</f>
        <v>-5969.56175203461</v>
      </c>
      <c r="CA215" s="13" t="n">
        <f aca="false">IF(ISBLANK(Actuals!CB33),-5300.8*Escalation!$B$76,Actuals!CB33)</f>
        <v>-5969.56175203461</v>
      </c>
      <c r="CB215" s="13" t="n">
        <f aca="false">IF(ISBLANK(Actuals!CC33),-5300.8*Escalation!$B$77,Actuals!CC33)</f>
        <v>-5969.56175203461</v>
      </c>
      <c r="CC215" s="13" t="n">
        <f aca="false">IF(ISBLANK(Actuals!CD33),-5300.8*Escalation!$B$78,Actuals!CD33)</f>
        <v>-5969.56175203461</v>
      </c>
      <c r="CD215" s="13" t="n">
        <f aca="false">IF(ISBLANK(Actuals!CE33),-5300.8*Escalation!$B$79,Actuals!CE33)</f>
        <v>-5969.56175203461</v>
      </c>
      <c r="CE215" s="13" t="n">
        <f aca="false">IF(ISBLANK(Actuals!CF33),-5300.8*Escalation!$B$80,Actuals!CF33)</f>
        <v>-5969.56175203461</v>
      </c>
      <c r="CF215" s="13" t="n">
        <f aca="false">IF(ISBLANK(Actuals!CG33),-5300.8*Escalation!$B$81,Actuals!CG33)</f>
        <v>-5969.56175203461</v>
      </c>
      <c r="CG215" s="13" t="n">
        <f aca="false">IF(ISBLANK(Actuals!CH33),-5300.8*Escalation!$B$82,Actuals!CH33)</f>
        <v>-5969.56175203461</v>
      </c>
      <c r="CH215" s="13" t="n">
        <f aca="false">IF(ISBLANK(Actuals!CI33),-5300.8*Escalation!$B$83,Actuals!CI33)</f>
        <v>-5969.56175203461</v>
      </c>
      <c r="CI215" s="13" t="n">
        <f aca="false">IF(ISBLANK(Actuals!CJ33),-5300.8*Escalation!$B$84,Actuals!CJ33)</f>
        <v>-5969.56175203461</v>
      </c>
      <c r="CJ215" s="13" t="n">
        <f aca="false">IF(ISBLANK(Actuals!CK33),-5300.8*Escalation!$B$85,Actuals!CK33)</f>
        <v>-5969.56175203461</v>
      </c>
      <c r="CK215" s="13" t="n">
        <f aca="false">IF(ISBLANK(Actuals!CL33),-5300.8*Escalation!$B$86,Actuals!CL33)</f>
        <v>-6088.9529870753</v>
      </c>
      <c r="CL215" s="13" t="n">
        <f aca="false">IF(ISBLANK(Actuals!CM33),-5300.8*Escalation!$B$87,Actuals!CM33)</f>
        <v>-6088.9529870753</v>
      </c>
      <c r="CM215" s="13" t="n">
        <f aca="false">IF(ISBLANK(Actuals!CN33),-5300.8*Escalation!$B$88,Actuals!CN33)</f>
        <v>-6088.9529870753</v>
      </c>
      <c r="CN215" s="13" t="n">
        <f aca="false">IF(ISBLANK(Actuals!CO33),-5300.8*Escalation!$B$89,Actuals!CO33)</f>
        <v>-6088.9529870753</v>
      </c>
      <c r="CO215" s="13" t="n">
        <f aca="false">IF(ISBLANK(Actuals!CP33),-5300.8*Escalation!$B$90,Actuals!CP33)</f>
        <v>-6088.9529870753</v>
      </c>
      <c r="CP215" s="13" t="n">
        <f aca="false">IF(ISBLANK(Actuals!CQ33),-5300.8*Escalation!$B$91,Actuals!CQ33)</f>
        <v>-6088.9529870753</v>
      </c>
      <c r="CQ215" s="13" t="n">
        <f aca="false">IF(ISBLANK(Actuals!CR33),-5300.8*Escalation!$B$92,Actuals!CR33)</f>
        <v>-6088.9529870753</v>
      </c>
      <c r="CR215" s="13" t="n">
        <f aca="false">IF(ISBLANK(Actuals!CS33),-5300.8*Escalation!$B$93,Actuals!CS33)</f>
        <v>-6088.9529870753</v>
      </c>
      <c r="CS215" s="13" t="n">
        <f aca="false">IF(ISBLANK(Actuals!CT33),-5300.8*Escalation!$B$94,Actuals!CT33)</f>
        <v>-6088.9529870753</v>
      </c>
      <c r="CT215" s="13" t="n">
        <f aca="false">IF(ISBLANK(Actuals!CU33),-5300.8*Escalation!$B$95,Actuals!CU33)</f>
        <v>-6088.9529870753</v>
      </c>
      <c r="CU215" s="13" t="n">
        <f aca="false">IF(ISBLANK(Actuals!CV33),-5300.8*Escalation!$B$96,Actuals!CV33)</f>
        <v>-6088.9529870753</v>
      </c>
      <c r="CV215" s="13" t="n">
        <f aca="false">IF(ISBLANK(Actuals!CW33),-5300.8*Escalation!$B$97,Actuals!CW33)</f>
        <v>-6088.9529870753</v>
      </c>
      <c r="CW215" s="13" t="n">
        <f aca="false">IF(ISBLANK(Actuals!CX33),-5300.8*Escalation!$B$98,Actuals!CX33)</f>
        <v>-6210.73204681681</v>
      </c>
      <c r="CX215" s="13" t="n">
        <f aca="false">IF(ISBLANK(Actuals!CY33),-5300.8*Escalation!$B$99,Actuals!CY33)</f>
        <v>-6210.73204681681</v>
      </c>
      <c r="CY215" s="13" t="n">
        <f aca="false">IF(ISBLANK(Actuals!CZ33),-5300.8*Escalation!$B$100,Actuals!CZ33)</f>
        <v>-6210.73204681681</v>
      </c>
      <c r="CZ215" s="13" t="n">
        <f aca="false">IF(ISBLANK(Actuals!DA33),-5300.8*Escalation!$B$101,Actuals!DA33)</f>
        <v>-6210.73204681681</v>
      </c>
      <c r="DA215" s="13" t="n">
        <f aca="false">IF(ISBLANK(Actuals!DB33),-5300.8*Escalation!$B$102,Actuals!DB33)</f>
        <v>-6210.73204681681</v>
      </c>
      <c r="DB215" s="13" t="n">
        <f aca="false">IF(ISBLANK(Actuals!DC33),-5300.8*Escalation!$B$103,Actuals!DC33)</f>
        <v>-6210.73204681681</v>
      </c>
      <c r="DC215" s="13" t="n">
        <f aca="false">IF(ISBLANK(Actuals!DD33),-5300.8*Escalation!$B$104,Actuals!DD33)</f>
        <v>-6210.73204681681</v>
      </c>
      <c r="DD215" s="13" t="n">
        <f aca="false">IF(ISBLANK(Actuals!DE33),-5300.8*Escalation!$B$105,Actuals!DE33)</f>
        <v>-6210.73204681681</v>
      </c>
      <c r="DE215" s="13" t="n">
        <f aca="false">IF(ISBLANK(Actuals!DF33),-5300.8*Escalation!$B$106,Actuals!DF33)</f>
        <v>-6210.73204681681</v>
      </c>
    </row>
    <row r="216" customFormat="false" ht="15" hidden="false" customHeight="true" outlineLevel="0" collapsed="false">
      <c r="A216" s="22" t="s">
        <v>77</v>
      </c>
      <c r="B216" s="13" t="n">
        <f aca="false">IF(ISBLANK(Actuals!C34),0,Actuals!C34)</f>
        <v>0</v>
      </c>
      <c r="C216" s="13" t="n">
        <f aca="false">IF(ISBLANK(Actuals!D34),0,Actuals!D34)</f>
        <v>-1766.48</v>
      </c>
      <c r="D216" s="13" t="n">
        <f aca="false">IF(ISBLANK(Actuals!E34),0,Actuals!E34)</f>
        <v>-441.62</v>
      </c>
      <c r="E216" s="13" t="n">
        <f aca="false">IF(ISBLANK(Actuals!F34),-736.03*Escalation!$B$2,Actuals!F34)</f>
        <v>-441.62</v>
      </c>
      <c r="F216" s="13" t="n">
        <f aca="false">IF(ISBLANK(Actuals!G34),-736.03*Escalation!$B$3,Actuals!G34)</f>
        <v>-578.62</v>
      </c>
      <c r="G216" s="13" t="n">
        <f aca="false">IF(ISBLANK(Actuals!H34),-736.03*Escalation!$B$4,Actuals!H34)</f>
        <v>-491.62</v>
      </c>
      <c r="H216" s="13" t="n">
        <f aca="false">IF(ISBLANK(Actuals!I34),-736.03*Escalation!$B$5,Actuals!I34)</f>
        <v>-491.62</v>
      </c>
      <c r="I216" s="13" t="n">
        <f aca="false">IF(ISBLANK(Actuals!J34),-736.03*Escalation!$B$6,Actuals!J34)</f>
        <v>-491.62</v>
      </c>
      <c r="J216" s="13" t="n">
        <f aca="false">IF(ISBLANK(Actuals!K34),-736.03*Escalation!$B$7,Actuals!K34)</f>
        <v>-736.03</v>
      </c>
      <c r="K216" s="13" t="n">
        <f aca="false">IF(ISBLANK(Actuals!L34),-736.03*Escalation!$B$8,Actuals!L34)</f>
        <v>-736.03</v>
      </c>
      <c r="L216" s="13" t="n">
        <f aca="false">IF(ISBLANK(Actuals!M34),-736.03*Escalation!$B$9,Actuals!M34)</f>
        <v>-736.03</v>
      </c>
      <c r="M216" s="13" t="n">
        <f aca="false">IF(ISBLANK(Actuals!N34),-736.03*Escalation!$B$10,Actuals!N34)</f>
        <v>-736.03</v>
      </c>
      <c r="N216" s="13" t="n">
        <f aca="false">IF(ISBLANK(Actuals!O34),-736.03*Escalation!$B$11,Actuals!O34)</f>
        <v>-736.03</v>
      </c>
      <c r="O216" s="13" t="n">
        <f aca="false">IF(ISBLANK(Actuals!P34),-736.03*Escalation!$B$12,Actuals!P34)</f>
        <v>-736.03</v>
      </c>
      <c r="P216" s="13" t="n">
        <f aca="false">IF(ISBLANK(Actuals!Q34),-736.03*Escalation!$B$13,Actuals!Q34)</f>
        <v>-736.03</v>
      </c>
      <c r="Q216" s="13" t="n">
        <f aca="false">IF(ISBLANK(Actuals!R34),-736.03*Escalation!$B$14,Actuals!R34)</f>
        <v>-750.7506</v>
      </c>
      <c r="R216" s="13" t="n">
        <f aca="false">IF(ISBLANK(Actuals!S34),-736.03*Escalation!$B$15,Actuals!S34)</f>
        <v>-750.7506</v>
      </c>
      <c r="S216" s="13" t="n">
        <f aca="false">IF(ISBLANK(Actuals!T34),-736.03*Escalation!$B$16,Actuals!T34)</f>
        <v>-750.7506</v>
      </c>
      <c r="T216" s="13" t="n">
        <f aca="false">IF(ISBLANK(Actuals!U34),-736.03*Escalation!$B$17,Actuals!U34)</f>
        <v>-750.7506</v>
      </c>
      <c r="U216" s="13" t="n">
        <f aca="false">IF(ISBLANK(Actuals!V34),-736.03*Escalation!$B$18,Actuals!V34)</f>
        <v>-750.7506</v>
      </c>
      <c r="V216" s="13" t="n">
        <f aca="false">IF(ISBLANK(Actuals!W34),-736.03*Escalation!$B$19,Actuals!W34)</f>
        <v>-750.7506</v>
      </c>
      <c r="W216" s="13" t="n">
        <f aca="false">IF(ISBLANK(Actuals!X34),-736.03*Escalation!$B$20,Actuals!X34)</f>
        <v>-750.7506</v>
      </c>
      <c r="X216" s="13" t="n">
        <f aca="false">IF(ISBLANK(Actuals!Y34),-736.03*Escalation!$B$21,Actuals!Y34)</f>
        <v>-750.7506</v>
      </c>
      <c r="Y216" s="13" t="n">
        <f aca="false">IF(ISBLANK(Actuals!Z34),-736.03*Escalation!$B$22,Actuals!Z34)</f>
        <v>-750.7506</v>
      </c>
      <c r="Z216" s="13" t="n">
        <f aca="false">IF(ISBLANK(Actuals!AA34),-736.03*Escalation!$B$23,Actuals!AA34)</f>
        <v>-750.7506</v>
      </c>
      <c r="AA216" s="13" t="n">
        <f aca="false">IF(ISBLANK(Actuals!AB34),-736.03*Escalation!$B$24,Actuals!AB34)</f>
        <v>-750.7506</v>
      </c>
      <c r="AB216" s="13" t="n">
        <f aca="false">IF(ISBLANK(Actuals!AC34),-736.03*Escalation!$B$25,Actuals!AC34)</f>
        <v>-750.7506</v>
      </c>
      <c r="AC216" s="13" t="n">
        <f aca="false">IF(ISBLANK(Actuals!AD34),-736.03*Escalation!$B$26,Actuals!AD34)</f>
        <v>-765.765612</v>
      </c>
      <c r="AD216" s="13" t="n">
        <f aca="false">IF(ISBLANK(Actuals!AE34),-736.03*Escalation!$B$27,Actuals!AE34)</f>
        <v>-765.765612</v>
      </c>
      <c r="AE216" s="13" t="n">
        <f aca="false">IF(ISBLANK(Actuals!AF34),-736.03*Escalation!$B$28,Actuals!AF34)</f>
        <v>-765.765612</v>
      </c>
      <c r="AF216" s="13" t="n">
        <f aca="false">IF(ISBLANK(Actuals!AG34),-736.03*Escalation!$B$29,Actuals!AG34)</f>
        <v>-765.765612</v>
      </c>
      <c r="AG216" s="13" t="n">
        <f aca="false">IF(ISBLANK(Actuals!AH34),-736.03*Escalation!$B$30,Actuals!AH34)</f>
        <v>-765.765612</v>
      </c>
      <c r="AH216" s="13" t="n">
        <f aca="false">IF(ISBLANK(Actuals!AI34),-736.03*Escalation!$B$31,Actuals!AI34)</f>
        <v>-765.765612</v>
      </c>
      <c r="AI216" s="13" t="n">
        <f aca="false">IF(ISBLANK(Actuals!AJ34),-736.03*Escalation!$B$32,Actuals!AJ34)</f>
        <v>-765.765612</v>
      </c>
      <c r="AJ216" s="13" t="n">
        <f aca="false">IF(ISBLANK(Actuals!AK34),-736.03*Escalation!$B$33,Actuals!AK34)</f>
        <v>-765.765612</v>
      </c>
      <c r="AK216" s="13" t="n">
        <f aca="false">IF(ISBLANK(Actuals!AL34),-736.03*Escalation!$B$34,Actuals!AL34)</f>
        <v>-765.765612</v>
      </c>
      <c r="AL216" s="13" t="n">
        <f aca="false">IF(ISBLANK(Actuals!AM34),-736.03*Escalation!$B$35,Actuals!AM34)</f>
        <v>-765.765612</v>
      </c>
      <c r="AM216" s="13" t="n">
        <f aca="false">IF(ISBLANK(Actuals!AN34),-736.03*Escalation!$B$36,Actuals!AN34)</f>
        <v>-765.765612</v>
      </c>
      <c r="AN216" s="13" t="n">
        <f aca="false">IF(ISBLANK(Actuals!AO34),-736.03*Escalation!$B$37,Actuals!AO34)</f>
        <v>-765.765612</v>
      </c>
      <c r="AO216" s="13" t="n">
        <f aca="false">IF(ISBLANK(Actuals!AP34),-736.03*Escalation!$B$38,Actuals!AP34)</f>
        <v>-781.08092424</v>
      </c>
      <c r="AP216" s="13" t="n">
        <f aca="false">IF(ISBLANK(Actuals!AQ34),-736.03*Escalation!$B$39,Actuals!AQ34)</f>
        <v>-781.08092424</v>
      </c>
      <c r="AQ216" s="13" t="n">
        <f aca="false">IF(ISBLANK(Actuals!AR34),-736.03*Escalation!$B$40,Actuals!AR34)</f>
        <v>-781.08092424</v>
      </c>
      <c r="AR216" s="13" t="n">
        <f aca="false">IF(ISBLANK(Actuals!AS34),-736.03*Escalation!$B$41,Actuals!AS34)</f>
        <v>-781.08092424</v>
      </c>
      <c r="AS216" s="13" t="n">
        <f aca="false">IF(ISBLANK(Actuals!AT34),-736.03*Escalation!$B$42,Actuals!AT34)</f>
        <v>-781.08092424</v>
      </c>
      <c r="AT216" s="13" t="n">
        <f aca="false">IF(ISBLANK(Actuals!AU34),-736.03*Escalation!$B$43,Actuals!AU34)</f>
        <v>-781.08092424</v>
      </c>
      <c r="AU216" s="13" t="n">
        <f aca="false">IF(ISBLANK(Actuals!AV34),-736.03*Escalation!$B$44,Actuals!AV34)</f>
        <v>-781.08092424</v>
      </c>
      <c r="AV216" s="13" t="n">
        <f aca="false">IF(ISBLANK(Actuals!AW34),-736.03*Escalation!$B$45,Actuals!AW34)</f>
        <v>-781.08092424</v>
      </c>
      <c r="AW216" s="13" t="n">
        <f aca="false">IF(ISBLANK(Actuals!AX34),-736.03*Escalation!$B$46,Actuals!AX34)</f>
        <v>-781.08092424</v>
      </c>
      <c r="AX216" s="13" t="n">
        <f aca="false">IF(ISBLANK(Actuals!AY34),-736.03*Escalation!$B$47,Actuals!AY34)</f>
        <v>-781.08092424</v>
      </c>
      <c r="AY216" s="13" t="n">
        <f aca="false">IF(ISBLANK(Actuals!AZ34),-736.03*Escalation!$B$48,Actuals!AZ34)</f>
        <v>-781.08092424</v>
      </c>
      <c r="AZ216" s="13" t="n">
        <f aca="false">IF(ISBLANK(Actuals!BA34),-736.03*Escalation!$B$49,Actuals!BA34)</f>
        <v>-781.08092424</v>
      </c>
      <c r="BA216" s="13" t="n">
        <f aca="false">IF(ISBLANK(Actuals!BB34),-736.03*Escalation!$B$50,Actuals!BB34)</f>
        <v>-796.7025427248</v>
      </c>
      <c r="BB216" s="13" t="n">
        <f aca="false">IF(ISBLANK(Actuals!BC34),-736.03*Escalation!$B$51,Actuals!BC34)</f>
        <v>-796.7025427248</v>
      </c>
      <c r="BC216" s="13" t="n">
        <f aca="false">IF(ISBLANK(Actuals!BD34),-736.03*Escalation!$B$52,Actuals!BD34)</f>
        <v>-796.7025427248</v>
      </c>
      <c r="BD216" s="13" t="n">
        <f aca="false">IF(ISBLANK(Actuals!BE34),-736.03*Escalation!$B$53,Actuals!BE34)</f>
        <v>-796.7025427248</v>
      </c>
      <c r="BE216" s="13" t="n">
        <f aca="false">IF(ISBLANK(Actuals!BF34),-736.03*Escalation!$B$54,Actuals!BF34)</f>
        <v>-796.7025427248</v>
      </c>
      <c r="BF216" s="13" t="n">
        <f aca="false">IF(ISBLANK(Actuals!BG34),-736.03*Escalation!$B$55,Actuals!BG34)</f>
        <v>-796.7025427248</v>
      </c>
      <c r="BG216" s="13" t="n">
        <f aca="false">IF(ISBLANK(Actuals!BH34),-736.03*Escalation!$B$56,Actuals!BH34)</f>
        <v>-796.7025427248</v>
      </c>
      <c r="BH216" s="13" t="n">
        <f aca="false">IF(ISBLANK(Actuals!BI34),-736.03*Escalation!$B$57,Actuals!BI34)</f>
        <v>-796.7025427248</v>
      </c>
      <c r="BI216" s="13" t="n">
        <f aca="false">IF(ISBLANK(Actuals!BJ34),-736.03*Escalation!$B$58,Actuals!BJ34)</f>
        <v>-796.7025427248</v>
      </c>
      <c r="BJ216" s="13" t="n">
        <f aca="false">IF(ISBLANK(Actuals!BK34),-736.03*Escalation!$B$59,Actuals!BK34)</f>
        <v>-796.7025427248</v>
      </c>
      <c r="BK216" s="13" t="n">
        <f aca="false">IF(ISBLANK(Actuals!BL34),-736.03*Escalation!$B$60,Actuals!BL34)</f>
        <v>-796.7025427248</v>
      </c>
      <c r="BL216" s="13" t="n">
        <f aca="false">IF(ISBLANK(Actuals!BM34),-736.03*Escalation!$B$61,Actuals!BM34)</f>
        <v>-796.7025427248</v>
      </c>
      <c r="BM216" s="13" t="n">
        <f aca="false">IF(ISBLANK(Actuals!BN34),-736.03*Escalation!$B$62,Actuals!BN34)</f>
        <v>-812.636593579296</v>
      </c>
      <c r="BN216" s="13" t="n">
        <f aca="false">IF(ISBLANK(Actuals!BO34),-736.03*Escalation!$B$63,Actuals!BO34)</f>
        <v>-812.636593579296</v>
      </c>
      <c r="BO216" s="13" t="n">
        <f aca="false">IF(ISBLANK(Actuals!BP34),-736.03*Escalation!$B$64,Actuals!BP34)</f>
        <v>-812.636593579296</v>
      </c>
      <c r="BP216" s="13" t="n">
        <f aca="false">IF(ISBLANK(Actuals!BQ34),-736.03*Escalation!$B$65,Actuals!BQ34)</f>
        <v>-812.636593579296</v>
      </c>
      <c r="BQ216" s="13" t="n">
        <f aca="false">IF(ISBLANK(Actuals!BR34),-736.03*Escalation!$B$66,Actuals!BR34)</f>
        <v>-812.636593579296</v>
      </c>
      <c r="BR216" s="13" t="n">
        <f aca="false">IF(ISBLANK(Actuals!BS34),-736.03*Escalation!$B$67,Actuals!BS34)</f>
        <v>-812.636593579296</v>
      </c>
      <c r="BS216" s="13" t="n">
        <f aca="false">IF(ISBLANK(Actuals!BT34),-736.03*Escalation!$B$68,Actuals!BT34)</f>
        <v>-812.636593579296</v>
      </c>
      <c r="BT216" s="13" t="n">
        <f aca="false">IF(ISBLANK(Actuals!BU34),-736.03*Escalation!$B$69,Actuals!BU34)</f>
        <v>-812.636593579296</v>
      </c>
      <c r="BU216" s="13" t="n">
        <f aca="false">IF(ISBLANK(Actuals!BV34),-736.03*Escalation!$B$70,Actuals!BV34)</f>
        <v>-812.636593579296</v>
      </c>
      <c r="BV216" s="13" t="n">
        <f aca="false">IF(ISBLANK(Actuals!BW34),-736.03*Escalation!$B$71,Actuals!BW34)</f>
        <v>-812.636593579296</v>
      </c>
      <c r="BW216" s="13" t="n">
        <f aca="false">IF(ISBLANK(Actuals!BX34),-736.03*Escalation!$B$72,Actuals!BX34)</f>
        <v>-812.636593579296</v>
      </c>
      <c r="BX216" s="13" t="n">
        <f aca="false">IF(ISBLANK(Actuals!BY34),-736.03*Escalation!$B$73,Actuals!BY34)</f>
        <v>-812.636593579296</v>
      </c>
      <c r="BY216" s="13" t="n">
        <f aca="false">IF(ISBLANK(Actuals!BZ34),-736.03*Escalation!$B$74,Actuals!BZ34)</f>
        <v>-828.889325450882</v>
      </c>
      <c r="BZ216" s="13" t="n">
        <f aca="false">IF(ISBLANK(Actuals!CA34),-736.03*Escalation!$B$75,Actuals!CA34)</f>
        <v>-828.889325450882</v>
      </c>
      <c r="CA216" s="13" t="n">
        <f aca="false">IF(ISBLANK(Actuals!CB34),-736.03*Escalation!$B$76,Actuals!CB34)</f>
        <v>-828.889325450882</v>
      </c>
      <c r="CB216" s="13" t="n">
        <f aca="false">IF(ISBLANK(Actuals!CC34),-736.03*Escalation!$B$77,Actuals!CC34)</f>
        <v>-828.889325450882</v>
      </c>
      <c r="CC216" s="13" t="n">
        <f aca="false">IF(ISBLANK(Actuals!CD34),-736.03*Escalation!$B$78,Actuals!CD34)</f>
        <v>-828.889325450882</v>
      </c>
      <c r="CD216" s="13" t="n">
        <f aca="false">IF(ISBLANK(Actuals!CE34),-736.03*Escalation!$B$79,Actuals!CE34)</f>
        <v>-828.889325450882</v>
      </c>
      <c r="CE216" s="13" t="n">
        <f aca="false">IF(ISBLANK(Actuals!CF34),-736.03*Escalation!$B$80,Actuals!CF34)</f>
        <v>-828.889325450882</v>
      </c>
      <c r="CF216" s="13" t="n">
        <f aca="false">IF(ISBLANK(Actuals!CG34),-736.03*Escalation!$B$81,Actuals!CG34)</f>
        <v>-828.889325450882</v>
      </c>
      <c r="CG216" s="13" t="n">
        <f aca="false">IF(ISBLANK(Actuals!CH34),-736.03*Escalation!$B$82,Actuals!CH34)</f>
        <v>-828.889325450882</v>
      </c>
      <c r="CH216" s="13" t="n">
        <f aca="false">IF(ISBLANK(Actuals!CI34),-736.03*Escalation!$B$83,Actuals!CI34)</f>
        <v>-828.889325450882</v>
      </c>
      <c r="CI216" s="13" t="n">
        <f aca="false">IF(ISBLANK(Actuals!CJ34),-736.03*Escalation!$B$84,Actuals!CJ34)</f>
        <v>-828.889325450882</v>
      </c>
      <c r="CJ216" s="13" t="n">
        <f aca="false">IF(ISBLANK(Actuals!CK34),-736.03*Escalation!$B$85,Actuals!CK34)</f>
        <v>-828.889325450882</v>
      </c>
      <c r="CK216" s="13" t="n">
        <f aca="false">IF(ISBLANK(Actuals!CL34),-736.03*Escalation!$B$86,Actuals!CL34)</f>
        <v>-845.4671119599</v>
      </c>
      <c r="CL216" s="13" t="n">
        <f aca="false">IF(ISBLANK(Actuals!CM34),-736.03*Escalation!$B$87,Actuals!CM34)</f>
        <v>-845.4671119599</v>
      </c>
      <c r="CM216" s="13" t="n">
        <f aca="false">IF(ISBLANK(Actuals!CN34),-736.03*Escalation!$B$88,Actuals!CN34)</f>
        <v>-845.4671119599</v>
      </c>
      <c r="CN216" s="13" t="n">
        <f aca="false">IF(ISBLANK(Actuals!CO34),-736.03*Escalation!$B$89,Actuals!CO34)</f>
        <v>-845.4671119599</v>
      </c>
      <c r="CO216" s="13" t="n">
        <f aca="false">IF(ISBLANK(Actuals!CP34),-736.03*Escalation!$B$90,Actuals!CP34)</f>
        <v>-845.4671119599</v>
      </c>
      <c r="CP216" s="13" t="n">
        <f aca="false">IF(ISBLANK(Actuals!CQ34),-736.03*Escalation!$B$91,Actuals!CQ34)</f>
        <v>-845.4671119599</v>
      </c>
      <c r="CQ216" s="13" t="n">
        <f aca="false">IF(ISBLANK(Actuals!CR34),-736.03*Escalation!$B$92,Actuals!CR34)</f>
        <v>-845.4671119599</v>
      </c>
      <c r="CR216" s="13" t="n">
        <f aca="false">IF(ISBLANK(Actuals!CS34),-736.03*Escalation!$B$93,Actuals!CS34)</f>
        <v>-845.4671119599</v>
      </c>
      <c r="CS216" s="13" t="n">
        <f aca="false">IF(ISBLANK(Actuals!CT34),-736.03*Escalation!$B$94,Actuals!CT34)</f>
        <v>-845.4671119599</v>
      </c>
      <c r="CT216" s="13" t="n">
        <f aca="false">IF(ISBLANK(Actuals!CU34),-736.03*Escalation!$B$95,Actuals!CU34)</f>
        <v>-845.4671119599</v>
      </c>
      <c r="CU216" s="13" t="n">
        <f aca="false">IF(ISBLANK(Actuals!CV34),-736.03*Escalation!$B$96,Actuals!CV34)</f>
        <v>-845.4671119599</v>
      </c>
      <c r="CV216" s="13" t="n">
        <f aca="false">IF(ISBLANK(Actuals!CW34),-736.03*Escalation!$B$97,Actuals!CW34)</f>
        <v>-845.4671119599</v>
      </c>
      <c r="CW216" s="13" t="n">
        <f aca="false">IF(ISBLANK(Actuals!CX34),-736.03*Escalation!$B$98,Actuals!CX34)</f>
        <v>-862.376454199098</v>
      </c>
      <c r="CX216" s="13" t="n">
        <f aca="false">IF(ISBLANK(Actuals!CY34),-736.03*Escalation!$B$99,Actuals!CY34)</f>
        <v>-862.376454199098</v>
      </c>
      <c r="CY216" s="13" t="n">
        <f aca="false">IF(ISBLANK(Actuals!CZ34),-736.03*Escalation!$B$100,Actuals!CZ34)</f>
        <v>-862.376454199098</v>
      </c>
      <c r="CZ216" s="13" t="n">
        <f aca="false">IF(ISBLANK(Actuals!DA34),-736.03*Escalation!$B$101,Actuals!DA34)</f>
        <v>-862.376454199098</v>
      </c>
      <c r="DA216" s="13" t="n">
        <f aca="false">IF(ISBLANK(Actuals!DB34),-736.03*Escalation!$B$102,Actuals!DB34)</f>
        <v>-862.376454199098</v>
      </c>
      <c r="DB216" s="13" t="n">
        <f aca="false">IF(ISBLANK(Actuals!DC34),-736.03*Escalation!$B$103,Actuals!DC34)</f>
        <v>-862.376454199098</v>
      </c>
      <c r="DC216" s="13" t="n">
        <f aca="false">IF(ISBLANK(Actuals!DD34),-736.03*Escalation!$B$104,Actuals!DD34)</f>
        <v>-862.376454199098</v>
      </c>
      <c r="DD216" s="13" t="n">
        <f aca="false">IF(ISBLANK(Actuals!DE34),-736.03*Escalation!$B$105,Actuals!DE34)</f>
        <v>-862.376454199098</v>
      </c>
      <c r="DE216" s="13" t="n">
        <f aca="false">IF(ISBLANK(Actuals!DF34),-736.03*Escalation!$B$106,Actuals!DF34)</f>
        <v>-862.376454199098</v>
      </c>
    </row>
    <row r="217" customFormat="false" ht="15" hidden="false" customHeight="true" outlineLevel="0" collapsed="false">
      <c r="A217" s="22" t="s">
        <v>78</v>
      </c>
      <c r="B217" s="13" t="n">
        <f aca="false">IF(ISBLANK(Actuals!C35),0,Actuals!C35)</f>
        <v>-681.77</v>
      </c>
      <c r="C217" s="13" t="n">
        <f aca="false">IF(ISBLANK(Actuals!D35),0,Actuals!D35)</f>
        <v>-600.14</v>
      </c>
      <c r="D217" s="13" t="n">
        <f aca="false">IF(ISBLANK(Actuals!E35),0,Actuals!E35)</f>
        <v>-2121.95</v>
      </c>
      <c r="E217" s="13" t="n">
        <f aca="false">IF(ISBLANK(Actuals!F35),-1134.62*Escalation!$B$2,Actuals!F35)</f>
        <v>-840.49</v>
      </c>
      <c r="F217" s="13" t="n">
        <f aca="false">IF(ISBLANK(Actuals!G35),-1134.62*Escalation!$B$3,Actuals!G35)</f>
        <v>-847.85</v>
      </c>
      <c r="G217" s="13" t="n">
        <f aca="false">IF(ISBLANK(Actuals!H35),-1134.62*Escalation!$B$4,Actuals!H35)</f>
        <v>-486.63</v>
      </c>
      <c r="H217" s="13" t="n">
        <f aca="false">IF(ISBLANK(Actuals!I35),-1134.62*Escalation!$B$5,Actuals!I35)</f>
        <v>-871.37</v>
      </c>
      <c r="I217" s="13" t="n">
        <f aca="false">IF(ISBLANK(Actuals!J35),-1134.62*Escalation!$B$6,Actuals!J35)</f>
        <v>-1025.7</v>
      </c>
      <c r="J217" s="13" t="n">
        <f aca="false">IF(ISBLANK(Actuals!K35),-1134.62*Escalation!$B$7,Actuals!K35)</f>
        <v>-1134.62</v>
      </c>
      <c r="K217" s="13" t="n">
        <f aca="false">IF(ISBLANK(Actuals!L35),-1134.62*Escalation!$B$8,Actuals!L35)</f>
        <v>-1134.62</v>
      </c>
      <c r="L217" s="13" t="n">
        <f aca="false">IF(ISBLANK(Actuals!M35),-1134.62*Escalation!$B$9,Actuals!M35)</f>
        <v>-1134.62</v>
      </c>
      <c r="M217" s="13" t="n">
        <f aca="false">IF(ISBLANK(Actuals!N35),-1134.62*Escalation!$B$10,Actuals!N35)</f>
        <v>-1134.62</v>
      </c>
      <c r="N217" s="13" t="n">
        <f aca="false">IF(ISBLANK(Actuals!O35),-1134.62*Escalation!$B$11,Actuals!O35)</f>
        <v>-1134.62</v>
      </c>
      <c r="O217" s="13" t="n">
        <f aca="false">IF(ISBLANK(Actuals!P35),-1134.62*Escalation!$B$12,Actuals!P35)</f>
        <v>-1134.62</v>
      </c>
      <c r="P217" s="13" t="n">
        <f aca="false">IF(ISBLANK(Actuals!Q35),-1134.62*Escalation!$B$13,Actuals!Q35)</f>
        <v>-1134.62</v>
      </c>
      <c r="Q217" s="13" t="n">
        <f aca="false">IF(ISBLANK(Actuals!R35),-1134.62*Escalation!$B$14,Actuals!R35)</f>
        <v>-1157.3124</v>
      </c>
      <c r="R217" s="13" t="n">
        <f aca="false">IF(ISBLANK(Actuals!S35),-1134.62*Escalation!$B$15,Actuals!S35)</f>
        <v>-1157.3124</v>
      </c>
      <c r="S217" s="13" t="n">
        <f aca="false">IF(ISBLANK(Actuals!T35),-1134.62*Escalation!$B$16,Actuals!T35)</f>
        <v>-1157.3124</v>
      </c>
      <c r="T217" s="13" t="n">
        <f aca="false">IF(ISBLANK(Actuals!U35),-1134.62*Escalation!$B$17,Actuals!U35)</f>
        <v>-1157.3124</v>
      </c>
      <c r="U217" s="13" t="n">
        <f aca="false">IF(ISBLANK(Actuals!V35),-1134.62*Escalation!$B$18,Actuals!V35)</f>
        <v>-1157.3124</v>
      </c>
      <c r="V217" s="13" t="n">
        <f aca="false">IF(ISBLANK(Actuals!W35),-1134.62*Escalation!$B$19,Actuals!W35)</f>
        <v>-1157.3124</v>
      </c>
      <c r="W217" s="13" t="n">
        <f aca="false">IF(ISBLANK(Actuals!X35),-1134.62*Escalation!$B$20,Actuals!X35)</f>
        <v>-1157.3124</v>
      </c>
      <c r="X217" s="13" t="n">
        <f aca="false">IF(ISBLANK(Actuals!Y35),-1134.62*Escalation!$B$21,Actuals!Y35)</f>
        <v>-1157.3124</v>
      </c>
      <c r="Y217" s="13" t="n">
        <f aca="false">IF(ISBLANK(Actuals!Z35),-1134.62*Escalation!$B$22,Actuals!Z35)</f>
        <v>-1157.3124</v>
      </c>
      <c r="Z217" s="13" t="n">
        <f aca="false">IF(ISBLANK(Actuals!AA35),-1134.62*Escalation!$B$23,Actuals!AA35)</f>
        <v>-1157.3124</v>
      </c>
      <c r="AA217" s="13" t="n">
        <f aca="false">IF(ISBLANK(Actuals!AB35),-1134.62*Escalation!$B$24,Actuals!AB35)</f>
        <v>-1157.3124</v>
      </c>
      <c r="AB217" s="13" t="n">
        <f aca="false">IF(ISBLANK(Actuals!AC35),-1134.62*Escalation!$B$25,Actuals!AC35)</f>
        <v>-1157.3124</v>
      </c>
      <c r="AC217" s="13" t="n">
        <f aca="false">IF(ISBLANK(Actuals!AD35),-1134.62*Escalation!$B$26,Actuals!AD35)</f>
        <v>-1180.458648</v>
      </c>
      <c r="AD217" s="13" t="n">
        <f aca="false">IF(ISBLANK(Actuals!AE35),-1134.62*Escalation!$B$27,Actuals!AE35)</f>
        <v>-1180.458648</v>
      </c>
      <c r="AE217" s="13" t="n">
        <f aca="false">IF(ISBLANK(Actuals!AF35),-1134.62*Escalation!$B$28,Actuals!AF35)</f>
        <v>-1180.458648</v>
      </c>
      <c r="AF217" s="13" t="n">
        <f aca="false">IF(ISBLANK(Actuals!AG35),-1134.62*Escalation!$B$29,Actuals!AG35)</f>
        <v>-1180.458648</v>
      </c>
      <c r="AG217" s="13" t="n">
        <f aca="false">IF(ISBLANK(Actuals!AH35),-1134.62*Escalation!$B$30,Actuals!AH35)</f>
        <v>-1180.458648</v>
      </c>
      <c r="AH217" s="13" t="n">
        <f aca="false">IF(ISBLANK(Actuals!AI35),-1134.62*Escalation!$B$31,Actuals!AI35)</f>
        <v>-1180.458648</v>
      </c>
      <c r="AI217" s="13" t="n">
        <f aca="false">IF(ISBLANK(Actuals!AJ35),-1134.62*Escalation!$B$32,Actuals!AJ35)</f>
        <v>-1180.458648</v>
      </c>
      <c r="AJ217" s="13" t="n">
        <f aca="false">IF(ISBLANK(Actuals!AK35),-1134.62*Escalation!$B$33,Actuals!AK35)</f>
        <v>-1180.458648</v>
      </c>
      <c r="AK217" s="13" t="n">
        <f aca="false">IF(ISBLANK(Actuals!AL35),-1134.62*Escalation!$B$34,Actuals!AL35)</f>
        <v>-1180.458648</v>
      </c>
      <c r="AL217" s="13" t="n">
        <f aca="false">IF(ISBLANK(Actuals!AM35),-1134.62*Escalation!$B$35,Actuals!AM35)</f>
        <v>-1180.458648</v>
      </c>
      <c r="AM217" s="13" t="n">
        <f aca="false">IF(ISBLANK(Actuals!AN35),-1134.62*Escalation!$B$36,Actuals!AN35)</f>
        <v>-1180.458648</v>
      </c>
      <c r="AN217" s="13" t="n">
        <f aca="false">IF(ISBLANK(Actuals!AO35),-1134.62*Escalation!$B$37,Actuals!AO35)</f>
        <v>-1180.458648</v>
      </c>
      <c r="AO217" s="13" t="n">
        <f aca="false">IF(ISBLANK(Actuals!AP35),-1134.62*Escalation!$B$38,Actuals!AP35)</f>
        <v>-1204.06782096</v>
      </c>
      <c r="AP217" s="13" t="n">
        <f aca="false">IF(ISBLANK(Actuals!AQ35),-1134.62*Escalation!$B$39,Actuals!AQ35)</f>
        <v>-1204.06782096</v>
      </c>
      <c r="AQ217" s="13" t="n">
        <f aca="false">IF(ISBLANK(Actuals!AR35),-1134.62*Escalation!$B$40,Actuals!AR35)</f>
        <v>-1204.06782096</v>
      </c>
      <c r="AR217" s="13" t="n">
        <f aca="false">IF(ISBLANK(Actuals!AS35),-1134.62*Escalation!$B$41,Actuals!AS35)</f>
        <v>-1204.06782096</v>
      </c>
      <c r="AS217" s="13" t="n">
        <f aca="false">IF(ISBLANK(Actuals!AT35),-1134.62*Escalation!$B$42,Actuals!AT35)</f>
        <v>-1204.06782096</v>
      </c>
      <c r="AT217" s="13" t="n">
        <f aca="false">IF(ISBLANK(Actuals!AU35),-1134.62*Escalation!$B$43,Actuals!AU35)</f>
        <v>-1204.06782096</v>
      </c>
      <c r="AU217" s="13" t="n">
        <f aca="false">IF(ISBLANK(Actuals!AV35),-1134.62*Escalation!$B$44,Actuals!AV35)</f>
        <v>-1204.06782096</v>
      </c>
      <c r="AV217" s="13" t="n">
        <f aca="false">IF(ISBLANK(Actuals!AW35),-1134.62*Escalation!$B$45,Actuals!AW35)</f>
        <v>-1204.06782096</v>
      </c>
      <c r="AW217" s="13" t="n">
        <f aca="false">IF(ISBLANK(Actuals!AX35),-1134.62*Escalation!$B$46,Actuals!AX35)</f>
        <v>-1204.06782096</v>
      </c>
      <c r="AX217" s="13" t="n">
        <f aca="false">IF(ISBLANK(Actuals!AY35),-1134.62*Escalation!$B$47,Actuals!AY35)</f>
        <v>-1204.06782096</v>
      </c>
      <c r="AY217" s="13" t="n">
        <f aca="false">IF(ISBLANK(Actuals!AZ35),-1134.62*Escalation!$B$48,Actuals!AZ35)</f>
        <v>-1204.06782096</v>
      </c>
      <c r="AZ217" s="13" t="n">
        <f aca="false">IF(ISBLANK(Actuals!BA35),-1134.62*Escalation!$B$49,Actuals!BA35)</f>
        <v>-1204.06782096</v>
      </c>
      <c r="BA217" s="13" t="n">
        <f aca="false">IF(ISBLANK(Actuals!BB35),-1134.62*Escalation!$B$50,Actuals!BB35)</f>
        <v>-1228.1491773792</v>
      </c>
      <c r="BB217" s="13" t="n">
        <f aca="false">IF(ISBLANK(Actuals!BC35),-1134.62*Escalation!$B$51,Actuals!BC35)</f>
        <v>-1228.1491773792</v>
      </c>
      <c r="BC217" s="13" t="n">
        <f aca="false">IF(ISBLANK(Actuals!BD35),-1134.62*Escalation!$B$52,Actuals!BD35)</f>
        <v>-1228.1491773792</v>
      </c>
      <c r="BD217" s="13" t="n">
        <f aca="false">IF(ISBLANK(Actuals!BE35),-1134.62*Escalation!$B$53,Actuals!BE35)</f>
        <v>-1228.1491773792</v>
      </c>
      <c r="BE217" s="13" t="n">
        <f aca="false">IF(ISBLANK(Actuals!BF35),-1134.62*Escalation!$B$54,Actuals!BF35)</f>
        <v>-1228.1491773792</v>
      </c>
      <c r="BF217" s="13" t="n">
        <f aca="false">IF(ISBLANK(Actuals!BG35),-1134.62*Escalation!$B$55,Actuals!BG35)</f>
        <v>-1228.1491773792</v>
      </c>
      <c r="BG217" s="13" t="n">
        <f aca="false">IF(ISBLANK(Actuals!BH35),-1134.62*Escalation!$B$56,Actuals!BH35)</f>
        <v>-1228.1491773792</v>
      </c>
      <c r="BH217" s="13" t="n">
        <f aca="false">IF(ISBLANK(Actuals!BI35),-1134.62*Escalation!$B$57,Actuals!BI35)</f>
        <v>-1228.1491773792</v>
      </c>
      <c r="BI217" s="13" t="n">
        <f aca="false">IF(ISBLANK(Actuals!BJ35),-1134.62*Escalation!$B$58,Actuals!BJ35)</f>
        <v>-1228.1491773792</v>
      </c>
      <c r="BJ217" s="13" t="n">
        <f aca="false">IF(ISBLANK(Actuals!BK35),-1134.62*Escalation!$B$59,Actuals!BK35)</f>
        <v>-1228.1491773792</v>
      </c>
      <c r="BK217" s="13" t="n">
        <f aca="false">IF(ISBLANK(Actuals!BL35),-1134.62*Escalation!$B$60,Actuals!BL35)</f>
        <v>-1228.1491773792</v>
      </c>
      <c r="BL217" s="13" t="n">
        <f aca="false">IF(ISBLANK(Actuals!BM35),-1134.62*Escalation!$B$61,Actuals!BM35)</f>
        <v>-1228.1491773792</v>
      </c>
      <c r="BM217" s="13" t="n">
        <f aca="false">IF(ISBLANK(Actuals!BN35),-1134.62*Escalation!$B$62,Actuals!BN35)</f>
        <v>-1252.71216092678</v>
      </c>
      <c r="BN217" s="13" t="n">
        <f aca="false">IF(ISBLANK(Actuals!BO35),-1134.62*Escalation!$B$63,Actuals!BO35)</f>
        <v>-1252.71216092678</v>
      </c>
      <c r="BO217" s="13" t="n">
        <f aca="false">IF(ISBLANK(Actuals!BP35),-1134.62*Escalation!$B$64,Actuals!BP35)</f>
        <v>-1252.71216092678</v>
      </c>
      <c r="BP217" s="13" t="n">
        <f aca="false">IF(ISBLANK(Actuals!BQ35),-1134.62*Escalation!$B$65,Actuals!BQ35)</f>
        <v>-1252.71216092678</v>
      </c>
      <c r="BQ217" s="13" t="n">
        <f aca="false">IF(ISBLANK(Actuals!BR35),-1134.62*Escalation!$B$66,Actuals!BR35)</f>
        <v>-1252.71216092678</v>
      </c>
      <c r="BR217" s="13" t="n">
        <f aca="false">IF(ISBLANK(Actuals!BS35),-1134.62*Escalation!$B$67,Actuals!BS35)</f>
        <v>-1252.71216092678</v>
      </c>
      <c r="BS217" s="13" t="n">
        <f aca="false">IF(ISBLANK(Actuals!BT35),-1134.62*Escalation!$B$68,Actuals!BT35)</f>
        <v>-1252.71216092678</v>
      </c>
      <c r="BT217" s="13" t="n">
        <f aca="false">IF(ISBLANK(Actuals!BU35),-1134.62*Escalation!$B$69,Actuals!BU35)</f>
        <v>-1252.71216092678</v>
      </c>
      <c r="BU217" s="13" t="n">
        <f aca="false">IF(ISBLANK(Actuals!BV35),-1134.62*Escalation!$B$70,Actuals!BV35)</f>
        <v>-1252.71216092678</v>
      </c>
      <c r="BV217" s="13" t="n">
        <f aca="false">IF(ISBLANK(Actuals!BW35),-1134.62*Escalation!$B$71,Actuals!BW35)</f>
        <v>-1252.71216092678</v>
      </c>
      <c r="BW217" s="13" t="n">
        <f aca="false">IF(ISBLANK(Actuals!BX35),-1134.62*Escalation!$B$72,Actuals!BX35)</f>
        <v>-1252.71216092678</v>
      </c>
      <c r="BX217" s="13" t="n">
        <f aca="false">IF(ISBLANK(Actuals!BY35),-1134.62*Escalation!$B$73,Actuals!BY35)</f>
        <v>-1252.71216092678</v>
      </c>
      <c r="BY217" s="13" t="n">
        <f aca="false">IF(ISBLANK(Actuals!BZ35),-1134.62*Escalation!$B$74,Actuals!BZ35)</f>
        <v>-1277.76640414532</v>
      </c>
      <c r="BZ217" s="13" t="n">
        <f aca="false">IF(ISBLANK(Actuals!CA35),-1134.62*Escalation!$B$75,Actuals!CA35)</f>
        <v>-1277.76640414532</v>
      </c>
      <c r="CA217" s="13" t="n">
        <f aca="false">IF(ISBLANK(Actuals!CB35),-1134.62*Escalation!$B$76,Actuals!CB35)</f>
        <v>-1277.76640414532</v>
      </c>
      <c r="CB217" s="13" t="n">
        <f aca="false">IF(ISBLANK(Actuals!CC35),-1134.62*Escalation!$B$77,Actuals!CC35)</f>
        <v>-1277.76640414532</v>
      </c>
      <c r="CC217" s="13" t="n">
        <f aca="false">IF(ISBLANK(Actuals!CD35),-1134.62*Escalation!$B$78,Actuals!CD35)</f>
        <v>-1277.76640414532</v>
      </c>
      <c r="CD217" s="13" t="n">
        <f aca="false">IF(ISBLANK(Actuals!CE35),-1134.62*Escalation!$B$79,Actuals!CE35)</f>
        <v>-1277.76640414532</v>
      </c>
      <c r="CE217" s="13" t="n">
        <f aca="false">IF(ISBLANK(Actuals!CF35),-1134.62*Escalation!$B$80,Actuals!CF35)</f>
        <v>-1277.76640414532</v>
      </c>
      <c r="CF217" s="13" t="n">
        <f aca="false">IF(ISBLANK(Actuals!CG35),-1134.62*Escalation!$B$81,Actuals!CG35)</f>
        <v>-1277.76640414532</v>
      </c>
      <c r="CG217" s="13" t="n">
        <f aca="false">IF(ISBLANK(Actuals!CH35),-1134.62*Escalation!$B$82,Actuals!CH35)</f>
        <v>-1277.76640414532</v>
      </c>
      <c r="CH217" s="13" t="n">
        <f aca="false">IF(ISBLANK(Actuals!CI35),-1134.62*Escalation!$B$83,Actuals!CI35)</f>
        <v>-1277.76640414532</v>
      </c>
      <c r="CI217" s="13" t="n">
        <f aca="false">IF(ISBLANK(Actuals!CJ35),-1134.62*Escalation!$B$84,Actuals!CJ35)</f>
        <v>-1277.76640414532</v>
      </c>
      <c r="CJ217" s="13" t="n">
        <f aca="false">IF(ISBLANK(Actuals!CK35),-1134.62*Escalation!$B$85,Actuals!CK35)</f>
        <v>-1277.76640414532</v>
      </c>
      <c r="CK217" s="13" t="n">
        <f aca="false">IF(ISBLANK(Actuals!CL35),-1134.62*Escalation!$B$86,Actuals!CL35)</f>
        <v>-1303.32173222823</v>
      </c>
      <c r="CL217" s="13" t="n">
        <f aca="false">IF(ISBLANK(Actuals!CM35),-1134.62*Escalation!$B$87,Actuals!CM35)</f>
        <v>-1303.32173222823</v>
      </c>
      <c r="CM217" s="13" t="n">
        <f aca="false">IF(ISBLANK(Actuals!CN35),-1134.62*Escalation!$B$88,Actuals!CN35)</f>
        <v>-1303.32173222823</v>
      </c>
      <c r="CN217" s="13" t="n">
        <f aca="false">IF(ISBLANK(Actuals!CO35),-1134.62*Escalation!$B$89,Actuals!CO35)</f>
        <v>-1303.32173222823</v>
      </c>
      <c r="CO217" s="13" t="n">
        <f aca="false">IF(ISBLANK(Actuals!CP35),-1134.62*Escalation!$B$90,Actuals!CP35)</f>
        <v>-1303.32173222823</v>
      </c>
      <c r="CP217" s="13" t="n">
        <f aca="false">IF(ISBLANK(Actuals!CQ35),-1134.62*Escalation!$B$91,Actuals!CQ35)</f>
        <v>-1303.32173222823</v>
      </c>
      <c r="CQ217" s="13" t="n">
        <f aca="false">IF(ISBLANK(Actuals!CR35),-1134.62*Escalation!$B$92,Actuals!CR35)</f>
        <v>-1303.32173222823</v>
      </c>
      <c r="CR217" s="13" t="n">
        <f aca="false">IF(ISBLANK(Actuals!CS35),-1134.62*Escalation!$B$93,Actuals!CS35)</f>
        <v>-1303.32173222823</v>
      </c>
      <c r="CS217" s="13" t="n">
        <f aca="false">IF(ISBLANK(Actuals!CT35),-1134.62*Escalation!$B$94,Actuals!CT35)</f>
        <v>-1303.32173222823</v>
      </c>
      <c r="CT217" s="13" t="n">
        <f aca="false">IF(ISBLANK(Actuals!CU35),-1134.62*Escalation!$B$95,Actuals!CU35)</f>
        <v>-1303.32173222823</v>
      </c>
      <c r="CU217" s="13" t="n">
        <f aca="false">IF(ISBLANK(Actuals!CV35),-1134.62*Escalation!$B$96,Actuals!CV35)</f>
        <v>-1303.32173222823</v>
      </c>
      <c r="CV217" s="13" t="n">
        <f aca="false">IF(ISBLANK(Actuals!CW35),-1134.62*Escalation!$B$97,Actuals!CW35)</f>
        <v>-1303.32173222823</v>
      </c>
      <c r="CW217" s="13" t="n">
        <f aca="false">IF(ISBLANK(Actuals!CX35),-1134.62*Escalation!$B$98,Actuals!CX35)</f>
        <v>-1329.38816687279</v>
      </c>
      <c r="CX217" s="13" t="n">
        <f aca="false">IF(ISBLANK(Actuals!CY35),-1134.62*Escalation!$B$99,Actuals!CY35)</f>
        <v>-1329.38816687279</v>
      </c>
      <c r="CY217" s="13" t="n">
        <f aca="false">IF(ISBLANK(Actuals!CZ35),-1134.62*Escalation!$B$100,Actuals!CZ35)</f>
        <v>-1329.38816687279</v>
      </c>
      <c r="CZ217" s="13" t="n">
        <f aca="false">IF(ISBLANK(Actuals!DA35),-1134.62*Escalation!$B$101,Actuals!DA35)</f>
        <v>-1329.38816687279</v>
      </c>
      <c r="DA217" s="13" t="n">
        <f aca="false">IF(ISBLANK(Actuals!DB35),-1134.62*Escalation!$B$102,Actuals!DB35)</f>
        <v>-1329.38816687279</v>
      </c>
      <c r="DB217" s="13" t="n">
        <f aca="false">IF(ISBLANK(Actuals!DC35),-1134.62*Escalation!$B$103,Actuals!DC35)</f>
        <v>-1329.38816687279</v>
      </c>
      <c r="DC217" s="13" t="n">
        <f aca="false">IF(ISBLANK(Actuals!DD35),-1134.62*Escalation!$B$104,Actuals!DD35)</f>
        <v>-1329.38816687279</v>
      </c>
      <c r="DD217" s="13" t="n">
        <f aca="false">IF(ISBLANK(Actuals!DE35),-1134.62*Escalation!$B$105,Actuals!DE35)</f>
        <v>-1329.38816687279</v>
      </c>
      <c r="DE217" s="13" t="n">
        <f aca="false">IF(ISBLANK(Actuals!DF35),-1134.62*Escalation!$B$106,Actuals!DF35)</f>
        <v>-1329.38816687279</v>
      </c>
    </row>
    <row r="218" customFormat="false" ht="15" hidden="false" customHeight="true" outlineLevel="0" collapsed="false">
      <c r="A218" s="22" t="s">
        <v>79</v>
      </c>
      <c r="B218" s="13" t="n">
        <f aca="false">IF(ISBLANK(Actuals!C36),0,Actuals!C36)</f>
        <v>-2187.5</v>
      </c>
      <c r="C218" s="13" t="n">
        <f aca="false">IF(ISBLANK(Actuals!D36),0,Actuals!D36)</f>
        <v>0</v>
      </c>
      <c r="D218" s="13" t="n">
        <f aca="false">IF(ISBLANK(Actuals!E36),0,Actuals!E36)</f>
        <v>-1625</v>
      </c>
      <c r="E218" s="13" t="n">
        <f aca="false">IF(ISBLANK(Actuals!F36),-1270.83*Escalation!$B$2,Actuals!F36)</f>
        <v>0</v>
      </c>
      <c r="F218" s="13" t="n">
        <f aca="false">IF(ISBLANK(Actuals!G36),-1270.83*Escalation!$B$3,Actuals!G36)</f>
        <v>0</v>
      </c>
      <c r="G218" s="13" t="n">
        <f aca="false">IF(ISBLANK(Actuals!H36),-1270.83*Escalation!$B$4,Actuals!H36)</f>
        <v>0</v>
      </c>
      <c r="H218" s="13" t="n">
        <f aca="false">IF(ISBLANK(Actuals!I36),-1270.83*Escalation!$B$5,Actuals!I36)</f>
        <v>0</v>
      </c>
      <c r="I218" s="13" t="n">
        <f aca="false">IF(ISBLANK(Actuals!J36),-1270.83*Escalation!$B$6,Actuals!J36)</f>
        <v>-1560</v>
      </c>
      <c r="J218" s="13" t="n">
        <f aca="false">IF(ISBLANK(Actuals!K36),-1270.83*Escalation!$B$7,Actuals!K36)</f>
        <v>-1270.83</v>
      </c>
      <c r="K218" s="13" t="n">
        <f aca="false">IF(ISBLANK(Actuals!L36),-1270.83*Escalation!$B$8,Actuals!L36)</f>
        <v>-1270.83</v>
      </c>
      <c r="L218" s="13" t="n">
        <f aca="false">IF(ISBLANK(Actuals!M36),-1270.83*Escalation!$B$9,Actuals!M36)</f>
        <v>-1270.83</v>
      </c>
      <c r="M218" s="13" t="n">
        <f aca="false">IF(ISBLANK(Actuals!N36),-1270.83*Escalation!$B$10,Actuals!N36)</f>
        <v>-1270.83</v>
      </c>
      <c r="N218" s="13" t="n">
        <f aca="false">IF(ISBLANK(Actuals!O36),-1270.83*Escalation!$B$11,Actuals!O36)</f>
        <v>-1270.83</v>
      </c>
      <c r="O218" s="13" t="n">
        <f aca="false">IF(ISBLANK(Actuals!P36),-1270.83*Escalation!$B$12,Actuals!P36)</f>
        <v>-1270.83</v>
      </c>
      <c r="P218" s="13" t="n">
        <f aca="false">IF(ISBLANK(Actuals!Q36),-1270.83*Escalation!$B$13,Actuals!Q36)</f>
        <v>-1270.83</v>
      </c>
      <c r="Q218" s="13" t="n">
        <f aca="false">IF(ISBLANK(Actuals!R36),-1270.83*Escalation!$B$14,Actuals!R36)</f>
        <v>-1296.2466</v>
      </c>
      <c r="R218" s="13" t="n">
        <f aca="false">IF(ISBLANK(Actuals!S36),-1270.83*Escalation!$B$15,Actuals!S36)</f>
        <v>-1296.2466</v>
      </c>
      <c r="S218" s="13" t="n">
        <f aca="false">IF(ISBLANK(Actuals!T36),-1270.83*Escalation!$B$16,Actuals!T36)</f>
        <v>-1296.2466</v>
      </c>
      <c r="T218" s="13" t="n">
        <f aca="false">IF(ISBLANK(Actuals!U36),-1270.83*Escalation!$B$17,Actuals!U36)</f>
        <v>-1296.2466</v>
      </c>
      <c r="U218" s="13" t="n">
        <f aca="false">IF(ISBLANK(Actuals!V36),-1270.83*Escalation!$B$18,Actuals!V36)</f>
        <v>-1296.2466</v>
      </c>
      <c r="V218" s="13" t="n">
        <f aca="false">IF(ISBLANK(Actuals!W36),-1270.83*Escalation!$B$19,Actuals!W36)</f>
        <v>-1296.2466</v>
      </c>
      <c r="W218" s="13" t="n">
        <f aca="false">IF(ISBLANK(Actuals!X36),-1270.83*Escalation!$B$20,Actuals!X36)</f>
        <v>-1296.2466</v>
      </c>
      <c r="X218" s="13" t="n">
        <f aca="false">IF(ISBLANK(Actuals!Y36),-1270.83*Escalation!$B$21,Actuals!Y36)</f>
        <v>-1296.2466</v>
      </c>
      <c r="Y218" s="13" t="n">
        <f aca="false">IF(ISBLANK(Actuals!Z36),-1270.83*Escalation!$B$22,Actuals!Z36)</f>
        <v>-1296.2466</v>
      </c>
      <c r="Z218" s="13" t="n">
        <f aca="false">IF(ISBLANK(Actuals!AA36),-1270.83*Escalation!$B$23,Actuals!AA36)</f>
        <v>-1296.2466</v>
      </c>
      <c r="AA218" s="13" t="n">
        <f aca="false">IF(ISBLANK(Actuals!AB36),-1270.83*Escalation!$B$24,Actuals!AB36)</f>
        <v>-1296.2466</v>
      </c>
      <c r="AB218" s="13" t="n">
        <f aca="false">IF(ISBLANK(Actuals!AC36),-1270.83*Escalation!$B$25,Actuals!AC36)</f>
        <v>-1296.2466</v>
      </c>
      <c r="AC218" s="13" t="n">
        <f aca="false">IF(ISBLANK(Actuals!AD36),-1270.83*Escalation!$B$26,Actuals!AD36)</f>
        <v>-1322.171532</v>
      </c>
      <c r="AD218" s="13" t="n">
        <f aca="false">IF(ISBLANK(Actuals!AE36),-1270.83*Escalation!$B$27,Actuals!AE36)</f>
        <v>-1322.171532</v>
      </c>
      <c r="AE218" s="13" t="n">
        <f aca="false">IF(ISBLANK(Actuals!AF36),-1270.83*Escalation!$B$28,Actuals!AF36)</f>
        <v>-1322.171532</v>
      </c>
      <c r="AF218" s="13" t="n">
        <f aca="false">IF(ISBLANK(Actuals!AG36),-1270.83*Escalation!$B$29,Actuals!AG36)</f>
        <v>-1322.171532</v>
      </c>
      <c r="AG218" s="13" t="n">
        <f aca="false">IF(ISBLANK(Actuals!AH36),-1270.83*Escalation!$B$30,Actuals!AH36)</f>
        <v>-1322.171532</v>
      </c>
      <c r="AH218" s="13" t="n">
        <f aca="false">IF(ISBLANK(Actuals!AI36),-1270.83*Escalation!$B$31,Actuals!AI36)</f>
        <v>-1322.171532</v>
      </c>
      <c r="AI218" s="13" t="n">
        <f aca="false">IF(ISBLANK(Actuals!AJ36),-1270.83*Escalation!$B$32,Actuals!AJ36)</f>
        <v>-1322.171532</v>
      </c>
      <c r="AJ218" s="13" t="n">
        <f aca="false">IF(ISBLANK(Actuals!AK36),-1270.83*Escalation!$B$33,Actuals!AK36)</f>
        <v>-1322.171532</v>
      </c>
      <c r="AK218" s="13" t="n">
        <f aca="false">IF(ISBLANK(Actuals!AL36),-1270.83*Escalation!$B$34,Actuals!AL36)</f>
        <v>-1322.171532</v>
      </c>
      <c r="AL218" s="13" t="n">
        <f aca="false">IF(ISBLANK(Actuals!AM36),-1270.83*Escalation!$B$35,Actuals!AM36)</f>
        <v>-1322.171532</v>
      </c>
      <c r="AM218" s="13" t="n">
        <f aca="false">IF(ISBLANK(Actuals!AN36),-1270.83*Escalation!$B$36,Actuals!AN36)</f>
        <v>-1322.171532</v>
      </c>
      <c r="AN218" s="13" t="n">
        <f aca="false">IF(ISBLANK(Actuals!AO36),-1270.83*Escalation!$B$37,Actuals!AO36)</f>
        <v>-1322.171532</v>
      </c>
      <c r="AO218" s="13" t="n">
        <f aca="false">IF(ISBLANK(Actuals!AP36),-1270.83*Escalation!$B$38,Actuals!AP36)</f>
        <v>-1348.61496264</v>
      </c>
      <c r="AP218" s="13" t="n">
        <f aca="false">IF(ISBLANK(Actuals!AQ36),-1270.83*Escalation!$B$39,Actuals!AQ36)</f>
        <v>-1348.61496264</v>
      </c>
      <c r="AQ218" s="13" t="n">
        <f aca="false">IF(ISBLANK(Actuals!AR36),-1270.83*Escalation!$B$40,Actuals!AR36)</f>
        <v>-1348.61496264</v>
      </c>
      <c r="AR218" s="13" t="n">
        <f aca="false">IF(ISBLANK(Actuals!AS36),-1270.83*Escalation!$B$41,Actuals!AS36)</f>
        <v>-1348.61496264</v>
      </c>
      <c r="AS218" s="13" t="n">
        <f aca="false">IF(ISBLANK(Actuals!AT36),-1270.83*Escalation!$B$42,Actuals!AT36)</f>
        <v>-1348.61496264</v>
      </c>
      <c r="AT218" s="13" t="n">
        <f aca="false">IF(ISBLANK(Actuals!AU36),-1270.83*Escalation!$B$43,Actuals!AU36)</f>
        <v>-1348.61496264</v>
      </c>
      <c r="AU218" s="13" t="n">
        <f aca="false">IF(ISBLANK(Actuals!AV36),-1270.83*Escalation!$B$44,Actuals!AV36)</f>
        <v>-1348.61496264</v>
      </c>
      <c r="AV218" s="13" t="n">
        <f aca="false">IF(ISBLANK(Actuals!AW36),-1270.83*Escalation!$B$45,Actuals!AW36)</f>
        <v>-1348.61496264</v>
      </c>
      <c r="AW218" s="13" t="n">
        <f aca="false">IF(ISBLANK(Actuals!AX36),-1270.83*Escalation!$B$46,Actuals!AX36)</f>
        <v>-1348.61496264</v>
      </c>
      <c r="AX218" s="13" t="n">
        <f aca="false">IF(ISBLANK(Actuals!AY36),-1270.83*Escalation!$B$47,Actuals!AY36)</f>
        <v>-1348.61496264</v>
      </c>
      <c r="AY218" s="13" t="n">
        <f aca="false">IF(ISBLANK(Actuals!AZ36),-1270.83*Escalation!$B$48,Actuals!AZ36)</f>
        <v>-1348.61496264</v>
      </c>
      <c r="AZ218" s="13" t="n">
        <f aca="false">IF(ISBLANK(Actuals!BA36),-1270.83*Escalation!$B$49,Actuals!BA36)</f>
        <v>-1348.61496264</v>
      </c>
      <c r="BA218" s="13" t="n">
        <f aca="false">IF(ISBLANK(Actuals!BB36),-1270.83*Escalation!$B$50,Actuals!BB36)</f>
        <v>-1375.5872618928</v>
      </c>
      <c r="BB218" s="13" t="n">
        <f aca="false">IF(ISBLANK(Actuals!BC36),-1270.83*Escalation!$B$51,Actuals!BC36)</f>
        <v>-1375.5872618928</v>
      </c>
      <c r="BC218" s="13" t="n">
        <f aca="false">IF(ISBLANK(Actuals!BD36),-1270.83*Escalation!$B$52,Actuals!BD36)</f>
        <v>-1375.5872618928</v>
      </c>
      <c r="BD218" s="13" t="n">
        <f aca="false">IF(ISBLANK(Actuals!BE36),-1270.83*Escalation!$B$53,Actuals!BE36)</f>
        <v>-1375.5872618928</v>
      </c>
      <c r="BE218" s="13" t="n">
        <f aca="false">IF(ISBLANK(Actuals!BF36),-1270.83*Escalation!$B$54,Actuals!BF36)</f>
        <v>-1375.5872618928</v>
      </c>
      <c r="BF218" s="13" t="n">
        <f aca="false">IF(ISBLANK(Actuals!BG36),-1270.83*Escalation!$B$55,Actuals!BG36)</f>
        <v>-1375.5872618928</v>
      </c>
      <c r="BG218" s="13" t="n">
        <f aca="false">IF(ISBLANK(Actuals!BH36),-1270.83*Escalation!$B$56,Actuals!BH36)</f>
        <v>-1375.5872618928</v>
      </c>
      <c r="BH218" s="13" t="n">
        <f aca="false">IF(ISBLANK(Actuals!BI36),-1270.83*Escalation!$B$57,Actuals!BI36)</f>
        <v>-1375.5872618928</v>
      </c>
      <c r="BI218" s="13" t="n">
        <f aca="false">IF(ISBLANK(Actuals!BJ36),-1270.83*Escalation!$B$58,Actuals!BJ36)</f>
        <v>-1375.5872618928</v>
      </c>
      <c r="BJ218" s="13" t="n">
        <f aca="false">IF(ISBLANK(Actuals!BK36),-1270.83*Escalation!$B$59,Actuals!BK36)</f>
        <v>-1375.5872618928</v>
      </c>
      <c r="BK218" s="13" t="n">
        <f aca="false">IF(ISBLANK(Actuals!BL36),-1270.83*Escalation!$B$60,Actuals!BL36)</f>
        <v>-1375.5872618928</v>
      </c>
      <c r="BL218" s="13" t="n">
        <f aca="false">IF(ISBLANK(Actuals!BM36),-1270.83*Escalation!$B$61,Actuals!BM36)</f>
        <v>-1375.5872618928</v>
      </c>
      <c r="BM218" s="13" t="n">
        <f aca="false">IF(ISBLANK(Actuals!BN36),-1270.83*Escalation!$B$62,Actuals!BN36)</f>
        <v>-1403.09900713066</v>
      </c>
      <c r="BN218" s="13" t="n">
        <f aca="false">IF(ISBLANK(Actuals!BO36),-1270.83*Escalation!$B$63,Actuals!BO36)</f>
        <v>-1403.09900713066</v>
      </c>
      <c r="BO218" s="13" t="n">
        <f aca="false">IF(ISBLANK(Actuals!BP36),-1270.83*Escalation!$B$64,Actuals!BP36)</f>
        <v>-1403.09900713066</v>
      </c>
      <c r="BP218" s="13" t="n">
        <f aca="false">IF(ISBLANK(Actuals!BQ36),-1270.83*Escalation!$B$65,Actuals!BQ36)</f>
        <v>-1403.09900713066</v>
      </c>
      <c r="BQ218" s="13" t="n">
        <f aca="false">IF(ISBLANK(Actuals!BR36),-1270.83*Escalation!$B$66,Actuals!BR36)</f>
        <v>-1403.09900713066</v>
      </c>
      <c r="BR218" s="13" t="n">
        <f aca="false">IF(ISBLANK(Actuals!BS36),-1270.83*Escalation!$B$67,Actuals!BS36)</f>
        <v>-1403.09900713066</v>
      </c>
      <c r="BS218" s="13" t="n">
        <f aca="false">IF(ISBLANK(Actuals!BT36),-1270.83*Escalation!$B$68,Actuals!BT36)</f>
        <v>-1403.09900713066</v>
      </c>
      <c r="BT218" s="13" t="n">
        <f aca="false">IF(ISBLANK(Actuals!BU36),-1270.83*Escalation!$B$69,Actuals!BU36)</f>
        <v>-1403.09900713066</v>
      </c>
      <c r="BU218" s="13" t="n">
        <f aca="false">IF(ISBLANK(Actuals!BV36),-1270.83*Escalation!$B$70,Actuals!BV36)</f>
        <v>-1403.09900713066</v>
      </c>
      <c r="BV218" s="13" t="n">
        <f aca="false">IF(ISBLANK(Actuals!BW36),-1270.83*Escalation!$B$71,Actuals!BW36)</f>
        <v>-1403.09900713066</v>
      </c>
      <c r="BW218" s="13" t="n">
        <f aca="false">IF(ISBLANK(Actuals!BX36),-1270.83*Escalation!$B$72,Actuals!BX36)</f>
        <v>-1403.09900713066</v>
      </c>
      <c r="BX218" s="13" t="n">
        <f aca="false">IF(ISBLANK(Actuals!BY36),-1270.83*Escalation!$B$73,Actuals!BY36)</f>
        <v>-1403.09900713066</v>
      </c>
      <c r="BY218" s="13" t="n">
        <f aca="false">IF(ISBLANK(Actuals!BZ36),-1270.83*Escalation!$B$74,Actuals!BZ36)</f>
        <v>-1431.16098727327</v>
      </c>
      <c r="BZ218" s="13" t="n">
        <f aca="false">IF(ISBLANK(Actuals!CA36),-1270.83*Escalation!$B$75,Actuals!CA36)</f>
        <v>-1431.16098727327</v>
      </c>
      <c r="CA218" s="13" t="n">
        <f aca="false">IF(ISBLANK(Actuals!CB36),-1270.83*Escalation!$B$76,Actuals!CB36)</f>
        <v>-1431.16098727327</v>
      </c>
      <c r="CB218" s="13" t="n">
        <f aca="false">IF(ISBLANK(Actuals!CC36),-1270.83*Escalation!$B$77,Actuals!CC36)</f>
        <v>-1431.16098727327</v>
      </c>
      <c r="CC218" s="13" t="n">
        <f aca="false">IF(ISBLANK(Actuals!CD36),-1270.83*Escalation!$B$78,Actuals!CD36)</f>
        <v>-1431.16098727327</v>
      </c>
      <c r="CD218" s="13" t="n">
        <f aca="false">IF(ISBLANK(Actuals!CE36),-1270.83*Escalation!$B$79,Actuals!CE36)</f>
        <v>-1431.16098727327</v>
      </c>
      <c r="CE218" s="13" t="n">
        <f aca="false">IF(ISBLANK(Actuals!CF36),-1270.83*Escalation!$B$80,Actuals!CF36)</f>
        <v>-1431.16098727327</v>
      </c>
      <c r="CF218" s="13" t="n">
        <f aca="false">IF(ISBLANK(Actuals!CG36),-1270.83*Escalation!$B$81,Actuals!CG36)</f>
        <v>-1431.16098727327</v>
      </c>
      <c r="CG218" s="13" t="n">
        <f aca="false">IF(ISBLANK(Actuals!CH36),-1270.83*Escalation!$B$82,Actuals!CH36)</f>
        <v>-1431.16098727327</v>
      </c>
      <c r="CH218" s="13" t="n">
        <f aca="false">IF(ISBLANK(Actuals!CI36),-1270.83*Escalation!$B$83,Actuals!CI36)</f>
        <v>-1431.16098727327</v>
      </c>
      <c r="CI218" s="13" t="n">
        <f aca="false">IF(ISBLANK(Actuals!CJ36),-1270.83*Escalation!$B$84,Actuals!CJ36)</f>
        <v>-1431.16098727327</v>
      </c>
      <c r="CJ218" s="13" t="n">
        <f aca="false">IF(ISBLANK(Actuals!CK36),-1270.83*Escalation!$B$85,Actuals!CK36)</f>
        <v>-1431.16098727327</v>
      </c>
      <c r="CK218" s="13" t="n">
        <f aca="false">IF(ISBLANK(Actuals!CL36),-1270.83*Escalation!$B$86,Actuals!CL36)</f>
        <v>-1459.78420701873</v>
      </c>
      <c r="CL218" s="13" t="n">
        <f aca="false">IF(ISBLANK(Actuals!CM36),-1270.83*Escalation!$B$87,Actuals!CM36)</f>
        <v>-1459.78420701873</v>
      </c>
      <c r="CM218" s="13" t="n">
        <f aca="false">IF(ISBLANK(Actuals!CN36),-1270.83*Escalation!$B$88,Actuals!CN36)</f>
        <v>-1459.78420701873</v>
      </c>
      <c r="CN218" s="13" t="n">
        <f aca="false">IF(ISBLANK(Actuals!CO36),-1270.83*Escalation!$B$89,Actuals!CO36)</f>
        <v>-1459.78420701873</v>
      </c>
      <c r="CO218" s="13" t="n">
        <f aca="false">IF(ISBLANK(Actuals!CP36),-1270.83*Escalation!$B$90,Actuals!CP36)</f>
        <v>-1459.78420701873</v>
      </c>
      <c r="CP218" s="13" t="n">
        <f aca="false">IF(ISBLANK(Actuals!CQ36),-1270.83*Escalation!$B$91,Actuals!CQ36)</f>
        <v>-1459.78420701873</v>
      </c>
      <c r="CQ218" s="13" t="n">
        <f aca="false">IF(ISBLANK(Actuals!CR36),-1270.83*Escalation!$B$92,Actuals!CR36)</f>
        <v>-1459.78420701873</v>
      </c>
      <c r="CR218" s="13" t="n">
        <f aca="false">IF(ISBLANK(Actuals!CS36),-1270.83*Escalation!$B$93,Actuals!CS36)</f>
        <v>-1459.78420701873</v>
      </c>
      <c r="CS218" s="13" t="n">
        <f aca="false">IF(ISBLANK(Actuals!CT36),-1270.83*Escalation!$B$94,Actuals!CT36)</f>
        <v>-1459.78420701873</v>
      </c>
      <c r="CT218" s="13" t="n">
        <f aca="false">IF(ISBLANK(Actuals!CU36),-1270.83*Escalation!$B$95,Actuals!CU36)</f>
        <v>-1459.78420701873</v>
      </c>
      <c r="CU218" s="13" t="n">
        <f aca="false">IF(ISBLANK(Actuals!CV36),-1270.83*Escalation!$B$96,Actuals!CV36)</f>
        <v>-1459.78420701873</v>
      </c>
      <c r="CV218" s="13" t="n">
        <f aca="false">IF(ISBLANK(Actuals!CW36),-1270.83*Escalation!$B$97,Actuals!CW36)</f>
        <v>-1459.78420701873</v>
      </c>
      <c r="CW218" s="13" t="n">
        <f aca="false">IF(ISBLANK(Actuals!CX36),-1270.83*Escalation!$B$98,Actuals!CX36)</f>
        <v>-1488.97989115911</v>
      </c>
      <c r="CX218" s="13" t="n">
        <f aca="false">IF(ISBLANK(Actuals!CY36),-1270.83*Escalation!$B$99,Actuals!CY36)</f>
        <v>-1488.97989115911</v>
      </c>
      <c r="CY218" s="13" t="n">
        <f aca="false">IF(ISBLANK(Actuals!CZ36),-1270.83*Escalation!$B$100,Actuals!CZ36)</f>
        <v>-1488.97989115911</v>
      </c>
      <c r="CZ218" s="13" t="n">
        <f aca="false">IF(ISBLANK(Actuals!DA36),-1270.83*Escalation!$B$101,Actuals!DA36)</f>
        <v>-1488.97989115911</v>
      </c>
      <c r="DA218" s="13" t="n">
        <f aca="false">IF(ISBLANK(Actuals!DB36),-1270.83*Escalation!$B$102,Actuals!DB36)</f>
        <v>-1488.97989115911</v>
      </c>
      <c r="DB218" s="13" t="n">
        <f aca="false">IF(ISBLANK(Actuals!DC36),-1270.83*Escalation!$B$103,Actuals!DC36)</f>
        <v>-1488.97989115911</v>
      </c>
      <c r="DC218" s="13" t="n">
        <f aca="false">IF(ISBLANK(Actuals!DD36),-1270.83*Escalation!$B$104,Actuals!DD36)</f>
        <v>-1488.97989115911</v>
      </c>
      <c r="DD218" s="13" t="n">
        <f aca="false">IF(ISBLANK(Actuals!DE36),-1270.83*Escalation!$B$105,Actuals!DE36)</f>
        <v>-1488.97989115911</v>
      </c>
      <c r="DE218" s="13" t="n">
        <f aca="false">IF(ISBLANK(Actuals!DF36),-1270.83*Escalation!$B$106,Actuals!DF36)</f>
        <v>-1488.97989115911</v>
      </c>
    </row>
    <row r="219" customFormat="false" ht="15" hidden="false" customHeight="true" outlineLevel="0" collapsed="false">
      <c r="A219" s="22" t="s">
        <v>80</v>
      </c>
      <c r="B219" s="13" t="n">
        <f aca="false">IF(ISBLANK(Actuals!C37),0,Actuals!C37)</f>
        <v>0</v>
      </c>
      <c r="C219" s="13" t="n">
        <f aca="false">IF(ISBLANK(Actuals!D37),0,Actuals!D37)</f>
        <v>-12349</v>
      </c>
      <c r="D219" s="13" t="n">
        <f aca="false">IF(ISBLANK(Actuals!E37),0,Actuals!E37)</f>
        <v>-5400</v>
      </c>
      <c r="E219" s="13" t="n">
        <f aca="false">IF(ISBLANK(Actuals!F37),-5916.33*Escalation!$B$2,Actuals!F37)</f>
        <v>-4377</v>
      </c>
      <c r="F219" s="13" t="n">
        <f aca="false">IF(ISBLANK(Actuals!G37),-5916.33*Escalation!$B$3,Actuals!G37)</f>
        <v>-11750</v>
      </c>
      <c r="G219" s="13" t="n">
        <f aca="false">IF(ISBLANK(Actuals!H37),-5916.33*Escalation!$B$4,Actuals!H37)</f>
        <v>0</v>
      </c>
      <c r="H219" s="13" t="n">
        <f aca="false">IF(ISBLANK(Actuals!I37),-5916.33*Escalation!$B$5,Actuals!I37)</f>
        <v>0</v>
      </c>
      <c r="I219" s="13" t="n">
        <f aca="false">IF(ISBLANK(Actuals!J37),-5916.33*Escalation!$B$6,Actuals!J37)</f>
        <v>-26000</v>
      </c>
      <c r="J219" s="13" t="n">
        <f aca="false">IF(ISBLANK(Actuals!K37),-5916.33*Escalation!$B$7,Actuals!K37)</f>
        <v>-5916.33</v>
      </c>
      <c r="K219" s="13" t="n">
        <f aca="false">IF(ISBLANK(Actuals!L37),-5916.33*Escalation!$B$8,Actuals!L37)</f>
        <v>-5916.33</v>
      </c>
      <c r="L219" s="13" t="n">
        <f aca="false">IF(ISBLANK(Actuals!M37),-5916.33*Escalation!$B$9,Actuals!M37)</f>
        <v>-5916.33</v>
      </c>
      <c r="M219" s="13" t="n">
        <f aca="false">IF(ISBLANK(Actuals!N37),-5916.33*Escalation!$B$10,Actuals!N37)</f>
        <v>-5916.33</v>
      </c>
      <c r="N219" s="13" t="n">
        <f aca="false">IF(ISBLANK(Actuals!O37),-5916.33*Escalation!$B$11,Actuals!O37)</f>
        <v>-5916.33</v>
      </c>
      <c r="O219" s="13" t="n">
        <f aca="false">IF(ISBLANK(Actuals!P37),-5916.33*Escalation!$B$12,Actuals!P37)</f>
        <v>-5916.33</v>
      </c>
      <c r="P219" s="13" t="n">
        <f aca="false">IF(ISBLANK(Actuals!Q37),-5916.33*Escalation!$B$13,Actuals!Q37)</f>
        <v>-5916.33</v>
      </c>
      <c r="Q219" s="13" t="n">
        <f aca="false">IF(ISBLANK(Actuals!R37),-5916.33*Escalation!$B$14,Actuals!R37)</f>
        <v>-6034.6566</v>
      </c>
      <c r="R219" s="13" t="n">
        <f aca="false">IF(ISBLANK(Actuals!S37),-5916.33*Escalation!$B$15,Actuals!S37)</f>
        <v>-6034.6566</v>
      </c>
      <c r="S219" s="13" t="n">
        <f aca="false">IF(ISBLANK(Actuals!T37),-5916.33*Escalation!$B$16,Actuals!T37)</f>
        <v>-6034.6566</v>
      </c>
      <c r="T219" s="13" t="n">
        <f aca="false">IF(ISBLANK(Actuals!U37),-5916.33*Escalation!$B$17,Actuals!U37)</f>
        <v>-6034.6566</v>
      </c>
      <c r="U219" s="13" t="n">
        <f aca="false">IF(ISBLANK(Actuals!V37),-5916.33*Escalation!$B$18,Actuals!V37)</f>
        <v>-6034.6566</v>
      </c>
      <c r="V219" s="13" t="n">
        <f aca="false">IF(ISBLANK(Actuals!W37),-5916.33*Escalation!$B$19,Actuals!W37)</f>
        <v>-6034.6566</v>
      </c>
      <c r="W219" s="13" t="n">
        <f aca="false">IF(ISBLANK(Actuals!X37),-5916.33*Escalation!$B$20,Actuals!X37)</f>
        <v>-6034.6566</v>
      </c>
      <c r="X219" s="13" t="n">
        <f aca="false">IF(ISBLANK(Actuals!Y37),-5916.33*Escalation!$B$21,Actuals!Y37)</f>
        <v>-6034.6566</v>
      </c>
      <c r="Y219" s="13" t="n">
        <f aca="false">IF(ISBLANK(Actuals!Z37),-5916.33*Escalation!$B$22,Actuals!Z37)</f>
        <v>-6034.6566</v>
      </c>
      <c r="Z219" s="13" t="n">
        <f aca="false">IF(ISBLANK(Actuals!AA37),-5916.33*Escalation!$B$23,Actuals!AA37)</f>
        <v>-6034.6566</v>
      </c>
      <c r="AA219" s="13" t="n">
        <f aca="false">IF(ISBLANK(Actuals!AB37),-5916.33*Escalation!$B$24,Actuals!AB37)</f>
        <v>-6034.6566</v>
      </c>
      <c r="AB219" s="13" t="n">
        <f aca="false">IF(ISBLANK(Actuals!AC37),-5916.33*Escalation!$B$25,Actuals!AC37)</f>
        <v>-6034.6566</v>
      </c>
      <c r="AC219" s="13" t="n">
        <f aca="false">IF(ISBLANK(Actuals!AD37),-5916.33*Escalation!$B$26,Actuals!AD37)</f>
        <v>-6155.349732</v>
      </c>
      <c r="AD219" s="13" t="n">
        <f aca="false">IF(ISBLANK(Actuals!AE37),-5916.33*Escalation!$B$27,Actuals!AE37)</f>
        <v>-6155.349732</v>
      </c>
      <c r="AE219" s="13" t="n">
        <f aca="false">IF(ISBLANK(Actuals!AF37),-5916.33*Escalation!$B$28,Actuals!AF37)</f>
        <v>-6155.349732</v>
      </c>
      <c r="AF219" s="13" t="n">
        <f aca="false">IF(ISBLANK(Actuals!AG37),-5916.33*Escalation!$B$29,Actuals!AG37)</f>
        <v>-6155.349732</v>
      </c>
      <c r="AG219" s="13" t="n">
        <f aca="false">IF(ISBLANK(Actuals!AH37),-5916.33*Escalation!$B$30,Actuals!AH37)</f>
        <v>-6155.349732</v>
      </c>
      <c r="AH219" s="13" t="n">
        <f aca="false">IF(ISBLANK(Actuals!AI37),-5916.33*Escalation!$B$31,Actuals!AI37)</f>
        <v>-6155.349732</v>
      </c>
      <c r="AI219" s="13" t="n">
        <f aca="false">IF(ISBLANK(Actuals!AJ37),-5916.33*Escalation!$B$32,Actuals!AJ37)</f>
        <v>-6155.349732</v>
      </c>
      <c r="AJ219" s="13" t="n">
        <f aca="false">IF(ISBLANK(Actuals!AK37),-5916.33*Escalation!$B$33,Actuals!AK37)</f>
        <v>-6155.349732</v>
      </c>
      <c r="AK219" s="13" t="n">
        <f aca="false">IF(ISBLANK(Actuals!AL37),-5916.33*Escalation!$B$34,Actuals!AL37)</f>
        <v>-6155.349732</v>
      </c>
      <c r="AL219" s="13" t="n">
        <f aca="false">IF(ISBLANK(Actuals!AM37),-5916.33*Escalation!$B$35,Actuals!AM37)</f>
        <v>-6155.349732</v>
      </c>
      <c r="AM219" s="13" t="n">
        <f aca="false">IF(ISBLANK(Actuals!AN37),-5916.33*Escalation!$B$36,Actuals!AN37)</f>
        <v>-6155.349732</v>
      </c>
      <c r="AN219" s="13" t="n">
        <f aca="false">IF(ISBLANK(Actuals!AO37),-5916.33*Escalation!$B$37,Actuals!AO37)</f>
        <v>-6155.349732</v>
      </c>
      <c r="AO219" s="13" t="n">
        <f aca="false">IF(ISBLANK(Actuals!AP37),-5916.33*Escalation!$B$38,Actuals!AP37)</f>
        <v>-6278.45672664</v>
      </c>
      <c r="AP219" s="13" t="n">
        <f aca="false">IF(ISBLANK(Actuals!AQ37),-5916.33*Escalation!$B$39,Actuals!AQ37)</f>
        <v>-6278.45672664</v>
      </c>
      <c r="AQ219" s="13" t="n">
        <f aca="false">IF(ISBLANK(Actuals!AR37),-5916.33*Escalation!$B$40,Actuals!AR37)</f>
        <v>-6278.45672664</v>
      </c>
      <c r="AR219" s="13" t="n">
        <f aca="false">IF(ISBLANK(Actuals!AS37),-5916.33*Escalation!$B$41,Actuals!AS37)</f>
        <v>-6278.45672664</v>
      </c>
      <c r="AS219" s="13" t="n">
        <f aca="false">IF(ISBLANK(Actuals!AT37),-5916.33*Escalation!$B$42,Actuals!AT37)</f>
        <v>-6278.45672664</v>
      </c>
      <c r="AT219" s="13" t="n">
        <f aca="false">IF(ISBLANK(Actuals!AU37),-5916.33*Escalation!$B$43,Actuals!AU37)</f>
        <v>-6278.45672664</v>
      </c>
      <c r="AU219" s="13" t="n">
        <f aca="false">IF(ISBLANK(Actuals!AV37),-5916.33*Escalation!$B$44,Actuals!AV37)</f>
        <v>-6278.45672664</v>
      </c>
      <c r="AV219" s="13" t="n">
        <f aca="false">IF(ISBLANK(Actuals!AW37),-5916.33*Escalation!$B$45,Actuals!AW37)</f>
        <v>-6278.45672664</v>
      </c>
      <c r="AW219" s="13" t="n">
        <f aca="false">IF(ISBLANK(Actuals!AX37),-5916.33*Escalation!$B$46,Actuals!AX37)</f>
        <v>-6278.45672664</v>
      </c>
      <c r="AX219" s="13" t="n">
        <f aca="false">IF(ISBLANK(Actuals!AY37),-5916.33*Escalation!$B$47,Actuals!AY37)</f>
        <v>-6278.45672664</v>
      </c>
      <c r="AY219" s="13" t="n">
        <f aca="false">IF(ISBLANK(Actuals!AZ37),-5916.33*Escalation!$B$48,Actuals!AZ37)</f>
        <v>-6278.45672664</v>
      </c>
      <c r="AZ219" s="13" t="n">
        <f aca="false">IF(ISBLANK(Actuals!BA37),-5916.33*Escalation!$B$49,Actuals!BA37)</f>
        <v>-6278.45672664</v>
      </c>
      <c r="BA219" s="13" t="n">
        <f aca="false">IF(ISBLANK(Actuals!BB37),-5916.33*Escalation!$B$50,Actuals!BB37)</f>
        <v>-6404.0258611728</v>
      </c>
      <c r="BB219" s="13" t="n">
        <f aca="false">IF(ISBLANK(Actuals!BC37),-5916.33*Escalation!$B$51,Actuals!BC37)</f>
        <v>-6404.0258611728</v>
      </c>
      <c r="BC219" s="13" t="n">
        <f aca="false">IF(ISBLANK(Actuals!BD37),-5916.33*Escalation!$B$52,Actuals!BD37)</f>
        <v>-6404.0258611728</v>
      </c>
      <c r="BD219" s="13" t="n">
        <f aca="false">IF(ISBLANK(Actuals!BE37),-5916.33*Escalation!$B$53,Actuals!BE37)</f>
        <v>-6404.0258611728</v>
      </c>
      <c r="BE219" s="13" t="n">
        <f aca="false">IF(ISBLANK(Actuals!BF37),-5916.33*Escalation!$B$54,Actuals!BF37)</f>
        <v>-6404.0258611728</v>
      </c>
      <c r="BF219" s="13" t="n">
        <f aca="false">IF(ISBLANK(Actuals!BG37),-5916.33*Escalation!$B$55,Actuals!BG37)</f>
        <v>-6404.0258611728</v>
      </c>
      <c r="BG219" s="13" t="n">
        <f aca="false">IF(ISBLANK(Actuals!BH37),-5916.33*Escalation!$B$56,Actuals!BH37)</f>
        <v>-6404.0258611728</v>
      </c>
      <c r="BH219" s="13" t="n">
        <f aca="false">IF(ISBLANK(Actuals!BI37),-5916.33*Escalation!$B$57,Actuals!BI37)</f>
        <v>-6404.0258611728</v>
      </c>
      <c r="BI219" s="13" t="n">
        <f aca="false">IF(ISBLANK(Actuals!BJ37),-5916.33*Escalation!$B$58,Actuals!BJ37)</f>
        <v>-6404.0258611728</v>
      </c>
      <c r="BJ219" s="13" t="n">
        <f aca="false">IF(ISBLANK(Actuals!BK37),-5916.33*Escalation!$B$59,Actuals!BK37)</f>
        <v>-6404.0258611728</v>
      </c>
      <c r="BK219" s="13" t="n">
        <f aca="false">IF(ISBLANK(Actuals!BL37),-5916.33*Escalation!$B$60,Actuals!BL37)</f>
        <v>-6404.0258611728</v>
      </c>
      <c r="BL219" s="13" t="n">
        <f aca="false">IF(ISBLANK(Actuals!BM37),-5916.33*Escalation!$B$61,Actuals!BM37)</f>
        <v>-6404.0258611728</v>
      </c>
      <c r="BM219" s="13" t="n">
        <f aca="false">IF(ISBLANK(Actuals!BN37),-5916.33*Escalation!$B$62,Actuals!BN37)</f>
        <v>-6532.10637839626</v>
      </c>
      <c r="BN219" s="13" t="n">
        <f aca="false">IF(ISBLANK(Actuals!BO37),-5916.33*Escalation!$B$63,Actuals!BO37)</f>
        <v>-6532.10637839626</v>
      </c>
      <c r="BO219" s="13" t="n">
        <f aca="false">IF(ISBLANK(Actuals!BP37),-5916.33*Escalation!$B$64,Actuals!BP37)</f>
        <v>-6532.10637839626</v>
      </c>
      <c r="BP219" s="13" t="n">
        <f aca="false">IF(ISBLANK(Actuals!BQ37),-5916.33*Escalation!$B$65,Actuals!BQ37)</f>
        <v>-6532.10637839626</v>
      </c>
      <c r="BQ219" s="13" t="n">
        <f aca="false">IF(ISBLANK(Actuals!BR37),-5916.33*Escalation!$B$66,Actuals!BR37)</f>
        <v>-6532.10637839626</v>
      </c>
      <c r="BR219" s="13" t="n">
        <f aca="false">IF(ISBLANK(Actuals!BS37),-5916.33*Escalation!$B$67,Actuals!BS37)</f>
        <v>-6532.10637839626</v>
      </c>
      <c r="BS219" s="13" t="n">
        <f aca="false">IF(ISBLANK(Actuals!BT37),-5916.33*Escalation!$B$68,Actuals!BT37)</f>
        <v>-6532.10637839626</v>
      </c>
      <c r="BT219" s="13" t="n">
        <f aca="false">IF(ISBLANK(Actuals!BU37),-5916.33*Escalation!$B$69,Actuals!BU37)</f>
        <v>-6532.10637839626</v>
      </c>
      <c r="BU219" s="13" t="n">
        <f aca="false">IF(ISBLANK(Actuals!BV37),-5916.33*Escalation!$B$70,Actuals!BV37)</f>
        <v>-6532.10637839626</v>
      </c>
      <c r="BV219" s="13" t="n">
        <f aca="false">IF(ISBLANK(Actuals!BW37),-5916.33*Escalation!$B$71,Actuals!BW37)</f>
        <v>-6532.10637839626</v>
      </c>
      <c r="BW219" s="13" t="n">
        <f aca="false">IF(ISBLANK(Actuals!BX37),-5916.33*Escalation!$B$72,Actuals!BX37)</f>
        <v>-6532.10637839626</v>
      </c>
      <c r="BX219" s="13" t="n">
        <f aca="false">IF(ISBLANK(Actuals!BY37),-5916.33*Escalation!$B$73,Actuals!BY37)</f>
        <v>-6532.10637839626</v>
      </c>
      <c r="BY219" s="13" t="n">
        <f aca="false">IF(ISBLANK(Actuals!BZ37),-5916.33*Escalation!$B$74,Actuals!BZ37)</f>
        <v>-6662.74850596418</v>
      </c>
      <c r="BZ219" s="13" t="n">
        <f aca="false">IF(ISBLANK(Actuals!CA37),-5916.33*Escalation!$B$75,Actuals!CA37)</f>
        <v>-6662.74850596418</v>
      </c>
      <c r="CA219" s="13" t="n">
        <f aca="false">IF(ISBLANK(Actuals!CB37),-5916.33*Escalation!$B$76,Actuals!CB37)</f>
        <v>-6662.74850596418</v>
      </c>
      <c r="CB219" s="13" t="n">
        <f aca="false">IF(ISBLANK(Actuals!CC37),-5916.33*Escalation!$B$77,Actuals!CC37)</f>
        <v>-6662.74850596418</v>
      </c>
      <c r="CC219" s="13" t="n">
        <f aca="false">IF(ISBLANK(Actuals!CD37),-5916.33*Escalation!$B$78,Actuals!CD37)</f>
        <v>-6662.74850596418</v>
      </c>
      <c r="CD219" s="13" t="n">
        <f aca="false">IF(ISBLANK(Actuals!CE37),-5916.33*Escalation!$B$79,Actuals!CE37)</f>
        <v>-6662.74850596418</v>
      </c>
      <c r="CE219" s="13" t="n">
        <f aca="false">IF(ISBLANK(Actuals!CF37),-5916.33*Escalation!$B$80,Actuals!CF37)</f>
        <v>-6662.74850596418</v>
      </c>
      <c r="CF219" s="13" t="n">
        <f aca="false">IF(ISBLANK(Actuals!CG37),-5916.33*Escalation!$B$81,Actuals!CG37)</f>
        <v>-6662.74850596418</v>
      </c>
      <c r="CG219" s="13" t="n">
        <f aca="false">IF(ISBLANK(Actuals!CH37),-5916.33*Escalation!$B$82,Actuals!CH37)</f>
        <v>-6662.74850596418</v>
      </c>
      <c r="CH219" s="13" t="n">
        <f aca="false">IF(ISBLANK(Actuals!CI37),-5916.33*Escalation!$B$83,Actuals!CI37)</f>
        <v>-6662.74850596418</v>
      </c>
      <c r="CI219" s="13" t="n">
        <f aca="false">IF(ISBLANK(Actuals!CJ37),-5916.33*Escalation!$B$84,Actuals!CJ37)</f>
        <v>-6662.74850596418</v>
      </c>
      <c r="CJ219" s="13" t="n">
        <f aca="false">IF(ISBLANK(Actuals!CK37),-5916.33*Escalation!$B$85,Actuals!CK37)</f>
        <v>-6662.74850596418</v>
      </c>
      <c r="CK219" s="13" t="n">
        <f aca="false">IF(ISBLANK(Actuals!CL37),-5916.33*Escalation!$B$86,Actuals!CL37)</f>
        <v>-6796.00347608347</v>
      </c>
      <c r="CL219" s="13" t="n">
        <f aca="false">IF(ISBLANK(Actuals!CM37),-5916.33*Escalation!$B$87,Actuals!CM37)</f>
        <v>-6796.00347608347</v>
      </c>
      <c r="CM219" s="13" t="n">
        <f aca="false">IF(ISBLANK(Actuals!CN37),-5916.33*Escalation!$B$88,Actuals!CN37)</f>
        <v>-6796.00347608347</v>
      </c>
      <c r="CN219" s="13" t="n">
        <f aca="false">IF(ISBLANK(Actuals!CO37),-5916.33*Escalation!$B$89,Actuals!CO37)</f>
        <v>-6796.00347608347</v>
      </c>
      <c r="CO219" s="13" t="n">
        <f aca="false">IF(ISBLANK(Actuals!CP37),-5916.33*Escalation!$B$90,Actuals!CP37)</f>
        <v>-6796.00347608347</v>
      </c>
      <c r="CP219" s="13" t="n">
        <f aca="false">IF(ISBLANK(Actuals!CQ37),-5916.33*Escalation!$B$91,Actuals!CQ37)</f>
        <v>-6796.00347608347</v>
      </c>
      <c r="CQ219" s="13" t="n">
        <f aca="false">IF(ISBLANK(Actuals!CR37),-5916.33*Escalation!$B$92,Actuals!CR37)</f>
        <v>-6796.00347608347</v>
      </c>
      <c r="CR219" s="13" t="n">
        <f aca="false">IF(ISBLANK(Actuals!CS37),-5916.33*Escalation!$B$93,Actuals!CS37)</f>
        <v>-6796.00347608347</v>
      </c>
      <c r="CS219" s="13" t="n">
        <f aca="false">IF(ISBLANK(Actuals!CT37),-5916.33*Escalation!$B$94,Actuals!CT37)</f>
        <v>-6796.00347608347</v>
      </c>
      <c r="CT219" s="13" t="n">
        <f aca="false">IF(ISBLANK(Actuals!CU37),-5916.33*Escalation!$B$95,Actuals!CU37)</f>
        <v>-6796.00347608347</v>
      </c>
      <c r="CU219" s="13" t="n">
        <f aca="false">IF(ISBLANK(Actuals!CV37),-5916.33*Escalation!$B$96,Actuals!CV37)</f>
        <v>-6796.00347608347</v>
      </c>
      <c r="CV219" s="13" t="n">
        <f aca="false">IF(ISBLANK(Actuals!CW37),-5916.33*Escalation!$B$97,Actuals!CW37)</f>
        <v>-6796.00347608347</v>
      </c>
      <c r="CW219" s="13" t="n">
        <f aca="false">IF(ISBLANK(Actuals!CX37),-5916.33*Escalation!$B$98,Actuals!CX37)</f>
        <v>-6931.92354560514</v>
      </c>
      <c r="CX219" s="13" t="n">
        <f aca="false">IF(ISBLANK(Actuals!CY37),-5916.33*Escalation!$B$99,Actuals!CY37)</f>
        <v>-6931.92354560514</v>
      </c>
      <c r="CY219" s="13" t="n">
        <f aca="false">IF(ISBLANK(Actuals!CZ37),-5916.33*Escalation!$B$100,Actuals!CZ37)</f>
        <v>-6931.92354560514</v>
      </c>
      <c r="CZ219" s="13" t="n">
        <f aca="false">IF(ISBLANK(Actuals!DA37),-5916.33*Escalation!$B$101,Actuals!DA37)</f>
        <v>-6931.92354560514</v>
      </c>
      <c r="DA219" s="13" t="n">
        <f aca="false">IF(ISBLANK(Actuals!DB37),-5916.33*Escalation!$B$102,Actuals!DB37)</f>
        <v>-6931.92354560514</v>
      </c>
      <c r="DB219" s="13" t="n">
        <f aca="false">IF(ISBLANK(Actuals!DC37),-5916.33*Escalation!$B$103,Actuals!DC37)</f>
        <v>-6931.92354560514</v>
      </c>
      <c r="DC219" s="13" t="n">
        <f aca="false">IF(ISBLANK(Actuals!DD37),-5916.33*Escalation!$B$104,Actuals!DD37)</f>
        <v>-6931.92354560514</v>
      </c>
      <c r="DD219" s="13" t="n">
        <f aca="false">IF(ISBLANK(Actuals!DE37),-5916.33*Escalation!$B$105,Actuals!DE37)</f>
        <v>-6931.92354560514</v>
      </c>
      <c r="DE219" s="13" t="n">
        <f aca="false">IF(ISBLANK(Actuals!DF37),-5916.33*Escalation!$B$106,Actuals!DF37)</f>
        <v>-6931.92354560514</v>
      </c>
    </row>
    <row r="220" customFormat="false" ht="15" hidden="false" customHeight="true" outlineLevel="0" collapsed="false">
      <c r="A220" s="22" t="s">
        <v>81</v>
      </c>
      <c r="B220" s="13" t="n">
        <f aca="false">IF(ISBLANK(Actuals!C38),0,Actuals!C38)</f>
        <v>0</v>
      </c>
      <c r="C220" s="13" t="n">
        <f aca="false">IF(ISBLANK(Actuals!D38),0,Actuals!D38)</f>
        <v>0</v>
      </c>
      <c r="D220" s="13" t="n">
        <f aca="false">IF(ISBLANK(Actuals!E38),0,Actuals!E38)</f>
        <v>-750.4</v>
      </c>
      <c r="E220" s="13" t="n">
        <f aca="false">IF(ISBLANK(Actuals!F38),-250.13*Escalation!$B$2,Actuals!F38)</f>
        <v>0</v>
      </c>
      <c r="F220" s="13" t="n">
        <f aca="false">IF(ISBLANK(Actuals!G38),-250.13*Escalation!$B$3,Actuals!G38)</f>
        <v>0</v>
      </c>
      <c r="G220" s="13" t="n">
        <f aca="false">IF(ISBLANK(Actuals!H38),-250.13*Escalation!$B$4,Actuals!H38)</f>
        <v>0</v>
      </c>
      <c r="H220" s="13" t="n">
        <f aca="false">IF(ISBLANK(Actuals!I38),-250.13*Escalation!$B$5,Actuals!I38)</f>
        <v>0</v>
      </c>
      <c r="I220" s="13" t="n">
        <f aca="false">IF(ISBLANK(Actuals!J38),-250.13*Escalation!$B$6,Actuals!J38)</f>
        <v>0</v>
      </c>
      <c r="J220" s="13" t="n">
        <f aca="false">IF(ISBLANK(Actuals!K38),-250.13*Escalation!$B$7,Actuals!K38)</f>
        <v>-250.13</v>
      </c>
      <c r="K220" s="13" t="n">
        <f aca="false">IF(ISBLANK(Actuals!L38),-250.13*Escalation!$B$8,Actuals!L38)</f>
        <v>-250.13</v>
      </c>
      <c r="L220" s="13" t="n">
        <f aca="false">IF(ISBLANK(Actuals!M38),-250.13*Escalation!$B$9,Actuals!M38)</f>
        <v>-250.13</v>
      </c>
      <c r="M220" s="13" t="n">
        <f aca="false">IF(ISBLANK(Actuals!N38),-250.13*Escalation!$B$10,Actuals!N38)</f>
        <v>-250.13</v>
      </c>
      <c r="N220" s="13" t="n">
        <f aca="false">IF(ISBLANK(Actuals!O38),-250.13*Escalation!$B$11,Actuals!O38)</f>
        <v>-250.13</v>
      </c>
      <c r="O220" s="13" t="n">
        <f aca="false">IF(ISBLANK(Actuals!P38),-250.13*Escalation!$B$12,Actuals!P38)</f>
        <v>-250.13</v>
      </c>
      <c r="P220" s="13" t="n">
        <f aca="false">IF(ISBLANK(Actuals!Q38),-250.13*Escalation!$B$13,Actuals!Q38)</f>
        <v>-250.13</v>
      </c>
      <c r="Q220" s="13" t="n">
        <f aca="false">IF(ISBLANK(Actuals!R38),-250.13*Escalation!$B$14,Actuals!R38)</f>
        <v>-255.1326</v>
      </c>
      <c r="R220" s="13" t="n">
        <f aca="false">IF(ISBLANK(Actuals!S38),-250.13*Escalation!$B$15,Actuals!S38)</f>
        <v>-255.1326</v>
      </c>
      <c r="S220" s="13" t="n">
        <f aca="false">IF(ISBLANK(Actuals!T38),-250.13*Escalation!$B$16,Actuals!T38)</f>
        <v>-255.1326</v>
      </c>
      <c r="T220" s="13" t="n">
        <f aca="false">IF(ISBLANK(Actuals!U38),-250.13*Escalation!$B$17,Actuals!U38)</f>
        <v>-255.1326</v>
      </c>
      <c r="U220" s="13" t="n">
        <f aca="false">IF(ISBLANK(Actuals!V38),-250.13*Escalation!$B$18,Actuals!V38)</f>
        <v>-255.1326</v>
      </c>
      <c r="V220" s="13" t="n">
        <f aca="false">IF(ISBLANK(Actuals!W38),-250.13*Escalation!$B$19,Actuals!W38)</f>
        <v>-255.1326</v>
      </c>
      <c r="W220" s="13" t="n">
        <f aca="false">IF(ISBLANK(Actuals!X38),-250.13*Escalation!$B$20,Actuals!X38)</f>
        <v>-255.1326</v>
      </c>
      <c r="X220" s="13" t="n">
        <f aca="false">IF(ISBLANK(Actuals!Y38),-250.13*Escalation!$B$21,Actuals!Y38)</f>
        <v>-255.1326</v>
      </c>
      <c r="Y220" s="13" t="n">
        <f aca="false">IF(ISBLANK(Actuals!Z38),-250.13*Escalation!$B$22,Actuals!Z38)</f>
        <v>-255.1326</v>
      </c>
      <c r="Z220" s="13" t="n">
        <f aca="false">IF(ISBLANK(Actuals!AA38),-250.13*Escalation!$B$23,Actuals!AA38)</f>
        <v>-255.1326</v>
      </c>
      <c r="AA220" s="13" t="n">
        <f aca="false">IF(ISBLANK(Actuals!AB38),-250.13*Escalation!$B$24,Actuals!AB38)</f>
        <v>-255.1326</v>
      </c>
      <c r="AB220" s="13" t="n">
        <f aca="false">IF(ISBLANK(Actuals!AC38),-250.13*Escalation!$B$25,Actuals!AC38)</f>
        <v>-255.1326</v>
      </c>
      <c r="AC220" s="13" t="n">
        <f aca="false">IF(ISBLANK(Actuals!AD38),-250.13*Escalation!$B$26,Actuals!AD38)</f>
        <v>-260.235252</v>
      </c>
      <c r="AD220" s="13" t="n">
        <f aca="false">IF(ISBLANK(Actuals!AE38),-250.13*Escalation!$B$27,Actuals!AE38)</f>
        <v>-260.235252</v>
      </c>
      <c r="AE220" s="13" t="n">
        <f aca="false">IF(ISBLANK(Actuals!AF38),-250.13*Escalation!$B$28,Actuals!AF38)</f>
        <v>-260.235252</v>
      </c>
      <c r="AF220" s="13" t="n">
        <f aca="false">IF(ISBLANK(Actuals!AG38),-250.13*Escalation!$B$29,Actuals!AG38)</f>
        <v>-260.235252</v>
      </c>
      <c r="AG220" s="13" t="n">
        <f aca="false">IF(ISBLANK(Actuals!AH38),-250.13*Escalation!$B$30,Actuals!AH38)</f>
        <v>-260.235252</v>
      </c>
      <c r="AH220" s="13" t="n">
        <f aca="false">IF(ISBLANK(Actuals!AI38),-250.13*Escalation!$B$31,Actuals!AI38)</f>
        <v>-260.235252</v>
      </c>
      <c r="AI220" s="13" t="n">
        <f aca="false">IF(ISBLANK(Actuals!AJ38),-250.13*Escalation!$B$32,Actuals!AJ38)</f>
        <v>-260.235252</v>
      </c>
      <c r="AJ220" s="13" t="n">
        <f aca="false">IF(ISBLANK(Actuals!AK38),-250.13*Escalation!$B$33,Actuals!AK38)</f>
        <v>-260.235252</v>
      </c>
      <c r="AK220" s="13" t="n">
        <f aca="false">IF(ISBLANK(Actuals!AL38),-250.13*Escalation!$B$34,Actuals!AL38)</f>
        <v>-260.235252</v>
      </c>
      <c r="AL220" s="13" t="n">
        <f aca="false">IF(ISBLANK(Actuals!AM38),-250.13*Escalation!$B$35,Actuals!AM38)</f>
        <v>-260.235252</v>
      </c>
      <c r="AM220" s="13" t="n">
        <f aca="false">IF(ISBLANK(Actuals!AN38),-250.13*Escalation!$B$36,Actuals!AN38)</f>
        <v>-260.235252</v>
      </c>
      <c r="AN220" s="13" t="n">
        <f aca="false">IF(ISBLANK(Actuals!AO38),-250.13*Escalation!$B$37,Actuals!AO38)</f>
        <v>-260.235252</v>
      </c>
      <c r="AO220" s="13" t="n">
        <f aca="false">IF(ISBLANK(Actuals!AP38),-250.13*Escalation!$B$38,Actuals!AP38)</f>
        <v>-265.43995704</v>
      </c>
      <c r="AP220" s="13" t="n">
        <f aca="false">IF(ISBLANK(Actuals!AQ38),-250.13*Escalation!$B$39,Actuals!AQ38)</f>
        <v>-265.43995704</v>
      </c>
      <c r="AQ220" s="13" t="n">
        <f aca="false">IF(ISBLANK(Actuals!AR38),-250.13*Escalation!$B$40,Actuals!AR38)</f>
        <v>-265.43995704</v>
      </c>
      <c r="AR220" s="13" t="n">
        <f aca="false">IF(ISBLANK(Actuals!AS38),-250.13*Escalation!$B$41,Actuals!AS38)</f>
        <v>-265.43995704</v>
      </c>
      <c r="AS220" s="13" t="n">
        <f aca="false">IF(ISBLANK(Actuals!AT38),-250.13*Escalation!$B$42,Actuals!AT38)</f>
        <v>-265.43995704</v>
      </c>
      <c r="AT220" s="13" t="n">
        <f aca="false">IF(ISBLANK(Actuals!AU38),-250.13*Escalation!$B$43,Actuals!AU38)</f>
        <v>-265.43995704</v>
      </c>
      <c r="AU220" s="13" t="n">
        <f aca="false">IF(ISBLANK(Actuals!AV38),-250.13*Escalation!$B$44,Actuals!AV38)</f>
        <v>-265.43995704</v>
      </c>
      <c r="AV220" s="13" t="n">
        <f aca="false">IF(ISBLANK(Actuals!AW38),-250.13*Escalation!$B$45,Actuals!AW38)</f>
        <v>-265.43995704</v>
      </c>
      <c r="AW220" s="13" t="n">
        <f aca="false">IF(ISBLANK(Actuals!AX38),-250.13*Escalation!$B$46,Actuals!AX38)</f>
        <v>-265.43995704</v>
      </c>
      <c r="AX220" s="13" t="n">
        <f aca="false">IF(ISBLANK(Actuals!AY38),-250.13*Escalation!$B$47,Actuals!AY38)</f>
        <v>-265.43995704</v>
      </c>
      <c r="AY220" s="13" t="n">
        <f aca="false">IF(ISBLANK(Actuals!AZ38),-250.13*Escalation!$B$48,Actuals!AZ38)</f>
        <v>-265.43995704</v>
      </c>
      <c r="AZ220" s="13" t="n">
        <f aca="false">IF(ISBLANK(Actuals!BA38),-250.13*Escalation!$B$49,Actuals!BA38)</f>
        <v>-265.43995704</v>
      </c>
      <c r="BA220" s="13" t="n">
        <f aca="false">IF(ISBLANK(Actuals!BB38),-250.13*Escalation!$B$50,Actuals!BB38)</f>
        <v>-270.7487561808</v>
      </c>
      <c r="BB220" s="13" t="n">
        <f aca="false">IF(ISBLANK(Actuals!BC38),-250.13*Escalation!$B$51,Actuals!BC38)</f>
        <v>-270.7487561808</v>
      </c>
      <c r="BC220" s="13" t="n">
        <f aca="false">IF(ISBLANK(Actuals!BD38),-250.13*Escalation!$B$52,Actuals!BD38)</f>
        <v>-270.7487561808</v>
      </c>
      <c r="BD220" s="13" t="n">
        <f aca="false">IF(ISBLANK(Actuals!BE38),-250.13*Escalation!$B$53,Actuals!BE38)</f>
        <v>-270.7487561808</v>
      </c>
      <c r="BE220" s="13" t="n">
        <f aca="false">IF(ISBLANK(Actuals!BF38),-250.13*Escalation!$B$54,Actuals!BF38)</f>
        <v>-270.7487561808</v>
      </c>
      <c r="BF220" s="13" t="n">
        <f aca="false">IF(ISBLANK(Actuals!BG38),-250.13*Escalation!$B$55,Actuals!BG38)</f>
        <v>-270.7487561808</v>
      </c>
      <c r="BG220" s="13" t="n">
        <f aca="false">IF(ISBLANK(Actuals!BH38),-250.13*Escalation!$B$56,Actuals!BH38)</f>
        <v>-270.7487561808</v>
      </c>
      <c r="BH220" s="13" t="n">
        <f aca="false">IF(ISBLANK(Actuals!BI38),-250.13*Escalation!$B$57,Actuals!BI38)</f>
        <v>-270.7487561808</v>
      </c>
      <c r="BI220" s="13" t="n">
        <f aca="false">IF(ISBLANK(Actuals!BJ38),-250.13*Escalation!$B$58,Actuals!BJ38)</f>
        <v>-270.7487561808</v>
      </c>
      <c r="BJ220" s="13" t="n">
        <f aca="false">IF(ISBLANK(Actuals!BK38),-250.13*Escalation!$B$59,Actuals!BK38)</f>
        <v>-270.7487561808</v>
      </c>
      <c r="BK220" s="13" t="n">
        <f aca="false">IF(ISBLANK(Actuals!BL38),-250.13*Escalation!$B$60,Actuals!BL38)</f>
        <v>-270.7487561808</v>
      </c>
      <c r="BL220" s="13" t="n">
        <f aca="false">IF(ISBLANK(Actuals!BM38),-250.13*Escalation!$B$61,Actuals!BM38)</f>
        <v>-270.7487561808</v>
      </c>
      <c r="BM220" s="13" t="n">
        <f aca="false">IF(ISBLANK(Actuals!BN38),-250.13*Escalation!$B$62,Actuals!BN38)</f>
        <v>-276.163731304416</v>
      </c>
      <c r="BN220" s="13" t="n">
        <f aca="false">IF(ISBLANK(Actuals!BO38),-250.13*Escalation!$B$63,Actuals!BO38)</f>
        <v>-276.163731304416</v>
      </c>
      <c r="BO220" s="13" t="n">
        <f aca="false">IF(ISBLANK(Actuals!BP38),-250.13*Escalation!$B$64,Actuals!BP38)</f>
        <v>-276.163731304416</v>
      </c>
      <c r="BP220" s="13" t="n">
        <f aca="false">IF(ISBLANK(Actuals!BQ38),-250.13*Escalation!$B$65,Actuals!BQ38)</f>
        <v>-276.163731304416</v>
      </c>
      <c r="BQ220" s="13" t="n">
        <f aca="false">IF(ISBLANK(Actuals!BR38),-250.13*Escalation!$B$66,Actuals!BR38)</f>
        <v>-276.163731304416</v>
      </c>
      <c r="BR220" s="13" t="n">
        <f aca="false">IF(ISBLANK(Actuals!BS38),-250.13*Escalation!$B$67,Actuals!BS38)</f>
        <v>-276.163731304416</v>
      </c>
      <c r="BS220" s="13" t="n">
        <f aca="false">IF(ISBLANK(Actuals!BT38),-250.13*Escalation!$B$68,Actuals!BT38)</f>
        <v>-276.163731304416</v>
      </c>
      <c r="BT220" s="13" t="n">
        <f aca="false">IF(ISBLANK(Actuals!BU38),-250.13*Escalation!$B$69,Actuals!BU38)</f>
        <v>-276.163731304416</v>
      </c>
      <c r="BU220" s="13" t="n">
        <f aca="false">IF(ISBLANK(Actuals!BV38),-250.13*Escalation!$B$70,Actuals!BV38)</f>
        <v>-276.163731304416</v>
      </c>
      <c r="BV220" s="13" t="n">
        <f aca="false">IF(ISBLANK(Actuals!BW38),-250.13*Escalation!$B$71,Actuals!BW38)</f>
        <v>-276.163731304416</v>
      </c>
      <c r="BW220" s="13" t="n">
        <f aca="false">IF(ISBLANK(Actuals!BX38),-250.13*Escalation!$B$72,Actuals!BX38)</f>
        <v>-276.163731304416</v>
      </c>
      <c r="BX220" s="13" t="n">
        <f aca="false">IF(ISBLANK(Actuals!BY38),-250.13*Escalation!$B$73,Actuals!BY38)</f>
        <v>-276.163731304416</v>
      </c>
      <c r="BY220" s="13" t="n">
        <f aca="false">IF(ISBLANK(Actuals!BZ38),-250.13*Escalation!$B$74,Actuals!BZ38)</f>
        <v>-281.687005930504</v>
      </c>
      <c r="BZ220" s="13" t="n">
        <f aca="false">IF(ISBLANK(Actuals!CA38),-250.13*Escalation!$B$75,Actuals!CA38)</f>
        <v>-281.687005930504</v>
      </c>
      <c r="CA220" s="13" t="n">
        <f aca="false">IF(ISBLANK(Actuals!CB38),-250.13*Escalation!$B$76,Actuals!CB38)</f>
        <v>-281.687005930504</v>
      </c>
      <c r="CB220" s="13" t="n">
        <f aca="false">IF(ISBLANK(Actuals!CC38),-250.13*Escalation!$B$77,Actuals!CC38)</f>
        <v>-281.687005930504</v>
      </c>
      <c r="CC220" s="13" t="n">
        <f aca="false">IF(ISBLANK(Actuals!CD38),-250.13*Escalation!$B$78,Actuals!CD38)</f>
        <v>-281.687005930504</v>
      </c>
      <c r="CD220" s="13" t="n">
        <f aca="false">IF(ISBLANK(Actuals!CE38),-250.13*Escalation!$B$79,Actuals!CE38)</f>
        <v>-281.687005930504</v>
      </c>
      <c r="CE220" s="13" t="n">
        <f aca="false">IF(ISBLANK(Actuals!CF38),-250.13*Escalation!$B$80,Actuals!CF38)</f>
        <v>-281.687005930504</v>
      </c>
      <c r="CF220" s="13" t="n">
        <f aca="false">IF(ISBLANK(Actuals!CG38),-250.13*Escalation!$B$81,Actuals!CG38)</f>
        <v>-281.687005930504</v>
      </c>
      <c r="CG220" s="13" t="n">
        <f aca="false">IF(ISBLANK(Actuals!CH38),-250.13*Escalation!$B$82,Actuals!CH38)</f>
        <v>-281.687005930504</v>
      </c>
      <c r="CH220" s="13" t="n">
        <f aca="false">IF(ISBLANK(Actuals!CI38),-250.13*Escalation!$B$83,Actuals!CI38)</f>
        <v>-281.687005930504</v>
      </c>
      <c r="CI220" s="13" t="n">
        <f aca="false">IF(ISBLANK(Actuals!CJ38),-250.13*Escalation!$B$84,Actuals!CJ38)</f>
        <v>-281.687005930504</v>
      </c>
      <c r="CJ220" s="13" t="n">
        <f aca="false">IF(ISBLANK(Actuals!CK38),-250.13*Escalation!$B$85,Actuals!CK38)</f>
        <v>-281.687005930504</v>
      </c>
      <c r="CK220" s="13" t="n">
        <f aca="false">IF(ISBLANK(Actuals!CL38),-250.13*Escalation!$B$86,Actuals!CL38)</f>
        <v>-287.320746049114</v>
      </c>
      <c r="CL220" s="13" t="n">
        <f aca="false">IF(ISBLANK(Actuals!CM38),-250.13*Escalation!$B$87,Actuals!CM38)</f>
        <v>-287.320746049114</v>
      </c>
      <c r="CM220" s="13" t="n">
        <f aca="false">IF(ISBLANK(Actuals!CN38),-250.13*Escalation!$B$88,Actuals!CN38)</f>
        <v>-287.320746049114</v>
      </c>
      <c r="CN220" s="13" t="n">
        <f aca="false">IF(ISBLANK(Actuals!CO38),-250.13*Escalation!$B$89,Actuals!CO38)</f>
        <v>-287.320746049114</v>
      </c>
      <c r="CO220" s="13" t="n">
        <f aca="false">IF(ISBLANK(Actuals!CP38),-250.13*Escalation!$B$90,Actuals!CP38)</f>
        <v>-287.320746049114</v>
      </c>
      <c r="CP220" s="13" t="n">
        <f aca="false">IF(ISBLANK(Actuals!CQ38),-250.13*Escalation!$B$91,Actuals!CQ38)</f>
        <v>-287.320746049114</v>
      </c>
      <c r="CQ220" s="13" t="n">
        <f aca="false">IF(ISBLANK(Actuals!CR38),-250.13*Escalation!$B$92,Actuals!CR38)</f>
        <v>-287.320746049114</v>
      </c>
      <c r="CR220" s="13" t="n">
        <f aca="false">IF(ISBLANK(Actuals!CS38),-250.13*Escalation!$B$93,Actuals!CS38)</f>
        <v>-287.320746049114</v>
      </c>
      <c r="CS220" s="13" t="n">
        <f aca="false">IF(ISBLANK(Actuals!CT38),-250.13*Escalation!$B$94,Actuals!CT38)</f>
        <v>-287.320746049114</v>
      </c>
      <c r="CT220" s="13" t="n">
        <f aca="false">IF(ISBLANK(Actuals!CU38),-250.13*Escalation!$B$95,Actuals!CU38)</f>
        <v>-287.320746049114</v>
      </c>
      <c r="CU220" s="13" t="n">
        <f aca="false">IF(ISBLANK(Actuals!CV38),-250.13*Escalation!$B$96,Actuals!CV38)</f>
        <v>-287.320746049114</v>
      </c>
      <c r="CV220" s="13" t="n">
        <f aca="false">IF(ISBLANK(Actuals!CW38),-250.13*Escalation!$B$97,Actuals!CW38)</f>
        <v>-287.320746049114</v>
      </c>
      <c r="CW220" s="13" t="n">
        <f aca="false">IF(ISBLANK(Actuals!CX38),-250.13*Escalation!$B$98,Actuals!CX38)</f>
        <v>-293.067160970097</v>
      </c>
      <c r="CX220" s="13" t="n">
        <f aca="false">IF(ISBLANK(Actuals!CY38),-250.13*Escalation!$B$99,Actuals!CY38)</f>
        <v>-293.067160970097</v>
      </c>
      <c r="CY220" s="13" t="n">
        <f aca="false">IF(ISBLANK(Actuals!CZ38),-250.13*Escalation!$B$100,Actuals!CZ38)</f>
        <v>-293.067160970097</v>
      </c>
      <c r="CZ220" s="13" t="n">
        <f aca="false">IF(ISBLANK(Actuals!DA38),-250.13*Escalation!$B$101,Actuals!DA38)</f>
        <v>-293.067160970097</v>
      </c>
      <c r="DA220" s="13" t="n">
        <f aca="false">IF(ISBLANK(Actuals!DB38),-250.13*Escalation!$B$102,Actuals!DB38)</f>
        <v>-293.067160970097</v>
      </c>
      <c r="DB220" s="13" t="n">
        <f aca="false">IF(ISBLANK(Actuals!DC38),-250.13*Escalation!$B$103,Actuals!DC38)</f>
        <v>-293.067160970097</v>
      </c>
      <c r="DC220" s="13" t="n">
        <f aca="false">IF(ISBLANK(Actuals!DD38),-250.13*Escalation!$B$104,Actuals!DD38)</f>
        <v>-293.067160970097</v>
      </c>
      <c r="DD220" s="13" t="n">
        <f aca="false">IF(ISBLANK(Actuals!DE38),-250.13*Escalation!$B$105,Actuals!DE38)</f>
        <v>-293.067160970097</v>
      </c>
      <c r="DE220" s="13" t="n">
        <f aca="false">IF(ISBLANK(Actuals!DF38),-250.13*Escalation!$B$106,Actuals!DF38)</f>
        <v>-293.067160970097</v>
      </c>
    </row>
    <row r="221" customFormat="false" ht="15" hidden="false" customHeight="true" outlineLevel="0" collapsed="false">
      <c r="A221" s="22" t="s">
        <v>82</v>
      </c>
      <c r="B221" s="13" t="n">
        <f aca="false">IF(ISBLANK(Actuals!C39),0,Actuals!C39)</f>
        <v>-1474.63</v>
      </c>
      <c r="C221" s="13" t="n">
        <f aca="false">IF(ISBLANK(Actuals!D39),0,Actuals!D39)</f>
        <v>-1449.33</v>
      </c>
      <c r="D221" s="13" t="n">
        <f aca="false">IF(ISBLANK(Actuals!E39),0,Actuals!E39)</f>
        <v>-2328.76</v>
      </c>
      <c r="E221" s="13" t="n">
        <f aca="false">IF(ISBLANK(Actuals!F39),-1750.91*Escalation!$B$2,Actuals!F39)</f>
        <v>-2249.56</v>
      </c>
      <c r="F221" s="13" t="n">
        <f aca="false">IF(ISBLANK(Actuals!G39),-1750.91*Escalation!$B$3,Actuals!G39)</f>
        <v>-2759.48</v>
      </c>
      <c r="G221" s="13" t="n">
        <f aca="false">IF(ISBLANK(Actuals!H39),-1750.91*Escalation!$B$4,Actuals!H39)</f>
        <v>-2749.12</v>
      </c>
      <c r="H221" s="13" t="n">
        <f aca="false">IF(ISBLANK(Actuals!I39),-1750.91*Escalation!$B$5,Actuals!I39)</f>
        <v>-2384.6</v>
      </c>
      <c r="I221" s="13" t="n">
        <f aca="false">IF(ISBLANK(Actuals!J39),-1750.91*Escalation!$B$6,Actuals!J39)</f>
        <v>-4264.89</v>
      </c>
      <c r="J221" s="13" t="n">
        <f aca="false">IF(ISBLANK(Actuals!K39),-1750.91*Escalation!$B$7,Actuals!K39)</f>
        <v>-1750.91</v>
      </c>
      <c r="K221" s="13" t="n">
        <f aca="false">IF(ISBLANK(Actuals!L39),-1750.91*Escalation!$B$8,Actuals!L39)</f>
        <v>-1750.91</v>
      </c>
      <c r="L221" s="13" t="n">
        <f aca="false">IF(ISBLANK(Actuals!M39),-1750.91*Escalation!$B$9,Actuals!M39)</f>
        <v>-1750.91</v>
      </c>
      <c r="M221" s="13" t="n">
        <f aca="false">IF(ISBLANK(Actuals!N39),-1750.91*Escalation!$B$10,Actuals!N39)</f>
        <v>-1750.91</v>
      </c>
      <c r="N221" s="13" t="n">
        <f aca="false">IF(ISBLANK(Actuals!O39),-1750.91*Escalation!$B$11,Actuals!O39)</f>
        <v>-1750.91</v>
      </c>
      <c r="O221" s="13" t="n">
        <f aca="false">IF(ISBLANK(Actuals!P39),-1750.91*Escalation!$B$12,Actuals!P39)</f>
        <v>-1750.91</v>
      </c>
      <c r="P221" s="13" t="n">
        <f aca="false">IF(ISBLANK(Actuals!Q39),-1750.91*Escalation!$B$13,Actuals!Q39)</f>
        <v>-1750.91</v>
      </c>
      <c r="Q221" s="13" t="n">
        <f aca="false">IF(ISBLANK(Actuals!R39),-1750.91*Escalation!$B$14,Actuals!R39)</f>
        <v>-1785.9282</v>
      </c>
      <c r="R221" s="13" t="n">
        <f aca="false">IF(ISBLANK(Actuals!S39),-1750.91*Escalation!$B$15,Actuals!S39)</f>
        <v>-1785.9282</v>
      </c>
      <c r="S221" s="13" t="n">
        <f aca="false">IF(ISBLANK(Actuals!T39),-1750.91*Escalation!$B$16,Actuals!T39)</f>
        <v>-1785.9282</v>
      </c>
      <c r="T221" s="13" t="n">
        <f aca="false">IF(ISBLANK(Actuals!U39),-1750.91*Escalation!$B$17,Actuals!U39)</f>
        <v>-1785.9282</v>
      </c>
      <c r="U221" s="13" t="n">
        <f aca="false">IF(ISBLANK(Actuals!V39),-1750.91*Escalation!$B$18,Actuals!V39)</f>
        <v>-1785.9282</v>
      </c>
      <c r="V221" s="13" t="n">
        <f aca="false">IF(ISBLANK(Actuals!W39),-1750.91*Escalation!$B$19,Actuals!W39)</f>
        <v>-1785.9282</v>
      </c>
      <c r="W221" s="13" t="n">
        <f aca="false">IF(ISBLANK(Actuals!X39),-1750.91*Escalation!$B$20,Actuals!X39)</f>
        <v>-1785.9282</v>
      </c>
      <c r="X221" s="13" t="n">
        <f aca="false">IF(ISBLANK(Actuals!Y39),-1750.91*Escalation!$B$21,Actuals!Y39)</f>
        <v>-1785.9282</v>
      </c>
      <c r="Y221" s="13" t="n">
        <f aca="false">IF(ISBLANK(Actuals!Z39),-1750.91*Escalation!$B$22,Actuals!Z39)</f>
        <v>-1785.9282</v>
      </c>
      <c r="Z221" s="13" t="n">
        <f aca="false">IF(ISBLANK(Actuals!AA39),-1750.91*Escalation!$B$23,Actuals!AA39)</f>
        <v>-1785.9282</v>
      </c>
      <c r="AA221" s="13" t="n">
        <f aca="false">IF(ISBLANK(Actuals!AB39),-1750.91*Escalation!$B$24,Actuals!AB39)</f>
        <v>-1785.9282</v>
      </c>
      <c r="AB221" s="13" t="n">
        <f aca="false">IF(ISBLANK(Actuals!AC39),-1750.91*Escalation!$B$25,Actuals!AC39)</f>
        <v>-1785.9282</v>
      </c>
      <c r="AC221" s="13" t="n">
        <f aca="false">IF(ISBLANK(Actuals!AD39),-1750.91*Escalation!$B$26,Actuals!AD39)</f>
        <v>-1821.646764</v>
      </c>
      <c r="AD221" s="13" t="n">
        <f aca="false">IF(ISBLANK(Actuals!AE39),-1750.91*Escalation!$B$27,Actuals!AE39)</f>
        <v>-1821.646764</v>
      </c>
      <c r="AE221" s="13" t="n">
        <f aca="false">IF(ISBLANK(Actuals!AF39),-1750.91*Escalation!$B$28,Actuals!AF39)</f>
        <v>-1821.646764</v>
      </c>
      <c r="AF221" s="13" t="n">
        <f aca="false">IF(ISBLANK(Actuals!AG39),-1750.91*Escalation!$B$29,Actuals!AG39)</f>
        <v>-1821.646764</v>
      </c>
      <c r="AG221" s="13" t="n">
        <f aca="false">IF(ISBLANK(Actuals!AH39),-1750.91*Escalation!$B$30,Actuals!AH39)</f>
        <v>-1821.646764</v>
      </c>
      <c r="AH221" s="13" t="n">
        <f aca="false">IF(ISBLANK(Actuals!AI39),-1750.91*Escalation!$B$31,Actuals!AI39)</f>
        <v>-1821.646764</v>
      </c>
      <c r="AI221" s="13" t="n">
        <f aca="false">IF(ISBLANK(Actuals!AJ39),-1750.91*Escalation!$B$32,Actuals!AJ39)</f>
        <v>-1821.646764</v>
      </c>
      <c r="AJ221" s="13" t="n">
        <f aca="false">IF(ISBLANK(Actuals!AK39),-1750.91*Escalation!$B$33,Actuals!AK39)</f>
        <v>-1821.646764</v>
      </c>
      <c r="AK221" s="13" t="n">
        <f aca="false">IF(ISBLANK(Actuals!AL39),-1750.91*Escalation!$B$34,Actuals!AL39)</f>
        <v>-1821.646764</v>
      </c>
      <c r="AL221" s="13" t="n">
        <f aca="false">IF(ISBLANK(Actuals!AM39),-1750.91*Escalation!$B$35,Actuals!AM39)</f>
        <v>-1821.646764</v>
      </c>
      <c r="AM221" s="13" t="n">
        <f aca="false">IF(ISBLANK(Actuals!AN39),-1750.91*Escalation!$B$36,Actuals!AN39)</f>
        <v>-1821.646764</v>
      </c>
      <c r="AN221" s="13" t="n">
        <f aca="false">IF(ISBLANK(Actuals!AO39),-1750.91*Escalation!$B$37,Actuals!AO39)</f>
        <v>-1821.646764</v>
      </c>
      <c r="AO221" s="13" t="n">
        <f aca="false">IF(ISBLANK(Actuals!AP39),-1750.91*Escalation!$B$38,Actuals!AP39)</f>
        <v>-1858.07969928</v>
      </c>
      <c r="AP221" s="13" t="n">
        <f aca="false">IF(ISBLANK(Actuals!AQ39),-1750.91*Escalation!$B$39,Actuals!AQ39)</f>
        <v>-1858.07969928</v>
      </c>
      <c r="AQ221" s="13" t="n">
        <f aca="false">IF(ISBLANK(Actuals!AR39),-1750.91*Escalation!$B$40,Actuals!AR39)</f>
        <v>-1858.07969928</v>
      </c>
      <c r="AR221" s="13" t="n">
        <f aca="false">IF(ISBLANK(Actuals!AS39),-1750.91*Escalation!$B$41,Actuals!AS39)</f>
        <v>-1858.07969928</v>
      </c>
      <c r="AS221" s="13" t="n">
        <f aca="false">IF(ISBLANK(Actuals!AT39),-1750.91*Escalation!$B$42,Actuals!AT39)</f>
        <v>-1858.07969928</v>
      </c>
      <c r="AT221" s="13" t="n">
        <f aca="false">IF(ISBLANK(Actuals!AU39),-1750.91*Escalation!$B$43,Actuals!AU39)</f>
        <v>-1858.07969928</v>
      </c>
      <c r="AU221" s="13" t="n">
        <f aca="false">IF(ISBLANK(Actuals!AV39),-1750.91*Escalation!$B$44,Actuals!AV39)</f>
        <v>-1858.07969928</v>
      </c>
      <c r="AV221" s="13" t="n">
        <f aca="false">IF(ISBLANK(Actuals!AW39),-1750.91*Escalation!$B$45,Actuals!AW39)</f>
        <v>-1858.07969928</v>
      </c>
      <c r="AW221" s="13" t="n">
        <f aca="false">IF(ISBLANK(Actuals!AX39),-1750.91*Escalation!$B$46,Actuals!AX39)</f>
        <v>-1858.07969928</v>
      </c>
      <c r="AX221" s="13" t="n">
        <f aca="false">IF(ISBLANK(Actuals!AY39),-1750.91*Escalation!$B$47,Actuals!AY39)</f>
        <v>-1858.07969928</v>
      </c>
      <c r="AY221" s="13" t="n">
        <f aca="false">IF(ISBLANK(Actuals!AZ39),-1750.91*Escalation!$B$48,Actuals!AZ39)</f>
        <v>-1858.07969928</v>
      </c>
      <c r="AZ221" s="13" t="n">
        <f aca="false">IF(ISBLANK(Actuals!BA39),-1750.91*Escalation!$B$49,Actuals!BA39)</f>
        <v>-1858.07969928</v>
      </c>
      <c r="BA221" s="13" t="n">
        <f aca="false">IF(ISBLANK(Actuals!BB39),-1750.91*Escalation!$B$50,Actuals!BB39)</f>
        <v>-1895.2412932656</v>
      </c>
      <c r="BB221" s="13" t="n">
        <f aca="false">IF(ISBLANK(Actuals!BC39),-1750.91*Escalation!$B$51,Actuals!BC39)</f>
        <v>-1895.2412932656</v>
      </c>
      <c r="BC221" s="13" t="n">
        <f aca="false">IF(ISBLANK(Actuals!BD39),-1750.91*Escalation!$B$52,Actuals!BD39)</f>
        <v>-1895.2412932656</v>
      </c>
      <c r="BD221" s="13" t="n">
        <f aca="false">IF(ISBLANK(Actuals!BE39),-1750.91*Escalation!$B$53,Actuals!BE39)</f>
        <v>-1895.2412932656</v>
      </c>
      <c r="BE221" s="13" t="n">
        <f aca="false">IF(ISBLANK(Actuals!BF39),-1750.91*Escalation!$B$54,Actuals!BF39)</f>
        <v>-1895.2412932656</v>
      </c>
      <c r="BF221" s="13" t="n">
        <f aca="false">IF(ISBLANK(Actuals!BG39),-1750.91*Escalation!$B$55,Actuals!BG39)</f>
        <v>-1895.2412932656</v>
      </c>
      <c r="BG221" s="13" t="n">
        <f aca="false">IF(ISBLANK(Actuals!BH39),-1750.91*Escalation!$B$56,Actuals!BH39)</f>
        <v>-1895.2412932656</v>
      </c>
      <c r="BH221" s="13" t="n">
        <f aca="false">IF(ISBLANK(Actuals!BI39),-1750.91*Escalation!$B$57,Actuals!BI39)</f>
        <v>-1895.2412932656</v>
      </c>
      <c r="BI221" s="13" t="n">
        <f aca="false">IF(ISBLANK(Actuals!BJ39),-1750.91*Escalation!$B$58,Actuals!BJ39)</f>
        <v>-1895.2412932656</v>
      </c>
      <c r="BJ221" s="13" t="n">
        <f aca="false">IF(ISBLANK(Actuals!BK39),-1750.91*Escalation!$B$59,Actuals!BK39)</f>
        <v>-1895.2412932656</v>
      </c>
      <c r="BK221" s="13" t="n">
        <f aca="false">IF(ISBLANK(Actuals!BL39),-1750.91*Escalation!$B$60,Actuals!BL39)</f>
        <v>-1895.2412932656</v>
      </c>
      <c r="BL221" s="13" t="n">
        <f aca="false">IF(ISBLANK(Actuals!BM39),-1750.91*Escalation!$B$61,Actuals!BM39)</f>
        <v>-1895.2412932656</v>
      </c>
      <c r="BM221" s="13" t="n">
        <f aca="false">IF(ISBLANK(Actuals!BN39),-1750.91*Escalation!$B$62,Actuals!BN39)</f>
        <v>-1933.14611913091</v>
      </c>
      <c r="BN221" s="13" t="n">
        <f aca="false">IF(ISBLANK(Actuals!BO39),-1750.91*Escalation!$B$63,Actuals!BO39)</f>
        <v>-1933.14611913091</v>
      </c>
      <c r="BO221" s="13" t="n">
        <f aca="false">IF(ISBLANK(Actuals!BP39),-1750.91*Escalation!$B$64,Actuals!BP39)</f>
        <v>-1933.14611913091</v>
      </c>
      <c r="BP221" s="13" t="n">
        <f aca="false">IF(ISBLANK(Actuals!BQ39),-1750.91*Escalation!$B$65,Actuals!BQ39)</f>
        <v>-1933.14611913091</v>
      </c>
      <c r="BQ221" s="13" t="n">
        <f aca="false">IF(ISBLANK(Actuals!BR39),-1750.91*Escalation!$B$66,Actuals!BR39)</f>
        <v>-1933.14611913091</v>
      </c>
      <c r="BR221" s="13" t="n">
        <f aca="false">IF(ISBLANK(Actuals!BS39),-1750.91*Escalation!$B$67,Actuals!BS39)</f>
        <v>-1933.14611913091</v>
      </c>
      <c r="BS221" s="13" t="n">
        <f aca="false">IF(ISBLANK(Actuals!BT39),-1750.91*Escalation!$B$68,Actuals!BT39)</f>
        <v>-1933.14611913091</v>
      </c>
      <c r="BT221" s="13" t="n">
        <f aca="false">IF(ISBLANK(Actuals!BU39),-1750.91*Escalation!$B$69,Actuals!BU39)</f>
        <v>-1933.14611913091</v>
      </c>
      <c r="BU221" s="13" t="n">
        <f aca="false">IF(ISBLANK(Actuals!BV39),-1750.91*Escalation!$B$70,Actuals!BV39)</f>
        <v>-1933.14611913091</v>
      </c>
      <c r="BV221" s="13" t="n">
        <f aca="false">IF(ISBLANK(Actuals!BW39),-1750.91*Escalation!$B$71,Actuals!BW39)</f>
        <v>-1933.14611913091</v>
      </c>
      <c r="BW221" s="13" t="n">
        <f aca="false">IF(ISBLANK(Actuals!BX39),-1750.91*Escalation!$B$72,Actuals!BX39)</f>
        <v>-1933.14611913091</v>
      </c>
      <c r="BX221" s="13" t="n">
        <f aca="false">IF(ISBLANK(Actuals!BY39),-1750.91*Escalation!$B$73,Actuals!BY39)</f>
        <v>-1933.14611913091</v>
      </c>
      <c r="BY221" s="13" t="n">
        <f aca="false">IF(ISBLANK(Actuals!BZ39),-1750.91*Escalation!$B$74,Actuals!BZ39)</f>
        <v>-1971.80904151353</v>
      </c>
      <c r="BZ221" s="13" t="n">
        <f aca="false">IF(ISBLANK(Actuals!CA39),-1750.91*Escalation!$B$75,Actuals!CA39)</f>
        <v>-1971.80904151353</v>
      </c>
      <c r="CA221" s="13" t="n">
        <f aca="false">IF(ISBLANK(Actuals!CB39),-1750.91*Escalation!$B$76,Actuals!CB39)</f>
        <v>-1971.80904151353</v>
      </c>
      <c r="CB221" s="13" t="n">
        <f aca="false">IF(ISBLANK(Actuals!CC39),-1750.91*Escalation!$B$77,Actuals!CC39)</f>
        <v>-1971.80904151353</v>
      </c>
      <c r="CC221" s="13" t="n">
        <f aca="false">IF(ISBLANK(Actuals!CD39),-1750.91*Escalation!$B$78,Actuals!CD39)</f>
        <v>-1971.80904151353</v>
      </c>
      <c r="CD221" s="13" t="n">
        <f aca="false">IF(ISBLANK(Actuals!CE39),-1750.91*Escalation!$B$79,Actuals!CE39)</f>
        <v>-1971.80904151353</v>
      </c>
      <c r="CE221" s="13" t="n">
        <f aca="false">IF(ISBLANK(Actuals!CF39),-1750.91*Escalation!$B$80,Actuals!CF39)</f>
        <v>-1971.80904151353</v>
      </c>
      <c r="CF221" s="13" t="n">
        <f aca="false">IF(ISBLANK(Actuals!CG39),-1750.91*Escalation!$B$81,Actuals!CG39)</f>
        <v>-1971.80904151353</v>
      </c>
      <c r="CG221" s="13" t="n">
        <f aca="false">IF(ISBLANK(Actuals!CH39),-1750.91*Escalation!$B$82,Actuals!CH39)</f>
        <v>-1971.80904151353</v>
      </c>
      <c r="CH221" s="13" t="n">
        <f aca="false">IF(ISBLANK(Actuals!CI39),-1750.91*Escalation!$B$83,Actuals!CI39)</f>
        <v>-1971.80904151353</v>
      </c>
      <c r="CI221" s="13" t="n">
        <f aca="false">IF(ISBLANK(Actuals!CJ39),-1750.91*Escalation!$B$84,Actuals!CJ39)</f>
        <v>-1971.80904151353</v>
      </c>
      <c r="CJ221" s="13" t="n">
        <f aca="false">IF(ISBLANK(Actuals!CK39),-1750.91*Escalation!$B$85,Actuals!CK39)</f>
        <v>-1971.80904151353</v>
      </c>
      <c r="CK221" s="13" t="n">
        <f aca="false">IF(ISBLANK(Actuals!CL39),-1750.91*Escalation!$B$86,Actuals!CL39)</f>
        <v>-2011.2452223438</v>
      </c>
      <c r="CL221" s="13" t="n">
        <f aca="false">IF(ISBLANK(Actuals!CM39),-1750.91*Escalation!$B$87,Actuals!CM39)</f>
        <v>-2011.2452223438</v>
      </c>
      <c r="CM221" s="13" t="n">
        <f aca="false">IF(ISBLANK(Actuals!CN39),-1750.91*Escalation!$B$88,Actuals!CN39)</f>
        <v>-2011.2452223438</v>
      </c>
      <c r="CN221" s="13" t="n">
        <f aca="false">IF(ISBLANK(Actuals!CO39),-1750.91*Escalation!$B$89,Actuals!CO39)</f>
        <v>-2011.2452223438</v>
      </c>
      <c r="CO221" s="13" t="n">
        <f aca="false">IF(ISBLANK(Actuals!CP39),-1750.91*Escalation!$B$90,Actuals!CP39)</f>
        <v>-2011.2452223438</v>
      </c>
      <c r="CP221" s="13" t="n">
        <f aca="false">IF(ISBLANK(Actuals!CQ39),-1750.91*Escalation!$B$91,Actuals!CQ39)</f>
        <v>-2011.2452223438</v>
      </c>
      <c r="CQ221" s="13" t="n">
        <f aca="false">IF(ISBLANK(Actuals!CR39),-1750.91*Escalation!$B$92,Actuals!CR39)</f>
        <v>-2011.2452223438</v>
      </c>
      <c r="CR221" s="13" t="n">
        <f aca="false">IF(ISBLANK(Actuals!CS39),-1750.91*Escalation!$B$93,Actuals!CS39)</f>
        <v>-2011.2452223438</v>
      </c>
      <c r="CS221" s="13" t="n">
        <f aca="false">IF(ISBLANK(Actuals!CT39),-1750.91*Escalation!$B$94,Actuals!CT39)</f>
        <v>-2011.2452223438</v>
      </c>
      <c r="CT221" s="13" t="n">
        <f aca="false">IF(ISBLANK(Actuals!CU39),-1750.91*Escalation!$B$95,Actuals!CU39)</f>
        <v>-2011.2452223438</v>
      </c>
      <c r="CU221" s="13" t="n">
        <f aca="false">IF(ISBLANK(Actuals!CV39),-1750.91*Escalation!$B$96,Actuals!CV39)</f>
        <v>-2011.2452223438</v>
      </c>
      <c r="CV221" s="13" t="n">
        <f aca="false">IF(ISBLANK(Actuals!CW39),-1750.91*Escalation!$B$97,Actuals!CW39)</f>
        <v>-2011.2452223438</v>
      </c>
      <c r="CW221" s="13" t="n">
        <f aca="false">IF(ISBLANK(Actuals!CX39),-1750.91*Escalation!$B$98,Actuals!CX39)</f>
        <v>-2051.47012679068</v>
      </c>
      <c r="CX221" s="13" t="n">
        <f aca="false">IF(ISBLANK(Actuals!CY39),-1750.91*Escalation!$B$99,Actuals!CY39)</f>
        <v>-2051.47012679068</v>
      </c>
      <c r="CY221" s="13" t="n">
        <f aca="false">IF(ISBLANK(Actuals!CZ39),-1750.91*Escalation!$B$100,Actuals!CZ39)</f>
        <v>-2051.47012679068</v>
      </c>
      <c r="CZ221" s="13" t="n">
        <f aca="false">IF(ISBLANK(Actuals!DA39),-1750.91*Escalation!$B$101,Actuals!DA39)</f>
        <v>-2051.47012679068</v>
      </c>
      <c r="DA221" s="13" t="n">
        <f aca="false">IF(ISBLANK(Actuals!DB39),-1750.91*Escalation!$B$102,Actuals!DB39)</f>
        <v>-2051.47012679068</v>
      </c>
      <c r="DB221" s="13" t="n">
        <f aca="false">IF(ISBLANK(Actuals!DC39),-1750.91*Escalation!$B$103,Actuals!DC39)</f>
        <v>-2051.47012679068</v>
      </c>
      <c r="DC221" s="13" t="n">
        <f aca="false">IF(ISBLANK(Actuals!DD39),-1750.91*Escalation!$B$104,Actuals!DD39)</f>
        <v>-2051.47012679068</v>
      </c>
      <c r="DD221" s="13" t="n">
        <f aca="false">IF(ISBLANK(Actuals!DE39),-1750.91*Escalation!$B$105,Actuals!DE39)</f>
        <v>-2051.47012679068</v>
      </c>
      <c r="DE221" s="13" t="n">
        <f aca="false">IF(ISBLANK(Actuals!DF39),-1750.91*Escalation!$B$106,Actuals!DF39)</f>
        <v>-2051.47012679068</v>
      </c>
    </row>
    <row r="222" customFormat="false" ht="15" hidden="false" customHeight="true" outlineLevel="0" collapsed="false">
      <c r="A222" s="22" t="s">
        <v>83</v>
      </c>
      <c r="B222" s="13" t="n">
        <f aca="false">IF(ISBLANK(Actuals!C40),0,Actuals!C40)</f>
        <v>-1417.61</v>
      </c>
      <c r="C222" s="13" t="n">
        <f aca="false">IF(ISBLANK(Actuals!D40),0,Actuals!D40)</f>
        <v>-2730.36</v>
      </c>
      <c r="D222" s="13" t="n">
        <f aca="false">IF(ISBLANK(Actuals!E40),0,Actuals!E40)</f>
        <v>-1818.05</v>
      </c>
      <c r="E222" s="13" t="n">
        <f aca="false">IF(ISBLANK(Actuals!F40),-1988.67*Escalation!$B$2,Actuals!F40)</f>
        <v>-3307.74</v>
      </c>
      <c r="F222" s="13" t="n">
        <f aca="false">IF(ISBLANK(Actuals!G40),-1988.67*Escalation!$B$3,Actuals!G40)</f>
        <v>-1257.74</v>
      </c>
      <c r="G222" s="13" t="n">
        <f aca="false">IF(ISBLANK(Actuals!H40),-1988.67*Escalation!$B$4,Actuals!H40)</f>
        <v>-3372.74</v>
      </c>
      <c r="H222" s="13" t="n">
        <f aca="false">IF(ISBLANK(Actuals!I40),-1988.67*Escalation!$B$5,Actuals!I40)</f>
        <v>-1434.83</v>
      </c>
      <c r="I222" s="13" t="n">
        <f aca="false">IF(ISBLANK(Actuals!J40),-1988.67*Escalation!$B$6,Actuals!J40)</f>
        <v>-3520.23</v>
      </c>
      <c r="J222" s="13" t="n">
        <f aca="false">IF(ISBLANK(Actuals!K40),-1988.67*Escalation!$B$7,Actuals!K40)</f>
        <v>-1988.67</v>
      </c>
      <c r="K222" s="13" t="n">
        <f aca="false">IF(ISBLANK(Actuals!L40),-1988.67*Escalation!$B$8,Actuals!L40)</f>
        <v>-1988.67</v>
      </c>
      <c r="L222" s="13" t="n">
        <f aca="false">IF(ISBLANK(Actuals!M40),-1988.67*Escalation!$B$9,Actuals!M40)</f>
        <v>-1988.67</v>
      </c>
      <c r="M222" s="13" t="n">
        <f aca="false">IF(ISBLANK(Actuals!N40),-1988.67*Escalation!$B$10,Actuals!N40)</f>
        <v>-1988.67</v>
      </c>
      <c r="N222" s="13" t="n">
        <f aca="false">IF(ISBLANK(Actuals!O40),-1988.67*Escalation!$B$11,Actuals!O40)</f>
        <v>-1988.67</v>
      </c>
      <c r="O222" s="13" t="n">
        <f aca="false">IF(ISBLANK(Actuals!P40),-1988.67*Escalation!$B$12,Actuals!P40)</f>
        <v>-1988.67</v>
      </c>
      <c r="P222" s="13" t="n">
        <f aca="false">IF(ISBLANK(Actuals!Q40),-1988.67*Escalation!$B$13,Actuals!Q40)</f>
        <v>-1988.67</v>
      </c>
      <c r="Q222" s="13" t="n">
        <f aca="false">IF(ISBLANK(Actuals!R40),-1988.67*Escalation!$B$14,Actuals!R40)</f>
        <v>-2028.4434</v>
      </c>
      <c r="R222" s="13" t="n">
        <f aca="false">IF(ISBLANK(Actuals!S40),-1988.67*Escalation!$B$15,Actuals!S40)</f>
        <v>-2028.4434</v>
      </c>
      <c r="S222" s="13" t="n">
        <f aca="false">IF(ISBLANK(Actuals!T40),-1988.67*Escalation!$B$16,Actuals!T40)</f>
        <v>-2028.4434</v>
      </c>
      <c r="T222" s="13" t="n">
        <f aca="false">IF(ISBLANK(Actuals!U40),-1988.67*Escalation!$B$17,Actuals!U40)</f>
        <v>-2028.4434</v>
      </c>
      <c r="U222" s="13" t="n">
        <f aca="false">IF(ISBLANK(Actuals!V40),-1988.67*Escalation!$B$18,Actuals!V40)</f>
        <v>-2028.4434</v>
      </c>
      <c r="V222" s="13" t="n">
        <f aca="false">IF(ISBLANK(Actuals!W40),-1988.67*Escalation!$B$19,Actuals!W40)</f>
        <v>-2028.4434</v>
      </c>
      <c r="W222" s="13" t="n">
        <f aca="false">IF(ISBLANK(Actuals!X40),-1988.67*Escalation!$B$20,Actuals!X40)</f>
        <v>-2028.4434</v>
      </c>
      <c r="X222" s="13" t="n">
        <f aca="false">IF(ISBLANK(Actuals!Y40),-1988.67*Escalation!$B$21,Actuals!Y40)</f>
        <v>-2028.4434</v>
      </c>
      <c r="Y222" s="13" t="n">
        <f aca="false">IF(ISBLANK(Actuals!Z40),-1988.67*Escalation!$B$22,Actuals!Z40)</f>
        <v>-2028.4434</v>
      </c>
      <c r="Z222" s="13" t="n">
        <f aca="false">IF(ISBLANK(Actuals!AA40),-1988.67*Escalation!$B$23,Actuals!AA40)</f>
        <v>-2028.4434</v>
      </c>
      <c r="AA222" s="13" t="n">
        <f aca="false">IF(ISBLANK(Actuals!AB40),-1988.67*Escalation!$B$24,Actuals!AB40)</f>
        <v>-2028.4434</v>
      </c>
      <c r="AB222" s="13" t="n">
        <f aca="false">IF(ISBLANK(Actuals!AC40),-1988.67*Escalation!$B$25,Actuals!AC40)</f>
        <v>-2028.4434</v>
      </c>
      <c r="AC222" s="13" t="n">
        <f aca="false">IF(ISBLANK(Actuals!AD40),-1988.67*Escalation!$B$26,Actuals!AD40)</f>
        <v>-2069.012268</v>
      </c>
      <c r="AD222" s="13" t="n">
        <f aca="false">IF(ISBLANK(Actuals!AE40),-1988.67*Escalation!$B$27,Actuals!AE40)</f>
        <v>-2069.012268</v>
      </c>
      <c r="AE222" s="13" t="n">
        <f aca="false">IF(ISBLANK(Actuals!AF40),-1988.67*Escalation!$B$28,Actuals!AF40)</f>
        <v>-2069.012268</v>
      </c>
      <c r="AF222" s="13" t="n">
        <f aca="false">IF(ISBLANK(Actuals!AG40),-1988.67*Escalation!$B$29,Actuals!AG40)</f>
        <v>-2069.012268</v>
      </c>
      <c r="AG222" s="13" t="n">
        <f aca="false">IF(ISBLANK(Actuals!AH40),-1988.67*Escalation!$B$30,Actuals!AH40)</f>
        <v>-2069.012268</v>
      </c>
      <c r="AH222" s="13" t="n">
        <f aca="false">IF(ISBLANK(Actuals!AI40),-1988.67*Escalation!$B$31,Actuals!AI40)</f>
        <v>-2069.012268</v>
      </c>
      <c r="AI222" s="13" t="n">
        <f aca="false">IF(ISBLANK(Actuals!AJ40),-1988.67*Escalation!$B$32,Actuals!AJ40)</f>
        <v>-2069.012268</v>
      </c>
      <c r="AJ222" s="13" t="n">
        <f aca="false">IF(ISBLANK(Actuals!AK40),-1988.67*Escalation!$B$33,Actuals!AK40)</f>
        <v>-2069.012268</v>
      </c>
      <c r="AK222" s="13" t="n">
        <f aca="false">IF(ISBLANK(Actuals!AL40),-1988.67*Escalation!$B$34,Actuals!AL40)</f>
        <v>-2069.012268</v>
      </c>
      <c r="AL222" s="13" t="n">
        <f aca="false">IF(ISBLANK(Actuals!AM40),-1988.67*Escalation!$B$35,Actuals!AM40)</f>
        <v>-2069.012268</v>
      </c>
      <c r="AM222" s="13" t="n">
        <f aca="false">IF(ISBLANK(Actuals!AN40),-1988.67*Escalation!$B$36,Actuals!AN40)</f>
        <v>-2069.012268</v>
      </c>
      <c r="AN222" s="13" t="n">
        <f aca="false">IF(ISBLANK(Actuals!AO40),-1988.67*Escalation!$B$37,Actuals!AO40)</f>
        <v>-2069.012268</v>
      </c>
      <c r="AO222" s="13" t="n">
        <f aca="false">IF(ISBLANK(Actuals!AP40),-1988.67*Escalation!$B$38,Actuals!AP40)</f>
        <v>-2110.39251336</v>
      </c>
      <c r="AP222" s="13" t="n">
        <f aca="false">IF(ISBLANK(Actuals!AQ40),-1988.67*Escalation!$B$39,Actuals!AQ40)</f>
        <v>-2110.39251336</v>
      </c>
      <c r="AQ222" s="13" t="n">
        <f aca="false">IF(ISBLANK(Actuals!AR40),-1988.67*Escalation!$B$40,Actuals!AR40)</f>
        <v>-2110.39251336</v>
      </c>
      <c r="AR222" s="13" t="n">
        <f aca="false">IF(ISBLANK(Actuals!AS40),-1988.67*Escalation!$B$41,Actuals!AS40)</f>
        <v>-2110.39251336</v>
      </c>
      <c r="AS222" s="13" t="n">
        <f aca="false">IF(ISBLANK(Actuals!AT40),-1988.67*Escalation!$B$42,Actuals!AT40)</f>
        <v>-2110.39251336</v>
      </c>
      <c r="AT222" s="13" t="n">
        <f aca="false">IF(ISBLANK(Actuals!AU40),-1988.67*Escalation!$B$43,Actuals!AU40)</f>
        <v>-2110.39251336</v>
      </c>
      <c r="AU222" s="13" t="n">
        <f aca="false">IF(ISBLANK(Actuals!AV40),-1988.67*Escalation!$B$44,Actuals!AV40)</f>
        <v>-2110.39251336</v>
      </c>
      <c r="AV222" s="13" t="n">
        <f aca="false">IF(ISBLANK(Actuals!AW40),-1988.67*Escalation!$B$45,Actuals!AW40)</f>
        <v>-2110.39251336</v>
      </c>
      <c r="AW222" s="13" t="n">
        <f aca="false">IF(ISBLANK(Actuals!AX40),-1988.67*Escalation!$B$46,Actuals!AX40)</f>
        <v>-2110.39251336</v>
      </c>
      <c r="AX222" s="13" t="n">
        <f aca="false">IF(ISBLANK(Actuals!AY40),-1988.67*Escalation!$B$47,Actuals!AY40)</f>
        <v>-2110.39251336</v>
      </c>
      <c r="AY222" s="13" t="n">
        <f aca="false">IF(ISBLANK(Actuals!AZ40),-1988.67*Escalation!$B$48,Actuals!AZ40)</f>
        <v>-2110.39251336</v>
      </c>
      <c r="AZ222" s="13" t="n">
        <f aca="false">IF(ISBLANK(Actuals!BA40),-1988.67*Escalation!$B$49,Actuals!BA40)</f>
        <v>-2110.39251336</v>
      </c>
      <c r="BA222" s="13" t="n">
        <f aca="false">IF(ISBLANK(Actuals!BB40),-1988.67*Escalation!$B$50,Actuals!BB40)</f>
        <v>-2152.6003636272</v>
      </c>
      <c r="BB222" s="13" t="n">
        <f aca="false">IF(ISBLANK(Actuals!BC40),-1988.67*Escalation!$B$51,Actuals!BC40)</f>
        <v>-2152.6003636272</v>
      </c>
      <c r="BC222" s="13" t="n">
        <f aca="false">IF(ISBLANK(Actuals!BD40),-1988.67*Escalation!$B$52,Actuals!BD40)</f>
        <v>-2152.6003636272</v>
      </c>
      <c r="BD222" s="13" t="n">
        <f aca="false">IF(ISBLANK(Actuals!BE40),-1988.67*Escalation!$B$53,Actuals!BE40)</f>
        <v>-2152.6003636272</v>
      </c>
      <c r="BE222" s="13" t="n">
        <f aca="false">IF(ISBLANK(Actuals!BF40),-1988.67*Escalation!$B$54,Actuals!BF40)</f>
        <v>-2152.6003636272</v>
      </c>
      <c r="BF222" s="13" t="n">
        <f aca="false">IF(ISBLANK(Actuals!BG40),-1988.67*Escalation!$B$55,Actuals!BG40)</f>
        <v>-2152.6003636272</v>
      </c>
      <c r="BG222" s="13" t="n">
        <f aca="false">IF(ISBLANK(Actuals!BH40),-1988.67*Escalation!$B$56,Actuals!BH40)</f>
        <v>-2152.6003636272</v>
      </c>
      <c r="BH222" s="13" t="n">
        <f aca="false">IF(ISBLANK(Actuals!BI40),-1988.67*Escalation!$B$57,Actuals!BI40)</f>
        <v>-2152.6003636272</v>
      </c>
      <c r="BI222" s="13" t="n">
        <f aca="false">IF(ISBLANK(Actuals!BJ40),-1988.67*Escalation!$B$58,Actuals!BJ40)</f>
        <v>-2152.6003636272</v>
      </c>
      <c r="BJ222" s="13" t="n">
        <f aca="false">IF(ISBLANK(Actuals!BK40),-1988.67*Escalation!$B$59,Actuals!BK40)</f>
        <v>-2152.6003636272</v>
      </c>
      <c r="BK222" s="13" t="n">
        <f aca="false">IF(ISBLANK(Actuals!BL40),-1988.67*Escalation!$B$60,Actuals!BL40)</f>
        <v>-2152.6003636272</v>
      </c>
      <c r="BL222" s="13" t="n">
        <f aca="false">IF(ISBLANK(Actuals!BM40),-1988.67*Escalation!$B$61,Actuals!BM40)</f>
        <v>-2152.6003636272</v>
      </c>
      <c r="BM222" s="13" t="n">
        <f aca="false">IF(ISBLANK(Actuals!BN40),-1988.67*Escalation!$B$62,Actuals!BN40)</f>
        <v>-2195.65237089974</v>
      </c>
      <c r="BN222" s="13" t="n">
        <f aca="false">IF(ISBLANK(Actuals!BO40),-1988.67*Escalation!$B$63,Actuals!BO40)</f>
        <v>-2195.65237089974</v>
      </c>
      <c r="BO222" s="13" t="n">
        <f aca="false">IF(ISBLANK(Actuals!BP40),-1988.67*Escalation!$B$64,Actuals!BP40)</f>
        <v>-2195.65237089974</v>
      </c>
      <c r="BP222" s="13" t="n">
        <f aca="false">IF(ISBLANK(Actuals!BQ40),-1988.67*Escalation!$B$65,Actuals!BQ40)</f>
        <v>-2195.65237089974</v>
      </c>
      <c r="BQ222" s="13" t="n">
        <f aca="false">IF(ISBLANK(Actuals!BR40),-1988.67*Escalation!$B$66,Actuals!BR40)</f>
        <v>-2195.65237089974</v>
      </c>
      <c r="BR222" s="13" t="n">
        <f aca="false">IF(ISBLANK(Actuals!BS40),-1988.67*Escalation!$B$67,Actuals!BS40)</f>
        <v>-2195.65237089974</v>
      </c>
      <c r="BS222" s="13" t="n">
        <f aca="false">IF(ISBLANK(Actuals!BT40),-1988.67*Escalation!$B$68,Actuals!BT40)</f>
        <v>-2195.65237089974</v>
      </c>
      <c r="BT222" s="13" t="n">
        <f aca="false">IF(ISBLANK(Actuals!BU40),-1988.67*Escalation!$B$69,Actuals!BU40)</f>
        <v>-2195.65237089974</v>
      </c>
      <c r="BU222" s="13" t="n">
        <f aca="false">IF(ISBLANK(Actuals!BV40),-1988.67*Escalation!$B$70,Actuals!BV40)</f>
        <v>-2195.65237089974</v>
      </c>
      <c r="BV222" s="13" t="n">
        <f aca="false">IF(ISBLANK(Actuals!BW40),-1988.67*Escalation!$B$71,Actuals!BW40)</f>
        <v>-2195.65237089974</v>
      </c>
      <c r="BW222" s="13" t="n">
        <f aca="false">IF(ISBLANK(Actuals!BX40),-1988.67*Escalation!$B$72,Actuals!BX40)</f>
        <v>-2195.65237089974</v>
      </c>
      <c r="BX222" s="13" t="n">
        <f aca="false">IF(ISBLANK(Actuals!BY40),-1988.67*Escalation!$B$73,Actuals!BY40)</f>
        <v>-2195.65237089974</v>
      </c>
      <c r="BY222" s="13" t="n">
        <f aca="false">IF(ISBLANK(Actuals!BZ40),-1988.67*Escalation!$B$74,Actuals!BZ40)</f>
        <v>-2239.56541831774</v>
      </c>
      <c r="BZ222" s="13" t="n">
        <f aca="false">IF(ISBLANK(Actuals!CA40),-1988.67*Escalation!$B$75,Actuals!CA40)</f>
        <v>-2239.56541831774</v>
      </c>
      <c r="CA222" s="13" t="n">
        <f aca="false">IF(ISBLANK(Actuals!CB40),-1988.67*Escalation!$B$76,Actuals!CB40)</f>
        <v>-2239.56541831774</v>
      </c>
      <c r="CB222" s="13" t="n">
        <f aca="false">IF(ISBLANK(Actuals!CC40),-1988.67*Escalation!$B$77,Actuals!CC40)</f>
        <v>-2239.56541831774</v>
      </c>
      <c r="CC222" s="13" t="n">
        <f aca="false">IF(ISBLANK(Actuals!CD40),-1988.67*Escalation!$B$78,Actuals!CD40)</f>
        <v>-2239.56541831774</v>
      </c>
      <c r="CD222" s="13" t="n">
        <f aca="false">IF(ISBLANK(Actuals!CE40),-1988.67*Escalation!$B$79,Actuals!CE40)</f>
        <v>-2239.56541831774</v>
      </c>
      <c r="CE222" s="13" t="n">
        <f aca="false">IF(ISBLANK(Actuals!CF40),-1988.67*Escalation!$B$80,Actuals!CF40)</f>
        <v>-2239.56541831774</v>
      </c>
      <c r="CF222" s="13" t="n">
        <f aca="false">IF(ISBLANK(Actuals!CG40),-1988.67*Escalation!$B$81,Actuals!CG40)</f>
        <v>-2239.56541831774</v>
      </c>
      <c r="CG222" s="13" t="n">
        <f aca="false">IF(ISBLANK(Actuals!CH40),-1988.67*Escalation!$B$82,Actuals!CH40)</f>
        <v>-2239.56541831774</v>
      </c>
      <c r="CH222" s="13" t="n">
        <f aca="false">IF(ISBLANK(Actuals!CI40),-1988.67*Escalation!$B$83,Actuals!CI40)</f>
        <v>-2239.56541831774</v>
      </c>
      <c r="CI222" s="13" t="n">
        <f aca="false">IF(ISBLANK(Actuals!CJ40),-1988.67*Escalation!$B$84,Actuals!CJ40)</f>
        <v>-2239.56541831774</v>
      </c>
      <c r="CJ222" s="13" t="n">
        <f aca="false">IF(ISBLANK(Actuals!CK40),-1988.67*Escalation!$B$85,Actuals!CK40)</f>
        <v>-2239.56541831774</v>
      </c>
      <c r="CK222" s="13" t="n">
        <f aca="false">IF(ISBLANK(Actuals!CL40),-1988.67*Escalation!$B$86,Actuals!CL40)</f>
        <v>-2284.35672668409</v>
      </c>
      <c r="CL222" s="13" t="n">
        <f aca="false">IF(ISBLANK(Actuals!CM40),-1988.67*Escalation!$B$87,Actuals!CM40)</f>
        <v>-2284.35672668409</v>
      </c>
      <c r="CM222" s="13" t="n">
        <f aca="false">IF(ISBLANK(Actuals!CN40),-1988.67*Escalation!$B$88,Actuals!CN40)</f>
        <v>-2284.35672668409</v>
      </c>
      <c r="CN222" s="13" t="n">
        <f aca="false">IF(ISBLANK(Actuals!CO40),-1988.67*Escalation!$B$89,Actuals!CO40)</f>
        <v>-2284.35672668409</v>
      </c>
      <c r="CO222" s="13" t="n">
        <f aca="false">IF(ISBLANK(Actuals!CP40),-1988.67*Escalation!$B$90,Actuals!CP40)</f>
        <v>-2284.35672668409</v>
      </c>
      <c r="CP222" s="13" t="n">
        <f aca="false">IF(ISBLANK(Actuals!CQ40),-1988.67*Escalation!$B$91,Actuals!CQ40)</f>
        <v>-2284.35672668409</v>
      </c>
      <c r="CQ222" s="13" t="n">
        <f aca="false">IF(ISBLANK(Actuals!CR40),-1988.67*Escalation!$B$92,Actuals!CR40)</f>
        <v>-2284.35672668409</v>
      </c>
      <c r="CR222" s="13" t="n">
        <f aca="false">IF(ISBLANK(Actuals!CS40),-1988.67*Escalation!$B$93,Actuals!CS40)</f>
        <v>-2284.35672668409</v>
      </c>
      <c r="CS222" s="13" t="n">
        <f aca="false">IF(ISBLANK(Actuals!CT40),-1988.67*Escalation!$B$94,Actuals!CT40)</f>
        <v>-2284.35672668409</v>
      </c>
      <c r="CT222" s="13" t="n">
        <f aca="false">IF(ISBLANK(Actuals!CU40),-1988.67*Escalation!$B$95,Actuals!CU40)</f>
        <v>-2284.35672668409</v>
      </c>
      <c r="CU222" s="13" t="n">
        <f aca="false">IF(ISBLANK(Actuals!CV40),-1988.67*Escalation!$B$96,Actuals!CV40)</f>
        <v>-2284.35672668409</v>
      </c>
      <c r="CV222" s="13" t="n">
        <f aca="false">IF(ISBLANK(Actuals!CW40),-1988.67*Escalation!$B$97,Actuals!CW40)</f>
        <v>-2284.35672668409</v>
      </c>
      <c r="CW222" s="13" t="n">
        <f aca="false">IF(ISBLANK(Actuals!CX40),-1988.67*Escalation!$B$98,Actuals!CX40)</f>
        <v>-2330.04386121778</v>
      </c>
      <c r="CX222" s="13" t="n">
        <f aca="false">IF(ISBLANK(Actuals!CY40),-1988.67*Escalation!$B$99,Actuals!CY40)</f>
        <v>-2330.04386121778</v>
      </c>
      <c r="CY222" s="13" t="n">
        <f aca="false">IF(ISBLANK(Actuals!CZ40),-1988.67*Escalation!$B$100,Actuals!CZ40)</f>
        <v>-2330.04386121778</v>
      </c>
      <c r="CZ222" s="13" t="n">
        <f aca="false">IF(ISBLANK(Actuals!DA40),-1988.67*Escalation!$B$101,Actuals!DA40)</f>
        <v>-2330.04386121778</v>
      </c>
      <c r="DA222" s="13" t="n">
        <f aca="false">IF(ISBLANK(Actuals!DB40),-1988.67*Escalation!$B$102,Actuals!DB40)</f>
        <v>-2330.04386121778</v>
      </c>
      <c r="DB222" s="13" t="n">
        <f aca="false">IF(ISBLANK(Actuals!DC40),-1988.67*Escalation!$B$103,Actuals!DC40)</f>
        <v>-2330.04386121778</v>
      </c>
      <c r="DC222" s="13" t="n">
        <f aca="false">IF(ISBLANK(Actuals!DD40),-1988.67*Escalation!$B$104,Actuals!DD40)</f>
        <v>-2330.04386121778</v>
      </c>
      <c r="DD222" s="13" t="n">
        <f aca="false">IF(ISBLANK(Actuals!DE40),-1988.67*Escalation!$B$105,Actuals!DE40)</f>
        <v>-2330.04386121778</v>
      </c>
      <c r="DE222" s="13" t="n">
        <f aca="false">IF(ISBLANK(Actuals!DF40),-1988.67*Escalation!$B$106,Actuals!DF40)</f>
        <v>-2330.04386121778</v>
      </c>
    </row>
    <row r="223" customFormat="false" ht="15" hidden="false" customHeight="true" outlineLevel="0" collapsed="false">
      <c r="A223" s="22" t="s">
        <v>84</v>
      </c>
      <c r="B223" s="13" t="n">
        <f aca="false">IF(ISBLANK(Actuals!C41),0,Actuals!C41)</f>
        <v>0</v>
      </c>
      <c r="C223" s="13" t="n">
        <f aca="false">IF(ISBLANK(Actuals!D41),0,Actuals!D41)</f>
        <v>0</v>
      </c>
      <c r="D223" s="13" t="n">
        <f aca="false">IF(ISBLANK(Actuals!E41),0,Actuals!E41)</f>
        <v>-41990</v>
      </c>
      <c r="E223" s="13" t="n">
        <f aca="false">IF(ISBLANK(Actuals!F41),-(SUMPRODUCT((Personnel!$O$9:$O$100="GC")*(Personnel!$G$9:$G$100="Yes")*(Personnel!$E$9:$E$100&gt;=2)*(Personnel!$Q$9:$Q$100&lt;&gt;"No")*(Personnel!$E$9:$E$100=1)*Personnel!$C$9:$C$100)*Staffing!$B$21+Staffing!E84),Actuals!F41)</f>
        <v>-42500</v>
      </c>
      <c r="F223" s="13" t="n">
        <f aca="false">IF(ISBLANK(Actuals!G41),-(SUMPRODUCT((Personnel!$O$9:$O$100="GC")*(Personnel!$G$9:$G$100="Yes")*(Personnel!$E$9:$E$100&gt;=2)*(Personnel!$Q$9:$Q$100&lt;&gt;"No")*(Personnel!$E$9:$E$100=2)*Personnel!$C$9:$C$100)*Staffing!$B$21+Staffing!F84),Actuals!G41)</f>
        <v>-21000</v>
      </c>
      <c r="G223" s="13" t="n">
        <f aca="false">IF(ISBLANK(Actuals!H41),-(SUMPRODUCT((Personnel!$O$9:$O$100="GC")*(Personnel!$G$9:$G$100="Yes")*(Personnel!$E$9:$E$100&gt;=2)*(Personnel!$Q$9:$Q$100&lt;&gt;"No")*(Personnel!$E$9:$E$100=3)*Personnel!$C$9:$C$100)*Staffing!$B$21+Staffing!G84),Actuals!H41)</f>
        <v>0</v>
      </c>
      <c r="H223" s="13" t="n">
        <f aca="false">IF(ISBLANK(Actuals!I41),-(SUMPRODUCT((Personnel!$O$9:$O$100="GC")*(Personnel!$G$9:$G$100="Yes")*(Personnel!$E$9:$E$100&gt;=2)*(Personnel!$Q$9:$Q$100&lt;&gt;"No")*(Personnel!$E$9:$E$100=4)*Personnel!$C$9:$C$100)*Staffing!$B$21+Staffing!H84),Actuals!I41)</f>
        <v>0</v>
      </c>
      <c r="I223" s="13" t="n">
        <f aca="false">IF(ISBLANK(Actuals!J41),-(SUMPRODUCT((Personnel!$O$9:$O$100="GC")*(Personnel!$G$9:$G$100="Yes")*(Personnel!$E$9:$E$100&gt;=2)*(Personnel!$Q$9:$Q$100&lt;&gt;"No")*(Personnel!$E$9:$E$100=5)*Personnel!$C$9:$C$100)*Staffing!$B$21+Staffing!I84),Actuals!J41)</f>
        <v>0</v>
      </c>
      <c r="J223" s="13" t="n">
        <f aca="false">IF(ISBLANK(Actuals!K41),-(SUMPRODUCT((Personnel!$O$9:$O$100="GC")*(Personnel!$G$9:$G$100="Yes")*(Personnel!$E$9:$E$100&gt;=2)*(Personnel!$Q$9:$Q$100&lt;&gt;"No")*(Personnel!$E$9:$E$100=6)*Personnel!$C$9:$C$100)*Staffing!$B$21+Staffing!J84),Actuals!K41)</f>
        <v>-10000</v>
      </c>
      <c r="K223" s="13" t="n">
        <f aca="false">IF(ISBLANK(Actuals!L41),-(SUMPRODUCT((Personnel!$O$9:$O$100="GC")*(Personnel!$G$9:$G$100="Yes")*(Personnel!$E$9:$E$100&gt;=2)*(Personnel!$Q$9:$Q$100&lt;&gt;"No")*(Personnel!$E$9:$E$100=7)*Personnel!$C$9:$C$100)*Staffing!$B$21+Staffing!K84),Actuals!L41)</f>
        <v>-0</v>
      </c>
      <c r="L223" s="13" t="n">
        <f aca="false">IF(ISBLANK(Actuals!M41),-(SUMPRODUCT((Personnel!$O$9:$O$100="GC")*(Personnel!$G$9:$G$100="Yes")*(Personnel!$E$9:$E$100&gt;=2)*(Personnel!$Q$9:$Q$100&lt;&gt;"No")*(Personnel!$E$9:$E$100=8)*Personnel!$C$9:$C$100)*Staffing!$B$21+Staffing!L84),Actuals!M41)</f>
        <v>-0</v>
      </c>
      <c r="M223" s="13" t="n">
        <f aca="false">IF(ISBLANK(Actuals!N41),-(SUMPRODUCT((Personnel!$O$9:$O$100="GC")*(Personnel!$G$9:$G$100="Yes")*(Personnel!$E$9:$E$100&gt;=2)*(Personnel!$Q$9:$Q$100&lt;&gt;"No")*(Personnel!$E$9:$E$100=9)*Personnel!$C$9:$C$100)*Staffing!$B$21+Staffing!M84),Actuals!N41)</f>
        <v>-42750</v>
      </c>
      <c r="N223" s="13" t="n">
        <f aca="false">IF(ISBLANK(Actuals!O41),-(SUMPRODUCT((Personnel!$O$9:$O$100="GC")*(Personnel!$G$9:$G$100="Yes")*(Personnel!$E$9:$E$100&gt;=2)*(Personnel!$Q$9:$Q$100&lt;&gt;"No")*(Personnel!$E$9:$E$100=10)*Personnel!$C$9:$C$100)*Staffing!$B$21+Staffing!N84),Actuals!O41)</f>
        <v>-57000</v>
      </c>
      <c r="O223" s="13" t="n">
        <f aca="false">IF(ISBLANK(Actuals!P41),-(SUMPRODUCT((Personnel!$O$9:$O$100="GC")*(Personnel!$G$9:$G$100="Yes")*(Personnel!$E$9:$E$100&gt;=2)*(Personnel!$Q$9:$Q$100&lt;&gt;"No")*(Personnel!$E$9:$E$100=11)*Personnel!$C$9:$C$100)*Staffing!$B$21+Staffing!O84),Actuals!P41)</f>
        <v>-81750</v>
      </c>
      <c r="P223" s="13" t="n">
        <f aca="false">IF(ISBLANK(Actuals!Q41),-(SUMPRODUCT((Personnel!$O$9:$O$100="GC")*(Personnel!$G$9:$G$100="Yes")*(Personnel!$E$9:$E$100&gt;=2)*(Personnel!$Q$9:$Q$100&lt;&gt;"No")*(Personnel!$E$9:$E$100=12)*Personnel!$C$9:$C$100)*Staffing!$B$21+Staffing!P84),Actuals!Q41)</f>
        <v>-0</v>
      </c>
      <c r="Q223" s="13" t="n">
        <f aca="false">IF(ISBLANK(Actuals!R41),-(SUMPRODUCT((Personnel!$O$9:$O$100="GC")*(Personnel!$G$9:$G$100="Yes")*(Personnel!$E$9:$E$100&gt;=2)*(Personnel!$Q$9:$Q$100&lt;&gt;"No")*(Personnel!$E$9:$E$100=13)*Personnel!$C$9:$C$100)*Staffing!$B$21+Staffing!Q84),Actuals!R41)</f>
        <v>-42750</v>
      </c>
      <c r="R223" s="13" t="n">
        <f aca="false">IF(ISBLANK(Actuals!S41),-(SUMPRODUCT((Personnel!$O$9:$O$100="GC")*(Personnel!$G$9:$G$100="Yes")*(Personnel!$E$9:$E$100&gt;=2)*(Personnel!$Q$9:$Q$100&lt;&gt;"No")*(Personnel!$E$9:$E$100=14)*Personnel!$C$9:$C$100)*Staffing!$B$21+Staffing!R84),Actuals!S41)</f>
        <v>-55500</v>
      </c>
      <c r="S223" s="13" t="n">
        <f aca="false">IF(ISBLANK(Actuals!T41),-(SUMPRODUCT((Personnel!$O$9:$O$100="GC")*(Personnel!$G$9:$G$100="Yes")*(Personnel!$E$9:$E$100&gt;=2)*(Personnel!$Q$9:$Q$100&lt;&gt;"No")*(Personnel!$E$9:$E$100=15)*Personnel!$C$9:$C$100)*Staffing!$B$21+Staffing!S84),Actuals!T41)</f>
        <v>-18750</v>
      </c>
      <c r="T223" s="13" t="n">
        <f aca="false">IF(ISBLANK(Actuals!U41),-(SUMPRODUCT((Personnel!$O$9:$O$100="GC")*(Personnel!$G$9:$G$100="Yes")*(Personnel!$E$9:$E$100&gt;=2)*(Personnel!$Q$9:$Q$100&lt;&gt;"No")*(Personnel!$E$9:$E$100=16)*Personnel!$C$9:$C$100)*Staffing!$B$21+Staffing!T84),Actuals!U41)</f>
        <v>-18750</v>
      </c>
      <c r="U223" s="13" t="n">
        <f aca="false">IF(ISBLANK(Actuals!V41),-(SUMPRODUCT((Personnel!$O$9:$O$100="GC")*(Personnel!$G$9:$G$100="Yes")*(Personnel!$E$9:$E$100&gt;=2)*(Personnel!$Q$9:$Q$100&lt;&gt;"No")*(Personnel!$E$9:$E$100=17)*Personnel!$C$9:$C$100)*Staffing!$B$21+Staffing!U84),Actuals!V41)</f>
        <v>-0</v>
      </c>
      <c r="V223" s="13" t="n">
        <f aca="false">IF(ISBLANK(Actuals!W41),-(SUMPRODUCT((Personnel!$O$9:$O$100="GC")*(Personnel!$G$9:$G$100="Yes")*(Personnel!$E$9:$E$100&gt;=2)*(Personnel!$Q$9:$Q$100&lt;&gt;"No")*(Personnel!$E$9:$E$100=18)*Personnel!$C$9:$C$100)*Staffing!$B$21+Staffing!V84),Actuals!W41)</f>
        <v>-0</v>
      </c>
      <c r="W223" s="13" t="n">
        <f aca="false">IF(ISBLANK(Actuals!X41),-(SUMPRODUCT((Personnel!$O$9:$O$100="GC")*(Personnel!$G$9:$G$100="Yes")*(Personnel!$E$9:$E$100&gt;=2)*(Personnel!$Q$9:$Q$100&lt;&gt;"No")*(Personnel!$E$9:$E$100=19)*Personnel!$C$9:$C$100)*Staffing!$B$21+Staffing!W84),Actuals!X41)</f>
        <v>-0</v>
      </c>
      <c r="X223" s="13" t="n">
        <f aca="false">IF(ISBLANK(Actuals!Y41),-(SUMPRODUCT((Personnel!$O$9:$O$100="GC")*(Personnel!$G$9:$G$100="Yes")*(Personnel!$E$9:$E$100&gt;=2)*(Personnel!$Q$9:$Q$100&lt;&gt;"No")*(Personnel!$E$9:$E$100=20)*Personnel!$C$9:$C$100)*Staffing!$B$21+Staffing!X84),Actuals!Y41)</f>
        <v>-0</v>
      </c>
      <c r="Y223" s="13" t="n">
        <f aca="false">IF(ISBLANK(Actuals!Z41),-(SUMPRODUCT((Personnel!$O$9:$O$100="GC")*(Personnel!$G$9:$G$100="Yes")*(Personnel!$E$9:$E$100&gt;=2)*(Personnel!$Q$9:$Q$100&lt;&gt;"No")*(Personnel!$E$9:$E$100=21)*Personnel!$C$9:$C$100)*Staffing!$B$21+Staffing!Y84),Actuals!Z41)</f>
        <v>-0</v>
      </c>
      <c r="Z223" s="13" t="n">
        <f aca="false">IF(ISBLANK(Actuals!AA41),-(SUMPRODUCT((Personnel!$O$9:$O$100="GC")*(Personnel!$G$9:$G$100="Yes")*(Personnel!$E$9:$E$100&gt;=2)*(Personnel!$Q$9:$Q$100&lt;&gt;"No")*(Personnel!$E$9:$E$100=22)*Personnel!$C$9:$C$100)*Staffing!$B$21+Staffing!Z84),Actuals!AA41)</f>
        <v>-9615.38461538462</v>
      </c>
      <c r="AA223" s="13" t="n">
        <f aca="false">IF(ISBLANK(Actuals!AB41),-(SUMPRODUCT((Personnel!$O$9:$O$100="GC")*(Personnel!$G$9:$G$100="Yes")*(Personnel!$E$9:$E$100&gt;=2)*(Personnel!$Q$9:$Q$100&lt;&gt;"No")*(Personnel!$E$9:$E$100=23)*Personnel!$C$9:$C$100)*Staffing!$B$21+Staffing!AA84),Actuals!AB41)</f>
        <v>-0</v>
      </c>
      <c r="AB223" s="13" t="n">
        <f aca="false">IF(ISBLANK(Actuals!AC41),-(SUMPRODUCT((Personnel!$O$9:$O$100="GC")*(Personnel!$G$9:$G$100="Yes")*(Personnel!$E$9:$E$100&gt;=2)*(Personnel!$Q$9:$Q$100&lt;&gt;"No")*(Personnel!$E$9:$E$100=24)*Personnel!$C$9:$C$100)*Staffing!$B$21+Staffing!AB84),Actuals!AC41)</f>
        <v>-6153.84615384615</v>
      </c>
      <c r="AC223" s="13" t="n">
        <f aca="false">IF(ISBLANK(Actuals!AD41),-(SUMPRODUCT((Personnel!$O$9:$O$100="GC")*(Personnel!$G$9:$G$100="Yes")*(Personnel!$E$9:$E$100&gt;=2)*(Personnel!$Q$9:$Q$100&lt;&gt;"No")*(Personnel!$E$9:$E$100=25)*Personnel!$C$9:$C$100)*Staffing!$B$21+Staffing!AC84),Actuals!AD41)</f>
        <v>-0</v>
      </c>
      <c r="AD223" s="13" t="n">
        <f aca="false">IF(ISBLANK(Actuals!AE41),-(SUMPRODUCT((Personnel!$O$9:$O$100="GC")*(Personnel!$G$9:$G$100="Yes")*(Personnel!$E$9:$E$100&gt;=2)*(Personnel!$Q$9:$Q$100&lt;&gt;"No")*(Personnel!$E$9:$E$100=26)*Personnel!$C$9:$C$100)*Staffing!$B$21+Staffing!AD84),Actuals!AE41)</f>
        <v>-0</v>
      </c>
      <c r="AE223" s="13" t="n">
        <f aca="false">IF(ISBLANK(Actuals!AF41),-(SUMPRODUCT((Personnel!$O$9:$O$100="GC")*(Personnel!$G$9:$G$100="Yes")*(Personnel!$E$9:$E$100&gt;=2)*(Personnel!$Q$9:$Q$100&lt;&gt;"No")*(Personnel!$E$9:$E$100=27)*Personnel!$C$9:$C$100)*Staffing!$B$21+Staffing!AE84),Actuals!AF41)</f>
        <v>-0</v>
      </c>
      <c r="AF223" s="13" t="n">
        <f aca="false">IF(ISBLANK(Actuals!AG41),-(SUMPRODUCT((Personnel!$O$9:$O$100="GC")*(Personnel!$G$9:$G$100="Yes")*(Personnel!$E$9:$E$100&gt;=2)*(Personnel!$Q$9:$Q$100&lt;&gt;"No")*(Personnel!$E$9:$E$100=28)*Personnel!$C$9:$C$100)*Staffing!$B$21+Staffing!AF84),Actuals!AG41)</f>
        <v>-0</v>
      </c>
      <c r="AG223" s="13" t="n">
        <f aca="false">IF(ISBLANK(Actuals!AH41),-(SUMPRODUCT((Personnel!$O$9:$O$100="GC")*(Personnel!$G$9:$G$100="Yes")*(Personnel!$E$9:$E$100&gt;=2)*(Personnel!$Q$9:$Q$100&lt;&gt;"No")*(Personnel!$E$9:$E$100=29)*Personnel!$C$9:$C$100)*Staffing!$B$21+Staffing!AG84),Actuals!AH41)</f>
        <v>-0</v>
      </c>
      <c r="AH223" s="13" t="n">
        <f aca="false">IF(ISBLANK(Actuals!AI41),-(SUMPRODUCT((Personnel!$O$9:$O$100="GC")*(Personnel!$G$9:$G$100="Yes")*(Personnel!$E$9:$E$100&gt;=2)*(Personnel!$Q$9:$Q$100&lt;&gt;"No")*(Personnel!$E$9:$E$100=30)*Personnel!$C$9:$C$100)*Staffing!$B$21+Staffing!AH84),Actuals!AI41)</f>
        <v>-0</v>
      </c>
      <c r="AI223" s="13" t="n">
        <f aca="false">IF(ISBLANK(Actuals!AJ41),-(SUMPRODUCT((Personnel!$O$9:$O$100="GC")*(Personnel!$G$9:$G$100="Yes")*(Personnel!$E$9:$E$100&gt;=2)*(Personnel!$Q$9:$Q$100&lt;&gt;"No")*(Personnel!$E$9:$E$100=31)*Personnel!$C$9:$C$100)*Staffing!$B$21+Staffing!AI84),Actuals!AJ41)</f>
        <v>-0</v>
      </c>
      <c r="AJ223" s="13" t="n">
        <f aca="false">IF(ISBLANK(Actuals!AK41),-(SUMPRODUCT((Personnel!$O$9:$O$100="GC")*(Personnel!$G$9:$G$100="Yes")*(Personnel!$E$9:$E$100&gt;=2)*(Personnel!$Q$9:$Q$100&lt;&gt;"No")*(Personnel!$E$9:$E$100=32)*Personnel!$C$9:$C$100)*Staffing!$B$21+Staffing!AJ84),Actuals!AK41)</f>
        <v>-30750</v>
      </c>
      <c r="AK223" s="13" t="n">
        <f aca="false">IF(ISBLANK(Actuals!AL41),-(SUMPRODUCT((Personnel!$O$9:$O$100="GC")*(Personnel!$G$9:$G$100="Yes")*(Personnel!$E$9:$E$100&gt;=2)*(Personnel!$Q$9:$Q$100&lt;&gt;"No")*(Personnel!$E$9:$E$100=33)*Personnel!$C$9:$C$100)*Staffing!$B$21+Staffing!AK84),Actuals!AL41)</f>
        <v>-0</v>
      </c>
      <c r="AL223" s="13" t="n">
        <f aca="false">IF(ISBLANK(Actuals!AM41),-(SUMPRODUCT((Personnel!$O$9:$O$100="GC")*(Personnel!$G$9:$G$100="Yes")*(Personnel!$E$9:$E$100&gt;=2)*(Personnel!$Q$9:$Q$100&lt;&gt;"No")*(Personnel!$E$9:$E$100=34)*Personnel!$C$9:$C$100)*Staffing!$B$21+Staffing!AL84),Actuals!AM41)</f>
        <v>-0</v>
      </c>
      <c r="AM223" s="13" t="n">
        <f aca="false">IF(ISBLANK(Actuals!AN41),-(SUMPRODUCT((Personnel!$O$9:$O$100="GC")*(Personnel!$G$9:$G$100="Yes")*(Personnel!$E$9:$E$100&gt;=2)*(Personnel!$Q$9:$Q$100&lt;&gt;"No")*(Personnel!$E$9:$E$100=35)*Personnel!$C$9:$C$100)*Staffing!$B$21+Staffing!AM84),Actuals!AN41)</f>
        <v>-0</v>
      </c>
      <c r="AN223" s="13" t="n">
        <f aca="false">IF(ISBLANK(Actuals!AO41),-(SUMPRODUCT((Personnel!$O$9:$O$100="GC")*(Personnel!$G$9:$G$100="Yes")*(Personnel!$E$9:$E$100&gt;=2)*(Personnel!$Q$9:$Q$100&lt;&gt;"No")*(Personnel!$E$9:$E$100=36)*Personnel!$C$9:$C$100)*Staffing!$B$21+Staffing!AN84),Actuals!AO41)</f>
        <v>-0</v>
      </c>
      <c r="AO223" s="13" t="n">
        <f aca="false">IF(ISBLANK(Actuals!AP41),-(SUMPRODUCT((Personnel!$O$9:$O$100="GC")*(Personnel!$G$9:$G$100="Yes")*(Personnel!$E$9:$E$100&gt;=2)*(Personnel!$Q$9:$Q$100&lt;&gt;"No")*(Personnel!$E$9:$E$100=37)*Personnel!$C$9:$C$100)*Staffing!$B$21+Staffing!AO84),Actuals!AP41)</f>
        <v>-0</v>
      </c>
      <c r="AP223" s="13" t="n">
        <f aca="false">IF(ISBLANK(Actuals!AQ41),-(SUMPRODUCT((Personnel!$O$9:$O$100="GC")*(Personnel!$G$9:$G$100="Yes")*(Personnel!$E$9:$E$100&gt;=2)*(Personnel!$Q$9:$Q$100&lt;&gt;"No")*(Personnel!$E$9:$E$100=38)*Personnel!$C$9:$C$100)*Staffing!$B$21+Staffing!AP84),Actuals!AQ41)</f>
        <v>-0</v>
      </c>
      <c r="AQ223" s="13" t="n">
        <f aca="false">IF(ISBLANK(Actuals!AR41),-(SUMPRODUCT((Personnel!$O$9:$O$100="GC")*(Personnel!$G$9:$G$100="Yes")*(Personnel!$E$9:$E$100&gt;=2)*(Personnel!$Q$9:$Q$100&lt;&gt;"No")*(Personnel!$E$9:$E$100=39)*Personnel!$C$9:$C$100)*Staffing!$B$21+Staffing!AQ84),Actuals!AR41)</f>
        <v>-38250</v>
      </c>
      <c r="AR223" s="13" t="n">
        <f aca="false">IF(ISBLANK(Actuals!AS41),-(SUMPRODUCT((Personnel!$O$9:$O$100="GC")*(Personnel!$G$9:$G$100="Yes")*(Personnel!$E$9:$E$100&gt;=2)*(Personnel!$Q$9:$Q$100&lt;&gt;"No")*(Personnel!$E$9:$E$100=40)*Personnel!$C$9:$C$100)*Staffing!$B$21+Staffing!AR84),Actuals!AS41)</f>
        <v>-0</v>
      </c>
      <c r="AS223" s="13" t="n">
        <f aca="false">IF(ISBLANK(Actuals!AT41),-(SUMPRODUCT((Personnel!$O$9:$O$100="GC")*(Personnel!$G$9:$G$100="Yes")*(Personnel!$E$9:$E$100&gt;=2)*(Personnel!$Q$9:$Q$100&lt;&gt;"No")*(Personnel!$E$9:$E$100=41)*Personnel!$C$9:$C$100)*Staffing!$B$21+Staffing!AS84),Actuals!AT41)</f>
        <v>-0</v>
      </c>
      <c r="AT223" s="13" t="n">
        <f aca="false">IF(ISBLANK(Actuals!AU41),-(SUMPRODUCT((Personnel!$O$9:$O$100="GC")*(Personnel!$G$9:$G$100="Yes")*(Personnel!$E$9:$E$100&gt;=2)*(Personnel!$Q$9:$Q$100&lt;&gt;"No")*(Personnel!$E$9:$E$100=42)*Personnel!$C$9:$C$100)*Staffing!$B$21+Staffing!AT84),Actuals!AU41)</f>
        <v>-0</v>
      </c>
      <c r="AU223" s="13" t="n">
        <f aca="false">IF(ISBLANK(Actuals!AV41),-(SUMPRODUCT((Personnel!$O$9:$O$100="GC")*(Personnel!$G$9:$G$100="Yes")*(Personnel!$E$9:$E$100&gt;=2)*(Personnel!$Q$9:$Q$100&lt;&gt;"No")*(Personnel!$E$9:$E$100=43)*Personnel!$C$9:$C$100)*Staffing!$B$21+Staffing!AU84),Actuals!AV41)</f>
        <v>-37500</v>
      </c>
      <c r="AV223" s="13" t="n">
        <f aca="false">IF(ISBLANK(Actuals!AW41),-(SUMPRODUCT((Personnel!$O$9:$O$100="GC")*(Personnel!$G$9:$G$100="Yes")*(Personnel!$E$9:$E$100&gt;=2)*(Personnel!$Q$9:$Q$100&lt;&gt;"No")*(Personnel!$E$9:$E$100=44)*Personnel!$C$9:$C$100)*Staffing!$B$21+Staffing!AV84),Actuals!AW41)</f>
        <v>-0</v>
      </c>
      <c r="AW223" s="13" t="n">
        <f aca="false">IF(ISBLANK(Actuals!AX41),-(SUMPRODUCT((Personnel!$O$9:$O$100="GC")*(Personnel!$G$9:$G$100="Yes")*(Personnel!$E$9:$E$100&gt;=2)*(Personnel!$Q$9:$Q$100&lt;&gt;"No")*(Personnel!$E$9:$E$100=45)*Personnel!$C$9:$C$100)*Staffing!$B$21+Staffing!AW84),Actuals!AX41)</f>
        <v>-10000</v>
      </c>
      <c r="AX223" s="13" t="n">
        <f aca="false">IF(ISBLANK(Actuals!AY41),-(SUMPRODUCT((Personnel!$O$9:$O$100="GC")*(Personnel!$G$9:$G$100="Yes")*(Personnel!$E$9:$E$100&gt;=2)*(Personnel!$Q$9:$Q$100&lt;&gt;"No")*(Personnel!$E$9:$E$100=46)*Personnel!$C$9:$C$100)*Staffing!$B$21+Staffing!AX84),Actuals!AY41)</f>
        <v>-0</v>
      </c>
      <c r="AY223" s="13" t="n">
        <f aca="false">IF(ISBLANK(Actuals!AZ41),-(SUMPRODUCT((Personnel!$O$9:$O$100="GC")*(Personnel!$G$9:$G$100="Yes")*(Personnel!$E$9:$E$100&gt;=2)*(Personnel!$Q$9:$Q$100&lt;&gt;"No")*(Personnel!$E$9:$E$100=47)*Personnel!$C$9:$C$100)*Staffing!$B$21+Staffing!AY84),Actuals!AZ41)</f>
        <v>-0</v>
      </c>
      <c r="AZ223" s="13" t="n">
        <f aca="false">IF(ISBLANK(Actuals!BA41),-(SUMPRODUCT((Personnel!$O$9:$O$100="GC")*(Personnel!$G$9:$G$100="Yes")*(Personnel!$E$9:$E$100&gt;=2)*(Personnel!$Q$9:$Q$100&lt;&gt;"No")*(Personnel!$E$9:$E$100=48)*Personnel!$C$9:$C$100)*Staffing!$B$21+Staffing!AZ84),Actuals!BA41)</f>
        <v>-0</v>
      </c>
      <c r="BA223" s="13" t="n">
        <f aca="false">IF(ISBLANK(Actuals!BB41),-(SUMPRODUCT((Personnel!$O$9:$O$100="GC")*(Personnel!$G$9:$G$100="Yes")*(Personnel!$E$9:$E$100&gt;=2)*(Personnel!$Q$9:$Q$100&lt;&gt;"No")*(Personnel!$E$9:$E$100=49)*Personnel!$C$9:$C$100)*Staffing!$B$21+Staffing!BA84),Actuals!BB41)</f>
        <v>-19230.7692307692</v>
      </c>
      <c r="BB223" s="13" t="n">
        <f aca="false">IF(ISBLANK(Actuals!BC41),-(SUMPRODUCT((Personnel!$O$9:$O$100="GC")*(Personnel!$G$9:$G$100="Yes")*(Personnel!$E$9:$E$100&gt;=2)*(Personnel!$Q$9:$Q$100&lt;&gt;"No")*(Personnel!$E$9:$E$100=50)*Personnel!$C$9:$C$100)*Staffing!$B$21+Staffing!BB84),Actuals!BC41)</f>
        <v>-23461.5384615385</v>
      </c>
      <c r="BC223" s="13" t="n">
        <f aca="false">IF(ISBLANK(Actuals!BD41),-(SUMPRODUCT((Personnel!$O$9:$O$100="GC")*(Personnel!$G$9:$G$100="Yes")*(Personnel!$E$9:$E$100&gt;=2)*(Personnel!$Q$9:$Q$100&lt;&gt;"No")*(Personnel!$E$9:$E$100=51)*Personnel!$C$9:$C$100)*Staffing!$B$21+Staffing!BC84),Actuals!BD41)</f>
        <v>-0</v>
      </c>
      <c r="BD223" s="13" t="n">
        <f aca="false">IF(ISBLANK(Actuals!BE41),-(SUMPRODUCT((Personnel!$O$9:$O$100="GC")*(Personnel!$G$9:$G$100="Yes")*(Personnel!$E$9:$E$100&gt;=2)*(Personnel!$Q$9:$Q$100&lt;&gt;"No")*(Personnel!$E$9:$E$100=52)*Personnel!$C$9:$C$100)*Staffing!$B$21+Staffing!BD84),Actuals!BE41)</f>
        <v>-0</v>
      </c>
      <c r="BE223" s="13" t="n">
        <f aca="false">IF(ISBLANK(Actuals!BF41),-(SUMPRODUCT((Personnel!$O$9:$O$100="GC")*(Personnel!$G$9:$G$100="Yes")*(Personnel!$E$9:$E$100&gt;=2)*(Personnel!$Q$9:$Q$100&lt;&gt;"No")*(Personnel!$E$9:$E$100=53)*Personnel!$C$9:$C$100)*Staffing!$B$21+Staffing!BE84),Actuals!BF41)</f>
        <v>-0</v>
      </c>
      <c r="BF223" s="13" t="n">
        <f aca="false">IF(ISBLANK(Actuals!BG41),-(SUMPRODUCT((Personnel!$O$9:$O$100="GC")*(Personnel!$G$9:$G$100="Yes")*(Personnel!$E$9:$E$100&gt;=2)*(Personnel!$Q$9:$Q$100&lt;&gt;"No")*(Personnel!$E$9:$E$100=54)*Personnel!$C$9:$C$100)*Staffing!$B$21+Staffing!BF84),Actuals!BG41)</f>
        <v>-0</v>
      </c>
      <c r="BG223" s="13" t="n">
        <f aca="false">IF(ISBLANK(Actuals!BH41),-(SUMPRODUCT((Personnel!$O$9:$O$100="GC")*(Personnel!$G$9:$G$100="Yes")*(Personnel!$E$9:$E$100&gt;=2)*(Personnel!$Q$9:$Q$100&lt;&gt;"No")*(Personnel!$E$9:$E$100=55)*Personnel!$C$9:$C$100)*Staffing!$B$21+Staffing!BG84),Actuals!BH41)</f>
        <v>-0</v>
      </c>
      <c r="BH223" s="13" t="n">
        <f aca="false">IF(ISBLANK(Actuals!BI41),-(SUMPRODUCT((Personnel!$O$9:$O$100="GC")*(Personnel!$G$9:$G$100="Yes")*(Personnel!$E$9:$E$100&gt;=2)*(Personnel!$Q$9:$Q$100&lt;&gt;"No")*(Personnel!$E$9:$E$100=56)*Personnel!$C$9:$C$100)*Staffing!$B$21+Staffing!BH84),Actuals!BI41)</f>
        <v>-0</v>
      </c>
      <c r="BI223" s="13" t="n">
        <f aca="false">IF(ISBLANK(Actuals!BJ41),-(SUMPRODUCT((Personnel!$O$9:$O$100="GC")*(Personnel!$G$9:$G$100="Yes")*(Personnel!$E$9:$E$100&gt;=2)*(Personnel!$Q$9:$Q$100&lt;&gt;"No")*(Personnel!$E$9:$E$100=57)*Personnel!$C$9:$C$100)*Staffing!$B$21+Staffing!BI84),Actuals!BJ41)</f>
        <v>-0</v>
      </c>
      <c r="BJ223" s="13" t="n">
        <f aca="false">IF(ISBLANK(Actuals!BK41),-(SUMPRODUCT((Personnel!$O$9:$O$100="GC")*(Personnel!$G$9:$G$100="Yes")*(Personnel!$E$9:$E$100&gt;=2)*(Personnel!$Q$9:$Q$100&lt;&gt;"No")*(Personnel!$E$9:$E$100=58)*Personnel!$C$9:$C$100)*Staffing!$B$21+Staffing!BJ84),Actuals!BK41)</f>
        <v>-0</v>
      </c>
      <c r="BK223" s="13" t="n">
        <f aca="false">IF(ISBLANK(Actuals!BL41),-(SUMPRODUCT((Personnel!$O$9:$O$100="GC")*(Personnel!$G$9:$G$100="Yes")*(Personnel!$E$9:$E$100&gt;=2)*(Personnel!$Q$9:$Q$100&lt;&gt;"No")*(Personnel!$E$9:$E$100=59)*Personnel!$C$9:$C$100)*Staffing!$B$21+Staffing!BK84),Actuals!BL41)</f>
        <v>-10000</v>
      </c>
      <c r="BL223" s="13" t="n">
        <f aca="false">IF(ISBLANK(Actuals!BM41),-(SUMPRODUCT((Personnel!$O$9:$O$100="GC")*(Personnel!$G$9:$G$100="Yes")*(Personnel!$E$9:$E$100&gt;=2)*(Personnel!$Q$9:$Q$100&lt;&gt;"No")*(Personnel!$E$9:$E$100=60)*Personnel!$C$9:$C$100)*Staffing!$B$21+Staffing!BL84),Actuals!BM41)</f>
        <v>-0</v>
      </c>
      <c r="BM223" s="13" t="n">
        <f aca="false">IF(ISBLANK(Actuals!BN41),-(SUMPRODUCT((Personnel!$O$9:$O$100="GC")*(Personnel!$G$9:$G$100="Yes")*(Personnel!$E$9:$E$100&gt;=2)*(Personnel!$Q$9:$Q$100&lt;&gt;"No")*(Personnel!$E$9:$E$100=61)*Personnel!$C$9:$C$100)*Staffing!$B$21+Staffing!BM84),Actuals!BN41)</f>
        <v>-9615.38461538462</v>
      </c>
      <c r="BN223" s="13" t="n">
        <f aca="false">IF(ISBLANK(Actuals!BO41),-(SUMPRODUCT((Personnel!$O$9:$O$100="GC")*(Personnel!$G$9:$G$100="Yes")*(Personnel!$E$9:$E$100&gt;=2)*(Personnel!$Q$9:$Q$100&lt;&gt;"No")*(Personnel!$E$9:$E$100=62)*Personnel!$C$9:$C$100)*Staffing!$B$21+Staffing!BN84),Actuals!BO41)</f>
        <v>-15769.2307692308</v>
      </c>
      <c r="BO223" s="13" t="n">
        <f aca="false">IF(ISBLANK(Actuals!BP41),-(SUMPRODUCT((Personnel!$O$9:$O$100="GC")*(Personnel!$G$9:$G$100="Yes")*(Personnel!$E$9:$E$100&gt;=2)*(Personnel!$Q$9:$Q$100&lt;&gt;"No")*(Personnel!$E$9:$E$100=63)*Personnel!$C$9:$C$100)*Staffing!$B$21+Staffing!BO84),Actuals!BP41)</f>
        <v>-40384.6153846154</v>
      </c>
      <c r="BP223" s="13" t="n">
        <f aca="false">IF(ISBLANK(Actuals!BQ41),-(SUMPRODUCT((Personnel!$O$9:$O$100="GC")*(Personnel!$G$9:$G$100="Yes")*(Personnel!$E$9:$E$100&gt;=2)*(Personnel!$Q$9:$Q$100&lt;&gt;"No")*(Personnel!$E$9:$E$100=64)*Personnel!$C$9:$C$100)*Staffing!$B$21+Staffing!BP84),Actuals!BQ41)</f>
        <v>-21923.0769230769</v>
      </c>
      <c r="BQ223" s="13" t="n">
        <f aca="false">IF(ISBLANK(Actuals!BR41),-(SUMPRODUCT((Personnel!$O$9:$O$100="GC")*(Personnel!$G$9:$G$100="Yes")*(Personnel!$E$9:$E$100&gt;=2)*(Personnel!$Q$9:$Q$100&lt;&gt;"No")*(Personnel!$E$9:$E$100=65)*Personnel!$C$9:$C$100)*Staffing!$B$21+Staffing!BQ84),Actuals!BR41)</f>
        <v>-10000</v>
      </c>
      <c r="BR223" s="13" t="n">
        <f aca="false">IF(ISBLANK(Actuals!BS41),-(SUMPRODUCT((Personnel!$O$9:$O$100="GC")*(Personnel!$G$9:$G$100="Yes")*(Personnel!$E$9:$E$100&gt;=2)*(Personnel!$Q$9:$Q$100&lt;&gt;"No")*(Personnel!$E$9:$E$100=66)*Personnel!$C$9:$C$100)*Staffing!$B$21+Staffing!BR84),Actuals!BS41)</f>
        <v>-0</v>
      </c>
      <c r="BS223" s="13" t="n">
        <f aca="false">IF(ISBLANK(Actuals!BT41),-(SUMPRODUCT((Personnel!$O$9:$O$100="GC")*(Personnel!$G$9:$G$100="Yes")*(Personnel!$E$9:$E$100&gt;=2)*(Personnel!$Q$9:$Q$100&lt;&gt;"No")*(Personnel!$E$9:$E$100=67)*Personnel!$C$9:$C$100)*Staffing!$B$21+Staffing!BS84),Actuals!BT41)</f>
        <v>-0</v>
      </c>
      <c r="BT223" s="13" t="n">
        <f aca="false">IF(ISBLANK(Actuals!BU41),-(SUMPRODUCT((Personnel!$O$9:$O$100="GC")*(Personnel!$G$9:$G$100="Yes")*(Personnel!$E$9:$E$100&gt;=2)*(Personnel!$Q$9:$Q$100&lt;&gt;"No")*(Personnel!$E$9:$E$100=68)*Personnel!$C$9:$C$100)*Staffing!$B$21+Staffing!BT84),Actuals!BU41)</f>
        <v>-12307.6923076923</v>
      </c>
      <c r="BU223" s="13" t="n">
        <f aca="false">IF(ISBLANK(Actuals!BV41),-(SUMPRODUCT((Personnel!$O$9:$O$100="GC")*(Personnel!$G$9:$G$100="Yes")*(Personnel!$E$9:$E$100&gt;=2)*(Personnel!$Q$9:$Q$100&lt;&gt;"No")*(Personnel!$E$9:$E$100=69)*Personnel!$C$9:$C$100)*Staffing!$B$21+Staffing!BU84),Actuals!BV41)</f>
        <v>-21923.0769230769</v>
      </c>
      <c r="BV223" s="13" t="n">
        <f aca="false">IF(ISBLANK(Actuals!BW41),-(SUMPRODUCT((Personnel!$O$9:$O$100="GC")*(Personnel!$G$9:$G$100="Yes")*(Personnel!$E$9:$E$100&gt;=2)*(Personnel!$Q$9:$Q$100&lt;&gt;"No")*(Personnel!$E$9:$E$100=70)*Personnel!$C$9:$C$100)*Staffing!$B$21+Staffing!BV84),Actuals!BW41)</f>
        <v>-0</v>
      </c>
      <c r="BW223" s="13" t="n">
        <f aca="false">IF(ISBLANK(Actuals!BX41),-(SUMPRODUCT((Personnel!$O$9:$O$100="GC")*(Personnel!$G$9:$G$100="Yes")*(Personnel!$E$9:$E$100&gt;=2)*(Personnel!$Q$9:$Q$100&lt;&gt;"No")*(Personnel!$E$9:$E$100=71)*Personnel!$C$9:$C$100)*Staffing!$B$21+Staffing!BW84),Actuals!BX41)</f>
        <v>-0</v>
      </c>
      <c r="BX223" s="13" t="n">
        <f aca="false">IF(ISBLANK(Actuals!BY41),-(SUMPRODUCT((Personnel!$O$9:$O$100="GC")*(Personnel!$G$9:$G$100="Yes")*(Personnel!$E$9:$E$100&gt;=2)*(Personnel!$Q$9:$Q$100&lt;&gt;"No")*(Personnel!$E$9:$E$100=72)*Personnel!$C$9:$C$100)*Staffing!$B$21+Staffing!BX84),Actuals!BY41)</f>
        <v>-0</v>
      </c>
      <c r="BY223" s="13" t="n">
        <f aca="false">IF(ISBLANK(Actuals!BZ41),-(SUMPRODUCT((Personnel!$O$9:$O$100="GC")*(Personnel!$G$9:$G$100="Yes")*(Personnel!$E$9:$E$100&gt;=2)*(Personnel!$Q$9:$Q$100&lt;&gt;"No")*(Personnel!$E$9:$E$100=73)*Personnel!$C$9:$C$100)*Staffing!$B$21+Staffing!BY84),Actuals!BZ41)</f>
        <v>-0</v>
      </c>
      <c r="BZ223" s="13" t="n">
        <f aca="false">IF(ISBLANK(Actuals!CA41),-(SUMPRODUCT((Personnel!$O$9:$O$100="GC")*(Personnel!$G$9:$G$100="Yes")*(Personnel!$E$9:$E$100&gt;=2)*(Personnel!$Q$9:$Q$100&lt;&gt;"No")*(Personnel!$E$9:$E$100=74)*Personnel!$C$9:$C$100)*Staffing!$B$21+Staffing!BZ84),Actuals!CA41)</f>
        <v>-0</v>
      </c>
      <c r="CA223" s="13" t="n">
        <f aca="false">IF(ISBLANK(Actuals!CB41),-(SUMPRODUCT((Personnel!$O$9:$O$100="GC")*(Personnel!$G$9:$G$100="Yes")*(Personnel!$E$9:$E$100&gt;=2)*(Personnel!$Q$9:$Q$100&lt;&gt;"No")*(Personnel!$E$9:$E$100=75)*Personnel!$C$9:$C$100)*Staffing!$B$21+Staffing!CA84),Actuals!CB41)</f>
        <v>-0</v>
      </c>
      <c r="CB223" s="13" t="n">
        <f aca="false">IF(ISBLANK(Actuals!CC41),-(SUMPRODUCT((Personnel!$O$9:$O$100="GC")*(Personnel!$G$9:$G$100="Yes")*(Personnel!$E$9:$E$100&gt;=2)*(Personnel!$Q$9:$Q$100&lt;&gt;"No")*(Personnel!$E$9:$E$100=76)*Personnel!$C$9:$C$100)*Staffing!$B$21+Staffing!CB84),Actuals!CC41)</f>
        <v>-0</v>
      </c>
      <c r="CC223" s="13" t="n">
        <f aca="false">IF(ISBLANK(Actuals!CD41),-(SUMPRODUCT((Personnel!$O$9:$O$100="GC")*(Personnel!$G$9:$G$100="Yes")*(Personnel!$E$9:$E$100&gt;=2)*(Personnel!$Q$9:$Q$100&lt;&gt;"No")*(Personnel!$E$9:$E$100=77)*Personnel!$C$9:$C$100)*Staffing!$B$21+Staffing!CC84),Actuals!CD41)</f>
        <v>-0</v>
      </c>
      <c r="CD223" s="13" t="n">
        <f aca="false">IF(ISBLANK(Actuals!CE41),-(SUMPRODUCT((Personnel!$O$9:$O$100="GC")*(Personnel!$G$9:$G$100="Yes")*(Personnel!$E$9:$E$100&gt;=2)*(Personnel!$Q$9:$Q$100&lt;&gt;"No")*(Personnel!$E$9:$E$100=78)*Personnel!$C$9:$C$100)*Staffing!$B$21+Staffing!CD84),Actuals!CE41)</f>
        <v>-0</v>
      </c>
      <c r="CE223" s="13" t="n">
        <f aca="false">IF(ISBLANK(Actuals!CF41),-(SUMPRODUCT((Personnel!$O$9:$O$100="GC")*(Personnel!$G$9:$G$100="Yes")*(Personnel!$E$9:$E$100&gt;=2)*(Personnel!$Q$9:$Q$100&lt;&gt;"No")*(Personnel!$E$9:$E$100=79)*Personnel!$C$9:$C$100)*Staffing!$B$21+Staffing!CE84),Actuals!CF41)</f>
        <v>-0</v>
      </c>
      <c r="CF223" s="13" t="n">
        <f aca="false">IF(ISBLANK(Actuals!CG41),-(SUMPRODUCT((Personnel!$O$9:$O$100="GC")*(Personnel!$G$9:$G$100="Yes")*(Personnel!$E$9:$E$100&gt;=2)*(Personnel!$Q$9:$Q$100&lt;&gt;"No")*(Personnel!$E$9:$E$100=80)*Personnel!$C$9:$C$100)*Staffing!$B$21+Staffing!CF84),Actuals!CG41)</f>
        <v>-0</v>
      </c>
      <c r="CG223" s="13" t="n">
        <f aca="false">IF(ISBLANK(Actuals!CH41),-(SUMPRODUCT((Personnel!$O$9:$O$100="GC")*(Personnel!$G$9:$G$100="Yes")*(Personnel!$E$9:$E$100&gt;=2)*(Personnel!$Q$9:$Q$100&lt;&gt;"No")*(Personnel!$E$9:$E$100=81)*Personnel!$C$9:$C$100)*Staffing!$B$21+Staffing!CG84),Actuals!CH41)</f>
        <v>-0</v>
      </c>
      <c r="CH223" s="13" t="n">
        <f aca="false">IF(ISBLANK(Actuals!CI41),-(SUMPRODUCT((Personnel!$O$9:$O$100="GC")*(Personnel!$G$9:$G$100="Yes")*(Personnel!$E$9:$E$100&gt;=2)*(Personnel!$Q$9:$Q$100&lt;&gt;"No")*(Personnel!$E$9:$E$100=82)*Personnel!$C$9:$C$100)*Staffing!$B$21+Staffing!CH84),Actuals!CI41)</f>
        <v>-0</v>
      </c>
      <c r="CI223" s="13" t="n">
        <f aca="false">IF(ISBLANK(Actuals!CJ41),-(SUMPRODUCT((Personnel!$O$9:$O$100="GC")*(Personnel!$G$9:$G$100="Yes")*(Personnel!$E$9:$E$100&gt;=2)*(Personnel!$Q$9:$Q$100&lt;&gt;"No")*(Personnel!$E$9:$E$100=83)*Personnel!$C$9:$C$100)*Staffing!$B$21+Staffing!CI84),Actuals!CJ41)</f>
        <v>-0</v>
      </c>
      <c r="CJ223" s="13" t="n">
        <f aca="false">IF(ISBLANK(Actuals!CK41),-(SUMPRODUCT((Personnel!$O$9:$O$100="GC")*(Personnel!$G$9:$G$100="Yes")*(Personnel!$E$9:$E$100&gt;=2)*(Personnel!$Q$9:$Q$100&lt;&gt;"No")*(Personnel!$E$9:$E$100=84)*Personnel!$C$9:$C$100)*Staffing!$B$21+Staffing!CJ84),Actuals!CK41)</f>
        <v>-0</v>
      </c>
      <c r="CK223" s="13" t="n">
        <f aca="false">IF(ISBLANK(Actuals!CL41),-(SUMPRODUCT((Personnel!$O$9:$O$100="GC")*(Personnel!$G$9:$G$100="Yes")*(Personnel!$E$9:$E$100&gt;=2)*(Personnel!$Q$9:$Q$100&lt;&gt;"No")*(Personnel!$E$9:$E$100=85)*Personnel!$C$9:$C$100)*Staffing!$B$21+Staffing!CK84),Actuals!CL41)</f>
        <v>-0</v>
      </c>
      <c r="CL223" s="13" t="n">
        <f aca="false">IF(ISBLANK(Actuals!CM41),-(SUMPRODUCT((Personnel!$O$9:$O$100="GC")*(Personnel!$G$9:$G$100="Yes")*(Personnel!$E$9:$E$100&gt;=2)*(Personnel!$Q$9:$Q$100&lt;&gt;"No")*(Personnel!$E$9:$E$100=86)*Personnel!$C$9:$C$100)*Staffing!$B$21+Staffing!CL84),Actuals!CM41)</f>
        <v>-0</v>
      </c>
      <c r="CM223" s="13" t="n">
        <f aca="false">IF(ISBLANK(Actuals!CN41),-(SUMPRODUCT((Personnel!$O$9:$O$100="GC")*(Personnel!$G$9:$G$100="Yes")*(Personnel!$E$9:$E$100&gt;=2)*(Personnel!$Q$9:$Q$100&lt;&gt;"No")*(Personnel!$E$9:$E$100=87)*Personnel!$C$9:$C$100)*Staffing!$B$21+Staffing!CM84),Actuals!CN41)</f>
        <v>-0</v>
      </c>
      <c r="CN223" s="13" t="n">
        <f aca="false">IF(ISBLANK(Actuals!CO41),-(SUMPRODUCT((Personnel!$O$9:$O$100="GC")*(Personnel!$G$9:$G$100="Yes")*(Personnel!$E$9:$E$100&gt;=2)*(Personnel!$Q$9:$Q$100&lt;&gt;"No")*(Personnel!$E$9:$E$100=88)*Personnel!$C$9:$C$100)*Staffing!$B$21+Staffing!CN84),Actuals!CO41)</f>
        <v>-0</v>
      </c>
      <c r="CO223" s="13" t="n">
        <f aca="false">IF(ISBLANK(Actuals!CP41),-(SUMPRODUCT((Personnel!$O$9:$O$100="GC")*(Personnel!$G$9:$G$100="Yes")*(Personnel!$E$9:$E$100&gt;=2)*(Personnel!$Q$9:$Q$100&lt;&gt;"No")*(Personnel!$E$9:$E$100=89)*Personnel!$C$9:$C$100)*Staffing!$B$21+Staffing!CO84),Actuals!CP41)</f>
        <v>-0</v>
      </c>
      <c r="CP223" s="13" t="n">
        <f aca="false">IF(ISBLANK(Actuals!CQ41),-(SUMPRODUCT((Personnel!$O$9:$O$100="GC")*(Personnel!$G$9:$G$100="Yes")*(Personnel!$E$9:$E$100&gt;=2)*(Personnel!$Q$9:$Q$100&lt;&gt;"No")*(Personnel!$E$9:$E$100=90)*Personnel!$C$9:$C$100)*Staffing!$B$21+Staffing!CP84),Actuals!CQ41)</f>
        <v>-0</v>
      </c>
      <c r="CQ223" s="13" t="n">
        <f aca="false">IF(ISBLANK(Actuals!CR41),-(SUMPRODUCT((Personnel!$O$9:$O$100="GC")*(Personnel!$G$9:$G$100="Yes")*(Personnel!$E$9:$E$100&gt;=2)*(Personnel!$Q$9:$Q$100&lt;&gt;"No")*(Personnel!$E$9:$E$100=91)*Personnel!$C$9:$C$100)*Staffing!$B$21+Staffing!CQ84),Actuals!CR41)</f>
        <v>-0</v>
      </c>
      <c r="CR223" s="13" t="n">
        <f aca="false">IF(ISBLANK(Actuals!CS41),-(SUMPRODUCT((Personnel!$O$9:$O$100="GC")*(Personnel!$G$9:$G$100="Yes")*(Personnel!$E$9:$E$100&gt;=2)*(Personnel!$Q$9:$Q$100&lt;&gt;"No")*(Personnel!$E$9:$E$100=92)*Personnel!$C$9:$C$100)*Staffing!$B$21+Staffing!CR84),Actuals!CS41)</f>
        <v>-0</v>
      </c>
      <c r="CS223" s="13" t="n">
        <f aca="false">IF(ISBLANK(Actuals!CT41),-(SUMPRODUCT((Personnel!$O$9:$O$100="GC")*(Personnel!$G$9:$G$100="Yes")*(Personnel!$E$9:$E$100&gt;=2)*(Personnel!$Q$9:$Q$100&lt;&gt;"No")*(Personnel!$E$9:$E$100=93)*Personnel!$C$9:$C$100)*Staffing!$B$21+Staffing!CS84),Actuals!CT41)</f>
        <v>-0</v>
      </c>
      <c r="CT223" s="13" t="n">
        <f aca="false">IF(ISBLANK(Actuals!CU41),-(SUMPRODUCT((Personnel!$O$9:$O$100="GC")*(Personnel!$G$9:$G$100="Yes")*(Personnel!$E$9:$E$100&gt;=2)*(Personnel!$Q$9:$Q$100&lt;&gt;"No")*(Personnel!$E$9:$E$100=94)*Personnel!$C$9:$C$100)*Staffing!$B$21+Staffing!CT84),Actuals!CU41)</f>
        <v>-0</v>
      </c>
      <c r="CU223" s="13" t="n">
        <f aca="false">IF(ISBLANK(Actuals!CV41),-(SUMPRODUCT((Personnel!$O$9:$O$100="GC")*(Personnel!$G$9:$G$100="Yes")*(Personnel!$E$9:$E$100&gt;=2)*(Personnel!$Q$9:$Q$100&lt;&gt;"No")*(Personnel!$E$9:$E$100=95)*Personnel!$C$9:$C$100)*Staffing!$B$21+Staffing!CU84),Actuals!CV41)</f>
        <v>-0</v>
      </c>
      <c r="CV223" s="13" t="n">
        <f aca="false">IF(ISBLANK(Actuals!CW41),-(SUMPRODUCT((Personnel!$O$9:$O$100="GC")*(Personnel!$G$9:$G$100="Yes")*(Personnel!$E$9:$E$100&gt;=2)*(Personnel!$Q$9:$Q$100&lt;&gt;"No")*(Personnel!$E$9:$E$100=96)*Personnel!$C$9:$C$100)*Staffing!$B$21+Staffing!CV84),Actuals!CW41)</f>
        <v>-0</v>
      </c>
      <c r="CW223" s="13" t="n">
        <f aca="false">IF(ISBLANK(Actuals!CX41),-(SUMPRODUCT((Personnel!$O$9:$O$100="GC")*(Personnel!$G$9:$G$100="Yes")*(Personnel!$E$9:$E$100&gt;=2)*(Personnel!$Q$9:$Q$100&lt;&gt;"No")*(Personnel!$E$9:$E$100=97)*Personnel!$C$9:$C$100)*Staffing!$B$21+Staffing!CW84),Actuals!CX41)</f>
        <v>-0</v>
      </c>
      <c r="CX223" s="13" t="n">
        <f aca="false">IF(ISBLANK(Actuals!CY41),-(SUMPRODUCT((Personnel!$O$9:$O$100="GC")*(Personnel!$G$9:$G$100="Yes")*(Personnel!$E$9:$E$100&gt;=2)*(Personnel!$Q$9:$Q$100&lt;&gt;"No")*(Personnel!$E$9:$E$100=98)*Personnel!$C$9:$C$100)*Staffing!$B$21+Staffing!CX84),Actuals!CY41)</f>
        <v>-0</v>
      </c>
      <c r="CY223" s="13" t="n">
        <f aca="false">IF(ISBLANK(Actuals!CZ41),-(SUMPRODUCT((Personnel!$O$9:$O$100="GC")*(Personnel!$G$9:$G$100="Yes")*(Personnel!$E$9:$E$100&gt;=2)*(Personnel!$Q$9:$Q$100&lt;&gt;"No")*(Personnel!$E$9:$E$100=99)*Personnel!$C$9:$C$100)*Staffing!$B$21+Staffing!CY84),Actuals!CZ41)</f>
        <v>-0</v>
      </c>
      <c r="CZ223" s="13" t="n">
        <f aca="false">IF(ISBLANK(Actuals!DA41),-(SUMPRODUCT((Personnel!$O$9:$O$100="GC")*(Personnel!$G$9:$G$100="Yes")*(Personnel!$E$9:$E$100&gt;=2)*(Personnel!$Q$9:$Q$100&lt;&gt;"No")*(Personnel!$E$9:$E$100=100)*Personnel!$C$9:$C$100)*Staffing!$B$21+Staffing!CZ84),Actuals!DA41)</f>
        <v>-0</v>
      </c>
      <c r="DA223" s="13" t="n">
        <f aca="false">IF(ISBLANK(Actuals!DB41),-(SUMPRODUCT((Personnel!$O$9:$O$100="GC")*(Personnel!$G$9:$G$100="Yes")*(Personnel!$E$9:$E$100&gt;=2)*(Personnel!$Q$9:$Q$100&lt;&gt;"No")*(Personnel!$E$9:$E$100=101)*Personnel!$C$9:$C$100)*Staffing!$B$21+Staffing!DA84),Actuals!DB41)</f>
        <v>-0</v>
      </c>
      <c r="DB223" s="13" t="n">
        <f aca="false">IF(ISBLANK(Actuals!DC41),-(SUMPRODUCT((Personnel!$O$9:$O$100="GC")*(Personnel!$G$9:$G$100="Yes")*(Personnel!$E$9:$E$100&gt;=2)*(Personnel!$Q$9:$Q$100&lt;&gt;"No")*(Personnel!$E$9:$E$100=102)*Personnel!$C$9:$C$100)*Staffing!$B$21+Staffing!DB84),Actuals!DC41)</f>
        <v>-0</v>
      </c>
      <c r="DC223" s="13" t="n">
        <f aca="false">IF(ISBLANK(Actuals!DD41),-(SUMPRODUCT((Personnel!$O$9:$O$100="GC")*(Personnel!$G$9:$G$100="Yes")*(Personnel!$E$9:$E$100&gt;=2)*(Personnel!$Q$9:$Q$100&lt;&gt;"No")*(Personnel!$E$9:$E$100=103)*Personnel!$C$9:$C$100)*Staffing!$B$21+Staffing!DC84),Actuals!DD41)</f>
        <v>-0</v>
      </c>
      <c r="DD223" s="13" t="n">
        <f aca="false">IF(ISBLANK(Actuals!DE41),-(SUMPRODUCT((Personnel!$O$9:$O$100="GC")*(Personnel!$G$9:$G$100="Yes")*(Personnel!$E$9:$E$100&gt;=2)*(Personnel!$Q$9:$Q$100&lt;&gt;"No")*(Personnel!$E$9:$E$100=104)*Personnel!$C$9:$C$100)*Staffing!$B$21+Staffing!DD84),Actuals!DE41)</f>
        <v>-0</v>
      </c>
      <c r="DE223" s="13" t="n">
        <f aca="false">IF(ISBLANK(Actuals!DF41),-(SUMPRODUCT((Personnel!$O$9:$O$100="GC")*(Personnel!$G$9:$G$100="Yes")*(Personnel!$E$9:$E$100&gt;=2)*(Personnel!$Q$9:$Q$100&lt;&gt;"No")*(Personnel!$E$9:$E$100=105)*Personnel!$C$9:$C$100)*Staffing!$B$21+Staffing!DE84),Actuals!DF41)</f>
        <v>-0</v>
      </c>
    </row>
    <row r="224" customFormat="false" ht="15" hidden="false" customHeight="true" outlineLevel="0" collapsed="false">
      <c r="A224" s="22" t="s">
        <v>85</v>
      </c>
      <c r="B224" s="13" t="n">
        <f aca="false">IF(ISBLANK(Actuals!C42),0,Actuals!C42)</f>
        <v>-165</v>
      </c>
      <c r="C224" s="13" t="n">
        <f aca="false">IF(ISBLANK(Actuals!D42),0,Actuals!D42)</f>
        <v>0</v>
      </c>
      <c r="D224" s="13" t="n">
        <f aca="false">IF(ISBLANK(Actuals!E42),0,Actuals!E42)</f>
        <v>0</v>
      </c>
      <c r="E224" s="13" t="n">
        <f aca="false">IF(ISBLANK(Actuals!F42),-55*Escalation!$B$2,Actuals!F42)</f>
        <v>-165</v>
      </c>
      <c r="F224" s="13" t="n">
        <f aca="false">IF(ISBLANK(Actuals!G42),-55*Escalation!$B$3,Actuals!G42)</f>
        <v>0</v>
      </c>
      <c r="G224" s="13" t="n">
        <f aca="false">IF(ISBLANK(Actuals!H42),-55*Escalation!$B$4,Actuals!H42)</f>
        <v>-165</v>
      </c>
      <c r="H224" s="13" t="n">
        <f aca="false">IF(ISBLANK(Actuals!I42),-55*Escalation!$B$5,Actuals!I42)</f>
        <v>0</v>
      </c>
      <c r="I224" s="13" t="n">
        <f aca="false">IF(ISBLANK(Actuals!J42),-55*Escalation!$B$6,Actuals!J42)</f>
        <v>0</v>
      </c>
      <c r="J224" s="13" t="n">
        <f aca="false">IF(ISBLANK(Actuals!K42),-55*Escalation!$B$7,Actuals!K42)</f>
        <v>-55</v>
      </c>
      <c r="K224" s="13" t="n">
        <f aca="false">IF(ISBLANK(Actuals!L42),-55*Escalation!$B$8,Actuals!L42)</f>
        <v>-55</v>
      </c>
      <c r="L224" s="13" t="n">
        <f aca="false">IF(ISBLANK(Actuals!M42),-55*Escalation!$B$9,Actuals!M42)</f>
        <v>-55</v>
      </c>
      <c r="M224" s="13" t="n">
        <f aca="false">IF(ISBLANK(Actuals!N42),-55*Escalation!$B$10,Actuals!N42)</f>
        <v>-55</v>
      </c>
      <c r="N224" s="13" t="n">
        <f aca="false">IF(ISBLANK(Actuals!O42),-55*Escalation!$B$11,Actuals!O42)</f>
        <v>-55</v>
      </c>
      <c r="O224" s="13" t="n">
        <f aca="false">IF(ISBLANK(Actuals!P42),-55*Escalation!$B$12,Actuals!P42)</f>
        <v>-55</v>
      </c>
      <c r="P224" s="13" t="n">
        <f aca="false">IF(ISBLANK(Actuals!Q42),-55*Escalation!$B$13,Actuals!Q42)</f>
        <v>-55</v>
      </c>
      <c r="Q224" s="13" t="n">
        <f aca="false">IF(ISBLANK(Actuals!R42),-55*Escalation!$B$14,Actuals!R42)</f>
        <v>-56.1</v>
      </c>
      <c r="R224" s="13" t="n">
        <f aca="false">IF(ISBLANK(Actuals!S42),-55*Escalation!$B$15,Actuals!S42)</f>
        <v>-56.1</v>
      </c>
      <c r="S224" s="13" t="n">
        <f aca="false">IF(ISBLANK(Actuals!T42),-55*Escalation!$B$16,Actuals!T42)</f>
        <v>-56.1</v>
      </c>
      <c r="T224" s="13" t="n">
        <f aca="false">IF(ISBLANK(Actuals!U42),-55*Escalation!$B$17,Actuals!U42)</f>
        <v>-56.1</v>
      </c>
      <c r="U224" s="13" t="n">
        <f aca="false">IF(ISBLANK(Actuals!V42),-55*Escalation!$B$18,Actuals!V42)</f>
        <v>-56.1</v>
      </c>
      <c r="V224" s="13" t="n">
        <f aca="false">IF(ISBLANK(Actuals!W42),-55*Escalation!$B$19,Actuals!W42)</f>
        <v>-56.1</v>
      </c>
      <c r="W224" s="13" t="n">
        <f aca="false">IF(ISBLANK(Actuals!X42),-55*Escalation!$B$20,Actuals!X42)</f>
        <v>-56.1</v>
      </c>
      <c r="X224" s="13" t="n">
        <f aca="false">IF(ISBLANK(Actuals!Y42),-55*Escalation!$B$21,Actuals!Y42)</f>
        <v>-56.1</v>
      </c>
      <c r="Y224" s="13" t="n">
        <f aca="false">IF(ISBLANK(Actuals!Z42),-55*Escalation!$B$22,Actuals!Z42)</f>
        <v>-56.1</v>
      </c>
      <c r="Z224" s="13" t="n">
        <f aca="false">IF(ISBLANK(Actuals!AA42),-55*Escalation!$B$23,Actuals!AA42)</f>
        <v>-56.1</v>
      </c>
      <c r="AA224" s="13" t="n">
        <f aca="false">IF(ISBLANK(Actuals!AB42),-55*Escalation!$B$24,Actuals!AB42)</f>
        <v>-56.1</v>
      </c>
      <c r="AB224" s="13" t="n">
        <f aca="false">IF(ISBLANK(Actuals!AC42),-55*Escalation!$B$25,Actuals!AC42)</f>
        <v>-56.1</v>
      </c>
      <c r="AC224" s="13" t="n">
        <f aca="false">IF(ISBLANK(Actuals!AD42),-55*Escalation!$B$26,Actuals!AD42)</f>
        <v>-57.222</v>
      </c>
      <c r="AD224" s="13" t="n">
        <f aca="false">IF(ISBLANK(Actuals!AE42),-55*Escalation!$B$27,Actuals!AE42)</f>
        <v>-57.222</v>
      </c>
      <c r="AE224" s="13" t="n">
        <f aca="false">IF(ISBLANK(Actuals!AF42),-55*Escalation!$B$28,Actuals!AF42)</f>
        <v>-57.222</v>
      </c>
      <c r="AF224" s="13" t="n">
        <f aca="false">IF(ISBLANK(Actuals!AG42),-55*Escalation!$B$29,Actuals!AG42)</f>
        <v>-57.222</v>
      </c>
      <c r="AG224" s="13" t="n">
        <f aca="false">IF(ISBLANK(Actuals!AH42),-55*Escalation!$B$30,Actuals!AH42)</f>
        <v>-57.222</v>
      </c>
      <c r="AH224" s="13" t="n">
        <f aca="false">IF(ISBLANK(Actuals!AI42),-55*Escalation!$B$31,Actuals!AI42)</f>
        <v>-57.222</v>
      </c>
      <c r="AI224" s="13" t="n">
        <f aca="false">IF(ISBLANK(Actuals!AJ42),-55*Escalation!$B$32,Actuals!AJ42)</f>
        <v>-57.222</v>
      </c>
      <c r="AJ224" s="13" t="n">
        <f aca="false">IF(ISBLANK(Actuals!AK42),-55*Escalation!$B$33,Actuals!AK42)</f>
        <v>-57.222</v>
      </c>
      <c r="AK224" s="13" t="n">
        <f aca="false">IF(ISBLANK(Actuals!AL42),-55*Escalation!$B$34,Actuals!AL42)</f>
        <v>-57.222</v>
      </c>
      <c r="AL224" s="13" t="n">
        <f aca="false">IF(ISBLANK(Actuals!AM42),-55*Escalation!$B$35,Actuals!AM42)</f>
        <v>-57.222</v>
      </c>
      <c r="AM224" s="13" t="n">
        <f aca="false">IF(ISBLANK(Actuals!AN42),-55*Escalation!$B$36,Actuals!AN42)</f>
        <v>-57.222</v>
      </c>
      <c r="AN224" s="13" t="n">
        <f aca="false">IF(ISBLANK(Actuals!AO42),-55*Escalation!$B$37,Actuals!AO42)</f>
        <v>-57.222</v>
      </c>
      <c r="AO224" s="13" t="n">
        <f aca="false">IF(ISBLANK(Actuals!AP42),-55*Escalation!$B$38,Actuals!AP42)</f>
        <v>-58.36644</v>
      </c>
      <c r="AP224" s="13" t="n">
        <f aca="false">IF(ISBLANK(Actuals!AQ42),-55*Escalation!$B$39,Actuals!AQ42)</f>
        <v>-58.36644</v>
      </c>
      <c r="AQ224" s="13" t="n">
        <f aca="false">IF(ISBLANK(Actuals!AR42),-55*Escalation!$B$40,Actuals!AR42)</f>
        <v>-58.36644</v>
      </c>
      <c r="AR224" s="13" t="n">
        <f aca="false">IF(ISBLANK(Actuals!AS42),-55*Escalation!$B$41,Actuals!AS42)</f>
        <v>-58.36644</v>
      </c>
      <c r="AS224" s="13" t="n">
        <f aca="false">IF(ISBLANK(Actuals!AT42),-55*Escalation!$B$42,Actuals!AT42)</f>
        <v>-58.36644</v>
      </c>
      <c r="AT224" s="13" t="n">
        <f aca="false">IF(ISBLANK(Actuals!AU42),-55*Escalation!$B$43,Actuals!AU42)</f>
        <v>-58.36644</v>
      </c>
      <c r="AU224" s="13" t="n">
        <f aca="false">IF(ISBLANK(Actuals!AV42),-55*Escalation!$B$44,Actuals!AV42)</f>
        <v>-58.36644</v>
      </c>
      <c r="AV224" s="13" t="n">
        <f aca="false">IF(ISBLANK(Actuals!AW42),-55*Escalation!$B$45,Actuals!AW42)</f>
        <v>-58.36644</v>
      </c>
      <c r="AW224" s="13" t="n">
        <f aca="false">IF(ISBLANK(Actuals!AX42),-55*Escalation!$B$46,Actuals!AX42)</f>
        <v>-58.36644</v>
      </c>
      <c r="AX224" s="13" t="n">
        <f aca="false">IF(ISBLANK(Actuals!AY42),-55*Escalation!$B$47,Actuals!AY42)</f>
        <v>-58.36644</v>
      </c>
      <c r="AY224" s="13" t="n">
        <f aca="false">IF(ISBLANK(Actuals!AZ42),-55*Escalation!$B$48,Actuals!AZ42)</f>
        <v>-58.36644</v>
      </c>
      <c r="AZ224" s="13" t="n">
        <f aca="false">IF(ISBLANK(Actuals!BA42),-55*Escalation!$B$49,Actuals!BA42)</f>
        <v>-58.36644</v>
      </c>
      <c r="BA224" s="13" t="n">
        <f aca="false">IF(ISBLANK(Actuals!BB42),-55*Escalation!$B$50,Actuals!BB42)</f>
        <v>-59.5337688</v>
      </c>
      <c r="BB224" s="13" t="n">
        <f aca="false">IF(ISBLANK(Actuals!BC42),-55*Escalation!$B$51,Actuals!BC42)</f>
        <v>-59.5337688</v>
      </c>
      <c r="BC224" s="13" t="n">
        <f aca="false">IF(ISBLANK(Actuals!BD42),-55*Escalation!$B$52,Actuals!BD42)</f>
        <v>-59.5337688</v>
      </c>
      <c r="BD224" s="13" t="n">
        <f aca="false">IF(ISBLANK(Actuals!BE42),-55*Escalation!$B$53,Actuals!BE42)</f>
        <v>-59.5337688</v>
      </c>
      <c r="BE224" s="13" t="n">
        <f aca="false">IF(ISBLANK(Actuals!BF42),-55*Escalation!$B$54,Actuals!BF42)</f>
        <v>-59.5337688</v>
      </c>
      <c r="BF224" s="13" t="n">
        <f aca="false">IF(ISBLANK(Actuals!BG42),-55*Escalation!$B$55,Actuals!BG42)</f>
        <v>-59.5337688</v>
      </c>
      <c r="BG224" s="13" t="n">
        <f aca="false">IF(ISBLANK(Actuals!BH42),-55*Escalation!$B$56,Actuals!BH42)</f>
        <v>-59.5337688</v>
      </c>
      <c r="BH224" s="13" t="n">
        <f aca="false">IF(ISBLANK(Actuals!BI42),-55*Escalation!$B$57,Actuals!BI42)</f>
        <v>-59.5337688</v>
      </c>
      <c r="BI224" s="13" t="n">
        <f aca="false">IF(ISBLANK(Actuals!BJ42),-55*Escalation!$B$58,Actuals!BJ42)</f>
        <v>-59.5337688</v>
      </c>
      <c r="BJ224" s="13" t="n">
        <f aca="false">IF(ISBLANK(Actuals!BK42),-55*Escalation!$B$59,Actuals!BK42)</f>
        <v>-59.5337688</v>
      </c>
      <c r="BK224" s="13" t="n">
        <f aca="false">IF(ISBLANK(Actuals!BL42),-55*Escalation!$B$60,Actuals!BL42)</f>
        <v>-59.5337688</v>
      </c>
      <c r="BL224" s="13" t="n">
        <f aca="false">IF(ISBLANK(Actuals!BM42),-55*Escalation!$B$61,Actuals!BM42)</f>
        <v>-59.5337688</v>
      </c>
      <c r="BM224" s="13" t="n">
        <f aca="false">IF(ISBLANK(Actuals!BN42),-55*Escalation!$B$62,Actuals!BN42)</f>
        <v>-60.724444176</v>
      </c>
      <c r="BN224" s="13" t="n">
        <f aca="false">IF(ISBLANK(Actuals!BO42),-55*Escalation!$B$63,Actuals!BO42)</f>
        <v>-60.724444176</v>
      </c>
      <c r="BO224" s="13" t="n">
        <f aca="false">IF(ISBLANK(Actuals!BP42),-55*Escalation!$B$64,Actuals!BP42)</f>
        <v>-60.724444176</v>
      </c>
      <c r="BP224" s="13" t="n">
        <f aca="false">IF(ISBLANK(Actuals!BQ42),-55*Escalation!$B$65,Actuals!BQ42)</f>
        <v>-60.724444176</v>
      </c>
      <c r="BQ224" s="13" t="n">
        <f aca="false">IF(ISBLANK(Actuals!BR42),-55*Escalation!$B$66,Actuals!BR42)</f>
        <v>-60.724444176</v>
      </c>
      <c r="BR224" s="13" t="n">
        <f aca="false">IF(ISBLANK(Actuals!BS42),-55*Escalation!$B$67,Actuals!BS42)</f>
        <v>-60.724444176</v>
      </c>
      <c r="BS224" s="13" t="n">
        <f aca="false">IF(ISBLANK(Actuals!BT42),-55*Escalation!$B$68,Actuals!BT42)</f>
        <v>-60.724444176</v>
      </c>
      <c r="BT224" s="13" t="n">
        <f aca="false">IF(ISBLANK(Actuals!BU42),-55*Escalation!$B$69,Actuals!BU42)</f>
        <v>-60.724444176</v>
      </c>
      <c r="BU224" s="13" t="n">
        <f aca="false">IF(ISBLANK(Actuals!BV42),-55*Escalation!$B$70,Actuals!BV42)</f>
        <v>-60.724444176</v>
      </c>
      <c r="BV224" s="13" t="n">
        <f aca="false">IF(ISBLANK(Actuals!BW42),-55*Escalation!$B$71,Actuals!BW42)</f>
        <v>-60.724444176</v>
      </c>
      <c r="BW224" s="13" t="n">
        <f aca="false">IF(ISBLANK(Actuals!BX42),-55*Escalation!$B$72,Actuals!BX42)</f>
        <v>-60.724444176</v>
      </c>
      <c r="BX224" s="13" t="n">
        <f aca="false">IF(ISBLANK(Actuals!BY42),-55*Escalation!$B$73,Actuals!BY42)</f>
        <v>-60.724444176</v>
      </c>
      <c r="BY224" s="13" t="n">
        <f aca="false">IF(ISBLANK(Actuals!BZ42),-55*Escalation!$B$74,Actuals!BZ42)</f>
        <v>-61.93893305952</v>
      </c>
      <c r="BZ224" s="13" t="n">
        <f aca="false">IF(ISBLANK(Actuals!CA42),-55*Escalation!$B$75,Actuals!CA42)</f>
        <v>-61.93893305952</v>
      </c>
      <c r="CA224" s="13" t="n">
        <f aca="false">IF(ISBLANK(Actuals!CB42),-55*Escalation!$B$76,Actuals!CB42)</f>
        <v>-61.93893305952</v>
      </c>
      <c r="CB224" s="13" t="n">
        <f aca="false">IF(ISBLANK(Actuals!CC42),-55*Escalation!$B$77,Actuals!CC42)</f>
        <v>-61.93893305952</v>
      </c>
      <c r="CC224" s="13" t="n">
        <f aca="false">IF(ISBLANK(Actuals!CD42),-55*Escalation!$B$78,Actuals!CD42)</f>
        <v>-61.93893305952</v>
      </c>
      <c r="CD224" s="13" t="n">
        <f aca="false">IF(ISBLANK(Actuals!CE42),-55*Escalation!$B$79,Actuals!CE42)</f>
        <v>-61.93893305952</v>
      </c>
      <c r="CE224" s="13" t="n">
        <f aca="false">IF(ISBLANK(Actuals!CF42),-55*Escalation!$B$80,Actuals!CF42)</f>
        <v>-61.93893305952</v>
      </c>
      <c r="CF224" s="13" t="n">
        <f aca="false">IF(ISBLANK(Actuals!CG42),-55*Escalation!$B$81,Actuals!CG42)</f>
        <v>-61.93893305952</v>
      </c>
      <c r="CG224" s="13" t="n">
        <f aca="false">IF(ISBLANK(Actuals!CH42),-55*Escalation!$B$82,Actuals!CH42)</f>
        <v>-61.93893305952</v>
      </c>
      <c r="CH224" s="13" t="n">
        <f aca="false">IF(ISBLANK(Actuals!CI42),-55*Escalation!$B$83,Actuals!CI42)</f>
        <v>-61.93893305952</v>
      </c>
      <c r="CI224" s="13" t="n">
        <f aca="false">IF(ISBLANK(Actuals!CJ42),-55*Escalation!$B$84,Actuals!CJ42)</f>
        <v>-61.93893305952</v>
      </c>
      <c r="CJ224" s="13" t="n">
        <f aca="false">IF(ISBLANK(Actuals!CK42),-55*Escalation!$B$85,Actuals!CK42)</f>
        <v>-61.93893305952</v>
      </c>
      <c r="CK224" s="13" t="n">
        <f aca="false">IF(ISBLANK(Actuals!CL42),-55*Escalation!$B$86,Actuals!CL42)</f>
        <v>-63.1777117207104</v>
      </c>
      <c r="CL224" s="13" t="n">
        <f aca="false">IF(ISBLANK(Actuals!CM42),-55*Escalation!$B$87,Actuals!CM42)</f>
        <v>-63.1777117207104</v>
      </c>
      <c r="CM224" s="13" t="n">
        <f aca="false">IF(ISBLANK(Actuals!CN42),-55*Escalation!$B$88,Actuals!CN42)</f>
        <v>-63.1777117207104</v>
      </c>
      <c r="CN224" s="13" t="n">
        <f aca="false">IF(ISBLANK(Actuals!CO42),-55*Escalation!$B$89,Actuals!CO42)</f>
        <v>-63.1777117207104</v>
      </c>
      <c r="CO224" s="13" t="n">
        <f aca="false">IF(ISBLANK(Actuals!CP42),-55*Escalation!$B$90,Actuals!CP42)</f>
        <v>-63.1777117207104</v>
      </c>
      <c r="CP224" s="13" t="n">
        <f aca="false">IF(ISBLANK(Actuals!CQ42),-55*Escalation!$B$91,Actuals!CQ42)</f>
        <v>-63.1777117207104</v>
      </c>
      <c r="CQ224" s="13" t="n">
        <f aca="false">IF(ISBLANK(Actuals!CR42),-55*Escalation!$B$92,Actuals!CR42)</f>
        <v>-63.1777117207104</v>
      </c>
      <c r="CR224" s="13" t="n">
        <f aca="false">IF(ISBLANK(Actuals!CS42),-55*Escalation!$B$93,Actuals!CS42)</f>
        <v>-63.1777117207104</v>
      </c>
      <c r="CS224" s="13" t="n">
        <f aca="false">IF(ISBLANK(Actuals!CT42),-55*Escalation!$B$94,Actuals!CT42)</f>
        <v>-63.1777117207104</v>
      </c>
      <c r="CT224" s="13" t="n">
        <f aca="false">IF(ISBLANK(Actuals!CU42),-55*Escalation!$B$95,Actuals!CU42)</f>
        <v>-63.1777117207104</v>
      </c>
      <c r="CU224" s="13" t="n">
        <f aca="false">IF(ISBLANK(Actuals!CV42),-55*Escalation!$B$96,Actuals!CV42)</f>
        <v>-63.1777117207104</v>
      </c>
      <c r="CV224" s="13" t="n">
        <f aca="false">IF(ISBLANK(Actuals!CW42),-55*Escalation!$B$97,Actuals!CW42)</f>
        <v>-63.1777117207104</v>
      </c>
      <c r="CW224" s="13" t="n">
        <f aca="false">IF(ISBLANK(Actuals!CX42),-55*Escalation!$B$98,Actuals!CX42)</f>
        <v>-64.4412659551246</v>
      </c>
      <c r="CX224" s="13" t="n">
        <f aca="false">IF(ISBLANK(Actuals!CY42),-55*Escalation!$B$99,Actuals!CY42)</f>
        <v>-64.4412659551246</v>
      </c>
      <c r="CY224" s="13" t="n">
        <f aca="false">IF(ISBLANK(Actuals!CZ42),-55*Escalation!$B$100,Actuals!CZ42)</f>
        <v>-64.4412659551246</v>
      </c>
      <c r="CZ224" s="13" t="n">
        <f aca="false">IF(ISBLANK(Actuals!DA42),-55*Escalation!$B$101,Actuals!DA42)</f>
        <v>-64.4412659551246</v>
      </c>
      <c r="DA224" s="13" t="n">
        <f aca="false">IF(ISBLANK(Actuals!DB42),-55*Escalation!$B$102,Actuals!DB42)</f>
        <v>-64.4412659551246</v>
      </c>
      <c r="DB224" s="13" t="n">
        <f aca="false">IF(ISBLANK(Actuals!DC42),-55*Escalation!$B$103,Actuals!DC42)</f>
        <v>-64.4412659551246</v>
      </c>
      <c r="DC224" s="13" t="n">
        <f aca="false">IF(ISBLANK(Actuals!DD42),-55*Escalation!$B$104,Actuals!DD42)</f>
        <v>-64.4412659551246</v>
      </c>
      <c r="DD224" s="13" t="n">
        <f aca="false">IF(ISBLANK(Actuals!DE42),-55*Escalation!$B$105,Actuals!DE42)</f>
        <v>-64.4412659551246</v>
      </c>
      <c r="DE224" s="13" t="n">
        <f aca="false">IF(ISBLANK(Actuals!DF42),-55*Escalation!$B$106,Actuals!DF42)</f>
        <v>-64.4412659551246</v>
      </c>
    </row>
    <row r="225" customFormat="false" ht="15" hidden="false" customHeight="true" outlineLevel="0" collapsed="false">
      <c r="A225" s="35" t="s">
        <v>86</v>
      </c>
      <c r="B225" s="21" t="n">
        <f aca="false">IF(ISBLANK(Actuals!C43),0,Actuals!C43)</f>
        <v>0</v>
      </c>
      <c r="C225" s="21" t="n">
        <f aca="false">IF(ISBLANK(Actuals!D43),0,Actuals!D43)</f>
        <v>0</v>
      </c>
      <c r="D225" s="21" t="n">
        <f aca="false">IF(ISBLANK(Actuals!E43),0,Actuals!E43)</f>
        <v>0</v>
      </c>
      <c r="E225" s="21" t="n">
        <f aca="false">IF(ISBLANK(Actuals!F43),0*Escalation!$B$2,Actuals!F43)</f>
        <v>-1036.49</v>
      </c>
      <c r="F225" s="21" t="n">
        <f aca="false">IF(ISBLANK(Actuals!G43),0*Escalation!$B$3,Actuals!G43)</f>
        <v>0</v>
      </c>
      <c r="G225" s="21" t="n">
        <f aca="false">IF(ISBLANK(Actuals!H43),0*Escalation!$B$4,Actuals!H43)</f>
        <v>-4308.58</v>
      </c>
      <c r="H225" s="21" t="n">
        <f aca="false">IF(ISBLANK(Actuals!I43),0*Escalation!$B$5,Actuals!I43)</f>
        <v>-362.98</v>
      </c>
      <c r="I225" s="21" t="n">
        <f aca="false">IF(ISBLANK(Actuals!J43),0*Escalation!$B$6,Actuals!J43)</f>
        <v>0</v>
      </c>
      <c r="J225" s="21" t="n">
        <f aca="false">IF(ISBLANK(Actuals!K43),0*Escalation!$B$7,Actuals!K43)</f>
        <v>0</v>
      </c>
      <c r="K225" s="21" t="n">
        <f aca="false">IF(ISBLANK(Actuals!L43),0*Escalation!$B$8,Actuals!L43)</f>
        <v>0</v>
      </c>
      <c r="L225" s="21" t="n">
        <f aca="false">IF(ISBLANK(Actuals!M43),0*Escalation!$B$9,Actuals!M43)</f>
        <v>0</v>
      </c>
      <c r="M225" s="21" t="n">
        <f aca="false">IF(ISBLANK(Actuals!N43),0*Escalation!$B$10,Actuals!N43)</f>
        <v>0</v>
      </c>
      <c r="N225" s="21" t="n">
        <f aca="false">IF(ISBLANK(Actuals!O43),0*Escalation!$B$11,Actuals!O43)</f>
        <v>0</v>
      </c>
      <c r="O225" s="21" t="n">
        <f aca="false">IF(ISBLANK(Actuals!P43),0*Escalation!$B$12,Actuals!P43)</f>
        <v>0</v>
      </c>
      <c r="P225" s="21" t="n">
        <f aca="false">IF(ISBLANK(Actuals!Q43),0*Escalation!$B$13,Actuals!Q43)</f>
        <v>0</v>
      </c>
      <c r="Q225" s="21" t="n">
        <f aca="false">IF(ISBLANK(Actuals!R43),0*Escalation!$B$14,Actuals!R43)</f>
        <v>0</v>
      </c>
      <c r="R225" s="21" t="n">
        <f aca="false">IF(ISBLANK(Actuals!S43),0*Escalation!$B$15,Actuals!S43)</f>
        <v>0</v>
      </c>
      <c r="S225" s="21" t="n">
        <f aca="false">IF(ISBLANK(Actuals!T43),0*Escalation!$B$16,Actuals!T43)</f>
        <v>0</v>
      </c>
      <c r="T225" s="21" t="n">
        <f aca="false">IF(ISBLANK(Actuals!U43),0*Escalation!$B$17,Actuals!U43)</f>
        <v>0</v>
      </c>
      <c r="U225" s="21" t="n">
        <f aca="false">IF(ISBLANK(Actuals!V43),0*Escalation!$B$18,Actuals!V43)</f>
        <v>0</v>
      </c>
      <c r="V225" s="21" t="n">
        <f aca="false">IF(ISBLANK(Actuals!W43),0*Escalation!$B$19,Actuals!W43)</f>
        <v>0</v>
      </c>
      <c r="W225" s="21" t="n">
        <f aca="false">IF(ISBLANK(Actuals!X43),0*Escalation!$B$20,Actuals!X43)</f>
        <v>0</v>
      </c>
      <c r="X225" s="21" t="n">
        <f aca="false">IF(ISBLANK(Actuals!Y43),0*Escalation!$B$21,Actuals!Y43)</f>
        <v>0</v>
      </c>
      <c r="Y225" s="21" t="n">
        <f aca="false">IF(ISBLANK(Actuals!Z43),0*Escalation!$B$22,Actuals!Z43)</f>
        <v>0</v>
      </c>
      <c r="Z225" s="21" t="n">
        <f aca="false">IF(ISBLANK(Actuals!AA43),0*Escalation!$B$23,Actuals!AA43)</f>
        <v>0</v>
      </c>
      <c r="AA225" s="21" t="n">
        <f aca="false">IF(ISBLANK(Actuals!AB43),0*Escalation!$B$24,Actuals!AB43)</f>
        <v>0</v>
      </c>
      <c r="AB225" s="21" t="n">
        <f aca="false">IF(ISBLANK(Actuals!AC43),0*Escalation!$B$25,Actuals!AC43)</f>
        <v>0</v>
      </c>
      <c r="AC225" s="21" t="n">
        <f aca="false">IF(ISBLANK(Actuals!AD43),0*Escalation!$B$26,Actuals!AD43)</f>
        <v>0</v>
      </c>
      <c r="AD225" s="21" t="n">
        <f aca="false">IF(ISBLANK(Actuals!AE43),0*Escalation!$B$27,Actuals!AE43)</f>
        <v>0</v>
      </c>
      <c r="AE225" s="21" t="n">
        <f aca="false">IF(ISBLANK(Actuals!AF43),0*Escalation!$B$28,Actuals!AF43)</f>
        <v>0</v>
      </c>
      <c r="AF225" s="21" t="n">
        <f aca="false">IF(ISBLANK(Actuals!AG43),0*Escalation!$B$29,Actuals!AG43)</f>
        <v>0</v>
      </c>
      <c r="AG225" s="21" t="n">
        <f aca="false">IF(ISBLANK(Actuals!AH43),0*Escalation!$B$30,Actuals!AH43)</f>
        <v>0</v>
      </c>
      <c r="AH225" s="21" t="n">
        <f aca="false">IF(ISBLANK(Actuals!AI43),0*Escalation!$B$31,Actuals!AI43)</f>
        <v>0</v>
      </c>
      <c r="AI225" s="21" t="n">
        <f aca="false">IF(ISBLANK(Actuals!AJ43),0*Escalation!$B$32,Actuals!AJ43)</f>
        <v>0</v>
      </c>
      <c r="AJ225" s="21" t="n">
        <f aca="false">IF(ISBLANK(Actuals!AK43),0*Escalation!$B$33,Actuals!AK43)</f>
        <v>0</v>
      </c>
      <c r="AK225" s="21" t="n">
        <f aca="false">IF(ISBLANK(Actuals!AL43),0*Escalation!$B$34,Actuals!AL43)</f>
        <v>0</v>
      </c>
      <c r="AL225" s="21" t="n">
        <f aca="false">IF(ISBLANK(Actuals!AM43),0*Escalation!$B$35,Actuals!AM43)</f>
        <v>0</v>
      </c>
      <c r="AM225" s="21" t="n">
        <f aca="false">IF(ISBLANK(Actuals!AN43),0*Escalation!$B$36,Actuals!AN43)</f>
        <v>0</v>
      </c>
      <c r="AN225" s="21" t="n">
        <f aca="false">IF(ISBLANK(Actuals!AO43),0*Escalation!$B$37,Actuals!AO43)</f>
        <v>0</v>
      </c>
      <c r="AO225" s="21" t="n">
        <f aca="false">IF(ISBLANK(Actuals!AP43),0*Escalation!$B$38,Actuals!AP43)</f>
        <v>0</v>
      </c>
      <c r="AP225" s="21" t="n">
        <f aca="false">IF(ISBLANK(Actuals!AQ43),0*Escalation!$B$39,Actuals!AQ43)</f>
        <v>0</v>
      </c>
      <c r="AQ225" s="21" t="n">
        <f aca="false">IF(ISBLANK(Actuals!AR43),0*Escalation!$B$40,Actuals!AR43)</f>
        <v>0</v>
      </c>
      <c r="AR225" s="21" t="n">
        <f aca="false">IF(ISBLANK(Actuals!AS43),0*Escalation!$B$41,Actuals!AS43)</f>
        <v>0</v>
      </c>
      <c r="AS225" s="21" t="n">
        <f aca="false">IF(ISBLANK(Actuals!AT43),0*Escalation!$B$42,Actuals!AT43)</f>
        <v>0</v>
      </c>
      <c r="AT225" s="21" t="n">
        <f aca="false">IF(ISBLANK(Actuals!AU43),0*Escalation!$B$43,Actuals!AU43)</f>
        <v>0</v>
      </c>
      <c r="AU225" s="21" t="n">
        <f aca="false">IF(ISBLANK(Actuals!AV43),0*Escalation!$B$44,Actuals!AV43)</f>
        <v>0</v>
      </c>
      <c r="AV225" s="21" t="n">
        <f aca="false">IF(ISBLANK(Actuals!AW43),0*Escalation!$B$45,Actuals!AW43)</f>
        <v>0</v>
      </c>
      <c r="AW225" s="21" t="n">
        <f aca="false">IF(ISBLANK(Actuals!AX43),0*Escalation!$B$46,Actuals!AX43)</f>
        <v>0</v>
      </c>
      <c r="AX225" s="21" t="n">
        <f aca="false">IF(ISBLANK(Actuals!AY43),0*Escalation!$B$47,Actuals!AY43)</f>
        <v>0</v>
      </c>
      <c r="AY225" s="21" t="n">
        <f aca="false">IF(ISBLANK(Actuals!AZ43),0*Escalation!$B$48,Actuals!AZ43)</f>
        <v>0</v>
      </c>
      <c r="AZ225" s="21" t="n">
        <f aca="false">IF(ISBLANK(Actuals!BA43),0*Escalation!$B$49,Actuals!BA43)</f>
        <v>0</v>
      </c>
      <c r="BA225" s="21" t="n">
        <f aca="false">IF(ISBLANK(Actuals!BB43),0*Escalation!$B$50,Actuals!BB43)</f>
        <v>0</v>
      </c>
      <c r="BB225" s="21" t="n">
        <f aca="false">IF(ISBLANK(Actuals!BC43),0*Escalation!$B$51,Actuals!BC43)</f>
        <v>0</v>
      </c>
      <c r="BC225" s="21" t="n">
        <f aca="false">IF(ISBLANK(Actuals!BD43),0*Escalation!$B$52,Actuals!BD43)</f>
        <v>0</v>
      </c>
      <c r="BD225" s="21" t="n">
        <f aca="false">IF(ISBLANK(Actuals!BE43),0*Escalation!$B$53,Actuals!BE43)</f>
        <v>0</v>
      </c>
      <c r="BE225" s="21" t="n">
        <f aca="false">IF(ISBLANK(Actuals!BF43),0*Escalation!$B$54,Actuals!BF43)</f>
        <v>0</v>
      </c>
      <c r="BF225" s="21" t="n">
        <f aca="false">IF(ISBLANK(Actuals!BG43),0*Escalation!$B$55,Actuals!BG43)</f>
        <v>0</v>
      </c>
      <c r="BG225" s="21" t="n">
        <f aca="false">IF(ISBLANK(Actuals!BH43),0*Escalation!$B$56,Actuals!BH43)</f>
        <v>0</v>
      </c>
      <c r="BH225" s="21" t="n">
        <f aca="false">IF(ISBLANK(Actuals!BI43),0*Escalation!$B$57,Actuals!BI43)</f>
        <v>0</v>
      </c>
      <c r="BI225" s="21" t="n">
        <f aca="false">IF(ISBLANK(Actuals!BJ43),0*Escalation!$B$58,Actuals!BJ43)</f>
        <v>0</v>
      </c>
      <c r="BJ225" s="21" t="n">
        <f aca="false">IF(ISBLANK(Actuals!BK43),0*Escalation!$B$59,Actuals!BK43)</f>
        <v>0</v>
      </c>
      <c r="BK225" s="21" t="n">
        <f aca="false">IF(ISBLANK(Actuals!BL43),0*Escalation!$B$60,Actuals!BL43)</f>
        <v>0</v>
      </c>
      <c r="BL225" s="21" t="n">
        <f aca="false">IF(ISBLANK(Actuals!BM43),0*Escalation!$B$61,Actuals!BM43)</f>
        <v>0</v>
      </c>
      <c r="BM225" s="21" t="n">
        <f aca="false">IF(ISBLANK(Actuals!BN43),0*Escalation!$B$62,Actuals!BN43)</f>
        <v>0</v>
      </c>
      <c r="BN225" s="21" t="n">
        <f aca="false">IF(ISBLANK(Actuals!BO43),0*Escalation!$B$63,Actuals!BO43)</f>
        <v>0</v>
      </c>
      <c r="BO225" s="21" t="n">
        <f aca="false">IF(ISBLANK(Actuals!BP43),0*Escalation!$B$64,Actuals!BP43)</f>
        <v>0</v>
      </c>
      <c r="BP225" s="21" t="n">
        <f aca="false">IF(ISBLANK(Actuals!BQ43),0*Escalation!$B$65,Actuals!BQ43)</f>
        <v>0</v>
      </c>
      <c r="BQ225" s="21" t="n">
        <f aca="false">IF(ISBLANK(Actuals!BR43),0*Escalation!$B$66,Actuals!BR43)</f>
        <v>0</v>
      </c>
      <c r="BR225" s="21" t="n">
        <f aca="false">IF(ISBLANK(Actuals!BS43),0*Escalation!$B$67,Actuals!BS43)</f>
        <v>0</v>
      </c>
      <c r="BS225" s="21" t="n">
        <f aca="false">IF(ISBLANK(Actuals!BT43),0*Escalation!$B$68,Actuals!BT43)</f>
        <v>0</v>
      </c>
      <c r="BT225" s="21" t="n">
        <f aca="false">IF(ISBLANK(Actuals!BU43),0*Escalation!$B$69,Actuals!BU43)</f>
        <v>0</v>
      </c>
      <c r="BU225" s="21" t="n">
        <f aca="false">IF(ISBLANK(Actuals!BV43),0*Escalation!$B$70,Actuals!BV43)</f>
        <v>0</v>
      </c>
      <c r="BV225" s="21" t="n">
        <f aca="false">IF(ISBLANK(Actuals!BW43),0*Escalation!$B$71,Actuals!BW43)</f>
        <v>0</v>
      </c>
      <c r="BW225" s="21" t="n">
        <f aca="false">IF(ISBLANK(Actuals!BX43),0*Escalation!$B$72,Actuals!BX43)</f>
        <v>0</v>
      </c>
      <c r="BX225" s="21" t="n">
        <f aca="false">IF(ISBLANK(Actuals!BY43),0*Escalation!$B$73,Actuals!BY43)</f>
        <v>0</v>
      </c>
      <c r="BY225" s="21" t="n">
        <f aca="false">IF(ISBLANK(Actuals!BZ43),0*Escalation!$B$74,Actuals!BZ43)</f>
        <v>0</v>
      </c>
      <c r="BZ225" s="21" t="n">
        <f aca="false">IF(ISBLANK(Actuals!CA43),0*Escalation!$B$75,Actuals!CA43)</f>
        <v>0</v>
      </c>
      <c r="CA225" s="21" t="n">
        <f aca="false">IF(ISBLANK(Actuals!CB43),0*Escalation!$B$76,Actuals!CB43)</f>
        <v>0</v>
      </c>
      <c r="CB225" s="21" t="n">
        <f aca="false">IF(ISBLANK(Actuals!CC43),0*Escalation!$B$77,Actuals!CC43)</f>
        <v>0</v>
      </c>
      <c r="CC225" s="21" t="n">
        <f aca="false">IF(ISBLANK(Actuals!CD43),0*Escalation!$B$78,Actuals!CD43)</f>
        <v>0</v>
      </c>
      <c r="CD225" s="21" t="n">
        <f aca="false">IF(ISBLANK(Actuals!CE43),0*Escalation!$B$79,Actuals!CE43)</f>
        <v>0</v>
      </c>
      <c r="CE225" s="21" t="n">
        <f aca="false">IF(ISBLANK(Actuals!CF43),0*Escalation!$B$80,Actuals!CF43)</f>
        <v>0</v>
      </c>
      <c r="CF225" s="21" t="n">
        <f aca="false">IF(ISBLANK(Actuals!CG43),0*Escalation!$B$81,Actuals!CG43)</f>
        <v>0</v>
      </c>
      <c r="CG225" s="21" t="n">
        <f aca="false">IF(ISBLANK(Actuals!CH43),0*Escalation!$B$82,Actuals!CH43)</f>
        <v>0</v>
      </c>
      <c r="CH225" s="21" t="n">
        <f aca="false">IF(ISBLANK(Actuals!CI43),0*Escalation!$B$83,Actuals!CI43)</f>
        <v>0</v>
      </c>
      <c r="CI225" s="21" t="n">
        <f aca="false">IF(ISBLANK(Actuals!CJ43),0*Escalation!$B$84,Actuals!CJ43)</f>
        <v>0</v>
      </c>
      <c r="CJ225" s="21" t="n">
        <f aca="false">IF(ISBLANK(Actuals!CK43),0*Escalation!$B$85,Actuals!CK43)</f>
        <v>0</v>
      </c>
      <c r="CK225" s="21" t="n">
        <f aca="false">IF(ISBLANK(Actuals!CL43),0*Escalation!$B$86,Actuals!CL43)</f>
        <v>0</v>
      </c>
      <c r="CL225" s="21" t="n">
        <f aca="false">IF(ISBLANK(Actuals!CM43),0*Escalation!$B$87,Actuals!CM43)</f>
        <v>0</v>
      </c>
      <c r="CM225" s="21" t="n">
        <f aca="false">IF(ISBLANK(Actuals!CN43),0*Escalation!$B$88,Actuals!CN43)</f>
        <v>0</v>
      </c>
      <c r="CN225" s="21" t="n">
        <f aca="false">IF(ISBLANK(Actuals!CO43),0*Escalation!$B$89,Actuals!CO43)</f>
        <v>0</v>
      </c>
      <c r="CO225" s="21" t="n">
        <f aca="false">IF(ISBLANK(Actuals!CP43),0*Escalation!$B$90,Actuals!CP43)</f>
        <v>0</v>
      </c>
      <c r="CP225" s="21" t="n">
        <f aca="false">IF(ISBLANK(Actuals!CQ43),0*Escalation!$B$91,Actuals!CQ43)</f>
        <v>0</v>
      </c>
      <c r="CQ225" s="21" t="n">
        <f aca="false">IF(ISBLANK(Actuals!CR43),0*Escalation!$B$92,Actuals!CR43)</f>
        <v>0</v>
      </c>
      <c r="CR225" s="21" t="n">
        <f aca="false">IF(ISBLANK(Actuals!CS43),0*Escalation!$B$93,Actuals!CS43)</f>
        <v>0</v>
      </c>
      <c r="CS225" s="21" t="n">
        <f aca="false">IF(ISBLANK(Actuals!CT43),0*Escalation!$B$94,Actuals!CT43)</f>
        <v>0</v>
      </c>
      <c r="CT225" s="21" t="n">
        <f aca="false">IF(ISBLANK(Actuals!CU43),0*Escalation!$B$95,Actuals!CU43)</f>
        <v>0</v>
      </c>
      <c r="CU225" s="21" t="n">
        <f aca="false">IF(ISBLANK(Actuals!CV43),0*Escalation!$B$96,Actuals!CV43)</f>
        <v>0</v>
      </c>
      <c r="CV225" s="21" t="n">
        <f aca="false">IF(ISBLANK(Actuals!CW43),0*Escalation!$B$97,Actuals!CW43)</f>
        <v>0</v>
      </c>
      <c r="CW225" s="21" t="n">
        <f aca="false">IF(ISBLANK(Actuals!CX43),0*Escalation!$B$98,Actuals!CX43)</f>
        <v>0</v>
      </c>
      <c r="CX225" s="21" t="n">
        <f aca="false">IF(ISBLANK(Actuals!CY43),0*Escalation!$B$99,Actuals!CY43)</f>
        <v>0</v>
      </c>
      <c r="CY225" s="21" t="n">
        <f aca="false">IF(ISBLANK(Actuals!CZ43),0*Escalation!$B$100,Actuals!CZ43)</f>
        <v>0</v>
      </c>
      <c r="CZ225" s="21" t="n">
        <f aca="false">IF(ISBLANK(Actuals!DA43),0*Escalation!$B$101,Actuals!DA43)</f>
        <v>0</v>
      </c>
      <c r="DA225" s="21" t="n">
        <f aca="false">IF(ISBLANK(Actuals!DB43),0*Escalation!$B$102,Actuals!DB43)</f>
        <v>0</v>
      </c>
      <c r="DB225" s="21" t="n">
        <f aca="false">IF(ISBLANK(Actuals!DC43),0*Escalation!$B$103,Actuals!DC43)</f>
        <v>0</v>
      </c>
      <c r="DC225" s="21" t="n">
        <f aca="false">IF(ISBLANK(Actuals!DD43),0*Escalation!$B$104,Actuals!DD43)</f>
        <v>0</v>
      </c>
      <c r="DD225" s="21" t="n">
        <f aca="false">IF(ISBLANK(Actuals!DE43),0*Escalation!$B$105,Actuals!DE43)</f>
        <v>0</v>
      </c>
      <c r="DE225" s="21" t="n">
        <f aca="false">IF(ISBLANK(Actuals!DF43),0*Escalation!$B$106,Actuals!DF43)</f>
        <v>0</v>
      </c>
    </row>
    <row r="226" customFormat="false" ht="15" hidden="false" customHeight="true" outlineLevel="0" collapsed="false">
      <c r="A226" s="35" t="s">
        <v>87</v>
      </c>
      <c r="B226" s="21" t="n">
        <f aca="false">IF(ISBLANK(Actuals!C44),0,Actuals!C44)</f>
        <v>-550</v>
      </c>
      <c r="C226" s="21" t="n">
        <f aca="false">IF(ISBLANK(Actuals!D44),0,Actuals!D44)</f>
        <v>-550</v>
      </c>
      <c r="D226" s="21" t="n">
        <f aca="false">IF(ISBLANK(Actuals!E44),0,Actuals!E44)</f>
        <v>-550</v>
      </c>
      <c r="E226" s="21" t="n">
        <f aca="false">IF(ISBLANK(Actuals!F44),-550*Escalation!$B$2,Actuals!F44)</f>
        <v>-600</v>
      </c>
      <c r="F226" s="21" t="n">
        <f aca="false">IF(ISBLANK(Actuals!G44),-550*Escalation!$B$3,Actuals!G44)</f>
        <v>-650</v>
      </c>
      <c r="G226" s="21" t="n">
        <f aca="false">IF(ISBLANK(Actuals!H44),-550*Escalation!$B$4,Actuals!H44)</f>
        <v>-575</v>
      </c>
      <c r="H226" s="21" t="n">
        <f aca="false">IF(ISBLANK(Actuals!I44),-550*Escalation!$B$5,Actuals!I44)</f>
        <v>-1300</v>
      </c>
      <c r="I226" s="21" t="n">
        <f aca="false">IF(ISBLANK(Actuals!J44),-550*Escalation!$B$6,Actuals!J44)</f>
        <v>-325</v>
      </c>
      <c r="J226" s="21" t="n">
        <f aca="false">IF(ISBLANK(Actuals!K44),-550*Escalation!$B$7,Actuals!K44)</f>
        <v>-550</v>
      </c>
      <c r="K226" s="21" t="n">
        <f aca="false">IF(ISBLANK(Actuals!L44),-550*Escalation!$B$8,Actuals!L44)</f>
        <v>-550</v>
      </c>
      <c r="L226" s="21" t="n">
        <f aca="false">IF(ISBLANK(Actuals!M44),-550*Escalation!$B$9,Actuals!M44)</f>
        <v>-550</v>
      </c>
      <c r="M226" s="21" t="n">
        <f aca="false">IF(ISBLANK(Actuals!N44),-550*Escalation!$B$10,Actuals!N44)</f>
        <v>-550</v>
      </c>
      <c r="N226" s="21" t="n">
        <f aca="false">IF(ISBLANK(Actuals!O44),-550*Escalation!$B$11,Actuals!O44)</f>
        <v>-550</v>
      </c>
      <c r="O226" s="21" t="n">
        <f aca="false">IF(ISBLANK(Actuals!P44),-550*Escalation!$B$12,Actuals!P44)</f>
        <v>-550</v>
      </c>
      <c r="P226" s="21" t="n">
        <f aca="false">IF(ISBLANK(Actuals!Q44),-550*Escalation!$B$13,Actuals!Q44)</f>
        <v>-550</v>
      </c>
      <c r="Q226" s="21" t="n">
        <f aca="false">IF(ISBLANK(Actuals!R44),-550*Escalation!$B$14,Actuals!R44)</f>
        <v>-561</v>
      </c>
      <c r="R226" s="21" t="n">
        <f aca="false">IF(ISBLANK(Actuals!S44),-550*Escalation!$B$15,Actuals!S44)</f>
        <v>-561</v>
      </c>
      <c r="S226" s="21" t="n">
        <f aca="false">IF(ISBLANK(Actuals!T44),-550*Escalation!$B$16,Actuals!T44)</f>
        <v>-561</v>
      </c>
      <c r="T226" s="21" t="n">
        <f aca="false">IF(ISBLANK(Actuals!U44),-550*Escalation!$B$17,Actuals!U44)</f>
        <v>-561</v>
      </c>
      <c r="U226" s="21" t="n">
        <f aca="false">IF(ISBLANK(Actuals!V44),-550*Escalation!$B$18,Actuals!V44)</f>
        <v>-561</v>
      </c>
      <c r="V226" s="21" t="n">
        <f aca="false">IF(ISBLANK(Actuals!W44),-550*Escalation!$B$19,Actuals!W44)</f>
        <v>-561</v>
      </c>
      <c r="W226" s="21" t="n">
        <f aca="false">IF(ISBLANK(Actuals!X44),-550*Escalation!$B$20,Actuals!X44)</f>
        <v>-561</v>
      </c>
      <c r="X226" s="21" t="n">
        <f aca="false">IF(ISBLANK(Actuals!Y44),-550*Escalation!$B$21,Actuals!Y44)</f>
        <v>-561</v>
      </c>
      <c r="Y226" s="21" t="n">
        <f aca="false">IF(ISBLANK(Actuals!Z44),-550*Escalation!$B$22,Actuals!Z44)</f>
        <v>-561</v>
      </c>
      <c r="Z226" s="21" t="n">
        <f aca="false">IF(ISBLANK(Actuals!AA44),-550*Escalation!$B$23,Actuals!AA44)</f>
        <v>-561</v>
      </c>
      <c r="AA226" s="21" t="n">
        <f aca="false">IF(ISBLANK(Actuals!AB44),-550*Escalation!$B$24,Actuals!AB44)</f>
        <v>-561</v>
      </c>
      <c r="AB226" s="21" t="n">
        <f aca="false">IF(ISBLANK(Actuals!AC44),-550*Escalation!$B$25,Actuals!AC44)</f>
        <v>-561</v>
      </c>
      <c r="AC226" s="21" t="n">
        <f aca="false">IF(ISBLANK(Actuals!AD44),-550*Escalation!$B$26,Actuals!AD44)</f>
        <v>-572.22</v>
      </c>
      <c r="AD226" s="21" t="n">
        <f aca="false">IF(ISBLANK(Actuals!AE44),-550*Escalation!$B$27,Actuals!AE44)</f>
        <v>-572.22</v>
      </c>
      <c r="AE226" s="21" t="n">
        <f aca="false">IF(ISBLANK(Actuals!AF44),-550*Escalation!$B$28,Actuals!AF44)</f>
        <v>-572.22</v>
      </c>
      <c r="AF226" s="21" t="n">
        <f aca="false">IF(ISBLANK(Actuals!AG44),-550*Escalation!$B$29,Actuals!AG44)</f>
        <v>-572.22</v>
      </c>
      <c r="AG226" s="21" t="n">
        <f aca="false">IF(ISBLANK(Actuals!AH44),-550*Escalation!$B$30,Actuals!AH44)</f>
        <v>-572.22</v>
      </c>
      <c r="AH226" s="21" t="n">
        <f aca="false">IF(ISBLANK(Actuals!AI44),-550*Escalation!$B$31,Actuals!AI44)</f>
        <v>-572.22</v>
      </c>
      <c r="AI226" s="21" t="n">
        <f aca="false">IF(ISBLANK(Actuals!AJ44),-550*Escalation!$B$32,Actuals!AJ44)</f>
        <v>-572.22</v>
      </c>
      <c r="AJ226" s="21" t="n">
        <f aca="false">IF(ISBLANK(Actuals!AK44),-550*Escalation!$B$33,Actuals!AK44)</f>
        <v>-572.22</v>
      </c>
      <c r="AK226" s="21" t="n">
        <f aca="false">IF(ISBLANK(Actuals!AL44),-550*Escalation!$B$34,Actuals!AL44)</f>
        <v>-572.22</v>
      </c>
      <c r="AL226" s="21" t="n">
        <f aca="false">IF(ISBLANK(Actuals!AM44),-550*Escalation!$B$35,Actuals!AM44)</f>
        <v>-572.22</v>
      </c>
      <c r="AM226" s="21" t="n">
        <f aca="false">IF(ISBLANK(Actuals!AN44),-550*Escalation!$B$36,Actuals!AN44)</f>
        <v>-572.22</v>
      </c>
      <c r="AN226" s="21" t="n">
        <f aca="false">IF(ISBLANK(Actuals!AO44),-550*Escalation!$B$37,Actuals!AO44)</f>
        <v>-572.22</v>
      </c>
      <c r="AO226" s="21" t="n">
        <f aca="false">IF(ISBLANK(Actuals!AP44),-550*Escalation!$B$38,Actuals!AP44)</f>
        <v>-583.6644</v>
      </c>
      <c r="AP226" s="21" t="n">
        <f aca="false">IF(ISBLANK(Actuals!AQ44),-550*Escalation!$B$39,Actuals!AQ44)</f>
        <v>-583.6644</v>
      </c>
      <c r="AQ226" s="21" t="n">
        <f aca="false">IF(ISBLANK(Actuals!AR44),-550*Escalation!$B$40,Actuals!AR44)</f>
        <v>-583.6644</v>
      </c>
      <c r="AR226" s="21" t="n">
        <f aca="false">IF(ISBLANK(Actuals!AS44),-550*Escalation!$B$41,Actuals!AS44)</f>
        <v>-583.6644</v>
      </c>
      <c r="AS226" s="21" t="n">
        <f aca="false">IF(ISBLANK(Actuals!AT44),-550*Escalation!$B$42,Actuals!AT44)</f>
        <v>-583.6644</v>
      </c>
      <c r="AT226" s="21" t="n">
        <f aca="false">IF(ISBLANK(Actuals!AU44),-550*Escalation!$B$43,Actuals!AU44)</f>
        <v>-583.6644</v>
      </c>
      <c r="AU226" s="21" t="n">
        <f aca="false">IF(ISBLANK(Actuals!AV44),-550*Escalation!$B$44,Actuals!AV44)</f>
        <v>-583.6644</v>
      </c>
      <c r="AV226" s="21" t="n">
        <f aca="false">IF(ISBLANK(Actuals!AW44),-550*Escalation!$B$45,Actuals!AW44)</f>
        <v>-583.6644</v>
      </c>
      <c r="AW226" s="21" t="n">
        <f aca="false">IF(ISBLANK(Actuals!AX44),-550*Escalation!$B$46,Actuals!AX44)</f>
        <v>-583.6644</v>
      </c>
      <c r="AX226" s="21" t="n">
        <f aca="false">IF(ISBLANK(Actuals!AY44),-550*Escalation!$B$47,Actuals!AY44)</f>
        <v>-583.6644</v>
      </c>
      <c r="AY226" s="21" t="n">
        <f aca="false">IF(ISBLANK(Actuals!AZ44),-550*Escalation!$B$48,Actuals!AZ44)</f>
        <v>-583.6644</v>
      </c>
      <c r="AZ226" s="21" t="n">
        <f aca="false">IF(ISBLANK(Actuals!BA44),-550*Escalation!$B$49,Actuals!BA44)</f>
        <v>-583.6644</v>
      </c>
      <c r="BA226" s="21" t="n">
        <f aca="false">IF(ISBLANK(Actuals!BB44),-550*Escalation!$B$50,Actuals!BB44)</f>
        <v>-595.337688</v>
      </c>
      <c r="BB226" s="21" t="n">
        <f aca="false">IF(ISBLANK(Actuals!BC44),-550*Escalation!$B$51,Actuals!BC44)</f>
        <v>-595.337688</v>
      </c>
      <c r="BC226" s="21" t="n">
        <f aca="false">IF(ISBLANK(Actuals!BD44),-550*Escalation!$B$52,Actuals!BD44)</f>
        <v>-595.337688</v>
      </c>
      <c r="BD226" s="21" t="n">
        <f aca="false">IF(ISBLANK(Actuals!BE44),-550*Escalation!$B$53,Actuals!BE44)</f>
        <v>-595.337688</v>
      </c>
      <c r="BE226" s="21" t="n">
        <f aca="false">IF(ISBLANK(Actuals!BF44),-550*Escalation!$B$54,Actuals!BF44)</f>
        <v>-595.337688</v>
      </c>
      <c r="BF226" s="21" t="n">
        <f aca="false">IF(ISBLANK(Actuals!BG44),-550*Escalation!$B$55,Actuals!BG44)</f>
        <v>-595.337688</v>
      </c>
      <c r="BG226" s="21" t="n">
        <f aca="false">IF(ISBLANK(Actuals!BH44),-550*Escalation!$B$56,Actuals!BH44)</f>
        <v>-595.337688</v>
      </c>
      <c r="BH226" s="21" t="n">
        <f aca="false">IF(ISBLANK(Actuals!BI44),-550*Escalation!$B$57,Actuals!BI44)</f>
        <v>-595.337688</v>
      </c>
      <c r="BI226" s="21" t="n">
        <f aca="false">IF(ISBLANK(Actuals!BJ44),-550*Escalation!$B$58,Actuals!BJ44)</f>
        <v>-595.337688</v>
      </c>
      <c r="BJ226" s="21" t="n">
        <f aca="false">IF(ISBLANK(Actuals!BK44),-550*Escalation!$B$59,Actuals!BK44)</f>
        <v>-595.337688</v>
      </c>
      <c r="BK226" s="21" t="n">
        <f aca="false">IF(ISBLANK(Actuals!BL44),-550*Escalation!$B$60,Actuals!BL44)</f>
        <v>-595.337688</v>
      </c>
      <c r="BL226" s="21" t="n">
        <f aca="false">IF(ISBLANK(Actuals!BM44),-550*Escalation!$B$61,Actuals!BM44)</f>
        <v>-595.337688</v>
      </c>
      <c r="BM226" s="21" t="n">
        <f aca="false">IF(ISBLANK(Actuals!BN44),-550*Escalation!$B$62,Actuals!BN44)</f>
        <v>-607.24444176</v>
      </c>
      <c r="BN226" s="21" t="n">
        <f aca="false">IF(ISBLANK(Actuals!BO44),-550*Escalation!$B$63,Actuals!BO44)</f>
        <v>-607.24444176</v>
      </c>
      <c r="BO226" s="21" t="n">
        <f aca="false">IF(ISBLANK(Actuals!BP44),-550*Escalation!$B$64,Actuals!BP44)</f>
        <v>-607.24444176</v>
      </c>
      <c r="BP226" s="21" t="n">
        <f aca="false">IF(ISBLANK(Actuals!BQ44),-550*Escalation!$B$65,Actuals!BQ44)</f>
        <v>-607.24444176</v>
      </c>
      <c r="BQ226" s="21" t="n">
        <f aca="false">IF(ISBLANK(Actuals!BR44),-550*Escalation!$B$66,Actuals!BR44)</f>
        <v>-607.24444176</v>
      </c>
      <c r="BR226" s="21" t="n">
        <f aca="false">IF(ISBLANK(Actuals!BS44),-550*Escalation!$B$67,Actuals!BS44)</f>
        <v>-607.24444176</v>
      </c>
      <c r="BS226" s="21" t="n">
        <f aca="false">IF(ISBLANK(Actuals!BT44),-550*Escalation!$B$68,Actuals!BT44)</f>
        <v>-607.24444176</v>
      </c>
      <c r="BT226" s="21" t="n">
        <f aca="false">IF(ISBLANK(Actuals!BU44),-550*Escalation!$B$69,Actuals!BU44)</f>
        <v>-607.24444176</v>
      </c>
      <c r="BU226" s="21" t="n">
        <f aca="false">IF(ISBLANK(Actuals!BV44),-550*Escalation!$B$70,Actuals!BV44)</f>
        <v>-607.24444176</v>
      </c>
      <c r="BV226" s="21" t="n">
        <f aca="false">IF(ISBLANK(Actuals!BW44),-550*Escalation!$B$71,Actuals!BW44)</f>
        <v>-607.24444176</v>
      </c>
      <c r="BW226" s="21" t="n">
        <f aca="false">IF(ISBLANK(Actuals!BX44),-550*Escalation!$B$72,Actuals!BX44)</f>
        <v>-607.24444176</v>
      </c>
      <c r="BX226" s="21" t="n">
        <f aca="false">IF(ISBLANK(Actuals!BY44),-550*Escalation!$B$73,Actuals!BY44)</f>
        <v>-607.24444176</v>
      </c>
      <c r="BY226" s="21" t="n">
        <f aca="false">IF(ISBLANK(Actuals!BZ44),-550*Escalation!$B$74,Actuals!BZ44)</f>
        <v>-619.3893305952</v>
      </c>
      <c r="BZ226" s="21" t="n">
        <f aca="false">IF(ISBLANK(Actuals!CA44),-550*Escalation!$B$75,Actuals!CA44)</f>
        <v>-619.3893305952</v>
      </c>
      <c r="CA226" s="21" t="n">
        <f aca="false">IF(ISBLANK(Actuals!CB44),-550*Escalation!$B$76,Actuals!CB44)</f>
        <v>-619.3893305952</v>
      </c>
      <c r="CB226" s="21" t="n">
        <f aca="false">IF(ISBLANK(Actuals!CC44),-550*Escalation!$B$77,Actuals!CC44)</f>
        <v>-619.3893305952</v>
      </c>
      <c r="CC226" s="21" t="n">
        <f aca="false">IF(ISBLANK(Actuals!CD44),-550*Escalation!$B$78,Actuals!CD44)</f>
        <v>-619.3893305952</v>
      </c>
      <c r="CD226" s="21" t="n">
        <f aca="false">IF(ISBLANK(Actuals!CE44),-550*Escalation!$B$79,Actuals!CE44)</f>
        <v>-619.3893305952</v>
      </c>
      <c r="CE226" s="21" t="n">
        <f aca="false">IF(ISBLANK(Actuals!CF44),-550*Escalation!$B$80,Actuals!CF44)</f>
        <v>-619.3893305952</v>
      </c>
      <c r="CF226" s="21" t="n">
        <f aca="false">IF(ISBLANK(Actuals!CG44),-550*Escalation!$B$81,Actuals!CG44)</f>
        <v>-619.3893305952</v>
      </c>
      <c r="CG226" s="21" t="n">
        <f aca="false">IF(ISBLANK(Actuals!CH44),-550*Escalation!$B$82,Actuals!CH44)</f>
        <v>-619.3893305952</v>
      </c>
      <c r="CH226" s="21" t="n">
        <f aca="false">IF(ISBLANK(Actuals!CI44),-550*Escalation!$B$83,Actuals!CI44)</f>
        <v>-619.3893305952</v>
      </c>
      <c r="CI226" s="21" t="n">
        <f aca="false">IF(ISBLANK(Actuals!CJ44),-550*Escalation!$B$84,Actuals!CJ44)</f>
        <v>-619.3893305952</v>
      </c>
      <c r="CJ226" s="21" t="n">
        <f aca="false">IF(ISBLANK(Actuals!CK44),-550*Escalation!$B$85,Actuals!CK44)</f>
        <v>-619.3893305952</v>
      </c>
      <c r="CK226" s="21" t="n">
        <f aca="false">IF(ISBLANK(Actuals!CL44),-550*Escalation!$B$86,Actuals!CL44)</f>
        <v>-631.777117207104</v>
      </c>
      <c r="CL226" s="21" t="n">
        <f aca="false">IF(ISBLANK(Actuals!CM44),-550*Escalation!$B$87,Actuals!CM44)</f>
        <v>-631.777117207104</v>
      </c>
      <c r="CM226" s="21" t="n">
        <f aca="false">IF(ISBLANK(Actuals!CN44),-550*Escalation!$B$88,Actuals!CN44)</f>
        <v>-631.777117207104</v>
      </c>
      <c r="CN226" s="21" t="n">
        <f aca="false">IF(ISBLANK(Actuals!CO44),-550*Escalation!$B$89,Actuals!CO44)</f>
        <v>-631.777117207104</v>
      </c>
      <c r="CO226" s="21" t="n">
        <f aca="false">IF(ISBLANK(Actuals!CP44),-550*Escalation!$B$90,Actuals!CP44)</f>
        <v>-631.777117207104</v>
      </c>
      <c r="CP226" s="21" t="n">
        <f aca="false">IF(ISBLANK(Actuals!CQ44),-550*Escalation!$B$91,Actuals!CQ44)</f>
        <v>-631.777117207104</v>
      </c>
      <c r="CQ226" s="21" t="n">
        <f aca="false">IF(ISBLANK(Actuals!CR44),-550*Escalation!$B$92,Actuals!CR44)</f>
        <v>-631.777117207104</v>
      </c>
      <c r="CR226" s="21" t="n">
        <f aca="false">IF(ISBLANK(Actuals!CS44),-550*Escalation!$B$93,Actuals!CS44)</f>
        <v>-631.777117207104</v>
      </c>
      <c r="CS226" s="21" t="n">
        <f aca="false">IF(ISBLANK(Actuals!CT44),-550*Escalation!$B$94,Actuals!CT44)</f>
        <v>-631.777117207104</v>
      </c>
      <c r="CT226" s="21" t="n">
        <f aca="false">IF(ISBLANK(Actuals!CU44),-550*Escalation!$B$95,Actuals!CU44)</f>
        <v>-631.777117207104</v>
      </c>
      <c r="CU226" s="21" t="n">
        <f aca="false">IF(ISBLANK(Actuals!CV44),-550*Escalation!$B$96,Actuals!CV44)</f>
        <v>-631.777117207104</v>
      </c>
      <c r="CV226" s="21" t="n">
        <f aca="false">IF(ISBLANK(Actuals!CW44),-550*Escalation!$B$97,Actuals!CW44)</f>
        <v>-631.777117207104</v>
      </c>
      <c r="CW226" s="21" t="n">
        <f aca="false">IF(ISBLANK(Actuals!CX44),-550*Escalation!$B$98,Actuals!CX44)</f>
        <v>-644.412659551246</v>
      </c>
      <c r="CX226" s="21" t="n">
        <f aca="false">IF(ISBLANK(Actuals!CY44),-550*Escalation!$B$99,Actuals!CY44)</f>
        <v>-644.412659551246</v>
      </c>
      <c r="CY226" s="21" t="n">
        <f aca="false">IF(ISBLANK(Actuals!CZ44),-550*Escalation!$B$100,Actuals!CZ44)</f>
        <v>-644.412659551246</v>
      </c>
      <c r="CZ226" s="21" t="n">
        <f aca="false">IF(ISBLANK(Actuals!DA44),-550*Escalation!$B$101,Actuals!DA44)</f>
        <v>-644.412659551246</v>
      </c>
      <c r="DA226" s="21" t="n">
        <f aca="false">IF(ISBLANK(Actuals!DB44),-550*Escalation!$B$102,Actuals!DB44)</f>
        <v>-644.412659551246</v>
      </c>
      <c r="DB226" s="21" t="n">
        <f aca="false">IF(ISBLANK(Actuals!DC44),-550*Escalation!$B$103,Actuals!DC44)</f>
        <v>-644.412659551246</v>
      </c>
      <c r="DC226" s="21" t="n">
        <f aca="false">IF(ISBLANK(Actuals!DD44),-550*Escalation!$B$104,Actuals!DD44)</f>
        <v>-644.412659551246</v>
      </c>
      <c r="DD226" s="21" t="n">
        <f aca="false">IF(ISBLANK(Actuals!DE44),-550*Escalation!$B$105,Actuals!DE44)</f>
        <v>-644.412659551246</v>
      </c>
      <c r="DE226" s="21" t="n">
        <f aca="false">IF(ISBLANK(Actuals!DF44),-550*Escalation!$B$106,Actuals!DF44)</f>
        <v>-644.412659551246</v>
      </c>
    </row>
    <row r="227" customFormat="false" ht="15" hidden="false" customHeight="true" outlineLevel="0" collapsed="false">
      <c r="A227" s="35" t="s">
        <v>88</v>
      </c>
      <c r="B227" s="21" t="n">
        <f aca="false">IF(ISBLANK(Actuals!C45),0,Actuals!C45)</f>
        <v>-19223.75</v>
      </c>
      <c r="C227" s="21" t="n">
        <f aca="false">IF(ISBLANK(Actuals!D45),0,Actuals!D45)</f>
        <v>-13381.97</v>
      </c>
      <c r="D227" s="21" t="n">
        <f aca="false">IF(ISBLANK(Actuals!E45),0,Actuals!E45)</f>
        <v>-20308.69</v>
      </c>
      <c r="E227" s="21" t="n">
        <f aca="false">IF(ISBLANK(Actuals!F45),-17638.14*Escalation!$B$2,Actuals!F45)</f>
        <v>-16948.76</v>
      </c>
      <c r="F227" s="21" t="n">
        <f aca="false">IF(ISBLANK(Actuals!G45),-17638.14*Escalation!$B$3,Actuals!G45)</f>
        <v>-29716.98</v>
      </c>
      <c r="G227" s="21" t="n">
        <f aca="false">IF(ISBLANK(Actuals!H45),-17638.14*Escalation!$B$4,Actuals!H45)</f>
        <v>-11335.64</v>
      </c>
      <c r="H227" s="21" t="n">
        <f aca="false">IF(ISBLANK(Actuals!I45),-17638.14*Escalation!$B$5,Actuals!I45)</f>
        <v>-11387.12</v>
      </c>
      <c r="I227" s="21" t="n">
        <f aca="false">IF(ISBLANK(Actuals!J45),-17638.14*Escalation!$B$6,Actuals!J45)</f>
        <v>-19873.14</v>
      </c>
      <c r="J227" s="21" t="n">
        <f aca="false">IF(ISBLANK(Actuals!K45),-17638.14*Escalation!$B$7,Actuals!K45)</f>
        <v>-17638.14</v>
      </c>
      <c r="K227" s="21" t="n">
        <f aca="false">IF(ISBLANK(Actuals!L45),-17638.14*Escalation!$B$8,Actuals!L45)</f>
        <v>-17638.14</v>
      </c>
      <c r="L227" s="21" t="n">
        <f aca="false">IF(ISBLANK(Actuals!M45),-17638.14*Escalation!$B$9,Actuals!M45)</f>
        <v>-17638.14</v>
      </c>
      <c r="M227" s="21" t="n">
        <f aca="false">IF(ISBLANK(Actuals!N45),-17638.14*Escalation!$B$10,Actuals!N45)</f>
        <v>-17638.14</v>
      </c>
      <c r="N227" s="21" t="n">
        <f aca="false">IF(ISBLANK(Actuals!O45),-17638.14*Escalation!$B$11,Actuals!O45)</f>
        <v>-17638.14</v>
      </c>
      <c r="O227" s="21" t="n">
        <f aca="false">IF(ISBLANK(Actuals!P45),-17638.14*Escalation!$B$12,Actuals!P45)</f>
        <v>-17638.14</v>
      </c>
      <c r="P227" s="21" t="n">
        <f aca="false">IF(ISBLANK(Actuals!Q45),-17638.14*Escalation!$B$13,Actuals!Q45)</f>
        <v>-17638.14</v>
      </c>
      <c r="Q227" s="21" t="n">
        <f aca="false">IF(ISBLANK(Actuals!R45),-17638.14*Escalation!$B$14,Actuals!R45)</f>
        <v>-17990.9028</v>
      </c>
      <c r="R227" s="21" t="n">
        <f aca="false">IF(ISBLANK(Actuals!S45),-17638.14*Escalation!$B$15,Actuals!S45)</f>
        <v>-17990.9028</v>
      </c>
      <c r="S227" s="21" t="n">
        <f aca="false">IF(ISBLANK(Actuals!T45),-17638.14*Escalation!$B$16,Actuals!T45)</f>
        <v>-17990.9028</v>
      </c>
      <c r="T227" s="21" t="n">
        <f aca="false">IF(ISBLANK(Actuals!U45),-17638.14*Escalation!$B$17,Actuals!U45)</f>
        <v>-17990.9028</v>
      </c>
      <c r="U227" s="21" t="n">
        <f aca="false">IF(ISBLANK(Actuals!V45),-17638.14*Escalation!$B$18,Actuals!V45)</f>
        <v>-17990.9028</v>
      </c>
      <c r="V227" s="21" t="n">
        <f aca="false">IF(ISBLANK(Actuals!W45),-17638.14*Escalation!$B$19,Actuals!W45)</f>
        <v>-17990.9028</v>
      </c>
      <c r="W227" s="21" t="n">
        <f aca="false">IF(ISBLANK(Actuals!X45),-17638.14*Escalation!$B$20,Actuals!X45)</f>
        <v>-17990.9028</v>
      </c>
      <c r="X227" s="21" t="n">
        <f aca="false">IF(ISBLANK(Actuals!Y45),-17638.14*Escalation!$B$21,Actuals!Y45)</f>
        <v>-17990.9028</v>
      </c>
      <c r="Y227" s="21" t="n">
        <f aca="false">IF(ISBLANK(Actuals!Z45),-17638.14*Escalation!$B$22,Actuals!Z45)</f>
        <v>-17990.9028</v>
      </c>
      <c r="Z227" s="21" t="n">
        <f aca="false">IF(ISBLANK(Actuals!AA45),-17638.14*Escalation!$B$23,Actuals!AA45)</f>
        <v>-17990.9028</v>
      </c>
      <c r="AA227" s="21" t="n">
        <f aca="false">IF(ISBLANK(Actuals!AB45),-17638.14*Escalation!$B$24,Actuals!AB45)</f>
        <v>-17990.9028</v>
      </c>
      <c r="AB227" s="21" t="n">
        <f aca="false">IF(ISBLANK(Actuals!AC45),-17638.14*Escalation!$B$25,Actuals!AC45)</f>
        <v>-17990.9028</v>
      </c>
      <c r="AC227" s="21" t="n">
        <f aca="false">IF(ISBLANK(Actuals!AD45),-17638.14*Escalation!$B$26,Actuals!AD45)</f>
        <v>-18350.720856</v>
      </c>
      <c r="AD227" s="21" t="n">
        <f aca="false">IF(ISBLANK(Actuals!AE45),-17638.14*Escalation!$B$27,Actuals!AE45)</f>
        <v>-18350.720856</v>
      </c>
      <c r="AE227" s="21" t="n">
        <f aca="false">IF(ISBLANK(Actuals!AF45),-17638.14*Escalation!$B$28,Actuals!AF45)</f>
        <v>-18350.720856</v>
      </c>
      <c r="AF227" s="21" t="n">
        <f aca="false">IF(ISBLANK(Actuals!AG45),-17638.14*Escalation!$B$29,Actuals!AG45)</f>
        <v>-18350.720856</v>
      </c>
      <c r="AG227" s="21" t="n">
        <f aca="false">IF(ISBLANK(Actuals!AH45),-17638.14*Escalation!$B$30,Actuals!AH45)</f>
        <v>-18350.720856</v>
      </c>
      <c r="AH227" s="21" t="n">
        <f aca="false">IF(ISBLANK(Actuals!AI45),-17638.14*Escalation!$B$31,Actuals!AI45)</f>
        <v>-18350.720856</v>
      </c>
      <c r="AI227" s="21" t="n">
        <f aca="false">IF(ISBLANK(Actuals!AJ45),-17638.14*Escalation!$B$32,Actuals!AJ45)</f>
        <v>-18350.720856</v>
      </c>
      <c r="AJ227" s="21" t="n">
        <f aca="false">IF(ISBLANK(Actuals!AK45),-17638.14*Escalation!$B$33,Actuals!AK45)</f>
        <v>-18350.720856</v>
      </c>
      <c r="AK227" s="21" t="n">
        <f aca="false">IF(ISBLANK(Actuals!AL45),-17638.14*Escalation!$B$34,Actuals!AL45)</f>
        <v>-18350.720856</v>
      </c>
      <c r="AL227" s="21" t="n">
        <f aca="false">IF(ISBLANK(Actuals!AM45),-17638.14*Escalation!$B$35,Actuals!AM45)</f>
        <v>-18350.720856</v>
      </c>
      <c r="AM227" s="21" t="n">
        <f aca="false">IF(ISBLANK(Actuals!AN45),-17638.14*Escalation!$B$36,Actuals!AN45)</f>
        <v>-18350.720856</v>
      </c>
      <c r="AN227" s="21" t="n">
        <f aca="false">IF(ISBLANK(Actuals!AO45),-17638.14*Escalation!$B$37,Actuals!AO45)</f>
        <v>-18350.720856</v>
      </c>
      <c r="AO227" s="21" t="n">
        <f aca="false">IF(ISBLANK(Actuals!AP45),-17638.14*Escalation!$B$38,Actuals!AP45)</f>
        <v>-18717.73527312</v>
      </c>
      <c r="AP227" s="21" t="n">
        <f aca="false">IF(ISBLANK(Actuals!AQ45),-17638.14*Escalation!$B$39,Actuals!AQ45)</f>
        <v>-18717.73527312</v>
      </c>
      <c r="AQ227" s="21" t="n">
        <f aca="false">IF(ISBLANK(Actuals!AR45),-17638.14*Escalation!$B$40,Actuals!AR45)</f>
        <v>-18717.73527312</v>
      </c>
      <c r="AR227" s="21" t="n">
        <f aca="false">IF(ISBLANK(Actuals!AS45),-17638.14*Escalation!$B$41,Actuals!AS45)</f>
        <v>-18717.73527312</v>
      </c>
      <c r="AS227" s="21" t="n">
        <f aca="false">IF(ISBLANK(Actuals!AT45),-17638.14*Escalation!$B$42,Actuals!AT45)</f>
        <v>-18717.73527312</v>
      </c>
      <c r="AT227" s="21" t="n">
        <f aca="false">IF(ISBLANK(Actuals!AU45),-17638.14*Escalation!$B$43,Actuals!AU45)</f>
        <v>-18717.73527312</v>
      </c>
      <c r="AU227" s="21" t="n">
        <f aca="false">IF(ISBLANK(Actuals!AV45),-17638.14*Escalation!$B$44,Actuals!AV45)</f>
        <v>-18717.73527312</v>
      </c>
      <c r="AV227" s="21" t="n">
        <f aca="false">IF(ISBLANK(Actuals!AW45),-17638.14*Escalation!$B$45,Actuals!AW45)</f>
        <v>-18717.73527312</v>
      </c>
      <c r="AW227" s="21" t="n">
        <f aca="false">IF(ISBLANK(Actuals!AX45),-17638.14*Escalation!$B$46,Actuals!AX45)</f>
        <v>-18717.73527312</v>
      </c>
      <c r="AX227" s="21" t="n">
        <f aca="false">IF(ISBLANK(Actuals!AY45),-17638.14*Escalation!$B$47,Actuals!AY45)</f>
        <v>-18717.73527312</v>
      </c>
      <c r="AY227" s="21" t="n">
        <f aca="false">IF(ISBLANK(Actuals!AZ45),-17638.14*Escalation!$B$48,Actuals!AZ45)</f>
        <v>-18717.73527312</v>
      </c>
      <c r="AZ227" s="21" t="n">
        <f aca="false">IF(ISBLANK(Actuals!BA45),-17638.14*Escalation!$B$49,Actuals!BA45)</f>
        <v>-18717.73527312</v>
      </c>
      <c r="BA227" s="21" t="n">
        <f aca="false">IF(ISBLANK(Actuals!BB45),-17638.14*Escalation!$B$50,Actuals!BB45)</f>
        <v>-19092.0899785824</v>
      </c>
      <c r="BB227" s="21" t="n">
        <f aca="false">IF(ISBLANK(Actuals!BC45),-17638.14*Escalation!$B$51,Actuals!BC45)</f>
        <v>-19092.0899785824</v>
      </c>
      <c r="BC227" s="21" t="n">
        <f aca="false">IF(ISBLANK(Actuals!BD45),-17638.14*Escalation!$B$52,Actuals!BD45)</f>
        <v>-19092.0899785824</v>
      </c>
      <c r="BD227" s="21" t="n">
        <f aca="false">IF(ISBLANK(Actuals!BE45),-17638.14*Escalation!$B$53,Actuals!BE45)</f>
        <v>-19092.0899785824</v>
      </c>
      <c r="BE227" s="21" t="n">
        <f aca="false">IF(ISBLANK(Actuals!BF45),-17638.14*Escalation!$B$54,Actuals!BF45)</f>
        <v>-19092.0899785824</v>
      </c>
      <c r="BF227" s="21" t="n">
        <f aca="false">IF(ISBLANK(Actuals!BG45),-17638.14*Escalation!$B$55,Actuals!BG45)</f>
        <v>-19092.0899785824</v>
      </c>
      <c r="BG227" s="21" t="n">
        <f aca="false">IF(ISBLANK(Actuals!BH45),-17638.14*Escalation!$B$56,Actuals!BH45)</f>
        <v>-19092.0899785824</v>
      </c>
      <c r="BH227" s="21" t="n">
        <f aca="false">IF(ISBLANK(Actuals!BI45),-17638.14*Escalation!$B$57,Actuals!BI45)</f>
        <v>-19092.0899785824</v>
      </c>
      <c r="BI227" s="21" t="n">
        <f aca="false">IF(ISBLANK(Actuals!BJ45),-17638.14*Escalation!$B$58,Actuals!BJ45)</f>
        <v>-19092.0899785824</v>
      </c>
      <c r="BJ227" s="21" t="n">
        <f aca="false">IF(ISBLANK(Actuals!BK45),-17638.14*Escalation!$B$59,Actuals!BK45)</f>
        <v>-19092.0899785824</v>
      </c>
      <c r="BK227" s="21" t="n">
        <f aca="false">IF(ISBLANK(Actuals!BL45),-17638.14*Escalation!$B$60,Actuals!BL45)</f>
        <v>-19092.0899785824</v>
      </c>
      <c r="BL227" s="21" t="n">
        <f aca="false">IF(ISBLANK(Actuals!BM45),-17638.14*Escalation!$B$61,Actuals!BM45)</f>
        <v>-19092.0899785824</v>
      </c>
      <c r="BM227" s="21" t="n">
        <f aca="false">IF(ISBLANK(Actuals!BN45),-17638.14*Escalation!$B$62,Actuals!BN45)</f>
        <v>-19473.9317781541</v>
      </c>
      <c r="BN227" s="21" t="n">
        <f aca="false">IF(ISBLANK(Actuals!BO45),-17638.14*Escalation!$B$63,Actuals!BO45)</f>
        <v>-19473.9317781541</v>
      </c>
      <c r="BO227" s="21" t="n">
        <f aca="false">IF(ISBLANK(Actuals!BP45),-17638.14*Escalation!$B$64,Actuals!BP45)</f>
        <v>-19473.9317781541</v>
      </c>
      <c r="BP227" s="21" t="n">
        <f aca="false">IF(ISBLANK(Actuals!BQ45),-17638.14*Escalation!$B$65,Actuals!BQ45)</f>
        <v>-19473.9317781541</v>
      </c>
      <c r="BQ227" s="21" t="n">
        <f aca="false">IF(ISBLANK(Actuals!BR45),-17638.14*Escalation!$B$66,Actuals!BR45)</f>
        <v>-19473.9317781541</v>
      </c>
      <c r="BR227" s="21" t="n">
        <f aca="false">IF(ISBLANK(Actuals!BS45),-17638.14*Escalation!$B$67,Actuals!BS45)</f>
        <v>-19473.9317781541</v>
      </c>
      <c r="BS227" s="21" t="n">
        <f aca="false">IF(ISBLANK(Actuals!BT45),-17638.14*Escalation!$B$68,Actuals!BT45)</f>
        <v>-19473.9317781541</v>
      </c>
      <c r="BT227" s="21" t="n">
        <f aca="false">IF(ISBLANK(Actuals!BU45),-17638.14*Escalation!$B$69,Actuals!BU45)</f>
        <v>-19473.9317781541</v>
      </c>
      <c r="BU227" s="21" t="n">
        <f aca="false">IF(ISBLANK(Actuals!BV45),-17638.14*Escalation!$B$70,Actuals!BV45)</f>
        <v>-19473.9317781541</v>
      </c>
      <c r="BV227" s="21" t="n">
        <f aca="false">IF(ISBLANK(Actuals!BW45),-17638.14*Escalation!$B$71,Actuals!BW45)</f>
        <v>-19473.9317781541</v>
      </c>
      <c r="BW227" s="21" t="n">
        <f aca="false">IF(ISBLANK(Actuals!BX45),-17638.14*Escalation!$B$72,Actuals!BX45)</f>
        <v>-19473.9317781541</v>
      </c>
      <c r="BX227" s="21" t="n">
        <f aca="false">IF(ISBLANK(Actuals!BY45),-17638.14*Escalation!$B$73,Actuals!BY45)</f>
        <v>-19473.9317781541</v>
      </c>
      <c r="BY227" s="21" t="n">
        <f aca="false">IF(ISBLANK(Actuals!BZ45),-17638.14*Escalation!$B$74,Actuals!BZ45)</f>
        <v>-19863.4104137171</v>
      </c>
      <c r="BZ227" s="21" t="n">
        <f aca="false">IF(ISBLANK(Actuals!CA45),-17638.14*Escalation!$B$75,Actuals!CA45)</f>
        <v>-19863.4104137171</v>
      </c>
      <c r="CA227" s="21" t="n">
        <f aca="false">IF(ISBLANK(Actuals!CB45),-17638.14*Escalation!$B$76,Actuals!CB45)</f>
        <v>-19863.4104137171</v>
      </c>
      <c r="CB227" s="21" t="n">
        <f aca="false">IF(ISBLANK(Actuals!CC45),-17638.14*Escalation!$B$77,Actuals!CC45)</f>
        <v>-19863.4104137171</v>
      </c>
      <c r="CC227" s="21" t="n">
        <f aca="false">IF(ISBLANK(Actuals!CD45),-17638.14*Escalation!$B$78,Actuals!CD45)</f>
        <v>-19863.4104137171</v>
      </c>
      <c r="CD227" s="21" t="n">
        <f aca="false">IF(ISBLANK(Actuals!CE45),-17638.14*Escalation!$B$79,Actuals!CE45)</f>
        <v>-19863.4104137171</v>
      </c>
      <c r="CE227" s="21" t="n">
        <f aca="false">IF(ISBLANK(Actuals!CF45),-17638.14*Escalation!$B$80,Actuals!CF45)</f>
        <v>-19863.4104137171</v>
      </c>
      <c r="CF227" s="21" t="n">
        <f aca="false">IF(ISBLANK(Actuals!CG45),-17638.14*Escalation!$B$81,Actuals!CG45)</f>
        <v>-19863.4104137171</v>
      </c>
      <c r="CG227" s="21" t="n">
        <f aca="false">IF(ISBLANK(Actuals!CH45),-17638.14*Escalation!$B$82,Actuals!CH45)</f>
        <v>-19863.4104137171</v>
      </c>
      <c r="CH227" s="21" t="n">
        <f aca="false">IF(ISBLANK(Actuals!CI45),-17638.14*Escalation!$B$83,Actuals!CI45)</f>
        <v>-19863.4104137171</v>
      </c>
      <c r="CI227" s="21" t="n">
        <f aca="false">IF(ISBLANK(Actuals!CJ45),-17638.14*Escalation!$B$84,Actuals!CJ45)</f>
        <v>-19863.4104137171</v>
      </c>
      <c r="CJ227" s="21" t="n">
        <f aca="false">IF(ISBLANK(Actuals!CK45),-17638.14*Escalation!$B$85,Actuals!CK45)</f>
        <v>-19863.4104137171</v>
      </c>
      <c r="CK227" s="21" t="n">
        <f aca="false">IF(ISBLANK(Actuals!CL45),-17638.14*Escalation!$B$86,Actuals!CL45)</f>
        <v>-20260.6786219915</v>
      </c>
      <c r="CL227" s="21" t="n">
        <f aca="false">IF(ISBLANK(Actuals!CM45),-17638.14*Escalation!$B$87,Actuals!CM45)</f>
        <v>-20260.6786219915</v>
      </c>
      <c r="CM227" s="21" t="n">
        <f aca="false">IF(ISBLANK(Actuals!CN45),-17638.14*Escalation!$B$88,Actuals!CN45)</f>
        <v>-20260.6786219915</v>
      </c>
      <c r="CN227" s="21" t="n">
        <f aca="false">IF(ISBLANK(Actuals!CO45),-17638.14*Escalation!$B$89,Actuals!CO45)</f>
        <v>-20260.6786219915</v>
      </c>
      <c r="CO227" s="21" t="n">
        <f aca="false">IF(ISBLANK(Actuals!CP45),-17638.14*Escalation!$B$90,Actuals!CP45)</f>
        <v>-20260.6786219915</v>
      </c>
      <c r="CP227" s="21" t="n">
        <f aca="false">IF(ISBLANK(Actuals!CQ45),-17638.14*Escalation!$B$91,Actuals!CQ45)</f>
        <v>-20260.6786219915</v>
      </c>
      <c r="CQ227" s="21" t="n">
        <f aca="false">IF(ISBLANK(Actuals!CR45),-17638.14*Escalation!$B$92,Actuals!CR45)</f>
        <v>-20260.6786219915</v>
      </c>
      <c r="CR227" s="21" t="n">
        <f aca="false">IF(ISBLANK(Actuals!CS45),-17638.14*Escalation!$B$93,Actuals!CS45)</f>
        <v>-20260.6786219915</v>
      </c>
      <c r="CS227" s="21" t="n">
        <f aca="false">IF(ISBLANK(Actuals!CT45),-17638.14*Escalation!$B$94,Actuals!CT45)</f>
        <v>-20260.6786219915</v>
      </c>
      <c r="CT227" s="21" t="n">
        <f aca="false">IF(ISBLANK(Actuals!CU45),-17638.14*Escalation!$B$95,Actuals!CU45)</f>
        <v>-20260.6786219915</v>
      </c>
      <c r="CU227" s="21" t="n">
        <f aca="false">IF(ISBLANK(Actuals!CV45),-17638.14*Escalation!$B$96,Actuals!CV45)</f>
        <v>-20260.6786219915</v>
      </c>
      <c r="CV227" s="21" t="n">
        <f aca="false">IF(ISBLANK(Actuals!CW45),-17638.14*Escalation!$B$97,Actuals!CW45)</f>
        <v>-20260.6786219915</v>
      </c>
      <c r="CW227" s="21" t="n">
        <f aca="false">IF(ISBLANK(Actuals!CX45),-17638.14*Escalation!$B$98,Actuals!CX45)</f>
        <v>-20665.8921944313</v>
      </c>
      <c r="CX227" s="21" t="n">
        <f aca="false">IF(ISBLANK(Actuals!CY45),-17638.14*Escalation!$B$99,Actuals!CY45)</f>
        <v>-20665.8921944313</v>
      </c>
      <c r="CY227" s="21" t="n">
        <f aca="false">IF(ISBLANK(Actuals!CZ45),-17638.14*Escalation!$B$100,Actuals!CZ45)</f>
        <v>-20665.8921944313</v>
      </c>
      <c r="CZ227" s="21" t="n">
        <f aca="false">IF(ISBLANK(Actuals!DA45),-17638.14*Escalation!$B$101,Actuals!DA45)</f>
        <v>-20665.8921944313</v>
      </c>
      <c r="DA227" s="21" t="n">
        <f aca="false">IF(ISBLANK(Actuals!DB45),-17638.14*Escalation!$B$102,Actuals!DB45)</f>
        <v>-20665.8921944313</v>
      </c>
      <c r="DB227" s="21" t="n">
        <f aca="false">IF(ISBLANK(Actuals!DC45),-17638.14*Escalation!$B$103,Actuals!DC45)</f>
        <v>-20665.8921944313</v>
      </c>
      <c r="DC227" s="21" t="n">
        <f aca="false">IF(ISBLANK(Actuals!DD45),-17638.14*Escalation!$B$104,Actuals!DD45)</f>
        <v>-20665.8921944313</v>
      </c>
      <c r="DD227" s="21" t="n">
        <f aca="false">IF(ISBLANK(Actuals!DE45),-17638.14*Escalation!$B$105,Actuals!DE45)</f>
        <v>-20665.8921944313</v>
      </c>
      <c r="DE227" s="21" t="n">
        <f aca="false">IF(ISBLANK(Actuals!DF45),-17638.14*Escalation!$B$106,Actuals!DF45)</f>
        <v>-20665.8921944313</v>
      </c>
    </row>
    <row r="228" customFormat="false" ht="15" hidden="false" customHeight="true" outlineLevel="0" collapsed="false">
      <c r="A228" s="35" t="s">
        <v>89</v>
      </c>
      <c r="B228" s="21" t="n">
        <f aca="false">IF(ISBLANK(Actuals!C46),0,Actuals!C46)</f>
        <v>-1909.98</v>
      </c>
      <c r="C228" s="21" t="n">
        <f aca="false">IF(ISBLANK(Actuals!D46),0,Actuals!D46)</f>
        <v>-190.1</v>
      </c>
      <c r="D228" s="21" t="n">
        <f aca="false">IF(ISBLANK(Actuals!E46),0,Actuals!E46)</f>
        <v>-2166.92</v>
      </c>
      <c r="E228" s="21" t="n">
        <f aca="false">IF(ISBLANK(Actuals!F46),-1422.33*Escalation!$B$2,Actuals!F46)</f>
        <v>-1816.95</v>
      </c>
      <c r="F228" s="21" t="n">
        <f aca="false">IF(ISBLANK(Actuals!G46),-1422.33*Escalation!$B$3,Actuals!G46)</f>
        <v>-1452.9</v>
      </c>
      <c r="G228" s="21" t="n">
        <f aca="false">IF(ISBLANK(Actuals!H46),-1422.33*Escalation!$B$4,Actuals!H46)</f>
        <v>-13918.31</v>
      </c>
      <c r="H228" s="21" t="n">
        <f aca="false">IF(ISBLANK(Actuals!I46),-1422.33*Escalation!$B$5,Actuals!I46)</f>
        <v>9546.02</v>
      </c>
      <c r="I228" s="21" t="n">
        <f aca="false">IF(ISBLANK(Actuals!J46),-1422.33*Escalation!$B$6,Actuals!J46)</f>
        <v>-840.61</v>
      </c>
      <c r="J228" s="21" t="n">
        <f aca="false">IF(ISBLANK(Actuals!K46),-1422.33*Escalation!$B$7,Actuals!K46)</f>
        <v>-1422.33</v>
      </c>
      <c r="K228" s="21" t="n">
        <f aca="false">IF(ISBLANK(Actuals!L46),-1422.33*Escalation!$B$8,Actuals!L46)</f>
        <v>-1422.33</v>
      </c>
      <c r="L228" s="21" t="n">
        <f aca="false">IF(ISBLANK(Actuals!M46),-1422.33*Escalation!$B$9,Actuals!M46)</f>
        <v>-1422.33</v>
      </c>
      <c r="M228" s="21" t="n">
        <f aca="false">IF(ISBLANK(Actuals!N46),-1422.33*Escalation!$B$10,Actuals!N46)</f>
        <v>-1422.33</v>
      </c>
      <c r="N228" s="21" t="n">
        <f aca="false">IF(ISBLANK(Actuals!O46),-1422.33*Escalation!$B$11,Actuals!O46)</f>
        <v>-1422.33</v>
      </c>
      <c r="O228" s="21" t="n">
        <f aca="false">IF(ISBLANK(Actuals!P46),-1422.33*Escalation!$B$12,Actuals!P46)</f>
        <v>-1422.33</v>
      </c>
      <c r="P228" s="21" t="n">
        <f aca="false">IF(ISBLANK(Actuals!Q46),-1422.33*Escalation!$B$13,Actuals!Q46)</f>
        <v>-1422.33</v>
      </c>
      <c r="Q228" s="21" t="n">
        <f aca="false">IF(ISBLANK(Actuals!R46),-1422.33*Escalation!$B$14,Actuals!R46)</f>
        <v>-1450.7766</v>
      </c>
      <c r="R228" s="21" t="n">
        <f aca="false">IF(ISBLANK(Actuals!S46),-1422.33*Escalation!$B$15,Actuals!S46)</f>
        <v>-1450.7766</v>
      </c>
      <c r="S228" s="21" t="n">
        <f aca="false">IF(ISBLANK(Actuals!T46),-1422.33*Escalation!$B$16,Actuals!T46)</f>
        <v>-1450.7766</v>
      </c>
      <c r="T228" s="21" t="n">
        <f aca="false">IF(ISBLANK(Actuals!U46),-1422.33*Escalation!$B$17,Actuals!U46)</f>
        <v>-1450.7766</v>
      </c>
      <c r="U228" s="21" t="n">
        <f aca="false">IF(ISBLANK(Actuals!V46),-1422.33*Escalation!$B$18,Actuals!V46)</f>
        <v>-1450.7766</v>
      </c>
      <c r="V228" s="21" t="n">
        <f aca="false">IF(ISBLANK(Actuals!W46),-1422.33*Escalation!$B$19,Actuals!W46)</f>
        <v>-1450.7766</v>
      </c>
      <c r="W228" s="21" t="n">
        <f aca="false">IF(ISBLANK(Actuals!X46),-1422.33*Escalation!$B$20,Actuals!X46)</f>
        <v>-1450.7766</v>
      </c>
      <c r="X228" s="21" t="n">
        <f aca="false">IF(ISBLANK(Actuals!Y46),-1422.33*Escalation!$B$21,Actuals!Y46)</f>
        <v>-1450.7766</v>
      </c>
      <c r="Y228" s="21" t="n">
        <f aca="false">IF(ISBLANK(Actuals!Z46),-1422.33*Escalation!$B$22,Actuals!Z46)</f>
        <v>-1450.7766</v>
      </c>
      <c r="Z228" s="21" t="n">
        <f aca="false">IF(ISBLANK(Actuals!AA46),-1422.33*Escalation!$B$23,Actuals!AA46)</f>
        <v>-1450.7766</v>
      </c>
      <c r="AA228" s="21" t="n">
        <f aca="false">IF(ISBLANK(Actuals!AB46),-1422.33*Escalation!$B$24,Actuals!AB46)</f>
        <v>-1450.7766</v>
      </c>
      <c r="AB228" s="21" t="n">
        <f aca="false">IF(ISBLANK(Actuals!AC46),-1422.33*Escalation!$B$25,Actuals!AC46)</f>
        <v>-1450.7766</v>
      </c>
      <c r="AC228" s="21" t="n">
        <f aca="false">IF(ISBLANK(Actuals!AD46),-1422.33*Escalation!$B$26,Actuals!AD46)</f>
        <v>-1479.792132</v>
      </c>
      <c r="AD228" s="21" t="n">
        <f aca="false">IF(ISBLANK(Actuals!AE46),-1422.33*Escalation!$B$27,Actuals!AE46)</f>
        <v>-1479.792132</v>
      </c>
      <c r="AE228" s="21" t="n">
        <f aca="false">IF(ISBLANK(Actuals!AF46),-1422.33*Escalation!$B$28,Actuals!AF46)</f>
        <v>-1479.792132</v>
      </c>
      <c r="AF228" s="21" t="n">
        <f aca="false">IF(ISBLANK(Actuals!AG46),-1422.33*Escalation!$B$29,Actuals!AG46)</f>
        <v>-1479.792132</v>
      </c>
      <c r="AG228" s="21" t="n">
        <f aca="false">IF(ISBLANK(Actuals!AH46),-1422.33*Escalation!$B$30,Actuals!AH46)</f>
        <v>-1479.792132</v>
      </c>
      <c r="AH228" s="21" t="n">
        <f aca="false">IF(ISBLANK(Actuals!AI46),-1422.33*Escalation!$B$31,Actuals!AI46)</f>
        <v>-1479.792132</v>
      </c>
      <c r="AI228" s="21" t="n">
        <f aca="false">IF(ISBLANK(Actuals!AJ46),-1422.33*Escalation!$B$32,Actuals!AJ46)</f>
        <v>-1479.792132</v>
      </c>
      <c r="AJ228" s="21" t="n">
        <f aca="false">IF(ISBLANK(Actuals!AK46),-1422.33*Escalation!$B$33,Actuals!AK46)</f>
        <v>-1479.792132</v>
      </c>
      <c r="AK228" s="21" t="n">
        <f aca="false">IF(ISBLANK(Actuals!AL46),-1422.33*Escalation!$B$34,Actuals!AL46)</f>
        <v>-1479.792132</v>
      </c>
      <c r="AL228" s="21" t="n">
        <f aca="false">IF(ISBLANK(Actuals!AM46),-1422.33*Escalation!$B$35,Actuals!AM46)</f>
        <v>-1479.792132</v>
      </c>
      <c r="AM228" s="21" t="n">
        <f aca="false">IF(ISBLANK(Actuals!AN46),-1422.33*Escalation!$B$36,Actuals!AN46)</f>
        <v>-1479.792132</v>
      </c>
      <c r="AN228" s="21" t="n">
        <f aca="false">IF(ISBLANK(Actuals!AO46),-1422.33*Escalation!$B$37,Actuals!AO46)</f>
        <v>-1479.792132</v>
      </c>
      <c r="AO228" s="21" t="n">
        <f aca="false">IF(ISBLANK(Actuals!AP46),-1422.33*Escalation!$B$38,Actuals!AP46)</f>
        <v>-1509.38797464</v>
      </c>
      <c r="AP228" s="21" t="n">
        <f aca="false">IF(ISBLANK(Actuals!AQ46),-1422.33*Escalation!$B$39,Actuals!AQ46)</f>
        <v>-1509.38797464</v>
      </c>
      <c r="AQ228" s="21" t="n">
        <f aca="false">IF(ISBLANK(Actuals!AR46),-1422.33*Escalation!$B$40,Actuals!AR46)</f>
        <v>-1509.38797464</v>
      </c>
      <c r="AR228" s="21" t="n">
        <f aca="false">IF(ISBLANK(Actuals!AS46),-1422.33*Escalation!$B$41,Actuals!AS46)</f>
        <v>-1509.38797464</v>
      </c>
      <c r="AS228" s="21" t="n">
        <f aca="false">IF(ISBLANK(Actuals!AT46),-1422.33*Escalation!$B$42,Actuals!AT46)</f>
        <v>-1509.38797464</v>
      </c>
      <c r="AT228" s="21" t="n">
        <f aca="false">IF(ISBLANK(Actuals!AU46),-1422.33*Escalation!$B$43,Actuals!AU46)</f>
        <v>-1509.38797464</v>
      </c>
      <c r="AU228" s="21" t="n">
        <f aca="false">IF(ISBLANK(Actuals!AV46),-1422.33*Escalation!$B$44,Actuals!AV46)</f>
        <v>-1509.38797464</v>
      </c>
      <c r="AV228" s="21" t="n">
        <f aca="false">IF(ISBLANK(Actuals!AW46),-1422.33*Escalation!$B$45,Actuals!AW46)</f>
        <v>-1509.38797464</v>
      </c>
      <c r="AW228" s="21" t="n">
        <f aca="false">IF(ISBLANK(Actuals!AX46),-1422.33*Escalation!$B$46,Actuals!AX46)</f>
        <v>-1509.38797464</v>
      </c>
      <c r="AX228" s="21" t="n">
        <f aca="false">IF(ISBLANK(Actuals!AY46),-1422.33*Escalation!$B$47,Actuals!AY46)</f>
        <v>-1509.38797464</v>
      </c>
      <c r="AY228" s="21" t="n">
        <f aca="false">IF(ISBLANK(Actuals!AZ46),-1422.33*Escalation!$B$48,Actuals!AZ46)</f>
        <v>-1509.38797464</v>
      </c>
      <c r="AZ228" s="21" t="n">
        <f aca="false">IF(ISBLANK(Actuals!BA46),-1422.33*Escalation!$B$49,Actuals!BA46)</f>
        <v>-1509.38797464</v>
      </c>
      <c r="BA228" s="21" t="n">
        <f aca="false">IF(ISBLANK(Actuals!BB46),-1422.33*Escalation!$B$50,Actuals!BB46)</f>
        <v>-1539.5757341328</v>
      </c>
      <c r="BB228" s="21" t="n">
        <f aca="false">IF(ISBLANK(Actuals!BC46),-1422.33*Escalation!$B$51,Actuals!BC46)</f>
        <v>-1539.5757341328</v>
      </c>
      <c r="BC228" s="21" t="n">
        <f aca="false">IF(ISBLANK(Actuals!BD46),-1422.33*Escalation!$B$52,Actuals!BD46)</f>
        <v>-1539.5757341328</v>
      </c>
      <c r="BD228" s="21" t="n">
        <f aca="false">IF(ISBLANK(Actuals!BE46),-1422.33*Escalation!$B$53,Actuals!BE46)</f>
        <v>-1539.5757341328</v>
      </c>
      <c r="BE228" s="21" t="n">
        <f aca="false">IF(ISBLANK(Actuals!BF46),-1422.33*Escalation!$B$54,Actuals!BF46)</f>
        <v>-1539.5757341328</v>
      </c>
      <c r="BF228" s="21" t="n">
        <f aca="false">IF(ISBLANK(Actuals!BG46),-1422.33*Escalation!$B$55,Actuals!BG46)</f>
        <v>-1539.5757341328</v>
      </c>
      <c r="BG228" s="21" t="n">
        <f aca="false">IF(ISBLANK(Actuals!BH46),-1422.33*Escalation!$B$56,Actuals!BH46)</f>
        <v>-1539.5757341328</v>
      </c>
      <c r="BH228" s="21" t="n">
        <f aca="false">IF(ISBLANK(Actuals!BI46),-1422.33*Escalation!$B$57,Actuals!BI46)</f>
        <v>-1539.5757341328</v>
      </c>
      <c r="BI228" s="21" t="n">
        <f aca="false">IF(ISBLANK(Actuals!BJ46),-1422.33*Escalation!$B$58,Actuals!BJ46)</f>
        <v>-1539.5757341328</v>
      </c>
      <c r="BJ228" s="21" t="n">
        <f aca="false">IF(ISBLANK(Actuals!BK46),-1422.33*Escalation!$B$59,Actuals!BK46)</f>
        <v>-1539.5757341328</v>
      </c>
      <c r="BK228" s="21" t="n">
        <f aca="false">IF(ISBLANK(Actuals!BL46),-1422.33*Escalation!$B$60,Actuals!BL46)</f>
        <v>-1539.5757341328</v>
      </c>
      <c r="BL228" s="21" t="n">
        <f aca="false">IF(ISBLANK(Actuals!BM46),-1422.33*Escalation!$B$61,Actuals!BM46)</f>
        <v>-1539.5757341328</v>
      </c>
      <c r="BM228" s="21" t="n">
        <f aca="false">IF(ISBLANK(Actuals!BN46),-1422.33*Escalation!$B$62,Actuals!BN46)</f>
        <v>-1570.36724881546</v>
      </c>
      <c r="BN228" s="21" t="n">
        <f aca="false">IF(ISBLANK(Actuals!BO46),-1422.33*Escalation!$B$63,Actuals!BO46)</f>
        <v>-1570.36724881546</v>
      </c>
      <c r="BO228" s="21" t="n">
        <f aca="false">IF(ISBLANK(Actuals!BP46),-1422.33*Escalation!$B$64,Actuals!BP46)</f>
        <v>-1570.36724881546</v>
      </c>
      <c r="BP228" s="21" t="n">
        <f aca="false">IF(ISBLANK(Actuals!BQ46),-1422.33*Escalation!$B$65,Actuals!BQ46)</f>
        <v>-1570.36724881546</v>
      </c>
      <c r="BQ228" s="21" t="n">
        <f aca="false">IF(ISBLANK(Actuals!BR46),-1422.33*Escalation!$B$66,Actuals!BR46)</f>
        <v>-1570.36724881546</v>
      </c>
      <c r="BR228" s="21" t="n">
        <f aca="false">IF(ISBLANK(Actuals!BS46),-1422.33*Escalation!$B$67,Actuals!BS46)</f>
        <v>-1570.36724881546</v>
      </c>
      <c r="BS228" s="21" t="n">
        <f aca="false">IF(ISBLANK(Actuals!BT46),-1422.33*Escalation!$B$68,Actuals!BT46)</f>
        <v>-1570.36724881546</v>
      </c>
      <c r="BT228" s="21" t="n">
        <f aca="false">IF(ISBLANK(Actuals!BU46),-1422.33*Escalation!$B$69,Actuals!BU46)</f>
        <v>-1570.36724881546</v>
      </c>
      <c r="BU228" s="21" t="n">
        <f aca="false">IF(ISBLANK(Actuals!BV46),-1422.33*Escalation!$B$70,Actuals!BV46)</f>
        <v>-1570.36724881546</v>
      </c>
      <c r="BV228" s="21" t="n">
        <f aca="false">IF(ISBLANK(Actuals!BW46),-1422.33*Escalation!$B$71,Actuals!BW46)</f>
        <v>-1570.36724881546</v>
      </c>
      <c r="BW228" s="21" t="n">
        <f aca="false">IF(ISBLANK(Actuals!BX46),-1422.33*Escalation!$B$72,Actuals!BX46)</f>
        <v>-1570.36724881546</v>
      </c>
      <c r="BX228" s="21" t="n">
        <f aca="false">IF(ISBLANK(Actuals!BY46),-1422.33*Escalation!$B$73,Actuals!BY46)</f>
        <v>-1570.36724881546</v>
      </c>
      <c r="BY228" s="21" t="n">
        <f aca="false">IF(ISBLANK(Actuals!BZ46),-1422.33*Escalation!$B$74,Actuals!BZ46)</f>
        <v>-1601.77459379177</v>
      </c>
      <c r="BZ228" s="21" t="n">
        <f aca="false">IF(ISBLANK(Actuals!CA46),-1422.33*Escalation!$B$75,Actuals!CA46)</f>
        <v>-1601.77459379177</v>
      </c>
      <c r="CA228" s="21" t="n">
        <f aca="false">IF(ISBLANK(Actuals!CB46),-1422.33*Escalation!$B$76,Actuals!CB46)</f>
        <v>-1601.77459379177</v>
      </c>
      <c r="CB228" s="21" t="n">
        <f aca="false">IF(ISBLANK(Actuals!CC46),-1422.33*Escalation!$B$77,Actuals!CC46)</f>
        <v>-1601.77459379177</v>
      </c>
      <c r="CC228" s="21" t="n">
        <f aca="false">IF(ISBLANK(Actuals!CD46),-1422.33*Escalation!$B$78,Actuals!CD46)</f>
        <v>-1601.77459379177</v>
      </c>
      <c r="CD228" s="21" t="n">
        <f aca="false">IF(ISBLANK(Actuals!CE46),-1422.33*Escalation!$B$79,Actuals!CE46)</f>
        <v>-1601.77459379177</v>
      </c>
      <c r="CE228" s="21" t="n">
        <f aca="false">IF(ISBLANK(Actuals!CF46),-1422.33*Escalation!$B$80,Actuals!CF46)</f>
        <v>-1601.77459379177</v>
      </c>
      <c r="CF228" s="21" t="n">
        <f aca="false">IF(ISBLANK(Actuals!CG46),-1422.33*Escalation!$B$81,Actuals!CG46)</f>
        <v>-1601.77459379177</v>
      </c>
      <c r="CG228" s="21" t="n">
        <f aca="false">IF(ISBLANK(Actuals!CH46),-1422.33*Escalation!$B$82,Actuals!CH46)</f>
        <v>-1601.77459379177</v>
      </c>
      <c r="CH228" s="21" t="n">
        <f aca="false">IF(ISBLANK(Actuals!CI46),-1422.33*Escalation!$B$83,Actuals!CI46)</f>
        <v>-1601.77459379177</v>
      </c>
      <c r="CI228" s="21" t="n">
        <f aca="false">IF(ISBLANK(Actuals!CJ46),-1422.33*Escalation!$B$84,Actuals!CJ46)</f>
        <v>-1601.77459379177</v>
      </c>
      <c r="CJ228" s="21" t="n">
        <f aca="false">IF(ISBLANK(Actuals!CK46),-1422.33*Escalation!$B$85,Actuals!CK46)</f>
        <v>-1601.77459379177</v>
      </c>
      <c r="CK228" s="21" t="n">
        <f aca="false">IF(ISBLANK(Actuals!CL46),-1422.33*Escalation!$B$86,Actuals!CL46)</f>
        <v>-1633.8100856676</v>
      </c>
      <c r="CL228" s="21" t="n">
        <f aca="false">IF(ISBLANK(Actuals!CM46),-1422.33*Escalation!$B$87,Actuals!CM46)</f>
        <v>-1633.8100856676</v>
      </c>
      <c r="CM228" s="21" t="n">
        <f aca="false">IF(ISBLANK(Actuals!CN46),-1422.33*Escalation!$B$88,Actuals!CN46)</f>
        <v>-1633.8100856676</v>
      </c>
      <c r="CN228" s="21" t="n">
        <f aca="false">IF(ISBLANK(Actuals!CO46),-1422.33*Escalation!$B$89,Actuals!CO46)</f>
        <v>-1633.8100856676</v>
      </c>
      <c r="CO228" s="21" t="n">
        <f aca="false">IF(ISBLANK(Actuals!CP46),-1422.33*Escalation!$B$90,Actuals!CP46)</f>
        <v>-1633.8100856676</v>
      </c>
      <c r="CP228" s="21" t="n">
        <f aca="false">IF(ISBLANK(Actuals!CQ46),-1422.33*Escalation!$B$91,Actuals!CQ46)</f>
        <v>-1633.8100856676</v>
      </c>
      <c r="CQ228" s="21" t="n">
        <f aca="false">IF(ISBLANK(Actuals!CR46),-1422.33*Escalation!$B$92,Actuals!CR46)</f>
        <v>-1633.8100856676</v>
      </c>
      <c r="CR228" s="21" t="n">
        <f aca="false">IF(ISBLANK(Actuals!CS46),-1422.33*Escalation!$B$93,Actuals!CS46)</f>
        <v>-1633.8100856676</v>
      </c>
      <c r="CS228" s="21" t="n">
        <f aca="false">IF(ISBLANK(Actuals!CT46),-1422.33*Escalation!$B$94,Actuals!CT46)</f>
        <v>-1633.8100856676</v>
      </c>
      <c r="CT228" s="21" t="n">
        <f aca="false">IF(ISBLANK(Actuals!CU46),-1422.33*Escalation!$B$95,Actuals!CU46)</f>
        <v>-1633.8100856676</v>
      </c>
      <c r="CU228" s="21" t="n">
        <f aca="false">IF(ISBLANK(Actuals!CV46),-1422.33*Escalation!$B$96,Actuals!CV46)</f>
        <v>-1633.8100856676</v>
      </c>
      <c r="CV228" s="21" t="n">
        <f aca="false">IF(ISBLANK(Actuals!CW46),-1422.33*Escalation!$B$97,Actuals!CW46)</f>
        <v>-1633.8100856676</v>
      </c>
      <c r="CW228" s="21" t="n">
        <f aca="false">IF(ISBLANK(Actuals!CX46),-1422.33*Escalation!$B$98,Actuals!CX46)</f>
        <v>-1666.48628738095</v>
      </c>
      <c r="CX228" s="21" t="n">
        <f aca="false">IF(ISBLANK(Actuals!CY46),-1422.33*Escalation!$B$99,Actuals!CY46)</f>
        <v>-1666.48628738095</v>
      </c>
      <c r="CY228" s="21" t="n">
        <f aca="false">IF(ISBLANK(Actuals!CZ46),-1422.33*Escalation!$B$100,Actuals!CZ46)</f>
        <v>-1666.48628738095</v>
      </c>
      <c r="CZ228" s="21" t="n">
        <f aca="false">IF(ISBLANK(Actuals!DA46),-1422.33*Escalation!$B$101,Actuals!DA46)</f>
        <v>-1666.48628738095</v>
      </c>
      <c r="DA228" s="21" t="n">
        <f aca="false">IF(ISBLANK(Actuals!DB46),-1422.33*Escalation!$B$102,Actuals!DB46)</f>
        <v>-1666.48628738095</v>
      </c>
      <c r="DB228" s="21" t="n">
        <f aca="false">IF(ISBLANK(Actuals!DC46),-1422.33*Escalation!$B$103,Actuals!DC46)</f>
        <v>-1666.48628738095</v>
      </c>
      <c r="DC228" s="21" t="n">
        <f aca="false">IF(ISBLANK(Actuals!DD46),-1422.33*Escalation!$B$104,Actuals!DD46)</f>
        <v>-1666.48628738095</v>
      </c>
      <c r="DD228" s="21" t="n">
        <f aca="false">IF(ISBLANK(Actuals!DE46),-1422.33*Escalation!$B$105,Actuals!DE46)</f>
        <v>-1666.48628738095</v>
      </c>
      <c r="DE228" s="21" t="n">
        <f aca="false">IF(ISBLANK(Actuals!DF46),-1422.33*Escalation!$B$106,Actuals!DF46)</f>
        <v>-1666.48628738095</v>
      </c>
    </row>
    <row r="229" customFormat="false" ht="15" hidden="false" customHeight="true" outlineLevel="0" collapsed="false">
      <c r="A229" s="35" t="s">
        <v>90</v>
      </c>
      <c r="B229" s="21" t="n">
        <f aca="false">IF(ISBLANK(Actuals!C47),0,Actuals!C47)</f>
        <v>-320</v>
      </c>
      <c r="C229" s="21" t="n">
        <f aca="false">IF(ISBLANK(Actuals!D47),0,Actuals!D47)</f>
        <v>-160</v>
      </c>
      <c r="D229" s="21" t="n">
        <f aca="false">IF(ISBLANK(Actuals!E47),0,Actuals!E47)</f>
        <v>0</v>
      </c>
      <c r="E229" s="21" t="n">
        <f aca="false">IF(ISBLANK(Actuals!F47),-160*Escalation!$B$2,Actuals!F47)</f>
        <v>0</v>
      </c>
      <c r="F229" s="21" t="n">
        <f aca="false">IF(ISBLANK(Actuals!G47),-160*Escalation!$B$3,Actuals!G47)</f>
        <v>-320</v>
      </c>
      <c r="G229" s="21" t="n">
        <f aca="false">IF(ISBLANK(Actuals!H47),-160*Escalation!$B$4,Actuals!H47)</f>
        <v>-320</v>
      </c>
      <c r="H229" s="21" t="n">
        <f aca="false">IF(ISBLANK(Actuals!I47),-160*Escalation!$B$5,Actuals!I47)</f>
        <v>0</v>
      </c>
      <c r="I229" s="21" t="n">
        <f aca="false">IF(ISBLANK(Actuals!J47),-160*Escalation!$B$6,Actuals!J47)</f>
        <v>-160</v>
      </c>
      <c r="J229" s="21" t="n">
        <f aca="false">IF(ISBLANK(Actuals!K47),-160*Escalation!$B$7,Actuals!K47)</f>
        <v>-160</v>
      </c>
      <c r="K229" s="21" t="n">
        <f aca="false">IF(ISBLANK(Actuals!L47),-160*Escalation!$B$8,Actuals!L47)</f>
        <v>-160</v>
      </c>
      <c r="L229" s="21" t="n">
        <f aca="false">IF(ISBLANK(Actuals!M47),-160*Escalation!$B$9,Actuals!M47)</f>
        <v>-160</v>
      </c>
      <c r="M229" s="21" t="n">
        <f aca="false">IF(ISBLANK(Actuals!N47),-160*Escalation!$B$10,Actuals!N47)</f>
        <v>-160</v>
      </c>
      <c r="N229" s="21" t="n">
        <f aca="false">IF(ISBLANK(Actuals!O47),-160*Escalation!$B$11,Actuals!O47)</f>
        <v>-160</v>
      </c>
      <c r="O229" s="21" t="n">
        <f aca="false">IF(ISBLANK(Actuals!P47),-160*Escalation!$B$12,Actuals!P47)</f>
        <v>-160</v>
      </c>
      <c r="P229" s="21" t="n">
        <f aca="false">IF(ISBLANK(Actuals!Q47),-160*Escalation!$B$13,Actuals!Q47)</f>
        <v>-160</v>
      </c>
      <c r="Q229" s="21" t="n">
        <f aca="false">IF(ISBLANK(Actuals!R47),-160*Escalation!$B$14,Actuals!R47)</f>
        <v>-163.2</v>
      </c>
      <c r="R229" s="21" t="n">
        <f aca="false">IF(ISBLANK(Actuals!S47),-160*Escalation!$B$15,Actuals!S47)</f>
        <v>-163.2</v>
      </c>
      <c r="S229" s="21" t="n">
        <f aca="false">IF(ISBLANK(Actuals!T47),-160*Escalation!$B$16,Actuals!T47)</f>
        <v>-163.2</v>
      </c>
      <c r="T229" s="21" t="n">
        <f aca="false">IF(ISBLANK(Actuals!U47),-160*Escalation!$B$17,Actuals!U47)</f>
        <v>-163.2</v>
      </c>
      <c r="U229" s="21" t="n">
        <f aca="false">IF(ISBLANK(Actuals!V47),-160*Escalation!$B$18,Actuals!V47)</f>
        <v>-163.2</v>
      </c>
      <c r="V229" s="21" t="n">
        <f aca="false">IF(ISBLANK(Actuals!W47),-160*Escalation!$B$19,Actuals!W47)</f>
        <v>-163.2</v>
      </c>
      <c r="W229" s="21" t="n">
        <f aca="false">IF(ISBLANK(Actuals!X47),-160*Escalation!$B$20,Actuals!X47)</f>
        <v>-163.2</v>
      </c>
      <c r="X229" s="21" t="n">
        <f aca="false">IF(ISBLANK(Actuals!Y47),-160*Escalation!$B$21,Actuals!Y47)</f>
        <v>-163.2</v>
      </c>
      <c r="Y229" s="21" t="n">
        <f aca="false">IF(ISBLANK(Actuals!Z47),-160*Escalation!$B$22,Actuals!Z47)</f>
        <v>-163.2</v>
      </c>
      <c r="Z229" s="21" t="n">
        <f aca="false">IF(ISBLANK(Actuals!AA47),-160*Escalation!$B$23,Actuals!AA47)</f>
        <v>-163.2</v>
      </c>
      <c r="AA229" s="21" t="n">
        <f aca="false">IF(ISBLANK(Actuals!AB47),-160*Escalation!$B$24,Actuals!AB47)</f>
        <v>-163.2</v>
      </c>
      <c r="AB229" s="21" t="n">
        <f aca="false">IF(ISBLANK(Actuals!AC47),-160*Escalation!$B$25,Actuals!AC47)</f>
        <v>-163.2</v>
      </c>
      <c r="AC229" s="21" t="n">
        <f aca="false">IF(ISBLANK(Actuals!AD47),-160*Escalation!$B$26,Actuals!AD47)</f>
        <v>-166.464</v>
      </c>
      <c r="AD229" s="21" t="n">
        <f aca="false">IF(ISBLANK(Actuals!AE47),-160*Escalation!$B$27,Actuals!AE47)</f>
        <v>-166.464</v>
      </c>
      <c r="AE229" s="21" t="n">
        <f aca="false">IF(ISBLANK(Actuals!AF47),-160*Escalation!$B$28,Actuals!AF47)</f>
        <v>-166.464</v>
      </c>
      <c r="AF229" s="21" t="n">
        <f aca="false">IF(ISBLANK(Actuals!AG47),-160*Escalation!$B$29,Actuals!AG47)</f>
        <v>-166.464</v>
      </c>
      <c r="AG229" s="21" t="n">
        <f aca="false">IF(ISBLANK(Actuals!AH47),-160*Escalation!$B$30,Actuals!AH47)</f>
        <v>-166.464</v>
      </c>
      <c r="AH229" s="21" t="n">
        <f aca="false">IF(ISBLANK(Actuals!AI47),-160*Escalation!$B$31,Actuals!AI47)</f>
        <v>-166.464</v>
      </c>
      <c r="AI229" s="21" t="n">
        <f aca="false">IF(ISBLANK(Actuals!AJ47),-160*Escalation!$B$32,Actuals!AJ47)</f>
        <v>-166.464</v>
      </c>
      <c r="AJ229" s="21" t="n">
        <f aca="false">IF(ISBLANK(Actuals!AK47),-160*Escalation!$B$33,Actuals!AK47)</f>
        <v>-166.464</v>
      </c>
      <c r="AK229" s="21" t="n">
        <f aca="false">IF(ISBLANK(Actuals!AL47),-160*Escalation!$B$34,Actuals!AL47)</f>
        <v>-166.464</v>
      </c>
      <c r="AL229" s="21" t="n">
        <f aca="false">IF(ISBLANK(Actuals!AM47),-160*Escalation!$B$35,Actuals!AM47)</f>
        <v>-166.464</v>
      </c>
      <c r="AM229" s="21" t="n">
        <f aca="false">IF(ISBLANK(Actuals!AN47),-160*Escalation!$B$36,Actuals!AN47)</f>
        <v>-166.464</v>
      </c>
      <c r="AN229" s="21" t="n">
        <f aca="false">IF(ISBLANK(Actuals!AO47),-160*Escalation!$B$37,Actuals!AO47)</f>
        <v>-166.464</v>
      </c>
      <c r="AO229" s="21" t="n">
        <f aca="false">IF(ISBLANK(Actuals!AP47),-160*Escalation!$B$38,Actuals!AP47)</f>
        <v>-169.79328</v>
      </c>
      <c r="AP229" s="21" t="n">
        <f aca="false">IF(ISBLANK(Actuals!AQ47),-160*Escalation!$B$39,Actuals!AQ47)</f>
        <v>-169.79328</v>
      </c>
      <c r="AQ229" s="21" t="n">
        <f aca="false">IF(ISBLANK(Actuals!AR47),-160*Escalation!$B$40,Actuals!AR47)</f>
        <v>-169.79328</v>
      </c>
      <c r="AR229" s="21" t="n">
        <f aca="false">IF(ISBLANK(Actuals!AS47),-160*Escalation!$B$41,Actuals!AS47)</f>
        <v>-169.79328</v>
      </c>
      <c r="AS229" s="21" t="n">
        <f aca="false">IF(ISBLANK(Actuals!AT47),-160*Escalation!$B$42,Actuals!AT47)</f>
        <v>-169.79328</v>
      </c>
      <c r="AT229" s="21" t="n">
        <f aca="false">IF(ISBLANK(Actuals!AU47),-160*Escalation!$B$43,Actuals!AU47)</f>
        <v>-169.79328</v>
      </c>
      <c r="AU229" s="21" t="n">
        <f aca="false">IF(ISBLANK(Actuals!AV47),-160*Escalation!$B$44,Actuals!AV47)</f>
        <v>-169.79328</v>
      </c>
      <c r="AV229" s="21" t="n">
        <f aca="false">IF(ISBLANK(Actuals!AW47),-160*Escalation!$B$45,Actuals!AW47)</f>
        <v>-169.79328</v>
      </c>
      <c r="AW229" s="21" t="n">
        <f aca="false">IF(ISBLANK(Actuals!AX47),-160*Escalation!$B$46,Actuals!AX47)</f>
        <v>-169.79328</v>
      </c>
      <c r="AX229" s="21" t="n">
        <f aca="false">IF(ISBLANK(Actuals!AY47),-160*Escalation!$B$47,Actuals!AY47)</f>
        <v>-169.79328</v>
      </c>
      <c r="AY229" s="21" t="n">
        <f aca="false">IF(ISBLANK(Actuals!AZ47),-160*Escalation!$B$48,Actuals!AZ47)</f>
        <v>-169.79328</v>
      </c>
      <c r="AZ229" s="21" t="n">
        <f aca="false">IF(ISBLANK(Actuals!BA47),-160*Escalation!$B$49,Actuals!BA47)</f>
        <v>-169.79328</v>
      </c>
      <c r="BA229" s="21" t="n">
        <f aca="false">IF(ISBLANK(Actuals!BB47),-160*Escalation!$B$50,Actuals!BB47)</f>
        <v>-173.1891456</v>
      </c>
      <c r="BB229" s="21" t="n">
        <f aca="false">IF(ISBLANK(Actuals!BC47),-160*Escalation!$B$51,Actuals!BC47)</f>
        <v>-173.1891456</v>
      </c>
      <c r="BC229" s="21" t="n">
        <f aca="false">IF(ISBLANK(Actuals!BD47),-160*Escalation!$B$52,Actuals!BD47)</f>
        <v>-173.1891456</v>
      </c>
      <c r="BD229" s="21" t="n">
        <f aca="false">IF(ISBLANK(Actuals!BE47),-160*Escalation!$B$53,Actuals!BE47)</f>
        <v>-173.1891456</v>
      </c>
      <c r="BE229" s="21" t="n">
        <f aca="false">IF(ISBLANK(Actuals!BF47),-160*Escalation!$B$54,Actuals!BF47)</f>
        <v>-173.1891456</v>
      </c>
      <c r="BF229" s="21" t="n">
        <f aca="false">IF(ISBLANK(Actuals!BG47),-160*Escalation!$B$55,Actuals!BG47)</f>
        <v>-173.1891456</v>
      </c>
      <c r="BG229" s="21" t="n">
        <f aca="false">IF(ISBLANK(Actuals!BH47),-160*Escalation!$B$56,Actuals!BH47)</f>
        <v>-173.1891456</v>
      </c>
      <c r="BH229" s="21" t="n">
        <f aca="false">IF(ISBLANK(Actuals!BI47),-160*Escalation!$B$57,Actuals!BI47)</f>
        <v>-173.1891456</v>
      </c>
      <c r="BI229" s="21" t="n">
        <f aca="false">IF(ISBLANK(Actuals!BJ47),-160*Escalation!$B$58,Actuals!BJ47)</f>
        <v>-173.1891456</v>
      </c>
      <c r="BJ229" s="21" t="n">
        <f aca="false">IF(ISBLANK(Actuals!BK47),-160*Escalation!$B$59,Actuals!BK47)</f>
        <v>-173.1891456</v>
      </c>
      <c r="BK229" s="21" t="n">
        <f aca="false">IF(ISBLANK(Actuals!BL47),-160*Escalation!$B$60,Actuals!BL47)</f>
        <v>-173.1891456</v>
      </c>
      <c r="BL229" s="21" t="n">
        <f aca="false">IF(ISBLANK(Actuals!BM47),-160*Escalation!$B$61,Actuals!BM47)</f>
        <v>-173.1891456</v>
      </c>
      <c r="BM229" s="21" t="n">
        <f aca="false">IF(ISBLANK(Actuals!BN47),-160*Escalation!$B$62,Actuals!BN47)</f>
        <v>-176.652928512</v>
      </c>
      <c r="BN229" s="21" t="n">
        <f aca="false">IF(ISBLANK(Actuals!BO47),-160*Escalation!$B$63,Actuals!BO47)</f>
        <v>-176.652928512</v>
      </c>
      <c r="BO229" s="21" t="n">
        <f aca="false">IF(ISBLANK(Actuals!BP47),-160*Escalation!$B$64,Actuals!BP47)</f>
        <v>-176.652928512</v>
      </c>
      <c r="BP229" s="21" t="n">
        <f aca="false">IF(ISBLANK(Actuals!BQ47),-160*Escalation!$B$65,Actuals!BQ47)</f>
        <v>-176.652928512</v>
      </c>
      <c r="BQ229" s="21" t="n">
        <f aca="false">IF(ISBLANK(Actuals!BR47),-160*Escalation!$B$66,Actuals!BR47)</f>
        <v>-176.652928512</v>
      </c>
      <c r="BR229" s="21" t="n">
        <f aca="false">IF(ISBLANK(Actuals!BS47),-160*Escalation!$B$67,Actuals!BS47)</f>
        <v>-176.652928512</v>
      </c>
      <c r="BS229" s="21" t="n">
        <f aca="false">IF(ISBLANK(Actuals!BT47),-160*Escalation!$B$68,Actuals!BT47)</f>
        <v>-176.652928512</v>
      </c>
      <c r="BT229" s="21" t="n">
        <f aca="false">IF(ISBLANK(Actuals!BU47),-160*Escalation!$B$69,Actuals!BU47)</f>
        <v>-176.652928512</v>
      </c>
      <c r="BU229" s="21" t="n">
        <f aca="false">IF(ISBLANK(Actuals!BV47),-160*Escalation!$B$70,Actuals!BV47)</f>
        <v>-176.652928512</v>
      </c>
      <c r="BV229" s="21" t="n">
        <f aca="false">IF(ISBLANK(Actuals!BW47),-160*Escalation!$B$71,Actuals!BW47)</f>
        <v>-176.652928512</v>
      </c>
      <c r="BW229" s="21" t="n">
        <f aca="false">IF(ISBLANK(Actuals!BX47),-160*Escalation!$B$72,Actuals!BX47)</f>
        <v>-176.652928512</v>
      </c>
      <c r="BX229" s="21" t="n">
        <f aca="false">IF(ISBLANK(Actuals!BY47),-160*Escalation!$B$73,Actuals!BY47)</f>
        <v>-176.652928512</v>
      </c>
      <c r="BY229" s="21" t="n">
        <f aca="false">IF(ISBLANK(Actuals!BZ47),-160*Escalation!$B$74,Actuals!BZ47)</f>
        <v>-180.18598708224</v>
      </c>
      <c r="BZ229" s="21" t="n">
        <f aca="false">IF(ISBLANK(Actuals!CA47),-160*Escalation!$B$75,Actuals!CA47)</f>
        <v>-180.18598708224</v>
      </c>
      <c r="CA229" s="21" t="n">
        <f aca="false">IF(ISBLANK(Actuals!CB47),-160*Escalation!$B$76,Actuals!CB47)</f>
        <v>-180.18598708224</v>
      </c>
      <c r="CB229" s="21" t="n">
        <f aca="false">IF(ISBLANK(Actuals!CC47),-160*Escalation!$B$77,Actuals!CC47)</f>
        <v>-180.18598708224</v>
      </c>
      <c r="CC229" s="21" t="n">
        <f aca="false">IF(ISBLANK(Actuals!CD47),-160*Escalation!$B$78,Actuals!CD47)</f>
        <v>-180.18598708224</v>
      </c>
      <c r="CD229" s="21" t="n">
        <f aca="false">IF(ISBLANK(Actuals!CE47),-160*Escalation!$B$79,Actuals!CE47)</f>
        <v>-180.18598708224</v>
      </c>
      <c r="CE229" s="21" t="n">
        <f aca="false">IF(ISBLANK(Actuals!CF47),-160*Escalation!$B$80,Actuals!CF47)</f>
        <v>-180.18598708224</v>
      </c>
      <c r="CF229" s="21" t="n">
        <f aca="false">IF(ISBLANK(Actuals!CG47),-160*Escalation!$B$81,Actuals!CG47)</f>
        <v>-180.18598708224</v>
      </c>
      <c r="CG229" s="21" t="n">
        <f aca="false">IF(ISBLANK(Actuals!CH47),-160*Escalation!$B$82,Actuals!CH47)</f>
        <v>-180.18598708224</v>
      </c>
      <c r="CH229" s="21" t="n">
        <f aca="false">IF(ISBLANK(Actuals!CI47),-160*Escalation!$B$83,Actuals!CI47)</f>
        <v>-180.18598708224</v>
      </c>
      <c r="CI229" s="21" t="n">
        <f aca="false">IF(ISBLANK(Actuals!CJ47),-160*Escalation!$B$84,Actuals!CJ47)</f>
        <v>-180.18598708224</v>
      </c>
      <c r="CJ229" s="21" t="n">
        <f aca="false">IF(ISBLANK(Actuals!CK47),-160*Escalation!$B$85,Actuals!CK47)</f>
        <v>-180.18598708224</v>
      </c>
      <c r="CK229" s="21" t="n">
        <f aca="false">IF(ISBLANK(Actuals!CL47),-160*Escalation!$B$86,Actuals!CL47)</f>
        <v>-183.789706823885</v>
      </c>
      <c r="CL229" s="21" t="n">
        <f aca="false">IF(ISBLANK(Actuals!CM47),-160*Escalation!$B$87,Actuals!CM47)</f>
        <v>-183.789706823885</v>
      </c>
      <c r="CM229" s="21" t="n">
        <f aca="false">IF(ISBLANK(Actuals!CN47),-160*Escalation!$B$88,Actuals!CN47)</f>
        <v>-183.789706823885</v>
      </c>
      <c r="CN229" s="21" t="n">
        <f aca="false">IF(ISBLANK(Actuals!CO47),-160*Escalation!$B$89,Actuals!CO47)</f>
        <v>-183.789706823885</v>
      </c>
      <c r="CO229" s="21" t="n">
        <f aca="false">IF(ISBLANK(Actuals!CP47),-160*Escalation!$B$90,Actuals!CP47)</f>
        <v>-183.789706823885</v>
      </c>
      <c r="CP229" s="21" t="n">
        <f aca="false">IF(ISBLANK(Actuals!CQ47),-160*Escalation!$B$91,Actuals!CQ47)</f>
        <v>-183.789706823885</v>
      </c>
      <c r="CQ229" s="21" t="n">
        <f aca="false">IF(ISBLANK(Actuals!CR47),-160*Escalation!$B$92,Actuals!CR47)</f>
        <v>-183.789706823885</v>
      </c>
      <c r="CR229" s="21" t="n">
        <f aca="false">IF(ISBLANK(Actuals!CS47),-160*Escalation!$B$93,Actuals!CS47)</f>
        <v>-183.789706823885</v>
      </c>
      <c r="CS229" s="21" t="n">
        <f aca="false">IF(ISBLANK(Actuals!CT47),-160*Escalation!$B$94,Actuals!CT47)</f>
        <v>-183.789706823885</v>
      </c>
      <c r="CT229" s="21" t="n">
        <f aca="false">IF(ISBLANK(Actuals!CU47),-160*Escalation!$B$95,Actuals!CU47)</f>
        <v>-183.789706823885</v>
      </c>
      <c r="CU229" s="21" t="n">
        <f aca="false">IF(ISBLANK(Actuals!CV47),-160*Escalation!$B$96,Actuals!CV47)</f>
        <v>-183.789706823885</v>
      </c>
      <c r="CV229" s="21" t="n">
        <f aca="false">IF(ISBLANK(Actuals!CW47),-160*Escalation!$B$97,Actuals!CW47)</f>
        <v>-183.789706823885</v>
      </c>
      <c r="CW229" s="21" t="n">
        <f aca="false">IF(ISBLANK(Actuals!CX47),-160*Escalation!$B$98,Actuals!CX47)</f>
        <v>-187.465500960363</v>
      </c>
      <c r="CX229" s="21" t="n">
        <f aca="false">IF(ISBLANK(Actuals!CY47),-160*Escalation!$B$99,Actuals!CY47)</f>
        <v>-187.465500960363</v>
      </c>
      <c r="CY229" s="21" t="n">
        <f aca="false">IF(ISBLANK(Actuals!CZ47),-160*Escalation!$B$100,Actuals!CZ47)</f>
        <v>-187.465500960363</v>
      </c>
      <c r="CZ229" s="21" t="n">
        <f aca="false">IF(ISBLANK(Actuals!DA47),-160*Escalation!$B$101,Actuals!DA47)</f>
        <v>-187.465500960363</v>
      </c>
      <c r="DA229" s="21" t="n">
        <f aca="false">IF(ISBLANK(Actuals!DB47),-160*Escalation!$B$102,Actuals!DB47)</f>
        <v>-187.465500960363</v>
      </c>
      <c r="DB229" s="21" t="n">
        <f aca="false">IF(ISBLANK(Actuals!DC47),-160*Escalation!$B$103,Actuals!DC47)</f>
        <v>-187.465500960363</v>
      </c>
      <c r="DC229" s="21" t="n">
        <f aca="false">IF(ISBLANK(Actuals!DD47),-160*Escalation!$B$104,Actuals!DD47)</f>
        <v>-187.465500960363</v>
      </c>
      <c r="DD229" s="21" t="n">
        <f aca="false">IF(ISBLANK(Actuals!DE47),-160*Escalation!$B$105,Actuals!DE47)</f>
        <v>-187.465500960363</v>
      </c>
      <c r="DE229" s="21" t="n">
        <f aca="false">IF(ISBLANK(Actuals!DF47),-160*Escalation!$B$106,Actuals!DF47)</f>
        <v>-187.465500960363</v>
      </c>
    </row>
    <row r="230" customFormat="false" ht="15" hidden="false" customHeight="true" outlineLevel="0" collapsed="false">
      <c r="A230" s="35" t="s">
        <v>91</v>
      </c>
      <c r="B230" s="21" t="n">
        <f aca="false">IF(ISBLANK(Actuals!C48),0,Actuals!C48)</f>
        <v>-17660.72</v>
      </c>
      <c r="C230" s="21" t="n">
        <f aca="false">IF(ISBLANK(Actuals!D48),0,Actuals!D48)</f>
        <v>-5799</v>
      </c>
      <c r="D230" s="21" t="n">
        <f aca="false">IF(ISBLANK(Actuals!E48),0,Actuals!E48)</f>
        <v>-3432.18</v>
      </c>
      <c r="E230" s="21" t="n">
        <f aca="false">IF(ISBLANK(Actuals!F48),-5000*Escalation!$B$2,Actuals!F48)</f>
        <v>0</v>
      </c>
      <c r="F230" s="21" t="n">
        <f aca="false">IF(ISBLANK(Actuals!G48),-5000*Escalation!$B$3,Actuals!G48)</f>
        <v>-73874.29</v>
      </c>
      <c r="G230" s="21" t="n">
        <f aca="false">IF(ISBLANK(Actuals!H48),-5000*Escalation!$B$4,Actuals!H48)</f>
        <v>0</v>
      </c>
      <c r="H230" s="21" t="n">
        <f aca="false">IF(ISBLANK(Actuals!I48),-5000*Escalation!$B$5,Actuals!I48)</f>
        <v>0</v>
      </c>
      <c r="I230" s="21" t="n">
        <f aca="false">IF(ISBLANK(Actuals!J48),-5000*Escalation!$B$6,Actuals!J48)</f>
        <v>-1372.32</v>
      </c>
      <c r="J230" s="21" t="n">
        <f aca="false">IF(ISBLANK(Actuals!K48),-5000*Escalation!$B$7,Actuals!K48)</f>
        <v>-5000</v>
      </c>
      <c r="K230" s="21" t="n">
        <f aca="false">IF(ISBLANK(Actuals!L48),-5000*Escalation!$B$8,Actuals!L48)</f>
        <v>-5000</v>
      </c>
      <c r="L230" s="21" t="n">
        <f aca="false">IF(ISBLANK(Actuals!M48),-5000*Escalation!$B$9,Actuals!M48)</f>
        <v>-5000</v>
      </c>
      <c r="M230" s="21" t="n">
        <f aca="false">IF(ISBLANK(Actuals!N48),-5000*Escalation!$B$10,Actuals!N48)</f>
        <v>-5000</v>
      </c>
      <c r="N230" s="21" t="n">
        <f aca="false">IF(ISBLANK(Actuals!O48),-5000*Escalation!$B$11,Actuals!O48)</f>
        <v>-5000</v>
      </c>
      <c r="O230" s="21" t="n">
        <f aca="false">IF(ISBLANK(Actuals!P48),-5000*Escalation!$B$12,Actuals!P48)</f>
        <v>-5000</v>
      </c>
      <c r="P230" s="21" t="n">
        <f aca="false">IF(ISBLANK(Actuals!Q48),-5000*Escalation!$B$13,Actuals!Q48)</f>
        <v>-5000</v>
      </c>
      <c r="Q230" s="21" t="n">
        <f aca="false">IF(ISBLANK(Actuals!R48),-5000*Escalation!$B$14,Actuals!R48)</f>
        <v>-5100</v>
      </c>
      <c r="R230" s="21" t="n">
        <f aca="false">IF(ISBLANK(Actuals!S48),-5000*Escalation!$B$15,Actuals!S48)</f>
        <v>-5100</v>
      </c>
      <c r="S230" s="21" t="n">
        <f aca="false">IF(ISBLANK(Actuals!T48),-5000*Escalation!$B$16,Actuals!T48)</f>
        <v>-5100</v>
      </c>
      <c r="T230" s="21" t="n">
        <f aca="false">IF(ISBLANK(Actuals!U48),-5000*Escalation!$B$17,Actuals!U48)</f>
        <v>-5100</v>
      </c>
      <c r="U230" s="21" t="n">
        <f aca="false">IF(ISBLANK(Actuals!V48),-5000*Escalation!$B$18,Actuals!V48)</f>
        <v>-5100</v>
      </c>
      <c r="V230" s="21" t="n">
        <f aca="false">IF(ISBLANK(Actuals!W48),-5000*Escalation!$B$19,Actuals!W48)</f>
        <v>-5100</v>
      </c>
      <c r="W230" s="21" t="n">
        <f aca="false">IF(ISBLANK(Actuals!X48),-5000*Escalation!$B$20,Actuals!X48)</f>
        <v>-5100</v>
      </c>
      <c r="X230" s="21" t="n">
        <f aca="false">IF(ISBLANK(Actuals!Y48),-5000*Escalation!$B$21,Actuals!Y48)</f>
        <v>-5100</v>
      </c>
      <c r="Y230" s="21" t="n">
        <f aca="false">IF(ISBLANK(Actuals!Z48),-5000*Escalation!$B$22,Actuals!Z48)</f>
        <v>-5100</v>
      </c>
      <c r="Z230" s="21" t="n">
        <f aca="false">IF(ISBLANK(Actuals!AA48),-5000*Escalation!$B$23,Actuals!AA48)</f>
        <v>-5100</v>
      </c>
      <c r="AA230" s="21" t="n">
        <f aca="false">IF(ISBLANK(Actuals!AB48),-5000*Escalation!$B$24,Actuals!AB48)</f>
        <v>-5100</v>
      </c>
      <c r="AB230" s="21" t="n">
        <f aca="false">IF(ISBLANK(Actuals!AC48),-5000*Escalation!$B$25,Actuals!AC48)</f>
        <v>-5100</v>
      </c>
      <c r="AC230" s="21" t="n">
        <f aca="false">IF(ISBLANK(Actuals!AD48),-5000*Escalation!$B$26,Actuals!AD48)</f>
        <v>-5202</v>
      </c>
      <c r="AD230" s="21" t="n">
        <f aca="false">IF(ISBLANK(Actuals!AE48),-5000*Escalation!$B$27,Actuals!AE48)</f>
        <v>-5202</v>
      </c>
      <c r="AE230" s="21" t="n">
        <f aca="false">IF(ISBLANK(Actuals!AF48),-5000*Escalation!$B$28,Actuals!AF48)</f>
        <v>-5202</v>
      </c>
      <c r="AF230" s="21" t="n">
        <f aca="false">IF(ISBLANK(Actuals!AG48),-5000*Escalation!$B$29,Actuals!AG48)</f>
        <v>-5202</v>
      </c>
      <c r="AG230" s="21" t="n">
        <f aca="false">IF(ISBLANK(Actuals!AH48),-5000*Escalation!$B$30,Actuals!AH48)</f>
        <v>-5202</v>
      </c>
      <c r="AH230" s="21" t="n">
        <f aca="false">IF(ISBLANK(Actuals!AI48),-5000*Escalation!$B$31,Actuals!AI48)</f>
        <v>-5202</v>
      </c>
      <c r="AI230" s="21" t="n">
        <f aca="false">IF(ISBLANK(Actuals!AJ48),-5000*Escalation!$B$32,Actuals!AJ48)</f>
        <v>-5202</v>
      </c>
      <c r="AJ230" s="21" t="n">
        <f aca="false">IF(ISBLANK(Actuals!AK48),-5000*Escalation!$B$33,Actuals!AK48)</f>
        <v>-5202</v>
      </c>
      <c r="AK230" s="21" t="n">
        <f aca="false">IF(ISBLANK(Actuals!AL48),-5000*Escalation!$B$34,Actuals!AL48)</f>
        <v>-5202</v>
      </c>
      <c r="AL230" s="21" t="n">
        <f aca="false">IF(ISBLANK(Actuals!AM48),-5000*Escalation!$B$35,Actuals!AM48)</f>
        <v>-5202</v>
      </c>
      <c r="AM230" s="21" t="n">
        <f aca="false">IF(ISBLANK(Actuals!AN48),-5000*Escalation!$B$36,Actuals!AN48)</f>
        <v>-5202</v>
      </c>
      <c r="AN230" s="21" t="n">
        <f aca="false">IF(ISBLANK(Actuals!AO48),-5000*Escalation!$B$37,Actuals!AO48)</f>
        <v>-5202</v>
      </c>
      <c r="AO230" s="21" t="n">
        <f aca="false">IF(ISBLANK(Actuals!AP48),-5000*Escalation!$B$38,Actuals!AP48)</f>
        <v>-5306.04</v>
      </c>
      <c r="AP230" s="21" t="n">
        <f aca="false">IF(ISBLANK(Actuals!AQ48),-5000*Escalation!$B$39,Actuals!AQ48)</f>
        <v>-5306.04</v>
      </c>
      <c r="AQ230" s="21" t="n">
        <f aca="false">IF(ISBLANK(Actuals!AR48),-5000*Escalation!$B$40,Actuals!AR48)</f>
        <v>-5306.04</v>
      </c>
      <c r="AR230" s="21" t="n">
        <f aca="false">IF(ISBLANK(Actuals!AS48),-5000*Escalation!$B$41,Actuals!AS48)</f>
        <v>-5306.04</v>
      </c>
      <c r="AS230" s="21" t="n">
        <f aca="false">IF(ISBLANK(Actuals!AT48),-5000*Escalation!$B$42,Actuals!AT48)</f>
        <v>-5306.04</v>
      </c>
      <c r="AT230" s="21" t="n">
        <f aca="false">IF(ISBLANK(Actuals!AU48),-5000*Escalation!$B$43,Actuals!AU48)</f>
        <v>-5306.04</v>
      </c>
      <c r="AU230" s="21" t="n">
        <f aca="false">IF(ISBLANK(Actuals!AV48),-5000*Escalation!$B$44,Actuals!AV48)</f>
        <v>-5306.04</v>
      </c>
      <c r="AV230" s="21" t="n">
        <f aca="false">IF(ISBLANK(Actuals!AW48),-5000*Escalation!$B$45,Actuals!AW48)</f>
        <v>-5306.04</v>
      </c>
      <c r="AW230" s="21" t="n">
        <f aca="false">IF(ISBLANK(Actuals!AX48),-5000*Escalation!$B$46,Actuals!AX48)</f>
        <v>-5306.04</v>
      </c>
      <c r="AX230" s="21" t="n">
        <f aca="false">IF(ISBLANK(Actuals!AY48),-5000*Escalation!$B$47,Actuals!AY48)</f>
        <v>-5306.04</v>
      </c>
      <c r="AY230" s="21" t="n">
        <f aca="false">IF(ISBLANK(Actuals!AZ48),-5000*Escalation!$B$48,Actuals!AZ48)</f>
        <v>-5306.04</v>
      </c>
      <c r="AZ230" s="21" t="n">
        <f aca="false">IF(ISBLANK(Actuals!BA48),-5000*Escalation!$B$49,Actuals!BA48)</f>
        <v>-5306.04</v>
      </c>
      <c r="BA230" s="21" t="n">
        <f aca="false">IF(ISBLANK(Actuals!BB48),-5000*Escalation!$B$50,Actuals!BB48)</f>
        <v>-5412.1608</v>
      </c>
      <c r="BB230" s="21" t="n">
        <f aca="false">IF(ISBLANK(Actuals!BC48),-5000*Escalation!$B$51,Actuals!BC48)</f>
        <v>-5412.1608</v>
      </c>
      <c r="BC230" s="21" t="n">
        <f aca="false">IF(ISBLANK(Actuals!BD48),-5000*Escalation!$B$52,Actuals!BD48)</f>
        <v>-5412.1608</v>
      </c>
      <c r="BD230" s="21" t="n">
        <f aca="false">IF(ISBLANK(Actuals!BE48),-5000*Escalation!$B$53,Actuals!BE48)</f>
        <v>-5412.1608</v>
      </c>
      <c r="BE230" s="21" t="n">
        <f aca="false">IF(ISBLANK(Actuals!BF48),-5000*Escalation!$B$54,Actuals!BF48)</f>
        <v>-5412.1608</v>
      </c>
      <c r="BF230" s="21" t="n">
        <f aca="false">IF(ISBLANK(Actuals!BG48),-5000*Escalation!$B$55,Actuals!BG48)</f>
        <v>-5412.1608</v>
      </c>
      <c r="BG230" s="21" t="n">
        <f aca="false">IF(ISBLANK(Actuals!BH48),-5000*Escalation!$B$56,Actuals!BH48)</f>
        <v>-5412.1608</v>
      </c>
      <c r="BH230" s="21" t="n">
        <f aca="false">IF(ISBLANK(Actuals!BI48),-5000*Escalation!$B$57,Actuals!BI48)</f>
        <v>-5412.1608</v>
      </c>
      <c r="BI230" s="21" t="n">
        <f aca="false">IF(ISBLANK(Actuals!BJ48),-5000*Escalation!$B$58,Actuals!BJ48)</f>
        <v>-5412.1608</v>
      </c>
      <c r="BJ230" s="21" t="n">
        <f aca="false">IF(ISBLANK(Actuals!BK48),-5000*Escalation!$B$59,Actuals!BK48)</f>
        <v>-5412.1608</v>
      </c>
      <c r="BK230" s="21" t="n">
        <f aca="false">IF(ISBLANK(Actuals!BL48),-5000*Escalation!$B$60,Actuals!BL48)</f>
        <v>-5412.1608</v>
      </c>
      <c r="BL230" s="21" t="n">
        <f aca="false">IF(ISBLANK(Actuals!BM48),-5000*Escalation!$B$61,Actuals!BM48)</f>
        <v>-5412.1608</v>
      </c>
      <c r="BM230" s="21" t="n">
        <f aca="false">IF(ISBLANK(Actuals!BN48),-5000*Escalation!$B$62,Actuals!BN48)</f>
        <v>-5520.404016</v>
      </c>
      <c r="BN230" s="21" t="n">
        <f aca="false">IF(ISBLANK(Actuals!BO48),-5000*Escalation!$B$63,Actuals!BO48)</f>
        <v>-5520.404016</v>
      </c>
      <c r="BO230" s="21" t="n">
        <f aca="false">IF(ISBLANK(Actuals!BP48),-5000*Escalation!$B$64,Actuals!BP48)</f>
        <v>-5520.404016</v>
      </c>
      <c r="BP230" s="21" t="n">
        <f aca="false">IF(ISBLANK(Actuals!BQ48),-5000*Escalation!$B$65,Actuals!BQ48)</f>
        <v>-5520.404016</v>
      </c>
      <c r="BQ230" s="21" t="n">
        <f aca="false">IF(ISBLANK(Actuals!BR48),-5000*Escalation!$B$66,Actuals!BR48)</f>
        <v>-5520.404016</v>
      </c>
      <c r="BR230" s="21" t="n">
        <f aca="false">IF(ISBLANK(Actuals!BS48),-5000*Escalation!$B$67,Actuals!BS48)</f>
        <v>-5520.404016</v>
      </c>
      <c r="BS230" s="21" t="n">
        <f aca="false">IF(ISBLANK(Actuals!BT48),-5000*Escalation!$B$68,Actuals!BT48)</f>
        <v>-5520.404016</v>
      </c>
      <c r="BT230" s="21" t="n">
        <f aca="false">IF(ISBLANK(Actuals!BU48),-5000*Escalation!$B$69,Actuals!BU48)</f>
        <v>-5520.404016</v>
      </c>
      <c r="BU230" s="21" t="n">
        <f aca="false">IF(ISBLANK(Actuals!BV48),-5000*Escalation!$B$70,Actuals!BV48)</f>
        <v>-5520.404016</v>
      </c>
      <c r="BV230" s="21" t="n">
        <f aca="false">IF(ISBLANK(Actuals!BW48),-5000*Escalation!$B$71,Actuals!BW48)</f>
        <v>-5520.404016</v>
      </c>
      <c r="BW230" s="21" t="n">
        <f aca="false">IF(ISBLANK(Actuals!BX48),-5000*Escalation!$B$72,Actuals!BX48)</f>
        <v>-5520.404016</v>
      </c>
      <c r="BX230" s="21" t="n">
        <f aca="false">IF(ISBLANK(Actuals!BY48),-5000*Escalation!$B$73,Actuals!BY48)</f>
        <v>-5520.404016</v>
      </c>
      <c r="BY230" s="21" t="n">
        <f aca="false">IF(ISBLANK(Actuals!BZ48),-5000*Escalation!$B$74,Actuals!BZ48)</f>
        <v>-5630.81209632</v>
      </c>
      <c r="BZ230" s="21" t="n">
        <f aca="false">IF(ISBLANK(Actuals!CA48),-5000*Escalation!$B$75,Actuals!CA48)</f>
        <v>-5630.81209632</v>
      </c>
      <c r="CA230" s="21" t="n">
        <f aca="false">IF(ISBLANK(Actuals!CB48),-5000*Escalation!$B$76,Actuals!CB48)</f>
        <v>-5630.81209632</v>
      </c>
      <c r="CB230" s="21" t="n">
        <f aca="false">IF(ISBLANK(Actuals!CC48),-5000*Escalation!$B$77,Actuals!CC48)</f>
        <v>-5630.81209632</v>
      </c>
      <c r="CC230" s="21" t="n">
        <f aca="false">IF(ISBLANK(Actuals!CD48),-5000*Escalation!$B$78,Actuals!CD48)</f>
        <v>-5630.81209632</v>
      </c>
      <c r="CD230" s="21" t="n">
        <f aca="false">IF(ISBLANK(Actuals!CE48),-5000*Escalation!$B$79,Actuals!CE48)</f>
        <v>-5630.81209632</v>
      </c>
      <c r="CE230" s="21" t="n">
        <f aca="false">IF(ISBLANK(Actuals!CF48),-5000*Escalation!$B$80,Actuals!CF48)</f>
        <v>-5630.81209632</v>
      </c>
      <c r="CF230" s="21" t="n">
        <f aca="false">IF(ISBLANK(Actuals!CG48),-5000*Escalation!$B$81,Actuals!CG48)</f>
        <v>-5630.81209632</v>
      </c>
      <c r="CG230" s="21" t="n">
        <f aca="false">IF(ISBLANK(Actuals!CH48),-5000*Escalation!$B$82,Actuals!CH48)</f>
        <v>-5630.81209632</v>
      </c>
      <c r="CH230" s="21" t="n">
        <f aca="false">IF(ISBLANK(Actuals!CI48),-5000*Escalation!$B$83,Actuals!CI48)</f>
        <v>-5630.81209632</v>
      </c>
      <c r="CI230" s="21" t="n">
        <f aca="false">IF(ISBLANK(Actuals!CJ48),-5000*Escalation!$B$84,Actuals!CJ48)</f>
        <v>-5630.81209632</v>
      </c>
      <c r="CJ230" s="21" t="n">
        <f aca="false">IF(ISBLANK(Actuals!CK48),-5000*Escalation!$B$85,Actuals!CK48)</f>
        <v>-5630.81209632</v>
      </c>
      <c r="CK230" s="21" t="n">
        <f aca="false">IF(ISBLANK(Actuals!CL48),-5000*Escalation!$B$86,Actuals!CL48)</f>
        <v>-5743.4283382464</v>
      </c>
      <c r="CL230" s="21" t="n">
        <f aca="false">IF(ISBLANK(Actuals!CM48),-5000*Escalation!$B$87,Actuals!CM48)</f>
        <v>-5743.4283382464</v>
      </c>
      <c r="CM230" s="21" t="n">
        <f aca="false">IF(ISBLANK(Actuals!CN48),-5000*Escalation!$B$88,Actuals!CN48)</f>
        <v>-5743.4283382464</v>
      </c>
      <c r="CN230" s="21" t="n">
        <f aca="false">IF(ISBLANK(Actuals!CO48),-5000*Escalation!$B$89,Actuals!CO48)</f>
        <v>-5743.4283382464</v>
      </c>
      <c r="CO230" s="21" t="n">
        <f aca="false">IF(ISBLANK(Actuals!CP48),-5000*Escalation!$B$90,Actuals!CP48)</f>
        <v>-5743.4283382464</v>
      </c>
      <c r="CP230" s="21" t="n">
        <f aca="false">IF(ISBLANK(Actuals!CQ48),-5000*Escalation!$B$91,Actuals!CQ48)</f>
        <v>-5743.4283382464</v>
      </c>
      <c r="CQ230" s="21" t="n">
        <f aca="false">IF(ISBLANK(Actuals!CR48),-5000*Escalation!$B$92,Actuals!CR48)</f>
        <v>-5743.4283382464</v>
      </c>
      <c r="CR230" s="21" t="n">
        <f aca="false">IF(ISBLANK(Actuals!CS48),-5000*Escalation!$B$93,Actuals!CS48)</f>
        <v>-5743.4283382464</v>
      </c>
      <c r="CS230" s="21" t="n">
        <f aca="false">IF(ISBLANK(Actuals!CT48),-5000*Escalation!$B$94,Actuals!CT48)</f>
        <v>-5743.4283382464</v>
      </c>
      <c r="CT230" s="21" t="n">
        <f aca="false">IF(ISBLANK(Actuals!CU48),-5000*Escalation!$B$95,Actuals!CU48)</f>
        <v>-5743.4283382464</v>
      </c>
      <c r="CU230" s="21" t="n">
        <f aca="false">IF(ISBLANK(Actuals!CV48),-5000*Escalation!$B$96,Actuals!CV48)</f>
        <v>-5743.4283382464</v>
      </c>
      <c r="CV230" s="21" t="n">
        <f aca="false">IF(ISBLANK(Actuals!CW48),-5000*Escalation!$B$97,Actuals!CW48)</f>
        <v>-5743.4283382464</v>
      </c>
      <c r="CW230" s="21" t="n">
        <f aca="false">IF(ISBLANK(Actuals!CX48),-5000*Escalation!$B$98,Actuals!CX48)</f>
        <v>-5858.29690501133</v>
      </c>
      <c r="CX230" s="21" t="n">
        <f aca="false">IF(ISBLANK(Actuals!CY48),-5000*Escalation!$B$99,Actuals!CY48)</f>
        <v>-5858.29690501133</v>
      </c>
      <c r="CY230" s="21" t="n">
        <f aca="false">IF(ISBLANK(Actuals!CZ48),-5000*Escalation!$B$100,Actuals!CZ48)</f>
        <v>-5858.29690501133</v>
      </c>
      <c r="CZ230" s="21" t="n">
        <f aca="false">IF(ISBLANK(Actuals!DA48),-5000*Escalation!$B$101,Actuals!DA48)</f>
        <v>-5858.29690501133</v>
      </c>
      <c r="DA230" s="21" t="n">
        <f aca="false">IF(ISBLANK(Actuals!DB48),-5000*Escalation!$B$102,Actuals!DB48)</f>
        <v>-5858.29690501133</v>
      </c>
      <c r="DB230" s="21" t="n">
        <f aca="false">IF(ISBLANK(Actuals!DC48),-5000*Escalation!$B$103,Actuals!DC48)</f>
        <v>-5858.29690501133</v>
      </c>
      <c r="DC230" s="21" t="n">
        <f aca="false">IF(ISBLANK(Actuals!DD48),-5000*Escalation!$B$104,Actuals!DD48)</f>
        <v>-5858.29690501133</v>
      </c>
      <c r="DD230" s="21" t="n">
        <f aca="false">IF(ISBLANK(Actuals!DE48),-5000*Escalation!$B$105,Actuals!DE48)</f>
        <v>-5858.29690501133</v>
      </c>
      <c r="DE230" s="21" t="n">
        <f aca="false">IF(ISBLANK(Actuals!DF48),-5000*Escalation!$B$106,Actuals!DF48)</f>
        <v>-5858.29690501133</v>
      </c>
    </row>
    <row r="231" customFormat="false" ht="15" hidden="false" customHeight="true" outlineLevel="0" collapsed="false">
      <c r="A231" s="35" t="s">
        <v>92</v>
      </c>
      <c r="B231" s="21" t="n">
        <f aca="false">IF(ISBLANK(Actuals!C49),0,Actuals!C49)</f>
        <v>-1913.91</v>
      </c>
      <c r="C231" s="21" t="n">
        <f aca="false">IF(ISBLANK(Actuals!D49),0,Actuals!D49)</f>
        <v>-2254.72</v>
      </c>
      <c r="D231" s="21" t="n">
        <f aca="false">IF(ISBLANK(Actuals!E49),0,Actuals!E49)</f>
        <v>-1913.91</v>
      </c>
      <c r="E231" s="21" t="n">
        <f aca="false">IF(ISBLANK(Actuals!F49),-417.6*Escalation!$B$2,Actuals!F49)</f>
        <v>-1609.91</v>
      </c>
      <c r="F231" s="21" t="n">
        <f aca="false">IF(ISBLANK(Actuals!G49),-417.6*Escalation!$B$3,Actuals!G49)</f>
        <v>-2760.86</v>
      </c>
      <c r="G231" s="21" t="n">
        <f aca="false">IF(ISBLANK(Actuals!H49),-417.6*Escalation!$B$4,Actuals!H49)</f>
        <v>0</v>
      </c>
      <c r="H231" s="21" t="n">
        <f aca="false">IF(ISBLANK(Actuals!I49),-417.6*Escalation!$B$5,Actuals!I49)</f>
        <v>0</v>
      </c>
      <c r="I231" s="21" t="n">
        <f aca="false">IF(ISBLANK(Actuals!J49),-417.6*Escalation!$B$6,Actuals!J49)</f>
        <v>-11.02</v>
      </c>
      <c r="J231" s="21" t="n">
        <f aca="false">IF(ISBLANK(Actuals!K49),-417.6*Escalation!$B$7,Actuals!K49)</f>
        <v>-417.6</v>
      </c>
      <c r="K231" s="21" t="n">
        <f aca="false">IF(ISBLANK(Actuals!L49),-417.6*Escalation!$B$8,Actuals!L49)</f>
        <v>-417.6</v>
      </c>
      <c r="L231" s="21" t="n">
        <f aca="false">IF(ISBLANK(Actuals!M49),-417.6*Escalation!$B$9,Actuals!M49)</f>
        <v>-417.6</v>
      </c>
      <c r="M231" s="21" t="n">
        <f aca="false">IF(ISBLANK(Actuals!N49),-417.6*Escalation!$B$10,Actuals!N49)</f>
        <v>-417.6</v>
      </c>
      <c r="N231" s="21" t="n">
        <f aca="false">IF(ISBLANK(Actuals!O49),-417.6*Escalation!$B$11,Actuals!O49)</f>
        <v>-417.6</v>
      </c>
      <c r="O231" s="21" t="n">
        <f aca="false">IF(ISBLANK(Actuals!P49),-417.6*Escalation!$B$12,Actuals!P49)</f>
        <v>-417.6</v>
      </c>
      <c r="P231" s="21" t="n">
        <f aca="false">IF(ISBLANK(Actuals!Q49),-417.6*Escalation!$B$13,Actuals!Q49)</f>
        <v>-417.6</v>
      </c>
      <c r="Q231" s="21" t="n">
        <f aca="false">IF(ISBLANK(Actuals!R49),-417.6*Escalation!$B$14,Actuals!R49)</f>
        <v>-425.952</v>
      </c>
      <c r="R231" s="21" t="n">
        <f aca="false">IF(ISBLANK(Actuals!S49),-417.6*Escalation!$B$15,Actuals!S49)</f>
        <v>-425.952</v>
      </c>
      <c r="S231" s="21" t="n">
        <f aca="false">IF(ISBLANK(Actuals!T49),-417.6*Escalation!$B$16,Actuals!T49)</f>
        <v>-425.952</v>
      </c>
      <c r="T231" s="21" t="n">
        <f aca="false">IF(ISBLANK(Actuals!U49),-417.6*Escalation!$B$17,Actuals!U49)</f>
        <v>-425.952</v>
      </c>
      <c r="U231" s="21" t="n">
        <f aca="false">IF(ISBLANK(Actuals!V49),-417.6*Escalation!$B$18,Actuals!V49)</f>
        <v>-425.952</v>
      </c>
      <c r="V231" s="21" t="n">
        <f aca="false">IF(ISBLANK(Actuals!W49),-417.6*Escalation!$B$19,Actuals!W49)</f>
        <v>-425.952</v>
      </c>
      <c r="W231" s="21" t="n">
        <f aca="false">IF(ISBLANK(Actuals!X49),-417.6*Escalation!$B$20,Actuals!X49)</f>
        <v>-425.952</v>
      </c>
      <c r="X231" s="21" t="n">
        <f aca="false">IF(ISBLANK(Actuals!Y49),-417.6*Escalation!$B$21,Actuals!Y49)</f>
        <v>-425.952</v>
      </c>
      <c r="Y231" s="21" t="n">
        <f aca="false">IF(ISBLANK(Actuals!Z49),-417.6*Escalation!$B$22,Actuals!Z49)</f>
        <v>-425.952</v>
      </c>
      <c r="Z231" s="21" t="n">
        <f aca="false">IF(ISBLANK(Actuals!AA49),-417.6*Escalation!$B$23,Actuals!AA49)</f>
        <v>-425.952</v>
      </c>
      <c r="AA231" s="21" t="n">
        <f aca="false">IF(ISBLANK(Actuals!AB49),-417.6*Escalation!$B$24,Actuals!AB49)</f>
        <v>-425.952</v>
      </c>
      <c r="AB231" s="21" t="n">
        <f aca="false">IF(ISBLANK(Actuals!AC49),-417.6*Escalation!$B$25,Actuals!AC49)</f>
        <v>-425.952</v>
      </c>
      <c r="AC231" s="21" t="n">
        <f aca="false">IF(ISBLANK(Actuals!AD49),-417.6*Escalation!$B$26,Actuals!AD49)</f>
        <v>-434.47104</v>
      </c>
      <c r="AD231" s="21" t="n">
        <f aca="false">IF(ISBLANK(Actuals!AE49),-417.6*Escalation!$B$27,Actuals!AE49)</f>
        <v>-434.47104</v>
      </c>
      <c r="AE231" s="21" t="n">
        <f aca="false">IF(ISBLANK(Actuals!AF49),-417.6*Escalation!$B$28,Actuals!AF49)</f>
        <v>-434.47104</v>
      </c>
      <c r="AF231" s="21" t="n">
        <f aca="false">IF(ISBLANK(Actuals!AG49),-417.6*Escalation!$B$29,Actuals!AG49)</f>
        <v>-434.47104</v>
      </c>
      <c r="AG231" s="21" t="n">
        <f aca="false">IF(ISBLANK(Actuals!AH49),-417.6*Escalation!$B$30,Actuals!AH49)</f>
        <v>-434.47104</v>
      </c>
      <c r="AH231" s="21" t="n">
        <f aca="false">IF(ISBLANK(Actuals!AI49),-417.6*Escalation!$B$31,Actuals!AI49)</f>
        <v>-434.47104</v>
      </c>
      <c r="AI231" s="21" t="n">
        <f aca="false">IF(ISBLANK(Actuals!AJ49),-417.6*Escalation!$B$32,Actuals!AJ49)</f>
        <v>-434.47104</v>
      </c>
      <c r="AJ231" s="21" t="n">
        <f aca="false">IF(ISBLANK(Actuals!AK49),-417.6*Escalation!$B$33,Actuals!AK49)</f>
        <v>-434.47104</v>
      </c>
      <c r="AK231" s="21" t="n">
        <f aca="false">IF(ISBLANK(Actuals!AL49),-417.6*Escalation!$B$34,Actuals!AL49)</f>
        <v>-434.47104</v>
      </c>
      <c r="AL231" s="21" t="n">
        <f aca="false">IF(ISBLANK(Actuals!AM49),-417.6*Escalation!$B$35,Actuals!AM49)</f>
        <v>-434.47104</v>
      </c>
      <c r="AM231" s="21" t="n">
        <f aca="false">IF(ISBLANK(Actuals!AN49),-417.6*Escalation!$B$36,Actuals!AN49)</f>
        <v>-434.47104</v>
      </c>
      <c r="AN231" s="21" t="n">
        <f aca="false">IF(ISBLANK(Actuals!AO49),-417.6*Escalation!$B$37,Actuals!AO49)</f>
        <v>-434.47104</v>
      </c>
      <c r="AO231" s="21" t="n">
        <f aca="false">IF(ISBLANK(Actuals!AP49),-417.6*Escalation!$B$38,Actuals!AP49)</f>
        <v>-443.1604608</v>
      </c>
      <c r="AP231" s="21" t="n">
        <f aca="false">IF(ISBLANK(Actuals!AQ49),-417.6*Escalation!$B$39,Actuals!AQ49)</f>
        <v>-443.1604608</v>
      </c>
      <c r="AQ231" s="21" t="n">
        <f aca="false">IF(ISBLANK(Actuals!AR49),-417.6*Escalation!$B$40,Actuals!AR49)</f>
        <v>-443.1604608</v>
      </c>
      <c r="AR231" s="21" t="n">
        <f aca="false">IF(ISBLANK(Actuals!AS49),-417.6*Escalation!$B$41,Actuals!AS49)</f>
        <v>-443.1604608</v>
      </c>
      <c r="AS231" s="21" t="n">
        <f aca="false">IF(ISBLANK(Actuals!AT49),-417.6*Escalation!$B$42,Actuals!AT49)</f>
        <v>-443.1604608</v>
      </c>
      <c r="AT231" s="21" t="n">
        <f aca="false">IF(ISBLANK(Actuals!AU49),-417.6*Escalation!$B$43,Actuals!AU49)</f>
        <v>-443.1604608</v>
      </c>
      <c r="AU231" s="21" t="n">
        <f aca="false">IF(ISBLANK(Actuals!AV49),-417.6*Escalation!$B$44,Actuals!AV49)</f>
        <v>-443.1604608</v>
      </c>
      <c r="AV231" s="21" t="n">
        <f aca="false">IF(ISBLANK(Actuals!AW49),-417.6*Escalation!$B$45,Actuals!AW49)</f>
        <v>-443.1604608</v>
      </c>
      <c r="AW231" s="21" t="n">
        <f aca="false">IF(ISBLANK(Actuals!AX49),-417.6*Escalation!$B$46,Actuals!AX49)</f>
        <v>-443.1604608</v>
      </c>
      <c r="AX231" s="21" t="n">
        <f aca="false">IF(ISBLANK(Actuals!AY49),-417.6*Escalation!$B$47,Actuals!AY49)</f>
        <v>-443.1604608</v>
      </c>
      <c r="AY231" s="21" t="n">
        <f aca="false">IF(ISBLANK(Actuals!AZ49),-417.6*Escalation!$B$48,Actuals!AZ49)</f>
        <v>-443.1604608</v>
      </c>
      <c r="AZ231" s="21" t="n">
        <f aca="false">IF(ISBLANK(Actuals!BA49),-417.6*Escalation!$B$49,Actuals!BA49)</f>
        <v>-443.1604608</v>
      </c>
      <c r="BA231" s="21" t="n">
        <f aca="false">IF(ISBLANK(Actuals!BB49),-417.6*Escalation!$B$50,Actuals!BB49)</f>
        <v>-452.023670016</v>
      </c>
      <c r="BB231" s="21" t="n">
        <f aca="false">IF(ISBLANK(Actuals!BC49),-417.6*Escalation!$B$51,Actuals!BC49)</f>
        <v>-452.023670016</v>
      </c>
      <c r="BC231" s="21" t="n">
        <f aca="false">IF(ISBLANK(Actuals!BD49),-417.6*Escalation!$B$52,Actuals!BD49)</f>
        <v>-452.023670016</v>
      </c>
      <c r="BD231" s="21" t="n">
        <f aca="false">IF(ISBLANK(Actuals!BE49),-417.6*Escalation!$B$53,Actuals!BE49)</f>
        <v>-452.023670016</v>
      </c>
      <c r="BE231" s="21" t="n">
        <f aca="false">IF(ISBLANK(Actuals!BF49),-417.6*Escalation!$B$54,Actuals!BF49)</f>
        <v>-452.023670016</v>
      </c>
      <c r="BF231" s="21" t="n">
        <f aca="false">IF(ISBLANK(Actuals!BG49),-417.6*Escalation!$B$55,Actuals!BG49)</f>
        <v>-452.023670016</v>
      </c>
      <c r="BG231" s="21" t="n">
        <f aca="false">IF(ISBLANK(Actuals!BH49),-417.6*Escalation!$B$56,Actuals!BH49)</f>
        <v>-452.023670016</v>
      </c>
      <c r="BH231" s="21" t="n">
        <f aca="false">IF(ISBLANK(Actuals!BI49),-417.6*Escalation!$B$57,Actuals!BI49)</f>
        <v>-452.023670016</v>
      </c>
      <c r="BI231" s="21" t="n">
        <f aca="false">IF(ISBLANK(Actuals!BJ49),-417.6*Escalation!$B$58,Actuals!BJ49)</f>
        <v>-452.023670016</v>
      </c>
      <c r="BJ231" s="21" t="n">
        <f aca="false">IF(ISBLANK(Actuals!BK49),-417.6*Escalation!$B$59,Actuals!BK49)</f>
        <v>-452.023670016</v>
      </c>
      <c r="BK231" s="21" t="n">
        <f aca="false">IF(ISBLANK(Actuals!BL49),-417.6*Escalation!$B$60,Actuals!BL49)</f>
        <v>-452.023670016</v>
      </c>
      <c r="BL231" s="21" t="n">
        <f aca="false">IF(ISBLANK(Actuals!BM49),-417.6*Escalation!$B$61,Actuals!BM49)</f>
        <v>-452.023670016</v>
      </c>
      <c r="BM231" s="21" t="n">
        <f aca="false">IF(ISBLANK(Actuals!BN49),-417.6*Escalation!$B$62,Actuals!BN49)</f>
        <v>-461.06414341632</v>
      </c>
      <c r="BN231" s="21" t="n">
        <f aca="false">IF(ISBLANK(Actuals!BO49),-417.6*Escalation!$B$63,Actuals!BO49)</f>
        <v>-461.06414341632</v>
      </c>
      <c r="BO231" s="21" t="n">
        <f aca="false">IF(ISBLANK(Actuals!BP49),-417.6*Escalation!$B$64,Actuals!BP49)</f>
        <v>-461.06414341632</v>
      </c>
      <c r="BP231" s="21" t="n">
        <f aca="false">IF(ISBLANK(Actuals!BQ49),-417.6*Escalation!$B$65,Actuals!BQ49)</f>
        <v>-461.06414341632</v>
      </c>
      <c r="BQ231" s="21" t="n">
        <f aca="false">IF(ISBLANK(Actuals!BR49),-417.6*Escalation!$B$66,Actuals!BR49)</f>
        <v>-461.06414341632</v>
      </c>
      <c r="BR231" s="21" t="n">
        <f aca="false">IF(ISBLANK(Actuals!BS49),-417.6*Escalation!$B$67,Actuals!BS49)</f>
        <v>-461.06414341632</v>
      </c>
      <c r="BS231" s="21" t="n">
        <f aca="false">IF(ISBLANK(Actuals!BT49),-417.6*Escalation!$B$68,Actuals!BT49)</f>
        <v>-461.06414341632</v>
      </c>
      <c r="BT231" s="21" t="n">
        <f aca="false">IF(ISBLANK(Actuals!BU49),-417.6*Escalation!$B$69,Actuals!BU49)</f>
        <v>-461.06414341632</v>
      </c>
      <c r="BU231" s="21" t="n">
        <f aca="false">IF(ISBLANK(Actuals!BV49),-417.6*Escalation!$B$70,Actuals!BV49)</f>
        <v>-461.06414341632</v>
      </c>
      <c r="BV231" s="21" t="n">
        <f aca="false">IF(ISBLANK(Actuals!BW49),-417.6*Escalation!$B$71,Actuals!BW49)</f>
        <v>-461.06414341632</v>
      </c>
      <c r="BW231" s="21" t="n">
        <f aca="false">IF(ISBLANK(Actuals!BX49),-417.6*Escalation!$B$72,Actuals!BX49)</f>
        <v>-461.06414341632</v>
      </c>
      <c r="BX231" s="21" t="n">
        <f aca="false">IF(ISBLANK(Actuals!BY49),-417.6*Escalation!$B$73,Actuals!BY49)</f>
        <v>-461.06414341632</v>
      </c>
      <c r="BY231" s="21" t="n">
        <f aca="false">IF(ISBLANK(Actuals!BZ49),-417.6*Escalation!$B$74,Actuals!BZ49)</f>
        <v>-470.285426284646</v>
      </c>
      <c r="BZ231" s="21" t="n">
        <f aca="false">IF(ISBLANK(Actuals!CA49),-417.6*Escalation!$B$75,Actuals!CA49)</f>
        <v>-470.285426284646</v>
      </c>
      <c r="CA231" s="21" t="n">
        <f aca="false">IF(ISBLANK(Actuals!CB49),-417.6*Escalation!$B$76,Actuals!CB49)</f>
        <v>-470.285426284646</v>
      </c>
      <c r="CB231" s="21" t="n">
        <f aca="false">IF(ISBLANK(Actuals!CC49),-417.6*Escalation!$B$77,Actuals!CC49)</f>
        <v>-470.285426284646</v>
      </c>
      <c r="CC231" s="21" t="n">
        <f aca="false">IF(ISBLANK(Actuals!CD49),-417.6*Escalation!$B$78,Actuals!CD49)</f>
        <v>-470.285426284646</v>
      </c>
      <c r="CD231" s="21" t="n">
        <f aca="false">IF(ISBLANK(Actuals!CE49),-417.6*Escalation!$B$79,Actuals!CE49)</f>
        <v>-470.285426284646</v>
      </c>
      <c r="CE231" s="21" t="n">
        <f aca="false">IF(ISBLANK(Actuals!CF49),-417.6*Escalation!$B$80,Actuals!CF49)</f>
        <v>-470.285426284646</v>
      </c>
      <c r="CF231" s="21" t="n">
        <f aca="false">IF(ISBLANK(Actuals!CG49),-417.6*Escalation!$B$81,Actuals!CG49)</f>
        <v>-470.285426284646</v>
      </c>
      <c r="CG231" s="21" t="n">
        <f aca="false">IF(ISBLANK(Actuals!CH49),-417.6*Escalation!$B$82,Actuals!CH49)</f>
        <v>-470.285426284646</v>
      </c>
      <c r="CH231" s="21" t="n">
        <f aca="false">IF(ISBLANK(Actuals!CI49),-417.6*Escalation!$B$83,Actuals!CI49)</f>
        <v>-470.285426284646</v>
      </c>
      <c r="CI231" s="21" t="n">
        <f aca="false">IF(ISBLANK(Actuals!CJ49),-417.6*Escalation!$B$84,Actuals!CJ49)</f>
        <v>-470.285426284646</v>
      </c>
      <c r="CJ231" s="21" t="n">
        <f aca="false">IF(ISBLANK(Actuals!CK49),-417.6*Escalation!$B$85,Actuals!CK49)</f>
        <v>-470.285426284646</v>
      </c>
      <c r="CK231" s="21" t="n">
        <f aca="false">IF(ISBLANK(Actuals!CL49),-417.6*Escalation!$B$86,Actuals!CL49)</f>
        <v>-479.691134810339</v>
      </c>
      <c r="CL231" s="21" t="n">
        <f aca="false">IF(ISBLANK(Actuals!CM49),-417.6*Escalation!$B$87,Actuals!CM49)</f>
        <v>-479.691134810339</v>
      </c>
      <c r="CM231" s="21" t="n">
        <f aca="false">IF(ISBLANK(Actuals!CN49),-417.6*Escalation!$B$88,Actuals!CN49)</f>
        <v>-479.691134810339</v>
      </c>
      <c r="CN231" s="21" t="n">
        <f aca="false">IF(ISBLANK(Actuals!CO49),-417.6*Escalation!$B$89,Actuals!CO49)</f>
        <v>-479.691134810339</v>
      </c>
      <c r="CO231" s="21" t="n">
        <f aca="false">IF(ISBLANK(Actuals!CP49),-417.6*Escalation!$B$90,Actuals!CP49)</f>
        <v>-479.691134810339</v>
      </c>
      <c r="CP231" s="21" t="n">
        <f aca="false">IF(ISBLANK(Actuals!CQ49),-417.6*Escalation!$B$91,Actuals!CQ49)</f>
        <v>-479.691134810339</v>
      </c>
      <c r="CQ231" s="21" t="n">
        <f aca="false">IF(ISBLANK(Actuals!CR49),-417.6*Escalation!$B$92,Actuals!CR49)</f>
        <v>-479.691134810339</v>
      </c>
      <c r="CR231" s="21" t="n">
        <f aca="false">IF(ISBLANK(Actuals!CS49),-417.6*Escalation!$B$93,Actuals!CS49)</f>
        <v>-479.691134810339</v>
      </c>
      <c r="CS231" s="21" t="n">
        <f aca="false">IF(ISBLANK(Actuals!CT49),-417.6*Escalation!$B$94,Actuals!CT49)</f>
        <v>-479.691134810339</v>
      </c>
      <c r="CT231" s="21" t="n">
        <f aca="false">IF(ISBLANK(Actuals!CU49),-417.6*Escalation!$B$95,Actuals!CU49)</f>
        <v>-479.691134810339</v>
      </c>
      <c r="CU231" s="21" t="n">
        <f aca="false">IF(ISBLANK(Actuals!CV49),-417.6*Escalation!$B$96,Actuals!CV49)</f>
        <v>-479.691134810339</v>
      </c>
      <c r="CV231" s="21" t="n">
        <f aca="false">IF(ISBLANK(Actuals!CW49),-417.6*Escalation!$B$97,Actuals!CW49)</f>
        <v>-479.691134810339</v>
      </c>
      <c r="CW231" s="21" t="n">
        <f aca="false">IF(ISBLANK(Actuals!CX49),-417.6*Escalation!$B$98,Actuals!CX49)</f>
        <v>-489.284957506546</v>
      </c>
      <c r="CX231" s="21" t="n">
        <f aca="false">IF(ISBLANK(Actuals!CY49),-417.6*Escalation!$B$99,Actuals!CY49)</f>
        <v>-489.284957506546</v>
      </c>
      <c r="CY231" s="21" t="n">
        <f aca="false">IF(ISBLANK(Actuals!CZ49),-417.6*Escalation!$B$100,Actuals!CZ49)</f>
        <v>-489.284957506546</v>
      </c>
      <c r="CZ231" s="21" t="n">
        <f aca="false">IF(ISBLANK(Actuals!DA49),-417.6*Escalation!$B$101,Actuals!DA49)</f>
        <v>-489.284957506546</v>
      </c>
      <c r="DA231" s="21" t="n">
        <f aca="false">IF(ISBLANK(Actuals!DB49),-417.6*Escalation!$B$102,Actuals!DB49)</f>
        <v>-489.284957506546</v>
      </c>
      <c r="DB231" s="21" t="n">
        <f aca="false">IF(ISBLANK(Actuals!DC49),-417.6*Escalation!$B$103,Actuals!DC49)</f>
        <v>-489.284957506546</v>
      </c>
      <c r="DC231" s="21" t="n">
        <f aca="false">IF(ISBLANK(Actuals!DD49),-417.6*Escalation!$B$104,Actuals!DD49)</f>
        <v>-489.284957506546</v>
      </c>
      <c r="DD231" s="21" t="n">
        <f aca="false">IF(ISBLANK(Actuals!DE49),-417.6*Escalation!$B$105,Actuals!DE49)</f>
        <v>-489.284957506546</v>
      </c>
      <c r="DE231" s="21" t="n">
        <f aca="false">IF(ISBLANK(Actuals!DF49),-417.6*Escalation!$B$106,Actuals!DF49)</f>
        <v>-489.284957506546</v>
      </c>
    </row>
    <row r="232" customFormat="false" ht="15" hidden="false" customHeight="true" outlineLevel="0" collapsed="false">
      <c r="A232" s="22" t="s">
        <v>93</v>
      </c>
      <c r="B232" s="21" t="n">
        <f aca="false">IF(ISBLANK(Actuals!C50),0,Actuals!C50)</f>
        <v>0</v>
      </c>
      <c r="C232" s="21" t="n">
        <f aca="false">IF(ISBLANK(Actuals!D50),0,Actuals!D50)</f>
        <v>-75</v>
      </c>
      <c r="D232" s="21" t="n">
        <f aca="false">IF(ISBLANK(Actuals!E50),0,Actuals!E50)</f>
        <v>-5</v>
      </c>
      <c r="E232" s="21" t="n">
        <f aca="false">IF(ISBLANK(Actuals!F50),-26.67*Escalation!$B$2,Actuals!F50)</f>
        <v>0</v>
      </c>
      <c r="F232" s="21" t="n">
        <f aca="false">IF(ISBLANK(Actuals!G50),-26.67*Escalation!$B$3,Actuals!G50)</f>
        <v>0</v>
      </c>
      <c r="G232" s="21" t="n">
        <f aca="false">IF(ISBLANK(Actuals!H50),-26.67*Escalation!$B$4,Actuals!H50)</f>
        <v>0</v>
      </c>
      <c r="H232" s="21" t="n">
        <f aca="false">IF(ISBLANK(Actuals!I50),-26.67*Escalation!$B$5,Actuals!I50)</f>
        <v>-5</v>
      </c>
      <c r="I232" s="21" t="n">
        <f aca="false">IF(ISBLANK(Actuals!J50),-26.67*Escalation!$B$6,Actuals!J50)</f>
        <v>-50</v>
      </c>
      <c r="J232" s="21" t="n">
        <f aca="false">IF(ISBLANK(Actuals!K50),-26.67*Escalation!$B$7,Actuals!K50)</f>
        <v>-26.67</v>
      </c>
      <c r="K232" s="21" t="n">
        <f aca="false">IF(ISBLANK(Actuals!L50),-26.67*Escalation!$B$8,Actuals!L50)</f>
        <v>-26.67</v>
      </c>
      <c r="L232" s="21" t="n">
        <f aca="false">IF(ISBLANK(Actuals!M50),-26.67*Escalation!$B$9,Actuals!M50)</f>
        <v>-26.67</v>
      </c>
      <c r="M232" s="21" t="n">
        <f aca="false">IF(ISBLANK(Actuals!N50),-26.67*Escalation!$B$10,Actuals!N50)</f>
        <v>-26.67</v>
      </c>
      <c r="N232" s="21" t="n">
        <f aca="false">IF(ISBLANK(Actuals!O50),-26.67*Escalation!$B$11,Actuals!O50)</f>
        <v>-26.67</v>
      </c>
      <c r="O232" s="21" t="n">
        <f aca="false">IF(ISBLANK(Actuals!P50),-26.67*Escalation!$B$12,Actuals!P50)</f>
        <v>-26.67</v>
      </c>
      <c r="P232" s="21" t="n">
        <f aca="false">IF(ISBLANK(Actuals!Q50),-26.67*Escalation!$B$13,Actuals!Q50)</f>
        <v>-26.67</v>
      </c>
      <c r="Q232" s="21" t="n">
        <f aca="false">IF(ISBLANK(Actuals!R50),-26.67*Escalation!$B$14,Actuals!R50)</f>
        <v>-27.2034</v>
      </c>
      <c r="R232" s="21" t="n">
        <f aca="false">IF(ISBLANK(Actuals!S50),-26.67*Escalation!$B$15,Actuals!S50)</f>
        <v>-27.2034</v>
      </c>
      <c r="S232" s="21" t="n">
        <f aca="false">IF(ISBLANK(Actuals!T50),-26.67*Escalation!$B$16,Actuals!T50)</f>
        <v>-27.2034</v>
      </c>
      <c r="T232" s="21" t="n">
        <f aca="false">IF(ISBLANK(Actuals!U50),-26.67*Escalation!$B$17,Actuals!U50)</f>
        <v>-27.2034</v>
      </c>
      <c r="U232" s="21" t="n">
        <f aca="false">IF(ISBLANK(Actuals!V50),-26.67*Escalation!$B$18,Actuals!V50)</f>
        <v>-27.2034</v>
      </c>
      <c r="V232" s="21" t="n">
        <f aca="false">IF(ISBLANK(Actuals!W50),-26.67*Escalation!$B$19,Actuals!W50)</f>
        <v>-27.2034</v>
      </c>
      <c r="W232" s="21" t="n">
        <f aca="false">IF(ISBLANK(Actuals!X50),-26.67*Escalation!$B$20,Actuals!X50)</f>
        <v>-27.2034</v>
      </c>
      <c r="X232" s="21" t="n">
        <f aca="false">IF(ISBLANK(Actuals!Y50),-26.67*Escalation!$B$21,Actuals!Y50)</f>
        <v>-27.2034</v>
      </c>
      <c r="Y232" s="21" t="n">
        <f aca="false">IF(ISBLANK(Actuals!Z50),-26.67*Escalation!$B$22,Actuals!Z50)</f>
        <v>-27.2034</v>
      </c>
      <c r="Z232" s="21" t="n">
        <f aca="false">IF(ISBLANK(Actuals!AA50),-26.67*Escalation!$B$23,Actuals!AA50)</f>
        <v>-27.2034</v>
      </c>
      <c r="AA232" s="21" t="n">
        <f aca="false">IF(ISBLANK(Actuals!AB50),-26.67*Escalation!$B$24,Actuals!AB50)</f>
        <v>-27.2034</v>
      </c>
      <c r="AB232" s="21" t="n">
        <f aca="false">IF(ISBLANK(Actuals!AC50),-26.67*Escalation!$B$25,Actuals!AC50)</f>
        <v>-27.2034</v>
      </c>
      <c r="AC232" s="21" t="n">
        <f aca="false">IF(ISBLANK(Actuals!AD50),-26.67*Escalation!$B$26,Actuals!AD50)</f>
        <v>-27.747468</v>
      </c>
      <c r="AD232" s="21" t="n">
        <f aca="false">IF(ISBLANK(Actuals!AE50),-26.67*Escalation!$B$27,Actuals!AE50)</f>
        <v>-27.747468</v>
      </c>
      <c r="AE232" s="21" t="n">
        <f aca="false">IF(ISBLANK(Actuals!AF50),-26.67*Escalation!$B$28,Actuals!AF50)</f>
        <v>-27.747468</v>
      </c>
      <c r="AF232" s="21" t="n">
        <f aca="false">IF(ISBLANK(Actuals!AG50),-26.67*Escalation!$B$29,Actuals!AG50)</f>
        <v>-27.747468</v>
      </c>
      <c r="AG232" s="21" t="n">
        <f aca="false">IF(ISBLANK(Actuals!AH50),-26.67*Escalation!$B$30,Actuals!AH50)</f>
        <v>-27.747468</v>
      </c>
      <c r="AH232" s="21" t="n">
        <f aca="false">IF(ISBLANK(Actuals!AI50),-26.67*Escalation!$B$31,Actuals!AI50)</f>
        <v>-27.747468</v>
      </c>
      <c r="AI232" s="21" t="n">
        <f aca="false">IF(ISBLANK(Actuals!AJ50),-26.67*Escalation!$B$32,Actuals!AJ50)</f>
        <v>-27.747468</v>
      </c>
      <c r="AJ232" s="21" t="n">
        <f aca="false">IF(ISBLANK(Actuals!AK50),-26.67*Escalation!$B$33,Actuals!AK50)</f>
        <v>-27.747468</v>
      </c>
      <c r="AK232" s="21" t="n">
        <f aca="false">IF(ISBLANK(Actuals!AL50),-26.67*Escalation!$B$34,Actuals!AL50)</f>
        <v>-27.747468</v>
      </c>
      <c r="AL232" s="21" t="n">
        <f aca="false">IF(ISBLANK(Actuals!AM50),-26.67*Escalation!$B$35,Actuals!AM50)</f>
        <v>-27.747468</v>
      </c>
      <c r="AM232" s="21" t="n">
        <f aca="false">IF(ISBLANK(Actuals!AN50),-26.67*Escalation!$B$36,Actuals!AN50)</f>
        <v>-27.747468</v>
      </c>
      <c r="AN232" s="21" t="n">
        <f aca="false">IF(ISBLANK(Actuals!AO50),-26.67*Escalation!$B$37,Actuals!AO50)</f>
        <v>-27.747468</v>
      </c>
      <c r="AO232" s="21" t="n">
        <f aca="false">IF(ISBLANK(Actuals!AP50),-26.67*Escalation!$B$38,Actuals!AP50)</f>
        <v>-28.30241736</v>
      </c>
      <c r="AP232" s="21" t="n">
        <f aca="false">IF(ISBLANK(Actuals!AQ50),-26.67*Escalation!$B$39,Actuals!AQ50)</f>
        <v>-28.30241736</v>
      </c>
      <c r="AQ232" s="21" t="n">
        <f aca="false">IF(ISBLANK(Actuals!AR50),-26.67*Escalation!$B$40,Actuals!AR50)</f>
        <v>-28.30241736</v>
      </c>
      <c r="AR232" s="21" t="n">
        <f aca="false">IF(ISBLANK(Actuals!AS50),-26.67*Escalation!$B$41,Actuals!AS50)</f>
        <v>-28.30241736</v>
      </c>
      <c r="AS232" s="21" t="n">
        <f aca="false">IF(ISBLANK(Actuals!AT50),-26.67*Escalation!$B$42,Actuals!AT50)</f>
        <v>-28.30241736</v>
      </c>
      <c r="AT232" s="21" t="n">
        <f aca="false">IF(ISBLANK(Actuals!AU50),-26.67*Escalation!$B$43,Actuals!AU50)</f>
        <v>-28.30241736</v>
      </c>
      <c r="AU232" s="21" t="n">
        <f aca="false">IF(ISBLANK(Actuals!AV50),-26.67*Escalation!$B$44,Actuals!AV50)</f>
        <v>-28.30241736</v>
      </c>
      <c r="AV232" s="21" t="n">
        <f aca="false">IF(ISBLANK(Actuals!AW50),-26.67*Escalation!$B$45,Actuals!AW50)</f>
        <v>-28.30241736</v>
      </c>
      <c r="AW232" s="21" t="n">
        <f aca="false">IF(ISBLANK(Actuals!AX50),-26.67*Escalation!$B$46,Actuals!AX50)</f>
        <v>-28.30241736</v>
      </c>
      <c r="AX232" s="21" t="n">
        <f aca="false">IF(ISBLANK(Actuals!AY50),-26.67*Escalation!$B$47,Actuals!AY50)</f>
        <v>-28.30241736</v>
      </c>
      <c r="AY232" s="21" t="n">
        <f aca="false">IF(ISBLANK(Actuals!AZ50),-26.67*Escalation!$B$48,Actuals!AZ50)</f>
        <v>-28.30241736</v>
      </c>
      <c r="AZ232" s="21" t="n">
        <f aca="false">IF(ISBLANK(Actuals!BA50),-26.67*Escalation!$B$49,Actuals!BA50)</f>
        <v>-28.30241736</v>
      </c>
      <c r="BA232" s="21" t="n">
        <f aca="false">IF(ISBLANK(Actuals!BB50),-26.67*Escalation!$B$50,Actuals!BB50)</f>
        <v>-28.8684657072</v>
      </c>
      <c r="BB232" s="21" t="n">
        <f aca="false">IF(ISBLANK(Actuals!BC50),-26.67*Escalation!$B$51,Actuals!BC50)</f>
        <v>-28.8684657072</v>
      </c>
      <c r="BC232" s="21" t="n">
        <f aca="false">IF(ISBLANK(Actuals!BD50),-26.67*Escalation!$B$52,Actuals!BD50)</f>
        <v>-28.8684657072</v>
      </c>
      <c r="BD232" s="21" t="n">
        <f aca="false">IF(ISBLANK(Actuals!BE50),-26.67*Escalation!$B$53,Actuals!BE50)</f>
        <v>-28.8684657072</v>
      </c>
      <c r="BE232" s="21" t="n">
        <f aca="false">IF(ISBLANK(Actuals!BF50),-26.67*Escalation!$B$54,Actuals!BF50)</f>
        <v>-28.8684657072</v>
      </c>
      <c r="BF232" s="21" t="n">
        <f aca="false">IF(ISBLANK(Actuals!BG50),-26.67*Escalation!$B$55,Actuals!BG50)</f>
        <v>-28.8684657072</v>
      </c>
      <c r="BG232" s="21" t="n">
        <f aca="false">IF(ISBLANK(Actuals!BH50),-26.67*Escalation!$B$56,Actuals!BH50)</f>
        <v>-28.8684657072</v>
      </c>
      <c r="BH232" s="21" t="n">
        <f aca="false">IF(ISBLANK(Actuals!BI50),-26.67*Escalation!$B$57,Actuals!BI50)</f>
        <v>-28.8684657072</v>
      </c>
      <c r="BI232" s="21" t="n">
        <f aca="false">IF(ISBLANK(Actuals!BJ50),-26.67*Escalation!$B$58,Actuals!BJ50)</f>
        <v>-28.8684657072</v>
      </c>
      <c r="BJ232" s="21" t="n">
        <f aca="false">IF(ISBLANK(Actuals!BK50),-26.67*Escalation!$B$59,Actuals!BK50)</f>
        <v>-28.8684657072</v>
      </c>
      <c r="BK232" s="21" t="n">
        <f aca="false">IF(ISBLANK(Actuals!BL50),-26.67*Escalation!$B$60,Actuals!BL50)</f>
        <v>-28.8684657072</v>
      </c>
      <c r="BL232" s="21" t="n">
        <f aca="false">IF(ISBLANK(Actuals!BM50),-26.67*Escalation!$B$61,Actuals!BM50)</f>
        <v>-28.8684657072</v>
      </c>
      <c r="BM232" s="21" t="n">
        <f aca="false">IF(ISBLANK(Actuals!BN50),-26.67*Escalation!$B$62,Actuals!BN50)</f>
        <v>-29.445835021344</v>
      </c>
      <c r="BN232" s="21" t="n">
        <f aca="false">IF(ISBLANK(Actuals!BO50),-26.67*Escalation!$B$63,Actuals!BO50)</f>
        <v>-29.445835021344</v>
      </c>
      <c r="BO232" s="21" t="n">
        <f aca="false">IF(ISBLANK(Actuals!BP50),-26.67*Escalation!$B$64,Actuals!BP50)</f>
        <v>-29.445835021344</v>
      </c>
      <c r="BP232" s="21" t="n">
        <f aca="false">IF(ISBLANK(Actuals!BQ50),-26.67*Escalation!$B$65,Actuals!BQ50)</f>
        <v>-29.445835021344</v>
      </c>
      <c r="BQ232" s="21" t="n">
        <f aca="false">IF(ISBLANK(Actuals!BR50),-26.67*Escalation!$B$66,Actuals!BR50)</f>
        <v>-29.445835021344</v>
      </c>
      <c r="BR232" s="21" t="n">
        <f aca="false">IF(ISBLANK(Actuals!BS50),-26.67*Escalation!$B$67,Actuals!BS50)</f>
        <v>-29.445835021344</v>
      </c>
      <c r="BS232" s="21" t="n">
        <f aca="false">IF(ISBLANK(Actuals!BT50),-26.67*Escalation!$B$68,Actuals!BT50)</f>
        <v>-29.445835021344</v>
      </c>
      <c r="BT232" s="21" t="n">
        <f aca="false">IF(ISBLANK(Actuals!BU50),-26.67*Escalation!$B$69,Actuals!BU50)</f>
        <v>-29.445835021344</v>
      </c>
      <c r="BU232" s="21" t="n">
        <f aca="false">IF(ISBLANK(Actuals!BV50),-26.67*Escalation!$B$70,Actuals!BV50)</f>
        <v>-29.445835021344</v>
      </c>
      <c r="BV232" s="21" t="n">
        <f aca="false">IF(ISBLANK(Actuals!BW50),-26.67*Escalation!$B$71,Actuals!BW50)</f>
        <v>-29.445835021344</v>
      </c>
      <c r="BW232" s="21" t="n">
        <f aca="false">IF(ISBLANK(Actuals!BX50),-26.67*Escalation!$B$72,Actuals!BX50)</f>
        <v>-29.445835021344</v>
      </c>
      <c r="BX232" s="21" t="n">
        <f aca="false">IF(ISBLANK(Actuals!BY50),-26.67*Escalation!$B$73,Actuals!BY50)</f>
        <v>-29.445835021344</v>
      </c>
      <c r="BY232" s="21" t="n">
        <f aca="false">IF(ISBLANK(Actuals!BZ50),-26.67*Escalation!$B$74,Actuals!BZ50)</f>
        <v>-30.0347517217709</v>
      </c>
      <c r="BZ232" s="21" t="n">
        <f aca="false">IF(ISBLANK(Actuals!CA50),-26.67*Escalation!$B$75,Actuals!CA50)</f>
        <v>-30.0347517217709</v>
      </c>
      <c r="CA232" s="21" t="n">
        <f aca="false">IF(ISBLANK(Actuals!CB50),-26.67*Escalation!$B$76,Actuals!CB50)</f>
        <v>-30.0347517217709</v>
      </c>
      <c r="CB232" s="21" t="n">
        <f aca="false">IF(ISBLANK(Actuals!CC50),-26.67*Escalation!$B$77,Actuals!CC50)</f>
        <v>-30.0347517217709</v>
      </c>
      <c r="CC232" s="21" t="n">
        <f aca="false">IF(ISBLANK(Actuals!CD50),-26.67*Escalation!$B$78,Actuals!CD50)</f>
        <v>-30.0347517217709</v>
      </c>
      <c r="CD232" s="21" t="n">
        <f aca="false">IF(ISBLANK(Actuals!CE50),-26.67*Escalation!$B$79,Actuals!CE50)</f>
        <v>-30.0347517217709</v>
      </c>
      <c r="CE232" s="21" t="n">
        <f aca="false">IF(ISBLANK(Actuals!CF50),-26.67*Escalation!$B$80,Actuals!CF50)</f>
        <v>-30.0347517217709</v>
      </c>
      <c r="CF232" s="21" t="n">
        <f aca="false">IF(ISBLANK(Actuals!CG50),-26.67*Escalation!$B$81,Actuals!CG50)</f>
        <v>-30.0347517217709</v>
      </c>
      <c r="CG232" s="21" t="n">
        <f aca="false">IF(ISBLANK(Actuals!CH50),-26.67*Escalation!$B$82,Actuals!CH50)</f>
        <v>-30.0347517217709</v>
      </c>
      <c r="CH232" s="21" t="n">
        <f aca="false">IF(ISBLANK(Actuals!CI50),-26.67*Escalation!$B$83,Actuals!CI50)</f>
        <v>-30.0347517217709</v>
      </c>
      <c r="CI232" s="21" t="n">
        <f aca="false">IF(ISBLANK(Actuals!CJ50),-26.67*Escalation!$B$84,Actuals!CJ50)</f>
        <v>-30.0347517217709</v>
      </c>
      <c r="CJ232" s="21" t="n">
        <f aca="false">IF(ISBLANK(Actuals!CK50),-26.67*Escalation!$B$85,Actuals!CK50)</f>
        <v>-30.0347517217709</v>
      </c>
      <c r="CK232" s="21" t="n">
        <f aca="false">IF(ISBLANK(Actuals!CL50),-26.67*Escalation!$B$86,Actuals!CL50)</f>
        <v>-30.6354467562063</v>
      </c>
      <c r="CL232" s="21" t="n">
        <f aca="false">IF(ISBLANK(Actuals!CM50),-26.67*Escalation!$B$87,Actuals!CM50)</f>
        <v>-30.6354467562063</v>
      </c>
      <c r="CM232" s="21" t="n">
        <f aca="false">IF(ISBLANK(Actuals!CN50),-26.67*Escalation!$B$88,Actuals!CN50)</f>
        <v>-30.6354467562063</v>
      </c>
      <c r="CN232" s="21" t="n">
        <f aca="false">IF(ISBLANK(Actuals!CO50),-26.67*Escalation!$B$89,Actuals!CO50)</f>
        <v>-30.6354467562063</v>
      </c>
      <c r="CO232" s="21" t="n">
        <f aca="false">IF(ISBLANK(Actuals!CP50),-26.67*Escalation!$B$90,Actuals!CP50)</f>
        <v>-30.6354467562063</v>
      </c>
      <c r="CP232" s="21" t="n">
        <f aca="false">IF(ISBLANK(Actuals!CQ50),-26.67*Escalation!$B$91,Actuals!CQ50)</f>
        <v>-30.6354467562063</v>
      </c>
      <c r="CQ232" s="21" t="n">
        <f aca="false">IF(ISBLANK(Actuals!CR50),-26.67*Escalation!$B$92,Actuals!CR50)</f>
        <v>-30.6354467562063</v>
      </c>
      <c r="CR232" s="21" t="n">
        <f aca="false">IF(ISBLANK(Actuals!CS50),-26.67*Escalation!$B$93,Actuals!CS50)</f>
        <v>-30.6354467562063</v>
      </c>
      <c r="CS232" s="21" t="n">
        <f aca="false">IF(ISBLANK(Actuals!CT50),-26.67*Escalation!$B$94,Actuals!CT50)</f>
        <v>-30.6354467562063</v>
      </c>
      <c r="CT232" s="21" t="n">
        <f aca="false">IF(ISBLANK(Actuals!CU50),-26.67*Escalation!$B$95,Actuals!CU50)</f>
        <v>-30.6354467562063</v>
      </c>
      <c r="CU232" s="21" t="n">
        <f aca="false">IF(ISBLANK(Actuals!CV50),-26.67*Escalation!$B$96,Actuals!CV50)</f>
        <v>-30.6354467562063</v>
      </c>
      <c r="CV232" s="21" t="n">
        <f aca="false">IF(ISBLANK(Actuals!CW50),-26.67*Escalation!$B$97,Actuals!CW50)</f>
        <v>-30.6354467562063</v>
      </c>
      <c r="CW232" s="21" t="n">
        <f aca="false">IF(ISBLANK(Actuals!CX50),-26.67*Escalation!$B$98,Actuals!CX50)</f>
        <v>-31.2481556913304</v>
      </c>
      <c r="CX232" s="21" t="n">
        <f aca="false">IF(ISBLANK(Actuals!CY50),-26.67*Escalation!$B$99,Actuals!CY50)</f>
        <v>-31.2481556913304</v>
      </c>
      <c r="CY232" s="21" t="n">
        <f aca="false">IF(ISBLANK(Actuals!CZ50),-26.67*Escalation!$B$100,Actuals!CZ50)</f>
        <v>-31.2481556913304</v>
      </c>
      <c r="CZ232" s="21" t="n">
        <f aca="false">IF(ISBLANK(Actuals!DA50),-26.67*Escalation!$B$101,Actuals!DA50)</f>
        <v>-31.2481556913304</v>
      </c>
      <c r="DA232" s="21" t="n">
        <f aca="false">IF(ISBLANK(Actuals!DB50),-26.67*Escalation!$B$102,Actuals!DB50)</f>
        <v>-31.2481556913304</v>
      </c>
      <c r="DB232" s="21" t="n">
        <f aca="false">IF(ISBLANK(Actuals!DC50),-26.67*Escalation!$B$103,Actuals!DC50)</f>
        <v>-31.2481556913304</v>
      </c>
      <c r="DC232" s="21" t="n">
        <f aca="false">IF(ISBLANK(Actuals!DD50),-26.67*Escalation!$B$104,Actuals!DD50)</f>
        <v>-31.2481556913304</v>
      </c>
      <c r="DD232" s="21" t="n">
        <f aca="false">IF(ISBLANK(Actuals!DE50),-26.67*Escalation!$B$105,Actuals!DE50)</f>
        <v>-31.2481556913304</v>
      </c>
      <c r="DE232" s="21" t="n">
        <f aca="false">IF(ISBLANK(Actuals!DF50),-26.67*Escalation!$B$106,Actuals!DF50)</f>
        <v>-31.2481556913304</v>
      </c>
    </row>
    <row r="233" customFormat="false" ht="15" hidden="false" customHeight="true" outlineLevel="0" collapsed="false">
      <c r="A233" s="22" t="s">
        <v>94</v>
      </c>
      <c r="B233" s="21" t="n">
        <f aca="false">IF(ISBLANK(Actuals!C51),0,Actuals!C51)</f>
        <v>0</v>
      </c>
      <c r="C233" s="21" t="n">
        <f aca="false">IF(ISBLANK(Actuals!D51),0,Actuals!D51)</f>
        <v>-63</v>
      </c>
      <c r="D233" s="21" t="n">
        <f aca="false">IF(ISBLANK(Actuals!E51),0,Actuals!E51)</f>
        <v>0</v>
      </c>
      <c r="E233" s="21" t="n">
        <f aca="false">IF(ISBLANK(Actuals!F51),-21*Escalation!$B$2,Actuals!F51)</f>
        <v>0</v>
      </c>
      <c r="F233" s="21" t="n">
        <f aca="false">IF(ISBLANK(Actuals!G51),-21*Escalation!$B$3,Actuals!G51)</f>
        <v>0</v>
      </c>
      <c r="G233" s="21" t="n">
        <f aca="false">IF(ISBLANK(Actuals!H51),-21*Escalation!$B$4,Actuals!H51)</f>
        <v>0</v>
      </c>
      <c r="H233" s="21" t="n">
        <f aca="false">IF(ISBLANK(Actuals!I51),-21*Escalation!$B$5,Actuals!I51)</f>
        <v>0</v>
      </c>
      <c r="I233" s="21" t="n">
        <f aca="false">IF(ISBLANK(Actuals!J51),-21*Escalation!$B$6,Actuals!J51)</f>
        <v>0</v>
      </c>
      <c r="J233" s="21" t="n">
        <f aca="false">IF(ISBLANK(Actuals!K51),-21*Escalation!$B$7,Actuals!K51)</f>
        <v>-21</v>
      </c>
      <c r="K233" s="21" t="n">
        <f aca="false">IF(ISBLANK(Actuals!L51),-21*Escalation!$B$8,Actuals!L51)</f>
        <v>-21</v>
      </c>
      <c r="L233" s="21" t="n">
        <f aca="false">IF(ISBLANK(Actuals!M51),-21*Escalation!$B$9,Actuals!M51)</f>
        <v>-21</v>
      </c>
      <c r="M233" s="21" t="n">
        <f aca="false">IF(ISBLANK(Actuals!N51),-21*Escalation!$B$10,Actuals!N51)</f>
        <v>-21</v>
      </c>
      <c r="N233" s="21" t="n">
        <f aca="false">IF(ISBLANK(Actuals!O51),-21*Escalation!$B$11,Actuals!O51)</f>
        <v>-21</v>
      </c>
      <c r="O233" s="21" t="n">
        <f aca="false">IF(ISBLANK(Actuals!P51),-21*Escalation!$B$12,Actuals!P51)</f>
        <v>-21</v>
      </c>
      <c r="P233" s="21" t="n">
        <f aca="false">IF(ISBLANK(Actuals!Q51),-21*Escalation!$B$13,Actuals!Q51)</f>
        <v>-21</v>
      </c>
      <c r="Q233" s="21" t="n">
        <f aca="false">IF(ISBLANK(Actuals!R51),-21*Escalation!$B$14,Actuals!R51)</f>
        <v>-21.42</v>
      </c>
      <c r="R233" s="21" t="n">
        <f aca="false">IF(ISBLANK(Actuals!S51),-21*Escalation!$B$15,Actuals!S51)</f>
        <v>-21.42</v>
      </c>
      <c r="S233" s="21" t="n">
        <f aca="false">IF(ISBLANK(Actuals!T51),-21*Escalation!$B$16,Actuals!T51)</f>
        <v>-21.42</v>
      </c>
      <c r="T233" s="21" t="n">
        <f aca="false">IF(ISBLANK(Actuals!U51),-21*Escalation!$B$17,Actuals!U51)</f>
        <v>-21.42</v>
      </c>
      <c r="U233" s="21" t="n">
        <f aca="false">IF(ISBLANK(Actuals!V51),-21*Escalation!$B$18,Actuals!V51)</f>
        <v>-21.42</v>
      </c>
      <c r="V233" s="21" t="n">
        <f aca="false">IF(ISBLANK(Actuals!W51),-21*Escalation!$B$19,Actuals!W51)</f>
        <v>-21.42</v>
      </c>
      <c r="W233" s="21" t="n">
        <f aca="false">IF(ISBLANK(Actuals!X51),-21*Escalation!$B$20,Actuals!X51)</f>
        <v>-21.42</v>
      </c>
      <c r="X233" s="21" t="n">
        <f aca="false">IF(ISBLANK(Actuals!Y51),-21*Escalation!$B$21,Actuals!Y51)</f>
        <v>-21.42</v>
      </c>
      <c r="Y233" s="21" t="n">
        <f aca="false">IF(ISBLANK(Actuals!Z51),-21*Escalation!$B$22,Actuals!Z51)</f>
        <v>-21.42</v>
      </c>
      <c r="Z233" s="21" t="n">
        <f aca="false">IF(ISBLANK(Actuals!AA51),-21*Escalation!$B$23,Actuals!AA51)</f>
        <v>-21.42</v>
      </c>
      <c r="AA233" s="21" t="n">
        <f aca="false">IF(ISBLANK(Actuals!AB51),-21*Escalation!$B$24,Actuals!AB51)</f>
        <v>-21.42</v>
      </c>
      <c r="AB233" s="21" t="n">
        <f aca="false">IF(ISBLANK(Actuals!AC51),-21*Escalation!$B$25,Actuals!AC51)</f>
        <v>-21.42</v>
      </c>
      <c r="AC233" s="21" t="n">
        <f aca="false">IF(ISBLANK(Actuals!AD51),-21*Escalation!$B$26,Actuals!AD51)</f>
        <v>-21.8484</v>
      </c>
      <c r="AD233" s="21" t="n">
        <f aca="false">IF(ISBLANK(Actuals!AE51),-21*Escalation!$B$27,Actuals!AE51)</f>
        <v>-21.8484</v>
      </c>
      <c r="AE233" s="21" t="n">
        <f aca="false">IF(ISBLANK(Actuals!AF51),-21*Escalation!$B$28,Actuals!AF51)</f>
        <v>-21.8484</v>
      </c>
      <c r="AF233" s="21" t="n">
        <f aca="false">IF(ISBLANK(Actuals!AG51),-21*Escalation!$B$29,Actuals!AG51)</f>
        <v>-21.8484</v>
      </c>
      <c r="AG233" s="21" t="n">
        <f aca="false">IF(ISBLANK(Actuals!AH51),-21*Escalation!$B$30,Actuals!AH51)</f>
        <v>-21.8484</v>
      </c>
      <c r="AH233" s="21" t="n">
        <f aca="false">IF(ISBLANK(Actuals!AI51),-21*Escalation!$B$31,Actuals!AI51)</f>
        <v>-21.8484</v>
      </c>
      <c r="AI233" s="21" t="n">
        <f aca="false">IF(ISBLANK(Actuals!AJ51),-21*Escalation!$B$32,Actuals!AJ51)</f>
        <v>-21.8484</v>
      </c>
      <c r="AJ233" s="21" t="n">
        <f aca="false">IF(ISBLANK(Actuals!AK51),-21*Escalation!$B$33,Actuals!AK51)</f>
        <v>-21.8484</v>
      </c>
      <c r="AK233" s="21" t="n">
        <f aca="false">IF(ISBLANK(Actuals!AL51),-21*Escalation!$B$34,Actuals!AL51)</f>
        <v>-21.8484</v>
      </c>
      <c r="AL233" s="21" t="n">
        <f aca="false">IF(ISBLANK(Actuals!AM51),-21*Escalation!$B$35,Actuals!AM51)</f>
        <v>-21.8484</v>
      </c>
      <c r="AM233" s="21" t="n">
        <f aca="false">IF(ISBLANK(Actuals!AN51),-21*Escalation!$B$36,Actuals!AN51)</f>
        <v>-21.8484</v>
      </c>
      <c r="AN233" s="21" t="n">
        <f aca="false">IF(ISBLANK(Actuals!AO51),-21*Escalation!$B$37,Actuals!AO51)</f>
        <v>-21.8484</v>
      </c>
      <c r="AO233" s="21" t="n">
        <f aca="false">IF(ISBLANK(Actuals!AP51),-21*Escalation!$B$38,Actuals!AP51)</f>
        <v>-22.285368</v>
      </c>
      <c r="AP233" s="21" t="n">
        <f aca="false">IF(ISBLANK(Actuals!AQ51),-21*Escalation!$B$39,Actuals!AQ51)</f>
        <v>-22.285368</v>
      </c>
      <c r="AQ233" s="21" t="n">
        <f aca="false">IF(ISBLANK(Actuals!AR51),-21*Escalation!$B$40,Actuals!AR51)</f>
        <v>-22.285368</v>
      </c>
      <c r="AR233" s="21" t="n">
        <f aca="false">IF(ISBLANK(Actuals!AS51),-21*Escalation!$B$41,Actuals!AS51)</f>
        <v>-22.285368</v>
      </c>
      <c r="AS233" s="21" t="n">
        <f aca="false">IF(ISBLANK(Actuals!AT51),-21*Escalation!$B$42,Actuals!AT51)</f>
        <v>-22.285368</v>
      </c>
      <c r="AT233" s="21" t="n">
        <f aca="false">IF(ISBLANK(Actuals!AU51),-21*Escalation!$B$43,Actuals!AU51)</f>
        <v>-22.285368</v>
      </c>
      <c r="AU233" s="21" t="n">
        <f aca="false">IF(ISBLANK(Actuals!AV51),-21*Escalation!$B$44,Actuals!AV51)</f>
        <v>-22.285368</v>
      </c>
      <c r="AV233" s="21" t="n">
        <f aca="false">IF(ISBLANK(Actuals!AW51),-21*Escalation!$B$45,Actuals!AW51)</f>
        <v>-22.285368</v>
      </c>
      <c r="AW233" s="21" t="n">
        <f aca="false">IF(ISBLANK(Actuals!AX51),-21*Escalation!$B$46,Actuals!AX51)</f>
        <v>-22.285368</v>
      </c>
      <c r="AX233" s="21" t="n">
        <f aca="false">IF(ISBLANK(Actuals!AY51),-21*Escalation!$B$47,Actuals!AY51)</f>
        <v>-22.285368</v>
      </c>
      <c r="AY233" s="21" t="n">
        <f aca="false">IF(ISBLANK(Actuals!AZ51),-21*Escalation!$B$48,Actuals!AZ51)</f>
        <v>-22.285368</v>
      </c>
      <c r="AZ233" s="21" t="n">
        <f aca="false">IF(ISBLANK(Actuals!BA51),-21*Escalation!$B$49,Actuals!BA51)</f>
        <v>-22.285368</v>
      </c>
      <c r="BA233" s="21" t="n">
        <f aca="false">IF(ISBLANK(Actuals!BB51),-21*Escalation!$B$50,Actuals!BB51)</f>
        <v>-22.73107536</v>
      </c>
      <c r="BB233" s="21" t="n">
        <f aca="false">IF(ISBLANK(Actuals!BC51),-21*Escalation!$B$51,Actuals!BC51)</f>
        <v>-22.73107536</v>
      </c>
      <c r="BC233" s="21" t="n">
        <f aca="false">IF(ISBLANK(Actuals!BD51),-21*Escalation!$B$52,Actuals!BD51)</f>
        <v>-22.73107536</v>
      </c>
      <c r="BD233" s="21" t="n">
        <f aca="false">IF(ISBLANK(Actuals!BE51),-21*Escalation!$B$53,Actuals!BE51)</f>
        <v>-22.73107536</v>
      </c>
      <c r="BE233" s="21" t="n">
        <f aca="false">IF(ISBLANK(Actuals!BF51),-21*Escalation!$B$54,Actuals!BF51)</f>
        <v>-22.73107536</v>
      </c>
      <c r="BF233" s="21" t="n">
        <f aca="false">IF(ISBLANK(Actuals!BG51),-21*Escalation!$B$55,Actuals!BG51)</f>
        <v>-22.73107536</v>
      </c>
      <c r="BG233" s="21" t="n">
        <f aca="false">IF(ISBLANK(Actuals!BH51),-21*Escalation!$B$56,Actuals!BH51)</f>
        <v>-22.73107536</v>
      </c>
      <c r="BH233" s="21" t="n">
        <f aca="false">IF(ISBLANK(Actuals!BI51),-21*Escalation!$B$57,Actuals!BI51)</f>
        <v>-22.73107536</v>
      </c>
      <c r="BI233" s="21" t="n">
        <f aca="false">IF(ISBLANK(Actuals!BJ51),-21*Escalation!$B$58,Actuals!BJ51)</f>
        <v>-22.73107536</v>
      </c>
      <c r="BJ233" s="21" t="n">
        <f aca="false">IF(ISBLANK(Actuals!BK51),-21*Escalation!$B$59,Actuals!BK51)</f>
        <v>-22.73107536</v>
      </c>
      <c r="BK233" s="21" t="n">
        <f aca="false">IF(ISBLANK(Actuals!BL51),-21*Escalation!$B$60,Actuals!BL51)</f>
        <v>-22.73107536</v>
      </c>
      <c r="BL233" s="21" t="n">
        <f aca="false">IF(ISBLANK(Actuals!BM51),-21*Escalation!$B$61,Actuals!BM51)</f>
        <v>-22.73107536</v>
      </c>
      <c r="BM233" s="21" t="n">
        <f aca="false">IF(ISBLANK(Actuals!BN51),-21*Escalation!$B$62,Actuals!BN51)</f>
        <v>-23.1856968672</v>
      </c>
      <c r="BN233" s="21" t="n">
        <f aca="false">IF(ISBLANK(Actuals!BO51),-21*Escalation!$B$63,Actuals!BO51)</f>
        <v>-23.1856968672</v>
      </c>
      <c r="BO233" s="21" t="n">
        <f aca="false">IF(ISBLANK(Actuals!BP51),-21*Escalation!$B$64,Actuals!BP51)</f>
        <v>-23.1856968672</v>
      </c>
      <c r="BP233" s="21" t="n">
        <f aca="false">IF(ISBLANK(Actuals!BQ51),-21*Escalation!$B$65,Actuals!BQ51)</f>
        <v>-23.1856968672</v>
      </c>
      <c r="BQ233" s="21" t="n">
        <f aca="false">IF(ISBLANK(Actuals!BR51),-21*Escalation!$B$66,Actuals!BR51)</f>
        <v>-23.1856968672</v>
      </c>
      <c r="BR233" s="21" t="n">
        <f aca="false">IF(ISBLANK(Actuals!BS51),-21*Escalation!$B$67,Actuals!BS51)</f>
        <v>-23.1856968672</v>
      </c>
      <c r="BS233" s="21" t="n">
        <f aca="false">IF(ISBLANK(Actuals!BT51),-21*Escalation!$B$68,Actuals!BT51)</f>
        <v>-23.1856968672</v>
      </c>
      <c r="BT233" s="21" t="n">
        <f aca="false">IF(ISBLANK(Actuals!BU51),-21*Escalation!$B$69,Actuals!BU51)</f>
        <v>-23.1856968672</v>
      </c>
      <c r="BU233" s="21" t="n">
        <f aca="false">IF(ISBLANK(Actuals!BV51),-21*Escalation!$B$70,Actuals!BV51)</f>
        <v>-23.1856968672</v>
      </c>
      <c r="BV233" s="21" t="n">
        <f aca="false">IF(ISBLANK(Actuals!BW51),-21*Escalation!$B$71,Actuals!BW51)</f>
        <v>-23.1856968672</v>
      </c>
      <c r="BW233" s="21" t="n">
        <f aca="false">IF(ISBLANK(Actuals!BX51),-21*Escalation!$B$72,Actuals!BX51)</f>
        <v>-23.1856968672</v>
      </c>
      <c r="BX233" s="21" t="n">
        <f aca="false">IF(ISBLANK(Actuals!BY51),-21*Escalation!$B$73,Actuals!BY51)</f>
        <v>-23.1856968672</v>
      </c>
      <c r="BY233" s="21" t="n">
        <f aca="false">IF(ISBLANK(Actuals!BZ51),-21*Escalation!$B$74,Actuals!BZ51)</f>
        <v>-23.649410804544</v>
      </c>
      <c r="BZ233" s="21" t="n">
        <f aca="false">IF(ISBLANK(Actuals!CA51),-21*Escalation!$B$75,Actuals!CA51)</f>
        <v>-23.649410804544</v>
      </c>
      <c r="CA233" s="21" t="n">
        <f aca="false">IF(ISBLANK(Actuals!CB51),-21*Escalation!$B$76,Actuals!CB51)</f>
        <v>-23.649410804544</v>
      </c>
      <c r="CB233" s="21" t="n">
        <f aca="false">IF(ISBLANK(Actuals!CC51),-21*Escalation!$B$77,Actuals!CC51)</f>
        <v>-23.649410804544</v>
      </c>
      <c r="CC233" s="21" t="n">
        <f aca="false">IF(ISBLANK(Actuals!CD51),-21*Escalation!$B$78,Actuals!CD51)</f>
        <v>-23.649410804544</v>
      </c>
      <c r="CD233" s="21" t="n">
        <f aca="false">IF(ISBLANK(Actuals!CE51),-21*Escalation!$B$79,Actuals!CE51)</f>
        <v>-23.649410804544</v>
      </c>
      <c r="CE233" s="21" t="n">
        <f aca="false">IF(ISBLANK(Actuals!CF51),-21*Escalation!$B$80,Actuals!CF51)</f>
        <v>-23.649410804544</v>
      </c>
      <c r="CF233" s="21" t="n">
        <f aca="false">IF(ISBLANK(Actuals!CG51),-21*Escalation!$B$81,Actuals!CG51)</f>
        <v>-23.649410804544</v>
      </c>
      <c r="CG233" s="21" t="n">
        <f aca="false">IF(ISBLANK(Actuals!CH51),-21*Escalation!$B$82,Actuals!CH51)</f>
        <v>-23.649410804544</v>
      </c>
      <c r="CH233" s="21" t="n">
        <f aca="false">IF(ISBLANK(Actuals!CI51),-21*Escalation!$B$83,Actuals!CI51)</f>
        <v>-23.649410804544</v>
      </c>
      <c r="CI233" s="21" t="n">
        <f aca="false">IF(ISBLANK(Actuals!CJ51),-21*Escalation!$B$84,Actuals!CJ51)</f>
        <v>-23.649410804544</v>
      </c>
      <c r="CJ233" s="21" t="n">
        <f aca="false">IF(ISBLANK(Actuals!CK51),-21*Escalation!$B$85,Actuals!CK51)</f>
        <v>-23.649410804544</v>
      </c>
      <c r="CK233" s="21" t="n">
        <f aca="false">IF(ISBLANK(Actuals!CL51),-21*Escalation!$B$86,Actuals!CL51)</f>
        <v>-24.1223990206349</v>
      </c>
      <c r="CL233" s="21" t="n">
        <f aca="false">IF(ISBLANK(Actuals!CM51),-21*Escalation!$B$87,Actuals!CM51)</f>
        <v>-24.1223990206349</v>
      </c>
      <c r="CM233" s="21" t="n">
        <f aca="false">IF(ISBLANK(Actuals!CN51),-21*Escalation!$B$88,Actuals!CN51)</f>
        <v>-24.1223990206349</v>
      </c>
      <c r="CN233" s="21" t="n">
        <f aca="false">IF(ISBLANK(Actuals!CO51),-21*Escalation!$B$89,Actuals!CO51)</f>
        <v>-24.1223990206349</v>
      </c>
      <c r="CO233" s="21" t="n">
        <f aca="false">IF(ISBLANK(Actuals!CP51),-21*Escalation!$B$90,Actuals!CP51)</f>
        <v>-24.1223990206349</v>
      </c>
      <c r="CP233" s="21" t="n">
        <f aca="false">IF(ISBLANK(Actuals!CQ51),-21*Escalation!$B$91,Actuals!CQ51)</f>
        <v>-24.1223990206349</v>
      </c>
      <c r="CQ233" s="21" t="n">
        <f aca="false">IF(ISBLANK(Actuals!CR51),-21*Escalation!$B$92,Actuals!CR51)</f>
        <v>-24.1223990206349</v>
      </c>
      <c r="CR233" s="21" t="n">
        <f aca="false">IF(ISBLANK(Actuals!CS51),-21*Escalation!$B$93,Actuals!CS51)</f>
        <v>-24.1223990206349</v>
      </c>
      <c r="CS233" s="21" t="n">
        <f aca="false">IF(ISBLANK(Actuals!CT51),-21*Escalation!$B$94,Actuals!CT51)</f>
        <v>-24.1223990206349</v>
      </c>
      <c r="CT233" s="21" t="n">
        <f aca="false">IF(ISBLANK(Actuals!CU51),-21*Escalation!$B$95,Actuals!CU51)</f>
        <v>-24.1223990206349</v>
      </c>
      <c r="CU233" s="21" t="n">
        <f aca="false">IF(ISBLANK(Actuals!CV51),-21*Escalation!$B$96,Actuals!CV51)</f>
        <v>-24.1223990206349</v>
      </c>
      <c r="CV233" s="21" t="n">
        <f aca="false">IF(ISBLANK(Actuals!CW51),-21*Escalation!$B$97,Actuals!CW51)</f>
        <v>-24.1223990206349</v>
      </c>
      <c r="CW233" s="21" t="n">
        <f aca="false">IF(ISBLANK(Actuals!CX51),-21*Escalation!$B$98,Actuals!CX51)</f>
        <v>-24.6048470010476</v>
      </c>
      <c r="CX233" s="21" t="n">
        <f aca="false">IF(ISBLANK(Actuals!CY51),-21*Escalation!$B$99,Actuals!CY51)</f>
        <v>-24.6048470010476</v>
      </c>
      <c r="CY233" s="21" t="n">
        <f aca="false">IF(ISBLANK(Actuals!CZ51),-21*Escalation!$B$100,Actuals!CZ51)</f>
        <v>-24.6048470010476</v>
      </c>
      <c r="CZ233" s="21" t="n">
        <f aca="false">IF(ISBLANK(Actuals!DA51),-21*Escalation!$B$101,Actuals!DA51)</f>
        <v>-24.6048470010476</v>
      </c>
      <c r="DA233" s="21" t="n">
        <f aca="false">IF(ISBLANK(Actuals!DB51),-21*Escalation!$B$102,Actuals!DB51)</f>
        <v>-24.6048470010476</v>
      </c>
      <c r="DB233" s="21" t="n">
        <f aca="false">IF(ISBLANK(Actuals!DC51),-21*Escalation!$B$103,Actuals!DC51)</f>
        <v>-24.6048470010476</v>
      </c>
      <c r="DC233" s="21" t="n">
        <f aca="false">IF(ISBLANK(Actuals!DD51),-21*Escalation!$B$104,Actuals!DD51)</f>
        <v>-24.6048470010476</v>
      </c>
      <c r="DD233" s="21" t="n">
        <f aca="false">IF(ISBLANK(Actuals!DE51),-21*Escalation!$B$105,Actuals!DE51)</f>
        <v>-24.6048470010476</v>
      </c>
      <c r="DE233" s="21" t="n">
        <f aca="false">IF(ISBLANK(Actuals!DF51),-21*Escalation!$B$106,Actuals!DF51)</f>
        <v>-24.6048470010476</v>
      </c>
    </row>
    <row r="234" customFormat="false" ht="15" hidden="false" customHeight="true" outlineLevel="0" collapsed="false">
      <c r="A234" s="22" t="s">
        <v>95</v>
      </c>
      <c r="B234" s="21" t="n">
        <f aca="false">IF(ISBLANK(Actuals!C52),-MAX(0,'BD Commission Detail'!C53),Actuals!C52)</f>
        <v>-0</v>
      </c>
      <c r="C234" s="21" t="n">
        <f aca="false">IF(ISBLANK(Actuals!D52),-MAX(0,'BD Commission Detail'!D53),Actuals!D52)</f>
        <v>-0</v>
      </c>
      <c r="D234" s="21" t="n">
        <f aca="false">IF(ISBLANK(Actuals!E52),-MAX(0,'BD Commission Detail'!E53),Actuals!E52)</f>
        <v>-0</v>
      </c>
      <c r="E234" s="21" t="n">
        <f aca="false">IF(ISBLANK(Actuals!F52),-MAX(0,'BD Commission Detail'!F53),Actuals!F52)</f>
        <v>-0</v>
      </c>
      <c r="F234" s="21" t="n">
        <f aca="false">IF(ISBLANK(Actuals!G52),-MAX(0,'BD Commission Detail'!G53),Actuals!G52)</f>
        <v>-0</v>
      </c>
      <c r="G234" s="21" t="n">
        <f aca="false">IF(ISBLANK(Actuals!H52),-MAX(0,'BD Commission Detail'!H53),Actuals!H52)</f>
        <v>-0</v>
      </c>
      <c r="H234" s="21" t="n">
        <f aca="false">IF(ISBLANK(Actuals!I52),-MAX(0,'BD Commission Detail'!I53),Actuals!I52)</f>
        <v>-0</v>
      </c>
      <c r="I234" s="21" t="n">
        <f aca="false">IF(ISBLANK(Actuals!J52),-MAX(0,'BD Commission Detail'!J53),Actuals!J52)</f>
        <v>-0</v>
      </c>
      <c r="J234" s="21" t="n">
        <f aca="false">IF(ISBLANK(Actuals!K52),-MAX(0,'BD Commission Detail'!K53),Actuals!K52)</f>
        <v>-0</v>
      </c>
      <c r="K234" s="21" t="n">
        <f aca="false">IF(ISBLANK(Actuals!L52),-MAX(0,'BD Commission Detail'!L53),Actuals!L52)</f>
        <v>-0</v>
      </c>
      <c r="L234" s="21" t="n">
        <f aca="false">IF(ISBLANK(Actuals!M52),-MAX(0,'BD Commission Detail'!M53),Actuals!M52)</f>
        <v>-0</v>
      </c>
      <c r="M234" s="21" t="n">
        <f aca="false">IF(ISBLANK(Actuals!N52),-MAX(0,'BD Commission Detail'!N53),Actuals!N52)</f>
        <v>-0</v>
      </c>
      <c r="N234" s="21" t="n">
        <f aca="false">IF(ISBLANK(Actuals!O52),-MAX(0,'BD Commission Detail'!O53),Actuals!O52)</f>
        <v>-0</v>
      </c>
      <c r="O234" s="21" t="n">
        <f aca="false">IF(ISBLANK(Actuals!P52),-MAX(0,'BD Commission Detail'!P53),Actuals!P52)</f>
        <v>-37973.771875</v>
      </c>
      <c r="P234" s="21" t="n">
        <f aca="false">IF(ISBLANK(Actuals!Q52),-MAX(0,'BD Commission Detail'!Q53),Actuals!Q52)</f>
        <v>-0</v>
      </c>
      <c r="Q234" s="21" t="n">
        <f aca="false">IF(ISBLANK(Actuals!R52),-MAX(0,'BD Commission Detail'!R53),Actuals!R52)</f>
        <v>-0</v>
      </c>
      <c r="R234" s="21" t="n">
        <f aca="false">IF(ISBLANK(Actuals!S52),-MAX(0,'BD Commission Detail'!S53),Actuals!S52)</f>
        <v>-0</v>
      </c>
      <c r="S234" s="21" t="n">
        <f aca="false">IF(ISBLANK(Actuals!T52),-MAX(0,'BD Commission Detail'!T53),Actuals!T52)</f>
        <v>-38290.0375</v>
      </c>
      <c r="T234" s="21" t="n">
        <f aca="false">IF(ISBLANK(Actuals!U52),-MAX(0,'BD Commission Detail'!U53),Actuals!U52)</f>
        <v>-28293.4625</v>
      </c>
      <c r="U234" s="21" t="n">
        <f aca="false">IF(ISBLANK(Actuals!V52),-MAX(0,'BD Commission Detail'!V53),Actuals!V52)</f>
        <v>-46106.9225</v>
      </c>
      <c r="V234" s="21" t="n">
        <f aca="false">IF(ISBLANK(Actuals!W52),-MAX(0,'BD Commission Detail'!W53),Actuals!W52)</f>
        <v>-0</v>
      </c>
      <c r="W234" s="21" t="n">
        <f aca="false">IF(ISBLANK(Actuals!X52),-MAX(0,'BD Commission Detail'!X53),Actuals!X52)</f>
        <v>-0</v>
      </c>
      <c r="X234" s="21" t="n">
        <f aca="false">IF(ISBLANK(Actuals!Y52),-MAX(0,'BD Commission Detail'!Y53),Actuals!Y52)</f>
        <v>-0</v>
      </c>
      <c r="Y234" s="21" t="n">
        <f aca="false">IF(ISBLANK(Actuals!Z52),-MAX(0,'BD Commission Detail'!Z53),Actuals!Z52)</f>
        <v>-62565.82645</v>
      </c>
      <c r="Z234" s="21" t="n">
        <f aca="false">IF(ISBLANK(Actuals!AA52),-MAX(0,'BD Commission Detail'!AA53),Actuals!AA52)</f>
        <v>-0</v>
      </c>
      <c r="AA234" s="21" t="n">
        <f aca="false">IF(ISBLANK(Actuals!AB52),-MAX(0,'BD Commission Detail'!AB53),Actuals!AB52)</f>
        <v>-0</v>
      </c>
      <c r="AB234" s="21" t="n">
        <f aca="false">IF(ISBLANK(Actuals!AC52),-MAX(0,'BD Commission Detail'!AC53),Actuals!AC52)</f>
        <v>-0</v>
      </c>
      <c r="AC234" s="21" t="n">
        <f aca="false">IF(ISBLANK(Actuals!AD52),-MAX(0,'BD Commission Detail'!AD53),Actuals!AD52)</f>
        <v>-45000</v>
      </c>
      <c r="AD234" s="21" t="n">
        <f aca="false">IF(ISBLANK(Actuals!AE52),-MAX(0,'BD Commission Detail'!AE53),Actuals!AE52)</f>
        <v>-0</v>
      </c>
      <c r="AE234" s="21" t="n">
        <f aca="false">IF(ISBLANK(Actuals!AF52),-MAX(0,'BD Commission Detail'!AF53),Actuals!AF52)</f>
        <v>-0</v>
      </c>
      <c r="AF234" s="21" t="n">
        <f aca="false">IF(ISBLANK(Actuals!AG52),-MAX(0,'BD Commission Detail'!AG53),Actuals!AG52)</f>
        <v>-0</v>
      </c>
      <c r="AG234" s="21" t="n">
        <f aca="false">IF(ISBLANK(Actuals!AH52),-MAX(0,'BD Commission Detail'!AH53),Actuals!AH52)</f>
        <v>-0</v>
      </c>
      <c r="AH234" s="21" t="n">
        <f aca="false">IF(ISBLANK(Actuals!AI52),-MAX(0,'BD Commission Detail'!AI53),Actuals!AI52)</f>
        <v>-45000</v>
      </c>
      <c r="AI234" s="21" t="n">
        <f aca="false">IF(ISBLANK(Actuals!AJ52),-MAX(0,'BD Commission Detail'!AJ53),Actuals!AJ52)</f>
        <v>-45000</v>
      </c>
      <c r="AJ234" s="21" t="n">
        <f aca="false">IF(ISBLANK(Actuals!AK52),-MAX(0,'BD Commission Detail'!AK53),Actuals!AK52)</f>
        <v>-37500</v>
      </c>
      <c r="AK234" s="21" t="n">
        <f aca="false">IF(ISBLANK(Actuals!AL52),-MAX(0,'BD Commission Detail'!AL53),Actuals!AL52)</f>
        <v>-37500</v>
      </c>
      <c r="AL234" s="21" t="n">
        <f aca="false">IF(ISBLANK(Actuals!AM52),-MAX(0,'BD Commission Detail'!AM53),Actuals!AM52)</f>
        <v>-108602.548868042</v>
      </c>
      <c r="AM234" s="21" t="n">
        <f aca="false">IF(ISBLANK(Actuals!AN52),-MAX(0,'BD Commission Detail'!AN53),Actuals!AN52)</f>
        <v>-37500</v>
      </c>
      <c r="AN234" s="21" t="n">
        <f aca="false">IF(ISBLANK(Actuals!AO52),-MAX(0,'BD Commission Detail'!AO53),Actuals!AO52)</f>
        <v>-45000</v>
      </c>
      <c r="AO234" s="21" t="n">
        <f aca="false">IF(ISBLANK(Actuals!AP52),-MAX(0,'BD Commission Detail'!AP53),Actuals!AP52)</f>
        <v>-37500</v>
      </c>
      <c r="AP234" s="21" t="n">
        <f aca="false">IF(ISBLANK(Actuals!AQ52),-MAX(0,'BD Commission Detail'!AQ53),Actuals!AQ52)</f>
        <v>-37500</v>
      </c>
      <c r="AQ234" s="21" t="n">
        <f aca="false">IF(ISBLANK(Actuals!AR52),-MAX(0,'BD Commission Detail'!AR53),Actuals!AR52)</f>
        <v>-45000</v>
      </c>
      <c r="AR234" s="21" t="n">
        <f aca="false">IF(ISBLANK(Actuals!AS52),-MAX(0,'BD Commission Detail'!AS53),Actuals!AS52)</f>
        <v>-37500</v>
      </c>
      <c r="AS234" s="21" t="n">
        <f aca="false">IF(ISBLANK(Actuals!AT52),-MAX(0,'BD Commission Detail'!AT53),Actuals!AT52)</f>
        <v>-0</v>
      </c>
      <c r="AT234" s="21" t="n">
        <f aca="false">IF(ISBLANK(Actuals!AU52),-MAX(0,'BD Commission Detail'!AU53),Actuals!AU52)</f>
        <v>-75010.0603257557</v>
      </c>
      <c r="AU234" s="21" t="n">
        <f aca="false">IF(ISBLANK(Actuals!AV52),-MAX(0,'BD Commission Detail'!AV53),Actuals!AV52)</f>
        <v>-115902.134957337</v>
      </c>
      <c r="AV234" s="21" t="n">
        <f aca="false">IF(ISBLANK(Actuals!AW52),-MAX(0,'BD Commission Detail'!AW53),Actuals!AW52)</f>
        <v>-45000</v>
      </c>
      <c r="AW234" s="21" t="n">
        <f aca="false">IF(ISBLANK(Actuals!AX52),-MAX(0,'BD Commission Detail'!AX53),Actuals!AX52)</f>
        <v>-37500</v>
      </c>
      <c r="AX234" s="21" t="n">
        <f aca="false">IF(ISBLANK(Actuals!AY52),-MAX(0,'BD Commission Detail'!AY53),Actuals!AY52)</f>
        <v>-0</v>
      </c>
      <c r="AY234" s="21" t="n">
        <f aca="false">IF(ISBLANK(Actuals!AZ52),-MAX(0,'BD Commission Detail'!AZ53),Actuals!AZ52)</f>
        <v>-78591.8093297127</v>
      </c>
      <c r="AZ234" s="21" t="n">
        <f aca="false">IF(ISBLANK(Actuals!BA52),-MAX(0,'BD Commission Detail'!BA53),Actuals!BA52)</f>
        <v>-79737.5375453135</v>
      </c>
      <c r="BA234" s="21" t="n">
        <f aca="false">IF(ISBLANK(Actuals!BB52),-MAX(0,'BD Commission Detail'!BB53),Actuals!BB52)</f>
        <v>-89720.6178639661</v>
      </c>
      <c r="BB234" s="21" t="n">
        <f aca="false">IF(ISBLANK(Actuals!BC52),-MAX(0,'BD Commission Detail'!BC53),Actuals!BC52)</f>
        <v>-97991.5489967946</v>
      </c>
      <c r="BC234" s="21" t="n">
        <f aca="false">IF(ISBLANK(Actuals!BD52),-MAX(0,'BD Commission Detail'!BD53),Actuals!BD52)</f>
        <v>-91419.0373852555</v>
      </c>
      <c r="BD234" s="21" t="n">
        <f aca="false">IF(ISBLANK(Actuals!BE52),-MAX(0,'BD Commission Detail'!BE53),Actuals!BE52)</f>
        <v>-92542.5569129392</v>
      </c>
      <c r="BE234" s="21" t="n">
        <f aca="false">IF(ISBLANK(Actuals!BF52),-MAX(0,'BD Commission Detail'!BF53),Actuals!BF52)</f>
        <v>-129783.376440623</v>
      </c>
      <c r="BF234" s="21" t="n">
        <f aca="false">IF(ISBLANK(Actuals!BG52),-MAX(0,'BD Commission Detail'!BG53),Actuals!BG52)</f>
        <v>-94789.5959683065</v>
      </c>
      <c r="BG234" s="21" t="n">
        <f aca="false">IF(ISBLANK(Actuals!BH52),-MAX(0,'BD Commission Detail'!BH53),Actuals!BH52)</f>
        <v>-95460.8343567675</v>
      </c>
      <c r="BH234" s="21" t="n">
        <f aca="false">IF(ISBLANK(Actuals!BI52),-MAX(0,'BD Commission Detail'!BI53),Actuals!BI52)</f>
        <v>-131958.521181851</v>
      </c>
      <c r="BI234" s="21" t="n">
        <f aca="false">IF(ISBLANK(Actuals!BJ52),-MAX(0,'BD Commission Detail'!BJ53),Actuals!BJ52)</f>
        <v>-95169.710342527</v>
      </c>
      <c r="BJ234" s="21" t="n">
        <f aca="false">IF(ISBLANK(Actuals!BK52),-MAX(0,'BD Commission Detail'!BK53),Actuals!BK52)</f>
        <v>-0</v>
      </c>
      <c r="BK234" s="21" t="n">
        <f aca="false">IF(ISBLANK(Actuals!BL52),-MAX(0,'BD Commission Detail'!BL53),Actuals!BL52)</f>
        <v>-0</v>
      </c>
      <c r="BL234" s="21" t="n">
        <f aca="false">IF(ISBLANK(Actuals!BM52),-MAX(0,'BD Commission Detail'!BM53),Actuals!BM52)</f>
        <v>-0</v>
      </c>
      <c r="BM234" s="21" t="n">
        <f aca="false">IF(ISBLANK(Actuals!BN52),-MAX(0,'BD Commission Detail'!BN53),Actuals!BN52)</f>
        <v>-81759.1913763546</v>
      </c>
      <c r="BN234" s="21" t="n">
        <f aca="false">IF(ISBLANK(Actuals!BO52),-MAX(0,'BD Commission Detail'!BO53),Actuals!BO52)</f>
        <v>-52305.6525004843</v>
      </c>
      <c r="BO234" s="21" t="n">
        <f aca="false">IF(ISBLANK(Actuals!BP52),-MAX(0,'BD Commission Detail'!BP53),Actuals!BP52)</f>
        <v>-0</v>
      </c>
      <c r="BP234" s="21" t="n">
        <f aca="false">IF(ISBLANK(Actuals!BQ52),-MAX(0,'BD Commission Detail'!BQ53),Actuals!BQ52)</f>
        <v>-0</v>
      </c>
      <c r="BQ234" s="21" t="n">
        <f aca="false">IF(ISBLANK(Actuals!BR52),-MAX(0,'BD Commission Detail'!BR53),Actuals!BR52)</f>
        <v>-0</v>
      </c>
      <c r="BR234" s="21" t="n">
        <f aca="false">IF(ISBLANK(Actuals!BS52),-MAX(0,'BD Commission Detail'!BS53),Actuals!BS52)</f>
        <v>-48753.0936317835</v>
      </c>
      <c r="BS234" s="21" t="n">
        <f aca="false">IF(ISBLANK(Actuals!BT52),-MAX(0,'BD Commission Detail'!BT53),Actuals!BT52)</f>
        <v>-76152.4751581972</v>
      </c>
      <c r="BT234" s="21" t="n">
        <f aca="false">IF(ISBLANK(Actuals!BU52),-MAX(0,'BD Commission Detail'!BU53),Actuals!BU52)</f>
        <v>-45593.461639853</v>
      </c>
      <c r="BU234" s="21" t="n">
        <f aca="false">IF(ISBLANK(Actuals!BV52),-MAX(0,'BD Commission Detail'!BV53),Actuals!BV52)</f>
        <v>-42695.7828063649</v>
      </c>
      <c r="BV234" s="21" t="n">
        <f aca="false">IF(ISBLANK(Actuals!BW52),-MAX(0,'BD Commission Detail'!BW53),Actuals!BW52)</f>
        <v>-67212.460014944</v>
      </c>
      <c r="BW234" s="21" t="n">
        <f aca="false">IF(ISBLANK(Actuals!BX52),-MAX(0,'BD Commission Detail'!BX53),Actuals!BX52)</f>
        <v>-32393.4179899206</v>
      </c>
      <c r="BX234" s="21" t="n">
        <f aca="false">IF(ISBLANK(Actuals!BY52),-MAX(0,'BD Commission Detail'!BY53),Actuals!BY52)</f>
        <v>-22689.8105755597</v>
      </c>
      <c r="BY234" s="21" t="n">
        <f aca="false">IF(ISBLANK(Actuals!BZ52),-MAX(0,'BD Commission Detail'!BZ53),Actuals!BZ52)</f>
        <v>-34179.5485358033</v>
      </c>
      <c r="BZ234" s="21" t="n">
        <f aca="false">IF(ISBLANK(Actuals!CA52),-MAX(0,'BD Commission Detail'!CA53),Actuals!CA52)</f>
        <v>-0</v>
      </c>
      <c r="CA234" s="21" t="n">
        <f aca="false">IF(ISBLANK(Actuals!CB52),-MAX(0,'BD Commission Detail'!CB53),Actuals!CB52)</f>
        <v>-0</v>
      </c>
      <c r="CB234" s="21" t="n">
        <f aca="false">IF(ISBLANK(Actuals!CC52),-MAX(0,'BD Commission Detail'!CC53),Actuals!CC52)</f>
        <v>-0</v>
      </c>
      <c r="CC234" s="21" t="n">
        <f aca="false">IF(ISBLANK(Actuals!CD52),-MAX(0,'BD Commission Detail'!CD53),Actuals!CD52)</f>
        <v>-0</v>
      </c>
      <c r="CD234" s="21" t="n">
        <f aca="false">IF(ISBLANK(Actuals!CE52),-MAX(0,'BD Commission Detail'!CE53),Actuals!CE52)</f>
        <v>-0</v>
      </c>
      <c r="CE234" s="21" t="n">
        <f aca="false">IF(ISBLANK(Actuals!CF52),-MAX(0,'BD Commission Detail'!CF53),Actuals!CF52)</f>
        <v>-0</v>
      </c>
      <c r="CF234" s="21" t="n">
        <f aca="false">IF(ISBLANK(Actuals!CG52),-MAX(0,'BD Commission Detail'!CG53),Actuals!CG52)</f>
        <v>-0</v>
      </c>
      <c r="CG234" s="21" t="n">
        <f aca="false">IF(ISBLANK(Actuals!CH52),-MAX(0,'BD Commission Detail'!CH53),Actuals!CH52)</f>
        <v>-0</v>
      </c>
      <c r="CH234" s="21" t="n">
        <f aca="false">IF(ISBLANK(Actuals!CI52),-MAX(0,'BD Commission Detail'!CI53),Actuals!CI52)</f>
        <v>-0</v>
      </c>
      <c r="CI234" s="21" t="n">
        <f aca="false">IF(ISBLANK(Actuals!CJ52),-MAX(0,'BD Commission Detail'!CJ53),Actuals!CJ52)</f>
        <v>-0</v>
      </c>
      <c r="CJ234" s="21" t="n">
        <f aca="false">IF(ISBLANK(Actuals!CK52),-MAX(0,'BD Commission Detail'!CK53),Actuals!CK52)</f>
        <v>-0</v>
      </c>
      <c r="CK234" s="21" t="n">
        <f aca="false">IF(ISBLANK(Actuals!CL52),-MAX(0,'BD Commission Detail'!CL53),Actuals!CL52)</f>
        <v>-0</v>
      </c>
      <c r="CL234" s="21" t="n">
        <f aca="false">IF(ISBLANK(Actuals!CM52),-MAX(0,'BD Commission Detail'!CM53),Actuals!CM52)</f>
        <v>-0</v>
      </c>
      <c r="CM234" s="21" t="n">
        <f aca="false">IF(ISBLANK(Actuals!CN52),-MAX(0,'BD Commission Detail'!CN53),Actuals!CN52)</f>
        <v>-0</v>
      </c>
      <c r="CN234" s="21" t="n">
        <f aca="false">IF(ISBLANK(Actuals!CO52),-MAX(0,'BD Commission Detail'!CO53),Actuals!CO52)</f>
        <v>-0</v>
      </c>
      <c r="CO234" s="21" t="n">
        <f aca="false">IF(ISBLANK(Actuals!CP52),-MAX(0,'BD Commission Detail'!CP53),Actuals!CP52)</f>
        <v>-0</v>
      </c>
      <c r="CP234" s="21" t="n">
        <f aca="false">IF(ISBLANK(Actuals!CQ52),-MAX(0,'BD Commission Detail'!CQ53),Actuals!CQ52)</f>
        <v>-0</v>
      </c>
      <c r="CQ234" s="21" t="n">
        <f aca="false">IF(ISBLANK(Actuals!CR52),-MAX(0,'BD Commission Detail'!CR53),Actuals!CR52)</f>
        <v>-0</v>
      </c>
      <c r="CR234" s="21" t="n">
        <f aca="false">IF(ISBLANK(Actuals!CS52),-MAX(0,'BD Commission Detail'!CS53),Actuals!CS52)</f>
        <v>-0</v>
      </c>
      <c r="CS234" s="21" t="n">
        <f aca="false">IF(ISBLANK(Actuals!CT52),-MAX(0,'BD Commission Detail'!CT53),Actuals!CT52)</f>
        <v>-0</v>
      </c>
      <c r="CT234" s="21" t="n">
        <f aca="false">IF(ISBLANK(Actuals!CU52),-MAX(0,'BD Commission Detail'!CU53),Actuals!CU52)</f>
        <v>-0</v>
      </c>
      <c r="CU234" s="21" t="n">
        <f aca="false">IF(ISBLANK(Actuals!CV52),-MAX(0,'BD Commission Detail'!CV53),Actuals!CV52)</f>
        <v>-0</v>
      </c>
      <c r="CV234" s="21" t="n">
        <f aca="false">IF(ISBLANK(Actuals!CW52),-MAX(0,'BD Commission Detail'!CW53),Actuals!CW52)</f>
        <v>-0</v>
      </c>
      <c r="CW234" s="21" t="n">
        <f aca="false">IF(ISBLANK(Actuals!CX52),-MAX(0,'BD Commission Detail'!CX53),Actuals!CX52)</f>
        <v>-0</v>
      </c>
      <c r="CX234" s="21" t="n">
        <f aca="false">IF(ISBLANK(Actuals!CY52),-MAX(0,'BD Commission Detail'!CY53),Actuals!CY52)</f>
        <v>-0</v>
      </c>
      <c r="CY234" s="21" t="n">
        <f aca="false">IF(ISBLANK(Actuals!CZ52),-MAX(0,'BD Commission Detail'!CZ53),Actuals!CZ52)</f>
        <v>-0</v>
      </c>
      <c r="CZ234" s="21" t="n">
        <f aca="false">IF(ISBLANK(Actuals!DA52),-MAX(0,'BD Commission Detail'!DA53),Actuals!DA52)</f>
        <v>-0</v>
      </c>
      <c r="DA234" s="21" t="n">
        <f aca="false">IF(ISBLANK(Actuals!DB52),-MAX(0,'BD Commission Detail'!DB53),Actuals!DB52)</f>
        <v>-0</v>
      </c>
      <c r="DB234" s="21" t="n">
        <f aca="false">IF(ISBLANK(Actuals!DC52),-MAX(0,'BD Commission Detail'!DC53),Actuals!DC52)</f>
        <v>-0</v>
      </c>
      <c r="DC234" s="21" t="n">
        <f aca="false">IF(ISBLANK(Actuals!DD52),-MAX(0,'BD Commission Detail'!DD53),Actuals!DD52)</f>
        <v>-0</v>
      </c>
      <c r="DD234" s="21" t="n">
        <f aca="false">IF(ISBLANK(Actuals!DE52),-MAX(0,'BD Commission Detail'!DE53),Actuals!DE52)</f>
        <v>-0</v>
      </c>
      <c r="DE234" s="21" t="n">
        <f aca="false">IF(ISBLANK(Actuals!DF52),-MAX(0,'BD Commission Detail'!DF53),Actuals!DF52)</f>
        <v>-0</v>
      </c>
      <c r="DF234" s="1" t="n">
        <f aca="false">IF(ISBLANK(Actuals!DG52),-MAX(0,'BD Commission Detail'!DF53),Actuals!DG52)</f>
        <v>-0</v>
      </c>
      <c r="DG234" s="1" t="n">
        <f aca="false">IF(ISBLANK(Actuals!DH52),-MAX(0,'BD Commission Detail'!DG53),Actuals!DH52)</f>
        <v>-0</v>
      </c>
      <c r="DH234" s="1" t="n">
        <f aca="false">IF(ISBLANK(Actuals!DI52),-MAX(0,'BD Commission Detail'!DH53),Actuals!DI52)</f>
        <v>-0</v>
      </c>
      <c r="DI234" s="1" t="n">
        <f aca="false">IF(ISBLANK(Actuals!DJ52),-MAX(0,'BD Commission Detail'!DI53),Actuals!DJ52)</f>
        <v>-0</v>
      </c>
      <c r="DJ234" s="1" t="n">
        <f aca="false">IF(ISBLANK(Actuals!DK52),-MAX(0,'BD Commission Detail'!DJ53),Actuals!DK52)</f>
        <v>-0</v>
      </c>
      <c r="DK234" s="1" t="n">
        <f aca="false">IF(ISBLANK(Actuals!DL52),-MAX(0,'BD Commission Detail'!DK53),Actuals!DL52)</f>
        <v>-0</v>
      </c>
      <c r="DL234" s="1" t="n">
        <f aca="false">IF(ISBLANK(Actuals!DM52),-MAX(0,'BD Commission Detail'!DL53),Actuals!DM52)</f>
        <v>-0</v>
      </c>
      <c r="DM234" s="1" t="n">
        <f aca="false">IF(ISBLANK(Actuals!DN52),-MAX(0,'BD Commission Detail'!DM53),Actuals!DN52)</f>
        <v>-0</v>
      </c>
      <c r="DN234" s="1" t="n">
        <f aca="false">IF(ISBLANK(Actuals!DO52),-MAX(0,'BD Commission Detail'!DN53),Actuals!DO52)</f>
        <v>-0</v>
      </c>
      <c r="DO234" s="1" t="n">
        <f aca="false">IF(ISBLANK(Actuals!DP52),-MAX(0,'BD Commission Detail'!DO53),Actuals!DP52)</f>
        <v>-0</v>
      </c>
      <c r="DP234" s="1" t="n">
        <f aca="false">IF(ISBLANK(Actuals!DQ52),-MAX(0,'BD Commission Detail'!DP53),Actuals!DQ52)</f>
        <v>-0</v>
      </c>
      <c r="DQ234" s="1" t="n">
        <f aca="false">IF(ISBLANK(Actuals!DR52),-MAX(0,'BD Commission Detail'!DQ53),Actuals!DR52)</f>
        <v>-0</v>
      </c>
      <c r="DR234" s="1" t="n">
        <f aca="false">IF(ISBLANK(Actuals!DS52),-MAX(0,'BD Commission Detail'!DR53),Actuals!DS52)</f>
        <v>-0</v>
      </c>
      <c r="DS234" s="1" t="n">
        <f aca="false">IF(ISBLANK(Actuals!DT52),-MAX(0,'BD Commission Detail'!DS53),Actuals!DT52)</f>
        <v>-0</v>
      </c>
      <c r="DT234" s="1" t="n">
        <f aca="false">IF(ISBLANK(Actuals!DU52),-MAX(0,'BD Commission Detail'!DT53),Actuals!DU52)</f>
        <v>-0</v>
      </c>
      <c r="DU234" s="1" t="n">
        <f aca="false">IF(ISBLANK(Actuals!DV52),-MAX(0,'BD Commission Detail'!DU53),Actuals!DV52)</f>
        <v>-0</v>
      </c>
      <c r="DV234" s="1" t="n">
        <f aca="false">IF(ISBLANK(Actuals!DW52),-MAX(0,'BD Commission Detail'!DV53),Actuals!DW52)</f>
        <v>-0</v>
      </c>
      <c r="DW234" s="1" t="n">
        <f aca="false">IF(ISBLANK(Actuals!DX52),-MAX(0,'BD Commission Detail'!DW53),Actuals!DX52)</f>
        <v>-0</v>
      </c>
      <c r="DX234" s="1" t="n">
        <f aca="false">IF(ISBLANK(Actuals!DY52),-MAX(0,'BD Commission Detail'!DX53),Actuals!DY52)</f>
        <v>-0</v>
      </c>
      <c r="DY234" s="1" t="n">
        <f aca="false">IF(ISBLANK(Actuals!DZ52),-MAX(0,'BD Commission Detail'!DY53),Actuals!DZ52)</f>
        <v>-0</v>
      </c>
      <c r="DZ234" s="1" t="n">
        <f aca="false">IF(ISBLANK(Actuals!EA52),-MAX(0,'BD Commission Detail'!DZ53),Actuals!EA52)</f>
        <v>-0</v>
      </c>
      <c r="EA234" s="1" t="n">
        <f aca="false">IF(ISBLANK(Actuals!EB52),-MAX(0,'BD Commission Detail'!EA53),Actuals!EB52)</f>
        <v>-0</v>
      </c>
      <c r="EB234" s="1" t="n">
        <f aca="false">IF(ISBLANK(Actuals!EC52),-MAX(0,'BD Commission Detail'!EB53),Actuals!EC52)</f>
        <v>-0</v>
      </c>
      <c r="EC234" s="1" t="n">
        <f aca="false">IF(ISBLANK(Actuals!ED52),-MAX(0,'BD Commission Detail'!EC53),Actuals!ED52)</f>
        <v>-0</v>
      </c>
      <c r="ED234" s="1" t="n">
        <f aca="false">IF(ISBLANK(Actuals!EE52),-MAX(0,'BD Commission Detail'!ED53),Actuals!EE52)</f>
        <v>-0</v>
      </c>
      <c r="EE234" s="1" t="n">
        <f aca="false">IF(ISBLANK(Actuals!EF52),-MAX(0,'BD Commission Detail'!EE53),Actuals!EF52)</f>
        <v>-0</v>
      </c>
      <c r="EF234" s="1" t="n">
        <f aca="false">IF(ISBLANK(Actuals!EG52),-MAX(0,'BD Commission Detail'!EF53),Actuals!EG52)</f>
        <v>-0</v>
      </c>
      <c r="EG234" s="1" t="n">
        <f aca="false">IF(ISBLANK(Actuals!EH52),-MAX(0,'BD Commission Detail'!EG53),Actuals!EH52)</f>
        <v>-0</v>
      </c>
      <c r="EH234" s="1" t="n">
        <f aca="false">IF(ISBLANK(Actuals!EI52),-MAX(0,'BD Commission Detail'!EH53),Actuals!EI52)</f>
        <v>-0</v>
      </c>
      <c r="EI234" s="1" t="n">
        <f aca="false">IF(ISBLANK(Actuals!EJ52),-MAX(0,'BD Commission Detail'!EI53),Actuals!EJ52)</f>
        <v>-0</v>
      </c>
      <c r="EJ234" s="1" t="n">
        <f aca="false">IF(ISBLANK(Actuals!EK52),-MAX(0,'BD Commission Detail'!EJ53),Actuals!EK52)</f>
        <v>-0</v>
      </c>
      <c r="EK234" s="1" t="n">
        <f aca="false">IF(ISBLANK(Actuals!EL52),-MAX(0,'BD Commission Detail'!EK53),Actuals!EL52)</f>
        <v>-0</v>
      </c>
      <c r="EL234" s="1" t="n">
        <f aca="false">IF(ISBLANK(Actuals!EM52),-MAX(0,'BD Commission Detail'!EL53),Actuals!EM52)</f>
        <v>-0</v>
      </c>
      <c r="EM234" s="1" t="n">
        <f aca="false">IF(ISBLANK(Actuals!EN52),-MAX(0,'BD Commission Detail'!EM53),Actuals!EN52)</f>
        <v>-0</v>
      </c>
      <c r="EN234" s="1" t="n">
        <f aca="false">IF(ISBLANK(Actuals!EO52),-MAX(0,'BD Commission Detail'!EN53),Actuals!EO52)</f>
        <v>-0</v>
      </c>
      <c r="EO234" s="1" t="n">
        <f aca="false">IF(ISBLANK(Actuals!EP52),-MAX(0,'BD Commission Detail'!EO53),Actuals!EP52)</f>
        <v>-0</v>
      </c>
      <c r="EP234" s="1" t="n">
        <f aca="false">IF(ISBLANK(Actuals!EQ52),-MAX(0,'BD Commission Detail'!EP53),Actuals!EQ52)</f>
        <v>-0</v>
      </c>
      <c r="EQ234" s="1" t="n">
        <f aca="false">IF(ISBLANK(Actuals!ER52),-MAX(0,'BD Commission Detail'!EQ53),Actuals!ER52)</f>
        <v>-0</v>
      </c>
      <c r="ER234" s="1" t="n">
        <f aca="false">IF(ISBLANK(Actuals!ES52),-MAX(0,'BD Commission Detail'!ER53),Actuals!ES52)</f>
        <v>-0</v>
      </c>
      <c r="ES234" s="1" t="n">
        <f aca="false">IF(ISBLANK(Actuals!ET52),-MAX(0,'BD Commission Detail'!ES53),Actuals!ET52)</f>
        <v>-0</v>
      </c>
      <c r="ET234" s="1" t="n">
        <f aca="false">IF(ISBLANK(Actuals!EU52),-MAX(0,'BD Commission Detail'!ET53),Actuals!EU52)</f>
        <v>-0</v>
      </c>
      <c r="EU234" s="1" t="n">
        <f aca="false">IF(ISBLANK(Actuals!EV52),-MAX(0,'BD Commission Detail'!EU53),Actuals!EV52)</f>
        <v>-0</v>
      </c>
      <c r="EV234" s="1" t="n">
        <f aca="false">IF(ISBLANK(Actuals!EW52),-MAX(0,'BD Commission Detail'!EV53),Actuals!EW52)</f>
        <v>-0</v>
      </c>
      <c r="EW234" s="1" t="n">
        <f aca="false">IF(ISBLANK(Actuals!EX52),-MAX(0,'BD Commission Detail'!EW53),Actuals!EX52)</f>
        <v>-0</v>
      </c>
      <c r="EX234" s="1" t="n">
        <f aca="false">IF(ISBLANK(Actuals!EY52),-MAX(0,'BD Commission Detail'!EX53),Actuals!EY52)</f>
        <v>-0</v>
      </c>
      <c r="EY234" s="1" t="n">
        <f aca="false">IF(ISBLANK(Actuals!EZ52),-MAX(0,'BD Commission Detail'!EY53),Actuals!EZ52)</f>
        <v>-0</v>
      </c>
      <c r="EZ234" s="1" t="n">
        <f aca="false">IF(ISBLANK(Actuals!FA52),-MAX(0,'BD Commission Detail'!EZ53),Actuals!FA52)</f>
        <v>-0</v>
      </c>
      <c r="FA234" s="1" t="n">
        <f aca="false">IF(ISBLANK(Actuals!FB52),-MAX(0,'BD Commission Detail'!FA53),Actuals!FB52)</f>
        <v>-0</v>
      </c>
      <c r="FB234" s="1" t="n">
        <f aca="false">IF(ISBLANK(Actuals!FC52),-MAX(0,'BD Commission Detail'!FB53),Actuals!FC52)</f>
        <v>-0</v>
      </c>
      <c r="FC234" s="1" t="n">
        <f aca="false">IF(ISBLANK(Actuals!FD52),-MAX(0,'BD Commission Detail'!FC53),Actuals!FD52)</f>
        <v>-0</v>
      </c>
      <c r="FD234" s="1" t="n">
        <f aca="false">IF(ISBLANK(Actuals!FE52),-MAX(0,'BD Commission Detail'!FD53),Actuals!FE52)</f>
        <v>-0</v>
      </c>
      <c r="FE234" s="1" t="n">
        <f aca="false">IF(ISBLANK(Actuals!FF52),-MAX(0,'BD Commission Detail'!FE53),Actuals!FF52)</f>
        <v>-0</v>
      </c>
      <c r="FF234" s="1" t="n">
        <f aca="false">IF(ISBLANK(Actuals!FG52),-MAX(0,'BD Commission Detail'!FF53),Actuals!FG52)</f>
        <v>-0</v>
      </c>
      <c r="FG234" s="1" t="n">
        <f aca="false">IF(ISBLANK(Actuals!FH52),-MAX(0,'BD Commission Detail'!FG53),Actuals!FH52)</f>
        <v>-0</v>
      </c>
      <c r="FH234" s="1" t="n">
        <f aca="false">IF(ISBLANK(Actuals!FI52),-MAX(0,'BD Commission Detail'!FH53),Actuals!FI52)</f>
        <v>-0</v>
      </c>
      <c r="FI234" s="1" t="n">
        <f aca="false">IF(ISBLANK(Actuals!FJ52),-MAX(0,'BD Commission Detail'!FI53),Actuals!FJ52)</f>
        <v>-0</v>
      </c>
      <c r="FJ234" s="1" t="n">
        <f aca="false">IF(ISBLANK(Actuals!FK52),-MAX(0,'BD Commission Detail'!FJ53),Actuals!FK52)</f>
        <v>-0</v>
      </c>
      <c r="FK234" s="1" t="n">
        <f aca="false">IF(ISBLANK(Actuals!FL52),-MAX(0,'BD Commission Detail'!FK53),Actuals!FL52)</f>
        <v>-0</v>
      </c>
      <c r="FL234" s="1" t="n">
        <f aca="false">IF(ISBLANK(Actuals!FM52),-MAX(0,'BD Commission Detail'!FL53),Actuals!FM52)</f>
        <v>-0</v>
      </c>
      <c r="FM234" s="1" t="n">
        <f aca="false">IF(ISBLANK(Actuals!FN52),-MAX(0,'BD Commission Detail'!FM53),Actuals!FN52)</f>
        <v>-0</v>
      </c>
      <c r="FN234" s="1" t="n">
        <f aca="false">IF(ISBLANK(Actuals!FO52),-MAX(0,'BD Commission Detail'!FN53),Actuals!FO52)</f>
        <v>-0</v>
      </c>
      <c r="FO234" s="1" t="n">
        <f aca="false">IF(ISBLANK(Actuals!FP52),-MAX(0,'BD Commission Detail'!FO53),Actuals!FP52)</f>
        <v>-0</v>
      </c>
      <c r="FP234" s="1" t="n">
        <f aca="false">IF(ISBLANK(Actuals!FQ52),-MAX(0,'BD Commission Detail'!FP53),Actuals!FQ52)</f>
        <v>-0</v>
      </c>
      <c r="FQ234" s="1" t="n">
        <f aca="false">IF(ISBLANK(Actuals!FR52),-MAX(0,'BD Commission Detail'!FQ53),Actuals!FR52)</f>
        <v>-0</v>
      </c>
      <c r="FR234" s="1" t="n">
        <f aca="false">IF(ISBLANK(Actuals!FS52),-MAX(0,'BD Commission Detail'!FR53),Actuals!FS52)</f>
        <v>-0</v>
      </c>
      <c r="FS234" s="1" t="n">
        <f aca="false">IF(ISBLANK(Actuals!FT52),-MAX(0,'BD Commission Detail'!FS53),Actuals!FT52)</f>
        <v>-0</v>
      </c>
      <c r="FT234" s="1" t="n">
        <f aca="false">IF(ISBLANK(Actuals!FU52),-MAX(0,'BD Commission Detail'!FT53),Actuals!FU52)</f>
        <v>-0</v>
      </c>
      <c r="FU234" s="1" t="n">
        <f aca="false">IF(ISBLANK(Actuals!FV52),-MAX(0,'BD Commission Detail'!FU53),Actuals!FV52)</f>
        <v>-0</v>
      </c>
      <c r="FV234" s="1" t="n">
        <f aca="false">IF(ISBLANK(Actuals!FW52),-MAX(0,'BD Commission Detail'!FV53),Actuals!FW52)</f>
        <v>-0</v>
      </c>
      <c r="FW234" s="1" t="n">
        <f aca="false">IF(ISBLANK(Actuals!FX52),-MAX(0,'BD Commission Detail'!FW53),Actuals!FX52)</f>
        <v>-0</v>
      </c>
      <c r="FX234" s="1" t="n">
        <f aca="false">IF(ISBLANK(Actuals!FY52),-MAX(0,'BD Commission Detail'!FX53),Actuals!FY52)</f>
        <v>-0</v>
      </c>
      <c r="FY234" s="1" t="n">
        <f aca="false">IF(ISBLANK(Actuals!FZ52),-MAX(0,'BD Commission Detail'!FY53),Actuals!FZ52)</f>
        <v>-0</v>
      </c>
      <c r="FZ234" s="1" t="n">
        <f aca="false">IF(ISBLANK(Actuals!GA52),-MAX(0,'BD Commission Detail'!FZ53),Actuals!GA52)</f>
        <v>-0</v>
      </c>
      <c r="GA234" s="1" t="n">
        <f aca="false">IF(ISBLANK(Actuals!GB52),-MAX(0,'BD Commission Detail'!GA53),Actuals!GB52)</f>
        <v>-0</v>
      </c>
      <c r="GB234" s="1" t="n">
        <f aca="false">IF(ISBLANK(Actuals!GC52),-MAX(0,'BD Commission Detail'!GB53),Actuals!GC52)</f>
        <v>-0</v>
      </c>
      <c r="GC234" s="1" t="n">
        <f aca="false">IF(ISBLANK(Actuals!GD52),-MAX(0,'BD Commission Detail'!GC53),Actuals!GD52)</f>
        <v>-0</v>
      </c>
      <c r="GD234" s="1" t="n">
        <f aca="false">IF(ISBLANK(Actuals!GE52),-MAX(0,'BD Commission Detail'!GD53),Actuals!GE52)</f>
        <v>-0</v>
      </c>
      <c r="GE234" s="1" t="n">
        <f aca="false">IF(ISBLANK(Actuals!GF52),-MAX(0,'BD Commission Detail'!GE53),Actuals!GF52)</f>
        <v>-0</v>
      </c>
      <c r="GF234" s="1" t="n">
        <f aca="false">IF(ISBLANK(Actuals!GG52),-MAX(0,'BD Commission Detail'!GF53),Actuals!GG52)</f>
        <v>-0</v>
      </c>
      <c r="GG234" s="1" t="n">
        <f aca="false">IF(ISBLANK(Actuals!GH52),-MAX(0,'BD Commission Detail'!GG53),Actuals!GH52)</f>
        <v>-0</v>
      </c>
      <c r="GH234" s="1" t="n">
        <f aca="false">IF(ISBLANK(Actuals!GI52),-MAX(0,'BD Commission Detail'!GH53),Actuals!GI52)</f>
        <v>-0</v>
      </c>
      <c r="GI234" s="1" t="n">
        <f aca="false">IF(ISBLANK(Actuals!GJ52),-MAX(0,'BD Commission Detail'!GI53),Actuals!GJ52)</f>
        <v>-0</v>
      </c>
      <c r="GJ234" s="1" t="n">
        <f aca="false">IF(ISBLANK(Actuals!GK52),-MAX(0,'BD Commission Detail'!GJ53),Actuals!GK52)</f>
        <v>-0</v>
      </c>
      <c r="GK234" s="1" t="n">
        <f aca="false">IF(ISBLANK(Actuals!GL52),-MAX(0,'BD Commission Detail'!GK53),Actuals!GL52)</f>
        <v>-0</v>
      </c>
      <c r="GL234" s="1" t="n">
        <f aca="false">IF(ISBLANK(Actuals!GM52),-MAX(0,'BD Commission Detail'!GL53),Actuals!GM52)</f>
        <v>-0</v>
      </c>
      <c r="GM234" s="1" t="n">
        <f aca="false">IF(ISBLANK(Actuals!GN52),-MAX(0,'BD Commission Detail'!GM53),Actuals!GN52)</f>
        <v>-0</v>
      </c>
      <c r="GN234" s="1" t="n">
        <f aca="false">IF(ISBLANK(Actuals!GO52),-MAX(0,'BD Commission Detail'!GN53),Actuals!GO52)</f>
        <v>-0</v>
      </c>
      <c r="GO234" s="1" t="n">
        <f aca="false">IF(ISBLANK(Actuals!GP52),-MAX(0,'BD Commission Detail'!GO53),Actuals!GP52)</f>
        <v>-0</v>
      </c>
      <c r="GP234" s="1" t="n">
        <f aca="false">IF(ISBLANK(Actuals!GQ52),-MAX(0,'BD Commission Detail'!GP53),Actuals!GQ52)</f>
        <v>-0</v>
      </c>
      <c r="GQ234" s="1" t="n">
        <f aca="false">IF(ISBLANK(Actuals!GR52),-MAX(0,'BD Commission Detail'!GQ53),Actuals!GR52)</f>
        <v>-0</v>
      </c>
      <c r="GR234" s="1" t="n">
        <f aca="false">IF(ISBLANK(Actuals!GS52),-MAX(0,'BD Commission Detail'!GR53),Actuals!GS52)</f>
        <v>-0</v>
      </c>
      <c r="GS234" s="1" t="n">
        <f aca="false">IF(ISBLANK(Actuals!GT52),-MAX(0,'BD Commission Detail'!GS53),Actuals!GT52)</f>
        <v>-0</v>
      </c>
      <c r="GT234" s="1" t="n">
        <f aca="false">IF(ISBLANK(Actuals!GU52),-MAX(0,'BD Commission Detail'!GT53),Actuals!GU52)</f>
        <v>-0</v>
      </c>
      <c r="GU234" s="1" t="n">
        <f aca="false">IF(ISBLANK(Actuals!GV52),-MAX(0,'BD Commission Detail'!GU53),Actuals!GV52)</f>
        <v>-0</v>
      </c>
      <c r="GV234" s="1" t="n">
        <f aca="false">IF(ISBLANK(Actuals!GW52),-MAX(0,'BD Commission Detail'!GV53),Actuals!GW52)</f>
        <v>-0</v>
      </c>
      <c r="GW234" s="1" t="n">
        <f aca="false">IF(ISBLANK(Actuals!GX52),-MAX(0,'BD Commission Detail'!GW53),Actuals!GX52)</f>
        <v>-0</v>
      </c>
      <c r="GX234" s="1" t="n">
        <f aca="false">IF(ISBLANK(Actuals!GY52),-MAX(0,'BD Commission Detail'!GX53),Actuals!GY52)</f>
        <v>-0</v>
      </c>
      <c r="GY234" s="1" t="n">
        <f aca="false">IF(ISBLANK(Actuals!GZ52),-MAX(0,'BD Commission Detail'!GY53),Actuals!GZ52)</f>
        <v>-0</v>
      </c>
      <c r="GZ234" s="1" t="n">
        <f aca="false">IF(ISBLANK(Actuals!HA52),-MAX(0,'BD Commission Detail'!GZ53),Actuals!HA52)</f>
        <v>-0</v>
      </c>
      <c r="HA234" s="1" t="n">
        <f aca="false">IF(ISBLANK(Actuals!HB52),-MAX(0,'BD Commission Detail'!HA53),Actuals!HB52)</f>
        <v>-0</v>
      </c>
      <c r="HB234" s="1" t="n">
        <f aca="false">IF(ISBLANK(Actuals!HC52),-MAX(0,'BD Commission Detail'!HB53),Actuals!HC52)</f>
        <v>-0</v>
      </c>
      <c r="HC234" s="1" t="n">
        <f aca="false">IF(ISBLANK(Actuals!HD52),-MAX(0,'BD Commission Detail'!HC53),Actuals!HD52)</f>
        <v>-0</v>
      </c>
      <c r="HD234" s="1" t="n">
        <f aca="false">IF(ISBLANK(Actuals!HE52),-MAX(0,'BD Commission Detail'!HD53),Actuals!HE52)</f>
        <v>-0</v>
      </c>
      <c r="HE234" s="1" t="n">
        <f aca="false">IF(ISBLANK(Actuals!HF52),-MAX(0,'BD Commission Detail'!HE53),Actuals!HF52)</f>
        <v>-0</v>
      </c>
      <c r="HF234" s="1" t="n">
        <f aca="false">IF(ISBLANK(Actuals!HG52),-MAX(0,'BD Commission Detail'!HF53),Actuals!HG52)</f>
        <v>-0</v>
      </c>
      <c r="HG234" s="1" t="n">
        <f aca="false">IF(ISBLANK(Actuals!HH52),-MAX(0,'BD Commission Detail'!HG53),Actuals!HH52)</f>
        <v>-0</v>
      </c>
      <c r="HH234" s="1" t="n">
        <f aca="false">IF(ISBLANK(Actuals!HI52),-MAX(0,'BD Commission Detail'!HH53),Actuals!HI52)</f>
        <v>-0</v>
      </c>
      <c r="HI234" s="1" t="n">
        <f aca="false">IF(ISBLANK(Actuals!HJ52),-MAX(0,'BD Commission Detail'!HI53),Actuals!HJ52)</f>
        <v>-0</v>
      </c>
      <c r="HJ234" s="1" t="n">
        <f aca="false">IF(ISBLANK(Actuals!HK52),-MAX(0,'BD Commission Detail'!HJ53),Actuals!HK52)</f>
        <v>-0</v>
      </c>
      <c r="HK234" s="1" t="n">
        <f aca="false">IF(ISBLANK(Actuals!HL52),-MAX(0,'BD Commission Detail'!HK53),Actuals!HL52)</f>
        <v>-0</v>
      </c>
      <c r="HL234" s="1" t="n">
        <f aca="false">IF(ISBLANK(Actuals!HM52),-MAX(0,'BD Commission Detail'!HL53),Actuals!HM52)</f>
        <v>-0</v>
      </c>
      <c r="HM234" s="1" t="n">
        <f aca="false">IF(ISBLANK(Actuals!HN52),-MAX(0,'BD Commission Detail'!HM53),Actuals!HN52)</f>
        <v>-0</v>
      </c>
      <c r="HN234" s="1" t="n">
        <f aca="false">IF(ISBLANK(Actuals!HO52),-MAX(0,'BD Commission Detail'!HN53),Actuals!HO52)</f>
        <v>-0</v>
      </c>
      <c r="HO234" s="1" t="n">
        <f aca="false">IF(ISBLANK(Actuals!HP52),-MAX(0,'BD Commission Detail'!HO53),Actuals!HP52)</f>
        <v>-0</v>
      </c>
      <c r="HP234" s="1" t="n">
        <f aca="false">IF(ISBLANK(Actuals!HQ52),-MAX(0,'BD Commission Detail'!HP53),Actuals!HQ52)</f>
        <v>-0</v>
      </c>
      <c r="HQ234" s="1" t="n">
        <f aca="false">IF(ISBLANK(Actuals!HR52),-MAX(0,'BD Commission Detail'!HQ53),Actuals!HR52)</f>
        <v>-0</v>
      </c>
      <c r="HR234" s="1" t="n">
        <f aca="false">IF(ISBLANK(Actuals!HS52),-MAX(0,'BD Commission Detail'!HR53),Actuals!HS52)</f>
        <v>-0</v>
      </c>
      <c r="HS234" s="1" t="n">
        <f aca="false">IF(ISBLANK(Actuals!HT52),-MAX(0,'BD Commission Detail'!HS53),Actuals!HT52)</f>
        <v>-0</v>
      </c>
      <c r="HT234" s="1" t="n">
        <f aca="false">IF(ISBLANK(Actuals!HU52),-MAX(0,'BD Commission Detail'!HT53),Actuals!HU52)</f>
        <v>-0</v>
      </c>
      <c r="HU234" s="1" t="n">
        <f aca="false">IF(ISBLANK(Actuals!HV52),-MAX(0,'BD Commission Detail'!HU53),Actuals!HV52)</f>
        <v>-0</v>
      </c>
      <c r="HV234" s="1" t="n">
        <f aca="false">IF(ISBLANK(Actuals!HW52),-MAX(0,'BD Commission Detail'!HV53),Actuals!HW52)</f>
        <v>-0</v>
      </c>
      <c r="HW234" s="1" t="n">
        <f aca="false">IF(ISBLANK(Actuals!HX52),-MAX(0,'BD Commission Detail'!HW53),Actuals!HX52)</f>
        <v>-0</v>
      </c>
      <c r="HX234" s="1" t="n">
        <f aca="false">IF(ISBLANK(Actuals!HY52),-MAX(0,'BD Commission Detail'!HX53),Actuals!HY52)</f>
        <v>-0</v>
      </c>
      <c r="HY234" s="1" t="n">
        <f aca="false">IF(ISBLANK(Actuals!HZ52),-MAX(0,'BD Commission Detail'!HY53),Actuals!HZ52)</f>
        <v>-0</v>
      </c>
      <c r="HZ234" s="1" t="n">
        <f aca="false">IF(ISBLANK(Actuals!IA52),-MAX(0,'BD Commission Detail'!HZ53),Actuals!IA52)</f>
        <v>-0</v>
      </c>
      <c r="IA234" s="1" t="n">
        <f aca="false">IF(ISBLANK(Actuals!IB52),-MAX(0,'BD Commission Detail'!IA53),Actuals!IB52)</f>
        <v>-0</v>
      </c>
      <c r="IB234" s="1" t="n">
        <f aca="false">IF(ISBLANK(Actuals!IC52),-MAX(0,'BD Commission Detail'!IB53),Actuals!IC52)</f>
        <v>-0</v>
      </c>
      <c r="IC234" s="1" t="n">
        <f aca="false">IF(ISBLANK(Actuals!ID52),-MAX(0,'BD Commission Detail'!IC53),Actuals!ID52)</f>
        <v>-0</v>
      </c>
      <c r="ID234" s="1" t="n">
        <f aca="false">IF(ISBLANK(Actuals!IE52),-MAX(0,'BD Commission Detail'!ID53),Actuals!IE52)</f>
        <v>-0</v>
      </c>
      <c r="IE234" s="1" t="n">
        <f aca="false">IF(ISBLANK(Actuals!IF52),-MAX(0,'BD Commission Detail'!IE53),Actuals!IF52)</f>
        <v>-0</v>
      </c>
      <c r="IF234" s="1" t="n">
        <f aca="false">IF(ISBLANK(Actuals!IG52),-MAX(0,'BD Commission Detail'!IF53),Actuals!IG52)</f>
        <v>-0</v>
      </c>
      <c r="IG234" s="1" t="n">
        <f aca="false">IF(ISBLANK(Actuals!IH52),-MAX(0,'BD Commission Detail'!IG53),Actuals!IH52)</f>
        <v>-0</v>
      </c>
      <c r="IH234" s="1" t="n">
        <f aca="false">IF(ISBLANK(Actuals!II52),-MAX(0,'BD Commission Detail'!IH53),Actuals!II52)</f>
        <v>-0</v>
      </c>
      <c r="II234" s="1" t="n">
        <f aca="false">IF(ISBLANK(Actuals!IJ52),-MAX(0,'BD Commission Detail'!II53),Actuals!IJ52)</f>
        <v>-0</v>
      </c>
      <c r="IJ234" s="1" t="n">
        <f aca="false">IF(ISBLANK(Actuals!IK52),-MAX(0,'BD Commission Detail'!IJ53),Actuals!IK52)</f>
        <v>-0</v>
      </c>
      <c r="IK234" s="1" t="n">
        <f aca="false">IF(ISBLANK(Actuals!IL52),-MAX(0,'BD Commission Detail'!IK53),Actuals!IL52)</f>
        <v>-0</v>
      </c>
      <c r="IL234" s="1" t="n">
        <f aca="false">IF(ISBLANK(Actuals!IM52),-MAX(0,'BD Commission Detail'!IL53),Actuals!IM52)</f>
        <v>-0</v>
      </c>
      <c r="IM234" s="1" t="n">
        <f aca="false">IF(ISBLANK(Actuals!IN52),-MAX(0,'BD Commission Detail'!IM53),Actuals!IN52)</f>
        <v>-0</v>
      </c>
      <c r="IN234" s="1" t="n">
        <f aca="false">IF(ISBLANK(Actuals!IO52),-MAX(0,'BD Commission Detail'!IN53),Actuals!IO52)</f>
        <v>-0</v>
      </c>
      <c r="IO234" s="1" t="n">
        <f aca="false">IF(ISBLANK(Actuals!IP52),-MAX(0,'BD Commission Detail'!IO53),Actuals!IP52)</f>
        <v>-0</v>
      </c>
      <c r="IP234" s="1" t="n">
        <f aca="false">IF(ISBLANK(Actuals!IQ52),-MAX(0,'BD Commission Detail'!IP53),Actuals!IQ52)</f>
        <v>-0</v>
      </c>
      <c r="IQ234" s="1" t="n">
        <f aca="false">IF(ISBLANK(Actuals!IR52),-MAX(0,'BD Commission Detail'!IQ53),Actuals!IR52)</f>
        <v>-0</v>
      </c>
      <c r="IR234" s="1" t="n">
        <f aca="false">IF(ISBLANK(Actuals!IS52),-MAX(0,'BD Commission Detail'!IR53),Actuals!IS52)</f>
        <v>-0</v>
      </c>
      <c r="IS234" s="1" t="n">
        <f aca="false">IF(ISBLANK(Actuals!IT52),-MAX(0,'BD Commission Detail'!IS53),Actuals!IT52)</f>
        <v>-0</v>
      </c>
      <c r="IT234" s="1" t="n">
        <f aca="false">IF(ISBLANK(Actuals!IU52),-MAX(0,'BD Commission Detail'!IT53),Actuals!IU52)</f>
        <v>-0</v>
      </c>
      <c r="IU234" s="1" t="n">
        <f aca="false">IF(ISBLANK(Actuals!IV52),-MAX(0,'BD Commission Detail'!IU53),Actuals!IV52)</f>
        <v>-0</v>
      </c>
      <c r="IV234" s="1" t="n">
        <f aca="false">IF(ISBLANK(Actuals!IW52),-MAX(0,'BD Commission Detail'!IV53),Actuals!IW52)</f>
        <v>-0</v>
      </c>
      <c r="IW234" s="1" t="n">
        <f aca="false">IF(ISBLANK(Actuals!IX52),-MAX(0,'BD Commission Detail'!IW53),Actuals!IX52)</f>
        <v>-0</v>
      </c>
      <c r="IX234" s="1" t="n">
        <f aca="false">IF(ISBLANK(Actuals!IY52),-MAX(0,'BD Commission Detail'!IX53),Actuals!IY52)</f>
        <v>-0</v>
      </c>
      <c r="IY234" s="1" t="n">
        <f aca="false">IF(ISBLANK(Actuals!IZ52),-MAX(0,'BD Commission Detail'!IY53),Actuals!IZ52)</f>
        <v>-0</v>
      </c>
      <c r="IZ234" s="1" t="n">
        <f aca="false">IF(ISBLANK(Actuals!JA52),-MAX(0,'BD Commission Detail'!IZ53),Actuals!JA52)</f>
        <v>-0</v>
      </c>
      <c r="JA234" s="1" t="n">
        <f aca="false">IF(ISBLANK(Actuals!JB52),-MAX(0,'BD Commission Detail'!JA53),Actuals!JB52)</f>
        <v>-0</v>
      </c>
      <c r="JB234" s="1" t="n">
        <f aca="false">IF(ISBLANK(Actuals!JC52),-MAX(0,'BD Commission Detail'!JB53),Actuals!JC52)</f>
        <v>-0</v>
      </c>
      <c r="JC234" s="1" t="n">
        <f aca="false">IF(ISBLANK(Actuals!JD52),-MAX(0,'BD Commission Detail'!JC53),Actuals!JD52)</f>
        <v>-0</v>
      </c>
      <c r="JD234" s="1" t="n">
        <f aca="false">IF(ISBLANK(Actuals!JE52),-MAX(0,'BD Commission Detail'!JD53),Actuals!JE52)</f>
        <v>-0</v>
      </c>
      <c r="JE234" s="1" t="n">
        <f aca="false">IF(ISBLANK(Actuals!JF52),-MAX(0,'BD Commission Detail'!JE53),Actuals!JF52)</f>
        <v>-0</v>
      </c>
      <c r="JF234" s="1" t="n">
        <f aca="false">IF(ISBLANK(Actuals!JG52),-MAX(0,'BD Commission Detail'!JF53),Actuals!JG52)</f>
        <v>-0</v>
      </c>
      <c r="JG234" s="1" t="n">
        <f aca="false">IF(ISBLANK(Actuals!JH52),-MAX(0,'BD Commission Detail'!JG53),Actuals!JH52)</f>
        <v>-0</v>
      </c>
      <c r="JH234" s="1" t="n">
        <f aca="false">IF(ISBLANK(Actuals!JI52),-MAX(0,'BD Commission Detail'!JH53),Actuals!JI52)</f>
        <v>-0</v>
      </c>
      <c r="JI234" s="1" t="n">
        <f aca="false">IF(ISBLANK(Actuals!JJ52),-MAX(0,'BD Commission Detail'!JI53),Actuals!JJ52)</f>
        <v>-0</v>
      </c>
      <c r="JJ234" s="1" t="n">
        <f aca="false">IF(ISBLANK(Actuals!JK52),-MAX(0,'BD Commission Detail'!JJ53),Actuals!JK52)</f>
        <v>-0</v>
      </c>
      <c r="JK234" s="1" t="n">
        <f aca="false">IF(ISBLANK(Actuals!JL52),-MAX(0,'BD Commission Detail'!JK53),Actuals!JL52)</f>
        <v>-0</v>
      </c>
      <c r="JL234" s="1" t="n">
        <f aca="false">IF(ISBLANK(Actuals!JM52),-MAX(0,'BD Commission Detail'!JL53),Actuals!JM52)</f>
        <v>-0</v>
      </c>
      <c r="JM234" s="1" t="n">
        <f aca="false">IF(ISBLANK(Actuals!JN52),-MAX(0,'BD Commission Detail'!JM53),Actuals!JN52)</f>
        <v>-0</v>
      </c>
      <c r="JN234" s="1" t="n">
        <f aca="false">IF(ISBLANK(Actuals!JO52),-MAX(0,'BD Commission Detail'!JN53),Actuals!JO52)</f>
        <v>-0</v>
      </c>
      <c r="JO234" s="1" t="n">
        <f aca="false">IF(ISBLANK(Actuals!JP52),-MAX(0,'BD Commission Detail'!JO53),Actuals!JP52)</f>
        <v>-0</v>
      </c>
      <c r="JP234" s="1" t="n">
        <f aca="false">IF(ISBLANK(Actuals!JQ52),-MAX(0,'BD Commission Detail'!JP53),Actuals!JQ52)</f>
        <v>-0</v>
      </c>
      <c r="JQ234" s="1" t="n">
        <f aca="false">IF(ISBLANK(Actuals!JR52),-MAX(0,'BD Commission Detail'!JQ53),Actuals!JR52)</f>
        <v>-0</v>
      </c>
      <c r="JR234" s="1" t="n">
        <f aca="false">IF(ISBLANK(Actuals!JS52),-MAX(0,'BD Commission Detail'!JR53),Actuals!JS52)</f>
        <v>-0</v>
      </c>
      <c r="JS234" s="1" t="n">
        <f aca="false">IF(ISBLANK(Actuals!JT52),-MAX(0,'BD Commission Detail'!JS53),Actuals!JT52)</f>
        <v>-0</v>
      </c>
      <c r="JT234" s="1" t="n">
        <f aca="false">IF(ISBLANK(Actuals!JU52),-MAX(0,'BD Commission Detail'!JT53),Actuals!JU52)</f>
        <v>-0</v>
      </c>
      <c r="JU234" s="1" t="n">
        <f aca="false">IF(ISBLANK(Actuals!JV52),-MAX(0,'BD Commission Detail'!JU53),Actuals!JV52)</f>
        <v>-0</v>
      </c>
      <c r="JV234" s="1" t="n">
        <f aca="false">IF(ISBLANK(Actuals!JW52),-MAX(0,'BD Commission Detail'!JV53),Actuals!JW52)</f>
        <v>-0</v>
      </c>
      <c r="JW234" s="1" t="n">
        <f aca="false">IF(ISBLANK(Actuals!JX52),-MAX(0,'BD Commission Detail'!JW53),Actuals!JX52)</f>
        <v>-0</v>
      </c>
      <c r="JX234" s="1" t="n">
        <f aca="false">IF(ISBLANK(Actuals!JY52),-MAX(0,'BD Commission Detail'!JX53),Actuals!JY52)</f>
        <v>-0</v>
      </c>
      <c r="JY234" s="1" t="n">
        <f aca="false">IF(ISBLANK(Actuals!JZ52),-MAX(0,'BD Commission Detail'!JY53),Actuals!JZ52)</f>
        <v>-0</v>
      </c>
      <c r="JZ234" s="1" t="n">
        <f aca="false">IF(ISBLANK(Actuals!KA52),-MAX(0,'BD Commission Detail'!JZ53),Actuals!KA52)</f>
        <v>-0</v>
      </c>
      <c r="KA234" s="1" t="n">
        <f aca="false">IF(ISBLANK(Actuals!KB52),-MAX(0,'BD Commission Detail'!KA53),Actuals!KB52)</f>
        <v>-0</v>
      </c>
      <c r="KB234" s="1" t="n">
        <f aca="false">IF(ISBLANK(Actuals!KC52),-MAX(0,'BD Commission Detail'!KB53),Actuals!KC52)</f>
        <v>-0</v>
      </c>
      <c r="KC234" s="1" t="n">
        <f aca="false">IF(ISBLANK(Actuals!KD52),-MAX(0,'BD Commission Detail'!KC53),Actuals!KD52)</f>
        <v>-0</v>
      </c>
      <c r="KD234" s="1" t="n">
        <f aca="false">IF(ISBLANK(Actuals!KE52),-MAX(0,'BD Commission Detail'!KD53),Actuals!KE52)</f>
        <v>-0</v>
      </c>
      <c r="KE234" s="1" t="n">
        <f aca="false">IF(ISBLANK(Actuals!KF52),-MAX(0,'BD Commission Detail'!KE53),Actuals!KF52)</f>
        <v>-0</v>
      </c>
      <c r="KF234" s="1" t="n">
        <f aca="false">IF(ISBLANK(Actuals!KG52),-MAX(0,'BD Commission Detail'!KF53),Actuals!KG52)</f>
        <v>-0</v>
      </c>
      <c r="KG234" s="1" t="n">
        <f aca="false">IF(ISBLANK(Actuals!KH52),-MAX(0,'BD Commission Detail'!KG53),Actuals!KH52)</f>
        <v>-0</v>
      </c>
      <c r="KH234" s="1" t="n">
        <f aca="false">IF(ISBLANK(Actuals!KI52),-MAX(0,'BD Commission Detail'!KH53),Actuals!KI52)</f>
        <v>-0</v>
      </c>
      <c r="KI234" s="1" t="n">
        <f aca="false">IF(ISBLANK(Actuals!KJ52),-MAX(0,'BD Commission Detail'!KI53),Actuals!KJ52)</f>
        <v>-0</v>
      </c>
      <c r="KJ234" s="1" t="n">
        <f aca="false">IF(ISBLANK(Actuals!KK52),-MAX(0,'BD Commission Detail'!KJ53),Actuals!KK52)</f>
        <v>-0</v>
      </c>
      <c r="KK234" s="1" t="n">
        <f aca="false">IF(ISBLANK(Actuals!KL52),-MAX(0,'BD Commission Detail'!KK53),Actuals!KL52)</f>
        <v>-0</v>
      </c>
      <c r="KL234" s="1" t="n">
        <f aca="false">IF(ISBLANK(Actuals!KM52),-MAX(0,'BD Commission Detail'!KL53),Actuals!KM52)</f>
        <v>-0</v>
      </c>
      <c r="KM234" s="1" t="n">
        <f aca="false">IF(ISBLANK(Actuals!KN52),-MAX(0,'BD Commission Detail'!KM53),Actuals!KN52)</f>
        <v>-0</v>
      </c>
      <c r="KN234" s="1" t="n">
        <f aca="false">IF(ISBLANK(Actuals!KO52),-MAX(0,'BD Commission Detail'!KN53),Actuals!KO52)</f>
        <v>-0</v>
      </c>
      <c r="KO234" s="1" t="n">
        <f aca="false">IF(ISBLANK(Actuals!KP52),-MAX(0,'BD Commission Detail'!KO53),Actuals!KP52)</f>
        <v>-0</v>
      </c>
      <c r="KP234" s="1" t="n">
        <f aca="false">IF(ISBLANK(Actuals!KQ52),-MAX(0,'BD Commission Detail'!KP53),Actuals!KQ52)</f>
        <v>-0</v>
      </c>
      <c r="KQ234" s="1" t="n">
        <f aca="false">IF(ISBLANK(Actuals!KR52),-MAX(0,'BD Commission Detail'!KQ53),Actuals!KR52)</f>
        <v>-0</v>
      </c>
      <c r="KR234" s="1" t="n">
        <f aca="false">IF(ISBLANK(Actuals!KS52),-MAX(0,'BD Commission Detail'!KR53),Actuals!KS52)</f>
        <v>-0</v>
      </c>
      <c r="KS234" s="1" t="n">
        <f aca="false">IF(ISBLANK(Actuals!KT52),-MAX(0,'BD Commission Detail'!KS53),Actuals!KT52)</f>
        <v>-0</v>
      </c>
      <c r="KT234" s="1" t="n">
        <f aca="false">IF(ISBLANK(Actuals!KU52),-MAX(0,'BD Commission Detail'!KT53),Actuals!KU52)</f>
        <v>-0</v>
      </c>
      <c r="KU234" s="1" t="n">
        <f aca="false">IF(ISBLANK(Actuals!KV52),-MAX(0,'BD Commission Detail'!KU53),Actuals!KV52)</f>
        <v>-0</v>
      </c>
      <c r="KV234" s="1" t="n">
        <f aca="false">IF(ISBLANK(Actuals!KW52),-MAX(0,'BD Commission Detail'!KV53),Actuals!KW52)</f>
        <v>-0</v>
      </c>
      <c r="KW234" s="1" t="n">
        <f aca="false">IF(ISBLANK(Actuals!KX52),-MAX(0,'BD Commission Detail'!KW53),Actuals!KX52)</f>
        <v>-0</v>
      </c>
      <c r="KX234" s="1" t="n">
        <f aca="false">IF(ISBLANK(Actuals!KY52),-MAX(0,'BD Commission Detail'!KX53),Actuals!KY52)</f>
        <v>-0</v>
      </c>
      <c r="KY234" s="1" t="n">
        <f aca="false">IF(ISBLANK(Actuals!KZ52),-MAX(0,'BD Commission Detail'!KY53),Actuals!KZ52)</f>
        <v>-0</v>
      </c>
      <c r="KZ234" s="1" t="n">
        <f aca="false">IF(ISBLANK(Actuals!LA52),-MAX(0,'BD Commission Detail'!KZ53),Actuals!LA52)</f>
        <v>-0</v>
      </c>
      <c r="LA234" s="1" t="n">
        <f aca="false">IF(ISBLANK(Actuals!LB52),-MAX(0,'BD Commission Detail'!LA53),Actuals!LB52)</f>
        <v>-0</v>
      </c>
      <c r="LB234" s="1" t="n">
        <f aca="false">IF(ISBLANK(Actuals!LC52),-MAX(0,'BD Commission Detail'!LB53),Actuals!LC52)</f>
        <v>-0</v>
      </c>
      <c r="LC234" s="1" t="n">
        <f aca="false">IF(ISBLANK(Actuals!LD52),-MAX(0,'BD Commission Detail'!LC53),Actuals!LD52)</f>
        <v>-0</v>
      </c>
      <c r="LD234" s="1" t="n">
        <f aca="false">IF(ISBLANK(Actuals!LE52),-MAX(0,'BD Commission Detail'!LD53),Actuals!LE52)</f>
        <v>-0</v>
      </c>
      <c r="LE234" s="1" t="n">
        <f aca="false">IF(ISBLANK(Actuals!LF52),-MAX(0,'BD Commission Detail'!LE53),Actuals!LF52)</f>
        <v>-0</v>
      </c>
      <c r="LF234" s="1" t="n">
        <f aca="false">IF(ISBLANK(Actuals!LG52),-MAX(0,'BD Commission Detail'!LF53),Actuals!LG52)</f>
        <v>-0</v>
      </c>
      <c r="LG234" s="1" t="n">
        <f aca="false">IF(ISBLANK(Actuals!LH52),-MAX(0,'BD Commission Detail'!LG53),Actuals!LH52)</f>
        <v>-0</v>
      </c>
      <c r="LH234" s="1" t="n">
        <f aca="false">IF(ISBLANK(Actuals!LI52),-MAX(0,'BD Commission Detail'!LH53),Actuals!LI52)</f>
        <v>-0</v>
      </c>
      <c r="LI234" s="1" t="n">
        <f aca="false">IF(ISBLANK(Actuals!LJ52),-MAX(0,'BD Commission Detail'!LI53),Actuals!LJ52)</f>
        <v>-0</v>
      </c>
      <c r="LJ234" s="1" t="n">
        <f aca="false">IF(ISBLANK(Actuals!LK52),-MAX(0,'BD Commission Detail'!LJ53),Actuals!LK52)</f>
        <v>-0</v>
      </c>
      <c r="LK234" s="1" t="n">
        <f aca="false">IF(ISBLANK(Actuals!LL52),-MAX(0,'BD Commission Detail'!LK53),Actuals!LL52)</f>
        <v>-0</v>
      </c>
      <c r="LL234" s="1" t="n">
        <f aca="false">IF(ISBLANK(Actuals!LM52),-MAX(0,'BD Commission Detail'!LL53),Actuals!LM52)</f>
        <v>-0</v>
      </c>
      <c r="LM234" s="1" t="n">
        <f aca="false">IF(ISBLANK(Actuals!LN52),-MAX(0,'BD Commission Detail'!LM53),Actuals!LN52)</f>
        <v>-0</v>
      </c>
      <c r="LN234" s="1" t="n">
        <f aca="false">IF(ISBLANK(Actuals!LO52),-MAX(0,'BD Commission Detail'!LN53),Actuals!LO52)</f>
        <v>-0</v>
      </c>
      <c r="LO234" s="1" t="n">
        <f aca="false">IF(ISBLANK(Actuals!LP52),-MAX(0,'BD Commission Detail'!LO53),Actuals!LP52)</f>
        <v>-0</v>
      </c>
      <c r="LP234" s="1" t="n">
        <f aca="false">IF(ISBLANK(Actuals!LQ52),-MAX(0,'BD Commission Detail'!LP53),Actuals!LQ52)</f>
        <v>-0</v>
      </c>
      <c r="LQ234" s="1" t="n">
        <f aca="false">IF(ISBLANK(Actuals!LR52),-MAX(0,'BD Commission Detail'!LQ53),Actuals!LR52)</f>
        <v>-0</v>
      </c>
      <c r="LR234" s="1" t="n">
        <f aca="false">IF(ISBLANK(Actuals!LS52),-MAX(0,'BD Commission Detail'!LR53),Actuals!LS52)</f>
        <v>-0</v>
      </c>
      <c r="LS234" s="1" t="n">
        <f aca="false">IF(ISBLANK(Actuals!LT52),-MAX(0,'BD Commission Detail'!LS53),Actuals!LT52)</f>
        <v>-0</v>
      </c>
      <c r="LT234" s="1" t="n">
        <f aca="false">IF(ISBLANK(Actuals!LU52),-MAX(0,'BD Commission Detail'!LT53),Actuals!LU52)</f>
        <v>-0</v>
      </c>
      <c r="LU234" s="1" t="n">
        <f aca="false">IF(ISBLANK(Actuals!LV52),-MAX(0,'BD Commission Detail'!LU53),Actuals!LV52)</f>
        <v>-0</v>
      </c>
      <c r="LV234" s="1" t="n">
        <f aca="false">IF(ISBLANK(Actuals!LW52),-MAX(0,'BD Commission Detail'!LV53),Actuals!LW52)</f>
        <v>-0</v>
      </c>
      <c r="LW234" s="1" t="n">
        <f aca="false">IF(ISBLANK(Actuals!LX52),-MAX(0,'BD Commission Detail'!LW53),Actuals!LX52)</f>
        <v>-0</v>
      </c>
      <c r="LX234" s="1" t="n">
        <f aca="false">IF(ISBLANK(Actuals!LY52),-MAX(0,'BD Commission Detail'!LX53),Actuals!LY52)</f>
        <v>-0</v>
      </c>
      <c r="LY234" s="1" t="n">
        <f aca="false">IF(ISBLANK(Actuals!LZ52),-MAX(0,'BD Commission Detail'!LY53),Actuals!LZ52)</f>
        <v>-0</v>
      </c>
      <c r="LZ234" s="1" t="n">
        <f aca="false">IF(ISBLANK(Actuals!MA52),-MAX(0,'BD Commission Detail'!LZ53),Actuals!MA52)</f>
        <v>-0</v>
      </c>
      <c r="MA234" s="1" t="n">
        <f aca="false">IF(ISBLANK(Actuals!MB52),-MAX(0,'BD Commission Detail'!MA53),Actuals!MB52)</f>
        <v>-0</v>
      </c>
      <c r="MB234" s="1" t="n">
        <f aca="false">IF(ISBLANK(Actuals!MC52),-MAX(0,'BD Commission Detail'!MB53),Actuals!MC52)</f>
        <v>-0</v>
      </c>
      <c r="MC234" s="1" t="n">
        <f aca="false">IF(ISBLANK(Actuals!MD52),-MAX(0,'BD Commission Detail'!MC53),Actuals!MD52)</f>
        <v>-0</v>
      </c>
      <c r="MD234" s="1" t="n">
        <f aca="false">IF(ISBLANK(Actuals!ME52),-MAX(0,'BD Commission Detail'!MD53),Actuals!ME52)</f>
        <v>-0</v>
      </c>
      <c r="ME234" s="1" t="n">
        <f aca="false">IF(ISBLANK(Actuals!MF52),-MAX(0,'BD Commission Detail'!ME53),Actuals!MF52)</f>
        <v>-0</v>
      </c>
      <c r="MF234" s="1" t="n">
        <f aca="false">IF(ISBLANK(Actuals!MG52),-MAX(0,'BD Commission Detail'!MF53),Actuals!MG52)</f>
        <v>-0</v>
      </c>
      <c r="MG234" s="1" t="n">
        <f aca="false">IF(ISBLANK(Actuals!MH52),-MAX(0,'BD Commission Detail'!MG53),Actuals!MH52)</f>
        <v>-0</v>
      </c>
      <c r="MH234" s="1" t="n">
        <f aca="false">IF(ISBLANK(Actuals!MI52),-MAX(0,'BD Commission Detail'!MH53),Actuals!MI52)</f>
        <v>-0</v>
      </c>
      <c r="MI234" s="1" t="n">
        <f aca="false">IF(ISBLANK(Actuals!MJ52),-MAX(0,'BD Commission Detail'!MI53),Actuals!MJ52)</f>
        <v>-0</v>
      </c>
      <c r="MJ234" s="1" t="n">
        <f aca="false">IF(ISBLANK(Actuals!MK52),-MAX(0,'BD Commission Detail'!MJ53),Actuals!MK52)</f>
        <v>-0</v>
      </c>
      <c r="MK234" s="1" t="n">
        <f aca="false">IF(ISBLANK(Actuals!ML52),-MAX(0,'BD Commission Detail'!MK53),Actuals!ML52)</f>
        <v>-0</v>
      </c>
      <c r="ML234" s="1" t="n">
        <f aca="false">IF(ISBLANK(Actuals!MM52),-MAX(0,'BD Commission Detail'!ML53),Actuals!MM52)</f>
        <v>-0</v>
      </c>
      <c r="MM234" s="1" t="n">
        <f aca="false">IF(ISBLANK(Actuals!MN52),-MAX(0,'BD Commission Detail'!MM53),Actuals!MN52)</f>
        <v>-0</v>
      </c>
      <c r="MN234" s="1" t="n">
        <f aca="false">IF(ISBLANK(Actuals!MO52),-MAX(0,'BD Commission Detail'!MN53),Actuals!MO52)</f>
        <v>-0</v>
      </c>
      <c r="MO234" s="1" t="n">
        <f aca="false">IF(ISBLANK(Actuals!MP52),-MAX(0,'BD Commission Detail'!MO53),Actuals!MP52)</f>
        <v>-0</v>
      </c>
      <c r="MP234" s="1" t="n">
        <f aca="false">IF(ISBLANK(Actuals!MQ52),-MAX(0,'BD Commission Detail'!MP53),Actuals!MQ52)</f>
        <v>-0</v>
      </c>
      <c r="MQ234" s="1" t="n">
        <f aca="false">IF(ISBLANK(Actuals!MR52),-MAX(0,'BD Commission Detail'!MQ53),Actuals!MR52)</f>
        <v>-0</v>
      </c>
      <c r="MR234" s="1" t="n">
        <f aca="false">IF(ISBLANK(Actuals!MS52),-MAX(0,'BD Commission Detail'!MR53),Actuals!MS52)</f>
        <v>-0</v>
      </c>
      <c r="MS234" s="1" t="n">
        <f aca="false">IF(ISBLANK(Actuals!MT52),-MAX(0,'BD Commission Detail'!MS53),Actuals!MT52)</f>
        <v>-0</v>
      </c>
      <c r="MT234" s="1" t="n">
        <f aca="false">IF(ISBLANK(Actuals!MU52),-MAX(0,'BD Commission Detail'!MT53),Actuals!MU52)</f>
        <v>-0</v>
      </c>
      <c r="MU234" s="1" t="n">
        <f aca="false">IF(ISBLANK(Actuals!MV52),-MAX(0,'BD Commission Detail'!MU53),Actuals!MV52)</f>
        <v>-0</v>
      </c>
      <c r="MV234" s="1" t="n">
        <f aca="false">IF(ISBLANK(Actuals!MW52),-MAX(0,'BD Commission Detail'!MV53),Actuals!MW52)</f>
        <v>-0</v>
      </c>
      <c r="MW234" s="1" t="n">
        <f aca="false">IF(ISBLANK(Actuals!MX52),-MAX(0,'BD Commission Detail'!MW53),Actuals!MX52)</f>
        <v>-0</v>
      </c>
      <c r="MX234" s="1" t="n">
        <f aca="false">IF(ISBLANK(Actuals!MY52),-MAX(0,'BD Commission Detail'!MX53),Actuals!MY52)</f>
        <v>-0</v>
      </c>
      <c r="MY234" s="1" t="n">
        <f aca="false">IF(ISBLANK(Actuals!MZ52),-MAX(0,'BD Commission Detail'!MY53),Actuals!MZ52)</f>
        <v>-0</v>
      </c>
      <c r="MZ234" s="1" t="n">
        <f aca="false">IF(ISBLANK(Actuals!NA52),-MAX(0,'BD Commission Detail'!MZ53),Actuals!NA52)</f>
        <v>-0</v>
      </c>
      <c r="NA234" s="1" t="n">
        <f aca="false">IF(ISBLANK(Actuals!NB52),-MAX(0,'BD Commission Detail'!NA53),Actuals!NB52)</f>
        <v>-0</v>
      </c>
      <c r="NB234" s="1" t="n">
        <f aca="false">IF(ISBLANK(Actuals!NC52),-MAX(0,'BD Commission Detail'!NB53),Actuals!NC52)</f>
        <v>-0</v>
      </c>
      <c r="NC234" s="1" t="n">
        <f aca="false">IF(ISBLANK(Actuals!ND52),-MAX(0,'BD Commission Detail'!NC53),Actuals!ND52)</f>
        <v>-0</v>
      </c>
      <c r="ND234" s="1" t="n">
        <f aca="false">IF(ISBLANK(Actuals!NE52),-MAX(0,'BD Commission Detail'!ND53),Actuals!NE52)</f>
        <v>-0</v>
      </c>
      <c r="NE234" s="1" t="n">
        <f aca="false">IF(ISBLANK(Actuals!NF52),-MAX(0,'BD Commission Detail'!NE53),Actuals!NF52)</f>
        <v>-0</v>
      </c>
      <c r="NF234" s="1" t="n">
        <f aca="false">IF(ISBLANK(Actuals!NG52),-MAX(0,'BD Commission Detail'!NF53),Actuals!NG52)</f>
        <v>-0</v>
      </c>
      <c r="NG234" s="1" t="n">
        <f aca="false">IF(ISBLANK(Actuals!NH52),-MAX(0,'BD Commission Detail'!NG53),Actuals!NH52)</f>
        <v>-0</v>
      </c>
      <c r="NH234" s="1" t="n">
        <f aca="false">IF(ISBLANK(Actuals!NI52),-MAX(0,'BD Commission Detail'!NH53),Actuals!NI52)</f>
        <v>-0</v>
      </c>
      <c r="NI234" s="1" t="n">
        <f aca="false">IF(ISBLANK(Actuals!NJ52),-MAX(0,'BD Commission Detail'!NI53),Actuals!NJ52)</f>
        <v>-0</v>
      </c>
      <c r="NJ234" s="1" t="n">
        <f aca="false">IF(ISBLANK(Actuals!NK52),-MAX(0,'BD Commission Detail'!NJ53),Actuals!NK52)</f>
        <v>-0</v>
      </c>
      <c r="NK234" s="1" t="n">
        <f aca="false">IF(ISBLANK(Actuals!NL52),-MAX(0,'BD Commission Detail'!NK53),Actuals!NL52)</f>
        <v>-0</v>
      </c>
      <c r="NL234" s="1" t="n">
        <f aca="false">IF(ISBLANK(Actuals!NM52),-MAX(0,'BD Commission Detail'!NL53),Actuals!NM52)</f>
        <v>-0</v>
      </c>
      <c r="NM234" s="1" t="n">
        <f aca="false">IF(ISBLANK(Actuals!NN52),-MAX(0,'BD Commission Detail'!NM53),Actuals!NN52)</f>
        <v>-0</v>
      </c>
      <c r="NN234" s="1" t="n">
        <f aca="false">IF(ISBLANK(Actuals!NO52),-MAX(0,'BD Commission Detail'!NN53),Actuals!NO52)</f>
        <v>-0</v>
      </c>
      <c r="NO234" s="1" t="n">
        <f aca="false">IF(ISBLANK(Actuals!NP52),-MAX(0,'BD Commission Detail'!NO53),Actuals!NP52)</f>
        <v>-0</v>
      </c>
      <c r="NP234" s="1" t="n">
        <f aca="false">IF(ISBLANK(Actuals!NQ52),-MAX(0,'BD Commission Detail'!NP53),Actuals!NQ52)</f>
        <v>-0</v>
      </c>
      <c r="NQ234" s="1" t="n">
        <f aca="false">IF(ISBLANK(Actuals!NR52),-MAX(0,'BD Commission Detail'!NQ53),Actuals!NR52)</f>
        <v>-0</v>
      </c>
      <c r="NR234" s="1" t="n">
        <f aca="false">IF(ISBLANK(Actuals!NS52),-MAX(0,'BD Commission Detail'!NR53),Actuals!NS52)</f>
        <v>-0</v>
      </c>
      <c r="NS234" s="1" t="n">
        <f aca="false">IF(ISBLANK(Actuals!NT52),-MAX(0,'BD Commission Detail'!NS53),Actuals!NT52)</f>
        <v>-0</v>
      </c>
      <c r="NT234" s="1" t="n">
        <f aca="false">IF(ISBLANK(Actuals!NU52),-MAX(0,'BD Commission Detail'!NT53),Actuals!NU52)</f>
        <v>-0</v>
      </c>
      <c r="NU234" s="1" t="n">
        <f aca="false">IF(ISBLANK(Actuals!NV52),-MAX(0,'BD Commission Detail'!NU53),Actuals!NV52)</f>
        <v>-0</v>
      </c>
      <c r="NV234" s="1" t="n">
        <f aca="false">IF(ISBLANK(Actuals!NW52),-MAX(0,'BD Commission Detail'!NV53),Actuals!NW52)</f>
        <v>-0</v>
      </c>
      <c r="NW234" s="1" t="n">
        <f aca="false">IF(ISBLANK(Actuals!NX52),-MAX(0,'BD Commission Detail'!NW53),Actuals!NX52)</f>
        <v>-0</v>
      </c>
      <c r="NX234" s="1" t="n">
        <f aca="false">IF(ISBLANK(Actuals!NY52),-MAX(0,'BD Commission Detail'!NX53),Actuals!NY52)</f>
        <v>-0</v>
      </c>
      <c r="NY234" s="1" t="n">
        <f aca="false">IF(ISBLANK(Actuals!NZ52),-MAX(0,'BD Commission Detail'!NY53),Actuals!NZ52)</f>
        <v>-0</v>
      </c>
      <c r="NZ234" s="1" t="n">
        <f aca="false">IF(ISBLANK(Actuals!OA52),-MAX(0,'BD Commission Detail'!NZ53),Actuals!OA52)</f>
        <v>-0</v>
      </c>
      <c r="OA234" s="1" t="n">
        <f aca="false">IF(ISBLANK(Actuals!OB52),-MAX(0,'BD Commission Detail'!OA53),Actuals!OB52)</f>
        <v>-0</v>
      </c>
      <c r="OB234" s="1" t="n">
        <f aca="false">IF(ISBLANK(Actuals!OC52),-MAX(0,'BD Commission Detail'!OB53),Actuals!OC52)</f>
        <v>-0</v>
      </c>
      <c r="OC234" s="1" t="n">
        <f aca="false">IF(ISBLANK(Actuals!OD52),-MAX(0,'BD Commission Detail'!OC53),Actuals!OD52)</f>
        <v>-0</v>
      </c>
      <c r="OD234" s="1" t="n">
        <f aca="false">IF(ISBLANK(Actuals!OE52),-MAX(0,'BD Commission Detail'!OD53),Actuals!OE52)</f>
        <v>-0</v>
      </c>
      <c r="OE234" s="1" t="n">
        <f aca="false">IF(ISBLANK(Actuals!OF52),-MAX(0,'BD Commission Detail'!OE53),Actuals!OF52)</f>
        <v>-0</v>
      </c>
      <c r="OF234" s="1" t="n">
        <f aca="false">IF(ISBLANK(Actuals!OG52),-MAX(0,'BD Commission Detail'!OF53),Actuals!OG52)</f>
        <v>-0</v>
      </c>
      <c r="OG234" s="1" t="n">
        <f aca="false">IF(ISBLANK(Actuals!OH52),-MAX(0,'BD Commission Detail'!OG53),Actuals!OH52)</f>
        <v>-0</v>
      </c>
      <c r="OH234" s="1" t="n">
        <f aca="false">IF(ISBLANK(Actuals!OI52),-MAX(0,'BD Commission Detail'!OH53),Actuals!OI52)</f>
        <v>-0</v>
      </c>
      <c r="OI234" s="1" t="n">
        <f aca="false">IF(ISBLANK(Actuals!OJ52),-MAX(0,'BD Commission Detail'!OI53),Actuals!OJ52)</f>
        <v>-0</v>
      </c>
      <c r="OJ234" s="1" t="n">
        <f aca="false">IF(ISBLANK(Actuals!OK52),-MAX(0,'BD Commission Detail'!OJ53),Actuals!OK52)</f>
        <v>-0</v>
      </c>
      <c r="OK234" s="1" t="n">
        <f aca="false">IF(ISBLANK(Actuals!OL52),-MAX(0,'BD Commission Detail'!OK53),Actuals!OL52)</f>
        <v>-0</v>
      </c>
      <c r="OL234" s="1" t="n">
        <f aca="false">IF(ISBLANK(Actuals!OM52),-MAX(0,'BD Commission Detail'!OL53),Actuals!OM52)</f>
        <v>-0</v>
      </c>
      <c r="OM234" s="1" t="n">
        <f aca="false">IF(ISBLANK(Actuals!ON52),-MAX(0,'BD Commission Detail'!OM53),Actuals!ON52)</f>
        <v>-0</v>
      </c>
      <c r="ON234" s="1" t="n">
        <f aca="false">IF(ISBLANK(Actuals!OO52),-MAX(0,'BD Commission Detail'!ON53),Actuals!OO52)</f>
        <v>-0</v>
      </c>
      <c r="OO234" s="1" t="n">
        <f aca="false">IF(ISBLANK(Actuals!OP52),-MAX(0,'BD Commission Detail'!OO53),Actuals!OP52)</f>
        <v>-0</v>
      </c>
      <c r="OP234" s="1" t="n">
        <f aca="false">IF(ISBLANK(Actuals!OQ52),-MAX(0,'BD Commission Detail'!OP53),Actuals!OQ52)</f>
        <v>-0</v>
      </c>
      <c r="OQ234" s="1" t="n">
        <f aca="false">IF(ISBLANK(Actuals!OR52),-MAX(0,'BD Commission Detail'!OQ53),Actuals!OR52)</f>
        <v>-0</v>
      </c>
      <c r="OR234" s="1" t="n">
        <f aca="false">IF(ISBLANK(Actuals!OS52),-MAX(0,'BD Commission Detail'!OR53),Actuals!OS52)</f>
        <v>-0</v>
      </c>
      <c r="OS234" s="1" t="n">
        <f aca="false">IF(ISBLANK(Actuals!OT52),-MAX(0,'BD Commission Detail'!OS53),Actuals!OT52)</f>
        <v>-0</v>
      </c>
      <c r="OT234" s="1" t="n">
        <f aca="false">IF(ISBLANK(Actuals!OU52),-MAX(0,'BD Commission Detail'!OT53),Actuals!OU52)</f>
        <v>-0</v>
      </c>
      <c r="OU234" s="1" t="n">
        <f aca="false">IF(ISBLANK(Actuals!OV52),-MAX(0,'BD Commission Detail'!OU53),Actuals!OV52)</f>
        <v>-0</v>
      </c>
      <c r="OV234" s="1" t="n">
        <f aca="false">IF(ISBLANK(Actuals!OW52),-MAX(0,'BD Commission Detail'!OV53),Actuals!OW52)</f>
        <v>-0</v>
      </c>
      <c r="OW234" s="1" t="n">
        <f aca="false">IF(ISBLANK(Actuals!OX52),-MAX(0,'BD Commission Detail'!OW53),Actuals!OX52)</f>
        <v>-0</v>
      </c>
      <c r="OX234" s="1" t="n">
        <f aca="false">IF(ISBLANK(Actuals!OY52),-MAX(0,'BD Commission Detail'!OX53),Actuals!OY52)</f>
        <v>-0</v>
      </c>
      <c r="OY234" s="1" t="n">
        <f aca="false">IF(ISBLANK(Actuals!OZ52),-MAX(0,'BD Commission Detail'!OY53),Actuals!OZ52)</f>
        <v>-0</v>
      </c>
      <c r="OZ234" s="1" t="n">
        <f aca="false">IF(ISBLANK(Actuals!PA52),-MAX(0,'BD Commission Detail'!OZ53),Actuals!PA52)</f>
        <v>-0</v>
      </c>
      <c r="PA234" s="1" t="n">
        <f aca="false">IF(ISBLANK(Actuals!PB52),-MAX(0,'BD Commission Detail'!PA53),Actuals!PB52)</f>
        <v>-0</v>
      </c>
      <c r="PB234" s="1" t="n">
        <f aca="false">IF(ISBLANK(Actuals!PC52),-MAX(0,'BD Commission Detail'!PB53),Actuals!PC52)</f>
        <v>-0</v>
      </c>
      <c r="PC234" s="1" t="n">
        <f aca="false">IF(ISBLANK(Actuals!PD52),-MAX(0,'BD Commission Detail'!PC53),Actuals!PD52)</f>
        <v>-0</v>
      </c>
      <c r="PD234" s="1" t="n">
        <f aca="false">IF(ISBLANK(Actuals!PE52),-MAX(0,'BD Commission Detail'!PD53),Actuals!PE52)</f>
        <v>-0</v>
      </c>
      <c r="PE234" s="1" t="n">
        <f aca="false">IF(ISBLANK(Actuals!PF52),-MAX(0,'BD Commission Detail'!PE53),Actuals!PF52)</f>
        <v>-0</v>
      </c>
      <c r="PF234" s="1" t="n">
        <f aca="false">IF(ISBLANK(Actuals!PG52),-MAX(0,'BD Commission Detail'!PF53),Actuals!PG52)</f>
        <v>-0</v>
      </c>
      <c r="PG234" s="1" t="n">
        <f aca="false">IF(ISBLANK(Actuals!PH52),-MAX(0,'BD Commission Detail'!PG53),Actuals!PH52)</f>
        <v>-0</v>
      </c>
      <c r="PH234" s="1" t="n">
        <f aca="false">IF(ISBLANK(Actuals!PI52),-MAX(0,'BD Commission Detail'!PH53),Actuals!PI52)</f>
        <v>-0</v>
      </c>
      <c r="PI234" s="1" t="n">
        <f aca="false">IF(ISBLANK(Actuals!PJ52),-MAX(0,'BD Commission Detail'!PI53),Actuals!PJ52)</f>
        <v>-0</v>
      </c>
      <c r="PJ234" s="1" t="n">
        <f aca="false">IF(ISBLANK(Actuals!PK52),-MAX(0,'BD Commission Detail'!PJ53),Actuals!PK52)</f>
        <v>-0</v>
      </c>
      <c r="PK234" s="1" t="n">
        <f aca="false">IF(ISBLANK(Actuals!PL52),-MAX(0,'BD Commission Detail'!PK53),Actuals!PL52)</f>
        <v>-0</v>
      </c>
      <c r="PL234" s="1" t="n">
        <f aca="false">IF(ISBLANK(Actuals!PM52),-MAX(0,'BD Commission Detail'!PL53),Actuals!PM52)</f>
        <v>-0</v>
      </c>
      <c r="PM234" s="1" t="n">
        <f aca="false">IF(ISBLANK(Actuals!PN52),-MAX(0,'BD Commission Detail'!PM53),Actuals!PN52)</f>
        <v>-0</v>
      </c>
      <c r="PN234" s="1" t="n">
        <f aca="false">IF(ISBLANK(Actuals!PO52),-MAX(0,'BD Commission Detail'!PN53),Actuals!PO52)</f>
        <v>-0</v>
      </c>
      <c r="PO234" s="1" t="n">
        <f aca="false">IF(ISBLANK(Actuals!PP52),-MAX(0,'BD Commission Detail'!PO53),Actuals!PP52)</f>
        <v>-0</v>
      </c>
      <c r="PP234" s="1" t="n">
        <f aca="false">IF(ISBLANK(Actuals!PQ52),-MAX(0,'BD Commission Detail'!PP53),Actuals!PQ52)</f>
        <v>-0</v>
      </c>
      <c r="PQ234" s="1" t="n">
        <f aca="false">IF(ISBLANK(Actuals!PR52),-MAX(0,'BD Commission Detail'!PQ53),Actuals!PR52)</f>
        <v>-0</v>
      </c>
      <c r="PR234" s="1" t="n">
        <f aca="false">IF(ISBLANK(Actuals!PS52),-MAX(0,'BD Commission Detail'!PR53),Actuals!PS52)</f>
        <v>-0</v>
      </c>
      <c r="PS234" s="1" t="n">
        <f aca="false">IF(ISBLANK(Actuals!PT52),-MAX(0,'BD Commission Detail'!PS53),Actuals!PT52)</f>
        <v>-0</v>
      </c>
      <c r="PT234" s="1" t="n">
        <f aca="false">IF(ISBLANK(Actuals!PU52),-MAX(0,'BD Commission Detail'!PT53),Actuals!PU52)</f>
        <v>-0</v>
      </c>
      <c r="PU234" s="1" t="n">
        <f aca="false">IF(ISBLANK(Actuals!PV52),-MAX(0,'BD Commission Detail'!PU53),Actuals!PV52)</f>
        <v>-0</v>
      </c>
      <c r="PV234" s="1" t="n">
        <f aca="false">IF(ISBLANK(Actuals!PW52),-MAX(0,'BD Commission Detail'!PV53),Actuals!PW52)</f>
        <v>-0</v>
      </c>
      <c r="PW234" s="1" t="n">
        <f aca="false">IF(ISBLANK(Actuals!PX52),-MAX(0,'BD Commission Detail'!PW53),Actuals!PX52)</f>
        <v>-0</v>
      </c>
      <c r="PX234" s="1" t="n">
        <f aca="false">IF(ISBLANK(Actuals!PY52),-MAX(0,'BD Commission Detail'!PX53),Actuals!PY52)</f>
        <v>-0</v>
      </c>
      <c r="PY234" s="1" t="n">
        <f aca="false">IF(ISBLANK(Actuals!PZ52),-MAX(0,'BD Commission Detail'!PY53),Actuals!PZ52)</f>
        <v>-0</v>
      </c>
      <c r="PZ234" s="1" t="n">
        <f aca="false">IF(ISBLANK(Actuals!QA52),-MAX(0,'BD Commission Detail'!PZ53),Actuals!QA52)</f>
        <v>-0</v>
      </c>
      <c r="QA234" s="1" t="n">
        <f aca="false">IF(ISBLANK(Actuals!QB52),-MAX(0,'BD Commission Detail'!QA53),Actuals!QB52)</f>
        <v>-0</v>
      </c>
      <c r="QB234" s="1" t="n">
        <f aca="false">IF(ISBLANK(Actuals!QC52),-MAX(0,'BD Commission Detail'!QB53),Actuals!QC52)</f>
        <v>-0</v>
      </c>
      <c r="QC234" s="1" t="n">
        <f aca="false">IF(ISBLANK(Actuals!QD52),-MAX(0,'BD Commission Detail'!QC53),Actuals!QD52)</f>
        <v>-0</v>
      </c>
      <c r="QD234" s="1" t="n">
        <f aca="false">IF(ISBLANK(Actuals!QE52),-MAX(0,'BD Commission Detail'!QD53),Actuals!QE52)</f>
        <v>-0</v>
      </c>
      <c r="QE234" s="1" t="n">
        <f aca="false">IF(ISBLANK(Actuals!QF52),-MAX(0,'BD Commission Detail'!QE53),Actuals!QF52)</f>
        <v>-0</v>
      </c>
      <c r="QF234" s="1" t="n">
        <f aca="false">IF(ISBLANK(Actuals!QG52),-MAX(0,'BD Commission Detail'!QF53),Actuals!QG52)</f>
        <v>-0</v>
      </c>
      <c r="QG234" s="1" t="n">
        <f aca="false">IF(ISBLANK(Actuals!QH52),-MAX(0,'BD Commission Detail'!QG53),Actuals!QH52)</f>
        <v>-0</v>
      </c>
      <c r="QH234" s="1" t="n">
        <f aca="false">IF(ISBLANK(Actuals!QI52),-MAX(0,'BD Commission Detail'!QH53),Actuals!QI52)</f>
        <v>-0</v>
      </c>
      <c r="QI234" s="1" t="n">
        <f aca="false">IF(ISBLANK(Actuals!QJ52),-MAX(0,'BD Commission Detail'!QI53),Actuals!QJ52)</f>
        <v>-0</v>
      </c>
      <c r="QJ234" s="1" t="n">
        <f aca="false">IF(ISBLANK(Actuals!QK52),-MAX(0,'BD Commission Detail'!QJ53),Actuals!QK52)</f>
        <v>-0</v>
      </c>
      <c r="QK234" s="1" t="n">
        <f aca="false">IF(ISBLANK(Actuals!QL52),-MAX(0,'BD Commission Detail'!QK53),Actuals!QL52)</f>
        <v>-0</v>
      </c>
      <c r="QL234" s="1" t="n">
        <f aca="false">IF(ISBLANK(Actuals!QM52),-MAX(0,'BD Commission Detail'!QL53),Actuals!QM52)</f>
        <v>-0</v>
      </c>
      <c r="QM234" s="1" t="n">
        <f aca="false">IF(ISBLANK(Actuals!QN52),-MAX(0,'BD Commission Detail'!QM53),Actuals!QN52)</f>
        <v>-0</v>
      </c>
      <c r="QN234" s="1" t="n">
        <f aca="false">IF(ISBLANK(Actuals!QO52),-MAX(0,'BD Commission Detail'!QN53),Actuals!QO52)</f>
        <v>-0</v>
      </c>
      <c r="QO234" s="1" t="n">
        <f aca="false">IF(ISBLANK(Actuals!QP52),-MAX(0,'BD Commission Detail'!QO53),Actuals!QP52)</f>
        <v>-0</v>
      </c>
      <c r="QP234" s="1" t="n">
        <f aca="false">IF(ISBLANK(Actuals!QQ52),-MAX(0,'BD Commission Detail'!QP53),Actuals!QQ52)</f>
        <v>-0</v>
      </c>
      <c r="QQ234" s="1" t="n">
        <f aca="false">IF(ISBLANK(Actuals!QR52),-MAX(0,'BD Commission Detail'!QQ53),Actuals!QR52)</f>
        <v>-0</v>
      </c>
      <c r="QR234" s="1" t="n">
        <f aca="false">IF(ISBLANK(Actuals!QS52),-MAX(0,'BD Commission Detail'!QR53),Actuals!QS52)</f>
        <v>-0</v>
      </c>
      <c r="QS234" s="1" t="n">
        <f aca="false">IF(ISBLANK(Actuals!QT52),-MAX(0,'BD Commission Detail'!QS53),Actuals!QT52)</f>
        <v>-0</v>
      </c>
      <c r="QT234" s="1" t="n">
        <f aca="false">IF(ISBLANK(Actuals!QU52),-MAX(0,'BD Commission Detail'!QT53),Actuals!QU52)</f>
        <v>-0</v>
      </c>
      <c r="QU234" s="1" t="n">
        <f aca="false">IF(ISBLANK(Actuals!QV52),-MAX(0,'BD Commission Detail'!QU53),Actuals!QV52)</f>
        <v>-0</v>
      </c>
      <c r="QV234" s="1" t="n">
        <f aca="false">IF(ISBLANK(Actuals!QW52),-MAX(0,'BD Commission Detail'!QV53),Actuals!QW52)</f>
        <v>-0</v>
      </c>
      <c r="QW234" s="1" t="n">
        <f aca="false">IF(ISBLANK(Actuals!QX52),-MAX(0,'BD Commission Detail'!QW53),Actuals!QX52)</f>
        <v>-0</v>
      </c>
      <c r="QX234" s="1" t="n">
        <f aca="false">IF(ISBLANK(Actuals!QY52),-MAX(0,'BD Commission Detail'!QX53),Actuals!QY52)</f>
        <v>-0</v>
      </c>
      <c r="QY234" s="1" t="n">
        <f aca="false">IF(ISBLANK(Actuals!QZ52),-MAX(0,'BD Commission Detail'!QY53),Actuals!QZ52)</f>
        <v>-0</v>
      </c>
      <c r="QZ234" s="1" t="n">
        <f aca="false">IF(ISBLANK(Actuals!RA52),-MAX(0,'BD Commission Detail'!QZ53),Actuals!RA52)</f>
        <v>-0</v>
      </c>
      <c r="RA234" s="1" t="n">
        <f aca="false">IF(ISBLANK(Actuals!RB52),-MAX(0,'BD Commission Detail'!RA53),Actuals!RB52)</f>
        <v>-0</v>
      </c>
      <c r="RB234" s="1" t="n">
        <f aca="false">IF(ISBLANK(Actuals!RC52),-MAX(0,'BD Commission Detail'!RB53),Actuals!RC52)</f>
        <v>-0</v>
      </c>
      <c r="RC234" s="1" t="n">
        <f aca="false">IF(ISBLANK(Actuals!RD52),-MAX(0,'BD Commission Detail'!RC53),Actuals!RD52)</f>
        <v>-0</v>
      </c>
      <c r="RD234" s="1" t="n">
        <f aca="false">IF(ISBLANK(Actuals!RE52),-MAX(0,'BD Commission Detail'!RD53),Actuals!RE52)</f>
        <v>-0</v>
      </c>
      <c r="RE234" s="1" t="n">
        <f aca="false">IF(ISBLANK(Actuals!RF52),-MAX(0,'BD Commission Detail'!RE53),Actuals!RF52)</f>
        <v>-0</v>
      </c>
      <c r="RF234" s="1" t="n">
        <f aca="false">IF(ISBLANK(Actuals!RG52),-MAX(0,'BD Commission Detail'!RF53),Actuals!RG52)</f>
        <v>-0</v>
      </c>
      <c r="RG234" s="1" t="n">
        <f aca="false">IF(ISBLANK(Actuals!RH52),-MAX(0,'BD Commission Detail'!RG53),Actuals!RH52)</f>
        <v>-0</v>
      </c>
      <c r="RH234" s="1" t="n">
        <f aca="false">IF(ISBLANK(Actuals!RI52),-MAX(0,'BD Commission Detail'!RH53),Actuals!RI52)</f>
        <v>-0</v>
      </c>
      <c r="RI234" s="1" t="n">
        <f aca="false">IF(ISBLANK(Actuals!RJ52),-MAX(0,'BD Commission Detail'!RI53),Actuals!RJ52)</f>
        <v>-0</v>
      </c>
      <c r="RJ234" s="1" t="n">
        <f aca="false">IF(ISBLANK(Actuals!RK52),-MAX(0,'BD Commission Detail'!RJ53),Actuals!RK52)</f>
        <v>-0</v>
      </c>
      <c r="RK234" s="1" t="n">
        <f aca="false">IF(ISBLANK(Actuals!RL52),-MAX(0,'BD Commission Detail'!RK53),Actuals!RL52)</f>
        <v>-0</v>
      </c>
      <c r="RL234" s="1" t="n">
        <f aca="false">IF(ISBLANK(Actuals!RM52),-MAX(0,'BD Commission Detail'!RL53),Actuals!RM52)</f>
        <v>-0</v>
      </c>
      <c r="RM234" s="1" t="n">
        <f aca="false">IF(ISBLANK(Actuals!RN52),-MAX(0,'BD Commission Detail'!RM53),Actuals!RN52)</f>
        <v>-0</v>
      </c>
      <c r="RN234" s="1" t="n">
        <f aca="false">IF(ISBLANK(Actuals!RO52),-MAX(0,'BD Commission Detail'!RN53),Actuals!RO52)</f>
        <v>-0</v>
      </c>
      <c r="RO234" s="1" t="n">
        <f aca="false">IF(ISBLANK(Actuals!RP52),-MAX(0,'BD Commission Detail'!RO53),Actuals!RP52)</f>
        <v>-0</v>
      </c>
      <c r="RP234" s="1" t="n">
        <f aca="false">IF(ISBLANK(Actuals!RQ52),-MAX(0,'BD Commission Detail'!RP53),Actuals!RQ52)</f>
        <v>-0</v>
      </c>
      <c r="RQ234" s="1" t="n">
        <f aca="false">IF(ISBLANK(Actuals!RR52),-MAX(0,'BD Commission Detail'!RQ53),Actuals!RR52)</f>
        <v>-0</v>
      </c>
      <c r="RR234" s="1" t="n">
        <f aca="false">IF(ISBLANK(Actuals!RS52),-MAX(0,'BD Commission Detail'!RR53),Actuals!RS52)</f>
        <v>-0</v>
      </c>
      <c r="RS234" s="1" t="n">
        <f aca="false">IF(ISBLANK(Actuals!RT52),-MAX(0,'BD Commission Detail'!RS53),Actuals!RT52)</f>
        <v>-0</v>
      </c>
      <c r="RT234" s="1" t="n">
        <f aca="false">IF(ISBLANK(Actuals!RU52),-MAX(0,'BD Commission Detail'!RT53),Actuals!RU52)</f>
        <v>-0</v>
      </c>
      <c r="RU234" s="1" t="n">
        <f aca="false">IF(ISBLANK(Actuals!RV52),-MAX(0,'BD Commission Detail'!RU53),Actuals!RV52)</f>
        <v>-0</v>
      </c>
      <c r="RV234" s="1" t="n">
        <f aca="false">IF(ISBLANK(Actuals!RW52),-MAX(0,'BD Commission Detail'!RV53),Actuals!RW52)</f>
        <v>-0</v>
      </c>
      <c r="RW234" s="1" t="n">
        <f aca="false">IF(ISBLANK(Actuals!RX52),-MAX(0,'BD Commission Detail'!RW53),Actuals!RX52)</f>
        <v>-0</v>
      </c>
      <c r="RX234" s="1" t="n">
        <f aca="false">IF(ISBLANK(Actuals!RY52),-MAX(0,'BD Commission Detail'!RX53),Actuals!RY52)</f>
        <v>-0</v>
      </c>
      <c r="RY234" s="1" t="n">
        <f aca="false">IF(ISBLANK(Actuals!RZ52),-MAX(0,'BD Commission Detail'!RY53),Actuals!RZ52)</f>
        <v>-0</v>
      </c>
      <c r="RZ234" s="1" t="n">
        <f aca="false">IF(ISBLANK(Actuals!SA52),-MAX(0,'BD Commission Detail'!RZ53),Actuals!SA52)</f>
        <v>-0</v>
      </c>
      <c r="SA234" s="1" t="n">
        <f aca="false">IF(ISBLANK(Actuals!SB52),-MAX(0,'BD Commission Detail'!SA53),Actuals!SB52)</f>
        <v>-0</v>
      </c>
      <c r="SB234" s="1" t="n">
        <f aca="false">IF(ISBLANK(Actuals!SC52),-MAX(0,'BD Commission Detail'!SB53),Actuals!SC52)</f>
        <v>-0</v>
      </c>
      <c r="SC234" s="1" t="n">
        <f aca="false">IF(ISBLANK(Actuals!SD52),-MAX(0,'BD Commission Detail'!SC53),Actuals!SD52)</f>
        <v>-0</v>
      </c>
      <c r="SD234" s="1" t="n">
        <f aca="false">IF(ISBLANK(Actuals!SE52),-MAX(0,'BD Commission Detail'!SD53),Actuals!SE52)</f>
        <v>-0</v>
      </c>
      <c r="SE234" s="1" t="n">
        <f aca="false">IF(ISBLANK(Actuals!SF52),-MAX(0,'BD Commission Detail'!SE53),Actuals!SF52)</f>
        <v>-0</v>
      </c>
      <c r="SF234" s="1" t="n">
        <f aca="false">IF(ISBLANK(Actuals!SG52),-MAX(0,'BD Commission Detail'!SF53),Actuals!SG52)</f>
        <v>-0</v>
      </c>
      <c r="SG234" s="1" t="n">
        <f aca="false">IF(ISBLANK(Actuals!SH52),-MAX(0,'BD Commission Detail'!SG53),Actuals!SH52)</f>
        <v>-0</v>
      </c>
      <c r="SH234" s="1" t="n">
        <f aca="false">IF(ISBLANK(Actuals!SI52),-MAX(0,'BD Commission Detail'!SH53),Actuals!SI52)</f>
        <v>-0</v>
      </c>
      <c r="SI234" s="1" t="n">
        <f aca="false">IF(ISBLANK(Actuals!SJ52),-MAX(0,'BD Commission Detail'!SI53),Actuals!SJ52)</f>
        <v>-0</v>
      </c>
      <c r="SJ234" s="1" t="n">
        <f aca="false">IF(ISBLANK(Actuals!SK52),-MAX(0,'BD Commission Detail'!SJ53),Actuals!SK52)</f>
        <v>-0</v>
      </c>
      <c r="SK234" s="1" t="n">
        <f aca="false">IF(ISBLANK(Actuals!SL52),-MAX(0,'BD Commission Detail'!SK53),Actuals!SL52)</f>
        <v>-0</v>
      </c>
      <c r="SL234" s="1" t="n">
        <f aca="false">IF(ISBLANK(Actuals!SM52),-MAX(0,'BD Commission Detail'!SL53),Actuals!SM52)</f>
        <v>-0</v>
      </c>
      <c r="SM234" s="1" t="n">
        <f aca="false">IF(ISBLANK(Actuals!SN52),-MAX(0,'BD Commission Detail'!SM53),Actuals!SN52)</f>
        <v>-0</v>
      </c>
      <c r="SN234" s="1" t="n">
        <f aca="false">IF(ISBLANK(Actuals!SO52),-MAX(0,'BD Commission Detail'!SN53),Actuals!SO52)</f>
        <v>-0</v>
      </c>
      <c r="SO234" s="1" t="n">
        <f aca="false">IF(ISBLANK(Actuals!SP52),-MAX(0,'BD Commission Detail'!SO53),Actuals!SP52)</f>
        <v>-0</v>
      </c>
      <c r="SP234" s="1" t="n">
        <f aca="false">IF(ISBLANK(Actuals!SQ52),-MAX(0,'BD Commission Detail'!SP53),Actuals!SQ52)</f>
        <v>-0</v>
      </c>
      <c r="SQ234" s="1" t="n">
        <f aca="false">IF(ISBLANK(Actuals!SR52),-MAX(0,'BD Commission Detail'!SQ53),Actuals!SR52)</f>
        <v>-0</v>
      </c>
      <c r="SR234" s="1" t="n">
        <f aca="false">IF(ISBLANK(Actuals!SS52),-MAX(0,'BD Commission Detail'!SR53),Actuals!SS52)</f>
        <v>-0</v>
      </c>
      <c r="SS234" s="1" t="n">
        <f aca="false">IF(ISBLANK(Actuals!ST52),-MAX(0,'BD Commission Detail'!SS53),Actuals!ST52)</f>
        <v>-0</v>
      </c>
      <c r="ST234" s="1" t="n">
        <f aca="false">IF(ISBLANK(Actuals!SU52),-MAX(0,'BD Commission Detail'!ST53),Actuals!SU52)</f>
        <v>-0</v>
      </c>
      <c r="SU234" s="1" t="n">
        <f aca="false">IF(ISBLANK(Actuals!SV52),-MAX(0,'BD Commission Detail'!SU53),Actuals!SV52)</f>
        <v>-0</v>
      </c>
      <c r="SV234" s="1" t="n">
        <f aca="false">IF(ISBLANK(Actuals!SW52),-MAX(0,'BD Commission Detail'!SV53),Actuals!SW52)</f>
        <v>-0</v>
      </c>
      <c r="SW234" s="1" t="n">
        <f aca="false">IF(ISBLANK(Actuals!SX52),-MAX(0,'BD Commission Detail'!SW53),Actuals!SX52)</f>
        <v>-0</v>
      </c>
      <c r="SX234" s="1" t="n">
        <f aca="false">IF(ISBLANK(Actuals!SY52),-MAX(0,'BD Commission Detail'!SX53),Actuals!SY52)</f>
        <v>-0</v>
      </c>
      <c r="SY234" s="1" t="n">
        <f aca="false">IF(ISBLANK(Actuals!SZ52),-MAX(0,'BD Commission Detail'!SY53),Actuals!SZ52)</f>
        <v>-0</v>
      </c>
      <c r="SZ234" s="1" t="n">
        <f aca="false">IF(ISBLANK(Actuals!TA52),-MAX(0,'BD Commission Detail'!SZ53),Actuals!TA52)</f>
        <v>-0</v>
      </c>
      <c r="TA234" s="1" t="n">
        <f aca="false">IF(ISBLANK(Actuals!TB52),-MAX(0,'BD Commission Detail'!TA53),Actuals!TB52)</f>
        <v>-0</v>
      </c>
      <c r="TB234" s="1" t="n">
        <f aca="false">IF(ISBLANK(Actuals!TC52),-MAX(0,'BD Commission Detail'!TB53),Actuals!TC52)</f>
        <v>-0</v>
      </c>
      <c r="TC234" s="1" t="n">
        <f aca="false">IF(ISBLANK(Actuals!TD52),-MAX(0,'BD Commission Detail'!TC53),Actuals!TD52)</f>
        <v>-0</v>
      </c>
      <c r="TD234" s="1" t="n">
        <f aca="false">IF(ISBLANK(Actuals!TE52),-MAX(0,'BD Commission Detail'!TD53),Actuals!TE52)</f>
        <v>-0</v>
      </c>
      <c r="TE234" s="1" t="n">
        <f aca="false">IF(ISBLANK(Actuals!TF52),-MAX(0,'BD Commission Detail'!TE53),Actuals!TF52)</f>
        <v>-0</v>
      </c>
      <c r="TF234" s="1" t="n">
        <f aca="false">IF(ISBLANK(Actuals!TG52),-MAX(0,'BD Commission Detail'!TF53),Actuals!TG52)</f>
        <v>-0</v>
      </c>
      <c r="TG234" s="1" t="n">
        <f aca="false">IF(ISBLANK(Actuals!TH52),-MAX(0,'BD Commission Detail'!TG53),Actuals!TH52)</f>
        <v>-0</v>
      </c>
      <c r="TH234" s="1" t="n">
        <f aca="false">IF(ISBLANK(Actuals!TI52),-MAX(0,'BD Commission Detail'!TH53),Actuals!TI52)</f>
        <v>-0</v>
      </c>
      <c r="TI234" s="1" t="n">
        <f aca="false">IF(ISBLANK(Actuals!TJ52),-MAX(0,'BD Commission Detail'!TI53),Actuals!TJ52)</f>
        <v>-0</v>
      </c>
      <c r="TJ234" s="1" t="n">
        <f aca="false">IF(ISBLANK(Actuals!TK52),-MAX(0,'BD Commission Detail'!TJ53),Actuals!TK52)</f>
        <v>-0</v>
      </c>
      <c r="TK234" s="1" t="n">
        <f aca="false">IF(ISBLANK(Actuals!TL52),-MAX(0,'BD Commission Detail'!TK53),Actuals!TL52)</f>
        <v>-0</v>
      </c>
      <c r="TL234" s="1" t="n">
        <f aca="false">IF(ISBLANK(Actuals!TM52),-MAX(0,'BD Commission Detail'!TL53),Actuals!TM52)</f>
        <v>-0</v>
      </c>
      <c r="TM234" s="1" t="n">
        <f aca="false">IF(ISBLANK(Actuals!TN52),-MAX(0,'BD Commission Detail'!TM53),Actuals!TN52)</f>
        <v>-0</v>
      </c>
      <c r="TN234" s="1" t="n">
        <f aca="false">IF(ISBLANK(Actuals!TO52),-MAX(0,'BD Commission Detail'!TN53),Actuals!TO52)</f>
        <v>-0</v>
      </c>
      <c r="TO234" s="1" t="n">
        <f aca="false">IF(ISBLANK(Actuals!TP52),-MAX(0,'BD Commission Detail'!TO53),Actuals!TP52)</f>
        <v>-0</v>
      </c>
      <c r="TP234" s="1" t="n">
        <f aca="false">IF(ISBLANK(Actuals!TQ52),-MAX(0,'BD Commission Detail'!TP53),Actuals!TQ52)</f>
        <v>-0</v>
      </c>
      <c r="TQ234" s="1" t="n">
        <f aca="false">IF(ISBLANK(Actuals!TR52),-MAX(0,'BD Commission Detail'!TQ53),Actuals!TR52)</f>
        <v>-0</v>
      </c>
      <c r="TR234" s="1" t="n">
        <f aca="false">IF(ISBLANK(Actuals!TS52),-MAX(0,'BD Commission Detail'!TR53),Actuals!TS52)</f>
        <v>-0</v>
      </c>
      <c r="TS234" s="1" t="n">
        <f aca="false">IF(ISBLANK(Actuals!TT52),-MAX(0,'BD Commission Detail'!TS53),Actuals!TT52)</f>
        <v>-0</v>
      </c>
      <c r="TT234" s="1" t="n">
        <f aca="false">IF(ISBLANK(Actuals!TU52),-MAX(0,'BD Commission Detail'!TT53),Actuals!TU52)</f>
        <v>-0</v>
      </c>
      <c r="TU234" s="1" t="n">
        <f aca="false">IF(ISBLANK(Actuals!TV52),-MAX(0,'BD Commission Detail'!TU53),Actuals!TV52)</f>
        <v>-0</v>
      </c>
      <c r="TV234" s="1" t="n">
        <f aca="false">IF(ISBLANK(Actuals!TW52),-MAX(0,'BD Commission Detail'!TV53),Actuals!TW52)</f>
        <v>-0</v>
      </c>
      <c r="TW234" s="1" t="n">
        <f aca="false">IF(ISBLANK(Actuals!TX52),-MAX(0,'BD Commission Detail'!TW53),Actuals!TX52)</f>
        <v>-0</v>
      </c>
      <c r="TX234" s="1" t="n">
        <f aca="false">IF(ISBLANK(Actuals!TY52),-MAX(0,'BD Commission Detail'!TX53),Actuals!TY52)</f>
        <v>-0</v>
      </c>
      <c r="TY234" s="1" t="n">
        <f aca="false">IF(ISBLANK(Actuals!TZ52),-MAX(0,'BD Commission Detail'!TY53),Actuals!TZ52)</f>
        <v>-0</v>
      </c>
      <c r="TZ234" s="1" t="n">
        <f aca="false">IF(ISBLANK(Actuals!UA52),-MAX(0,'BD Commission Detail'!TZ53),Actuals!UA52)</f>
        <v>-0</v>
      </c>
      <c r="UA234" s="1" t="n">
        <f aca="false">IF(ISBLANK(Actuals!UB52),-MAX(0,'BD Commission Detail'!UA53),Actuals!UB52)</f>
        <v>-0</v>
      </c>
      <c r="UB234" s="1" t="n">
        <f aca="false">IF(ISBLANK(Actuals!UC52),-MAX(0,'BD Commission Detail'!UB53),Actuals!UC52)</f>
        <v>-0</v>
      </c>
      <c r="UC234" s="1" t="n">
        <f aca="false">IF(ISBLANK(Actuals!UD52),-MAX(0,'BD Commission Detail'!UC53),Actuals!UD52)</f>
        <v>-0</v>
      </c>
      <c r="UD234" s="1" t="n">
        <f aca="false">IF(ISBLANK(Actuals!UE52),-MAX(0,'BD Commission Detail'!UD53),Actuals!UE52)</f>
        <v>-0</v>
      </c>
      <c r="UE234" s="1" t="n">
        <f aca="false">IF(ISBLANK(Actuals!UF52),-MAX(0,'BD Commission Detail'!UE53),Actuals!UF52)</f>
        <v>-0</v>
      </c>
      <c r="UF234" s="1" t="n">
        <f aca="false">IF(ISBLANK(Actuals!UG52),-MAX(0,'BD Commission Detail'!UF53),Actuals!UG52)</f>
        <v>-0</v>
      </c>
      <c r="UG234" s="1" t="n">
        <f aca="false">IF(ISBLANK(Actuals!UH52),-MAX(0,'BD Commission Detail'!UG53),Actuals!UH52)</f>
        <v>-0</v>
      </c>
      <c r="UH234" s="1" t="n">
        <f aca="false">IF(ISBLANK(Actuals!UI52),-MAX(0,'BD Commission Detail'!UH53),Actuals!UI52)</f>
        <v>-0</v>
      </c>
      <c r="UI234" s="1" t="n">
        <f aca="false">IF(ISBLANK(Actuals!UJ52),-MAX(0,'BD Commission Detail'!UI53),Actuals!UJ52)</f>
        <v>-0</v>
      </c>
      <c r="UJ234" s="1" t="n">
        <f aca="false">IF(ISBLANK(Actuals!UK52),-MAX(0,'BD Commission Detail'!UJ53),Actuals!UK52)</f>
        <v>-0</v>
      </c>
      <c r="UK234" s="1" t="n">
        <f aca="false">IF(ISBLANK(Actuals!UL52),-MAX(0,'BD Commission Detail'!UK53),Actuals!UL52)</f>
        <v>-0</v>
      </c>
      <c r="UL234" s="1" t="n">
        <f aca="false">IF(ISBLANK(Actuals!UM52),-MAX(0,'BD Commission Detail'!UL53),Actuals!UM52)</f>
        <v>-0</v>
      </c>
      <c r="UM234" s="1" t="n">
        <f aca="false">IF(ISBLANK(Actuals!UN52),-MAX(0,'BD Commission Detail'!UM53),Actuals!UN52)</f>
        <v>-0</v>
      </c>
      <c r="UN234" s="1" t="n">
        <f aca="false">IF(ISBLANK(Actuals!UO52),-MAX(0,'BD Commission Detail'!UN53),Actuals!UO52)</f>
        <v>-0</v>
      </c>
      <c r="UO234" s="1" t="n">
        <f aca="false">IF(ISBLANK(Actuals!UP52),-MAX(0,'BD Commission Detail'!UO53),Actuals!UP52)</f>
        <v>-0</v>
      </c>
      <c r="UP234" s="1" t="n">
        <f aca="false">IF(ISBLANK(Actuals!UQ52),-MAX(0,'BD Commission Detail'!UP53),Actuals!UQ52)</f>
        <v>-0</v>
      </c>
      <c r="UQ234" s="1" t="n">
        <f aca="false">IF(ISBLANK(Actuals!UR52),-MAX(0,'BD Commission Detail'!UQ53),Actuals!UR52)</f>
        <v>-0</v>
      </c>
      <c r="UR234" s="1" t="n">
        <f aca="false">IF(ISBLANK(Actuals!US52),-MAX(0,'BD Commission Detail'!UR53),Actuals!US52)</f>
        <v>-0</v>
      </c>
      <c r="US234" s="1" t="n">
        <f aca="false">IF(ISBLANK(Actuals!UT52),-MAX(0,'BD Commission Detail'!US53),Actuals!UT52)</f>
        <v>-0</v>
      </c>
      <c r="UT234" s="1" t="n">
        <f aca="false">IF(ISBLANK(Actuals!UU52),-MAX(0,'BD Commission Detail'!UT53),Actuals!UU52)</f>
        <v>-0</v>
      </c>
      <c r="UU234" s="1" t="n">
        <f aca="false">IF(ISBLANK(Actuals!UV52),-MAX(0,'BD Commission Detail'!UU53),Actuals!UV52)</f>
        <v>-0</v>
      </c>
      <c r="UV234" s="1" t="n">
        <f aca="false">IF(ISBLANK(Actuals!UW52),-MAX(0,'BD Commission Detail'!UV53),Actuals!UW52)</f>
        <v>-0</v>
      </c>
      <c r="UW234" s="1" t="n">
        <f aca="false">IF(ISBLANK(Actuals!UX52),-MAX(0,'BD Commission Detail'!UW53),Actuals!UX52)</f>
        <v>-0</v>
      </c>
      <c r="UX234" s="1" t="n">
        <f aca="false">IF(ISBLANK(Actuals!UY52),-MAX(0,'BD Commission Detail'!UX53),Actuals!UY52)</f>
        <v>-0</v>
      </c>
      <c r="UY234" s="1" t="n">
        <f aca="false">IF(ISBLANK(Actuals!UZ52),-MAX(0,'BD Commission Detail'!UY53),Actuals!UZ52)</f>
        <v>-0</v>
      </c>
      <c r="UZ234" s="1" t="n">
        <f aca="false">IF(ISBLANK(Actuals!VA52),-MAX(0,'BD Commission Detail'!UZ53),Actuals!VA52)</f>
        <v>-0</v>
      </c>
      <c r="VA234" s="1" t="n">
        <f aca="false">IF(ISBLANK(Actuals!VB52),-MAX(0,'BD Commission Detail'!VA53),Actuals!VB52)</f>
        <v>-0</v>
      </c>
      <c r="VB234" s="1" t="n">
        <f aca="false">IF(ISBLANK(Actuals!VC52),-MAX(0,'BD Commission Detail'!VB53),Actuals!VC52)</f>
        <v>-0</v>
      </c>
      <c r="VC234" s="1" t="n">
        <f aca="false">IF(ISBLANK(Actuals!VD52),-MAX(0,'BD Commission Detail'!VC53),Actuals!VD52)</f>
        <v>-0</v>
      </c>
      <c r="VD234" s="1" t="n">
        <f aca="false">IF(ISBLANK(Actuals!VE52),-MAX(0,'BD Commission Detail'!VD53),Actuals!VE52)</f>
        <v>-0</v>
      </c>
      <c r="VE234" s="1" t="n">
        <f aca="false">IF(ISBLANK(Actuals!VF52),-MAX(0,'BD Commission Detail'!VE53),Actuals!VF52)</f>
        <v>-0</v>
      </c>
      <c r="VF234" s="1" t="n">
        <f aca="false">IF(ISBLANK(Actuals!VG52),-MAX(0,'BD Commission Detail'!VF53),Actuals!VG52)</f>
        <v>-0</v>
      </c>
      <c r="VG234" s="1" t="n">
        <f aca="false">IF(ISBLANK(Actuals!VH52),-MAX(0,'BD Commission Detail'!VG53),Actuals!VH52)</f>
        <v>-0</v>
      </c>
      <c r="VH234" s="1" t="n">
        <f aca="false">IF(ISBLANK(Actuals!VI52),-MAX(0,'BD Commission Detail'!VH53),Actuals!VI52)</f>
        <v>-0</v>
      </c>
      <c r="VI234" s="1" t="n">
        <f aca="false">IF(ISBLANK(Actuals!VJ52),-MAX(0,'BD Commission Detail'!VI53),Actuals!VJ52)</f>
        <v>-0</v>
      </c>
      <c r="VJ234" s="1" t="n">
        <f aca="false">IF(ISBLANK(Actuals!VK52),-MAX(0,'BD Commission Detail'!VJ53),Actuals!VK52)</f>
        <v>-0</v>
      </c>
      <c r="VK234" s="1" t="n">
        <f aca="false">IF(ISBLANK(Actuals!VL52),-MAX(0,'BD Commission Detail'!VK53),Actuals!VL52)</f>
        <v>-0</v>
      </c>
      <c r="VL234" s="1" t="n">
        <f aca="false">IF(ISBLANK(Actuals!VM52),-MAX(0,'BD Commission Detail'!VL53),Actuals!VM52)</f>
        <v>-0</v>
      </c>
      <c r="VM234" s="1" t="n">
        <f aca="false">IF(ISBLANK(Actuals!VN52),-MAX(0,'BD Commission Detail'!VM53),Actuals!VN52)</f>
        <v>-0</v>
      </c>
      <c r="VN234" s="1" t="n">
        <f aca="false">IF(ISBLANK(Actuals!VO52),-MAX(0,'BD Commission Detail'!VN53),Actuals!VO52)</f>
        <v>-0</v>
      </c>
      <c r="VO234" s="1" t="n">
        <f aca="false">IF(ISBLANK(Actuals!VP52),-MAX(0,'BD Commission Detail'!VO53),Actuals!VP52)</f>
        <v>-0</v>
      </c>
      <c r="VP234" s="1" t="n">
        <f aca="false">IF(ISBLANK(Actuals!VQ52),-MAX(0,'BD Commission Detail'!VP53),Actuals!VQ52)</f>
        <v>-0</v>
      </c>
      <c r="VQ234" s="1" t="n">
        <f aca="false">IF(ISBLANK(Actuals!VR52),-MAX(0,'BD Commission Detail'!VQ53),Actuals!VR52)</f>
        <v>-0</v>
      </c>
      <c r="VR234" s="1" t="n">
        <f aca="false">IF(ISBLANK(Actuals!VS52),-MAX(0,'BD Commission Detail'!VR53),Actuals!VS52)</f>
        <v>-0</v>
      </c>
      <c r="VS234" s="1" t="n">
        <f aca="false">IF(ISBLANK(Actuals!VT52),-MAX(0,'BD Commission Detail'!VS53),Actuals!VT52)</f>
        <v>-0</v>
      </c>
      <c r="VT234" s="1" t="n">
        <f aca="false">IF(ISBLANK(Actuals!VU52),-MAX(0,'BD Commission Detail'!VT53),Actuals!VU52)</f>
        <v>-0</v>
      </c>
      <c r="VU234" s="1" t="n">
        <f aca="false">IF(ISBLANK(Actuals!VV52),-MAX(0,'BD Commission Detail'!VU53),Actuals!VV52)</f>
        <v>-0</v>
      </c>
      <c r="VV234" s="1" t="n">
        <f aca="false">IF(ISBLANK(Actuals!VW52),-MAX(0,'BD Commission Detail'!VV53),Actuals!VW52)</f>
        <v>-0</v>
      </c>
      <c r="VW234" s="1" t="n">
        <f aca="false">IF(ISBLANK(Actuals!VX52),-MAX(0,'BD Commission Detail'!VW53),Actuals!VX52)</f>
        <v>-0</v>
      </c>
      <c r="VX234" s="1" t="n">
        <f aca="false">IF(ISBLANK(Actuals!VY52),-MAX(0,'BD Commission Detail'!VX53),Actuals!VY52)</f>
        <v>-0</v>
      </c>
    </row>
    <row r="235" customFormat="false" ht="15" hidden="false" customHeight="true" outlineLevel="0" collapsed="false">
      <c r="A235" s="22" t="s">
        <v>96</v>
      </c>
      <c r="B235" s="21" t="n">
        <f aca="false">IF(ISBLANK(Actuals!C53),0,Actuals!C53)</f>
        <v>0</v>
      </c>
      <c r="C235" s="21" t="n">
        <f aca="false">IF(ISBLANK(Actuals!D53),0,Actuals!D53)</f>
        <v>0</v>
      </c>
      <c r="D235" s="21" t="n">
        <f aca="false">IF(ISBLANK(Actuals!E53),0,Actuals!E53)</f>
        <v>-11105.35</v>
      </c>
      <c r="E235" s="21" t="n">
        <f aca="false">IF(ISBLANK(Actuals!F53),-3701.78*Escalation!$B$2,Actuals!F53)</f>
        <v>0</v>
      </c>
      <c r="F235" s="21" t="n">
        <f aca="false">IF(ISBLANK(Actuals!G53),-3701.78*Escalation!$B$3,Actuals!G53)</f>
        <v>0</v>
      </c>
      <c r="G235" s="21" t="n">
        <f aca="false">IF(ISBLANK(Actuals!H53),-3701.78*Escalation!$B$4,Actuals!H53)</f>
        <v>0</v>
      </c>
      <c r="H235" s="21" t="n">
        <f aca="false">IF(ISBLANK(Actuals!I53),-3701.78*Escalation!$B$5,Actuals!I53)</f>
        <v>0</v>
      </c>
      <c r="I235" s="21" t="n">
        <f aca="false">IF(ISBLANK(Actuals!J53),-3701.78*Escalation!$B$6,Actuals!J53)</f>
        <v>0</v>
      </c>
      <c r="J235" s="21" t="n">
        <f aca="false">IF(ISBLANK(Actuals!K53),-3701.78*Escalation!$B$7,Actuals!K53)</f>
        <v>-3701.78</v>
      </c>
      <c r="K235" s="21" t="n">
        <f aca="false">IF(ISBLANK(Actuals!L53),-3701.78*Escalation!$B$8,Actuals!L53)</f>
        <v>-3701.78</v>
      </c>
      <c r="L235" s="21" t="n">
        <f aca="false">IF(ISBLANK(Actuals!M53),-3701.78*Escalation!$B$9,Actuals!M53)</f>
        <v>-3701.78</v>
      </c>
      <c r="M235" s="21" t="n">
        <f aca="false">IF(ISBLANK(Actuals!N53),-3701.78*Escalation!$B$10,Actuals!N53)</f>
        <v>-3701.78</v>
      </c>
      <c r="N235" s="21" t="n">
        <f aca="false">IF(ISBLANK(Actuals!O53),-3701.78*Escalation!$B$11,Actuals!O53)</f>
        <v>-3701.78</v>
      </c>
      <c r="O235" s="21" t="n">
        <f aca="false">IF(ISBLANK(Actuals!P53),-3701.78*Escalation!$B$12,Actuals!P53)</f>
        <v>-3701.78</v>
      </c>
      <c r="P235" s="21" t="n">
        <f aca="false">IF(ISBLANK(Actuals!Q53),-3701.78*Escalation!$B$13,Actuals!Q53)</f>
        <v>-3701.78</v>
      </c>
      <c r="Q235" s="21" t="n">
        <f aca="false">IF(ISBLANK(Actuals!R53),-3701.78*Escalation!$B$14,Actuals!R53)</f>
        <v>-3775.8156</v>
      </c>
      <c r="R235" s="21" t="n">
        <f aca="false">IF(ISBLANK(Actuals!S53),-3701.78*Escalation!$B$15,Actuals!S53)</f>
        <v>-3775.8156</v>
      </c>
      <c r="S235" s="21" t="n">
        <f aca="false">IF(ISBLANK(Actuals!T53),-3701.78*Escalation!$B$16,Actuals!T53)</f>
        <v>-3775.8156</v>
      </c>
      <c r="T235" s="21" t="n">
        <f aca="false">IF(ISBLANK(Actuals!U53),-3701.78*Escalation!$B$17,Actuals!U53)</f>
        <v>-3775.8156</v>
      </c>
      <c r="U235" s="21" t="n">
        <f aca="false">IF(ISBLANK(Actuals!V53),-3701.78*Escalation!$B$18,Actuals!V53)</f>
        <v>-3775.8156</v>
      </c>
      <c r="V235" s="21" t="n">
        <f aca="false">IF(ISBLANK(Actuals!W53),-3701.78*Escalation!$B$19,Actuals!W53)</f>
        <v>-3775.8156</v>
      </c>
      <c r="W235" s="21" t="n">
        <f aca="false">IF(ISBLANK(Actuals!X53),-3701.78*Escalation!$B$20,Actuals!X53)</f>
        <v>-3775.8156</v>
      </c>
      <c r="X235" s="21" t="n">
        <f aca="false">IF(ISBLANK(Actuals!Y53),-3701.78*Escalation!$B$21,Actuals!Y53)</f>
        <v>-3775.8156</v>
      </c>
      <c r="Y235" s="21" t="n">
        <f aca="false">IF(ISBLANK(Actuals!Z53),-3701.78*Escalation!$B$22,Actuals!Z53)</f>
        <v>-3775.8156</v>
      </c>
      <c r="Z235" s="21" t="n">
        <f aca="false">IF(ISBLANK(Actuals!AA53),-3701.78*Escalation!$B$23,Actuals!AA53)</f>
        <v>-3775.8156</v>
      </c>
      <c r="AA235" s="21" t="n">
        <f aca="false">IF(ISBLANK(Actuals!AB53),-3701.78*Escalation!$B$24,Actuals!AB53)</f>
        <v>-3775.8156</v>
      </c>
      <c r="AB235" s="21" t="n">
        <f aca="false">IF(ISBLANK(Actuals!AC53),-3701.78*Escalation!$B$25,Actuals!AC53)</f>
        <v>-3775.8156</v>
      </c>
      <c r="AC235" s="21" t="n">
        <f aca="false">IF(ISBLANK(Actuals!AD53),-3701.78*Escalation!$B$26,Actuals!AD53)</f>
        <v>-3851.331912</v>
      </c>
      <c r="AD235" s="21" t="n">
        <f aca="false">IF(ISBLANK(Actuals!AE53),-3701.78*Escalation!$B$27,Actuals!AE53)</f>
        <v>-3851.331912</v>
      </c>
      <c r="AE235" s="21" t="n">
        <f aca="false">IF(ISBLANK(Actuals!AF53),-3701.78*Escalation!$B$28,Actuals!AF53)</f>
        <v>-3851.331912</v>
      </c>
      <c r="AF235" s="21" t="n">
        <f aca="false">IF(ISBLANK(Actuals!AG53),-3701.78*Escalation!$B$29,Actuals!AG53)</f>
        <v>-3851.331912</v>
      </c>
      <c r="AG235" s="21" t="n">
        <f aca="false">IF(ISBLANK(Actuals!AH53),-3701.78*Escalation!$B$30,Actuals!AH53)</f>
        <v>-3851.331912</v>
      </c>
      <c r="AH235" s="21" t="n">
        <f aca="false">IF(ISBLANK(Actuals!AI53),-3701.78*Escalation!$B$31,Actuals!AI53)</f>
        <v>-3851.331912</v>
      </c>
      <c r="AI235" s="21" t="n">
        <f aca="false">IF(ISBLANK(Actuals!AJ53),-3701.78*Escalation!$B$32,Actuals!AJ53)</f>
        <v>-3851.331912</v>
      </c>
      <c r="AJ235" s="21" t="n">
        <f aca="false">IF(ISBLANK(Actuals!AK53),-3701.78*Escalation!$B$33,Actuals!AK53)</f>
        <v>-3851.331912</v>
      </c>
      <c r="AK235" s="21" t="n">
        <f aca="false">IF(ISBLANK(Actuals!AL53),-3701.78*Escalation!$B$34,Actuals!AL53)</f>
        <v>-3851.331912</v>
      </c>
      <c r="AL235" s="21" t="n">
        <f aca="false">IF(ISBLANK(Actuals!AM53),-3701.78*Escalation!$B$35,Actuals!AM53)</f>
        <v>-3851.331912</v>
      </c>
      <c r="AM235" s="21" t="n">
        <f aca="false">IF(ISBLANK(Actuals!AN53),-3701.78*Escalation!$B$36,Actuals!AN53)</f>
        <v>-3851.331912</v>
      </c>
      <c r="AN235" s="21" t="n">
        <f aca="false">IF(ISBLANK(Actuals!AO53),-3701.78*Escalation!$B$37,Actuals!AO53)</f>
        <v>-3851.331912</v>
      </c>
      <c r="AO235" s="21" t="n">
        <f aca="false">IF(ISBLANK(Actuals!AP53),-3701.78*Escalation!$B$38,Actuals!AP53)</f>
        <v>-3928.35855024</v>
      </c>
      <c r="AP235" s="21" t="n">
        <f aca="false">IF(ISBLANK(Actuals!AQ53),-3701.78*Escalation!$B$39,Actuals!AQ53)</f>
        <v>-3928.35855024</v>
      </c>
      <c r="AQ235" s="21" t="n">
        <f aca="false">IF(ISBLANK(Actuals!AR53),-3701.78*Escalation!$B$40,Actuals!AR53)</f>
        <v>-3928.35855024</v>
      </c>
      <c r="AR235" s="21" t="n">
        <f aca="false">IF(ISBLANK(Actuals!AS53),-3701.78*Escalation!$B$41,Actuals!AS53)</f>
        <v>-3928.35855024</v>
      </c>
      <c r="AS235" s="21" t="n">
        <f aca="false">IF(ISBLANK(Actuals!AT53),-3701.78*Escalation!$B$42,Actuals!AT53)</f>
        <v>-3928.35855024</v>
      </c>
      <c r="AT235" s="21" t="n">
        <f aca="false">IF(ISBLANK(Actuals!AU53),-3701.78*Escalation!$B$43,Actuals!AU53)</f>
        <v>-3928.35855024</v>
      </c>
      <c r="AU235" s="21" t="n">
        <f aca="false">IF(ISBLANK(Actuals!AV53),-3701.78*Escalation!$B$44,Actuals!AV53)</f>
        <v>-3928.35855024</v>
      </c>
      <c r="AV235" s="21" t="n">
        <f aca="false">IF(ISBLANK(Actuals!AW53),-3701.78*Escalation!$B$45,Actuals!AW53)</f>
        <v>-3928.35855024</v>
      </c>
      <c r="AW235" s="21" t="n">
        <f aca="false">IF(ISBLANK(Actuals!AX53),-3701.78*Escalation!$B$46,Actuals!AX53)</f>
        <v>-3928.35855024</v>
      </c>
      <c r="AX235" s="21" t="n">
        <f aca="false">IF(ISBLANK(Actuals!AY53),-3701.78*Escalation!$B$47,Actuals!AY53)</f>
        <v>-3928.35855024</v>
      </c>
      <c r="AY235" s="21" t="n">
        <f aca="false">IF(ISBLANK(Actuals!AZ53),-3701.78*Escalation!$B$48,Actuals!AZ53)</f>
        <v>-3928.35855024</v>
      </c>
      <c r="AZ235" s="21" t="n">
        <f aca="false">IF(ISBLANK(Actuals!BA53),-3701.78*Escalation!$B$49,Actuals!BA53)</f>
        <v>-3928.35855024</v>
      </c>
      <c r="BA235" s="21" t="n">
        <f aca="false">IF(ISBLANK(Actuals!BB53),-3701.78*Escalation!$B$50,Actuals!BB53)</f>
        <v>-4006.9257212448</v>
      </c>
      <c r="BB235" s="21" t="n">
        <f aca="false">IF(ISBLANK(Actuals!BC53),-3701.78*Escalation!$B$51,Actuals!BC53)</f>
        <v>-4006.9257212448</v>
      </c>
      <c r="BC235" s="21" t="n">
        <f aca="false">IF(ISBLANK(Actuals!BD53),-3701.78*Escalation!$B$52,Actuals!BD53)</f>
        <v>-4006.9257212448</v>
      </c>
      <c r="BD235" s="21" t="n">
        <f aca="false">IF(ISBLANK(Actuals!BE53),-3701.78*Escalation!$B$53,Actuals!BE53)</f>
        <v>-4006.9257212448</v>
      </c>
      <c r="BE235" s="21" t="n">
        <f aca="false">IF(ISBLANK(Actuals!BF53),-3701.78*Escalation!$B$54,Actuals!BF53)</f>
        <v>-4006.9257212448</v>
      </c>
      <c r="BF235" s="21" t="n">
        <f aca="false">IF(ISBLANK(Actuals!BG53),-3701.78*Escalation!$B$55,Actuals!BG53)</f>
        <v>-4006.9257212448</v>
      </c>
      <c r="BG235" s="21" t="n">
        <f aca="false">IF(ISBLANK(Actuals!BH53),-3701.78*Escalation!$B$56,Actuals!BH53)</f>
        <v>-4006.9257212448</v>
      </c>
      <c r="BH235" s="21" t="n">
        <f aca="false">IF(ISBLANK(Actuals!BI53),-3701.78*Escalation!$B$57,Actuals!BI53)</f>
        <v>-4006.9257212448</v>
      </c>
      <c r="BI235" s="21" t="n">
        <f aca="false">IF(ISBLANK(Actuals!BJ53),-3701.78*Escalation!$B$58,Actuals!BJ53)</f>
        <v>-4006.9257212448</v>
      </c>
      <c r="BJ235" s="21" t="n">
        <f aca="false">IF(ISBLANK(Actuals!BK53),-3701.78*Escalation!$B$59,Actuals!BK53)</f>
        <v>-4006.9257212448</v>
      </c>
      <c r="BK235" s="21" t="n">
        <f aca="false">IF(ISBLANK(Actuals!BL53),-3701.78*Escalation!$B$60,Actuals!BL53)</f>
        <v>-4006.9257212448</v>
      </c>
      <c r="BL235" s="21" t="n">
        <f aca="false">IF(ISBLANK(Actuals!BM53),-3701.78*Escalation!$B$61,Actuals!BM53)</f>
        <v>-4006.9257212448</v>
      </c>
      <c r="BM235" s="21" t="n">
        <f aca="false">IF(ISBLANK(Actuals!BN53),-3701.78*Escalation!$B$62,Actuals!BN53)</f>
        <v>-4087.0642356697</v>
      </c>
      <c r="BN235" s="21" t="n">
        <f aca="false">IF(ISBLANK(Actuals!BO53),-3701.78*Escalation!$B$63,Actuals!BO53)</f>
        <v>-4087.0642356697</v>
      </c>
      <c r="BO235" s="21" t="n">
        <f aca="false">IF(ISBLANK(Actuals!BP53),-3701.78*Escalation!$B$64,Actuals!BP53)</f>
        <v>-4087.0642356697</v>
      </c>
      <c r="BP235" s="21" t="n">
        <f aca="false">IF(ISBLANK(Actuals!BQ53),-3701.78*Escalation!$B$65,Actuals!BQ53)</f>
        <v>-4087.0642356697</v>
      </c>
      <c r="BQ235" s="21" t="n">
        <f aca="false">IF(ISBLANK(Actuals!BR53),-3701.78*Escalation!$B$66,Actuals!BR53)</f>
        <v>-4087.0642356697</v>
      </c>
      <c r="BR235" s="21" t="n">
        <f aca="false">IF(ISBLANK(Actuals!BS53),-3701.78*Escalation!$B$67,Actuals!BS53)</f>
        <v>-4087.0642356697</v>
      </c>
      <c r="BS235" s="21" t="n">
        <f aca="false">IF(ISBLANK(Actuals!BT53),-3701.78*Escalation!$B$68,Actuals!BT53)</f>
        <v>-4087.0642356697</v>
      </c>
      <c r="BT235" s="21" t="n">
        <f aca="false">IF(ISBLANK(Actuals!BU53),-3701.78*Escalation!$B$69,Actuals!BU53)</f>
        <v>-4087.0642356697</v>
      </c>
      <c r="BU235" s="21" t="n">
        <f aca="false">IF(ISBLANK(Actuals!BV53),-3701.78*Escalation!$B$70,Actuals!BV53)</f>
        <v>-4087.0642356697</v>
      </c>
      <c r="BV235" s="21" t="n">
        <f aca="false">IF(ISBLANK(Actuals!BW53),-3701.78*Escalation!$B$71,Actuals!BW53)</f>
        <v>-4087.0642356697</v>
      </c>
      <c r="BW235" s="21" t="n">
        <f aca="false">IF(ISBLANK(Actuals!BX53),-3701.78*Escalation!$B$72,Actuals!BX53)</f>
        <v>-4087.0642356697</v>
      </c>
      <c r="BX235" s="21" t="n">
        <f aca="false">IF(ISBLANK(Actuals!BY53),-3701.78*Escalation!$B$73,Actuals!BY53)</f>
        <v>-4087.0642356697</v>
      </c>
      <c r="BY235" s="21" t="n">
        <f aca="false">IF(ISBLANK(Actuals!BZ53),-3701.78*Escalation!$B$74,Actuals!BZ53)</f>
        <v>-4168.80552038309</v>
      </c>
      <c r="BZ235" s="21" t="n">
        <f aca="false">IF(ISBLANK(Actuals!CA53),-3701.78*Escalation!$B$75,Actuals!CA53)</f>
        <v>-4168.80552038309</v>
      </c>
      <c r="CA235" s="21" t="n">
        <f aca="false">IF(ISBLANK(Actuals!CB53),-3701.78*Escalation!$B$76,Actuals!CB53)</f>
        <v>-4168.80552038309</v>
      </c>
      <c r="CB235" s="21" t="n">
        <f aca="false">IF(ISBLANK(Actuals!CC53),-3701.78*Escalation!$B$77,Actuals!CC53)</f>
        <v>-4168.80552038309</v>
      </c>
      <c r="CC235" s="21" t="n">
        <f aca="false">IF(ISBLANK(Actuals!CD53),-3701.78*Escalation!$B$78,Actuals!CD53)</f>
        <v>-4168.80552038309</v>
      </c>
      <c r="CD235" s="21" t="n">
        <f aca="false">IF(ISBLANK(Actuals!CE53),-3701.78*Escalation!$B$79,Actuals!CE53)</f>
        <v>-4168.80552038309</v>
      </c>
      <c r="CE235" s="21" t="n">
        <f aca="false">IF(ISBLANK(Actuals!CF53),-3701.78*Escalation!$B$80,Actuals!CF53)</f>
        <v>-4168.80552038309</v>
      </c>
      <c r="CF235" s="21" t="n">
        <f aca="false">IF(ISBLANK(Actuals!CG53),-3701.78*Escalation!$B$81,Actuals!CG53)</f>
        <v>-4168.80552038309</v>
      </c>
      <c r="CG235" s="21" t="n">
        <f aca="false">IF(ISBLANK(Actuals!CH53),-3701.78*Escalation!$B$82,Actuals!CH53)</f>
        <v>-4168.80552038309</v>
      </c>
      <c r="CH235" s="21" t="n">
        <f aca="false">IF(ISBLANK(Actuals!CI53),-3701.78*Escalation!$B$83,Actuals!CI53)</f>
        <v>-4168.80552038309</v>
      </c>
      <c r="CI235" s="21" t="n">
        <f aca="false">IF(ISBLANK(Actuals!CJ53),-3701.78*Escalation!$B$84,Actuals!CJ53)</f>
        <v>-4168.80552038309</v>
      </c>
      <c r="CJ235" s="21" t="n">
        <f aca="false">IF(ISBLANK(Actuals!CK53),-3701.78*Escalation!$B$85,Actuals!CK53)</f>
        <v>-4168.80552038309</v>
      </c>
      <c r="CK235" s="21" t="n">
        <f aca="false">IF(ISBLANK(Actuals!CL53),-3701.78*Escalation!$B$86,Actuals!CL53)</f>
        <v>-4252.18163079075</v>
      </c>
      <c r="CL235" s="21" t="n">
        <f aca="false">IF(ISBLANK(Actuals!CM53),-3701.78*Escalation!$B$87,Actuals!CM53)</f>
        <v>-4252.18163079075</v>
      </c>
      <c r="CM235" s="21" t="n">
        <f aca="false">IF(ISBLANK(Actuals!CN53),-3701.78*Escalation!$B$88,Actuals!CN53)</f>
        <v>-4252.18163079075</v>
      </c>
      <c r="CN235" s="21" t="n">
        <f aca="false">IF(ISBLANK(Actuals!CO53),-3701.78*Escalation!$B$89,Actuals!CO53)</f>
        <v>-4252.18163079075</v>
      </c>
      <c r="CO235" s="21" t="n">
        <f aca="false">IF(ISBLANK(Actuals!CP53),-3701.78*Escalation!$B$90,Actuals!CP53)</f>
        <v>-4252.18163079075</v>
      </c>
      <c r="CP235" s="21" t="n">
        <f aca="false">IF(ISBLANK(Actuals!CQ53),-3701.78*Escalation!$B$91,Actuals!CQ53)</f>
        <v>-4252.18163079075</v>
      </c>
      <c r="CQ235" s="21" t="n">
        <f aca="false">IF(ISBLANK(Actuals!CR53),-3701.78*Escalation!$B$92,Actuals!CR53)</f>
        <v>-4252.18163079075</v>
      </c>
      <c r="CR235" s="21" t="n">
        <f aca="false">IF(ISBLANK(Actuals!CS53),-3701.78*Escalation!$B$93,Actuals!CS53)</f>
        <v>-4252.18163079075</v>
      </c>
      <c r="CS235" s="21" t="n">
        <f aca="false">IF(ISBLANK(Actuals!CT53),-3701.78*Escalation!$B$94,Actuals!CT53)</f>
        <v>-4252.18163079075</v>
      </c>
      <c r="CT235" s="21" t="n">
        <f aca="false">IF(ISBLANK(Actuals!CU53),-3701.78*Escalation!$B$95,Actuals!CU53)</f>
        <v>-4252.18163079075</v>
      </c>
      <c r="CU235" s="21" t="n">
        <f aca="false">IF(ISBLANK(Actuals!CV53),-3701.78*Escalation!$B$96,Actuals!CV53)</f>
        <v>-4252.18163079075</v>
      </c>
      <c r="CV235" s="21" t="n">
        <f aca="false">IF(ISBLANK(Actuals!CW53),-3701.78*Escalation!$B$97,Actuals!CW53)</f>
        <v>-4252.18163079075</v>
      </c>
      <c r="CW235" s="21" t="n">
        <f aca="false">IF(ISBLANK(Actuals!CX53),-3701.78*Escalation!$B$98,Actuals!CX53)</f>
        <v>-4337.22526340657</v>
      </c>
      <c r="CX235" s="21" t="n">
        <f aca="false">IF(ISBLANK(Actuals!CY53),-3701.78*Escalation!$B$99,Actuals!CY53)</f>
        <v>-4337.22526340657</v>
      </c>
      <c r="CY235" s="21" t="n">
        <f aca="false">IF(ISBLANK(Actuals!CZ53),-3701.78*Escalation!$B$100,Actuals!CZ53)</f>
        <v>-4337.22526340657</v>
      </c>
      <c r="CZ235" s="21" t="n">
        <f aca="false">IF(ISBLANK(Actuals!DA53),-3701.78*Escalation!$B$101,Actuals!DA53)</f>
        <v>-4337.22526340657</v>
      </c>
      <c r="DA235" s="21" t="n">
        <f aca="false">IF(ISBLANK(Actuals!DB53),-3701.78*Escalation!$B$102,Actuals!DB53)</f>
        <v>-4337.22526340657</v>
      </c>
      <c r="DB235" s="21" t="n">
        <f aca="false">IF(ISBLANK(Actuals!DC53),-3701.78*Escalation!$B$103,Actuals!DC53)</f>
        <v>-4337.22526340657</v>
      </c>
      <c r="DC235" s="21" t="n">
        <f aca="false">IF(ISBLANK(Actuals!DD53),-3701.78*Escalation!$B$104,Actuals!DD53)</f>
        <v>-4337.22526340657</v>
      </c>
      <c r="DD235" s="21" t="n">
        <f aca="false">IF(ISBLANK(Actuals!DE53),-3701.78*Escalation!$B$105,Actuals!DE53)</f>
        <v>-4337.22526340657</v>
      </c>
      <c r="DE235" s="21" t="n">
        <f aca="false">IF(ISBLANK(Actuals!DF53),-3701.78*Escalation!$B$106,Actuals!DF53)</f>
        <v>-4337.22526340657</v>
      </c>
    </row>
    <row r="236" customFormat="false" ht="15" hidden="false" customHeight="true" outlineLevel="0" collapsed="false">
      <c r="A236" s="29" t="s">
        <v>97</v>
      </c>
      <c r="B236" s="30" t="n">
        <f aca="false">SUM(B202:B235)+Actuals!C54</f>
        <v>-260601.5</v>
      </c>
      <c r="C236" s="30" t="n">
        <f aca="false">SUM(C202:C235)+Actuals!D54</f>
        <v>-260308.54</v>
      </c>
      <c r="D236" s="30" t="n">
        <f aca="false">SUM(D202:D235)+Actuals!E54</f>
        <v>-351937.74</v>
      </c>
      <c r="E236" s="30" t="n">
        <f aca="false">SUM(E202:E235)+Actuals!F54</f>
        <v>-73431.56</v>
      </c>
      <c r="F236" s="30" t="n">
        <f aca="false">SUM(F202:F235)+Actuals!G54</f>
        <v>-437914.85</v>
      </c>
      <c r="G236" s="30" t="n">
        <f aca="false">SUM(G202:G235)+Actuals!H54</f>
        <v>-323453.89</v>
      </c>
      <c r="H236" s="30" t="n">
        <f aca="false">SUM(H202:H235)+Actuals!I54</f>
        <v>-321511.57</v>
      </c>
      <c r="I236" s="30" t="n">
        <f aca="false">SUM(I202:I235)+Actuals!J54</f>
        <v>-385163.17</v>
      </c>
      <c r="J236" s="30" t="n">
        <f aca="false">SUM(J202:J235)+Actuals!K54</f>
        <v>-404365.935</v>
      </c>
      <c r="K236" s="30" t="n">
        <f aca="false">SUM(K202:K235)+Actuals!L54</f>
        <v>-394365.935</v>
      </c>
      <c r="L236" s="30" t="n">
        <f aca="false">SUM(L202:L235)+Actuals!M54</f>
        <v>-394365.935</v>
      </c>
      <c r="M236" s="30" t="n">
        <f aca="false">SUM(M202:M235)+Actuals!N54</f>
        <v>-464309.685</v>
      </c>
      <c r="N236" s="30" t="n">
        <f aca="false">SUM(N202:N235)+Actuals!O54</f>
        <v>-492474.268333333</v>
      </c>
      <c r="O236" s="30" t="n">
        <f aca="false">SUM(O202:O235)+Actuals!P54</f>
        <v>-607200.123541667</v>
      </c>
      <c r="P236" s="30" t="n">
        <f aca="false">SUM(P202:P235)+Actuals!Q54</f>
        <v>-487476.351666667</v>
      </c>
      <c r="Q236" s="30" t="n">
        <f aca="false">SUM(Q202:Q235)+Actuals!R54</f>
        <v>-567713.5037</v>
      </c>
      <c r="R236" s="30" t="n">
        <f aca="false">SUM(R202:R235)+Actuals!S54</f>
        <v>-616473.7537</v>
      </c>
      <c r="S236" s="30" t="n">
        <f aca="false">SUM(S202:S235)+Actuals!T54</f>
        <v>-630179.4162</v>
      </c>
      <c r="T236" s="30" t="n">
        <f aca="false">SUM(T202:T235)+Actuals!U54</f>
        <v>-632348.4662</v>
      </c>
      <c r="U236" s="30" t="n">
        <f aca="false">SUM(U202:U235)+Actuals!V54</f>
        <v>-631411.9262</v>
      </c>
      <c r="V236" s="30" t="n">
        <f aca="false">SUM(V202:V235)+Actuals!W54</f>
        <v>-585305.0037</v>
      </c>
      <c r="W236" s="30" t="n">
        <f aca="false">SUM(W202:W235)+Actuals!X54</f>
        <v>-585305.0037</v>
      </c>
      <c r="X236" s="30" t="n">
        <f aca="false">SUM(X202:X235)+Actuals!Y54</f>
        <v>-585305.0037</v>
      </c>
      <c r="Y236" s="30" t="n">
        <f aca="false">SUM(Y202:Y235)+Actuals!Z54</f>
        <v>-647870.83015</v>
      </c>
      <c r="Z236" s="30" t="n">
        <f aca="false">SUM(Z202:Z235)+Actuals!AA54</f>
        <v>-582754.763315385</v>
      </c>
      <c r="AA236" s="30" t="n">
        <f aca="false">SUM(AA202:AA235)+Actuals!AB54</f>
        <v>-573139.3787</v>
      </c>
      <c r="AB236" s="30" t="n">
        <f aca="false">SUM(AB202:AB235)+Actuals!AC54</f>
        <v>-571507.224853846</v>
      </c>
      <c r="AC236" s="30" t="n">
        <f aca="false">SUM(AC202:AC235)+Actuals!AD54</f>
        <v>-621660.446274</v>
      </c>
      <c r="AD236" s="30" t="n">
        <f aca="false">SUM(AD202:AD235)+Actuals!AE54</f>
        <v>-576660.446274</v>
      </c>
      <c r="AE236" s="30" t="n">
        <f aca="false">SUM(AE202:AE235)+Actuals!AF54</f>
        <v>-576660.446274</v>
      </c>
      <c r="AF236" s="30" t="n">
        <f aca="false">SUM(AF202:AF235)+Actuals!AG54</f>
        <v>-576660.446274</v>
      </c>
      <c r="AG236" s="30" t="n">
        <f aca="false">SUM(AG202:AG235)+Actuals!AH54</f>
        <v>-576660.446274</v>
      </c>
      <c r="AH236" s="30" t="n">
        <f aca="false">SUM(AH202:AH235)+Actuals!AI54</f>
        <v>-621660.446274</v>
      </c>
      <c r="AI236" s="30" t="n">
        <f aca="false">SUM(AI202:AI235)+Actuals!AJ54</f>
        <v>-621660.446274</v>
      </c>
      <c r="AJ236" s="30" t="n">
        <f aca="false">SUM(AJ202:AJ235)+Actuals!AK54</f>
        <v>-665261.103774</v>
      </c>
      <c r="AK236" s="30" t="n">
        <f aca="false">SUM(AK202:AK235)+Actuals!AL54</f>
        <v>-634511.103774</v>
      </c>
      <c r="AL236" s="30" t="n">
        <f aca="false">SUM(AL202:AL235)+Actuals!AM54</f>
        <v>-705613.652642043</v>
      </c>
      <c r="AM236" s="30" t="n">
        <f aca="false">SUM(AM202:AM235)+Actuals!AN54</f>
        <v>-634511.103774</v>
      </c>
      <c r="AN236" s="30" t="n">
        <f aca="false">SUM(AN202:AN235)+Actuals!AO54</f>
        <v>-642011.103774</v>
      </c>
      <c r="AO236" s="30" t="n">
        <f aca="false">SUM(AO202:AO235)+Actuals!AP54</f>
        <v>-646451.32584948</v>
      </c>
      <c r="AP236" s="30" t="n">
        <f aca="false">SUM(AP202:AP235)+Actuals!AQ54</f>
        <v>-646451.32584948</v>
      </c>
      <c r="AQ236" s="30" t="n">
        <f aca="false">SUM(AQ202:AQ235)+Actuals!AR54</f>
        <v>-718021.84299948</v>
      </c>
      <c r="AR236" s="30" t="n">
        <f aca="false">SUM(AR202:AR235)+Actuals!AS54</f>
        <v>-672271.84299948</v>
      </c>
      <c r="AS236" s="30" t="n">
        <f aca="false">SUM(AS202:AS235)+Actuals!AT54</f>
        <v>-634771.84299948</v>
      </c>
      <c r="AT236" s="30" t="n">
        <f aca="false">SUM(AT202:AT235)+Actuals!AU54</f>
        <v>-709781.903325236</v>
      </c>
      <c r="AU236" s="30" t="n">
        <f aca="false">SUM(AU202:AU235)+Actuals!AV54</f>
        <v>-813488.210456817</v>
      </c>
      <c r="AV236" s="30" t="n">
        <f aca="false">SUM(AV202:AV235)+Actuals!AW54</f>
        <v>-705086.07549948</v>
      </c>
      <c r="AW236" s="30" t="n">
        <f aca="false">SUM(AW202:AW235)+Actuals!AX54</f>
        <v>-694422.67459948</v>
      </c>
      <c r="AX236" s="30" t="n">
        <f aca="false">SUM(AX202:AX235)+Actuals!AY54</f>
        <v>-646922.67459948</v>
      </c>
      <c r="AY236" s="30" t="n">
        <f aca="false">SUM(AY202:AY235)+Actuals!AZ54</f>
        <v>-725514.483929193</v>
      </c>
      <c r="AZ236" s="30" t="n">
        <f aca="false">SUM(AZ202:AZ235)+Actuals!BA54</f>
        <v>-726660.212144794</v>
      </c>
      <c r="BA236" s="30" t="n">
        <f aca="false">SUM(BA202:BA235)+Actuals!BB54</f>
        <v>-742991.998036205</v>
      </c>
      <c r="BB236" s="30" t="n">
        <f aca="false">SUM(BB202:BB235)+Actuals!BC54</f>
        <v>-723992.667476803</v>
      </c>
      <c r="BC236" s="30" t="n">
        <f aca="false">SUM(BC202:BC235)+Actuals!BD54</f>
        <v>-693958.617403725</v>
      </c>
      <c r="BD236" s="30" t="n">
        <f aca="false">SUM(BD202:BD235)+Actuals!BE54</f>
        <v>-695082.136931409</v>
      </c>
      <c r="BE236" s="30" t="n">
        <f aca="false">SUM(BE202:BE235)+Actuals!BF54</f>
        <v>-732322.956459092</v>
      </c>
      <c r="BF236" s="30" t="n">
        <f aca="false">SUM(BF202:BF235)+Actuals!BG54</f>
        <v>-697329.175986776</v>
      </c>
      <c r="BG236" s="30" t="n">
        <f aca="false">SUM(BG202:BG235)+Actuals!BH54</f>
        <v>-698000.414375237</v>
      </c>
      <c r="BH236" s="30" t="n">
        <f aca="false">SUM(BH202:BH235)+Actuals!BI54</f>
        <v>-734498.101200321</v>
      </c>
      <c r="BI236" s="30" t="n">
        <f aca="false">SUM(BI202:BI235)+Actuals!BJ54</f>
        <v>-697709.290360997</v>
      </c>
      <c r="BJ236" s="30" t="n">
        <f aca="false">SUM(BJ202:BJ235)+Actuals!BK54</f>
        <v>-602539.58001847</v>
      </c>
      <c r="BK236" s="30" t="n">
        <f aca="false">SUM(BK202:BK235)+Actuals!BL54</f>
        <v>-599112.91110047</v>
      </c>
      <c r="BL236" s="30" t="n">
        <f aca="false">SUM(BL202:BL235)+Actuals!BM54</f>
        <v>-589112.91110047</v>
      </c>
      <c r="BM236" s="30" t="n">
        <f aca="false">SUM(BM202:BM235)+Actuals!BN54</f>
        <v>-679101.281567718</v>
      </c>
      <c r="BN236" s="30" t="n">
        <f aca="false">SUM(BN202:BN235)+Actuals!BO54</f>
        <v>-634205.308301434</v>
      </c>
      <c r="BO236" s="30" t="n">
        <f aca="false">SUM(BO202:BO235)+Actuals!BP54</f>
        <v>-551207.492681034</v>
      </c>
      <c r="BP236" s="30" t="n">
        <f aca="false">SUM(BP202:BP235)+Actuals!BQ54</f>
        <v>-502721.856877476</v>
      </c>
      <c r="BQ236" s="30" t="n">
        <f aca="false">SUM(BQ202:BQ235)+Actuals!BR54</f>
        <v>-477103.577658039</v>
      </c>
      <c r="BR236" s="30" t="n">
        <f aca="false">SUM(BR202:BR235)+Actuals!BS54</f>
        <v>-515856.671289823</v>
      </c>
      <c r="BS236" s="30" t="n">
        <f aca="false">SUM(BS202:BS235)+Actuals!BT54</f>
        <v>-543256.052816236</v>
      </c>
      <c r="BT236" s="30" t="n">
        <f aca="false">SUM(BT202:BT235)+Actuals!BU54</f>
        <v>-508149.098010064</v>
      </c>
      <c r="BU236" s="30" t="n">
        <f aca="false">SUM(BU202:BU235)+Actuals!BV54</f>
        <v>-484842.706449941</v>
      </c>
      <c r="BV236" s="30" t="n">
        <f aca="false">SUM(BV202:BV235)+Actuals!BW54</f>
        <v>-487436.306735443</v>
      </c>
      <c r="BW236" s="30" t="n">
        <f aca="false">SUM(BW202:BW235)+Actuals!BX54</f>
        <v>-452617.26471042</v>
      </c>
      <c r="BX236" s="30" t="n">
        <f aca="false">SUM(BX202:BX235)+Actuals!BY54</f>
        <v>-442913.657296059</v>
      </c>
      <c r="BY236" s="30" t="n">
        <f aca="false">SUM(BY202:BY235)+Actuals!BZ54</f>
        <v>-462807.872190712</v>
      </c>
      <c r="BZ236" s="30" t="n">
        <f aca="false">SUM(BZ202:BZ235)+Actuals!CA54</f>
        <v>-428628.323654909</v>
      </c>
      <c r="CA236" s="30" t="n">
        <f aca="false">SUM(CA202:CA235)+Actuals!CB54</f>
        <v>-428628.323654909</v>
      </c>
      <c r="CB236" s="30" t="n">
        <f aca="false">SUM(CB202:CB235)+Actuals!CC54</f>
        <v>-428628.323654909</v>
      </c>
      <c r="CC236" s="30" t="n">
        <f aca="false">SUM(CC202:CC235)+Actuals!CD54</f>
        <v>-428628.323654909</v>
      </c>
      <c r="CD236" s="30" t="n">
        <f aca="false">SUM(CD202:CD235)+Actuals!CE54</f>
        <v>-428628.323654909</v>
      </c>
      <c r="CE236" s="30" t="n">
        <f aca="false">SUM(CE202:CE235)+Actuals!CF54</f>
        <v>-428628.323654909</v>
      </c>
      <c r="CF236" s="30" t="n">
        <f aca="false">SUM(CF202:CF235)+Actuals!CG54</f>
        <v>-428628.323654909</v>
      </c>
      <c r="CG236" s="30" t="n">
        <f aca="false">SUM(CG202:CG235)+Actuals!CH54</f>
        <v>-428628.323654909</v>
      </c>
      <c r="CH236" s="30" t="n">
        <f aca="false">SUM(CH202:CH235)+Actuals!CI54</f>
        <v>-428628.323654909</v>
      </c>
      <c r="CI236" s="30" t="n">
        <f aca="false">SUM(CI202:CI235)+Actuals!CJ54</f>
        <v>-428628.323654909</v>
      </c>
      <c r="CJ236" s="30" t="n">
        <f aca="false">SUM(CJ202:CJ235)+Actuals!CK54</f>
        <v>-428628.323654909</v>
      </c>
      <c r="CK236" s="30" t="n">
        <f aca="false">SUM(CK202:CK235)+Actuals!CL54</f>
        <v>-437200.890128007</v>
      </c>
      <c r="CL236" s="30" t="n">
        <f aca="false">SUM(CL202:CL235)+Actuals!CM54</f>
        <v>-437200.890128007</v>
      </c>
      <c r="CM236" s="30" t="n">
        <f aca="false">SUM(CM202:CM235)+Actuals!CN54</f>
        <v>-437200.890128007</v>
      </c>
      <c r="CN236" s="30" t="n">
        <f aca="false">SUM(CN202:CN235)+Actuals!CO54</f>
        <v>-437200.890128007</v>
      </c>
      <c r="CO236" s="30" t="n">
        <f aca="false">SUM(CO202:CO235)+Actuals!CP54</f>
        <v>-437200.890128007</v>
      </c>
      <c r="CP236" s="30" t="n">
        <f aca="false">SUM(CP202:CP235)+Actuals!CQ54</f>
        <v>-437200.890128007</v>
      </c>
      <c r="CQ236" s="30" t="n">
        <f aca="false">SUM(CQ202:CQ235)+Actuals!CR54</f>
        <v>-437200.890128007</v>
      </c>
      <c r="CR236" s="30" t="n">
        <f aca="false">SUM(CR202:CR235)+Actuals!CS54</f>
        <v>-437200.890128007</v>
      </c>
      <c r="CS236" s="30" t="n">
        <f aca="false">SUM(CS202:CS235)+Actuals!CT54</f>
        <v>-437200.890128007</v>
      </c>
      <c r="CT236" s="30" t="n">
        <f aca="false">SUM(CT202:CT235)+Actuals!CU54</f>
        <v>-385420.730516558</v>
      </c>
      <c r="CU236" s="30" t="n">
        <f aca="false">SUM(CU202:CU235)+Actuals!CV54</f>
        <v>-385420.730516558</v>
      </c>
      <c r="CV236" s="30" t="n">
        <f aca="false">SUM(CV202:CV235)+Actuals!CW54</f>
        <v>-385420.730516558</v>
      </c>
      <c r="CW236" s="30" t="n">
        <f aca="false">SUM(CW202:CW235)+Actuals!CX54</f>
        <v>-393129.145126889</v>
      </c>
      <c r="CX236" s="30" t="n">
        <f aca="false">SUM(CX202:CX235)+Actuals!CY54</f>
        <v>-393129.145126889</v>
      </c>
      <c r="CY236" s="30" t="n">
        <f aca="false">SUM(CY202:CY235)+Actuals!CZ54</f>
        <v>-393129.145126889</v>
      </c>
      <c r="CZ236" s="30" t="n">
        <f aca="false">SUM(CZ202:CZ235)+Actuals!DA54</f>
        <v>-393129.145126889</v>
      </c>
      <c r="DA236" s="30" t="n">
        <f aca="false">SUM(DA202:DA235)+Actuals!DB54</f>
        <v>-393129.145126889</v>
      </c>
      <c r="DB236" s="30" t="n">
        <f aca="false">SUM(DB202:DB235)+Actuals!DC54</f>
        <v>-393129.145126889</v>
      </c>
      <c r="DC236" s="30" t="n">
        <f aca="false">SUM(DC202:DC235)+Actuals!DD54</f>
        <v>-393129.145126889</v>
      </c>
      <c r="DD236" s="30" t="n">
        <f aca="false">SUM(DD202:DD235)+Actuals!DE54</f>
        <v>-393129.145126889</v>
      </c>
      <c r="DE236" s="30" t="n">
        <f aca="false">SUM(DE202:DE235)+Actuals!DF54</f>
        <v>-393129.145126889</v>
      </c>
    </row>
    <row r="237" customFormat="false" ht="19.5" hidden="false" customHeight="true" outlineLevel="0" collapsed="false">
      <c r="A237" s="36" t="s">
        <v>98</v>
      </c>
      <c r="B237" s="37" t="n">
        <f aca="false">B199+B236</f>
        <v>-41844.6399999999</v>
      </c>
      <c r="C237" s="37" t="n">
        <f aca="false">C199+C236</f>
        <v>-311309.31</v>
      </c>
      <c r="D237" s="37" t="n">
        <f aca="false">D199+D236</f>
        <v>242246.78</v>
      </c>
      <c r="E237" s="37" t="n">
        <f aca="false">E199+E236</f>
        <v>373926.69</v>
      </c>
      <c r="F237" s="37" t="n">
        <f aca="false">F199+F236</f>
        <v>27621.8500000002</v>
      </c>
      <c r="G237" s="37" t="n">
        <f aca="false">G199+G236</f>
        <v>317897.24</v>
      </c>
      <c r="H237" s="37" t="n">
        <f aca="false">H199+H236</f>
        <v>1445137.94</v>
      </c>
      <c r="I237" s="37" t="n">
        <f aca="false">I199+I236</f>
        <v>-517304.675125</v>
      </c>
      <c r="J237" s="37" t="n">
        <f aca="false">J199+J236</f>
        <v>298241.093396964</v>
      </c>
      <c r="K237" s="37" t="n">
        <f aca="false">K199+K236</f>
        <v>376129.454718767</v>
      </c>
      <c r="L237" s="37" t="n">
        <f aca="false">L199+L236</f>
        <v>214936.69311604</v>
      </c>
      <c r="M237" s="37" t="n">
        <f aca="false">M199+M236</f>
        <v>-261759.45356445</v>
      </c>
      <c r="N237" s="37" t="n">
        <f aca="false">N199+N236</f>
        <v>428723.753005433</v>
      </c>
      <c r="O237" s="37" t="n">
        <f aca="false">O199+O236</f>
        <v>224783.374278049</v>
      </c>
      <c r="P237" s="37" t="n">
        <f aca="false">P199+P236</f>
        <v>365330.63615305</v>
      </c>
      <c r="Q237" s="37" t="n">
        <f aca="false">Q199+Q236</f>
        <v>-398285.822488093</v>
      </c>
      <c r="R237" s="37" t="n">
        <f aca="false">R199+R236</f>
        <v>120008.948031266</v>
      </c>
      <c r="S237" s="37" t="n">
        <f aca="false">S199+S236</f>
        <v>231072.211220825</v>
      </c>
      <c r="T237" s="37" t="n">
        <f aca="false">T199+T236</f>
        <v>290624.872734083</v>
      </c>
      <c r="U237" s="37" t="n">
        <f aca="false">U199+U236</f>
        <v>512668.878780882</v>
      </c>
      <c r="V237" s="37" t="n">
        <f aca="false">V199+V236</f>
        <v>637354.89128088</v>
      </c>
      <c r="W237" s="37" t="n">
        <f aca="false">W199+W236</f>
        <v>525668.591280883</v>
      </c>
      <c r="X237" s="37" t="n">
        <f aca="false">X199+X236</f>
        <v>819546.536139797</v>
      </c>
      <c r="Y237" s="37" t="n">
        <f aca="false">Y199+Y236</f>
        <v>595219.889689796</v>
      </c>
      <c r="Z237" s="37" t="n">
        <f aca="false">Z199+Z236</f>
        <v>786682.136524412</v>
      </c>
      <c r="AA237" s="37" t="n">
        <f aca="false">AA199+AA236</f>
        <v>825536.174500936</v>
      </c>
      <c r="AB237" s="37" t="n">
        <f aca="false">AB199+AB236</f>
        <v>749188.506246588</v>
      </c>
      <c r="AC237" s="37" t="n">
        <f aca="false">AC199+AC236</f>
        <v>470309.815582878</v>
      </c>
      <c r="AD237" s="37" t="n">
        <f aca="false">AD199+AD236</f>
        <v>538259.725582878</v>
      </c>
      <c r="AE237" s="37" t="n">
        <f aca="false">AE199+AE236</f>
        <v>-46021.9665042404</v>
      </c>
      <c r="AF237" s="37" t="n">
        <f aca="false">AF199+AF236</f>
        <v>856471.190566139</v>
      </c>
      <c r="AG237" s="37" t="n">
        <f aca="false">AG199+AG236</f>
        <v>874920.178817663</v>
      </c>
      <c r="AH237" s="37" t="n">
        <f aca="false">AH199+AH236</f>
        <v>801578.755855763</v>
      </c>
      <c r="AI237" s="37" t="n">
        <f aca="false">AI199+AI236</f>
        <v>885705.135855764</v>
      </c>
      <c r="AJ237" s="37" t="n">
        <f aca="false">AJ199+AJ236</f>
        <v>764139.222864053</v>
      </c>
      <c r="AK237" s="37" t="n">
        <f aca="false">AK199+AK236</f>
        <v>780407.705898127</v>
      </c>
      <c r="AL237" s="37" t="n">
        <f aca="false">AL199+AL236</f>
        <v>788674.517410534</v>
      </c>
      <c r="AM237" s="37" t="n">
        <f aca="false">AM199+AM236</f>
        <v>757976.406010678</v>
      </c>
      <c r="AN237" s="37" t="n">
        <f aca="false">AN199+AN236</f>
        <v>732287.606010677</v>
      </c>
      <c r="AO237" s="37" t="n">
        <f aca="false">AO199+AO236</f>
        <v>778212.023935198</v>
      </c>
      <c r="AP237" s="37" t="n">
        <f aca="false">AP199+AP236</f>
        <v>567573.776151947</v>
      </c>
      <c r="AQ237" s="37" t="n">
        <f aca="false">AQ199+AQ236</f>
        <v>905286.656785198</v>
      </c>
      <c r="AR237" s="37" t="n">
        <f aca="false">AR199+AR236</f>
        <v>951036.656785198</v>
      </c>
      <c r="AS237" s="37" t="n">
        <f aca="false">AS199+AS236</f>
        <v>988536.656785198</v>
      </c>
      <c r="AT237" s="37" t="n">
        <f aca="false">AT199+AT236</f>
        <v>1294364.08181294</v>
      </c>
      <c r="AU237" s="37" t="n">
        <f aca="false">AU199+AU236</f>
        <v>787893.333513483</v>
      </c>
      <c r="AV237" s="37" t="n">
        <f aca="false">AV199+AV236</f>
        <v>716679.065369066</v>
      </c>
      <c r="AW237" s="37" t="n">
        <f aca="false">AW199+AW236</f>
        <v>727342.466269066</v>
      </c>
      <c r="AX237" s="37" t="n">
        <f aca="false">AX199+AX236</f>
        <v>774842.466269066</v>
      </c>
      <c r="AY237" s="37" t="n">
        <f aca="false">AY199+AY236</f>
        <v>804602.556939354</v>
      </c>
      <c r="AZ237" s="37" t="n">
        <f aca="false">AZ199+AZ236</f>
        <v>785398.178723753</v>
      </c>
      <c r="BA237" s="37" t="n">
        <f aca="false">BA199+BA236</f>
        <v>751007.742832341</v>
      </c>
      <c r="BB237" s="37" t="n">
        <f aca="false">BB199+BB236</f>
        <v>504181.950239034</v>
      </c>
      <c r="BC237" s="37" t="n">
        <f aca="false">BC199+BC236</f>
        <v>800041.123464821</v>
      </c>
      <c r="BD237" s="37" t="n">
        <f aca="false">BD199+BD236</f>
        <v>816976.253937138</v>
      </c>
      <c r="BE237" s="37" t="n">
        <f aca="false">BE199+BE236</f>
        <v>797794.084409454</v>
      </c>
      <c r="BF237" s="37" t="n">
        <f aca="false">BF199+BF236</f>
        <v>796670.56488177</v>
      </c>
      <c r="BG237" s="37" t="n">
        <f aca="false">BG199+BG236</f>
        <v>814057.976493309</v>
      </c>
      <c r="BH237" s="37" t="n">
        <f aca="false">BH199+BH236</f>
        <v>778730.091571117</v>
      </c>
      <c r="BI237" s="37" t="n">
        <f aca="false">BI199+BI236</f>
        <v>548337.559639003</v>
      </c>
      <c r="BJ237" s="37" t="n">
        <f aca="false">BJ199+BJ236</f>
        <v>462920.76998153</v>
      </c>
      <c r="BK237" s="37" t="n">
        <f aca="false">BK199+BK236</f>
        <v>466347.43889953</v>
      </c>
      <c r="BL237" s="37" t="n">
        <f aca="false">BL199+BL236</f>
        <v>476347.43889953</v>
      </c>
      <c r="BM237" s="37" t="n">
        <f aca="false">BM199+BM236</f>
        <v>494710.968432282</v>
      </c>
      <c r="BN237" s="37" t="n">
        <f aca="false">BN199+BN236</f>
        <v>413196.391698565</v>
      </c>
      <c r="BO237" s="37" t="n">
        <f aca="false">BO199+BO236</f>
        <v>315607.707318965</v>
      </c>
      <c r="BP237" s="37" t="n">
        <f aca="false">BP199+BP236</f>
        <v>364093.343122524</v>
      </c>
      <c r="BQ237" s="37" t="n">
        <f aca="false">BQ199+BQ236</f>
        <v>389711.622341961</v>
      </c>
      <c r="BR237" s="37" t="n">
        <f aca="false">BR199+BR236</f>
        <v>441251.778710178</v>
      </c>
      <c r="BS237" s="37" t="n">
        <f aca="false">BS199+BS236</f>
        <v>341617.797183763</v>
      </c>
      <c r="BT237" s="37" t="n">
        <f aca="false">BT199+BT236</f>
        <v>250314.201989935</v>
      </c>
      <c r="BU237" s="37" t="n">
        <f aca="false">BU199+BU236</f>
        <v>183327.343550059</v>
      </c>
      <c r="BV237" s="37" t="n">
        <f aca="false">BV199+BV236</f>
        <v>108499.143264557</v>
      </c>
      <c r="BW237" s="37" t="n">
        <f aca="false">BW199+BW236</f>
        <v>16907.6352895803</v>
      </c>
      <c r="BX237" s="37" t="n">
        <f aca="false">BX199+BX236</f>
        <v>-63682.0072960588</v>
      </c>
      <c r="BY237" s="37" t="n">
        <f aca="false">BY199+BY236</f>
        <v>-155810.822190712</v>
      </c>
      <c r="BZ237" s="37" t="n">
        <f aca="false">BZ199+BZ236</f>
        <v>-248041.823654909</v>
      </c>
      <c r="CA237" s="37" t="n">
        <f aca="false">CA199+CA236</f>
        <v>-428628.323654909</v>
      </c>
      <c r="CB237" s="37" t="n">
        <f aca="false">CB199+CB236</f>
        <v>-428628.323654909</v>
      </c>
      <c r="CC237" s="37" t="n">
        <f aca="false">CC199+CC236</f>
        <v>-428628.323654909</v>
      </c>
      <c r="CD237" s="37" t="n">
        <f aca="false">CD199+CD236</f>
        <v>-428628.323654909</v>
      </c>
      <c r="CE237" s="37" t="n">
        <f aca="false">CE199+CE236</f>
        <v>-428628.323654909</v>
      </c>
      <c r="CF237" s="37" t="n">
        <f aca="false">CF199+CF236</f>
        <v>-428628.323654909</v>
      </c>
      <c r="CG237" s="37" t="n">
        <f aca="false">CG199+CG236</f>
        <v>-428628.323654909</v>
      </c>
      <c r="CH237" s="37" t="n">
        <f aca="false">CH199+CH236</f>
        <v>-428628.323654909</v>
      </c>
      <c r="CI237" s="37" t="n">
        <f aca="false">CI199+CI236</f>
        <v>-428628.323654909</v>
      </c>
      <c r="CJ237" s="37" t="n">
        <f aca="false">CJ199+CJ236</f>
        <v>-428628.323654909</v>
      </c>
      <c r="CK237" s="37" t="n">
        <f aca="false">CK199+CK236</f>
        <v>-437200.890128007</v>
      </c>
      <c r="CL237" s="37" t="n">
        <f aca="false">CL199+CL236</f>
        <v>-437200.890128007</v>
      </c>
      <c r="CM237" s="37" t="n">
        <f aca="false">CM199+CM236</f>
        <v>-437200.890128007</v>
      </c>
      <c r="CN237" s="37" t="n">
        <f aca="false">CN199+CN236</f>
        <v>-437200.890128007</v>
      </c>
      <c r="CO237" s="37" t="n">
        <f aca="false">CO199+CO236</f>
        <v>-437200.890128007</v>
      </c>
      <c r="CP237" s="37" t="n">
        <f aca="false">CP199+CP236</f>
        <v>-437200.890128007</v>
      </c>
      <c r="CQ237" s="37" t="n">
        <f aca="false">CQ199+CQ236</f>
        <v>-437200.890128007</v>
      </c>
      <c r="CR237" s="37" t="n">
        <f aca="false">CR199+CR236</f>
        <v>-437200.890128007</v>
      </c>
      <c r="CS237" s="37" t="n">
        <f aca="false">CS199+CS236</f>
        <v>-437200.890128007</v>
      </c>
      <c r="CT237" s="37" t="n">
        <f aca="false">CT199+CT236</f>
        <v>-385420.730516558</v>
      </c>
      <c r="CU237" s="37" t="n">
        <f aca="false">CU199+CU236</f>
        <v>-385420.730516558</v>
      </c>
      <c r="CV237" s="37" t="n">
        <f aca="false">CV199+CV236</f>
        <v>-385420.730516558</v>
      </c>
      <c r="CW237" s="37" t="n">
        <f aca="false">CW199+CW236</f>
        <v>-393129.145126889</v>
      </c>
      <c r="CX237" s="37" t="n">
        <f aca="false">CX199+CX236</f>
        <v>-393129.145126889</v>
      </c>
      <c r="CY237" s="37" t="n">
        <f aca="false">CY199+CY236</f>
        <v>-393129.145126889</v>
      </c>
      <c r="CZ237" s="37" t="n">
        <f aca="false">CZ199+CZ236</f>
        <v>-393129.145126889</v>
      </c>
      <c r="DA237" s="37" t="n">
        <f aca="false">DA199+DA236</f>
        <v>-393129.145126889</v>
      </c>
      <c r="DB237" s="37" t="n">
        <f aca="false">DB199+DB236</f>
        <v>-393129.145126889</v>
      </c>
      <c r="DC237" s="37" t="n">
        <f aca="false">DC199+DC236</f>
        <v>-393129.145126889</v>
      </c>
      <c r="DD237" s="37" t="n">
        <f aca="false">DD199+DD236</f>
        <v>-393129.145126889</v>
      </c>
      <c r="DE237" s="37" t="n">
        <f aca="false">DE199+DE236</f>
        <v>-393129.145126889</v>
      </c>
    </row>
    <row r="238" customFormat="false" ht="19.5" hidden="false" customHeight="true" outlineLevel="0" collapsed="false">
      <c r="A238" s="22" t="s">
        <v>99</v>
      </c>
      <c r="B238" s="33" t="n">
        <f aca="false">IFERROR(B237/B58,0)</f>
        <v>-0.0287831236019867</v>
      </c>
      <c r="C238" s="33" t="n">
        <f aca="false">IFERROR(C237/C58,0)</f>
        <v>-0.102996554608564</v>
      </c>
      <c r="D238" s="33" t="n">
        <f aca="false">IFERROR(D237/D58,0)</f>
        <v>0.090653886323328</v>
      </c>
      <c r="E238" s="33" t="n">
        <f aca="false">IFERROR(E237/E58,0)</f>
        <v>0.101270434808067</v>
      </c>
      <c r="F238" s="33" t="n">
        <f aca="false">IFERROR(F237/F58,0)</f>
        <v>0.00625486062340127</v>
      </c>
      <c r="G238" s="33" t="n">
        <f aca="false">IFERROR(G237/G58,0)</f>
        <v>0.050845148551317</v>
      </c>
      <c r="H238" s="33" t="n">
        <f aca="false">IFERROR(H237/H58,0)</f>
        <v>0.205696144781689</v>
      </c>
      <c r="I238" s="33" t="n">
        <f aca="false">IFERROR(I237/I58,0)</f>
        <v>-0.0852971889827539</v>
      </c>
      <c r="J238" s="33" t="n">
        <f aca="false">IFERROR(J237/J58,0)</f>
        <v>0.0510496407135141</v>
      </c>
      <c r="K238" s="33" t="n">
        <f aca="false">IFERROR(K237/K58,0)</f>
        <v>0.0619168602434384</v>
      </c>
      <c r="L238" s="33" t="n">
        <f aca="false">IFERROR(L237/L58,0)</f>
        <v>0.0411504583693874</v>
      </c>
      <c r="M238" s="33" t="n">
        <f aca="false">IFERROR(M237/M58,0)</f>
        <v>-0.050094942843558</v>
      </c>
      <c r="N238" s="33" t="n">
        <f aca="false">IFERROR(N237/N58,0)</f>
        <v>0.0659717659309066</v>
      </c>
      <c r="O238" s="33" t="n">
        <f aca="false">IFERROR(O237/O58,0)</f>
        <v>0.034475334967436</v>
      </c>
      <c r="P238" s="33" t="n">
        <f aca="false">IFERROR(P237/P58,0)</f>
        <v>0.050475311371738</v>
      </c>
      <c r="Q238" s="33" t="n">
        <f aca="false">IFERROR(Q237/Q58,0)</f>
        <v>-0.0503117796464174</v>
      </c>
      <c r="R238" s="33" t="n">
        <f aca="false">IFERROR(R237/R58,0)</f>
        <v>0.0143427135911763</v>
      </c>
      <c r="S238" s="33" t="n">
        <f aca="false">IFERROR(S237/S58,0)</f>
        <v>0.0251007763368746</v>
      </c>
      <c r="T238" s="33" t="n">
        <f aca="false">IFERROR(T237/T58,0)</f>
        <v>0.0263563346112169</v>
      </c>
      <c r="U238" s="33" t="n">
        <f aca="false">IFERROR(U237/U58,0)</f>
        <v>0.0478922301961445</v>
      </c>
      <c r="V238" s="33" t="n">
        <f aca="false">IFERROR(V237/V58,0)</f>
        <v>0.0546377379472517</v>
      </c>
      <c r="W238" s="33" t="n">
        <f aca="false">IFERROR(W237/W58,0)</f>
        <v>0.0496816583439351</v>
      </c>
      <c r="X238" s="33" t="n">
        <f aca="false">IFERROR(X237/X58,0)</f>
        <v>0.0636461391472791</v>
      </c>
      <c r="Y238" s="33" t="n">
        <f aca="false">IFERROR(Y237/Y58,0)</f>
        <v>0.0503447994517981</v>
      </c>
      <c r="Z238" s="33" t="n">
        <f aca="false">IFERROR(Z237/Z58,0)</f>
        <v>0.0606075459287019</v>
      </c>
      <c r="AA238" s="33" t="n">
        <f aca="false">IFERROR(AA237/AA58,0)</f>
        <v>0.0659014015529348</v>
      </c>
      <c r="AB238" s="33" t="n">
        <f aca="false">IFERROR(AB237/AB58,0)</f>
        <v>0.0632640614138032</v>
      </c>
      <c r="AC238" s="33" t="n">
        <f aca="false">IFERROR(AC237/AC58,0)</f>
        <v>0.0430442531189848</v>
      </c>
      <c r="AD238" s="33" t="n">
        <f aca="false">IFERROR(AD237/AD58,0)</f>
        <v>0.0489419000595373</v>
      </c>
      <c r="AE238" s="33" t="n">
        <f aca="false">IFERROR(AE237/AE58,0)</f>
        <v>-0.00405264092572585</v>
      </c>
      <c r="AF238" s="33" t="n">
        <f aca="false">IFERROR(AF237/AF58,0)</f>
        <v>0.0752780961289022</v>
      </c>
      <c r="AG238" s="33" t="n">
        <f aca="false">IFERROR(AG237/AG58,0)</f>
        <v>0.0725077524073058</v>
      </c>
      <c r="AH238" s="33" t="n">
        <f aca="false">IFERROR(AH237/AH58,0)</f>
        <v>0.0668882071445569</v>
      </c>
      <c r="AI238" s="33" t="n">
        <f aca="false">IFERROR(AI237/AI58,0)</f>
        <v>0.0723934215674657</v>
      </c>
      <c r="AJ238" s="33" t="n">
        <f aca="false">IFERROR(AJ237/AJ58,0)</f>
        <v>0.0659894907888165</v>
      </c>
      <c r="AK238" s="33" t="n">
        <f aca="false">IFERROR(AK237/AK58,0)</f>
        <v>0.0704136363486139</v>
      </c>
      <c r="AL238" s="33" t="n">
        <f aca="false">IFERROR(AL237/AL58,0)</f>
        <v>0.0682944884610618</v>
      </c>
      <c r="AM238" s="33" t="n">
        <f aca="false">IFERROR(AM237/AM58,0)</f>
        <v>0.0630777504190219</v>
      </c>
      <c r="AN238" s="33" t="n">
        <f aca="false">IFERROR(AN237/AN58,0)</f>
        <v>0.0612867664738565</v>
      </c>
      <c r="AO238" s="33" t="n">
        <f aca="false">IFERROR(AO237/AO58,0)</f>
        <v>0.0625814771663151</v>
      </c>
      <c r="AP238" s="33" t="n">
        <f aca="false">IFERROR(AP237/AP58,0)</f>
        <v>0.0426434660624501</v>
      </c>
      <c r="AQ238" s="33" t="n">
        <f aca="false">IFERROR(AQ237/AQ58,0)</f>
        <v>0.0667210816991096</v>
      </c>
      <c r="AR238" s="33" t="n">
        <f aca="false">IFERROR(AR237/AR58,0)</f>
        <v>0.0678032366107001</v>
      </c>
      <c r="AS238" s="33" t="n">
        <f aca="false">IFERROR(AS237/AS58,0)</f>
        <v>0.0690929707148555</v>
      </c>
      <c r="AT238" s="33" t="n">
        <f aca="false">IFERROR(AT237/AT58,0)</f>
        <v>0.0899469107468932</v>
      </c>
      <c r="AU238" s="33" t="n">
        <f aca="false">IFERROR(AU237/AU58,0)</f>
        <v>0.0573584775484966</v>
      </c>
      <c r="AV238" s="33" t="n">
        <f aca="false">IFERROR(AV237/AV58,0)</f>
        <v>0.0508761181306932</v>
      </c>
      <c r="AW238" s="33" t="n">
        <f aca="false">IFERROR(AW237/AW58,0)</f>
        <v>0.0522708407919006</v>
      </c>
      <c r="AX238" s="33" t="n">
        <f aca="false">IFERROR(AX237/AX58,0)</f>
        <v>0.0571978576499566</v>
      </c>
      <c r="AY238" s="33" t="n">
        <f aca="false">IFERROR(AY237/AY58,0)</f>
        <v>0.0618837954376971</v>
      </c>
      <c r="AZ238" s="33" t="n">
        <f aca="false">IFERROR(AZ237/AZ58,0)</f>
        <v>0.0637151771491718</v>
      </c>
      <c r="BA238" s="33" t="n">
        <f aca="false">IFERROR(BA237/BA58,0)</f>
        <v>0.0636997099295098</v>
      </c>
      <c r="BB238" s="33" t="n">
        <f aca="false">IFERROR(BB237/BB58,0)</f>
        <v>0.0444695429367514</v>
      </c>
      <c r="BC238" s="33" t="n">
        <f aca="false">IFERROR(BC237/BC58,0)</f>
        <v>0.0728890421276937</v>
      </c>
      <c r="BD238" s="33" t="n">
        <f aca="false">IFERROR(BD237/BD58,0)</f>
        <v>0.0756325095408381</v>
      </c>
      <c r="BE238" s="33" t="n">
        <f aca="false">IFERROR(BE237/BE58,0)</f>
        <v>0.0746648395552768</v>
      </c>
      <c r="BF238" s="33" t="n">
        <f aca="false">IFERROR(BF237/BF58,0)</f>
        <v>0.0749619206761905</v>
      </c>
      <c r="BG238" s="33" t="n">
        <f aca="false">IFERROR(BG237/BG58,0)</f>
        <v>0.0750712338235769</v>
      </c>
      <c r="BH238" s="33" t="n">
        <f aca="false">IFERROR(BH237/BH58,0)</f>
        <v>0.0701524074888896</v>
      </c>
      <c r="BI238" s="33" t="n">
        <f aca="false">IFERROR(BI237/BI58,0)</f>
        <v>0.052685823434064</v>
      </c>
      <c r="BJ238" s="33" t="n">
        <f aca="false">IFERROR(BJ237/BJ58,0)</f>
        <v>0.0444382978525938</v>
      </c>
      <c r="BK238" s="33" t="n">
        <f aca="false">IFERROR(BK237/BK58,0)</f>
        <v>0.043727384435397</v>
      </c>
      <c r="BL238" s="33" t="n">
        <f aca="false">IFERROR(BL237/BL58,0)</f>
        <v>0.0443661064873804</v>
      </c>
      <c r="BM238" s="33" t="n">
        <f aca="false">IFERROR(BM237/BM58,0)</f>
        <v>0.0465630789073065</v>
      </c>
      <c r="BN238" s="33" t="n">
        <f aca="false">IFERROR(BN237/BN58,0)</f>
        <v>0.041516556348272</v>
      </c>
      <c r="BO238" s="33" t="n">
        <f aca="false">IFERROR(BO237/BO58,0)</f>
        <v>0.0340901692465322</v>
      </c>
      <c r="BP238" s="33" t="n">
        <f aca="false">IFERROR(BP237/BP58,0)</f>
        <v>0.041452098113653</v>
      </c>
      <c r="BQ238" s="33" t="n">
        <f aca="false">IFERROR(BQ237/BQ58,0)</f>
        <v>0.0477635887269479</v>
      </c>
      <c r="BR238" s="33" t="n">
        <f aca="false">IFERROR(BR237/BR58,0)</f>
        <v>0.0594636953819134</v>
      </c>
      <c r="BS238" s="33" t="n">
        <f aca="false">IFERROR(BS237/BS58,0)</f>
        <v>0.0542862872741938</v>
      </c>
      <c r="BT238" s="33" t="n">
        <f aca="false">IFERROR(BT237/BT58,0)</f>
        <v>0.0487016582703264</v>
      </c>
      <c r="BU238" s="33" t="n">
        <f aca="false">IFERROR(BU237/BU58,0)</f>
        <v>0.0444255775493725</v>
      </c>
      <c r="BV238" s="33" t="n">
        <f aca="false">IFERROR(BV237/BV58,0)</f>
        <v>0.0339629019711965</v>
      </c>
      <c r="BW238" s="33" t="n">
        <f aca="false">IFERROR(BW237/BW58,0)</f>
        <v>0.0073638692634928</v>
      </c>
      <c r="BX238" s="33" t="n">
        <f aca="false">IFERROR(BX237/BX58,0)</f>
        <v>-0.0403131560547646</v>
      </c>
      <c r="BY238" s="33" t="n">
        <f aca="false">IFERROR(BY237/BY58,0)</f>
        <v>-0.16084179262214</v>
      </c>
      <c r="BZ238" s="33" t="n">
        <f aca="false">IFERROR(BZ237/BZ58,0)</f>
        <v>-0.623604539615867</v>
      </c>
      <c r="CA238" s="33" t="n">
        <f aca="false">IFERROR(CA237/CA58,0)</f>
        <v>0</v>
      </c>
      <c r="CB238" s="33" t="n">
        <f aca="false">IFERROR(CB237/CB58,0)</f>
        <v>0</v>
      </c>
      <c r="CC238" s="33" t="n">
        <f aca="false">IFERROR(CC237/CC58,0)</f>
        <v>0</v>
      </c>
      <c r="CD238" s="33" t="n">
        <f aca="false">IFERROR(CD237/CD58,0)</f>
        <v>0</v>
      </c>
      <c r="CE238" s="33" t="n">
        <f aca="false">IFERROR(CE237/CE58,0)</f>
        <v>0</v>
      </c>
      <c r="CF238" s="33" t="n">
        <f aca="false">IFERROR(CF237/CF58,0)</f>
        <v>0</v>
      </c>
      <c r="CG238" s="33" t="n">
        <f aca="false">IFERROR(CG237/CG58,0)</f>
        <v>0</v>
      </c>
      <c r="CH238" s="33" t="n">
        <f aca="false">IFERROR(CH237/CH58,0)</f>
        <v>0</v>
      </c>
      <c r="CI238" s="33" t="n">
        <f aca="false">IFERROR(CI237/CI58,0)</f>
        <v>0</v>
      </c>
      <c r="CJ238" s="33" t="n">
        <f aca="false">IFERROR(CJ237/CJ58,0)</f>
        <v>0</v>
      </c>
      <c r="CK238" s="33" t="n">
        <f aca="false">IFERROR(CK237/CK58,0)</f>
        <v>0</v>
      </c>
      <c r="CL238" s="33" t="n">
        <f aca="false">IFERROR(CL237/CL58,0)</f>
        <v>0</v>
      </c>
      <c r="CM238" s="33" t="n">
        <f aca="false">IFERROR(CM237/CM58,0)</f>
        <v>0</v>
      </c>
      <c r="CN238" s="33" t="n">
        <f aca="false">IFERROR(CN237/CN58,0)</f>
        <v>0</v>
      </c>
      <c r="CO238" s="33" t="n">
        <f aca="false">IFERROR(CO237/CO58,0)</f>
        <v>0</v>
      </c>
      <c r="CP238" s="33" t="n">
        <f aca="false">IFERROR(CP237/CP58,0)</f>
        <v>0</v>
      </c>
      <c r="CQ238" s="33" t="n">
        <f aca="false">IFERROR(CQ237/CQ58,0)</f>
        <v>0</v>
      </c>
      <c r="CR238" s="33" t="n">
        <f aca="false">IFERROR(CR237/CR58,0)</f>
        <v>0</v>
      </c>
      <c r="CS238" s="33" t="n">
        <f aca="false">IFERROR(CS237/CS58,0)</f>
        <v>0</v>
      </c>
      <c r="CT238" s="33" t="n">
        <f aca="false">IFERROR(CT237/CT58,0)</f>
        <v>0</v>
      </c>
      <c r="CU238" s="33" t="n">
        <f aca="false">IFERROR(CU237/CU58,0)</f>
        <v>0</v>
      </c>
      <c r="CV238" s="33" t="n">
        <f aca="false">IFERROR(CV237/CV58,0)</f>
        <v>0</v>
      </c>
      <c r="CW238" s="33" t="n">
        <f aca="false">IFERROR(CW237/CW58,0)</f>
        <v>0</v>
      </c>
      <c r="CX238" s="33" t="n">
        <f aca="false">IFERROR(CX237/CX58,0)</f>
        <v>0</v>
      </c>
      <c r="CY238" s="33" t="n">
        <f aca="false">IFERROR(CY237/CY58,0)</f>
        <v>0</v>
      </c>
      <c r="CZ238" s="33" t="n">
        <f aca="false">IFERROR(CZ237/CZ58,0)</f>
        <v>0</v>
      </c>
      <c r="DA238" s="33" t="n">
        <f aca="false">IFERROR(DA237/DA58,0)</f>
        <v>0</v>
      </c>
      <c r="DB238" s="33" t="n">
        <f aca="false">IFERROR(DB237/DB58,0)</f>
        <v>0</v>
      </c>
      <c r="DC238" s="33" t="n">
        <f aca="false">IFERROR(DC237/DC58,0)</f>
        <v>0</v>
      </c>
      <c r="DD238" s="33" t="n">
        <f aca="false">IFERROR(DD237/DD58,0)</f>
        <v>0</v>
      </c>
      <c r="DE238" s="33" t="n">
        <f aca="false">IFERROR(DE237/DE58,0)</f>
        <v>0</v>
      </c>
    </row>
    <row r="239" customFormat="false" ht="15" hidden="false" customHeight="true" outlineLevel="0" collapsed="false">
      <c r="A239" s="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c r="AE239" s="13"/>
      <c r="AF239" s="13"/>
      <c r="AG239" s="13"/>
      <c r="AH239" s="13"/>
      <c r="AI239" s="13"/>
      <c r="AJ239" s="13"/>
      <c r="AK239" s="13"/>
      <c r="AL239" s="13"/>
      <c r="AM239" s="13"/>
      <c r="AN239" s="13"/>
      <c r="AO239" s="13"/>
      <c r="AP239" s="13"/>
      <c r="AQ239" s="13"/>
      <c r="AR239" s="13"/>
      <c r="AS239" s="13"/>
      <c r="AT239" s="13"/>
      <c r="AU239" s="13"/>
      <c r="AV239" s="13"/>
      <c r="AW239" s="13"/>
      <c r="AX239" s="13"/>
      <c r="AY239" s="13"/>
      <c r="AZ239" s="13"/>
      <c r="BA239" s="13"/>
      <c r="BB239" s="13"/>
      <c r="BC239" s="13"/>
      <c r="BD239" s="13"/>
      <c r="BE239" s="13"/>
      <c r="BF239" s="13"/>
      <c r="BG239" s="13"/>
      <c r="BH239" s="13"/>
      <c r="BI239" s="13"/>
      <c r="BJ239" s="13"/>
      <c r="BK239" s="13"/>
      <c r="BL239" s="13"/>
      <c r="BM239" s="13"/>
      <c r="BN239" s="13"/>
      <c r="BO239" s="13"/>
      <c r="BP239" s="13"/>
      <c r="BQ239" s="13"/>
      <c r="BR239" s="13"/>
      <c r="BS239" s="13"/>
      <c r="BT239" s="13"/>
      <c r="BU239" s="13"/>
      <c r="BV239" s="13"/>
      <c r="BW239" s="13"/>
      <c r="BX239" s="13"/>
      <c r="BY239" s="13"/>
      <c r="BZ239" s="13"/>
      <c r="CA239" s="13"/>
      <c r="CB239" s="13"/>
      <c r="CC239" s="13"/>
      <c r="CD239" s="13"/>
      <c r="CE239" s="13"/>
      <c r="CF239" s="13"/>
      <c r="CG239" s="13"/>
      <c r="CH239" s="13"/>
      <c r="CI239" s="13"/>
      <c r="CJ239" s="13"/>
      <c r="CK239" s="13"/>
      <c r="CL239" s="13"/>
      <c r="CM239" s="13"/>
      <c r="CN239" s="13"/>
      <c r="CO239" s="13"/>
      <c r="CP239" s="13"/>
      <c r="CQ239" s="13"/>
      <c r="CR239" s="13"/>
      <c r="CS239" s="13"/>
      <c r="CT239" s="13"/>
      <c r="CU239" s="13"/>
      <c r="CV239" s="13"/>
      <c r="CW239" s="13"/>
      <c r="CX239" s="13"/>
      <c r="CY239" s="13"/>
      <c r="CZ239" s="13"/>
      <c r="DA239" s="13"/>
      <c r="DB239" s="13"/>
      <c r="DC239" s="13"/>
      <c r="DD239" s="13"/>
      <c r="DE239" s="13"/>
    </row>
    <row r="240" customFormat="false" ht="15" hidden="false" customHeight="true" outlineLevel="0" collapsed="false">
      <c r="A240" s="23" t="s">
        <v>100</v>
      </c>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c r="AB240" s="34"/>
      <c r="AC240" s="34"/>
      <c r="AD240" s="34"/>
      <c r="AE240" s="34"/>
      <c r="AF240" s="34"/>
      <c r="AG240" s="34"/>
      <c r="AH240" s="34"/>
      <c r="AI240" s="34"/>
      <c r="AJ240" s="34"/>
      <c r="AK240" s="34"/>
      <c r="AL240" s="34"/>
      <c r="AM240" s="34"/>
      <c r="AN240" s="34"/>
      <c r="AO240" s="34"/>
      <c r="AP240" s="34"/>
      <c r="AQ240" s="34"/>
      <c r="AR240" s="34"/>
      <c r="AS240" s="34"/>
      <c r="AT240" s="34"/>
      <c r="AU240" s="34"/>
      <c r="AV240" s="34"/>
      <c r="AW240" s="34"/>
      <c r="AX240" s="34"/>
      <c r="AY240" s="34"/>
      <c r="AZ240" s="34"/>
      <c r="BA240" s="34"/>
      <c r="BB240" s="34"/>
      <c r="BC240" s="34"/>
      <c r="BD240" s="34"/>
      <c r="BE240" s="34"/>
      <c r="BF240" s="34"/>
      <c r="BG240" s="34"/>
      <c r="BH240" s="34"/>
      <c r="BI240" s="34"/>
      <c r="BJ240" s="34"/>
      <c r="BK240" s="34"/>
      <c r="BL240" s="34"/>
      <c r="BM240" s="34"/>
      <c r="BN240" s="34"/>
      <c r="BO240" s="34"/>
      <c r="BP240" s="34"/>
      <c r="BQ240" s="34"/>
      <c r="BR240" s="34"/>
      <c r="BS240" s="34"/>
      <c r="BT240" s="34"/>
      <c r="BU240" s="34"/>
      <c r="BV240" s="34"/>
      <c r="BW240" s="34"/>
      <c r="BX240" s="34"/>
      <c r="BY240" s="34"/>
      <c r="BZ240" s="34"/>
      <c r="CA240" s="34"/>
      <c r="CB240" s="34"/>
      <c r="CC240" s="34"/>
      <c r="CD240" s="34"/>
      <c r="CE240" s="34"/>
      <c r="CF240" s="34"/>
      <c r="CG240" s="34"/>
      <c r="CH240" s="34"/>
      <c r="CI240" s="34"/>
      <c r="CJ240" s="34"/>
      <c r="CK240" s="34"/>
      <c r="CL240" s="34"/>
      <c r="CM240" s="34"/>
      <c r="CN240" s="34"/>
      <c r="CO240" s="34"/>
      <c r="CP240" s="34"/>
      <c r="CQ240" s="34"/>
      <c r="CR240" s="34"/>
      <c r="CS240" s="34"/>
      <c r="CT240" s="34"/>
      <c r="CU240" s="34"/>
      <c r="CV240" s="34"/>
      <c r="CW240" s="34"/>
      <c r="CX240" s="34"/>
      <c r="CY240" s="34"/>
      <c r="CZ240" s="34"/>
      <c r="DA240" s="34"/>
      <c r="DB240" s="34"/>
      <c r="DC240" s="34"/>
      <c r="DD240" s="34"/>
      <c r="DE240" s="34"/>
    </row>
    <row r="241" customFormat="false" ht="15" hidden="false" customHeight="true" outlineLevel="0" collapsed="false">
      <c r="A241" s="22" t="s">
        <v>101</v>
      </c>
      <c r="B241" s="13" t="n">
        <f aca="false">IF(ISBLANK(Actuals!C64),0,Actuals!C64)</f>
        <v>833.33</v>
      </c>
      <c r="C241" s="13" t="n">
        <f aca="false">IF(ISBLANK(Actuals!D64),0,Actuals!D64)</f>
        <v>833.33</v>
      </c>
      <c r="D241" s="13" t="n">
        <f aca="false">IF(ISBLANK(Actuals!E64),0,Actuals!E64)</f>
        <v>833.33</v>
      </c>
      <c r="E241" s="13" t="n">
        <f aca="false">IF(ISBLANK(Actuals!F64),IF(1&lt;=Assumptions!$B$68,Assumptions!$B$67,0),Actuals!F64)</f>
        <v>833.33</v>
      </c>
      <c r="F241" s="13" t="n">
        <f aca="false">IF(ISBLANK(Actuals!G64),IF(2&lt;=Assumptions!$B$68,Assumptions!$B$67,0),Actuals!G64)</f>
        <v>833.33</v>
      </c>
      <c r="G241" s="13" t="n">
        <f aca="false">IF(ISBLANK(Actuals!H64),IF(3&lt;=Assumptions!$B$68,Assumptions!$B$67,0),Actuals!H64)</f>
        <v>833.33</v>
      </c>
      <c r="H241" s="13" t="n">
        <f aca="false">IF(ISBLANK(Actuals!I64),IF(4&lt;=Assumptions!$B$68,Assumptions!$B$67,0),Actuals!I64)</f>
        <v>833.33</v>
      </c>
      <c r="I241" s="13" t="n">
        <f aca="false">IF(ISBLANK(Actuals!J64),IF(5&lt;=Assumptions!$B$68,Assumptions!$B$67,0),Actuals!J64)</f>
        <v>833.33</v>
      </c>
      <c r="J241" s="13" t="n">
        <f aca="false">IF(ISBLANK(Actuals!K64),IF(6&lt;=Assumptions!$B$68,Assumptions!$B$67,0),Actuals!K64)</f>
        <v>0</v>
      </c>
      <c r="K241" s="13" t="n">
        <f aca="false">IF(ISBLANK(Actuals!L64),IF(7&lt;=Assumptions!$B$68,Assumptions!$B$67,0),Actuals!L64)</f>
        <v>0</v>
      </c>
      <c r="L241" s="13" t="n">
        <f aca="false">IF(ISBLANK(Actuals!M64),IF(8&lt;=Assumptions!$B$68,Assumptions!$B$67,0),Actuals!M64)</f>
        <v>0</v>
      </c>
      <c r="M241" s="13" t="n">
        <f aca="false">IF(ISBLANK(Actuals!N64),IF(9&lt;=Assumptions!$B$68,Assumptions!$B$67,0),Actuals!N64)</f>
        <v>0</v>
      </c>
      <c r="N241" s="13" t="n">
        <f aca="false">IF(ISBLANK(Actuals!O64),IF(10&lt;=Assumptions!$B$68,Assumptions!$B$67,0),Actuals!O64)</f>
        <v>0</v>
      </c>
      <c r="O241" s="13" t="n">
        <f aca="false">IF(ISBLANK(Actuals!P64),IF(11&lt;=Assumptions!$B$68,Assumptions!$B$67,0),Actuals!P64)</f>
        <v>0</v>
      </c>
      <c r="P241" s="13" t="n">
        <f aca="false">IF(ISBLANK(Actuals!Q64),IF(12&lt;=Assumptions!$B$68,Assumptions!$B$67,0),Actuals!Q64)</f>
        <v>0</v>
      </c>
      <c r="Q241" s="13" t="n">
        <f aca="false">IF(ISBLANK(Actuals!R64),IF(13&lt;=Assumptions!$B$68,Assumptions!$B$67,0),Actuals!R64)</f>
        <v>0</v>
      </c>
      <c r="R241" s="13" t="n">
        <f aca="false">IF(ISBLANK(Actuals!S64),IF(14&lt;=Assumptions!$B$68,Assumptions!$B$67,0),Actuals!S64)</f>
        <v>0</v>
      </c>
      <c r="S241" s="13" t="n">
        <f aca="false">IF(ISBLANK(Actuals!T64),IF(15&lt;=Assumptions!$B$68,Assumptions!$B$67,0),Actuals!T64)</f>
        <v>0</v>
      </c>
      <c r="T241" s="13" t="n">
        <f aca="false">IF(ISBLANK(Actuals!U64),IF(16&lt;=Assumptions!$B$68,Assumptions!$B$67,0),Actuals!U64)</f>
        <v>0</v>
      </c>
      <c r="U241" s="13" t="n">
        <f aca="false">IF(ISBLANK(Actuals!V64),IF(17&lt;=Assumptions!$B$68,Assumptions!$B$67,0),Actuals!V64)</f>
        <v>0</v>
      </c>
      <c r="V241" s="13" t="n">
        <f aca="false">IF(ISBLANK(Actuals!W64),IF(18&lt;=Assumptions!$B$68,Assumptions!$B$67,0),Actuals!W64)</f>
        <v>0</v>
      </c>
      <c r="W241" s="13" t="n">
        <f aca="false">IF(ISBLANK(Actuals!X64),IF(19&lt;=Assumptions!$B$68,Assumptions!$B$67,0),Actuals!X64)</f>
        <v>0</v>
      </c>
      <c r="X241" s="13" t="n">
        <f aca="false">IF(ISBLANK(Actuals!Y64),IF(20&lt;=Assumptions!$B$68,Assumptions!$B$67,0),Actuals!Y64)</f>
        <v>0</v>
      </c>
      <c r="Y241" s="13" t="n">
        <f aca="false">IF(ISBLANK(Actuals!Z64),IF(21&lt;=Assumptions!$B$68,Assumptions!$B$67,0),Actuals!Z64)</f>
        <v>0</v>
      </c>
      <c r="Z241" s="13" t="n">
        <f aca="false">IF(ISBLANK(Actuals!AA64),IF(22&lt;=Assumptions!$B$68,Assumptions!$B$67,0),Actuals!AA64)</f>
        <v>0</v>
      </c>
      <c r="AA241" s="13" t="n">
        <f aca="false">IF(ISBLANK(Actuals!AB64),IF(23&lt;=Assumptions!$B$68,Assumptions!$B$67,0),Actuals!AB64)</f>
        <v>0</v>
      </c>
      <c r="AB241" s="13" t="n">
        <f aca="false">IF(ISBLANK(Actuals!AC64),IF(24&lt;=Assumptions!$B$68,Assumptions!$B$67,0),Actuals!AC64)</f>
        <v>0</v>
      </c>
      <c r="AC241" s="13" t="n">
        <f aca="false">IF(ISBLANK(Actuals!AD64),IF(25&lt;=Assumptions!$B$68,Assumptions!$B$67,0),Actuals!AD64)</f>
        <v>0</v>
      </c>
      <c r="AD241" s="13" t="n">
        <f aca="false">IF(ISBLANK(Actuals!AE64),IF(26&lt;=Assumptions!$B$68,Assumptions!$B$67,0),Actuals!AE64)</f>
        <v>0</v>
      </c>
      <c r="AE241" s="13" t="n">
        <f aca="false">IF(ISBLANK(Actuals!AF64),IF(27&lt;=Assumptions!$B$68,Assumptions!$B$67,0),Actuals!AF64)</f>
        <v>0</v>
      </c>
      <c r="AF241" s="13" t="n">
        <f aca="false">IF(ISBLANK(Actuals!AG64),IF(28&lt;=Assumptions!$B$68,Assumptions!$B$67,0),Actuals!AG64)</f>
        <v>0</v>
      </c>
      <c r="AG241" s="13" t="n">
        <f aca="false">IF(ISBLANK(Actuals!AH64),IF(29&lt;=Assumptions!$B$68,Assumptions!$B$67,0),Actuals!AH64)</f>
        <v>0</v>
      </c>
      <c r="AH241" s="13" t="n">
        <f aca="false">IF(ISBLANK(Actuals!AI64),IF(30&lt;=Assumptions!$B$68,Assumptions!$B$67,0),Actuals!AI64)</f>
        <v>0</v>
      </c>
      <c r="AI241" s="13" t="n">
        <f aca="false">IF(ISBLANK(Actuals!AJ64),IF(31&lt;=Assumptions!$B$68,Assumptions!$B$67,0),Actuals!AJ64)</f>
        <v>0</v>
      </c>
      <c r="AJ241" s="13" t="n">
        <f aca="false">IF(ISBLANK(Actuals!AK64),IF(32&lt;=Assumptions!$B$68,Assumptions!$B$67,0),Actuals!AK64)</f>
        <v>0</v>
      </c>
      <c r="AK241" s="13" t="n">
        <f aca="false">IF(ISBLANK(Actuals!AL64),IF(33&lt;=Assumptions!$B$68,Assumptions!$B$67,0),Actuals!AL64)</f>
        <v>0</v>
      </c>
      <c r="AL241" s="13" t="n">
        <f aca="false">IF(ISBLANK(Actuals!AM64),IF(34&lt;=Assumptions!$B$68,Assumptions!$B$67,0),Actuals!AM64)</f>
        <v>0</v>
      </c>
      <c r="AM241" s="13" t="n">
        <f aca="false">IF(ISBLANK(Actuals!AN64),IF(35&lt;=Assumptions!$B$68,Assumptions!$B$67,0),Actuals!AN64)</f>
        <v>0</v>
      </c>
      <c r="AN241" s="13" t="n">
        <f aca="false">IF(ISBLANK(Actuals!AO64),IF(36&lt;=Assumptions!$B$68,Assumptions!$B$67,0),Actuals!AO64)</f>
        <v>0</v>
      </c>
      <c r="AO241" s="13" t="n">
        <f aca="false">IF(ISBLANK(Actuals!AP64),IF(37&lt;=Assumptions!$B$68,Assumptions!$B$67,0),Actuals!AP64)</f>
        <v>0</v>
      </c>
      <c r="AP241" s="13" t="n">
        <f aca="false">IF(ISBLANK(Actuals!AQ64),IF(38&lt;=Assumptions!$B$68,Assumptions!$B$67,0),Actuals!AQ64)</f>
        <v>0</v>
      </c>
      <c r="AQ241" s="13" t="n">
        <f aca="false">IF(ISBLANK(Actuals!AR64),IF(39&lt;=Assumptions!$B$68,Assumptions!$B$67,0),Actuals!AR64)</f>
        <v>0</v>
      </c>
      <c r="AR241" s="13" t="n">
        <f aca="false">IF(ISBLANK(Actuals!AS64),IF(40&lt;=Assumptions!$B$68,Assumptions!$B$67,0),Actuals!AS64)</f>
        <v>0</v>
      </c>
      <c r="AS241" s="13" t="n">
        <f aca="false">IF(ISBLANK(Actuals!AT64),IF(41&lt;=Assumptions!$B$68,Assumptions!$B$67,0),Actuals!AT64)</f>
        <v>0</v>
      </c>
      <c r="AT241" s="13" t="n">
        <f aca="false">IF(ISBLANK(Actuals!AU64),IF(42&lt;=Assumptions!$B$68,Assumptions!$B$67,0),Actuals!AU64)</f>
        <v>0</v>
      </c>
      <c r="AU241" s="13" t="n">
        <f aca="false">IF(ISBLANK(Actuals!AV64),IF(43&lt;=Assumptions!$B$68,Assumptions!$B$67,0),Actuals!AV64)</f>
        <v>0</v>
      </c>
      <c r="AV241" s="13" t="n">
        <f aca="false">IF(ISBLANK(Actuals!AW64),IF(44&lt;=Assumptions!$B$68,Assumptions!$B$67,0),Actuals!AW64)</f>
        <v>0</v>
      </c>
      <c r="AW241" s="13" t="n">
        <f aca="false">IF(ISBLANK(Actuals!AX64),IF(45&lt;=Assumptions!$B$68,Assumptions!$B$67,0),Actuals!AX64)</f>
        <v>0</v>
      </c>
      <c r="AX241" s="13" t="n">
        <f aca="false">IF(ISBLANK(Actuals!AY64),IF(46&lt;=Assumptions!$B$68,Assumptions!$B$67,0),Actuals!AY64)</f>
        <v>0</v>
      </c>
      <c r="AY241" s="13" t="n">
        <f aca="false">IF(ISBLANK(Actuals!AZ64),IF(47&lt;=Assumptions!$B$68,Assumptions!$B$67,0),Actuals!AZ64)</f>
        <v>0</v>
      </c>
      <c r="AZ241" s="13" t="n">
        <f aca="false">IF(ISBLANK(Actuals!BA64),IF(48&lt;=Assumptions!$B$68,Assumptions!$B$67,0),Actuals!BA64)</f>
        <v>0</v>
      </c>
      <c r="BA241" s="13" t="n">
        <f aca="false">IF(ISBLANK(Actuals!BB64),IF(49&lt;=Assumptions!$B$68,Assumptions!$B$67,0),Actuals!BB64)</f>
        <v>0</v>
      </c>
      <c r="BB241" s="13" t="n">
        <f aca="false">IF(ISBLANK(Actuals!BC64),IF(50&lt;=Assumptions!$B$68,Assumptions!$B$67,0),Actuals!BC64)</f>
        <v>0</v>
      </c>
      <c r="BC241" s="13" t="n">
        <f aca="false">IF(ISBLANK(Actuals!BD64),IF(51&lt;=Assumptions!$B$68,Assumptions!$B$67,0),Actuals!BD64)</f>
        <v>0</v>
      </c>
      <c r="BD241" s="13" t="n">
        <f aca="false">IF(ISBLANK(Actuals!BE64),IF(52&lt;=Assumptions!$B$68,Assumptions!$B$67,0),Actuals!BE64)</f>
        <v>0</v>
      </c>
      <c r="BE241" s="13" t="n">
        <f aca="false">IF(ISBLANK(Actuals!BF64),IF(53&lt;=Assumptions!$B$68,Assumptions!$B$67,0),Actuals!BF64)</f>
        <v>0</v>
      </c>
      <c r="BF241" s="13" t="n">
        <f aca="false">IF(ISBLANK(Actuals!BG64),IF(54&lt;=Assumptions!$B$68,Assumptions!$B$67,0),Actuals!BG64)</f>
        <v>0</v>
      </c>
      <c r="BG241" s="13" t="n">
        <f aca="false">IF(ISBLANK(Actuals!BH64),IF(55&lt;=Assumptions!$B$68,Assumptions!$B$67,0),Actuals!BH64)</f>
        <v>0</v>
      </c>
      <c r="BH241" s="13" t="n">
        <f aca="false">IF(ISBLANK(Actuals!BI64),IF(56&lt;=Assumptions!$B$68,Assumptions!$B$67,0),Actuals!BI64)</f>
        <v>0</v>
      </c>
      <c r="BI241" s="13" t="n">
        <f aca="false">IF(ISBLANK(Actuals!BJ64),IF(57&lt;=Assumptions!$B$68,Assumptions!$B$67,0),Actuals!BJ64)</f>
        <v>0</v>
      </c>
      <c r="BJ241" s="13" t="n">
        <f aca="false">IF(ISBLANK(Actuals!BK64),IF(58&lt;=Assumptions!$B$68,Assumptions!$B$67,0),Actuals!BK64)</f>
        <v>0</v>
      </c>
      <c r="BK241" s="13" t="n">
        <f aca="false">IF(ISBLANK(Actuals!BL64),IF(59&lt;=Assumptions!$B$68,Assumptions!$B$67,0),Actuals!BL64)</f>
        <v>0</v>
      </c>
      <c r="BL241" s="13" t="n">
        <f aca="false">IF(ISBLANK(Actuals!BM64),IF(60&lt;=Assumptions!$B$68,Assumptions!$B$67,0),Actuals!BM64)</f>
        <v>0</v>
      </c>
      <c r="BM241" s="13" t="n">
        <f aca="false">IF(ISBLANK(Actuals!BN64),IF(61&lt;=Assumptions!$B$68,Assumptions!$B$67,0),Actuals!BN64)</f>
        <v>0</v>
      </c>
      <c r="BN241" s="13" t="n">
        <f aca="false">IF(ISBLANK(Actuals!BO64),IF(62&lt;=Assumptions!$B$68,Assumptions!$B$67,0),Actuals!BO64)</f>
        <v>0</v>
      </c>
      <c r="BO241" s="13" t="n">
        <f aca="false">IF(ISBLANK(Actuals!BP64),IF(63&lt;=Assumptions!$B$68,Assumptions!$B$67,0),Actuals!BP64)</f>
        <v>0</v>
      </c>
      <c r="BP241" s="13" t="n">
        <f aca="false">IF(ISBLANK(Actuals!BQ64),IF(64&lt;=Assumptions!$B$68,Assumptions!$B$67,0),Actuals!BQ64)</f>
        <v>0</v>
      </c>
      <c r="BQ241" s="13" t="n">
        <f aca="false">IF(ISBLANK(Actuals!BR64),IF(65&lt;=Assumptions!$B$68,Assumptions!$B$67,0),Actuals!BR64)</f>
        <v>0</v>
      </c>
      <c r="BR241" s="13" t="n">
        <f aca="false">IF(ISBLANK(Actuals!BS64),IF(66&lt;=Assumptions!$B$68,Assumptions!$B$67,0),Actuals!BS64)</f>
        <v>0</v>
      </c>
      <c r="BS241" s="13" t="n">
        <f aca="false">IF(ISBLANK(Actuals!BT64),IF(67&lt;=Assumptions!$B$68,Assumptions!$B$67,0),Actuals!BT64)</f>
        <v>0</v>
      </c>
      <c r="BT241" s="13" t="n">
        <f aca="false">IF(ISBLANK(Actuals!BU64),IF(68&lt;=Assumptions!$B$68,Assumptions!$B$67,0),Actuals!BU64)</f>
        <v>0</v>
      </c>
      <c r="BU241" s="13" t="n">
        <f aca="false">IF(ISBLANK(Actuals!BV64),IF(69&lt;=Assumptions!$B$68,Assumptions!$B$67,0),Actuals!BV64)</f>
        <v>0</v>
      </c>
      <c r="BV241" s="13" t="n">
        <f aca="false">IF(ISBLANK(Actuals!BW64),IF(70&lt;=Assumptions!$B$68,Assumptions!$B$67,0),Actuals!BW64)</f>
        <v>0</v>
      </c>
      <c r="BW241" s="13" t="n">
        <f aca="false">IF(ISBLANK(Actuals!BX64),IF(71&lt;=Assumptions!$B$68,Assumptions!$B$67,0),Actuals!BX64)</f>
        <v>0</v>
      </c>
      <c r="BX241" s="13" t="n">
        <f aca="false">IF(ISBLANK(Actuals!BY64),IF(72&lt;=Assumptions!$B$68,Assumptions!$B$67,0),Actuals!BY64)</f>
        <v>0</v>
      </c>
      <c r="BY241" s="13" t="n">
        <f aca="false">IF(ISBLANK(Actuals!BZ64),IF(73&lt;=Assumptions!$B$68,Assumptions!$B$67,0),Actuals!BZ64)</f>
        <v>0</v>
      </c>
      <c r="BZ241" s="13" t="n">
        <f aca="false">IF(ISBLANK(Actuals!CA64),IF(74&lt;=Assumptions!$B$68,Assumptions!$B$67,0),Actuals!CA64)</f>
        <v>0</v>
      </c>
      <c r="CA241" s="13" t="n">
        <f aca="false">IF(ISBLANK(Actuals!CB64),IF(75&lt;=Assumptions!$B$68,Assumptions!$B$67,0),Actuals!CB64)</f>
        <v>0</v>
      </c>
      <c r="CB241" s="13" t="n">
        <f aca="false">IF(ISBLANK(Actuals!CC64),IF(76&lt;=Assumptions!$B$68,Assumptions!$B$67,0),Actuals!CC64)</f>
        <v>0</v>
      </c>
      <c r="CC241" s="13" t="n">
        <f aca="false">IF(ISBLANK(Actuals!CD64),IF(77&lt;=Assumptions!$B$68,Assumptions!$B$67,0),Actuals!CD64)</f>
        <v>0</v>
      </c>
      <c r="CD241" s="13" t="n">
        <f aca="false">IF(ISBLANK(Actuals!CE64),IF(78&lt;=Assumptions!$B$68,Assumptions!$B$67,0),Actuals!CE64)</f>
        <v>0</v>
      </c>
      <c r="CE241" s="13" t="n">
        <f aca="false">IF(ISBLANK(Actuals!CF64),IF(79&lt;=Assumptions!$B$68,Assumptions!$B$67,0),Actuals!CF64)</f>
        <v>0</v>
      </c>
      <c r="CF241" s="13" t="n">
        <f aca="false">IF(ISBLANK(Actuals!CG64),IF(80&lt;=Assumptions!$B$68,Assumptions!$B$67,0),Actuals!CG64)</f>
        <v>0</v>
      </c>
      <c r="CG241" s="13" t="n">
        <f aca="false">IF(ISBLANK(Actuals!CH64),IF(81&lt;=Assumptions!$B$68,Assumptions!$B$67,0),Actuals!CH64)</f>
        <v>0</v>
      </c>
      <c r="CH241" s="13" t="n">
        <f aca="false">IF(ISBLANK(Actuals!CI64),IF(82&lt;=Assumptions!$B$68,Assumptions!$B$67,0),Actuals!CI64)</f>
        <v>0</v>
      </c>
      <c r="CI241" s="13" t="n">
        <f aca="false">IF(ISBLANK(Actuals!CJ64),IF(83&lt;=Assumptions!$B$68,Assumptions!$B$67,0),Actuals!CJ64)</f>
        <v>0</v>
      </c>
      <c r="CJ241" s="13" t="n">
        <f aca="false">IF(ISBLANK(Actuals!CK64),IF(84&lt;=Assumptions!$B$68,Assumptions!$B$67,0),Actuals!CK64)</f>
        <v>0</v>
      </c>
      <c r="CK241" s="13" t="n">
        <f aca="false">IF(ISBLANK(Actuals!CL64),IF(85&lt;=Assumptions!$B$68,Assumptions!$B$67,0),Actuals!CL64)</f>
        <v>0</v>
      </c>
      <c r="CL241" s="13" t="n">
        <f aca="false">IF(ISBLANK(Actuals!CM64),IF(86&lt;=Assumptions!$B$68,Assumptions!$B$67,0),Actuals!CM64)</f>
        <v>0</v>
      </c>
      <c r="CM241" s="13" t="n">
        <f aca="false">IF(ISBLANK(Actuals!CN64),IF(87&lt;=Assumptions!$B$68,Assumptions!$B$67,0),Actuals!CN64)</f>
        <v>0</v>
      </c>
      <c r="CN241" s="13" t="n">
        <f aca="false">IF(ISBLANK(Actuals!CO64),IF(88&lt;=Assumptions!$B$68,Assumptions!$B$67,0),Actuals!CO64)</f>
        <v>0</v>
      </c>
      <c r="CO241" s="13" t="n">
        <f aca="false">IF(ISBLANK(Actuals!CP64),IF(89&lt;=Assumptions!$B$68,Assumptions!$B$67,0),Actuals!CP64)</f>
        <v>0</v>
      </c>
      <c r="CP241" s="13" t="n">
        <f aca="false">IF(ISBLANK(Actuals!CQ64),IF(90&lt;=Assumptions!$B$68,Assumptions!$B$67,0),Actuals!CQ64)</f>
        <v>0</v>
      </c>
      <c r="CQ241" s="13" t="n">
        <f aca="false">IF(ISBLANK(Actuals!CR64),IF(91&lt;=Assumptions!$B$68,Assumptions!$B$67,0),Actuals!CR64)</f>
        <v>0</v>
      </c>
      <c r="CR241" s="13" t="n">
        <f aca="false">IF(ISBLANK(Actuals!CS64),IF(92&lt;=Assumptions!$B$68,Assumptions!$B$67,0),Actuals!CS64)</f>
        <v>0</v>
      </c>
      <c r="CS241" s="13" t="n">
        <f aca="false">IF(ISBLANK(Actuals!CT64),IF(93&lt;=Assumptions!$B$68,Assumptions!$B$67,0),Actuals!CT64)</f>
        <v>0</v>
      </c>
      <c r="CT241" s="13" t="n">
        <f aca="false">IF(ISBLANK(Actuals!CU64),IF(94&lt;=Assumptions!$B$68,Assumptions!$B$67,0),Actuals!CU64)</f>
        <v>0</v>
      </c>
      <c r="CU241" s="13" t="n">
        <f aca="false">IF(ISBLANK(Actuals!CV64),IF(95&lt;=Assumptions!$B$68,Assumptions!$B$67,0),Actuals!CV64)</f>
        <v>0</v>
      </c>
      <c r="CV241" s="13" t="n">
        <f aca="false">IF(ISBLANK(Actuals!CW64),IF(96&lt;=Assumptions!$B$68,Assumptions!$B$67,0),Actuals!CW64)</f>
        <v>0</v>
      </c>
      <c r="CW241" s="13" t="n">
        <f aca="false">IF(ISBLANK(Actuals!CX64),IF(97&lt;=Assumptions!$B$68,Assumptions!$B$67,0),Actuals!CX64)</f>
        <v>0</v>
      </c>
      <c r="CX241" s="13" t="n">
        <f aca="false">IF(ISBLANK(Actuals!CY64),IF(98&lt;=Assumptions!$B$68,Assumptions!$B$67,0),Actuals!CY64)</f>
        <v>0</v>
      </c>
      <c r="CY241" s="13" t="n">
        <f aca="false">IF(ISBLANK(Actuals!CZ64),IF(99&lt;=Assumptions!$B$68,Assumptions!$B$67,0),Actuals!CZ64)</f>
        <v>0</v>
      </c>
      <c r="CZ241" s="13" t="n">
        <f aca="false">IF(ISBLANK(Actuals!DA64),IF(100&lt;=Assumptions!$B$68,Assumptions!$B$67,0),Actuals!DA64)</f>
        <v>0</v>
      </c>
      <c r="DA241" s="13" t="n">
        <f aca="false">IF(ISBLANK(Actuals!DB64),IF(101&lt;=Assumptions!$B$68,Assumptions!$B$67,0),Actuals!DB64)</f>
        <v>0</v>
      </c>
      <c r="DB241" s="13" t="n">
        <f aca="false">IF(ISBLANK(Actuals!DC64),IF(102&lt;=Assumptions!$B$68,Assumptions!$B$67,0),Actuals!DC64)</f>
        <v>0</v>
      </c>
      <c r="DC241" s="13" t="n">
        <f aca="false">IF(ISBLANK(Actuals!DD64),IF(103&lt;=Assumptions!$B$68,Assumptions!$B$67,0),Actuals!DD64)</f>
        <v>0</v>
      </c>
      <c r="DD241" s="13" t="n">
        <f aca="false">IF(ISBLANK(Actuals!DE64),IF(104&lt;=Assumptions!$B$68,Assumptions!$B$67,0),Actuals!DE64)</f>
        <v>0</v>
      </c>
      <c r="DE241" s="13" t="n">
        <f aca="false">IF(ISBLANK(Actuals!DF64),IF(105&lt;=Assumptions!$B$68,Assumptions!$B$67,0),Actuals!DF64)</f>
        <v>0</v>
      </c>
    </row>
    <row r="242" customFormat="false" ht="15" hidden="false" customHeight="true" outlineLevel="0" collapsed="false">
      <c r="A242" s="22" t="s">
        <v>102</v>
      </c>
      <c r="B242" s="13" t="n">
        <f aca="false">IF(ISBLANK(Actuals!C65),0,Actuals!C65)</f>
        <v>23906.25</v>
      </c>
      <c r="C242" s="13" t="n">
        <f aca="false">IF(ISBLANK(Actuals!D65),0,Actuals!D65)</f>
        <v>23906.25</v>
      </c>
      <c r="D242" s="13" t="n">
        <f aca="false">IF(ISBLANK(Actuals!E65),0,Actuals!E65)</f>
        <v>23906.25</v>
      </c>
      <c r="E242" s="13" t="n">
        <f aca="false">IF(ISBLANK(Actuals!F65),IF(Projects!$G$3="Yes",23906.25,0),Actuals!F65)</f>
        <v>23906.25</v>
      </c>
      <c r="F242" s="13" t="n">
        <f aca="false">IF(ISBLANK(Actuals!G65),IF(Projects!$G$3="Yes",23906.25,0),Actuals!G65)</f>
        <v>23906.25</v>
      </c>
      <c r="G242" s="13" t="n">
        <f aca="false">IF(ISBLANK(Actuals!H65),IF(Projects!$G$3="Yes",23906.25,0),Actuals!H65)</f>
        <v>23906.25</v>
      </c>
      <c r="H242" s="13" t="n">
        <f aca="false">IF(ISBLANK(Actuals!I65),IF(Projects!$G$3="Yes",23906.25,0),Actuals!I65)</f>
        <v>23906.25</v>
      </c>
      <c r="I242" s="13" t="n">
        <f aca="false">IF(ISBLANK(Actuals!J65),IF(Projects!$G$3="Yes",23906.25,0),Actuals!J65)</f>
        <v>23906.25</v>
      </c>
      <c r="J242" s="13" t="n">
        <f aca="false">IF(ISBLANK(Actuals!K65),IF(Projects!$G$3="Yes",23906.25,0),Actuals!K65)</f>
        <v>23906.25</v>
      </c>
      <c r="K242" s="13" t="n">
        <f aca="false">IF(ISBLANK(Actuals!L65),IF(Projects!$G$3="Yes",23906.25,0),Actuals!L65)</f>
        <v>23906.25</v>
      </c>
      <c r="L242" s="13" t="n">
        <f aca="false">IF(ISBLANK(Actuals!M65),IF(Projects!$G$3="Yes",23906.25,0),Actuals!M65)</f>
        <v>23906.25</v>
      </c>
      <c r="M242" s="13" t="n">
        <f aca="false">IF(ISBLANK(Actuals!N65),IF(Projects!$G$3="Yes",23906.25,0),Actuals!N65)</f>
        <v>23906.25</v>
      </c>
      <c r="N242" s="13" t="n">
        <f aca="false">IF(ISBLANK(Actuals!O65),IF(Projects!$G$3="Yes",23906.25,0),Actuals!O65)</f>
        <v>23906.25</v>
      </c>
      <c r="O242" s="13" t="n">
        <f aca="false">IF(ISBLANK(Actuals!P65),IF(Projects!$G$3="Yes",23906.25,0),Actuals!P65)</f>
        <v>23906.25</v>
      </c>
      <c r="P242" s="13" t="n">
        <f aca="false">IF(ISBLANK(Actuals!Q65),IF(Projects!$G$3="Yes",23906.25,0),Actuals!Q65)</f>
        <v>23906.25</v>
      </c>
      <c r="Q242" s="13" t="n">
        <f aca="false">IF(ISBLANK(Actuals!R65),IF(Projects!$G$3="Yes",23906.25,0),Actuals!R65)</f>
        <v>23906.25</v>
      </c>
      <c r="R242" s="13" t="n">
        <f aca="false">IF(ISBLANK(Actuals!S65),IF(Projects!$G$3="Yes",23906.25,0),Actuals!S65)</f>
        <v>23906.25</v>
      </c>
      <c r="S242" s="13" t="n">
        <f aca="false">IF(ISBLANK(Actuals!T65),IF(Projects!$G$3="Yes",23906.25,0),Actuals!T65)</f>
        <v>23906.25</v>
      </c>
      <c r="T242" s="13" t="n">
        <f aca="false">IF(ISBLANK(Actuals!U65),0,Actuals!U65)</f>
        <v>0</v>
      </c>
      <c r="U242" s="13" t="n">
        <f aca="false">IF(ISBLANK(Actuals!V65),0,Actuals!V65)</f>
        <v>0</v>
      </c>
      <c r="V242" s="13" t="n">
        <f aca="false">IF(ISBLANK(Actuals!W65),0,Actuals!W65)</f>
        <v>0</v>
      </c>
      <c r="W242" s="13" t="n">
        <f aca="false">IF(ISBLANK(Actuals!X65),0,Actuals!X65)</f>
        <v>0</v>
      </c>
      <c r="X242" s="13" t="n">
        <f aca="false">IF(ISBLANK(Actuals!Y65),0,Actuals!Y65)</f>
        <v>0</v>
      </c>
      <c r="Y242" s="13" t="n">
        <f aca="false">IF(ISBLANK(Actuals!Z65),0,Actuals!Z65)</f>
        <v>0</v>
      </c>
      <c r="Z242" s="13" t="n">
        <f aca="false">IF(ISBLANK(Actuals!AA65),0,Actuals!AA65)</f>
        <v>0</v>
      </c>
      <c r="AA242" s="13" t="n">
        <f aca="false">IF(ISBLANK(Actuals!AB65),0,Actuals!AB65)</f>
        <v>0</v>
      </c>
      <c r="AB242" s="13" t="n">
        <f aca="false">IF(ISBLANK(Actuals!AC65),0,Actuals!AC65)</f>
        <v>0</v>
      </c>
      <c r="AC242" s="13" t="n">
        <f aca="false">IF(ISBLANK(Actuals!AD65),0,Actuals!AD65)</f>
        <v>0</v>
      </c>
      <c r="AD242" s="13" t="n">
        <f aca="false">IF(ISBLANK(Actuals!AE65),0,Actuals!AE65)</f>
        <v>0</v>
      </c>
      <c r="AE242" s="13" t="n">
        <f aca="false">IF(ISBLANK(Actuals!AF65),0,Actuals!AF65)</f>
        <v>0</v>
      </c>
      <c r="AF242" s="13" t="n">
        <f aca="false">IF(ISBLANK(Actuals!AG65),0,Actuals!AG65)</f>
        <v>0</v>
      </c>
      <c r="AG242" s="13" t="n">
        <f aca="false">IF(ISBLANK(Actuals!AH65),0,Actuals!AH65)</f>
        <v>0</v>
      </c>
      <c r="AH242" s="13" t="n">
        <f aca="false">IF(ISBLANK(Actuals!AI65),0,Actuals!AI65)</f>
        <v>0</v>
      </c>
      <c r="AI242" s="13" t="n">
        <f aca="false">IF(ISBLANK(Actuals!AJ65),0,Actuals!AJ65)</f>
        <v>0</v>
      </c>
      <c r="AJ242" s="13" t="n">
        <f aca="false">IF(ISBLANK(Actuals!AK65),0,Actuals!AK65)</f>
        <v>0</v>
      </c>
      <c r="AK242" s="13" t="n">
        <f aca="false">IF(ISBLANK(Actuals!AL65),0,Actuals!AL65)</f>
        <v>0</v>
      </c>
      <c r="AL242" s="13" t="n">
        <f aca="false">IF(ISBLANK(Actuals!AM65),0,Actuals!AM65)</f>
        <v>0</v>
      </c>
      <c r="AM242" s="13" t="n">
        <f aca="false">IF(ISBLANK(Actuals!AN65),0,Actuals!AN65)</f>
        <v>0</v>
      </c>
      <c r="AN242" s="13" t="n">
        <f aca="false">IF(ISBLANK(Actuals!AO65),0,Actuals!AO65)</f>
        <v>0</v>
      </c>
      <c r="AO242" s="13" t="n">
        <f aca="false">IF(ISBLANK(Actuals!AP65),0,Actuals!AP65)</f>
        <v>0</v>
      </c>
      <c r="AP242" s="13" t="n">
        <f aca="false">IF(ISBLANK(Actuals!AQ65),0,Actuals!AQ65)</f>
        <v>0</v>
      </c>
      <c r="AQ242" s="13" t="n">
        <f aca="false">IF(ISBLANK(Actuals!AR65),0,Actuals!AR65)</f>
        <v>0</v>
      </c>
      <c r="AR242" s="13" t="n">
        <f aca="false">IF(ISBLANK(Actuals!AS65),0,Actuals!AS65)</f>
        <v>0</v>
      </c>
      <c r="AS242" s="13" t="n">
        <f aca="false">IF(ISBLANK(Actuals!AT65),0,Actuals!AT65)</f>
        <v>0</v>
      </c>
      <c r="AT242" s="13" t="n">
        <f aca="false">IF(ISBLANK(Actuals!AU65),0,Actuals!AU65)</f>
        <v>0</v>
      </c>
      <c r="AU242" s="13" t="n">
        <f aca="false">IF(ISBLANK(Actuals!AV65),0,Actuals!AV65)</f>
        <v>0</v>
      </c>
      <c r="AV242" s="13" t="n">
        <f aca="false">IF(ISBLANK(Actuals!AW65),0,Actuals!AW65)</f>
        <v>0</v>
      </c>
      <c r="AW242" s="13" t="n">
        <f aca="false">IF(ISBLANK(Actuals!AX65),0,Actuals!AX65)</f>
        <v>0</v>
      </c>
      <c r="AX242" s="13" t="n">
        <f aca="false">IF(ISBLANK(Actuals!AY65),0,Actuals!AY65)</f>
        <v>0</v>
      </c>
      <c r="AY242" s="13" t="n">
        <f aca="false">IF(ISBLANK(Actuals!AZ65),0,Actuals!AZ65)</f>
        <v>0</v>
      </c>
      <c r="AZ242" s="13" t="n">
        <f aca="false">IF(ISBLANK(Actuals!BA65),0,Actuals!BA65)</f>
        <v>0</v>
      </c>
      <c r="BA242" s="13" t="n">
        <f aca="false">IF(ISBLANK(Actuals!BB65),0,Actuals!BB65)</f>
        <v>0</v>
      </c>
      <c r="BB242" s="13" t="n">
        <f aca="false">IF(ISBLANK(Actuals!BC65),0,Actuals!BC65)</f>
        <v>0</v>
      </c>
      <c r="BC242" s="13" t="n">
        <f aca="false">IF(ISBLANK(Actuals!BD65),0,Actuals!BD65)</f>
        <v>0</v>
      </c>
      <c r="BD242" s="13" t="n">
        <f aca="false">IF(ISBLANK(Actuals!BE65),0,Actuals!BE65)</f>
        <v>0</v>
      </c>
      <c r="BE242" s="13" t="n">
        <f aca="false">IF(ISBLANK(Actuals!BF65),0,Actuals!BF65)</f>
        <v>0</v>
      </c>
      <c r="BF242" s="13" t="n">
        <f aca="false">IF(ISBLANK(Actuals!BG65),0,Actuals!BG65)</f>
        <v>0</v>
      </c>
      <c r="BG242" s="13" t="n">
        <f aca="false">IF(ISBLANK(Actuals!BH65),0,Actuals!BH65)</f>
        <v>0</v>
      </c>
      <c r="BH242" s="13" t="n">
        <f aca="false">IF(ISBLANK(Actuals!BI65),0,Actuals!BI65)</f>
        <v>0</v>
      </c>
      <c r="BI242" s="13" t="n">
        <f aca="false">IF(ISBLANK(Actuals!BJ65),0,Actuals!BJ65)</f>
        <v>0</v>
      </c>
      <c r="BJ242" s="13" t="n">
        <f aca="false">IF(ISBLANK(Actuals!BK65),0,Actuals!BK65)</f>
        <v>0</v>
      </c>
      <c r="BK242" s="13" t="n">
        <f aca="false">IF(ISBLANK(Actuals!BL65),0,Actuals!BL65)</f>
        <v>0</v>
      </c>
      <c r="BL242" s="13" t="n">
        <f aca="false">IF(ISBLANK(Actuals!BM65),0,Actuals!BM65)</f>
        <v>0</v>
      </c>
      <c r="BM242" s="13" t="n">
        <f aca="false">IF(ISBLANK(Actuals!BN65),0,Actuals!BN65)</f>
        <v>0</v>
      </c>
      <c r="BN242" s="13" t="n">
        <f aca="false">IF(ISBLANK(Actuals!BO65),0,Actuals!BO65)</f>
        <v>0</v>
      </c>
      <c r="BO242" s="13" t="n">
        <f aca="false">IF(ISBLANK(Actuals!BP65),0,Actuals!BP65)</f>
        <v>0</v>
      </c>
      <c r="BP242" s="13" t="n">
        <f aca="false">IF(ISBLANK(Actuals!BQ65),0,Actuals!BQ65)</f>
        <v>0</v>
      </c>
      <c r="BQ242" s="13" t="n">
        <f aca="false">IF(ISBLANK(Actuals!BR65),0,Actuals!BR65)</f>
        <v>0</v>
      </c>
      <c r="BR242" s="13" t="n">
        <f aca="false">IF(ISBLANK(Actuals!BS65),0,Actuals!BS65)</f>
        <v>0</v>
      </c>
      <c r="BS242" s="13" t="n">
        <f aca="false">IF(ISBLANK(Actuals!BT65),0,Actuals!BT65)</f>
        <v>0</v>
      </c>
      <c r="BT242" s="13" t="n">
        <f aca="false">IF(ISBLANK(Actuals!BU65),0,Actuals!BU65)</f>
        <v>0</v>
      </c>
      <c r="BU242" s="13" t="n">
        <f aca="false">IF(ISBLANK(Actuals!BV65),0,Actuals!BV65)</f>
        <v>0</v>
      </c>
      <c r="BV242" s="13" t="n">
        <f aca="false">IF(ISBLANK(Actuals!BW65),0,Actuals!BW65)</f>
        <v>0</v>
      </c>
      <c r="BW242" s="13" t="n">
        <f aca="false">IF(ISBLANK(Actuals!BX65),0,Actuals!BX65)</f>
        <v>0</v>
      </c>
      <c r="BX242" s="13" t="n">
        <f aca="false">IF(ISBLANK(Actuals!BY65),0,Actuals!BY65)</f>
        <v>0</v>
      </c>
      <c r="BY242" s="13" t="n">
        <f aca="false">IF(ISBLANK(Actuals!BZ65),0,Actuals!BZ65)</f>
        <v>0</v>
      </c>
      <c r="BZ242" s="13" t="n">
        <f aca="false">IF(ISBLANK(Actuals!CA65),0,Actuals!CA65)</f>
        <v>0</v>
      </c>
      <c r="CA242" s="13" t="n">
        <f aca="false">IF(ISBLANK(Actuals!CB65),0,Actuals!CB65)</f>
        <v>0</v>
      </c>
      <c r="CB242" s="13" t="n">
        <f aca="false">IF(ISBLANK(Actuals!CC65),0,Actuals!CC65)</f>
        <v>0</v>
      </c>
      <c r="CC242" s="13" t="n">
        <f aca="false">IF(ISBLANK(Actuals!CD65),0,Actuals!CD65)</f>
        <v>0</v>
      </c>
      <c r="CD242" s="13" t="n">
        <f aca="false">IF(ISBLANK(Actuals!CE65),0,Actuals!CE65)</f>
        <v>0</v>
      </c>
      <c r="CE242" s="13" t="n">
        <f aca="false">IF(ISBLANK(Actuals!CF65),0,Actuals!CF65)</f>
        <v>0</v>
      </c>
      <c r="CF242" s="13" t="n">
        <f aca="false">IF(ISBLANK(Actuals!CG65),0,Actuals!CG65)</f>
        <v>0</v>
      </c>
      <c r="CG242" s="13" t="n">
        <f aca="false">IF(ISBLANK(Actuals!CH65),0,Actuals!CH65)</f>
        <v>0</v>
      </c>
      <c r="CH242" s="13" t="n">
        <f aca="false">IF(ISBLANK(Actuals!CI65),0,Actuals!CI65)</f>
        <v>0</v>
      </c>
      <c r="CI242" s="13" t="n">
        <f aca="false">IF(ISBLANK(Actuals!CJ65),0,Actuals!CJ65)</f>
        <v>0</v>
      </c>
      <c r="CJ242" s="13" t="n">
        <f aca="false">IF(ISBLANK(Actuals!CK65),0,Actuals!CK65)</f>
        <v>0</v>
      </c>
      <c r="CK242" s="13" t="n">
        <f aca="false">IF(ISBLANK(Actuals!CL65),0,Actuals!CL65)</f>
        <v>0</v>
      </c>
      <c r="CL242" s="13" t="n">
        <f aca="false">IF(ISBLANK(Actuals!CM65),0,Actuals!CM65)</f>
        <v>0</v>
      </c>
      <c r="CM242" s="13" t="n">
        <f aca="false">IF(ISBLANK(Actuals!CN65),0,Actuals!CN65)</f>
        <v>0</v>
      </c>
      <c r="CN242" s="13" t="n">
        <f aca="false">IF(ISBLANK(Actuals!CO65),0,Actuals!CO65)</f>
        <v>0</v>
      </c>
      <c r="CO242" s="13" t="n">
        <f aca="false">IF(ISBLANK(Actuals!CP65),0,Actuals!CP65)</f>
        <v>0</v>
      </c>
      <c r="CP242" s="13" t="n">
        <f aca="false">IF(ISBLANK(Actuals!CQ65),0,Actuals!CQ65)</f>
        <v>0</v>
      </c>
      <c r="CQ242" s="13" t="n">
        <f aca="false">IF(ISBLANK(Actuals!CR65),0,Actuals!CR65)</f>
        <v>0</v>
      </c>
      <c r="CR242" s="13" t="n">
        <f aca="false">IF(ISBLANK(Actuals!CS65),0,Actuals!CS65)</f>
        <v>0</v>
      </c>
      <c r="CS242" s="13" t="n">
        <f aca="false">IF(ISBLANK(Actuals!CT65),0,Actuals!CT65)</f>
        <v>0</v>
      </c>
      <c r="CT242" s="13" t="n">
        <f aca="false">IF(ISBLANK(Actuals!CU65),0,Actuals!CU65)</f>
        <v>0</v>
      </c>
      <c r="CU242" s="13" t="n">
        <f aca="false">IF(ISBLANK(Actuals!CV65),0,Actuals!CV65)</f>
        <v>0</v>
      </c>
      <c r="CV242" s="13" t="n">
        <f aca="false">IF(ISBLANK(Actuals!CW65),0,Actuals!CW65)</f>
        <v>0</v>
      </c>
      <c r="CW242" s="13" t="n">
        <f aca="false">IF(ISBLANK(Actuals!CX65),0,Actuals!CX65)</f>
        <v>0</v>
      </c>
      <c r="CX242" s="13" t="n">
        <f aca="false">IF(ISBLANK(Actuals!CY65),0,Actuals!CY65)</f>
        <v>0</v>
      </c>
      <c r="CY242" s="13" t="n">
        <f aca="false">IF(ISBLANK(Actuals!CZ65),0,Actuals!CZ65)</f>
        <v>0</v>
      </c>
      <c r="CZ242" s="13" t="n">
        <f aca="false">IF(ISBLANK(Actuals!DA65),0,Actuals!DA65)</f>
        <v>0</v>
      </c>
      <c r="DA242" s="13" t="n">
        <f aca="false">IF(ISBLANK(Actuals!DB65),0,Actuals!DB65)</f>
        <v>0</v>
      </c>
      <c r="DB242" s="13" t="n">
        <f aca="false">IF(ISBLANK(Actuals!DC65),0,Actuals!DC65)</f>
        <v>0</v>
      </c>
      <c r="DC242" s="13" t="n">
        <f aca="false">IF(ISBLANK(Actuals!DD65),0,Actuals!DD65)</f>
        <v>0</v>
      </c>
      <c r="DD242" s="13" t="n">
        <f aca="false">IF(ISBLANK(Actuals!DE65),0,Actuals!DE65)</f>
        <v>0</v>
      </c>
      <c r="DE242" s="13" t="n">
        <f aca="false">IF(ISBLANK(Actuals!DF65),0,Actuals!DF65)</f>
        <v>0</v>
      </c>
    </row>
    <row r="243" customFormat="false" ht="15" hidden="false" customHeight="true" outlineLevel="0" collapsed="false">
      <c r="A243" s="22" t="s">
        <v>103</v>
      </c>
      <c r="B243" s="13" t="n">
        <f aca="false">IF(ISBLANK(Actuals!C66),0,Actuals!C66)</f>
        <v>0</v>
      </c>
      <c r="C243" s="13" t="n">
        <f aca="false">IF(ISBLANK(Actuals!D66),0,Actuals!D66)</f>
        <v>0</v>
      </c>
      <c r="D243" s="13" t="n">
        <f aca="false">IF(ISBLANK(Actuals!E66),0,Actuals!E66)</f>
        <v>0</v>
      </c>
      <c r="E243" s="13" t="n">
        <f aca="false">IF(ISBLANK(Actuals!F66),0,Actuals!F66)</f>
        <v>0</v>
      </c>
      <c r="F243" s="13" t="n">
        <f aca="false">IF(ISBLANK(Actuals!G66),0,Actuals!G66)</f>
        <v>0</v>
      </c>
      <c r="G243" s="13" t="n">
        <f aca="false">IF(ISBLANK(Actuals!H66),0,Actuals!H66)</f>
        <v>0</v>
      </c>
      <c r="H243" s="13" t="n">
        <f aca="false">IF(ISBLANK(Actuals!I66),0,Actuals!I66)</f>
        <v>0</v>
      </c>
      <c r="I243" s="13" t="n">
        <f aca="false">IF(ISBLANK(Actuals!J66),0,Actuals!J66)</f>
        <v>0</v>
      </c>
      <c r="J243" s="13" t="n">
        <f aca="false">IF(ISBLANK(Actuals!K66),0,Actuals!K66)</f>
        <v>0</v>
      </c>
      <c r="K243" s="13" t="n">
        <f aca="false">IF(ISBLANK(Actuals!L66),0,Actuals!L66)</f>
        <v>0</v>
      </c>
      <c r="L243" s="13" t="n">
        <f aca="false">IF(ISBLANK(Actuals!M66),0,Actuals!M66)</f>
        <v>0</v>
      </c>
      <c r="M243" s="13" t="n">
        <f aca="false">IF(ISBLANK(Actuals!N66),0,Actuals!N66)</f>
        <v>0</v>
      </c>
      <c r="N243" s="13" t="n">
        <f aca="false">IF(ISBLANK(Actuals!O66),0,Actuals!O66)</f>
        <v>0</v>
      </c>
      <c r="O243" s="13" t="n">
        <f aca="false">IF(ISBLANK(Actuals!P66),0,Actuals!P66)</f>
        <v>0</v>
      </c>
      <c r="P243" s="13" t="n">
        <f aca="false">IF(ISBLANK(Actuals!Q66),0,Actuals!Q66)</f>
        <v>0</v>
      </c>
      <c r="Q243" s="13" t="n">
        <f aca="false">IF(ISBLANK(Actuals!R66),0,Actuals!R66)</f>
        <v>0</v>
      </c>
      <c r="R243" s="13" t="n">
        <f aca="false">IF(ISBLANK(Actuals!S66),0,Actuals!S66)</f>
        <v>0</v>
      </c>
      <c r="S243" s="13" t="n">
        <f aca="false">IF(ISBLANK(Actuals!T66),0,Actuals!T66)</f>
        <v>0</v>
      </c>
      <c r="T243" s="13" t="n">
        <f aca="false">IF(ISBLANK(Actuals!U66),0,Actuals!U66)</f>
        <v>0</v>
      </c>
      <c r="U243" s="13" t="n">
        <f aca="false">IF(ISBLANK(Actuals!V66),0,Actuals!V66)</f>
        <v>0</v>
      </c>
      <c r="V243" s="13" t="n">
        <f aca="false">IF(ISBLANK(Actuals!W66),0,Actuals!W66)</f>
        <v>0</v>
      </c>
      <c r="W243" s="13" t="n">
        <f aca="false">IF(ISBLANK(Actuals!X66),0,Actuals!X66)</f>
        <v>0</v>
      </c>
      <c r="X243" s="13" t="n">
        <f aca="false">IF(ISBLANK(Actuals!Y66),0,Actuals!Y66)</f>
        <v>0</v>
      </c>
      <c r="Y243" s="13" t="n">
        <f aca="false">IF(ISBLANK(Actuals!Z66),IF(Projects!$G$3="Yes",57375,0),Actuals!Z66)</f>
        <v>57375</v>
      </c>
      <c r="Z243" s="13" t="n">
        <f aca="false">IF(ISBLANK(Actuals!AA66),0,Actuals!AA66)</f>
        <v>0</v>
      </c>
      <c r="AA243" s="13" t="n">
        <f aca="false">IF(ISBLANK(Actuals!AB66),0,Actuals!AB66)</f>
        <v>0</v>
      </c>
      <c r="AB243" s="13" t="n">
        <f aca="false">IF(ISBLANK(Actuals!AC66),0,Actuals!AC66)</f>
        <v>0</v>
      </c>
      <c r="AC243" s="13" t="n">
        <f aca="false">IF(ISBLANK(Actuals!AD66),0,Actuals!AD66)</f>
        <v>0</v>
      </c>
      <c r="AD243" s="13" t="n">
        <f aca="false">IF(ISBLANK(Actuals!AE66),0,Actuals!AE66)</f>
        <v>0</v>
      </c>
      <c r="AE243" s="13" t="n">
        <f aca="false">IF(ISBLANK(Actuals!AF66),0,Actuals!AF66)</f>
        <v>0</v>
      </c>
      <c r="AF243" s="13" t="n">
        <f aca="false">IF(ISBLANK(Actuals!AG66),0,Actuals!AG66)</f>
        <v>0</v>
      </c>
      <c r="AG243" s="13" t="n">
        <f aca="false">IF(ISBLANK(Actuals!AH66),0,Actuals!AH66)</f>
        <v>0</v>
      </c>
      <c r="AH243" s="13" t="n">
        <f aca="false">IF(ISBLANK(Actuals!AI66),0,Actuals!AI66)</f>
        <v>0</v>
      </c>
      <c r="AI243" s="13" t="n">
        <f aca="false">IF(ISBLANK(Actuals!AJ66),0,Actuals!AJ66)</f>
        <v>0</v>
      </c>
      <c r="AJ243" s="13" t="n">
        <f aca="false">IF(ISBLANK(Actuals!AK66),0,Actuals!AK66)</f>
        <v>0</v>
      </c>
      <c r="AK243" s="13" t="n">
        <f aca="false">IF(ISBLANK(Actuals!AL66),0,Actuals!AL66)</f>
        <v>0</v>
      </c>
      <c r="AL243" s="13" t="n">
        <f aca="false">IF(ISBLANK(Actuals!AM66),0,Actuals!AM66)</f>
        <v>0</v>
      </c>
      <c r="AM243" s="13" t="n">
        <f aca="false">IF(ISBLANK(Actuals!AN66),0,Actuals!AN66)</f>
        <v>0</v>
      </c>
      <c r="AN243" s="13" t="n">
        <f aca="false">IF(ISBLANK(Actuals!AO66),0,Actuals!AO66)</f>
        <v>0</v>
      </c>
      <c r="AO243" s="13" t="n">
        <f aca="false">IF(ISBLANK(Actuals!AP66),0,Actuals!AP66)</f>
        <v>0</v>
      </c>
      <c r="AP243" s="13" t="n">
        <f aca="false">IF(ISBLANK(Actuals!AQ66),0,Actuals!AQ66)</f>
        <v>0</v>
      </c>
      <c r="AQ243" s="13" t="n">
        <f aca="false">IF(ISBLANK(Actuals!AR66),0,Actuals!AR66)</f>
        <v>0</v>
      </c>
      <c r="AR243" s="13" t="n">
        <f aca="false">IF(ISBLANK(Actuals!AS66),0,Actuals!AS66)</f>
        <v>0</v>
      </c>
      <c r="AS243" s="13" t="n">
        <f aca="false">IF(ISBLANK(Actuals!AT66),0,Actuals!AT66)</f>
        <v>0</v>
      </c>
      <c r="AT243" s="13" t="n">
        <f aca="false">IF(ISBLANK(Actuals!AU66),0,Actuals!AU66)</f>
        <v>0</v>
      </c>
      <c r="AU243" s="13" t="n">
        <f aca="false">IF(ISBLANK(Actuals!AV66),0,Actuals!AV66)</f>
        <v>0</v>
      </c>
      <c r="AV243" s="13" t="n">
        <f aca="false">IF(ISBLANK(Actuals!AW66),0,Actuals!AW66)</f>
        <v>0</v>
      </c>
      <c r="AW243" s="13" t="n">
        <f aca="false">IF(ISBLANK(Actuals!AX66),0,Actuals!AX66)</f>
        <v>0</v>
      </c>
      <c r="AX243" s="13" t="n">
        <f aca="false">IF(ISBLANK(Actuals!AY66),0,Actuals!AY66)</f>
        <v>0</v>
      </c>
      <c r="AY243" s="13" t="n">
        <f aca="false">IF(ISBLANK(Actuals!AZ66),0,Actuals!AZ66)</f>
        <v>0</v>
      </c>
      <c r="AZ243" s="13" t="n">
        <f aca="false">IF(ISBLANK(Actuals!BA66),0,Actuals!BA66)</f>
        <v>0</v>
      </c>
      <c r="BA243" s="13" t="n">
        <f aca="false">IF(ISBLANK(Actuals!BB66),0,Actuals!BB66)</f>
        <v>0</v>
      </c>
      <c r="BB243" s="13" t="n">
        <f aca="false">IF(ISBLANK(Actuals!BC66),0,Actuals!BC66)</f>
        <v>0</v>
      </c>
      <c r="BC243" s="13" t="n">
        <f aca="false">IF(ISBLANK(Actuals!BD66),0,Actuals!BD66)</f>
        <v>0</v>
      </c>
      <c r="BD243" s="13" t="n">
        <f aca="false">IF(ISBLANK(Actuals!BE66),0,Actuals!BE66)</f>
        <v>0</v>
      </c>
      <c r="BE243" s="13" t="n">
        <f aca="false">IF(ISBLANK(Actuals!BF66),0,Actuals!BF66)</f>
        <v>0</v>
      </c>
      <c r="BF243" s="13" t="n">
        <f aca="false">IF(ISBLANK(Actuals!BG66),0,Actuals!BG66)</f>
        <v>0</v>
      </c>
      <c r="BG243" s="13" t="n">
        <f aca="false">IF(ISBLANK(Actuals!BH66),0,Actuals!BH66)</f>
        <v>0</v>
      </c>
      <c r="BH243" s="13" t="n">
        <f aca="false">IF(ISBLANK(Actuals!BI66),0,Actuals!BI66)</f>
        <v>0</v>
      </c>
      <c r="BI243" s="13" t="n">
        <f aca="false">IF(ISBLANK(Actuals!BJ66),0,Actuals!BJ66)</f>
        <v>0</v>
      </c>
      <c r="BJ243" s="13" t="n">
        <f aca="false">IF(ISBLANK(Actuals!BK66),0,Actuals!BK66)</f>
        <v>0</v>
      </c>
      <c r="BK243" s="13" t="n">
        <f aca="false">IF(ISBLANK(Actuals!BL66),0,Actuals!BL66)</f>
        <v>0</v>
      </c>
      <c r="BL243" s="13" t="n">
        <f aca="false">IF(ISBLANK(Actuals!BM66),0,Actuals!BM66)</f>
        <v>0</v>
      </c>
      <c r="BM243" s="13" t="n">
        <f aca="false">IF(ISBLANK(Actuals!BN66),0,Actuals!BN66)</f>
        <v>0</v>
      </c>
      <c r="BN243" s="13" t="n">
        <f aca="false">IF(ISBLANK(Actuals!BO66),0,Actuals!BO66)</f>
        <v>0</v>
      </c>
      <c r="BO243" s="13" t="n">
        <f aca="false">IF(ISBLANK(Actuals!BP66),0,Actuals!BP66)</f>
        <v>0</v>
      </c>
      <c r="BP243" s="13" t="n">
        <f aca="false">IF(ISBLANK(Actuals!BQ66),0,Actuals!BQ66)</f>
        <v>0</v>
      </c>
      <c r="BQ243" s="13" t="n">
        <f aca="false">IF(ISBLANK(Actuals!BR66),0,Actuals!BR66)</f>
        <v>0</v>
      </c>
      <c r="BR243" s="13" t="n">
        <f aca="false">IF(ISBLANK(Actuals!BS66),0,Actuals!BS66)</f>
        <v>0</v>
      </c>
      <c r="BS243" s="13" t="n">
        <f aca="false">IF(ISBLANK(Actuals!BT66),0,Actuals!BT66)</f>
        <v>0</v>
      </c>
      <c r="BT243" s="13" t="n">
        <f aca="false">IF(ISBLANK(Actuals!BU66),0,Actuals!BU66)</f>
        <v>0</v>
      </c>
      <c r="BU243" s="13" t="n">
        <f aca="false">IF(ISBLANK(Actuals!BV66),0,Actuals!BV66)</f>
        <v>0</v>
      </c>
      <c r="BV243" s="13" t="n">
        <f aca="false">IF(ISBLANK(Actuals!BW66),0,Actuals!BW66)</f>
        <v>0</v>
      </c>
      <c r="BW243" s="13" t="n">
        <f aca="false">IF(ISBLANK(Actuals!BX66),0,Actuals!BX66)</f>
        <v>0</v>
      </c>
      <c r="BX243" s="13" t="n">
        <f aca="false">IF(ISBLANK(Actuals!BY66),0,Actuals!BY66)</f>
        <v>0</v>
      </c>
      <c r="BY243" s="13" t="n">
        <f aca="false">IF(ISBLANK(Actuals!BZ66),0,Actuals!BZ66)</f>
        <v>0</v>
      </c>
      <c r="BZ243" s="13" t="n">
        <f aca="false">IF(ISBLANK(Actuals!CA66),0,Actuals!CA66)</f>
        <v>0</v>
      </c>
      <c r="CA243" s="13" t="n">
        <f aca="false">IF(ISBLANK(Actuals!CB66),0,Actuals!CB66)</f>
        <v>0</v>
      </c>
      <c r="CB243" s="13" t="n">
        <f aca="false">IF(ISBLANK(Actuals!CC66),0,Actuals!CC66)</f>
        <v>0</v>
      </c>
      <c r="CC243" s="13" t="n">
        <f aca="false">IF(ISBLANK(Actuals!CD66),0,Actuals!CD66)</f>
        <v>0</v>
      </c>
      <c r="CD243" s="13" t="n">
        <f aca="false">IF(ISBLANK(Actuals!CE66),0,Actuals!CE66)</f>
        <v>0</v>
      </c>
      <c r="CE243" s="13" t="n">
        <f aca="false">IF(ISBLANK(Actuals!CF66),0,Actuals!CF66)</f>
        <v>0</v>
      </c>
      <c r="CF243" s="13" t="n">
        <f aca="false">IF(ISBLANK(Actuals!CG66),0,Actuals!CG66)</f>
        <v>0</v>
      </c>
      <c r="CG243" s="13" t="n">
        <f aca="false">IF(ISBLANK(Actuals!CH66),0,Actuals!CH66)</f>
        <v>0</v>
      </c>
      <c r="CH243" s="13" t="n">
        <f aca="false">IF(ISBLANK(Actuals!CI66),0,Actuals!CI66)</f>
        <v>0</v>
      </c>
      <c r="CI243" s="13" t="n">
        <f aca="false">IF(ISBLANK(Actuals!CJ66),0,Actuals!CJ66)</f>
        <v>0</v>
      </c>
      <c r="CJ243" s="13" t="n">
        <f aca="false">IF(ISBLANK(Actuals!CK66),0,Actuals!CK66)</f>
        <v>0</v>
      </c>
      <c r="CK243" s="13" t="n">
        <f aca="false">IF(ISBLANK(Actuals!CL66),0,Actuals!CL66)</f>
        <v>0</v>
      </c>
      <c r="CL243" s="13" t="n">
        <f aca="false">IF(ISBLANK(Actuals!CM66),0,Actuals!CM66)</f>
        <v>0</v>
      </c>
      <c r="CM243" s="13" t="n">
        <f aca="false">IF(ISBLANK(Actuals!CN66),0,Actuals!CN66)</f>
        <v>0</v>
      </c>
      <c r="CN243" s="13" t="n">
        <f aca="false">IF(ISBLANK(Actuals!CO66),0,Actuals!CO66)</f>
        <v>0</v>
      </c>
      <c r="CO243" s="13" t="n">
        <f aca="false">IF(ISBLANK(Actuals!CP66),0,Actuals!CP66)</f>
        <v>0</v>
      </c>
      <c r="CP243" s="13" t="n">
        <f aca="false">IF(ISBLANK(Actuals!CQ66),0,Actuals!CQ66)</f>
        <v>0</v>
      </c>
      <c r="CQ243" s="13" t="n">
        <f aca="false">IF(ISBLANK(Actuals!CR66),0,Actuals!CR66)</f>
        <v>0</v>
      </c>
      <c r="CR243" s="13" t="n">
        <f aca="false">IF(ISBLANK(Actuals!CS66),0,Actuals!CS66)</f>
        <v>0</v>
      </c>
      <c r="CS243" s="13" t="n">
        <f aca="false">IF(ISBLANK(Actuals!CT66),0,Actuals!CT66)</f>
        <v>0</v>
      </c>
      <c r="CT243" s="13" t="n">
        <f aca="false">IF(ISBLANK(Actuals!CU66),0,Actuals!CU66)</f>
        <v>0</v>
      </c>
      <c r="CU243" s="13" t="n">
        <f aca="false">IF(ISBLANK(Actuals!CV66),0,Actuals!CV66)</f>
        <v>0</v>
      </c>
      <c r="CV243" s="13" t="n">
        <f aca="false">IF(ISBLANK(Actuals!CW66),0,Actuals!CW66)</f>
        <v>0</v>
      </c>
      <c r="CW243" s="13" t="n">
        <f aca="false">IF(ISBLANK(Actuals!CX66),0,Actuals!CX66)</f>
        <v>0</v>
      </c>
      <c r="CX243" s="13" t="n">
        <f aca="false">IF(ISBLANK(Actuals!CY66),0,Actuals!CY66)</f>
        <v>0</v>
      </c>
      <c r="CY243" s="13" t="n">
        <f aca="false">IF(ISBLANK(Actuals!CZ66),0,Actuals!CZ66)</f>
        <v>0</v>
      </c>
      <c r="CZ243" s="13" t="n">
        <f aca="false">IF(ISBLANK(Actuals!DA66),0,Actuals!DA66)</f>
        <v>0</v>
      </c>
      <c r="DA243" s="13" t="n">
        <f aca="false">IF(ISBLANK(Actuals!DB66),0,Actuals!DB66)</f>
        <v>0</v>
      </c>
      <c r="DB243" s="13" t="n">
        <f aca="false">IF(ISBLANK(Actuals!DC66),0,Actuals!DC66)</f>
        <v>0</v>
      </c>
      <c r="DC243" s="13" t="n">
        <f aca="false">IF(ISBLANK(Actuals!DD66),0,Actuals!DD66)</f>
        <v>0</v>
      </c>
      <c r="DD243" s="13" t="n">
        <f aca="false">IF(ISBLANK(Actuals!DE66),0,Actuals!DE66)</f>
        <v>0</v>
      </c>
      <c r="DE243" s="13" t="n">
        <f aca="false">IF(ISBLANK(Actuals!DF66),0,Actuals!DF66)</f>
        <v>0</v>
      </c>
    </row>
    <row r="244" customFormat="false" ht="15" hidden="false" customHeight="true" outlineLevel="0" collapsed="false">
      <c r="A244" s="22" t="s">
        <v>104</v>
      </c>
      <c r="B244" s="13" t="n">
        <f aca="false">IF(ISBLANK(Actuals!C67),0,Actuals!C67)</f>
        <v>0</v>
      </c>
      <c r="C244" s="13" t="n">
        <f aca="false">IF(ISBLANK(Actuals!D67),0,Actuals!D67)</f>
        <v>0</v>
      </c>
      <c r="D244" s="13" t="n">
        <f aca="false">IF(ISBLANK(Actuals!E67),0,Actuals!E67)</f>
        <v>0</v>
      </c>
      <c r="E244" s="13" t="n">
        <f aca="false">IF(ISBLANK(Actuals!F67),0,Actuals!F67)</f>
        <v>0</v>
      </c>
      <c r="F244" s="13" t="n">
        <f aca="false">IF(ISBLANK(Actuals!G67),0,Actuals!G67)</f>
        <v>0</v>
      </c>
      <c r="G244" s="13" t="n">
        <f aca="false">IF(ISBLANK(Actuals!H67),0,Actuals!H67)</f>
        <v>0</v>
      </c>
      <c r="H244" s="13" t="n">
        <f aca="false">IF(ISBLANK(Actuals!I67),0,Actuals!I67)</f>
        <v>0</v>
      </c>
      <c r="I244" s="13" t="n">
        <f aca="false">IF(ISBLANK(Actuals!J67),0,Actuals!J67)</f>
        <v>0</v>
      </c>
      <c r="J244" s="13" t="n">
        <f aca="false">IF(ISBLANK(Actuals!K67),0,Actuals!K67)</f>
        <v>0</v>
      </c>
      <c r="K244" s="13" t="n">
        <f aca="false">IF(ISBLANK(Actuals!L67),0,Actuals!L67)</f>
        <v>0</v>
      </c>
      <c r="L244" s="13" t="n">
        <f aca="false">IF(ISBLANK(Actuals!M67),0,Actuals!M67)</f>
        <v>0</v>
      </c>
      <c r="M244" s="13" t="n">
        <f aca="false">IF(ISBLANK(Actuals!N67),0,Actuals!N67)</f>
        <v>0</v>
      </c>
      <c r="N244" s="13" t="n">
        <f aca="false">IF(ISBLANK(Actuals!O67),0,Actuals!O67)</f>
        <v>0</v>
      </c>
      <c r="O244" s="13" t="n">
        <f aca="false">IF(ISBLANK(Actuals!P67),0,Actuals!P67)</f>
        <v>0</v>
      </c>
      <c r="P244" s="13" t="n">
        <f aca="false">IF(ISBLANK(Actuals!Q67),0,Actuals!Q67)</f>
        <v>0</v>
      </c>
      <c r="Q244" s="13" t="n">
        <f aca="false">IF(ISBLANK(Actuals!R67),0,Actuals!R67)</f>
        <v>0</v>
      </c>
      <c r="R244" s="13" t="n">
        <f aca="false">IF(ISBLANK(Actuals!S67),0,Actuals!S67)</f>
        <v>0</v>
      </c>
      <c r="S244" s="13" t="n">
        <f aca="false">IF(ISBLANK(Actuals!T67),0,Actuals!T67)</f>
        <v>0</v>
      </c>
      <c r="T244" s="13" t="n">
        <f aca="false">IF(ISBLANK(Actuals!U67),0,Actuals!U67)</f>
        <v>0</v>
      </c>
      <c r="U244" s="13" t="n">
        <f aca="false">IF(ISBLANK(Actuals!V67),0,Actuals!V67)</f>
        <v>0</v>
      </c>
      <c r="V244" s="13" t="n">
        <f aca="false">IF(ISBLANK(Actuals!W67),0,Actuals!W67)</f>
        <v>0</v>
      </c>
      <c r="W244" s="13" t="n">
        <f aca="false">IF(ISBLANK(Actuals!X67),0,Actuals!X67)</f>
        <v>0</v>
      </c>
      <c r="X244" s="13" t="n">
        <f aca="false">IF(ISBLANK(Actuals!Y67),0,Actuals!Y67)</f>
        <v>0</v>
      </c>
      <c r="Y244" s="13" t="n">
        <f aca="false">IF(ISBLANK(Actuals!Z67),0,Actuals!Z67)</f>
        <v>0</v>
      </c>
      <c r="Z244" s="13" t="n">
        <f aca="false">IF(ISBLANK(Actuals!AA67),0,Actuals!AA67)</f>
        <v>0</v>
      </c>
      <c r="AA244" s="13" t="n">
        <f aca="false">IF(ISBLANK(Actuals!AB67),0,Actuals!AB67)</f>
        <v>0</v>
      </c>
      <c r="AB244" s="13" t="n">
        <f aca="false">IF(ISBLANK(Actuals!AC67),IF(Projects!$G$3="Yes",57375,0),Actuals!AC67)</f>
        <v>57375</v>
      </c>
      <c r="AC244" s="13" t="n">
        <f aca="false">IF(ISBLANK(Actuals!AD67),0,Actuals!AD67)</f>
        <v>0</v>
      </c>
      <c r="AD244" s="13" t="n">
        <f aca="false">IF(ISBLANK(Actuals!AE67),0,Actuals!AE67)</f>
        <v>0</v>
      </c>
      <c r="AE244" s="13" t="n">
        <f aca="false">IF(ISBLANK(Actuals!AF67),0,Actuals!AF67)</f>
        <v>0</v>
      </c>
      <c r="AF244" s="13" t="n">
        <f aca="false">IF(ISBLANK(Actuals!AG67),0,Actuals!AG67)</f>
        <v>0</v>
      </c>
      <c r="AG244" s="13" t="n">
        <f aca="false">IF(ISBLANK(Actuals!AH67),0,Actuals!AH67)</f>
        <v>0</v>
      </c>
      <c r="AH244" s="13" t="n">
        <f aca="false">IF(ISBLANK(Actuals!AI67),0,Actuals!AI67)</f>
        <v>0</v>
      </c>
      <c r="AI244" s="13" t="n">
        <f aca="false">IF(ISBLANK(Actuals!AJ67),0,Actuals!AJ67)</f>
        <v>0</v>
      </c>
      <c r="AJ244" s="13" t="n">
        <f aca="false">IF(ISBLANK(Actuals!AK67),0,Actuals!AK67)</f>
        <v>0</v>
      </c>
      <c r="AK244" s="13" t="n">
        <f aca="false">IF(ISBLANK(Actuals!AL67),0,Actuals!AL67)</f>
        <v>0</v>
      </c>
      <c r="AL244" s="13" t="n">
        <f aca="false">IF(ISBLANK(Actuals!AM67),0,Actuals!AM67)</f>
        <v>0</v>
      </c>
      <c r="AM244" s="13" t="n">
        <f aca="false">IF(ISBLANK(Actuals!AN67),0,Actuals!AN67)</f>
        <v>0</v>
      </c>
      <c r="AN244" s="13" t="n">
        <f aca="false">IF(ISBLANK(Actuals!AO67),0,Actuals!AO67)</f>
        <v>0</v>
      </c>
      <c r="AO244" s="13" t="n">
        <f aca="false">IF(ISBLANK(Actuals!AP67),0,Actuals!AP67)</f>
        <v>0</v>
      </c>
      <c r="AP244" s="13" t="n">
        <f aca="false">IF(ISBLANK(Actuals!AQ67),0,Actuals!AQ67)</f>
        <v>0</v>
      </c>
      <c r="AQ244" s="13" t="n">
        <f aca="false">IF(ISBLANK(Actuals!AR67),0,Actuals!AR67)</f>
        <v>0</v>
      </c>
      <c r="AR244" s="13" t="n">
        <f aca="false">IF(ISBLANK(Actuals!AS67),0,Actuals!AS67)</f>
        <v>0</v>
      </c>
      <c r="AS244" s="13" t="n">
        <f aca="false">IF(ISBLANK(Actuals!AT67),0,Actuals!AT67)</f>
        <v>0</v>
      </c>
      <c r="AT244" s="13" t="n">
        <f aca="false">IF(ISBLANK(Actuals!AU67),0,Actuals!AU67)</f>
        <v>0</v>
      </c>
      <c r="AU244" s="13" t="n">
        <f aca="false">IF(ISBLANK(Actuals!AV67),0,Actuals!AV67)</f>
        <v>0</v>
      </c>
      <c r="AV244" s="13" t="n">
        <f aca="false">IF(ISBLANK(Actuals!AW67),0,Actuals!AW67)</f>
        <v>0</v>
      </c>
      <c r="AW244" s="13" t="n">
        <f aca="false">IF(ISBLANK(Actuals!AX67),0,Actuals!AX67)</f>
        <v>0</v>
      </c>
      <c r="AX244" s="13" t="n">
        <f aca="false">IF(ISBLANK(Actuals!AY67),0,Actuals!AY67)</f>
        <v>0</v>
      </c>
      <c r="AY244" s="13" t="n">
        <f aca="false">IF(ISBLANK(Actuals!AZ67),0,Actuals!AZ67)</f>
        <v>0</v>
      </c>
      <c r="AZ244" s="13" t="n">
        <f aca="false">IF(ISBLANK(Actuals!BA67),0,Actuals!BA67)</f>
        <v>0</v>
      </c>
      <c r="BA244" s="13" t="n">
        <f aca="false">IF(ISBLANK(Actuals!BB67),0,Actuals!BB67)</f>
        <v>0</v>
      </c>
      <c r="BB244" s="13" t="n">
        <f aca="false">IF(ISBLANK(Actuals!BC67),0,Actuals!BC67)</f>
        <v>0</v>
      </c>
      <c r="BC244" s="13" t="n">
        <f aca="false">IF(ISBLANK(Actuals!BD67),0,Actuals!BD67)</f>
        <v>0</v>
      </c>
      <c r="BD244" s="13" t="n">
        <f aca="false">IF(ISBLANK(Actuals!BE67),0,Actuals!BE67)</f>
        <v>0</v>
      </c>
      <c r="BE244" s="13" t="n">
        <f aca="false">IF(ISBLANK(Actuals!BF67),0,Actuals!BF67)</f>
        <v>0</v>
      </c>
      <c r="BF244" s="13" t="n">
        <f aca="false">IF(ISBLANK(Actuals!BG67),0,Actuals!BG67)</f>
        <v>0</v>
      </c>
      <c r="BG244" s="13" t="n">
        <f aca="false">IF(ISBLANK(Actuals!BH67),0,Actuals!BH67)</f>
        <v>0</v>
      </c>
      <c r="BH244" s="13" t="n">
        <f aca="false">IF(ISBLANK(Actuals!BI67),0,Actuals!BI67)</f>
        <v>0</v>
      </c>
      <c r="BI244" s="13" t="n">
        <f aca="false">IF(ISBLANK(Actuals!BJ67),0,Actuals!BJ67)</f>
        <v>0</v>
      </c>
      <c r="BJ244" s="13" t="n">
        <f aca="false">IF(ISBLANK(Actuals!BK67),0,Actuals!BK67)</f>
        <v>0</v>
      </c>
      <c r="BK244" s="13" t="n">
        <f aca="false">IF(ISBLANK(Actuals!BL67),0,Actuals!BL67)</f>
        <v>0</v>
      </c>
      <c r="BL244" s="13" t="n">
        <f aca="false">IF(ISBLANK(Actuals!BM67),0,Actuals!BM67)</f>
        <v>0</v>
      </c>
      <c r="BM244" s="13" t="n">
        <f aca="false">IF(ISBLANK(Actuals!BN67),0,Actuals!BN67)</f>
        <v>0</v>
      </c>
      <c r="BN244" s="13" t="n">
        <f aca="false">IF(ISBLANK(Actuals!BO67),0,Actuals!BO67)</f>
        <v>0</v>
      </c>
      <c r="BO244" s="13" t="n">
        <f aca="false">IF(ISBLANK(Actuals!BP67),0,Actuals!BP67)</f>
        <v>0</v>
      </c>
      <c r="BP244" s="13" t="n">
        <f aca="false">IF(ISBLANK(Actuals!BQ67),0,Actuals!BQ67)</f>
        <v>0</v>
      </c>
      <c r="BQ244" s="13" t="n">
        <f aca="false">IF(ISBLANK(Actuals!BR67),0,Actuals!BR67)</f>
        <v>0</v>
      </c>
      <c r="BR244" s="13" t="n">
        <f aca="false">IF(ISBLANK(Actuals!BS67),0,Actuals!BS67)</f>
        <v>0</v>
      </c>
      <c r="BS244" s="13" t="n">
        <f aca="false">IF(ISBLANK(Actuals!BT67),0,Actuals!BT67)</f>
        <v>0</v>
      </c>
      <c r="BT244" s="13" t="n">
        <f aca="false">IF(ISBLANK(Actuals!BU67),0,Actuals!BU67)</f>
        <v>0</v>
      </c>
      <c r="BU244" s="13" t="n">
        <f aca="false">IF(ISBLANK(Actuals!BV67),0,Actuals!BV67)</f>
        <v>0</v>
      </c>
      <c r="BV244" s="13" t="n">
        <f aca="false">IF(ISBLANK(Actuals!BW67),0,Actuals!BW67)</f>
        <v>0</v>
      </c>
      <c r="BW244" s="13" t="n">
        <f aca="false">IF(ISBLANK(Actuals!BX67),0,Actuals!BX67)</f>
        <v>0</v>
      </c>
      <c r="BX244" s="13" t="n">
        <f aca="false">IF(ISBLANK(Actuals!BY67),0,Actuals!BY67)</f>
        <v>0</v>
      </c>
      <c r="BY244" s="13" t="n">
        <f aca="false">IF(ISBLANK(Actuals!BZ67),0,Actuals!BZ67)</f>
        <v>0</v>
      </c>
      <c r="BZ244" s="13" t="n">
        <f aca="false">IF(ISBLANK(Actuals!CA67),0,Actuals!CA67)</f>
        <v>0</v>
      </c>
      <c r="CA244" s="13" t="n">
        <f aca="false">IF(ISBLANK(Actuals!CB67),0,Actuals!CB67)</f>
        <v>0</v>
      </c>
      <c r="CB244" s="13" t="n">
        <f aca="false">IF(ISBLANK(Actuals!CC67),0,Actuals!CC67)</f>
        <v>0</v>
      </c>
      <c r="CC244" s="13" t="n">
        <f aca="false">IF(ISBLANK(Actuals!CD67),0,Actuals!CD67)</f>
        <v>0</v>
      </c>
      <c r="CD244" s="13" t="n">
        <f aca="false">IF(ISBLANK(Actuals!CE67),0,Actuals!CE67)</f>
        <v>0</v>
      </c>
      <c r="CE244" s="13" t="n">
        <f aca="false">IF(ISBLANK(Actuals!CF67),0,Actuals!CF67)</f>
        <v>0</v>
      </c>
      <c r="CF244" s="13" t="n">
        <f aca="false">IF(ISBLANK(Actuals!CG67),0,Actuals!CG67)</f>
        <v>0</v>
      </c>
      <c r="CG244" s="13" t="n">
        <f aca="false">IF(ISBLANK(Actuals!CH67),0,Actuals!CH67)</f>
        <v>0</v>
      </c>
      <c r="CH244" s="13" t="n">
        <f aca="false">IF(ISBLANK(Actuals!CI67),0,Actuals!CI67)</f>
        <v>0</v>
      </c>
      <c r="CI244" s="13" t="n">
        <f aca="false">IF(ISBLANK(Actuals!CJ67),0,Actuals!CJ67)</f>
        <v>0</v>
      </c>
      <c r="CJ244" s="13" t="n">
        <f aca="false">IF(ISBLANK(Actuals!CK67),0,Actuals!CK67)</f>
        <v>0</v>
      </c>
      <c r="CK244" s="13" t="n">
        <f aca="false">IF(ISBLANK(Actuals!CL67),0,Actuals!CL67)</f>
        <v>0</v>
      </c>
      <c r="CL244" s="13" t="n">
        <f aca="false">IF(ISBLANK(Actuals!CM67),0,Actuals!CM67)</f>
        <v>0</v>
      </c>
      <c r="CM244" s="13" t="n">
        <f aca="false">IF(ISBLANK(Actuals!CN67),0,Actuals!CN67)</f>
        <v>0</v>
      </c>
      <c r="CN244" s="13" t="n">
        <f aca="false">IF(ISBLANK(Actuals!CO67),0,Actuals!CO67)</f>
        <v>0</v>
      </c>
      <c r="CO244" s="13" t="n">
        <f aca="false">IF(ISBLANK(Actuals!CP67),0,Actuals!CP67)</f>
        <v>0</v>
      </c>
      <c r="CP244" s="13" t="n">
        <f aca="false">IF(ISBLANK(Actuals!CQ67),0,Actuals!CQ67)</f>
        <v>0</v>
      </c>
      <c r="CQ244" s="13" t="n">
        <f aca="false">IF(ISBLANK(Actuals!CR67),0,Actuals!CR67)</f>
        <v>0</v>
      </c>
      <c r="CR244" s="13" t="n">
        <f aca="false">IF(ISBLANK(Actuals!CS67),0,Actuals!CS67)</f>
        <v>0</v>
      </c>
      <c r="CS244" s="13" t="n">
        <f aca="false">IF(ISBLANK(Actuals!CT67),0,Actuals!CT67)</f>
        <v>0</v>
      </c>
      <c r="CT244" s="13" t="n">
        <f aca="false">IF(ISBLANK(Actuals!CU67),0,Actuals!CU67)</f>
        <v>0</v>
      </c>
      <c r="CU244" s="13" t="n">
        <f aca="false">IF(ISBLANK(Actuals!CV67),0,Actuals!CV67)</f>
        <v>0</v>
      </c>
      <c r="CV244" s="13" t="n">
        <f aca="false">IF(ISBLANK(Actuals!CW67),0,Actuals!CW67)</f>
        <v>0</v>
      </c>
      <c r="CW244" s="13" t="n">
        <f aca="false">IF(ISBLANK(Actuals!CX67),0,Actuals!CX67)</f>
        <v>0</v>
      </c>
      <c r="CX244" s="13" t="n">
        <f aca="false">IF(ISBLANK(Actuals!CY67),0,Actuals!CY67)</f>
        <v>0</v>
      </c>
      <c r="CY244" s="13" t="n">
        <f aca="false">IF(ISBLANK(Actuals!CZ67),0,Actuals!CZ67)</f>
        <v>0</v>
      </c>
      <c r="CZ244" s="13" t="n">
        <f aca="false">IF(ISBLANK(Actuals!DA67),0,Actuals!DA67)</f>
        <v>0</v>
      </c>
      <c r="DA244" s="13" t="n">
        <f aca="false">IF(ISBLANK(Actuals!DB67),0,Actuals!DB67)</f>
        <v>0</v>
      </c>
      <c r="DB244" s="13" t="n">
        <f aca="false">IF(ISBLANK(Actuals!DC67),0,Actuals!DC67)</f>
        <v>0</v>
      </c>
      <c r="DC244" s="13" t="n">
        <f aca="false">IF(ISBLANK(Actuals!DD67),0,Actuals!DD67)</f>
        <v>0</v>
      </c>
      <c r="DD244" s="13" t="n">
        <f aca="false">IF(ISBLANK(Actuals!DE67),0,Actuals!DE67)</f>
        <v>0</v>
      </c>
      <c r="DE244" s="13" t="n">
        <f aca="false">IF(ISBLANK(Actuals!DF67),0,Actuals!DF67)</f>
        <v>0</v>
      </c>
    </row>
    <row r="245" customFormat="false" ht="15" hidden="false" customHeight="true" outlineLevel="0" collapsed="false">
      <c r="A245" s="22" t="s">
        <v>105</v>
      </c>
      <c r="B245" s="13" t="n">
        <f aca="false">IF(ISBLANK(Actuals!C68),0,Actuals!C68)</f>
        <v>0</v>
      </c>
      <c r="C245" s="13" t="n">
        <f aca="false">IF(ISBLANK(Actuals!D68),0,Actuals!D68)</f>
        <v>0</v>
      </c>
      <c r="D245" s="13" t="n">
        <f aca="false">IF(ISBLANK(Actuals!E68),0,Actuals!E68)</f>
        <v>0</v>
      </c>
      <c r="E245" s="13" t="n">
        <f aca="false">IF(ISBLANK(Actuals!F68),0,Actuals!F68)</f>
        <v>0</v>
      </c>
      <c r="F245" s="13" t="n">
        <f aca="false">IF(ISBLANK(Actuals!G68),0,Actuals!G68)</f>
        <v>0</v>
      </c>
      <c r="G245" s="13" t="n">
        <f aca="false">IF(ISBLANK(Actuals!H68),0,Actuals!H68)</f>
        <v>0</v>
      </c>
      <c r="H245" s="13" t="n">
        <f aca="false">IF(ISBLANK(Actuals!I68),0,Actuals!I68)</f>
        <v>0</v>
      </c>
      <c r="I245" s="13" t="n">
        <f aca="false">IF(ISBLANK(Actuals!J68),0,Actuals!J68)</f>
        <v>0</v>
      </c>
      <c r="J245" s="13" t="n">
        <f aca="false">IF(ISBLANK(Actuals!K68),0,Actuals!K68)</f>
        <v>0</v>
      </c>
      <c r="K245" s="13" t="n">
        <f aca="false">IF(ISBLANK(Actuals!L68),0,Actuals!L68)</f>
        <v>0</v>
      </c>
      <c r="L245" s="13" t="n">
        <f aca="false">IF(ISBLANK(Actuals!M68),0,Actuals!M68)</f>
        <v>0</v>
      </c>
      <c r="M245" s="13" t="n">
        <f aca="false">IF(ISBLANK(Actuals!N68),0,Actuals!N68)</f>
        <v>0</v>
      </c>
      <c r="N245" s="13" t="n">
        <f aca="false">IF(ISBLANK(Actuals!O68),0,Actuals!O68)</f>
        <v>0</v>
      </c>
      <c r="O245" s="13" t="n">
        <f aca="false">IF(ISBLANK(Actuals!P68),0,Actuals!P68)</f>
        <v>0</v>
      </c>
      <c r="P245" s="13" t="n">
        <f aca="false">IF(ISBLANK(Actuals!Q68),0,Actuals!Q68)</f>
        <v>0</v>
      </c>
      <c r="Q245" s="13" t="n">
        <f aca="false">IF(ISBLANK(Actuals!R68),0,Actuals!R68)</f>
        <v>0</v>
      </c>
      <c r="R245" s="13" t="n">
        <f aca="false">IF(ISBLANK(Actuals!S68),0,Actuals!S68)</f>
        <v>0</v>
      </c>
      <c r="S245" s="13" t="n">
        <f aca="false">IF(ISBLANK(Actuals!T68),0,Actuals!T68)</f>
        <v>0</v>
      </c>
      <c r="T245" s="13" t="n">
        <f aca="false">IF(ISBLANK(Actuals!U68),0,Actuals!U68)</f>
        <v>0</v>
      </c>
      <c r="U245" s="13" t="n">
        <f aca="false">IF(ISBLANK(Actuals!V68),0,Actuals!V68)</f>
        <v>0</v>
      </c>
      <c r="V245" s="13" t="n">
        <f aca="false">IF(ISBLANK(Actuals!W68),0,Actuals!W68)</f>
        <v>0</v>
      </c>
      <c r="W245" s="13" t="n">
        <f aca="false">IF(ISBLANK(Actuals!X68),0,Actuals!X68)</f>
        <v>0</v>
      </c>
      <c r="X245" s="13" t="n">
        <f aca="false">IF(ISBLANK(Actuals!Y68),0,Actuals!Y68)</f>
        <v>0</v>
      </c>
      <c r="Y245" s="13" t="n">
        <f aca="false">IF(ISBLANK(Actuals!Z68),0,Actuals!Z68)</f>
        <v>0</v>
      </c>
      <c r="Z245" s="13" t="n">
        <f aca="false">IF(ISBLANK(Actuals!AA68),0,Actuals!AA68)</f>
        <v>0</v>
      </c>
      <c r="AA245" s="13" t="n">
        <f aca="false">IF(ISBLANK(Actuals!AB68),0,Actuals!AB68)</f>
        <v>0</v>
      </c>
      <c r="AB245" s="13" t="n">
        <f aca="false">IF(ISBLANK(Actuals!AC68),0,Actuals!AC68)</f>
        <v>0</v>
      </c>
      <c r="AC245" s="13" t="n">
        <f aca="false">IF(ISBLANK(Actuals!AD68),0,Actuals!AD68)</f>
        <v>0</v>
      </c>
      <c r="AD245" s="13" t="n">
        <f aca="false">IF(ISBLANK(Actuals!AE68),0,Actuals!AE68)</f>
        <v>0</v>
      </c>
      <c r="AE245" s="13" t="n">
        <f aca="false">IF(ISBLANK(Actuals!AF68),IF(Projects!$G$3="Yes",57375,0),Actuals!AF68)</f>
        <v>57375</v>
      </c>
      <c r="AF245" s="13" t="n">
        <f aca="false">IF(ISBLANK(Actuals!AG68),0,Actuals!AG68)</f>
        <v>0</v>
      </c>
      <c r="AG245" s="13" t="n">
        <f aca="false">IF(ISBLANK(Actuals!AH68),0,Actuals!AH68)</f>
        <v>0</v>
      </c>
      <c r="AH245" s="13" t="n">
        <f aca="false">IF(ISBLANK(Actuals!AI68),0,Actuals!AI68)</f>
        <v>0</v>
      </c>
      <c r="AI245" s="13" t="n">
        <f aca="false">IF(ISBLANK(Actuals!AJ68),0,Actuals!AJ68)</f>
        <v>0</v>
      </c>
      <c r="AJ245" s="13" t="n">
        <f aca="false">IF(ISBLANK(Actuals!AK68),0,Actuals!AK68)</f>
        <v>0</v>
      </c>
      <c r="AK245" s="13" t="n">
        <f aca="false">IF(ISBLANK(Actuals!AL68),0,Actuals!AL68)</f>
        <v>0</v>
      </c>
      <c r="AL245" s="13" t="n">
        <f aca="false">IF(ISBLANK(Actuals!AM68),0,Actuals!AM68)</f>
        <v>0</v>
      </c>
      <c r="AM245" s="13" t="n">
        <f aca="false">IF(ISBLANK(Actuals!AN68),0,Actuals!AN68)</f>
        <v>0</v>
      </c>
      <c r="AN245" s="13" t="n">
        <f aca="false">IF(ISBLANK(Actuals!AO68),0,Actuals!AO68)</f>
        <v>0</v>
      </c>
      <c r="AO245" s="13" t="n">
        <f aca="false">IF(ISBLANK(Actuals!AP68),0,Actuals!AP68)</f>
        <v>0</v>
      </c>
      <c r="AP245" s="13" t="n">
        <f aca="false">IF(ISBLANK(Actuals!AQ68),0,Actuals!AQ68)</f>
        <v>0</v>
      </c>
      <c r="AQ245" s="13" t="n">
        <f aca="false">IF(ISBLANK(Actuals!AR68),0,Actuals!AR68)</f>
        <v>0</v>
      </c>
      <c r="AR245" s="13" t="n">
        <f aca="false">IF(ISBLANK(Actuals!AS68),0,Actuals!AS68)</f>
        <v>0</v>
      </c>
      <c r="AS245" s="13" t="n">
        <f aca="false">IF(ISBLANK(Actuals!AT68),0,Actuals!AT68)</f>
        <v>0</v>
      </c>
      <c r="AT245" s="13" t="n">
        <f aca="false">IF(ISBLANK(Actuals!AU68),0,Actuals!AU68)</f>
        <v>0</v>
      </c>
      <c r="AU245" s="13" t="n">
        <f aca="false">IF(ISBLANK(Actuals!AV68),0,Actuals!AV68)</f>
        <v>0</v>
      </c>
      <c r="AV245" s="13" t="n">
        <f aca="false">IF(ISBLANK(Actuals!AW68),0,Actuals!AW68)</f>
        <v>0</v>
      </c>
      <c r="AW245" s="13" t="n">
        <f aca="false">IF(ISBLANK(Actuals!AX68),0,Actuals!AX68)</f>
        <v>0</v>
      </c>
      <c r="AX245" s="13" t="n">
        <f aca="false">IF(ISBLANK(Actuals!AY68),0,Actuals!AY68)</f>
        <v>0</v>
      </c>
      <c r="AY245" s="13" t="n">
        <f aca="false">IF(ISBLANK(Actuals!AZ68),0,Actuals!AZ68)</f>
        <v>0</v>
      </c>
      <c r="AZ245" s="13" t="n">
        <f aca="false">IF(ISBLANK(Actuals!BA68),0,Actuals!BA68)</f>
        <v>0</v>
      </c>
      <c r="BA245" s="13" t="n">
        <f aca="false">IF(ISBLANK(Actuals!BB68),0,Actuals!BB68)</f>
        <v>0</v>
      </c>
      <c r="BB245" s="13" t="n">
        <f aca="false">IF(ISBLANK(Actuals!BC68),0,Actuals!BC68)</f>
        <v>0</v>
      </c>
      <c r="BC245" s="13" t="n">
        <f aca="false">IF(ISBLANK(Actuals!BD68),0,Actuals!BD68)</f>
        <v>0</v>
      </c>
      <c r="BD245" s="13" t="n">
        <f aca="false">IF(ISBLANK(Actuals!BE68),0,Actuals!BE68)</f>
        <v>0</v>
      </c>
      <c r="BE245" s="13" t="n">
        <f aca="false">IF(ISBLANK(Actuals!BF68),0,Actuals!BF68)</f>
        <v>0</v>
      </c>
      <c r="BF245" s="13" t="n">
        <f aca="false">IF(ISBLANK(Actuals!BG68),0,Actuals!BG68)</f>
        <v>0</v>
      </c>
      <c r="BG245" s="13" t="n">
        <f aca="false">IF(ISBLANK(Actuals!BH68),0,Actuals!BH68)</f>
        <v>0</v>
      </c>
      <c r="BH245" s="13" t="n">
        <f aca="false">IF(ISBLANK(Actuals!BI68),0,Actuals!BI68)</f>
        <v>0</v>
      </c>
      <c r="BI245" s="13" t="n">
        <f aca="false">IF(ISBLANK(Actuals!BJ68),0,Actuals!BJ68)</f>
        <v>0</v>
      </c>
      <c r="BJ245" s="13" t="n">
        <f aca="false">IF(ISBLANK(Actuals!BK68),0,Actuals!BK68)</f>
        <v>0</v>
      </c>
      <c r="BK245" s="13" t="n">
        <f aca="false">IF(ISBLANK(Actuals!BL68),0,Actuals!BL68)</f>
        <v>0</v>
      </c>
      <c r="BL245" s="13" t="n">
        <f aca="false">IF(ISBLANK(Actuals!BM68),0,Actuals!BM68)</f>
        <v>0</v>
      </c>
      <c r="BM245" s="13" t="n">
        <f aca="false">IF(ISBLANK(Actuals!BN68),0,Actuals!BN68)</f>
        <v>0</v>
      </c>
      <c r="BN245" s="13" t="n">
        <f aca="false">IF(ISBLANK(Actuals!BO68),0,Actuals!BO68)</f>
        <v>0</v>
      </c>
      <c r="BO245" s="13" t="n">
        <f aca="false">IF(ISBLANK(Actuals!BP68),0,Actuals!BP68)</f>
        <v>0</v>
      </c>
      <c r="BP245" s="13" t="n">
        <f aca="false">IF(ISBLANK(Actuals!BQ68),0,Actuals!BQ68)</f>
        <v>0</v>
      </c>
      <c r="BQ245" s="13" t="n">
        <f aca="false">IF(ISBLANK(Actuals!BR68),0,Actuals!BR68)</f>
        <v>0</v>
      </c>
      <c r="BR245" s="13" t="n">
        <f aca="false">IF(ISBLANK(Actuals!BS68),0,Actuals!BS68)</f>
        <v>0</v>
      </c>
      <c r="BS245" s="13" t="n">
        <f aca="false">IF(ISBLANK(Actuals!BT68),0,Actuals!BT68)</f>
        <v>0</v>
      </c>
      <c r="BT245" s="13" t="n">
        <f aca="false">IF(ISBLANK(Actuals!BU68),0,Actuals!BU68)</f>
        <v>0</v>
      </c>
      <c r="BU245" s="13" t="n">
        <f aca="false">IF(ISBLANK(Actuals!BV68),0,Actuals!BV68)</f>
        <v>0</v>
      </c>
      <c r="BV245" s="13" t="n">
        <f aca="false">IF(ISBLANK(Actuals!BW68),0,Actuals!BW68)</f>
        <v>0</v>
      </c>
      <c r="BW245" s="13" t="n">
        <f aca="false">IF(ISBLANK(Actuals!BX68),0,Actuals!BX68)</f>
        <v>0</v>
      </c>
      <c r="BX245" s="13" t="n">
        <f aca="false">IF(ISBLANK(Actuals!BY68),0,Actuals!BY68)</f>
        <v>0</v>
      </c>
      <c r="BY245" s="13" t="n">
        <f aca="false">IF(ISBLANK(Actuals!BZ68),0,Actuals!BZ68)</f>
        <v>0</v>
      </c>
      <c r="BZ245" s="13" t="n">
        <f aca="false">IF(ISBLANK(Actuals!CA68),0,Actuals!CA68)</f>
        <v>0</v>
      </c>
      <c r="CA245" s="13" t="n">
        <f aca="false">IF(ISBLANK(Actuals!CB68),0,Actuals!CB68)</f>
        <v>0</v>
      </c>
      <c r="CB245" s="13" t="n">
        <f aca="false">IF(ISBLANK(Actuals!CC68),0,Actuals!CC68)</f>
        <v>0</v>
      </c>
      <c r="CC245" s="13" t="n">
        <f aca="false">IF(ISBLANK(Actuals!CD68),0,Actuals!CD68)</f>
        <v>0</v>
      </c>
      <c r="CD245" s="13" t="n">
        <f aca="false">IF(ISBLANK(Actuals!CE68),0,Actuals!CE68)</f>
        <v>0</v>
      </c>
      <c r="CE245" s="13" t="n">
        <f aca="false">IF(ISBLANK(Actuals!CF68),0,Actuals!CF68)</f>
        <v>0</v>
      </c>
      <c r="CF245" s="13" t="n">
        <f aca="false">IF(ISBLANK(Actuals!CG68),0,Actuals!CG68)</f>
        <v>0</v>
      </c>
      <c r="CG245" s="13" t="n">
        <f aca="false">IF(ISBLANK(Actuals!CH68),0,Actuals!CH68)</f>
        <v>0</v>
      </c>
      <c r="CH245" s="13" t="n">
        <f aca="false">IF(ISBLANK(Actuals!CI68),0,Actuals!CI68)</f>
        <v>0</v>
      </c>
      <c r="CI245" s="13" t="n">
        <f aca="false">IF(ISBLANK(Actuals!CJ68),0,Actuals!CJ68)</f>
        <v>0</v>
      </c>
      <c r="CJ245" s="13" t="n">
        <f aca="false">IF(ISBLANK(Actuals!CK68),0,Actuals!CK68)</f>
        <v>0</v>
      </c>
      <c r="CK245" s="13" t="n">
        <f aca="false">IF(ISBLANK(Actuals!CL68),0,Actuals!CL68)</f>
        <v>0</v>
      </c>
      <c r="CL245" s="13" t="n">
        <f aca="false">IF(ISBLANK(Actuals!CM68),0,Actuals!CM68)</f>
        <v>0</v>
      </c>
      <c r="CM245" s="13" t="n">
        <f aca="false">IF(ISBLANK(Actuals!CN68),0,Actuals!CN68)</f>
        <v>0</v>
      </c>
      <c r="CN245" s="13" t="n">
        <f aca="false">IF(ISBLANK(Actuals!CO68),0,Actuals!CO68)</f>
        <v>0</v>
      </c>
      <c r="CO245" s="13" t="n">
        <f aca="false">IF(ISBLANK(Actuals!CP68),0,Actuals!CP68)</f>
        <v>0</v>
      </c>
      <c r="CP245" s="13" t="n">
        <f aca="false">IF(ISBLANK(Actuals!CQ68),0,Actuals!CQ68)</f>
        <v>0</v>
      </c>
      <c r="CQ245" s="13" t="n">
        <f aca="false">IF(ISBLANK(Actuals!CR68),0,Actuals!CR68)</f>
        <v>0</v>
      </c>
      <c r="CR245" s="13" t="n">
        <f aca="false">IF(ISBLANK(Actuals!CS68),0,Actuals!CS68)</f>
        <v>0</v>
      </c>
      <c r="CS245" s="13" t="n">
        <f aca="false">IF(ISBLANK(Actuals!CT68),0,Actuals!CT68)</f>
        <v>0</v>
      </c>
      <c r="CT245" s="13" t="n">
        <f aca="false">IF(ISBLANK(Actuals!CU68),0,Actuals!CU68)</f>
        <v>0</v>
      </c>
      <c r="CU245" s="13" t="n">
        <f aca="false">IF(ISBLANK(Actuals!CV68),0,Actuals!CV68)</f>
        <v>0</v>
      </c>
      <c r="CV245" s="13" t="n">
        <f aca="false">IF(ISBLANK(Actuals!CW68),0,Actuals!CW68)</f>
        <v>0</v>
      </c>
      <c r="CW245" s="13" t="n">
        <f aca="false">IF(ISBLANK(Actuals!CX68),0,Actuals!CX68)</f>
        <v>0</v>
      </c>
      <c r="CX245" s="13" t="n">
        <f aca="false">IF(ISBLANK(Actuals!CY68),0,Actuals!CY68)</f>
        <v>0</v>
      </c>
      <c r="CY245" s="13" t="n">
        <f aca="false">IF(ISBLANK(Actuals!CZ68),0,Actuals!CZ68)</f>
        <v>0</v>
      </c>
      <c r="CZ245" s="13" t="n">
        <f aca="false">IF(ISBLANK(Actuals!DA68),0,Actuals!DA68)</f>
        <v>0</v>
      </c>
      <c r="DA245" s="13" t="n">
        <f aca="false">IF(ISBLANK(Actuals!DB68),0,Actuals!DB68)</f>
        <v>0</v>
      </c>
      <c r="DB245" s="13" t="n">
        <f aca="false">IF(ISBLANK(Actuals!DC68),0,Actuals!DC68)</f>
        <v>0</v>
      </c>
      <c r="DC245" s="13" t="n">
        <f aca="false">IF(ISBLANK(Actuals!DD68),0,Actuals!DD68)</f>
        <v>0</v>
      </c>
      <c r="DD245" s="13" t="n">
        <f aca="false">IF(ISBLANK(Actuals!DE68),0,Actuals!DE68)</f>
        <v>0</v>
      </c>
      <c r="DE245" s="13" t="n">
        <f aca="false">IF(ISBLANK(Actuals!DF68),0,Actuals!DF68)</f>
        <v>0</v>
      </c>
    </row>
    <row r="246" customFormat="false" ht="15" hidden="false" customHeight="true" outlineLevel="0" collapsed="false">
      <c r="A246" s="22" t="s">
        <v>106</v>
      </c>
      <c r="B246" s="13" t="n">
        <f aca="false">IF(ISBLANK(Actuals!C69),0,Actuals!C69)</f>
        <v>9375</v>
      </c>
      <c r="C246" s="13" t="n">
        <f aca="false">IF(ISBLANK(Actuals!D69),0,Actuals!D69)</f>
        <v>9375</v>
      </c>
      <c r="D246" s="13" t="n">
        <f aca="false">IF(ISBLANK(Actuals!E69),0,Actuals!E69)</f>
        <v>9375</v>
      </c>
      <c r="E246" s="13" t="n">
        <f aca="false">IF(ISBLANK(Actuals!F69),IF(Projects!$G$2="Yes",9375,0),Actuals!F69)</f>
        <v>9375</v>
      </c>
      <c r="F246" s="13" t="n">
        <f aca="false">IF(ISBLANK(Actuals!G69),IF(Projects!$G$2="Yes",9375,0),Actuals!G69)</f>
        <v>9375</v>
      </c>
      <c r="G246" s="13" t="n">
        <f aca="false">IF(ISBLANK(Actuals!H69),IF(Projects!$G$2="Yes",9375,0),Actuals!H69)</f>
        <v>9375</v>
      </c>
      <c r="H246" s="13" t="n">
        <f aca="false">IF(ISBLANK(Actuals!I69),IF(Projects!$G$2="Yes",9375,0),Actuals!I69)</f>
        <v>9375</v>
      </c>
      <c r="I246" s="13" t="n">
        <f aca="false">IF(ISBLANK(Actuals!J69),IF(Projects!$G$2="Yes",9375,0),Actuals!J69)</f>
        <v>9375</v>
      </c>
      <c r="J246" s="13" t="n">
        <f aca="false">IF(ISBLANK(Actuals!K69),IF(Projects!$G$2="Yes",9375,0),Actuals!K69)</f>
        <v>9375</v>
      </c>
      <c r="K246" s="13" t="n">
        <f aca="false">IF(ISBLANK(Actuals!L69),IF(Projects!$G$2="Yes",9375,0),Actuals!L69)</f>
        <v>9375</v>
      </c>
      <c r="L246" s="13" t="n">
        <f aca="false">IF(ISBLANK(Actuals!M69),0,Actuals!M69)</f>
        <v>0</v>
      </c>
      <c r="M246" s="13" t="n">
        <f aca="false">IF(ISBLANK(Actuals!N69),0,Actuals!N69)</f>
        <v>0</v>
      </c>
      <c r="N246" s="13" t="n">
        <f aca="false">IF(ISBLANK(Actuals!O69),0,Actuals!O69)</f>
        <v>0</v>
      </c>
      <c r="O246" s="13" t="n">
        <f aca="false">IF(ISBLANK(Actuals!P69),0,Actuals!P69)</f>
        <v>0</v>
      </c>
      <c r="P246" s="13" t="n">
        <f aca="false">IF(ISBLANK(Actuals!Q69),0,Actuals!Q69)</f>
        <v>0</v>
      </c>
      <c r="Q246" s="13" t="n">
        <f aca="false">IF(ISBLANK(Actuals!R69),0,Actuals!R69)</f>
        <v>0</v>
      </c>
      <c r="R246" s="13" t="n">
        <f aca="false">IF(ISBLANK(Actuals!S69),0,Actuals!S69)</f>
        <v>0</v>
      </c>
      <c r="S246" s="13" t="n">
        <f aca="false">IF(ISBLANK(Actuals!T69),0,Actuals!T69)</f>
        <v>0</v>
      </c>
      <c r="T246" s="13" t="n">
        <f aca="false">IF(ISBLANK(Actuals!U69),0,Actuals!U69)</f>
        <v>0</v>
      </c>
      <c r="U246" s="13" t="n">
        <f aca="false">IF(ISBLANK(Actuals!V69),0,Actuals!V69)</f>
        <v>0</v>
      </c>
      <c r="V246" s="13" t="n">
        <f aca="false">IF(ISBLANK(Actuals!W69),0,Actuals!W69)</f>
        <v>0</v>
      </c>
      <c r="W246" s="13" t="n">
        <f aca="false">IF(ISBLANK(Actuals!X69),0,Actuals!X69)</f>
        <v>0</v>
      </c>
      <c r="X246" s="13" t="n">
        <f aca="false">IF(ISBLANK(Actuals!Y69),0,Actuals!Y69)</f>
        <v>0</v>
      </c>
      <c r="Y246" s="13" t="n">
        <f aca="false">IF(ISBLANK(Actuals!Z69),0,Actuals!Z69)</f>
        <v>0</v>
      </c>
      <c r="Z246" s="13" t="n">
        <f aca="false">IF(ISBLANK(Actuals!AA69),0,Actuals!AA69)</f>
        <v>0</v>
      </c>
      <c r="AA246" s="13" t="n">
        <f aca="false">IF(ISBLANK(Actuals!AB69),0,Actuals!AB69)</f>
        <v>0</v>
      </c>
      <c r="AB246" s="13" t="n">
        <f aca="false">IF(ISBLANK(Actuals!AC69),0,Actuals!AC69)</f>
        <v>0</v>
      </c>
      <c r="AC246" s="13" t="n">
        <f aca="false">IF(ISBLANK(Actuals!AD69),0,Actuals!AD69)</f>
        <v>0</v>
      </c>
      <c r="AD246" s="13" t="n">
        <f aca="false">IF(ISBLANK(Actuals!AE69),0,Actuals!AE69)</f>
        <v>0</v>
      </c>
      <c r="AE246" s="13" t="n">
        <f aca="false">IF(ISBLANK(Actuals!AF69),0,Actuals!AF69)</f>
        <v>0</v>
      </c>
      <c r="AF246" s="13" t="n">
        <f aca="false">IF(ISBLANK(Actuals!AG69),0,Actuals!AG69)</f>
        <v>0</v>
      </c>
      <c r="AG246" s="13" t="n">
        <f aca="false">IF(ISBLANK(Actuals!AH69),0,Actuals!AH69)</f>
        <v>0</v>
      </c>
      <c r="AH246" s="13" t="n">
        <f aca="false">IF(ISBLANK(Actuals!AI69),0,Actuals!AI69)</f>
        <v>0</v>
      </c>
      <c r="AI246" s="13" t="n">
        <f aca="false">IF(ISBLANK(Actuals!AJ69),0,Actuals!AJ69)</f>
        <v>0</v>
      </c>
      <c r="AJ246" s="13" t="n">
        <f aca="false">IF(ISBLANK(Actuals!AK69),0,Actuals!AK69)</f>
        <v>0</v>
      </c>
      <c r="AK246" s="13" t="n">
        <f aca="false">IF(ISBLANK(Actuals!AL69),0,Actuals!AL69)</f>
        <v>0</v>
      </c>
      <c r="AL246" s="13" t="n">
        <f aca="false">IF(ISBLANK(Actuals!AM69),0,Actuals!AM69)</f>
        <v>0</v>
      </c>
      <c r="AM246" s="13" t="n">
        <f aca="false">IF(ISBLANK(Actuals!AN69),0,Actuals!AN69)</f>
        <v>0</v>
      </c>
      <c r="AN246" s="13" t="n">
        <f aca="false">IF(ISBLANK(Actuals!AO69),0,Actuals!AO69)</f>
        <v>0</v>
      </c>
      <c r="AO246" s="13" t="n">
        <f aca="false">IF(ISBLANK(Actuals!AP69),0,Actuals!AP69)</f>
        <v>0</v>
      </c>
      <c r="AP246" s="13" t="n">
        <f aca="false">IF(ISBLANK(Actuals!AQ69),0,Actuals!AQ69)</f>
        <v>0</v>
      </c>
      <c r="AQ246" s="13" t="n">
        <f aca="false">IF(ISBLANK(Actuals!AR69),0,Actuals!AR69)</f>
        <v>0</v>
      </c>
      <c r="AR246" s="13" t="n">
        <f aca="false">IF(ISBLANK(Actuals!AS69),0,Actuals!AS69)</f>
        <v>0</v>
      </c>
      <c r="AS246" s="13" t="n">
        <f aca="false">IF(ISBLANK(Actuals!AT69),0,Actuals!AT69)</f>
        <v>0</v>
      </c>
      <c r="AT246" s="13" t="n">
        <f aca="false">IF(ISBLANK(Actuals!AU69),0,Actuals!AU69)</f>
        <v>0</v>
      </c>
      <c r="AU246" s="13" t="n">
        <f aca="false">IF(ISBLANK(Actuals!AV69),0,Actuals!AV69)</f>
        <v>0</v>
      </c>
      <c r="AV246" s="13" t="n">
        <f aca="false">IF(ISBLANK(Actuals!AW69),0,Actuals!AW69)</f>
        <v>0</v>
      </c>
      <c r="AW246" s="13" t="n">
        <f aca="false">IF(ISBLANK(Actuals!AX69),0,Actuals!AX69)</f>
        <v>0</v>
      </c>
      <c r="AX246" s="13" t="n">
        <f aca="false">IF(ISBLANK(Actuals!AY69),0,Actuals!AY69)</f>
        <v>0</v>
      </c>
      <c r="AY246" s="13" t="n">
        <f aca="false">IF(ISBLANK(Actuals!AZ69),0,Actuals!AZ69)</f>
        <v>0</v>
      </c>
      <c r="AZ246" s="13" t="n">
        <f aca="false">IF(ISBLANK(Actuals!BA69),0,Actuals!BA69)</f>
        <v>0</v>
      </c>
      <c r="BA246" s="13" t="n">
        <f aca="false">IF(ISBLANK(Actuals!BB69),0,Actuals!BB69)</f>
        <v>0</v>
      </c>
      <c r="BB246" s="13" t="n">
        <f aca="false">IF(ISBLANK(Actuals!BC69),0,Actuals!BC69)</f>
        <v>0</v>
      </c>
      <c r="BC246" s="13" t="n">
        <f aca="false">IF(ISBLANK(Actuals!BD69),0,Actuals!BD69)</f>
        <v>0</v>
      </c>
      <c r="BD246" s="13" t="n">
        <f aca="false">IF(ISBLANK(Actuals!BE69),0,Actuals!BE69)</f>
        <v>0</v>
      </c>
      <c r="BE246" s="13" t="n">
        <f aca="false">IF(ISBLANK(Actuals!BF69),0,Actuals!BF69)</f>
        <v>0</v>
      </c>
      <c r="BF246" s="13" t="n">
        <f aca="false">IF(ISBLANK(Actuals!BG69),0,Actuals!BG69)</f>
        <v>0</v>
      </c>
      <c r="BG246" s="13" t="n">
        <f aca="false">IF(ISBLANK(Actuals!BH69),0,Actuals!BH69)</f>
        <v>0</v>
      </c>
      <c r="BH246" s="13" t="n">
        <f aca="false">IF(ISBLANK(Actuals!BI69),0,Actuals!BI69)</f>
        <v>0</v>
      </c>
      <c r="BI246" s="13" t="n">
        <f aca="false">IF(ISBLANK(Actuals!BJ69),0,Actuals!BJ69)</f>
        <v>0</v>
      </c>
      <c r="BJ246" s="13" t="n">
        <f aca="false">IF(ISBLANK(Actuals!BK69),0,Actuals!BK69)</f>
        <v>0</v>
      </c>
      <c r="BK246" s="13" t="n">
        <f aca="false">IF(ISBLANK(Actuals!BL69),0,Actuals!BL69)</f>
        <v>0</v>
      </c>
      <c r="BL246" s="13" t="n">
        <f aca="false">IF(ISBLANK(Actuals!BM69),0,Actuals!BM69)</f>
        <v>0</v>
      </c>
      <c r="BM246" s="13" t="n">
        <f aca="false">IF(ISBLANK(Actuals!BN69),0,Actuals!BN69)</f>
        <v>0</v>
      </c>
      <c r="BN246" s="13" t="n">
        <f aca="false">IF(ISBLANK(Actuals!BO69),0,Actuals!BO69)</f>
        <v>0</v>
      </c>
      <c r="BO246" s="13" t="n">
        <f aca="false">IF(ISBLANK(Actuals!BP69),0,Actuals!BP69)</f>
        <v>0</v>
      </c>
      <c r="BP246" s="13" t="n">
        <f aca="false">IF(ISBLANK(Actuals!BQ69),0,Actuals!BQ69)</f>
        <v>0</v>
      </c>
      <c r="BQ246" s="13" t="n">
        <f aca="false">IF(ISBLANK(Actuals!BR69),0,Actuals!BR69)</f>
        <v>0</v>
      </c>
      <c r="BR246" s="13" t="n">
        <f aca="false">IF(ISBLANK(Actuals!BS69),0,Actuals!BS69)</f>
        <v>0</v>
      </c>
      <c r="BS246" s="13" t="n">
        <f aca="false">IF(ISBLANK(Actuals!BT69),0,Actuals!BT69)</f>
        <v>0</v>
      </c>
      <c r="BT246" s="13" t="n">
        <f aca="false">IF(ISBLANK(Actuals!BU69),0,Actuals!BU69)</f>
        <v>0</v>
      </c>
      <c r="BU246" s="13" t="n">
        <f aca="false">IF(ISBLANK(Actuals!BV69),0,Actuals!BV69)</f>
        <v>0</v>
      </c>
      <c r="BV246" s="13" t="n">
        <f aca="false">IF(ISBLANK(Actuals!BW69),0,Actuals!BW69)</f>
        <v>0</v>
      </c>
      <c r="BW246" s="13" t="n">
        <f aca="false">IF(ISBLANK(Actuals!BX69),0,Actuals!BX69)</f>
        <v>0</v>
      </c>
      <c r="BX246" s="13" t="n">
        <f aca="false">IF(ISBLANK(Actuals!BY69),0,Actuals!BY69)</f>
        <v>0</v>
      </c>
      <c r="BY246" s="13" t="n">
        <f aca="false">IF(ISBLANK(Actuals!BZ69),0,Actuals!BZ69)</f>
        <v>0</v>
      </c>
      <c r="BZ246" s="13" t="n">
        <f aca="false">IF(ISBLANK(Actuals!CA69),0,Actuals!CA69)</f>
        <v>0</v>
      </c>
      <c r="CA246" s="13" t="n">
        <f aca="false">IF(ISBLANK(Actuals!CB69),0,Actuals!CB69)</f>
        <v>0</v>
      </c>
      <c r="CB246" s="13" t="n">
        <f aca="false">IF(ISBLANK(Actuals!CC69),0,Actuals!CC69)</f>
        <v>0</v>
      </c>
      <c r="CC246" s="13" t="n">
        <f aca="false">IF(ISBLANK(Actuals!CD69),0,Actuals!CD69)</f>
        <v>0</v>
      </c>
      <c r="CD246" s="13" t="n">
        <f aca="false">IF(ISBLANK(Actuals!CE69),0,Actuals!CE69)</f>
        <v>0</v>
      </c>
      <c r="CE246" s="13" t="n">
        <f aca="false">IF(ISBLANK(Actuals!CF69),0,Actuals!CF69)</f>
        <v>0</v>
      </c>
      <c r="CF246" s="13" t="n">
        <f aca="false">IF(ISBLANK(Actuals!CG69),0,Actuals!CG69)</f>
        <v>0</v>
      </c>
      <c r="CG246" s="13" t="n">
        <f aca="false">IF(ISBLANK(Actuals!CH69),0,Actuals!CH69)</f>
        <v>0</v>
      </c>
      <c r="CH246" s="13" t="n">
        <f aca="false">IF(ISBLANK(Actuals!CI69),0,Actuals!CI69)</f>
        <v>0</v>
      </c>
      <c r="CI246" s="13" t="n">
        <f aca="false">IF(ISBLANK(Actuals!CJ69),0,Actuals!CJ69)</f>
        <v>0</v>
      </c>
      <c r="CJ246" s="13" t="n">
        <f aca="false">IF(ISBLANK(Actuals!CK69),0,Actuals!CK69)</f>
        <v>0</v>
      </c>
      <c r="CK246" s="13" t="n">
        <f aca="false">IF(ISBLANK(Actuals!CL69),0,Actuals!CL69)</f>
        <v>0</v>
      </c>
      <c r="CL246" s="13" t="n">
        <f aca="false">IF(ISBLANK(Actuals!CM69),0,Actuals!CM69)</f>
        <v>0</v>
      </c>
      <c r="CM246" s="13" t="n">
        <f aca="false">IF(ISBLANK(Actuals!CN69),0,Actuals!CN69)</f>
        <v>0</v>
      </c>
      <c r="CN246" s="13" t="n">
        <f aca="false">IF(ISBLANK(Actuals!CO69),0,Actuals!CO69)</f>
        <v>0</v>
      </c>
      <c r="CO246" s="13" t="n">
        <f aca="false">IF(ISBLANK(Actuals!CP69),0,Actuals!CP69)</f>
        <v>0</v>
      </c>
      <c r="CP246" s="13" t="n">
        <f aca="false">IF(ISBLANK(Actuals!CQ69),0,Actuals!CQ69)</f>
        <v>0</v>
      </c>
      <c r="CQ246" s="13" t="n">
        <f aca="false">IF(ISBLANK(Actuals!CR69),0,Actuals!CR69)</f>
        <v>0</v>
      </c>
      <c r="CR246" s="13" t="n">
        <f aca="false">IF(ISBLANK(Actuals!CS69),0,Actuals!CS69)</f>
        <v>0</v>
      </c>
      <c r="CS246" s="13" t="n">
        <f aca="false">IF(ISBLANK(Actuals!CT69),0,Actuals!CT69)</f>
        <v>0</v>
      </c>
      <c r="CT246" s="13" t="n">
        <f aca="false">IF(ISBLANK(Actuals!CU69),0,Actuals!CU69)</f>
        <v>0</v>
      </c>
      <c r="CU246" s="13" t="n">
        <f aca="false">IF(ISBLANK(Actuals!CV69),0,Actuals!CV69)</f>
        <v>0</v>
      </c>
      <c r="CV246" s="13" t="n">
        <f aca="false">IF(ISBLANK(Actuals!CW69),0,Actuals!CW69)</f>
        <v>0</v>
      </c>
      <c r="CW246" s="13" t="n">
        <f aca="false">IF(ISBLANK(Actuals!CX69),0,Actuals!CX69)</f>
        <v>0</v>
      </c>
      <c r="CX246" s="13" t="n">
        <f aca="false">IF(ISBLANK(Actuals!CY69),0,Actuals!CY69)</f>
        <v>0</v>
      </c>
      <c r="CY246" s="13" t="n">
        <f aca="false">IF(ISBLANK(Actuals!CZ69),0,Actuals!CZ69)</f>
        <v>0</v>
      </c>
      <c r="CZ246" s="13" t="n">
        <f aca="false">IF(ISBLANK(Actuals!DA69),0,Actuals!DA69)</f>
        <v>0</v>
      </c>
      <c r="DA246" s="13" t="n">
        <f aca="false">IF(ISBLANK(Actuals!DB69),0,Actuals!DB69)</f>
        <v>0</v>
      </c>
      <c r="DB246" s="13" t="n">
        <f aca="false">IF(ISBLANK(Actuals!DC69),0,Actuals!DC69)</f>
        <v>0</v>
      </c>
      <c r="DC246" s="13" t="n">
        <f aca="false">IF(ISBLANK(Actuals!DD69),0,Actuals!DD69)</f>
        <v>0</v>
      </c>
      <c r="DD246" s="13" t="n">
        <f aca="false">IF(ISBLANK(Actuals!DE69),0,Actuals!DE69)</f>
        <v>0</v>
      </c>
      <c r="DE246" s="13" t="n">
        <f aca="false">IF(ISBLANK(Actuals!DF69),0,Actuals!DF69)</f>
        <v>0</v>
      </c>
    </row>
    <row r="247" customFormat="false" ht="15" hidden="false" customHeight="true" outlineLevel="0" collapsed="false">
      <c r="A247" s="22" t="s">
        <v>107</v>
      </c>
      <c r="B247" s="13" t="n">
        <f aca="false">IF(ISBLANK(Actuals!C70),0,Actuals!C70)</f>
        <v>0</v>
      </c>
      <c r="C247" s="13" t="n">
        <f aca="false">IF(ISBLANK(Actuals!D70),0,Actuals!D70)</f>
        <v>0</v>
      </c>
      <c r="D247" s="13" t="n">
        <f aca="false">IF(ISBLANK(Actuals!E70),0,Actuals!E70)</f>
        <v>0</v>
      </c>
      <c r="E247" s="13" t="n">
        <f aca="false">IF(ISBLANK(Actuals!F70),0,Actuals!F70)</f>
        <v>0</v>
      </c>
      <c r="F247" s="13" t="n">
        <f aca="false">IF(ISBLANK(Actuals!G70),0,Actuals!G70)</f>
        <v>0</v>
      </c>
      <c r="G247" s="13" t="n">
        <f aca="false">IF(ISBLANK(Actuals!H70),0,Actuals!H70)</f>
        <v>0</v>
      </c>
      <c r="H247" s="13" t="n">
        <f aca="false">IF(ISBLANK(Actuals!I70),9500,Actuals!I70)</f>
        <v>44000</v>
      </c>
      <c r="I247" s="13" t="n">
        <f aca="false">IF(ISBLANK(Actuals!J70),9500,Actuals!J70)</f>
        <v>19000</v>
      </c>
      <c r="J247" s="13" t="n">
        <f aca="false">IF(ISBLANK(Actuals!K70),9500,Actuals!K70)</f>
        <v>9500</v>
      </c>
      <c r="K247" s="13" t="n">
        <f aca="false">IF(ISBLANK(Actuals!L70),9500,Actuals!L70)</f>
        <v>9500</v>
      </c>
      <c r="L247" s="13" t="n">
        <f aca="false">IF(ISBLANK(Actuals!M70),9500,Actuals!M70)</f>
        <v>9500</v>
      </c>
      <c r="M247" s="13" t="n">
        <f aca="false">IF(ISBLANK(Actuals!N70),9500,Actuals!N70)</f>
        <v>9500</v>
      </c>
      <c r="N247" s="13" t="n">
        <f aca="false">IF(ISBLANK(Actuals!O70),9500,Actuals!O70)</f>
        <v>9500</v>
      </c>
      <c r="O247" s="13" t="n">
        <f aca="false">IF(ISBLANK(Actuals!P70),9500,Actuals!P70)</f>
        <v>9500</v>
      </c>
      <c r="P247" s="13" t="n">
        <f aca="false">IF(ISBLANK(Actuals!Q70),9500,Actuals!Q70)</f>
        <v>9500</v>
      </c>
      <c r="Q247" s="13" t="n">
        <f aca="false">IF(ISBLANK(Actuals!R70),9500,Actuals!R70)</f>
        <v>9500</v>
      </c>
      <c r="R247" s="13" t="n">
        <f aca="false">IF(ISBLANK(Actuals!S70),9500,Actuals!S70)</f>
        <v>9500</v>
      </c>
      <c r="S247" s="13" t="n">
        <f aca="false">IF(ISBLANK(Actuals!T70),9500,Actuals!T70)</f>
        <v>9500</v>
      </c>
      <c r="T247" s="13" t="n">
        <f aca="false">IF(ISBLANK(Actuals!U70),9500,Actuals!U70)</f>
        <v>9500</v>
      </c>
      <c r="U247" s="13" t="n">
        <f aca="false">IF(ISBLANK(Actuals!V70),9500,Actuals!V70)</f>
        <v>9500</v>
      </c>
      <c r="V247" s="13" t="n">
        <f aca="false">IF(ISBLANK(Actuals!W70),9500,Actuals!W70)</f>
        <v>9500</v>
      </c>
      <c r="W247" s="13" t="n">
        <f aca="false">IF(ISBLANK(Actuals!X70),9500,Actuals!X70)</f>
        <v>9500</v>
      </c>
      <c r="X247" s="13" t="n">
        <f aca="false">IF(ISBLANK(Actuals!Y70),9500,Actuals!Y70)</f>
        <v>9500</v>
      </c>
      <c r="Y247" s="13" t="n">
        <f aca="false">IF(ISBLANK(Actuals!Z70),9500,Actuals!Z70)</f>
        <v>9500</v>
      </c>
      <c r="Z247" s="13" t="n">
        <f aca="false">IF(ISBLANK(Actuals!AA70),9500,Actuals!AA70)</f>
        <v>9500</v>
      </c>
      <c r="AA247" s="13" t="n">
        <f aca="false">IF(ISBLANK(Actuals!AB70),9500,Actuals!AB70)</f>
        <v>9500</v>
      </c>
      <c r="AB247" s="13" t="n">
        <f aca="false">IF(ISBLANK(Actuals!AC70),9500,Actuals!AC70)</f>
        <v>9500</v>
      </c>
      <c r="AC247" s="13" t="n">
        <f aca="false">IF(ISBLANK(Actuals!AD70),9500,Actuals!AD70)</f>
        <v>9500</v>
      </c>
      <c r="AD247" s="13" t="n">
        <f aca="false">IF(ISBLANK(Actuals!AE70),9500,Actuals!AE70)</f>
        <v>9500</v>
      </c>
      <c r="AE247" s="13" t="n">
        <f aca="false">IF(ISBLANK(Actuals!AF70),9500,Actuals!AF70)</f>
        <v>9500</v>
      </c>
      <c r="AF247" s="13" t="n">
        <f aca="false">IF(ISBLANK(Actuals!AG70),9500,Actuals!AG70)</f>
        <v>9500</v>
      </c>
      <c r="AG247" s="13" t="n">
        <f aca="false">IF(ISBLANK(Actuals!AH70),9500,Actuals!AH70)</f>
        <v>9500</v>
      </c>
      <c r="AH247" s="13" t="n">
        <f aca="false">IF(ISBLANK(Actuals!AI70),9500,Actuals!AI70)</f>
        <v>9500</v>
      </c>
      <c r="AI247" s="13" t="n">
        <f aca="false">IF(ISBLANK(Actuals!AJ70),0,Actuals!AJ70)</f>
        <v>0</v>
      </c>
      <c r="AJ247" s="13" t="n">
        <f aca="false">IF(ISBLANK(Actuals!AK70),0,Actuals!AK70)</f>
        <v>0</v>
      </c>
      <c r="AK247" s="13" t="n">
        <f aca="false">IF(ISBLANK(Actuals!AL70),0,Actuals!AL70)</f>
        <v>0</v>
      </c>
      <c r="AL247" s="13" t="n">
        <f aca="false">IF(ISBLANK(Actuals!AM70),0,Actuals!AM70)</f>
        <v>0</v>
      </c>
      <c r="AM247" s="13" t="n">
        <f aca="false">IF(ISBLANK(Actuals!AN70),0,Actuals!AN70)</f>
        <v>0</v>
      </c>
      <c r="AN247" s="13" t="n">
        <f aca="false">IF(ISBLANK(Actuals!AO70),0,Actuals!AO70)</f>
        <v>0</v>
      </c>
      <c r="AO247" s="13" t="n">
        <f aca="false">IF(ISBLANK(Actuals!AP70),0,Actuals!AP70)</f>
        <v>0</v>
      </c>
      <c r="AP247" s="13" t="n">
        <f aca="false">IF(ISBLANK(Actuals!AQ70),0,Actuals!AQ70)</f>
        <v>0</v>
      </c>
      <c r="AQ247" s="13" t="n">
        <f aca="false">IF(ISBLANK(Actuals!AR70),0,Actuals!AR70)</f>
        <v>0</v>
      </c>
      <c r="AR247" s="13" t="n">
        <f aca="false">IF(ISBLANK(Actuals!AS70),0,Actuals!AS70)</f>
        <v>0</v>
      </c>
      <c r="AS247" s="13" t="n">
        <f aca="false">IF(ISBLANK(Actuals!AT70),0,Actuals!AT70)</f>
        <v>0</v>
      </c>
      <c r="AT247" s="13" t="n">
        <f aca="false">IF(ISBLANK(Actuals!AU70),0,Actuals!AU70)</f>
        <v>0</v>
      </c>
      <c r="AU247" s="13" t="n">
        <f aca="false">IF(ISBLANK(Actuals!AV70),0,Actuals!AV70)</f>
        <v>0</v>
      </c>
      <c r="AV247" s="13" t="n">
        <f aca="false">IF(ISBLANK(Actuals!AW70),0,Actuals!AW70)</f>
        <v>0</v>
      </c>
      <c r="AW247" s="13" t="n">
        <f aca="false">IF(ISBLANK(Actuals!AX70),0,Actuals!AX70)</f>
        <v>0</v>
      </c>
      <c r="AX247" s="13" t="n">
        <f aca="false">IF(ISBLANK(Actuals!AY70),0,Actuals!AY70)</f>
        <v>0</v>
      </c>
      <c r="AY247" s="13" t="n">
        <f aca="false">IF(ISBLANK(Actuals!AZ70),0,Actuals!AZ70)</f>
        <v>0</v>
      </c>
      <c r="AZ247" s="13" t="n">
        <f aca="false">IF(ISBLANK(Actuals!BA70),0,Actuals!BA70)</f>
        <v>0</v>
      </c>
      <c r="BA247" s="13" t="n">
        <f aca="false">IF(ISBLANK(Actuals!BB70),0,Actuals!BB70)</f>
        <v>0</v>
      </c>
      <c r="BB247" s="13" t="n">
        <f aca="false">IF(ISBLANK(Actuals!BC70),0,Actuals!BC70)</f>
        <v>0</v>
      </c>
      <c r="BC247" s="13" t="n">
        <f aca="false">IF(ISBLANK(Actuals!BD70),0,Actuals!BD70)</f>
        <v>0</v>
      </c>
      <c r="BD247" s="13" t="n">
        <f aca="false">IF(ISBLANK(Actuals!BE70),0,Actuals!BE70)</f>
        <v>0</v>
      </c>
      <c r="BE247" s="13" t="n">
        <f aca="false">IF(ISBLANK(Actuals!BF70),0,Actuals!BF70)</f>
        <v>0</v>
      </c>
      <c r="BF247" s="13" t="n">
        <f aca="false">IF(ISBLANK(Actuals!BG70),0,Actuals!BG70)</f>
        <v>0</v>
      </c>
      <c r="BG247" s="13" t="n">
        <f aca="false">IF(ISBLANK(Actuals!BH70),0,Actuals!BH70)</f>
        <v>0</v>
      </c>
      <c r="BH247" s="13" t="n">
        <f aca="false">IF(ISBLANK(Actuals!BI70),0,Actuals!BI70)</f>
        <v>0</v>
      </c>
      <c r="BI247" s="13" t="n">
        <f aca="false">IF(ISBLANK(Actuals!BJ70),0,Actuals!BJ70)</f>
        <v>0</v>
      </c>
      <c r="BJ247" s="13" t="n">
        <f aca="false">IF(ISBLANK(Actuals!BK70),0,Actuals!BK70)</f>
        <v>0</v>
      </c>
      <c r="BK247" s="13" t="n">
        <f aca="false">IF(ISBLANK(Actuals!BL70),0,Actuals!BL70)</f>
        <v>0</v>
      </c>
      <c r="BL247" s="13" t="n">
        <f aca="false">IF(ISBLANK(Actuals!BM70),0,Actuals!BM70)</f>
        <v>0</v>
      </c>
      <c r="BM247" s="13" t="n">
        <f aca="false">IF(ISBLANK(Actuals!BN70),0,Actuals!BN70)</f>
        <v>0</v>
      </c>
      <c r="BN247" s="13" t="n">
        <f aca="false">IF(ISBLANK(Actuals!BO70),0,Actuals!BO70)</f>
        <v>0</v>
      </c>
      <c r="BO247" s="13" t="n">
        <f aca="false">IF(ISBLANK(Actuals!BP70),0,Actuals!BP70)</f>
        <v>0</v>
      </c>
      <c r="BP247" s="13" t="n">
        <f aca="false">IF(ISBLANK(Actuals!BQ70),0,Actuals!BQ70)</f>
        <v>0</v>
      </c>
      <c r="BQ247" s="13" t="n">
        <f aca="false">IF(ISBLANK(Actuals!BR70),0,Actuals!BR70)</f>
        <v>0</v>
      </c>
      <c r="BR247" s="13" t="n">
        <f aca="false">IF(ISBLANK(Actuals!BS70),0,Actuals!BS70)</f>
        <v>0</v>
      </c>
      <c r="BS247" s="13" t="n">
        <f aca="false">IF(ISBLANK(Actuals!BT70),0,Actuals!BT70)</f>
        <v>0</v>
      </c>
      <c r="BT247" s="13" t="n">
        <f aca="false">IF(ISBLANK(Actuals!BU70),0,Actuals!BU70)</f>
        <v>0</v>
      </c>
      <c r="BU247" s="13" t="n">
        <f aca="false">IF(ISBLANK(Actuals!BV70),0,Actuals!BV70)</f>
        <v>0</v>
      </c>
      <c r="BV247" s="13" t="n">
        <f aca="false">IF(ISBLANK(Actuals!BW70),0,Actuals!BW70)</f>
        <v>0</v>
      </c>
      <c r="BW247" s="13" t="n">
        <f aca="false">IF(ISBLANK(Actuals!BX70),0,Actuals!BX70)</f>
        <v>0</v>
      </c>
      <c r="BX247" s="13" t="n">
        <f aca="false">IF(ISBLANK(Actuals!BY70),0,Actuals!BY70)</f>
        <v>0</v>
      </c>
      <c r="BY247" s="13" t="n">
        <f aca="false">IF(ISBLANK(Actuals!BZ70),0,Actuals!BZ70)</f>
        <v>0</v>
      </c>
      <c r="BZ247" s="13" t="n">
        <f aca="false">IF(ISBLANK(Actuals!CA70),0,Actuals!CA70)</f>
        <v>0</v>
      </c>
      <c r="CA247" s="13" t="n">
        <f aca="false">IF(ISBLANK(Actuals!CB70),0,Actuals!CB70)</f>
        <v>0</v>
      </c>
      <c r="CB247" s="13" t="n">
        <f aca="false">IF(ISBLANK(Actuals!CC70),0,Actuals!CC70)</f>
        <v>0</v>
      </c>
      <c r="CC247" s="13" t="n">
        <f aca="false">IF(ISBLANK(Actuals!CD70),0,Actuals!CD70)</f>
        <v>0</v>
      </c>
      <c r="CD247" s="13" t="n">
        <f aca="false">IF(ISBLANK(Actuals!CE70),0,Actuals!CE70)</f>
        <v>0</v>
      </c>
      <c r="CE247" s="13" t="n">
        <f aca="false">IF(ISBLANK(Actuals!CF70),0,Actuals!CF70)</f>
        <v>0</v>
      </c>
      <c r="CF247" s="13" t="n">
        <f aca="false">IF(ISBLANK(Actuals!CG70),0,Actuals!CG70)</f>
        <v>0</v>
      </c>
      <c r="CG247" s="13" t="n">
        <f aca="false">IF(ISBLANK(Actuals!CH70),0,Actuals!CH70)</f>
        <v>0</v>
      </c>
      <c r="CH247" s="13" t="n">
        <f aca="false">IF(ISBLANK(Actuals!CI70),0,Actuals!CI70)</f>
        <v>0</v>
      </c>
      <c r="CI247" s="13" t="n">
        <f aca="false">IF(ISBLANK(Actuals!CJ70),0,Actuals!CJ70)</f>
        <v>0</v>
      </c>
      <c r="CJ247" s="13" t="n">
        <f aca="false">IF(ISBLANK(Actuals!CK70),0,Actuals!CK70)</f>
        <v>0</v>
      </c>
      <c r="CK247" s="13" t="n">
        <f aca="false">IF(ISBLANK(Actuals!CL70),0,Actuals!CL70)</f>
        <v>0</v>
      </c>
      <c r="CL247" s="13" t="n">
        <f aca="false">IF(ISBLANK(Actuals!CM70),0,Actuals!CM70)</f>
        <v>0</v>
      </c>
      <c r="CM247" s="13" t="n">
        <f aca="false">IF(ISBLANK(Actuals!CN70),0,Actuals!CN70)</f>
        <v>0</v>
      </c>
      <c r="CN247" s="13" t="n">
        <f aca="false">IF(ISBLANK(Actuals!CO70),0,Actuals!CO70)</f>
        <v>0</v>
      </c>
      <c r="CO247" s="13" t="n">
        <f aca="false">IF(ISBLANK(Actuals!CP70),0,Actuals!CP70)</f>
        <v>0</v>
      </c>
      <c r="CP247" s="13" t="n">
        <f aca="false">IF(ISBLANK(Actuals!CQ70),0,Actuals!CQ70)</f>
        <v>0</v>
      </c>
      <c r="CQ247" s="13" t="n">
        <f aca="false">IF(ISBLANK(Actuals!CR70),0,Actuals!CR70)</f>
        <v>0</v>
      </c>
      <c r="CR247" s="13" t="n">
        <f aca="false">IF(ISBLANK(Actuals!CS70),0,Actuals!CS70)</f>
        <v>0</v>
      </c>
      <c r="CS247" s="13" t="n">
        <f aca="false">IF(ISBLANK(Actuals!CT70),0,Actuals!CT70)</f>
        <v>0</v>
      </c>
      <c r="CT247" s="13" t="n">
        <f aca="false">IF(ISBLANK(Actuals!CU70),0,Actuals!CU70)</f>
        <v>0</v>
      </c>
      <c r="CU247" s="13" t="n">
        <f aca="false">IF(ISBLANK(Actuals!CV70),0,Actuals!CV70)</f>
        <v>0</v>
      </c>
      <c r="CV247" s="13" t="n">
        <f aca="false">IF(ISBLANK(Actuals!CW70),0,Actuals!CW70)</f>
        <v>0</v>
      </c>
      <c r="CW247" s="13" t="n">
        <f aca="false">IF(ISBLANK(Actuals!CX70),0,Actuals!CX70)</f>
        <v>0</v>
      </c>
      <c r="CX247" s="13" t="n">
        <f aca="false">IF(ISBLANK(Actuals!CY70),0,Actuals!CY70)</f>
        <v>0</v>
      </c>
      <c r="CY247" s="13" t="n">
        <f aca="false">IF(ISBLANK(Actuals!CZ70),0,Actuals!CZ70)</f>
        <v>0</v>
      </c>
      <c r="CZ247" s="13" t="n">
        <f aca="false">IF(ISBLANK(Actuals!DA70),0,Actuals!DA70)</f>
        <v>0</v>
      </c>
      <c r="DA247" s="13" t="n">
        <f aca="false">IF(ISBLANK(Actuals!DB70),0,Actuals!DB70)</f>
        <v>0</v>
      </c>
      <c r="DB247" s="13" t="n">
        <f aca="false">IF(ISBLANK(Actuals!DC70),0,Actuals!DC70)</f>
        <v>0</v>
      </c>
      <c r="DC247" s="13" t="n">
        <f aca="false">IF(ISBLANK(Actuals!DD70),0,Actuals!DD70)</f>
        <v>0</v>
      </c>
      <c r="DD247" s="13" t="n">
        <f aca="false">IF(ISBLANK(Actuals!DE70),0,Actuals!DE70)</f>
        <v>0</v>
      </c>
      <c r="DE247" s="13" t="n">
        <f aca="false">IF(ISBLANK(Actuals!DF70),0,Actuals!DF70)</f>
        <v>0</v>
      </c>
    </row>
    <row r="248" customFormat="false" ht="15" hidden="false" customHeight="true" outlineLevel="0" collapsed="false">
      <c r="A248" s="22" t="s">
        <v>108</v>
      </c>
      <c r="B248" s="13" t="n">
        <f aca="false">IF(ISBLANK(Actuals!C71),0,Actuals!C71)</f>
        <v>0</v>
      </c>
      <c r="C248" s="13" t="n">
        <f aca="false">IF(ISBLANK(Actuals!D71),0,Actuals!D71)</f>
        <v>0</v>
      </c>
      <c r="D248" s="13" t="n">
        <f aca="false">IF(ISBLANK(Actuals!E71),0,Actuals!E71)</f>
        <v>0</v>
      </c>
      <c r="E248" s="13" t="n">
        <f aca="false">IF(ISBLANK(Actuals!F71),IF(AND(Projects!$G$11="Yes",1&gt;=Projects!$C$11,1&lt;Projects!$C$11+Projects!$D$11),6315.79,0),Actuals!F71)</f>
        <v>0</v>
      </c>
      <c r="F248" s="13" t="n">
        <f aca="false">IF(ISBLANK(Actuals!G71),IF(AND(Projects!$G$11="Yes",2&gt;=Projects!$C$11,2&lt;Projects!$C$11+Projects!$D$11),6315.79,0),Actuals!G71)</f>
        <v>0</v>
      </c>
      <c r="G248" s="13" t="n">
        <f aca="false">IF(ISBLANK(Actuals!H71),IF(AND(Projects!$G$11="Yes",3&gt;=Projects!$C$11,3&lt;Projects!$C$11+Projects!$D$11),6315.79,0),Actuals!H71)</f>
        <v>0</v>
      </c>
      <c r="H248" s="13" t="n">
        <f aca="false">IF(ISBLANK(Actuals!I71),IF(AND(Projects!$G$11="Yes",4&gt;=Projects!$C$11,4&lt;Projects!$C$11+Projects!$D$11),6315.79,0),Actuals!I71)</f>
        <v>0</v>
      </c>
      <c r="I248" s="13" t="n">
        <f aca="false">IF(ISBLANK(Actuals!J71),IF(AND(Projects!$G$11="Yes",5&gt;=Projects!$C$11,5&lt;Projects!$C$11+Projects!$D$11),6315.79,0),Actuals!J71)</f>
        <v>0</v>
      </c>
      <c r="J248" s="13" t="n">
        <f aca="false">IF(ISBLANK(Actuals!K71),IF(AND(Projects!$G$11="Yes",6&gt;=Projects!$C$11,6&lt;Projects!$C$11+Projects!$D$11),6315.79,0),Actuals!K71)</f>
        <v>0</v>
      </c>
      <c r="K248" s="13" t="n">
        <f aca="false">IF(ISBLANK(Actuals!L71),IF(AND(Projects!$G$11="Yes",7&gt;=Projects!$C$11,7&lt;Projects!$C$11+Projects!$D$11),6315.79,0),Actuals!L71)</f>
        <v>0</v>
      </c>
      <c r="L248" s="13" t="n">
        <f aca="false">IF(ISBLANK(Actuals!M71),IF(AND(Projects!$G$11="Yes",8&gt;=Projects!$C$11,8&lt;Projects!$C$11+Projects!$D$11),6315.79,0),Actuals!M71)</f>
        <v>0</v>
      </c>
      <c r="M248" s="13" t="n">
        <f aca="false">IF(ISBLANK(Actuals!N71),IF(AND(Projects!$G$11="Yes",9&gt;=Projects!$C$11,9&lt;Projects!$C$11+Projects!$D$11),6315.79,0),Actuals!N71)</f>
        <v>0</v>
      </c>
      <c r="N248" s="13" t="n">
        <f aca="false">IF(ISBLANK(Actuals!O71),IF(AND(Projects!$G$11="Yes",10&gt;=Projects!$C$11,10&lt;Projects!$C$11+Projects!$D$11),6315.79,0),Actuals!O71)</f>
        <v>0</v>
      </c>
      <c r="O248" s="13" t="n">
        <f aca="false">IF(ISBLANK(Actuals!P71),IF(AND(Projects!$G$11="Yes",11&gt;=Projects!$C$11,11&lt;Projects!$C$11+Projects!$D$11),6315.79,0),Actuals!P71)</f>
        <v>6315.79</v>
      </c>
      <c r="P248" s="13" t="n">
        <f aca="false">IF(ISBLANK(Actuals!Q71),IF(AND(Projects!$G$11="Yes",12&gt;=Projects!$C$11,12&lt;Projects!$C$11+Projects!$D$11),6315.79,0),Actuals!Q71)</f>
        <v>6315.79</v>
      </c>
      <c r="Q248" s="13" t="n">
        <f aca="false">IF(ISBLANK(Actuals!R71),IF(AND(Projects!$G$11="Yes",13&gt;=Projects!$C$11,13&lt;Projects!$C$11+Projects!$D$11),6315.79,0),Actuals!R71)</f>
        <v>6315.79</v>
      </c>
      <c r="R248" s="13" t="n">
        <f aca="false">IF(ISBLANK(Actuals!S71),IF(AND(Projects!$G$11="Yes",14&gt;=Projects!$C$11,14&lt;Projects!$C$11+Projects!$D$11),6315.79,0),Actuals!S71)</f>
        <v>6315.79</v>
      </c>
      <c r="S248" s="13" t="n">
        <f aca="false">IF(ISBLANK(Actuals!T71),IF(AND(Projects!$G$11="Yes",15&gt;=Projects!$C$11,15&lt;Projects!$C$11+Projects!$D$11),6315.79,0),Actuals!T71)</f>
        <v>6315.79</v>
      </c>
      <c r="T248" s="13" t="n">
        <f aca="false">IF(ISBLANK(Actuals!U71),IF(AND(Projects!$G$11="Yes",16&gt;=Projects!$C$11,16&lt;Projects!$C$11+Projects!$D$11),6315.79,0),Actuals!U71)</f>
        <v>6315.79</v>
      </c>
      <c r="U248" s="13" t="n">
        <f aca="false">IF(ISBLANK(Actuals!V71),IF(AND(Projects!$G$11="Yes",17&gt;=Projects!$C$11,17&lt;Projects!$C$11+Projects!$D$11),6315.79,0),Actuals!V71)</f>
        <v>6315.79</v>
      </c>
      <c r="V248" s="13" t="n">
        <f aca="false">IF(ISBLANK(Actuals!W71),IF(AND(Projects!$G$11="Yes",18&gt;=Projects!$C$11,18&lt;Projects!$C$11+Projects!$D$11),6315.79,0),Actuals!W71)</f>
        <v>6315.79</v>
      </c>
      <c r="W248" s="13" t="n">
        <f aca="false">IF(ISBLANK(Actuals!X71),IF(AND(Projects!$G$11="Yes",19&gt;=Projects!$C$11,19&lt;Projects!$C$11+Projects!$D$11),6315.79,0),Actuals!X71)</f>
        <v>6315.79</v>
      </c>
      <c r="X248" s="13" t="n">
        <f aca="false">IF(ISBLANK(Actuals!Y71),IF(AND(Projects!$G$11="Yes",20&gt;=Projects!$C$11,20&lt;Projects!$C$11+Projects!$D$11),6315.79,0),Actuals!Y71)</f>
        <v>6315.79</v>
      </c>
      <c r="Y248" s="13" t="n">
        <f aca="false">IF(ISBLANK(Actuals!Z71),IF(AND(Projects!$G$11="Yes",21&gt;=Projects!$C$11,21&lt;Projects!$C$11+Projects!$D$11),6315.79,0),Actuals!Z71)</f>
        <v>6315.79</v>
      </c>
      <c r="Z248" s="13" t="n">
        <f aca="false">IF(ISBLANK(Actuals!AA71),IF(AND(Projects!$G$11="Yes",22&gt;=Projects!$C$11,22&lt;Projects!$C$11+Projects!$D$11),6315.79,0),Actuals!AA71)</f>
        <v>6315.79</v>
      </c>
      <c r="AA248" s="13" t="n">
        <f aca="false">IF(ISBLANK(Actuals!AB71),IF(AND(Projects!$G$11="Yes",23&gt;=Projects!$C$11,23&lt;Projects!$C$11+Projects!$D$11),6315.79,0),Actuals!AB71)</f>
        <v>6315.79</v>
      </c>
      <c r="AB248" s="13" t="n">
        <f aca="false">IF(ISBLANK(Actuals!AC71),IF(AND(Projects!$G$11="Yes",24&gt;=Projects!$C$11,24&lt;Projects!$C$11+Projects!$D$11),6315.79,0),Actuals!AC71)</f>
        <v>6315.79</v>
      </c>
      <c r="AC248" s="13" t="n">
        <f aca="false">IF(ISBLANK(Actuals!AD71),IF(AND(Projects!$G$11="Yes",25&gt;=Projects!$C$11,25&lt;Projects!$C$11+Projects!$D$11),6315.79,0),Actuals!AD71)</f>
        <v>6315.79</v>
      </c>
      <c r="AD248" s="13" t="n">
        <f aca="false">IF(ISBLANK(Actuals!AE71),IF(AND(Projects!$G$11="Yes",26&gt;=Projects!$C$11,26&lt;Projects!$C$11+Projects!$D$11),6315.79,0),Actuals!AE71)</f>
        <v>6315.79</v>
      </c>
      <c r="AE248" s="13" t="n">
        <f aca="false">IF(ISBLANK(Actuals!AF71),IF(AND(Projects!$G$11="Yes",27&gt;=Projects!$C$11,27&lt;Projects!$C$11+Projects!$D$11),6315.79,0),Actuals!AF71)</f>
        <v>6315.79</v>
      </c>
      <c r="AF248" s="13" t="n">
        <f aca="false">IF(ISBLANK(Actuals!AG71),IF(AND(Projects!$G$11="Yes",28&gt;=Projects!$C$11,28&lt;Projects!$C$11+Projects!$D$11),6315.79,0),Actuals!AG71)</f>
        <v>6315.79</v>
      </c>
      <c r="AG248" s="13" t="n">
        <f aca="false">IF(ISBLANK(Actuals!AH71),IF(AND(Projects!$G$11="Yes",29&gt;=Projects!$C$11,29&lt;Projects!$C$11+Projects!$D$11),6315.79,0),Actuals!AH71)</f>
        <v>6315.79</v>
      </c>
      <c r="AH248" s="13" t="n">
        <f aca="false">IF(ISBLANK(Actuals!AI71),IF(AND(Projects!$G$11="Yes",30&gt;=Projects!$C$11,30&lt;Projects!$C$11+Projects!$D$11),6315.79,0),Actuals!AI71)</f>
        <v>0</v>
      </c>
      <c r="AI248" s="13" t="n">
        <f aca="false">IF(ISBLANK(Actuals!AJ71),IF(AND(Projects!$G$11="Yes",31&gt;=Projects!$C$11,31&lt;Projects!$C$11+Projects!$D$11),6315.79,0),Actuals!AJ71)</f>
        <v>0</v>
      </c>
      <c r="AJ248" s="13" t="n">
        <f aca="false">IF(ISBLANK(Actuals!AK71),IF(AND(Projects!$G$11="Yes",32&gt;=Projects!$C$11,32&lt;Projects!$C$11+Projects!$D$11),6315.79,0),Actuals!AK71)</f>
        <v>0</v>
      </c>
      <c r="AK248" s="13" t="n">
        <f aca="false">IF(ISBLANK(Actuals!AL71),IF(AND(Projects!$G$11="Yes",33&gt;=Projects!$C$11,33&lt;Projects!$C$11+Projects!$D$11),6315.79,0),Actuals!AL71)</f>
        <v>0</v>
      </c>
      <c r="AL248" s="13" t="n">
        <f aca="false">IF(ISBLANK(Actuals!AM71),IF(AND(Projects!$G$11="Yes",34&gt;=Projects!$C$11,34&lt;Projects!$C$11+Projects!$D$11),6315.79,0),Actuals!AM71)</f>
        <v>0</v>
      </c>
      <c r="AM248" s="13" t="n">
        <f aca="false">IF(ISBLANK(Actuals!AN71),IF(AND(Projects!$G$11="Yes",35&gt;=Projects!$C$11,35&lt;Projects!$C$11+Projects!$D$11),6315.79,0),Actuals!AN71)</f>
        <v>0</v>
      </c>
      <c r="AN248" s="13" t="n">
        <f aca="false">IF(ISBLANK(Actuals!AO71),IF(AND(Projects!$G$11="Yes",36&gt;=Projects!$C$11,36&lt;Projects!$C$11+Projects!$D$11),6315.79,0),Actuals!AO71)</f>
        <v>0</v>
      </c>
      <c r="AO248" s="13" t="n">
        <f aca="false">IF(ISBLANK(Actuals!AP71),IF(AND(Projects!$G$11="Yes",37&gt;=Projects!$C$11,37&lt;Projects!$C$11+Projects!$D$11),6315.79,0),Actuals!AP71)</f>
        <v>0</v>
      </c>
      <c r="AP248" s="13" t="n">
        <f aca="false">IF(ISBLANK(Actuals!AQ71),IF(AND(Projects!$G$11="Yes",38&gt;=Projects!$C$11,38&lt;Projects!$C$11+Projects!$D$11),6315.79,0),Actuals!AQ71)</f>
        <v>0</v>
      </c>
      <c r="AQ248" s="13" t="n">
        <f aca="false">IF(ISBLANK(Actuals!AR71),IF(AND(Projects!$G$11="Yes",39&gt;=Projects!$C$11,39&lt;Projects!$C$11+Projects!$D$11),6315.79,0),Actuals!AR71)</f>
        <v>0</v>
      </c>
      <c r="AR248" s="13" t="n">
        <f aca="false">IF(ISBLANK(Actuals!AS71),IF(AND(Projects!$G$11="Yes",40&gt;=Projects!$C$11,40&lt;Projects!$C$11+Projects!$D$11),6315.79,0),Actuals!AS71)</f>
        <v>0</v>
      </c>
      <c r="AS248" s="13" t="n">
        <f aca="false">IF(ISBLANK(Actuals!AT71),IF(AND(Projects!$G$11="Yes",41&gt;=Projects!$C$11,41&lt;Projects!$C$11+Projects!$D$11),6315.79,0),Actuals!AT71)</f>
        <v>0</v>
      </c>
      <c r="AT248" s="13" t="n">
        <f aca="false">IF(ISBLANK(Actuals!AU71),IF(AND(Projects!$G$11="Yes",42&gt;=Projects!$C$11,42&lt;Projects!$C$11+Projects!$D$11),6315.79,0),Actuals!AU71)</f>
        <v>0</v>
      </c>
      <c r="AU248" s="13" t="n">
        <f aca="false">IF(ISBLANK(Actuals!AV71),IF(AND(Projects!$G$11="Yes",43&gt;=Projects!$C$11,43&lt;Projects!$C$11+Projects!$D$11),6315.79,0),Actuals!AV71)</f>
        <v>0</v>
      </c>
      <c r="AV248" s="13" t="n">
        <f aca="false">IF(ISBLANK(Actuals!AW71),IF(AND(Projects!$G$11="Yes",44&gt;=Projects!$C$11,44&lt;Projects!$C$11+Projects!$D$11),6315.79,0),Actuals!AW71)</f>
        <v>0</v>
      </c>
      <c r="AW248" s="13" t="n">
        <f aca="false">IF(ISBLANK(Actuals!AX71),IF(AND(Projects!$G$11="Yes",45&gt;=Projects!$C$11,45&lt;Projects!$C$11+Projects!$D$11),6315.79,0),Actuals!AX71)</f>
        <v>0</v>
      </c>
      <c r="AX248" s="13" t="n">
        <f aca="false">IF(ISBLANK(Actuals!AY71),IF(AND(Projects!$G$11="Yes",46&gt;=Projects!$C$11,46&lt;Projects!$C$11+Projects!$D$11),6315.79,0),Actuals!AY71)</f>
        <v>0</v>
      </c>
      <c r="AY248" s="13" t="n">
        <f aca="false">IF(ISBLANK(Actuals!AZ71),IF(AND(Projects!$G$11="Yes",47&gt;=Projects!$C$11,47&lt;Projects!$C$11+Projects!$D$11),6315.79,0),Actuals!AZ71)</f>
        <v>0</v>
      </c>
      <c r="AZ248" s="13" t="n">
        <f aca="false">IF(ISBLANK(Actuals!BA71),IF(AND(Projects!$G$11="Yes",48&gt;=Projects!$C$11,48&lt;Projects!$C$11+Projects!$D$11),6315.79,0),Actuals!BA71)</f>
        <v>0</v>
      </c>
      <c r="BA248" s="13" t="n">
        <f aca="false">IF(ISBLANK(Actuals!BB71),IF(AND(Projects!$G$11="Yes",49&gt;=Projects!$C$11,49&lt;Projects!$C$11+Projects!$D$11),6315.79,0),Actuals!BB71)</f>
        <v>0</v>
      </c>
      <c r="BB248" s="13" t="n">
        <f aca="false">IF(ISBLANK(Actuals!BC71),IF(AND(Projects!$G$11="Yes",50&gt;=Projects!$C$11,50&lt;Projects!$C$11+Projects!$D$11),6315.79,0),Actuals!BC71)</f>
        <v>0</v>
      </c>
      <c r="BC248" s="13" t="n">
        <f aca="false">IF(ISBLANK(Actuals!BD71),IF(AND(Projects!$G$11="Yes",51&gt;=Projects!$C$11,51&lt;Projects!$C$11+Projects!$D$11),6315.79,0),Actuals!BD71)</f>
        <v>0</v>
      </c>
      <c r="BD248" s="13" t="n">
        <f aca="false">IF(ISBLANK(Actuals!BE71),IF(AND(Projects!$G$11="Yes",52&gt;=Projects!$C$11,52&lt;Projects!$C$11+Projects!$D$11),6315.79,0),Actuals!BE71)</f>
        <v>0</v>
      </c>
      <c r="BE248" s="13" t="n">
        <f aca="false">IF(ISBLANK(Actuals!BF71),IF(AND(Projects!$G$11="Yes",53&gt;=Projects!$C$11,53&lt;Projects!$C$11+Projects!$D$11),6315.79,0),Actuals!BF71)</f>
        <v>0</v>
      </c>
      <c r="BF248" s="13" t="n">
        <f aca="false">IF(ISBLANK(Actuals!BG71),IF(AND(Projects!$G$11="Yes",54&gt;=Projects!$C$11,54&lt;Projects!$C$11+Projects!$D$11),6315.79,0),Actuals!BG71)</f>
        <v>0</v>
      </c>
      <c r="BG248" s="13" t="n">
        <f aca="false">IF(ISBLANK(Actuals!BH71),IF(AND(Projects!$G$11="Yes",55&gt;=Projects!$C$11,55&lt;Projects!$C$11+Projects!$D$11),6315.79,0),Actuals!BH71)</f>
        <v>0</v>
      </c>
      <c r="BH248" s="13" t="n">
        <f aca="false">IF(ISBLANK(Actuals!BI71),IF(AND(Projects!$G$11="Yes",56&gt;=Projects!$C$11,56&lt;Projects!$C$11+Projects!$D$11),6315.79,0),Actuals!BI71)</f>
        <v>0</v>
      </c>
      <c r="BI248" s="13" t="n">
        <f aca="false">IF(ISBLANK(Actuals!BJ71),IF(AND(Projects!$G$11="Yes",57&gt;=Projects!$C$11,57&lt;Projects!$C$11+Projects!$D$11),6315.79,0),Actuals!BJ71)</f>
        <v>0</v>
      </c>
      <c r="BJ248" s="13" t="n">
        <f aca="false">IF(ISBLANK(Actuals!BK71),IF(AND(Projects!$G$11="Yes",58&gt;=Projects!$C$11,58&lt;Projects!$C$11+Projects!$D$11),6315.79,0),Actuals!BK71)</f>
        <v>0</v>
      </c>
      <c r="BK248" s="13" t="n">
        <f aca="false">IF(ISBLANK(Actuals!BL71),IF(AND(Projects!$G$11="Yes",59&gt;=Projects!$C$11,59&lt;Projects!$C$11+Projects!$D$11),6315.79,0),Actuals!BL71)</f>
        <v>0</v>
      </c>
      <c r="BL248" s="13" t="n">
        <f aca="false">IF(ISBLANK(Actuals!BM71),IF(AND(Projects!$G$11="Yes",60&gt;=Projects!$C$11,60&lt;Projects!$C$11+Projects!$D$11),6315.79,0),Actuals!BM71)</f>
        <v>0</v>
      </c>
      <c r="BM248" s="13" t="n">
        <f aca="false">IF(ISBLANK(Actuals!BN71),IF(AND(Projects!$G$11="Yes",61&gt;=Projects!$C$11,61&lt;Projects!$C$11+Projects!$D$11),6315.79,0),Actuals!BN71)</f>
        <v>0</v>
      </c>
      <c r="BN248" s="13" t="n">
        <f aca="false">IF(ISBLANK(Actuals!BO71),IF(AND(Projects!$G$11="Yes",62&gt;=Projects!$C$11,62&lt;Projects!$C$11+Projects!$D$11),6315.79,0),Actuals!BO71)</f>
        <v>0</v>
      </c>
      <c r="BO248" s="13" t="n">
        <f aca="false">IF(ISBLANK(Actuals!BP71),IF(AND(Projects!$G$11="Yes",63&gt;=Projects!$C$11,63&lt;Projects!$C$11+Projects!$D$11),6315.79,0),Actuals!BP71)</f>
        <v>0</v>
      </c>
      <c r="BP248" s="13" t="n">
        <f aca="false">IF(ISBLANK(Actuals!BQ71),IF(AND(Projects!$G$11="Yes",64&gt;=Projects!$C$11,64&lt;Projects!$C$11+Projects!$D$11),6315.79,0),Actuals!BQ71)</f>
        <v>0</v>
      </c>
      <c r="BQ248" s="13" t="n">
        <f aca="false">IF(ISBLANK(Actuals!BR71),IF(AND(Projects!$G$11="Yes",65&gt;=Projects!$C$11,65&lt;Projects!$C$11+Projects!$D$11),6315.79,0),Actuals!BR71)</f>
        <v>0</v>
      </c>
      <c r="BR248" s="13" t="n">
        <f aca="false">IF(ISBLANK(Actuals!BS71),IF(AND(Projects!$G$11="Yes",66&gt;=Projects!$C$11,66&lt;Projects!$C$11+Projects!$D$11),6315.79,0),Actuals!BS71)</f>
        <v>0</v>
      </c>
      <c r="BS248" s="13" t="n">
        <f aca="false">IF(ISBLANK(Actuals!BT71),IF(AND(Projects!$G$11="Yes",67&gt;=Projects!$C$11,67&lt;Projects!$C$11+Projects!$D$11),6315.79,0),Actuals!BT71)</f>
        <v>0</v>
      </c>
      <c r="BT248" s="13" t="n">
        <f aca="false">IF(ISBLANK(Actuals!BU71),IF(AND(Projects!$G$11="Yes",68&gt;=Projects!$C$11,68&lt;Projects!$C$11+Projects!$D$11),6315.79,0),Actuals!BU71)</f>
        <v>0</v>
      </c>
      <c r="BU248" s="13" t="n">
        <f aca="false">IF(ISBLANK(Actuals!BV71),IF(AND(Projects!$G$11="Yes",69&gt;=Projects!$C$11,69&lt;Projects!$C$11+Projects!$D$11),6315.79,0),Actuals!BV71)</f>
        <v>0</v>
      </c>
      <c r="BV248" s="13" t="n">
        <f aca="false">IF(ISBLANK(Actuals!BW71),IF(AND(Projects!$G$11="Yes",70&gt;=Projects!$C$11,70&lt;Projects!$C$11+Projects!$D$11),6315.79,0),Actuals!BW71)</f>
        <v>0</v>
      </c>
      <c r="BW248" s="13" t="n">
        <f aca="false">IF(ISBLANK(Actuals!BX71),IF(AND(Projects!$G$11="Yes",71&gt;=Projects!$C$11,71&lt;Projects!$C$11+Projects!$D$11),6315.79,0),Actuals!BX71)</f>
        <v>0</v>
      </c>
      <c r="BX248" s="13" t="n">
        <f aca="false">IF(ISBLANK(Actuals!BY71),IF(AND(Projects!$G$11="Yes",72&gt;=Projects!$C$11,72&lt;Projects!$C$11+Projects!$D$11),6315.79,0),Actuals!BY71)</f>
        <v>0</v>
      </c>
      <c r="BY248" s="13" t="n">
        <f aca="false">IF(ISBLANK(Actuals!BZ71),IF(AND(Projects!$G$11="Yes",73&gt;=Projects!$C$11,73&lt;Projects!$C$11+Projects!$D$11),6315.79,0),Actuals!BZ71)</f>
        <v>0</v>
      </c>
      <c r="BZ248" s="13" t="n">
        <f aca="false">IF(ISBLANK(Actuals!CA71),IF(AND(Projects!$G$11="Yes",74&gt;=Projects!$C$11,74&lt;Projects!$C$11+Projects!$D$11),6315.79,0),Actuals!CA71)</f>
        <v>0</v>
      </c>
      <c r="CA248" s="13" t="n">
        <f aca="false">IF(ISBLANK(Actuals!CB71),IF(AND(Projects!$G$11="Yes",75&gt;=Projects!$C$11,75&lt;Projects!$C$11+Projects!$D$11),6315.79,0),Actuals!CB71)</f>
        <v>0</v>
      </c>
      <c r="CB248" s="13" t="n">
        <f aca="false">IF(ISBLANK(Actuals!CC71),IF(AND(Projects!$G$11="Yes",76&gt;=Projects!$C$11,76&lt;Projects!$C$11+Projects!$D$11),6315.79,0),Actuals!CC71)</f>
        <v>0</v>
      </c>
      <c r="CC248" s="13" t="n">
        <f aca="false">IF(ISBLANK(Actuals!CD71),IF(AND(Projects!$G$11="Yes",77&gt;=Projects!$C$11,77&lt;Projects!$C$11+Projects!$D$11),6315.79,0),Actuals!CD71)</f>
        <v>0</v>
      </c>
      <c r="CD248" s="13" t="n">
        <f aca="false">IF(ISBLANK(Actuals!CE71),IF(AND(Projects!$G$11="Yes",78&gt;=Projects!$C$11,78&lt;Projects!$C$11+Projects!$D$11),6315.79,0),Actuals!CE71)</f>
        <v>0</v>
      </c>
      <c r="CE248" s="13" t="n">
        <f aca="false">IF(ISBLANK(Actuals!CF71),IF(AND(Projects!$G$11="Yes",79&gt;=Projects!$C$11,79&lt;Projects!$C$11+Projects!$D$11),6315.79,0),Actuals!CF71)</f>
        <v>0</v>
      </c>
      <c r="CF248" s="13" t="n">
        <f aca="false">IF(ISBLANK(Actuals!CG71),IF(AND(Projects!$G$11="Yes",80&gt;=Projects!$C$11,80&lt;Projects!$C$11+Projects!$D$11),6315.79,0),Actuals!CG71)</f>
        <v>0</v>
      </c>
      <c r="CG248" s="13" t="n">
        <f aca="false">IF(ISBLANK(Actuals!CH71),IF(AND(Projects!$G$11="Yes",81&gt;=Projects!$C$11,81&lt;Projects!$C$11+Projects!$D$11),6315.79,0),Actuals!CH71)</f>
        <v>0</v>
      </c>
      <c r="CH248" s="13" t="n">
        <f aca="false">IF(ISBLANK(Actuals!CI71),IF(AND(Projects!$G$11="Yes",82&gt;=Projects!$C$11,82&lt;Projects!$C$11+Projects!$D$11),6315.79,0),Actuals!CI71)</f>
        <v>0</v>
      </c>
      <c r="CI248" s="13" t="n">
        <f aca="false">IF(ISBLANK(Actuals!CJ71),IF(AND(Projects!$G$11="Yes",83&gt;=Projects!$C$11,83&lt;Projects!$C$11+Projects!$D$11),6315.79,0),Actuals!CJ71)</f>
        <v>0</v>
      </c>
      <c r="CJ248" s="13" t="n">
        <f aca="false">IF(ISBLANK(Actuals!CK71),IF(AND(Projects!$G$11="Yes",84&gt;=Projects!$C$11,84&lt;Projects!$C$11+Projects!$D$11),6315.79,0),Actuals!CK71)</f>
        <v>0</v>
      </c>
      <c r="CK248" s="13" t="n">
        <f aca="false">IF(ISBLANK(Actuals!CL71),IF(AND(Projects!$G$11="Yes",85&gt;=Projects!$C$11,85&lt;Projects!$C$11+Projects!$D$11),6315.79,0),Actuals!CL71)</f>
        <v>0</v>
      </c>
      <c r="CL248" s="13" t="n">
        <f aca="false">IF(ISBLANK(Actuals!CM71),IF(AND(Projects!$G$11="Yes",86&gt;=Projects!$C$11,86&lt;Projects!$C$11+Projects!$D$11),6315.79,0),Actuals!CM71)</f>
        <v>0</v>
      </c>
      <c r="CM248" s="13" t="n">
        <f aca="false">IF(ISBLANK(Actuals!CN71),IF(AND(Projects!$G$11="Yes",87&gt;=Projects!$C$11,87&lt;Projects!$C$11+Projects!$D$11),6315.79,0),Actuals!CN71)</f>
        <v>0</v>
      </c>
      <c r="CN248" s="13" t="n">
        <f aca="false">IF(ISBLANK(Actuals!CO71),IF(AND(Projects!$G$11="Yes",88&gt;=Projects!$C$11,88&lt;Projects!$C$11+Projects!$D$11),6315.79,0),Actuals!CO71)</f>
        <v>0</v>
      </c>
      <c r="CO248" s="13" t="n">
        <f aca="false">IF(ISBLANK(Actuals!CP71),IF(AND(Projects!$G$11="Yes",89&gt;=Projects!$C$11,89&lt;Projects!$C$11+Projects!$D$11),6315.79,0),Actuals!CP71)</f>
        <v>0</v>
      </c>
      <c r="CP248" s="13" t="n">
        <f aca="false">IF(ISBLANK(Actuals!CQ71),IF(AND(Projects!$G$11="Yes",90&gt;=Projects!$C$11,90&lt;Projects!$C$11+Projects!$D$11),6315.79,0),Actuals!CQ71)</f>
        <v>0</v>
      </c>
      <c r="CQ248" s="13" t="n">
        <f aca="false">IF(ISBLANK(Actuals!CR71),IF(AND(Projects!$G$11="Yes",91&gt;=Projects!$C$11,91&lt;Projects!$C$11+Projects!$D$11),6315.79,0),Actuals!CR71)</f>
        <v>0</v>
      </c>
      <c r="CR248" s="13" t="n">
        <f aca="false">IF(ISBLANK(Actuals!CS71),IF(AND(Projects!$G$11="Yes",92&gt;=Projects!$C$11,92&lt;Projects!$C$11+Projects!$D$11),6315.79,0),Actuals!CS71)</f>
        <v>0</v>
      </c>
      <c r="CS248" s="13" t="n">
        <f aca="false">IF(ISBLANK(Actuals!CT71),IF(AND(Projects!$G$11="Yes",93&gt;=Projects!$C$11,93&lt;Projects!$C$11+Projects!$D$11),6315.79,0),Actuals!CT71)</f>
        <v>0</v>
      </c>
      <c r="CT248" s="13" t="n">
        <f aca="false">IF(ISBLANK(Actuals!CU71),IF(AND(Projects!$G$11="Yes",94&gt;=Projects!$C$11,94&lt;Projects!$C$11+Projects!$D$11),6315.79,0),Actuals!CU71)</f>
        <v>0</v>
      </c>
      <c r="CU248" s="13" t="n">
        <f aca="false">IF(ISBLANK(Actuals!CV71),IF(AND(Projects!$G$11="Yes",95&gt;=Projects!$C$11,95&lt;Projects!$C$11+Projects!$D$11),6315.79,0),Actuals!CV71)</f>
        <v>0</v>
      </c>
      <c r="CV248" s="13" t="n">
        <f aca="false">IF(ISBLANK(Actuals!CW71),IF(AND(Projects!$G$11="Yes",96&gt;=Projects!$C$11,96&lt;Projects!$C$11+Projects!$D$11),6315.79,0),Actuals!CW71)</f>
        <v>0</v>
      </c>
      <c r="CW248" s="13" t="n">
        <f aca="false">IF(ISBLANK(Actuals!CX71),IF(AND(Projects!$G$11="Yes",97&gt;=Projects!$C$11,97&lt;Projects!$C$11+Projects!$D$11),6315.79,0),Actuals!CX71)</f>
        <v>0</v>
      </c>
      <c r="CX248" s="13" t="n">
        <f aca="false">IF(ISBLANK(Actuals!CY71),IF(AND(Projects!$G$11="Yes",98&gt;=Projects!$C$11,98&lt;Projects!$C$11+Projects!$D$11),6315.79,0),Actuals!CY71)</f>
        <v>0</v>
      </c>
      <c r="CY248" s="13" t="n">
        <f aca="false">IF(ISBLANK(Actuals!CZ71),IF(AND(Projects!$G$11="Yes",99&gt;=Projects!$C$11,99&lt;Projects!$C$11+Projects!$D$11),6315.79,0),Actuals!CZ71)</f>
        <v>0</v>
      </c>
      <c r="CZ248" s="13" t="n">
        <f aca="false">IF(ISBLANK(Actuals!DA71),IF(AND(Projects!$G$11="Yes",100&gt;=Projects!$C$11,100&lt;Projects!$C$11+Projects!$D$11),6315.79,0),Actuals!DA71)</f>
        <v>0</v>
      </c>
      <c r="DA248" s="13" t="n">
        <f aca="false">IF(ISBLANK(Actuals!DB71),IF(AND(Projects!$G$11="Yes",101&gt;=Projects!$C$11,101&lt;Projects!$C$11+Projects!$D$11),6315.79,0),Actuals!DB71)</f>
        <v>0</v>
      </c>
      <c r="DB248" s="13" t="n">
        <f aca="false">IF(ISBLANK(Actuals!DC71),IF(AND(Projects!$G$11="Yes",102&gt;=Projects!$C$11,102&lt;Projects!$C$11+Projects!$D$11),6315.79,0),Actuals!DC71)</f>
        <v>0</v>
      </c>
      <c r="DC248" s="13" t="n">
        <f aca="false">IF(ISBLANK(Actuals!DD71),IF(AND(Projects!$G$11="Yes",103&gt;=Projects!$C$11,103&lt;Projects!$C$11+Projects!$D$11),6315.79,0),Actuals!DD71)</f>
        <v>0</v>
      </c>
      <c r="DD248" s="13" t="n">
        <f aca="false">IF(ISBLANK(Actuals!DE71),IF(AND(Projects!$G$11="Yes",104&gt;=Projects!$C$11,104&lt;Projects!$C$11+Projects!$D$11),6315.79,0),Actuals!DE71)</f>
        <v>0</v>
      </c>
      <c r="DE248" s="13" t="n">
        <f aca="false">IF(ISBLANK(Actuals!DF71),IF(AND(Projects!$G$11="Yes",105&gt;=Projects!$C$11,105&lt;Projects!$C$11+Projects!$D$11),6315.79,0),Actuals!DF71)</f>
        <v>0</v>
      </c>
    </row>
    <row r="249" customFormat="false" ht="15" hidden="false" customHeight="true" outlineLevel="0" collapsed="false">
      <c r="A249" s="22" t="s">
        <v>109</v>
      </c>
      <c r="B249" s="13" t="n">
        <f aca="false">IF(ISBLANK(Actuals!C72),0,Actuals!C72)</f>
        <v>0</v>
      </c>
      <c r="C249" s="13" t="n">
        <f aca="false">IF(ISBLANK(Actuals!D72),0,Actuals!D72)</f>
        <v>0</v>
      </c>
      <c r="D249" s="13" t="n">
        <f aca="false">IF(ISBLANK(Actuals!E72),0,Actuals!E72)</f>
        <v>0</v>
      </c>
      <c r="E249" s="13" t="n">
        <f aca="false">IF(ISBLANK(Actuals!F72),IF(AND(Projects!$G$11="Yes",1&gt;=Projects!$C$11,1&lt;Projects!$C$11+Projects!$D$11),6315.79,0),Actuals!F72)</f>
        <v>0</v>
      </c>
      <c r="F249" s="13" t="n">
        <f aca="false">IF(ISBLANK(Actuals!G72),IF(AND(Projects!$G$11="Yes",2&gt;=Projects!$C$11,2&lt;Projects!$C$11+Projects!$D$11),6315.79,0),Actuals!G72)</f>
        <v>0</v>
      </c>
      <c r="G249" s="13" t="n">
        <f aca="false">IF(ISBLANK(Actuals!H72),IF(AND(Projects!$G$11="Yes",3&gt;=Projects!$C$11,3&lt;Projects!$C$11+Projects!$D$11),6315.79,0),Actuals!H72)</f>
        <v>0</v>
      </c>
      <c r="H249" s="13" t="n">
        <f aca="false">IF(ISBLANK(Actuals!I72),IF(AND(Projects!$G$11="Yes",4&gt;=Projects!$C$11,4&lt;Projects!$C$11+Projects!$D$11),6315.79,0),Actuals!I72)</f>
        <v>0</v>
      </c>
      <c r="I249" s="13" t="n">
        <f aca="false">IF(ISBLANK(Actuals!J72),IF(AND(Projects!$G$11="Yes",5&gt;=Projects!$C$11,5&lt;Projects!$C$11+Projects!$D$11),6315.79,0),Actuals!J72)</f>
        <v>0</v>
      </c>
      <c r="J249" s="13" t="n">
        <f aca="false">IF(ISBLANK(Actuals!K72),IF(AND(Projects!$G$11="Yes",6&gt;=Projects!$C$11,6&lt;Projects!$C$11+Projects!$D$11),6315.79,0),Actuals!K72)</f>
        <v>0</v>
      </c>
      <c r="K249" s="13" t="n">
        <f aca="false">IF(ISBLANK(Actuals!L72),IF(AND(Projects!$G$11="Yes",7&gt;=Projects!$C$11,7&lt;Projects!$C$11+Projects!$D$11),6315.79,0),Actuals!L72)</f>
        <v>0</v>
      </c>
      <c r="L249" s="13" t="n">
        <f aca="false">IF(ISBLANK(Actuals!M72),IF(AND(Projects!$G$11="Yes",8&gt;=Projects!$C$11,8&lt;Projects!$C$11+Projects!$D$11),6315.79,0),Actuals!M72)</f>
        <v>0</v>
      </c>
      <c r="M249" s="13" t="n">
        <f aca="false">IF(ISBLANK(Actuals!N72),IF(AND(Projects!$G$11="Yes",9&gt;=Projects!$C$11,9&lt;Projects!$C$11+Projects!$D$11),6315.79,0),Actuals!N72)</f>
        <v>0</v>
      </c>
      <c r="N249" s="13" t="n">
        <f aca="false">IF(ISBLANK(Actuals!O72),IF(AND(Projects!$G$11="Yes",10&gt;=Projects!$C$11,10&lt;Projects!$C$11+Projects!$D$11),6315.79,0),Actuals!O72)</f>
        <v>0</v>
      </c>
      <c r="O249" s="13" t="n">
        <f aca="false">IF(ISBLANK(Actuals!P72),IF(AND(Projects!$G$11="Yes",11&gt;=Projects!$C$11,11&lt;Projects!$C$11+Projects!$D$11),6315.79,0),Actuals!P72)</f>
        <v>6315.79</v>
      </c>
      <c r="P249" s="13" t="n">
        <f aca="false">IF(ISBLANK(Actuals!Q72),IF(AND(Projects!$G$11="Yes",12&gt;=Projects!$C$11,12&lt;Projects!$C$11+Projects!$D$11),6315.79,0),Actuals!Q72)</f>
        <v>6315.79</v>
      </c>
      <c r="Q249" s="13" t="n">
        <f aca="false">IF(ISBLANK(Actuals!R72),IF(AND(Projects!$G$11="Yes",13&gt;=Projects!$C$11,13&lt;Projects!$C$11+Projects!$D$11),6315.79,0),Actuals!R72)</f>
        <v>6315.79</v>
      </c>
      <c r="R249" s="13" t="n">
        <f aca="false">IF(ISBLANK(Actuals!S72),IF(AND(Projects!$G$11="Yes",14&gt;=Projects!$C$11,14&lt;Projects!$C$11+Projects!$D$11),6315.79,0),Actuals!S72)</f>
        <v>6315.79</v>
      </c>
      <c r="S249" s="13" t="n">
        <f aca="false">IF(ISBLANK(Actuals!T72),IF(AND(Projects!$G$11="Yes",15&gt;=Projects!$C$11,15&lt;Projects!$C$11+Projects!$D$11),6315.79,0),Actuals!T72)</f>
        <v>6315.79</v>
      </c>
      <c r="T249" s="13" t="n">
        <f aca="false">IF(ISBLANK(Actuals!U72),IF(AND(Projects!$G$11="Yes",16&gt;=Projects!$C$11,16&lt;Projects!$C$11+Projects!$D$11),6315.79,0),Actuals!U72)</f>
        <v>6315.79</v>
      </c>
      <c r="U249" s="13" t="n">
        <f aca="false">IF(ISBLANK(Actuals!V72),IF(AND(Projects!$G$11="Yes",17&gt;=Projects!$C$11,17&lt;Projects!$C$11+Projects!$D$11),6315.79,0),Actuals!V72)</f>
        <v>6315.79</v>
      </c>
      <c r="V249" s="13" t="n">
        <f aca="false">IF(ISBLANK(Actuals!W72),IF(AND(Projects!$G$11="Yes",18&gt;=Projects!$C$11,18&lt;Projects!$C$11+Projects!$D$11),6315.79,0),Actuals!W72)</f>
        <v>6315.79</v>
      </c>
      <c r="W249" s="13" t="n">
        <f aca="false">IF(ISBLANK(Actuals!X72),IF(AND(Projects!$G$11="Yes",19&gt;=Projects!$C$11,19&lt;Projects!$C$11+Projects!$D$11),6315.79,0),Actuals!X72)</f>
        <v>6315.79</v>
      </c>
      <c r="X249" s="13" t="n">
        <f aca="false">IF(ISBLANK(Actuals!Y72),IF(AND(Projects!$G$11="Yes",20&gt;=Projects!$C$11,20&lt;Projects!$C$11+Projects!$D$11),6315.79,0),Actuals!Y72)</f>
        <v>6315.79</v>
      </c>
      <c r="Y249" s="13" t="n">
        <f aca="false">IF(ISBLANK(Actuals!Z72),IF(AND(Projects!$G$11="Yes",21&gt;=Projects!$C$11,21&lt;Projects!$C$11+Projects!$D$11),6315.79,0),Actuals!Z72)</f>
        <v>6315.79</v>
      </c>
      <c r="Z249" s="13" t="n">
        <f aca="false">IF(ISBLANK(Actuals!AA72),IF(AND(Projects!$G$11="Yes",22&gt;=Projects!$C$11,22&lt;Projects!$C$11+Projects!$D$11),6315.79,0),Actuals!AA72)</f>
        <v>6315.79</v>
      </c>
      <c r="AA249" s="13" t="n">
        <f aca="false">IF(ISBLANK(Actuals!AB72),IF(AND(Projects!$G$11="Yes",23&gt;=Projects!$C$11,23&lt;Projects!$C$11+Projects!$D$11),6315.79,0),Actuals!AB72)</f>
        <v>6315.79</v>
      </c>
      <c r="AB249" s="13" t="n">
        <f aca="false">IF(ISBLANK(Actuals!AC72),IF(AND(Projects!$G$11="Yes",24&gt;=Projects!$C$11,24&lt;Projects!$C$11+Projects!$D$11),6315.79,0),Actuals!AC72)</f>
        <v>6315.79</v>
      </c>
      <c r="AC249" s="13" t="n">
        <f aca="false">IF(ISBLANK(Actuals!AD72),IF(AND(Projects!$G$11="Yes",25&gt;=Projects!$C$11,25&lt;Projects!$C$11+Projects!$D$11),6315.79,0),Actuals!AD72)</f>
        <v>6315.79</v>
      </c>
      <c r="AD249" s="13" t="n">
        <f aca="false">IF(ISBLANK(Actuals!AE72),IF(AND(Projects!$G$11="Yes",26&gt;=Projects!$C$11,26&lt;Projects!$C$11+Projects!$D$11),6315.79,0),Actuals!AE72)</f>
        <v>6315.79</v>
      </c>
      <c r="AE249" s="13" t="n">
        <f aca="false">IF(ISBLANK(Actuals!AF72),IF(AND(Projects!$G$11="Yes",27&gt;=Projects!$C$11,27&lt;Projects!$C$11+Projects!$D$11),6315.79,0),Actuals!AF72)</f>
        <v>6315.79</v>
      </c>
      <c r="AF249" s="13" t="n">
        <f aca="false">IF(ISBLANK(Actuals!AG72),IF(AND(Projects!$G$11="Yes",28&gt;=Projects!$C$11,28&lt;Projects!$C$11+Projects!$D$11),6315.79,0),Actuals!AG72)</f>
        <v>6315.79</v>
      </c>
      <c r="AG249" s="13" t="n">
        <f aca="false">IF(ISBLANK(Actuals!AH72),IF(AND(Projects!$G$11="Yes",29&gt;=Projects!$C$11,29&lt;Projects!$C$11+Projects!$D$11),6315.79,0),Actuals!AH72)</f>
        <v>6315.79</v>
      </c>
      <c r="AH249" s="13" t="n">
        <f aca="false">IF(ISBLANK(Actuals!AI72),IF(AND(Projects!$G$11="Yes",30&gt;=Projects!$C$11,30&lt;Projects!$C$11+Projects!$D$11),6315.79,0),Actuals!AI72)</f>
        <v>0</v>
      </c>
      <c r="AI249" s="13" t="n">
        <f aca="false">IF(ISBLANK(Actuals!AJ72),IF(AND(Projects!$G$11="Yes",31&gt;=Projects!$C$11,31&lt;Projects!$C$11+Projects!$D$11),6315.79,0),Actuals!AJ72)</f>
        <v>0</v>
      </c>
      <c r="AJ249" s="13" t="n">
        <f aca="false">IF(ISBLANK(Actuals!AK72),IF(AND(Projects!$G$11="Yes",32&gt;=Projects!$C$11,32&lt;Projects!$C$11+Projects!$D$11),6315.79,0),Actuals!AK72)</f>
        <v>0</v>
      </c>
      <c r="AK249" s="13" t="n">
        <f aca="false">IF(ISBLANK(Actuals!AL72),IF(AND(Projects!$G$11="Yes",33&gt;=Projects!$C$11,33&lt;Projects!$C$11+Projects!$D$11),6315.79,0),Actuals!AL72)</f>
        <v>0</v>
      </c>
      <c r="AL249" s="13" t="n">
        <f aca="false">IF(ISBLANK(Actuals!AM72),IF(AND(Projects!$G$11="Yes",34&gt;=Projects!$C$11,34&lt;Projects!$C$11+Projects!$D$11),6315.79,0),Actuals!AM72)</f>
        <v>0</v>
      </c>
      <c r="AM249" s="13" t="n">
        <f aca="false">IF(ISBLANK(Actuals!AN72),IF(AND(Projects!$G$11="Yes",35&gt;=Projects!$C$11,35&lt;Projects!$C$11+Projects!$D$11),6315.79,0),Actuals!AN72)</f>
        <v>0</v>
      </c>
      <c r="AN249" s="13" t="n">
        <f aca="false">IF(ISBLANK(Actuals!AO72),IF(AND(Projects!$G$11="Yes",36&gt;=Projects!$C$11,36&lt;Projects!$C$11+Projects!$D$11),6315.79,0),Actuals!AO72)</f>
        <v>0</v>
      </c>
      <c r="AO249" s="13" t="n">
        <f aca="false">IF(ISBLANK(Actuals!AP72),IF(AND(Projects!$G$11="Yes",37&gt;=Projects!$C$11,37&lt;Projects!$C$11+Projects!$D$11),6315.79,0),Actuals!AP72)</f>
        <v>0</v>
      </c>
      <c r="AP249" s="13" t="n">
        <f aca="false">IF(ISBLANK(Actuals!AQ72),IF(AND(Projects!$G$11="Yes",38&gt;=Projects!$C$11,38&lt;Projects!$C$11+Projects!$D$11),6315.79,0),Actuals!AQ72)</f>
        <v>0</v>
      </c>
      <c r="AQ249" s="13" t="n">
        <f aca="false">IF(ISBLANK(Actuals!AR72),IF(AND(Projects!$G$11="Yes",39&gt;=Projects!$C$11,39&lt;Projects!$C$11+Projects!$D$11),6315.79,0),Actuals!AR72)</f>
        <v>0</v>
      </c>
      <c r="AR249" s="13" t="n">
        <f aca="false">IF(ISBLANK(Actuals!AS72),IF(AND(Projects!$G$11="Yes",40&gt;=Projects!$C$11,40&lt;Projects!$C$11+Projects!$D$11),6315.79,0),Actuals!AS72)</f>
        <v>0</v>
      </c>
      <c r="AS249" s="13" t="n">
        <f aca="false">IF(ISBLANK(Actuals!AT72),IF(AND(Projects!$G$11="Yes",41&gt;=Projects!$C$11,41&lt;Projects!$C$11+Projects!$D$11),6315.79,0),Actuals!AT72)</f>
        <v>0</v>
      </c>
      <c r="AT249" s="13" t="n">
        <f aca="false">IF(ISBLANK(Actuals!AU72),IF(AND(Projects!$G$11="Yes",42&gt;=Projects!$C$11,42&lt;Projects!$C$11+Projects!$D$11),6315.79,0),Actuals!AU72)</f>
        <v>0</v>
      </c>
      <c r="AU249" s="13" t="n">
        <f aca="false">IF(ISBLANK(Actuals!AV72),IF(AND(Projects!$G$11="Yes",43&gt;=Projects!$C$11,43&lt;Projects!$C$11+Projects!$D$11),6315.79,0),Actuals!AV72)</f>
        <v>0</v>
      </c>
      <c r="AV249" s="13" t="n">
        <f aca="false">IF(ISBLANK(Actuals!AW72),IF(AND(Projects!$G$11="Yes",44&gt;=Projects!$C$11,44&lt;Projects!$C$11+Projects!$D$11),6315.79,0),Actuals!AW72)</f>
        <v>0</v>
      </c>
      <c r="AW249" s="13" t="n">
        <f aca="false">IF(ISBLANK(Actuals!AX72),IF(AND(Projects!$G$11="Yes",45&gt;=Projects!$C$11,45&lt;Projects!$C$11+Projects!$D$11),6315.79,0),Actuals!AX72)</f>
        <v>0</v>
      </c>
      <c r="AX249" s="13" t="n">
        <f aca="false">IF(ISBLANK(Actuals!AY72),IF(AND(Projects!$G$11="Yes",46&gt;=Projects!$C$11,46&lt;Projects!$C$11+Projects!$D$11),6315.79,0),Actuals!AY72)</f>
        <v>0</v>
      </c>
      <c r="AY249" s="13" t="n">
        <f aca="false">IF(ISBLANK(Actuals!AZ72),IF(AND(Projects!$G$11="Yes",47&gt;=Projects!$C$11,47&lt;Projects!$C$11+Projects!$D$11),6315.79,0),Actuals!AZ72)</f>
        <v>0</v>
      </c>
      <c r="AZ249" s="13" t="n">
        <f aca="false">IF(ISBLANK(Actuals!BA72),IF(AND(Projects!$G$11="Yes",48&gt;=Projects!$C$11,48&lt;Projects!$C$11+Projects!$D$11),6315.79,0),Actuals!BA72)</f>
        <v>0</v>
      </c>
      <c r="BA249" s="13" t="n">
        <f aca="false">IF(ISBLANK(Actuals!BB72),IF(AND(Projects!$G$11="Yes",49&gt;=Projects!$C$11,49&lt;Projects!$C$11+Projects!$D$11),6315.79,0),Actuals!BB72)</f>
        <v>0</v>
      </c>
      <c r="BB249" s="13" t="n">
        <f aca="false">IF(ISBLANK(Actuals!BC72),IF(AND(Projects!$G$11="Yes",50&gt;=Projects!$C$11,50&lt;Projects!$C$11+Projects!$D$11),6315.79,0),Actuals!BC72)</f>
        <v>0</v>
      </c>
      <c r="BC249" s="13" t="n">
        <f aca="false">IF(ISBLANK(Actuals!BD72),IF(AND(Projects!$G$11="Yes",51&gt;=Projects!$C$11,51&lt;Projects!$C$11+Projects!$D$11),6315.79,0),Actuals!BD72)</f>
        <v>0</v>
      </c>
      <c r="BD249" s="13" t="n">
        <f aca="false">IF(ISBLANK(Actuals!BE72),IF(AND(Projects!$G$11="Yes",52&gt;=Projects!$C$11,52&lt;Projects!$C$11+Projects!$D$11),6315.79,0),Actuals!BE72)</f>
        <v>0</v>
      </c>
      <c r="BE249" s="13" t="n">
        <f aca="false">IF(ISBLANK(Actuals!BF72),IF(AND(Projects!$G$11="Yes",53&gt;=Projects!$C$11,53&lt;Projects!$C$11+Projects!$D$11),6315.79,0),Actuals!BF72)</f>
        <v>0</v>
      </c>
      <c r="BF249" s="13" t="n">
        <f aca="false">IF(ISBLANK(Actuals!BG72),IF(AND(Projects!$G$11="Yes",54&gt;=Projects!$C$11,54&lt;Projects!$C$11+Projects!$D$11),6315.79,0),Actuals!BG72)</f>
        <v>0</v>
      </c>
      <c r="BG249" s="13" t="n">
        <f aca="false">IF(ISBLANK(Actuals!BH72),IF(AND(Projects!$G$11="Yes",55&gt;=Projects!$C$11,55&lt;Projects!$C$11+Projects!$D$11),6315.79,0),Actuals!BH72)</f>
        <v>0</v>
      </c>
      <c r="BH249" s="13" t="n">
        <f aca="false">IF(ISBLANK(Actuals!BI72),IF(AND(Projects!$G$11="Yes",56&gt;=Projects!$C$11,56&lt;Projects!$C$11+Projects!$D$11),6315.79,0),Actuals!BI72)</f>
        <v>0</v>
      </c>
      <c r="BI249" s="13" t="n">
        <f aca="false">IF(ISBLANK(Actuals!BJ72),IF(AND(Projects!$G$11="Yes",57&gt;=Projects!$C$11,57&lt;Projects!$C$11+Projects!$D$11),6315.79,0),Actuals!BJ72)</f>
        <v>0</v>
      </c>
      <c r="BJ249" s="13" t="n">
        <f aca="false">IF(ISBLANK(Actuals!BK72),IF(AND(Projects!$G$11="Yes",58&gt;=Projects!$C$11,58&lt;Projects!$C$11+Projects!$D$11),6315.79,0),Actuals!BK72)</f>
        <v>0</v>
      </c>
      <c r="BK249" s="13" t="n">
        <f aca="false">IF(ISBLANK(Actuals!BL72),IF(AND(Projects!$G$11="Yes",59&gt;=Projects!$C$11,59&lt;Projects!$C$11+Projects!$D$11),6315.79,0),Actuals!BL72)</f>
        <v>0</v>
      </c>
      <c r="BL249" s="13" t="n">
        <f aca="false">IF(ISBLANK(Actuals!BM72),IF(AND(Projects!$G$11="Yes",60&gt;=Projects!$C$11,60&lt;Projects!$C$11+Projects!$D$11),6315.79,0),Actuals!BM72)</f>
        <v>0</v>
      </c>
      <c r="BM249" s="13" t="n">
        <f aca="false">IF(ISBLANK(Actuals!BN72),IF(AND(Projects!$G$11="Yes",61&gt;=Projects!$C$11,61&lt;Projects!$C$11+Projects!$D$11),6315.79,0),Actuals!BN72)</f>
        <v>0</v>
      </c>
      <c r="BN249" s="13" t="n">
        <f aca="false">IF(ISBLANK(Actuals!BO72),IF(AND(Projects!$G$11="Yes",62&gt;=Projects!$C$11,62&lt;Projects!$C$11+Projects!$D$11),6315.79,0),Actuals!BO72)</f>
        <v>0</v>
      </c>
      <c r="BO249" s="13" t="n">
        <f aca="false">IF(ISBLANK(Actuals!BP72),IF(AND(Projects!$G$11="Yes",63&gt;=Projects!$C$11,63&lt;Projects!$C$11+Projects!$D$11),6315.79,0),Actuals!BP72)</f>
        <v>0</v>
      </c>
      <c r="BP249" s="13" t="n">
        <f aca="false">IF(ISBLANK(Actuals!BQ72),IF(AND(Projects!$G$11="Yes",64&gt;=Projects!$C$11,64&lt;Projects!$C$11+Projects!$D$11),6315.79,0),Actuals!BQ72)</f>
        <v>0</v>
      </c>
      <c r="BQ249" s="13" t="n">
        <f aca="false">IF(ISBLANK(Actuals!BR72),IF(AND(Projects!$G$11="Yes",65&gt;=Projects!$C$11,65&lt;Projects!$C$11+Projects!$D$11),6315.79,0),Actuals!BR72)</f>
        <v>0</v>
      </c>
      <c r="BR249" s="13" t="n">
        <f aca="false">IF(ISBLANK(Actuals!BS72),IF(AND(Projects!$G$11="Yes",66&gt;=Projects!$C$11,66&lt;Projects!$C$11+Projects!$D$11),6315.79,0),Actuals!BS72)</f>
        <v>0</v>
      </c>
      <c r="BS249" s="13" t="n">
        <f aca="false">IF(ISBLANK(Actuals!BT72),IF(AND(Projects!$G$11="Yes",67&gt;=Projects!$C$11,67&lt;Projects!$C$11+Projects!$D$11),6315.79,0),Actuals!BT72)</f>
        <v>0</v>
      </c>
      <c r="BT249" s="13" t="n">
        <f aca="false">IF(ISBLANK(Actuals!BU72),IF(AND(Projects!$G$11="Yes",68&gt;=Projects!$C$11,68&lt;Projects!$C$11+Projects!$D$11),6315.79,0),Actuals!BU72)</f>
        <v>0</v>
      </c>
      <c r="BU249" s="13" t="n">
        <f aca="false">IF(ISBLANK(Actuals!BV72),IF(AND(Projects!$G$11="Yes",69&gt;=Projects!$C$11,69&lt;Projects!$C$11+Projects!$D$11),6315.79,0),Actuals!BV72)</f>
        <v>0</v>
      </c>
      <c r="BV249" s="13" t="n">
        <f aca="false">IF(ISBLANK(Actuals!BW72),IF(AND(Projects!$G$11="Yes",70&gt;=Projects!$C$11,70&lt;Projects!$C$11+Projects!$D$11),6315.79,0),Actuals!BW72)</f>
        <v>0</v>
      </c>
      <c r="BW249" s="13" t="n">
        <f aca="false">IF(ISBLANK(Actuals!BX72),IF(AND(Projects!$G$11="Yes",71&gt;=Projects!$C$11,71&lt;Projects!$C$11+Projects!$D$11),6315.79,0),Actuals!BX72)</f>
        <v>0</v>
      </c>
      <c r="BX249" s="13" t="n">
        <f aca="false">IF(ISBLANK(Actuals!BY72),IF(AND(Projects!$G$11="Yes",72&gt;=Projects!$C$11,72&lt;Projects!$C$11+Projects!$D$11),6315.79,0),Actuals!BY72)</f>
        <v>0</v>
      </c>
      <c r="BY249" s="13" t="n">
        <f aca="false">IF(ISBLANK(Actuals!BZ72),IF(AND(Projects!$G$11="Yes",73&gt;=Projects!$C$11,73&lt;Projects!$C$11+Projects!$D$11),6315.79,0),Actuals!BZ72)</f>
        <v>0</v>
      </c>
      <c r="BZ249" s="13" t="n">
        <f aca="false">IF(ISBLANK(Actuals!CA72),IF(AND(Projects!$G$11="Yes",74&gt;=Projects!$C$11,74&lt;Projects!$C$11+Projects!$D$11),6315.79,0),Actuals!CA72)</f>
        <v>0</v>
      </c>
      <c r="CA249" s="13" t="n">
        <f aca="false">IF(ISBLANK(Actuals!CB72),IF(AND(Projects!$G$11="Yes",75&gt;=Projects!$C$11,75&lt;Projects!$C$11+Projects!$D$11),6315.79,0),Actuals!CB72)</f>
        <v>0</v>
      </c>
      <c r="CB249" s="13" t="n">
        <f aca="false">IF(ISBLANK(Actuals!CC72),IF(AND(Projects!$G$11="Yes",76&gt;=Projects!$C$11,76&lt;Projects!$C$11+Projects!$D$11),6315.79,0),Actuals!CC72)</f>
        <v>0</v>
      </c>
      <c r="CC249" s="13" t="n">
        <f aca="false">IF(ISBLANK(Actuals!CD72),IF(AND(Projects!$G$11="Yes",77&gt;=Projects!$C$11,77&lt;Projects!$C$11+Projects!$D$11),6315.79,0),Actuals!CD72)</f>
        <v>0</v>
      </c>
      <c r="CD249" s="13" t="n">
        <f aca="false">IF(ISBLANK(Actuals!CE72),IF(AND(Projects!$G$11="Yes",78&gt;=Projects!$C$11,78&lt;Projects!$C$11+Projects!$D$11),6315.79,0),Actuals!CE72)</f>
        <v>0</v>
      </c>
      <c r="CE249" s="13" t="n">
        <f aca="false">IF(ISBLANK(Actuals!CF72),IF(AND(Projects!$G$11="Yes",79&gt;=Projects!$C$11,79&lt;Projects!$C$11+Projects!$D$11),6315.79,0),Actuals!CF72)</f>
        <v>0</v>
      </c>
      <c r="CF249" s="13" t="n">
        <f aca="false">IF(ISBLANK(Actuals!CG72),IF(AND(Projects!$G$11="Yes",80&gt;=Projects!$C$11,80&lt;Projects!$C$11+Projects!$D$11),6315.79,0),Actuals!CG72)</f>
        <v>0</v>
      </c>
      <c r="CG249" s="13" t="n">
        <f aca="false">IF(ISBLANK(Actuals!CH72),IF(AND(Projects!$G$11="Yes",81&gt;=Projects!$C$11,81&lt;Projects!$C$11+Projects!$D$11),6315.79,0),Actuals!CH72)</f>
        <v>0</v>
      </c>
      <c r="CH249" s="13" t="n">
        <f aca="false">IF(ISBLANK(Actuals!CI72),IF(AND(Projects!$G$11="Yes",82&gt;=Projects!$C$11,82&lt;Projects!$C$11+Projects!$D$11),6315.79,0),Actuals!CI72)</f>
        <v>0</v>
      </c>
      <c r="CI249" s="13" t="n">
        <f aca="false">IF(ISBLANK(Actuals!CJ72),IF(AND(Projects!$G$11="Yes",83&gt;=Projects!$C$11,83&lt;Projects!$C$11+Projects!$D$11),6315.79,0),Actuals!CJ72)</f>
        <v>0</v>
      </c>
      <c r="CJ249" s="13" t="n">
        <f aca="false">IF(ISBLANK(Actuals!CK72),IF(AND(Projects!$G$11="Yes",84&gt;=Projects!$C$11,84&lt;Projects!$C$11+Projects!$D$11),6315.79,0),Actuals!CK72)</f>
        <v>0</v>
      </c>
      <c r="CK249" s="13" t="n">
        <f aca="false">IF(ISBLANK(Actuals!CL72),IF(AND(Projects!$G$11="Yes",85&gt;=Projects!$C$11,85&lt;Projects!$C$11+Projects!$D$11),6315.79,0),Actuals!CL72)</f>
        <v>0</v>
      </c>
      <c r="CL249" s="13" t="n">
        <f aca="false">IF(ISBLANK(Actuals!CM72),IF(AND(Projects!$G$11="Yes",86&gt;=Projects!$C$11,86&lt;Projects!$C$11+Projects!$D$11),6315.79,0),Actuals!CM72)</f>
        <v>0</v>
      </c>
      <c r="CM249" s="13" t="n">
        <f aca="false">IF(ISBLANK(Actuals!CN72),IF(AND(Projects!$G$11="Yes",87&gt;=Projects!$C$11,87&lt;Projects!$C$11+Projects!$D$11),6315.79,0),Actuals!CN72)</f>
        <v>0</v>
      </c>
      <c r="CN249" s="13" t="n">
        <f aca="false">IF(ISBLANK(Actuals!CO72),IF(AND(Projects!$G$11="Yes",88&gt;=Projects!$C$11,88&lt;Projects!$C$11+Projects!$D$11),6315.79,0),Actuals!CO72)</f>
        <v>0</v>
      </c>
      <c r="CO249" s="13" t="n">
        <f aca="false">IF(ISBLANK(Actuals!CP72),IF(AND(Projects!$G$11="Yes",89&gt;=Projects!$C$11,89&lt;Projects!$C$11+Projects!$D$11),6315.79,0),Actuals!CP72)</f>
        <v>0</v>
      </c>
      <c r="CP249" s="13" t="n">
        <f aca="false">IF(ISBLANK(Actuals!CQ72),IF(AND(Projects!$G$11="Yes",90&gt;=Projects!$C$11,90&lt;Projects!$C$11+Projects!$D$11),6315.79,0),Actuals!CQ72)</f>
        <v>0</v>
      </c>
      <c r="CQ249" s="13" t="n">
        <f aca="false">IF(ISBLANK(Actuals!CR72),IF(AND(Projects!$G$11="Yes",91&gt;=Projects!$C$11,91&lt;Projects!$C$11+Projects!$D$11),6315.79,0),Actuals!CR72)</f>
        <v>0</v>
      </c>
      <c r="CR249" s="13" t="n">
        <f aca="false">IF(ISBLANK(Actuals!CS72),IF(AND(Projects!$G$11="Yes",92&gt;=Projects!$C$11,92&lt;Projects!$C$11+Projects!$D$11),6315.79,0),Actuals!CS72)</f>
        <v>0</v>
      </c>
      <c r="CS249" s="13" t="n">
        <f aca="false">IF(ISBLANK(Actuals!CT72),IF(AND(Projects!$G$11="Yes",93&gt;=Projects!$C$11,93&lt;Projects!$C$11+Projects!$D$11),6315.79,0),Actuals!CT72)</f>
        <v>0</v>
      </c>
      <c r="CT249" s="13" t="n">
        <f aca="false">IF(ISBLANK(Actuals!CU72),IF(AND(Projects!$G$11="Yes",94&gt;=Projects!$C$11,94&lt;Projects!$C$11+Projects!$D$11),6315.79,0),Actuals!CU72)</f>
        <v>0</v>
      </c>
      <c r="CU249" s="13" t="n">
        <f aca="false">IF(ISBLANK(Actuals!CV72),IF(AND(Projects!$G$11="Yes",95&gt;=Projects!$C$11,95&lt;Projects!$C$11+Projects!$D$11),6315.79,0),Actuals!CV72)</f>
        <v>0</v>
      </c>
      <c r="CV249" s="13" t="n">
        <f aca="false">IF(ISBLANK(Actuals!CW72),IF(AND(Projects!$G$11="Yes",96&gt;=Projects!$C$11,96&lt;Projects!$C$11+Projects!$D$11),6315.79,0),Actuals!CW72)</f>
        <v>0</v>
      </c>
      <c r="CW249" s="13" t="n">
        <f aca="false">IF(ISBLANK(Actuals!CX72),IF(AND(Projects!$G$11="Yes",97&gt;=Projects!$C$11,97&lt;Projects!$C$11+Projects!$D$11),6315.79,0),Actuals!CX72)</f>
        <v>0</v>
      </c>
      <c r="CX249" s="13" t="n">
        <f aca="false">IF(ISBLANK(Actuals!CY72),IF(AND(Projects!$G$11="Yes",98&gt;=Projects!$C$11,98&lt;Projects!$C$11+Projects!$D$11),6315.79,0),Actuals!CY72)</f>
        <v>0</v>
      </c>
      <c r="CY249" s="13" t="n">
        <f aca="false">IF(ISBLANK(Actuals!CZ72),IF(AND(Projects!$G$11="Yes",99&gt;=Projects!$C$11,99&lt;Projects!$C$11+Projects!$D$11),6315.79,0),Actuals!CZ72)</f>
        <v>0</v>
      </c>
      <c r="CZ249" s="13" t="n">
        <f aca="false">IF(ISBLANK(Actuals!DA72),IF(AND(Projects!$G$11="Yes",100&gt;=Projects!$C$11,100&lt;Projects!$C$11+Projects!$D$11),6315.79,0),Actuals!DA72)</f>
        <v>0</v>
      </c>
      <c r="DA249" s="13" t="n">
        <f aca="false">IF(ISBLANK(Actuals!DB72),IF(AND(Projects!$G$11="Yes",101&gt;=Projects!$C$11,101&lt;Projects!$C$11+Projects!$D$11),6315.79,0),Actuals!DB72)</f>
        <v>0</v>
      </c>
      <c r="DB249" s="13" t="n">
        <f aca="false">IF(ISBLANK(Actuals!DC72),IF(AND(Projects!$G$11="Yes",102&gt;=Projects!$C$11,102&lt;Projects!$C$11+Projects!$D$11),6315.79,0),Actuals!DC72)</f>
        <v>0</v>
      </c>
      <c r="DC249" s="13" t="n">
        <f aca="false">IF(ISBLANK(Actuals!DD72),IF(AND(Projects!$G$11="Yes",103&gt;=Projects!$C$11,103&lt;Projects!$C$11+Projects!$D$11),6315.79,0),Actuals!DD72)</f>
        <v>0</v>
      </c>
      <c r="DD249" s="13" t="n">
        <f aca="false">IF(ISBLANK(Actuals!DE72),IF(AND(Projects!$G$11="Yes",104&gt;=Projects!$C$11,104&lt;Projects!$C$11+Projects!$D$11),6315.79,0),Actuals!DE72)</f>
        <v>0</v>
      </c>
      <c r="DE249" s="13" t="n">
        <f aca="false">IF(ISBLANK(Actuals!DF72),IF(AND(Projects!$G$11="Yes",105&gt;=Projects!$C$11,105&lt;Projects!$C$11+Projects!$D$11),6315.79,0),Actuals!DF72)</f>
        <v>0</v>
      </c>
    </row>
    <row r="250" customFormat="false" ht="15" hidden="false" customHeight="true" outlineLevel="0" collapsed="false">
      <c r="A250" s="22" t="s">
        <v>110</v>
      </c>
      <c r="B250" s="13" t="n">
        <f aca="false">IF(ISBLANK(Actuals!C73),IF(AND(Projects!$G$11="Yes",-2=Projects!$C$11),253980,0),Actuals!C73)</f>
        <v>0</v>
      </c>
      <c r="C250" s="13" t="n">
        <f aca="false">IF(ISBLANK(Actuals!D73),IF(AND(Projects!$G$11="Yes",-1=Projects!$C$11),253980,0),Actuals!D73)</f>
        <v>0</v>
      </c>
      <c r="D250" s="13" t="n">
        <f aca="false">IF(ISBLANK(Actuals!E73),IF(AND(Projects!$G$11="Yes",0=Projects!$C$11),253980,0),Actuals!E73)</f>
        <v>0</v>
      </c>
      <c r="E250" s="13" t="n">
        <f aca="false">IF(ISBLANK(Actuals!F73),IF(AND(Projects!$G$11="Yes",1=Projects!$C$11),253980,0),Actuals!F73)</f>
        <v>0</v>
      </c>
      <c r="F250" s="13" t="n">
        <f aca="false">IF(ISBLANK(Actuals!G73),IF(AND(Projects!$G$11="Yes",2=Projects!$C$11),253980,0),Actuals!G73)</f>
        <v>0</v>
      </c>
      <c r="G250" s="13" t="n">
        <f aca="false">IF(ISBLANK(Actuals!H73),IF(AND(Projects!$G$11="Yes",3=Projects!$C$11),253980,0),Actuals!H73)</f>
        <v>0</v>
      </c>
      <c r="H250" s="13" t="n">
        <f aca="false">IF(ISBLANK(Actuals!I73),IF(AND(Projects!$G$11="Yes",4=Projects!$C$11),253980,0),Actuals!I73)</f>
        <v>0</v>
      </c>
      <c r="I250" s="13" t="n">
        <f aca="false">IF(ISBLANK(Actuals!J73),IF(AND(Projects!$G$11="Yes",5=Projects!$C$11),253980,0),Actuals!J73)</f>
        <v>0</v>
      </c>
      <c r="J250" s="13" t="n">
        <f aca="false">IF(ISBLANK(Actuals!K73),IF(AND(Projects!$G$11="Yes",6=Projects!$C$11),253980,0),Actuals!K73)</f>
        <v>0</v>
      </c>
      <c r="K250" s="13" t="n">
        <f aca="false">IF(ISBLANK(Actuals!L73),IF(AND(Projects!$G$11="Yes",7=Projects!$C$11),253980,0),Actuals!L73)</f>
        <v>0</v>
      </c>
      <c r="L250" s="13" t="n">
        <f aca="false">IF(ISBLANK(Actuals!M73),IF(AND(Projects!$G$11="Yes",8=Projects!$C$11),253980,0),Actuals!M73)</f>
        <v>0</v>
      </c>
      <c r="M250" s="13" t="n">
        <f aca="false">IF(ISBLANK(Actuals!N73),IF(AND(Projects!$G$11="Yes",9=Projects!$C$11),253980,0),Actuals!N73)</f>
        <v>0</v>
      </c>
      <c r="N250" s="13" t="n">
        <f aca="false">IF(ISBLANK(Actuals!O73),IF(AND(Projects!$G$11="Yes",10=Projects!$C$11),253980,0),Actuals!O73)</f>
        <v>0</v>
      </c>
      <c r="O250" s="13" t="n">
        <f aca="false">IF(ISBLANK(Actuals!P73),IF(AND(Projects!$G$11="Yes",11=Projects!$C$11),253980,0),Actuals!P73)</f>
        <v>253980</v>
      </c>
      <c r="P250" s="13" t="n">
        <f aca="false">IF(ISBLANK(Actuals!Q73),IF(AND(Projects!$G$11="Yes",12=Projects!$C$11),253980,0),Actuals!Q73)</f>
        <v>0</v>
      </c>
      <c r="Q250" s="13" t="n">
        <f aca="false">IF(ISBLANK(Actuals!R73),IF(AND(Projects!$G$11="Yes",13=Projects!$C$11),253980,0),Actuals!R73)</f>
        <v>0</v>
      </c>
      <c r="R250" s="13" t="n">
        <f aca="false">IF(ISBLANK(Actuals!S73),IF(AND(Projects!$G$11="Yes",14=Projects!$C$11),253980,0),Actuals!S73)</f>
        <v>0</v>
      </c>
      <c r="S250" s="13" t="n">
        <f aca="false">IF(ISBLANK(Actuals!T73),IF(AND(Projects!$G$11="Yes",15=Projects!$C$11),253980,0),Actuals!T73)</f>
        <v>0</v>
      </c>
      <c r="T250" s="13" t="n">
        <f aca="false">IF(ISBLANK(Actuals!U73),IF(AND(Projects!$G$11="Yes",16=Projects!$C$11),253980,0),Actuals!U73)</f>
        <v>0</v>
      </c>
      <c r="U250" s="13" t="n">
        <f aca="false">IF(ISBLANK(Actuals!V73),IF(AND(Projects!$G$11="Yes",17=Projects!$C$11),253980,0),Actuals!V73)</f>
        <v>0</v>
      </c>
      <c r="V250" s="13" t="n">
        <f aca="false">IF(ISBLANK(Actuals!W73),IF(AND(Projects!$G$11="Yes",18=Projects!$C$11),253980,0),Actuals!W73)</f>
        <v>0</v>
      </c>
      <c r="W250" s="13" t="n">
        <f aca="false">IF(ISBLANK(Actuals!X73),IF(AND(Projects!$G$11="Yes",19=Projects!$C$11),253980,0),Actuals!X73)</f>
        <v>0</v>
      </c>
      <c r="X250" s="13" t="n">
        <f aca="false">IF(ISBLANK(Actuals!Y73),IF(AND(Projects!$G$11="Yes",20=Projects!$C$11),253980,0),Actuals!Y73)</f>
        <v>0</v>
      </c>
      <c r="Y250" s="13" t="n">
        <f aca="false">IF(ISBLANK(Actuals!Z73),IF(AND(Projects!$G$11="Yes",21=Projects!$C$11),253980,0),Actuals!Z73)</f>
        <v>0</v>
      </c>
      <c r="Z250" s="13" t="n">
        <f aca="false">IF(ISBLANK(Actuals!AA73),IF(AND(Projects!$G$11="Yes",22=Projects!$C$11),253980,0),Actuals!AA73)</f>
        <v>0</v>
      </c>
      <c r="AA250" s="13" t="n">
        <f aca="false">IF(ISBLANK(Actuals!AB73),IF(AND(Projects!$G$11="Yes",23=Projects!$C$11),253980,0),Actuals!AB73)</f>
        <v>0</v>
      </c>
      <c r="AB250" s="13" t="n">
        <f aca="false">IF(ISBLANK(Actuals!AC73),IF(AND(Projects!$G$11="Yes",24=Projects!$C$11),253980,0),Actuals!AC73)</f>
        <v>0</v>
      </c>
      <c r="AC250" s="13" t="n">
        <f aca="false">IF(ISBLANK(Actuals!AD73),IF(AND(Projects!$G$11="Yes",25=Projects!$C$11),253980,0),Actuals!AD73)</f>
        <v>0</v>
      </c>
      <c r="AD250" s="13" t="n">
        <f aca="false">IF(ISBLANK(Actuals!AE73),IF(AND(Projects!$G$11="Yes",26=Projects!$C$11),253980,0),Actuals!AE73)</f>
        <v>0</v>
      </c>
      <c r="AE250" s="13" t="n">
        <f aca="false">IF(ISBLANK(Actuals!AF73),IF(AND(Projects!$G$11="Yes",27=Projects!$C$11),253980,0),Actuals!AF73)</f>
        <v>0</v>
      </c>
      <c r="AF250" s="13" t="n">
        <f aca="false">IF(ISBLANK(Actuals!AG73),IF(AND(Projects!$G$11="Yes",28=Projects!$C$11),253980,0),Actuals!AG73)</f>
        <v>0</v>
      </c>
      <c r="AG250" s="13" t="n">
        <f aca="false">IF(ISBLANK(Actuals!AH73),IF(AND(Projects!$G$11="Yes",29=Projects!$C$11),253980,0),Actuals!AH73)</f>
        <v>0</v>
      </c>
      <c r="AH250" s="13" t="n">
        <f aca="false">IF(ISBLANK(Actuals!AI73),IF(AND(Projects!$G$11="Yes",30=Projects!$C$11),253980,0),Actuals!AI73)</f>
        <v>0</v>
      </c>
      <c r="AI250" s="13" t="n">
        <f aca="false">IF(ISBLANK(Actuals!AJ73),IF(AND(Projects!$G$11="Yes",31=Projects!$C$11),253980,0),Actuals!AJ73)</f>
        <v>0</v>
      </c>
      <c r="AJ250" s="13" t="n">
        <f aca="false">IF(ISBLANK(Actuals!AK73),IF(AND(Projects!$G$11="Yes",32=Projects!$C$11),253980,0),Actuals!AK73)</f>
        <v>0</v>
      </c>
      <c r="AK250" s="13" t="n">
        <f aca="false">IF(ISBLANK(Actuals!AL73),IF(AND(Projects!$G$11="Yes",33=Projects!$C$11),253980,0),Actuals!AL73)</f>
        <v>0</v>
      </c>
      <c r="AL250" s="13" t="n">
        <f aca="false">IF(ISBLANK(Actuals!AM73),IF(AND(Projects!$G$11="Yes",34=Projects!$C$11),253980,0),Actuals!AM73)</f>
        <v>0</v>
      </c>
      <c r="AM250" s="13" t="n">
        <f aca="false">IF(ISBLANK(Actuals!AN73),IF(AND(Projects!$G$11="Yes",35=Projects!$C$11),253980,0),Actuals!AN73)</f>
        <v>0</v>
      </c>
      <c r="AN250" s="13" t="n">
        <f aca="false">IF(ISBLANK(Actuals!AO73),IF(AND(Projects!$G$11="Yes",36=Projects!$C$11),253980,0),Actuals!AO73)</f>
        <v>0</v>
      </c>
      <c r="AO250" s="13" t="n">
        <f aca="false">IF(ISBLANK(Actuals!AP73),IF(AND(Projects!$G$11="Yes",37=Projects!$C$11),253980,0),Actuals!AP73)</f>
        <v>0</v>
      </c>
      <c r="AP250" s="13" t="n">
        <f aca="false">IF(ISBLANK(Actuals!AQ73),IF(AND(Projects!$G$11="Yes",38=Projects!$C$11),253980,0),Actuals!AQ73)</f>
        <v>0</v>
      </c>
      <c r="AQ250" s="13" t="n">
        <f aca="false">IF(ISBLANK(Actuals!AR73),IF(AND(Projects!$G$11="Yes",39=Projects!$C$11),253980,0),Actuals!AR73)</f>
        <v>0</v>
      </c>
      <c r="AR250" s="13" t="n">
        <f aca="false">IF(ISBLANK(Actuals!AS73),IF(AND(Projects!$G$11="Yes",40=Projects!$C$11),253980,0),Actuals!AS73)</f>
        <v>0</v>
      </c>
      <c r="AS250" s="13" t="n">
        <f aca="false">IF(ISBLANK(Actuals!AT73),IF(AND(Projects!$G$11="Yes",41=Projects!$C$11),253980,0),Actuals!AT73)</f>
        <v>0</v>
      </c>
      <c r="AT250" s="13" t="n">
        <f aca="false">IF(ISBLANK(Actuals!AU73),IF(AND(Projects!$G$11="Yes",42=Projects!$C$11),253980,0),Actuals!AU73)</f>
        <v>0</v>
      </c>
      <c r="AU250" s="13" t="n">
        <f aca="false">IF(ISBLANK(Actuals!AV73),IF(AND(Projects!$G$11="Yes",43=Projects!$C$11),253980,0),Actuals!AV73)</f>
        <v>0</v>
      </c>
      <c r="AV250" s="13" t="n">
        <f aca="false">IF(ISBLANK(Actuals!AW73),IF(AND(Projects!$G$11="Yes",44=Projects!$C$11),253980,0),Actuals!AW73)</f>
        <v>0</v>
      </c>
      <c r="AW250" s="13" t="n">
        <f aca="false">IF(ISBLANK(Actuals!AX73),IF(AND(Projects!$G$11="Yes",45=Projects!$C$11),253980,0),Actuals!AX73)</f>
        <v>0</v>
      </c>
      <c r="AX250" s="13" t="n">
        <f aca="false">IF(ISBLANK(Actuals!AY73),IF(AND(Projects!$G$11="Yes",46=Projects!$C$11),253980,0),Actuals!AY73)</f>
        <v>0</v>
      </c>
      <c r="AY250" s="13" t="n">
        <f aca="false">IF(ISBLANK(Actuals!AZ73),IF(AND(Projects!$G$11="Yes",47=Projects!$C$11),253980,0),Actuals!AZ73)</f>
        <v>0</v>
      </c>
      <c r="AZ250" s="13" t="n">
        <f aca="false">IF(ISBLANK(Actuals!BA73),IF(AND(Projects!$G$11="Yes",48=Projects!$C$11),253980,0),Actuals!BA73)</f>
        <v>0</v>
      </c>
      <c r="BA250" s="13" t="n">
        <f aca="false">IF(ISBLANK(Actuals!BB73),IF(AND(Projects!$G$11="Yes",49=Projects!$C$11),253980,0),Actuals!BB73)</f>
        <v>0</v>
      </c>
      <c r="BB250" s="13" t="n">
        <f aca="false">IF(ISBLANK(Actuals!BC73),IF(AND(Projects!$G$11="Yes",50=Projects!$C$11),253980,0),Actuals!BC73)</f>
        <v>0</v>
      </c>
      <c r="BC250" s="13" t="n">
        <f aca="false">IF(ISBLANK(Actuals!BD73),IF(AND(Projects!$G$11="Yes",51=Projects!$C$11),253980,0),Actuals!BD73)</f>
        <v>0</v>
      </c>
      <c r="BD250" s="13" t="n">
        <f aca="false">IF(ISBLANK(Actuals!BE73),IF(AND(Projects!$G$11="Yes",52=Projects!$C$11),253980,0),Actuals!BE73)</f>
        <v>0</v>
      </c>
      <c r="BE250" s="13" t="n">
        <f aca="false">IF(ISBLANK(Actuals!BF73),IF(AND(Projects!$G$11="Yes",53=Projects!$C$11),253980,0),Actuals!BF73)</f>
        <v>0</v>
      </c>
      <c r="BF250" s="13" t="n">
        <f aca="false">IF(ISBLANK(Actuals!BG73),IF(AND(Projects!$G$11="Yes",54=Projects!$C$11),253980,0),Actuals!BG73)</f>
        <v>0</v>
      </c>
      <c r="BG250" s="13" t="n">
        <f aca="false">IF(ISBLANK(Actuals!BH73),IF(AND(Projects!$G$11="Yes",55=Projects!$C$11),253980,0),Actuals!BH73)</f>
        <v>0</v>
      </c>
      <c r="BH250" s="13" t="n">
        <f aca="false">IF(ISBLANK(Actuals!BI73),IF(AND(Projects!$G$11="Yes",56=Projects!$C$11),253980,0),Actuals!BI73)</f>
        <v>0</v>
      </c>
      <c r="BI250" s="13" t="n">
        <f aca="false">IF(ISBLANK(Actuals!BJ73),IF(AND(Projects!$G$11="Yes",57=Projects!$C$11),253980,0),Actuals!BJ73)</f>
        <v>0</v>
      </c>
      <c r="BJ250" s="13" t="n">
        <f aca="false">IF(ISBLANK(Actuals!BK73),IF(AND(Projects!$G$11="Yes",58=Projects!$C$11),253980,0),Actuals!BK73)</f>
        <v>0</v>
      </c>
      <c r="BK250" s="13" t="n">
        <f aca="false">IF(ISBLANK(Actuals!BL73),IF(AND(Projects!$G$11="Yes",59=Projects!$C$11),253980,0),Actuals!BL73)</f>
        <v>0</v>
      </c>
      <c r="BL250" s="13" t="n">
        <f aca="false">IF(ISBLANK(Actuals!BM73),IF(AND(Projects!$G$11="Yes",60=Projects!$C$11),253980,0),Actuals!BM73)</f>
        <v>0</v>
      </c>
      <c r="BM250" s="13" t="n">
        <f aca="false">IF(ISBLANK(Actuals!BN73),IF(AND(Projects!$G$11="Yes",61=Projects!$C$11),253980,0),Actuals!BN73)</f>
        <v>0</v>
      </c>
      <c r="BN250" s="13" t="n">
        <f aca="false">IF(ISBLANK(Actuals!BO73),IF(AND(Projects!$G$11="Yes",62=Projects!$C$11),253980,0),Actuals!BO73)</f>
        <v>0</v>
      </c>
      <c r="BO250" s="13" t="n">
        <f aca="false">IF(ISBLANK(Actuals!BP73),IF(AND(Projects!$G$11="Yes",63=Projects!$C$11),253980,0),Actuals!BP73)</f>
        <v>0</v>
      </c>
      <c r="BP250" s="13" t="n">
        <f aca="false">IF(ISBLANK(Actuals!BQ73),IF(AND(Projects!$G$11="Yes",64=Projects!$C$11),253980,0),Actuals!BQ73)</f>
        <v>0</v>
      </c>
      <c r="BQ250" s="13" t="n">
        <f aca="false">IF(ISBLANK(Actuals!BR73),IF(AND(Projects!$G$11="Yes",65=Projects!$C$11),253980,0),Actuals!BR73)</f>
        <v>0</v>
      </c>
      <c r="BR250" s="13" t="n">
        <f aca="false">IF(ISBLANK(Actuals!BS73),IF(AND(Projects!$G$11="Yes",66=Projects!$C$11),253980,0),Actuals!BS73)</f>
        <v>0</v>
      </c>
      <c r="BS250" s="13" t="n">
        <f aca="false">IF(ISBLANK(Actuals!BT73),IF(AND(Projects!$G$11="Yes",67=Projects!$C$11),253980,0),Actuals!BT73)</f>
        <v>0</v>
      </c>
      <c r="BT250" s="13" t="n">
        <f aca="false">IF(ISBLANK(Actuals!BU73),IF(AND(Projects!$G$11="Yes",68=Projects!$C$11),253980,0),Actuals!BU73)</f>
        <v>0</v>
      </c>
      <c r="BU250" s="13" t="n">
        <f aca="false">IF(ISBLANK(Actuals!BV73),IF(AND(Projects!$G$11="Yes",69=Projects!$C$11),253980,0),Actuals!BV73)</f>
        <v>0</v>
      </c>
      <c r="BV250" s="13" t="n">
        <f aca="false">IF(ISBLANK(Actuals!BW73),IF(AND(Projects!$G$11="Yes",70=Projects!$C$11),253980,0),Actuals!BW73)</f>
        <v>0</v>
      </c>
      <c r="BW250" s="13" t="n">
        <f aca="false">IF(ISBLANK(Actuals!BX73),IF(AND(Projects!$G$11="Yes",71=Projects!$C$11),253980,0),Actuals!BX73)</f>
        <v>0</v>
      </c>
      <c r="BX250" s="13" t="n">
        <f aca="false">IF(ISBLANK(Actuals!BY73),IF(AND(Projects!$G$11="Yes",72=Projects!$C$11),253980,0),Actuals!BY73)</f>
        <v>0</v>
      </c>
      <c r="BY250" s="13" t="n">
        <f aca="false">IF(ISBLANK(Actuals!BZ73),IF(AND(Projects!$G$11="Yes",73=Projects!$C$11),253980,0),Actuals!BZ73)</f>
        <v>0</v>
      </c>
      <c r="BZ250" s="13" t="n">
        <f aca="false">IF(ISBLANK(Actuals!CA73),IF(AND(Projects!$G$11="Yes",74=Projects!$C$11),253980,0),Actuals!CA73)</f>
        <v>0</v>
      </c>
      <c r="CA250" s="13" t="n">
        <f aca="false">IF(ISBLANK(Actuals!CB73),IF(AND(Projects!$G$11="Yes",75=Projects!$C$11),253980,0),Actuals!CB73)</f>
        <v>0</v>
      </c>
      <c r="CB250" s="13" t="n">
        <f aca="false">IF(ISBLANK(Actuals!CC73),IF(AND(Projects!$G$11="Yes",76=Projects!$C$11),253980,0),Actuals!CC73)</f>
        <v>0</v>
      </c>
      <c r="CC250" s="13" t="n">
        <f aca="false">IF(ISBLANK(Actuals!CD73),IF(AND(Projects!$G$11="Yes",77=Projects!$C$11),253980,0),Actuals!CD73)</f>
        <v>0</v>
      </c>
      <c r="CD250" s="13" t="n">
        <f aca="false">IF(ISBLANK(Actuals!CE73),IF(AND(Projects!$G$11="Yes",78=Projects!$C$11),253980,0),Actuals!CE73)</f>
        <v>0</v>
      </c>
      <c r="CE250" s="13" t="n">
        <f aca="false">IF(ISBLANK(Actuals!CF73),IF(AND(Projects!$G$11="Yes",79=Projects!$C$11),253980,0),Actuals!CF73)</f>
        <v>0</v>
      </c>
      <c r="CF250" s="13" t="n">
        <f aca="false">IF(ISBLANK(Actuals!CG73),IF(AND(Projects!$G$11="Yes",80=Projects!$C$11),253980,0),Actuals!CG73)</f>
        <v>0</v>
      </c>
      <c r="CG250" s="13" t="n">
        <f aca="false">IF(ISBLANK(Actuals!CH73),IF(AND(Projects!$G$11="Yes",81=Projects!$C$11),253980,0),Actuals!CH73)</f>
        <v>0</v>
      </c>
      <c r="CH250" s="13" t="n">
        <f aca="false">IF(ISBLANK(Actuals!CI73),IF(AND(Projects!$G$11="Yes",82=Projects!$C$11),253980,0),Actuals!CI73)</f>
        <v>0</v>
      </c>
      <c r="CI250" s="13" t="n">
        <f aca="false">IF(ISBLANK(Actuals!CJ73),IF(AND(Projects!$G$11="Yes",83=Projects!$C$11),253980,0),Actuals!CJ73)</f>
        <v>0</v>
      </c>
      <c r="CJ250" s="13" t="n">
        <f aca="false">IF(ISBLANK(Actuals!CK73),IF(AND(Projects!$G$11="Yes",84=Projects!$C$11),253980,0),Actuals!CK73)</f>
        <v>0</v>
      </c>
      <c r="CK250" s="13" t="n">
        <f aca="false">IF(ISBLANK(Actuals!CL73),IF(AND(Projects!$G$11="Yes",85=Projects!$C$11),253980,0),Actuals!CL73)</f>
        <v>0</v>
      </c>
      <c r="CL250" s="13" t="n">
        <f aca="false">IF(ISBLANK(Actuals!CM73),IF(AND(Projects!$G$11="Yes",86=Projects!$C$11),253980,0),Actuals!CM73)</f>
        <v>0</v>
      </c>
      <c r="CM250" s="13" t="n">
        <f aca="false">IF(ISBLANK(Actuals!CN73),IF(AND(Projects!$G$11="Yes",87=Projects!$C$11),253980,0),Actuals!CN73)</f>
        <v>0</v>
      </c>
      <c r="CN250" s="13" t="n">
        <f aca="false">IF(ISBLANK(Actuals!CO73),IF(AND(Projects!$G$11="Yes",88=Projects!$C$11),253980,0),Actuals!CO73)</f>
        <v>0</v>
      </c>
      <c r="CO250" s="13" t="n">
        <f aca="false">IF(ISBLANK(Actuals!CP73),IF(AND(Projects!$G$11="Yes",89=Projects!$C$11),253980,0),Actuals!CP73)</f>
        <v>0</v>
      </c>
      <c r="CP250" s="13" t="n">
        <f aca="false">IF(ISBLANK(Actuals!CQ73),IF(AND(Projects!$G$11="Yes",90=Projects!$C$11),253980,0),Actuals!CQ73)</f>
        <v>0</v>
      </c>
      <c r="CQ250" s="13" t="n">
        <f aca="false">IF(ISBLANK(Actuals!CR73),IF(AND(Projects!$G$11="Yes",91=Projects!$C$11),253980,0),Actuals!CR73)</f>
        <v>0</v>
      </c>
      <c r="CR250" s="13" t="n">
        <f aca="false">IF(ISBLANK(Actuals!CS73),IF(AND(Projects!$G$11="Yes",92=Projects!$C$11),253980,0),Actuals!CS73)</f>
        <v>0</v>
      </c>
      <c r="CS250" s="13" t="n">
        <f aca="false">IF(ISBLANK(Actuals!CT73),IF(AND(Projects!$G$11="Yes",93=Projects!$C$11),253980,0),Actuals!CT73)</f>
        <v>0</v>
      </c>
      <c r="CT250" s="13" t="n">
        <f aca="false">IF(ISBLANK(Actuals!CU73),IF(AND(Projects!$G$11="Yes",94=Projects!$C$11),253980,0),Actuals!CU73)</f>
        <v>0</v>
      </c>
      <c r="CU250" s="13" t="n">
        <f aca="false">IF(ISBLANK(Actuals!CV73),IF(AND(Projects!$G$11="Yes",95=Projects!$C$11),253980,0),Actuals!CV73)</f>
        <v>0</v>
      </c>
      <c r="CV250" s="13" t="n">
        <f aca="false">IF(ISBLANK(Actuals!CW73),IF(AND(Projects!$G$11="Yes",96=Projects!$C$11),253980,0),Actuals!CW73)</f>
        <v>0</v>
      </c>
      <c r="CW250" s="13" t="n">
        <f aca="false">IF(ISBLANK(Actuals!CX73),IF(AND(Projects!$G$11="Yes",97=Projects!$C$11),253980,0),Actuals!CX73)</f>
        <v>0</v>
      </c>
      <c r="CX250" s="13" t="n">
        <f aca="false">IF(ISBLANK(Actuals!CY73),IF(AND(Projects!$G$11="Yes",98=Projects!$C$11),253980,0),Actuals!CY73)</f>
        <v>0</v>
      </c>
      <c r="CY250" s="13" t="n">
        <f aca="false">IF(ISBLANK(Actuals!CZ73),IF(AND(Projects!$G$11="Yes",99=Projects!$C$11),253980,0),Actuals!CZ73)</f>
        <v>0</v>
      </c>
      <c r="CZ250" s="13" t="n">
        <f aca="false">IF(ISBLANK(Actuals!DA73),IF(AND(Projects!$G$11="Yes",100=Projects!$C$11),253980,0),Actuals!DA73)</f>
        <v>0</v>
      </c>
      <c r="DA250" s="13" t="n">
        <f aca="false">IF(ISBLANK(Actuals!DB73),IF(AND(Projects!$G$11="Yes",101=Projects!$C$11),253980,0),Actuals!DB73)</f>
        <v>0</v>
      </c>
      <c r="DB250" s="13" t="n">
        <f aca="false">IF(ISBLANK(Actuals!DC73),IF(AND(Projects!$G$11="Yes",102=Projects!$C$11),253980,0),Actuals!DC73)</f>
        <v>0</v>
      </c>
      <c r="DC250" s="13" t="n">
        <f aca="false">IF(ISBLANK(Actuals!DD73),IF(AND(Projects!$G$11="Yes",103=Projects!$C$11),253980,0),Actuals!DD73)</f>
        <v>0</v>
      </c>
      <c r="DD250" s="13" t="n">
        <f aca="false">IF(ISBLANK(Actuals!DE73),IF(AND(Projects!$G$11="Yes",104=Projects!$C$11),253980,0),Actuals!DE73)</f>
        <v>0</v>
      </c>
      <c r="DE250" s="13" t="n">
        <f aca="false">IF(ISBLANK(Actuals!DF73),IF(AND(Projects!$G$11="Yes",105=Projects!$C$11),253980,0),Actuals!DF73)</f>
        <v>0</v>
      </c>
    </row>
    <row r="251" customFormat="false" ht="15" hidden="false" customHeight="true" outlineLevel="0" collapsed="false">
      <c r="A251" s="22" t="s">
        <v>111</v>
      </c>
      <c r="B251" s="13" t="n">
        <f aca="false">IF(ISBLANK(Actuals!C74),0,Actuals!C74)</f>
        <v>0</v>
      </c>
      <c r="C251" s="13" t="n">
        <f aca="false">IF(ISBLANK(Actuals!D74),0,Actuals!D74)</f>
        <v>0</v>
      </c>
      <c r="D251" s="13" t="n">
        <f aca="false">IF(ISBLANK(Actuals!E74),0,Actuals!E74)</f>
        <v>0</v>
      </c>
      <c r="E251" s="13" t="n">
        <f aca="false">IF(ISBLANK(Actuals!F74),IF(AND(Projects!$G$12="Yes",1&gt;=Projects!$C$12,1&lt;Projects!$C$12+Projects!$D$12),6315.79,0),Actuals!F74)</f>
        <v>0</v>
      </c>
      <c r="F251" s="13" t="n">
        <f aca="false">IF(ISBLANK(Actuals!G74),IF(AND(Projects!$G$12="Yes",2&gt;=Projects!$C$12,2&lt;Projects!$C$12+Projects!$D$12),6315.79,0),Actuals!G74)</f>
        <v>0</v>
      </c>
      <c r="G251" s="13" t="n">
        <f aca="false">IF(ISBLANK(Actuals!H74),IF(AND(Projects!$G$12="Yes",3&gt;=Projects!$C$12,3&lt;Projects!$C$12+Projects!$D$12),6315.79,0),Actuals!H74)</f>
        <v>0</v>
      </c>
      <c r="H251" s="13" t="n">
        <f aca="false">IF(ISBLANK(Actuals!I74),IF(AND(Projects!$G$12="Yes",4&gt;=Projects!$C$12,4&lt;Projects!$C$12+Projects!$D$12),6315.79,0),Actuals!I74)</f>
        <v>0</v>
      </c>
      <c r="I251" s="13" t="n">
        <f aca="false">IF(ISBLANK(Actuals!J74),IF(AND(Projects!$G$12="Yes",5&gt;=Projects!$C$12,5&lt;Projects!$C$12+Projects!$D$12),6315.79,0),Actuals!J74)</f>
        <v>0</v>
      </c>
      <c r="J251" s="13" t="n">
        <f aca="false">IF(ISBLANK(Actuals!K74),IF(AND(Projects!$G$12="Yes",6&gt;=Projects!$C$12,6&lt;Projects!$C$12+Projects!$D$12),6315.79,0),Actuals!K74)</f>
        <v>0</v>
      </c>
      <c r="K251" s="13" t="n">
        <f aca="false">IF(ISBLANK(Actuals!L74),IF(AND(Projects!$G$12="Yes",7&gt;=Projects!$C$12,7&lt;Projects!$C$12+Projects!$D$12),6315.79,0),Actuals!L74)</f>
        <v>0</v>
      </c>
      <c r="L251" s="13" t="n">
        <f aca="false">IF(ISBLANK(Actuals!M74),IF(AND(Projects!$G$12="Yes",8&gt;=Projects!$C$12,8&lt;Projects!$C$12+Projects!$D$12),6315.79,0),Actuals!M74)</f>
        <v>0</v>
      </c>
      <c r="M251" s="13" t="n">
        <f aca="false">IF(ISBLANK(Actuals!N74),IF(AND(Projects!$G$12="Yes",9&gt;=Projects!$C$12,9&lt;Projects!$C$12+Projects!$D$12),6315.79,0),Actuals!N74)</f>
        <v>0</v>
      </c>
      <c r="N251" s="13" t="n">
        <f aca="false">IF(ISBLANK(Actuals!O74),IF(AND(Projects!$G$12="Yes",10&gt;=Projects!$C$12,10&lt;Projects!$C$12+Projects!$D$12),6315.79,0),Actuals!O74)</f>
        <v>6315.79</v>
      </c>
      <c r="O251" s="13" t="n">
        <f aca="false">IF(ISBLANK(Actuals!P74),IF(AND(Projects!$G$12="Yes",11&gt;=Projects!$C$12,11&lt;Projects!$C$12+Projects!$D$12),6315.79,0),Actuals!P74)</f>
        <v>6315.79</v>
      </c>
      <c r="P251" s="13" t="n">
        <f aca="false">IF(ISBLANK(Actuals!Q74),IF(AND(Projects!$G$12="Yes",12&gt;=Projects!$C$12,12&lt;Projects!$C$12+Projects!$D$12),6315.79,0),Actuals!Q74)</f>
        <v>6315.79</v>
      </c>
      <c r="Q251" s="13" t="n">
        <f aca="false">IF(ISBLANK(Actuals!R74),IF(AND(Projects!$G$12="Yes",13&gt;=Projects!$C$12,13&lt;Projects!$C$12+Projects!$D$12),6315.79,0),Actuals!R74)</f>
        <v>6315.79</v>
      </c>
      <c r="R251" s="13" t="n">
        <f aca="false">IF(ISBLANK(Actuals!S74),IF(AND(Projects!$G$12="Yes",14&gt;=Projects!$C$12,14&lt;Projects!$C$12+Projects!$D$12),6315.79,0),Actuals!S74)</f>
        <v>6315.79</v>
      </c>
      <c r="S251" s="13" t="n">
        <f aca="false">IF(ISBLANK(Actuals!T74),IF(AND(Projects!$G$12="Yes",15&gt;=Projects!$C$12,15&lt;Projects!$C$12+Projects!$D$12),6315.79,0),Actuals!T74)</f>
        <v>6315.79</v>
      </c>
      <c r="T251" s="13" t="n">
        <f aca="false">IF(ISBLANK(Actuals!U74),IF(AND(Projects!$G$12="Yes",16&gt;=Projects!$C$12,16&lt;Projects!$C$12+Projects!$D$12),6315.79,0),Actuals!U74)</f>
        <v>6315.79</v>
      </c>
      <c r="U251" s="13" t="n">
        <f aca="false">IF(ISBLANK(Actuals!V74),IF(AND(Projects!$G$12="Yes",17&gt;=Projects!$C$12,17&lt;Projects!$C$12+Projects!$D$12),6315.79,0),Actuals!V74)</f>
        <v>6315.79</v>
      </c>
      <c r="V251" s="13" t="n">
        <f aca="false">IF(ISBLANK(Actuals!W74),IF(AND(Projects!$G$12="Yes",18&gt;=Projects!$C$12,18&lt;Projects!$C$12+Projects!$D$12),6315.79,0),Actuals!W74)</f>
        <v>6315.79</v>
      </c>
      <c r="W251" s="13" t="n">
        <f aca="false">IF(ISBLANK(Actuals!X74),IF(AND(Projects!$G$12="Yes",19&gt;=Projects!$C$12,19&lt;Projects!$C$12+Projects!$D$12),6315.79,0),Actuals!X74)</f>
        <v>6315.79</v>
      </c>
      <c r="X251" s="13" t="n">
        <f aca="false">IF(ISBLANK(Actuals!Y74),IF(AND(Projects!$G$12="Yes",20&gt;=Projects!$C$12,20&lt;Projects!$C$12+Projects!$D$12),6315.79,0),Actuals!Y74)</f>
        <v>6315.79</v>
      </c>
      <c r="Y251" s="13" t="n">
        <f aca="false">IF(ISBLANK(Actuals!Z74),IF(AND(Projects!$G$12="Yes",21&gt;=Projects!$C$12,21&lt;Projects!$C$12+Projects!$D$12),6315.79,0),Actuals!Z74)</f>
        <v>6315.79</v>
      </c>
      <c r="Z251" s="13" t="n">
        <f aca="false">IF(ISBLANK(Actuals!AA74),IF(AND(Projects!$G$12="Yes",22&gt;=Projects!$C$12,22&lt;Projects!$C$12+Projects!$D$12),6315.79,0),Actuals!AA74)</f>
        <v>6315.79</v>
      </c>
      <c r="AA251" s="13" t="n">
        <f aca="false">IF(ISBLANK(Actuals!AB74),IF(AND(Projects!$G$12="Yes",23&gt;=Projects!$C$12,23&lt;Projects!$C$12+Projects!$D$12),6315.79,0),Actuals!AB74)</f>
        <v>6315.79</v>
      </c>
      <c r="AB251" s="13" t="n">
        <f aca="false">IF(ISBLANK(Actuals!AC74),IF(AND(Projects!$G$12="Yes",24&gt;=Projects!$C$12,24&lt;Projects!$C$12+Projects!$D$12),6315.79,0),Actuals!AC74)</f>
        <v>6315.79</v>
      </c>
      <c r="AC251" s="13" t="n">
        <f aca="false">IF(ISBLANK(Actuals!AD74),IF(AND(Projects!$G$12="Yes",25&gt;=Projects!$C$12,25&lt;Projects!$C$12+Projects!$D$12),6315.79,0),Actuals!AD74)</f>
        <v>6315.79</v>
      </c>
      <c r="AD251" s="13" t="n">
        <f aca="false">IF(ISBLANK(Actuals!AE74),IF(AND(Projects!$G$12="Yes",26&gt;=Projects!$C$12,26&lt;Projects!$C$12+Projects!$D$12),6315.79,0),Actuals!AE74)</f>
        <v>6315.79</v>
      </c>
      <c r="AE251" s="13" t="n">
        <f aca="false">IF(ISBLANK(Actuals!AF74),IF(AND(Projects!$G$12="Yes",27&gt;=Projects!$C$12,27&lt;Projects!$C$12+Projects!$D$12),6315.79,0),Actuals!AF74)</f>
        <v>6315.79</v>
      </c>
      <c r="AF251" s="13" t="n">
        <f aca="false">IF(ISBLANK(Actuals!AG74),IF(AND(Projects!$G$12="Yes",28&gt;=Projects!$C$12,28&lt;Projects!$C$12+Projects!$D$12),6315.79,0),Actuals!AG74)</f>
        <v>6315.79</v>
      </c>
      <c r="AG251" s="13" t="n">
        <f aca="false">IF(ISBLANK(Actuals!AH74),IF(AND(Projects!$G$12="Yes",29&gt;=Projects!$C$12,29&lt;Projects!$C$12+Projects!$D$12),6315.79,0),Actuals!AH74)</f>
        <v>0</v>
      </c>
      <c r="AH251" s="13" t="n">
        <f aca="false">IF(ISBLANK(Actuals!AI74),IF(AND(Projects!$G$12="Yes",30&gt;=Projects!$C$12,30&lt;Projects!$C$12+Projects!$D$12),6315.79,0),Actuals!AI74)</f>
        <v>0</v>
      </c>
      <c r="AI251" s="13" t="n">
        <f aca="false">IF(ISBLANK(Actuals!AJ74),IF(AND(Projects!$G$12="Yes",31&gt;=Projects!$C$12,31&lt;Projects!$C$12+Projects!$D$12),6315.79,0),Actuals!AJ74)</f>
        <v>0</v>
      </c>
      <c r="AJ251" s="13" t="n">
        <f aca="false">IF(ISBLANK(Actuals!AK74),IF(AND(Projects!$G$12="Yes",32&gt;=Projects!$C$12,32&lt;Projects!$C$12+Projects!$D$12),6315.79,0),Actuals!AK74)</f>
        <v>0</v>
      </c>
      <c r="AK251" s="13" t="n">
        <f aca="false">IF(ISBLANK(Actuals!AL74),IF(AND(Projects!$G$12="Yes",33&gt;=Projects!$C$12,33&lt;Projects!$C$12+Projects!$D$12),6315.79,0),Actuals!AL74)</f>
        <v>0</v>
      </c>
      <c r="AL251" s="13" t="n">
        <f aca="false">IF(ISBLANK(Actuals!AM74),IF(AND(Projects!$G$12="Yes",34&gt;=Projects!$C$12,34&lt;Projects!$C$12+Projects!$D$12),6315.79,0),Actuals!AM74)</f>
        <v>0</v>
      </c>
      <c r="AM251" s="13" t="n">
        <f aca="false">IF(ISBLANK(Actuals!AN74),IF(AND(Projects!$G$12="Yes",35&gt;=Projects!$C$12,35&lt;Projects!$C$12+Projects!$D$12),6315.79,0),Actuals!AN74)</f>
        <v>0</v>
      </c>
      <c r="AN251" s="13" t="n">
        <f aca="false">IF(ISBLANK(Actuals!AO74),IF(AND(Projects!$G$12="Yes",36&gt;=Projects!$C$12,36&lt;Projects!$C$12+Projects!$D$12),6315.79,0),Actuals!AO74)</f>
        <v>0</v>
      </c>
      <c r="AO251" s="13" t="n">
        <f aca="false">IF(ISBLANK(Actuals!AP74),IF(AND(Projects!$G$12="Yes",37&gt;=Projects!$C$12,37&lt;Projects!$C$12+Projects!$D$12),6315.79,0),Actuals!AP74)</f>
        <v>0</v>
      </c>
      <c r="AP251" s="13" t="n">
        <f aca="false">IF(ISBLANK(Actuals!AQ74),IF(AND(Projects!$G$12="Yes",38&gt;=Projects!$C$12,38&lt;Projects!$C$12+Projects!$D$12),6315.79,0),Actuals!AQ74)</f>
        <v>0</v>
      </c>
      <c r="AQ251" s="13" t="n">
        <f aca="false">IF(ISBLANK(Actuals!AR74),IF(AND(Projects!$G$12="Yes",39&gt;=Projects!$C$12,39&lt;Projects!$C$12+Projects!$D$12),6315.79,0),Actuals!AR74)</f>
        <v>0</v>
      </c>
      <c r="AR251" s="13" t="n">
        <f aca="false">IF(ISBLANK(Actuals!AS74),IF(AND(Projects!$G$12="Yes",40&gt;=Projects!$C$12,40&lt;Projects!$C$12+Projects!$D$12),6315.79,0),Actuals!AS74)</f>
        <v>0</v>
      </c>
      <c r="AS251" s="13" t="n">
        <f aca="false">IF(ISBLANK(Actuals!AT74),IF(AND(Projects!$G$12="Yes",41&gt;=Projects!$C$12,41&lt;Projects!$C$12+Projects!$D$12),6315.79,0),Actuals!AT74)</f>
        <v>0</v>
      </c>
      <c r="AT251" s="13" t="n">
        <f aca="false">IF(ISBLANK(Actuals!AU74),IF(AND(Projects!$G$12="Yes",42&gt;=Projects!$C$12,42&lt;Projects!$C$12+Projects!$D$12),6315.79,0),Actuals!AU74)</f>
        <v>0</v>
      </c>
      <c r="AU251" s="13" t="n">
        <f aca="false">IF(ISBLANK(Actuals!AV74),IF(AND(Projects!$G$12="Yes",43&gt;=Projects!$C$12,43&lt;Projects!$C$12+Projects!$D$12),6315.79,0),Actuals!AV74)</f>
        <v>0</v>
      </c>
      <c r="AV251" s="13" t="n">
        <f aca="false">IF(ISBLANK(Actuals!AW74),IF(AND(Projects!$G$12="Yes",44&gt;=Projects!$C$12,44&lt;Projects!$C$12+Projects!$D$12),6315.79,0),Actuals!AW74)</f>
        <v>0</v>
      </c>
      <c r="AW251" s="13" t="n">
        <f aca="false">IF(ISBLANK(Actuals!AX74),IF(AND(Projects!$G$12="Yes",45&gt;=Projects!$C$12,45&lt;Projects!$C$12+Projects!$D$12),6315.79,0),Actuals!AX74)</f>
        <v>0</v>
      </c>
      <c r="AX251" s="13" t="n">
        <f aca="false">IF(ISBLANK(Actuals!AY74),IF(AND(Projects!$G$12="Yes",46&gt;=Projects!$C$12,46&lt;Projects!$C$12+Projects!$D$12),6315.79,0),Actuals!AY74)</f>
        <v>0</v>
      </c>
      <c r="AY251" s="13" t="n">
        <f aca="false">IF(ISBLANK(Actuals!AZ74),IF(AND(Projects!$G$12="Yes",47&gt;=Projects!$C$12,47&lt;Projects!$C$12+Projects!$D$12),6315.79,0),Actuals!AZ74)</f>
        <v>0</v>
      </c>
      <c r="AZ251" s="13" t="n">
        <f aca="false">IF(ISBLANK(Actuals!BA74),IF(AND(Projects!$G$12="Yes",48&gt;=Projects!$C$12,48&lt;Projects!$C$12+Projects!$D$12),6315.79,0),Actuals!BA74)</f>
        <v>0</v>
      </c>
      <c r="BA251" s="13" t="n">
        <f aca="false">IF(ISBLANK(Actuals!BB74),IF(AND(Projects!$G$12="Yes",49&gt;=Projects!$C$12,49&lt;Projects!$C$12+Projects!$D$12),6315.79,0),Actuals!BB74)</f>
        <v>0</v>
      </c>
      <c r="BB251" s="13" t="n">
        <f aca="false">IF(ISBLANK(Actuals!BC74),IF(AND(Projects!$G$12="Yes",50&gt;=Projects!$C$12,50&lt;Projects!$C$12+Projects!$D$12),6315.79,0),Actuals!BC74)</f>
        <v>0</v>
      </c>
      <c r="BC251" s="13" t="n">
        <f aca="false">IF(ISBLANK(Actuals!BD74),IF(AND(Projects!$G$12="Yes",51&gt;=Projects!$C$12,51&lt;Projects!$C$12+Projects!$D$12),6315.79,0),Actuals!BD74)</f>
        <v>0</v>
      </c>
      <c r="BD251" s="13" t="n">
        <f aca="false">IF(ISBLANK(Actuals!BE74),IF(AND(Projects!$G$12="Yes",52&gt;=Projects!$C$12,52&lt;Projects!$C$12+Projects!$D$12),6315.79,0),Actuals!BE74)</f>
        <v>0</v>
      </c>
      <c r="BE251" s="13" t="n">
        <f aca="false">IF(ISBLANK(Actuals!BF74),IF(AND(Projects!$G$12="Yes",53&gt;=Projects!$C$12,53&lt;Projects!$C$12+Projects!$D$12),6315.79,0),Actuals!BF74)</f>
        <v>0</v>
      </c>
      <c r="BF251" s="13" t="n">
        <f aca="false">IF(ISBLANK(Actuals!BG74),IF(AND(Projects!$G$12="Yes",54&gt;=Projects!$C$12,54&lt;Projects!$C$12+Projects!$D$12),6315.79,0),Actuals!BG74)</f>
        <v>0</v>
      </c>
      <c r="BG251" s="13" t="n">
        <f aca="false">IF(ISBLANK(Actuals!BH74),IF(AND(Projects!$G$12="Yes",55&gt;=Projects!$C$12,55&lt;Projects!$C$12+Projects!$D$12),6315.79,0),Actuals!BH74)</f>
        <v>0</v>
      </c>
      <c r="BH251" s="13" t="n">
        <f aca="false">IF(ISBLANK(Actuals!BI74),IF(AND(Projects!$G$12="Yes",56&gt;=Projects!$C$12,56&lt;Projects!$C$12+Projects!$D$12),6315.79,0),Actuals!BI74)</f>
        <v>0</v>
      </c>
      <c r="BI251" s="13" t="n">
        <f aca="false">IF(ISBLANK(Actuals!BJ74),IF(AND(Projects!$G$12="Yes",57&gt;=Projects!$C$12,57&lt;Projects!$C$12+Projects!$D$12),6315.79,0),Actuals!BJ74)</f>
        <v>0</v>
      </c>
      <c r="BJ251" s="13" t="n">
        <f aca="false">IF(ISBLANK(Actuals!BK74),IF(AND(Projects!$G$12="Yes",58&gt;=Projects!$C$12,58&lt;Projects!$C$12+Projects!$D$12),6315.79,0),Actuals!BK74)</f>
        <v>0</v>
      </c>
      <c r="BK251" s="13" t="n">
        <f aca="false">IF(ISBLANK(Actuals!BL74),IF(AND(Projects!$G$12="Yes",59&gt;=Projects!$C$12,59&lt;Projects!$C$12+Projects!$D$12),6315.79,0),Actuals!BL74)</f>
        <v>0</v>
      </c>
      <c r="BL251" s="13" t="n">
        <f aca="false">IF(ISBLANK(Actuals!BM74),IF(AND(Projects!$G$12="Yes",60&gt;=Projects!$C$12,60&lt;Projects!$C$12+Projects!$D$12),6315.79,0),Actuals!BM74)</f>
        <v>0</v>
      </c>
      <c r="BM251" s="13" t="n">
        <f aca="false">IF(ISBLANK(Actuals!BN74),IF(AND(Projects!$G$12="Yes",61&gt;=Projects!$C$12,61&lt;Projects!$C$12+Projects!$D$12),6315.79,0),Actuals!BN74)</f>
        <v>0</v>
      </c>
      <c r="BN251" s="13" t="n">
        <f aca="false">IF(ISBLANK(Actuals!BO74),IF(AND(Projects!$G$12="Yes",62&gt;=Projects!$C$12,62&lt;Projects!$C$12+Projects!$D$12),6315.79,0),Actuals!BO74)</f>
        <v>0</v>
      </c>
      <c r="BO251" s="13" t="n">
        <f aca="false">IF(ISBLANK(Actuals!BP74),IF(AND(Projects!$G$12="Yes",63&gt;=Projects!$C$12,63&lt;Projects!$C$12+Projects!$D$12),6315.79,0),Actuals!BP74)</f>
        <v>0</v>
      </c>
      <c r="BP251" s="13" t="n">
        <f aca="false">IF(ISBLANK(Actuals!BQ74),IF(AND(Projects!$G$12="Yes",64&gt;=Projects!$C$12,64&lt;Projects!$C$12+Projects!$D$12),6315.79,0),Actuals!BQ74)</f>
        <v>0</v>
      </c>
      <c r="BQ251" s="13" t="n">
        <f aca="false">IF(ISBLANK(Actuals!BR74),IF(AND(Projects!$G$12="Yes",65&gt;=Projects!$C$12,65&lt;Projects!$C$12+Projects!$D$12),6315.79,0),Actuals!BR74)</f>
        <v>0</v>
      </c>
      <c r="BR251" s="13" t="n">
        <f aca="false">IF(ISBLANK(Actuals!BS74),IF(AND(Projects!$G$12="Yes",66&gt;=Projects!$C$12,66&lt;Projects!$C$12+Projects!$D$12),6315.79,0),Actuals!BS74)</f>
        <v>0</v>
      </c>
      <c r="BS251" s="13" t="n">
        <f aca="false">IF(ISBLANK(Actuals!BT74),IF(AND(Projects!$G$12="Yes",67&gt;=Projects!$C$12,67&lt;Projects!$C$12+Projects!$D$12),6315.79,0),Actuals!BT74)</f>
        <v>0</v>
      </c>
      <c r="BT251" s="13" t="n">
        <f aca="false">IF(ISBLANK(Actuals!BU74),IF(AND(Projects!$G$12="Yes",68&gt;=Projects!$C$12,68&lt;Projects!$C$12+Projects!$D$12),6315.79,0),Actuals!BU74)</f>
        <v>0</v>
      </c>
      <c r="BU251" s="13" t="n">
        <f aca="false">IF(ISBLANK(Actuals!BV74),IF(AND(Projects!$G$12="Yes",69&gt;=Projects!$C$12,69&lt;Projects!$C$12+Projects!$D$12),6315.79,0),Actuals!BV74)</f>
        <v>0</v>
      </c>
      <c r="BV251" s="13" t="n">
        <f aca="false">IF(ISBLANK(Actuals!BW74),IF(AND(Projects!$G$12="Yes",70&gt;=Projects!$C$12,70&lt;Projects!$C$12+Projects!$D$12),6315.79,0),Actuals!BW74)</f>
        <v>0</v>
      </c>
      <c r="BW251" s="13" t="n">
        <f aca="false">IF(ISBLANK(Actuals!BX74),IF(AND(Projects!$G$12="Yes",71&gt;=Projects!$C$12,71&lt;Projects!$C$12+Projects!$D$12),6315.79,0),Actuals!BX74)</f>
        <v>0</v>
      </c>
      <c r="BX251" s="13" t="n">
        <f aca="false">IF(ISBLANK(Actuals!BY74),IF(AND(Projects!$G$12="Yes",72&gt;=Projects!$C$12,72&lt;Projects!$C$12+Projects!$D$12),6315.79,0),Actuals!BY74)</f>
        <v>0</v>
      </c>
      <c r="BY251" s="13" t="n">
        <f aca="false">IF(ISBLANK(Actuals!BZ74),IF(AND(Projects!$G$12="Yes",73&gt;=Projects!$C$12,73&lt;Projects!$C$12+Projects!$D$12),6315.79,0),Actuals!BZ74)</f>
        <v>0</v>
      </c>
      <c r="BZ251" s="13" t="n">
        <f aca="false">IF(ISBLANK(Actuals!CA74),IF(AND(Projects!$G$12="Yes",74&gt;=Projects!$C$12,74&lt;Projects!$C$12+Projects!$D$12),6315.79,0),Actuals!CA74)</f>
        <v>0</v>
      </c>
      <c r="CA251" s="13" t="n">
        <f aca="false">IF(ISBLANK(Actuals!CB74),IF(AND(Projects!$G$12="Yes",75&gt;=Projects!$C$12,75&lt;Projects!$C$12+Projects!$D$12),6315.79,0),Actuals!CB74)</f>
        <v>0</v>
      </c>
      <c r="CB251" s="13" t="n">
        <f aca="false">IF(ISBLANK(Actuals!CC74),IF(AND(Projects!$G$12="Yes",76&gt;=Projects!$C$12,76&lt;Projects!$C$12+Projects!$D$12),6315.79,0),Actuals!CC74)</f>
        <v>0</v>
      </c>
      <c r="CC251" s="13" t="n">
        <f aca="false">IF(ISBLANK(Actuals!CD74),IF(AND(Projects!$G$12="Yes",77&gt;=Projects!$C$12,77&lt;Projects!$C$12+Projects!$D$12),6315.79,0),Actuals!CD74)</f>
        <v>0</v>
      </c>
      <c r="CD251" s="13" t="n">
        <f aca="false">IF(ISBLANK(Actuals!CE74),IF(AND(Projects!$G$12="Yes",78&gt;=Projects!$C$12,78&lt;Projects!$C$12+Projects!$D$12),6315.79,0),Actuals!CE74)</f>
        <v>0</v>
      </c>
      <c r="CE251" s="13" t="n">
        <f aca="false">IF(ISBLANK(Actuals!CF74),IF(AND(Projects!$G$12="Yes",79&gt;=Projects!$C$12,79&lt;Projects!$C$12+Projects!$D$12),6315.79,0),Actuals!CF74)</f>
        <v>0</v>
      </c>
      <c r="CF251" s="13" t="n">
        <f aca="false">IF(ISBLANK(Actuals!CG74),IF(AND(Projects!$G$12="Yes",80&gt;=Projects!$C$12,80&lt;Projects!$C$12+Projects!$D$12),6315.79,0),Actuals!CG74)</f>
        <v>0</v>
      </c>
      <c r="CG251" s="13" t="n">
        <f aca="false">IF(ISBLANK(Actuals!CH74),IF(AND(Projects!$G$12="Yes",81&gt;=Projects!$C$12,81&lt;Projects!$C$12+Projects!$D$12),6315.79,0),Actuals!CH74)</f>
        <v>0</v>
      </c>
      <c r="CH251" s="13" t="n">
        <f aca="false">IF(ISBLANK(Actuals!CI74),IF(AND(Projects!$G$12="Yes",82&gt;=Projects!$C$12,82&lt;Projects!$C$12+Projects!$D$12),6315.79,0),Actuals!CI74)</f>
        <v>0</v>
      </c>
      <c r="CI251" s="13" t="n">
        <f aca="false">IF(ISBLANK(Actuals!CJ74),IF(AND(Projects!$G$12="Yes",83&gt;=Projects!$C$12,83&lt;Projects!$C$12+Projects!$D$12),6315.79,0),Actuals!CJ74)</f>
        <v>0</v>
      </c>
      <c r="CJ251" s="13" t="n">
        <f aca="false">IF(ISBLANK(Actuals!CK74),IF(AND(Projects!$G$12="Yes",84&gt;=Projects!$C$12,84&lt;Projects!$C$12+Projects!$D$12),6315.79,0),Actuals!CK74)</f>
        <v>0</v>
      </c>
      <c r="CK251" s="13" t="n">
        <f aca="false">IF(ISBLANK(Actuals!CL74),IF(AND(Projects!$G$12="Yes",85&gt;=Projects!$C$12,85&lt;Projects!$C$12+Projects!$D$12),6315.79,0),Actuals!CL74)</f>
        <v>0</v>
      </c>
      <c r="CL251" s="13" t="n">
        <f aca="false">IF(ISBLANK(Actuals!CM74),IF(AND(Projects!$G$12="Yes",86&gt;=Projects!$C$12,86&lt;Projects!$C$12+Projects!$D$12),6315.79,0),Actuals!CM74)</f>
        <v>0</v>
      </c>
      <c r="CM251" s="13" t="n">
        <f aca="false">IF(ISBLANK(Actuals!CN74),IF(AND(Projects!$G$12="Yes",87&gt;=Projects!$C$12,87&lt;Projects!$C$12+Projects!$D$12),6315.79,0),Actuals!CN74)</f>
        <v>0</v>
      </c>
      <c r="CN251" s="13" t="n">
        <f aca="false">IF(ISBLANK(Actuals!CO74),IF(AND(Projects!$G$12="Yes",88&gt;=Projects!$C$12,88&lt;Projects!$C$12+Projects!$D$12),6315.79,0),Actuals!CO74)</f>
        <v>0</v>
      </c>
      <c r="CO251" s="13" t="n">
        <f aca="false">IF(ISBLANK(Actuals!CP74),IF(AND(Projects!$G$12="Yes",89&gt;=Projects!$C$12,89&lt;Projects!$C$12+Projects!$D$12),6315.79,0),Actuals!CP74)</f>
        <v>0</v>
      </c>
      <c r="CP251" s="13" t="n">
        <f aca="false">IF(ISBLANK(Actuals!CQ74),IF(AND(Projects!$G$12="Yes",90&gt;=Projects!$C$12,90&lt;Projects!$C$12+Projects!$D$12),6315.79,0),Actuals!CQ74)</f>
        <v>0</v>
      </c>
      <c r="CQ251" s="13" t="n">
        <f aca="false">IF(ISBLANK(Actuals!CR74),IF(AND(Projects!$G$12="Yes",91&gt;=Projects!$C$12,91&lt;Projects!$C$12+Projects!$D$12),6315.79,0),Actuals!CR74)</f>
        <v>0</v>
      </c>
      <c r="CR251" s="13" t="n">
        <f aca="false">IF(ISBLANK(Actuals!CS74),IF(AND(Projects!$G$12="Yes",92&gt;=Projects!$C$12,92&lt;Projects!$C$12+Projects!$D$12),6315.79,0),Actuals!CS74)</f>
        <v>0</v>
      </c>
      <c r="CS251" s="13" t="n">
        <f aca="false">IF(ISBLANK(Actuals!CT74),IF(AND(Projects!$G$12="Yes",93&gt;=Projects!$C$12,93&lt;Projects!$C$12+Projects!$D$12),6315.79,0),Actuals!CT74)</f>
        <v>0</v>
      </c>
      <c r="CT251" s="13" t="n">
        <f aca="false">IF(ISBLANK(Actuals!CU74),IF(AND(Projects!$G$12="Yes",94&gt;=Projects!$C$12,94&lt;Projects!$C$12+Projects!$D$12),6315.79,0),Actuals!CU74)</f>
        <v>0</v>
      </c>
      <c r="CU251" s="13" t="n">
        <f aca="false">IF(ISBLANK(Actuals!CV74),IF(AND(Projects!$G$12="Yes",95&gt;=Projects!$C$12,95&lt;Projects!$C$12+Projects!$D$12),6315.79,0),Actuals!CV74)</f>
        <v>0</v>
      </c>
      <c r="CV251" s="13" t="n">
        <f aca="false">IF(ISBLANK(Actuals!CW74),IF(AND(Projects!$G$12="Yes",96&gt;=Projects!$C$12,96&lt;Projects!$C$12+Projects!$D$12),6315.79,0),Actuals!CW74)</f>
        <v>0</v>
      </c>
      <c r="CW251" s="13" t="n">
        <f aca="false">IF(ISBLANK(Actuals!CX74),IF(AND(Projects!$G$12="Yes",97&gt;=Projects!$C$12,97&lt;Projects!$C$12+Projects!$D$12),6315.79,0),Actuals!CX74)</f>
        <v>0</v>
      </c>
      <c r="CX251" s="13" t="n">
        <f aca="false">IF(ISBLANK(Actuals!CY74),IF(AND(Projects!$G$12="Yes",98&gt;=Projects!$C$12,98&lt;Projects!$C$12+Projects!$D$12),6315.79,0),Actuals!CY74)</f>
        <v>0</v>
      </c>
      <c r="CY251" s="13" t="n">
        <f aca="false">IF(ISBLANK(Actuals!CZ74),IF(AND(Projects!$G$12="Yes",99&gt;=Projects!$C$12,99&lt;Projects!$C$12+Projects!$D$12),6315.79,0),Actuals!CZ74)</f>
        <v>0</v>
      </c>
      <c r="CZ251" s="13" t="n">
        <f aca="false">IF(ISBLANK(Actuals!DA74),IF(AND(Projects!$G$12="Yes",100&gt;=Projects!$C$12,100&lt;Projects!$C$12+Projects!$D$12),6315.79,0),Actuals!DA74)</f>
        <v>0</v>
      </c>
      <c r="DA251" s="13" t="n">
        <f aca="false">IF(ISBLANK(Actuals!DB74),IF(AND(Projects!$G$12="Yes",101&gt;=Projects!$C$12,101&lt;Projects!$C$12+Projects!$D$12),6315.79,0),Actuals!DB74)</f>
        <v>0</v>
      </c>
      <c r="DB251" s="13" t="n">
        <f aca="false">IF(ISBLANK(Actuals!DC74),IF(AND(Projects!$G$12="Yes",102&gt;=Projects!$C$12,102&lt;Projects!$C$12+Projects!$D$12),6315.79,0),Actuals!DC74)</f>
        <v>0</v>
      </c>
      <c r="DC251" s="13" t="n">
        <f aca="false">IF(ISBLANK(Actuals!DD74),IF(AND(Projects!$G$12="Yes",103&gt;=Projects!$C$12,103&lt;Projects!$C$12+Projects!$D$12),6315.79,0),Actuals!DD74)</f>
        <v>0</v>
      </c>
      <c r="DD251" s="13" t="n">
        <f aca="false">IF(ISBLANK(Actuals!DE74),IF(AND(Projects!$G$12="Yes",104&gt;=Projects!$C$12,104&lt;Projects!$C$12+Projects!$D$12),6315.79,0),Actuals!DE74)</f>
        <v>0</v>
      </c>
      <c r="DE251" s="13" t="n">
        <f aca="false">IF(ISBLANK(Actuals!DF74),IF(AND(Projects!$G$12="Yes",105&gt;=Projects!$C$12,105&lt;Projects!$C$12+Projects!$D$12),6315.79,0),Actuals!DF74)</f>
        <v>0</v>
      </c>
    </row>
    <row r="252" customFormat="false" ht="15" hidden="false" customHeight="true" outlineLevel="0" collapsed="false">
      <c r="A252" s="22" t="s">
        <v>112</v>
      </c>
      <c r="B252" s="13" t="n">
        <f aca="false">IF(ISBLANK(Actuals!C75),0,Actuals!C75)</f>
        <v>0</v>
      </c>
      <c r="C252" s="13" t="n">
        <f aca="false">IF(ISBLANK(Actuals!D75),0,Actuals!D75)</f>
        <v>0</v>
      </c>
      <c r="D252" s="13" t="n">
        <f aca="false">IF(ISBLANK(Actuals!E75),0,Actuals!E75)</f>
        <v>0</v>
      </c>
      <c r="E252" s="13" t="n">
        <f aca="false">IF(ISBLANK(Actuals!F75),IF(AND(Projects!$G$12="Yes",1&gt;=Projects!$C$12,1&lt;Projects!$C$12+Projects!$D$12),4736.84,0),Actuals!F75)</f>
        <v>0</v>
      </c>
      <c r="F252" s="13" t="n">
        <f aca="false">IF(ISBLANK(Actuals!G75),IF(AND(Projects!$G$12="Yes",2&gt;=Projects!$C$12,2&lt;Projects!$C$12+Projects!$D$12),4736.84,0),Actuals!G75)</f>
        <v>0</v>
      </c>
      <c r="G252" s="13" t="n">
        <f aca="false">IF(ISBLANK(Actuals!H75),IF(AND(Projects!$G$12="Yes",3&gt;=Projects!$C$12,3&lt;Projects!$C$12+Projects!$D$12),4736.84,0),Actuals!H75)</f>
        <v>0</v>
      </c>
      <c r="H252" s="13" t="n">
        <f aca="false">IF(ISBLANK(Actuals!I75),IF(AND(Projects!$G$12="Yes",4&gt;=Projects!$C$12,4&lt;Projects!$C$12+Projects!$D$12),4736.84,0),Actuals!I75)</f>
        <v>0</v>
      </c>
      <c r="I252" s="13" t="n">
        <f aca="false">IF(ISBLANK(Actuals!J75),IF(AND(Projects!$G$12="Yes",5&gt;=Projects!$C$12,5&lt;Projects!$C$12+Projects!$D$12),4736.84,0),Actuals!J75)</f>
        <v>0</v>
      </c>
      <c r="J252" s="13" t="n">
        <f aca="false">IF(ISBLANK(Actuals!K75),IF(AND(Projects!$G$12="Yes",6&gt;=Projects!$C$12,6&lt;Projects!$C$12+Projects!$D$12),4736.84,0),Actuals!K75)</f>
        <v>0</v>
      </c>
      <c r="K252" s="13" t="n">
        <f aca="false">IF(ISBLANK(Actuals!L75),IF(AND(Projects!$G$12="Yes",7&gt;=Projects!$C$12,7&lt;Projects!$C$12+Projects!$D$12),4736.84,0),Actuals!L75)</f>
        <v>0</v>
      </c>
      <c r="L252" s="13" t="n">
        <f aca="false">IF(ISBLANK(Actuals!M75),IF(AND(Projects!$G$12="Yes",8&gt;=Projects!$C$12,8&lt;Projects!$C$12+Projects!$D$12),4736.84,0),Actuals!M75)</f>
        <v>0</v>
      </c>
      <c r="M252" s="13" t="n">
        <f aca="false">IF(ISBLANK(Actuals!N75),IF(AND(Projects!$G$12="Yes",9&gt;=Projects!$C$12,9&lt;Projects!$C$12+Projects!$D$12),4736.84,0),Actuals!N75)</f>
        <v>0</v>
      </c>
      <c r="N252" s="13" t="n">
        <f aca="false">IF(ISBLANK(Actuals!O75),IF(AND(Projects!$G$12="Yes",10&gt;=Projects!$C$12,10&lt;Projects!$C$12+Projects!$D$12),4736.84,0),Actuals!O75)</f>
        <v>4736.84</v>
      </c>
      <c r="O252" s="13" t="n">
        <f aca="false">IF(ISBLANK(Actuals!P75),IF(AND(Projects!$G$12="Yes",11&gt;=Projects!$C$12,11&lt;Projects!$C$12+Projects!$D$12),4736.84,0),Actuals!P75)</f>
        <v>4736.84</v>
      </c>
      <c r="P252" s="13" t="n">
        <f aca="false">IF(ISBLANK(Actuals!Q75),IF(AND(Projects!$G$12="Yes",12&gt;=Projects!$C$12,12&lt;Projects!$C$12+Projects!$D$12),4736.84,0),Actuals!Q75)</f>
        <v>4736.84</v>
      </c>
      <c r="Q252" s="13" t="n">
        <f aca="false">IF(ISBLANK(Actuals!R75),IF(AND(Projects!$G$12="Yes",13&gt;=Projects!$C$12,13&lt;Projects!$C$12+Projects!$D$12),4736.84,0),Actuals!R75)</f>
        <v>4736.84</v>
      </c>
      <c r="R252" s="13" t="n">
        <f aca="false">IF(ISBLANK(Actuals!S75),IF(AND(Projects!$G$12="Yes",14&gt;=Projects!$C$12,14&lt;Projects!$C$12+Projects!$D$12),4736.84,0),Actuals!S75)</f>
        <v>4736.84</v>
      </c>
      <c r="S252" s="13" t="n">
        <f aca="false">IF(ISBLANK(Actuals!T75),IF(AND(Projects!$G$12="Yes",15&gt;=Projects!$C$12,15&lt;Projects!$C$12+Projects!$D$12),4736.84,0),Actuals!T75)</f>
        <v>4736.84</v>
      </c>
      <c r="T252" s="13" t="n">
        <f aca="false">IF(ISBLANK(Actuals!U75),IF(AND(Projects!$G$12="Yes",16&gt;=Projects!$C$12,16&lt;Projects!$C$12+Projects!$D$12),4736.84,0),Actuals!U75)</f>
        <v>4736.84</v>
      </c>
      <c r="U252" s="13" t="n">
        <f aca="false">IF(ISBLANK(Actuals!V75),IF(AND(Projects!$G$12="Yes",17&gt;=Projects!$C$12,17&lt;Projects!$C$12+Projects!$D$12),4736.84,0),Actuals!V75)</f>
        <v>4736.84</v>
      </c>
      <c r="V252" s="13" t="n">
        <f aca="false">IF(ISBLANK(Actuals!W75),IF(AND(Projects!$G$12="Yes",18&gt;=Projects!$C$12,18&lt;Projects!$C$12+Projects!$D$12),4736.84,0),Actuals!W75)</f>
        <v>4736.84</v>
      </c>
      <c r="W252" s="13" t="n">
        <f aca="false">IF(ISBLANK(Actuals!X75),IF(AND(Projects!$G$12="Yes",19&gt;=Projects!$C$12,19&lt;Projects!$C$12+Projects!$D$12),4736.84,0),Actuals!X75)</f>
        <v>4736.84</v>
      </c>
      <c r="X252" s="13" t="n">
        <f aca="false">IF(ISBLANK(Actuals!Y75),IF(AND(Projects!$G$12="Yes",20&gt;=Projects!$C$12,20&lt;Projects!$C$12+Projects!$D$12),4736.84,0),Actuals!Y75)</f>
        <v>4736.84</v>
      </c>
      <c r="Y252" s="13" t="n">
        <f aca="false">IF(ISBLANK(Actuals!Z75),IF(AND(Projects!$G$12="Yes",21&gt;=Projects!$C$12,21&lt;Projects!$C$12+Projects!$D$12),4736.84,0),Actuals!Z75)</f>
        <v>4736.84</v>
      </c>
      <c r="Z252" s="13" t="n">
        <f aca="false">IF(ISBLANK(Actuals!AA75),IF(AND(Projects!$G$12="Yes",22&gt;=Projects!$C$12,22&lt;Projects!$C$12+Projects!$D$12),4736.84,0),Actuals!AA75)</f>
        <v>4736.84</v>
      </c>
      <c r="AA252" s="13" t="n">
        <f aca="false">IF(ISBLANK(Actuals!AB75),IF(AND(Projects!$G$12="Yes",23&gt;=Projects!$C$12,23&lt;Projects!$C$12+Projects!$D$12),4736.84,0),Actuals!AB75)</f>
        <v>4736.84</v>
      </c>
      <c r="AB252" s="13" t="n">
        <f aca="false">IF(ISBLANK(Actuals!AC75),IF(AND(Projects!$G$12="Yes",24&gt;=Projects!$C$12,24&lt;Projects!$C$12+Projects!$D$12),4736.84,0),Actuals!AC75)</f>
        <v>4736.84</v>
      </c>
      <c r="AC252" s="13" t="n">
        <f aca="false">IF(ISBLANK(Actuals!AD75),IF(AND(Projects!$G$12="Yes",25&gt;=Projects!$C$12,25&lt;Projects!$C$12+Projects!$D$12),4736.84,0),Actuals!AD75)</f>
        <v>4736.84</v>
      </c>
      <c r="AD252" s="13" t="n">
        <f aca="false">IF(ISBLANK(Actuals!AE75),IF(AND(Projects!$G$12="Yes",26&gt;=Projects!$C$12,26&lt;Projects!$C$12+Projects!$D$12),4736.84,0),Actuals!AE75)</f>
        <v>4736.84</v>
      </c>
      <c r="AE252" s="13" t="n">
        <f aca="false">IF(ISBLANK(Actuals!AF75),IF(AND(Projects!$G$12="Yes",27&gt;=Projects!$C$12,27&lt;Projects!$C$12+Projects!$D$12),4736.84,0),Actuals!AF75)</f>
        <v>4736.84</v>
      </c>
      <c r="AF252" s="13" t="n">
        <f aca="false">IF(ISBLANK(Actuals!AG75),IF(AND(Projects!$G$12="Yes",28&gt;=Projects!$C$12,28&lt;Projects!$C$12+Projects!$D$12),4736.84,0),Actuals!AG75)</f>
        <v>4736.84</v>
      </c>
      <c r="AG252" s="13" t="n">
        <f aca="false">IF(ISBLANK(Actuals!AH75),IF(AND(Projects!$G$12="Yes",29&gt;=Projects!$C$12,29&lt;Projects!$C$12+Projects!$D$12),4736.84,0),Actuals!AH75)</f>
        <v>0</v>
      </c>
      <c r="AH252" s="13" t="n">
        <f aca="false">IF(ISBLANK(Actuals!AI75),IF(AND(Projects!$G$12="Yes",30&gt;=Projects!$C$12,30&lt;Projects!$C$12+Projects!$D$12),4736.84,0),Actuals!AI75)</f>
        <v>0</v>
      </c>
      <c r="AI252" s="13" t="n">
        <f aca="false">IF(ISBLANK(Actuals!AJ75),IF(AND(Projects!$G$12="Yes",31&gt;=Projects!$C$12,31&lt;Projects!$C$12+Projects!$D$12),4736.84,0),Actuals!AJ75)</f>
        <v>0</v>
      </c>
      <c r="AJ252" s="13" t="n">
        <f aca="false">IF(ISBLANK(Actuals!AK75),IF(AND(Projects!$G$12="Yes",32&gt;=Projects!$C$12,32&lt;Projects!$C$12+Projects!$D$12),4736.84,0),Actuals!AK75)</f>
        <v>0</v>
      </c>
      <c r="AK252" s="13" t="n">
        <f aca="false">IF(ISBLANK(Actuals!AL75),IF(AND(Projects!$G$12="Yes",33&gt;=Projects!$C$12,33&lt;Projects!$C$12+Projects!$D$12),4736.84,0),Actuals!AL75)</f>
        <v>0</v>
      </c>
      <c r="AL252" s="13" t="n">
        <f aca="false">IF(ISBLANK(Actuals!AM75),IF(AND(Projects!$G$12="Yes",34&gt;=Projects!$C$12,34&lt;Projects!$C$12+Projects!$D$12),4736.84,0),Actuals!AM75)</f>
        <v>0</v>
      </c>
      <c r="AM252" s="13" t="n">
        <f aca="false">IF(ISBLANK(Actuals!AN75),IF(AND(Projects!$G$12="Yes",35&gt;=Projects!$C$12,35&lt;Projects!$C$12+Projects!$D$12),4736.84,0),Actuals!AN75)</f>
        <v>0</v>
      </c>
      <c r="AN252" s="13" t="n">
        <f aca="false">IF(ISBLANK(Actuals!AO75),IF(AND(Projects!$G$12="Yes",36&gt;=Projects!$C$12,36&lt;Projects!$C$12+Projects!$D$12),4736.84,0),Actuals!AO75)</f>
        <v>0</v>
      </c>
      <c r="AO252" s="13" t="n">
        <f aca="false">IF(ISBLANK(Actuals!AP75),IF(AND(Projects!$G$12="Yes",37&gt;=Projects!$C$12,37&lt;Projects!$C$12+Projects!$D$12),4736.84,0),Actuals!AP75)</f>
        <v>0</v>
      </c>
      <c r="AP252" s="13" t="n">
        <f aca="false">IF(ISBLANK(Actuals!AQ75),IF(AND(Projects!$G$12="Yes",38&gt;=Projects!$C$12,38&lt;Projects!$C$12+Projects!$D$12),4736.84,0),Actuals!AQ75)</f>
        <v>0</v>
      </c>
      <c r="AQ252" s="13" t="n">
        <f aca="false">IF(ISBLANK(Actuals!AR75),IF(AND(Projects!$G$12="Yes",39&gt;=Projects!$C$12,39&lt;Projects!$C$12+Projects!$D$12),4736.84,0),Actuals!AR75)</f>
        <v>0</v>
      </c>
      <c r="AR252" s="13" t="n">
        <f aca="false">IF(ISBLANK(Actuals!AS75),IF(AND(Projects!$G$12="Yes",40&gt;=Projects!$C$12,40&lt;Projects!$C$12+Projects!$D$12),4736.84,0),Actuals!AS75)</f>
        <v>0</v>
      </c>
      <c r="AS252" s="13" t="n">
        <f aca="false">IF(ISBLANK(Actuals!AT75),IF(AND(Projects!$G$12="Yes",41&gt;=Projects!$C$12,41&lt;Projects!$C$12+Projects!$D$12),4736.84,0),Actuals!AT75)</f>
        <v>0</v>
      </c>
      <c r="AT252" s="13" t="n">
        <f aca="false">IF(ISBLANK(Actuals!AU75),IF(AND(Projects!$G$12="Yes",42&gt;=Projects!$C$12,42&lt;Projects!$C$12+Projects!$D$12),4736.84,0),Actuals!AU75)</f>
        <v>0</v>
      </c>
      <c r="AU252" s="13" t="n">
        <f aca="false">IF(ISBLANK(Actuals!AV75),IF(AND(Projects!$G$12="Yes",43&gt;=Projects!$C$12,43&lt;Projects!$C$12+Projects!$D$12),4736.84,0),Actuals!AV75)</f>
        <v>0</v>
      </c>
      <c r="AV252" s="13" t="n">
        <f aca="false">IF(ISBLANK(Actuals!AW75),IF(AND(Projects!$G$12="Yes",44&gt;=Projects!$C$12,44&lt;Projects!$C$12+Projects!$D$12),4736.84,0),Actuals!AW75)</f>
        <v>0</v>
      </c>
      <c r="AW252" s="13" t="n">
        <f aca="false">IF(ISBLANK(Actuals!AX75),IF(AND(Projects!$G$12="Yes",45&gt;=Projects!$C$12,45&lt;Projects!$C$12+Projects!$D$12),4736.84,0),Actuals!AX75)</f>
        <v>0</v>
      </c>
      <c r="AX252" s="13" t="n">
        <f aca="false">IF(ISBLANK(Actuals!AY75),IF(AND(Projects!$G$12="Yes",46&gt;=Projects!$C$12,46&lt;Projects!$C$12+Projects!$D$12),4736.84,0),Actuals!AY75)</f>
        <v>0</v>
      </c>
      <c r="AY252" s="13" t="n">
        <f aca="false">IF(ISBLANK(Actuals!AZ75),IF(AND(Projects!$G$12="Yes",47&gt;=Projects!$C$12,47&lt;Projects!$C$12+Projects!$D$12),4736.84,0),Actuals!AZ75)</f>
        <v>0</v>
      </c>
      <c r="AZ252" s="13" t="n">
        <f aca="false">IF(ISBLANK(Actuals!BA75),IF(AND(Projects!$G$12="Yes",48&gt;=Projects!$C$12,48&lt;Projects!$C$12+Projects!$D$12),4736.84,0),Actuals!BA75)</f>
        <v>0</v>
      </c>
      <c r="BA252" s="13" t="n">
        <f aca="false">IF(ISBLANK(Actuals!BB75),IF(AND(Projects!$G$12="Yes",49&gt;=Projects!$C$12,49&lt;Projects!$C$12+Projects!$D$12),4736.84,0),Actuals!BB75)</f>
        <v>0</v>
      </c>
      <c r="BB252" s="13" t="n">
        <f aca="false">IF(ISBLANK(Actuals!BC75),IF(AND(Projects!$G$12="Yes",50&gt;=Projects!$C$12,50&lt;Projects!$C$12+Projects!$D$12),4736.84,0),Actuals!BC75)</f>
        <v>0</v>
      </c>
      <c r="BC252" s="13" t="n">
        <f aca="false">IF(ISBLANK(Actuals!BD75),IF(AND(Projects!$G$12="Yes",51&gt;=Projects!$C$12,51&lt;Projects!$C$12+Projects!$D$12),4736.84,0),Actuals!BD75)</f>
        <v>0</v>
      </c>
      <c r="BD252" s="13" t="n">
        <f aca="false">IF(ISBLANK(Actuals!BE75),IF(AND(Projects!$G$12="Yes",52&gt;=Projects!$C$12,52&lt;Projects!$C$12+Projects!$D$12),4736.84,0),Actuals!BE75)</f>
        <v>0</v>
      </c>
      <c r="BE252" s="13" t="n">
        <f aca="false">IF(ISBLANK(Actuals!BF75),IF(AND(Projects!$G$12="Yes",53&gt;=Projects!$C$12,53&lt;Projects!$C$12+Projects!$D$12),4736.84,0),Actuals!BF75)</f>
        <v>0</v>
      </c>
      <c r="BF252" s="13" t="n">
        <f aca="false">IF(ISBLANK(Actuals!BG75),IF(AND(Projects!$G$12="Yes",54&gt;=Projects!$C$12,54&lt;Projects!$C$12+Projects!$D$12),4736.84,0),Actuals!BG75)</f>
        <v>0</v>
      </c>
      <c r="BG252" s="13" t="n">
        <f aca="false">IF(ISBLANK(Actuals!BH75),IF(AND(Projects!$G$12="Yes",55&gt;=Projects!$C$12,55&lt;Projects!$C$12+Projects!$D$12),4736.84,0),Actuals!BH75)</f>
        <v>0</v>
      </c>
      <c r="BH252" s="13" t="n">
        <f aca="false">IF(ISBLANK(Actuals!BI75),IF(AND(Projects!$G$12="Yes",56&gt;=Projects!$C$12,56&lt;Projects!$C$12+Projects!$D$12),4736.84,0),Actuals!BI75)</f>
        <v>0</v>
      </c>
      <c r="BI252" s="13" t="n">
        <f aca="false">IF(ISBLANK(Actuals!BJ75),IF(AND(Projects!$G$12="Yes",57&gt;=Projects!$C$12,57&lt;Projects!$C$12+Projects!$D$12),4736.84,0),Actuals!BJ75)</f>
        <v>0</v>
      </c>
      <c r="BJ252" s="13" t="n">
        <f aca="false">IF(ISBLANK(Actuals!BK75),IF(AND(Projects!$G$12="Yes",58&gt;=Projects!$C$12,58&lt;Projects!$C$12+Projects!$D$12),4736.84,0),Actuals!BK75)</f>
        <v>0</v>
      </c>
      <c r="BK252" s="13" t="n">
        <f aca="false">IF(ISBLANK(Actuals!BL75),IF(AND(Projects!$G$12="Yes",59&gt;=Projects!$C$12,59&lt;Projects!$C$12+Projects!$D$12),4736.84,0),Actuals!BL75)</f>
        <v>0</v>
      </c>
      <c r="BL252" s="13" t="n">
        <f aca="false">IF(ISBLANK(Actuals!BM75),IF(AND(Projects!$G$12="Yes",60&gt;=Projects!$C$12,60&lt;Projects!$C$12+Projects!$D$12),4736.84,0),Actuals!BM75)</f>
        <v>0</v>
      </c>
      <c r="BM252" s="13" t="n">
        <f aca="false">IF(ISBLANK(Actuals!BN75),IF(AND(Projects!$G$12="Yes",61&gt;=Projects!$C$12,61&lt;Projects!$C$12+Projects!$D$12),4736.84,0),Actuals!BN75)</f>
        <v>0</v>
      </c>
      <c r="BN252" s="13" t="n">
        <f aca="false">IF(ISBLANK(Actuals!BO75),IF(AND(Projects!$G$12="Yes",62&gt;=Projects!$C$12,62&lt;Projects!$C$12+Projects!$D$12),4736.84,0),Actuals!BO75)</f>
        <v>0</v>
      </c>
      <c r="BO252" s="13" t="n">
        <f aca="false">IF(ISBLANK(Actuals!BP75),IF(AND(Projects!$G$12="Yes",63&gt;=Projects!$C$12,63&lt;Projects!$C$12+Projects!$D$12),4736.84,0),Actuals!BP75)</f>
        <v>0</v>
      </c>
      <c r="BP252" s="13" t="n">
        <f aca="false">IF(ISBLANK(Actuals!BQ75),IF(AND(Projects!$G$12="Yes",64&gt;=Projects!$C$12,64&lt;Projects!$C$12+Projects!$D$12),4736.84,0),Actuals!BQ75)</f>
        <v>0</v>
      </c>
      <c r="BQ252" s="13" t="n">
        <f aca="false">IF(ISBLANK(Actuals!BR75),IF(AND(Projects!$G$12="Yes",65&gt;=Projects!$C$12,65&lt;Projects!$C$12+Projects!$D$12),4736.84,0),Actuals!BR75)</f>
        <v>0</v>
      </c>
      <c r="BR252" s="13" t="n">
        <f aca="false">IF(ISBLANK(Actuals!BS75),IF(AND(Projects!$G$12="Yes",66&gt;=Projects!$C$12,66&lt;Projects!$C$12+Projects!$D$12),4736.84,0),Actuals!BS75)</f>
        <v>0</v>
      </c>
      <c r="BS252" s="13" t="n">
        <f aca="false">IF(ISBLANK(Actuals!BT75),IF(AND(Projects!$G$12="Yes",67&gt;=Projects!$C$12,67&lt;Projects!$C$12+Projects!$D$12),4736.84,0),Actuals!BT75)</f>
        <v>0</v>
      </c>
      <c r="BT252" s="13" t="n">
        <f aca="false">IF(ISBLANK(Actuals!BU75),IF(AND(Projects!$G$12="Yes",68&gt;=Projects!$C$12,68&lt;Projects!$C$12+Projects!$D$12),4736.84,0),Actuals!BU75)</f>
        <v>0</v>
      </c>
      <c r="BU252" s="13" t="n">
        <f aca="false">IF(ISBLANK(Actuals!BV75),IF(AND(Projects!$G$12="Yes",69&gt;=Projects!$C$12,69&lt;Projects!$C$12+Projects!$D$12),4736.84,0),Actuals!BV75)</f>
        <v>0</v>
      </c>
      <c r="BV252" s="13" t="n">
        <f aca="false">IF(ISBLANK(Actuals!BW75),IF(AND(Projects!$G$12="Yes",70&gt;=Projects!$C$12,70&lt;Projects!$C$12+Projects!$D$12),4736.84,0),Actuals!BW75)</f>
        <v>0</v>
      </c>
      <c r="BW252" s="13" t="n">
        <f aca="false">IF(ISBLANK(Actuals!BX75),IF(AND(Projects!$G$12="Yes",71&gt;=Projects!$C$12,71&lt;Projects!$C$12+Projects!$D$12),4736.84,0),Actuals!BX75)</f>
        <v>0</v>
      </c>
      <c r="BX252" s="13" t="n">
        <f aca="false">IF(ISBLANK(Actuals!BY75),IF(AND(Projects!$G$12="Yes",72&gt;=Projects!$C$12,72&lt;Projects!$C$12+Projects!$D$12),4736.84,0),Actuals!BY75)</f>
        <v>0</v>
      </c>
      <c r="BY252" s="13" t="n">
        <f aca="false">IF(ISBLANK(Actuals!BZ75),IF(AND(Projects!$G$12="Yes",73&gt;=Projects!$C$12,73&lt;Projects!$C$12+Projects!$D$12),4736.84,0),Actuals!BZ75)</f>
        <v>0</v>
      </c>
      <c r="BZ252" s="13" t="n">
        <f aca="false">IF(ISBLANK(Actuals!CA75),IF(AND(Projects!$G$12="Yes",74&gt;=Projects!$C$12,74&lt;Projects!$C$12+Projects!$D$12),4736.84,0),Actuals!CA75)</f>
        <v>0</v>
      </c>
      <c r="CA252" s="13" t="n">
        <f aca="false">IF(ISBLANK(Actuals!CB75),IF(AND(Projects!$G$12="Yes",75&gt;=Projects!$C$12,75&lt;Projects!$C$12+Projects!$D$12),4736.84,0),Actuals!CB75)</f>
        <v>0</v>
      </c>
      <c r="CB252" s="13" t="n">
        <f aca="false">IF(ISBLANK(Actuals!CC75),IF(AND(Projects!$G$12="Yes",76&gt;=Projects!$C$12,76&lt;Projects!$C$12+Projects!$D$12),4736.84,0),Actuals!CC75)</f>
        <v>0</v>
      </c>
      <c r="CC252" s="13" t="n">
        <f aca="false">IF(ISBLANK(Actuals!CD75),IF(AND(Projects!$G$12="Yes",77&gt;=Projects!$C$12,77&lt;Projects!$C$12+Projects!$D$12),4736.84,0),Actuals!CD75)</f>
        <v>0</v>
      </c>
      <c r="CD252" s="13" t="n">
        <f aca="false">IF(ISBLANK(Actuals!CE75),IF(AND(Projects!$G$12="Yes",78&gt;=Projects!$C$12,78&lt;Projects!$C$12+Projects!$D$12),4736.84,0),Actuals!CE75)</f>
        <v>0</v>
      </c>
      <c r="CE252" s="13" t="n">
        <f aca="false">IF(ISBLANK(Actuals!CF75),IF(AND(Projects!$G$12="Yes",79&gt;=Projects!$C$12,79&lt;Projects!$C$12+Projects!$D$12),4736.84,0),Actuals!CF75)</f>
        <v>0</v>
      </c>
      <c r="CF252" s="13" t="n">
        <f aca="false">IF(ISBLANK(Actuals!CG75),IF(AND(Projects!$G$12="Yes",80&gt;=Projects!$C$12,80&lt;Projects!$C$12+Projects!$D$12),4736.84,0),Actuals!CG75)</f>
        <v>0</v>
      </c>
      <c r="CG252" s="13" t="n">
        <f aca="false">IF(ISBLANK(Actuals!CH75),IF(AND(Projects!$G$12="Yes",81&gt;=Projects!$C$12,81&lt;Projects!$C$12+Projects!$D$12),4736.84,0),Actuals!CH75)</f>
        <v>0</v>
      </c>
      <c r="CH252" s="13" t="n">
        <f aca="false">IF(ISBLANK(Actuals!CI75),IF(AND(Projects!$G$12="Yes",82&gt;=Projects!$C$12,82&lt;Projects!$C$12+Projects!$D$12),4736.84,0),Actuals!CI75)</f>
        <v>0</v>
      </c>
      <c r="CI252" s="13" t="n">
        <f aca="false">IF(ISBLANK(Actuals!CJ75),IF(AND(Projects!$G$12="Yes",83&gt;=Projects!$C$12,83&lt;Projects!$C$12+Projects!$D$12),4736.84,0),Actuals!CJ75)</f>
        <v>0</v>
      </c>
      <c r="CJ252" s="13" t="n">
        <f aca="false">IF(ISBLANK(Actuals!CK75),IF(AND(Projects!$G$12="Yes",84&gt;=Projects!$C$12,84&lt;Projects!$C$12+Projects!$D$12),4736.84,0),Actuals!CK75)</f>
        <v>0</v>
      </c>
      <c r="CK252" s="13" t="n">
        <f aca="false">IF(ISBLANK(Actuals!CL75),IF(AND(Projects!$G$12="Yes",85&gt;=Projects!$C$12,85&lt;Projects!$C$12+Projects!$D$12),4736.84,0),Actuals!CL75)</f>
        <v>0</v>
      </c>
      <c r="CL252" s="13" t="n">
        <f aca="false">IF(ISBLANK(Actuals!CM75),IF(AND(Projects!$G$12="Yes",86&gt;=Projects!$C$12,86&lt;Projects!$C$12+Projects!$D$12),4736.84,0),Actuals!CM75)</f>
        <v>0</v>
      </c>
      <c r="CM252" s="13" t="n">
        <f aca="false">IF(ISBLANK(Actuals!CN75),IF(AND(Projects!$G$12="Yes",87&gt;=Projects!$C$12,87&lt;Projects!$C$12+Projects!$D$12),4736.84,0),Actuals!CN75)</f>
        <v>0</v>
      </c>
      <c r="CN252" s="13" t="n">
        <f aca="false">IF(ISBLANK(Actuals!CO75),IF(AND(Projects!$G$12="Yes",88&gt;=Projects!$C$12,88&lt;Projects!$C$12+Projects!$D$12),4736.84,0),Actuals!CO75)</f>
        <v>0</v>
      </c>
      <c r="CO252" s="13" t="n">
        <f aca="false">IF(ISBLANK(Actuals!CP75),IF(AND(Projects!$G$12="Yes",89&gt;=Projects!$C$12,89&lt;Projects!$C$12+Projects!$D$12),4736.84,0),Actuals!CP75)</f>
        <v>0</v>
      </c>
      <c r="CP252" s="13" t="n">
        <f aca="false">IF(ISBLANK(Actuals!CQ75),IF(AND(Projects!$G$12="Yes",90&gt;=Projects!$C$12,90&lt;Projects!$C$12+Projects!$D$12),4736.84,0),Actuals!CQ75)</f>
        <v>0</v>
      </c>
      <c r="CQ252" s="13" t="n">
        <f aca="false">IF(ISBLANK(Actuals!CR75),IF(AND(Projects!$G$12="Yes",91&gt;=Projects!$C$12,91&lt;Projects!$C$12+Projects!$D$12),4736.84,0),Actuals!CR75)</f>
        <v>0</v>
      </c>
      <c r="CR252" s="13" t="n">
        <f aca="false">IF(ISBLANK(Actuals!CS75),IF(AND(Projects!$G$12="Yes",92&gt;=Projects!$C$12,92&lt;Projects!$C$12+Projects!$D$12),4736.84,0),Actuals!CS75)</f>
        <v>0</v>
      </c>
      <c r="CS252" s="13" t="n">
        <f aca="false">IF(ISBLANK(Actuals!CT75),IF(AND(Projects!$G$12="Yes",93&gt;=Projects!$C$12,93&lt;Projects!$C$12+Projects!$D$12),4736.84,0),Actuals!CT75)</f>
        <v>0</v>
      </c>
      <c r="CT252" s="13" t="n">
        <f aca="false">IF(ISBLANK(Actuals!CU75),IF(AND(Projects!$G$12="Yes",94&gt;=Projects!$C$12,94&lt;Projects!$C$12+Projects!$D$12),4736.84,0),Actuals!CU75)</f>
        <v>0</v>
      </c>
      <c r="CU252" s="13" t="n">
        <f aca="false">IF(ISBLANK(Actuals!CV75),IF(AND(Projects!$G$12="Yes",95&gt;=Projects!$C$12,95&lt;Projects!$C$12+Projects!$D$12),4736.84,0),Actuals!CV75)</f>
        <v>0</v>
      </c>
      <c r="CV252" s="13" t="n">
        <f aca="false">IF(ISBLANK(Actuals!CW75),IF(AND(Projects!$G$12="Yes",96&gt;=Projects!$C$12,96&lt;Projects!$C$12+Projects!$D$12),4736.84,0),Actuals!CW75)</f>
        <v>0</v>
      </c>
      <c r="CW252" s="13" t="n">
        <f aca="false">IF(ISBLANK(Actuals!CX75),IF(AND(Projects!$G$12="Yes",97&gt;=Projects!$C$12,97&lt;Projects!$C$12+Projects!$D$12),4736.84,0),Actuals!CX75)</f>
        <v>0</v>
      </c>
      <c r="CX252" s="13" t="n">
        <f aca="false">IF(ISBLANK(Actuals!CY75),IF(AND(Projects!$G$12="Yes",98&gt;=Projects!$C$12,98&lt;Projects!$C$12+Projects!$D$12),4736.84,0),Actuals!CY75)</f>
        <v>0</v>
      </c>
      <c r="CY252" s="13" t="n">
        <f aca="false">IF(ISBLANK(Actuals!CZ75),IF(AND(Projects!$G$12="Yes",99&gt;=Projects!$C$12,99&lt;Projects!$C$12+Projects!$D$12),4736.84,0),Actuals!CZ75)</f>
        <v>0</v>
      </c>
      <c r="CZ252" s="13" t="n">
        <f aca="false">IF(ISBLANK(Actuals!DA75),IF(AND(Projects!$G$12="Yes",100&gt;=Projects!$C$12,100&lt;Projects!$C$12+Projects!$D$12),4736.84,0),Actuals!DA75)</f>
        <v>0</v>
      </c>
      <c r="DA252" s="13" t="n">
        <f aca="false">IF(ISBLANK(Actuals!DB75),IF(AND(Projects!$G$12="Yes",101&gt;=Projects!$C$12,101&lt;Projects!$C$12+Projects!$D$12),4736.84,0),Actuals!DB75)</f>
        <v>0</v>
      </c>
      <c r="DB252" s="13" t="n">
        <f aca="false">IF(ISBLANK(Actuals!DC75),IF(AND(Projects!$G$12="Yes",102&gt;=Projects!$C$12,102&lt;Projects!$C$12+Projects!$D$12),4736.84,0),Actuals!DC75)</f>
        <v>0</v>
      </c>
      <c r="DC252" s="13" t="n">
        <f aca="false">IF(ISBLANK(Actuals!DD75),IF(AND(Projects!$G$12="Yes",103&gt;=Projects!$C$12,103&lt;Projects!$C$12+Projects!$D$12),4736.84,0),Actuals!DD75)</f>
        <v>0</v>
      </c>
      <c r="DD252" s="13" t="n">
        <f aca="false">IF(ISBLANK(Actuals!DE75),IF(AND(Projects!$G$12="Yes",104&gt;=Projects!$C$12,104&lt;Projects!$C$12+Projects!$D$12),4736.84,0),Actuals!DE75)</f>
        <v>0</v>
      </c>
      <c r="DE252" s="13" t="n">
        <f aca="false">IF(ISBLANK(Actuals!DF75),IF(AND(Projects!$G$12="Yes",105&gt;=Projects!$C$12,105&lt;Projects!$C$12+Projects!$D$12),4736.84,0),Actuals!DF75)</f>
        <v>0</v>
      </c>
    </row>
    <row r="253" customFormat="false" ht="15" hidden="false" customHeight="true" outlineLevel="0" collapsed="false">
      <c r="A253" s="22" t="s">
        <v>113</v>
      </c>
      <c r="B253" s="13" t="n">
        <f aca="false">IF(ISBLANK(Actuals!C76),0,Actuals!C76)</f>
        <v>0</v>
      </c>
      <c r="C253" s="13" t="n">
        <f aca="false">IF(ISBLANK(Actuals!D76),0,Actuals!D76)</f>
        <v>0</v>
      </c>
      <c r="D253" s="13" t="n">
        <f aca="false">IF(ISBLANK(Actuals!E76),0,Actuals!E76)</f>
        <v>0</v>
      </c>
      <c r="E253" s="13" t="n">
        <f aca="false">IF(ISBLANK(Actuals!F76),IF(AND(Projects!$G$12="Yes",1=Projects!$C$12),181745,0),Actuals!F76)</f>
        <v>0</v>
      </c>
      <c r="F253" s="13" t="n">
        <f aca="false">IF(ISBLANK(Actuals!G76),IF(AND(Projects!$G$12="Yes",2=Projects!$C$12),181745,0),Actuals!G76)</f>
        <v>0</v>
      </c>
      <c r="G253" s="13" t="n">
        <f aca="false">IF(ISBLANK(Actuals!H76),IF(AND(Projects!$G$12="Yes",3=Projects!$C$12),181745,0),Actuals!H76)</f>
        <v>0</v>
      </c>
      <c r="H253" s="13" t="n">
        <f aca="false">IF(ISBLANK(Actuals!I76),IF(AND(Projects!$G$12="Yes",4=Projects!$C$12),181745,0),Actuals!I76)</f>
        <v>0</v>
      </c>
      <c r="I253" s="13" t="n">
        <f aca="false">IF(ISBLANK(Actuals!J76),IF(AND(Projects!$G$12="Yes",5=Projects!$C$12),181745,0),Actuals!J76)</f>
        <v>0</v>
      </c>
      <c r="J253" s="13" t="n">
        <f aca="false">IF(ISBLANK(Actuals!K76),IF(AND(Projects!$G$12="Yes",6=Projects!$C$12),181745,0),Actuals!K76)</f>
        <v>0</v>
      </c>
      <c r="K253" s="13" t="n">
        <f aca="false">IF(ISBLANK(Actuals!L76),IF(AND(Projects!$G$12="Yes",7=Projects!$C$12),181745,0),Actuals!L76)</f>
        <v>0</v>
      </c>
      <c r="L253" s="13" t="n">
        <f aca="false">IF(ISBLANK(Actuals!M76),IF(AND(Projects!$G$12="Yes",8=Projects!$C$12),181745,0),Actuals!M76)</f>
        <v>0</v>
      </c>
      <c r="M253" s="13" t="n">
        <f aca="false">IF(ISBLANK(Actuals!N76),IF(AND(Projects!$G$12="Yes",9=Projects!$C$12),181745,0),Actuals!N76)</f>
        <v>0</v>
      </c>
      <c r="N253" s="13" t="n">
        <f aca="false">IF(ISBLANK(Actuals!O76),IF(AND(Projects!$G$12="Yes",10=Projects!$C$12),181745,0),Actuals!O76)</f>
        <v>181745</v>
      </c>
      <c r="O253" s="13" t="n">
        <f aca="false">IF(ISBLANK(Actuals!P76),IF(AND(Projects!$G$12="Yes",11=Projects!$C$12),181745,0),Actuals!P76)</f>
        <v>0</v>
      </c>
      <c r="P253" s="13" t="n">
        <f aca="false">IF(ISBLANK(Actuals!Q76),IF(AND(Projects!$G$12="Yes",12=Projects!$C$12),181745,0),Actuals!Q76)</f>
        <v>0</v>
      </c>
      <c r="Q253" s="13" t="n">
        <f aca="false">IF(ISBLANK(Actuals!R76),IF(AND(Projects!$G$12="Yes",13=Projects!$C$12),181745,0),Actuals!R76)</f>
        <v>0</v>
      </c>
      <c r="R253" s="13" t="n">
        <f aca="false">IF(ISBLANK(Actuals!S76),IF(AND(Projects!$G$12="Yes",14=Projects!$C$12),181745,0),Actuals!S76)</f>
        <v>0</v>
      </c>
      <c r="S253" s="13" t="n">
        <f aca="false">IF(ISBLANK(Actuals!T76),IF(AND(Projects!$G$12="Yes",15=Projects!$C$12),181745,0),Actuals!T76)</f>
        <v>0</v>
      </c>
      <c r="T253" s="13" t="n">
        <f aca="false">IF(ISBLANK(Actuals!U76),IF(AND(Projects!$G$12="Yes",16=Projects!$C$12),181745,0),Actuals!U76)</f>
        <v>0</v>
      </c>
      <c r="U253" s="13" t="n">
        <f aca="false">IF(ISBLANK(Actuals!V76),IF(AND(Projects!$G$12="Yes",17=Projects!$C$12),181745,0),Actuals!V76)</f>
        <v>0</v>
      </c>
      <c r="V253" s="13" t="n">
        <f aca="false">IF(ISBLANK(Actuals!W76),IF(AND(Projects!$G$12="Yes",18=Projects!$C$12),181745,0),Actuals!W76)</f>
        <v>0</v>
      </c>
      <c r="W253" s="13" t="n">
        <f aca="false">IF(ISBLANK(Actuals!X76),IF(AND(Projects!$G$12="Yes",19=Projects!$C$12),181745,0),Actuals!X76)</f>
        <v>0</v>
      </c>
      <c r="X253" s="13" t="n">
        <f aca="false">IF(ISBLANK(Actuals!Y76),IF(AND(Projects!$G$12="Yes",20=Projects!$C$12),181745,0),Actuals!Y76)</f>
        <v>0</v>
      </c>
      <c r="Y253" s="13" t="n">
        <f aca="false">IF(ISBLANK(Actuals!Z76),IF(AND(Projects!$G$12="Yes",21=Projects!$C$12),181745,0),Actuals!Z76)</f>
        <v>0</v>
      </c>
      <c r="Z253" s="13" t="n">
        <f aca="false">IF(ISBLANK(Actuals!AA76),IF(AND(Projects!$G$12="Yes",22=Projects!$C$12),181745,0),Actuals!AA76)</f>
        <v>0</v>
      </c>
      <c r="AA253" s="13" t="n">
        <f aca="false">IF(ISBLANK(Actuals!AB76),IF(AND(Projects!$G$12="Yes",23=Projects!$C$12),181745,0),Actuals!AB76)</f>
        <v>0</v>
      </c>
      <c r="AB253" s="13" t="n">
        <f aca="false">IF(ISBLANK(Actuals!AC76),IF(AND(Projects!$G$12="Yes",24=Projects!$C$12),181745,0),Actuals!AC76)</f>
        <v>0</v>
      </c>
      <c r="AC253" s="13" t="n">
        <f aca="false">IF(ISBLANK(Actuals!AD76),IF(AND(Projects!$G$12="Yes",25=Projects!$C$12),181745,0),Actuals!AD76)</f>
        <v>0</v>
      </c>
      <c r="AD253" s="13" t="n">
        <f aca="false">IF(ISBLANK(Actuals!AE76),IF(AND(Projects!$G$12="Yes",26=Projects!$C$12),181745,0),Actuals!AE76)</f>
        <v>0</v>
      </c>
      <c r="AE253" s="13" t="n">
        <f aca="false">IF(ISBLANK(Actuals!AF76),IF(AND(Projects!$G$12="Yes",27=Projects!$C$12),181745,0),Actuals!AF76)</f>
        <v>0</v>
      </c>
      <c r="AF253" s="13" t="n">
        <f aca="false">IF(ISBLANK(Actuals!AG76),IF(AND(Projects!$G$12="Yes",28=Projects!$C$12),181745,0),Actuals!AG76)</f>
        <v>0</v>
      </c>
      <c r="AG253" s="13" t="n">
        <f aca="false">IF(ISBLANK(Actuals!AH76),IF(AND(Projects!$G$12="Yes",29=Projects!$C$12),181745,0),Actuals!AH76)</f>
        <v>0</v>
      </c>
      <c r="AH253" s="13" t="n">
        <f aca="false">IF(ISBLANK(Actuals!AI76),IF(AND(Projects!$G$12="Yes",30=Projects!$C$12),181745,0),Actuals!AI76)</f>
        <v>0</v>
      </c>
      <c r="AI253" s="13" t="n">
        <f aca="false">IF(ISBLANK(Actuals!AJ76),IF(AND(Projects!$G$12="Yes",31=Projects!$C$12),181745,0),Actuals!AJ76)</f>
        <v>0</v>
      </c>
      <c r="AJ253" s="13" t="n">
        <f aca="false">IF(ISBLANK(Actuals!AK76),IF(AND(Projects!$G$12="Yes",32=Projects!$C$12),181745,0),Actuals!AK76)</f>
        <v>0</v>
      </c>
      <c r="AK253" s="13" t="n">
        <f aca="false">IF(ISBLANK(Actuals!AL76),IF(AND(Projects!$G$12="Yes",33=Projects!$C$12),181745,0),Actuals!AL76)</f>
        <v>0</v>
      </c>
      <c r="AL253" s="13" t="n">
        <f aca="false">IF(ISBLANK(Actuals!AM76),IF(AND(Projects!$G$12="Yes",34=Projects!$C$12),181745,0),Actuals!AM76)</f>
        <v>0</v>
      </c>
      <c r="AM253" s="13" t="n">
        <f aca="false">IF(ISBLANK(Actuals!AN76),IF(AND(Projects!$G$12="Yes",35=Projects!$C$12),181745,0),Actuals!AN76)</f>
        <v>0</v>
      </c>
      <c r="AN253" s="13" t="n">
        <f aca="false">IF(ISBLANK(Actuals!AO76),IF(AND(Projects!$G$12="Yes",36=Projects!$C$12),181745,0),Actuals!AO76)</f>
        <v>0</v>
      </c>
      <c r="AO253" s="13" t="n">
        <f aca="false">IF(ISBLANK(Actuals!AP76),IF(AND(Projects!$G$12="Yes",37=Projects!$C$12),181745,0),Actuals!AP76)</f>
        <v>0</v>
      </c>
      <c r="AP253" s="13" t="n">
        <f aca="false">IF(ISBLANK(Actuals!AQ76),IF(AND(Projects!$G$12="Yes",38=Projects!$C$12),181745,0),Actuals!AQ76)</f>
        <v>0</v>
      </c>
      <c r="AQ253" s="13" t="n">
        <f aca="false">IF(ISBLANK(Actuals!AR76),IF(AND(Projects!$G$12="Yes",39=Projects!$C$12),181745,0),Actuals!AR76)</f>
        <v>0</v>
      </c>
      <c r="AR253" s="13" t="n">
        <f aca="false">IF(ISBLANK(Actuals!AS76),IF(AND(Projects!$G$12="Yes",40=Projects!$C$12),181745,0),Actuals!AS76)</f>
        <v>0</v>
      </c>
      <c r="AS253" s="13" t="n">
        <f aca="false">IF(ISBLANK(Actuals!AT76),IF(AND(Projects!$G$12="Yes",41=Projects!$C$12),181745,0),Actuals!AT76)</f>
        <v>0</v>
      </c>
      <c r="AT253" s="13" t="n">
        <f aca="false">IF(ISBLANK(Actuals!AU76),IF(AND(Projects!$G$12="Yes",42=Projects!$C$12),181745,0),Actuals!AU76)</f>
        <v>0</v>
      </c>
      <c r="AU253" s="13" t="n">
        <f aca="false">IF(ISBLANK(Actuals!AV76),IF(AND(Projects!$G$12="Yes",43=Projects!$C$12),181745,0),Actuals!AV76)</f>
        <v>0</v>
      </c>
      <c r="AV253" s="13" t="n">
        <f aca="false">IF(ISBLANK(Actuals!AW76),IF(AND(Projects!$G$12="Yes",44=Projects!$C$12),181745,0),Actuals!AW76)</f>
        <v>0</v>
      </c>
      <c r="AW253" s="13" t="n">
        <f aca="false">IF(ISBLANK(Actuals!AX76),IF(AND(Projects!$G$12="Yes",45=Projects!$C$12),181745,0),Actuals!AX76)</f>
        <v>0</v>
      </c>
      <c r="AX253" s="13" t="n">
        <f aca="false">IF(ISBLANK(Actuals!AY76),IF(AND(Projects!$G$12="Yes",46=Projects!$C$12),181745,0),Actuals!AY76)</f>
        <v>0</v>
      </c>
      <c r="AY253" s="13" t="n">
        <f aca="false">IF(ISBLANK(Actuals!AZ76),IF(AND(Projects!$G$12="Yes",47=Projects!$C$12),181745,0),Actuals!AZ76)</f>
        <v>0</v>
      </c>
      <c r="AZ253" s="13" t="n">
        <f aca="false">IF(ISBLANK(Actuals!BA76),IF(AND(Projects!$G$12="Yes",48=Projects!$C$12),181745,0),Actuals!BA76)</f>
        <v>0</v>
      </c>
      <c r="BA253" s="13" t="n">
        <f aca="false">IF(ISBLANK(Actuals!BB76),IF(AND(Projects!$G$12="Yes",49=Projects!$C$12),181745,0),Actuals!BB76)</f>
        <v>0</v>
      </c>
      <c r="BB253" s="13" t="n">
        <f aca="false">IF(ISBLANK(Actuals!BC76),IF(AND(Projects!$G$12="Yes",50=Projects!$C$12),181745,0),Actuals!BC76)</f>
        <v>0</v>
      </c>
      <c r="BC253" s="13" t="n">
        <f aca="false">IF(ISBLANK(Actuals!BD76),IF(AND(Projects!$G$12="Yes",51=Projects!$C$12),181745,0),Actuals!BD76)</f>
        <v>0</v>
      </c>
      <c r="BD253" s="13" t="n">
        <f aca="false">IF(ISBLANK(Actuals!BE76),IF(AND(Projects!$G$12="Yes",52=Projects!$C$12),181745,0),Actuals!BE76)</f>
        <v>0</v>
      </c>
      <c r="BE253" s="13" t="n">
        <f aca="false">IF(ISBLANK(Actuals!BF76),IF(AND(Projects!$G$12="Yes",53=Projects!$C$12),181745,0),Actuals!BF76)</f>
        <v>0</v>
      </c>
      <c r="BF253" s="13" t="n">
        <f aca="false">IF(ISBLANK(Actuals!BG76),IF(AND(Projects!$G$12="Yes",54=Projects!$C$12),181745,0),Actuals!BG76)</f>
        <v>0</v>
      </c>
      <c r="BG253" s="13" t="n">
        <f aca="false">IF(ISBLANK(Actuals!BH76),IF(AND(Projects!$G$12="Yes",55=Projects!$C$12),181745,0),Actuals!BH76)</f>
        <v>0</v>
      </c>
      <c r="BH253" s="13" t="n">
        <f aca="false">IF(ISBLANK(Actuals!BI76),IF(AND(Projects!$G$12="Yes",56=Projects!$C$12),181745,0),Actuals!BI76)</f>
        <v>0</v>
      </c>
      <c r="BI253" s="13" t="n">
        <f aca="false">IF(ISBLANK(Actuals!BJ76),IF(AND(Projects!$G$12="Yes",57=Projects!$C$12),181745,0),Actuals!BJ76)</f>
        <v>0</v>
      </c>
      <c r="BJ253" s="13" t="n">
        <f aca="false">IF(ISBLANK(Actuals!BK76),IF(AND(Projects!$G$12="Yes",58=Projects!$C$12),181745,0),Actuals!BK76)</f>
        <v>0</v>
      </c>
      <c r="BK253" s="13" t="n">
        <f aca="false">IF(ISBLANK(Actuals!BL76),IF(AND(Projects!$G$12="Yes",59=Projects!$C$12),181745,0),Actuals!BL76)</f>
        <v>0</v>
      </c>
      <c r="BL253" s="13" t="n">
        <f aca="false">IF(ISBLANK(Actuals!BM76),IF(AND(Projects!$G$12="Yes",60=Projects!$C$12),181745,0),Actuals!BM76)</f>
        <v>0</v>
      </c>
      <c r="BM253" s="13" t="n">
        <f aca="false">IF(ISBLANK(Actuals!BN76),IF(AND(Projects!$G$12="Yes",61=Projects!$C$12),181745,0),Actuals!BN76)</f>
        <v>0</v>
      </c>
      <c r="BN253" s="13" t="n">
        <f aca="false">IF(ISBLANK(Actuals!BO76),IF(AND(Projects!$G$12="Yes",62=Projects!$C$12),181745,0),Actuals!BO76)</f>
        <v>0</v>
      </c>
      <c r="BO253" s="13" t="n">
        <f aca="false">IF(ISBLANK(Actuals!BP76),IF(AND(Projects!$G$12="Yes",63=Projects!$C$12),181745,0),Actuals!BP76)</f>
        <v>0</v>
      </c>
      <c r="BP253" s="13" t="n">
        <f aca="false">IF(ISBLANK(Actuals!BQ76),IF(AND(Projects!$G$12="Yes",64=Projects!$C$12),181745,0),Actuals!BQ76)</f>
        <v>0</v>
      </c>
      <c r="BQ253" s="13" t="n">
        <f aca="false">IF(ISBLANK(Actuals!BR76),IF(AND(Projects!$G$12="Yes",65=Projects!$C$12),181745,0),Actuals!BR76)</f>
        <v>0</v>
      </c>
      <c r="BR253" s="13" t="n">
        <f aca="false">IF(ISBLANK(Actuals!BS76),IF(AND(Projects!$G$12="Yes",66=Projects!$C$12),181745,0),Actuals!BS76)</f>
        <v>0</v>
      </c>
      <c r="BS253" s="13" t="n">
        <f aca="false">IF(ISBLANK(Actuals!BT76),IF(AND(Projects!$G$12="Yes",67=Projects!$C$12),181745,0),Actuals!BT76)</f>
        <v>0</v>
      </c>
      <c r="BT253" s="13" t="n">
        <f aca="false">IF(ISBLANK(Actuals!BU76),IF(AND(Projects!$G$12="Yes",68=Projects!$C$12),181745,0),Actuals!BU76)</f>
        <v>0</v>
      </c>
      <c r="BU253" s="13" t="n">
        <f aca="false">IF(ISBLANK(Actuals!BV76),IF(AND(Projects!$G$12="Yes",69=Projects!$C$12),181745,0),Actuals!BV76)</f>
        <v>0</v>
      </c>
      <c r="BV253" s="13" t="n">
        <f aca="false">IF(ISBLANK(Actuals!BW76),IF(AND(Projects!$G$12="Yes",70=Projects!$C$12),181745,0),Actuals!BW76)</f>
        <v>0</v>
      </c>
      <c r="BW253" s="13" t="n">
        <f aca="false">IF(ISBLANK(Actuals!BX76),IF(AND(Projects!$G$12="Yes",71=Projects!$C$12),181745,0),Actuals!BX76)</f>
        <v>0</v>
      </c>
      <c r="BX253" s="13" t="n">
        <f aca="false">IF(ISBLANK(Actuals!BY76),IF(AND(Projects!$G$12="Yes",72=Projects!$C$12),181745,0),Actuals!BY76)</f>
        <v>0</v>
      </c>
      <c r="BY253" s="13" t="n">
        <f aca="false">IF(ISBLANK(Actuals!BZ76),IF(AND(Projects!$G$12="Yes",73=Projects!$C$12),181745,0),Actuals!BZ76)</f>
        <v>0</v>
      </c>
      <c r="BZ253" s="13" t="n">
        <f aca="false">IF(ISBLANK(Actuals!CA76),IF(AND(Projects!$G$12="Yes",74=Projects!$C$12),181745,0),Actuals!CA76)</f>
        <v>0</v>
      </c>
      <c r="CA253" s="13" t="n">
        <f aca="false">IF(ISBLANK(Actuals!CB76),IF(AND(Projects!$G$12="Yes",75=Projects!$C$12),181745,0),Actuals!CB76)</f>
        <v>0</v>
      </c>
      <c r="CB253" s="13" t="n">
        <f aca="false">IF(ISBLANK(Actuals!CC76),IF(AND(Projects!$G$12="Yes",76=Projects!$C$12),181745,0),Actuals!CC76)</f>
        <v>0</v>
      </c>
      <c r="CC253" s="13" t="n">
        <f aca="false">IF(ISBLANK(Actuals!CD76),IF(AND(Projects!$G$12="Yes",77=Projects!$C$12),181745,0),Actuals!CD76)</f>
        <v>0</v>
      </c>
      <c r="CD253" s="13" t="n">
        <f aca="false">IF(ISBLANK(Actuals!CE76),IF(AND(Projects!$G$12="Yes",78=Projects!$C$12),181745,0),Actuals!CE76)</f>
        <v>0</v>
      </c>
      <c r="CE253" s="13" t="n">
        <f aca="false">IF(ISBLANK(Actuals!CF76),IF(AND(Projects!$G$12="Yes",79=Projects!$C$12),181745,0),Actuals!CF76)</f>
        <v>0</v>
      </c>
      <c r="CF253" s="13" t="n">
        <f aca="false">IF(ISBLANK(Actuals!CG76),IF(AND(Projects!$G$12="Yes",80=Projects!$C$12),181745,0),Actuals!CG76)</f>
        <v>0</v>
      </c>
      <c r="CG253" s="13" t="n">
        <f aca="false">IF(ISBLANK(Actuals!CH76),IF(AND(Projects!$G$12="Yes",81=Projects!$C$12),181745,0),Actuals!CH76)</f>
        <v>0</v>
      </c>
      <c r="CH253" s="13" t="n">
        <f aca="false">IF(ISBLANK(Actuals!CI76),IF(AND(Projects!$G$12="Yes",82=Projects!$C$12),181745,0),Actuals!CI76)</f>
        <v>0</v>
      </c>
      <c r="CI253" s="13" t="n">
        <f aca="false">IF(ISBLANK(Actuals!CJ76),IF(AND(Projects!$G$12="Yes",83=Projects!$C$12),181745,0),Actuals!CJ76)</f>
        <v>0</v>
      </c>
      <c r="CJ253" s="13" t="n">
        <f aca="false">IF(ISBLANK(Actuals!CK76),IF(AND(Projects!$G$12="Yes",84=Projects!$C$12),181745,0),Actuals!CK76)</f>
        <v>0</v>
      </c>
      <c r="CK253" s="13" t="n">
        <f aca="false">IF(ISBLANK(Actuals!CL76),IF(AND(Projects!$G$12="Yes",85=Projects!$C$12),181745,0),Actuals!CL76)</f>
        <v>0</v>
      </c>
      <c r="CL253" s="13" t="n">
        <f aca="false">IF(ISBLANK(Actuals!CM76),IF(AND(Projects!$G$12="Yes",86=Projects!$C$12),181745,0),Actuals!CM76)</f>
        <v>0</v>
      </c>
      <c r="CM253" s="13" t="n">
        <f aca="false">IF(ISBLANK(Actuals!CN76),IF(AND(Projects!$G$12="Yes",87=Projects!$C$12),181745,0),Actuals!CN76)</f>
        <v>0</v>
      </c>
      <c r="CN253" s="13" t="n">
        <f aca="false">IF(ISBLANK(Actuals!CO76),IF(AND(Projects!$G$12="Yes",88=Projects!$C$12),181745,0),Actuals!CO76)</f>
        <v>0</v>
      </c>
      <c r="CO253" s="13" t="n">
        <f aca="false">IF(ISBLANK(Actuals!CP76),IF(AND(Projects!$G$12="Yes",89=Projects!$C$12),181745,0),Actuals!CP76)</f>
        <v>0</v>
      </c>
      <c r="CP253" s="13" t="n">
        <f aca="false">IF(ISBLANK(Actuals!CQ76),IF(AND(Projects!$G$12="Yes",90=Projects!$C$12),181745,0),Actuals!CQ76)</f>
        <v>0</v>
      </c>
      <c r="CQ253" s="13" t="n">
        <f aca="false">IF(ISBLANK(Actuals!CR76),IF(AND(Projects!$G$12="Yes",91=Projects!$C$12),181745,0),Actuals!CR76)</f>
        <v>0</v>
      </c>
      <c r="CR253" s="13" t="n">
        <f aca="false">IF(ISBLANK(Actuals!CS76),IF(AND(Projects!$G$12="Yes",92=Projects!$C$12),181745,0),Actuals!CS76)</f>
        <v>0</v>
      </c>
      <c r="CS253" s="13" t="n">
        <f aca="false">IF(ISBLANK(Actuals!CT76),IF(AND(Projects!$G$12="Yes",93=Projects!$C$12),181745,0),Actuals!CT76)</f>
        <v>0</v>
      </c>
      <c r="CT253" s="13" t="n">
        <f aca="false">IF(ISBLANK(Actuals!CU76),IF(AND(Projects!$G$12="Yes",94=Projects!$C$12),181745,0),Actuals!CU76)</f>
        <v>0</v>
      </c>
      <c r="CU253" s="13" t="n">
        <f aca="false">IF(ISBLANK(Actuals!CV76),IF(AND(Projects!$G$12="Yes",95=Projects!$C$12),181745,0),Actuals!CV76)</f>
        <v>0</v>
      </c>
      <c r="CV253" s="13" t="n">
        <f aca="false">IF(ISBLANK(Actuals!CW76),IF(AND(Projects!$G$12="Yes",96=Projects!$C$12),181745,0),Actuals!CW76)</f>
        <v>0</v>
      </c>
      <c r="CW253" s="13" t="n">
        <f aca="false">IF(ISBLANK(Actuals!CX76),IF(AND(Projects!$G$12="Yes",97=Projects!$C$12),181745,0),Actuals!CX76)</f>
        <v>0</v>
      </c>
      <c r="CX253" s="13" t="n">
        <f aca="false">IF(ISBLANK(Actuals!CY76),IF(AND(Projects!$G$12="Yes",98=Projects!$C$12),181745,0),Actuals!CY76)</f>
        <v>0</v>
      </c>
      <c r="CY253" s="13" t="n">
        <f aca="false">IF(ISBLANK(Actuals!CZ76),IF(AND(Projects!$G$12="Yes",99=Projects!$C$12),181745,0),Actuals!CZ76)</f>
        <v>0</v>
      </c>
      <c r="CZ253" s="13" t="n">
        <f aca="false">IF(ISBLANK(Actuals!DA76),IF(AND(Projects!$G$12="Yes",100=Projects!$C$12),181745,0),Actuals!DA76)</f>
        <v>0</v>
      </c>
      <c r="DA253" s="13" t="n">
        <f aca="false">IF(ISBLANK(Actuals!DB76),IF(AND(Projects!$G$12="Yes",101=Projects!$C$12),181745,0),Actuals!DB76)</f>
        <v>0</v>
      </c>
      <c r="DB253" s="13" t="n">
        <f aca="false">IF(ISBLANK(Actuals!DC76),IF(AND(Projects!$G$12="Yes",102=Projects!$C$12),181745,0),Actuals!DC76)</f>
        <v>0</v>
      </c>
      <c r="DC253" s="13" t="n">
        <f aca="false">IF(ISBLANK(Actuals!DD76),IF(AND(Projects!$G$12="Yes",103=Projects!$C$12),181745,0),Actuals!DD76)</f>
        <v>0</v>
      </c>
      <c r="DD253" s="13" t="n">
        <f aca="false">IF(ISBLANK(Actuals!DE76),IF(AND(Projects!$G$12="Yes",104=Projects!$C$12),181745,0),Actuals!DE76)</f>
        <v>0</v>
      </c>
      <c r="DE253" s="13" t="n">
        <f aca="false">IF(ISBLANK(Actuals!DF76),IF(AND(Projects!$G$12="Yes",105=Projects!$C$12),181745,0),Actuals!DF76)</f>
        <v>0</v>
      </c>
    </row>
    <row r="254" customFormat="false" ht="15" hidden="false" customHeight="true" outlineLevel="0" collapsed="false">
      <c r="A254" s="22" t="s">
        <v>114</v>
      </c>
      <c r="B254" s="13" t="n">
        <f aca="false">IF(ISBLANK(Actuals!C77),0,Actuals!C77)</f>
        <v>0</v>
      </c>
      <c r="C254" s="13" t="n">
        <f aca="false">IF(ISBLANK(Actuals!D77),0,Actuals!D77)</f>
        <v>0</v>
      </c>
      <c r="D254" s="13" t="n">
        <f aca="false">IF(ISBLANK(Actuals!E77),0,Actuals!E77)</f>
        <v>0</v>
      </c>
      <c r="E254" s="13" t="n">
        <f aca="false">IF(ISBLANK(Actuals!F77),0,Actuals!F77)</f>
        <v>0</v>
      </c>
      <c r="F254" s="13" t="n">
        <f aca="false">IF(ISBLANK(Actuals!G77),0,Actuals!G77)</f>
        <v>0</v>
      </c>
      <c r="G254" s="13" t="n">
        <f aca="false">IF(ISBLANK(Actuals!H77),0,Actuals!H77)</f>
        <v>0</v>
      </c>
      <c r="H254" s="13" t="n">
        <f aca="false">IF(ISBLANK(Actuals!I77),0,Actuals!I77)</f>
        <v>0</v>
      </c>
      <c r="I254" s="13" t="n">
        <f aca="false">IF(ISBLANK(Actuals!J77),0,Actuals!J77)</f>
        <v>127514</v>
      </c>
      <c r="J254" s="13" t="n">
        <f aca="false">IF(ISBLANK(Actuals!K77),0,Actuals!K77)</f>
        <v>0</v>
      </c>
      <c r="K254" s="13" t="n">
        <f aca="false">IF(ISBLANK(Actuals!L77),0,Actuals!L77)</f>
        <v>0</v>
      </c>
      <c r="L254" s="13" t="n">
        <f aca="false">IF(ISBLANK(Actuals!M77),0,Actuals!M77)</f>
        <v>0</v>
      </c>
      <c r="M254" s="13" t="n">
        <f aca="false">IF(ISBLANK(Actuals!N77),0,Actuals!N77)</f>
        <v>0</v>
      </c>
      <c r="N254" s="13" t="n">
        <f aca="false">IF(ISBLANK(Actuals!O77),0,Actuals!O77)</f>
        <v>0</v>
      </c>
      <c r="O254" s="13" t="n">
        <f aca="false">IF(ISBLANK(Actuals!P77),0,Actuals!P77)</f>
        <v>0</v>
      </c>
      <c r="P254" s="13" t="n">
        <f aca="false">IF(ISBLANK(Actuals!Q77),0,Actuals!Q77)</f>
        <v>0</v>
      </c>
      <c r="Q254" s="13" t="n">
        <f aca="false">IF(ISBLANK(Actuals!R77),0,Actuals!R77)</f>
        <v>0</v>
      </c>
      <c r="R254" s="13" t="n">
        <f aca="false">IF(ISBLANK(Actuals!S77),0,Actuals!S77)</f>
        <v>0</v>
      </c>
      <c r="S254" s="13" t="n">
        <f aca="false">IF(ISBLANK(Actuals!T77),0,Actuals!T77)</f>
        <v>0</v>
      </c>
      <c r="T254" s="13" t="n">
        <f aca="false">IF(ISBLANK(Actuals!U77),0,Actuals!U77)</f>
        <v>0</v>
      </c>
      <c r="U254" s="13" t="n">
        <f aca="false">IF(ISBLANK(Actuals!V77),0,Actuals!V77)</f>
        <v>0</v>
      </c>
      <c r="V254" s="13" t="n">
        <f aca="false">IF(ISBLANK(Actuals!W77),0,Actuals!W77)</f>
        <v>0</v>
      </c>
      <c r="W254" s="13" t="n">
        <f aca="false">IF(ISBLANK(Actuals!X77),0,Actuals!X77)</f>
        <v>0</v>
      </c>
      <c r="X254" s="13" t="n">
        <f aca="false">IF(ISBLANK(Actuals!Y77),0,Actuals!Y77)</f>
        <v>0</v>
      </c>
      <c r="Y254" s="13" t="n">
        <f aca="false">IF(ISBLANK(Actuals!Z77),0,Actuals!Z77)</f>
        <v>0</v>
      </c>
      <c r="Z254" s="13" t="n">
        <f aca="false">IF(ISBLANK(Actuals!AA77),0,Actuals!AA77)</f>
        <v>0</v>
      </c>
      <c r="AA254" s="13" t="n">
        <f aca="false">IF(ISBLANK(Actuals!AB77),0,Actuals!AB77)</f>
        <v>0</v>
      </c>
      <c r="AB254" s="13" t="n">
        <f aca="false">IF(ISBLANK(Actuals!AC77),0,Actuals!AC77)</f>
        <v>0</v>
      </c>
      <c r="AC254" s="13" t="n">
        <f aca="false">IF(ISBLANK(Actuals!AD77),0,Actuals!AD77)</f>
        <v>0</v>
      </c>
      <c r="AD254" s="13" t="n">
        <f aca="false">IF(ISBLANK(Actuals!AE77),0,Actuals!AE77)</f>
        <v>0</v>
      </c>
      <c r="AE254" s="13" t="n">
        <f aca="false">IF(ISBLANK(Actuals!AF77),0,Actuals!AF77)</f>
        <v>0</v>
      </c>
      <c r="AF254" s="13" t="n">
        <f aca="false">IF(ISBLANK(Actuals!AG77),0,Actuals!AG77)</f>
        <v>0</v>
      </c>
      <c r="AG254" s="13" t="n">
        <f aca="false">IF(ISBLANK(Actuals!AH77),0,Actuals!AH77)</f>
        <v>0</v>
      </c>
      <c r="AH254" s="13" t="n">
        <f aca="false">IF(ISBLANK(Actuals!AI77),0,Actuals!AI77)</f>
        <v>0</v>
      </c>
      <c r="AI254" s="13" t="n">
        <f aca="false">IF(ISBLANK(Actuals!AJ77),0,Actuals!AJ77)</f>
        <v>0</v>
      </c>
      <c r="AJ254" s="13" t="n">
        <f aca="false">IF(ISBLANK(Actuals!AK77),0,Actuals!AK77)</f>
        <v>0</v>
      </c>
      <c r="AK254" s="13" t="n">
        <f aca="false">IF(ISBLANK(Actuals!AL77),0,Actuals!AL77)</f>
        <v>0</v>
      </c>
      <c r="AL254" s="13" t="n">
        <f aca="false">IF(ISBLANK(Actuals!AM77),0,Actuals!AM77)</f>
        <v>0</v>
      </c>
      <c r="AM254" s="13" t="n">
        <f aca="false">IF(ISBLANK(Actuals!AN77),0,Actuals!AN77)</f>
        <v>0</v>
      </c>
      <c r="AN254" s="13" t="n">
        <f aca="false">IF(ISBLANK(Actuals!AO77),0,Actuals!AO77)</f>
        <v>0</v>
      </c>
      <c r="AO254" s="13" t="n">
        <f aca="false">IF(ISBLANK(Actuals!AP77),0,Actuals!AP77)</f>
        <v>0</v>
      </c>
      <c r="AP254" s="13" t="n">
        <f aca="false">IF(ISBLANK(Actuals!AQ77),0,Actuals!AQ77)</f>
        <v>0</v>
      </c>
      <c r="AQ254" s="13" t="n">
        <f aca="false">IF(ISBLANK(Actuals!AR77),0,Actuals!AR77)</f>
        <v>0</v>
      </c>
      <c r="AR254" s="13" t="n">
        <f aca="false">IF(ISBLANK(Actuals!AS77),0,Actuals!AS77)</f>
        <v>0</v>
      </c>
      <c r="AS254" s="13" t="n">
        <f aca="false">IF(ISBLANK(Actuals!AT77),0,Actuals!AT77)</f>
        <v>0</v>
      </c>
      <c r="AT254" s="13" t="n">
        <f aca="false">IF(ISBLANK(Actuals!AU77),IF(Projects!$G$7="Yes",81683,0),Actuals!AU77)</f>
        <v>81683</v>
      </c>
      <c r="AU254" s="13" t="n">
        <f aca="false">IF(ISBLANK(Actuals!AV77),0,Actuals!AV77)</f>
        <v>0</v>
      </c>
      <c r="AV254" s="13" t="n">
        <f aca="false">IF(ISBLANK(Actuals!AW77),0,Actuals!AW77)</f>
        <v>0</v>
      </c>
      <c r="AW254" s="13" t="n">
        <f aca="false">IF(ISBLANK(Actuals!AX77),IF(Projects!$G$7="Yes",81682,0),Actuals!AX77)</f>
        <v>81682</v>
      </c>
      <c r="AX254" s="13" t="n">
        <f aca="false">IF(ISBLANK(Actuals!AY77),0,Actuals!AY77)</f>
        <v>0</v>
      </c>
      <c r="AY254" s="13" t="n">
        <f aca="false">IF(ISBLANK(Actuals!AZ77),0,Actuals!AZ77)</f>
        <v>0</v>
      </c>
      <c r="AZ254" s="13" t="n">
        <f aca="false">IF(ISBLANK(Actuals!BA77),IF(Projects!$G$7="Yes",81682,0),Actuals!BA77)</f>
        <v>81682</v>
      </c>
      <c r="BA254" s="13" t="n">
        <f aca="false">IF(ISBLANK(Actuals!BB77),0,Actuals!BB77)</f>
        <v>0</v>
      </c>
      <c r="BB254" s="13" t="n">
        <f aca="false">IF(ISBLANK(Actuals!BC77),0,Actuals!BC77)</f>
        <v>0</v>
      </c>
      <c r="BC254" s="13" t="n">
        <f aca="false">IF(ISBLANK(Actuals!BD77),IF(Projects!$G$7="Yes",81682,0),Actuals!BD77)</f>
        <v>81682</v>
      </c>
      <c r="BD254" s="13" t="n">
        <f aca="false">IF(ISBLANK(Actuals!BE77),0,Actuals!BE77)</f>
        <v>0</v>
      </c>
      <c r="BE254" s="13" t="n">
        <f aca="false">IF(ISBLANK(Actuals!BF77),0,Actuals!BF77)</f>
        <v>0</v>
      </c>
      <c r="BF254" s="13" t="n">
        <f aca="false">IF(ISBLANK(Actuals!BG77),IF(Projects!$G$7="Yes",59178,0),Actuals!BG77)</f>
        <v>59178</v>
      </c>
      <c r="BG254" s="13" t="n">
        <f aca="false">IF(ISBLANK(Actuals!BH77),0,Actuals!BH77)</f>
        <v>0</v>
      </c>
      <c r="BH254" s="13" t="n">
        <f aca="false">IF(ISBLANK(Actuals!BI77),0,Actuals!BI77)</f>
        <v>0</v>
      </c>
      <c r="BI254" s="13" t="n">
        <f aca="false">IF(ISBLANK(Actuals!BJ77),IF(Projects!$G$7="Yes",59176,0),Actuals!BJ77)</f>
        <v>59176</v>
      </c>
      <c r="BJ254" s="13" t="n">
        <f aca="false">IF(ISBLANK(Actuals!BK77),0,Actuals!BK77)</f>
        <v>0</v>
      </c>
      <c r="BK254" s="13" t="n">
        <f aca="false">IF(ISBLANK(Actuals!BL77),0,Actuals!BL77)</f>
        <v>0</v>
      </c>
      <c r="BL254" s="13" t="n">
        <f aca="false">IF(ISBLANK(Actuals!BM77),IF(Projects!$G$7="Yes",59176,0),Actuals!BM77)</f>
        <v>59176</v>
      </c>
      <c r="BM254" s="13" t="n">
        <f aca="false">IF(ISBLANK(Actuals!BN77),0,Actuals!BN77)</f>
        <v>0</v>
      </c>
      <c r="BN254" s="13" t="n">
        <f aca="false">IF(ISBLANK(Actuals!BO77),0,Actuals!BO77)</f>
        <v>0</v>
      </c>
      <c r="BO254" s="13" t="n">
        <f aca="false">IF(ISBLANK(Actuals!BP77),IF(Projects!$G$7="Yes",59176,0),Actuals!BP77)</f>
        <v>59176</v>
      </c>
      <c r="BP254" s="13" t="n">
        <f aca="false">IF(ISBLANK(Actuals!BQ77),0,Actuals!BQ77)</f>
        <v>0</v>
      </c>
      <c r="BQ254" s="13" t="n">
        <f aca="false">IF(ISBLANK(Actuals!BR77),0,Actuals!BR77)</f>
        <v>0</v>
      </c>
      <c r="BR254" s="13" t="n">
        <f aca="false">IF(ISBLANK(Actuals!BS77),IF(Projects!$G$7="Yes",67763,0),Actuals!BS77)</f>
        <v>67763</v>
      </c>
      <c r="BS254" s="13" t="n">
        <f aca="false">IF(ISBLANK(Actuals!BT77),0,Actuals!BT77)</f>
        <v>0</v>
      </c>
      <c r="BT254" s="13" t="n">
        <f aca="false">IF(ISBLANK(Actuals!BU77),0,Actuals!BU77)</f>
        <v>0</v>
      </c>
      <c r="BU254" s="13" t="n">
        <f aca="false">IF(ISBLANK(Actuals!BV77),IF(Projects!$G$7="Yes",67762,0),Actuals!BV77)</f>
        <v>67762</v>
      </c>
      <c r="BV254" s="13" t="n">
        <f aca="false">IF(ISBLANK(Actuals!BW77),0,Actuals!BW77)</f>
        <v>0</v>
      </c>
      <c r="BW254" s="13" t="n">
        <f aca="false">IF(ISBLANK(Actuals!BX77),0,Actuals!BX77)</f>
        <v>0</v>
      </c>
      <c r="BX254" s="13" t="n">
        <f aca="false">IF(ISBLANK(Actuals!BY77),IF(Projects!$G$7="Yes",67762,0),Actuals!BY77)</f>
        <v>67762</v>
      </c>
      <c r="BY254" s="13" t="n">
        <f aca="false">IF(ISBLANK(Actuals!BZ77),0,Actuals!BZ77)</f>
        <v>0</v>
      </c>
      <c r="BZ254" s="13" t="n">
        <f aca="false">IF(ISBLANK(Actuals!CA77),0,Actuals!CA77)</f>
        <v>0</v>
      </c>
      <c r="CA254" s="13" t="n">
        <f aca="false">IF(ISBLANK(Actuals!CB77),IF(Projects!$G$7="Yes",67762,0),Actuals!CB77)</f>
        <v>67762</v>
      </c>
      <c r="CB254" s="13" t="n">
        <f aca="false">IF(ISBLANK(Actuals!CC77),0,Actuals!CC77)</f>
        <v>0</v>
      </c>
      <c r="CC254" s="13" t="n">
        <f aca="false">IF(ISBLANK(Actuals!CD77),0,Actuals!CD77)</f>
        <v>0</v>
      </c>
      <c r="CD254" s="13" t="n">
        <f aca="false">IF(ISBLANK(Actuals!CE77),IF(Projects!$G$7="Yes",76499,0),Actuals!CE77)</f>
        <v>76499</v>
      </c>
      <c r="CE254" s="13" t="n">
        <f aca="false">IF(ISBLANK(Actuals!CF77),0,Actuals!CF77)</f>
        <v>0</v>
      </c>
      <c r="CF254" s="13" t="n">
        <f aca="false">IF(ISBLANK(Actuals!CG77),0,Actuals!CG77)</f>
        <v>0</v>
      </c>
      <c r="CG254" s="13" t="n">
        <f aca="false">IF(ISBLANK(Actuals!CH77),IF(Projects!$G$7="Yes",76499,0),Actuals!CH77)</f>
        <v>76499</v>
      </c>
      <c r="CH254" s="13" t="n">
        <f aca="false">IF(ISBLANK(Actuals!CI77),0,Actuals!CI77)</f>
        <v>0</v>
      </c>
      <c r="CI254" s="13" t="n">
        <f aca="false">IF(ISBLANK(Actuals!CJ77),0,Actuals!CJ77)</f>
        <v>0</v>
      </c>
      <c r="CJ254" s="13" t="n">
        <f aca="false">IF(ISBLANK(Actuals!CK77),IF(Projects!$G$7="Yes",76499,0),Actuals!CK77)</f>
        <v>76499</v>
      </c>
      <c r="CK254" s="13" t="n">
        <f aca="false">IF(ISBLANK(Actuals!CL77),IF(Projects!$G$7="Yes",76499,0),Actuals!CL77)</f>
        <v>76499</v>
      </c>
      <c r="CL254" s="13" t="n">
        <f aca="false">IF(ISBLANK(Actuals!CM77),IF(Projects!$G$7="Yes",76499,0),Actuals!CM77)</f>
        <v>76499</v>
      </c>
      <c r="CM254" s="13" t="n">
        <f aca="false">IF(ISBLANK(Actuals!CN77),IF(Projects!$G$7="Yes",76499,0),Actuals!CN77)</f>
        <v>76499</v>
      </c>
      <c r="CN254" s="13" t="n">
        <f aca="false">IF(ISBLANK(Actuals!CO77),IF(Projects!$G$7="Yes",76499,0),Actuals!CO77)</f>
        <v>76499</v>
      </c>
      <c r="CO254" s="13" t="n">
        <f aca="false">IF(ISBLANK(Actuals!CP77),IF(Projects!$G$7="Yes",76499,0),Actuals!CP77)</f>
        <v>76499</v>
      </c>
      <c r="CP254" s="13" t="n">
        <f aca="false">IF(ISBLANK(Actuals!CQ77),IF(Projects!$G$7="Yes",76499,0),Actuals!CQ77)</f>
        <v>76499</v>
      </c>
      <c r="CQ254" s="13" t="n">
        <f aca="false">IF(ISBLANK(Actuals!CR77),IF(Projects!$G$7="Yes",76499,0),Actuals!CR77)</f>
        <v>76499</v>
      </c>
      <c r="CR254" s="13" t="n">
        <f aca="false">IF(ISBLANK(Actuals!CS77),IF(Projects!$G$7="Yes",76499,0),Actuals!CS77)</f>
        <v>76499</v>
      </c>
      <c r="CS254" s="13" t="n">
        <f aca="false">IF(ISBLANK(Actuals!CT77),IF(Projects!$G$7="Yes",76499,0),Actuals!CT77)</f>
        <v>76499</v>
      </c>
      <c r="CT254" s="13" t="n">
        <f aca="false">IF(ISBLANK(Actuals!CU77),IF(Projects!$G$7="Yes",76499,0),Actuals!CU77)</f>
        <v>76499</v>
      </c>
      <c r="CU254" s="13" t="n">
        <f aca="false">IF(ISBLANK(Actuals!CV77),IF(Projects!$G$7="Yes",76499,0),Actuals!CV77)</f>
        <v>76499</v>
      </c>
      <c r="CV254" s="13" t="n">
        <f aca="false">IF(ISBLANK(Actuals!CW77),IF(Projects!$G$7="Yes",76499,0),Actuals!CW77)</f>
        <v>76499</v>
      </c>
      <c r="CW254" s="13" t="n">
        <f aca="false">IF(ISBLANK(Actuals!CX77),IF(Projects!$G$7="Yes",76499,0),Actuals!CX77)</f>
        <v>76499</v>
      </c>
      <c r="CX254" s="13" t="n">
        <f aca="false">IF(ISBLANK(Actuals!CY77),IF(Projects!$G$7="Yes",76499,0),Actuals!CY77)</f>
        <v>76499</v>
      </c>
      <c r="CY254" s="13" t="n">
        <f aca="false">IF(ISBLANK(Actuals!CZ77),IF(Projects!$G$7="Yes",76499,0),Actuals!CZ77)</f>
        <v>76499</v>
      </c>
      <c r="CZ254" s="13" t="n">
        <f aca="false">IF(ISBLANK(Actuals!DA77),IF(Projects!$G$7="Yes",76499,0),Actuals!DA77)</f>
        <v>76499</v>
      </c>
      <c r="DA254" s="13" t="n">
        <f aca="false">IF(ISBLANK(Actuals!DB77),IF(Projects!$G$7="Yes",76499,0),Actuals!DB77)</f>
        <v>76499</v>
      </c>
      <c r="DB254" s="13" t="n">
        <f aca="false">IF(ISBLANK(Actuals!DC77),IF(Projects!$G$7="Yes",76499,0),Actuals!DC77)</f>
        <v>76499</v>
      </c>
      <c r="DC254" s="13" t="n">
        <f aca="false">IF(ISBLANK(Actuals!DD77),IF(Projects!$G$7="Yes",76499,0),Actuals!DD77)</f>
        <v>76499</v>
      </c>
      <c r="DD254" s="13" t="n">
        <f aca="false">IF(ISBLANK(Actuals!DE77),IF(Projects!$G$7="Yes",76499,0),Actuals!DE77)</f>
        <v>76499</v>
      </c>
      <c r="DE254" s="13" t="n">
        <f aca="false">IF(ISBLANK(Actuals!DF77),IF(Projects!$G$7="Yes",76499,0),Actuals!DF77)</f>
        <v>76499</v>
      </c>
    </row>
    <row r="255" customFormat="false" ht="15" hidden="false" customHeight="true" outlineLevel="0" collapsed="false">
      <c r="A255" s="22" t="s">
        <v>115</v>
      </c>
      <c r="B255" s="13" t="n">
        <f aca="false">IF(ISBLANK(Actuals!C78),0,Actuals!C78)</f>
        <v>0</v>
      </c>
      <c r="C255" s="13" t="n">
        <f aca="false">IF(ISBLANK(Actuals!D78),0,Actuals!D78)</f>
        <v>0</v>
      </c>
      <c r="D255" s="13" t="n">
        <f aca="false">IF(ISBLANK(Actuals!E78),0,Actuals!E78)</f>
        <v>0</v>
      </c>
      <c r="E255" s="13" t="n">
        <f aca="false">IF(ISBLANK(Actuals!F78),0,Actuals!F78)</f>
        <v>0</v>
      </c>
      <c r="F255" s="13" t="n">
        <f aca="false">IF(ISBLANK(Actuals!G78),0,Actuals!G78)</f>
        <v>0</v>
      </c>
      <c r="G255" s="13" t="n">
        <f aca="false">IF(ISBLANK(Actuals!H78),0,Actuals!H78)</f>
        <v>0</v>
      </c>
      <c r="H255" s="13" t="n">
        <f aca="false">IF(ISBLANK(Actuals!I78),0,Actuals!I78)</f>
        <v>0</v>
      </c>
      <c r="I255" s="13" t="n">
        <f aca="false">IF(ISBLANK(Actuals!J78),0,Actuals!J78)</f>
        <v>0</v>
      </c>
      <c r="J255" s="13" t="n">
        <f aca="false">IF(ISBLANK(Actuals!K78),0,Actuals!K78)</f>
        <v>0</v>
      </c>
      <c r="K255" s="13" t="n">
        <f aca="false">IF(ISBLANK(Actuals!L78),0,Actuals!L78)</f>
        <v>0</v>
      </c>
      <c r="L255" s="13" t="n">
        <f aca="false">IF(ISBLANK(Actuals!M78),0,Actuals!M78)</f>
        <v>0</v>
      </c>
      <c r="M255" s="13" t="n">
        <f aca="false">IF(ISBLANK(Actuals!N78),0,Actuals!N78)</f>
        <v>0</v>
      </c>
      <c r="N255" s="13" t="n">
        <f aca="false">IF(ISBLANK(Actuals!O78),0,Actuals!O78)</f>
        <v>0</v>
      </c>
      <c r="O255" s="13" t="n">
        <f aca="false">IF(ISBLANK(Actuals!P78),0,Actuals!P78)</f>
        <v>0</v>
      </c>
      <c r="P255" s="13" t="n">
        <f aca="false">IF(ISBLANK(Actuals!Q78),0,Actuals!Q78)</f>
        <v>0</v>
      </c>
      <c r="Q255" s="13" t="n">
        <f aca="false">IF(ISBLANK(Actuals!R78),0,Actuals!R78)</f>
        <v>0</v>
      </c>
      <c r="R255" s="13" t="n">
        <f aca="false">IF(ISBLANK(Actuals!S78),0,Actuals!S78)</f>
        <v>0</v>
      </c>
      <c r="S255" s="13" t="n">
        <f aca="false">IF(ISBLANK(Actuals!T78),0,Actuals!T78)</f>
        <v>0</v>
      </c>
      <c r="T255" s="13" t="n">
        <f aca="false">IF(ISBLANK(Actuals!U78),0,Actuals!U78)</f>
        <v>0</v>
      </c>
      <c r="U255" s="13" t="n">
        <f aca="false">IF(ISBLANK(Actuals!V78),0,Actuals!V78)</f>
        <v>0</v>
      </c>
      <c r="V255" s="13" t="n">
        <f aca="false">IF(ISBLANK(Actuals!W78),0,Actuals!W78)</f>
        <v>0</v>
      </c>
      <c r="W255" s="13" t="n">
        <f aca="false">IF(ISBLANK(Actuals!X78),0,Actuals!X78)</f>
        <v>0</v>
      </c>
      <c r="X255" s="13" t="n">
        <f aca="false">IF(ISBLANK(Actuals!Y78),0,Actuals!Y78)</f>
        <v>0</v>
      </c>
      <c r="Y255" s="13" t="n">
        <f aca="false">IF(ISBLANK(Actuals!Z78),0,Actuals!Z78)</f>
        <v>0</v>
      </c>
      <c r="Z255" s="13" t="n">
        <f aca="false">IF(ISBLANK(Actuals!AA78),0,Actuals!AA78)</f>
        <v>0</v>
      </c>
      <c r="AA255" s="13" t="n">
        <f aca="false">IF(ISBLANK(Actuals!AB78),0,Actuals!AB78)</f>
        <v>0</v>
      </c>
      <c r="AB255" s="13" t="n">
        <f aca="false">IF(ISBLANK(Actuals!AC78),0,Actuals!AC78)</f>
        <v>0</v>
      </c>
      <c r="AC255" s="13" t="n">
        <f aca="false">IF(ISBLANK(Actuals!AD78),0,Actuals!AD78)</f>
        <v>0</v>
      </c>
      <c r="AD255" s="13" t="n">
        <f aca="false">IF(ISBLANK(Actuals!AE78),0,Actuals!AE78)</f>
        <v>0</v>
      </c>
      <c r="AE255" s="13" t="n">
        <f aca="false">IF(ISBLANK(Actuals!AF78),0,Actuals!AF78)</f>
        <v>0</v>
      </c>
      <c r="AF255" s="13" t="n">
        <f aca="false">IF(ISBLANK(Actuals!AG78),0,Actuals!AG78)</f>
        <v>0</v>
      </c>
      <c r="AG255" s="13" t="n">
        <f aca="false">IF(ISBLANK(Actuals!AH78),0,Actuals!AH78)</f>
        <v>0</v>
      </c>
      <c r="AH255" s="13" t="n">
        <f aca="false">IF(ISBLANK(Actuals!AI78),0,Actuals!AI78)</f>
        <v>0</v>
      </c>
      <c r="AI255" s="13" t="n">
        <f aca="false">IF(ISBLANK(Actuals!AJ78),0,Actuals!AJ78)</f>
        <v>0</v>
      </c>
      <c r="AJ255" s="13" t="n">
        <f aca="false">IF(ISBLANK(Actuals!AK78),0,Actuals!AK78)</f>
        <v>0</v>
      </c>
      <c r="AK255" s="13" t="n">
        <f aca="false">IF(ISBLANK(Actuals!AL78),0,Actuals!AL78)</f>
        <v>0</v>
      </c>
      <c r="AL255" s="13" t="n">
        <f aca="false">IF(ISBLANK(Actuals!AM78),0,Actuals!AM78)</f>
        <v>0</v>
      </c>
      <c r="AM255" s="13" t="n">
        <f aca="false">IF(ISBLANK(Actuals!AN78),0,Actuals!AN78)</f>
        <v>0</v>
      </c>
      <c r="AN255" s="13" t="n">
        <f aca="false">IF(ISBLANK(Actuals!AO78),0,Actuals!AO78)</f>
        <v>0</v>
      </c>
      <c r="AO255" s="13" t="n">
        <f aca="false">IF(ISBLANK(Actuals!AP78),0,Actuals!AP78)</f>
        <v>0</v>
      </c>
      <c r="AP255" s="13" t="n">
        <f aca="false">IF(ISBLANK(Actuals!AQ78),0,Actuals!AQ78)</f>
        <v>0</v>
      </c>
      <c r="AQ255" s="13" t="n">
        <f aca="false">IF(ISBLANK(Actuals!AR78),0,Actuals!AR78)</f>
        <v>0</v>
      </c>
      <c r="AR255" s="13" t="n">
        <f aca="false">IF(ISBLANK(Actuals!AS78),0,Actuals!AS78)</f>
        <v>0</v>
      </c>
      <c r="AS255" s="13" t="n">
        <f aca="false">IF(ISBLANK(Actuals!AT78),0,Actuals!AT78)</f>
        <v>0</v>
      </c>
      <c r="AT255" s="13" t="n">
        <f aca="false">IF(ISBLANK(Actuals!AU78),0,Actuals!AU78)</f>
        <v>0</v>
      </c>
      <c r="AU255" s="13" t="n">
        <f aca="false">IF(ISBLANK(Actuals!AV78),0,Actuals!AV78)</f>
        <v>0</v>
      </c>
      <c r="AV255" s="13" t="n">
        <f aca="false">IF(ISBLANK(Actuals!AW78),0,Actuals!AW78)</f>
        <v>0</v>
      </c>
      <c r="AW255" s="13" t="n">
        <f aca="false">IF(ISBLANK(Actuals!AX78),0,Actuals!AX78)</f>
        <v>0</v>
      </c>
      <c r="AX255" s="13" t="n">
        <f aca="false">IF(ISBLANK(Actuals!AY78),0,Actuals!AY78)</f>
        <v>0</v>
      </c>
      <c r="AY255" s="13" t="n">
        <f aca="false">IF(ISBLANK(Actuals!AZ78),0,Actuals!AZ78)</f>
        <v>0</v>
      </c>
      <c r="AZ255" s="13" t="n">
        <f aca="false">IF(ISBLANK(Actuals!BA78),0,Actuals!BA78)</f>
        <v>0</v>
      </c>
      <c r="BA255" s="13" t="n">
        <f aca="false">IF(ISBLANK(Actuals!BB78),0,Actuals!BB78)</f>
        <v>0</v>
      </c>
      <c r="BB255" s="13" t="n">
        <f aca="false">IF(ISBLANK(Actuals!BC78),0,Actuals!BC78)</f>
        <v>0</v>
      </c>
      <c r="BC255" s="13" t="n">
        <f aca="false">IF(ISBLANK(Actuals!BD78),IF(Projects!$G$13="Yes",851839,0),Actuals!BD78)</f>
        <v>851839</v>
      </c>
      <c r="BD255" s="13" t="n">
        <f aca="false">IF(ISBLANK(Actuals!BE78),0,Actuals!BE78)</f>
        <v>0</v>
      </c>
      <c r="BE255" s="13" t="n">
        <f aca="false">IF(ISBLANK(Actuals!BF78),0,Actuals!BF78)</f>
        <v>0</v>
      </c>
      <c r="BF255" s="13" t="n">
        <f aca="false">IF(ISBLANK(Actuals!BG78),IF(Projects!$G$13="Yes",71700,0),Actuals!BG78)</f>
        <v>71700</v>
      </c>
      <c r="BG255" s="13" t="n">
        <f aca="false">IF(ISBLANK(Actuals!BH78),0,Actuals!BH78)</f>
        <v>0</v>
      </c>
      <c r="BH255" s="13" t="n">
        <f aca="false">IF(ISBLANK(Actuals!BI78),0,Actuals!BI78)</f>
        <v>0</v>
      </c>
      <c r="BI255" s="13" t="n">
        <f aca="false">IF(ISBLANK(Actuals!BJ78),IF(Projects!$G$13="Yes",71700,0),Actuals!BJ78)</f>
        <v>71700</v>
      </c>
      <c r="BJ255" s="13" t="n">
        <f aca="false">IF(ISBLANK(Actuals!BK78),0,Actuals!BK78)</f>
        <v>0</v>
      </c>
      <c r="BK255" s="13" t="n">
        <f aca="false">IF(ISBLANK(Actuals!BL78),0,Actuals!BL78)</f>
        <v>0</v>
      </c>
      <c r="BL255" s="13" t="n">
        <f aca="false">IF(ISBLANK(Actuals!BM78),IF(Projects!$G$13="Yes",71700,0),Actuals!BM78)</f>
        <v>71700</v>
      </c>
      <c r="BM255" s="13" t="n">
        <f aca="false">IF(ISBLANK(Actuals!BN78),0,Actuals!BN78)</f>
        <v>0</v>
      </c>
      <c r="BN255" s="13" t="n">
        <f aca="false">IF(ISBLANK(Actuals!BO78),0,Actuals!BO78)</f>
        <v>0</v>
      </c>
      <c r="BO255" s="13" t="n">
        <f aca="false">IF(ISBLANK(Actuals!BP78),IF(Projects!$G$13="Yes",71700,0),Actuals!BP78)</f>
        <v>71700</v>
      </c>
      <c r="BP255" s="13" t="n">
        <f aca="false">IF(ISBLANK(Actuals!BQ78),0,Actuals!BQ78)</f>
        <v>0</v>
      </c>
      <c r="BQ255" s="13" t="n">
        <f aca="false">IF(ISBLANK(Actuals!BR78),0,Actuals!BR78)</f>
        <v>0</v>
      </c>
      <c r="BR255" s="13" t="n">
        <f aca="false">IF(ISBLANK(Actuals!BS78),IF(Projects!$G$13="Yes",74643,0),Actuals!BS78)</f>
        <v>74643</v>
      </c>
      <c r="BS255" s="13" t="n">
        <f aca="false">IF(ISBLANK(Actuals!BT78),0,Actuals!BT78)</f>
        <v>0</v>
      </c>
      <c r="BT255" s="13" t="n">
        <f aca="false">IF(ISBLANK(Actuals!BU78),0,Actuals!BU78)</f>
        <v>0</v>
      </c>
      <c r="BU255" s="13" t="n">
        <f aca="false">IF(ISBLANK(Actuals!BV78),IF(Projects!$G$13="Yes",74640,0),Actuals!BV78)</f>
        <v>74640</v>
      </c>
      <c r="BV255" s="13" t="n">
        <f aca="false">IF(ISBLANK(Actuals!BW78),0,Actuals!BW78)</f>
        <v>0</v>
      </c>
      <c r="BW255" s="13" t="n">
        <f aca="false">IF(ISBLANK(Actuals!BX78),0,Actuals!BX78)</f>
        <v>0</v>
      </c>
      <c r="BX255" s="13" t="n">
        <f aca="false">IF(ISBLANK(Actuals!BY78),IF(Projects!$G$13="Yes",74640,0),Actuals!BY78)</f>
        <v>74640</v>
      </c>
      <c r="BY255" s="13" t="n">
        <f aca="false">IF(ISBLANK(Actuals!BZ78),0,Actuals!BZ78)</f>
        <v>0</v>
      </c>
      <c r="BZ255" s="13" t="n">
        <f aca="false">IF(ISBLANK(Actuals!CA78),0,Actuals!CA78)</f>
        <v>0</v>
      </c>
      <c r="CA255" s="13" t="n">
        <f aca="false">IF(ISBLANK(Actuals!CB78),IF(Projects!$G$13="Yes",74640,0),Actuals!CB78)</f>
        <v>74640</v>
      </c>
      <c r="CB255" s="13" t="n">
        <f aca="false">IF(ISBLANK(Actuals!CC78),0,Actuals!CC78)</f>
        <v>0</v>
      </c>
      <c r="CC255" s="13" t="n">
        <f aca="false">IF(ISBLANK(Actuals!CD78),0,Actuals!CD78)</f>
        <v>0</v>
      </c>
      <c r="CD255" s="13" t="n">
        <f aca="false">IF(ISBLANK(Actuals!CE78),IF(Projects!$G$13="Yes",81363,0),Actuals!CE78)</f>
        <v>81363</v>
      </c>
      <c r="CE255" s="13" t="n">
        <f aca="false">IF(ISBLANK(Actuals!CF78),0,Actuals!CF78)</f>
        <v>0</v>
      </c>
      <c r="CF255" s="13" t="n">
        <f aca="false">IF(ISBLANK(Actuals!CG78),0,Actuals!CG78)</f>
        <v>0</v>
      </c>
      <c r="CG255" s="13" t="n">
        <f aca="false">IF(ISBLANK(Actuals!CH78),IF(Projects!$G$13="Yes",81362,0),Actuals!CH78)</f>
        <v>81362</v>
      </c>
      <c r="CH255" s="13" t="n">
        <f aca="false">IF(ISBLANK(Actuals!CI78),0,Actuals!CI78)</f>
        <v>0</v>
      </c>
      <c r="CI255" s="13" t="n">
        <f aca="false">IF(ISBLANK(Actuals!CJ78),0,Actuals!CJ78)</f>
        <v>0</v>
      </c>
      <c r="CJ255" s="13" t="n">
        <f aca="false">IF(ISBLANK(Actuals!CK78),IF(Projects!$G$13="Yes",81362,0),Actuals!CK78)</f>
        <v>81362</v>
      </c>
      <c r="CK255" s="13" t="n">
        <f aca="false">IF(ISBLANK(Actuals!CL78),IF(Projects!$G$13="Yes",81362,0),Actuals!CL78)</f>
        <v>81362</v>
      </c>
      <c r="CL255" s="13" t="n">
        <f aca="false">IF(ISBLANK(Actuals!CM78),IF(Projects!$G$13="Yes",81362,0),Actuals!CM78)</f>
        <v>81362</v>
      </c>
      <c r="CM255" s="13" t="n">
        <f aca="false">IF(ISBLANK(Actuals!CN78),IF(Projects!$G$13="Yes",81362,0),Actuals!CN78)</f>
        <v>81362</v>
      </c>
      <c r="CN255" s="13" t="n">
        <f aca="false">IF(ISBLANK(Actuals!CO78),IF(Projects!$G$13="Yes",81362,0),Actuals!CO78)</f>
        <v>81362</v>
      </c>
      <c r="CO255" s="13" t="n">
        <f aca="false">IF(ISBLANK(Actuals!CP78),IF(Projects!$G$13="Yes",81362,0),Actuals!CP78)</f>
        <v>81362</v>
      </c>
      <c r="CP255" s="13" t="n">
        <f aca="false">IF(ISBLANK(Actuals!CQ78),IF(Projects!$G$13="Yes",81362,0),Actuals!CQ78)</f>
        <v>81362</v>
      </c>
      <c r="CQ255" s="13" t="n">
        <f aca="false">IF(ISBLANK(Actuals!CR78),IF(Projects!$G$13="Yes",81362,0),Actuals!CR78)</f>
        <v>81362</v>
      </c>
      <c r="CR255" s="13" t="n">
        <f aca="false">IF(ISBLANK(Actuals!CS78),IF(Projects!$G$13="Yes",81362,0),Actuals!CS78)</f>
        <v>81362</v>
      </c>
      <c r="CS255" s="13" t="n">
        <f aca="false">IF(ISBLANK(Actuals!CT78),IF(Projects!$G$13="Yes",81362,0),Actuals!CT78)</f>
        <v>81362</v>
      </c>
      <c r="CT255" s="13" t="n">
        <f aca="false">IF(ISBLANK(Actuals!CU78),IF(Projects!$G$13="Yes",81362,0),Actuals!CU78)</f>
        <v>81362</v>
      </c>
      <c r="CU255" s="13" t="n">
        <f aca="false">IF(ISBLANK(Actuals!CV78),IF(Projects!$G$13="Yes",81362,0),Actuals!CV78)</f>
        <v>81362</v>
      </c>
      <c r="CV255" s="13" t="n">
        <f aca="false">IF(ISBLANK(Actuals!CW78),IF(Projects!$G$13="Yes",81362,0),Actuals!CW78)</f>
        <v>81362</v>
      </c>
      <c r="CW255" s="13" t="n">
        <f aca="false">IF(ISBLANK(Actuals!CX78),IF(Projects!$G$13="Yes",81362,0),Actuals!CX78)</f>
        <v>81362</v>
      </c>
      <c r="CX255" s="13" t="n">
        <f aca="false">IF(ISBLANK(Actuals!CY78),IF(Projects!$G$13="Yes",81362,0),Actuals!CY78)</f>
        <v>81362</v>
      </c>
      <c r="CY255" s="13" t="n">
        <f aca="false">IF(ISBLANK(Actuals!CZ78),IF(Projects!$G$13="Yes",81362,0),Actuals!CZ78)</f>
        <v>81362</v>
      </c>
      <c r="CZ255" s="13" t="n">
        <f aca="false">IF(ISBLANK(Actuals!DA78),IF(Projects!$G$13="Yes",81362,0),Actuals!DA78)</f>
        <v>81362</v>
      </c>
      <c r="DA255" s="13" t="n">
        <f aca="false">IF(ISBLANK(Actuals!DB78),IF(Projects!$G$13="Yes",81362,0),Actuals!DB78)</f>
        <v>81362</v>
      </c>
      <c r="DB255" s="13" t="n">
        <f aca="false">IF(ISBLANK(Actuals!DC78),IF(Projects!$G$13="Yes",81362,0),Actuals!DC78)</f>
        <v>81362</v>
      </c>
      <c r="DC255" s="13" t="n">
        <f aca="false">IF(ISBLANK(Actuals!DD78),IF(Projects!$G$13="Yes",81362,0),Actuals!DD78)</f>
        <v>81362</v>
      </c>
      <c r="DD255" s="13" t="n">
        <f aca="false">IF(ISBLANK(Actuals!DE78),IF(Projects!$G$13="Yes",81362,0),Actuals!DE78)</f>
        <v>81362</v>
      </c>
      <c r="DE255" s="13" t="n">
        <f aca="false">IF(ISBLANK(Actuals!DF78),IF(Projects!$G$13="Yes",81362,0),Actuals!DF78)</f>
        <v>81362</v>
      </c>
    </row>
    <row r="256" customFormat="false" ht="15" hidden="false" customHeight="true" outlineLevel="0" collapsed="false">
      <c r="A256" s="22" t="s">
        <v>116</v>
      </c>
      <c r="B256" s="13" t="n">
        <f aca="false">IF(ISBLANK(Actuals!C79),0,Actuals!C79)</f>
        <v>0</v>
      </c>
      <c r="C256" s="13" t="n">
        <f aca="false">IF(ISBLANK(Actuals!D79),0,Actuals!D79)</f>
        <v>0</v>
      </c>
      <c r="D256" s="13" t="n">
        <f aca="false">IF(ISBLANK(Actuals!E79),0,Actuals!E79)</f>
        <v>0</v>
      </c>
      <c r="E256" s="13" t="n">
        <f aca="false">IF(ISBLANK(Actuals!F79),0,Actuals!F79)</f>
        <v>0</v>
      </c>
      <c r="F256" s="13" t="n">
        <f aca="false">IF(ISBLANK(Actuals!G79),0,Actuals!G79)</f>
        <v>0</v>
      </c>
      <c r="G256" s="13" t="n">
        <f aca="false">IF(ISBLANK(Actuals!H79),0,Actuals!H79)</f>
        <v>0</v>
      </c>
      <c r="H256" s="13" t="n">
        <f aca="false">IF(ISBLANK(Actuals!I79),0,Actuals!I79)</f>
        <v>0</v>
      </c>
      <c r="I256" s="13" t="n">
        <f aca="false">IF(ISBLANK(Actuals!J79),0,Actuals!J79)</f>
        <v>0</v>
      </c>
      <c r="J256" s="13" t="n">
        <f aca="false">IF(ISBLANK(Actuals!K79),0,Actuals!K79)</f>
        <v>0</v>
      </c>
      <c r="K256" s="13" t="n">
        <f aca="false">IF(ISBLANK(Actuals!L79),0,Actuals!L79)</f>
        <v>0</v>
      </c>
      <c r="L256" s="13" t="n">
        <f aca="false">IF(ISBLANK(Actuals!M79),0,Actuals!M79)</f>
        <v>0</v>
      </c>
      <c r="M256" s="13" t="n">
        <f aca="false">IF(ISBLANK(Actuals!N79),0,Actuals!N79)</f>
        <v>0</v>
      </c>
      <c r="N256" s="13" t="n">
        <f aca="false">IF(ISBLANK(Actuals!O79),0,Actuals!O79)</f>
        <v>0</v>
      </c>
      <c r="O256" s="13" t="n">
        <f aca="false">IF(ISBLANK(Actuals!P79),0,Actuals!P79)</f>
        <v>0</v>
      </c>
      <c r="P256" s="13" t="n">
        <f aca="false">IF(ISBLANK(Actuals!Q79),0,Actuals!Q79)</f>
        <v>0</v>
      </c>
      <c r="Q256" s="13" t="n">
        <f aca="false">IF(ISBLANK(Actuals!R79),0,Actuals!R79)</f>
        <v>0</v>
      </c>
      <c r="R256" s="13" t="n">
        <f aca="false">IF(ISBLANK(Actuals!S79),0,Actuals!S79)</f>
        <v>0</v>
      </c>
      <c r="S256" s="13" t="n">
        <f aca="false">IF(ISBLANK(Actuals!T79),0,Actuals!T79)</f>
        <v>0</v>
      </c>
      <c r="T256" s="13" t="n">
        <f aca="false">IF(ISBLANK(Actuals!U79),0,Actuals!U79)</f>
        <v>0</v>
      </c>
      <c r="U256" s="13" t="n">
        <f aca="false">IF(ISBLANK(Actuals!V79),0,Actuals!V79)</f>
        <v>0</v>
      </c>
      <c r="V256" s="13" t="n">
        <f aca="false">IF(ISBLANK(Actuals!W79),0,Actuals!W79)</f>
        <v>0</v>
      </c>
      <c r="W256" s="13" t="n">
        <f aca="false">IF(ISBLANK(Actuals!X79),0,Actuals!X79)</f>
        <v>0</v>
      </c>
      <c r="X256" s="13" t="n">
        <f aca="false">IF(ISBLANK(Actuals!Y79),0,Actuals!Y79)</f>
        <v>0</v>
      </c>
      <c r="Y256" s="13" t="n">
        <f aca="false">IF(ISBLANK(Actuals!Z79),0,Actuals!Z79)</f>
        <v>0</v>
      </c>
      <c r="Z256" s="13" t="n">
        <f aca="false">IF(ISBLANK(Actuals!AA79),0,Actuals!AA79)</f>
        <v>0</v>
      </c>
      <c r="AA256" s="13" t="n">
        <f aca="false">IF(ISBLANK(Actuals!AB79),0,Actuals!AB79)</f>
        <v>0</v>
      </c>
      <c r="AB256" s="13" t="n">
        <f aca="false">IF(ISBLANK(Actuals!AC79),0,Actuals!AC79)</f>
        <v>0</v>
      </c>
      <c r="AC256" s="13" t="n">
        <f aca="false">IF(ISBLANK(Actuals!AD79),0,Actuals!AD79)</f>
        <v>0</v>
      </c>
      <c r="AD256" s="13" t="n">
        <f aca="false">IF(ISBLANK(Actuals!AE79),0,Actuals!AE79)</f>
        <v>0</v>
      </c>
      <c r="AE256" s="13" t="n">
        <f aca="false">IF(ISBLANK(Actuals!AF79),0,Actuals!AF79)</f>
        <v>0</v>
      </c>
      <c r="AF256" s="13" t="n">
        <f aca="false">IF(ISBLANK(Actuals!AG79),0,Actuals!AG79)</f>
        <v>0</v>
      </c>
      <c r="AG256" s="13" t="n">
        <f aca="false">IF(ISBLANK(Actuals!AH79),0,Actuals!AH79)</f>
        <v>0</v>
      </c>
      <c r="AH256" s="13" t="n">
        <f aca="false">IF(ISBLANK(Actuals!AI79),0,Actuals!AI79)</f>
        <v>0</v>
      </c>
      <c r="AI256" s="13" t="n">
        <f aca="false">IF(ISBLANK(Actuals!AJ79),0,Actuals!AJ79)</f>
        <v>0</v>
      </c>
      <c r="AJ256" s="13" t="n">
        <f aca="false">IF(ISBLANK(Actuals!AK79),0,Actuals!AK79)</f>
        <v>0</v>
      </c>
      <c r="AK256" s="13" t="n">
        <f aca="false">IF(ISBLANK(Actuals!AL79),0,Actuals!AL79)</f>
        <v>0</v>
      </c>
      <c r="AL256" s="13" t="n">
        <f aca="false">IF(ISBLANK(Actuals!AM79),0,Actuals!AM79)</f>
        <v>0</v>
      </c>
      <c r="AM256" s="13" t="n">
        <f aca="false">IF(ISBLANK(Actuals!AN79),0,Actuals!AN79)</f>
        <v>0</v>
      </c>
      <c r="AN256" s="13" t="n">
        <f aca="false">IF(ISBLANK(Actuals!AO79),0,Actuals!AO79)</f>
        <v>0</v>
      </c>
      <c r="AO256" s="13" t="n">
        <f aca="false">IF(ISBLANK(Actuals!AP79),0,Actuals!AP79)</f>
        <v>0</v>
      </c>
      <c r="AP256" s="13" t="n">
        <f aca="false">IF(ISBLANK(Actuals!AQ79),0,Actuals!AQ79)</f>
        <v>0</v>
      </c>
      <c r="AQ256" s="13" t="n">
        <f aca="false">IF(ISBLANK(Actuals!AR79),0,Actuals!AR79)</f>
        <v>0</v>
      </c>
      <c r="AR256" s="13" t="n">
        <f aca="false">IF(ISBLANK(Actuals!AS79),0,Actuals!AS79)</f>
        <v>0</v>
      </c>
      <c r="AS256" s="13" t="n">
        <f aca="false">IF(ISBLANK(Actuals!AT79),0,Actuals!AT79)</f>
        <v>0</v>
      </c>
      <c r="AT256" s="13" t="n">
        <f aca="false">IF(ISBLANK(Actuals!AU79),0,Actuals!AU79)</f>
        <v>0</v>
      </c>
      <c r="AU256" s="13" t="n">
        <f aca="false">IF(ISBLANK(Actuals!AV79),0,Actuals!AV79)</f>
        <v>0</v>
      </c>
      <c r="AV256" s="13" t="n">
        <f aca="false">IF(ISBLANK(Actuals!AW79),0,Actuals!AW79)</f>
        <v>0</v>
      </c>
      <c r="AW256" s="13" t="n">
        <f aca="false">IF(ISBLANK(Actuals!AX79),0,Actuals!AX79)</f>
        <v>0</v>
      </c>
      <c r="AX256" s="13" t="n">
        <f aca="false">IF(ISBLANK(Actuals!AY79),0,Actuals!AY79)</f>
        <v>0</v>
      </c>
      <c r="AY256" s="13" t="n">
        <f aca="false">IF(ISBLANK(Actuals!AZ79),0,Actuals!AZ79)</f>
        <v>0</v>
      </c>
      <c r="AZ256" s="13" t="n">
        <f aca="false">IF(ISBLANK(Actuals!BA79),0,Actuals!BA79)</f>
        <v>0</v>
      </c>
      <c r="BA256" s="13" t="n">
        <f aca="false">IF(ISBLANK(Actuals!BB79),0,Actuals!BB79)</f>
        <v>0</v>
      </c>
      <c r="BB256" s="13" t="n">
        <f aca="false">IF(ISBLANK(Actuals!BC79),0,Actuals!BC79)</f>
        <v>0</v>
      </c>
      <c r="BC256" s="13" t="n">
        <f aca="false">IF(ISBLANK(Actuals!BD79),0,Actuals!BD79)</f>
        <v>0</v>
      </c>
      <c r="BD256" s="13" t="n">
        <f aca="false">IF(ISBLANK(Actuals!BE79),0,Actuals!BE79)</f>
        <v>0</v>
      </c>
      <c r="BE256" s="13" t="n">
        <f aca="false">IF(ISBLANK(Actuals!BF79),0,Actuals!BF79)</f>
        <v>0</v>
      </c>
      <c r="BF256" s="13" t="n">
        <f aca="false">IF(ISBLANK(Actuals!BG79),0,Actuals!BG79)</f>
        <v>0</v>
      </c>
      <c r="BG256" s="13" t="n">
        <f aca="false">IF(ISBLANK(Actuals!BH79),0,Actuals!BH79)</f>
        <v>0</v>
      </c>
      <c r="BH256" s="13" t="n">
        <f aca="false">IF(ISBLANK(Actuals!BI79),0,Actuals!BI79)</f>
        <v>0</v>
      </c>
      <c r="BI256" s="13" t="n">
        <f aca="false">IF(ISBLANK(Actuals!BJ79),0,Actuals!BJ79)</f>
        <v>0</v>
      </c>
      <c r="BJ256" s="13" t="n">
        <f aca="false">IF(ISBLANK(Actuals!BK79),0,Actuals!BK79)</f>
        <v>0</v>
      </c>
      <c r="BK256" s="13" t="n">
        <f aca="false">IF(ISBLANK(Actuals!BL79),0,Actuals!BL79)</f>
        <v>0</v>
      </c>
      <c r="BL256" s="13" t="n">
        <f aca="false">IF(ISBLANK(Actuals!BM79),0,Actuals!BM79)</f>
        <v>0</v>
      </c>
      <c r="BM256" s="13" t="n">
        <f aca="false">IF(ISBLANK(Actuals!BN79),0,Actuals!BN79)</f>
        <v>0</v>
      </c>
      <c r="BN256" s="13" t="n">
        <f aca="false">IF(ISBLANK(Actuals!BO79),0,Actuals!BO79)</f>
        <v>0</v>
      </c>
      <c r="BO256" s="13" t="n">
        <f aca="false">IF(ISBLANK(Actuals!BP79),0,Actuals!BP79)</f>
        <v>0</v>
      </c>
      <c r="BP256" s="13" t="n">
        <f aca="false">IF(ISBLANK(Actuals!BQ79),0,Actuals!BQ79)</f>
        <v>0</v>
      </c>
      <c r="BQ256" s="13" t="n">
        <f aca="false">IF(ISBLANK(Actuals!BR79),0,Actuals!BR79)</f>
        <v>0</v>
      </c>
      <c r="BR256" s="13" t="n">
        <f aca="false">IF(ISBLANK(Actuals!BS79),0,Actuals!BS79)</f>
        <v>0</v>
      </c>
      <c r="BS256" s="13" t="n">
        <f aca="false">IF(ISBLANK(Actuals!BT79),0,Actuals!BT79)</f>
        <v>0</v>
      </c>
      <c r="BT256" s="13" t="n">
        <f aca="false">IF(ISBLANK(Actuals!BU79),0,Actuals!BU79)</f>
        <v>0</v>
      </c>
      <c r="BU256" s="13" t="n">
        <f aca="false">IF(ISBLANK(Actuals!BV79),0,Actuals!BV79)</f>
        <v>0</v>
      </c>
      <c r="BV256" s="13" t="n">
        <f aca="false">IF(ISBLANK(Actuals!BW79),0,Actuals!BW79)</f>
        <v>0</v>
      </c>
      <c r="BW256" s="13" t="n">
        <f aca="false">IF(ISBLANK(Actuals!BX79),0,Actuals!BX79)</f>
        <v>0</v>
      </c>
      <c r="BX256" s="13" t="n">
        <f aca="false">IF(ISBLANK(Actuals!BY79),0,Actuals!BY79)</f>
        <v>0</v>
      </c>
      <c r="BY256" s="13" t="n">
        <f aca="false">IF(ISBLANK(Actuals!BZ79),0,Actuals!BZ79)</f>
        <v>0</v>
      </c>
      <c r="BZ256" s="13" t="n">
        <f aca="false">IF(ISBLANK(Actuals!CA79),0,Actuals!CA79)</f>
        <v>0</v>
      </c>
      <c r="CA256" s="13" t="n">
        <f aca="false">IF(ISBLANK(Actuals!CB79),IF(Projects!$G$14="Yes",73156,0),Actuals!CB79)</f>
        <v>73156</v>
      </c>
      <c r="CB256" s="13" t="n">
        <f aca="false">IF(ISBLANK(Actuals!CC79),0,Actuals!CC79)</f>
        <v>0</v>
      </c>
      <c r="CC256" s="13" t="n">
        <f aca="false">IF(ISBLANK(Actuals!CD79),0,Actuals!CD79)</f>
        <v>0</v>
      </c>
      <c r="CD256" s="13" t="n">
        <f aca="false">IF(ISBLANK(Actuals!CE79),IF(Projects!$G$14="Yes",73155,0),Actuals!CE79)</f>
        <v>73155</v>
      </c>
      <c r="CE256" s="13" t="n">
        <f aca="false">IF(ISBLANK(Actuals!CF79),0,Actuals!CF79)</f>
        <v>0</v>
      </c>
      <c r="CF256" s="13" t="n">
        <f aca="false">IF(ISBLANK(Actuals!CG79),0,Actuals!CG79)</f>
        <v>0</v>
      </c>
      <c r="CG256" s="13" t="n">
        <f aca="false">IF(ISBLANK(Actuals!CH79),IF(Projects!$G$14="Yes",73155,0),Actuals!CH79)</f>
        <v>73155</v>
      </c>
      <c r="CH256" s="13" t="n">
        <f aca="false">IF(ISBLANK(Actuals!CI79),0,Actuals!CI79)</f>
        <v>0</v>
      </c>
      <c r="CI256" s="13" t="n">
        <f aca="false">IF(ISBLANK(Actuals!CJ79),0,Actuals!CJ79)</f>
        <v>0</v>
      </c>
      <c r="CJ256" s="13" t="n">
        <f aca="false">IF(ISBLANK(Actuals!CK79),IF(Projects!$G$14="Yes",73155,0),Actuals!CK79)</f>
        <v>73155</v>
      </c>
      <c r="CK256" s="13" t="n">
        <f aca="false">IF(ISBLANK(Actuals!CL79),IF(Projects!$G$14="Yes",73155,0),Actuals!CL79)</f>
        <v>73155</v>
      </c>
      <c r="CL256" s="13" t="n">
        <f aca="false">IF(ISBLANK(Actuals!CM79),IF(Projects!$G$14="Yes",73155,0),Actuals!CM79)</f>
        <v>73155</v>
      </c>
      <c r="CM256" s="13" t="n">
        <f aca="false">IF(ISBLANK(Actuals!CN79),IF(Projects!$G$14="Yes",73155,0),Actuals!CN79)</f>
        <v>73155</v>
      </c>
      <c r="CN256" s="13" t="n">
        <f aca="false">IF(ISBLANK(Actuals!CO79),IF(Projects!$G$14="Yes",73155,0),Actuals!CO79)</f>
        <v>73155</v>
      </c>
      <c r="CO256" s="13" t="n">
        <f aca="false">IF(ISBLANK(Actuals!CP79),IF(Projects!$G$14="Yes",73155,0),Actuals!CP79)</f>
        <v>73155</v>
      </c>
      <c r="CP256" s="13" t="n">
        <f aca="false">IF(ISBLANK(Actuals!CQ79),IF(Projects!$G$14="Yes",73155,0),Actuals!CQ79)</f>
        <v>73155</v>
      </c>
      <c r="CQ256" s="13" t="n">
        <f aca="false">IF(ISBLANK(Actuals!CR79),IF(Projects!$G$14="Yes",73155,0),Actuals!CR79)</f>
        <v>73155</v>
      </c>
      <c r="CR256" s="13" t="n">
        <f aca="false">IF(ISBLANK(Actuals!CS79),IF(Projects!$G$14="Yes",73155,0),Actuals!CS79)</f>
        <v>73155</v>
      </c>
      <c r="CS256" s="13" t="n">
        <f aca="false">IF(ISBLANK(Actuals!CT79),IF(Projects!$G$14="Yes",73155,0),Actuals!CT79)</f>
        <v>73155</v>
      </c>
      <c r="CT256" s="13" t="n">
        <f aca="false">IF(ISBLANK(Actuals!CU79),IF(Projects!$G$14="Yes",73155,0),Actuals!CU79)</f>
        <v>73155</v>
      </c>
      <c r="CU256" s="13" t="n">
        <f aca="false">IF(ISBLANK(Actuals!CV79),IF(Projects!$G$14="Yes",73155,0),Actuals!CV79)</f>
        <v>73155</v>
      </c>
      <c r="CV256" s="13" t="n">
        <f aca="false">IF(ISBLANK(Actuals!CW79),IF(Projects!$G$14="Yes",73155,0),Actuals!CW79)</f>
        <v>73155</v>
      </c>
      <c r="CW256" s="13" t="n">
        <f aca="false">IF(ISBLANK(Actuals!CX79),IF(Projects!$G$14="Yes",73155,0),Actuals!CX79)</f>
        <v>73155</v>
      </c>
      <c r="CX256" s="13" t="n">
        <f aca="false">IF(ISBLANK(Actuals!CY79),IF(Projects!$G$14="Yes",73155,0),Actuals!CY79)</f>
        <v>73155</v>
      </c>
      <c r="CY256" s="13" t="n">
        <f aca="false">IF(ISBLANK(Actuals!CZ79),IF(Projects!$G$14="Yes",73155,0),Actuals!CZ79)</f>
        <v>73155</v>
      </c>
      <c r="CZ256" s="13" t="n">
        <f aca="false">IF(ISBLANK(Actuals!DA79),IF(Projects!$G$14="Yes",73155,0),Actuals!DA79)</f>
        <v>73155</v>
      </c>
      <c r="DA256" s="13" t="n">
        <f aca="false">IF(ISBLANK(Actuals!DB79),IF(Projects!$G$14="Yes",73155,0),Actuals!DB79)</f>
        <v>73155</v>
      </c>
      <c r="DB256" s="13" t="n">
        <f aca="false">IF(ISBLANK(Actuals!DC79),IF(Projects!$G$14="Yes",73155,0),Actuals!DC79)</f>
        <v>73155</v>
      </c>
      <c r="DC256" s="13" t="n">
        <f aca="false">IF(ISBLANK(Actuals!DD79),IF(Projects!$G$14="Yes",73155,0),Actuals!DD79)</f>
        <v>73155</v>
      </c>
      <c r="DD256" s="13" t="n">
        <f aca="false">IF(ISBLANK(Actuals!DE79),IF(Projects!$G$14="Yes",73155,0),Actuals!DE79)</f>
        <v>73155</v>
      </c>
      <c r="DE256" s="13" t="n">
        <f aca="false">IF(ISBLANK(Actuals!DF79),IF(Projects!$G$14="Yes",73155,0),Actuals!DF79)</f>
        <v>73155</v>
      </c>
    </row>
    <row r="257" customFormat="false" ht="15" hidden="false" customHeight="true" outlineLevel="0" collapsed="false">
      <c r="A257" s="22" t="s">
        <v>117</v>
      </c>
      <c r="B257" s="13" t="n">
        <f aca="false">IF(ISBLANK(Actuals!C80),0,Actuals!C80)</f>
        <v>0</v>
      </c>
      <c r="C257" s="13" t="n">
        <f aca="false">IF(ISBLANK(Actuals!D80),0,Actuals!D80)</f>
        <v>0</v>
      </c>
      <c r="D257" s="13" t="n">
        <f aca="false">IF(ISBLANK(Actuals!E80),0,Actuals!E80)</f>
        <v>0</v>
      </c>
      <c r="E257" s="13" t="n">
        <f aca="false">IF(ISBLANK(Actuals!F80),IF(Uplifters!$B$2="Yes",Uplifters!C107,0),Actuals!F80)</f>
        <v>0</v>
      </c>
      <c r="F257" s="13" t="n">
        <f aca="false">IF(ISBLANK(Actuals!G80),IF(Uplifters!$B$2="Yes",Uplifters!D107,0),Actuals!G80)</f>
        <v>0</v>
      </c>
      <c r="G257" s="13" t="n">
        <f aca="false">IF(ISBLANK(Actuals!H80),IF(Uplifters!$B$2="Yes",Uplifters!E107,0),Actuals!H80)</f>
        <v>0</v>
      </c>
      <c r="H257" s="13" t="n">
        <f aca="false">IF(ISBLANK(Actuals!I80),IF(Uplifters!$B$2="Yes",Uplifters!F107,0),Actuals!I80)</f>
        <v>0</v>
      </c>
      <c r="I257" s="13" t="n">
        <f aca="false">IF(ISBLANK(Actuals!J80),IF(Uplifters!$B$2="Yes",Uplifters!G107,0),Actuals!J80)</f>
        <v>0</v>
      </c>
      <c r="J257" s="13" t="n">
        <f aca="false">IF(ISBLANK(Actuals!K80),IF(Uplifters!$B$2="Yes",Uplifters!H107,0),Actuals!K80)</f>
        <v>0</v>
      </c>
      <c r="K257" s="13" t="n">
        <f aca="false">IF(ISBLANK(Actuals!L80),IF(Uplifters!$B$2="Yes",Uplifters!I107,0),Actuals!L80)</f>
        <v>0</v>
      </c>
      <c r="L257" s="13" t="n">
        <f aca="false">IF(ISBLANK(Actuals!M80),IF(Uplifters!$B$2="Yes",Uplifters!J107,0),Actuals!M80)</f>
        <v>0</v>
      </c>
      <c r="M257" s="13" t="n">
        <f aca="false">IF(ISBLANK(Actuals!N80),IF(Uplifters!$B$2="Yes",Uplifters!K107,0),Actuals!N80)</f>
        <v>0</v>
      </c>
      <c r="N257" s="13" t="n">
        <f aca="false">IF(ISBLANK(Actuals!O80),IF(Uplifters!$B$2="Yes",Uplifters!L107,0),Actuals!O80)</f>
        <v>0</v>
      </c>
      <c r="O257" s="13" t="n">
        <f aca="false">IF(ISBLANK(Actuals!P80),IF(Uplifters!$B$2="Yes",Uplifters!M107,0),Actuals!P80)</f>
        <v>0</v>
      </c>
      <c r="P257" s="13" t="n">
        <f aca="false">IF(ISBLANK(Actuals!Q80),IF(Uplifters!$B$2="Yes",Uplifters!N107,0),Actuals!Q80)</f>
        <v>0</v>
      </c>
      <c r="Q257" s="13" t="n">
        <f aca="false">IF(ISBLANK(Actuals!R80),IF(Uplifters!$B$2="Yes",Uplifters!O107,0),Actuals!R80)</f>
        <v>23132.2304</v>
      </c>
      <c r="R257" s="13" t="n">
        <f aca="false">IF(ISBLANK(Actuals!S80),IF(Uplifters!$B$2="Yes",Uplifters!P107,0),Actuals!S80)</f>
        <v>16882.0304</v>
      </c>
      <c r="S257" s="13" t="n">
        <f aca="false">IF(ISBLANK(Actuals!T80),IF(Uplifters!$B$2="Yes",Uplifters!Q107,0),Actuals!T80)</f>
        <v>16882.0304</v>
      </c>
      <c r="T257" s="13" t="n">
        <f aca="false">IF(ISBLANK(Actuals!U80),IF(Uplifters!$B$2="Yes",Uplifters!R107,0),Actuals!U80)</f>
        <v>16882.0304</v>
      </c>
      <c r="U257" s="13" t="n">
        <f aca="false">IF(ISBLANK(Actuals!V80),IF(Uplifters!$B$2="Yes",Uplifters!S107,0),Actuals!V80)</f>
        <v>12382.0304</v>
      </c>
      <c r="V257" s="13" t="n">
        <f aca="false">IF(ISBLANK(Actuals!W80),IF(Uplifters!$B$2="Yes",Uplifters!T107,0),Actuals!W80)</f>
        <v>12382.0304</v>
      </c>
      <c r="W257" s="13" t="n">
        <f aca="false">IF(ISBLANK(Actuals!X80),IF(Uplifters!$B$2="Yes",Uplifters!U107,0),Actuals!X80)</f>
        <v>28954.2928</v>
      </c>
      <c r="X257" s="13" t="n">
        <f aca="false">IF(ISBLANK(Actuals!Y80),IF(Uplifters!$B$2="Yes",Uplifters!V107,0),Actuals!Y80)</f>
        <v>45526.5552</v>
      </c>
      <c r="Y257" s="13" t="n">
        <f aca="false">IF(ISBLANK(Actuals!Z80),IF(Uplifters!$B$2="Yes",Uplifters!W107,0),Actuals!Z80)</f>
        <v>62098.8176</v>
      </c>
      <c r="Z257" s="13" t="n">
        <f aca="false">IF(ISBLANK(Actuals!AA80),IF(Uplifters!$B$2="Yes",Uplifters!X107,0),Actuals!AA80)</f>
        <v>72225.794</v>
      </c>
      <c r="AA257" s="13" t="n">
        <f aca="false">IF(ISBLANK(Actuals!AB80),IF(Uplifters!$B$2="Yes",Uplifters!Y107,0),Actuals!AB80)</f>
        <v>87762.296</v>
      </c>
      <c r="AB257" s="13" t="n">
        <f aca="false">IF(ISBLANK(Actuals!AC80),IF(Uplifters!$B$2="Yes",Uplifters!Z107,0),Actuals!AC80)</f>
        <v>103298.786</v>
      </c>
      <c r="AC257" s="13" t="n">
        <f aca="false">IF(ISBLANK(Actuals!AD80),IF(Uplifters!$B$2="Yes",Uplifters!AA107,0),Actuals!AD80)</f>
        <v>118835.276</v>
      </c>
      <c r="AD257" s="13" t="n">
        <f aca="false">IF(ISBLANK(Actuals!AE80),IF(Uplifters!$B$2="Yes",Uplifters!AB107,0),Actuals!AE80)</f>
        <v>134371.772</v>
      </c>
      <c r="AE257" s="13" t="n">
        <f aca="false">IF(ISBLANK(Actuals!AF80),IF(Uplifters!$B$2="Yes",Uplifters!AC107,0),Actuals!AF80)</f>
        <v>149908.274</v>
      </c>
      <c r="AF257" s="13" t="n">
        <f aca="false">IF(ISBLANK(Actuals!AG80),IF(Uplifters!$B$2="Yes",Uplifters!AD107,0),Actuals!AG80)</f>
        <v>152699.367</v>
      </c>
      <c r="AG257" s="13" t="n">
        <f aca="false">IF(ISBLANK(Actuals!AH80),IF(Uplifters!$B$2="Yes",Uplifters!AE107,0),Actuals!AH80)</f>
        <v>166941.1605</v>
      </c>
      <c r="AH257" s="13" t="n">
        <f aca="false">IF(ISBLANK(Actuals!AI80),IF(Uplifters!$B$2="Yes",Uplifters!AF107,0),Actuals!AI80)</f>
        <v>200231.2855</v>
      </c>
      <c r="AI257" s="13" t="n">
        <f aca="false">IF(ISBLANK(Actuals!AJ80),IF(Uplifters!$B$2="Yes",Uplifters!AG107,0),Actuals!AJ80)</f>
        <v>151106.0555</v>
      </c>
      <c r="AJ257" s="13" t="n">
        <f aca="false">IF(ISBLANK(Actuals!AK80),IF(Uplifters!$B$2="Yes",Uplifters!AH107,0),Actuals!AK80)</f>
        <v>151536.2215</v>
      </c>
      <c r="AK257" s="13" t="n">
        <f aca="false">IF(ISBLANK(Actuals!AL80),IF(Uplifters!$B$2="Yes",Uplifters!AI107,0),Actuals!AL80)</f>
        <v>151966.3765</v>
      </c>
      <c r="AL257" s="13" t="n">
        <f aca="false">IF(ISBLANK(Actuals!AM80),IF(Uplifters!$B$2="Yes",Uplifters!AJ107,0),Actuals!AM80)</f>
        <v>152396.537</v>
      </c>
      <c r="AM257" s="13" t="n">
        <f aca="false">IF(ISBLANK(Actuals!AN80),IF(Uplifters!$B$2="Yes",Uplifters!AK107,0),Actuals!AN80)</f>
        <v>152826.692</v>
      </c>
      <c r="AN257" s="13" t="n">
        <f aca="false">IF(ISBLANK(Actuals!AO80),IF(Uplifters!$B$2="Yes",Uplifters!AL107,0),Actuals!AO80)</f>
        <v>167498.6405</v>
      </c>
      <c r="AO257" s="13" t="n">
        <f aca="false">IF(ISBLANK(Actuals!AP80),IF(Uplifters!$B$2="Yes",Uplifters!AM107,0),Actuals!AP80)</f>
        <v>153687.0185</v>
      </c>
      <c r="AP257" s="13" t="n">
        <f aca="false">IF(ISBLANK(Actuals!AQ80),IF(Uplifters!$B$2="Yes",Uplifters!AN107,0),Actuals!AQ80)</f>
        <v>139875.391</v>
      </c>
      <c r="AQ257" s="13" t="n">
        <f aca="false">IF(ISBLANK(Actuals!AR80),IF(Uplifters!$B$2="Yes",Uplifters!AO107,0),Actuals!AR80)</f>
        <v>126063.7635</v>
      </c>
      <c r="AR257" s="13" t="n">
        <f aca="false">IF(ISBLANK(Actuals!AS80),IF(Uplifters!$B$2="Yes",Uplifters!AP107,0),Actuals!AS80)</f>
        <v>112252.1305</v>
      </c>
      <c r="AS257" s="13" t="n">
        <f aca="false">IF(ISBLANK(Actuals!AT80),IF(Uplifters!$B$2="Yes",Uplifters!AQ107,0),Actuals!AT80)</f>
        <v>90627.735</v>
      </c>
      <c r="AT257" s="13" t="n">
        <f aca="false">IF(ISBLANK(Actuals!AU80),IF(Uplifters!$B$2="Yes",Uplifters!AR107,0),Actuals!AU80)</f>
        <v>78071.71</v>
      </c>
      <c r="AU257" s="13" t="n">
        <f aca="false">IF(ISBLANK(Actuals!AV80),IF(Uplifters!$B$2="Yes",Uplifters!AS107,0),Actuals!AV80)</f>
        <v>65515.68</v>
      </c>
      <c r="AV257" s="13" t="n">
        <f aca="false">IF(ISBLANK(Actuals!AW80),IF(Uplifters!$B$2="Yes",Uplifters!AT107,0),Actuals!AW80)</f>
        <v>52959.66</v>
      </c>
      <c r="AW257" s="13" t="n">
        <f aca="false">IF(ISBLANK(Actuals!AX80),IF(Uplifters!$B$2="Yes",Uplifters!AU107,0),Actuals!AX80)</f>
        <v>39919.0485</v>
      </c>
      <c r="AX257" s="13" t="n">
        <f aca="false">IF(ISBLANK(Actuals!AY80),IF(Uplifters!$B$2="Yes",Uplifters!AV107,0),Actuals!AY80)</f>
        <v>80797.05</v>
      </c>
      <c r="AY257" s="13" t="n">
        <f aca="false">IF(ISBLANK(Actuals!AZ80),IF(Uplifters!$B$2="Yes",Uplifters!AW107,0),Actuals!AZ80)</f>
        <v>67849.975</v>
      </c>
      <c r="AZ257" s="13" t="n">
        <f aca="false">IF(ISBLANK(Actuals!BA80),IF(Uplifters!$B$2="Yes",Uplifters!AX107,0),Actuals!BA80)</f>
        <v>42056.6125</v>
      </c>
      <c r="BA257" s="13" t="n">
        <f aca="false">IF(ISBLANK(Actuals!BB80),IF(Uplifters!$B$2="Yes",Uplifters!AY107,0),Actuals!BB80)</f>
        <v>41626.452</v>
      </c>
      <c r="BB257" s="13" t="n">
        <f aca="false">IF(ISBLANK(Actuals!BC80),IF(Uplifters!$B$2="Yes",Uplifters!AZ107,0),Actuals!BC80)</f>
        <v>41196.286</v>
      </c>
      <c r="BC257" s="13" t="n">
        <f aca="false">IF(ISBLANK(Actuals!BD80),IF(Uplifters!$B$2="Yes",Uplifters!BA107,0),Actuals!BD80)</f>
        <v>40766.131</v>
      </c>
      <c r="BD257" s="13" t="n">
        <f aca="false">IF(ISBLANK(Actuals!BE80),IF(Uplifters!$B$2="Yes",Uplifters!BB107,0),Actuals!BE80)</f>
        <v>40335.9705</v>
      </c>
      <c r="BE257" s="13" t="n">
        <f aca="false">IF(ISBLANK(Actuals!BF80),IF(Uplifters!$B$2="Yes",Uplifters!BC107,0),Actuals!BF80)</f>
        <v>39905.81</v>
      </c>
      <c r="BF257" s="13" t="n">
        <f aca="false">IF(ISBLANK(Actuals!BG80),IF(Uplifters!$B$2="Yes",Uplifters!BD107,0),Actuals!BG80)</f>
        <v>39475.6495</v>
      </c>
      <c r="BG257" s="13" t="n">
        <f aca="false">IF(ISBLANK(Actuals!BH80),IF(Uplifters!$B$2="Yes",Uplifters!BE107,0),Actuals!BH80)</f>
        <v>39045.489</v>
      </c>
      <c r="BH257" s="13" t="n">
        <f aca="false">IF(ISBLANK(Actuals!BI80),IF(Uplifters!$B$2="Yes",Uplifters!BF107,0),Actuals!BI80)</f>
        <v>38615.3285</v>
      </c>
      <c r="BI257" s="13" t="n">
        <f aca="false">IF(ISBLANK(Actuals!BJ80),IF(Uplifters!$B$2="Yes",Uplifters!BG107,0),Actuals!BJ80)</f>
        <v>38185.168</v>
      </c>
      <c r="BJ257" s="13" t="n">
        <f aca="false">IF(ISBLANK(Actuals!BK80),IF(Uplifters!$B$2="Yes",Uplifters!BH107,0),Actuals!BK80)</f>
        <v>37755.0075</v>
      </c>
      <c r="BK257" s="13" t="n">
        <f aca="false">IF(ISBLANK(Actuals!BL80),IF(Uplifters!$B$2="Yes",Uplifters!BI107,0),Actuals!BL80)</f>
        <v>37324.847</v>
      </c>
      <c r="BL257" s="13" t="n">
        <f aca="false">IF(ISBLANK(Actuals!BM80),IF(Uplifters!$B$2="Yes",Uplifters!BJ107,0),Actuals!BM80)</f>
        <v>36894.692</v>
      </c>
      <c r="BM257" s="13" t="n">
        <f aca="false">IF(ISBLANK(Actuals!BN80),IF(Uplifters!$B$2="Yes",Uplifters!BK107,0),Actuals!BN80)</f>
        <v>59965.026</v>
      </c>
      <c r="BN257" s="13" t="n">
        <f aca="false">IF(ISBLANK(Actuals!BO80),IF(Uplifters!$B$2="Yes",Uplifters!BL107,0),Actuals!BO80)</f>
        <v>59534.8655</v>
      </c>
      <c r="BO257" s="13" t="n">
        <f aca="false">IF(ISBLANK(Actuals!BP80),IF(Uplifters!$B$2="Yes",Uplifters!BM107,0),Actuals!BP80)</f>
        <v>112930.995</v>
      </c>
      <c r="BP257" s="13" t="n">
        <f aca="false">IF(ISBLANK(Actuals!BQ80),IF(Uplifters!$B$2="Yes",Uplifters!BN107,0),Actuals!BQ80)</f>
        <v>0</v>
      </c>
      <c r="BQ257" s="13" t="n">
        <f aca="false">IF(ISBLANK(Actuals!BR80),IF(Uplifters!$B$2="Yes",Uplifters!BO107,0),Actuals!BR80)</f>
        <v>0</v>
      </c>
      <c r="BR257" s="13" t="n">
        <f aca="false">IF(ISBLANK(Actuals!BS80),IF(Uplifters!$B$2="Yes",Uplifters!BP107,0),Actuals!BS80)</f>
        <v>0</v>
      </c>
      <c r="BS257" s="13" t="n">
        <f aca="false">IF(ISBLANK(Actuals!BT80),IF(Uplifters!$B$2="Yes",Uplifters!BQ107,0),Actuals!BT80)</f>
        <v>0</v>
      </c>
      <c r="BT257" s="13" t="n">
        <f aca="false">IF(ISBLANK(Actuals!BU80),IF(Uplifters!$B$2="Yes",Uplifters!BR107,0),Actuals!BU80)</f>
        <v>0</v>
      </c>
      <c r="BU257" s="13" t="n">
        <f aca="false">IF(ISBLANK(Actuals!BV80),IF(Uplifters!$B$2="Yes",Uplifters!BS107,0),Actuals!BV80)</f>
        <v>0</v>
      </c>
      <c r="BV257" s="13" t="n">
        <f aca="false">IF(ISBLANK(Actuals!BW80),IF(Uplifters!$B$2="Yes",Uplifters!BT107,0),Actuals!BW80)</f>
        <v>0</v>
      </c>
      <c r="BW257" s="13" t="n">
        <f aca="false">IF(ISBLANK(Actuals!BX80),IF(Uplifters!$B$2="Yes",Uplifters!BU107,0),Actuals!BX80)</f>
        <v>0</v>
      </c>
      <c r="BX257" s="13" t="n">
        <f aca="false">IF(ISBLANK(Actuals!BY80),IF(Uplifters!$B$2="Yes",Uplifters!BV107,0),Actuals!BY80)</f>
        <v>0</v>
      </c>
      <c r="BY257" s="13" t="n">
        <f aca="false">IF(ISBLANK(Actuals!BZ80),IF(Uplifters!$B$2="Yes",Uplifters!BW107,0),Actuals!BZ80)</f>
        <v>0</v>
      </c>
      <c r="BZ257" s="13" t="n">
        <f aca="false">IF(ISBLANK(Actuals!CA80),IF(Uplifters!$B$2="Yes",Uplifters!BX107,0),Actuals!CA80)</f>
        <v>0</v>
      </c>
      <c r="CA257" s="13" t="n">
        <f aca="false">IF(ISBLANK(Actuals!CB80),IF(Uplifters!$B$2="Yes",Uplifters!BY107,0),Actuals!CB80)</f>
        <v>0</v>
      </c>
      <c r="CB257" s="13" t="n">
        <f aca="false">IF(ISBLANK(Actuals!CC80),IF(Uplifters!$B$2="Yes",Uplifters!BZ107,0),Actuals!CC80)</f>
        <v>0</v>
      </c>
      <c r="CC257" s="13" t="n">
        <f aca="false">IF(ISBLANK(Actuals!CD80),IF(Uplifters!$B$2="Yes",Uplifters!CA107,0),Actuals!CD80)</f>
        <v>0</v>
      </c>
      <c r="CD257" s="13" t="n">
        <f aca="false">IF(ISBLANK(Actuals!CE80),IF(Uplifters!$B$2="Yes",Uplifters!CB107,0),Actuals!CE80)</f>
        <v>0</v>
      </c>
      <c r="CE257" s="13" t="n">
        <f aca="false">IF(ISBLANK(Actuals!CF80),IF(Uplifters!$B$2="Yes",Uplifters!CC107,0),Actuals!CF80)</f>
        <v>0</v>
      </c>
      <c r="CF257" s="13" t="n">
        <f aca="false">IF(ISBLANK(Actuals!CG80),IF(Uplifters!$B$2="Yes",Uplifters!CD107,0),Actuals!CG80)</f>
        <v>0</v>
      </c>
      <c r="CG257" s="13" t="n">
        <f aca="false">IF(ISBLANK(Actuals!CH80),IF(Uplifters!$B$2="Yes",Uplifters!CE107,0),Actuals!CH80)</f>
        <v>0</v>
      </c>
      <c r="CH257" s="13" t="n">
        <f aca="false">IF(ISBLANK(Actuals!CI80),IF(Uplifters!$B$2="Yes",Uplifters!CF107,0),Actuals!CI80)</f>
        <v>0</v>
      </c>
      <c r="CI257" s="13" t="n">
        <f aca="false">IF(ISBLANK(Actuals!CJ80),IF(Uplifters!$B$2="Yes",Uplifters!CG107,0),Actuals!CJ80)</f>
        <v>0</v>
      </c>
      <c r="CJ257" s="13" t="n">
        <f aca="false">IF(ISBLANK(Actuals!CK80),IF(Uplifters!$B$2="Yes",Uplifters!CH107,0),Actuals!CK80)</f>
        <v>0</v>
      </c>
      <c r="CK257" s="13" t="n">
        <f aca="false">IF(ISBLANK(Actuals!CL80),IF(Uplifters!$B$2="Yes",Uplifters!CI107,0),Actuals!CL80)</f>
        <v>0</v>
      </c>
      <c r="CL257" s="13" t="n">
        <f aca="false">IF(ISBLANK(Actuals!CM80),IF(Uplifters!$B$2="Yes",Uplifters!CJ107,0),Actuals!CM80)</f>
        <v>0</v>
      </c>
      <c r="CM257" s="13" t="n">
        <f aca="false">IF(ISBLANK(Actuals!CN80),IF(Uplifters!$B$2="Yes",Uplifters!CK107,0),Actuals!CN80)</f>
        <v>0</v>
      </c>
      <c r="CN257" s="13" t="n">
        <f aca="false">IF(ISBLANK(Actuals!CO80),IF(Uplifters!$B$2="Yes",Uplifters!CL107,0),Actuals!CO80)</f>
        <v>0</v>
      </c>
      <c r="CO257" s="13" t="n">
        <f aca="false">IF(ISBLANK(Actuals!CP80),IF(Uplifters!$B$2="Yes",Uplifters!CM107,0),Actuals!CP80)</f>
        <v>0</v>
      </c>
      <c r="CP257" s="13" t="n">
        <f aca="false">IF(ISBLANK(Actuals!CQ80),IF(Uplifters!$B$2="Yes",Uplifters!CN107,0),Actuals!CQ80)</f>
        <v>0</v>
      </c>
      <c r="CQ257" s="13" t="n">
        <f aca="false">IF(ISBLANK(Actuals!CR80),IF(Uplifters!$B$2="Yes",Uplifters!CO107,0),Actuals!CR80)</f>
        <v>0</v>
      </c>
      <c r="CR257" s="13" t="n">
        <f aca="false">IF(ISBLANK(Actuals!CS80),IF(Uplifters!$B$2="Yes",Uplifters!CP107,0),Actuals!CS80)</f>
        <v>0</v>
      </c>
      <c r="CS257" s="13" t="n">
        <f aca="false">IF(ISBLANK(Actuals!CT80),IF(Uplifters!$B$2="Yes",Uplifters!CQ107,0),Actuals!CT80)</f>
        <v>0</v>
      </c>
      <c r="CT257" s="13" t="n">
        <f aca="false">IF(ISBLANK(Actuals!CU80),IF(Uplifters!$B$2="Yes",Uplifters!CR107,0),Actuals!CU80)</f>
        <v>0</v>
      </c>
      <c r="CU257" s="13" t="n">
        <f aca="false">IF(ISBLANK(Actuals!CV80),IF(Uplifters!$B$2="Yes",Uplifters!CS107,0),Actuals!CV80)</f>
        <v>0</v>
      </c>
      <c r="CV257" s="13" t="n">
        <f aca="false">IF(ISBLANK(Actuals!CW80),IF(Uplifters!$B$2="Yes",Uplifters!CT107,0),Actuals!CW80)</f>
        <v>0</v>
      </c>
      <c r="CW257" s="13" t="n">
        <f aca="false">IF(ISBLANK(Actuals!CX80),IF(Uplifters!$B$2="Yes",Uplifters!CU107,0),Actuals!CX80)</f>
        <v>0</v>
      </c>
      <c r="CX257" s="13" t="n">
        <f aca="false">IF(ISBLANK(Actuals!CY80),IF(Uplifters!$B$2="Yes",Uplifters!CV107,0),Actuals!CY80)</f>
        <v>0</v>
      </c>
      <c r="CY257" s="13" t="n">
        <f aca="false">IF(ISBLANK(Actuals!CZ80),IF(Uplifters!$B$2="Yes",Uplifters!CW107,0),Actuals!CZ80)</f>
        <v>0</v>
      </c>
      <c r="CZ257" s="13" t="n">
        <f aca="false">IF(ISBLANK(Actuals!DA80),IF(Uplifters!$B$2="Yes",Uplifters!CX107,0),Actuals!DA80)</f>
        <v>0</v>
      </c>
      <c r="DA257" s="13" t="n">
        <f aca="false">IF(ISBLANK(Actuals!DB80),IF(Uplifters!$B$2="Yes",Uplifters!CY107,0),Actuals!DB80)</f>
        <v>0</v>
      </c>
      <c r="DB257" s="13" t="n">
        <f aca="false">IF(ISBLANK(Actuals!DC80),IF(Uplifters!$B$2="Yes",Uplifters!CZ107,0),Actuals!DC80)</f>
        <v>0</v>
      </c>
      <c r="DC257" s="13" t="n">
        <f aca="false">IF(ISBLANK(Actuals!DD80),IF(Uplifters!$B$2="Yes",Uplifters!DA107,0),Actuals!DD80)</f>
        <v>0</v>
      </c>
      <c r="DD257" s="13" t="n">
        <f aca="false">IF(ISBLANK(Actuals!DE80),IF(Uplifters!$B$2="Yes",Uplifters!DB107,0),Actuals!DE80)</f>
        <v>0</v>
      </c>
      <c r="DE257" s="13" t="n">
        <f aca="false">IF(ISBLANK(Actuals!DF80),IF(Uplifters!$B$2="Yes",Uplifters!DC107,0),Actuals!DF80)</f>
        <v>0</v>
      </c>
    </row>
    <row r="258" customFormat="false" ht="15" hidden="false" customHeight="true" outlineLevel="0" collapsed="false">
      <c r="A258" s="22" t="s">
        <v>118</v>
      </c>
      <c r="B258" s="13" t="n">
        <f aca="false">IF(ISBLANK(Actuals!C63),0,Actuals!C63)</f>
        <v>0</v>
      </c>
      <c r="C258" s="13" t="n">
        <f aca="false">IF(ISBLANK(Actuals!D63),0,Actuals!D63)</f>
        <v>0</v>
      </c>
      <c r="D258" s="13" t="n">
        <f aca="false">IF(ISBLANK(Actuals!E63),0,Actuals!E63)</f>
        <v>0</v>
      </c>
      <c r="E258" s="13" t="n">
        <f aca="false">IF(ISBLANK(Actuals!F63),0,Actuals!F63)</f>
        <v>0</v>
      </c>
      <c r="F258" s="13" t="n">
        <f aca="false">IF(ISBLANK(Actuals!G63),0,Actuals!G63)</f>
        <v>0</v>
      </c>
      <c r="G258" s="13" t="n">
        <f aca="false">IF(ISBLANK(Actuals!H63),0,Actuals!H63)</f>
        <v>299000</v>
      </c>
      <c r="H258" s="13" t="n">
        <f aca="false">IF(ISBLANK(Actuals!I63),0,Actuals!I63)</f>
        <v>0</v>
      </c>
      <c r="I258" s="13" t="n">
        <f aca="false">IF(ISBLANK(Actuals!J63),0,Actuals!J63)</f>
        <v>0</v>
      </c>
      <c r="J258" s="13" t="n">
        <f aca="false">IF(ISBLANK(Actuals!K63),0,Actuals!K63)</f>
        <v>0</v>
      </c>
      <c r="K258" s="13" t="n">
        <f aca="false">IF(ISBLANK(Actuals!L63),0,Actuals!L63)</f>
        <v>0</v>
      </c>
      <c r="L258" s="13" t="n">
        <f aca="false">IF(ISBLANK(Actuals!M63),0,Actuals!M63)</f>
        <v>0</v>
      </c>
      <c r="M258" s="13" t="n">
        <f aca="false">IF(ISBLANK(Actuals!N63),0,Actuals!N63)</f>
        <v>0</v>
      </c>
      <c r="N258" s="13" t="n">
        <f aca="false">IF(ISBLANK(Actuals!O63),0,Actuals!O63)</f>
        <v>0</v>
      </c>
      <c r="O258" s="13" t="n">
        <f aca="false">IF(ISBLANK(Actuals!P63),0,Actuals!P63)</f>
        <v>0</v>
      </c>
      <c r="P258" s="13" t="n">
        <f aca="false">IF(ISBLANK(Actuals!Q63),0,Actuals!Q63)</f>
        <v>0</v>
      </c>
      <c r="Q258" s="13" t="n">
        <f aca="false">IF(ISBLANK(Actuals!R63),0,Actuals!R63)</f>
        <v>0</v>
      </c>
      <c r="R258" s="13" t="n">
        <f aca="false">IF(ISBLANK(Actuals!S63),0,Actuals!S63)</f>
        <v>0</v>
      </c>
      <c r="S258" s="13" t="n">
        <f aca="false">IF(ISBLANK(Actuals!T63),0,Actuals!T63)</f>
        <v>0</v>
      </c>
      <c r="T258" s="13" t="n">
        <f aca="false">IF(ISBLANK(Actuals!U63),0,Actuals!U63)</f>
        <v>0</v>
      </c>
      <c r="U258" s="13" t="n">
        <f aca="false">IF(ISBLANK(Actuals!V63),0,Actuals!V63)</f>
        <v>0</v>
      </c>
      <c r="V258" s="13" t="n">
        <f aca="false">IF(ISBLANK(Actuals!W63),0,Actuals!W63)</f>
        <v>0</v>
      </c>
      <c r="W258" s="13" t="n">
        <f aca="false">IF(ISBLANK(Actuals!X63),0,Actuals!X63)</f>
        <v>0</v>
      </c>
      <c r="X258" s="13" t="n">
        <f aca="false">IF(ISBLANK(Actuals!Y63),0,Actuals!Y63)</f>
        <v>0</v>
      </c>
      <c r="Y258" s="13" t="n">
        <f aca="false">IF(ISBLANK(Actuals!Z63),0,Actuals!Z63)</f>
        <v>0</v>
      </c>
      <c r="Z258" s="13" t="n">
        <f aca="false">IF(ISBLANK(Actuals!AA63),0,Actuals!AA63)</f>
        <v>0</v>
      </c>
      <c r="AA258" s="13" t="n">
        <f aca="false">IF(ISBLANK(Actuals!AB63),0,Actuals!AB63)</f>
        <v>0</v>
      </c>
      <c r="AB258" s="13" t="n">
        <f aca="false">IF(ISBLANK(Actuals!AC63),0,Actuals!AC63)</f>
        <v>0</v>
      </c>
      <c r="AC258" s="13" t="n">
        <f aca="false">IF(ISBLANK(Actuals!AD63),0,Actuals!AD63)</f>
        <v>0</v>
      </c>
      <c r="AD258" s="13" t="n">
        <f aca="false">IF(ISBLANK(Actuals!AE63),0,Actuals!AE63)</f>
        <v>0</v>
      </c>
      <c r="AE258" s="13" t="n">
        <f aca="false">IF(ISBLANK(Actuals!AF63),0,Actuals!AF63)</f>
        <v>0</v>
      </c>
      <c r="AF258" s="13" t="n">
        <f aca="false">IF(ISBLANK(Actuals!AG63),0,Actuals!AG63)</f>
        <v>0</v>
      </c>
      <c r="AG258" s="13" t="n">
        <f aca="false">IF(ISBLANK(Actuals!AH63),0,Actuals!AH63)</f>
        <v>0</v>
      </c>
      <c r="AH258" s="13" t="n">
        <f aca="false">IF(ISBLANK(Actuals!AI63),0,Actuals!AI63)</f>
        <v>0</v>
      </c>
      <c r="AI258" s="13" t="n">
        <f aca="false">IF(ISBLANK(Actuals!AJ63),0,Actuals!AJ63)</f>
        <v>0</v>
      </c>
      <c r="AJ258" s="13" t="n">
        <f aca="false">IF(ISBLANK(Actuals!AK63),0,Actuals!AK63)</f>
        <v>0</v>
      </c>
      <c r="AK258" s="13" t="n">
        <f aca="false">IF(ISBLANK(Actuals!AL63),0,Actuals!AL63)</f>
        <v>0</v>
      </c>
      <c r="AL258" s="13" t="n">
        <f aca="false">IF(ISBLANK(Actuals!AM63),0,Actuals!AM63)</f>
        <v>0</v>
      </c>
      <c r="AM258" s="13" t="n">
        <f aca="false">IF(ISBLANK(Actuals!AN63),0,Actuals!AN63)</f>
        <v>0</v>
      </c>
      <c r="AN258" s="13" t="n">
        <f aca="false">IF(ISBLANK(Actuals!AO63),0,Actuals!AO63)</f>
        <v>0</v>
      </c>
      <c r="AO258" s="13" t="n">
        <f aca="false">IF(ISBLANK(Actuals!AP63),0,Actuals!AP63)</f>
        <v>0</v>
      </c>
      <c r="AP258" s="13" t="n">
        <f aca="false">IF(ISBLANK(Actuals!AQ63),0,Actuals!AQ63)</f>
        <v>0</v>
      </c>
      <c r="AQ258" s="13" t="n">
        <f aca="false">IF(ISBLANK(Actuals!AR63),0,Actuals!AR63)</f>
        <v>0</v>
      </c>
      <c r="AR258" s="13" t="n">
        <f aca="false">IF(ISBLANK(Actuals!AS63),0,Actuals!AS63)</f>
        <v>0</v>
      </c>
      <c r="AS258" s="13" t="n">
        <f aca="false">IF(ISBLANK(Actuals!AT63),0,Actuals!AT63)</f>
        <v>0</v>
      </c>
      <c r="AT258" s="13" t="n">
        <f aca="false">IF(ISBLANK(Actuals!AU63),0,Actuals!AU63)</f>
        <v>0</v>
      </c>
      <c r="AU258" s="13" t="n">
        <f aca="false">IF(ISBLANK(Actuals!AV63),0,Actuals!AV63)</f>
        <v>0</v>
      </c>
      <c r="AV258" s="13" t="n">
        <f aca="false">IF(ISBLANK(Actuals!AW63),0,Actuals!AW63)</f>
        <v>0</v>
      </c>
      <c r="AW258" s="13" t="n">
        <f aca="false">IF(ISBLANK(Actuals!AX63),0,Actuals!AX63)</f>
        <v>0</v>
      </c>
      <c r="AX258" s="13" t="n">
        <f aca="false">IF(ISBLANK(Actuals!AY63),0,Actuals!AY63)</f>
        <v>0</v>
      </c>
      <c r="AY258" s="13" t="n">
        <f aca="false">IF(ISBLANK(Actuals!AZ63),0,Actuals!AZ63)</f>
        <v>0</v>
      </c>
      <c r="AZ258" s="13" t="n">
        <f aca="false">IF(ISBLANK(Actuals!BA63),0,Actuals!BA63)</f>
        <v>0</v>
      </c>
      <c r="BA258" s="13" t="n">
        <f aca="false">IF(ISBLANK(Actuals!BB63),0,Actuals!BB63)</f>
        <v>0</v>
      </c>
      <c r="BB258" s="13" t="n">
        <f aca="false">IF(ISBLANK(Actuals!BC63),0,Actuals!BC63)</f>
        <v>0</v>
      </c>
      <c r="BC258" s="13" t="n">
        <f aca="false">IF(ISBLANK(Actuals!BD63),0,Actuals!BD63)</f>
        <v>0</v>
      </c>
      <c r="BD258" s="13" t="n">
        <f aca="false">IF(ISBLANK(Actuals!BE63),0,Actuals!BE63)</f>
        <v>0</v>
      </c>
      <c r="BE258" s="13" t="n">
        <f aca="false">IF(ISBLANK(Actuals!BF63),0,Actuals!BF63)</f>
        <v>0</v>
      </c>
      <c r="BF258" s="13" t="n">
        <f aca="false">IF(ISBLANK(Actuals!BG63),0,Actuals!BG63)</f>
        <v>0</v>
      </c>
      <c r="BG258" s="13" t="n">
        <f aca="false">IF(ISBLANK(Actuals!BH63),0,Actuals!BH63)</f>
        <v>0</v>
      </c>
      <c r="BH258" s="13" t="n">
        <f aca="false">IF(ISBLANK(Actuals!BI63),0,Actuals!BI63)</f>
        <v>0</v>
      </c>
      <c r="BI258" s="13" t="n">
        <f aca="false">IF(ISBLANK(Actuals!BJ63),0,Actuals!BJ63)</f>
        <v>0</v>
      </c>
      <c r="BJ258" s="13" t="n">
        <f aca="false">IF(ISBLANK(Actuals!BK63),0,Actuals!BK63)</f>
        <v>0</v>
      </c>
      <c r="BK258" s="13" t="n">
        <f aca="false">IF(ISBLANK(Actuals!BL63),0,Actuals!BL63)</f>
        <v>0</v>
      </c>
      <c r="BL258" s="13" t="n">
        <f aca="false">IF(ISBLANK(Actuals!BM63),0,Actuals!BM63)</f>
        <v>0</v>
      </c>
      <c r="BM258" s="13" t="n">
        <f aca="false">IF(ISBLANK(Actuals!BN63),0,Actuals!BN63)</f>
        <v>0</v>
      </c>
      <c r="BN258" s="13" t="n">
        <f aca="false">IF(ISBLANK(Actuals!BO63),0,Actuals!BO63)</f>
        <v>0</v>
      </c>
      <c r="BO258" s="13" t="n">
        <f aca="false">IF(ISBLANK(Actuals!BP63),0,Actuals!BP63)</f>
        <v>0</v>
      </c>
      <c r="BP258" s="13" t="n">
        <f aca="false">IF(ISBLANK(Actuals!BQ63),0,Actuals!BQ63)</f>
        <v>0</v>
      </c>
      <c r="BQ258" s="13" t="n">
        <f aca="false">IF(ISBLANK(Actuals!BR63),0,Actuals!BR63)</f>
        <v>0</v>
      </c>
      <c r="BR258" s="13" t="n">
        <f aca="false">IF(ISBLANK(Actuals!BS63),0,Actuals!BS63)</f>
        <v>0</v>
      </c>
      <c r="BS258" s="13" t="n">
        <f aca="false">IF(ISBLANK(Actuals!BT63),0,Actuals!BT63)</f>
        <v>0</v>
      </c>
      <c r="BT258" s="13" t="n">
        <f aca="false">IF(ISBLANK(Actuals!BU63),0,Actuals!BU63)</f>
        <v>0</v>
      </c>
      <c r="BU258" s="13" t="n">
        <f aca="false">IF(ISBLANK(Actuals!BV63),0,Actuals!BV63)</f>
        <v>0</v>
      </c>
      <c r="BV258" s="13" t="n">
        <f aca="false">IF(ISBLANK(Actuals!BW63),0,Actuals!BW63)</f>
        <v>0</v>
      </c>
      <c r="BW258" s="13" t="n">
        <f aca="false">IF(ISBLANK(Actuals!BX63),0,Actuals!BX63)</f>
        <v>0</v>
      </c>
      <c r="BX258" s="13" t="n">
        <f aca="false">IF(ISBLANK(Actuals!BY63),0,Actuals!BY63)</f>
        <v>0</v>
      </c>
      <c r="BY258" s="13" t="n">
        <f aca="false">IF(ISBLANK(Actuals!BZ63),0,Actuals!BZ63)</f>
        <v>0</v>
      </c>
      <c r="BZ258" s="13" t="n">
        <f aca="false">IF(ISBLANK(Actuals!CA63),0,Actuals!CA63)</f>
        <v>0</v>
      </c>
      <c r="CA258" s="13" t="n">
        <f aca="false">IF(ISBLANK(Actuals!CB63),0,Actuals!CB63)</f>
        <v>0</v>
      </c>
      <c r="CB258" s="13" t="n">
        <f aca="false">IF(ISBLANK(Actuals!CC63),0,Actuals!CC63)</f>
        <v>0</v>
      </c>
      <c r="CC258" s="13" t="n">
        <f aca="false">IF(ISBLANK(Actuals!CD63),0,Actuals!CD63)</f>
        <v>0</v>
      </c>
      <c r="CD258" s="13" t="n">
        <f aca="false">IF(ISBLANK(Actuals!CE63),0,Actuals!CE63)</f>
        <v>0</v>
      </c>
      <c r="CE258" s="13" t="n">
        <f aca="false">IF(ISBLANK(Actuals!CF63),0,Actuals!CF63)</f>
        <v>0</v>
      </c>
      <c r="CF258" s="13" t="n">
        <f aca="false">IF(ISBLANK(Actuals!CG63),0,Actuals!CG63)</f>
        <v>0</v>
      </c>
      <c r="CG258" s="13" t="n">
        <f aca="false">IF(ISBLANK(Actuals!CH63),0,Actuals!CH63)</f>
        <v>0</v>
      </c>
      <c r="CH258" s="13" t="n">
        <f aca="false">IF(ISBLANK(Actuals!CI63),0,Actuals!CI63)</f>
        <v>0</v>
      </c>
      <c r="CI258" s="13" t="n">
        <f aca="false">IF(ISBLANK(Actuals!CJ63),0,Actuals!CJ63)</f>
        <v>0</v>
      </c>
      <c r="CJ258" s="13" t="n">
        <f aca="false">IF(ISBLANK(Actuals!CK63),0,Actuals!CK63)</f>
        <v>0</v>
      </c>
      <c r="CK258" s="13" t="n">
        <f aca="false">IF(ISBLANK(Actuals!CL63),0,Actuals!CL63)</f>
        <v>0</v>
      </c>
      <c r="CL258" s="13" t="n">
        <f aca="false">IF(ISBLANK(Actuals!CM63),0,Actuals!CM63)</f>
        <v>0</v>
      </c>
      <c r="CM258" s="13" t="n">
        <f aca="false">IF(ISBLANK(Actuals!CN63),0,Actuals!CN63)</f>
        <v>0</v>
      </c>
      <c r="CN258" s="13" t="n">
        <f aca="false">IF(ISBLANK(Actuals!CO63),0,Actuals!CO63)</f>
        <v>0</v>
      </c>
      <c r="CO258" s="13" t="n">
        <f aca="false">IF(ISBLANK(Actuals!CP63),0,Actuals!CP63)</f>
        <v>0</v>
      </c>
      <c r="CP258" s="13" t="n">
        <f aca="false">IF(ISBLANK(Actuals!CQ63),0,Actuals!CQ63)</f>
        <v>0</v>
      </c>
      <c r="CQ258" s="13" t="n">
        <f aca="false">IF(ISBLANK(Actuals!CR63),0,Actuals!CR63)</f>
        <v>0</v>
      </c>
      <c r="CR258" s="13" t="n">
        <f aca="false">IF(ISBLANK(Actuals!CS63),0,Actuals!CS63)</f>
        <v>0</v>
      </c>
      <c r="CS258" s="13" t="n">
        <f aca="false">IF(ISBLANK(Actuals!CT63),0,Actuals!CT63)</f>
        <v>0</v>
      </c>
      <c r="CT258" s="13" t="n">
        <f aca="false">IF(ISBLANK(Actuals!CU63),0,Actuals!CU63)</f>
        <v>0</v>
      </c>
      <c r="CU258" s="13" t="n">
        <f aca="false">IF(ISBLANK(Actuals!CV63),0,Actuals!CV63)</f>
        <v>0</v>
      </c>
      <c r="CV258" s="13" t="n">
        <f aca="false">IF(ISBLANK(Actuals!CW63),0,Actuals!CW63)</f>
        <v>0</v>
      </c>
      <c r="CW258" s="13" t="n">
        <f aca="false">IF(ISBLANK(Actuals!CX63),0,Actuals!CX63)</f>
        <v>0</v>
      </c>
      <c r="CX258" s="13" t="n">
        <f aca="false">IF(ISBLANK(Actuals!CY63),0,Actuals!CY63)</f>
        <v>0</v>
      </c>
      <c r="CY258" s="13" t="n">
        <f aca="false">IF(ISBLANK(Actuals!CZ63),0,Actuals!CZ63)</f>
        <v>0</v>
      </c>
      <c r="CZ258" s="13" t="n">
        <f aca="false">IF(ISBLANK(Actuals!DA63),0,Actuals!DA63)</f>
        <v>0</v>
      </c>
      <c r="DA258" s="13" t="n">
        <f aca="false">IF(ISBLANK(Actuals!DB63),0,Actuals!DB63)</f>
        <v>0</v>
      </c>
      <c r="DB258" s="13" t="n">
        <f aca="false">IF(ISBLANK(Actuals!DC63),0,Actuals!DC63)</f>
        <v>0</v>
      </c>
      <c r="DC258" s="13" t="n">
        <f aca="false">IF(ISBLANK(Actuals!DD63),0,Actuals!DD63)</f>
        <v>0</v>
      </c>
      <c r="DD258" s="13" t="n">
        <f aca="false">IF(ISBLANK(Actuals!DE63),0,Actuals!DE63)</f>
        <v>0</v>
      </c>
      <c r="DE258" s="13" t="n">
        <f aca="false">IF(ISBLANK(Actuals!DF63),0,Actuals!DF63)</f>
        <v>0</v>
      </c>
    </row>
    <row r="259" customFormat="false" ht="15" hidden="false" customHeight="true" outlineLevel="0" collapsed="false">
      <c r="A259" s="22" t="s">
        <v>119</v>
      </c>
      <c r="B259" s="13" t="n">
        <f aca="false">-B258</f>
        <v>-0</v>
      </c>
      <c r="C259" s="13" t="n">
        <f aca="false">-C258</f>
        <v>-0</v>
      </c>
      <c r="D259" s="13" t="n">
        <f aca="false">-D258</f>
        <v>-0</v>
      </c>
      <c r="E259" s="13" t="n">
        <f aca="false">-E258</f>
        <v>-0</v>
      </c>
      <c r="F259" s="13" t="n">
        <f aca="false">-F258</f>
        <v>-0</v>
      </c>
      <c r="G259" s="13" t="n">
        <f aca="false">-G258</f>
        <v>-299000</v>
      </c>
      <c r="H259" s="13" t="n">
        <f aca="false">-H258</f>
        <v>-0</v>
      </c>
      <c r="I259" s="13" t="n">
        <f aca="false">-I258</f>
        <v>-0</v>
      </c>
      <c r="J259" s="13" t="n">
        <f aca="false">-J258</f>
        <v>-0</v>
      </c>
      <c r="K259" s="13" t="n">
        <f aca="false">-K258</f>
        <v>-0</v>
      </c>
      <c r="L259" s="13" t="n">
        <f aca="false">-L258</f>
        <v>-0</v>
      </c>
      <c r="M259" s="13" t="n">
        <f aca="false">-M258</f>
        <v>-0</v>
      </c>
      <c r="N259" s="13" t="n">
        <f aca="false">-N258</f>
        <v>-0</v>
      </c>
      <c r="O259" s="13" t="n">
        <f aca="false">-O258</f>
        <v>-0</v>
      </c>
      <c r="P259" s="13" t="n">
        <f aca="false">-P258</f>
        <v>-0</v>
      </c>
      <c r="Q259" s="13" t="n">
        <f aca="false">-Q258</f>
        <v>-0</v>
      </c>
      <c r="R259" s="13" t="n">
        <f aca="false">-R258</f>
        <v>-0</v>
      </c>
      <c r="S259" s="13" t="n">
        <f aca="false">-S258</f>
        <v>-0</v>
      </c>
      <c r="T259" s="13" t="n">
        <f aca="false">-T258</f>
        <v>-0</v>
      </c>
      <c r="U259" s="13" t="n">
        <f aca="false">-U258</f>
        <v>-0</v>
      </c>
      <c r="V259" s="13" t="n">
        <f aca="false">-V258</f>
        <v>-0</v>
      </c>
      <c r="W259" s="13" t="n">
        <f aca="false">-W258</f>
        <v>-0</v>
      </c>
      <c r="X259" s="13" t="n">
        <f aca="false">-X258</f>
        <v>-0</v>
      </c>
      <c r="Y259" s="13" t="n">
        <f aca="false">-Y258</f>
        <v>-0</v>
      </c>
      <c r="Z259" s="13" t="n">
        <f aca="false">-Z258</f>
        <v>-0</v>
      </c>
      <c r="AA259" s="13" t="n">
        <f aca="false">-AA258</f>
        <v>-0</v>
      </c>
      <c r="AB259" s="13" t="n">
        <f aca="false">-AB258</f>
        <v>-0</v>
      </c>
      <c r="AC259" s="13" t="n">
        <f aca="false">-AC258</f>
        <v>-0</v>
      </c>
      <c r="AD259" s="13" t="n">
        <f aca="false">-AD258</f>
        <v>-0</v>
      </c>
      <c r="AE259" s="13" t="n">
        <f aca="false">-AE258</f>
        <v>-0</v>
      </c>
      <c r="AF259" s="13" t="n">
        <f aca="false">-AF258</f>
        <v>-0</v>
      </c>
      <c r="AG259" s="13" t="n">
        <f aca="false">-AG258</f>
        <v>-0</v>
      </c>
      <c r="AH259" s="13" t="n">
        <f aca="false">-AH258</f>
        <v>-0</v>
      </c>
      <c r="AI259" s="13" t="n">
        <f aca="false">-AI258</f>
        <v>-0</v>
      </c>
      <c r="AJ259" s="13" t="n">
        <f aca="false">-AJ258</f>
        <v>-0</v>
      </c>
      <c r="AK259" s="13" t="n">
        <f aca="false">-AK258</f>
        <v>-0</v>
      </c>
      <c r="AL259" s="13" t="n">
        <f aca="false">-AL258</f>
        <v>-0</v>
      </c>
      <c r="AM259" s="13" t="n">
        <f aca="false">-AM258</f>
        <v>-0</v>
      </c>
      <c r="AN259" s="13" t="n">
        <f aca="false">-AN258</f>
        <v>-0</v>
      </c>
      <c r="AO259" s="13" t="n">
        <f aca="false">-AO258</f>
        <v>-0</v>
      </c>
      <c r="AP259" s="13" t="n">
        <f aca="false">-AP258</f>
        <v>-0</v>
      </c>
      <c r="AQ259" s="13" t="n">
        <f aca="false">-AQ258</f>
        <v>-0</v>
      </c>
      <c r="AR259" s="13" t="n">
        <f aca="false">-AR258</f>
        <v>-0</v>
      </c>
      <c r="AS259" s="13" t="n">
        <f aca="false">-AS258</f>
        <v>-0</v>
      </c>
      <c r="AT259" s="13" t="n">
        <f aca="false">-AT258</f>
        <v>-0</v>
      </c>
      <c r="AU259" s="13" t="n">
        <f aca="false">-AU258</f>
        <v>-0</v>
      </c>
      <c r="AV259" s="13" t="n">
        <f aca="false">-AV258</f>
        <v>-0</v>
      </c>
      <c r="AW259" s="13" t="n">
        <f aca="false">-AW258</f>
        <v>-0</v>
      </c>
      <c r="AX259" s="13" t="n">
        <f aca="false">-AX258</f>
        <v>-0</v>
      </c>
      <c r="AY259" s="13" t="n">
        <f aca="false">-AY258</f>
        <v>-0</v>
      </c>
      <c r="AZ259" s="13" t="n">
        <f aca="false">-AZ258</f>
        <v>-0</v>
      </c>
      <c r="BA259" s="13" t="n">
        <f aca="false">-BA258</f>
        <v>-0</v>
      </c>
      <c r="BB259" s="13" t="n">
        <f aca="false">-BB258</f>
        <v>-0</v>
      </c>
      <c r="BC259" s="13" t="n">
        <f aca="false">-BC258</f>
        <v>-0</v>
      </c>
      <c r="BD259" s="13" t="n">
        <f aca="false">-BD258</f>
        <v>-0</v>
      </c>
      <c r="BE259" s="13" t="n">
        <f aca="false">-BE258</f>
        <v>-0</v>
      </c>
      <c r="BF259" s="13" t="n">
        <f aca="false">-BF258</f>
        <v>-0</v>
      </c>
      <c r="BG259" s="13" t="n">
        <f aca="false">-BG258</f>
        <v>-0</v>
      </c>
      <c r="BH259" s="13" t="n">
        <f aca="false">-BH258</f>
        <v>-0</v>
      </c>
      <c r="BI259" s="13" t="n">
        <f aca="false">-BI258</f>
        <v>-0</v>
      </c>
      <c r="BJ259" s="13" t="n">
        <f aca="false">-BJ258</f>
        <v>-0</v>
      </c>
      <c r="BK259" s="13" t="n">
        <f aca="false">-BK258</f>
        <v>-0</v>
      </c>
      <c r="BL259" s="13" t="n">
        <f aca="false">-BL258</f>
        <v>-0</v>
      </c>
      <c r="BM259" s="13" t="n">
        <f aca="false">-BM258</f>
        <v>-0</v>
      </c>
      <c r="BN259" s="13" t="n">
        <f aca="false">-BN258</f>
        <v>-0</v>
      </c>
      <c r="BO259" s="13" t="n">
        <f aca="false">-BO258</f>
        <v>-0</v>
      </c>
      <c r="BP259" s="13" t="n">
        <f aca="false">-BP258</f>
        <v>-0</v>
      </c>
      <c r="BQ259" s="13" t="n">
        <f aca="false">-BQ258</f>
        <v>-0</v>
      </c>
      <c r="BR259" s="13" t="n">
        <f aca="false">-BR258</f>
        <v>-0</v>
      </c>
      <c r="BS259" s="13" t="n">
        <f aca="false">-BS258</f>
        <v>-0</v>
      </c>
      <c r="BT259" s="13" t="n">
        <f aca="false">-BT258</f>
        <v>-0</v>
      </c>
      <c r="BU259" s="13" t="n">
        <f aca="false">-BU258</f>
        <v>-0</v>
      </c>
      <c r="BV259" s="13" t="n">
        <f aca="false">-BV258</f>
        <v>-0</v>
      </c>
      <c r="BW259" s="13" t="n">
        <f aca="false">-BW258</f>
        <v>-0</v>
      </c>
      <c r="BX259" s="13" t="n">
        <f aca="false">-BX258</f>
        <v>-0</v>
      </c>
      <c r="BY259" s="13" t="n">
        <f aca="false">-BY258</f>
        <v>-0</v>
      </c>
      <c r="BZ259" s="13" t="n">
        <f aca="false">-BZ258</f>
        <v>-0</v>
      </c>
      <c r="CA259" s="13" t="n">
        <f aca="false">-CA258</f>
        <v>-0</v>
      </c>
      <c r="CB259" s="13" t="n">
        <f aca="false">-CB258</f>
        <v>-0</v>
      </c>
      <c r="CC259" s="13" t="n">
        <f aca="false">-CC258</f>
        <v>-0</v>
      </c>
      <c r="CD259" s="13" t="n">
        <f aca="false">-CD258</f>
        <v>-0</v>
      </c>
      <c r="CE259" s="13" t="n">
        <f aca="false">-CE258</f>
        <v>-0</v>
      </c>
      <c r="CF259" s="13" t="n">
        <f aca="false">-CF258</f>
        <v>-0</v>
      </c>
      <c r="CG259" s="13" t="n">
        <f aca="false">-CG258</f>
        <v>-0</v>
      </c>
      <c r="CH259" s="13" t="n">
        <f aca="false">-CH258</f>
        <v>-0</v>
      </c>
      <c r="CI259" s="13" t="n">
        <f aca="false">-CI258</f>
        <v>-0</v>
      </c>
      <c r="CJ259" s="13" t="n">
        <f aca="false">-CJ258</f>
        <v>-0</v>
      </c>
      <c r="CK259" s="13" t="n">
        <f aca="false">-CK258</f>
        <v>-0</v>
      </c>
      <c r="CL259" s="13" t="n">
        <f aca="false">-CL258</f>
        <v>-0</v>
      </c>
      <c r="CM259" s="13" t="n">
        <f aca="false">-CM258</f>
        <v>-0</v>
      </c>
      <c r="CN259" s="13" t="n">
        <f aca="false">-CN258</f>
        <v>-0</v>
      </c>
      <c r="CO259" s="13" t="n">
        <f aca="false">-CO258</f>
        <v>-0</v>
      </c>
      <c r="CP259" s="13" t="n">
        <f aca="false">-CP258</f>
        <v>-0</v>
      </c>
      <c r="CQ259" s="13" t="n">
        <f aca="false">-CQ258</f>
        <v>-0</v>
      </c>
      <c r="CR259" s="13" t="n">
        <f aca="false">-CR258</f>
        <v>-0</v>
      </c>
      <c r="CS259" s="13" t="n">
        <f aca="false">-CS258</f>
        <v>-0</v>
      </c>
      <c r="CT259" s="13" t="n">
        <f aca="false">-CT258</f>
        <v>-0</v>
      </c>
      <c r="CU259" s="13" t="n">
        <f aca="false">-CU258</f>
        <v>-0</v>
      </c>
      <c r="CV259" s="13" t="n">
        <f aca="false">-CV258</f>
        <v>-0</v>
      </c>
      <c r="CW259" s="13" t="n">
        <f aca="false">-CW258</f>
        <v>-0</v>
      </c>
      <c r="CX259" s="13" t="n">
        <f aca="false">-CX258</f>
        <v>-0</v>
      </c>
      <c r="CY259" s="13" t="n">
        <f aca="false">-CY258</f>
        <v>-0</v>
      </c>
      <c r="CZ259" s="13" t="n">
        <f aca="false">-CZ258</f>
        <v>-0</v>
      </c>
      <c r="DA259" s="13" t="n">
        <f aca="false">-DA258</f>
        <v>-0</v>
      </c>
      <c r="DB259" s="13" t="n">
        <f aca="false">-DB258</f>
        <v>-0</v>
      </c>
      <c r="DC259" s="13" t="n">
        <f aca="false">-DC258</f>
        <v>-0</v>
      </c>
      <c r="DD259" s="13" t="n">
        <f aca="false">-DD258</f>
        <v>-0</v>
      </c>
      <c r="DE259" s="13" t="n">
        <f aca="false">-DE258</f>
        <v>-0</v>
      </c>
    </row>
    <row r="260" customFormat="false" ht="15" hidden="false" customHeight="true" outlineLevel="0" collapsed="false">
      <c r="A260" s="22" t="s">
        <v>120</v>
      </c>
      <c r="B260" s="13"/>
      <c r="C260" s="13"/>
      <c r="D260" s="13"/>
      <c r="E260" s="13"/>
      <c r="F260" s="13"/>
      <c r="G260" s="13"/>
      <c r="H260" s="13" t="n">
        <v>0</v>
      </c>
      <c r="I260" s="13" t="n">
        <f aca="false">IF(I$3&lt;'APA Assumptions'!$B$40,0,(1-'APA Assumptions'!$B$39)*MAX(0,0.5*'APA Projection'!C$23))</f>
        <v>0</v>
      </c>
      <c r="J260" s="13" t="n">
        <f aca="false">IF(J$3&lt;'APA Assumptions'!$B$40,0,(1-'APA Assumptions'!$B$39)*MAX(0,0.5*'APA Projection'!D$23))</f>
        <v>0</v>
      </c>
      <c r="K260" s="13" t="n">
        <f aca="false">IF(K$3&lt;'APA Assumptions'!$B$40,0,(1-'APA Assumptions'!$B$39)*MAX(0,0.5*'APA Projection'!E$23))</f>
        <v>0</v>
      </c>
      <c r="L260" s="13" t="n">
        <f aca="false">IF(L$3&lt;'APA Assumptions'!$B$40,0,(1-'APA Assumptions'!$B$39)*MAX(0,0.5*'APA Projection'!F$23))</f>
        <v>0</v>
      </c>
      <c r="M260" s="13" t="n">
        <f aca="false">IF(M$3&lt;'APA Assumptions'!$B$40,0,(1-'APA Assumptions'!$B$39)*MAX(0,0.5*'APA Projection'!G$23))</f>
        <v>0</v>
      </c>
      <c r="N260" s="13" t="n">
        <f aca="false">IF(N$3&lt;'APA Assumptions'!$B$40,0,(1-'APA Assumptions'!$B$39)*MAX(0,0.5*'APA Projection'!H$23))</f>
        <v>12358.6571428571</v>
      </c>
      <c r="O260" s="13" t="n">
        <f aca="false">IF(O$3&lt;'APA Assumptions'!$B$40,0,(1-'APA Assumptions'!$B$39)*MAX(0,0.5*'APA Projection'!I$23))</f>
        <v>7215.8</v>
      </c>
      <c r="P260" s="13" t="n">
        <f aca="false">IF(P$3&lt;'APA Assumptions'!$B$40,0,(1-'APA Assumptions'!$B$39)*MAX(0,0.5*'APA Projection'!J$23))</f>
        <v>7715.8</v>
      </c>
      <c r="Q260" s="13" t="n">
        <f aca="false">IF(Q$3&lt;'APA Assumptions'!$B$40,0,(1-'APA Assumptions'!$B$39)*MAX(0,0.5*'APA Projection'!K$23))</f>
        <v>7715.8</v>
      </c>
      <c r="R260" s="13" t="n">
        <f aca="false">IF(R$3&lt;'APA Assumptions'!$B$40,0,(1-'APA Assumptions'!$B$39)*MAX(0,0.5*'APA Projection'!L$23))</f>
        <v>7715.8</v>
      </c>
      <c r="S260" s="13" t="n">
        <f aca="false">IF(S$3&lt;'APA Assumptions'!$B$40,0,(1-'APA Assumptions'!$B$39)*MAX(0,0.5*'APA Projection'!M$23))</f>
        <v>7715.8</v>
      </c>
      <c r="T260" s="13" t="n">
        <f aca="false">IF(T$3&lt;'APA Assumptions'!$B$40,0,(1-'APA Assumptions'!$B$39)*MAX(0,0.5*'APA Projection'!N$23))</f>
        <v>6115.8</v>
      </c>
      <c r="U260" s="13" t="n">
        <f aca="false">IF(U$3&lt;'APA Assumptions'!$B$40,0,(1-'APA Assumptions'!$B$39)*MAX(0,0.5*'APA Projection'!O$23))</f>
        <v>7715.8</v>
      </c>
      <c r="V260" s="13" t="n">
        <f aca="false">IF(V$3&lt;'APA Assumptions'!$B$40,0,(1-'APA Assumptions'!$B$39)*MAX(0,0.5*'APA Projection'!P$23))</f>
        <v>7715.8</v>
      </c>
      <c r="W260" s="13" t="n">
        <f aca="false">IF(W$3&lt;'APA Assumptions'!$B$40,0,(1-'APA Assumptions'!$B$39)*MAX(0,0.5*'APA Projection'!Q$23))</f>
        <v>7715.8</v>
      </c>
      <c r="X260" s="13" t="n">
        <f aca="false">IF(X$3&lt;'APA Assumptions'!$B$40,0,(1-'APA Assumptions'!$B$39)*MAX(0,0.5*'APA Projection'!R$23))</f>
        <v>7177</v>
      </c>
      <c r="Y260" s="13" t="n">
        <f aca="false">IF(Y$3&lt;'APA Assumptions'!$B$40,0,(1-'APA Assumptions'!$B$39)*MAX(0,0.5*'APA Projection'!S$23))</f>
        <v>7177</v>
      </c>
      <c r="Z260" s="13" t="n">
        <f aca="false">IF(Z$3&lt;'APA Assumptions'!$B$40,0,(1-'APA Assumptions'!$B$39)*MAX(0,0.5*'APA Projection'!T$23))</f>
        <v>0</v>
      </c>
      <c r="AA260" s="13" t="n">
        <f aca="false">IF(AA$3&lt;'APA Assumptions'!$B$40,0,(1-'APA Assumptions'!$B$39)*MAX(0,0.5*'APA Projection'!U$23))</f>
        <v>0</v>
      </c>
      <c r="AB260" s="13" t="n">
        <f aca="false">IF(AB$3&lt;'APA Assumptions'!$B$40,0,(1-'APA Assumptions'!$B$39)*MAX(0,0.5*'APA Projection'!V$23))</f>
        <v>0</v>
      </c>
      <c r="AC260" s="13" t="n">
        <f aca="false">IF(AC$3&lt;'APA Assumptions'!$B$40,0,(1-'APA Assumptions'!$B$39)*MAX(0,0.5*'APA Projection'!W$23))</f>
        <v>0</v>
      </c>
      <c r="AD260" s="13" t="n">
        <f aca="false">IF(AD$3&lt;'APA Assumptions'!$B$40,0,(1-'APA Assumptions'!$B$39)*MAX(0,0.5*'APA Projection'!X$23))</f>
        <v>0</v>
      </c>
      <c r="AE260" s="13" t="n">
        <f aca="false">IF(AE$3&lt;'APA Assumptions'!$B$40,0,(1-'APA Assumptions'!$B$39)*MAX(0,0.5*'APA Projection'!Y$23))</f>
        <v>0</v>
      </c>
      <c r="AF260" s="13" t="n">
        <f aca="false">IF(AF$3&lt;'APA Assumptions'!$B$40,0,(1-'APA Assumptions'!$B$39)*MAX(0,0.5*'APA Projection'!Z$23))</f>
        <v>0</v>
      </c>
      <c r="AG260" s="13" t="n">
        <f aca="false">IF(AG$3&lt;'APA Assumptions'!$B$40,0,(1-'APA Assumptions'!$B$39)*MAX(0,0.5*'APA Projection'!AA$23))</f>
        <v>0</v>
      </c>
      <c r="AH260" s="13" t="n">
        <f aca="false">IF(AH$3&lt;'APA Assumptions'!$B$40,0,(1-'APA Assumptions'!$B$39)*MAX(0,0.5*'APA Projection'!AB$23))</f>
        <v>0</v>
      </c>
      <c r="AI260" s="13" t="n">
        <f aca="false">IF(AI$3&lt;'APA Assumptions'!$B$40,0,(1-'APA Assumptions'!$B$39)*MAX(0,0.5*'APA Projection'!AC$23))</f>
        <v>0</v>
      </c>
      <c r="AJ260" s="13" t="n">
        <f aca="false">IF(AJ$3&lt;'APA Assumptions'!$B$40,0,(1-'APA Assumptions'!$B$39)*MAX(0,0.5*'APA Projection'!AD$23))</f>
        <v>0</v>
      </c>
      <c r="AK260" s="13" t="n">
        <f aca="false">IF(AK$3&lt;'APA Assumptions'!$B$40,0,(1-'APA Assumptions'!$B$39)*MAX(0,0.5*'APA Projection'!AE$23))</f>
        <v>0</v>
      </c>
      <c r="AL260" s="13" t="n">
        <f aca="false">IF(AL$3&lt;'APA Assumptions'!$B$40,0,(1-'APA Assumptions'!$B$39)*MAX(0,0.5*'APA Projection'!AF$23))</f>
        <v>0</v>
      </c>
      <c r="AM260" s="13" t="n">
        <f aca="false">IF(AM$3&lt;'APA Assumptions'!$B$40,0,(1-'APA Assumptions'!$B$39)*MAX(0,0.5*'APA Projection'!AG$23))</f>
        <v>0</v>
      </c>
      <c r="AN260" s="13" t="n">
        <f aca="false">IF(AN$3&lt;'APA Assumptions'!$B$40,0,(1-'APA Assumptions'!$B$39)*MAX(0,0.5*'APA Projection'!AH$23))</f>
        <v>0</v>
      </c>
      <c r="AO260" s="13" t="n">
        <f aca="false">IF(AO$3&lt;'APA Assumptions'!$B$40,0,(1-'APA Assumptions'!$B$39)*MAX(0,0.5*'APA Projection'!AI$23))</f>
        <v>0</v>
      </c>
      <c r="AP260" s="13" t="n">
        <f aca="false">IF(AP$3&lt;'APA Assumptions'!$B$40,0,(1-'APA Assumptions'!$B$39)*MAX(0,0.5*'APA Projection'!AJ$23))</f>
        <v>0</v>
      </c>
      <c r="AQ260" s="13" t="n">
        <f aca="false">IF(AQ$3&lt;'APA Assumptions'!$B$40,0,(1-'APA Assumptions'!$B$39)*MAX(0,0.5*'APA Projection'!AK$23))</f>
        <v>0</v>
      </c>
      <c r="AR260" s="13" t="n">
        <f aca="false">IF(AR$3&lt;'APA Assumptions'!$B$40,0,(1-'APA Assumptions'!$B$39)*MAX(0,0.5*'APA Projection'!AL$23))</f>
        <v>0</v>
      </c>
      <c r="AS260" s="13" t="n">
        <f aca="false">IF(AS$3&lt;'APA Assumptions'!$B$40,0,(1-'APA Assumptions'!$B$39)*MAX(0,0.5*'APA Projection'!AM$23))</f>
        <v>0</v>
      </c>
      <c r="AT260" s="13"/>
      <c r="AU260" s="13"/>
      <c r="AV260" s="13"/>
      <c r="AW260" s="13"/>
      <c r="AX260" s="13"/>
      <c r="AY260" s="13"/>
      <c r="AZ260" s="13"/>
      <c r="BA260" s="13"/>
      <c r="BB260" s="13"/>
      <c r="BC260" s="13"/>
      <c r="BD260" s="13"/>
      <c r="BE260" s="13"/>
      <c r="BF260" s="13"/>
      <c r="BG260" s="13"/>
      <c r="BH260" s="13"/>
      <c r="BI260" s="13"/>
      <c r="BJ260" s="13"/>
      <c r="BK260" s="13"/>
      <c r="BL260" s="13"/>
      <c r="BM260" s="13"/>
      <c r="BN260" s="13"/>
      <c r="BO260" s="13"/>
      <c r="BP260" s="13"/>
      <c r="BQ260" s="13"/>
      <c r="BR260" s="13"/>
      <c r="BS260" s="13"/>
      <c r="BT260" s="13"/>
      <c r="BU260" s="13"/>
      <c r="BV260" s="13"/>
      <c r="BW260" s="13"/>
      <c r="BX260" s="13"/>
      <c r="BY260" s="13"/>
      <c r="BZ260" s="13"/>
      <c r="CA260" s="13"/>
      <c r="CB260" s="13"/>
      <c r="CC260" s="13"/>
      <c r="CD260" s="13"/>
      <c r="CE260" s="13"/>
      <c r="CF260" s="13"/>
      <c r="CG260" s="13"/>
      <c r="CH260" s="13"/>
      <c r="CI260" s="13"/>
      <c r="CJ260" s="13"/>
      <c r="CK260" s="13"/>
      <c r="CL260" s="13"/>
      <c r="CM260" s="13"/>
      <c r="CN260" s="13"/>
      <c r="CO260" s="13"/>
      <c r="CP260" s="13"/>
      <c r="CQ260" s="13"/>
      <c r="CR260" s="13"/>
      <c r="CS260" s="13"/>
      <c r="CT260" s="13"/>
      <c r="CU260" s="13"/>
      <c r="CV260" s="13"/>
      <c r="CW260" s="13"/>
      <c r="CX260" s="13"/>
      <c r="CY260" s="13"/>
      <c r="CZ260" s="13"/>
      <c r="DA260" s="13"/>
      <c r="DB260" s="13"/>
      <c r="DC260" s="13"/>
      <c r="DD260" s="13"/>
      <c r="DE260" s="13"/>
    </row>
    <row r="261" customFormat="false" ht="19.5" hidden="false" customHeight="true" outlineLevel="0" collapsed="false">
      <c r="A261" s="29" t="s">
        <v>121</v>
      </c>
      <c r="B261" s="30" t="n">
        <f aca="false">SUM(B240:B260)</f>
        <v>34114.58</v>
      </c>
      <c r="C261" s="30" t="n">
        <f aca="false">SUM(C240:C260)</f>
        <v>34114.58</v>
      </c>
      <c r="D261" s="30" t="n">
        <f aca="false">SUM(D240:D260)</f>
        <v>34114.58</v>
      </c>
      <c r="E261" s="30" t="n">
        <f aca="false">SUM(E240:E260)</f>
        <v>34114.58</v>
      </c>
      <c r="F261" s="30" t="n">
        <f aca="false">SUM(F240:F260)</f>
        <v>34114.58</v>
      </c>
      <c r="G261" s="30" t="n">
        <f aca="false">SUM(G240:G260)</f>
        <v>34114.58</v>
      </c>
      <c r="H261" s="30" t="n">
        <f aca="false">SUM(H240:H260)</f>
        <v>78114.58</v>
      </c>
      <c r="I261" s="30" t="n">
        <f aca="false">SUM(I240:I260)</f>
        <v>180628.58</v>
      </c>
      <c r="J261" s="30" t="n">
        <f aca="false">SUM(J240:J260)</f>
        <v>42781.25</v>
      </c>
      <c r="K261" s="30" t="n">
        <f aca="false">SUM(K240:K260)</f>
        <v>42781.25</v>
      </c>
      <c r="L261" s="30" t="n">
        <f aca="false">SUM(L240:L260)</f>
        <v>33406.25</v>
      </c>
      <c r="M261" s="30" t="n">
        <f aca="false">SUM(M240:M260)</f>
        <v>33406.25</v>
      </c>
      <c r="N261" s="30" t="n">
        <f aca="false">SUM(N240:N260)</f>
        <v>238562.537142857</v>
      </c>
      <c r="O261" s="30" t="n">
        <f aca="false">SUM(O240:O260)</f>
        <v>318286.26</v>
      </c>
      <c r="P261" s="30" t="n">
        <f aca="false">SUM(P240:P260)</f>
        <v>64806.26</v>
      </c>
      <c r="Q261" s="30" t="n">
        <f aca="false">SUM(Q240:Q260)</f>
        <v>87938.4904</v>
      </c>
      <c r="R261" s="30" t="n">
        <f aca="false">SUM(R240:R260)</f>
        <v>81688.2904</v>
      </c>
      <c r="S261" s="30" t="n">
        <f aca="false">SUM(S240:S260)</f>
        <v>81688.2904</v>
      </c>
      <c r="T261" s="30" t="n">
        <f aca="false">SUM(T240:T260)</f>
        <v>56182.0404</v>
      </c>
      <c r="U261" s="30" t="n">
        <f aca="false">SUM(U240:U260)</f>
        <v>53282.0404</v>
      </c>
      <c r="V261" s="30" t="n">
        <f aca="false">SUM(V240:V260)</f>
        <v>53282.0404</v>
      </c>
      <c r="W261" s="30" t="n">
        <f aca="false">SUM(W240:W260)</f>
        <v>69854.3028</v>
      </c>
      <c r="X261" s="30" t="n">
        <f aca="false">SUM(X240:X260)</f>
        <v>85887.7652</v>
      </c>
      <c r="Y261" s="30" t="n">
        <f aca="false">SUM(Y240:Y260)</f>
        <v>159835.0276</v>
      </c>
      <c r="Z261" s="30" t="n">
        <f aca="false">SUM(Z240:Z260)</f>
        <v>105410.004</v>
      </c>
      <c r="AA261" s="30" t="n">
        <f aca="false">SUM(AA240:AA260)</f>
        <v>120946.506</v>
      </c>
      <c r="AB261" s="30" t="n">
        <f aca="false">SUM(AB240:AB260)</f>
        <v>193857.996</v>
      </c>
      <c r="AC261" s="30" t="n">
        <f aca="false">SUM(AC240:AC260)</f>
        <v>152019.486</v>
      </c>
      <c r="AD261" s="30" t="n">
        <f aca="false">SUM(AD240:AD260)</f>
        <v>167555.982</v>
      </c>
      <c r="AE261" s="30" t="n">
        <f aca="false">SUM(AE240:AE260)</f>
        <v>240467.484</v>
      </c>
      <c r="AF261" s="30" t="n">
        <f aca="false">SUM(AF240:AF260)</f>
        <v>185883.577</v>
      </c>
      <c r="AG261" s="30" t="n">
        <f aca="false">SUM(AG240:AG260)</f>
        <v>189072.7405</v>
      </c>
      <c r="AH261" s="30" t="n">
        <f aca="false">SUM(AH240:AH260)</f>
        <v>209731.2855</v>
      </c>
      <c r="AI261" s="30" t="n">
        <f aca="false">SUM(AI240:AI260)</f>
        <v>151106.0555</v>
      </c>
      <c r="AJ261" s="30" t="n">
        <f aca="false">SUM(AJ240:AJ260)</f>
        <v>151536.2215</v>
      </c>
      <c r="AK261" s="30" t="n">
        <f aca="false">SUM(AK240:AK260)</f>
        <v>151966.3765</v>
      </c>
      <c r="AL261" s="30" t="n">
        <f aca="false">SUM(AL240:AL260)</f>
        <v>152396.537</v>
      </c>
      <c r="AM261" s="30" t="n">
        <f aca="false">SUM(AM240:AM260)</f>
        <v>152826.692</v>
      </c>
      <c r="AN261" s="30" t="n">
        <f aca="false">SUM(AN240:AN260)</f>
        <v>167498.6405</v>
      </c>
      <c r="AO261" s="30" t="n">
        <f aca="false">SUM(AO240:AO260)</f>
        <v>153687.0185</v>
      </c>
      <c r="AP261" s="30" t="n">
        <f aca="false">SUM(AP240:AP260)</f>
        <v>139875.391</v>
      </c>
      <c r="AQ261" s="30" t="n">
        <f aca="false">SUM(AQ240:AQ260)</f>
        <v>126063.7635</v>
      </c>
      <c r="AR261" s="30" t="n">
        <f aca="false">SUM(AR240:AR260)</f>
        <v>112252.1305</v>
      </c>
      <c r="AS261" s="30" t="n">
        <f aca="false">SUM(AS240:AS260)</f>
        <v>90627.735</v>
      </c>
      <c r="AT261" s="30" t="n">
        <f aca="false">SUM(AT240:AT260)</f>
        <v>159754.71</v>
      </c>
      <c r="AU261" s="30" t="n">
        <f aca="false">SUM(AU240:AU260)</f>
        <v>65515.68</v>
      </c>
      <c r="AV261" s="30" t="n">
        <f aca="false">SUM(AV240:AV260)</f>
        <v>52959.66</v>
      </c>
      <c r="AW261" s="30" t="n">
        <f aca="false">SUM(AW240:AW260)</f>
        <v>121601.0485</v>
      </c>
      <c r="AX261" s="30" t="n">
        <f aca="false">SUM(AX240:AX260)</f>
        <v>80797.05</v>
      </c>
      <c r="AY261" s="30" t="n">
        <f aca="false">SUM(AY240:AY260)</f>
        <v>67849.975</v>
      </c>
      <c r="AZ261" s="30" t="n">
        <f aca="false">SUM(AZ240:AZ260)</f>
        <v>123738.6125</v>
      </c>
      <c r="BA261" s="30" t="n">
        <f aca="false">SUM(BA240:BA260)</f>
        <v>41626.452</v>
      </c>
      <c r="BB261" s="30" t="n">
        <f aca="false">SUM(BB240:BB260)</f>
        <v>41196.286</v>
      </c>
      <c r="BC261" s="30" t="n">
        <f aca="false">SUM(BC240:BC260)</f>
        <v>974287.131</v>
      </c>
      <c r="BD261" s="30" t="n">
        <f aca="false">SUM(BD240:BD260)</f>
        <v>40335.9705</v>
      </c>
      <c r="BE261" s="30" t="n">
        <f aca="false">SUM(BE240:BE260)</f>
        <v>39905.81</v>
      </c>
      <c r="BF261" s="30" t="n">
        <f aca="false">SUM(BF240:BF260)</f>
        <v>170353.6495</v>
      </c>
      <c r="BG261" s="30" t="n">
        <f aca="false">SUM(BG240:BG260)</f>
        <v>39045.489</v>
      </c>
      <c r="BH261" s="30" t="n">
        <f aca="false">SUM(BH240:BH260)</f>
        <v>38615.3285</v>
      </c>
      <c r="BI261" s="30" t="n">
        <f aca="false">SUM(BI240:BI260)</f>
        <v>169061.168</v>
      </c>
      <c r="BJ261" s="30" t="n">
        <f aca="false">SUM(BJ240:BJ260)</f>
        <v>37755.0075</v>
      </c>
      <c r="BK261" s="30" t="n">
        <f aca="false">SUM(BK240:BK260)</f>
        <v>37324.847</v>
      </c>
      <c r="BL261" s="30" t="n">
        <f aca="false">SUM(BL240:BL260)</f>
        <v>167770.692</v>
      </c>
      <c r="BM261" s="30" t="n">
        <f aca="false">SUM(BM240:BM260)</f>
        <v>59965.026</v>
      </c>
      <c r="BN261" s="30" t="n">
        <f aca="false">SUM(BN240:BN260)</f>
        <v>59534.8655</v>
      </c>
      <c r="BO261" s="30" t="n">
        <f aca="false">SUM(BO240:BO260)</f>
        <v>243806.995</v>
      </c>
      <c r="BP261" s="30" t="n">
        <f aca="false">SUM(BP240:BP260)</f>
        <v>0</v>
      </c>
      <c r="BQ261" s="30" t="n">
        <f aca="false">SUM(BQ240:BQ260)</f>
        <v>0</v>
      </c>
      <c r="BR261" s="30" t="n">
        <f aca="false">SUM(BR240:BR260)</f>
        <v>142406</v>
      </c>
      <c r="BS261" s="30" t="n">
        <f aca="false">SUM(BS240:BS260)</f>
        <v>0</v>
      </c>
      <c r="BT261" s="30" t="n">
        <f aca="false">SUM(BT240:BT260)</f>
        <v>0</v>
      </c>
      <c r="BU261" s="30" t="n">
        <f aca="false">SUM(BU240:BU260)</f>
        <v>142402</v>
      </c>
      <c r="BV261" s="30" t="n">
        <f aca="false">SUM(BV240:BV260)</f>
        <v>0</v>
      </c>
      <c r="BW261" s="30" t="n">
        <f aca="false">SUM(BW240:BW260)</f>
        <v>0</v>
      </c>
      <c r="BX261" s="30" t="n">
        <f aca="false">SUM(BX240:BX260)</f>
        <v>142402</v>
      </c>
      <c r="BY261" s="30" t="n">
        <f aca="false">SUM(BY240:BY260)</f>
        <v>0</v>
      </c>
      <c r="BZ261" s="30" t="n">
        <f aca="false">SUM(BZ240:BZ260)</f>
        <v>0</v>
      </c>
      <c r="CA261" s="30" t="n">
        <f aca="false">SUM(CA240:CA260)</f>
        <v>215558</v>
      </c>
      <c r="CB261" s="30" t="n">
        <f aca="false">SUM(CB240:CB260)</f>
        <v>0</v>
      </c>
      <c r="CC261" s="30" t="n">
        <f aca="false">SUM(CC240:CC260)</f>
        <v>0</v>
      </c>
      <c r="CD261" s="30" t="n">
        <f aca="false">SUM(CD240:CD260)</f>
        <v>231017</v>
      </c>
      <c r="CE261" s="30" t="n">
        <f aca="false">SUM(CE240:CE260)</f>
        <v>0</v>
      </c>
      <c r="CF261" s="30" t="n">
        <f aca="false">SUM(CF240:CF260)</f>
        <v>0</v>
      </c>
      <c r="CG261" s="30" t="n">
        <f aca="false">SUM(CG240:CG260)</f>
        <v>231016</v>
      </c>
      <c r="CH261" s="30" t="n">
        <f aca="false">SUM(CH240:CH260)</f>
        <v>0</v>
      </c>
      <c r="CI261" s="30" t="n">
        <f aca="false">SUM(CI240:CI260)</f>
        <v>0</v>
      </c>
      <c r="CJ261" s="30" t="n">
        <f aca="false">SUM(CJ240:CJ260)</f>
        <v>231016</v>
      </c>
      <c r="CK261" s="30" t="n">
        <f aca="false">SUM(CK240:CK260)</f>
        <v>231016</v>
      </c>
      <c r="CL261" s="30" t="n">
        <f aca="false">SUM(CL240:CL260)</f>
        <v>231016</v>
      </c>
      <c r="CM261" s="30" t="n">
        <f aca="false">SUM(CM240:CM260)</f>
        <v>231016</v>
      </c>
      <c r="CN261" s="30" t="n">
        <f aca="false">SUM(CN240:CN260)</f>
        <v>231016</v>
      </c>
      <c r="CO261" s="30" t="n">
        <f aca="false">SUM(CO240:CO260)</f>
        <v>231016</v>
      </c>
      <c r="CP261" s="30" t="n">
        <f aca="false">SUM(CP240:CP260)</f>
        <v>231016</v>
      </c>
      <c r="CQ261" s="30" t="n">
        <f aca="false">SUM(CQ240:CQ260)</f>
        <v>231016</v>
      </c>
      <c r="CR261" s="30" t="n">
        <f aca="false">SUM(CR240:CR260)</f>
        <v>231016</v>
      </c>
      <c r="CS261" s="30" t="n">
        <f aca="false">SUM(CS240:CS260)</f>
        <v>231016</v>
      </c>
      <c r="CT261" s="30" t="n">
        <f aca="false">SUM(CT240:CT260)</f>
        <v>231016</v>
      </c>
      <c r="CU261" s="30" t="n">
        <f aca="false">SUM(CU240:CU260)</f>
        <v>231016</v>
      </c>
      <c r="CV261" s="30" t="n">
        <f aca="false">SUM(CV240:CV260)</f>
        <v>231016</v>
      </c>
      <c r="CW261" s="30" t="n">
        <f aca="false">SUM(CW240:CW260)</f>
        <v>231016</v>
      </c>
      <c r="CX261" s="30" t="n">
        <f aca="false">SUM(CX240:CX260)</f>
        <v>231016</v>
      </c>
      <c r="CY261" s="30" t="n">
        <f aca="false">SUM(CY240:CY260)</f>
        <v>231016</v>
      </c>
      <c r="CZ261" s="30" t="n">
        <f aca="false">SUM(CZ240:CZ260)</f>
        <v>231016</v>
      </c>
      <c r="DA261" s="30" t="n">
        <f aca="false">SUM(DA240:DA260)</f>
        <v>231016</v>
      </c>
      <c r="DB261" s="30" t="n">
        <f aca="false">SUM(DB240:DB260)</f>
        <v>231016</v>
      </c>
      <c r="DC261" s="30" t="n">
        <f aca="false">SUM(DC240:DC260)</f>
        <v>231016</v>
      </c>
      <c r="DD261" s="30" t="n">
        <f aca="false">SUM(DD240:DD260)</f>
        <v>231016</v>
      </c>
      <c r="DE261" s="30" t="n">
        <f aca="false">SUM(DE240:DE260)</f>
        <v>231016</v>
      </c>
    </row>
    <row r="262" customFormat="false" ht="15" hidden="false" customHeight="true" outlineLevel="0" collapsed="false">
      <c r="A262" s="23" t="s">
        <v>122</v>
      </c>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c r="AA262" s="34"/>
      <c r="AB262" s="34"/>
      <c r="AC262" s="34"/>
      <c r="AD262" s="34"/>
      <c r="AE262" s="34"/>
      <c r="AF262" s="34"/>
      <c r="AG262" s="34"/>
      <c r="AH262" s="34"/>
      <c r="AI262" s="34"/>
      <c r="AJ262" s="34"/>
      <c r="AK262" s="34"/>
      <c r="AL262" s="34"/>
      <c r="AM262" s="34"/>
      <c r="AN262" s="34"/>
      <c r="AO262" s="34"/>
      <c r="AP262" s="34"/>
      <c r="AQ262" s="34"/>
      <c r="AR262" s="34"/>
      <c r="AS262" s="34"/>
      <c r="AT262" s="34"/>
      <c r="AU262" s="34"/>
      <c r="AV262" s="34"/>
      <c r="AW262" s="34"/>
      <c r="AX262" s="34"/>
      <c r="AY262" s="34"/>
      <c r="AZ262" s="34"/>
      <c r="BA262" s="34"/>
      <c r="BB262" s="34"/>
      <c r="BC262" s="34"/>
      <c r="BD262" s="34"/>
      <c r="BE262" s="34"/>
      <c r="BF262" s="34"/>
      <c r="BG262" s="34"/>
      <c r="BH262" s="34"/>
      <c r="BI262" s="34"/>
      <c r="BJ262" s="34"/>
      <c r="BK262" s="34"/>
      <c r="BL262" s="34"/>
      <c r="BM262" s="34"/>
      <c r="BN262" s="34"/>
      <c r="BO262" s="34"/>
      <c r="BP262" s="34"/>
      <c r="BQ262" s="34"/>
      <c r="BR262" s="34"/>
      <c r="BS262" s="34"/>
      <c r="BT262" s="34"/>
      <c r="BU262" s="34"/>
      <c r="BV262" s="34"/>
      <c r="BW262" s="34"/>
      <c r="BX262" s="34"/>
      <c r="BY262" s="34"/>
      <c r="BZ262" s="34"/>
      <c r="CA262" s="34"/>
      <c r="CB262" s="34"/>
      <c r="CC262" s="34"/>
      <c r="CD262" s="34"/>
      <c r="CE262" s="34"/>
      <c r="CF262" s="34"/>
      <c r="CG262" s="34"/>
      <c r="CH262" s="34"/>
      <c r="CI262" s="34"/>
      <c r="CJ262" s="34"/>
      <c r="CK262" s="34"/>
      <c r="CL262" s="34"/>
      <c r="CM262" s="34"/>
      <c r="CN262" s="34"/>
      <c r="CO262" s="34"/>
      <c r="CP262" s="34"/>
      <c r="CQ262" s="34"/>
      <c r="CR262" s="34"/>
      <c r="CS262" s="34"/>
      <c r="CT262" s="34"/>
      <c r="CU262" s="34"/>
      <c r="CV262" s="34"/>
      <c r="CW262" s="34"/>
      <c r="CX262" s="34"/>
      <c r="CY262" s="34"/>
      <c r="CZ262" s="34"/>
      <c r="DA262" s="34"/>
      <c r="DB262" s="34"/>
      <c r="DC262" s="34"/>
      <c r="DD262" s="34"/>
      <c r="DE262" s="34"/>
    </row>
    <row r="263" customFormat="false" ht="15" hidden="false" customHeight="true" outlineLevel="0" collapsed="false">
      <c r="A263" s="35" t="s">
        <v>64</v>
      </c>
      <c r="B263" s="21" t="n">
        <f aca="false">IF(ISBLANK(Actuals!C83),0,Actuals!C83)</f>
        <v>-54421</v>
      </c>
      <c r="C263" s="21" t="n">
        <f aca="false">IF(ISBLANK(Actuals!D83),0,Actuals!D83)</f>
        <v>-54166.68</v>
      </c>
      <c r="D263" s="21" t="n">
        <f aca="false">IF(ISBLANK(Actuals!E83),0,Actuals!E83)</f>
        <v>-54166.68</v>
      </c>
      <c r="E263" s="21" t="n">
        <f aca="false">IF(ISBLANK(Actuals!F83),(-(SUMPRODUCT((Personnel!$O$9:$O$100="SP-Payroll")*(Personnel!$G$9:$G$100="Yes")*(1&gt;=Personnel!$E$9:$E$100)*((Personnel!$K$9:$K$100="")+(1&lt;=Personnel!$K$9:$K$100)&gt;0)*Personnel!$D$9:$D$100*(1-Personnel!$I$9:$I$100))))*Escalation!$B$2,Actuals!F83)</f>
        <v>-54166.68</v>
      </c>
      <c r="F263" s="21" t="n">
        <f aca="false">IF(ISBLANK(Actuals!G83),(-(SUMPRODUCT((Personnel!$O$9:$O$100="SP-Payroll")*(Personnel!$G$9:$G$100="Yes")*(2&gt;=Personnel!$E$9:$E$100)*((Personnel!$K$9:$K$100="")+(2&lt;=Personnel!$K$9:$K$100)&gt;0)*Personnel!$D$9:$D$100*(1-Personnel!$I$9:$I$100))))*Escalation!$B$3,Actuals!G83)</f>
        <v>-54166.68</v>
      </c>
      <c r="G263" s="21" t="n">
        <f aca="false">IF(ISBLANK(Actuals!H83),(-(SUMPRODUCT((Personnel!$O$9:$O$100="SP-Payroll")*(Personnel!$G$9:$G$100="Yes")*(3&gt;=Personnel!$E$9:$E$100)*((Personnel!$K$9:$K$100="")+(3&lt;=Personnel!$K$9:$K$100)&gt;0)*Personnel!$D$9:$D$100*(1-Personnel!$I$9:$I$100))))*Escalation!$B$4,Actuals!H83)</f>
        <v>-54166.68</v>
      </c>
      <c r="H263" s="21" t="n">
        <f aca="false">IF(ISBLANK(Actuals!I83),(-(SUMPRODUCT((Personnel!$O$9:$O$100="SP-Payroll")*(Personnel!$G$9:$G$100="Yes")*(4&gt;=Personnel!$E$9:$E$100)*((Personnel!$K$9:$K$100="")+(4&lt;=Personnel!$K$9:$K$100)&gt;0)*Personnel!$D$9:$D$100*(1-Personnel!$I$9:$I$100))))*Escalation!$B$5,Actuals!I83)</f>
        <v>-54166.68</v>
      </c>
      <c r="I263" s="21" t="n">
        <f aca="false">IF(ISBLANK(Actuals!J83),(-(SUMPRODUCT((Personnel!$O$9:$O$100="SP-Payroll")*(Personnel!$G$9:$G$100="Yes")*(5&gt;=Personnel!$E$9:$E$100)*((Personnel!$K$9:$K$100="")+(5&lt;=Personnel!$K$9:$K$100)&gt;0)*Personnel!$D$9:$D$100*(1-Personnel!$I$9:$I$100))))*Escalation!$B$6,Actuals!J83)</f>
        <v>-54166.68</v>
      </c>
      <c r="J263" s="21" t="n">
        <f aca="false">IF(ISBLANK(Actuals!K83),(-(SUMPRODUCT((Personnel!$O$9:$O$100="SP-Payroll")*(Personnel!$G$9:$G$100="Yes")*(6&gt;=Personnel!$E$9:$E$100)*((Personnel!$K$9:$K$100="")+(6&lt;=Personnel!$K$9:$K$100)&gt;0)*Personnel!$D$9:$D$100*(1-Personnel!$I$9:$I$100))))*Escalation!$B$7,Actuals!K83)</f>
        <v>-54166.6666666667</v>
      </c>
      <c r="K263" s="21" t="n">
        <f aca="false">IF(ISBLANK(Actuals!L83),(-(SUMPRODUCT((Personnel!$O$9:$O$100="SP-Payroll")*(Personnel!$G$9:$G$100="Yes")*(7&gt;=Personnel!$E$9:$E$100)*((Personnel!$K$9:$K$100="")+(7&lt;=Personnel!$K$9:$K$100)&gt;0)*Personnel!$D$9:$D$100*(1-Personnel!$I$9:$I$100))))*Escalation!$B$8,Actuals!L83)</f>
        <v>-54166.6666666667</v>
      </c>
      <c r="L263" s="21" t="n">
        <f aca="false">IF(ISBLANK(Actuals!M83),(-(SUMPRODUCT((Personnel!$O$9:$O$100="SP-Payroll")*(Personnel!$G$9:$G$100="Yes")*(8&gt;=Personnel!$E$9:$E$100)*((Personnel!$K$9:$K$100="")+(8&lt;=Personnel!$K$9:$K$100)&gt;0)*Personnel!$D$9:$D$100*(1-Personnel!$I$9:$I$100))))*Escalation!$B$9,Actuals!M83)</f>
        <v>-54166.6666666667</v>
      </c>
      <c r="M263" s="21" t="n">
        <f aca="false">IF(ISBLANK(Actuals!N83),(-(SUMPRODUCT((Personnel!$O$9:$O$100="SP-Payroll")*(Personnel!$G$9:$G$100="Yes")*(9&gt;=Personnel!$E$9:$E$100)*((Personnel!$K$9:$K$100="")+(9&lt;=Personnel!$K$9:$K$100)&gt;0)*Personnel!$D$9:$D$100*(1-Personnel!$I$9:$I$100))))*Escalation!$B$10,Actuals!N83)</f>
        <v>-54166.6666666667</v>
      </c>
      <c r="N263" s="21" t="n">
        <f aca="false">IF(ISBLANK(Actuals!O83),(-(SUMPRODUCT((Personnel!$O$9:$O$100="SP-Payroll")*(Personnel!$G$9:$G$100="Yes")*(10&gt;=Personnel!$E$9:$E$100)*((Personnel!$K$9:$K$100="")+(10&lt;=Personnel!$K$9:$K$100)&gt;0)*Personnel!$D$9:$D$100*(1-Personnel!$I$9:$I$100))))*Escalation!$B$11,Actuals!O83)</f>
        <v>-54166.6666666667</v>
      </c>
      <c r="O263" s="21" t="n">
        <f aca="false">IF(ISBLANK(Actuals!P83),(-(SUMPRODUCT((Personnel!$O$9:$O$100="SP-Payroll")*(Personnel!$G$9:$G$100="Yes")*(11&gt;=Personnel!$E$9:$E$100)*((Personnel!$K$9:$K$100="")+(11&lt;=Personnel!$K$9:$K$100)&gt;0)*Personnel!$D$9:$D$100*(1-Personnel!$I$9:$I$100))))*Escalation!$B$12,Actuals!P83)</f>
        <v>-54166.6666666667</v>
      </c>
      <c r="P263" s="21" t="n">
        <f aca="false">IF(ISBLANK(Actuals!Q83),(-(SUMPRODUCT((Personnel!$O$9:$O$100="SP-Payroll")*(Personnel!$G$9:$G$100="Yes")*(12&gt;=Personnel!$E$9:$E$100)*((Personnel!$K$9:$K$100="")+(12&lt;=Personnel!$K$9:$K$100)&gt;0)*Personnel!$D$9:$D$100*(1-Personnel!$I$9:$I$100))))*Escalation!$B$13,Actuals!Q83)</f>
        <v>-54166.6666666667</v>
      </c>
      <c r="Q263" s="21" t="n">
        <f aca="false">IF(ISBLANK(Actuals!R83),(-(SUMPRODUCT((Personnel!$O$9:$O$100="SP-Payroll")*(Personnel!$G$9:$G$100="Yes")*(13&gt;=Personnel!$E$9:$E$100)*((Personnel!$K$9:$K$100="")+(13&lt;=Personnel!$K$9:$K$100)&gt;0)*Personnel!$D$9:$D$100*(1-Personnel!$I$9:$I$100))))*Escalation!$B$14,Actuals!R83)</f>
        <v>-55250</v>
      </c>
      <c r="R263" s="21" t="n">
        <f aca="false">IF(ISBLANK(Actuals!S83),(-(SUMPRODUCT((Personnel!$O$9:$O$100="SP-Payroll")*(Personnel!$G$9:$G$100="Yes")*(14&gt;=Personnel!$E$9:$E$100)*((Personnel!$K$9:$K$100="")+(14&lt;=Personnel!$K$9:$K$100)&gt;0)*Personnel!$D$9:$D$100*(1-Personnel!$I$9:$I$100))))*Escalation!$B$15,Actuals!S83)</f>
        <v>-55250</v>
      </c>
      <c r="S263" s="21" t="n">
        <f aca="false">IF(ISBLANK(Actuals!T83),(-(SUMPRODUCT((Personnel!$O$9:$O$100="SP-Payroll")*(Personnel!$G$9:$G$100="Yes")*(15&gt;=Personnel!$E$9:$E$100)*((Personnel!$K$9:$K$100="")+(15&lt;=Personnel!$K$9:$K$100)&gt;0)*Personnel!$D$9:$D$100*(1-Personnel!$I$9:$I$100))))*Escalation!$B$16,Actuals!T83)</f>
        <v>-55250</v>
      </c>
      <c r="T263" s="21" t="n">
        <f aca="false">IF(ISBLANK(Actuals!U83),(-(SUMPRODUCT((Personnel!$O$9:$O$100="SP-Payroll")*(Personnel!$G$9:$G$100="Yes")*(16&gt;=Personnel!$E$9:$E$100)*((Personnel!$K$9:$K$100="")+(16&lt;=Personnel!$K$9:$K$100)&gt;0)*Personnel!$D$9:$D$100*(1-Personnel!$I$9:$I$100))))*Escalation!$B$17,Actuals!U83)</f>
        <v>-55250</v>
      </c>
      <c r="U263" s="21" t="n">
        <f aca="false">IF(ISBLANK(Actuals!V83),(-(SUMPRODUCT((Personnel!$O$9:$O$100="SP-Payroll")*(Personnel!$G$9:$G$100="Yes")*(17&gt;=Personnel!$E$9:$E$100)*((Personnel!$K$9:$K$100="")+(17&lt;=Personnel!$K$9:$K$100)&gt;0)*Personnel!$D$9:$D$100*(1-Personnel!$I$9:$I$100))))*Escalation!$B$18,Actuals!V83)</f>
        <v>-55250</v>
      </c>
      <c r="V263" s="21" t="n">
        <f aca="false">IF(ISBLANK(Actuals!W83),(-(SUMPRODUCT((Personnel!$O$9:$O$100="SP-Payroll")*(Personnel!$G$9:$G$100="Yes")*(18&gt;=Personnel!$E$9:$E$100)*((Personnel!$K$9:$K$100="")+(18&lt;=Personnel!$K$9:$K$100)&gt;0)*Personnel!$D$9:$D$100*(1-Personnel!$I$9:$I$100))))*Escalation!$B$19,Actuals!W83)</f>
        <v>-55250</v>
      </c>
      <c r="W263" s="21" t="n">
        <f aca="false">IF(ISBLANK(Actuals!X83),(-(SUMPRODUCT((Personnel!$O$9:$O$100="SP-Payroll")*(Personnel!$G$9:$G$100="Yes")*(19&gt;=Personnel!$E$9:$E$100)*((Personnel!$K$9:$K$100="")+(19&lt;=Personnel!$K$9:$K$100)&gt;0)*Personnel!$D$9:$D$100*(1-Personnel!$I$9:$I$100))))*Escalation!$B$20,Actuals!X83)</f>
        <v>-55250</v>
      </c>
      <c r="X263" s="21" t="n">
        <f aca="false">IF(ISBLANK(Actuals!Y83),(-(SUMPRODUCT((Personnel!$O$9:$O$100="SP-Payroll")*(Personnel!$G$9:$G$100="Yes")*(20&gt;=Personnel!$E$9:$E$100)*((Personnel!$K$9:$K$100="")+(20&lt;=Personnel!$K$9:$K$100)&gt;0)*Personnel!$D$9:$D$100*(1-Personnel!$I$9:$I$100))))*Escalation!$B$21,Actuals!Y83)</f>
        <v>-55250</v>
      </c>
      <c r="Y263" s="21" t="n">
        <f aca="false">IF(ISBLANK(Actuals!Z83),(-(SUMPRODUCT((Personnel!$O$9:$O$100="SP-Payroll")*(Personnel!$G$9:$G$100="Yes")*(21&gt;=Personnel!$E$9:$E$100)*((Personnel!$K$9:$K$100="")+(21&lt;=Personnel!$K$9:$K$100)&gt;0)*Personnel!$D$9:$D$100*(1-Personnel!$I$9:$I$100))))*Escalation!$B$22,Actuals!Z83)</f>
        <v>-55250</v>
      </c>
      <c r="Z263" s="21" t="n">
        <f aca="false">IF(ISBLANK(Actuals!AA83),(-(SUMPRODUCT((Personnel!$O$9:$O$100="SP-Payroll")*(Personnel!$G$9:$G$100="Yes")*(22&gt;=Personnel!$E$9:$E$100)*((Personnel!$K$9:$K$100="")+(22&lt;=Personnel!$K$9:$K$100)&gt;0)*Personnel!$D$9:$D$100*(1-Personnel!$I$9:$I$100))))*Escalation!$B$23,Actuals!AA83)</f>
        <v>-55250</v>
      </c>
      <c r="AA263" s="21" t="n">
        <f aca="false">IF(ISBLANK(Actuals!AB83),(-(SUMPRODUCT((Personnel!$O$9:$O$100="SP-Payroll")*(Personnel!$G$9:$G$100="Yes")*(23&gt;=Personnel!$E$9:$E$100)*((Personnel!$K$9:$K$100="")+(23&lt;=Personnel!$K$9:$K$100)&gt;0)*Personnel!$D$9:$D$100*(1-Personnel!$I$9:$I$100))))*Escalation!$B$24,Actuals!AB83)</f>
        <v>-55250</v>
      </c>
      <c r="AB263" s="21" t="n">
        <f aca="false">IF(ISBLANK(Actuals!AC83),(-(SUMPRODUCT((Personnel!$O$9:$O$100="SP-Payroll")*(Personnel!$G$9:$G$100="Yes")*(24&gt;=Personnel!$E$9:$E$100)*((Personnel!$K$9:$K$100="")+(24&lt;=Personnel!$K$9:$K$100)&gt;0)*Personnel!$D$9:$D$100*(1-Personnel!$I$9:$I$100))))*Escalation!$B$25,Actuals!AC83)</f>
        <v>-55250</v>
      </c>
      <c r="AC263" s="21" t="n">
        <f aca="false">IF(ISBLANK(Actuals!AD83),(-(SUMPRODUCT((Personnel!$O$9:$O$100="SP-Payroll")*(Personnel!$G$9:$G$100="Yes")*(25&gt;=Personnel!$E$9:$E$100)*((Personnel!$K$9:$K$100="")+(25&lt;=Personnel!$K$9:$K$100)&gt;0)*Personnel!$D$9:$D$100*(1-Personnel!$I$9:$I$100))))*Escalation!$B$26,Actuals!AD83)</f>
        <v>-56355</v>
      </c>
      <c r="AD263" s="21" t="n">
        <f aca="false">IF(ISBLANK(Actuals!AE83),(-(SUMPRODUCT((Personnel!$O$9:$O$100="SP-Payroll")*(Personnel!$G$9:$G$100="Yes")*(26&gt;=Personnel!$E$9:$E$100)*((Personnel!$K$9:$K$100="")+(26&lt;=Personnel!$K$9:$K$100)&gt;0)*Personnel!$D$9:$D$100*(1-Personnel!$I$9:$I$100))))*Escalation!$B$27,Actuals!AE83)</f>
        <v>-56355</v>
      </c>
      <c r="AE263" s="21" t="n">
        <f aca="false">IF(ISBLANK(Actuals!AF83),(-(SUMPRODUCT((Personnel!$O$9:$O$100="SP-Payroll")*(Personnel!$G$9:$G$100="Yes")*(27&gt;=Personnel!$E$9:$E$100)*((Personnel!$K$9:$K$100="")+(27&lt;=Personnel!$K$9:$K$100)&gt;0)*Personnel!$D$9:$D$100*(1-Personnel!$I$9:$I$100))))*Escalation!$B$28,Actuals!AF83)</f>
        <v>-56355</v>
      </c>
      <c r="AF263" s="21" t="n">
        <f aca="false">IF(ISBLANK(Actuals!AG83),(-(SUMPRODUCT((Personnel!$O$9:$O$100="SP-Payroll")*(Personnel!$G$9:$G$100="Yes")*(28&gt;=Personnel!$E$9:$E$100)*((Personnel!$K$9:$K$100="")+(28&lt;=Personnel!$K$9:$K$100)&gt;0)*Personnel!$D$9:$D$100*(1-Personnel!$I$9:$I$100))))*Escalation!$B$29,Actuals!AG83)</f>
        <v>-56355</v>
      </c>
      <c r="AG263" s="21" t="n">
        <f aca="false">IF(ISBLANK(Actuals!AH83),(-(SUMPRODUCT((Personnel!$O$9:$O$100="SP-Payroll")*(Personnel!$G$9:$G$100="Yes")*(29&gt;=Personnel!$E$9:$E$100)*((Personnel!$K$9:$K$100="")+(29&lt;=Personnel!$K$9:$K$100)&gt;0)*Personnel!$D$9:$D$100*(1-Personnel!$I$9:$I$100))))*Escalation!$B$30,Actuals!AH83)</f>
        <v>-56355</v>
      </c>
      <c r="AH263" s="21" t="n">
        <f aca="false">IF(ISBLANK(Actuals!AI83),(-(SUMPRODUCT((Personnel!$O$9:$O$100="SP-Payroll")*(Personnel!$G$9:$G$100="Yes")*(30&gt;=Personnel!$E$9:$E$100)*((Personnel!$K$9:$K$100="")+(30&lt;=Personnel!$K$9:$K$100)&gt;0)*Personnel!$D$9:$D$100*(1-Personnel!$I$9:$I$100))))*Escalation!$B$31,Actuals!AI83)</f>
        <v>-56355</v>
      </c>
      <c r="AI263" s="21" t="n">
        <f aca="false">IF(ISBLANK(Actuals!AJ83),(-(SUMPRODUCT((Personnel!$O$9:$O$100="SP-Payroll")*(Personnel!$G$9:$G$100="Yes")*(31&gt;=Personnel!$E$9:$E$100)*((Personnel!$K$9:$K$100="")+(31&lt;=Personnel!$K$9:$K$100)&gt;0)*Personnel!$D$9:$D$100*(1-Personnel!$I$9:$I$100))))*Escalation!$B$32,Actuals!AJ83)</f>
        <v>-56355</v>
      </c>
      <c r="AJ263" s="21" t="n">
        <f aca="false">IF(ISBLANK(Actuals!AK83),(-(SUMPRODUCT((Personnel!$O$9:$O$100="SP-Payroll")*(Personnel!$G$9:$G$100="Yes")*(32&gt;=Personnel!$E$9:$E$100)*((Personnel!$K$9:$K$100="")+(32&lt;=Personnel!$K$9:$K$100)&gt;0)*Personnel!$D$9:$D$100*(1-Personnel!$I$9:$I$100))))*Escalation!$B$33,Actuals!AK83)</f>
        <v>-56355</v>
      </c>
      <c r="AK263" s="21" t="n">
        <f aca="false">IF(ISBLANK(Actuals!AL83),(-(SUMPRODUCT((Personnel!$O$9:$O$100="SP-Payroll")*(Personnel!$G$9:$G$100="Yes")*(33&gt;=Personnel!$E$9:$E$100)*((Personnel!$K$9:$K$100="")+(33&lt;=Personnel!$K$9:$K$100)&gt;0)*Personnel!$D$9:$D$100*(1-Personnel!$I$9:$I$100))))*Escalation!$B$34,Actuals!AL83)</f>
        <v>-56355</v>
      </c>
      <c r="AL263" s="21" t="n">
        <f aca="false">IF(ISBLANK(Actuals!AM83),(-(SUMPRODUCT((Personnel!$O$9:$O$100="SP-Payroll")*(Personnel!$G$9:$G$100="Yes")*(34&gt;=Personnel!$E$9:$E$100)*((Personnel!$K$9:$K$100="")+(34&lt;=Personnel!$K$9:$K$100)&gt;0)*Personnel!$D$9:$D$100*(1-Personnel!$I$9:$I$100))))*Escalation!$B$35,Actuals!AM83)</f>
        <v>-56355</v>
      </c>
      <c r="AM263" s="21" t="n">
        <f aca="false">IF(ISBLANK(Actuals!AN83),(-(SUMPRODUCT((Personnel!$O$9:$O$100="SP-Payroll")*(Personnel!$G$9:$G$100="Yes")*(35&gt;=Personnel!$E$9:$E$100)*((Personnel!$K$9:$K$100="")+(35&lt;=Personnel!$K$9:$K$100)&gt;0)*Personnel!$D$9:$D$100*(1-Personnel!$I$9:$I$100))))*Escalation!$B$36,Actuals!AN83)</f>
        <v>-56355</v>
      </c>
      <c r="AN263" s="21" t="n">
        <f aca="false">IF(ISBLANK(Actuals!AO83),(-(SUMPRODUCT((Personnel!$O$9:$O$100="SP-Payroll")*(Personnel!$G$9:$G$100="Yes")*(36&gt;=Personnel!$E$9:$E$100)*((Personnel!$K$9:$K$100="")+(36&lt;=Personnel!$K$9:$K$100)&gt;0)*Personnel!$D$9:$D$100*(1-Personnel!$I$9:$I$100))))*Escalation!$B$37,Actuals!AO83)</f>
        <v>-56355</v>
      </c>
      <c r="AO263" s="21" t="n">
        <f aca="false">IF(ISBLANK(Actuals!AP83),(-(SUMPRODUCT((Personnel!$O$9:$O$100="SP-Payroll")*(Personnel!$G$9:$G$100="Yes")*(37&gt;=Personnel!$E$9:$E$100)*((Personnel!$K$9:$K$100="")+(37&lt;=Personnel!$K$9:$K$100)&gt;0)*Personnel!$D$9:$D$100*(1-Personnel!$I$9:$I$100))))*Escalation!$B$38,Actuals!AP83)</f>
        <v>-57482.1</v>
      </c>
      <c r="AP263" s="21" t="n">
        <f aca="false">IF(ISBLANK(Actuals!AQ83),(-(SUMPRODUCT((Personnel!$O$9:$O$100="SP-Payroll")*(Personnel!$G$9:$G$100="Yes")*(38&gt;=Personnel!$E$9:$E$100)*((Personnel!$K$9:$K$100="")+(38&lt;=Personnel!$K$9:$K$100)&gt;0)*Personnel!$D$9:$D$100*(1-Personnel!$I$9:$I$100))))*Escalation!$B$39,Actuals!AQ83)</f>
        <v>-57482.1</v>
      </c>
      <c r="AQ263" s="21" t="n">
        <f aca="false">IF(ISBLANK(Actuals!AR83),(-(SUMPRODUCT((Personnel!$O$9:$O$100="SP-Payroll")*(Personnel!$G$9:$G$100="Yes")*(39&gt;=Personnel!$E$9:$E$100)*((Personnel!$K$9:$K$100="")+(39&lt;=Personnel!$K$9:$K$100)&gt;0)*Personnel!$D$9:$D$100*(1-Personnel!$I$9:$I$100))))*Escalation!$B$40,Actuals!AR83)</f>
        <v>-57482.1</v>
      </c>
      <c r="AR263" s="21" t="n">
        <f aca="false">IF(ISBLANK(Actuals!AS83),(-(SUMPRODUCT((Personnel!$O$9:$O$100="SP-Payroll")*(Personnel!$G$9:$G$100="Yes")*(40&gt;=Personnel!$E$9:$E$100)*((Personnel!$K$9:$K$100="")+(40&lt;=Personnel!$K$9:$K$100)&gt;0)*Personnel!$D$9:$D$100*(1-Personnel!$I$9:$I$100))))*Escalation!$B$41,Actuals!AS83)</f>
        <v>-57482.1</v>
      </c>
      <c r="AS263" s="21" t="n">
        <f aca="false">IF(ISBLANK(Actuals!AT83),(-(SUMPRODUCT((Personnel!$O$9:$O$100="SP-Payroll")*(Personnel!$G$9:$G$100="Yes")*(41&gt;=Personnel!$E$9:$E$100)*((Personnel!$K$9:$K$100="")+(41&lt;=Personnel!$K$9:$K$100)&gt;0)*Personnel!$D$9:$D$100*(1-Personnel!$I$9:$I$100))))*Escalation!$B$42,Actuals!AT83)</f>
        <v>-57482.1</v>
      </c>
      <c r="AT263" s="21" t="n">
        <f aca="false">IF(ISBLANK(Actuals!AU83),(-(SUMPRODUCT((Personnel!$O$9:$O$100="SP-Payroll")*(Personnel!$G$9:$G$100="Yes")*(42&gt;=Personnel!$E$9:$E$100)*((Personnel!$K$9:$K$100="")+(42&lt;=Personnel!$K$9:$K$100)&gt;0)*Personnel!$D$9:$D$100*(1-Personnel!$I$9:$I$100))))*Escalation!$B$43,Actuals!AU83)</f>
        <v>-57482.1</v>
      </c>
      <c r="AU263" s="21" t="n">
        <f aca="false">IF(ISBLANK(Actuals!AV83),(-(SUMPRODUCT((Personnel!$O$9:$O$100="SP-Payroll")*(Personnel!$G$9:$G$100="Yes")*(43&gt;=Personnel!$E$9:$E$100)*((Personnel!$K$9:$K$100="")+(43&lt;=Personnel!$K$9:$K$100)&gt;0)*Personnel!$D$9:$D$100*(1-Personnel!$I$9:$I$100))))*Escalation!$B$44,Actuals!AV83)</f>
        <v>-57482.1</v>
      </c>
      <c r="AV263" s="21" t="n">
        <f aca="false">IF(ISBLANK(Actuals!AW83),(-(SUMPRODUCT((Personnel!$O$9:$O$100="SP-Payroll")*(Personnel!$G$9:$G$100="Yes")*(44&gt;=Personnel!$E$9:$E$100)*((Personnel!$K$9:$K$100="")+(44&lt;=Personnel!$K$9:$K$100)&gt;0)*Personnel!$D$9:$D$100*(1-Personnel!$I$9:$I$100))))*Escalation!$B$45,Actuals!AW83)</f>
        <v>-57482.1</v>
      </c>
      <c r="AW263" s="21" t="n">
        <f aca="false">IF(ISBLANK(Actuals!AX83),(-(SUMPRODUCT((Personnel!$O$9:$O$100="SP-Payroll")*(Personnel!$G$9:$G$100="Yes")*(45&gt;=Personnel!$E$9:$E$100)*((Personnel!$K$9:$K$100="")+(45&lt;=Personnel!$K$9:$K$100)&gt;0)*Personnel!$D$9:$D$100*(1-Personnel!$I$9:$I$100))))*Escalation!$B$46,Actuals!AX83)</f>
        <v>-57482.1</v>
      </c>
      <c r="AX263" s="21" t="n">
        <f aca="false">IF(ISBLANK(Actuals!AY83),(-(SUMPRODUCT((Personnel!$O$9:$O$100="SP-Payroll")*(Personnel!$G$9:$G$100="Yes")*(46&gt;=Personnel!$E$9:$E$100)*((Personnel!$K$9:$K$100="")+(46&lt;=Personnel!$K$9:$K$100)&gt;0)*Personnel!$D$9:$D$100*(1-Personnel!$I$9:$I$100))))*Escalation!$B$47,Actuals!AY83)</f>
        <v>-57482.1</v>
      </c>
      <c r="AY263" s="21" t="n">
        <f aca="false">IF(ISBLANK(Actuals!AZ83),(-(SUMPRODUCT((Personnel!$O$9:$O$100="SP-Payroll")*(Personnel!$G$9:$G$100="Yes")*(47&gt;=Personnel!$E$9:$E$100)*((Personnel!$K$9:$K$100="")+(47&lt;=Personnel!$K$9:$K$100)&gt;0)*Personnel!$D$9:$D$100*(1-Personnel!$I$9:$I$100))))*Escalation!$B$48,Actuals!AZ83)</f>
        <v>-57482.1</v>
      </c>
      <c r="AZ263" s="21" t="n">
        <f aca="false">IF(ISBLANK(Actuals!BA83),(-(SUMPRODUCT((Personnel!$O$9:$O$100="SP-Payroll")*(Personnel!$G$9:$G$100="Yes")*(48&gt;=Personnel!$E$9:$E$100)*((Personnel!$K$9:$K$100="")+(48&lt;=Personnel!$K$9:$K$100)&gt;0)*Personnel!$D$9:$D$100*(1-Personnel!$I$9:$I$100))))*Escalation!$B$49,Actuals!BA83)</f>
        <v>-57482.1</v>
      </c>
      <c r="BA263" s="21" t="n">
        <f aca="false">IF(ISBLANK(Actuals!BB83),(-(SUMPRODUCT((Personnel!$O$9:$O$100="SP-Payroll")*(Personnel!$G$9:$G$100="Yes")*(49&gt;=Personnel!$E$9:$E$100)*((Personnel!$K$9:$K$100="")+(49&lt;=Personnel!$K$9:$K$100)&gt;0)*Personnel!$D$9:$D$100*(1-Personnel!$I$9:$I$100))))*Escalation!$B$50,Actuals!BB83)</f>
        <v>-58631.742</v>
      </c>
      <c r="BB263" s="21" t="n">
        <f aca="false">IF(ISBLANK(Actuals!BC83),(-(SUMPRODUCT((Personnel!$O$9:$O$100="SP-Payroll")*(Personnel!$G$9:$G$100="Yes")*(50&gt;=Personnel!$E$9:$E$100)*((Personnel!$K$9:$K$100="")+(50&lt;=Personnel!$K$9:$K$100)&gt;0)*Personnel!$D$9:$D$100*(1-Personnel!$I$9:$I$100))))*Escalation!$B$51,Actuals!BC83)</f>
        <v>-58631.742</v>
      </c>
      <c r="BC263" s="21" t="n">
        <f aca="false">IF(ISBLANK(Actuals!BD83),(-(SUMPRODUCT((Personnel!$O$9:$O$100="SP-Payroll")*(Personnel!$G$9:$G$100="Yes")*(51&gt;=Personnel!$E$9:$E$100)*((Personnel!$K$9:$K$100="")+(51&lt;=Personnel!$K$9:$K$100)&gt;0)*Personnel!$D$9:$D$100*(1-Personnel!$I$9:$I$100))))*Escalation!$B$52,Actuals!BD83)</f>
        <v>-58631.742</v>
      </c>
      <c r="BD263" s="21" t="n">
        <f aca="false">IF(ISBLANK(Actuals!BE83),(-(SUMPRODUCT((Personnel!$O$9:$O$100="SP-Payroll")*(Personnel!$G$9:$G$100="Yes")*(52&gt;=Personnel!$E$9:$E$100)*((Personnel!$K$9:$K$100="")+(52&lt;=Personnel!$K$9:$K$100)&gt;0)*Personnel!$D$9:$D$100*(1-Personnel!$I$9:$I$100))))*Escalation!$B$53,Actuals!BE83)</f>
        <v>-58631.742</v>
      </c>
      <c r="BE263" s="21" t="n">
        <f aca="false">IF(ISBLANK(Actuals!BF83),(-(SUMPRODUCT((Personnel!$O$9:$O$100="SP-Payroll")*(Personnel!$G$9:$G$100="Yes")*(53&gt;=Personnel!$E$9:$E$100)*((Personnel!$K$9:$K$100="")+(53&lt;=Personnel!$K$9:$K$100)&gt;0)*Personnel!$D$9:$D$100*(1-Personnel!$I$9:$I$100))))*Escalation!$B$54,Actuals!BF83)</f>
        <v>-58631.742</v>
      </c>
      <c r="BF263" s="21" t="n">
        <f aca="false">IF(ISBLANK(Actuals!BG83),(-(SUMPRODUCT((Personnel!$O$9:$O$100="SP-Payroll")*(Personnel!$G$9:$G$100="Yes")*(54&gt;=Personnel!$E$9:$E$100)*((Personnel!$K$9:$K$100="")+(54&lt;=Personnel!$K$9:$K$100)&gt;0)*Personnel!$D$9:$D$100*(1-Personnel!$I$9:$I$100))))*Escalation!$B$55,Actuals!BG83)</f>
        <v>-58631.742</v>
      </c>
      <c r="BG263" s="21" t="n">
        <f aca="false">IF(ISBLANK(Actuals!BH83),(-(SUMPRODUCT((Personnel!$O$9:$O$100="SP-Payroll")*(Personnel!$G$9:$G$100="Yes")*(55&gt;=Personnel!$E$9:$E$100)*((Personnel!$K$9:$K$100="")+(55&lt;=Personnel!$K$9:$K$100)&gt;0)*Personnel!$D$9:$D$100*(1-Personnel!$I$9:$I$100))))*Escalation!$B$56,Actuals!BH83)</f>
        <v>-58631.742</v>
      </c>
      <c r="BH263" s="21" t="n">
        <f aca="false">IF(ISBLANK(Actuals!BI83),(-(SUMPRODUCT((Personnel!$O$9:$O$100="SP-Payroll")*(Personnel!$G$9:$G$100="Yes")*(56&gt;=Personnel!$E$9:$E$100)*((Personnel!$K$9:$K$100="")+(56&lt;=Personnel!$K$9:$K$100)&gt;0)*Personnel!$D$9:$D$100*(1-Personnel!$I$9:$I$100))))*Escalation!$B$57,Actuals!BI83)</f>
        <v>-58631.742</v>
      </c>
      <c r="BI263" s="21" t="n">
        <f aca="false">IF(ISBLANK(Actuals!BJ83),(-(SUMPRODUCT((Personnel!$O$9:$O$100="SP-Payroll")*(Personnel!$G$9:$G$100="Yes")*(57&gt;=Personnel!$E$9:$E$100)*((Personnel!$K$9:$K$100="")+(57&lt;=Personnel!$K$9:$K$100)&gt;0)*Personnel!$D$9:$D$100*(1-Personnel!$I$9:$I$100))))*Escalation!$B$58,Actuals!BJ83)</f>
        <v>-58631.742</v>
      </c>
      <c r="BJ263" s="21" t="n">
        <f aca="false">IF(ISBLANK(Actuals!BK83),(-(SUMPRODUCT((Personnel!$O$9:$O$100="SP-Payroll")*(Personnel!$G$9:$G$100="Yes")*(58&gt;=Personnel!$E$9:$E$100)*((Personnel!$K$9:$K$100="")+(58&lt;=Personnel!$K$9:$K$100)&gt;0)*Personnel!$D$9:$D$100*(1-Personnel!$I$9:$I$100))))*Escalation!$B$59,Actuals!BK83)</f>
        <v>-58631.742</v>
      </c>
      <c r="BK263" s="21" t="n">
        <f aca="false">IF(ISBLANK(Actuals!BL83),(-(SUMPRODUCT((Personnel!$O$9:$O$100="SP-Payroll")*(Personnel!$G$9:$G$100="Yes")*(59&gt;=Personnel!$E$9:$E$100)*((Personnel!$K$9:$K$100="")+(59&lt;=Personnel!$K$9:$K$100)&gt;0)*Personnel!$D$9:$D$100*(1-Personnel!$I$9:$I$100))))*Escalation!$B$60,Actuals!BL83)</f>
        <v>-58631.742</v>
      </c>
      <c r="BL263" s="21" t="n">
        <f aca="false">IF(ISBLANK(Actuals!BM83),(-(SUMPRODUCT((Personnel!$O$9:$O$100="SP-Payroll")*(Personnel!$G$9:$G$100="Yes")*(60&gt;=Personnel!$E$9:$E$100)*((Personnel!$K$9:$K$100="")+(60&lt;=Personnel!$K$9:$K$100)&gt;0)*Personnel!$D$9:$D$100*(1-Personnel!$I$9:$I$100))))*Escalation!$B$61,Actuals!BM83)</f>
        <v>-58631.742</v>
      </c>
      <c r="BM263" s="21" t="n">
        <f aca="false">IF(ISBLANK(Actuals!BN83),(-(SUMPRODUCT((Personnel!$O$9:$O$100="SP-Payroll")*(Personnel!$G$9:$G$100="Yes")*(61&gt;=Personnel!$E$9:$E$100)*((Personnel!$K$9:$K$100="")+(61&lt;=Personnel!$K$9:$K$100)&gt;0)*Personnel!$D$9:$D$100*(1-Personnel!$I$9:$I$100))))*Escalation!$B$62,Actuals!BN83)</f>
        <v>-59804.37684</v>
      </c>
      <c r="BN263" s="21" t="n">
        <f aca="false">IF(ISBLANK(Actuals!BO83),(-(SUMPRODUCT((Personnel!$O$9:$O$100="SP-Payroll")*(Personnel!$G$9:$G$100="Yes")*(62&gt;=Personnel!$E$9:$E$100)*((Personnel!$K$9:$K$100="")+(62&lt;=Personnel!$K$9:$K$100)&gt;0)*Personnel!$D$9:$D$100*(1-Personnel!$I$9:$I$100))))*Escalation!$B$63,Actuals!BO83)</f>
        <v>-59804.37684</v>
      </c>
      <c r="BO263" s="21" t="n">
        <f aca="false">IF(ISBLANK(Actuals!BP83),(-(SUMPRODUCT((Personnel!$O$9:$O$100="SP-Payroll")*(Personnel!$G$9:$G$100="Yes")*(63&gt;=Personnel!$E$9:$E$100)*((Personnel!$K$9:$K$100="")+(63&lt;=Personnel!$K$9:$K$100)&gt;0)*Personnel!$D$9:$D$100*(1-Personnel!$I$9:$I$100))))*Escalation!$B$64,Actuals!BP83)</f>
        <v>-59804.37684</v>
      </c>
      <c r="BP263" s="21" t="n">
        <f aca="false">IF(ISBLANK(Actuals!BQ83),(-(SUMPRODUCT((Personnel!$O$9:$O$100="SP-Payroll")*(Personnel!$G$9:$G$100="Yes")*(64&gt;=Personnel!$E$9:$E$100)*((Personnel!$K$9:$K$100="")+(64&lt;=Personnel!$K$9:$K$100)&gt;0)*Personnel!$D$9:$D$100*(1-Personnel!$I$9:$I$100))))*Escalation!$B$65,Actuals!BQ83)</f>
        <v>-59804.37684</v>
      </c>
      <c r="BQ263" s="21" t="n">
        <f aca="false">IF(ISBLANK(Actuals!BR83),(-(SUMPRODUCT((Personnel!$O$9:$O$100="SP-Payroll")*(Personnel!$G$9:$G$100="Yes")*(65&gt;=Personnel!$E$9:$E$100)*((Personnel!$K$9:$K$100="")+(65&lt;=Personnel!$K$9:$K$100)&gt;0)*Personnel!$D$9:$D$100*(1-Personnel!$I$9:$I$100))))*Escalation!$B$66,Actuals!BR83)</f>
        <v>-59804.37684</v>
      </c>
      <c r="BR263" s="21" t="n">
        <f aca="false">IF(ISBLANK(Actuals!BS83),(-(SUMPRODUCT((Personnel!$O$9:$O$100="SP-Payroll")*(Personnel!$G$9:$G$100="Yes")*(66&gt;=Personnel!$E$9:$E$100)*((Personnel!$K$9:$K$100="")+(66&lt;=Personnel!$K$9:$K$100)&gt;0)*Personnel!$D$9:$D$100*(1-Personnel!$I$9:$I$100))))*Escalation!$B$67,Actuals!BS83)</f>
        <v>-59804.37684</v>
      </c>
      <c r="BS263" s="21" t="n">
        <f aca="false">IF(ISBLANK(Actuals!BT83),(-(SUMPRODUCT((Personnel!$O$9:$O$100="SP-Payroll")*(Personnel!$G$9:$G$100="Yes")*(67&gt;=Personnel!$E$9:$E$100)*((Personnel!$K$9:$K$100="")+(67&lt;=Personnel!$K$9:$K$100)&gt;0)*Personnel!$D$9:$D$100*(1-Personnel!$I$9:$I$100))))*Escalation!$B$68,Actuals!BT83)</f>
        <v>-59804.37684</v>
      </c>
      <c r="BT263" s="21" t="n">
        <f aca="false">IF(ISBLANK(Actuals!BU83),(-(SUMPRODUCT((Personnel!$O$9:$O$100="SP-Payroll")*(Personnel!$G$9:$G$100="Yes")*(68&gt;=Personnel!$E$9:$E$100)*((Personnel!$K$9:$K$100="")+(68&lt;=Personnel!$K$9:$K$100)&gt;0)*Personnel!$D$9:$D$100*(1-Personnel!$I$9:$I$100))))*Escalation!$B$69,Actuals!BU83)</f>
        <v>-59804.37684</v>
      </c>
      <c r="BU263" s="21" t="n">
        <f aca="false">IF(ISBLANK(Actuals!BV83),(-(SUMPRODUCT((Personnel!$O$9:$O$100="SP-Payroll")*(Personnel!$G$9:$G$100="Yes")*(69&gt;=Personnel!$E$9:$E$100)*((Personnel!$K$9:$K$100="")+(69&lt;=Personnel!$K$9:$K$100)&gt;0)*Personnel!$D$9:$D$100*(1-Personnel!$I$9:$I$100))))*Escalation!$B$70,Actuals!BV83)</f>
        <v>-59804.37684</v>
      </c>
      <c r="BV263" s="21" t="n">
        <f aca="false">IF(ISBLANK(Actuals!BW83),(-(SUMPRODUCT((Personnel!$O$9:$O$100="SP-Payroll")*(Personnel!$G$9:$G$100="Yes")*(70&gt;=Personnel!$E$9:$E$100)*((Personnel!$K$9:$K$100="")+(70&lt;=Personnel!$K$9:$K$100)&gt;0)*Personnel!$D$9:$D$100*(1-Personnel!$I$9:$I$100))))*Escalation!$B$71,Actuals!BW83)</f>
        <v>-59804.37684</v>
      </c>
      <c r="BW263" s="21" t="n">
        <f aca="false">IF(ISBLANK(Actuals!BX83),(-(SUMPRODUCT((Personnel!$O$9:$O$100="SP-Payroll")*(Personnel!$G$9:$G$100="Yes")*(71&gt;=Personnel!$E$9:$E$100)*((Personnel!$K$9:$K$100="")+(71&lt;=Personnel!$K$9:$K$100)&gt;0)*Personnel!$D$9:$D$100*(1-Personnel!$I$9:$I$100))))*Escalation!$B$72,Actuals!BX83)</f>
        <v>-59804.37684</v>
      </c>
      <c r="BX263" s="21" t="n">
        <f aca="false">IF(ISBLANK(Actuals!BY83),(-(SUMPRODUCT((Personnel!$O$9:$O$100="SP-Payroll")*(Personnel!$G$9:$G$100="Yes")*(72&gt;=Personnel!$E$9:$E$100)*((Personnel!$K$9:$K$100="")+(72&lt;=Personnel!$K$9:$K$100)&gt;0)*Personnel!$D$9:$D$100*(1-Personnel!$I$9:$I$100))))*Escalation!$B$73,Actuals!BY83)</f>
        <v>-59804.37684</v>
      </c>
      <c r="BY263" s="21" t="n">
        <f aca="false">IF(ISBLANK(Actuals!BZ83),(-(SUMPRODUCT((Personnel!$O$9:$O$100="SP-Payroll")*(Personnel!$G$9:$G$100="Yes")*(73&gt;=Personnel!$E$9:$E$100)*((Personnel!$K$9:$K$100="")+(73&lt;=Personnel!$K$9:$K$100)&gt;0)*Personnel!$D$9:$D$100*(1-Personnel!$I$9:$I$100))))*Escalation!$B$74,Actuals!BZ83)</f>
        <v>-61000.4643768</v>
      </c>
      <c r="BZ263" s="21" t="n">
        <f aca="false">IF(ISBLANK(Actuals!CA83),(-(SUMPRODUCT((Personnel!$O$9:$O$100="SP-Payroll")*(Personnel!$G$9:$G$100="Yes")*(74&gt;=Personnel!$E$9:$E$100)*((Personnel!$K$9:$K$100="")+(74&lt;=Personnel!$K$9:$K$100)&gt;0)*Personnel!$D$9:$D$100*(1-Personnel!$I$9:$I$100))))*Escalation!$B$75,Actuals!CA83)</f>
        <v>-61000.4643768</v>
      </c>
      <c r="CA263" s="21" t="n">
        <f aca="false">IF(ISBLANK(Actuals!CB83),(-(SUMPRODUCT((Personnel!$O$9:$O$100="SP-Payroll")*(Personnel!$G$9:$G$100="Yes")*(75&gt;=Personnel!$E$9:$E$100)*((Personnel!$K$9:$K$100="")+(75&lt;=Personnel!$K$9:$K$100)&gt;0)*Personnel!$D$9:$D$100*(1-Personnel!$I$9:$I$100))))*Escalation!$B$76,Actuals!CB83)</f>
        <v>-61000.4643768</v>
      </c>
      <c r="CB263" s="21" t="n">
        <f aca="false">IF(ISBLANK(Actuals!CC83),(-(SUMPRODUCT((Personnel!$O$9:$O$100="SP-Payroll")*(Personnel!$G$9:$G$100="Yes")*(76&gt;=Personnel!$E$9:$E$100)*((Personnel!$K$9:$K$100="")+(76&lt;=Personnel!$K$9:$K$100)&gt;0)*Personnel!$D$9:$D$100*(1-Personnel!$I$9:$I$100))))*Escalation!$B$77,Actuals!CC83)</f>
        <v>-61000.4643768</v>
      </c>
      <c r="CC263" s="21" t="n">
        <f aca="false">IF(ISBLANK(Actuals!CD83),(-(SUMPRODUCT((Personnel!$O$9:$O$100="SP-Payroll")*(Personnel!$G$9:$G$100="Yes")*(77&gt;=Personnel!$E$9:$E$100)*((Personnel!$K$9:$K$100="")+(77&lt;=Personnel!$K$9:$K$100)&gt;0)*Personnel!$D$9:$D$100*(1-Personnel!$I$9:$I$100))))*Escalation!$B$78,Actuals!CD83)</f>
        <v>-61000.4643768</v>
      </c>
      <c r="CD263" s="21" t="n">
        <f aca="false">IF(ISBLANK(Actuals!CE83),(-(SUMPRODUCT((Personnel!$O$9:$O$100="SP-Payroll")*(Personnel!$G$9:$G$100="Yes")*(78&gt;=Personnel!$E$9:$E$100)*((Personnel!$K$9:$K$100="")+(78&lt;=Personnel!$K$9:$K$100)&gt;0)*Personnel!$D$9:$D$100*(1-Personnel!$I$9:$I$100))))*Escalation!$B$79,Actuals!CE83)</f>
        <v>-61000.4643768</v>
      </c>
      <c r="CE263" s="21" t="n">
        <f aca="false">IF(ISBLANK(Actuals!CF83),(-(SUMPRODUCT((Personnel!$O$9:$O$100="SP-Payroll")*(Personnel!$G$9:$G$100="Yes")*(79&gt;=Personnel!$E$9:$E$100)*((Personnel!$K$9:$K$100="")+(79&lt;=Personnel!$K$9:$K$100)&gt;0)*Personnel!$D$9:$D$100*(1-Personnel!$I$9:$I$100))))*Escalation!$B$80,Actuals!CF83)</f>
        <v>-61000.4643768</v>
      </c>
      <c r="CF263" s="21" t="n">
        <f aca="false">IF(ISBLANK(Actuals!CG83),(-(SUMPRODUCT((Personnel!$O$9:$O$100="SP-Payroll")*(Personnel!$G$9:$G$100="Yes")*(80&gt;=Personnel!$E$9:$E$100)*((Personnel!$K$9:$K$100="")+(80&lt;=Personnel!$K$9:$K$100)&gt;0)*Personnel!$D$9:$D$100*(1-Personnel!$I$9:$I$100))))*Escalation!$B$81,Actuals!CG83)</f>
        <v>-61000.4643768</v>
      </c>
      <c r="CG263" s="21" t="n">
        <f aca="false">IF(ISBLANK(Actuals!CH83),(-(SUMPRODUCT((Personnel!$O$9:$O$100="SP-Payroll")*(Personnel!$G$9:$G$100="Yes")*(81&gt;=Personnel!$E$9:$E$100)*((Personnel!$K$9:$K$100="")+(81&lt;=Personnel!$K$9:$K$100)&gt;0)*Personnel!$D$9:$D$100*(1-Personnel!$I$9:$I$100))))*Escalation!$B$82,Actuals!CH83)</f>
        <v>-61000.4643768</v>
      </c>
      <c r="CH263" s="21" t="n">
        <f aca="false">IF(ISBLANK(Actuals!CI83),(-(SUMPRODUCT((Personnel!$O$9:$O$100="SP-Payroll")*(Personnel!$G$9:$G$100="Yes")*(82&gt;=Personnel!$E$9:$E$100)*((Personnel!$K$9:$K$100="")+(82&lt;=Personnel!$K$9:$K$100)&gt;0)*Personnel!$D$9:$D$100*(1-Personnel!$I$9:$I$100))))*Escalation!$B$83,Actuals!CI83)</f>
        <v>-61000.4643768</v>
      </c>
      <c r="CI263" s="21" t="n">
        <f aca="false">IF(ISBLANK(Actuals!CJ83),(-(SUMPRODUCT((Personnel!$O$9:$O$100="SP-Payroll")*(Personnel!$G$9:$G$100="Yes")*(83&gt;=Personnel!$E$9:$E$100)*((Personnel!$K$9:$K$100="")+(83&lt;=Personnel!$K$9:$K$100)&gt;0)*Personnel!$D$9:$D$100*(1-Personnel!$I$9:$I$100))))*Escalation!$B$84,Actuals!CJ83)</f>
        <v>-61000.4643768</v>
      </c>
      <c r="CJ263" s="21" t="n">
        <f aca="false">IF(ISBLANK(Actuals!CK83),(-(SUMPRODUCT((Personnel!$O$9:$O$100="SP-Payroll")*(Personnel!$G$9:$G$100="Yes")*(84&gt;=Personnel!$E$9:$E$100)*((Personnel!$K$9:$K$100="")+(84&lt;=Personnel!$K$9:$K$100)&gt;0)*Personnel!$D$9:$D$100*(1-Personnel!$I$9:$I$100))))*Escalation!$B$85,Actuals!CK83)</f>
        <v>-61000.4643768</v>
      </c>
      <c r="CK263" s="21" t="n">
        <f aca="false">IF(ISBLANK(Actuals!CL83),(-(SUMPRODUCT((Personnel!$O$9:$O$100="SP-Payroll")*(Personnel!$G$9:$G$100="Yes")*(85&gt;=Personnel!$E$9:$E$100)*((Personnel!$K$9:$K$100="")+(85&lt;=Personnel!$K$9:$K$100)&gt;0)*Personnel!$D$9:$D$100*(1-Personnel!$I$9:$I$100))))*Escalation!$B$86,Actuals!CL83)</f>
        <v>-62220.473664336</v>
      </c>
      <c r="CL263" s="21" t="n">
        <f aca="false">IF(ISBLANK(Actuals!CM83),(-(SUMPRODUCT((Personnel!$O$9:$O$100="SP-Payroll")*(Personnel!$G$9:$G$100="Yes")*(86&gt;=Personnel!$E$9:$E$100)*((Personnel!$K$9:$K$100="")+(86&lt;=Personnel!$K$9:$K$100)&gt;0)*Personnel!$D$9:$D$100*(1-Personnel!$I$9:$I$100))))*Escalation!$B$87,Actuals!CM83)</f>
        <v>-62220.473664336</v>
      </c>
      <c r="CM263" s="21" t="n">
        <f aca="false">IF(ISBLANK(Actuals!CN83),(-(SUMPRODUCT((Personnel!$O$9:$O$100="SP-Payroll")*(Personnel!$G$9:$G$100="Yes")*(87&gt;=Personnel!$E$9:$E$100)*((Personnel!$K$9:$K$100="")+(87&lt;=Personnel!$K$9:$K$100)&gt;0)*Personnel!$D$9:$D$100*(1-Personnel!$I$9:$I$100))))*Escalation!$B$88,Actuals!CN83)</f>
        <v>-62220.473664336</v>
      </c>
      <c r="CN263" s="21" t="n">
        <f aca="false">IF(ISBLANK(Actuals!CO83),(-(SUMPRODUCT((Personnel!$O$9:$O$100="SP-Payroll")*(Personnel!$G$9:$G$100="Yes")*(88&gt;=Personnel!$E$9:$E$100)*((Personnel!$K$9:$K$100="")+(88&lt;=Personnel!$K$9:$K$100)&gt;0)*Personnel!$D$9:$D$100*(1-Personnel!$I$9:$I$100))))*Escalation!$B$89,Actuals!CO83)</f>
        <v>-62220.473664336</v>
      </c>
      <c r="CO263" s="21" t="n">
        <f aca="false">IF(ISBLANK(Actuals!CP83),(-(SUMPRODUCT((Personnel!$O$9:$O$100="SP-Payroll")*(Personnel!$G$9:$G$100="Yes")*(89&gt;=Personnel!$E$9:$E$100)*((Personnel!$K$9:$K$100="")+(89&lt;=Personnel!$K$9:$K$100)&gt;0)*Personnel!$D$9:$D$100*(1-Personnel!$I$9:$I$100))))*Escalation!$B$90,Actuals!CP83)</f>
        <v>-62220.473664336</v>
      </c>
      <c r="CP263" s="21" t="n">
        <f aca="false">IF(ISBLANK(Actuals!CQ83),(-(SUMPRODUCT((Personnel!$O$9:$O$100="SP-Payroll")*(Personnel!$G$9:$G$100="Yes")*(90&gt;=Personnel!$E$9:$E$100)*((Personnel!$K$9:$K$100="")+(90&lt;=Personnel!$K$9:$K$100)&gt;0)*Personnel!$D$9:$D$100*(1-Personnel!$I$9:$I$100))))*Escalation!$B$91,Actuals!CQ83)</f>
        <v>-62220.473664336</v>
      </c>
      <c r="CQ263" s="21" t="n">
        <f aca="false">IF(ISBLANK(Actuals!CR83),(-(SUMPRODUCT((Personnel!$O$9:$O$100="SP-Payroll")*(Personnel!$G$9:$G$100="Yes")*(91&gt;=Personnel!$E$9:$E$100)*((Personnel!$K$9:$K$100="")+(91&lt;=Personnel!$K$9:$K$100)&gt;0)*Personnel!$D$9:$D$100*(1-Personnel!$I$9:$I$100))))*Escalation!$B$92,Actuals!CR83)</f>
        <v>-62220.473664336</v>
      </c>
      <c r="CR263" s="21" t="n">
        <f aca="false">IF(ISBLANK(Actuals!CS83),(-(SUMPRODUCT((Personnel!$O$9:$O$100="SP-Payroll")*(Personnel!$G$9:$G$100="Yes")*(92&gt;=Personnel!$E$9:$E$100)*((Personnel!$K$9:$K$100="")+(92&lt;=Personnel!$K$9:$K$100)&gt;0)*Personnel!$D$9:$D$100*(1-Personnel!$I$9:$I$100))))*Escalation!$B$93,Actuals!CS83)</f>
        <v>-62220.473664336</v>
      </c>
      <c r="CS263" s="21" t="n">
        <f aca="false">IF(ISBLANK(Actuals!CT83),(-(SUMPRODUCT((Personnel!$O$9:$O$100="SP-Payroll")*(Personnel!$G$9:$G$100="Yes")*(93&gt;=Personnel!$E$9:$E$100)*((Personnel!$K$9:$K$100="")+(93&lt;=Personnel!$K$9:$K$100)&gt;0)*Personnel!$D$9:$D$100*(1-Personnel!$I$9:$I$100))))*Escalation!$B$94,Actuals!CT83)</f>
        <v>-62220.473664336</v>
      </c>
      <c r="CT263" s="21" t="n">
        <f aca="false">IF(ISBLANK(Actuals!CU83),(-(SUMPRODUCT((Personnel!$O$9:$O$100="SP-Payroll")*(Personnel!$G$9:$G$100="Yes")*(94&gt;=Personnel!$E$9:$E$100)*((Personnel!$K$9:$K$100="")+(94&lt;=Personnel!$K$9:$K$100)&gt;0)*Personnel!$D$9:$D$100*(1-Personnel!$I$9:$I$100))))*Escalation!$B$95,Actuals!CU83)</f>
        <v>-62220.473664336</v>
      </c>
      <c r="CU263" s="21" t="n">
        <f aca="false">IF(ISBLANK(Actuals!CV83),(-(SUMPRODUCT((Personnel!$O$9:$O$100="SP-Payroll")*(Personnel!$G$9:$G$100="Yes")*(95&gt;=Personnel!$E$9:$E$100)*((Personnel!$K$9:$K$100="")+(95&lt;=Personnel!$K$9:$K$100)&gt;0)*Personnel!$D$9:$D$100*(1-Personnel!$I$9:$I$100))))*Escalation!$B$96,Actuals!CV83)</f>
        <v>-62220.473664336</v>
      </c>
      <c r="CV263" s="21" t="n">
        <f aca="false">IF(ISBLANK(Actuals!CW83),(-(SUMPRODUCT((Personnel!$O$9:$O$100="SP-Payroll")*(Personnel!$G$9:$G$100="Yes")*(96&gt;=Personnel!$E$9:$E$100)*((Personnel!$K$9:$K$100="")+(96&lt;=Personnel!$K$9:$K$100)&gt;0)*Personnel!$D$9:$D$100*(1-Personnel!$I$9:$I$100))))*Escalation!$B$97,Actuals!CW83)</f>
        <v>-62220.473664336</v>
      </c>
      <c r="CW263" s="21" t="n">
        <f aca="false">IF(ISBLANK(Actuals!CX83),(-(SUMPRODUCT((Personnel!$O$9:$O$100="SP-Payroll")*(Personnel!$G$9:$G$100="Yes")*(97&gt;=Personnel!$E$9:$E$100)*((Personnel!$K$9:$K$100="")+(97&lt;=Personnel!$K$9:$K$100)&gt;0)*Personnel!$D$9:$D$100*(1-Personnel!$I$9:$I$100))))*Escalation!$B$98,Actuals!CX83)</f>
        <v>-63464.8831376227</v>
      </c>
      <c r="CX263" s="21" t="n">
        <f aca="false">IF(ISBLANK(Actuals!CY83),(-(SUMPRODUCT((Personnel!$O$9:$O$100="SP-Payroll")*(Personnel!$G$9:$G$100="Yes")*(98&gt;=Personnel!$E$9:$E$100)*((Personnel!$K$9:$K$100="")+(98&lt;=Personnel!$K$9:$K$100)&gt;0)*Personnel!$D$9:$D$100*(1-Personnel!$I$9:$I$100))))*Escalation!$B$99,Actuals!CY83)</f>
        <v>-63464.8831376227</v>
      </c>
      <c r="CY263" s="21" t="n">
        <f aca="false">IF(ISBLANK(Actuals!CZ83),(-(SUMPRODUCT((Personnel!$O$9:$O$100="SP-Payroll")*(Personnel!$G$9:$G$100="Yes")*(99&gt;=Personnel!$E$9:$E$100)*((Personnel!$K$9:$K$100="")+(99&lt;=Personnel!$K$9:$K$100)&gt;0)*Personnel!$D$9:$D$100*(1-Personnel!$I$9:$I$100))))*Escalation!$B$100,Actuals!CZ83)</f>
        <v>-63464.8831376227</v>
      </c>
      <c r="CZ263" s="21" t="n">
        <f aca="false">IF(ISBLANK(Actuals!DA83),(-(SUMPRODUCT((Personnel!$O$9:$O$100="SP-Payroll")*(Personnel!$G$9:$G$100="Yes")*(100&gt;=Personnel!$E$9:$E$100)*((Personnel!$K$9:$K$100="")+(100&lt;=Personnel!$K$9:$K$100)&gt;0)*Personnel!$D$9:$D$100*(1-Personnel!$I$9:$I$100))))*Escalation!$B$101,Actuals!DA83)</f>
        <v>-63464.8831376227</v>
      </c>
      <c r="DA263" s="21" t="n">
        <f aca="false">IF(ISBLANK(Actuals!DB83),(-(SUMPRODUCT((Personnel!$O$9:$O$100="SP-Payroll")*(Personnel!$G$9:$G$100="Yes")*(101&gt;=Personnel!$E$9:$E$100)*((Personnel!$K$9:$K$100="")+(101&lt;=Personnel!$K$9:$K$100)&gt;0)*Personnel!$D$9:$D$100*(1-Personnel!$I$9:$I$100))))*Escalation!$B$102,Actuals!DB83)</f>
        <v>-63464.8831376227</v>
      </c>
      <c r="DB263" s="21" t="n">
        <f aca="false">IF(ISBLANK(Actuals!DC83),(-(SUMPRODUCT((Personnel!$O$9:$O$100="SP-Payroll")*(Personnel!$G$9:$G$100="Yes")*(102&gt;=Personnel!$E$9:$E$100)*((Personnel!$K$9:$K$100="")+(102&lt;=Personnel!$K$9:$K$100)&gt;0)*Personnel!$D$9:$D$100*(1-Personnel!$I$9:$I$100))))*Escalation!$B$103,Actuals!DC83)</f>
        <v>-63464.8831376227</v>
      </c>
      <c r="DC263" s="21" t="n">
        <f aca="false">IF(ISBLANK(Actuals!DD83),(-(SUMPRODUCT((Personnel!$O$9:$O$100="SP-Payroll")*(Personnel!$G$9:$G$100="Yes")*(103&gt;=Personnel!$E$9:$E$100)*((Personnel!$K$9:$K$100="")+(103&lt;=Personnel!$K$9:$K$100)&gt;0)*Personnel!$D$9:$D$100*(1-Personnel!$I$9:$I$100))))*Escalation!$B$104,Actuals!DD83)</f>
        <v>-63464.8831376227</v>
      </c>
      <c r="DD263" s="21" t="n">
        <f aca="false">IF(ISBLANK(Actuals!DE83),(-(SUMPRODUCT((Personnel!$O$9:$O$100="SP-Payroll")*(Personnel!$G$9:$G$100="Yes")*(104&gt;=Personnel!$E$9:$E$100)*((Personnel!$K$9:$K$100="")+(104&lt;=Personnel!$K$9:$K$100)&gt;0)*Personnel!$D$9:$D$100*(1-Personnel!$I$9:$I$100))))*Escalation!$B$105,Actuals!DE83)</f>
        <v>-63464.8831376227</v>
      </c>
      <c r="DE263" s="21" t="n">
        <f aca="false">IF(ISBLANK(Actuals!DF83),(-(SUMPRODUCT((Personnel!$O$9:$O$100="SP-Payroll")*(Personnel!$G$9:$G$100="Yes")*(105&gt;=Personnel!$E$9:$E$100)*((Personnel!$K$9:$K$100="")+(105&lt;=Personnel!$K$9:$K$100)&gt;0)*Personnel!$D$9:$D$100*(1-Personnel!$I$9:$I$100))))*Escalation!$B$106,Actuals!DF83)</f>
        <v>-63464.8831376227</v>
      </c>
    </row>
    <row r="264" customFormat="false" ht="15" hidden="false" customHeight="true" outlineLevel="0" collapsed="false">
      <c r="A264" s="35" t="s">
        <v>65</v>
      </c>
      <c r="B264" s="21" t="n">
        <f aca="false">IF(ISBLANK(Actuals!C84),0,Actuals!C84)</f>
        <v>-5302</v>
      </c>
      <c r="C264" s="21" t="n">
        <f aca="false">IF(ISBLANK(Actuals!D84),0,Actuals!D84)</f>
        <v>-4279.79</v>
      </c>
      <c r="D264" s="21" t="n">
        <f aca="false">IF(ISBLANK(Actuals!E84),0,Actuals!E84)</f>
        <v>-4145.97</v>
      </c>
      <c r="E264" s="21" t="n">
        <f aca="false">IF(ISBLANK(Actuals!F84),-Helpers!C5*Assumptions!$B$20,Actuals!F84)</f>
        <v>-4145.96</v>
      </c>
      <c r="F264" s="21" t="n">
        <f aca="false">IF(ISBLANK(Actuals!G84),-Helpers!D5*Assumptions!$B$20,Actuals!G84)</f>
        <v>-4145.99</v>
      </c>
      <c r="G264" s="21" t="n">
        <f aca="false">IF(ISBLANK(Actuals!H84),-Helpers!E5*Assumptions!$B$20,Actuals!H84)</f>
        <v>-4145.95</v>
      </c>
      <c r="H264" s="21" t="n">
        <f aca="false">IF(ISBLANK(Actuals!I84),-Helpers!F5*Assumptions!$B$20,Actuals!I84)</f>
        <v>-4145.97</v>
      </c>
      <c r="I264" s="21" t="n">
        <f aca="false">IF(ISBLANK(Actuals!J84),-Helpers!G5*Assumptions!$B$20,Actuals!J84)</f>
        <v>-4145.97</v>
      </c>
      <c r="J264" s="21" t="n">
        <f aca="false">IF(ISBLANK(Actuals!K84),-Helpers!H5*Assumptions!$B$20,Actuals!K84)</f>
        <v>-3791.66666666667</v>
      </c>
      <c r="K264" s="21" t="n">
        <f aca="false">IF(ISBLANK(Actuals!L84),-Helpers!I5*Assumptions!$B$20,Actuals!L84)</f>
        <v>-3791.66666666667</v>
      </c>
      <c r="L264" s="21" t="n">
        <f aca="false">IF(ISBLANK(Actuals!M84),-Helpers!J5*Assumptions!$B$20,Actuals!M84)</f>
        <v>-3791.66666666667</v>
      </c>
      <c r="M264" s="21" t="n">
        <f aca="false">IF(ISBLANK(Actuals!N84),-Helpers!K5*Assumptions!$B$20,Actuals!N84)</f>
        <v>-3791.66666666667</v>
      </c>
      <c r="N264" s="21" t="n">
        <f aca="false">IF(ISBLANK(Actuals!O84),-Helpers!L5*Assumptions!$B$20,Actuals!O84)</f>
        <v>-3791.66666666667</v>
      </c>
      <c r="O264" s="21" t="n">
        <f aca="false">IF(ISBLANK(Actuals!P84),-Helpers!M5*Assumptions!$B$20,Actuals!P84)</f>
        <v>-3791.66666666667</v>
      </c>
      <c r="P264" s="21" t="n">
        <f aca="false">IF(ISBLANK(Actuals!Q84),-Helpers!N5*Assumptions!$B$20,Actuals!Q84)</f>
        <v>-3791.66666666667</v>
      </c>
      <c r="Q264" s="21" t="n">
        <f aca="false">IF(ISBLANK(Actuals!R84),-Helpers!O5*Assumptions!$B$20,Actuals!R84)</f>
        <v>-3867.5</v>
      </c>
      <c r="R264" s="21" t="n">
        <f aca="false">IF(ISBLANK(Actuals!S84),-Helpers!P5*Assumptions!$B$20,Actuals!S84)</f>
        <v>-3867.5</v>
      </c>
      <c r="S264" s="21" t="n">
        <f aca="false">IF(ISBLANK(Actuals!T84),-Helpers!Q5*Assumptions!$B$20,Actuals!T84)</f>
        <v>-3867.5</v>
      </c>
      <c r="T264" s="21" t="n">
        <f aca="false">IF(ISBLANK(Actuals!U84),-Helpers!R5*Assumptions!$B$20,Actuals!U84)</f>
        <v>-3867.5</v>
      </c>
      <c r="U264" s="21" t="n">
        <f aca="false">IF(ISBLANK(Actuals!V84),-Helpers!S5*Assumptions!$B$20,Actuals!V84)</f>
        <v>-3867.5</v>
      </c>
      <c r="V264" s="21" t="n">
        <f aca="false">IF(ISBLANK(Actuals!W84),-Helpers!T5*Assumptions!$B$20,Actuals!W84)</f>
        <v>-3867.5</v>
      </c>
      <c r="W264" s="21" t="n">
        <f aca="false">IF(ISBLANK(Actuals!X84),-Helpers!U5*Assumptions!$B$20,Actuals!X84)</f>
        <v>-3867.5</v>
      </c>
      <c r="X264" s="21" t="n">
        <f aca="false">IF(ISBLANK(Actuals!Y84),-Helpers!V5*Assumptions!$B$20,Actuals!Y84)</f>
        <v>-3867.5</v>
      </c>
      <c r="Y264" s="21" t="n">
        <f aca="false">IF(ISBLANK(Actuals!Z84),-Helpers!W5*Assumptions!$B$20,Actuals!Z84)</f>
        <v>-3867.5</v>
      </c>
      <c r="Z264" s="21" t="n">
        <f aca="false">IF(ISBLANK(Actuals!AA84),-Helpers!X5*Assumptions!$B$20,Actuals!AA84)</f>
        <v>-3867.5</v>
      </c>
      <c r="AA264" s="21" t="n">
        <f aca="false">IF(ISBLANK(Actuals!AB84),-Helpers!Y5*Assumptions!$B$20,Actuals!AB84)</f>
        <v>-3867.5</v>
      </c>
      <c r="AB264" s="21" t="n">
        <f aca="false">IF(ISBLANK(Actuals!AC84),-Helpers!Z5*Assumptions!$B$20,Actuals!AC84)</f>
        <v>-3867.5</v>
      </c>
      <c r="AC264" s="21" t="n">
        <f aca="false">IF(ISBLANK(Actuals!AD84),-Helpers!AA5*Assumptions!$B$20,Actuals!AD84)</f>
        <v>-3944.85</v>
      </c>
      <c r="AD264" s="21" t="n">
        <f aca="false">IF(ISBLANK(Actuals!AE84),-Helpers!AB5*Assumptions!$B$20,Actuals!AE84)</f>
        <v>-3944.85</v>
      </c>
      <c r="AE264" s="21" t="n">
        <f aca="false">IF(ISBLANK(Actuals!AF84),-Helpers!AC5*Assumptions!$B$20,Actuals!AF84)</f>
        <v>-3944.85</v>
      </c>
      <c r="AF264" s="21" t="n">
        <f aca="false">IF(ISBLANK(Actuals!AG84),-Helpers!AD5*Assumptions!$B$20,Actuals!AG84)</f>
        <v>-3944.85</v>
      </c>
      <c r="AG264" s="21" t="n">
        <f aca="false">IF(ISBLANK(Actuals!AH84),-Helpers!AE5*Assumptions!$B$20,Actuals!AH84)</f>
        <v>-3944.85</v>
      </c>
      <c r="AH264" s="21" t="n">
        <f aca="false">IF(ISBLANK(Actuals!AI84),-Helpers!AF5*Assumptions!$B$20,Actuals!AI84)</f>
        <v>-3944.85</v>
      </c>
      <c r="AI264" s="21" t="n">
        <f aca="false">IF(ISBLANK(Actuals!AJ84),-Helpers!AG5*Assumptions!$B$20,Actuals!AJ84)</f>
        <v>-3944.85</v>
      </c>
      <c r="AJ264" s="21" t="n">
        <f aca="false">IF(ISBLANK(Actuals!AK84),-Helpers!AH5*Assumptions!$B$20,Actuals!AK84)</f>
        <v>-3944.85</v>
      </c>
      <c r="AK264" s="21" t="n">
        <f aca="false">IF(ISBLANK(Actuals!AL84),-Helpers!AI5*Assumptions!$B$20,Actuals!AL84)</f>
        <v>-3944.85</v>
      </c>
      <c r="AL264" s="21" t="n">
        <f aca="false">IF(ISBLANK(Actuals!AM84),-Helpers!AJ5*Assumptions!$B$20,Actuals!AM84)</f>
        <v>-3944.85</v>
      </c>
      <c r="AM264" s="21" t="n">
        <f aca="false">IF(ISBLANK(Actuals!AN84),-Helpers!AK5*Assumptions!$B$20,Actuals!AN84)</f>
        <v>-3944.85</v>
      </c>
      <c r="AN264" s="21" t="n">
        <f aca="false">IF(ISBLANK(Actuals!AO84),-Helpers!AL5*Assumptions!$B$20,Actuals!AO84)</f>
        <v>-3944.85</v>
      </c>
      <c r="AO264" s="21" t="n">
        <f aca="false">IF(ISBLANK(Actuals!AP84),-Helpers!AM5*Assumptions!$B$20,Actuals!AP84)</f>
        <v>-4023.747</v>
      </c>
      <c r="AP264" s="21" t="n">
        <f aca="false">IF(ISBLANK(Actuals!AQ84),-Helpers!AN5*Assumptions!$B$20,Actuals!AQ84)</f>
        <v>-4023.747</v>
      </c>
      <c r="AQ264" s="21" t="n">
        <f aca="false">IF(ISBLANK(Actuals!AR84),-Helpers!AO5*Assumptions!$B$20,Actuals!AR84)</f>
        <v>-4023.747</v>
      </c>
      <c r="AR264" s="21" t="n">
        <f aca="false">IF(ISBLANK(Actuals!AS84),-Helpers!AP5*Assumptions!$B$20,Actuals!AS84)</f>
        <v>-4023.747</v>
      </c>
      <c r="AS264" s="21" t="n">
        <f aca="false">IF(ISBLANK(Actuals!AT84),-Helpers!AQ5*Assumptions!$B$20,Actuals!AT84)</f>
        <v>-4023.747</v>
      </c>
      <c r="AT264" s="21" t="n">
        <f aca="false">IF(ISBLANK(Actuals!AU84),-Helpers!AR5*Assumptions!$B$20,Actuals!AU84)</f>
        <v>-4023.747</v>
      </c>
      <c r="AU264" s="21" t="n">
        <f aca="false">IF(ISBLANK(Actuals!AV84),-Helpers!AS5*Assumptions!$B$20,Actuals!AV84)</f>
        <v>-4023.747</v>
      </c>
      <c r="AV264" s="21" t="n">
        <f aca="false">IF(ISBLANK(Actuals!AW84),-Helpers!AT5*Assumptions!$B$20,Actuals!AW84)</f>
        <v>-4023.747</v>
      </c>
      <c r="AW264" s="21" t="n">
        <f aca="false">IF(ISBLANK(Actuals!AX84),-Helpers!AU5*Assumptions!$B$20,Actuals!AX84)</f>
        <v>-4023.747</v>
      </c>
      <c r="AX264" s="21" t="n">
        <f aca="false">IF(ISBLANK(Actuals!AY84),-Helpers!AV5*Assumptions!$B$20,Actuals!AY84)</f>
        <v>-4023.747</v>
      </c>
      <c r="AY264" s="21" t="n">
        <f aca="false">IF(ISBLANK(Actuals!AZ84),-Helpers!AW5*Assumptions!$B$20,Actuals!AZ84)</f>
        <v>-4023.747</v>
      </c>
      <c r="AZ264" s="21" t="n">
        <f aca="false">IF(ISBLANK(Actuals!BA84),-Helpers!AX5*Assumptions!$B$20,Actuals!BA84)</f>
        <v>-4023.747</v>
      </c>
      <c r="BA264" s="21" t="n">
        <f aca="false">IF(ISBLANK(Actuals!BB84),-Helpers!AY5*Assumptions!$B$20,Actuals!BB84)</f>
        <v>-4104.22194</v>
      </c>
      <c r="BB264" s="21" t="n">
        <f aca="false">IF(ISBLANK(Actuals!BC84),-Helpers!AZ5*Assumptions!$B$20,Actuals!BC84)</f>
        <v>-4104.22194</v>
      </c>
      <c r="BC264" s="21" t="n">
        <f aca="false">IF(ISBLANK(Actuals!BD84),-Helpers!BA5*Assumptions!$B$20,Actuals!BD84)</f>
        <v>-4104.22194</v>
      </c>
      <c r="BD264" s="21" t="n">
        <f aca="false">IF(ISBLANK(Actuals!BE84),-Helpers!BB5*Assumptions!$B$20,Actuals!BE84)</f>
        <v>-4104.22194</v>
      </c>
      <c r="BE264" s="21" t="n">
        <f aca="false">IF(ISBLANK(Actuals!BF84),-Helpers!BC5*Assumptions!$B$20,Actuals!BF84)</f>
        <v>-4104.22194</v>
      </c>
      <c r="BF264" s="21" t="n">
        <f aca="false">IF(ISBLANK(Actuals!BG84),-Helpers!BD5*Assumptions!$B$20,Actuals!BG84)</f>
        <v>-4104.22194</v>
      </c>
      <c r="BG264" s="21" t="n">
        <f aca="false">IF(ISBLANK(Actuals!BH84),-Helpers!BE5*Assumptions!$B$20,Actuals!BH84)</f>
        <v>-4104.22194</v>
      </c>
      <c r="BH264" s="21" t="n">
        <f aca="false">IF(ISBLANK(Actuals!BI84),-Helpers!BF5*Assumptions!$B$20,Actuals!BI84)</f>
        <v>-4104.22194</v>
      </c>
      <c r="BI264" s="21" t="n">
        <f aca="false">IF(ISBLANK(Actuals!BJ84),-Helpers!BG5*Assumptions!$B$20,Actuals!BJ84)</f>
        <v>-4104.22194</v>
      </c>
      <c r="BJ264" s="21" t="n">
        <f aca="false">IF(ISBLANK(Actuals!BK84),-Helpers!BH5*Assumptions!$B$20,Actuals!BK84)</f>
        <v>-4104.22194</v>
      </c>
      <c r="BK264" s="21" t="n">
        <f aca="false">IF(ISBLANK(Actuals!BL84),-Helpers!BI5*Assumptions!$B$20,Actuals!BL84)</f>
        <v>-4104.22194</v>
      </c>
      <c r="BL264" s="21" t="n">
        <f aca="false">IF(ISBLANK(Actuals!BM84),-Helpers!BJ5*Assumptions!$B$20,Actuals!BM84)</f>
        <v>-4104.22194</v>
      </c>
      <c r="BM264" s="21" t="n">
        <f aca="false">IF(ISBLANK(Actuals!BN84),-Helpers!BK5*Assumptions!$B$20,Actuals!BN84)</f>
        <v>-4186.3063788</v>
      </c>
      <c r="BN264" s="21" t="n">
        <f aca="false">IF(ISBLANK(Actuals!BO84),-Helpers!BL5*Assumptions!$B$20,Actuals!BO84)</f>
        <v>-4186.3063788</v>
      </c>
      <c r="BO264" s="21" t="n">
        <f aca="false">IF(ISBLANK(Actuals!BP84),-Helpers!BM5*Assumptions!$B$20,Actuals!BP84)</f>
        <v>-4186.3063788</v>
      </c>
      <c r="BP264" s="21" t="n">
        <f aca="false">IF(ISBLANK(Actuals!BQ84),-Helpers!BN5*Assumptions!$B$20,Actuals!BQ84)</f>
        <v>-4186.3063788</v>
      </c>
      <c r="BQ264" s="21" t="n">
        <f aca="false">IF(ISBLANK(Actuals!BR84),-Helpers!BO5*Assumptions!$B$20,Actuals!BR84)</f>
        <v>-4186.3063788</v>
      </c>
      <c r="BR264" s="21" t="n">
        <f aca="false">IF(ISBLANK(Actuals!BS84),-Helpers!BP5*Assumptions!$B$20,Actuals!BS84)</f>
        <v>-4186.3063788</v>
      </c>
      <c r="BS264" s="21" t="n">
        <f aca="false">IF(ISBLANK(Actuals!BT84),-Helpers!BQ5*Assumptions!$B$20,Actuals!BT84)</f>
        <v>-4186.3063788</v>
      </c>
      <c r="BT264" s="21" t="n">
        <f aca="false">IF(ISBLANK(Actuals!BU84),-Helpers!BR5*Assumptions!$B$20,Actuals!BU84)</f>
        <v>-4186.3063788</v>
      </c>
      <c r="BU264" s="21" t="n">
        <f aca="false">IF(ISBLANK(Actuals!BV84),-Helpers!BS5*Assumptions!$B$20,Actuals!BV84)</f>
        <v>-4186.3063788</v>
      </c>
      <c r="BV264" s="21" t="n">
        <f aca="false">IF(ISBLANK(Actuals!BW84),-Helpers!BT5*Assumptions!$B$20,Actuals!BW84)</f>
        <v>-4186.3063788</v>
      </c>
      <c r="BW264" s="21" t="n">
        <f aca="false">IF(ISBLANK(Actuals!BX84),-Helpers!BU5*Assumptions!$B$20,Actuals!BX84)</f>
        <v>-4186.3063788</v>
      </c>
      <c r="BX264" s="21" t="n">
        <f aca="false">IF(ISBLANK(Actuals!BY84),-Helpers!BV5*Assumptions!$B$20,Actuals!BY84)</f>
        <v>-4186.3063788</v>
      </c>
      <c r="BY264" s="21" t="n">
        <f aca="false">IF(ISBLANK(Actuals!BZ84),-Helpers!BW5*Assumptions!$B$20,Actuals!BZ84)</f>
        <v>-4270.032506376</v>
      </c>
      <c r="BZ264" s="21" t="n">
        <f aca="false">IF(ISBLANK(Actuals!CA84),-Helpers!BX5*Assumptions!$B$20,Actuals!CA84)</f>
        <v>-4270.032506376</v>
      </c>
      <c r="CA264" s="21" t="n">
        <f aca="false">IF(ISBLANK(Actuals!CB84),-Helpers!BY5*Assumptions!$B$20,Actuals!CB84)</f>
        <v>-4270.032506376</v>
      </c>
      <c r="CB264" s="21" t="n">
        <f aca="false">IF(ISBLANK(Actuals!CC84),-Helpers!BZ5*Assumptions!$B$20,Actuals!CC84)</f>
        <v>-4270.032506376</v>
      </c>
      <c r="CC264" s="21" t="n">
        <f aca="false">IF(ISBLANK(Actuals!CD84),-Helpers!CA5*Assumptions!$B$20,Actuals!CD84)</f>
        <v>-4270.032506376</v>
      </c>
      <c r="CD264" s="21" t="n">
        <f aca="false">IF(ISBLANK(Actuals!CE84),-Helpers!CB5*Assumptions!$B$20,Actuals!CE84)</f>
        <v>-4270.032506376</v>
      </c>
      <c r="CE264" s="21" t="n">
        <f aca="false">IF(ISBLANK(Actuals!CF84),-Helpers!CC5*Assumptions!$B$20,Actuals!CF84)</f>
        <v>-4270.032506376</v>
      </c>
      <c r="CF264" s="21" t="n">
        <f aca="false">IF(ISBLANK(Actuals!CG84),-Helpers!CD5*Assumptions!$B$20,Actuals!CG84)</f>
        <v>-4270.032506376</v>
      </c>
      <c r="CG264" s="21" t="n">
        <f aca="false">IF(ISBLANK(Actuals!CH84),-Helpers!CE5*Assumptions!$B$20,Actuals!CH84)</f>
        <v>-4270.032506376</v>
      </c>
      <c r="CH264" s="21" t="n">
        <f aca="false">IF(ISBLANK(Actuals!CI84),-Helpers!CF5*Assumptions!$B$20,Actuals!CI84)</f>
        <v>-4270.032506376</v>
      </c>
      <c r="CI264" s="21" t="n">
        <f aca="false">IF(ISBLANK(Actuals!CJ84),-Helpers!CG5*Assumptions!$B$20,Actuals!CJ84)</f>
        <v>-4270.032506376</v>
      </c>
      <c r="CJ264" s="21" t="n">
        <f aca="false">IF(ISBLANK(Actuals!CK84),-Helpers!CH5*Assumptions!$B$20,Actuals!CK84)</f>
        <v>-4270.032506376</v>
      </c>
      <c r="CK264" s="21" t="n">
        <f aca="false">IF(ISBLANK(Actuals!CL84),-Helpers!CI5*Assumptions!$B$20,Actuals!CL84)</f>
        <v>-4355.43315650352</v>
      </c>
      <c r="CL264" s="21" t="n">
        <f aca="false">IF(ISBLANK(Actuals!CM84),-Helpers!CJ5*Assumptions!$B$20,Actuals!CM84)</f>
        <v>-4355.43315650352</v>
      </c>
      <c r="CM264" s="21" t="n">
        <f aca="false">IF(ISBLANK(Actuals!CN84),-Helpers!CK5*Assumptions!$B$20,Actuals!CN84)</f>
        <v>-4355.43315650352</v>
      </c>
      <c r="CN264" s="21" t="n">
        <f aca="false">IF(ISBLANK(Actuals!CO84),-Helpers!CL5*Assumptions!$B$20,Actuals!CO84)</f>
        <v>-4355.43315650352</v>
      </c>
      <c r="CO264" s="21" t="n">
        <f aca="false">IF(ISBLANK(Actuals!CP84),-Helpers!CM5*Assumptions!$B$20,Actuals!CP84)</f>
        <v>-4355.43315650352</v>
      </c>
      <c r="CP264" s="21" t="n">
        <f aca="false">IF(ISBLANK(Actuals!CQ84),-Helpers!CN5*Assumptions!$B$20,Actuals!CQ84)</f>
        <v>-4355.43315650352</v>
      </c>
      <c r="CQ264" s="21" t="n">
        <f aca="false">IF(ISBLANK(Actuals!CR84),-Helpers!CO5*Assumptions!$B$20,Actuals!CR84)</f>
        <v>-4355.43315650352</v>
      </c>
      <c r="CR264" s="21" t="n">
        <f aca="false">IF(ISBLANK(Actuals!CS84),-Helpers!CP5*Assumptions!$B$20,Actuals!CS84)</f>
        <v>-4355.43315650352</v>
      </c>
      <c r="CS264" s="21" t="n">
        <f aca="false">IF(ISBLANK(Actuals!CT84),-Helpers!CQ5*Assumptions!$B$20,Actuals!CT84)</f>
        <v>-4355.43315650352</v>
      </c>
      <c r="CT264" s="21" t="n">
        <f aca="false">IF(ISBLANK(Actuals!CU84),-Helpers!CR5*Assumptions!$B$20,Actuals!CU84)</f>
        <v>-0</v>
      </c>
      <c r="CU264" s="21" t="n">
        <f aca="false">IF(ISBLANK(Actuals!CV84),-Helpers!CS5*Assumptions!$B$20,Actuals!CV84)</f>
        <v>-0</v>
      </c>
      <c r="CV264" s="21" t="n">
        <f aca="false">IF(ISBLANK(Actuals!CW84),-Helpers!CT5*Assumptions!$B$20,Actuals!CW84)</f>
        <v>-0</v>
      </c>
      <c r="CW264" s="21" t="n">
        <f aca="false">IF(ISBLANK(Actuals!CX84),-Helpers!CU5*Assumptions!$B$20,Actuals!CX84)</f>
        <v>-0</v>
      </c>
      <c r="CX264" s="21" t="n">
        <f aca="false">IF(ISBLANK(Actuals!CY84),-Helpers!CV5*Assumptions!$B$20,Actuals!CY84)</f>
        <v>-0</v>
      </c>
      <c r="CY264" s="21" t="n">
        <f aca="false">IF(ISBLANK(Actuals!CZ84),-Helpers!CW5*Assumptions!$B$20,Actuals!CZ84)</f>
        <v>-0</v>
      </c>
      <c r="CZ264" s="21" t="n">
        <f aca="false">IF(ISBLANK(Actuals!DA84),-Helpers!CX5*Assumptions!$B$20,Actuals!DA84)</f>
        <v>-0</v>
      </c>
      <c r="DA264" s="21" t="n">
        <f aca="false">IF(ISBLANK(Actuals!DB84),-Helpers!CY5*Assumptions!$B$20,Actuals!DB84)</f>
        <v>-0</v>
      </c>
      <c r="DB264" s="21" t="n">
        <f aca="false">IF(ISBLANK(Actuals!DC84),-Helpers!CZ5*Assumptions!$B$20,Actuals!DC84)</f>
        <v>-0</v>
      </c>
      <c r="DC264" s="21" t="n">
        <f aca="false">IF(ISBLANK(Actuals!DD84),-Helpers!DA5*Assumptions!$B$20,Actuals!DD84)</f>
        <v>-0</v>
      </c>
      <c r="DD264" s="21" t="n">
        <f aca="false">IF(ISBLANK(Actuals!DE84),-Helpers!DB5*Assumptions!$B$20,Actuals!DE84)</f>
        <v>-0</v>
      </c>
      <c r="DE264" s="21" t="n">
        <f aca="false">IF(ISBLANK(Actuals!DF84),-Helpers!DC5*Assumptions!$B$20,Actuals!DF84)</f>
        <v>-0</v>
      </c>
    </row>
    <row r="265" customFormat="false" ht="15" hidden="false" customHeight="true" outlineLevel="0" collapsed="false">
      <c r="A265" s="35" t="s">
        <v>67</v>
      </c>
      <c r="B265" s="21" t="n">
        <f aca="false">IF(ISBLANK(Actuals!C85),0,Actuals!C85)</f>
        <v>-12137.77</v>
      </c>
      <c r="C265" s="21" t="n">
        <f aca="false">IF(ISBLANK(Actuals!D85),0,Actuals!D85)</f>
        <v>-12137.78</v>
      </c>
      <c r="D265" s="21" t="n">
        <f aca="false">IF(ISBLANK(Actuals!E85),0,Actuals!E85)</f>
        <v>-12137.78</v>
      </c>
      <c r="E265" s="21" t="n">
        <f aca="false">IF(ISBLANK(Actuals!F85),-Helpers!C5*Assumptions!$B$22,Actuals!F85)</f>
        <v>-12137.78</v>
      </c>
      <c r="F265" s="21" t="n">
        <f aca="false">IF(ISBLANK(Actuals!G85),-Helpers!D5*Assumptions!$B$22,Actuals!G85)</f>
        <v>-12137.78</v>
      </c>
      <c r="G265" s="21" t="n">
        <f aca="false">IF(ISBLANK(Actuals!H85),-Helpers!E5*Assumptions!$B$22,Actuals!H85)</f>
        <v>-12137.78</v>
      </c>
      <c r="H265" s="21" t="n">
        <f aca="false">IF(ISBLANK(Actuals!I85),-Helpers!F5*Assumptions!$B$22,Actuals!I85)</f>
        <v>-12137.78</v>
      </c>
      <c r="I265" s="21" t="n">
        <f aca="false">IF(ISBLANK(Actuals!J85),-Helpers!G5*Assumptions!$B$22,Actuals!J85)</f>
        <v>-12137.78</v>
      </c>
      <c r="J265" s="21" t="n">
        <f aca="false">IF(ISBLANK(Actuals!K85),-Helpers!H5*Assumptions!$B$22,Actuals!K85)</f>
        <v>-2708.33333333333</v>
      </c>
      <c r="K265" s="21" t="n">
        <f aca="false">IF(ISBLANK(Actuals!L85),-Helpers!I5*Assumptions!$B$22,Actuals!L85)</f>
        <v>-2708.33333333333</v>
      </c>
      <c r="L265" s="21" t="n">
        <f aca="false">IF(ISBLANK(Actuals!M85),-Helpers!J5*Assumptions!$B$22,Actuals!M85)</f>
        <v>-2708.33333333333</v>
      </c>
      <c r="M265" s="21" t="n">
        <f aca="false">IF(ISBLANK(Actuals!N85),-Helpers!K5*Assumptions!$B$22,Actuals!N85)</f>
        <v>-2708.33333333333</v>
      </c>
      <c r="N265" s="21" t="n">
        <f aca="false">IF(ISBLANK(Actuals!O85),-Helpers!L5*Assumptions!$B$22,Actuals!O85)</f>
        <v>-2708.33333333333</v>
      </c>
      <c r="O265" s="21" t="n">
        <f aca="false">IF(ISBLANK(Actuals!P85),-Helpers!M5*Assumptions!$B$22,Actuals!P85)</f>
        <v>-2708.33333333333</v>
      </c>
      <c r="P265" s="21" t="n">
        <f aca="false">IF(ISBLANK(Actuals!Q85),-Helpers!N5*Assumptions!$B$22,Actuals!Q85)</f>
        <v>-2708.33333333333</v>
      </c>
      <c r="Q265" s="21" t="n">
        <f aca="false">IF(ISBLANK(Actuals!R85),-Helpers!O5*Assumptions!$B$22,Actuals!R85)</f>
        <v>-2762.5</v>
      </c>
      <c r="R265" s="21" t="n">
        <f aca="false">IF(ISBLANK(Actuals!S85),-Helpers!P5*Assumptions!$B$22,Actuals!S85)</f>
        <v>-2762.5</v>
      </c>
      <c r="S265" s="21" t="n">
        <f aca="false">IF(ISBLANK(Actuals!T85),-Helpers!Q5*Assumptions!$B$22,Actuals!T85)</f>
        <v>-2762.5</v>
      </c>
      <c r="T265" s="21" t="n">
        <f aca="false">IF(ISBLANK(Actuals!U85),-Helpers!R5*Assumptions!$B$22,Actuals!U85)</f>
        <v>-2762.5</v>
      </c>
      <c r="U265" s="21" t="n">
        <f aca="false">IF(ISBLANK(Actuals!V85),-Helpers!S5*Assumptions!$B$22,Actuals!V85)</f>
        <v>-2762.5</v>
      </c>
      <c r="V265" s="21" t="n">
        <f aca="false">IF(ISBLANK(Actuals!W85),-Helpers!T5*Assumptions!$B$22,Actuals!W85)</f>
        <v>-2762.5</v>
      </c>
      <c r="W265" s="21" t="n">
        <f aca="false">IF(ISBLANK(Actuals!X85),-Helpers!U5*Assumptions!$B$22,Actuals!X85)</f>
        <v>-2762.5</v>
      </c>
      <c r="X265" s="21" t="n">
        <f aca="false">IF(ISBLANK(Actuals!Y85),-Helpers!V5*Assumptions!$B$22,Actuals!Y85)</f>
        <v>-2762.5</v>
      </c>
      <c r="Y265" s="21" t="n">
        <f aca="false">IF(ISBLANK(Actuals!Z85),-Helpers!W5*Assumptions!$B$22,Actuals!Z85)</f>
        <v>-2762.5</v>
      </c>
      <c r="Z265" s="21" t="n">
        <f aca="false">IF(ISBLANK(Actuals!AA85),-Helpers!X5*Assumptions!$B$22,Actuals!AA85)</f>
        <v>-2762.5</v>
      </c>
      <c r="AA265" s="21" t="n">
        <f aca="false">IF(ISBLANK(Actuals!AB85),-Helpers!Y5*Assumptions!$B$22,Actuals!AB85)</f>
        <v>-2762.5</v>
      </c>
      <c r="AB265" s="21" t="n">
        <f aca="false">IF(ISBLANK(Actuals!AC85),-Helpers!Z5*Assumptions!$B$22,Actuals!AC85)</f>
        <v>-2762.5</v>
      </c>
      <c r="AC265" s="21" t="n">
        <f aca="false">IF(ISBLANK(Actuals!AD85),-Helpers!AA5*Assumptions!$B$22,Actuals!AD85)</f>
        <v>-2817.75</v>
      </c>
      <c r="AD265" s="21" t="n">
        <f aca="false">IF(ISBLANK(Actuals!AE85),-Helpers!AB5*Assumptions!$B$22,Actuals!AE85)</f>
        <v>-2817.75</v>
      </c>
      <c r="AE265" s="21" t="n">
        <f aca="false">IF(ISBLANK(Actuals!AF85),-Helpers!AC5*Assumptions!$B$22,Actuals!AF85)</f>
        <v>-2817.75</v>
      </c>
      <c r="AF265" s="21" t="n">
        <f aca="false">IF(ISBLANK(Actuals!AG85),-Helpers!AD5*Assumptions!$B$22,Actuals!AG85)</f>
        <v>-2817.75</v>
      </c>
      <c r="AG265" s="21" t="n">
        <f aca="false">IF(ISBLANK(Actuals!AH85),-Helpers!AE5*Assumptions!$B$22,Actuals!AH85)</f>
        <v>-2817.75</v>
      </c>
      <c r="AH265" s="21" t="n">
        <f aca="false">IF(ISBLANK(Actuals!AI85),-Helpers!AF5*Assumptions!$B$22,Actuals!AI85)</f>
        <v>-2817.75</v>
      </c>
      <c r="AI265" s="21" t="n">
        <f aca="false">IF(ISBLANK(Actuals!AJ85),-Helpers!AG5*Assumptions!$B$22,Actuals!AJ85)</f>
        <v>-2817.75</v>
      </c>
      <c r="AJ265" s="21" t="n">
        <f aca="false">IF(ISBLANK(Actuals!AK85),-Helpers!AH5*Assumptions!$B$22,Actuals!AK85)</f>
        <v>-2817.75</v>
      </c>
      <c r="AK265" s="21" t="n">
        <f aca="false">IF(ISBLANK(Actuals!AL85),-Helpers!AI5*Assumptions!$B$22,Actuals!AL85)</f>
        <v>-2817.75</v>
      </c>
      <c r="AL265" s="21" t="n">
        <f aca="false">IF(ISBLANK(Actuals!AM85),-Helpers!AJ5*Assumptions!$B$22,Actuals!AM85)</f>
        <v>-2817.75</v>
      </c>
      <c r="AM265" s="21" t="n">
        <f aca="false">IF(ISBLANK(Actuals!AN85),-Helpers!AK5*Assumptions!$B$22,Actuals!AN85)</f>
        <v>-2817.75</v>
      </c>
      <c r="AN265" s="21" t="n">
        <f aca="false">IF(ISBLANK(Actuals!AO85),-Helpers!AL5*Assumptions!$B$22,Actuals!AO85)</f>
        <v>-2817.75</v>
      </c>
      <c r="AO265" s="21" t="n">
        <f aca="false">IF(ISBLANK(Actuals!AP85),-Helpers!AM5*Assumptions!$B$22,Actuals!AP85)</f>
        <v>-2874.105</v>
      </c>
      <c r="AP265" s="21" t="n">
        <f aca="false">IF(ISBLANK(Actuals!AQ85),-Helpers!AN5*Assumptions!$B$22,Actuals!AQ85)</f>
        <v>-2874.105</v>
      </c>
      <c r="AQ265" s="21" t="n">
        <f aca="false">IF(ISBLANK(Actuals!AR85),-Helpers!AO5*Assumptions!$B$22,Actuals!AR85)</f>
        <v>-2874.105</v>
      </c>
      <c r="AR265" s="21" t="n">
        <f aca="false">IF(ISBLANK(Actuals!AS85),-Helpers!AP5*Assumptions!$B$22,Actuals!AS85)</f>
        <v>-2874.105</v>
      </c>
      <c r="AS265" s="21" t="n">
        <f aca="false">IF(ISBLANK(Actuals!AT85),-Helpers!AQ5*Assumptions!$B$22,Actuals!AT85)</f>
        <v>-2874.105</v>
      </c>
      <c r="AT265" s="21" t="n">
        <f aca="false">IF(ISBLANK(Actuals!AU85),-Helpers!AR5*Assumptions!$B$22,Actuals!AU85)</f>
        <v>-2874.105</v>
      </c>
      <c r="AU265" s="21" t="n">
        <f aca="false">IF(ISBLANK(Actuals!AV85),-Helpers!AS5*Assumptions!$B$22,Actuals!AV85)</f>
        <v>-2874.105</v>
      </c>
      <c r="AV265" s="21" t="n">
        <f aca="false">IF(ISBLANK(Actuals!AW85),-Helpers!AT5*Assumptions!$B$22,Actuals!AW85)</f>
        <v>-2874.105</v>
      </c>
      <c r="AW265" s="21" t="n">
        <f aca="false">IF(ISBLANK(Actuals!AX85),-Helpers!AU5*Assumptions!$B$22,Actuals!AX85)</f>
        <v>-2874.105</v>
      </c>
      <c r="AX265" s="21" t="n">
        <f aca="false">IF(ISBLANK(Actuals!AY85),-Helpers!AV5*Assumptions!$B$22,Actuals!AY85)</f>
        <v>-2874.105</v>
      </c>
      <c r="AY265" s="21" t="n">
        <f aca="false">IF(ISBLANK(Actuals!AZ85),-Helpers!AW5*Assumptions!$B$22,Actuals!AZ85)</f>
        <v>-2874.105</v>
      </c>
      <c r="AZ265" s="21" t="n">
        <f aca="false">IF(ISBLANK(Actuals!BA85),-Helpers!AX5*Assumptions!$B$22,Actuals!BA85)</f>
        <v>-2874.105</v>
      </c>
      <c r="BA265" s="21" t="n">
        <f aca="false">IF(ISBLANK(Actuals!BB85),-Helpers!AY5*Assumptions!$B$22,Actuals!BB85)</f>
        <v>-2931.5871</v>
      </c>
      <c r="BB265" s="21" t="n">
        <f aca="false">IF(ISBLANK(Actuals!BC85),-Helpers!AZ5*Assumptions!$B$22,Actuals!BC85)</f>
        <v>-2931.5871</v>
      </c>
      <c r="BC265" s="21" t="n">
        <f aca="false">IF(ISBLANK(Actuals!BD85),-Helpers!BA5*Assumptions!$B$22,Actuals!BD85)</f>
        <v>-2931.5871</v>
      </c>
      <c r="BD265" s="21" t="n">
        <f aca="false">IF(ISBLANK(Actuals!BE85),-Helpers!BB5*Assumptions!$B$22,Actuals!BE85)</f>
        <v>-2931.5871</v>
      </c>
      <c r="BE265" s="21" t="n">
        <f aca="false">IF(ISBLANK(Actuals!BF85),-Helpers!BC5*Assumptions!$B$22,Actuals!BF85)</f>
        <v>-2931.5871</v>
      </c>
      <c r="BF265" s="21" t="n">
        <f aca="false">IF(ISBLANK(Actuals!BG85),-Helpers!BD5*Assumptions!$B$22,Actuals!BG85)</f>
        <v>-2931.5871</v>
      </c>
      <c r="BG265" s="21" t="n">
        <f aca="false">IF(ISBLANK(Actuals!BH85),-Helpers!BE5*Assumptions!$B$22,Actuals!BH85)</f>
        <v>-2931.5871</v>
      </c>
      <c r="BH265" s="21" t="n">
        <f aca="false">IF(ISBLANK(Actuals!BI85),-Helpers!BF5*Assumptions!$B$22,Actuals!BI85)</f>
        <v>-2931.5871</v>
      </c>
      <c r="BI265" s="21" t="n">
        <f aca="false">IF(ISBLANK(Actuals!BJ85),-Helpers!BG5*Assumptions!$B$22,Actuals!BJ85)</f>
        <v>-2931.5871</v>
      </c>
      <c r="BJ265" s="21" t="n">
        <f aca="false">IF(ISBLANK(Actuals!BK85),-Helpers!BH5*Assumptions!$B$22,Actuals!BK85)</f>
        <v>-2931.5871</v>
      </c>
      <c r="BK265" s="21" t="n">
        <f aca="false">IF(ISBLANK(Actuals!BL85),-Helpers!BI5*Assumptions!$B$22,Actuals!BL85)</f>
        <v>-2931.5871</v>
      </c>
      <c r="BL265" s="21" t="n">
        <f aca="false">IF(ISBLANK(Actuals!BM85),-Helpers!BJ5*Assumptions!$B$22,Actuals!BM85)</f>
        <v>-2931.5871</v>
      </c>
      <c r="BM265" s="21" t="n">
        <f aca="false">IF(ISBLANK(Actuals!BN85),-Helpers!BK5*Assumptions!$B$22,Actuals!BN85)</f>
        <v>-2990.218842</v>
      </c>
      <c r="BN265" s="21" t="n">
        <f aca="false">IF(ISBLANK(Actuals!BO85),-Helpers!BL5*Assumptions!$B$22,Actuals!BO85)</f>
        <v>-2990.218842</v>
      </c>
      <c r="BO265" s="21" t="n">
        <f aca="false">IF(ISBLANK(Actuals!BP85),-Helpers!BM5*Assumptions!$B$22,Actuals!BP85)</f>
        <v>-2990.218842</v>
      </c>
      <c r="BP265" s="21" t="n">
        <f aca="false">IF(ISBLANK(Actuals!BQ85),-Helpers!BN5*Assumptions!$B$22,Actuals!BQ85)</f>
        <v>-2990.218842</v>
      </c>
      <c r="BQ265" s="21" t="n">
        <f aca="false">IF(ISBLANK(Actuals!BR85),-Helpers!BO5*Assumptions!$B$22,Actuals!BR85)</f>
        <v>-2990.218842</v>
      </c>
      <c r="BR265" s="21" t="n">
        <f aca="false">IF(ISBLANK(Actuals!BS85),-Helpers!BP5*Assumptions!$B$22,Actuals!BS85)</f>
        <v>-2990.218842</v>
      </c>
      <c r="BS265" s="21" t="n">
        <f aca="false">IF(ISBLANK(Actuals!BT85),-Helpers!BQ5*Assumptions!$B$22,Actuals!BT85)</f>
        <v>-2990.218842</v>
      </c>
      <c r="BT265" s="21" t="n">
        <f aca="false">IF(ISBLANK(Actuals!BU85),-Helpers!BR5*Assumptions!$B$22,Actuals!BU85)</f>
        <v>-2990.218842</v>
      </c>
      <c r="BU265" s="21" t="n">
        <f aca="false">IF(ISBLANK(Actuals!BV85),-Helpers!BS5*Assumptions!$B$22,Actuals!BV85)</f>
        <v>-2990.218842</v>
      </c>
      <c r="BV265" s="21" t="n">
        <f aca="false">IF(ISBLANK(Actuals!BW85),-Helpers!BT5*Assumptions!$B$22,Actuals!BW85)</f>
        <v>-2990.218842</v>
      </c>
      <c r="BW265" s="21" t="n">
        <f aca="false">IF(ISBLANK(Actuals!BX85),-Helpers!BU5*Assumptions!$B$22,Actuals!BX85)</f>
        <v>-2990.218842</v>
      </c>
      <c r="BX265" s="21" t="n">
        <f aca="false">IF(ISBLANK(Actuals!BY85),-Helpers!BV5*Assumptions!$B$22,Actuals!BY85)</f>
        <v>-2990.218842</v>
      </c>
      <c r="BY265" s="21" t="n">
        <f aca="false">IF(ISBLANK(Actuals!BZ85),-Helpers!BW5*Assumptions!$B$22,Actuals!BZ85)</f>
        <v>-3050.02321884</v>
      </c>
      <c r="BZ265" s="21" t="n">
        <f aca="false">IF(ISBLANK(Actuals!CA85),-Helpers!BX5*Assumptions!$B$22,Actuals!CA85)</f>
        <v>-3050.02321884</v>
      </c>
      <c r="CA265" s="21" t="n">
        <f aca="false">IF(ISBLANK(Actuals!CB85),-Helpers!BY5*Assumptions!$B$22,Actuals!CB85)</f>
        <v>-3050.02321884</v>
      </c>
      <c r="CB265" s="21" t="n">
        <f aca="false">IF(ISBLANK(Actuals!CC85),-Helpers!BZ5*Assumptions!$B$22,Actuals!CC85)</f>
        <v>-3050.02321884</v>
      </c>
      <c r="CC265" s="21" t="n">
        <f aca="false">IF(ISBLANK(Actuals!CD85),-Helpers!CA5*Assumptions!$B$22,Actuals!CD85)</f>
        <v>-3050.02321884</v>
      </c>
      <c r="CD265" s="21" t="n">
        <f aca="false">IF(ISBLANK(Actuals!CE85),-Helpers!CB5*Assumptions!$B$22,Actuals!CE85)</f>
        <v>-3050.02321884</v>
      </c>
      <c r="CE265" s="21" t="n">
        <f aca="false">IF(ISBLANK(Actuals!CF85),-Helpers!CC5*Assumptions!$B$22,Actuals!CF85)</f>
        <v>-3050.02321884</v>
      </c>
      <c r="CF265" s="21" t="n">
        <f aca="false">IF(ISBLANK(Actuals!CG85),-Helpers!CD5*Assumptions!$B$22,Actuals!CG85)</f>
        <v>-3050.02321884</v>
      </c>
      <c r="CG265" s="21" t="n">
        <f aca="false">IF(ISBLANK(Actuals!CH85),-Helpers!CE5*Assumptions!$B$22,Actuals!CH85)</f>
        <v>-3050.02321884</v>
      </c>
      <c r="CH265" s="21" t="n">
        <f aca="false">IF(ISBLANK(Actuals!CI85),-Helpers!CF5*Assumptions!$B$22,Actuals!CI85)</f>
        <v>-3050.02321884</v>
      </c>
      <c r="CI265" s="21" t="n">
        <f aca="false">IF(ISBLANK(Actuals!CJ85),-Helpers!CG5*Assumptions!$B$22,Actuals!CJ85)</f>
        <v>-3050.02321884</v>
      </c>
      <c r="CJ265" s="21" t="n">
        <f aca="false">IF(ISBLANK(Actuals!CK85),-Helpers!CH5*Assumptions!$B$22,Actuals!CK85)</f>
        <v>-3050.02321884</v>
      </c>
      <c r="CK265" s="21" t="n">
        <f aca="false">IF(ISBLANK(Actuals!CL85),-Helpers!CI5*Assumptions!$B$22,Actuals!CL85)</f>
        <v>-3111.0236832168</v>
      </c>
      <c r="CL265" s="21" t="n">
        <f aca="false">IF(ISBLANK(Actuals!CM85),-Helpers!CJ5*Assumptions!$B$22,Actuals!CM85)</f>
        <v>-3111.0236832168</v>
      </c>
      <c r="CM265" s="21" t="n">
        <f aca="false">IF(ISBLANK(Actuals!CN85),-Helpers!CK5*Assumptions!$B$22,Actuals!CN85)</f>
        <v>-3111.0236832168</v>
      </c>
      <c r="CN265" s="21" t="n">
        <f aca="false">IF(ISBLANK(Actuals!CO85),-Helpers!CL5*Assumptions!$B$22,Actuals!CO85)</f>
        <v>-3111.0236832168</v>
      </c>
      <c r="CO265" s="21" t="n">
        <f aca="false">IF(ISBLANK(Actuals!CP85),-Helpers!CM5*Assumptions!$B$22,Actuals!CP85)</f>
        <v>-3111.0236832168</v>
      </c>
      <c r="CP265" s="21" t="n">
        <f aca="false">IF(ISBLANK(Actuals!CQ85),-Helpers!CN5*Assumptions!$B$22,Actuals!CQ85)</f>
        <v>-3111.0236832168</v>
      </c>
      <c r="CQ265" s="21" t="n">
        <f aca="false">IF(ISBLANK(Actuals!CR85),-Helpers!CO5*Assumptions!$B$22,Actuals!CR85)</f>
        <v>-3111.0236832168</v>
      </c>
      <c r="CR265" s="21" t="n">
        <f aca="false">IF(ISBLANK(Actuals!CS85),-Helpers!CP5*Assumptions!$B$22,Actuals!CS85)</f>
        <v>-3111.0236832168</v>
      </c>
      <c r="CS265" s="21" t="n">
        <f aca="false">IF(ISBLANK(Actuals!CT85),-Helpers!CQ5*Assumptions!$B$22,Actuals!CT85)</f>
        <v>-3111.0236832168</v>
      </c>
      <c r="CT265" s="21" t="n">
        <f aca="false">IF(ISBLANK(Actuals!CU85),-Helpers!CR5*Assumptions!$B$22,Actuals!CU85)</f>
        <v>-0</v>
      </c>
      <c r="CU265" s="21" t="n">
        <f aca="false">IF(ISBLANK(Actuals!CV85),-Helpers!CS5*Assumptions!$B$22,Actuals!CV85)</f>
        <v>-0</v>
      </c>
      <c r="CV265" s="21" t="n">
        <f aca="false">IF(ISBLANK(Actuals!CW85),-Helpers!CT5*Assumptions!$B$22,Actuals!CW85)</f>
        <v>-0</v>
      </c>
      <c r="CW265" s="21" t="n">
        <f aca="false">IF(ISBLANK(Actuals!CX85),-Helpers!CU5*Assumptions!$B$22,Actuals!CX85)</f>
        <v>-0</v>
      </c>
      <c r="CX265" s="21" t="n">
        <f aca="false">IF(ISBLANK(Actuals!CY85),-Helpers!CV5*Assumptions!$B$22,Actuals!CY85)</f>
        <v>-0</v>
      </c>
      <c r="CY265" s="21" t="n">
        <f aca="false">IF(ISBLANK(Actuals!CZ85),-Helpers!CW5*Assumptions!$B$22,Actuals!CZ85)</f>
        <v>-0</v>
      </c>
      <c r="CZ265" s="21" t="n">
        <f aca="false">IF(ISBLANK(Actuals!DA85),-Helpers!CX5*Assumptions!$B$22,Actuals!DA85)</f>
        <v>-0</v>
      </c>
      <c r="DA265" s="21" t="n">
        <f aca="false">IF(ISBLANK(Actuals!DB85),-Helpers!CY5*Assumptions!$B$22,Actuals!DB85)</f>
        <v>-0</v>
      </c>
      <c r="DB265" s="21" t="n">
        <f aca="false">IF(ISBLANK(Actuals!DC85),-Helpers!CZ5*Assumptions!$B$22,Actuals!DC85)</f>
        <v>-0</v>
      </c>
      <c r="DC265" s="21" t="n">
        <f aca="false">IF(ISBLANK(Actuals!DD85),-Helpers!DA5*Assumptions!$B$22,Actuals!DD85)</f>
        <v>-0</v>
      </c>
      <c r="DD265" s="21" t="n">
        <f aca="false">IF(ISBLANK(Actuals!DE85),-Helpers!DB5*Assumptions!$B$22,Actuals!DE85)</f>
        <v>-0</v>
      </c>
      <c r="DE265" s="21" t="n">
        <f aca="false">IF(ISBLANK(Actuals!DF85),-Helpers!DC5*Assumptions!$B$22,Actuals!DF85)</f>
        <v>-0</v>
      </c>
    </row>
    <row r="266" customFormat="false" ht="15" hidden="false" customHeight="true" outlineLevel="0" collapsed="false">
      <c r="A266" s="35" t="s">
        <v>68</v>
      </c>
      <c r="B266" s="21" t="n">
        <f aca="false">IF(ISBLANK(Actuals!C86),0,Actuals!C86)</f>
        <v>-475.76</v>
      </c>
      <c r="C266" s="21" t="n">
        <f aca="false">IF(ISBLANK(Actuals!D86),0,Actuals!D86)</f>
        <v>-475.76</v>
      </c>
      <c r="D266" s="21" t="n">
        <f aca="false">IF(ISBLANK(Actuals!E86),0,Actuals!E86)</f>
        <v>-475.76</v>
      </c>
      <c r="E266" s="21" t="n">
        <f aca="false">IF(ISBLANK(Actuals!F86),-Helpers!C5*Assumptions!$B$23,Actuals!F86)</f>
        <v>-475.76</v>
      </c>
      <c r="F266" s="21" t="n">
        <f aca="false">IF(ISBLANK(Actuals!G86),-Helpers!D5*Assumptions!$B$23,Actuals!G86)</f>
        <v>-475.76</v>
      </c>
      <c r="G266" s="21" t="n">
        <f aca="false">IF(ISBLANK(Actuals!H86),-Helpers!E5*Assumptions!$B$23,Actuals!H86)</f>
        <v>-475.76</v>
      </c>
      <c r="H266" s="21" t="n">
        <f aca="false">IF(ISBLANK(Actuals!I86),-Helpers!F5*Assumptions!$B$23,Actuals!I86)</f>
        <v>-475.76</v>
      </c>
      <c r="I266" s="21" t="n">
        <f aca="false">IF(ISBLANK(Actuals!J86),-Helpers!G5*Assumptions!$B$23,Actuals!J86)</f>
        <v>-475.76</v>
      </c>
      <c r="J266" s="21" t="n">
        <f aca="false">IF(ISBLANK(Actuals!K86),-Helpers!H5*Assumptions!$B$23,Actuals!K86)</f>
        <v>-1083.33333333333</v>
      </c>
      <c r="K266" s="21" t="n">
        <f aca="false">IF(ISBLANK(Actuals!L86),-Helpers!I5*Assumptions!$B$23,Actuals!L86)</f>
        <v>-1083.33333333333</v>
      </c>
      <c r="L266" s="21" t="n">
        <f aca="false">IF(ISBLANK(Actuals!M86),-Helpers!J5*Assumptions!$B$23,Actuals!M86)</f>
        <v>-1083.33333333333</v>
      </c>
      <c r="M266" s="21" t="n">
        <f aca="false">IF(ISBLANK(Actuals!N86),-Helpers!K5*Assumptions!$B$23,Actuals!N86)</f>
        <v>-1083.33333333333</v>
      </c>
      <c r="N266" s="21" t="n">
        <f aca="false">IF(ISBLANK(Actuals!O86),-Helpers!L5*Assumptions!$B$23,Actuals!O86)</f>
        <v>-1083.33333333333</v>
      </c>
      <c r="O266" s="21" t="n">
        <f aca="false">IF(ISBLANK(Actuals!P86),-Helpers!M5*Assumptions!$B$23,Actuals!P86)</f>
        <v>-1083.33333333333</v>
      </c>
      <c r="P266" s="21" t="n">
        <f aca="false">IF(ISBLANK(Actuals!Q86),-Helpers!N5*Assumptions!$B$23,Actuals!Q86)</f>
        <v>-1083.33333333333</v>
      </c>
      <c r="Q266" s="21" t="n">
        <f aca="false">IF(ISBLANK(Actuals!R86),-Helpers!O5*Assumptions!$B$23,Actuals!R86)</f>
        <v>-1105</v>
      </c>
      <c r="R266" s="21" t="n">
        <f aca="false">IF(ISBLANK(Actuals!S86),-Helpers!P5*Assumptions!$B$23,Actuals!S86)</f>
        <v>-1105</v>
      </c>
      <c r="S266" s="21" t="n">
        <f aca="false">IF(ISBLANK(Actuals!T86),-Helpers!Q5*Assumptions!$B$23,Actuals!T86)</f>
        <v>-1105</v>
      </c>
      <c r="T266" s="21" t="n">
        <f aca="false">IF(ISBLANK(Actuals!U86),-Helpers!R5*Assumptions!$B$23,Actuals!U86)</f>
        <v>-1105</v>
      </c>
      <c r="U266" s="21" t="n">
        <f aca="false">IF(ISBLANK(Actuals!V86),-Helpers!S5*Assumptions!$B$23,Actuals!V86)</f>
        <v>-1105</v>
      </c>
      <c r="V266" s="21" t="n">
        <f aca="false">IF(ISBLANK(Actuals!W86),-Helpers!T5*Assumptions!$B$23,Actuals!W86)</f>
        <v>-1105</v>
      </c>
      <c r="W266" s="21" t="n">
        <f aca="false">IF(ISBLANK(Actuals!X86),-Helpers!U5*Assumptions!$B$23,Actuals!X86)</f>
        <v>-1105</v>
      </c>
      <c r="X266" s="21" t="n">
        <f aca="false">IF(ISBLANK(Actuals!Y86),-Helpers!V5*Assumptions!$B$23,Actuals!Y86)</f>
        <v>-1105</v>
      </c>
      <c r="Y266" s="21" t="n">
        <f aca="false">IF(ISBLANK(Actuals!Z86),-Helpers!W5*Assumptions!$B$23,Actuals!Z86)</f>
        <v>-1105</v>
      </c>
      <c r="Z266" s="21" t="n">
        <f aca="false">IF(ISBLANK(Actuals!AA86),-Helpers!X5*Assumptions!$B$23,Actuals!AA86)</f>
        <v>-1105</v>
      </c>
      <c r="AA266" s="21" t="n">
        <f aca="false">IF(ISBLANK(Actuals!AB86),-Helpers!Y5*Assumptions!$B$23,Actuals!AB86)</f>
        <v>-1105</v>
      </c>
      <c r="AB266" s="21" t="n">
        <f aca="false">IF(ISBLANK(Actuals!AC86),-Helpers!Z5*Assumptions!$B$23,Actuals!AC86)</f>
        <v>-1105</v>
      </c>
      <c r="AC266" s="21" t="n">
        <f aca="false">IF(ISBLANK(Actuals!AD86),-Helpers!AA5*Assumptions!$B$23,Actuals!AD86)</f>
        <v>-1127.1</v>
      </c>
      <c r="AD266" s="21" t="n">
        <f aca="false">IF(ISBLANK(Actuals!AE86),-Helpers!AB5*Assumptions!$B$23,Actuals!AE86)</f>
        <v>-1127.1</v>
      </c>
      <c r="AE266" s="21" t="n">
        <f aca="false">IF(ISBLANK(Actuals!AF86),-Helpers!AC5*Assumptions!$B$23,Actuals!AF86)</f>
        <v>-1127.1</v>
      </c>
      <c r="AF266" s="21" t="n">
        <f aca="false">IF(ISBLANK(Actuals!AG86),-Helpers!AD5*Assumptions!$B$23,Actuals!AG86)</f>
        <v>-1127.1</v>
      </c>
      <c r="AG266" s="21" t="n">
        <f aca="false">IF(ISBLANK(Actuals!AH86),-Helpers!AE5*Assumptions!$B$23,Actuals!AH86)</f>
        <v>-1127.1</v>
      </c>
      <c r="AH266" s="21" t="n">
        <f aca="false">IF(ISBLANK(Actuals!AI86),-Helpers!AF5*Assumptions!$B$23,Actuals!AI86)</f>
        <v>-1127.1</v>
      </c>
      <c r="AI266" s="21" t="n">
        <f aca="false">IF(ISBLANK(Actuals!AJ86),-Helpers!AG5*Assumptions!$B$23,Actuals!AJ86)</f>
        <v>-1127.1</v>
      </c>
      <c r="AJ266" s="21" t="n">
        <f aca="false">IF(ISBLANK(Actuals!AK86),-Helpers!AH5*Assumptions!$B$23,Actuals!AK86)</f>
        <v>-1127.1</v>
      </c>
      <c r="AK266" s="21" t="n">
        <f aca="false">IF(ISBLANK(Actuals!AL86),-Helpers!AI5*Assumptions!$B$23,Actuals!AL86)</f>
        <v>-1127.1</v>
      </c>
      <c r="AL266" s="21" t="n">
        <f aca="false">IF(ISBLANK(Actuals!AM86),-Helpers!AJ5*Assumptions!$B$23,Actuals!AM86)</f>
        <v>-1127.1</v>
      </c>
      <c r="AM266" s="21" t="n">
        <f aca="false">IF(ISBLANK(Actuals!AN86),-Helpers!AK5*Assumptions!$B$23,Actuals!AN86)</f>
        <v>-1127.1</v>
      </c>
      <c r="AN266" s="21" t="n">
        <f aca="false">IF(ISBLANK(Actuals!AO86),-Helpers!AL5*Assumptions!$B$23,Actuals!AO86)</f>
        <v>-1127.1</v>
      </c>
      <c r="AO266" s="21" t="n">
        <f aca="false">IF(ISBLANK(Actuals!AP86),-Helpers!AM5*Assumptions!$B$23,Actuals!AP86)</f>
        <v>-1149.642</v>
      </c>
      <c r="AP266" s="21" t="n">
        <f aca="false">IF(ISBLANK(Actuals!AQ86),-Helpers!AN5*Assumptions!$B$23,Actuals!AQ86)</f>
        <v>-1149.642</v>
      </c>
      <c r="AQ266" s="21" t="n">
        <f aca="false">IF(ISBLANK(Actuals!AR86),-Helpers!AO5*Assumptions!$B$23,Actuals!AR86)</f>
        <v>-1149.642</v>
      </c>
      <c r="AR266" s="21" t="n">
        <f aca="false">IF(ISBLANK(Actuals!AS86),-Helpers!AP5*Assumptions!$B$23,Actuals!AS86)</f>
        <v>-1149.642</v>
      </c>
      <c r="AS266" s="21" t="n">
        <f aca="false">IF(ISBLANK(Actuals!AT86),-Helpers!AQ5*Assumptions!$B$23,Actuals!AT86)</f>
        <v>-1149.642</v>
      </c>
      <c r="AT266" s="21" t="n">
        <f aca="false">IF(ISBLANK(Actuals!AU86),-Helpers!AR5*Assumptions!$B$23,Actuals!AU86)</f>
        <v>-1149.642</v>
      </c>
      <c r="AU266" s="21" t="n">
        <f aca="false">IF(ISBLANK(Actuals!AV86),-Helpers!AS5*Assumptions!$B$23,Actuals!AV86)</f>
        <v>-1149.642</v>
      </c>
      <c r="AV266" s="21" t="n">
        <f aca="false">IF(ISBLANK(Actuals!AW86),-Helpers!AT5*Assumptions!$B$23,Actuals!AW86)</f>
        <v>-1149.642</v>
      </c>
      <c r="AW266" s="21" t="n">
        <f aca="false">IF(ISBLANK(Actuals!AX86),-Helpers!AU5*Assumptions!$B$23,Actuals!AX86)</f>
        <v>-1149.642</v>
      </c>
      <c r="AX266" s="21" t="n">
        <f aca="false">IF(ISBLANK(Actuals!AY86),-Helpers!AV5*Assumptions!$B$23,Actuals!AY86)</f>
        <v>-1149.642</v>
      </c>
      <c r="AY266" s="21" t="n">
        <f aca="false">IF(ISBLANK(Actuals!AZ86),-Helpers!AW5*Assumptions!$B$23,Actuals!AZ86)</f>
        <v>-1149.642</v>
      </c>
      <c r="AZ266" s="21" t="n">
        <f aca="false">IF(ISBLANK(Actuals!BA86),-Helpers!AX5*Assumptions!$B$23,Actuals!BA86)</f>
        <v>-1149.642</v>
      </c>
      <c r="BA266" s="21" t="n">
        <f aca="false">IF(ISBLANK(Actuals!BB86),-Helpers!AY5*Assumptions!$B$23,Actuals!BB86)</f>
        <v>-1172.63484</v>
      </c>
      <c r="BB266" s="21" t="n">
        <f aca="false">IF(ISBLANK(Actuals!BC86),-Helpers!AZ5*Assumptions!$B$23,Actuals!BC86)</f>
        <v>-1172.63484</v>
      </c>
      <c r="BC266" s="21" t="n">
        <f aca="false">IF(ISBLANK(Actuals!BD86),-Helpers!BA5*Assumptions!$B$23,Actuals!BD86)</f>
        <v>-1172.63484</v>
      </c>
      <c r="BD266" s="21" t="n">
        <f aca="false">IF(ISBLANK(Actuals!BE86),-Helpers!BB5*Assumptions!$B$23,Actuals!BE86)</f>
        <v>-1172.63484</v>
      </c>
      <c r="BE266" s="21" t="n">
        <f aca="false">IF(ISBLANK(Actuals!BF86),-Helpers!BC5*Assumptions!$B$23,Actuals!BF86)</f>
        <v>-1172.63484</v>
      </c>
      <c r="BF266" s="21" t="n">
        <f aca="false">IF(ISBLANK(Actuals!BG86),-Helpers!BD5*Assumptions!$B$23,Actuals!BG86)</f>
        <v>-1172.63484</v>
      </c>
      <c r="BG266" s="21" t="n">
        <f aca="false">IF(ISBLANK(Actuals!BH86),-Helpers!BE5*Assumptions!$B$23,Actuals!BH86)</f>
        <v>-1172.63484</v>
      </c>
      <c r="BH266" s="21" t="n">
        <f aca="false">IF(ISBLANK(Actuals!BI86),-Helpers!BF5*Assumptions!$B$23,Actuals!BI86)</f>
        <v>-1172.63484</v>
      </c>
      <c r="BI266" s="21" t="n">
        <f aca="false">IF(ISBLANK(Actuals!BJ86),-Helpers!BG5*Assumptions!$B$23,Actuals!BJ86)</f>
        <v>-1172.63484</v>
      </c>
      <c r="BJ266" s="21" t="n">
        <f aca="false">IF(ISBLANK(Actuals!BK86),-Helpers!BH5*Assumptions!$B$23,Actuals!BK86)</f>
        <v>-1172.63484</v>
      </c>
      <c r="BK266" s="21" t="n">
        <f aca="false">IF(ISBLANK(Actuals!BL86),-Helpers!BI5*Assumptions!$B$23,Actuals!BL86)</f>
        <v>-1172.63484</v>
      </c>
      <c r="BL266" s="21" t="n">
        <f aca="false">IF(ISBLANK(Actuals!BM86),-Helpers!BJ5*Assumptions!$B$23,Actuals!BM86)</f>
        <v>-1172.63484</v>
      </c>
      <c r="BM266" s="21" t="n">
        <f aca="false">IF(ISBLANK(Actuals!BN86),-Helpers!BK5*Assumptions!$B$23,Actuals!BN86)</f>
        <v>-1196.0875368</v>
      </c>
      <c r="BN266" s="21" t="n">
        <f aca="false">IF(ISBLANK(Actuals!BO86),-Helpers!BL5*Assumptions!$B$23,Actuals!BO86)</f>
        <v>-1196.0875368</v>
      </c>
      <c r="BO266" s="21" t="n">
        <f aca="false">IF(ISBLANK(Actuals!BP86),-Helpers!BM5*Assumptions!$B$23,Actuals!BP86)</f>
        <v>-1196.0875368</v>
      </c>
      <c r="BP266" s="21" t="n">
        <f aca="false">IF(ISBLANK(Actuals!BQ86),-Helpers!BN5*Assumptions!$B$23,Actuals!BQ86)</f>
        <v>-1196.0875368</v>
      </c>
      <c r="BQ266" s="21" t="n">
        <f aca="false">IF(ISBLANK(Actuals!BR86),-Helpers!BO5*Assumptions!$B$23,Actuals!BR86)</f>
        <v>-1196.0875368</v>
      </c>
      <c r="BR266" s="21" t="n">
        <f aca="false">IF(ISBLANK(Actuals!BS86),-Helpers!BP5*Assumptions!$B$23,Actuals!BS86)</f>
        <v>-1196.0875368</v>
      </c>
      <c r="BS266" s="21" t="n">
        <f aca="false">IF(ISBLANK(Actuals!BT86),-Helpers!BQ5*Assumptions!$B$23,Actuals!BT86)</f>
        <v>-1196.0875368</v>
      </c>
      <c r="BT266" s="21" t="n">
        <f aca="false">IF(ISBLANK(Actuals!BU86),-Helpers!BR5*Assumptions!$B$23,Actuals!BU86)</f>
        <v>-1196.0875368</v>
      </c>
      <c r="BU266" s="21" t="n">
        <f aca="false">IF(ISBLANK(Actuals!BV86),-Helpers!BS5*Assumptions!$B$23,Actuals!BV86)</f>
        <v>-1196.0875368</v>
      </c>
      <c r="BV266" s="21" t="n">
        <f aca="false">IF(ISBLANK(Actuals!BW86),-Helpers!BT5*Assumptions!$B$23,Actuals!BW86)</f>
        <v>-1196.0875368</v>
      </c>
      <c r="BW266" s="21" t="n">
        <f aca="false">IF(ISBLANK(Actuals!BX86),-Helpers!BU5*Assumptions!$B$23,Actuals!BX86)</f>
        <v>-1196.0875368</v>
      </c>
      <c r="BX266" s="21" t="n">
        <f aca="false">IF(ISBLANK(Actuals!BY86),-Helpers!BV5*Assumptions!$B$23,Actuals!BY86)</f>
        <v>-1196.0875368</v>
      </c>
      <c r="BY266" s="21" t="n">
        <f aca="false">IF(ISBLANK(Actuals!BZ86),-Helpers!BW5*Assumptions!$B$23,Actuals!BZ86)</f>
        <v>-1220.009287536</v>
      </c>
      <c r="BZ266" s="21" t="n">
        <f aca="false">IF(ISBLANK(Actuals!CA86),-Helpers!BX5*Assumptions!$B$23,Actuals!CA86)</f>
        <v>-1220.009287536</v>
      </c>
      <c r="CA266" s="21" t="n">
        <f aca="false">IF(ISBLANK(Actuals!CB86),-Helpers!BY5*Assumptions!$B$23,Actuals!CB86)</f>
        <v>-1220.009287536</v>
      </c>
      <c r="CB266" s="21" t="n">
        <f aca="false">IF(ISBLANK(Actuals!CC86),-Helpers!BZ5*Assumptions!$B$23,Actuals!CC86)</f>
        <v>-1220.009287536</v>
      </c>
      <c r="CC266" s="21" t="n">
        <f aca="false">IF(ISBLANK(Actuals!CD86),-Helpers!CA5*Assumptions!$B$23,Actuals!CD86)</f>
        <v>-1220.009287536</v>
      </c>
      <c r="CD266" s="21" t="n">
        <f aca="false">IF(ISBLANK(Actuals!CE86),-Helpers!CB5*Assumptions!$B$23,Actuals!CE86)</f>
        <v>-1220.009287536</v>
      </c>
      <c r="CE266" s="21" t="n">
        <f aca="false">IF(ISBLANK(Actuals!CF86),-Helpers!CC5*Assumptions!$B$23,Actuals!CF86)</f>
        <v>-1220.009287536</v>
      </c>
      <c r="CF266" s="21" t="n">
        <f aca="false">IF(ISBLANK(Actuals!CG86),-Helpers!CD5*Assumptions!$B$23,Actuals!CG86)</f>
        <v>-1220.009287536</v>
      </c>
      <c r="CG266" s="21" t="n">
        <f aca="false">IF(ISBLANK(Actuals!CH86),-Helpers!CE5*Assumptions!$B$23,Actuals!CH86)</f>
        <v>-1220.009287536</v>
      </c>
      <c r="CH266" s="21" t="n">
        <f aca="false">IF(ISBLANK(Actuals!CI86),-Helpers!CF5*Assumptions!$B$23,Actuals!CI86)</f>
        <v>-1220.009287536</v>
      </c>
      <c r="CI266" s="21" t="n">
        <f aca="false">IF(ISBLANK(Actuals!CJ86),-Helpers!CG5*Assumptions!$B$23,Actuals!CJ86)</f>
        <v>-1220.009287536</v>
      </c>
      <c r="CJ266" s="21" t="n">
        <f aca="false">IF(ISBLANK(Actuals!CK86),-Helpers!CH5*Assumptions!$B$23,Actuals!CK86)</f>
        <v>-1220.009287536</v>
      </c>
      <c r="CK266" s="21" t="n">
        <f aca="false">IF(ISBLANK(Actuals!CL86),-Helpers!CI5*Assumptions!$B$23,Actuals!CL86)</f>
        <v>-1244.40947328672</v>
      </c>
      <c r="CL266" s="21" t="n">
        <f aca="false">IF(ISBLANK(Actuals!CM86),-Helpers!CJ5*Assumptions!$B$23,Actuals!CM86)</f>
        <v>-1244.40947328672</v>
      </c>
      <c r="CM266" s="21" t="n">
        <f aca="false">IF(ISBLANK(Actuals!CN86),-Helpers!CK5*Assumptions!$B$23,Actuals!CN86)</f>
        <v>-1244.40947328672</v>
      </c>
      <c r="CN266" s="21" t="n">
        <f aca="false">IF(ISBLANK(Actuals!CO86),-Helpers!CL5*Assumptions!$B$23,Actuals!CO86)</f>
        <v>-1244.40947328672</v>
      </c>
      <c r="CO266" s="21" t="n">
        <f aca="false">IF(ISBLANK(Actuals!CP86),-Helpers!CM5*Assumptions!$B$23,Actuals!CP86)</f>
        <v>-1244.40947328672</v>
      </c>
      <c r="CP266" s="21" t="n">
        <f aca="false">IF(ISBLANK(Actuals!CQ86),-Helpers!CN5*Assumptions!$B$23,Actuals!CQ86)</f>
        <v>-1244.40947328672</v>
      </c>
      <c r="CQ266" s="21" t="n">
        <f aca="false">IF(ISBLANK(Actuals!CR86),-Helpers!CO5*Assumptions!$B$23,Actuals!CR86)</f>
        <v>-1244.40947328672</v>
      </c>
      <c r="CR266" s="21" t="n">
        <f aca="false">IF(ISBLANK(Actuals!CS86),-Helpers!CP5*Assumptions!$B$23,Actuals!CS86)</f>
        <v>-1244.40947328672</v>
      </c>
      <c r="CS266" s="21" t="n">
        <f aca="false">IF(ISBLANK(Actuals!CT86),-Helpers!CQ5*Assumptions!$B$23,Actuals!CT86)</f>
        <v>-1244.40947328672</v>
      </c>
      <c r="CT266" s="21" t="n">
        <f aca="false">IF(ISBLANK(Actuals!CU86),-Helpers!CR5*Assumptions!$B$23,Actuals!CU86)</f>
        <v>-0</v>
      </c>
      <c r="CU266" s="21" t="n">
        <f aca="false">IF(ISBLANK(Actuals!CV86),-Helpers!CS5*Assumptions!$B$23,Actuals!CV86)</f>
        <v>-0</v>
      </c>
      <c r="CV266" s="21" t="n">
        <f aca="false">IF(ISBLANK(Actuals!CW86),-Helpers!CT5*Assumptions!$B$23,Actuals!CW86)</f>
        <v>-0</v>
      </c>
      <c r="CW266" s="21" t="n">
        <f aca="false">IF(ISBLANK(Actuals!CX86),-Helpers!CU5*Assumptions!$B$23,Actuals!CX86)</f>
        <v>-0</v>
      </c>
      <c r="CX266" s="21" t="n">
        <f aca="false">IF(ISBLANK(Actuals!CY86),-Helpers!CV5*Assumptions!$B$23,Actuals!CY86)</f>
        <v>-0</v>
      </c>
      <c r="CY266" s="21" t="n">
        <f aca="false">IF(ISBLANK(Actuals!CZ86),-Helpers!CW5*Assumptions!$B$23,Actuals!CZ86)</f>
        <v>-0</v>
      </c>
      <c r="CZ266" s="21" t="n">
        <f aca="false">IF(ISBLANK(Actuals!DA86),-Helpers!CX5*Assumptions!$B$23,Actuals!DA86)</f>
        <v>-0</v>
      </c>
      <c r="DA266" s="21" t="n">
        <f aca="false">IF(ISBLANK(Actuals!DB86),-Helpers!CY5*Assumptions!$B$23,Actuals!DB86)</f>
        <v>-0</v>
      </c>
      <c r="DB266" s="21" t="n">
        <f aca="false">IF(ISBLANK(Actuals!DC86),-Helpers!CZ5*Assumptions!$B$23,Actuals!DC86)</f>
        <v>-0</v>
      </c>
      <c r="DC266" s="21" t="n">
        <f aca="false">IF(ISBLANK(Actuals!DD86),-Helpers!DA5*Assumptions!$B$23,Actuals!DD86)</f>
        <v>-0</v>
      </c>
      <c r="DD266" s="21" t="n">
        <f aca="false">IF(ISBLANK(Actuals!DE86),-Helpers!DB5*Assumptions!$B$23,Actuals!DE86)</f>
        <v>-0</v>
      </c>
      <c r="DE266" s="21" t="n">
        <f aca="false">IF(ISBLANK(Actuals!DF86),-Helpers!DC5*Assumptions!$B$23,Actuals!DF86)</f>
        <v>-0</v>
      </c>
    </row>
    <row r="267" customFormat="false" ht="15" hidden="false" customHeight="true" outlineLevel="0" collapsed="false">
      <c r="A267" s="35" t="s">
        <v>69</v>
      </c>
      <c r="B267" s="21" t="n">
        <f aca="false">IF(ISBLANK(Actuals!C87),0,Actuals!C87)</f>
        <v>-2200.12</v>
      </c>
      <c r="C267" s="21" t="n">
        <f aca="false">IF(ISBLANK(Actuals!D87),0,Actuals!D87)</f>
        <v>-2200.12</v>
      </c>
      <c r="D267" s="21" t="n">
        <f aca="false">IF(ISBLANK(Actuals!E87),0,Actuals!E87)</f>
        <v>-2200.12</v>
      </c>
      <c r="E267" s="21" t="n">
        <f aca="false">IF(ISBLANK(Actuals!F87),-Helpers!C5*Assumptions!$B$21,Actuals!F87)</f>
        <v>-2200.12</v>
      </c>
      <c r="F267" s="21" t="n">
        <f aca="false">IF(ISBLANK(Actuals!G87),-Helpers!D5*Assumptions!$B$21,Actuals!G87)</f>
        <v>-2200.12</v>
      </c>
      <c r="G267" s="21" t="n">
        <f aca="false">IF(ISBLANK(Actuals!H87),-Helpers!E5*Assumptions!$B$21,Actuals!H87)</f>
        <v>-2200.12</v>
      </c>
      <c r="H267" s="21" t="n">
        <f aca="false">IF(ISBLANK(Actuals!I87),-Helpers!F5*Assumptions!$B$21,Actuals!I87)</f>
        <v>-2200.12</v>
      </c>
      <c r="I267" s="21" t="n">
        <f aca="false">IF(ISBLANK(Actuals!J87),-Helpers!G5*Assumptions!$B$21,Actuals!J87)</f>
        <v>-2200.12</v>
      </c>
      <c r="J267" s="21" t="n">
        <f aca="false">IF(ISBLANK(Actuals!K87),-Helpers!H5*Assumptions!$B$21,Actuals!K87)</f>
        <v>-270.833333333333</v>
      </c>
      <c r="K267" s="21" t="n">
        <f aca="false">IF(ISBLANK(Actuals!L87),-Helpers!I5*Assumptions!$B$21,Actuals!L87)</f>
        <v>-270.833333333333</v>
      </c>
      <c r="L267" s="21" t="n">
        <f aca="false">IF(ISBLANK(Actuals!M87),-Helpers!J5*Assumptions!$B$21,Actuals!M87)</f>
        <v>-270.833333333333</v>
      </c>
      <c r="M267" s="21" t="n">
        <f aca="false">IF(ISBLANK(Actuals!N87),-Helpers!K5*Assumptions!$B$21,Actuals!N87)</f>
        <v>-270.833333333333</v>
      </c>
      <c r="N267" s="21" t="n">
        <f aca="false">IF(ISBLANK(Actuals!O87),-Helpers!L5*Assumptions!$B$21,Actuals!O87)</f>
        <v>-270.833333333333</v>
      </c>
      <c r="O267" s="21" t="n">
        <f aca="false">IF(ISBLANK(Actuals!P87),-Helpers!M5*Assumptions!$B$21,Actuals!P87)</f>
        <v>-270.833333333333</v>
      </c>
      <c r="P267" s="21" t="n">
        <f aca="false">IF(ISBLANK(Actuals!Q87),-Helpers!N5*Assumptions!$B$21,Actuals!Q87)</f>
        <v>-270.833333333333</v>
      </c>
      <c r="Q267" s="21" t="n">
        <f aca="false">IF(ISBLANK(Actuals!R87),-Helpers!O5*Assumptions!$B$21,Actuals!R87)</f>
        <v>-276.25</v>
      </c>
      <c r="R267" s="21" t="n">
        <f aca="false">IF(ISBLANK(Actuals!S87),-Helpers!P5*Assumptions!$B$21,Actuals!S87)</f>
        <v>-276.25</v>
      </c>
      <c r="S267" s="21" t="n">
        <f aca="false">IF(ISBLANK(Actuals!T87),-Helpers!Q5*Assumptions!$B$21,Actuals!T87)</f>
        <v>-276.25</v>
      </c>
      <c r="T267" s="21" t="n">
        <f aca="false">IF(ISBLANK(Actuals!U87),-Helpers!R5*Assumptions!$B$21,Actuals!U87)</f>
        <v>-276.25</v>
      </c>
      <c r="U267" s="21" t="n">
        <f aca="false">IF(ISBLANK(Actuals!V87),-Helpers!S5*Assumptions!$B$21,Actuals!V87)</f>
        <v>-276.25</v>
      </c>
      <c r="V267" s="21" t="n">
        <f aca="false">IF(ISBLANK(Actuals!W87),-Helpers!T5*Assumptions!$B$21,Actuals!W87)</f>
        <v>-276.25</v>
      </c>
      <c r="W267" s="21" t="n">
        <f aca="false">IF(ISBLANK(Actuals!X87),-Helpers!U5*Assumptions!$B$21,Actuals!X87)</f>
        <v>-276.25</v>
      </c>
      <c r="X267" s="21" t="n">
        <f aca="false">IF(ISBLANK(Actuals!Y87),-Helpers!V5*Assumptions!$B$21,Actuals!Y87)</f>
        <v>-276.25</v>
      </c>
      <c r="Y267" s="21" t="n">
        <f aca="false">IF(ISBLANK(Actuals!Z87),-Helpers!W5*Assumptions!$B$21,Actuals!Z87)</f>
        <v>-276.25</v>
      </c>
      <c r="Z267" s="21" t="n">
        <f aca="false">IF(ISBLANK(Actuals!AA87),-Helpers!X5*Assumptions!$B$21,Actuals!AA87)</f>
        <v>-276.25</v>
      </c>
      <c r="AA267" s="21" t="n">
        <f aca="false">IF(ISBLANK(Actuals!AB87),-Helpers!Y5*Assumptions!$B$21,Actuals!AB87)</f>
        <v>-276.25</v>
      </c>
      <c r="AB267" s="21" t="n">
        <f aca="false">IF(ISBLANK(Actuals!AC87),-Helpers!Z5*Assumptions!$B$21,Actuals!AC87)</f>
        <v>-276.25</v>
      </c>
      <c r="AC267" s="21" t="n">
        <f aca="false">IF(ISBLANK(Actuals!AD87),-Helpers!AA5*Assumptions!$B$21,Actuals!AD87)</f>
        <v>-281.775</v>
      </c>
      <c r="AD267" s="21" t="n">
        <f aca="false">IF(ISBLANK(Actuals!AE87),-Helpers!AB5*Assumptions!$B$21,Actuals!AE87)</f>
        <v>-281.775</v>
      </c>
      <c r="AE267" s="21" t="n">
        <f aca="false">IF(ISBLANK(Actuals!AF87),-Helpers!AC5*Assumptions!$B$21,Actuals!AF87)</f>
        <v>-281.775</v>
      </c>
      <c r="AF267" s="21" t="n">
        <f aca="false">IF(ISBLANK(Actuals!AG87),-Helpers!AD5*Assumptions!$B$21,Actuals!AG87)</f>
        <v>-281.775</v>
      </c>
      <c r="AG267" s="21" t="n">
        <f aca="false">IF(ISBLANK(Actuals!AH87),-Helpers!AE5*Assumptions!$B$21,Actuals!AH87)</f>
        <v>-281.775</v>
      </c>
      <c r="AH267" s="21" t="n">
        <f aca="false">IF(ISBLANK(Actuals!AI87),-Helpers!AF5*Assumptions!$B$21,Actuals!AI87)</f>
        <v>-281.775</v>
      </c>
      <c r="AI267" s="21" t="n">
        <f aca="false">IF(ISBLANK(Actuals!AJ87),-Helpers!AG5*Assumptions!$B$21,Actuals!AJ87)</f>
        <v>-281.775</v>
      </c>
      <c r="AJ267" s="21" t="n">
        <f aca="false">IF(ISBLANK(Actuals!AK87),-Helpers!AH5*Assumptions!$B$21,Actuals!AK87)</f>
        <v>-281.775</v>
      </c>
      <c r="AK267" s="21" t="n">
        <f aca="false">IF(ISBLANK(Actuals!AL87),-Helpers!AI5*Assumptions!$B$21,Actuals!AL87)</f>
        <v>-281.775</v>
      </c>
      <c r="AL267" s="21" t="n">
        <f aca="false">IF(ISBLANK(Actuals!AM87),-Helpers!AJ5*Assumptions!$B$21,Actuals!AM87)</f>
        <v>-281.775</v>
      </c>
      <c r="AM267" s="21" t="n">
        <f aca="false">IF(ISBLANK(Actuals!AN87),-Helpers!AK5*Assumptions!$B$21,Actuals!AN87)</f>
        <v>-281.775</v>
      </c>
      <c r="AN267" s="21" t="n">
        <f aca="false">IF(ISBLANK(Actuals!AO87),-Helpers!AL5*Assumptions!$B$21,Actuals!AO87)</f>
        <v>-281.775</v>
      </c>
      <c r="AO267" s="21" t="n">
        <f aca="false">IF(ISBLANK(Actuals!AP87),-Helpers!AM5*Assumptions!$B$21,Actuals!AP87)</f>
        <v>-287.4105</v>
      </c>
      <c r="AP267" s="21" t="n">
        <f aca="false">IF(ISBLANK(Actuals!AQ87),-Helpers!AN5*Assumptions!$B$21,Actuals!AQ87)</f>
        <v>-287.4105</v>
      </c>
      <c r="AQ267" s="21" t="n">
        <f aca="false">IF(ISBLANK(Actuals!AR87),-Helpers!AO5*Assumptions!$B$21,Actuals!AR87)</f>
        <v>-287.4105</v>
      </c>
      <c r="AR267" s="21" t="n">
        <f aca="false">IF(ISBLANK(Actuals!AS87),-Helpers!AP5*Assumptions!$B$21,Actuals!AS87)</f>
        <v>-287.4105</v>
      </c>
      <c r="AS267" s="21" t="n">
        <f aca="false">IF(ISBLANK(Actuals!AT87),-Helpers!AQ5*Assumptions!$B$21,Actuals!AT87)</f>
        <v>-287.4105</v>
      </c>
      <c r="AT267" s="21" t="n">
        <f aca="false">IF(ISBLANK(Actuals!AU87),-Helpers!AR5*Assumptions!$B$21,Actuals!AU87)</f>
        <v>-287.4105</v>
      </c>
      <c r="AU267" s="21" t="n">
        <f aca="false">IF(ISBLANK(Actuals!AV87),-Helpers!AS5*Assumptions!$B$21,Actuals!AV87)</f>
        <v>-287.4105</v>
      </c>
      <c r="AV267" s="21" t="n">
        <f aca="false">IF(ISBLANK(Actuals!AW87),-Helpers!AT5*Assumptions!$B$21,Actuals!AW87)</f>
        <v>-287.4105</v>
      </c>
      <c r="AW267" s="21" t="n">
        <f aca="false">IF(ISBLANK(Actuals!AX87),-Helpers!AU5*Assumptions!$B$21,Actuals!AX87)</f>
        <v>-287.4105</v>
      </c>
      <c r="AX267" s="21" t="n">
        <f aca="false">IF(ISBLANK(Actuals!AY87),-Helpers!AV5*Assumptions!$B$21,Actuals!AY87)</f>
        <v>-287.4105</v>
      </c>
      <c r="AY267" s="21" t="n">
        <f aca="false">IF(ISBLANK(Actuals!AZ87),-Helpers!AW5*Assumptions!$B$21,Actuals!AZ87)</f>
        <v>-287.4105</v>
      </c>
      <c r="AZ267" s="21" t="n">
        <f aca="false">IF(ISBLANK(Actuals!BA87),-Helpers!AX5*Assumptions!$B$21,Actuals!BA87)</f>
        <v>-287.4105</v>
      </c>
      <c r="BA267" s="21" t="n">
        <f aca="false">IF(ISBLANK(Actuals!BB87),-Helpers!AY5*Assumptions!$B$21,Actuals!BB87)</f>
        <v>-293.15871</v>
      </c>
      <c r="BB267" s="21" t="n">
        <f aca="false">IF(ISBLANK(Actuals!BC87),-Helpers!AZ5*Assumptions!$B$21,Actuals!BC87)</f>
        <v>-293.15871</v>
      </c>
      <c r="BC267" s="21" t="n">
        <f aca="false">IF(ISBLANK(Actuals!BD87),-Helpers!BA5*Assumptions!$B$21,Actuals!BD87)</f>
        <v>-293.15871</v>
      </c>
      <c r="BD267" s="21" t="n">
        <f aca="false">IF(ISBLANK(Actuals!BE87),-Helpers!BB5*Assumptions!$B$21,Actuals!BE87)</f>
        <v>-293.15871</v>
      </c>
      <c r="BE267" s="21" t="n">
        <f aca="false">IF(ISBLANK(Actuals!BF87),-Helpers!BC5*Assumptions!$B$21,Actuals!BF87)</f>
        <v>-293.15871</v>
      </c>
      <c r="BF267" s="21" t="n">
        <f aca="false">IF(ISBLANK(Actuals!BG87),-Helpers!BD5*Assumptions!$B$21,Actuals!BG87)</f>
        <v>-293.15871</v>
      </c>
      <c r="BG267" s="21" t="n">
        <f aca="false">IF(ISBLANK(Actuals!BH87),-Helpers!BE5*Assumptions!$B$21,Actuals!BH87)</f>
        <v>-293.15871</v>
      </c>
      <c r="BH267" s="21" t="n">
        <f aca="false">IF(ISBLANK(Actuals!BI87),-Helpers!BF5*Assumptions!$B$21,Actuals!BI87)</f>
        <v>-293.15871</v>
      </c>
      <c r="BI267" s="21" t="n">
        <f aca="false">IF(ISBLANK(Actuals!BJ87),-Helpers!BG5*Assumptions!$B$21,Actuals!BJ87)</f>
        <v>-293.15871</v>
      </c>
      <c r="BJ267" s="21" t="n">
        <f aca="false">IF(ISBLANK(Actuals!BK87),-Helpers!BH5*Assumptions!$B$21,Actuals!BK87)</f>
        <v>-293.15871</v>
      </c>
      <c r="BK267" s="21" t="n">
        <f aca="false">IF(ISBLANK(Actuals!BL87),-Helpers!BI5*Assumptions!$B$21,Actuals!BL87)</f>
        <v>-293.15871</v>
      </c>
      <c r="BL267" s="21" t="n">
        <f aca="false">IF(ISBLANK(Actuals!BM87),-Helpers!BJ5*Assumptions!$B$21,Actuals!BM87)</f>
        <v>-293.15871</v>
      </c>
      <c r="BM267" s="21" t="n">
        <f aca="false">IF(ISBLANK(Actuals!BN87),-Helpers!BK5*Assumptions!$B$21,Actuals!BN87)</f>
        <v>-299.0218842</v>
      </c>
      <c r="BN267" s="21" t="n">
        <f aca="false">IF(ISBLANK(Actuals!BO87),-Helpers!BL5*Assumptions!$B$21,Actuals!BO87)</f>
        <v>-299.0218842</v>
      </c>
      <c r="BO267" s="21" t="n">
        <f aca="false">IF(ISBLANK(Actuals!BP87),-Helpers!BM5*Assumptions!$B$21,Actuals!BP87)</f>
        <v>-299.0218842</v>
      </c>
      <c r="BP267" s="21" t="n">
        <f aca="false">IF(ISBLANK(Actuals!BQ87),-Helpers!BN5*Assumptions!$B$21,Actuals!BQ87)</f>
        <v>-299.0218842</v>
      </c>
      <c r="BQ267" s="21" t="n">
        <f aca="false">IF(ISBLANK(Actuals!BR87),-Helpers!BO5*Assumptions!$B$21,Actuals!BR87)</f>
        <v>-299.0218842</v>
      </c>
      <c r="BR267" s="21" t="n">
        <f aca="false">IF(ISBLANK(Actuals!BS87),-Helpers!BP5*Assumptions!$B$21,Actuals!BS87)</f>
        <v>-299.0218842</v>
      </c>
      <c r="BS267" s="21" t="n">
        <f aca="false">IF(ISBLANK(Actuals!BT87),-Helpers!BQ5*Assumptions!$B$21,Actuals!BT87)</f>
        <v>-299.0218842</v>
      </c>
      <c r="BT267" s="21" t="n">
        <f aca="false">IF(ISBLANK(Actuals!BU87),-Helpers!BR5*Assumptions!$B$21,Actuals!BU87)</f>
        <v>-299.0218842</v>
      </c>
      <c r="BU267" s="21" t="n">
        <f aca="false">IF(ISBLANK(Actuals!BV87),-Helpers!BS5*Assumptions!$B$21,Actuals!BV87)</f>
        <v>-299.0218842</v>
      </c>
      <c r="BV267" s="21" t="n">
        <f aca="false">IF(ISBLANK(Actuals!BW87),-Helpers!BT5*Assumptions!$B$21,Actuals!BW87)</f>
        <v>-299.0218842</v>
      </c>
      <c r="BW267" s="21" t="n">
        <f aca="false">IF(ISBLANK(Actuals!BX87),-Helpers!BU5*Assumptions!$B$21,Actuals!BX87)</f>
        <v>-299.0218842</v>
      </c>
      <c r="BX267" s="21" t="n">
        <f aca="false">IF(ISBLANK(Actuals!BY87),-Helpers!BV5*Assumptions!$B$21,Actuals!BY87)</f>
        <v>-299.0218842</v>
      </c>
      <c r="BY267" s="21" t="n">
        <f aca="false">IF(ISBLANK(Actuals!BZ87),-Helpers!BW5*Assumptions!$B$21,Actuals!BZ87)</f>
        <v>-305.002321884</v>
      </c>
      <c r="BZ267" s="21" t="n">
        <f aca="false">IF(ISBLANK(Actuals!CA87),-Helpers!BX5*Assumptions!$B$21,Actuals!CA87)</f>
        <v>-305.002321884</v>
      </c>
      <c r="CA267" s="21" t="n">
        <f aca="false">IF(ISBLANK(Actuals!CB87),-Helpers!BY5*Assumptions!$B$21,Actuals!CB87)</f>
        <v>-305.002321884</v>
      </c>
      <c r="CB267" s="21" t="n">
        <f aca="false">IF(ISBLANK(Actuals!CC87),-Helpers!BZ5*Assumptions!$B$21,Actuals!CC87)</f>
        <v>-305.002321884</v>
      </c>
      <c r="CC267" s="21" t="n">
        <f aca="false">IF(ISBLANK(Actuals!CD87),-Helpers!CA5*Assumptions!$B$21,Actuals!CD87)</f>
        <v>-305.002321884</v>
      </c>
      <c r="CD267" s="21" t="n">
        <f aca="false">IF(ISBLANK(Actuals!CE87),-Helpers!CB5*Assumptions!$B$21,Actuals!CE87)</f>
        <v>-305.002321884</v>
      </c>
      <c r="CE267" s="21" t="n">
        <f aca="false">IF(ISBLANK(Actuals!CF87),-Helpers!CC5*Assumptions!$B$21,Actuals!CF87)</f>
        <v>-305.002321884</v>
      </c>
      <c r="CF267" s="21" t="n">
        <f aca="false">IF(ISBLANK(Actuals!CG87),-Helpers!CD5*Assumptions!$B$21,Actuals!CG87)</f>
        <v>-305.002321884</v>
      </c>
      <c r="CG267" s="21" t="n">
        <f aca="false">IF(ISBLANK(Actuals!CH87),-Helpers!CE5*Assumptions!$B$21,Actuals!CH87)</f>
        <v>-305.002321884</v>
      </c>
      <c r="CH267" s="21" t="n">
        <f aca="false">IF(ISBLANK(Actuals!CI87),-Helpers!CF5*Assumptions!$B$21,Actuals!CI87)</f>
        <v>-305.002321884</v>
      </c>
      <c r="CI267" s="21" t="n">
        <f aca="false">IF(ISBLANK(Actuals!CJ87),-Helpers!CG5*Assumptions!$B$21,Actuals!CJ87)</f>
        <v>-305.002321884</v>
      </c>
      <c r="CJ267" s="21" t="n">
        <f aca="false">IF(ISBLANK(Actuals!CK87),-Helpers!CH5*Assumptions!$B$21,Actuals!CK87)</f>
        <v>-305.002321884</v>
      </c>
      <c r="CK267" s="21" t="n">
        <f aca="false">IF(ISBLANK(Actuals!CL87),-Helpers!CI5*Assumptions!$B$21,Actuals!CL87)</f>
        <v>-311.10236832168</v>
      </c>
      <c r="CL267" s="21" t="n">
        <f aca="false">IF(ISBLANK(Actuals!CM87),-Helpers!CJ5*Assumptions!$B$21,Actuals!CM87)</f>
        <v>-311.10236832168</v>
      </c>
      <c r="CM267" s="21" t="n">
        <f aca="false">IF(ISBLANK(Actuals!CN87),-Helpers!CK5*Assumptions!$B$21,Actuals!CN87)</f>
        <v>-311.10236832168</v>
      </c>
      <c r="CN267" s="21" t="n">
        <f aca="false">IF(ISBLANK(Actuals!CO87),-Helpers!CL5*Assumptions!$B$21,Actuals!CO87)</f>
        <v>-311.10236832168</v>
      </c>
      <c r="CO267" s="21" t="n">
        <f aca="false">IF(ISBLANK(Actuals!CP87),-Helpers!CM5*Assumptions!$B$21,Actuals!CP87)</f>
        <v>-311.10236832168</v>
      </c>
      <c r="CP267" s="21" t="n">
        <f aca="false">IF(ISBLANK(Actuals!CQ87),-Helpers!CN5*Assumptions!$B$21,Actuals!CQ87)</f>
        <v>-311.10236832168</v>
      </c>
      <c r="CQ267" s="21" t="n">
        <f aca="false">IF(ISBLANK(Actuals!CR87),-Helpers!CO5*Assumptions!$B$21,Actuals!CR87)</f>
        <v>-311.10236832168</v>
      </c>
      <c r="CR267" s="21" t="n">
        <f aca="false">IF(ISBLANK(Actuals!CS87),-Helpers!CP5*Assumptions!$B$21,Actuals!CS87)</f>
        <v>-311.10236832168</v>
      </c>
      <c r="CS267" s="21" t="n">
        <f aca="false">IF(ISBLANK(Actuals!CT87),-Helpers!CQ5*Assumptions!$B$21,Actuals!CT87)</f>
        <v>-311.10236832168</v>
      </c>
      <c r="CT267" s="21" t="n">
        <f aca="false">IF(ISBLANK(Actuals!CU87),-Helpers!CR5*Assumptions!$B$21,Actuals!CU87)</f>
        <v>-0</v>
      </c>
      <c r="CU267" s="21" t="n">
        <f aca="false">IF(ISBLANK(Actuals!CV87),-Helpers!CS5*Assumptions!$B$21,Actuals!CV87)</f>
        <v>-0</v>
      </c>
      <c r="CV267" s="21" t="n">
        <f aca="false">IF(ISBLANK(Actuals!CW87),-Helpers!CT5*Assumptions!$B$21,Actuals!CW87)</f>
        <v>-0</v>
      </c>
      <c r="CW267" s="21" t="n">
        <f aca="false">IF(ISBLANK(Actuals!CX87),-Helpers!CU5*Assumptions!$B$21,Actuals!CX87)</f>
        <v>-0</v>
      </c>
      <c r="CX267" s="21" t="n">
        <f aca="false">IF(ISBLANK(Actuals!CY87),-Helpers!CV5*Assumptions!$B$21,Actuals!CY87)</f>
        <v>-0</v>
      </c>
      <c r="CY267" s="21" t="n">
        <f aca="false">IF(ISBLANK(Actuals!CZ87),-Helpers!CW5*Assumptions!$B$21,Actuals!CZ87)</f>
        <v>-0</v>
      </c>
      <c r="CZ267" s="21" t="n">
        <f aca="false">IF(ISBLANK(Actuals!DA87),-Helpers!CX5*Assumptions!$B$21,Actuals!DA87)</f>
        <v>-0</v>
      </c>
      <c r="DA267" s="21" t="n">
        <f aca="false">IF(ISBLANK(Actuals!DB87),-Helpers!CY5*Assumptions!$B$21,Actuals!DB87)</f>
        <v>-0</v>
      </c>
      <c r="DB267" s="21" t="n">
        <f aca="false">IF(ISBLANK(Actuals!DC87),-Helpers!CZ5*Assumptions!$B$21,Actuals!DC87)</f>
        <v>-0</v>
      </c>
      <c r="DC267" s="21" t="n">
        <f aca="false">IF(ISBLANK(Actuals!DD87),-Helpers!DA5*Assumptions!$B$21,Actuals!DD87)</f>
        <v>-0</v>
      </c>
      <c r="DD267" s="21" t="n">
        <f aca="false">IF(ISBLANK(Actuals!DE87),-Helpers!DB5*Assumptions!$B$21,Actuals!DE87)</f>
        <v>-0</v>
      </c>
      <c r="DE267" s="21" t="n">
        <f aca="false">IF(ISBLANK(Actuals!DF87),-Helpers!DC5*Assumptions!$B$21,Actuals!DF87)</f>
        <v>-0</v>
      </c>
    </row>
    <row r="268" customFormat="false" ht="15" hidden="false" customHeight="true" outlineLevel="0" collapsed="false">
      <c r="A268" s="35" t="s">
        <v>72</v>
      </c>
      <c r="B268" s="21" t="n">
        <f aca="false">IF(ISBLANK(Actuals!C88),0,Actuals!C88)</f>
        <v>-8848.65</v>
      </c>
      <c r="C268" s="21" t="n">
        <f aca="false">IF(ISBLANK(Actuals!D88),0,Actuals!D88)</f>
        <v>-8817.63</v>
      </c>
      <c r="D268" s="21" t="n">
        <f aca="false">IF(ISBLANK(Actuals!E88),0,Actuals!E88)</f>
        <v>-3775.91</v>
      </c>
      <c r="E268" s="21" t="n">
        <f aca="false">IF(ISBLANK(Actuals!F88),-8500*Escalation!$B$2,Actuals!F88)</f>
        <v>-8731.12</v>
      </c>
      <c r="F268" s="21" t="n">
        <f aca="false">IF(ISBLANK(Actuals!G88),-8500*Escalation!$B$3,Actuals!G88)</f>
        <v>-8739.17</v>
      </c>
      <c r="G268" s="21" t="n">
        <f aca="false">IF(ISBLANK(Actuals!H88),-8500*Escalation!$B$4,Actuals!H88)</f>
        <v>-8771.99</v>
      </c>
      <c r="H268" s="21" t="n">
        <f aca="false">IF(ISBLANK(Actuals!I88),-8500*Escalation!$B$5,Actuals!I88)</f>
        <v>-13832.56</v>
      </c>
      <c r="I268" s="21" t="n">
        <f aca="false">IF(ISBLANK(Actuals!J88),-8500*Escalation!$B$6,Actuals!J88)</f>
        <v>-3870.05</v>
      </c>
      <c r="J268" s="21" t="n">
        <f aca="false">IF(ISBLANK(Actuals!K88),-8500*Escalation!$B$7,Actuals!K88)</f>
        <v>-8500</v>
      </c>
      <c r="K268" s="21" t="n">
        <f aca="false">IF(ISBLANK(Actuals!L88),-8500*Escalation!$B$8,Actuals!L88)</f>
        <v>-8500</v>
      </c>
      <c r="L268" s="21" t="n">
        <f aca="false">IF(ISBLANK(Actuals!M88),-8500*Escalation!$B$9,Actuals!M88)</f>
        <v>-8500</v>
      </c>
      <c r="M268" s="21" t="n">
        <f aca="false">IF(ISBLANK(Actuals!N88),-5000,Actuals!N88)</f>
        <v>-5000</v>
      </c>
      <c r="N268" s="21" t="n">
        <f aca="false">IF(ISBLANK(Actuals!O88),-5000,Actuals!O88)</f>
        <v>-5000</v>
      </c>
      <c r="O268" s="21" t="n">
        <f aca="false">IF(ISBLANK(Actuals!P88),-5000,Actuals!P88)</f>
        <v>-5000</v>
      </c>
      <c r="P268" s="21" t="n">
        <f aca="false">IF(ISBLANK(Actuals!Q88),-5000,Actuals!Q88)</f>
        <v>-5000</v>
      </c>
      <c r="Q268" s="21" t="n">
        <f aca="false">IF(ISBLANK(Actuals!R88),-5000,Actuals!R88)</f>
        <v>-5000</v>
      </c>
      <c r="R268" s="21" t="n">
        <f aca="false">IF(ISBLANK(Actuals!S88),-5000,Actuals!S88)</f>
        <v>-5000</v>
      </c>
      <c r="S268" s="21" t="n">
        <f aca="false">IF(ISBLANK(Actuals!T88),-5000,Actuals!T88)</f>
        <v>-5000</v>
      </c>
      <c r="T268" s="21" t="n">
        <f aca="false">IF(ISBLANK(Actuals!U88),-5000,Actuals!U88)</f>
        <v>-5000</v>
      </c>
      <c r="U268" s="21" t="n">
        <f aca="false">IF(ISBLANK(Actuals!V88),-5000,Actuals!V88)</f>
        <v>-5000</v>
      </c>
      <c r="V268" s="21" t="n">
        <f aca="false">IF(ISBLANK(Actuals!W88),-5000,Actuals!W88)</f>
        <v>-5000</v>
      </c>
      <c r="W268" s="21" t="n">
        <f aca="false">IF(ISBLANK(Actuals!X88),-5000,Actuals!X88)</f>
        <v>-5000</v>
      </c>
      <c r="X268" s="21" t="n">
        <f aca="false">IF(ISBLANK(Actuals!Y88),-5000,Actuals!Y88)</f>
        <v>-5000</v>
      </c>
      <c r="Y268" s="21" t="n">
        <f aca="false">IF(ISBLANK(Actuals!Z88),-5000,Actuals!Z88)</f>
        <v>-5000</v>
      </c>
      <c r="Z268" s="21" t="n">
        <f aca="false">IF(ISBLANK(Actuals!AA88),-5000,Actuals!AA88)</f>
        <v>-5000</v>
      </c>
      <c r="AA268" s="21" t="n">
        <f aca="false">IF(ISBLANK(Actuals!AB88),-5000,Actuals!AB88)</f>
        <v>-5000</v>
      </c>
      <c r="AB268" s="21" t="n">
        <f aca="false">IF(ISBLANK(Actuals!AC88),-5000,Actuals!AC88)</f>
        <v>-5000</v>
      </c>
      <c r="AC268" s="21" t="n">
        <f aca="false">IF(ISBLANK(Actuals!AD88),-5000,Actuals!AD88)</f>
        <v>-5000</v>
      </c>
      <c r="AD268" s="21" t="n">
        <f aca="false">IF(ISBLANK(Actuals!AE88),-5000,Actuals!AE88)</f>
        <v>-5000</v>
      </c>
      <c r="AE268" s="21" t="n">
        <f aca="false">IF(ISBLANK(Actuals!AF88),-5000,Actuals!AF88)</f>
        <v>-5000</v>
      </c>
      <c r="AF268" s="21" t="n">
        <f aca="false">IF(ISBLANK(Actuals!AG88),-5000,Actuals!AG88)</f>
        <v>-5000</v>
      </c>
      <c r="AG268" s="21" t="n">
        <f aca="false">IF(ISBLANK(Actuals!AH88),-5000,Actuals!AH88)</f>
        <v>-5000</v>
      </c>
      <c r="AH268" s="21" t="n">
        <f aca="false">IF(ISBLANK(Actuals!AI88),-5000,Actuals!AI88)</f>
        <v>-5000</v>
      </c>
      <c r="AI268" s="21" t="n">
        <f aca="false">IF(ISBLANK(Actuals!AJ88),-5000,Actuals!AJ88)</f>
        <v>-5000</v>
      </c>
      <c r="AJ268" s="21" t="n">
        <f aca="false">IF(ISBLANK(Actuals!AK88),-5000,Actuals!AK88)</f>
        <v>-5000</v>
      </c>
      <c r="AK268" s="21" t="n">
        <f aca="false">IF(ISBLANK(Actuals!AL88),-5000,Actuals!AL88)</f>
        <v>-5000</v>
      </c>
      <c r="AL268" s="21" t="n">
        <f aca="false">IF(ISBLANK(Actuals!AM88),-5000,Actuals!AM88)</f>
        <v>-5000</v>
      </c>
      <c r="AM268" s="21" t="n">
        <f aca="false">IF(ISBLANK(Actuals!AN88),-5000,Actuals!AN88)</f>
        <v>-5000</v>
      </c>
      <c r="AN268" s="21" t="n">
        <f aca="false">IF(ISBLANK(Actuals!AO88),-5000,Actuals!AO88)</f>
        <v>-5000</v>
      </c>
      <c r="AO268" s="21" t="n">
        <f aca="false">IF(ISBLANK(Actuals!AP88),-5000,Actuals!AP88)</f>
        <v>-5000</v>
      </c>
      <c r="AP268" s="21" t="n">
        <f aca="false">IF(ISBLANK(Actuals!AQ88),-5000,Actuals!AQ88)</f>
        <v>-5000</v>
      </c>
      <c r="AQ268" s="21" t="n">
        <f aca="false">IF(ISBLANK(Actuals!AR88),-5000,Actuals!AR88)</f>
        <v>-5000</v>
      </c>
      <c r="AR268" s="21" t="n">
        <f aca="false">IF(ISBLANK(Actuals!AS88),-5000,Actuals!AS88)</f>
        <v>-5000</v>
      </c>
      <c r="AS268" s="21" t="n">
        <f aca="false">IF(ISBLANK(Actuals!AT88),-5000,Actuals!AT88)</f>
        <v>-5000</v>
      </c>
      <c r="AT268" s="21" t="n">
        <f aca="false">IF(ISBLANK(Actuals!AU88),-5000,Actuals!AU88)</f>
        <v>-5000</v>
      </c>
      <c r="AU268" s="21" t="n">
        <f aca="false">IF(ISBLANK(Actuals!AV88),-5000,Actuals!AV88)</f>
        <v>-5000</v>
      </c>
      <c r="AV268" s="21" t="n">
        <f aca="false">IF(ISBLANK(Actuals!AW88),-5000,Actuals!AW88)</f>
        <v>-5000</v>
      </c>
      <c r="AW268" s="21" t="n">
        <f aca="false">IF(ISBLANK(Actuals!AX88),-5000,Actuals!AX88)</f>
        <v>-5000</v>
      </c>
      <c r="AX268" s="21" t="n">
        <f aca="false">IF(ISBLANK(Actuals!AY88),-5000,Actuals!AY88)</f>
        <v>-5000</v>
      </c>
      <c r="AY268" s="21" t="n">
        <f aca="false">IF(ISBLANK(Actuals!AZ88),-5000,Actuals!AZ88)</f>
        <v>-5000</v>
      </c>
      <c r="AZ268" s="21" t="n">
        <f aca="false">IF(ISBLANK(Actuals!BA88),-5000,Actuals!BA88)</f>
        <v>-5000</v>
      </c>
      <c r="BA268" s="21" t="n">
        <f aca="false">IF(ISBLANK(Actuals!BB88),-5000,Actuals!BB88)</f>
        <v>-5000</v>
      </c>
      <c r="BB268" s="21" t="n">
        <f aca="false">IF(ISBLANK(Actuals!BC88),-5000,Actuals!BC88)</f>
        <v>-5000</v>
      </c>
      <c r="BC268" s="21" t="n">
        <f aca="false">IF(ISBLANK(Actuals!BD88),-5000,Actuals!BD88)</f>
        <v>-5000</v>
      </c>
      <c r="BD268" s="21" t="n">
        <f aca="false">IF(ISBLANK(Actuals!BE88),-5000,Actuals!BE88)</f>
        <v>-5000</v>
      </c>
      <c r="BE268" s="21" t="n">
        <f aca="false">IF(ISBLANK(Actuals!BF88),-5000,Actuals!BF88)</f>
        <v>-5000</v>
      </c>
      <c r="BF268" s="21" t="n">
        <f aca="false">IF(ISBLANK(Actuals!BG88),-5000,Actuals!BG88)</f>
        <v>-5000</v>
      </c>
      <c r="BG268" s="21" t="n">
        <f aca="false">IF(ISBLANK(Actuals!BH88),-5000,Actuals!BH88)</f>
        <v>-5000</v>
      </c>
      <c r="BH268" s="21" t="n">
        <f aca="false">IF(ISBLANK(Actuals!BI88),-5000,Actuals!BI88)</f>
        <v>-5000</v>
      </c>
      <c r="BI268" s="21" t="n">
        <f aca="false">IF(ISBLANK(Actuals!BJ88),-5000,Actuals!BJ88)</f>
        <v>-5000</v>
      </c>
      <c r="BJ268" s="21" t="n">
        <f aca="false">IF(ISBLANK(Actuals!BK88),-5000,Actuals!BK88)</f>
        <v>-5000</v>
      </c>
      <c r="BK268" s="21" t="n">
        <f aca="false">IF(ISBLANK(Actuals!BL88),-5000,Actuals!BL88)</f>
        <v>-5000</v>
      </c>
      <c r="BL268" s="21" t="n">
        <f aca="false">IF(ISBLANK(Actuals!BM88),-5000,Actuals!BM88)</f>
        <v>-5000</v>
      </c>
      <c r="BM268" s="21" t="n">
        <f aca="false">IF(ISBLANK(Actuals!BN88),-5000,Actuals!BN88)</f>
        <v>-5000</v>
      </c>
      <c r="BN268" s="21" t="n">
        <f aca="false">IF(ISBLANK(Actuals!BO88),-5000,Actuals!BO88)</f>
        <v>-5000</v>
      </c>
      <c r="BO268" s="21" t="n">
        <f aca="false">IF(ISBLANK(Actuals!BP88),-5000,Actuals!BP88)</f>
        <v>-5000</v>
      </c>
      <c r="BP268" s="21" t="n">
        <f aca="false">IF(ISBLANK(Actuals!BQ88),-5000,Actuals!BQ88)</f>
        <v>-5000</v>
      </c>
      <c r="BQ268" s="21" t="n">
        <f aca="false">IF(ISBLANK(Actuals!BR88),-5000,Actuals!BR88)</f>
        <v>-5000</v>
      </c>
      <c r="BR268" s="21" t="n">
        <f aca="false">IF(ISBLANK(Actuals!BS88),-5000,Actuals!BS88)</f>
        <v>-5000</v>
      </c>
      <c r="BS268" s="21" t="n">
        <f aca="false">IF(ISBLANK(Actuals!BT88),-5000,Actuals!BT88)</f>
        <v>-5000</v>
      </c>
      <c r="BT268" s="21" t="n">
        <f aca="false">IF(ISBLANK(Actuals!BU88),-5000,Actuals!BU88)</f>
        <v>-5000</v>
      </c>
      <c r="BU268" s="21" t="n">
        <f aca="false">IF(ISBLANK(Actuals!BV88),-5000,Actuals!BV88)</f>
        <v>-5000</v>
      </c>
      <c r="BV268" s="21" t="n">
        <f aca="false">IF(ISBLANK(Actuals!BW88),-5000,Actuals!BW88)</f>
        <v>-5000</v>
      </c>
      <c r="BW268" s="21" t="n">
        <f aca="false">IF(ISBLANK(Actuals!BX88),-5000,Actuals!BX88)</f>
        <v>-5000</v>
      </c>
      <c r="BX268" s="21" t="n">
        <f aca="false">IF(ISBLANK(Actuals!BY88),-5000,Actuals!BY88)</f>
        <v>-5000</v>
      </c>
      <c r="BY268" s="21" t="n">
        <f aca="false">IF(ISBLANK(Actuals!BZ88),-5000,Actuals!BZ88)</f>
        <v>-5000</v>
      </c>
      <c r="BZ268" s="21" t="n">
        <f aca="false">IF(ISBLANK(Actuals!CA88),-5000,Actuals!CA88)</f>
        <v>-5000</v>
      </c>
      <c r="CA268" s="21" t="n">
        <f aca="false">IF(ISBLANK(Actuals!CB88),-5000,Actuals!CB88)</f>
        <v>-5000</v>
      </c>
      <c r="CB268" s="21" t="n">
        <f aca="false">IF(ISBLANK(Actuals!CC88),-5000,Actuals!CC88)</f>
        <v>-5000</v>
      </c>
      <c r="CC268" s="21" t="n">
        <f aca="false">IF(ISBLANK(Actuals!CD88),-5000,Actuals!CD88)</f>
        <v>-5000</v>
      </c>
      <c r="CD268" s="21" t="n">
        <f aca="false">IF(ISBLANK(Actuals!CE88),-5000,Actuals!CE88)</f>
        <v>-5000</v>
      </c>
      <c r="CE268" s="21" t="n">
        <f aca="false">IF(ISBLANK(Actuals!CF88),-5000,Actuals!CF88)</f>
        <v>-5000</v>
      </c>
      <c r="CF268" s="21" t="n">
        <f aca="false">IF(ISBLANK(Actuals!CG88),-5000,Actuals!CG88)</f>
        <v>-5000</v>
      </c>
      <c r="CG268" s="21" t="n">
        <f aca="false">IF(ISBLANK(Actuals!CH88),-5000,Actuals!CH88)</f>
        <v>-5000</v>
      </c>
      <c r="CH268" s="21" t="n">
        <f aca="false">IF(ISBLANK(Actuals!CI88),-5000,Actuals!CI88)</f>
        <v>-5000</v>
      </c>
      <c r="CI268" s="21" t="n">
        <f aca="false">IF(ISBLANK(Actuals!CJ88),-5000,Actuals!CJ88)</f>
        <v>-5000</v>
      </c>
      <c r="CJ268" s="21" t="n">
        <f aca="false">IF(ISBLANK(Actuals!CK88),-5000,Actuals!CK88)</f>
        <v>-5000</v>
      </c>
      <c r="CK268" s="21" t="n">
        <f aca="false">IF(ISBLANK(Actuals!CL88),-5000,Actuals!CL88)</f>
        <v>-5000</v>
      </c>
      <c r="CL268" s="21" t="n">
        <f aca="false">IF(ISBLANK(Actuals!CM88),-5000,Actuals!CM88)</f>
        <v>-5000</v>
      </c>
      <c r="CM268" s="21" t="n">
        <f aca="false">IF(ISBLANK(Actuals!CN88),-5000,Actuals!CN88)</f>
        <v>-5000</v>
      </c>
      <c r="CN268" s="21" t="n">
        <f aca="false">IF(ISBLANK(Actuals!CO88),-5000,Actuals!CO88)</f>
        <v>-5000</v>
      </c>
      <c r="CO268" s="21" t="n">
        <f aca="false">IF(ISBLANK(Actuals!CP88),-5000,Actuals!CP88)</f>
        <v>-5000</v>
      </c>
      <c r="CP268" s="21" t="n">
        <f aca="false">IF(ISBLANK(Actuals!CQ88),-5000,Actuals!CQ88)</f>
        <v>-5000</v>
      </c>
      <c r="CQ268" s="21" t="n">
        <f aca="false">IF(ISBLANK(Actuals!CR88),-5000,Actuals!CR88)</f>
        <v>-5000</v>
      </c>
      <c r="CR268" s="21" t="n">
        <f aca="false">IF(ISBLANK(Actuals!CS88),-5000,Actuals!CS88)</f>
        <v>-5000</v>
      </c>
      <c r="CS268" s="21" t="n">
        <f aca="false">IF(ISBLANK(Actuals!CT88),-5000,Actuals!CT88)</f>
        <v>-5000</v>
      </c>
      <c r="CT268" s="21" t="n">
        <f aca="false">IF(ISBLANK(Actuals!CU88),-5000,Actuals!CU88)</f>
        <v>-5000</v>
      </c>
      <c r="CU268" s="21" t="n">
        <f aca="false">IF(ISBLANK(Actuals!CV88),-5000,Actuals!CV88)</f>
        <v>-5000</v>
      </c>
      <c r="CV268" s="21" t="n">
        <f aca="false">IF(ISBLANK(Actuals!CW88),-5000,Actuals!CW88)</f>
        <v>-5000</v>
      </c>
      <c r="CW268" s="21" t="n">
        <f aca="false">IF(ISBLANK(Actuals!CX88),-5000,Actuals!CX88)</f>
        <v>-5000</v>
      </c>
      <c r="CX268" s="21" t="n">
        <f aca="false">IF(ISBLANK(Actuals!CY88),-5000,Actuals!CY88)</f>
        <v>-5000</v>
      </c>
      <c r="CY268" s="21" t="n">
        <f aca="false">IF(ISBLANK(Actuals!CZ88),-5000,Actuals!CZ88)</f>
        <v>-5000</v>
      </c>
      <c r="CZ268" s="21" t="n">
        <f aca="false">IF(ISBLANK(Actuals!DA88),-5000,Actuals!DA88)</f>
        <v>-5000</v>
      </c>
      <c r="DA268" s="21" t="n">
        <f aca="false">IF(ISBLANK(Actuals!DB88),-5000,Actuals!DB88)</f>
        <v>-5000</v>
      </c>
      <c r="DB268" s="21" t="n">
        <f aca="false">IF(ISBLANK(Actuals!DC88),-5000,Actuals!DC88)</f>
        <v>-5000</v>
      </c>
      <c r="DC268" s="21" t="n">
        <f aca="false">IF(ISBLANK(Actuals!DD88),-5000,Actuals!DD88)</f>
        <v>-5000</v>
      </c>
      <c r="DD268" s="21" t="n">
        <f aca="false">IF(ISBLANK(Actuals!DE88),-5000,Actuals!DE88)</f>
        <v>-5000</v>
      </c>
      <c r="DE268" s="21" t="n">
        <f aca="false">IF(ISBLANK(Actuals!DF88),-5000,Actuals!DF88)</f>
        <v>-5000</v>
      </c>
    </row>
    <row r="269" customFormat="false" ht="15" hidden="false" customHeight="true" outlineLevel="0" collapsed="false">
      <c r="A269" s="35" t="s">
        <v>73</v>
      </c>
      <c r="B269" s="21" t="n">
        <f aca="false">IF(ISBLANK(Actuals!C89),0,Actuals!C89)</f>
        <v>-1722.9</v>
      </c>
      <c r="C269" s="21" t="n">
        <f aca="false">IF(ISBLANK(Actuals!D89),0,Actuals!D89)</f>
        <v>0</v>
      </c>
      <c r="D269" s="21" t="n">
        <f aca="false">IF(ISBLANK(Actuals!E89),0,Actuals!E89)</f>
        <v>-28.51</v>
      </c>
      <c r="E269" s="21" t="n">
        <f aca="false">IF(ISBLANK(Actuals!F89),-583.8*Escalation!$B$2,Actuals!F89)</f>
        <v>0</v>
      </c>
      <c r="F269" s="21" t="n">
        <f aca="false">IF(ISBLANK(Actuals!G89),-583.8*Escalation!$B$3,Actuals!G89)</f>
        <v>-212.12</v>
      </c>
      <c r="G269" s="21" t="n">
        <f aca="false">IF(ISBLANK(Actuals!H89),-583.8*Escalation!$B$4,Actuals!H89)</f>
        <v>-83.92</v>
      </c>
      <c r="H269" s="21" t="n">
        <f aca="false">IF(ISBLANK(Actuals!I89),-583.8*Escalation!$B$5,Actuals!I89)</f>
        <v>-530</v>
      </c>
      <c r="I269" s="21" t="n">
        <f aca="false">IF(ISBLANK(Actuals!J89),-583.8*Escalation!$B$6,Actuals!J89)</f>
        <v>-180.23</v>
      </c>
      <c r="J269" s="21" t="n">
        <f aca="false">IF(ISBLANK(Actuals!K89),-583.8*Escalation!$B$7,Actuals!K89)</f>
        <v>-583.8</v>
      </c>
      <c r="K269" s="21" t="n">
        <f aca="false">IF(ISBLANK(Actuals!L89),-583.8*Escalation!$B$8,Actuals!L89)</f>
        <v>-583.8</v>
      </c>
      <c r="L269" s="21" t="n">
        <f aca="false">IF(ISBLANK(Actuals!M89),-583.8*Escalation!$B$9,Actuals!M89)</f>
        <v>-583.8</v>
      </c>
      <c r="M269" s="21" t="n">
        <f aca="false">IF(ISBLANK(Actuals!N89),-583.8*Escalation!$B$10,Actuals!N89)</f>
        <v>-583.8</v>
      </c>
      <c r="N269" s="21" t="n">
        <f aca="false">IF(ISBLANK(Actuals!O89),-583.8*Escalation!$B$11,Actuals!O89)</f>
        <v>-583.8</v>
      </c>
      <c r="O269" s="21" t="n">
        <f aca="false">IF(ISBLANK(Actuals!P89),-583.8*Escalation!$B$12,Actuals!P89)</f>
        <v>-583.8</v>
      </c>
      <c r="P269" s="21" t="n">
        <f aca="false">IF(ISBLANK(Actuals!Q89),-583.8*Escalation!$B$13,Actuals!Q89)</f>
        <v>-583.8</v>
      </c>
      <c r="Q269" s="21" t="n">
        <f aca="false">IF(ISBLANK(Actuals!R89),-583.8*Escalation!$B$14,Actuals!R89)</f>
        <v>-595.476</v>
      </c>
      <c r="R269" s="21" t="n">
        <f aca="false">IF(ISBLANK(Actuals!S89),-583.8*Escalation!$B$15,Actuals!S89)</f>
        <v>-595.476</v>
      </c>
      <c r="S269" s="21" t="n">
        <f aca="false">IF(ISBLANK(Actuals!T89),-583.8*Escalation!$B$16,Actuals!T89)</f>
        <v>-595.476</v>
      </c>
      <c r="T269" s="21" t="n">
        <f aca="false">IF(ISBLANK(Actuals!U89),-583.8*Escalation!$B$17,Actuals!U89)</f>
        <v>-595.476</v>
      </c>
      <c r="U269" s="21" t="n">
        <f aca="false">IF(ISBLANK(Actuals!V89),-583.8*Escalation!$B$18,Actuals!V89)</f>
        <v>-595.476</v>
      </c>
      <c r="V269" s="21" t="n">
        <f aca="false">IF(ISBLANK(Actuals!W89),-583.8*Escalation!$B$19,Actuals!W89)</f>
        <v>-595.476</v>
      </c>
      <c r="W269" s="21" t="n">
        <f aca="false">IF(ISBLANK(Actuals!X89),-583.8*Escalation!$B$20,Actuals!X89)</f>
        <v>-595.476</v>
      </c>
      <c r="X269" s="21" t="n">
        <f aca="false">IF(ISBLANK(Actuals!Y89),-583.8*Escalation!$B$21,Actuals!Y89)</f>
        <v>-595.476</v>
      </c>
      <c r="Y269" s="21" t="n">
        <f aca="false">IF(ISBLANK(Actuals!Z89),-583.8*Escalation!$B$22,Actuals!Z89)</f>
        <v>-595.476</v>
      </c>
      <c r="Z269" s="21" t="n">
        <f aca="false">IF(ISBLANK(Actuals!AA89),-583.8*Escalation!$B$23,Actuals!AA89)</f>
        <v>-595.476</v>
      </c>
      <c r="AA269" s="21" t="n">
        <f aca="false">IF(ISBLANK(Actuals!AB89),-583.8*Escalation!$B$24,Actuals!AB89)</f>
        <v>-595.476</v>
      </c>
      <c r="AB269" s="21" t="n">
        <f aca="false">IF(ISBLANK(Actuals!AC89),-583.8*Escalation!$B$25,Actuals!AC89)</f>
        <v>-595.476</v>
      </c>
      <c r="AC269" s="21" t="n">
        <f aca="false">IF(ISBLANK(Actuals!AD89),-583.8*Escalation!$B$26,Actuals!AD89)</f>
        <v>-607.38552</v>
      </c>
      <c r="AD269" s="21" t="n">
        <f aca="false">IF(ISBLANK(Actuals!AE89),-583.8*Escalation!$B$27,Actuals!AE89)</f>
        <v>-607.38552</v>
      </c>
      <c r="AE269" s="21" t="n">
        <f aca="false">IF(ISBLANK(Actuals!AF89),-583.8*Escalation!$B$28,Actuals!AF89)</f>
        <v>-607.38552</v>
      </c>
      <c r="AF269" s="21" t="n">
        <f aca="false">IF(ISBLANK(Actuals!AG89),-583.8*Escalation!$B$29,Actuals!AG89)</f>
        <v>-607.38552</v>
      </c>
      <c r="AG269" s="21" t="n">
        <f aca="false">IF(ISBLANK(Actuals!AH89),-583.8*Escalation!$B$30,Actuals!AH89)</f>
        <v>-607.38552</v>
      </c>
      <c r="AH269" s="21" t="n">
        <f aca="false">IF(ISBLANK(Actuals!AI89),-583.8*Escalation!$B$31,Actuals!AI89)</f>
        <v>-607.38552</v>
      </c>
      <c r="AI269" s="21" t="n">
        <f aca="false">IF(ISBLANK(Actuals!AJ89),-583.8*Escalation!$B$32,Actuals!AJ89)</f>
        <v>-607.38552</v>
      </c>
      <c r="AJ269" s="21" t="n">
        <f aca="false">IF(ISBLANK(Actuals!AK89),-583.8*Escalation!$B$33,Actuals!AK89)</f>
        <v>-607.38552</v>
      </c>
      <c r="AK269" s="21" t="n">
        <f aca="false">IF(ISBLANK(Actuals!AL89),-583.8*Escalation!$B$34,Actuals!AL89)</f>
        <v>-607.38552</v>
      </c>
      <c r="AL269" s="21" t="n">
        <f aca="false">IF(ISBLANK(Actuals!AM89),-583.8*Escalation!$B$35,Actuals!AM89)</f>
        <v>-607.38552</v>
      </c>
      <c r="AM269" s="21" t="n">
        <f aca="false">IF(ISBLANK(Actuals!AN89),-583.8*Escalation!$B$36,Actuals!AN89)</f>
        <v>-607.38552</v>
      </c>
      <c r="AN269" s="21" t="n">
        <f aca="false">IF(ISBLANK(Actuals!AO89),-583.8*Escalation!$B$37,Actuals!AO89)</f>
        <v>-607.38552</v>
      </c>
      <c r="AO269" s="21" t="n">
        <f aca="false">IF(ISBLANK(Actuals!AP89),-583.8*Escalation!$B$38,Actuals!AP89)</f>
        <v>-619.5332304</v>
      </c>
      <c r="AP269" s="21" t="n">
        <f aca="false">IF(ISBLANK(Actuals!AQ89),-583.8*Escalation!$B$39,Actuals!AQ89)</f>
        <v>-619.5332304</v>
      </c>
      <c r="AQ269" s="21" t="n">
        <f aca="false">IF(ISBLANK(Actuals!AR89),-583.8*Escalation!$B$40,Actuals!AR89)</f>
        <v>-619.5332304</v>
      </c>
      <c r="AR269" s="21" t="n">
        <f aca="false">IF(ISBLANK(Actuals!AS89),-583.8*Escalation!$B$41,Actuals!AS89)</f>
        <v>-619.5332304</v>
      </c>
      <c r="AS269" s="21" t="n">
        <f aca="false">IF(ISBLANK(Actuals!AT89),-583.8*Escalation!$B$42,Actuals!AT89)</f>
        <v>-619.5332304</v>
      </c>
      <c r="AT269" s="21" t="n">
        <f aca="false">IF(ISBLANK(Actuals!AU89),-583.8*Escalation!$B$43,Actuals!AU89)</f>
        <v>-619.5332304</v>
      </c>
      <c r="AU269" s="21" t="n">
        <f aca="false">IF(ISBLANK(Actuals!AV89),-583.8*Escalation!$B$44,Actuals!AV89)</f>
        <v>-619.5332304</v>
      </c>
      <c r="AV269" s="21" t="n">
        <f aca="false">IF(ISBLANK(Actuals!AW89),-583.8*Escalation!$B$45,Actuals!AW89)</f>
        <v>-619.5332304</v>
      </c>
      <c r="AW269" s="21" t="n">
        <f aca="false">IF(ISBLANK(Actuals!AX89),-583.8*Escalation!$B$46,Actuals!AX89)</f>
        <v>-619.5332304</v>
      </c>
      <c r="AX269" s="21" t="n">
        <f aca="false">IF(ISBLANK(Actuals!AY89),-583.8*Escalation!$B$47,Actuals!AY89)</f>
        <v>-619.5332304</v>
      </c>
      <c r="AY269" s="21" t="n">
        <f aca="false">IF(ISBLANK(Actuals!AZ89),-583.8*Escalation!$B$48,Actuals!AZ89)</f>
        <v>-619.5332304</v>
      </c>
      <c r="AZ269" s="21" t="n">
        <f aca="false">IF(ISBLANK(Actuals!BA89),-583.8*Escalation!$B$49,Actuals!BA89)</f>
        <v>-619.5332304</v>
      </c>
      <c r="BA269" s="21" t="n">
        <f aca="false">IF(ISBLANK(Actuals!BB89),-583.8*Escalation!$B$50,Actuals!BB89)</f>
        <v>-631.923895008</v>
      </c>
      <c r="BB269" s="21" t="n">
        <f aca="false">IF(ISBLANK(Actuals!BC89),-583.8*Escalation!$B$51,Actuals!BC89)</f>
        <v>-631.923895008</v>
      </c>
      <c r="BC269" s="21" t="n">
        <f aca="false">IF(ISBLANK(Actuals!BD89),-583.8*Escalation!$B$52,Actuals!BD89)</f>
        <v>-631.923895008</v>
      </c>
      <c r="BD269" s="21" t="n">
        <f aca="false">IF(ISBLANK(Actuals!BE89),-583.8*Escalation!$B$53,Actuals!BE89)</f>
        <v>-631.923895008</v>
      </c>
      <c r="BE269" s="21" t="n">
        <f aca="false">IF(ISBLANK(Actuals!BF89),-583.8*Escalation!$B$54,Actuals!BF89)</f>
        <v>-631.923895008</v>
      </c>
      <c r="BF269" s="21" t="n">
        <f aca="false">IF(ISBLANK(Actuals!BG89),-583.8*Escalation!$B$55,Actuals!BG89)</f>
        <v>-631.923895008</v>
      </c>
      <c r="BG269" s="21" t="n">
        <f aca="false">IF(ISBLANK(Actuals!BH89),-583.8*Escalation!$B$56,Actuals!BH89)</f>
        <v>-631.923895008</v>
      </c>
      <c r="BH269" s="21" t="n">
        <f aca="false">IF(ISBLANK(Actuals!BI89),-583.8*Escalation!$B$57,Actuals!BI89)</f>
        <v>-631.923895008</v>
      </c>
      <c r="BI269" s="21" t="n">
        <f aca="false">IF(ISBLANK(Actuals!BJ89),-583.8*Escalation!$B$58,Actuals!BJ89)</f>
        <v>-631.923895008</v>
      </c>
      <c r="BJ269" s="21" t="n">
        <f aca="false">IF(ISBLANK(Actuals!BK89),-583.8*Escalation!$B$59,Actuals!BK89)</f>
        <v>-631.923895008</v>
      </c>
      <c r="BK269" s="21" t="n">
        <f aca="false">IF(ISBLANK(Actuals!BL89),-583.8*Escalation!$B$60,Actuals!BL89)</f>
        <v>-631.923895008</v>
      </c>
      <c r="BL269" s="21" t="n">
        <f aca="false">IF(ISBLANK(Actuals!BM89),-583.8*Escalation!$B$61,Actuals!BM89)</f>
        <v>-631.923895008</v>
      </c>
      <c r="BM269" s="21" t="n">
        <f aca="false">IF(ISBLANK(Actuals!BN89),-583.8*Escalation!$B$62,Actuals!BN89)</f>
        <v>-644.56237290816</v>
      </c>
      <c r="BN269" s="21" t="n">
        <f aca="false">IF(ISBLANK(Actuals!BO89),-583.8*Escalation!$B$63,Actuals!BO89)</f>
        <v>-644.56237290816</v>
      </c>
      <c r="BO269" s="21" t="n">
        <f aca="false">IF(ISBLANK(Actuals!BP89),-583.8*Escalation!$B$64,Actuals!BP89)</f>
        <v>-644.56237290816</v>
      </c>
      <c r="BP269" s="21" t="n">
        <f aca="false">IF(ISBLANK(Actuals!BQ89),-583.8*Escalation!$B$65,Actuals!BQ89)</f>
        <v>-644.56237290816</v>
      </c>
      <c r="BQ269" s="21" t="n">
        <f aca="false">IF(ISBLANK(Actuals!BR89),-583.8*Escalation!$B$66,Actuals!BR89)</f>
        <v>-644.56237290816</v>
      </c>
      <c r="BR269" s="21" t="n">
        <f aca="false">IF(ISBLANK(Actuals!BS89),-583.8*Escalation!$B$67,Actuals!BS89)</f>
        <v>-644.56237290816</v>
      </c>
      <c r="BS269" s="21" t="n">
        <f aca="false">IF(ISBLANK(Actuals!BT89),-583.8*Escalation!$B$68,Actuals!BT89)</f>
        <v>-644.56237290816</v>
      </c>
      <c r="BT269" s="21" t="n">
        <f aca="false">IF(ISBLANK(Actuals!BU89),-583.8*Escalation!$B$69,Actuals!BU89)</f>
        <v>-644.56237290816</v>
      </c>
      <c r="BU269" s="21" t="n">
        <f aca="false">IF(ISBLANK(Actuals!BV89),-583.8*Escalation!$B$70,Actuals!BV89)</f>
        <v>-644.56237290816</v>
      </c>
      <c r="BV269" s="21" t="n">
        <f aca="false">IF(ISBLANK(Actuals!BW89),-583.8*Escalation!$B$71,Actuals!BW89)</f>
        <v>-644.56237290816</v>
      </c>
      <c r="BW269" s="21" t="n">
        <f aca="false">IF(ISBLANK(Actuals!BX89),-583.8*Escalation!$B$72,Actuals!BX89)</f>
        <v>-644.56237290816</v>
      </c>
      <c r="BX269" s="21" t="n">
        <f aca="false">IF(ISBLANK(Actuals!BY89),-583.8*Escalation!$B$73,Actuals!BY89)</f>
        <v>-644.56237290816</v>
      </c>
      <c r="BY269" s="21" t="n">
        <f aca="false">IF(ISBLANK(Actuals!BZ89),-583.8*Escalation!$B$74,Actuals!BZ89)</f>
        <v>-657.453620366323</v>
      </c>
      <c r="BZ269" s="21" t="n">
        <f aca="false">IF(ISBLANK(Actuals!CA89),-583.8*Escalation!$B$75,Actuals!CA89)</f>
        <v>-657.453620366323</v>
      </c>
      <c r="CA269" s="21" t="n">
        <f aca="false">IF(ISBLANK(Actuals!CB89),-583.8*Escalation!$B$76,Actuals!CB89)</f>
        <v>-657.453620366323</v>
      </c>
      <c r="CB269" s="21" t="n">
        <f aca="false">IF(ISBLANK(Actuals!CC89),-583.8*Escalation!$B$77,Actuals!CC89)</f>
        <v>-657.453620366323</v>
      </c>
      <c r="CC269" s="21" t="n">
        <f aca="false">IF(ISBLANK(Actuals!CD89),-583.8*Escalation!$B$78,Actuals!CD89)</f>
        <v>-657.453620366323</v>
      </c>
      <c r="CD269" s="21" t="n">
        <f aca="false">IF(ISBLANK(Actuals!CE89),-583.8*Escalation!$B$79,Actuals!CE89)</f>
        <v>-657.453620366323</v>
      </c>
      <c r="CE269" s="21" t="n">
        <f aca="false">IF(ISBLANK(Actuals!CF89),-583.8*Escalation!$B$80,Actuals!CF89)</f>
        <v>-657.453620366323</v>
      </c>
      <c r="CF269" s="21" t="n">
        <f aca="false">IF(ISBLANK(Actuals!CG89),-583.8*Escalation!$B$81,Actuals!CG89)</f>
        <v>-657.453620366323</v>
      </c>
      <c r="CG269" s="21" t="n">
        <f aca="false">IF(ISBLANK(Actuals!CH89),-583.8*Escalation!$B$82,Actuals!CH89)</f>
        <v>-657.453620366323</v>
      </c>
      <c r="CH269" s="21" t="n">
        <f aca="false">IF(ISBLANK(Actuals!CI89),-583.8*Escalation!$B$83,Actuals!CI89)</f>
        <v>-657.453620366323</v>
      </c>
      <c r="CI269" s="21" t="n">
        <f aca="false">IF(ISBLANK(Actuals!CJ89),-583.8*Escalation!$B$84,Actuals!CJ89)</f>
        <v>-657.453620366323</v>
      </c>
      <c r="CJ269" s="21" t="n">
        <f aca="false">IF(ISBLANK(Actuals!CK89),-583.8*Escalation!$B$85,Actuals!CK89)</f>
        <v>-657.453620366323</v>
      </c>
      <c r="CK269" s="21" t="n">
        <f aca="false">IF(ISBLANK(Actuals!CL89),-583.8*Escalation!$B$86,Actuals!CL89)</f>
        <v>-670.60269277365</v>
      </c>
      <c r="CL269" s="21" t="n">
        <f aca="false">IF(ISBLANK(Actuals!CM89),-583.8*Escalation!$B$87,Actuals!CM89)</f>
        <v>-670.60269277365</v>
      </c>
      <c r="CM269" s="21" t="n">
        <f aca="false">IF(ISBLANK(Actuals!CN89),-583.8*Escalation!$B$88,Actuals!CN89)</f>
        <v>-670.60269277365</v>
      </c>
      <c r="CN269" s="21" t="n">
        <f aca="false">IF(ISBLANK(Actuals!CO89),-583.8*Escalation!$B$89,Actuals!CO89)</f>
        <v>-670.60269277365</v>
      </c>
      <c r="CO269" s="21" t="n">
        <f aca="false">IF(ISBLANK(Actuals!CP89),-583.8*Escalation!$B$90,Actuals!CP89)</f>
        <v>-670.60269277365</v>
      </c>
      <c r="CP269" s="21" t="n">
        <f aca="false">IF(ISBLANK(Actuals!CQ89),-583.8*Escalation!$B$91,Actuals!CQ89)</f>
        <v>-670.60269277365</v>
      </c>
      <c r="CQ269" s="21" t="n">
        <f aca="false">IF(ISBLANK(Actuals!CR89),-583.8*Escalation!$B$92,Actuals!CR89)</f>
        <v>-670.60269277365</v>
      </c>
      <c r="CR269" s="21" t="n">
        <f aca="false">IF(ISBLANK(Actuals!CS89),-583.8*Escalation!$B$93,Actuals!CS89)</f>
        <v>-670.60269277365</v>
      </c>
      <c r="CS269" s="21" t="n">
        <f aca="false">IF(ISBLANK(Actuals!CT89),-583.8*Escalation!$B$94,Actuals!CT89)</f>
        <v>-670.60269277365</v>
      </c>
      <c r="CT269" s="21" t="n">
        <f aca="false">IF(ISBLANK(Actuals!CU89),-583.8*Escalation!$B$95,Actuals!CU89)</f>
        <v>-670.60269277365</v>
      </c>
      <c r="CU269" s="21" t="n">
        <f aca="false">IF(ISBLANK(Actuals!CV89),-583.8*Escalation!$B$96,Actuals!CV89)</f>
        <v>-670.60269277365</v>
      </c>
      <c r="CV269" s="21" t="n">
        <f aca="false">IF(ISBLANK(Actuals!CW89),-583.8*Escalation!$B$97,Actuals!CW89)</f>
        <v>-670.60269277365</v>
      </c>
      <c r="CW269" s="21" t="n">
        <f aca="false">IF(ISBLANK(Actuals!CX89),-583.8*Escalation!$B$98,Actuals!CX89)</f>
        <v>-684.014746629123</v>
      </c>
      <c r="CX269" s="21" t="n">
        <f aca="false">IF(ISBLANK(Actuals!CY89),-583.8*Escalation!$B$99,Actuals!CY89)</f>
        <v>-684.014746629123</v>
      </c>
      <c r="CY269" s="21" t="n">
        <f aca="false">IF(ISBLANK(Actuals!CZ89),-583.8*Escalation!$B$100,Actuals!CZ89)</f>
        <v>-684.014746629123</v>
      </c>
      <c r="CZ269" s="21" t="n">
        <f aca="false">IF(ISBLANK(Actuals!DA89),-583.8*Escalation!$B$101,Actuals!DA89)</f>
        <v>-684.014746629123</v>
      </c>
      <c r="DA269" s="21" t="n">
        <f aca="false">IF(ISBLANK(Actuals!DB89),-583.8*Escalation!$B$102,Actuals!DB89)</f>
        <v>-684.014746629123</v>
      </c>
      <c r="DB269" s="21" t="n">
        <f aca="false">IF(ISBLANK(Actuals!DC89),-583.8*Escalation!$B$103,Actuals!DC89)</f>
        <v>-684.014746629123</v>
      </c>
      <c r="DC269" s="21" t="n">
        <f aca="false">IF(ISBLANK(Actuals!DD89),-583.8*Escalation!$B$104,Actuals!DD89)</f>
        <v>-684.014746629123</v>
      </c>
      <c r="DD269" s="21" t="n">
        <f aca="false">IF(ISBLANK(Actuals!DE89),-583.8*Escalation!$B$105,Actuals!DE89)</f>
        <v>-684.014746629123</v>
      </c>
      <c r="DE269" s="21" t="n">
        <f aca="false">IF(ISBLANK(Actuals!DF89),-583.8*Escalation!$B$106,Actuals!DF89)</f>
        <v>-684.014746629123</v>
      </c>
    </row>
    <row r="270" customFormat="false" ht="15" hidden="false" customHeight="true" outlineLevel="0" collapsed="false">
      <c r="A270" s="35" t="s">
        <v>76</v>
      </c>
      <c r="B270" s="21" t="n">
        <f aca="false">IF(ISBLANK(Actuals!C90),0,Actuals!C90)</f>
        <v>-246.85</v>
      </c>
      <c r="C270" s="21" t="n">
        <f aca="false">IF(ISBLANK(Actuals!D90),0,Actuals!D90)</f>
        <v>0</v>
      </c>
      <c r="D270" s="21" t="n">
        <f aca="false">IF(ISBLANK(Actuals!E90),0,Actuals!E90)</f>
        <v>-4246.73</v>
      </c>
      <c r="E270" s="21" t="n">
        <f aca="false">IF(ISBLANK(Actuals!F90),-1497.86*Escalation!$B$2,Actuals!F90)</f>
        <v>-3123.87</v>
      </c>
      <c r="F270" s="21" t="n">
        <f aca="false">IF(ISBLANK(Actuals!G90),-1497.86*Escalation!$B$3,Actuals!G90)</f>
        <v>-3184.88</v>
      </c>
      <c r="G270" s="21" t="n">
        <f aca="false">IF(ISBLANK(Actuals!H90),-1497.86*Escalation!$B$4,Actuals!H90)</f>
        <v>-4015.94</v>
      </c>
      <c r="H270" s="21" t="n">
        <f aca="false">IF(ISBLANK(Actuals!I90),-1497.86*Escalation!$B$5,Actuals!I90)</f>
        <v>-759.45</v>
      </c>
      <c r="I270" s="21" t="n">
        <f aca="false">IF(ISBLANK(Actuals!J90),-1497.86*Escalation!$B$6,Actuals!J90)</f>
        <v>-6023.52</v>
      </c>
      <c r="J270" s="21" t="n">
        <f aca="false">IF(ISBLANK(Actuals!K90),-1497.86*Escalation!$B$7,Actuals!K90)</f>
        <v>-1497.86</v>
      </c>
      <c r="K270" s="21" t="n">
        <f aca="false">IF(ISBLANK(Actuals!L90),-1497.86*Escalation!$B$8,Actuals!L90)</f>
        <v>-1497.86</v>
      </c>
      <c r="L270" s="21" t="n">
        <f aca="false">IF(ISBLANK(Actuals!M90),-1497.86*Escalation!$B$9,Actuals!M90)</f>
        <v>-1497.86</v>
      </c>
      <c r="M270" s="21" t="n">
        <f aca="false">IF(ISBLANK(Actuals!N90),-1497.86*Escalation!$B$10,Actuals!N90)</f>
        <v>-1497.86</v>
      </c>
      <c r="N270" s="21" t="n">
        <f aca="false">IF(ISBLANK(Actuals!O90),-1497.86*Escalation!$B$11,Actuals!O90)</f>
        <v>-1497.86</v>
      </c>
      <c r="O270" s="21" t="n">
        <f aca="false">IF(ISBLANK(Actuals!P90),-1497.86*Escalation!$B$12,Actuals!P90)</f>
        <v>-1497.86</v>
      </c>
      <c r="P270" s="21" t="n">
        <f aca="false">IF(ISBLANK(Actuals!Q90),-1497.86*Escalation!$B$13,Actuals!Q90)</f>
        <v>-1497.86</v>
      </c>
      <c r="Q270" s="21" t="n">
        <f aca="false">IF(ISBLANK(Actuals!R90),-1497.86*Escalation!$B$14,Actuals!R90)</f>
        <v>-1527.8172</v>
      </c>
      <c r="R270" s="21" t="n">
        <f aca="false">IF(ISBLANK(Actuals!S90),-1497.86*Escalation!$B$15,Actuals!S90)</f>
        <v>-1527.8172</v>
      </c>
      <c r="S270" s="21" t="n">
        <f aca="false">IF(ISBLANK(Actuals!T90),-1497.86*Escalation!$B$16,Actuals!T90)</f>
        <v>-1527.8172</v>
      </c>
      <c r="T270" s="21" t="n">
        <f aca="false">IF(ISBLANK(Actuals!U90),-1497.86*Escalation!$B$17,Actuals!U90)</f>
        <v>-1527.8172</v>
      </c>
      <c r="U270" s="21" t="n">
        <f aca="false">IF(ISBLANK(Actuals!V90),-1497.86*Escalation!$B$18,Actuals!V90)</f>
        <v>-1527.8172</v>
      </c>
      <c r="V270" s="21" t="n">
        <f aca="false">IF(ISBLANK(Actuals!W90),-1497.86*Escalation!$B$19,Actuals!W90)</f>
        <v>-1527.8172</v>
      </c>
      <c r="W270" s="21" t="n">
        <f aca="false">IF(ISBLANK(Actuals!X90),-1497.86*Escalation!$B$20,Actuals!X90)</f>
        <v>-1527.8172</v>
      </c>
      <c r="X270" s="21" t="n">
        <f aca="false">IF(ISBLANK(Actuals!Y90),-1497.86*Escalation!$B$21,Actuals!Y90)</f>
        <v>-1527.8172</v>
      </c>
      <c r="Y270" s="21" t="n">
        <f aca="false">IF(ISBLANK(Actuals!Z90),-1497.86*Escalation!$B$22,Actuals!Z90)</f>
        <v>-1527.8172</v>
      </c>
      <c r="Z270" s="21" t="n">
        <f aca="false">IF(ISBLANK(Actuals!AA90),-1497.86*Escalation!$B$23,Actuals!AA90)</f>
        <v>-1527.8172</v>
      </c>
      <c r="AA270" s="21" t="n">
        <f aca="false">IF(ISBLANK(Actuals!AB90),-1497.86*Escalation!$B$24,Actuals!AB90)</f>
        <v>-1527.8172</v>
      </c>
      <c r="AB270" s="21" t="n">
        <f aca="false">IF(ISBLANK(Actuals!AC90),-1497.86*Escalation!$B$25,Actuals!AC90)</f>
        <v>-1527.8172</v>
      </c>
      <c r="AC270" s="21" t="n">
        <f aca="false">IF(ISBLANK(Actuals!AD90),-1497.86*Escalation!$B$26,Actuals!AD90)</f>
        <v>-1558.373544</v>
      </c>
      <c r="AD270" s="21" t="n">
        <f aca="false">IF(ISBLANK(Actuals!AE90),-1497.86*Escalation!$B$27,Actuals!AE90)</f>
        <v>-1558.373544</v>
      </c>
      <c r="AE270" s="21" t="n">
        <f aca="false">IF(ISBLANK(Actuals!AF90),-1497.86*Escalation!$B$28,Actuals!AF90)</f>
        <v>-1558.373544</v>
      </c>
      <c r="AF270" s="21" t="n">
        <f aca="false">IF(ISBLANK(Actuals!AG90),-1497.86*Escalation!$B$29,Actuals!AG90)</f>
        <v>-1558.373544</v>
      </c>
      <c r="AG270" s="21" t="n">
        <f aca="false">IF(ISBLANK(Actuals!AH90),-1497.86*Escalation!$B$30,Actuals!AH90)</f>
        <v>-1558.373544</v>
      </c>
      <c r="AH270" s="21" t="n">
        <f aca="false">IF(ISBLANK(Actuals!AI90),-1497.86*Escalation!$B$31,Actuals!AI90)</f>
        <v>-1558.373544</v>
      </c>
      <c r="AI270" s="21" t="n">
        <f aca="false">IF(ISBLANK(Actuals!AJ90),-1497.86*Escalation!$B$32,Actuals!AJ90)</f>
        <v>-1558.373544</v>
      </c>
      <c r="AJ270" s="21" t="n">
        <f aca="false">IF(ISBLANK(Actuals!AK90),-1497.86*Escalation!$B$33,Actuals!AK90)</f>
        <v>-1558.373544</v>
      </c>
      <c r="AK270" s="21" t="n">
        <f aca="false">IF(ISBLANK(Actuals!AL90),-1497.86*Escalation!$B$34,Actuals!AL90)</f>
        <v>-1558.373544</v>
      </c>
      <c r="AL270" s="21" t="n">
        <f aca="false">IF(ISBLANK(Actuals!AM90),-1497.86*Escalation!$B$35,Actuals!AM90)</f>
        <v>-1558.373544</v>
      </c>
      <c r="AM270" s="21" t="n">
        <f aca="false">IF(ISBLANK(Actuals!AN90),-1497.86*Escalation!$B$36,Actuals!AN90)</f>
        <v>-1558.373544</v>
      </c>
      <c r="AN270" s="21" t="n">
        <f aca="false">IF(ISBLANK(Actuals!AO90),-1497.86*Escalation!$B$37,Actuals!AO90)</f>
        <v>-1558.373544</v>
      </c>
      <c r="AO270" s="21" t="n">
        <f aca="false">IF(ISBLANK(Actuals!AP90),-1497.86*Escalation!$B$38,Actuals!AP90)</f>
        <v>-1589.54101488</v>
      </c>
      <c r="AP270" s="21" t="n">
        <f aca="false">IF(ISBLANK(Actuals!AQ90),-1497.86*Escalation!$B$39,Actuals!AQ90)</f>
        <v>-1589.54101488</v>
      </c>
      <c r="AQ270" s="21" t="n">
        <f aca="false">IF(ISBLANK(Actuals!AR90),-1497.86*Escalation!$B$40,Actuals!AR90)</f>
        <v>-1589.54101488</v>
      </c>
      <c r="AR270" s="21" t="n">
        <f aca="false">IF(ISBLANK(Actuals!AS90),-1497.86*Escalation!$B$41,Actuals!AS90)</f>
        <v>-1589.54101488</v>
      </c>
      <c r="AS270" s="21" t="n">
        <f aca="false">IF(ISBLANK(Actuals!AT90),-1497.86*Escalation!$B$42,Actuals!AT90)</f>
        <v>-1589.54101488</v>
      </c>
      <c r="AT270" s="21" t="n">
        <f aca="false">IF(ISBLANK(Actuals!AU90),-1497.86*Escalation!$B$43,Actuals!AU90)</f>
        <v>-1589.54101488</v>
      </c>
      <c r="AU270" s="21" t="n">
        <f aca="false">IF(ISBLANK(Actuals!AV90),-1497.86*Escalation!$B$44,Actuals!AV90)</f>
        <v>-1589.54101488</v>
      </c>
      <c r="AV270" s="21" t="n">
        <f aca="false">IF(ISBLANK(Actuals!AW90),-1497.86*Escalation!$B$45,Actuals!AW90)</f>
        <v>-1589.54101488</v>
      </c>
      <c r="AW270" s="21" t="n">
        <f aca="false">IF(ISBLANK(Actuals!AX90),-1497.86*Escalation!$B$46,Actuals!AX90)</f>
        <v>-1589.54101488</v>
      </c>
      <c r="AX270" s="21" t="n">
        <f aca="false">IF(ISBLANK(Actuals!AY90),-1497.86*Escalation!$B$47,Actuals!AY90)</f>
        <v>-1589.54101488</v>
      </c>
      <c r="AY270" s="21" t="n">
        <f aca="false">IF(ISBLANK(Actuals!AZ90),-1497.86*Escalation!$B$48,Actuals!AZ90)</f>
        <v>-1589.54101488</v>
      </c>
      <c r="AZ270" s="21" t="n">
        <f aca="false">IF(ISBLANK(Actuals!BA90),-1497.86*Escalation!$B$49,Actuals!BA90)</f>
        <v>-1589.54101488</v>
      </c>
      <c r="BA270" s="21" t="n">
        <f aca="false">IF(ISBLANK(Actuals!BB90),-1497.86*Escalation!$B$50,Actuals!BB90)</f>
        <v>-1621.3318351776</v>
      </c>
      <c r="BB270" s="21" t="n">
        <f aca="false">IF(ISBLANK(Actuals!BC90),-1497.86*Escalation!$B$51,Actuals!BC90)</f>
        <v>-1621.3318351776</v>
      </c>
      <c r="BC270" s="21" t="n">
        <f aca="false">IF(ISBLANK(Actuals!BD90),-1497.86*Escalation!$B$52,Actuals!BD90)</f>
        <v>-1621.3318351776</v>
      </c>
      <c r="BD270" s="21" t="n">
        <f aca="false">IF(ISBLANK(Actuals!BE90),-1497.86*Escalation!$B$53,Actuals!BE90)</f>
        <v>-1621.3318351776</v>
      </c>
      <c r="BE270" s="21" t="n">
        <f aca="false">IF(ISBLANK(Actuals!BF90),-1497.86*Escalation!$B$54,Actuals!BF90)</f>
        <v>-1621.3318351776</v>
      </c>
      <c r="BF270" s="21" t="n">
        <f aca="false">IF(ISBLANK(Actuals!BG90),-1497.86*Escalation!$B$55,Actuals!BG90)</f>
        <v>-1621.3318351776</v>
      </c>
      <c r="BG270" s="21" t="n">
        <f aca="false">IF(ISBLANK(Actuals!BH90),-1497.86*Escalation!$B$56,Actuals!BH90)</f>
        <v>-1621.3318351776</v>
      </c>
      <c r="BH270" s="21" t="n">
        <f aca="false">IF(ISBLANK(Actuals!BI90),-1497.86*Escalation!$B$57,Actuals!BI90)</f>
        <v>-1621.3318351776</v>
      </c>
      <c r="BI270" s="21" t="n">
        <f aca="false">IF(ISBLANK(Actuals!BJ90),-1497.86*Escalation!$B$58,Actuals!BJ90)</f>
        <v>-1621.3318351776</v>
      </c>
      <c r="BJ270" s="21" t="n">
        <f aca="false">IF(ISBLANK(Actuals!BK90),-1497.86*Escalation!$B$59,Actuals!BK90)</f>
        <v>-1621.3318351776</v>
      </c>
      <c r="BK270" s="21" t="n">
        <f aca="false">IF(ISBLANK(Actuals!BL90),-1497.86*Escalation!$B$60,Actuals!BL90)</f>
        <v>-1621.3318351776</v>
      </c>
      <c r="BL270" s="21" t="n">
        <f aca="false">IF(ISBLANK(Actuals!BM90),-1497.86*Escalation!$B$61,Actuals!BM90)</f>
        <v>-1621.3318351776</v>
      </c>
      <c r="BM270" s="21" t="n">
        <f aca="false">IF(ISBLANK(Actuals!BN90),-1497.86*Escalation!$B$62,Actuals!BN90)</f>
        <v>-1653.75847188115</v>
      </c>
      <c r="BN270" s="21" t="n">
        <f aca="false">IF(ISBLANK(Actuals!BO90),-1497.86*Escalation!$B$63,Actuals!BO90)</f>
        <v>-1653.75847188115</v>
      </c>
      <c r="BO270" s="21" t="n">
        <f aca="false">IF(ISBLANK(Actuals!BP90),-1497.86*Escalation!$B$64,Actuals!BP90)</f>
        <v>-1653.75847188115</v>
      </c>
      <c r="BP270" s="21" t="n">
        <f aca="false">IF(ISBLANK(Actuals!BQ90),-1497.86*Escalation!$B$65,Actuals!BQ90)</f>
        <v>-1653.75847188115</v>
      </c>
      <c r="BQ270" s="21" t="n">
        <f aca="false">IF(ISBLANK(Actuals!BR90),-1497.86*Escalation!$B$66,Actuals!BR90)</f>
        <v>-1653.75847188115</v>
      </c>
      <c r="BR270" s="21" t="n">
        <f aca="false">IF(ISBLANK(Actuals!BS90),-1497.86*Escalation!$B$67,Actuals!BS90)</f>
        <v>-1653.75847188115</v>
      </c>
      <c r="BS270" s="21" t="n">
        <f aca="false">IF(ISBLANK(Actuals!BT90),-1497.86*Escalation!$B$68,Actuals!BT90)</f>
        <v>-1653.75847188115</v>
      </c>
      <c r="BT270" s="21" t="n">
        <f aca="false">IF(ISBLANK(Actuals!BU90),-1497.86*Escalation!$B$69,Actuals!BU90)</f>
        <v>-1653.75847188115</v>
      </c>
      <c r="BU270" s="21" t="n">
        <f aca="false">IF(ISBLANK(Actuals!BV90),-1497.86*Escalation!$B$70,Actuals!BV90)</f>
        <v>-1653.75847188115</v>
      </c>
      <c r="BV270" s="21" t="n">
        <f aca="false">IF(ISBLANK(Actuals!BW90),-1497.86*Escalation!$B$71,Actuals!BW90)</f>
        <v>-1653.75847188115</v>
      </c>
      <c r="BW270" s="21" t="n">
        <f aca="false">IF(ISBLANK(Actuals!BX90),-1497.86*Escalation!$B$72,Actuals!BX90)</f>
        <v>-1653.75847188115</v>
      </c>
      <c r="BX270" s="21" t="n">
        <f aca="false">IF(ISBLANK(Actuals!BY90),-1497.86*Escalation!$B$73,Actuals!BY90)</f>
        <v>-1653.75847188115</v>
      </c>
      <c r="BY270" s="21" t="n">
        <f aca="false">IF(ISBLANK(Actuals!BZ90),-1497.86*Escalation!$B$74,Actuals!BZ90)</f>
        <v>-1686.83364131878</v>
      </c>
      <c r="BZ270" s="21" t="n">
        <f aca="false">IF(ISBLANK(Actuals!CA90),-1497.86*Escalation!$B$75,Actuals!CA90)</f>
        <v>-1686.83364131878</v>
      </c>
      <c r="CA270" s="21" t="n">
        <f aca="false">IF(ISBLANK(Actuals!CB90),-1497.86*Escalation!$B$76,Actuals!CB90)</f>
        <v>-1686.83364131878</v>
      </c>
      <c r="CB270" s="21" t="n">
        <f aca="false">IF(ISBLANK(Actuals!CC90),-1497.86*Escalation!$B$77,Actuals!CC90)</f>
        <v>-1686.83364131878</v>
      </c>
      <c r="CC270" s="21" t="n">
        <f aca="false">IF(ISBLANK(Actuals!CD90),-1497.86*Escalation!$B$78,Actuals!CD90)</f>
        <v>-1686.83364131878</v>
      </c>
      <c r="CD270" s="21" t="n">
        <f aca="false">IF(ISBLANK(Actuals!CE90),-1497.86*Escalation!$B$79,Actuals!CE90)</f>
        <v>-1686.83364131878</v>
      </c>
      <c r="CE270" s="21" t="n">
        <f aca="false">IF(ISBLANK(Actuals!CF90),-1497.86*Escalation!$B$80,Actuals!CF90)</f>
        <v>-1686.83364131878</v>
      </c>
      <c r="CF270" s="21" t="n">
        <f aca="false">IF(ISBLANK(Actuals!CG90),-1497.86*Escalation!$B$81,Actuals!CG90)</f>
        <v>-1686.83364131878</v>
      </c>
      <c r="CG270" s="21" t="n">
        <f aca="false">IF(ISBLANK(Actuals!CH90),-1497.86*Escalation!$B$82,Actuals!CH90)</f>
        <v>-1686.83364131878</v>
      </c>
      <c r="CH270" s="21" t="n">
        <f aca="false">IF(ISBLANK(Actuals!CI90),-1497.86*Escalation!$B$83,Actuals!CI90)</f>
        <v>-1686.83364131878</v>
      </c>
      <c r="CI270" s="21" t="n">
        <f aca="false">IF(ISBLANK(Actuals!CJ90),-1497.86*Escalation!$B$84,Actuals!CJ90)</f>
        <v>-1686.83364131878</v>
      </c>
      <c r="CJ270" s="21" t="n">
        <f aca="false">IF(ISBLANK(Actuals!CK90),-1497.86*Escalation!$B$85,Actuals!CK90)</f>
        <v>-1686.83364131878</v>
      </c>
      <c r="CK270" s="21" t="n">
        <f aca="false">IF(ISBLANK(Actuals!CL90),-1497.86*Escalation!$B$86,Actuals!CL90)</f>
        <v>-1720.57031414515</v>
      </c>
      <c r="CL270" s="21" t="n">
        <f aca="false">IF(ISBLANK(Actuals!CM90),-1497.86*Escalation!$B$87,Actuals!CM90)</f>
        <v>-1720.57031414515</v>
      </c>
      <c r="CM270" s="21" t="n">
        <f aca="false">IF(ISBLANK(Actuals!CN90),-1497.86*Escalation!$B$88,Actuals!CN90)</f>
        <v>-1720.57031414515</v>
      </c>
      <c r="CN270" s="21" t="n">
        <f aca="false">IF(ISBLANK(Actuals!CO90),-1497.86*Escalation!$B$89,Actuals!CO90)</f>
        <v>-1720.57031414515</v>
      </c>
      <c r="CO270" s="21" t="n">
        <f aca="false">IF(ISBLANK(Actuals!CP90),-1497.86*Escalation!$B$90,Actuals!CP90)</f>
        <v>-1720.57031414515</v>
      </c>
      <c r="CP270" s="21" t="n">
        <f aca="false">IF(ISBLANK(Actuals!CQ90),-1497.86*Escalation!$B$91,Actuals!CQ90)</f>
        <v>-1720.57031414515</v>
      </c>
      <c r="CQ270" s="21" t="n">
        <f aca="false">IF(ISBLANK(Actuals!CR90),-1497.86*Escalation!$B$92,Actuals!CR90)</f>
        <v>-1720.57031414515</v>
      </c>
      <c r="CR270" s="21" t="n">
        <f aca="false">IF(ISBLANK(Actuals!CS90),-1497.86*Escalation!$B$93,Actuals!CS90)</f>
        <v>-1720.57031414515</v>
      </c>
      <c r="CS270" s="21" t="n">
        <f aca="false">IF(ISBLANK(Actuals!CT90),-1497.86*Escalation!$B$94,Actuals!CT90)</f>
        <v>-1720.57031414515</v>
      </c>
      <c r="CT270" s="21" t="n">
        <f aca="false">IF(ISBLANK(Actuals!CU90),-1497.86*Escalation!$B$95,Actuals!CU90)</f>
        <v>-1720.57031414515</v>
      </c>
      <c r="CU270" s="21" t="n">
        <f aca="false">IF(ISBLANK(Actuals!CV90),-1497.86*Escalation!$B$96,Actuals!CV90)</f>
        <v>-1720.57031414515</v>
      </c>
      <c r="CV270" s="21" t="n">
        <f aca="false">IF(ISBLANK(Actuals!CW90),-1497.86*Escalation!$B$97,Actuals!CW90)</f>
        <v>-1720.57031414515</v>
      </c>
      <c r="CW270" s="21" t="n">
        <f aca="false">IF(ISBLANK(Actuals!CX90),-1497.86*Escalation!$B$98,Actuals!CX90)</f>
        <v>-1754.98172042805</v>
      </c>
      <c r="CX270" s="21" t="n">
        <f aca="false">IF(ISBLANK(Actuals!CY90),-1497.86*Escalation!$B$99,Actuals!CY90)</f>
        <v>-1754.98172042805</v>
      </c>
      <c r="CY270" s="21" t="n">
        <f aca="false">IF(ISBLANK(Actuals!CZ90),-1497.86*Escalation!$B$100,Actuals!CZ90)</f>
        <v>-1754.98172042805</v>
      </c>
      <c r="CZ270" s="21" t="n">
        <f aca="false">IF(ISBLANK(Actuals!DA90),-1497.86*Escalation!$B$101,Actuals!DA90)</f>
        <v>-1754.98172042805</v>
      </c>
      <c r="DA270" s="21" t="n">
        <f aca="false">IF(ISBLANK(Actuals!DB90),-1497.86*Escalation!$B$102,Actuals!DB90)</f>
        <v>-1754.98172042805</v>
      </c>
      <c r="DB270" s="21" t="n">
        <f aca="false">IF(ISBLANK(Actuals!DC90),-1497.86*Escalation!$B$103,Actuals!DC90)</f>
        <v>-1754.98172042805</v>
      </c>
      <c r="DC270" s="21" t="n">
        <f aca="false">IF(ISBLANK(Actuals!DD90),-1497.86*Escalation!$B$104,Actuals!DD90)</f>
        <v>-1754.98172042805</v>
      </c>
      <c r="DD270" s="21" t="n">
        <f aca="false">IF(ISBLANK(Actuals!DE90),-1497.86*Escalation!$B$105,Actuals!DE90)</f>
        <v>-1754.98172042805</v>
      </c>
      <c r="DE270" s="21" t="n">
        <f aca="false">IF(ISBLANK(Actuals!DF90),-1497.86*Escalation!$B$106,Actuals!DF90)</f>
        <v>-1754.98172042805</v>
      </c>
    </row>
    <row r="271" customFormat="false" ht="15" hidden="false" customHeight="true" outlineLevel="0" collapsed="false">
      <c r="A271" s="35" t="s">
        <v>123</v>
      </c>
      <c r="B271" s="21" t="n">
        <f aca="false">IF(ISBLANK(Actuals!C91),0,Actuals!C91)</f>
        <v>0</v>
      </c>
      <c r="C271" s="21" t="n">
        <f aca="false">IF(ISBLANK(Actuals!D91),0,Actuals!D91)</f>
        <v>0</v>
      </c>
      <c r="D271" s="21" t="n">
        <f aca="false">IF(ISBLANK(Actuals!E91),0,Actuals!E91)</f>
        <v>-870</v>
      </c>
      <c r="E271" s="21" t="n">
        <f aca="false">IF(ISBLANK(Actuals!F91),-290*Escalation!$B$2,Actuals!F91)</f>
        <v>0</v>
      </c>
      <c r="F271" s="21" t="n">
        <f aca="false">IF(ISBLANK(Actuals!G91),-290*Escalation!$B$3,Actuals!G91)</f>
        <v>0</v>
      </c>
      <c r="G271" s="21" t="n">
        <f aca="false">IF(ISBLANK(Actuals!H91),-290*Escalation!$B$4,Actuals!H91)</f>
        <v>0</v>
      </c>
      <c r="H271" s="21" t="n">
        <f aca="false">IF(ISBLANK(Actuals!I91),-290*Escalation!$B$5,Actuals!I91)</f>
        <v>0</v>
      </c>
      <c r="I271" s="21" t="n">
        <f aca="false">IF(ISBLANK(Actuals!J91),-290*Escalation!$B$6,Actuals!J91)</f>
        <v>0</v>
      </c>
      <c r="J271" s="21" t="n">
        <f aca="false">IF(ISBLANK(Actuals!K91),-290*Escalation!$B$7,Actuals!K91)</f>
        <v>-290</v>
      </c>
      <c r="K271" s="21" t="n">
        <f aca="false">IF(ISBLANK(Actuals!L91),-290*Escalation!$B$8,Actuals!L91)</f>
        <v>-290</v>
      </c>
      <c r="L271" s="21" t="n">
        <f aca="false">IF(ISBLANK(Actuals!M91),-290*Escalation!$B$9,Actuals!M91)</f>
        <v>-290</v>
      </c>
      <c r="M271" s="21" t="n">
        <f aca="false">IF(ISBLANK(Actuals!N91),-290*Escalation!$B$10,Actuals!N91)</f>
        <v>-290</v>
      </c>
      <c r="N271" s="21" t="n">
        <f aca="false">IF(ISBLANK(Actuals!O91),-290*Escalation!$B$11,Actuals!O91)</f>
        <v>-290</v>
      </c>
      <c r="O271" s="21" t="n">
        <f aca="false">IF(ISBLANK(Actuals!P91),-290*Escalation!$B$12,Actuals!P91)</f>
        <v>-290</v>
      </c>
      <c r="P271" s="21" t="n">
        <f aca="false">IF(ISBLANK(Actuals!Q91),-290*Escalation!$B$13,Actuals!Q91)</f>
        <v>-290</v>
      </c>
      <c r="Q271" s="21" t="n">
        <f aca="false">IF(ISBLANK(Actuals!R91),-290*Escalation!$B$14,Actuals!R91)</f>
        <v>-295.8</v>
      </c>
      <c r="R271" s="21" t="n">
        <f aca="false">IF(ISBLANK(Actuals!S91),-290*Escalation!$B$15,Actuals!S91)</f>
        <v>-295.8</v>
      </c>
      <c r="S271" s="21" t="n">
        <f aca="false">IF(ISBLANK(Actuals!T91),-290*Escalation!$B$16,Actuals!T91)</f>
        <v>-295.8</v>
      </c>
      <c r="T271" s="21" t="n">
        <f aca="false">IF(ISBLANK(Actuals!U91),-290*Escalation!$B$17,Actuals!U91)</f>
        <v>-295.8</v>
      </c>
      <c r="U271" s="21" t="n">
        <f aca="false">IF(ISBLANK(Actuals!V91),-290*Escalation!$B$18,Actuals!V91)</f>
        <v>-295.8</v>
      </c>
      <c r="V271" s="21" t="n">
        <f aca="false">IF(ISBLANK(Actuals!W91),-290*Escalation!$B$19,Actuals!W91)</f>
        <v>-295.8</v>
      </c>
      <c r="W271" s="21" t="n">
        <f aca="false">IF(ISBLANK(Actuals!X91),-290*Escalation!$B$20,Actuals!X91)</f>
        <v>-295.8</v>
      </c>
      <c r="X271" s="21" t="n">
        <f aca="false">IF(ISBLANK(Actuals!Y91),-290*Escalation!$B$21,Actuals!Y91)</f>
        <v>-295.8</v>
      </c>
      <c r="Y271" s="21" t="n">
        <f aca="false">IF(ISBLANK(Actuals!Z91),-290*Escalation!$B$22,Actuals!Z91)</f>
        <v>-295.8</v>
      </c>
      <c r="Z271" s="21" t="n">
        <f aca="false">IF(ISBLANK(Actuals!AA91),-290*Escalation!$B$23,Actuals!AA91)</f>
        <v>-295.8</v>
      </c>
      <c r="AA271" s="21" t="n">
        <f aca="false">IF(ISBLANK(Actuals!AB91),-290*Escalation!$B$24,Actuals!AB91)</f>
        <v>-295.8</v>
      </c>
      <c r="AB271" s="21" t="n">
        <f aca="false">IF(ISBLANK(Actuals!AC91),-290*Escalation!$B$25,Actuals!AC91)</f>
        <v>-295.8</v>
      </c>
      <c r="AC271" s="21" t="n">
        <f aca="false">IF(ISBLANK(Actuals!AD91),-290*Escalation!$B$26,Actuals!AD91)</f>
        <v>-301.716</v>
      </c>
      <c r="AD271" s="21" t="n">
        <f aca="false">IF(ISBLANK(Actuals!AE91),-290*Escalation!$B$27,Actuals!AE91)</f>
        <v>-301.716</v>
      </c>
      <c r="AE271" s="21" t="n">
        <f aca="false">IF(ISBLANK(Actuals!AF91),-290*Escalation!$B$28,Actuals!AF91)</f>
        <v>-301.716</v>
      </c>
      <c r="AF271" s="21" t="n">
        <f aca="false">IF(ISBLANK(Actuals!AG91),-290*Escalation!$B$29,Actuals!AG91)</f>
        <v>-301.716</v>
      </c>
      <c r="AG271" s="21" t="n">
        <f aca="false">IF(ISBLANK(Actuals!AH91),-290*Escalation!$B$30,Actuals!AH91)</f>
        <v>-301.716</v>
      </c>
      <c r="AH271" s="21" t="n">
        <f aca="false">IF(ISBLANK(Actuals!AI91),-290*Escalation!$B$31,Actuals!AI91)</f>
        <v>-301.716</v>
      </c>
      <c r="AI271" s="21" t="n">
        <f aca="false">IF(ISBLANK(Actuals!AJ91),-290*Escalation!$B$32,Actuals!AJ91)</f>
        <v>-301.716</v>
      </c>
      <c r="AJ271" s="21" t="n">
        <f aca="false">IF(ISBLANK(Actuals!AK91),-290*Escalation!$B$33,Actuals!AK91)</f>
        <v>-301.716</v>
      </c>
      <c r="AK271" s="21" t="n">
        <f aca="false">IF(ISBLANK(Actuals!AL91),-290*Escalation!$B$34,Actuals!AL91)</f>
        <v>-301.716</v>
      </c>
      <c r="AL271" s="21" t="n">
        <f aca="false">IF(ISBLANK(Actuals!AM91),-290*Escalation!$B$35,Actuals!AM91)</f>
        <v>-301.716</v>
      </c>
      <c r="AM271" s="21" t="n">
        <f aca="false">IF(ISBLANK(Actuals!AN91),-290*Escalation!$B$36,Actuals!AN91)</f>
        <v>-301.716</v>
      </c>
      <c r="AN271" s="21" t="n">
        <f aca="false">IF(ISBLANK(Actuals!AO91),-290*Escalation!$B$37,Actuals!AO91)</f>
        <v>-301.716</v>
      </c>
      <c r="AO271" s="21" t="n">
        <f aca="false">IF(ISBLANK(Actuals!AP91),-290*Escalation!$B$38,Actuals!AP91)</f>
        <v>-307.75032</v>
      </c>
      <c r="AP271" s="21" t="n">
        <f aca="false">IF(ISBLANK(Actuals!AQ91),-290*Escalation!$B$39,Actuals!AQ91)</f>
        <v>-307.75032</v>
      </c>
      <c r="AQ271" s="21" t="n">
        <f aca="false">IF(ISBLANK(Actuals!AR91),-290*Escalation!$B$40,Actuals!AR91)</f>
        <v>-307.75032</v>
      </c>
      <c r="AR271" s="21" t="n">
        <f aca="false">IF(ISBLANK(Actuals!AS91),-290*Escalation!$B$41,Actuals!AS91)</f>
        <v>-307.75032</v>
      </c>
      <c r="AS271" s="21" t="n">
        <f aca="false">IF(ISBLANK(Actuals!AT91),-290*Escalation!$B$42,Actuals!AT91)</f>
        <v>-307.75032</v>
      </c>
      <c r="AT271" s="21" t="n">
        <f aca="false">IF(ISBLANK(Actuals!AU91),-290*Escalation!$B$43,Actuals!AU91)</f>
        <v>-307.75032</v>
      </c>
      <c r="AU271" s="21" t="n">
        <f aca="false">IF(ISBLANK(Actuals!AV91),-290*Escalation!$B$44,Actuals!AV91)</f>
        <v>-307.75032</v>
      </c>
      <c r="AV271" s="21" t="n">
        <f aca="false">IF(ISBLANK(Actuals!AW91),-290*Escalation!$B$45,Actuals!AW91)</f>
        <v>-307.75032</v>
      </c>
      <c r="AW271" s="21" t="n">
        <f aca="false">IF(ISBLANK(Actuals!AX91),-290*Escalation!$B$46,Actuals!AX91)</f>
        <v>-307.75032</v>
      </c>
      <c r="AX271" s="21" t="n">
        <f aca="false">IF(ISBLANK(Actuals!AY91),-290*Escalation!$B$47,Actuals!AY91)</f>
        <v>-307.75032</v>
      </c>
      <c r="AY271" s="21" t="n">
        <f aca="false">IF(ISBLANK(Actuals!AZ91),-290*Escalation!$B$48,Actuals!AZ91)</f>
        <v>-307.75032</v>
      </c>
      <c r="AZ271" s="21" t="n">
        <f aca="false">IF(ISBLANK(Actuals!BA91),-290*Escalation!$B$49,Actuals!BA91)</f>
        <v>-307.75032</v>
      </c>
      <c r="BA271" s="21" t="n">
        <f aca="false">IF(ISBLANK(Actuals!BB91),-290*Escalation!$B$50,Actuals!BB91)</f>
        <v>-313.9053264</v>
      </c>
      <c r="BB271" s="21" t="n">
        <f aca="false">IF(ISBLANK(Actuals!BC91),-290*Escalation!$B$51,Actuals!BC91)</f>
        <v>-313.9053264</v>
      </c>
      <c r="BC271" s="21" t="n">
        <f aca="false">IF(ISBLANK(Actuals!BD91),-290*Escalation!$B$52,Actuals!BD91)</f>
        <v>-313.9053264</v>
      </c>
      <c r="BD271" s="21" t="n">
        <f aca="false">IF(ISBLANK(Actuals!BE91),-290*Escalation!$B$53,Actuals!BE91)</f>
        <v>-313.9053264</v>
      </c>
      <c r="BE271" s="21" t="n">
        <f aca="false">IF(ISBLANK(Actuals!BF91),-290*Escalation!$B$54,Actuals!BF91)</f>
        <v>-313.9053264</v>
      </c>
      <c r="BF271" s="21" t="n">
        <f aca="false">IF(ISBLANK(Actuals!BG91),-290*Escalation!$B$55,Actuals!BG91)</f>
        <v>-313.9053264</v>
      </c>
      <c r="BG271" s="21" t="n">
        <f aca="false">IF(ISBLANK(Actuals!BH91),-290*Escalation!$B$56,Actuals!BH91)</f>
        <v>-313.9053264</v>
      </c>
      <c r="BH271" s="21" t="n">
        <f aca="false">IF(ISBLANK(Actuals!BI91),-290*Escalation!$B$57,Actuals!BI91)</f>
        <v>-313.9053264</v>
      </c>
      <c r="BI271" s="21" t="n">
        <f aca="false">IF(ISBLANK(Actuals!BJ91),-290*Escalation!$B$58,Actuals!BJ91)</f>
        <v>-313.9053264</v>
      </c>
      <c r="BJ271" s="21" t="n">
        <f aca="false">IF(ISBLANK(Actuals!BK91),-290*Escalation!$B$59,Actuals!BK91)</f>
        <v>-313.9053264</v>
      </c>
      <c r="BK271" s="21" t="n">
        <f aca="false">IF(ISBLANK(Actuals!BL91),-290*Escalation!$B$60,Actuals!BL91)</f>
        <v>-313.9053264</v>
      </c>
      <c r="BL271" s="21" t="n">
        <f aca="false">IF(ISBLANK(Actuals!BM91),-290*Escalation!$B$61,Actuals!BM91)</f>
        <v>-313.9053264</v>
      </c>
      <c r="BM271" s="21" t="n">
        <f aca="false">IF(ISBLANK(Actuals!BN91),-290*Escalation!$B$62,Actuals!BN91)</f>
        <v>-320.183432928</v>
      </c>
      <c r="BN271" s="21" t="n">
        <f aca="false">IF(ISBLANK(Actuals!BO91),-290*Escalation!$B$63,Actuals!BO91)</f>
        <v>-320.183432928</v>
      </c>
      <c r="BO271" s="21" t="n">
        <f aca="false">IF(ISBLANK(Actuals!BP91),-290*Escalation!$B$64,Actuals!BP91)</f>
        <v>-320.183432928</v>
      </c>
      <c r="BP271" s="21" t="n">
        <f aca="false">IF(ISBLANK(Actuals!BQ91),-290*Escalation!$B$65,Actuals!BQ91)</f>
        <v>-320.183432928</v>
      </c>
      <c r="BQ271" s="21" t="n">
        <f aca="false">IF(ISBLANK(Actuals!BR91),-290*Escalation!$B$66,Actuals!BR91)</f>
        <v>-320.183432928</v>
      </c>
      <c r="BR271" s="21" t="n">
        <f aca="false">IF(ISBLANK(Actuals!BS91),-290*Escalation!$B$67,Actuals!BS91)</f>
        <v>-320.183432928</v>
      </c>
      <c r="BS271" s="21" t="n">
        <f aca="false">IF(ISBLANK(Actuals!BT91),-290*Escalation!$B$68,Actuals!BT91)</f>
        <v>-320.183432928</v>
      </c>
      <c r="BT271" s="21" t="n">
        <f aca="false">IF(ISBLANK(Actuals!BU91),-290*Escalation!$B$69,Actuals!BU91)</f>
        <v>-320.183432928</v>
      </c>
      <c r="BU271" s="21" t="n">
        <f aca="false">IF(ISBLANK(Actuals!BV91),-290*Escalation!$B$70,Actuals!BV91)</f>
        <v>-320.183432928</v>
      </c>
      <c r="BV271" s="21" t="n">
        <f aca="false">IF(ISBLANK(Actuals!BW91),-290*Escalation!$B$71,Actuals!BW91)</f>
        <v>-320.183432928</v>
      </c>
      <c r="BW271" s="21" t="n">
        <f aca="false">IF(ISBLANK(Actuals!BX91),-290*Escalation!$B$72,Actuals!BX91)</f>
        <v>-320.183432928</v>
      </c>
      <c r="BX271" s="21" t="n">
        <f aca="false">IF(ISBLANK(Actuals!BY91),-290*Escalation!$B$73,Actuals!BY91)</f>
        <v>-320.183432928</v>
      </c>
      <c r="BY271" s="21" t="n">
        <f aca="false">IF(ISBLANK(Actuals!BZ91),-290*Escalation!$B$74,Actuals!BZ91)</f>
        <v>-326.58710158656</v>
      </c>
      <c r="BZ271" s="21" t="n">
        <f aca="false">IF(ISBLANK(Actuals!CA91),-290*Escalation!$B$75,Actuals!CA91)</f>
        <v>-326.58710158656</v>
      </c>
      <c r="CA271" s="21" t="n">
        <f aca="false">IF(ISBLANK(Actuals!CB91),-290*Escalation!$B$76,Actuals!CB91)</f>
        <v>-326.58710158656</v>
      </c>
      <c r="CB271" s="21" t="n">
        <f aca="false">IF(ISBLANK(Actuals!CC91),-290*Escalation!$B$77,Actuals!CC91)</f>
        <v>-326.58710158656</v>
      </c>
      <c r="CC271" s="21" t="n">
        <f aca="false">IF(ISBLANK(Actuals!CD91),-290*Escalation!$B$78,Actuals!CD91)</f>
        <v>-326.58710158656</v>
      </c>
      <c r="CD271" s="21" t="n">
        <f aca="false">IF(ISBLANK(Actuals!CE91),-290*Escalation!$B$79,Actuals!CE91)</f>
        <v>-326.58710158656</v>
      </c>
      <c r="CE271" s="21" t="n">
        <f aca="false">IF(ISBLANK(Actuals!CF91),-290*Escalation!$B$80,Actuals!CF91)</f>
        <v>-326.58710158656</v>
      </c>
      <c r="CF271" s="21" t="n">
        <f aca="false">IF(ISBLANK(Actuals!CG91),-290*Escalation!$B$81,Actuals!CG91)</f>
        <v>-326.58710158656</v>
      </c>
      <c r="CG271" s="21" t="n">
        <f aca="false">IF(ISBLANK(Actuals!CH91),-290*Escalation!$B$82,Actuals!CH91)</f>
        <v>-326.58710158656</v>
      </c>
      <c r="CH271" s="21" t="n">
        <f aca="false">IF(ISBLANK(Actuals!CI91),-290*Escalation!$B$83,Actuals!CI91)</f>
        <v>-326.58710158656</v>
      </c>
      <c r="CI271" s="21" t="n">
        <f aca="false">IF(ISBLANK(Actuals!CJ91),-290*Escalation!$B$84,Actuals!CJ91)</f>
        <v>-326.58710158656</v>
      </c>
      <c r="CJ271" s="21" t="n">
        <f aca="false">IF(ISBLANK(Actuals!CK91),-290*Escalation!$B$85,Actuals!CK91)</f>
        <v>-326.58710158656</v>
      </c>
      <c r="CK271" s="21" t="n">
        <f aca="false">IF(ISBLANK(Actuals!CL91),-290*Escalation!$B$86,Actuals!CL91)</f>
        <v>-333.118843618291</v>
      </c>
      <c r="CL271" s="21" t="n">
        <f aca="false">IF(ISBLANK(Actuals!CM91),-290*Escalation!$B$87,Actuals!CM91)</f>
        <v>-333.118843618291</v>
      </c>
      <c r="CM271" s="21" t="n">
        <f aca="false">IF(ISBLANK(Actuals!CN91),-290*Escalation!$B$88,Actuals!CN91)</f>
        <v>-333.118843618291</v>
      </c>
      <c r="CN271" s="21" t="n">
        <f aca="false">IF(ISBLANK(Actuals!CO91),-290*Escalation!$B$89,Actuals!CO91)</f>
        <v>-333.118843618291</v>
      </c>
      <c r="CO271" s="21" t="n">
        <f aca="false">IF(ISBLANK(Actuals!CP91),-290*Escalation!$B$90,Actuals!CP91)</f>
        <v>-333.118843618291</v>
      </c>
      <c r="CP271" s="21" t="n">
        <f aca="false">IF(ISBLANK(Actuals!CQ91),-290*Escalation!$B$91,Actuals!CQ91)</f>
        <v>-333.118843618291</v>
      </c>
      <c r="CQ271" s="21" t="n">
        <f aca="false">IF(ISBLANK(Actuals!CR91),-290*Escalation!$B$92,Actuals!CR91)</f>
        <v>-333.118843618291</v>
      </c>
      <c r="CR271" s="21" t="n">
        <f aca="false">IF(ISBLANK(Actuals!CS91),-290*Escalation!$B$93,Actuals!CS91)</f>
        <v>-333.118843618291</v>
      </c>
      <c r="CS271" s="21" t="n">
        <f aca="false">IF(ISBLANK(Actuals!CT91),-290*Escalation!$B$94,Actuals!CT91)</f>
        <v>-333.118843618291</v>
      </c>
      <c r="CT271" s="21" t="n">
        <f aca="false">IF(ISBLANK(Actuals!CU91),-290*Escalation!$B$95,Actuals!CU91)</f>
        <v>-333.118843618291</v>
      </c>
      <c r="CU271" s="21" t="n">
        <f aca="false">IF(ISBLANK(Actuals!CV91),-290*Escalation!$B$96,Actuals!CV91)</f>
        <v>-333.118843618291</v>
      </c>
      <c r="CV271" s="21" t="n">
        <f aca="false">IF(ISBLANK(Actuals!CW91),-290*Escalation!$B$97,Actuals!CW91)</f>
        <v>-333.118843618291</v>
      </c>
      <c r="CW271" s="21" t="n">
        <f aca="false">IF(ISBLANK(Actuals!CX91),-290*Escalation!$B$98,Actuals!CX91)</f>
        <v>-339.781220490657</v>
      </c>
      <c r="CX271" s="21" t="n">
        <f aca="false">IF(ISBLANK(Actuals!CY91),-290*Escalation!$B$99,Actuals!CY91)</f>
        <v>-339.781220490657</v>
      </c>
      <c r="CY271" s="21" t="n">
        <f aca="false">IF(ISBLANK(Actuals!CZ91),-290*Escalation!$B$100,Actuals!CZ91)</f>
        <v>-339.781220490657</v>
      </c>
      <c r="CZ271" s="21" t="n">
        <f aca="false">IF(ISBLANK(Actuals!DA91),-290*Escalation!$B$101,Actuals!DA91)</f>
        <v>-339.781220490657</v>
      </c>
      <c r="DA271" s="21" t="n">
        <f aca="false">IF(ISBLANK(Actuals!DB91),-290*Escalation!$B$102,Actuals!DB91)</f>
        <v>-339.781220490657</v>
      </c>
      <c r="DB271" s="21" t="n">
        <f aca="false">IF(ISBLANK(Actuals!DC91),-290*Escalation!$B$103,Actuals!DC91)</f>
        <v>-339.781220490657</v>
      </c>
      <c r="DC271" s="21" t="n">
        <f aca="false">IF(ISBLANK(Actuals!DD91),-290*Escalation!$B$104,Actuals!DD91)</f>
        <v>-339.781220490657</v>
      </c>
      <c r="DD271" s="21" t="n">
        <f aca="false">IF(ISBLANK(Actuals!DE91),-290*Escalation!$B$105,Actuals!DE91)</f>
        <v>-339.781220490657</v>
      </c>
      <c r="DE271" s="21" t="n">
        <f aca="false">IF(ISBLANK(Actuals!DF91),-290*Escalation!$B$106,Actuals!DF91)</f>
        <v>-339.781220490657</v>
      </c>
    </row>
    <row r="272" customFormat="false" ht="15" hidden="false" customHeight="true" outlineLevel="0" collapsed="false">
      <c r="A272" s="35" t="s">
        <v>124</v>
      </c>
      <c r="B272" s="21" t="n">
        <f aca="false">IF(ISBLANK(Actuals!C92),0,Actuals!C92)</f>
        <v>-245</v>
      </c>
      <c r="C272" s="21" t="n">
        <f aca="false">IF(ISBLANK(Actuals!D92),0,Actuals!D92)</f>
        <v>-245</v>
      </c>
      <c r="D272" s="21" t="n">
        <f aca="false">IF(ISBLANK(Actuals!E92),0,Actuals!E92)</f>
        <v>-245</v>
      </c>
      <c r="E272" s="21" t="n">
        <f aca="false">IF(ISBLANK(Actuals!F92),-245*Escalation!$B$2,Actuals!F92)</f>
        <v>-245</v>
      </c>
      <c r="F272" s="21" t="n">
        <f aca="false">IF(ISBLANK(Actuals!G92),-245*Escalation!$B$3,Actuals!G92)</f>
        <v>-245</v>
      </c>
      <c r="G272" s="21" t="n">
        <f aca="false">IF(ISBLANK(Actuals!H92),-245*Escalation!$B$4,Actuals!H92)</f>
        <v>-245</v>
      </c>
      <c r="H272" s="21" t="n">
        <f aca="false">IF(ISBLANK(Actuals!I92),-245*Escalation!$B$5,Actuals!I92)</f>
        <v>-245</v>
      </c>
      <c r="I272" s="21" t="n">
        <f aca="false">IF(ISBLANK(Actuals!J92),-245*Escalation!$B$6,Actuals!J92)</f>
        <v>0</v>
      </c>
      <c r="J272" s="21" t="n">
        <f aca="false">IF(ISBLANK(Actuals!K92),-245*Escalation!$B$7,Actuals!K92)</f>
        <v>-245</v>
      </c>
      <c r="K272" s="21" t="n">
        <f aca="false">IF(ISBLANK(Actuals!L92),-245*Escalation!$B$8,Actuals!L92)</f>
        <v>-245</v>
      </c>
      <c r="L272" s="21" t="n">
        <f aca="false">IF(ISBLANK(Actuals!M92),-245*Escalation!$B$9,Actuals!M92)</f>
        <v>-245</v>
      </c>
      <c r="M272" s="21" t="n">
        <f aca="false">IF(ISBLANK(Actuals!N92),-245*Escalation!$B$10,Actuals!N92)</f>
        <v>-245</v>
      </c>
      <c r="N272" s="21" t="n">
        <f aca="false">IF(ISBLANK(Actuals!O92),-245*Escalation!$B$11,Actuals!O92)</f>
        <v>-245</v>
      </c>
      <c r="O272" s="21" t="n">
        <f aca="false">IF(ISBLANK(Actuals!P92),-245*Escalation!$B$12,Actuals!P92)</f>
        <v>-245</v>
      </c>
      <c r="P272" s="21" t="n">
        <f aca="false">IF(ISBLANK(Actuals!Q92),-245*Escalation!$B$13,Actuals!Q92)</f>
        <v>-245</v>
      </c>
      <c r="Q272" s="21" t="n">
        <f aca="false">IF(ISBLANK(Actuals!R92),-245*Escalation!$B$14,Actuals!R92)</f>
        <v>-249.9</v>
      </c>
      <c r="R272" s="21" t="n">
        <f aca="false">IF(ISBLANK(Actuals!S92),-245*Escalation!$B$15,Actuals!S92)</f>
        <v>-249.9</v>
      </c>
      <c r="S272" s="21" t="n">
        <f aca="false">IF(ISBLANK(Actuals!T92),-245*Escalation!$B$16,Actuals!T92)</f>
        <v>-249.9</v>
      </c>
      <c r="T272" s="21" t="n">
        <f aca="false">IF(ISBLANK(Actuals!U92),-245*Escalation!$B$17,Actuals!U92)</f>
        <v>-249.9</v>
      </c>
      <c r="U272" s="21" t="n">
        <f aca="false">IF(ISBLANK(Actuals!V92),-245*Escalation!$B$18,Actuals!V92)</f>
        <v>-249.9</v>
      </c>
      <c r="V272" s="21" t="n">
        <f aca="false">IF(ISBLANK(Actuals!W92),-245*Escalation!$B$19,Actuals!W92)</f>
        <v>-249.9</v>
      </c>
      <c r="W272" s="21" t="n">
        <f aca="false">IF(ISBLANK(Actuals!X92),-245*Escalation!$B$20,Actuals!X92)</f>
        <v>-249.9</v>
      </c>
      <c r="X272" s="21" t="n">
        <f aca="false">IF(ISBLANK(Actuals!Y92),-245*Escalation!$B$21,Actuals!Y92)</f>
        <v>-249.9</v>
      </c>
      <c r="Y272" s="21" t="n">
        <f aca="false">IF(ISBLANK(Actuals!Z92),-245*Escalation!$B$22,Actuals!Z92)</f>
        <v>-249.9</v>
      </c>
      <c r="Z272" s="21" t="n">
        <f aca="false">IF(ISBLANK(Actuals!AA92),-245*Escalation!$B$23,Actuals!AA92)</f>
        <v>-249.9</v>
      </c>
      <c r="AA272" s="21" t="n">
        <f aca="false">IF(ISBLANK(Actuals!AB92),-245*Escalation!$B$24,Actuals!AB92)</f>
        <v>-249.9</v>
      </c>
      <c r="AB272" s="21" t="n">
        <f aca="false">IF(ISBLANK(Actuals!AC92),-245*Escalation!$B$25,Actuals!AC92)</f>
        <v>-249.9</v>
      </c>
      <c r="AC272" s="21" t="n">
        <f aca="false">IF(ISBLANK(Actuals!AD92),-245*Escalation!$B$26,Actuals!AD92)</f>
        <v>-254.898</v>
      </c>
      <c r="AD272" s="21" t="n">
        <f aca="false">IF(ISBLANK(Actuals!AE92),-245*Escalation!$B$27,Actuals!AE92)</f>
        <v>-254.898</v>
      </c>
      <c r="AE272" s="21" t="n">
        <f aca="false">IF(ISBLANK(Actuals!AF92),-245*Escalation!$B$28,Actuals!AF92)</f>
        <v>-254.898</v>
      </c>
      <c r="AF272" s="21" t="n">
        <f aca="false">IF(ISBLANK(Actuals!AG92),-245*Escalation!$B$29,Actuals!AG92)</f>
        <v>-254.898</v>
      </c>
      <c r="AG272" s="21" t="n">
        <f aca="false">IF(ISBLANK(Actuals!AH92),-245*Escalation!$B$30,Actuals!AH92)</f>
        <v>-254.898</v>
      </c>
      <c r="AH272" s="21" t="n">
        <f aca="false">IF(ISBLANK(Actuals!AI92),-245*Escalation!$B$31,Actuals!AI92)</f>
        <v>-254.898</v>
      </c>
      <c r="AI272" s="21" t="n">
        <f aca="false">IF(ISBLANK(Actuals!AJ92),-245*Escalation!$B$32,Actuals!AJ92)</f>
        <v>-254.898</v>
      </c>
      <c r="AJ272" s="21" t="n">
        <f aca="false">IF(ISBLANK(Actuals!AK92),-245*Escalation!$B$33,Actuals!AK92)</f>
        <v>-254.898</v>
      </c>
      <c r="AK272" s="21" t="n">
        <f aca="false">IF(ISBLANK(Actuals!AL92),-245*Escalation!$B$34,Actuals!AL92)</f>
        <v>-254.898</v>
      </c>
      <c r="AL272" s="21" t="n">
        <f aca="false">IF(ISBLANK(Actuals!AM92),-245*Escalation!$B$35,Actuals!AM92)</f>
        <v>-254.898</v>
      </c>
      <c r="AM272" s="21" t="n">
        <f aca="false">IF(ISBLANK(Actuals!AN92),-245*Escalation!$B$36,Actuals!AN92)</f>
        <v>-254.898</v>
      </c>
      <c r="AN272" s="21" t="n">
        <f aca="false">IF(ISBLANK(Actuals!AO92),-245*Escalation!$B$37,Actuals!AO92)</f>
        <v>-254.898</v>
      </c>
      <c r="AO272" s="21" t="n">
        <f aca="false">IF(ISBLANK(Actuals!AP92),-245*Escalation!$B$38,Actuals!AP92)</f>
        <v>-259.99596</v>
      </c>
      <c r="AP272" s="21" t="n">
        <f aca="false">IF(ISBLANK(Actuals!AQ92),-245*Escalation!$B$39,Actuals!AQ92)</f>
        <v>-259.99596</v>
      </c>
      <c r="AQ272" s="21" t="n">
        <f aca="false">IF(ISBLANK(Actuals!AR92),-245*Escalation!$B$40,Actuals!AR92)</f>
        <v>-259.99596</v>
      </c>
      <c r="AR272" s="21" t="n">
        <f aca="false">IF(ISBLANK(Actuals!AS92),-245*Escalation!$B$41,Actuals!AS92)</f>
        <v>-259.99596</v>
      </c>
      <c r="AS272" s="21" t="n">
        <f aca="false">IF(ISBLANK(Actuals!AT92),-245*Escalation!$B$42,Actuals!AT92)</f>
        <v>-259.99596</v>
      </c>
      <c r="AT272" s="21" t="n">
        <f aca="false">IF(ISBLANK(Actuals!AU92),-245*Escalation!$B$43,Actuals!AU92)</f>
        <v>-259.99596</v>
      </c>
      <c r="AU272" s="21" t="n">
        <f aca="false">IF(ISBLANK(Actuals!AV92),-245*Escalation!$B$44,Actuals!AV92)</f>
        <v>-259.99596</v>
      </c>
      <c r="AV272" s="21" t="n">
        <f aca="false">IF(ISBLANK(Actuals!AW92),-245*Escalation!$B$45,Actuals!AW92)</f>
        <v>-259.99596</v>
      </c>
      <c r="AW272" s="21" t="n">
        <f aca="false">IF(ISBLANK(Actuals!AX92),-245*Escalation!$B$46,Actuals!AX92)</f>
        <v>-259.99596</v>
      </c>
      <c r="AX272" s="21" t="n">
        <f aca="false">IF(ISBLANK(Actuals!AY92),-245*Escalation!$B$47,Actuals!AY92)</f>
        <v>-259.99596</v>
      </c>
      <c r="AY272" s="21" t="n">
        <f aca="false">IF(ISBLANK(Actuals!AZ92),-245*Escalation!$B$48,Actuals!AZ92)</f>
        <v>-259.99596</v>
      </c>
      <c r="AZ272" s="21" t="n">
        <f aca="false">IF(ISBLANK(Actuals!BA92),-245*Escalation!$B$49,Actuals!BA92)</f>
        <v>-259.99596</v>
      </c>
      <c r="BA272" s="21" t="n">
        <f aca="false">IF(ISBLANK(Actuals!BB92),-245*Escalation!$B$50,Actuals!BB92)</f>
        <v>-265.1958792</v>
      </c>
      <c r="BB272" s="21" t="n">
        <f aca="false">IF(ISBLANK(Actuals!BC92),-245*Escalation!$B$51,Actuals!BC92)</f>
        <v>-265.1958792</v>
      </c>
      <c r="BC272" s="21" t="n">
        <f aca="false">IF(ISBLANK(Actuals!BD92),-245*Escalation!$B$52,Actuals!BD92)</f>
        <v>-265.1958792</v>
      </c>
      <c r="BD272" s="21" t="n">
        <f aca="false">IF(ISBLANK(Actuals!BE92),-245*Escalation!$B$53,Actuals!BE92)</f>
        <v>-265.1958792</v>
      </c>
      <c r="BE272" s="21" t="n">
        <f aca="false">IF(ISBLANK(Actuals!BF92),-245*Escalation!$B$54,Actuals!BF92)</f>
        <v>-265.1958792</v>
      </c>
      <c r="BF272" s="21" t="n">
        <f aca="false">IF(ISBLANK(Actuals!BG92),-245*Escalation!$B$55,Actuals!BG92)</f>
        <v>-265.1958792</v>
      </c>
      <c r="BG272" s="21" t="n">
        <f aca="false">IF(ISBLANK(Actuals!BH92),-245*Escalation!$B$56,Actuals!BH92)</f>
        <v>-265.1958792</v>
      </c>
      <c r="BH272" s="21" t="n">
        <f aca="false">IF(ISBLANK(Actuals!BI92),-245*Escalation!$B$57,Actuals!BI92)</f>
        <v>-265.1958792</v>
      </c>
      <c r="BI272" s="21" t="n">
        <f aca="false">IF(ISBLANK(Actuals!BJ92),-245*Escalation!$B$58,Actuals!BJ92)</f>
        <v>-265.1958792</v>
      </c>
      <c r="BJ272" s="21" t="n">
        <f aca="false">IF(ISBLANK(Actuals!BK92),-245*Escalation!$B$59,Actuals!BK92)</f>
        <v>-265.1958792</v>
      </c>
      <c r="BK272" s="21" t="n">
        <f aca="false">IF(ISBLANK(Actuals!BL92),-245*Escalation!$B$60,Actuals!BL92)</f>
        <v>-265.1958792</v>
      </c>
      <c r="BL272" s="21" t="n">
        <f aca="false">IF(ISBLANK(Actuals!BM92),-245*Escalation!$B$61,Actuals!BM92)</f>
        <v>-265.1958792</v>
      </c>
      <c r="BM272" s="21" t="n">
        <f aca="false">IF(ISBLANK(Actuals!BN92),-245*Escalation!$B$62,Actuals!BN92)</f>
        <v>-270.499796784</v>
      </c>
      <c r="BN272" s="21" t="n">
        <f aca="false">IF(ISBLANK(Actuals!BO92),-245*Escalation!$B$63,Actuals!BO92)</f>
        <v>-270.499796784</v>
      </c>
      <c r="BO272" s="21" t="n">
        <f aca="false">IF(ISBLANK(Actuals!BP92),-245*Escalation!$B$64,Actuals!BP92)</f>
        <v>-270.499796784</v>
      </c>
      <c r="BP272" s="21" t="n">
        <f aca="false">IF(ISBLANK(Actuals!BQ92),-245*Escalation!$B$65,Actuals!BQ92)</f>
        <v>-270.499796784</v>
      </c>
      <c r="BQ272" s="21" t="n">
        <f aca="false">IF(ISBLANK(Actuals!BR92),-245*Escalation!$B$66,Actuals!BR92)</f>
        <v>-270.499796784</v>
      </c>
      <c r="BR272" s="21" t="n">
        <f aca="false">IF(ISBLANK(Actuals!BS92),-245*Escalation!$B$67,Actuals!BS92)</f>
        <v>-270.499796784</v>
      </c>
      <c r="BS272" s="21" t="n">
        <f aca="false">IF(ISBLANK(Actuals!BT92),-245*Escalation!$B$68,Actuals!BT92)</f>
        <v>-270.499796784</v>
      </c>
      <c r="BT272" s="21" t="n">
        <f aca="false">IF(ISBLANK(Actuals!BU92),-245*Escalation!$B$69,Actuals!BU92)</f>
        <v>-270.499796784</v>
      </c>
      <c r="BU272" s="21" t="n">
        <f aca="false">IF(ISBLANK(Actuals!BV92),-245*Escalation!$B$70,Actuals!BV92)</f>
        <v>-270.499796784</v>
      </c>
      <c r="BV272" s="21" t="n">
        <f aca="false">IF(ISBLANK(Actuals!BW92),-245*Escalation!$B$71,Actuals!BW92)</f>
        <v>-270.499796784</v>
      </c>
      <c r="BW272" s="21" t="n">
        <f aca="false">IF(ISBLANK(Actuals!BX92),-245*Escalation!$B$72,Actuals!BX92)</f>
        <v>-270.499796784</v>
      </c>
      <c r="BX272" s="21" t="n">
        <f aca="false">IF(ISBLANK(Actuals!BY92),-245*Escalation!$B$73,Actuals!BY92)</f>
        <v>-270.499796784</v>
      </c>
      <c r="BY272" s="21" t="n">
        <f aca="false">IF(ISBLANK(Actuals!BZ92),-245*Escalation!$B$74,Actuals!BZ92)</f>
        <v>-275.90979271968</v>
      </c>
      <c r="BZ272" s="21" t="n">
        <f aca="false">IF(ISBLANK(Actuals!CA92),-245*Escalation!$B$75,Actuals!CA92)</f>
        <v>-275.90979271968</v>
      </c>
      <c r="CA272" s="21" t="n">
        <f aca="false">IF(ISBLANK(Actuals!CB92),-245*Escalation!$B$76,Actuals!CB92)</f>
        <v>-275.90979271968</v>
      </c>
      <c r="CB272" s="21" t="n">
        <f aca="false">IF(ISBLANK(Actuals!CC92),-245*Escalation!$B$77,Actuals!CC92)</f>
        <v>-275.90979271968</v>
      </c>
      <c r="CC272" s="21" t="n">
        <f aca="false">IF(ISBLANK(Actuals!CD92),-245*Escalation!$B$78,Actuals!CD92)</f>
        <v>-275.90979271968</v>
      </c>
      <c r="CD272" s="21" t="n">
        <f aca="false">IF(ISBLANK(Actuals!CE92),-245*Escalation!$B$79,Actuals!CE92)</f>
        <v>-275.90979271968</v>
      </c>
      <c r="CE272" s="21" t="n">
        <f aca="false">IF(ISBLANK(Actuals!CF92),-245*Escalation!$B$80,Actuals!CF92)</f>
        <v>-275.90979271968</v>
      </c>
      <c r="CF272" s="21" t="n">
        <f aca="false">IF(ISBLANK(Actuals!CG92),-245*Escalation!$B$81,Actuals!CG92)</f>
        <v>-275.90979271968</v>
      </c>
      <c r="CG272" s="21" t="n">
        <f aca="false">IF(ISBLANK(Actuals!CH92),-245*Escalation!$B$82,Actuals!CH92)</f>
        <v>-275.90979271968</v>
      </c>
      <c r="CH272" s="21" t="n">
        <f aca="false">IF(ISBLANK(Actuals!CI92),-245*Escalation!$B$83,Actuals!CI92)</f>
        <v>-275.90979271968</v>
      </c>
      <c r="CI272" s="21" t="n">
        <f aca="false">IF(ISBLANK(Actuals!CJ92),-245*Escalation!$B$84,Actuals!CJ92)</f>
        <v>-275.90979271968</v>
      </c>
      <c r="CJ272" s="21" t="n">
        <f aca="false">IF(ISBLANK(Actuals!CK92),-245*Escalation!$B$85,Actuals!CK92)</f>
        <v>-275.90979271968</v>
      </c>
      <c r="CK272" s="21" t="n">
        <f aca="false">IF(ISBLANK(Actuals!CL92),-245*Escalation!$B$86,Actuals!CL92)</f>
        <v>-281.427988574074</v>
      </c>
      <c r="CL272" s="21" t="n">
        <f aca="false">IF(ISBLANK(Actuals!CM92),-245*Escalation!$B$87,Actuals!CM92)</f>
        <v>-281.427988574074</v>
      </c>
      <c r="CM272" s="21" t="n">
        <f aca="false">IF(ISBLANK(Actuals!CN92),-245*Escalation!$B$88,Actuals!CN92)</f>
        <v>-281.427988574074</v>
      </c>
      <c r="CN272" s="21" t="n">
        <f aca="false">IF(ISBLANK(Actuals!CO92),-245*Escalation!$B$89,Actuals!CO92)</f>
        <v>-281.427988574074</v>
      </c>
      <c r="CO272" s="21" t="n">
        <f aca="false">IF(ISBLANK(Actuals!CP92),-245*Escalation!$B$90,Actuals!CP92)</f>
        <v>-281.427988574074</v>
      </c>
      <c r="CP272" s="21" t="n">
        <f aca="false">IF(ISBLANK(Actuals!CQ92),-245*Escalation!$B$91,Actuals!CQ92)</f>
        <v>-281.427988574074</v>
      </c>
      <c r="CQ272" s="21" t="n">
        <f aca="false">IF(ISBLANK(Actuals!CR92),-245*Escalation!$B$92,Actuals!CR92)</f>
        <v>-281.427988574074</v>
      </c>
      <c r="CR272" s="21" t="n">
        <f aca="false">IF(ISBLANK(Actuals!CS92),-245*Escalation!$B$93,Actuals!CS92)</f>
        <v>-281.427988574074</v>
      </c>
      <c r="CS272" s="21" t="n">
        <f aca="false">IF(ISBLANK(Actuals!CT92),-245*Escalation!$B$94,Actuals!CT92)</f>
        <v>-281.427988574074</v>
      </c>
      <c r="CT272" s="21" t="n">
        <f aca="false">IF(ISBLANK(Actuals!CU92),-245*Escalation!$B$95,Actuals!CU92)</f>
        <v>-281.427988574074</v>
      </c>
      <c r="CU272" s="21" t="n">
        <f aca="false">IF(ISBLANK(Actuals!CV92),-245*Escalation!$B$96,Actuals!CV92)</f>
        <v>-281.427988574074</v>
      </c>
      <c r="CV272" s="21" t="n">
        <f aca="false">IF(ISBLANK(Actuals!CW92),-245*Escalation!$B$97,Actuals!CW92)</f>
        <v>-281.427988574074</v>
      </c>
      <c r="CW272" s="21" t="n">
        <f aca="false">IF(ISBLANK(Actuals!CX92),-245*Escalation!$B$98,Actuals!CX92)</f>
        <v>-287.056548345555</v>
      </c>
      <c r="CX272" s="21" t="n">
        <f aca="false">IF(ISBLANK(Actuals!CY92),-245*Escalation!$B$99,Actuals!CY92)</f>
        <v>-287.056548345555</v>
      </c>
      <c r="CY272" s="21" t="n">
        <f aca="false">IF(ISBLANK(Actuals!CZ92),-245*Escalation!$B$100,Actuals!CZ92)</f>
        <v>-287.056548345555</v>
      </c>
      <c r="CZ272" s="21" t="n">
        <f aca="false">IF(ISBLANK(Actuals!DA92),-245*Escalation!$B$101,Actuals!DA92)</f>
        <v>-287.056548345555</v>
      </c>
      <c r="DA272" s="21" t="n">
        <f aca="false">IF(ISBLANK(Actuals!DB92),-245*Escalation!$B$102,Actuals!DB92)</f>
        <v>-287.056548345555</v>
      </c>
      <c r="DB272" s="21" t="n">
        <f aca="false">IF(ISBLANK(Actuals!DC92),-245*Escalation!$B$103,Actuals!DC92)</f>
        <v>-287.056548345555</v>
      </c>
      <c r="DC272" s="21" t="n">
        <f aca="false">IF(ISBLANK(Actuals!DD92),-245*Escalation!$B$104,Actuals!DD92)</f>
        <v>-287.056548345555</v>
      </c>
      <c r="DD272" s="21" t="n">
        <f aca="false">IF(ISBLANK(Actuals!DE92),-245*Escalation!$B$105,Actuals!DE92)</f>
        <v>-287.056548345555</v>
      </c>
      <c r="DE272" s="21" t="n">
        <f aca="false">IF(ISBLANK(Actuals!DF92),-245*Escalation!$B$106,Actuals!DF92)</f>
        <v>-287.056548345555</v>
      </c>
    </row>
    <row r="273" customFormat="false" ht="15" hidden="false" customHeight="true" outlineLevel="0" collapsed="false">
      <c r="A273" s="35" t="s">
        <v>125</v>
      </c>
      <c r="B273" s="21" t="n">
        <f aca="false">IF(ISBLANK(Actuals!C93),0,Actuals!C93)</f>
        <v>-986.57</v>
      </c>
      <c r="C273" s="21" t="n">
        <f aca="false">IF(ISBLANK(Actuals!D93),0,Actuals!D93)</f>
        <v>-1254.61</v>
      </c>
      <c r="D273" s="21" t="n">
        <f aca="false">IF(ISBLANK(Actuals!E93),0,Actuals!E93)</f>
        <v>-1297.31</v>
      </c>
      <c r="E273" s="21" t="n">
        <f aca="false">IF(ISBLANK(Actuals!F93),-1179.5*Escalation!$B$2,Actuals!F93)</f>
        <v>-48.78</v>
      </c>
      <c r="F273" s="21" t="n">
        <f aca="false">IF(ISBLANK(Actuals!G93),-1179.5*Escalation!$B$3,Actuals!G93)</f>
        <v>-4199.86</v>
      </c>
      <c r="G273" s="21" t="n">
        <f aca="false">IF(ISBLANK(Actuals!H93),-1179.5*Escalation!$B$4,Actuals!H93)</f>
        <v>-3433.39</v>
      </c>
      <c r="H273" s="21" t="n">
        <f aca="false">IF(ISBLANK(Actuals!I93),-1179.5*Escalation!$B$5,Actuals!I93)</f>
        <v>0</v>
      </c>
      <c r="I273" s="21" t="n">
        <f aca="false">IF(ISBLANK(Actuals!J93),-1179.5*Escalation!$B$6,Actuals!J93)</f>
        <v>-9.99</v>
      </c>
      <c r="J273" s="21" t="n">
        <f aca="false">IF(ISBLANK(Actuals!K93),-1179.5*Escalation!$B$7,Actuals!K93)</f>
        <v>-1179.5</v>
      </c>
      <c r="K273" s="21" t="n">
        <f aca="false">IF(ISBLANK(Actuals!L93),-1179.5*Escalation!$B$8,Actuals!L93)</f>
        <v>-1179.5</v>
      </c>
      <c r="L273" s="21" t="n">
        <f aca="false">IF(ISBLANK(Actuals!M93),-1179.5*Escalation!$B$9,Actuals!M93)</f>
        <v>-1179.5</v>
      </c>
      <c r="M273" s="21" t="n">
        <f aca="false">IF(ISBLANK(Actuals!N93),-1179.5*Escalation!$B$10,Actuals!N93)</f>
        <v>-1179.5</v>
      </c>
      <c r="N273" s="21" t="n">
        <f aca="false">IF(ISBLANK(Actuals!O93),-1179.5*Escalation!$B$11,Actuals!O93)</f>
        <v>-1179.5</v>
      </c>
      <c r="O273" s="21" t="n">
        <f aca="false">IF(ISBLANK(Actuals!P93),-1179.5*Escalation!$B$12,Actuals!P93)</f>
        <v>-1179.5</v>
      </c>
      <c r="P273" s="21" t="n">
        <f aca="false">IF(ISBLANK(Actuals!Q93),-1179.5*Escalation!$B$13,Actuals!Q93)</f>
        <v>-1179.5</v>
      </c>
      <c r="Q273" s="21" t="n">
        <f aca="false">IF(ISBLANK(Actuals!R93),-1179.5*Escalation!$B$14,Actuals!R93)</f>
        <v>-1203.09</v>
      </c>
      <c r="R273" s="21" t="n">
        <f aca="false">IF(ISBLANK(Actuals!S93),-1179.5*Escalation!$B$15,Actuals!S93)</f>
        <v>-1203.09</v>
      </c>
      <c r="S273" s="21" t="n">
        <f aca="false">IF(ISBLANK(Actuals!T93),-1179.5*Escalation!$B$16,Actuals!T93)</f>
        <v>-1203.09</v>
      </c>
      <c r="T273" s="21" t="n">
        <f aca="false">IF(ISBLANK(Actuals!U93),-1179.5*Escalation!$B$17,Actuals!U93)</f>
        <v>-1203.09</v>
      </c>
      <c r="U273" s="21" t="n">
        <f aca="false">IF(ISBLANK(Actuals!V93),-1179.5*Escalation!$B$18,Actuals!V93)</f>
        <v>-1203.09</v>
      </c>
      <c r="V273" s="21" t="n">
        <f aca="false">IF(ISBLANK(Actuals!W93),-1179.5*Escalation!$B$19,Actuals!W93)</f>
        <v>-1203.09</v>
      </c>
      <c r="W273" s="21" t="n">
        <f aca="false">IF(ISBLANK(Actuals!X93),-1179.5*Escalation!$B$20,Actuals!X93)</f>
        <v>-1203.09</v>
      </c>
      <c r="X273" s="21" t="n">
        <f aca="false">IF(ISBLANK(Actuals!Y93),-1179.5*Escalation!$B$21,Actuals!Y93)</f>
        <v>-1203.09</v>
      </c>
      <c r="Y273" s="21" t="n">
        <f aca="false">IF(ISBLANK(Actuals!Z93),-1179.5*Escalation!$B$22,Actuals!Z93)</f>
        <v>-1203.09</v>
      </c>
      <c r="Z273" s="21" t="n">
        <f aca="false">IF(ISBLANK(Actuals!AA93),-1179.5*Escalation!$B$23,Actuals!AA93)</f>
        <v>-1203.09</v>
      </c>
      <c r="AA273" s="21" t="n">
        <f aca="false">IF(ISBLANK(Actuals!AB93),-1179.5*Escalation!$B$24,Actuals!AB93)</f>
        <v>-1203.09</v>
      </c>
      <c r="AB273" s="21" t="n">
        <f aca="false">IF(ISBLANK(Actuals!AC93),-1179.5*Escalation!$B$25,Actuals!AC93)</f>
        <v>-1203.09</v>
      </c>
      <c r="AC273" s="21" t="n">
        <f aca="false">IF(ISBLANK(Actuals!AD93),-1179.5*Escalation!$B$26,Actuals!AD93)</f>
        <v>-1227.1518</v>
      </c>
      <c r="AD273" s="21" t="n">
        <f aca="false">IF(ISBLANK(Actuals!AE93),-1179.5*Escalation!$B$27,Actuals!AE93)</f>
        <v>-1227.1518</v>
      </c>
      <c r="AE273" s="21" t="n">
        <f aca="false">IF(ISBLANK(Actuals!AF93),-1179.5*Escalation!$B$28,Actuals!AF93)</f>
        <v>-1227.1518</v>
      </c>
      <c r="AF273" s="21" t="n">
        <f aca="false">IF(ISBLANK(Actuals!AG93),-1179.5*Escalation!$B$29,Actuals!AG93)</f>
        <v>-1227.1518</v>
      </c>
      <c r="AG273" s="21" t="n">
        <f aca="false">IF(ISBLANK(Actuals!AH93),-1179.5*Escalation!$B$30,Actuals!AH93)</f>
        <v>-1227.1518</v>
      </c>
      <c r="AH273" s="21" t="n">
        <f aca="false">IF(ISBLANK(Actuals!AI93),-1179.5*Escalation!$B$31,Actuals!AI93)</f>
        <v>-1227.1518</v>
      </c>
      <c r="AI273" s="21" t="n">
        <f aca="false">IF(ISBLANK(Actuals!AJ93),-1179.5*Escalation!$B$32,Actuals!AJ93)</f>
        <v>-1227.1518</v>
      </c>
      <c r="AJ273" s="21" t="n">
        <f aca="false">IF(ISBLANK(Actuals!AK93),-1179.5*Escalation!$B$33,Actuals!AK93)</f>
        <v>-1227.1518</v>
      </c>
      <c r="AK273" s="21" t="n">
        <f aca="false">IF(ISBLANK(Actuals!AL93),-1179.5*Escalation!$B$34,Actuals!AL93)</f>
        <v>-1227.1518</v>
      </c>
      <c r="AL273" s="21" t="n">
        <f aca="false">IF(ISBLANK(Actuals!AM93),-1179.5*Escalation!$B$35,Actuals!AM93)</f>
        <v>-1227.1518</v>
      </c>
      <c r="AM273" s="21" t="n">
        <f aca="false">IF(ISBLANK(Actuals!AN93),-1179.5*Escalation!$B$36,Actuals!AN93)</f>
        <v>-1227.1518</v>
      </c>
      <c r="AN273" s="21" t="n">
        <f aca="false">IF(ISBLANK(Actuals!AO93),-1179.5*Escalation!$B$37,Actuals!AO93)</f>
        <v>-1227.1518</v>
      </c>
      <c r="AO273" s="21" t="n">
        <f aca="false">IF(ISBLANK(Actuals!AP93),-1179.5*Escalation!$B$38,Actuals!AP93)</f>
        <v>-1251.694836</v>
      </c>
      <c r="AP273" s="21" t="n">
        <f aca="false">IF(ISBLANK(Actuals!AQ93),-1179.5*Escalation!$B$39,Actuals!AQ93)</f>
        <v>-1251.694836</v>
      </c>
      <c r="AQ273" s="21" t="n">
        <f aca="false">IF(ISBLANK(Actuals!AR93),-1179.5*Escalation!$B$40,Actuals!AR93)</f>
        <v>-1251.694836</v>
      </c>
      <c r="AR273" s="21" t="n">
        <f aca="false">IF(ISBLANK(Actuals!AS93),-1179.5*Escalation!$B$41,Actuals!AS93)</f>
        <v>-1251.694836</v>
      </c>
      <c r="AS273" s="21" t="n">
        <f aca="false">IF(ISBLANK(Actuals!AT93),-1179.5*Escalation!$B$42,Actuals!AT93)</f>
        <v>-1251.694836</v>
      </c>
      <c r="AT273" s="21" t="n">
        <f aca="false">IF(ISBLANK(Actuals!AU93),-1179.5*Escalation!$B$43,Actuals!AU93)</f>
        <v>-1251.694836</v>
      </c>
      <c r="AU273" s="21" t="n">
        <f aca="false">IF(ISBLANK(Actuals!AV93),-1179.5*Escalation!$B$44,Actuals!AV93)</f>
        <v>-1251.694836</v>
      </c>
      <c r="AV273" s="21" t="n">
        <f aca="false">IF(ISBLANK(Actuals!AW93),-1179.5*Escalation!$B$45,Actuals!AW93)</f>
        <v>-1251.694836</v>
      </c>
      <c r="AW273" s="21" t="n">
        <f aca="false">IF(ISBLANK(Actuals!AX93),-1179.5*Escalation!$B$46,Actuals!AX93)</f>
        <v>-1251.694836</v>
      </c>
      <c r="AX273" s="21" t="n">
        <f aca="false">IF(ISBLANK(Actuals!AY93),-1179.5*Escalation!$B$47,Actuals!AY93)</f>
        <v>-1251.694836</v>
      </c>
      <c r="AY273" s="21" t="n">
        <f aca="false">IF(ISBLANK(Actuals!AZ93),-1179.5*Escalation!$B$48,Actuals!AZ93)</f>
        <v>-1251.694836</v>
      </c>
      <c r="AZ273" s="21" t="n">
        <f aca="false">IF(ISBLANK(Actuals!BA93),-1179.5*Escalation!$B$49,Actuals!BA93)</f>
        <v>-1251.694836</v>
      </c>
      <c r="BA273" s="21" t="n">
        <f aca="false">IF(ISBLANK(Actuals!BB93),-1179.5*Escalation!$B$50,Actuals!BB93)</f>
        <v>-1276.72873272</v>
      </c>
      <c r="BB273" s="21" t="n">
        <f aca="false">IF(ISBLANK(Actuals!BC93),-1179.5*Escalation!$B$51,Actuals!BC93)</f>
        <v>-1276.72873272</v>
      </c>
      <c r="BC273" s="21" t="n">
        <f aca="false">IF(ISBLANK(Actuals!BD93),-1179.5*Escalation!$B$52,Actuals!BD93)</f>
        <v>-1276.72873272</v>
      </c>
      <c r="BD273" s="21" t="n">
        <f aca="false">IF(ISBLANK(Actuals!BE93),-1179.5*Escalation!$B$53,Actuals!BE93)</f>
        <v>-1276.72873272</v>
      </c>
      <c r="BE273" s="21" t="n">
        <f aca="false">IF(ISBLANK(Actuals!BF93),-1179.5*Escalation!$B$54,Actuals!BF93)</f>
        <v>-1276.72873272</v>
      </c>
      <c r="BF273" s="21" t="n">
        <f aca="false">IF(ISBLANK(Actuals!BG93),-1179.5*Escalation!$B$55,Actuals!BG93)</f>
        <v>-1276.72873272</v>
      </c>
      <c r="BG273" s="21" t="n">
        <f aca="false">IF(ISBLANK(Actuals!BH93),-1179.5*Escalation!$B$56,Actuals!BH93)</f>
        <v>-1276.72873272</v>
      </c>
      <c r="BH273" s="21" t="n">
        <f aca="false">IF(ISBLANK(Actuals!BI93),-1179.5*Escalation!$B$57,Actuals!BI93)</f>
        <v>-1276.72873272</v>
      </c>
      <c r="BI273" s="21" t="n">
        <f aca="false">IF(ISBLANK(Actuals!BJ93),-1179.5*Escalation!$B$58,Actuals!BJ93)</f>
        <v>-1276.72873272</v>
      </c>
      <c r="BJ273" s="21" t="n">
        <f aca="false">IF(ISBLANK(Actuals!BK93),-1179.5*Escalation!$B$59,Actuals!BK93)</f>
        <v>-1276.72873272</v>
      </c>
      <c r="BK273" s="21" t="n">
        <f aca="false">IF(ISBLANK(Actuals!BL93),-1179.5*Escalation!$B$60,Actuals!BL93)</f>
        <v>-1276.72873272</v>
      </c>
      <c r="BL273" s="21" t="n">
        <f aca="false">IF(ISBLANK(Actuals!BM93),-1179.5*Escalation!$B$61,Actuals!BM93)</f>
        <v>-1276.72873272</v>
      </c>
      <c r="BM273" s="21" t="n">
        <f aca="false">IF(ISBLANK(Actuals!BN93),-1179.5*Escalation!$B$62,Actuals!BN93)</f>
        <v>-1302.2633073744</v>
      </c>
      <c r="BN273" s="21" t="n">
        <f aca="false">IF(ISBLANK(Actuals!BO93),-1179.5*Escalation!$B$63,Actuals!BO93)</f>
        <v>-1302.2633073744</v>
      </c>
      <c r="BO273" s="21" t="n">
        <f aca="false">IF(ISBLANK(Actuals!BP93),-1179.5*Escalation!$B$64,Actuals!BP93)</f>
        <v>-1302.2633073744</v>
      </c>
      <c r="BP273" s="21" t="n">
        <f aca="false">IF(ISBLANK(Actuals!BQ93),-1179.5*Escalation!$B$65,Actuals!BQ93)</f>
        <v>-1302.2633073744</v>
      </c>
      <c r="BQ273" s="21" t="n">
        <f aca="false">IF(ISBLANK(Actuals!BR93),-1179.5*Escalation!$B$66,Actuals!BR93)</f>
        <v>-1302.2633073744</v>
      </c>
      <c r="BR273" s="21" t="n">
        <f aca="false">IF(ISBLANK(Actuals!BS93),-1179.5*Escalation!$B$67,Actuals!BS93)</f>
        <v>-1302.2633073744</v>
      </c>
      <c r="BS273" s="21" t="n">
        <f aca="false">IF(ISBLANK(Actuals!BT93),-1179.5*Escalation!$B$68,Actuals!BT93)</f>
        <v>-1302.2633073744</v>
      </c>
      <c r="BT273" s="21" t="n">
        <f aca="false">IF(ISBLANK(Actuals!BU93),-1179.5*Escalation!$B$69,Actuals!BU93)</f>
        <v>-1302.2633073744</v>
      </c>
      <c r="BU273" s="21" t="n">
        <f aca="false">IF(ISBLANK(Actuals!BV93),-1179.5*Escalation!$B$70,Actuals!BV93)</f>
        <v>-1302.2633073744</v>
      </c>
      <c r="BV273" s="21" t="n">
        <f aca="false">IF(ISBLANK(Actuals!BW93),-1179.5*Escalation!$B$71,Actuals!BW93)</f>
        <v>-1302.2633073744</v>
      </c>
      <c r="BW273" s="21" t="n">
        <f aca="false">IF(ISBLANK(Actuals!BX93),-1179.5*Escalation!$B$72,Actuals!BX93)</f>
        <v>-1302.2633073744</v>
      </c>
      <c r="BX273" s="21" t="n">
        <f aca="false">IF(ISBLANK(Actuals!BY93),-1179.5*Escalation!$B$73,Actuals!BY93)</f>
        <v>-1302.2633073744</v>
      </c>
      <c r="BY273" s="21" t="n">
        <f aca="false">IF(ISBLANK(Actuals!BZ93),-1179.5*Escalation!$B$74,Actuals!BZ93)</f>
        <v>-1328.30857352189</v>
      </c>
      <c r="BZ273" s="21" t="n">
        <f aca="false">IF(ISBLANK(Actuals!CA93),-1179.5*Escalation!$B$75,Actuals!CA93)</f>
        <v>-1328.30857352189</v>
      </c>
      <c r="CA273" s="21" t="n">
        <f aca="false">IF(ISBLANK(Actuals!CB93),-1179.5*Escalation!$B$76,Actuals!CB93)</f>
        <v>-1328.30857352189</v>
      </c>
      <c r="CB273" s="21" t="n">
        <f aca="false">IF(ISBLANK(Actuals!CC93),-1179.5*Escalation!$B$77,Actuals!CC93)</f>
        <v>-1328.30857352189</v>
      </c>
      <c r="CC273" s="21" t="n">
        <f aca="false">IF(ISBLANK(Actuals!CD93),-1179.5*Escalation!$B$78,Actuals!CD93)</f>
        <v>-1328.30857352189</v>
      </c>
      <c r="CD273" s="21" t="n">
        <f aca="false">IF(ISBLANK(Actuals!CE93),-1179.5*Escalation!$B$79,Actuals!CE93)</f>
        <v>-1328.30857352189</v>
      </c>
      <c r="CE273" s="21" t="n">
        <f aca="false">IF(ISBLANK(Actuals!CF93),-1179.5*Escalation!$B$80,Actuals!CF93)</f>
        <v>-1328.30857352189</v>
      </c>
      <c r="CF273" s="21" t="n">
        <f aca="false">IF(ISBLANK(Actuals!CG93),-1179.5*Escalation!$B$81,Actuals!CG93)</f>
        <v>-1328.30857352189</v>
      </c>
      <c r="CG273" s="21" t="n">
        <f aca="false">IF(ISBLANK(Actuals!CH93),-1179.5*Escalation!$B$82,Actuals!CH93)</f>
        <v>-1328.30857352189</v>
      </c>
      <c r="CH273" s="21" t="n">
        <f aca="false">IF(ISBLANK(Actuals!CI93),-1179.5*Escalation!$B$83,Actuals!CI93)</f>
        <v>-1328.30857352189</v>
      </c>
      <c r="CI273" s="21" t="n">
        <f aca="false">IF(ISBLANK(Actuals!CJ93),-1179.5*Escalation!$B$84,Actuals!CJ93)</f>
        <v>-1328.30857352189</v>
      </c>
      <c r="CJ273" s="21" t="n">
        <f aca="false">IF(ISBLANK(Actuals!CK93),-1179.5*Escalation!$B$85,Actuals!CK93)</f>
        <v>-1328.30857352189</v>
      </c>
      <c r="CK273" s="21" t="n">
        <f aca="false">IF(ISBLANK(Actuals!CL93),-1179.5*Escalation!$B$86,Actuals!CL93)</f>
        <v>-1354.87474499233</v>
      </c>
      <c r="CL273" s="21" t="n">
        <f aca="false">IF(ISBLANK(Actuals!CM93),-1179.5*Escalation!$B$87,Actuals!CM93)</f>
        <v>-1354.87474499233</v>
      </c>
      <c r="CM273" s="21" t="n">
        <f aca="false">IF(ISBLANK(Actuals!CN93),-1179.5*Escalation!$B$88,Actuals!CN93)</f>
        <v>-1354.87474499233</v>
      </c>
      <c r="CN273" s="21" t="n">
        <f aca="false">IF(ISBLANK(Actuals!CO93),-1179.5*Escalation!$B$89,Actuals!CO93)</f>
        <v>-1354.87474499233</v>
      </c>
      <c r="CO273" s="21" t="n">
        <f aca="false">IF(ISBLANK(Actuals!CP93),-1179.5*Escalation!$B$90,Actuals!CP93)</f>
        <v>-1354.87474499233</v>
      </c>
      <c r="CP273" s="21" t="n">
        <f aca="false">IF(ISBLANK(Actuals!CQ93),-1179.5*Escalation!$B$91,Actuals!CQ93)</f>
        <v>-1354.87474499233</v>
      </c>
      <c r="CQ273" s="21" t="n">
        <f aca="false">IF(ISBLANK(Actuals!CR93),-1179.5*Escalation!$B$92,Actuals!CR93)</f>
        <v>-1354.87474499233</v>
      </c>
      <c r="CR273" s="21" t="n">
        <f aca="false">IF(ISBLANK(Actuals!CS93),-1179.5*Escalation!$B$93,Actuals!CS93)</f>
        <v>-1354.87474499233</v>
      </c>
      <c r="CS273" s="21" t="n">
        <f aca="false">IF(ISBLANK(Actuals!CT93),-1179.5*Escalation!$B$94,Actuals!CT93)</f>
        <v>-1354.87474499233</v>
      </c>
      <c r="CT273" s="21" t="n">
        <f aca="false">IF(ISBLANK(Actuals!CU93),-1179.5*Escalation!$B$95,Actuals!CU93)</f>
        <v>-1354.87474499233</v>
      </c>
      <c r="CU273" s="21" t="n">
        <f aca="false">IF(ISBLANK(Actuals!CV93),-1179.5*Escalation!$B$96,Actuals!CV93)</f>
        <v>-1354.87474499233</v>
      </c>
      <c r="CV273" s="21" t="n">
        <f aca="false">IF(ISBLANK(Actuals!CW93),-1179.5*Escalation!$B$97,Actuals!CW93)</f>
        <v>-1354.87474499233</v>
      </c>
      <c r="CW273" s="21" t="n">
        <f aca="false">IF(ISBLANK(Actuals!CX93),-1179.5*Escalation!$B$98,Actuals!CX93)</f>
        <v>-1381.97223989217</v>
      </c>
      <c r="CX273" s="21" t="n">
        <f aca="false">IF(ISBLANK(Actuals!CY93),-1179.5*Escalation!$B$99,Actuals!CY93)</f>
        <v>-1381.97223989217</v>
      </c>
      <c r="CY273" s="21" t="n">
        <f aca="false">IF(ISBLANK(Actuals!CZ93),-1179.5*Escalation!$B$100,Actuals!CZ93)</f>
        <v>-1381.97223989217</v>
      </c>
      <c r="CZ273" s="21" t="n">
        <f aca="false">IF(ISBLANK(Actuals!DA93),-1179.5*Escalation!$B$101,Actuals!DA93)</f>
        <v>-1381.97223989217</v>
      </c>
      <c r="DA273" s="21" t="n">
        <f aca="false">IF(ISBLANK(Actuals!DB93),-1179.5*Escalation!$B$102,Actuals!DB93)</f>
        <v>-1381.97223989217</v>
      </c>
      <c r="DB273" s="21" t="n">
        <f aca="false">IF(ISBLANK(Actuals!DC93),-1179.5*Escalation!$B$103,Actuals!DC93)</f>
        <v>-1381.97223989217</v>
      </c>
      <c r="DC273" s="21" t="n">
        <f aca="false">IF(ISBLANK(Actuals!DD93),-1179.5*Escalation!$B$104,Actuals!DD93)</f>
        <v>-1381.97223989217</v>
      </c>
      <c r="DD273" s="21" t="n">
        <f aca="false">IF(ISBLANK(Actuals!DE93),-1179.5*Escalation!$B$105,Actuals!DE93)</f>
        <v>-1381.97223989217</v>
      </c>
      <c r="DE273" s="21" t="n">
        <f aca="false">IF(ISBLANK(Actuals!DF93),-1179.5*Escalation!$B$106,Actuals!DF93)</f>
        <v>-1381.97223989217</v>
      </c>
    </row>
    <row r="274" customFormat="false" ht="15" hidden="false" customHeight="true" outlineLevel="0" collapsed="false">
      <c r="A274" s="35" t="s">
        <v>126</v>
      </c>
      <c r="B274" s="21" t="n">
        <f aca="false">IF(ISBLANK(Actuals!C94),0,Actuals!C94)</f>
        <v>-588.66</v>
      </c>
      <c r="C274" s="21" t="n">
        <f aca="false">IF(ISBLANK(Actuals!D94),0,Actuals!D94)</f>
        <v>-22.94</v>
      </c>
      <c r="D274" s="21" t="n">
        <f aca="false">IF(ISBLANK(Actuals!E94),0,Actuals!E94)</f>
        <v>-487.3</v>
      </c>
      <c r="E274" s="21" t="n">
        <f aca="false">IF(ISBLANK(Actuals!F94),-366.3*Escalation!$B$2,Actuals!F94)</f>
        <v>-399.98</v>
      </c>
      <c r="F274" s="21" t="n">
        <f aca="false">IF(ISBLANK(Actuals!G94),-366.3*Escalation!$B$3,Actuals!G94)</f>
        <v>-216.15</v>
      </c>
      <c r="G274" s="21" t="n">
        <f aca="false">IF(ISBLANK(Actuals!H94),-366.3*Escalation!$B$4,Actuals!H94)</f>
        <v>-936.05</v>
      </c>
      <c r="H274" s="21" t="n">
        <f aca="false">IF(ISBLANK(Actuals!I94),-366.3*Escalation!$B$5,Actuals!I94)</f>
        <v>-9.99</v>
      </c>
      <c r="I274" s="21" t="n">
        <f aca="false">IF(ISBLANK(Actuals!J94),-366.3*Escalation!$B$6,Actuals!J94)</f>
        <v>-32.2</v>
      </c>
      <c r="J274" s="21" t="n">
        <f aca="false">IF(ISBLANK(Actuals!K94),-366.3*Escalation!$B$7,Actuals!K94)</f>
        <v>-366.3</v>
      </c>
      <c r="K274" s="21" t="n">
        <f aca="false">IF(ISBLANK(Actuals!L94),-366.3*Escalation!$B$8,Actuals!L94)</f>
        <v>-366.3</v>
      </c>
      <c r="L274" s="21" t="n">
        <f aca="false">IF(ISBLANK(Actuals!M94),-366.3*Escalation!$B$9,Actuals!M94)</f>
        <v>-366.3</v>
      </c>
      <c r="M274" s="21" t="n">
        <f aca="false">IF(ISBLANK(Actuals!N94),-366.3*Escalation!$B$10,Actuals!N94)</f>
        <v>-366.3</v>
      </c>
      <c r="N274" s="21" t="n">
        <f aca="false">IF(ISBLANK(Actuals!O94),-366.3*Escalation!$B$11,Actuals!O94)</f>
        <v>-366.3</v>
      </c>
      <c r="O274" s="21" t="n">
        <f aca="false">IF(ISBLANK(Actuals!P94),-366.3*Escalation!$B$12,Actuals!P94)</f>
        <v>-366.3</v>
      </c>
      <c r="P274" s="21" t="n">
        <f aca="false">IF(ISBLANK(Actuals!Q94),-366.3*Escalation!$B$13,Actuals!Q94)</f>
        <v>-366.3</v>
      </c>
      <c r="Q274" s="21" t="n">
        <f aca="false">IF(ISBLANK(Actuals!R94),-366.3*Escalation!$B$14,Actuals!R94)</f>
        <v>-373.626</v>
      </c>
      <c r="R274" s="21" t="n">
        <f aca="false">IF(ISBLANK(Actuals!S94),-366.3*Escalation!$B$15,Actuals!S94)</f>
        <v>-373.626</v>
      </c>
      <c r="S274" s="21" t="n">
        <f aca="false">IF(ISBLANK(Actuals!T94),-366.3*Escalation!$B$16,Actuals!T94)</f>
        <v>-373.626</v>
      </c>
      <c r="T274" s="21" t="n">
        <f aca="false">IF(ISBLANK(Actuals!U94),-366.3*Escalation!$B$17,Actuals!U94)</f>
        <v>-373.626</v>
      </c>
      <c r="U274" s="21" t="n">
        <f aca="false">IF(ISBLANK(Actuals!V94),-366.3*Escalation!$B$18,Actuals!V94)</f>
        <v>-373.626</v>
      </c>
      <c r="V274" s="21" t="n">
        <f aca="false">IF(ISBLANK(Actuals!W94),-366.3*Escalation!$B$19,Actuals!W94)</f>
        <v>-373.626</v>
      </c>
      <c r="W274" s="21" t="n">
        <f aca="false">IF(ISBLANK(Actuals!X94),-366.3*Escalation!$B$20,Actuals!X94)</f>
        <v>-373.626</v>
      </c>
      <c r="X274" s="21" t="n">
        <f aca="false">IF(ISBLANK(Actuals!Y94),-366.3*Escalation!$B$21,Actuals!Y94)</f>
        <v>-373.626</v>
      </c>
      <c r="Y274" s="21" t="n">
        <f aca="false">IF(ISBLANK(Actuals!Z94),-366.3*Escalation!$B$22,Actuals!Z94)</f>
        <v>-373.626</v>
      </c>
      <c r="Z274" s="21" t="n">
        <f aca="false">IF(ISBLANK(Actuals!AA94),-366.3*Escalation!$B$23,Actuals!AA94)</f>
        <v>-373.626</v>
      </c>
      <c r="AA274" s="21" t="n">
        <f aca="false">IF(ISBLANK(Actuals!AB94),-366.3*Escalation!$B$24,Actuals!AB94)</f>
        <v>-373.626</v>
      </c>
      <c r="AB274" s="21" t="n">
        <f aca="false">IF(ISBLANK(Actuals!AC94),-366.3*Escalation!$B$25,Actuals!AC94)</f>
        <v>-373.626</v>
      </c>
      <c r="AC274" s="21" t="n">
        <f aca="false">IF(ISBLANK(Actuals!AD94),-366.3*Escalation!$B$26,Actuals!AD94)</f>
        <v>-381.09852</v>
      </c>
      <c r="AD274" s="21" t="n">
        <f aca="false">IF(ISBLANK(Actuals!AE94),-366.3*Escalation!$B$27,Actuals!AE94)</f>
        <v>-381.09852</v>
      </c>
      <c r="AE274" s="21" t="n">
        <f aca="false">IF(ISBLANK(Actuals!AF94),-366.3*Escalation!$B$28,Actuals!AF94)</f>
        <v>-381.09852</v>
      </c>
      <c r="AF274" s="21" t="n">
        <f aca="false">IF(ISBLANK(Actuals!AG94),-366.3*Escalation!$B$29,Actuals!AG94)</f>
        <v>-381.09852</v>
      </c>
      <c r="AG274" s="21" t="n">
        <f aca="false">IF(ISBLANK(Actuals!AH94),-366.3*Escalation!$B$30,Actuals!AH94)</f>
        <v>-381.09852</v>
      </c>
      <c r="AH274" s="21" t="n">
        <f aca="false">IF(ISBLANK(Actuals!AI94),-366.3*Escalation!$B$31,Actuals!AI94)</f>
        <v>-381.09852</v>
      </c>
      <c r="AI274" s="21" t="n">
        <f aca="false">IF(ISBLANK(Actuals!AJ94),-366.3*Escalation!$B$32,Actuals!AJ94)</f>
        <v>-381.09852</v>
      </c>
      <c r="AJ274" s="21" t="n">
        <f aca="false">IF(ISBLANK(Actuals!AK94),-366.3*Escalation!$B$33,Actuals!AK94)</f>
        <v>-381.09852</v>
      </c>
      <c r="AK274" s="21" t="n">
        <f aca="false">IF(ISBLANK(Actuals!AL94),-366.3*Escalation!$B$34,Actuals!AL94)</f>
        <v>-381.09852</v>
      </c>
      <c r="AL274" s="21" t="n">
        <f aca="false">IF(ISBLANK(Actuals!AM94),-366.3*Escalation!$B$35,Actuals!AM94)</f>
        <v>-381.09852</v>
      </c>
      <c r="AM274" s="21" t="n">
        <f aca="false">IF(ISBLANK(Actuals!AN94),-366.3*Escalation!$B$36,Actuals!AN94)</f>
        <v>-381.09852</v>
      </c>
      <c r="AN274" s="21" t="n">
        <f aca="false">IF(ISBLANK(Actuals!AO94),-366.3*Escalation!$B$37,Actuals!AO94)</f>
        <v>-381.09852</v>
      </c>
      <c r="AO274" s="21" t="n">
        <f aca="false">IF(ISBLANK(Actuals!AP94),-366.3*Escalation!$B$38,Actuals!AP94)</f>
        <v>-388.7204904</v>
      </c>
      <c r="AP274" s="21" t="n">
        <f aca="false">IF(ISBLANK(Actuals!AQ94),-366.3*Escalation!$B$39,Actuals!AQ94)</f>
        <v>-388.7204904</v>
      </c>
      <c r="AQ274" s="21" t="n">
        <f aca="false">IF(ISBLANK(Actuals!AR94),-366.3*Escalation!$B$40,Actuals!AR94)</f>
        <v>-388.7204904</v>
      </c>
      <c r="AR274" s="21" t="n">
        <f aca="false">IF(ISBLANK(Actuals!AS94),-366.3*Escalation!$B$41,Actuals!AS94)</f>
        <v>-388.7204904</v>
      </c>
      <c r="AS274" s="21" t="n">
        <f aca="false">IF(ISBLANK(Actuals!AT94),-366.3*Escalation!$B$42,Actuals!AT94)</f>
        <v>-388.7204904</v>
      </c>
      <c r="AT274" s="21" t="n">
        <f aca="false">IF(ISBLANK(Actuals!AU94),-366.3*Escalation!$B$43,Actuals!AU94)</f>
        <v>-388.7204904</v>
      </c>
      <c r="AU274" s="21" t="n">
        <f aca="false">IF(ISBLANK(Actuals!AV94),-366.3*Escalation!$B$44,Actuals!AV94)</f>
        <v>-388.7204904</v>
      </c>
      <c r="AV274" s="21" t="n">
        <f aca="false">IF(ISBLANK(Actuals!AW94),-366.3*Escalation!$B$45,Actuals!AW94)</f>
        <v>-388.7204904</v>
      </c>
      <c r="AW274" s="21" t="n">
        <f aca="false">IF(ISBLANK(Actuals!AX94),-366.3*Escalation!$B$46,Actuals!AX94)</f>
        <v>-388.7204904</v>
      </c>
      <c r="AX274" s="21" t="n">
        <f aca="false">IF(ISBLANK(Actuals!AY94),-366.3*Escalation!$B$47,Actuals!AY94)</f>
        <v>-388.7204904</v>
      </c>
      <c r="AY274" s="21" t="n">
        <f aca="false">IF(ISBLANK(Actuals!AZ94),-366.3*Escalation!$B$48,Actuals!AZ94)</f>
        <v>-388.7204904</v>
      </c>
      <c r="AZ274" s="21" t="n">
        <f aca="false">IF(ISBLANK(Actuals!BA94),-366.3*Escalation!$B$49,Actuals!BA94)</f>
        <v>-388.7204904</v>
      </c>
      <c r="BA274" s="21" t="n">
        <f aca="false">IF(ISBLANK(Actuals!BB94),-366.3*Escalation!$B$50,Actuals!BB94)</f>
        <v>-396.494900208</v>
      </c>
      <c r="BB274" s="21" t="n">
        <f aca="false">IF(ISBLANK(Actuals!BC94),-366.3*Escalation!$B$51,Actuals!BC94)</f>
        <v>-396.494900208</v>
      </c>
      <c r="BC274" s="21" t="n">
        <f aca="false">IF(ISBLANK(Actuals!BD94),-366.3*Escalation!$B$52,Actuals!BD94)</f>
        <v>-396.494900208</v>
      </c>
      <c r="BD274" s="21" t="n">
        <f aca="false">IF(ISBLANK(Actuals!BE94),-366.3*Escalation!$B$53,Actuals!BE94)</f>
        <v>-396.494900208</v>
      </c>
      <c r="BE274" s="21" t="n">
        <f aca="false">IF(ISBLANK(Actuals!BF94),-366.3*Escalation!$B$54,Actuals!BF94)</f>
        <v>-396.494900208</v>
      </c>
      <c r="BF274" s="21" t="n">
        <f aca="false">IF(ISBLANK(Actuals!BG94),-366.3*Escalation!$B$55,Actuals!BG94)</f>
        <v>-396.494900208</v>
      </c>
      <c r="BG274" s="21" t="n">
        <f aca="false">IF(ISBLANK(Actuals!BH94),-366.3*Escalation!$B$56,Actuals!BH94)</f>
        <v>-396.494900208</v>
      </c>
      <c r="BH274" s="21" t="n">
        <f aca="false">IF(ISBLANK(Actuals!BI94),-366.3*Escalation!$B$57,Actuals!BI94)</f>
        <v>-396.494900208</v>
      </c>
      <c r="BI274" s="21" t="n">
        <f aca="false">IF(ISBLANK(Actuals!BJ94),-366.3*Escalation!$B$58,Actuals!BJ94)</f>
        <v>-396.494900208</v>
      </c>
      <c r="BJ274" s="21" t="n">
        <f aca="false">IF(ISBLANK(Actuals!BK94),-366.3*Escalation!$B$59,Actuals!BK94)</f>
        <v>-396.494900208</v>
      </c>
      <c r="BK274" s="21" t="n">
        <f aca="false">IF(ISBLANK(Actuals!BL94),-366.3*Escalation!$B$60,Actuals!BL94)</f>
        <v>-396.494900208</v>
      </c>
      <c r="BL274" s="21" t="n">
        <f aca="false">IF(ISBLANK(Actuals!BM94),-366.3*Escalation!$B$61,Actuals!BM94)</f>
        <v>-396.494900208</v>
      </c>
      <c r="BM274" s="21" t="n">
        <f aca="false">IF(ISBLANK(Actuals!BN94),-366.3*Escalation!$B$62,Actuals!BN94)</f>
        <v>-404.42479821216</v>
      </c>
      <c r="BN274" s="21" t="n">
        <f aca="false">IF(ISBLANK(Actuals!BO94),-366.3*Escalation!$B$63,Actuals!BO94)</f>
        <v>-404.42479821216</v>
      </c>
      <c r="BO274" s="21" t="n">
        <f aca="false">IF(ISBLANK(Actuals!BP94),-366.3*Escalation!$B$64,Actuals!BP94)</f>
        <v>-404.42479821216</v>
      </c>
      <c r="BP274" s="21" t="n">
        <f aca="false">IF(ISBLANK(Actuals!BQ94),-366.3*Escalation!$B$65,Actuals!BQ94)</f>
        <v>-404.42479821216</v>
      </c>
      <c r="BQ274" s="21" t="n">
        <f aca="false">IF(ISBLANK(Actuals!BR94),-366.3*Escalation!$B$66,Actuals!BR94)</f>
        <v>-404.42479821216</v>
      </c>
      <c r="BR274" s="21" t="n">
        <f aca="false">IF(ISBLANK(Actuals!BS94),-366.3*Escalation!$B$67,Actuals!BS94)</f>
        <v>-404.42479821216</v>
      </c>
      <c r="BS274" s="21" t="n">
        <f aca="false">IF(ISBLANK(Actuals!BT94),-366.3*Escalation!$B$68,Actuals!BT94)</f>
        <v>-404.42479821216</v>
      </c>
      <c r="BT274" s="21" t="n">
        <f aca="false">IF(ISBLANK(Actuals!BU94),-366.3*Escalation!$B$69,Actuals!BU94)</f>
        <v>-404.42479821216</v>
      </c>
      <c r="BU274" s="21" t="n">
        <f aca="false">IF(ISBLANK(Actuals!BV94),-366.3*Escalation!$B$70,Actuals!BV94)</f>
        <v>-404.42479821216</v>
      </c>
      <c r="BV274" s="21" t="n">
        <f aca="false">IF(ISBLANK(Actuals!BW94),-366.3*Escalation!$B$71,Actuals!BW94)</f>
        <v>-404.42479821216</v>
      </c>
      <c r="BW274" s="21" t="n">
        <f aca="false">IF(ISBLANK(Actuals!BX94),-366.3*Escalation!$B$72,Actuals!BX94)</f>
        <v>-404.42479821216</v>
      </c>
      <c r="BX274" s="21" t="n">
        <f aca="false">IF(ISBLANK(Actuals!BY94),-366.3*Escalation!$B$73,Actuals!BY94)</f>
        <v>-404.42479821216</v>
      </c>
      <c r="BY274" s="21" t="n">
        <f aca="false">IF(ISBLANK(Actuals!BZ94),-366.3*Escalation!$B$74,Actuals!BZ94)</f>
        <v>-412.513294176403</v>
      </c>
      <c r="BZ274" s="21" t="n">
        <f aca="false">IF(ISBLANK(Actuals!CA94),-366.3*Escalation!$B$75,Actuals!CA94)</f>
        <v>-412.513294176403</v>
      </c>
      <c r="CA274" s="21" t="n">
        <f aca="false">IF(ISBLANK(Actuals!CB94),-366.3*Escalation!$B$76,Actuals!CB94)</f>
        <v>-412.513294176403</v>
      </c>
      <c r="CB274" s="21" t="n">
        <f aca="false">IF(ISBLANK(Actuals!CC94),-366.3*Escalation!$B$77,Actuals!CC94)</f>
        <v>-412.513294176403</v>
      </c>
      <c r="CC274" s="21" t="n">
        <f aca="false">IF(ISBLANK(Actuals!CD94),-366.3*Escalation!$B$78,Actuals!CD94)</f>
        <v>-412.513294176403</v>
      </c>
      <c r="CD274" s="21" t="n">
        <f aca="false">IF(ISBLANK(Actuals!CE94),-366.3*Escalation!$B$79,Actuals!CE94)</f>
        <v>-412.513294176403</v>
      </c>
      <c r="CE274" s="21" t="n">
        <f aca="false">IF(ISBLANK(Actuals!CF94),-366.3*Escalation!$B$80,Actuals!CF94)</f>
        <v>-412.513294176403</v>
      </c>
      <c r="CF274" s="21" t="n">
        <f aca="false">IF(ISBLANK(Actuals!CG94),-366.3*Escalation!$B$81,Actuals!CG94)</f>
        <v>-412.513294176403</v>
      </c>
      <c r="CG274" s="21" t="n">
        <f aca="false">IF(ISBLANK(Actuals!CH94),-366.3*Escalation!$B$82,Actuals!CH94)</f>
        <v>-412.513294176403</v>
      </c>
      <c r="CH274" s="21" t="n">
        <f aca="false">IF(ISBLANK(Actuals!CI94),-366.3*Escalation!$B$83,Actuals!CI94)</f>
        <v>-412.513294176403</v>
      </c>
      <c r="CI274" s="21" t="n">
        <f aca="false">IF(ISBLANK(Actuals!CJ94),-366.3*Escalation!$B$84,Actuals!CJ94)</f>
        <v>-412.513294176403</v>
      </c>
      <c r="CJ274" s="21" t="n">
        <f aca="false">IF(ISBLANK(Actuals!CK94),-366.3*Escalation!$B$85,Actuals!CK94)</f>
        <v>-412.513294176403</v>
      </c>
      <c r="CK274" s="21" t="n">
        <f aca="false">IF(ISBLANK(Actuals!CL94),-366.3*Escalation!$B$86,Actuals!CL94)</f>
        <v>-420.763560059931</v>
      </c>
      <c r="CL274" s="21" t="n">
        <f aca="false">IF(ISBLANK(Actuals!CM94),-366.3*Escalation!$B$87,Actuals!CM94)</f>
        <v>-420.763560059931</v>
      </c>
      <c r="CM274" s="21" t="n">
        <f aca="false">IF(ISBLANK(Actuals!CN94),-366.3*Escalation!$B$88,Actuals!CN94)</f>
        <v>-420.763560059931</v>
      </c>
      <c r="CN274" s="21" t="n">
        <f aca="false">IF(ISBLANK(Actuals!CO94),-366.3*Escalation!$B$89,Actuals!CO94)</f>
        <v>-420.763560059931</v>
      </c>
      <c r="CO274" s="21" t="n">
        <f aca="false">IF(ISBLANK(Actuals!CP94),-366.3*Escalation!$B$90,Actuals!CP94)</f>
        <v>-420.763560059931</v>
      </c>
      <c r="CP274" s="21" t="n">
        <f aca="false">IF(ISBLANK(Actuals!CQ94),-366.3*Escalation!$B$91,Actuals!CQ94)</f>
        <v>-420.763560059931</v>
      </c>
      <c r="CQ274" s="21" t="n">
        <f aca="false">IF(ISBLANK(Actuals!CR94),-366.3*Escalation!$B$92,Actuals!CR94)</f>
        <v>-420.763560059931</v>
      </c>
      <c r="CR274" s="21" t="n">
        <f aca="false">IF(ISBLANK(Actuals!CS94),-366.3*Escalation!$B$93,Actuals!CS94)</f>
        <v>-420.763560059931</v>
      </c>
      <c r="CS274" s="21" t="n">
        <f aca="false">IF(ISBLANK(Actuals!CT94),-366.3*Escalation!$B$94,Actuals!CT94)</f>
        <v>-420.763560059931</v>
      </c>
      <c r="CT274" s="21" t="n">
        <f aca="false">IF(ISBLANK(Actuals!CU94),-366.3*Escalation!$B$95,Actuals!CU94)</f>
        <v>-420.763560059931</v>
      </c>
      <c r="CU274" s="21" t="n">
        <f aca="false">IF(ISBLANK(Actuals!CV94),-366.3*Escalation!$B$96,Actuals!CV94)</f>
        <v>-420.763560059931</v>
      </c>
      <c r="CV274" s="21" t="n">
        <f aca="false">IF(ISBLANK(Actuals!CW94),-366.3*Escalation!$B$97,Actuals!CW94)</f>
        <v>-420.763560059931</v>
      </c>
      <c r="CW274" s="21" t="n">
        <f aca="false">IF(ISBLANK(Actuals!CX94),-366.3*Escalation!$B$98,Actuals!CX94)</f>
        <v>-429.17883126113</v>
      </c>
      <c r="CX274" s="21" t="n">
        <f aca="false">IF(ISBLANK(Actuals!CY94),-366.3*Escalation!$B$99,Actuals!CY94)</f>
        <v>-429.17883126113</v>
      </c>
      <c r="CY274" s="21" t="n">
        <f aca="false">IF(ISBLANK(Actuals!CZ94),-366.3*Escalation!$B$100,Actuals!CZ94)</f>
        <v>-429.17883126113</v>
      </c>
      <c r="CZ274" s="21" t="n">
        <f aca="false">IF(ISBLANK(Actuals!DA94),-366.3*Escalation!$B$101,Actuals!DA94)</f>
        <v>-429.17883126113</v>
      </c>
      <c r="DA274" s="21" t="n">
        <f aca="false">IF(ISBLANK(Actuals!DB94),-366.3*Escalation!$B$102,Actuals!DB94)</f>
        <v>-429.17883126113</v>
      </c>
      <c r="DB274" s="21" t="n">
        <f aca="false">IF(ISBLANK(Actuals!DC94),-366.3*Escalation!$B$103,Actuals!DC94)</f>
        <v>-429.17883126113</v>
      </c>
      <c r="DC274" s="21" t="n">
        <f aca="false">IF(ISBLANK(Actuals!DD94),-366.3*Escalation!$B$104,Actuals!DD94)</f>
        <v>-429.17883126113</v>
      </c>
      <c r="DD274" s="21" t="n">
        <f aca="false">IF(ISBLANK(Actuals!DE94),-366.3*Escalation!$B$105,Actuals!DE94)</f>
        <v>-429.17883126113</v>
      </c>
      <c r="DE274" s="21" t="n">
        <f aca="false">IF(ISBLANK(Actuals!DF94),-366.3*Escalation!$B$106,Actuals!DF94)</f>
        <v>-429.17883126113</v>
      </c>
    </row>
    <row r="275" customFormat="false" ht="15" hidden="false" customHeight="true" outlineLevel="0" collapsed="false">
      <c r="A275" s="35" t="s">
        <v>127</v>
      </c>
      <c r="B275" s="21" t="n">
        <f aca="false">IF(ISBLANK(Actuals!C95),0,Actuals!C95)</f>
        <v>0</v>
      </c>
      <c r="C275" s="21" t="n">
        <f aca="false">IF(ISBLANK(Actuals!D95),0,Actuals!D95)</f>
        <v>-92.75</v>
      </c>
      <c r="D275" s="21" t="n">
        <f aca="false">IF(ISBLANK(Actuals!E95),0,Actuals!E95)</f>
        <v>-57.46</v>
      </c>
      <c r="E275" s="21" t="n">
        <f aca="false">IF(ISBLANK(Actuals!F95),-50.07*Escalation!$B$2,Actuals!F95)</f>
        <v>0</v>
      </c>
      <c r="F275" s="21" t="n">
        <f aca="false">IF(ISBLANK(Actuals!G95),-50.07*Escalation!$B$3,Actuals!G95)</f>
        <v>-24.3</v>
      </c>
      <c r="G275" s="21" t="n">
        <f aca="false">IF(ISBLANK(Actuals!H95),-50.07*Escalation!$B$4,Actuals!H95)</f>
        <v>-917.7</v>
      </c>
      <c r="H275" s="21" t="n">
        <f aca="false">IF(ISBLANK(Actuals!I95),-50.07*Escalation!$B$5,Actuals!I95)</f>
        <v>0</v>
      </c>
      <c r="I275" s="21" t="n">
        <f aca="false">IF(ISBLANK(Actuals!J95),-50.07*Escalation!$B$6,Actuals!J95)</f>
        <v>-70.35</v>
      </c>
      <c r="J275" s="21" t="n">
        <f aca="false">IF(ISBLANK(Actuals!K95),-50.07*Escalation!$B$7,Actuals!K95)</f>
        <v>-50.07</v>
      </c>
      <c r="K275" s="21" t="n">
        <f aca="false">IF(ISBLANK(Actuals!L95),-50.07*Escalation!$B$8,Actuals!L95)</f>
        <v>-50.07</v>
      </c>
      <c r="L275" s="21" t="n">
        <f aca="false">IF(ISBLANK(Actuals!M95),-50.07*Escalation!$B$9,Actuals!M95)</f>
        <v>-50.07</v>
      </c>
      <c r="M275" s="21" t="n">
        <f aca="false">IF(ISBLANK(Actuals!N95),-50.07*Escalation!$B$10,Actuals!N95)</f>
        <v>-50.07</v>
      </c>
      <c r="N275" s="21" t="n">
        <f aca="false">IF(ISBLANK(Actuals!O95),-50.07*Escalation!$B$11,Actuals!O95)</f>
        <v>-50.07</v>
      </c>
      <c r="O275" s="21" t="n">
        <f aca="false">IF(ISBLANK(Actuals!P95),-50.07*Escalation!$B$12,Actuals!P95)</f>
        <v>-50.07</v>
      </c>
      <c r="P275" s="21" t="n">
        <f aca="false">IF(ISBLANK(Actuals!Q95),-50.07*Escalation!$B$13,Actuals!Q95)</f>
        <v>-50.07</v>
      </c>
      <c r="Q275" s="21" t="n">
        <f aca="false">IF(ISBLANK(Actuals!R95),-50.07*Escalation!$B$14,Actuals!R95)</f>
        <v>-51.0714</v>
      </c>
      <c r="R275" s="21" t="n">
        <f aca="false">IF(ISBLANK(Actuals!S95),-50.07*Escalation!$B$15,Actuals!S95)</f>
        <v>-51.0714</v>
      </c>
      <c r="S275" s="21" t="n">
        <f aca="false">IF(ISBLANK(Actuals!T95),-50.07*Escalation!$B$16,Actuals!T95)</f>
        <v>-51.0714</v>
      </c>
      <c r="T275" s="21" t="n">
        <f aca="false">IF(ISBLANK(Actuals!U95),-50.07*Escalation!$B$17,Actuals!U95)</f>
        <v>-51.0714</v>
      </c>
      <c r="U275" s="21" t="n">
        <f aca="false">IF(ISBLANK(Actuals!V95),-50.07*Escalation!$B$18,Actuals!V95)</f>
        <v>-51.0714</v>
      </c>
      <c r="V275" s="21" t="n">
        <f aca="false">IF(ISBLANK(Actuals!W95),-50.07*Escalation!$B$19,Actuals!W95)</f>
        <v>-51.0714</v>
      </c>
      <c r="W275" s="21" t="n">
        <f aca="false">IF(ISBLANK(Actuals!X95),-50.07*Escalation!$B$20,Actuals!X95)</f>
        <v>-51.0714</v>
      </c>
      <c r="X275" s="21" t="n">
        <f aca="false">IF(ISBLANK(Actuals!Y95),-50.07*Escalation!$B$21,Actuals!Y95)</f>
        <v>-51.0714</v>
      </c>
      <c r="Y275" s="21" t="n">
        <f aca="false">IF(ISBLANK(Actuals!Z95),-50.07*Escalation!$B$22,Actuals!Z95)</f>
        <v>-51.0714</v>
      </c>
      <c r="Z275" s="21" t="n">
        <f aca="false">IF(ISBLANK(Actuals!AA95),-50.07*Escalation!$B$23,Actuals!AA95)</f>
        <v>-51.0714</v>
      </c>
      <c r="AA275" s="21" t="n">
        <f aca="false">IF(ISBLANK(Actuals!AB95),-50.07*Escalation!$B$24,Actuals!AB95)</f>
        <v>-51.0714</v>
      </c>
      <c r="AB275" s="21" t="n">
        <f aca="false">IF(ISBLANK(Actuals!AC95),-50.07*Escalation!$B$25,Actuals!AC95)</f>
        <v>-51.0714</v>
      </c>
      <c r="AC275" s="21" t="n">
        <f aca="false">IF(ISBLANK(Actuals!AD95),-50.07*Escalation!$B$26,Actuals!AD95)</f>
        <v>-52.092828</v>
      </c>
      <c r="AD275" s="21" t="n">
        <f aca="false">IF(ISBLANK(Actuals!AE95),-50.07*Escalation!$B$27,Actuals!AE95)</f>
        <v>-52.092828</v>
      </c>
      <c r="AE275" s="21" t="n">
        <f aca="false">IF(ISBLANK(Actuals!AF95),-50.07*Escalation!$B$28,Actuals!AF95)</f>
        <v>-52.092828</v>
      </c>
      <c r="AF275" s="21" t="n">
        <f aca="false">IF(ISBLANK(Actuals!AG95),-50.07*Escalation!$B$29,Actuals!AG95)</f>
        <v>-52.092828</v>
      </c>
      <c r="AG275" s="21" t="n">
        <f aca="false">IF(ISBLANK(Actuals!AH95),-50.07*Escalation!$B$30,Actuals!AH95)</f>
        <v>-52.092828</v>
      </c>
      <c r="AH275" s="21" t="n">
        <f aca="false">IF(ISBLANK(Actuals!AI95),-50.07*Escalation!$B$31,Actuals!AI95)</f>
        <v>-52.092828</v>
      </c>
      <c r="AI275" s="21" t="n">
        <f aca="false">IF(ISBLANK(Actuals!AJ95),-50.07*Escalation!$B$32,Actuals!AJ95)</f>
        <v>-52.092828</v>
      </c>
      <c r="AJ275" s="21" t="n">
        <f aca="false">IF(ISBLANK(Actuals!AK95),-50.07*Escalation!$B$33,Actuals!AK95)</f>
        <v>-52.092828</v>
      </c>
      <c r="AK275" s="21" t="n">
        <f aca="false">IF(ISBLANK(Actuals!AL95),-50.07*Escalation!$B$34,Actuals!AL95)</f>
        <v>-52.092828</v>
      </c>
      <c r="AL275" s="21" t="n">
        <f aca="false">IF(ISBLANK(Actuals!AM95),-50.07*Escalation!$B$35,Actuals!AM95)</f>
        <v>-52.092828</v>
      </c>
      <c r="AM275" s="21" t="n">
        <f aca="false">IF(ISBLANK(Actuals!AN95),-50.07*Escalation!$B$36,Actuals!AN95)</f>
        <v>-52.092828</v>
      </c>
      <c r="AN275" s="21" t="n">
        <f aca="false">IF(ISBLANK(Actuals!AO95),-50.07*Escalation!$B$37,Actuals!AO95)</f>
        <v>-52.092828</v>
      </c>
      <c r="AO275" s="21" t="n">
        <f aca="false">IF(ISBLANK(Actuals!AP95),-50.07*Escalation!$B$38,Actuals!AP95)</f>
        <v>-53.13468456</v>
      </c>
      <c r="AP275" s="21" t="n">
        <f aca="false">IF(ISBLANK(Actuals!AQ95),-50.07*Escalation!$B$39,Actuals!AQ95)</f>
        <v>-53.13468456</v>
      </c>
      <c r="AQ275" s="21" t="n">
        <f aca="false">IF(ISBLANK(Actuals!AR95),-50.07*Escalation!$B$40,Actuals!AR95)</f>
        <v>-53.13468456</v>
      </c>
      <c r="AR275" s="21" t="n">
        <f aca="false">IF(ISBLANK(Actuals!AS95),-50.07*Escalation!$B$41,Actuals!AS95)</f>
        <v>-53.13468456</v>
      </c>
      <c r="AS275" s="21" t="n">
        <f aca="false">IF(ISBLANK(Actuals!AT95),-50.07*Escalation!$B$42,Actuals!AT95)</f>
        <v>-53.13468456</v>
      </c>
      <c r="AT275" s="21" t="n">
        <f aca="false">IF(ISBLANK(Actuals!AU95),-50.07*Escalation!$B$43,Actuals!AU95)</f>
        <v>-53.13468456</v>
      </c>
      <c r="AU275" s="21" t="n">
        <f aca="false">IF(ISBLANK(Actuals!AV95),-50.07*Escalation!$B$44,Actuals!AV95)</f>
        <v>-53.13468456</v>
      </c>
      <c r="AV275" s="21" t="n">
        <f aca="false">IF(ISBLANK(Actuals!AW95),-50.07*Escalation!$B$45,Actuals!AW95)</f>
        <v>-53.13468456</v>
      </c>
      <c r="AW275" s="21" t="n">
        <f aca="false">IF(ISBLANK(Actuals!AX95),-50.07*Escalation!$B$46,Actuals!AX95)</f>
        <v>-53.13468456</v>
      </c>
      <c r="AX275" s="21" t="n">
        <f aca="false">IF(ISBLANK(Actuals!AY95),-50.07*Escalation!$B$47,Actuals!AY95)</f>
        <v>-53.13468456</v>
      </c>
      <c r="AY275" s="21" t="n">
        <f aca="false">IF(ISBLANK(Actuals!AZ95),-50.07*Escalation!$B$48,Actuals!AZ95)</f>
        <v>-53.13468456</v>
      </c>
      <c r="AZ275" s="21" t="n">
        <f aca="false">IF(ISBLANK(Actuals!BA95),-50.07*Escalation!$B$49,Actuals!BA95)</f>
        <v>-53.13468456</v>
      </c>
      <c r="BA275" s="21" t="n">
        <f aca="false">IF(ISBLANK(Actuals!BB95),-50.07*Escalation!$B$50,Actuals!BB95)</f>
        <v>-54.1973782512</v>
      </c>
      <c r="BB275" s="21" t="n">
        <f aca="false">IF(ISBLANK(Actuals!BC95),-50.07*Escalation!$B$51,Actuals!BC95)</f>
        <v>-54.1973782512</v>
      </c>
      <c r="BC275" s="21" t="n">
        <f aca="false">IF(ISBLANK(Actuals!BD95),-50.07*Escalation!$B$52,Actuals!BD95)</f>
        <v>-54.1973782512</v>
      </c>
      <c r="BD275" s="21" t="n">
        <f aca="false">IF(ISBLANK(Actuals!BE95),-50.07*Escalation!$B$53,Actuals!BE95)</f>
        <v>-54.1973782512</v>
      </c>
      <c r="BE275" s="21" t="n">
        <f aca="false">IF(ISBLANK(Actuals!BF95),-50.07*Escalation!$B$54,Actuals!BF95)</f>
        <v>-54.1973782512</v>
      </c>
      <c r="BF275" s="21" t="n">
        <f aca="false">IF(ISBLANK(Actuals!BG95),-50.07*Escalation!$B$55,Actuals!BG95)</f>
        <v>-54.1973782512</v>
      </c>
      <c r="BG275" s="21" t="n">
        <f aca="false">IF(ISBLANK(Actuals!BH95),-50.07*Escalation!$B$56,Actuals!BH95)</f>
        <v>-54.1973782512</v>
      </c>
      <c r="BH275" s="21" t="n">
        <f aca="false">IF(ISBLANK(Actuals!BI95),-50.07*Escalation!$B$57,Actuals!BI95)</f>
        <v>-54.1973782512</v>
      </c>
      <c r="BI275" s="21" t="n">
        <f aca="false">IF(ISBLANK(Actuals!BJ95),-50.07*Escalation!$B$58,Actuals!BJ95)</f>
        <v>-54.1973782512</v>
      </c>
      <c r="BJ275" s="21" t="n">
        <f aca="false">IF(ISBLANK(Actuals!BK95),-50.07*Escalation!$B$59,Actuals!BK95)</f>
        <v>-54.1973782512</v>
      </c>
      <c r="BK275" s="21" t="n">
        <f aca="false">IF(ISBLANK(Actuals!BL95),-50.07*Escalation!$B$60,Actuals!BL95)</f>
        <v>-54.1973782512</v>
      </c>
      <c r="BL275" s="21" t="n">
        <f aca="false">IF(ISBLANK(Actuals!BM95),-50.07*Escalation!$B$61,Actuals!BM95)</f>
        <v>-54.1973782512</v>
      </c>
      <c r="BM275" s="21" t="n">
        <f aca="false">IF(ISBLANK(Actuals!BN95),-50.07*Escalation!$B$62,Actuals!BN95)</f>
        <v>-55.281325816224</v>
      </c>
      <c r="BN275" s="21" t="n">
        <f aca="false">IF(ISBLANK(Actuals!BO95),-50.07*Escalation!$B$63,Actuals!BO95)</f>
        <v>-55.281325816224</v>
      </c>
      <c r="BO275" s="21" t="n">
        <f aca="false">IF(ISBLANK(Actuals!BP95),-50.07*Escalation!$B$64,Actuals!BP95)</f>
        <v>-55.281325816224</v>
      </c>
      <c r="BP275" s="21" t="n">
        <f aca="false">IF(ISBLANK(Actuals!BQ95),-50.07*Escalation!$B$65,Actuals!BQ95)</f>
        <v>-55.281325816224</v>
      </c>
      <c r="BQ275" s="21" t="n">
        <f aca="false">IF(ISBLANK(Actuals!BR95),-50.07*Escalation!$B$66,Actuals!BR95)</f>
        <v>-55.281325816224</v>
      </c>
      <c r="BR275" s="21" t="n">
        <f aca="false">IF(ISBLANK(Actuals!BS95),-50.07*Escalation!$B$67,Actuals!BS95)</f>
        <v>-55.281325816224</v>
      </c>
      <c r="BS275" s="21" t="n">
        <f aca="false">IF(ISBLANK(Actuals!BT95),-50.07*Escalation!$B$68,Actuals!BT95)</f>
        <v>-55.281325816224</v>
      </c>
      <c r="BT275" s="21" t="n">
        <f aca="false">IF(ISBLANK(Actuals!BU95),-50.07*Escalation!$B$69,Actuals!BU95)</f>
        <v>-55.281325816224</v>
      </c>
      <c r="BU275" s="21" t="n">
        <f aca="false">IF(ISBLANK(Actuals!BV95),-50.07*Escalation!$B$70,Actuals!BV95)</f>
        <v>-55.281325816224</v>
      </c>
      <c r="BV275" s="21" t="n">
        <f aca="false">IF(ISBLANK(Actuals!BW95),-50.07*Escalation!$B$71,Actuals!BW95)</f>
        <v>-55.281325816224</v>
      </c>
      <c r="BW275" s="21" t="n">
        <f aca="false">IF(ISBLANK(Actuals!BX95),-50.07*Escalation!$B$72,Actuals!BX95)</f>
        <v>-55.281325816224</v>
      </c>
      <c r="BX275" s="21" t="n">
        <f aca="false">IF(ISBLANK(Actuals!BY95),-50.07*Escalation!$B$73,Actuals!BY95)</f>
        <v>-55.281325816224</v>
      </c>
      <c r="BY275" s="21" t="n">
        <f aca="false">IF(ISBLANK(Actuals!BZ95),-50.07*Escalation!$B$74,Actuals!BZ95)</f>
        <v>-56.3869523325485</v>
      </c>
      <c r="BZ275" s="21" t="n">
        <f aca="false">IF(ISBLANK(Actuals!CA95),-50.07*Escalation!$B$75,Actuals!CA95)</f>
        <v>-56.3869523325485</v>
      </c>
      <c r="CA275" s="21" t="n">
        <f aca="false">IF(ISBLANK(Actuals!CB95),-50.07*Escalation!$B$76,Actuals!CB95)</f>
        <v>-56.3869523325485</v>
      </c>
      <c r="CB275" s="21" t="n">
        <f aca="false">IF(ISBLANK(Actuals!CC95),-50.07*Escalation!$B$77,Actuals!CC95)</f>
        <v>-56.3869523325485</v>
      </c>
      <c r="CC275" s="21" t="n">
        <f aca="false">IF(ISBLANK(Actuals!CD95),-50.07*Escalation!$B$78,Actuals!CD95)</f>
        <v>-56.3869523325485</v>
      </c>
      <c r="CD275" s="21" t="n">
        <f aca="false">IF(ISBLANK(Actuals!CE95),-50.07*Escalation!$B$79,Actuals!CE95)</f>
        <v>-56.3869523325485</v>
      </c>
      <c r="CE275" s="21" t="n">
        <f aca="false">IF(ISBLANK(Actuals!CF95),-50.07*Escalation!$B$80,Actuals!CF95)</f>
        <v>-56.3869523325485</v>
      </c>
      <c r="CF275" s="21" t="n">
        <f aca="false">IF(ISBLANK(Actuals!CG95),-50.07*Escalation!$B$81,Actuals!CG95)</f>
        <v>-56.3869523325485</v>
      </c>
      <c r="CG275" s="21" t="n">
        <f aca="false">IF(ISBLANK(Actuals!CH95),-50.07*Escalation!$B$82,Actuals!CH95)</f>
        <v>-56.3869523325485</v>
      </c>
      <c r="CH275" s="21" t="n">
        <f aca="false">IF(ISBLANK(Actuals!CI95),-50.07*Escalation!$B$83,Actuals!CI95)</f>
        <v>-56.3869523325485</v>
      </c>
      <c r="CI275" s="21" t="n">
        <f aca="false">IF(ISBLANK(Actuals!CJ95),-50.07*Escalation!$B$84,Actuals!CJ95)</f>
        <v>-56.3869523325485</v>
      </c>
      <c r="CJ275" s="21" t="n">
        <f aca="false">IF(ISBLANK(Actuals!CK95),-50.07*Escalation!$B$85,Actuals!CK95)</f>
        <v>-56.3869523325485</v>
      </c>
      <c r="CK275" s="21" t="n">
        <f aca="false">IF(ISBLANK(Actuals!CL95),-50.07*Escalation!$B$86,Actuals!CL95)</f>
        <v>-57.5146913791995</v>
      </c>
      <c r="CL275" s="21" t="n">
        <f aca="false">IF(ISBLANK(Actuals!CM95),-50.07*Escalation!$B$87,Actuals!CM95)</f>
        <v>-57.5146913791995</v>
      </c>
      <c r="CM275" s="21" t="n">
        <f aca="false">IF(ISBLANK(Actuals!CN95),-50.07*Escalation!$B$88,Actuals!CN95)</f>
        <v>-57.5146913791995</v>
      </c>
      <c r="CN275" s="21" t="n">
        <f aca="false">IF(ISBLANK(Actuals!CO95),-50.07*Escalation!$B$89,Actuals!CO95)</f>
        <v>-57.5146913791995</v>
      </c>
      <c r="CO275" s="21" t="n">
        <f aca="false">IF(ISBLANK(Actuals!CP95),-50.07*Escalation!$B$90,Actuals!CP95)</f>
        <v>-57.5146913791995</v>
      </c>
      <c r="CP275" s="21" t="n">
        <f aca="false">IF(ISBLANK(Actuals!CQ95),-50.07*Escalation!$B$91,Actuals!CQ95)</f>
        <v>-57.5146913791995</v>
      </c>
      <c r="CQ275" s="21" t="n">
        <f aca="false">IF(ISBLANK(Actuals!CR95),-50.07*Escalation!$B$92,Actuals!CR95)</f>
        <v>-57.5146913791995</v>
      </c>
      <c r="CR275" s="21" t="n">
        <f aca="false">IF(ISBLANK(Actuals!CS95),-50.07*Escalation!$B$93,Actuals!CS95)</f>
        <v>-57.5146913791995</v>
      </c>
      <c r="CS275" s="21" t="n">
        <f aca="false">IF(ISBLANK(Actuals!CT95),-50.07*Escalation!$B$94,Actuals!CT95)</f>
        <v>-57.5146913791995</v>
      </c>
      <c r="CT275" s="21" t="n">
        <f aca="false">IF(ISBLANK(Actuals!CU95),-50.07*Escalation!$B$95,Actuals!CU95)</f>
        <v>-57.5146913791995</v>
      </c>
      <c r="CU275" s="21" t="n">
        <f aca="false">IF(ISBLANK(Actuals!CV95),-50.07*Escalation!$B$96,Actuals!CV95)</f>
        <v>-57.5146913791995</v>
      </c>
      <c r="CV275" s="21" t="n">
        <f aca="false">IF(ISBLANK(Actuals!CW95),-50.07*Escalation!$B$97,Actuals!CW95)</f>
        <v>-57.5146913791995</v>
      </c>
      <c r="CW275" s="21" t="n">
        <f aca="false">IF(ISBLANK(Actuals!CX95),-50.07*Escalation!$B$98,Actuals!CX95)</f>
        <v>-58.6649852067835</v>
      </c>
      <c r="CX275" s="21" t="n">
        <f aca="false">IF(ISBLANK(Actuals!CY95),-50.07*Escalation!$B$99,Actuals!CY95)</f>
        <v>-58.6649852067835</v>
      </c>
      <c r="CY275" s="21" t="n">
        <f aca="false">IF(ISBLANK(Actuals!CZ95),-50.07*Escalation!$B$100,Actuals!CZ95)</f>
        <v>-58.6649852067835</v>
      </c>
      <c r="CZ275" s="21" t="n">
        <f aca="false">IF(ISBLANK(Actuals!DA95),-50.07*Escalation!$B$101,Actuals!DA95)</f>
        <v>-58.6649852067835</v>
      </c>
      <c r="DA275" s="21" t="n">
        <f aca="false">IF(ISBLANK(Actuals!DB95),-50.07*Escalation!$B$102,Actuals!DB95)</f>
        <v>-58.6649852067835</v>
      </c>
      <c r="DB275" s="21" t="n">
        <f aca="false">IF(ISBLANK(Actuals!DC95),-50.07*Escalation!$B$103,Actuals!DC95)</f>
        <v>-58.6649852067835</v>
      </c>
      <c r="DC275" s="21" t="n">
        <f aca="false">IF(ISBLANK(Actuals!DD95),-50.07*Escalation!$B$104,Actuals!DD95)</f>
        <v>-58.6649852067835</v>
      </c>
      <c r="DD275" s="21" t="n">
        <f aca="false">IF(ISBLANK(Actuals!DE95),-50.07*Escalation!$B$105,Actuals!DE95)</f>
        <v>-58.6649852067835</v>
      </c>
      <c r="DE275" s="21" t="n">
        <f aca="false">IF(ISBLANK(Actuals!DF95),-50.07*Escalation!$B$106,Actuals!DF95)</f>
        <v>-58.6649852067835</v>
      </c>
    </row>
    <row r="276" customFormat="false" ht="15" hidden="false" customHeight="true" outlineLevel="0" collapsed="false">
      <c r="A276" s="35" t="s">
        <v>78</v>
      </c>
      <c r="B276" s="21" t="n">
        <f aca="false">IF(ISBLANK(Actuals!C96),0,Actuals!C96)</f>
        <v>-640.88</v>
      </c>
      <c r="C276" s="21" t="n">
        <f aca="false">IF(ISBLANK(Actuals!D96),0,Actuals!D96)</f>
        <v>-872.64</v>
      </c>
      <c r="D276" s="21" t="n">
        <f aca="false">IF(ISBLANK(Actuals!E96),0,Actuals!E96)</f>
        <v>-1175.78</v>
      </c>
      <c r="E276" s="21" t="n">
        <f aca="false">IF(ISBLANK(Actuals!F96),-896.43*Escalation!$B$2,Actuals!F96)</f>
        <v>-471.38</v>
      </c>
      <c r="F276" s="21" t="n">
        <f aca="false">IF(ISBLANK(Actuals!G96),-896.43*Escalation!$B$3,Actuals!G96)</f>
        <v>-1307.57</v>
      </c>
      <c r="G276" s="21" t="n">
        <f aca="false">IF(ISBLANK(Actuals!H96),-896.43*Escalation!$B$4,Actuals!H96)</f>
        <v>-3067.11</v>
      </c>
      <c r="H276" s="21" t="n">
        <f aca="false">IF(ISBLANK(Actuals!I96),-896.43*Escalation!$B$5,Actuals!I96)</f>
        <v>-131.02</v>
      </c>
      <c r="I276" s="21" t="n">
        <f aca="false">IF(ISBLANK(Actuals!J96),-896.43*Escalation!$B$6,Actuals!J96)</f>
        <v>-13.5</v>
      </c>
      <c r="J276" s="21" t="n">
        <f aca="false">IF(ISBLANK(Actuals!K96),-896.43*Escalation!$B$7,Actuals!K96)</f>
        <v>-896.43</v>
      </c>
      <c r="K276" s="21" t="n">
        <f aca="false">IF(ISBLANK(Actuals!L96),-896.43*Escalation!$B$8,Actuals!L96)</f>
        <v>-896.43</v>
      </c>
      <c r="L276" s="21" t="n">
        <f aca="false">IF(ISBLANK(Actuals!M96),-896.43*Escalation!$B$9,Actuals!M96)</f>
        <v>-896.43</v>
      </c>
      <c r="M276" s="21" t="n">
        <f aca="false">IF(ISBLANK(Actuals!N96),-896.43*Escalation!$B$10,Actuals!N96)</f>
        <v>-896.43</v>
      </c>
      <c r="N276" s="21" t="n">
        <f aca="false">IF(ISBLANK(Actuals!O96),-896.43*Escalation!$B$11,Actuals!O96)</f>
        <v>-896.43</v>
      </c>
      <c r="O276" s="21" t="n">
        <f aca="false">IF(ISBLANK(Actuals!P96),-896.43*Escalation!$B$12,Actuals!P96)</f>
        <v>-896.43</v>
      </c>
      <c r="P276" s="21" t="n">
        <f aca="false">IF(ISBLANK(Actuals!Q96),-896.43*Escalation!$B$13,Actuals!Q96)</f>
        <v>-896.43</v>
      </c>
      <c r="Q276" s="21" t="n">
        <f aca="false">IF(ISBLANK(Actuals!R96),-896.43*Escalation!$B$14,Actuals!R96)</f>
        <v>-914.3586</v>
      </c>
      <c r="R276" s="21" t="n">
        <f aca="false">IF(ISBLANK(Actuals!S96),-896.43*Escalation!$B$15,Actuals!S96)</f>
        <v>-914.3586</v>
      </c>
      <c r="S276" s="21" t="n">
        <f aca="false">IF(ISBLANK(Actuals!T96),-896.43*Escalation!$B$16,Actuals!T96)</f>
        <v>-914.3586</v>
      </c>
      <c r="T276" s="21" t="n">
        <f aca="false">IF(ISBLANK(Actuals!U96),-896.43*Escalation!$B$17,Actuals!U96)</f>
        <v>-914.3586</v>
      </c>
      <c r="U276" s="21" t="n">
        <f aca="false">IF(ISBLANK(Actuals!V96),-896.43*Escalation!$B$18,Actuals!V96)</f>
        <v>-914.3586</v>
      </c>
      <c r="V276" s="21" t="n">
        <f aca="false">IF(ISBLANK(Actuals!W96),-896.43*Escalation!$B$19,Actuals!W96)</f>
        <v>-914.3586</v>
      </c>
      <c r="W276" s="21" t="n">
        <f aca="false">IF(ISBLANK(Actuals!X96),-896.43*Escalation!$B$20,Actuals!X96)</f>
        <v>-914.3586</v>
      </c>
      <c r="X276" s="21" t="n">
        <f aca="false">IF(ISBLANK(Actuals!Y96),-896.43*Escalation!$B$21,Actuals!Y96)</f>
        <v>-914.3586</v>
      </c>
      <c r="Y276" s="21" t="n">
        <f aca="false">IF(ISBLANK(Actuals!Z96),-896.43*Escalation!$B$22,Actuals!Z96)</f>
        <v>-914.3586</v>
      </c>
      <c r="Z276" s="21" t="n">
        <f aca="false">IF(ISBLANK(Actuals!AA96),-896.43*Escalation!$B$23,Actuals!AA96)</f>
        <v>-914.3586</v>
      </c>
      <c r="AA276" s="21" t="n">
        <f aca="false">IF(ISBLANK(Actuals!AB96),-896.43*Escalation!$B$24,Actuals!AB96)</f>
        <v>-914.3586</v>
      </c>
      <c r="AB276" s="21" t="n">
        <f aca="false">IF(ISBLANK(Actuals!AC96),-896.43*Escalation!$B$25,Actuals!AC96)</f>
        <v>-914.3586</v>
      </c>
      <c r="AC276" s="21" t="n">
        <f aca="false">IF(ISBLANK(Actuals!AD96),-896.43*Escalation!$B$26,Actuals!AD96)</f>
        <v>-932.645772</v>
      </c>
      <c r="AD276" s="21" t="n">
        <f aca="false">IF(ISBLANK(Actuals!AE96),-896.43*Escalation!$B$27,Actuals!AE96)</f>
        <v>-932.645772</v>
      </c>
      <c r="AE276" s="21" t="n">
        <f aca="false">IF(ISBLANK(Actuals!AF96),-896.43*Escalation!$B$28,Actuals!AF96)</f>
        <v>-932.645772</v>
      </c>
      <c r="AF276" s="21" t="n">
        <f aca="false">IF(ISBLANK(Actuals!AG96),-896.43*Escalation!$B$29,Actuals!AG96)</f>
        <v>-932.645772</v>
      </c>
      <c r="AG276" s="21" t="n">
        <f aca="false">IF(ISBLANK(Actuals!AH96),-896.43*Escalation!$B$30,Actuals!AH96)</f>
        <v>-932.645772</v>
      </c>
      <c r="AH276" s="21" t="n">
        <f aca="false">IF(ISBLANK(Actuals!AI96),-896.43*Escalation!$B$31,Actuals!AI96)</f>
        <v>-932.645772</v>
      </c>
      <c r="AI276" s="21" t="n">
        <f aca="false">IF(ISBLANK(Actuals!AJ96),-896.43*Escalation!$B$32,Actuals!AJ96)</f>
        <v>-932.645772</v>
      </c>
      <c r="AJ276" s="21" t="n">
        <f aca="false">IF(ISBLANK(Actuals!AK96),-896.43*Escalation!$B$33,Actuals!AK96)</f>
        <v>-932.645772</v>
      </c>
      <c r="AK276" s="21" t="n">
        <f aca="false">IF(ISBLANK(Actuals!AL96),-896.43*Escalation!$B$34,Actuals!AL96)</f>
        <v>-932.645772</v>
      </c>
      <c r="AL276" s="21" t="n">
        <f aca="false">IF(ISBLANK(Actuals!AM96),-896.43*Escalation!$B$35,Actuals!AM96)</f>
        <v>-932.645772</v>
      </c>
      <c r="AM276" s="21" t="n">
        <f aca="false">IF(ISBLANK(Actuals!AN96),-896.43*Escalation!$B$36,Actuals!AN96)</f>
        <v>-932.645772</v>
      </c>
      <c r="AN276" s="21" t="n">
        <f aca="false">IF(ISBLANK(Actuals!AO96),-896.43*Escalation!$B$37,Actuals!AO96)</f>
        <v>-932.645772</v>
      </c>
      <c r="AO276" s="21" t="n">
        <f aca="false">IF(ISBLANK(Actuals!AP96),-896.43*Escalation!$B$38,Actuals!AP96)</f>
        <v>-951.29868744</v>
      </c>
      <c r="AP276" s="21" t="n">
        <f aca="false">IF(ISBLANK(Actuals!AQ96),-896.43*Escalation!$B$39,Actuals!AQ96)</f>
        <v>-951.29868744</v>
      </c>
      <c r="AQ276" s="21" t="n">
        <f aca="false">IF(ISBLANK(Actuals!AR96),-896.43*Escalation!$B$40,Actuals!AR96)</f>
        <v>-951.29868744</v>
      </c>
      <c r="AR276" s="21" t="n">
        <f aca="false">IF(ISBLANK(Actuals!AS96),-896.43*Escalation!$B$41,Actuals!AS96)</f>
        <v>-951.29868744</v>
      </c>
      <c r="AS276" s="21" t="n">
        <f aca="false">IF(ISBLANK(Actuals!AT96),-896.43*Escalation!$B$42,Actuals!AT96)</f>
        <v>-951.29868744</v>
      </c>
      <c r="AT276" s="21" t="n">
        <f aca="false">IF(ISBLANK(Actuals!AU96),-896.43*Escalation!$B$43,Actuals!AU96)</f>
        <v>-951.29868744</v>
      </c>
      <c r="AU276" s="21" t="n">
        <f aca="false">IF(ISBLANK(Actuals!AV96),-896.43*Escalation!$B$44,Actuals!AV96)</f>
        <v>-951.29868744</v>
      </c>
      <c r="AV276" s="21" t="n">
        <f aca="false">IF(ISBLANK(Actuals!AW96),-896.43*Escalation!$B$45,Actuals!AW96)</f>
        <v>-951.29868744</v>
      </c>
      <c r="AW276" s="21" t="n">
        <f aca="false">IF(ISBLANK(Actuals!AX96),-896.43*Escalation!$B$46,Actuals!AX96)</f>
        <v>-951.29868744</v>
      </c>
      <c r="AX276" s="21" t="n">
        <f aca="false">IF(ISBLANK(Actuals!AY96),-896.43*Escalation!$B$47,Actuals!AY96)</f>
        <v>-951.29868744</v>
      </c>
      <c r="AY276" s="21" t="n">
        <f aca="false">IF(ISBLANK(Actuals!AZ96),-896.43*Escalation!$B$48,Actuals!AZ96)</f>
        <v>-951.29868744</v>
      </c>
      <c r="AZ276" s="21" t="n">
        <f aca="false">IF(ISBLANK(Actuals!BA96),-896.43*Escalation!$B$49,Actuals!BA96)</f>
        <v>-951.29868744</v>
      </c>
      <c r="BA276" s="21" t="n">
        <f aca="false">IF(ISBLANK(Actuals!BB96),-896.43*Escalation!$B$50,Actuals!BB96)</f>
        <v>-970.3246611888</v>
      </c>
      <c r="BB276" s="21" t="n">
        <f aca="false">IF(ISBLANK(Actuals!BC96),-896.43*Escalation!$B$51,Actuals!BC96)</f>
        <v>-970.3246611888</v>
      </c>
      <c r="BC276" s="21" t="n">
        <f aca="false">IF(ISBLANK(Actuals!BD96),-896.43*Escalation!$B$52,Actuals!BD96)</f>
        <v>-970.3246611888</v>
      </c>
      <c r="BD276" s="21" t="n">
        <f aca="false">IF(ISBLANK(Actuals!BE96),-896.43*Escalation!$B$53,Actuals!BE96)</f>
        <v>-970.3246611888</v>
      </c>
      <c r="BE276" s="21" t="n">
        <f aca="false">IF(ISBLANK(Actuals!BF96),-896.43*Escalation!$B$54,Actuals!BF96)</f>
        <v>-970.3246611888</v>
      </c>
      <c r="BF276" s="21" t="n">
        <f aca="false">IF(ISBLANK(Actuals!BG96),-896.43*Escalation!$B$55,Actuals!BG96)</f>
        <v>-970.3246611888</v>
      </c>
      <c r="BG276" s="21" t="n">
        <f aca="false">IF(ISBLANK(Actuals!BH96),-896.43*Escalation!$B$56,Actuals!BH96)</f>
        <v>-970.3246611888</v>
      </c>
      <c r="BH276" s="21" t="n">
        <f aca="false">IF(ISBLANK(Actuals!BI96),-896.43*Escalation!$B$57,Actuals!BI96)</f>
        <v>-970.3246611888</v>
      </c>
      <c r="BI276" s="21" t="n">
        <f aca="false">IF(ISBLANK(Actuals!BJ96),-896.43*Escalation!$B$58,Actuals!BJ96)</f>
        <v>-970.3246611888</v>
      </c>
      <c r="BJ276" s="21" t="n">
        <f aca="false">IF(ISBLANK(Actuals!BK96),-896.43*Escalation!$B$59,Actuals!BK96)</f>
        <v>-970.3246611888</v>
      </c>
      <c r="BK276" s="21" t="n">
        <f aca="false">IF(ISBLANK(Actuals!BL96),-896.43*Escalation!$B$60,Actuals!BL96)</f>
        <v>-970.3246611888</v>
      </c>
      <c r="BL276" s="21" t="n">
        <f aca="false">IF(ISBLANK(Actuals!BM96),-896.43*Escalation!$B$61,Actuals!BM96)</f>
        <v>-970.3246611888</v>
      </c>
      <c r="BM276" s="21" t="n">
        <f aca="false">IF(ISBLANK(Actuals!BN96),-896.43*Escalation!$B$62,Actuals!BN96)</f>
        <v>-989.731154412576</v>
      </c>
      <c r="BN276" s="21" t="n">
        <f aca="false">IF(ISBLANK(Actuals!BO96),-896.43*Escalation!$B$63,Actuals!BO96)</f>
        <v>-989.731154412576</v>
      </c>
      <c r="BO276" s="21" t="n">
        <f aca="false">IF(ISBLANK(Actuals!BP96),-896.43*Escalation!$B$64,Actuals!BP96)</f>
        <v>-989.731154412576</v>
      </c>
      <c r="BP276" s="21" t="n">
        <f aca="false">IF(ISBLANK(Actuals!BQ96),-896.43*Escalation!$B$65,Actuals!BQ96)</f>
        <v>-989.731154412576</v>
      </c>
      <c r="BQ276" s="21" t="n">
        <f aca="false">IF(ISBLANK(Actuals!BR96),-896.43*Escalation!$B$66,Actuals!BR96)</f>
        <v>-989.731154412576</v>
      </c>
      <c r="BR276" s="21" t="n">
        <f aca="false">IF(ISBLANK(Actuals!BS96),-896.43*Escalation!$B$67,Actuals!BS96)</f>
        <v>-989.731154412576</v>
      </c>
      <c r="BS276" s="21" t="n">
        <f aca="false">IF(ISBLANK(Actuals!BT96),-896.43*Escalation!$B$68,Actuals!BT96)</f>
        <v>-989.731154412576</v>
      </c>
      <c r="BT276" s="21" t="n">
        <f aca="false">IF(ISBLANK(Actuals!BU96),-896.43*Escalation!$B$69,Actuals!BU96)</f>
        <v>-989.731154412576</v>
      </c>
      <c r="BU276" s="21" t="n">
        <f aca="false">IF(ISBLANK(Actuals!BV96),-896.43*Escalation!$B$70,Actuals!BV96)</f>
        <v>-989.731154412576</v>
      </c>
      <c r="BV276" s="21" t="n">
        <f aca="false">IF(ISBLANK(Actuals!BW96),-896.43*Escalation!$B$71,Actuals!BW96)</f>
        <v>-989.731154412576</v>
      </c>
      <c r="BW276" s="21" t="n">
        <f aca="false">IF(ISBLANK(Actuals!BX96),-896.43*Escalation!$B$72,Actuals!BX96)</f>
        <v>-989.731154412576</v>
      </c>
      <c r="BX276" s="21" t="n">
        <f aca="false">IF(ISBLANK(Actuals!BY96),-896.43*Escalation!$B$73,Actuals!BY96)</f>
        <v>-989.731154412576</v>
      </c>
      <c r="BY276" s="21" t="n">
        <f aca="false">IF(ISBLANK(Actuals!BZ96),-896.43*Escalation!$B$74,Actuals!BZ96)</f>
        <v>-1009.52577750083</v>
      </c>
      <c r="BZ276" s="21" t="n">
        <f aca="false">IF(ISBLANK(Actuals!CA96),-896.43*Escalation!$B$75,Actuals!CA96)</f>
        <v>-1009.52577750083</v>
      </c>
      <c r="CA276" s="21" t="n">
        <f aca="false">IF(ISBLANK(Actuals!CB96),-896.43*Escalation!$B$76,Actuals!CB96)</f>
        <v>-1009.52577750083</v>
      </c>
      <c r="CB276" s="21" t="n">
        <f aca="false">IF(ISBLANK(Actuals!CC96),-896.43*Escalation!$B$77,Actuals!CC96)</f>
        <v>-1009.52577750083</v>
      </c>
      <c r="CC276" s="21" t="n">
        <f aca="false">IF(ISBLANK(Actuals!CD96),-896.43*Escalation!$B$78,Actuals!CD96)</f>
        <v>-1009.52577750083</v>
      </c>
      <c r="CD276" s="21" t="n">
        <f aca="false">IF(ISBLANK(Actuals!CE96),-896.43*Escalation!$B$79,Actuals!CE96)</f>
        <v>-1009.52577750083</v>
      </c>
      <c r="CE276" s="21" t="n">
        <f aca="false">IF(ISBLANK(Actuals!CF96),-896.43*Escalation!$B$80,Actuals!CF96)</f>
        <v>-1009.52577750083</v>
      </c>
      <c r="CF276" s="21" t="n">
        <f aca="false">IF(ISBLANK(Actuals!CG96),-896.43*Escalation!$B$81,Actuals!CG96)</f>
        <v>-1009.52577750083</v>
      </c>
      <c r="CG276" s="21" t="n">
        <f aca="false">IF(ISBLANK(Actuals!CH96),-896.43*Escalation!$B$82,Actuals!CH96)</f>
        <v>-1009.52577750083</v>
      </c>
      <c r="CH276" s="21" t="n">
        <f aca="false">IF(ISBLANK(Actuals!CI96),-896.43*Escalation!$B$83,Actuals!CI96)</f>
        <v>-1009.52577750083</v>
      </c>
      <c r="CI276" s="21" t="n">
        <f aca="false">IF(ISBLANK(Actuals!CJ96),-896.43*Escalation!$B$84,Actuals!CJ96)</f>
        <v>-1009.52577750083</v>
      </c>
      <c r="CJ276" s="21" t="n">
        <f aca="false">IF(ISBLANK(Actuals!CK96),-896.43*Escalation!$B$85,Actuals!CK96)</f>
        <v>-1009.52577750083</v>
      </c>
      <c r="CK276" s="21" t="n">
        <f aca="false">IF(ISBLANK(Actuals!CL96),-896.43*Escalation!$B$86,Actuals!CL96)</f>
        <v>-1029.71629305084</v>
      </c>
      <c r="CL276" s="21" t="n">
        <f aca="false">IF(ISBLANK(Actuals!CM96),-896.43*Escalation!$B$87,Actuals!CM96)</f>
        <v>-1029.71629305084</v>
      </c>
      <c r="CM276" s="21" t="n">
        <f aca="false">IF(ISBLANK(Actuals!CN96),-896.43*Escalation!$B$88,Actuals!CN96)</f>
        <v>-1029.71629305084</v>
      </c>
      <c r="CN276" s="21" t="n">
        <f aca="false">IF(ISBLANK(Actuals!CO96),-896.43*Escalation!$B$89,Actuals!CO96)</f>
        <v>-1029.71629305084</v>
      </c>
      <c r="CO276" s="21" t="n">
        <f aca="false">IF(ISBLANK(Actuals!CP96),-896.43*Escalation!$B$90,Actuals!CP96)</f>
        <v>-1029.71629305084</v>
      </c>
      <c r="CP276" s="21" t="n">
        <f aca="false">IF(ISBLANK(Actuals!CQ96),-896.43*Escalation!$B$91,Actuals!CQ96)</f>
        <v>-1029.71629305084</v>
      </c>
      <c r="CQ276" s="21" t="n">
        <f aca="false">IF(ISBLANK(Actuals!CR96),-896.43*Escalation!$B$92,Actuals!CR96)</f>
        <v>-1029.71629305084</v>
      </c>
      <c r="CR276" s="21" t="n">
        <f aca="false">IF(ISBLANK(Actuals!CS96),-896.43*Escalation!$B$93,Actuals!CS96)</f>
        <v>-1029.71629305084</v>
      </c>
      <c r="CS276" s="21" t="n">
        <f aca="false">IF(ISBLANK(Actuals!CT96),-896.43*Escalation!$B$94,Actuals!CT96)</f>
        <v>-1029.71629305084</v>
      </c>
      <c r="CT276" s="21" t="n">
        <f aca="false">IF(ISBLANK(Actuals!CU96),-896.43*Escalation!$B$95,Actuals!CU96)</f>
        <v>-1029.71629305084</v>
      </c>
      <c r="CU276" s="21" t="n">
        <f aca="false">IF(ISBLANK(Actuals!CV96),-896.43*Escalation!$B$96,Actuals!CV96)</f>
        <v>-1029.71629305084</v>
      </c>
      <c r="CV276" s="21" t="n">
        <f aca="false">IF(ISBLANK(Actuals!CW96),-896.43*Escalation!$B$97,Actuals!CW96)</f>
        <v>-1029.71629305084</v>
      </c>
      <c r="CW276" s="21" t="n">
        <f aca="false">IF(ISBLANK(Actuals!CX96),-896.43*Escalation!$B$98,Actuals!CX96)</f>
        <v>-1050.31061891186</v>
      </c>
      <c r="CX276" s="21" t="n">
        <f aca="false">IF(ISBLANK(Actuals!CY96),-896.43*Escalation!$B$99,Actuals!CY96)</f>
        <v>-1050.31061891186</v>
      </c>
      <c r="CY276" s="21" t="n">
        <f aca="false">IF(ISBLANK(Actuals!CZ96),-896.43*Escalation!$B$100,Actuals!CZ96)</f>
        <v>-1050.31061891186</v>
      </c>
      <c r="CZ276" s="21" t="n">
        <f aca="false">IF(ISBLANK(Actuals!DA96),-896.43*Escalation!$B$101,Actuals!DA96)</f>
        <v>-1050.31061891186</v>
      </c>
      <c r="DA276" s="21" t="n">
        <f aca="false">IF(ISBLANK(Actuals!DB96),-896.43*Escalation!$B$102,Actuals!DB96)</f>
        <v>-1050.31061891186</v>
      </c>
      <c r="DB276" s="21" t="n">
        <f aca="false">IF(ISBLANK(Actuals!DC96),-896.43*Escalation!$B$103,Actuals!DC96)</f>
        <v>-1050.31061891186</v>
      </c>
      <c r="DC276" s="21" t="n">
        <f aca="false">IF(ISBLANK(Actuals!DD96),-896.43*Escalation!$B$104,Actuals!DD96)</f>
        <v>-1050.31061891186</v>
      </c>
      <c r="DD276" s="21" t="n">
        <f aca="false">IF(ISBLANK(Actuals!DE96),-896.43*Escalation!$B$105,Actuals!DE96)</f>
        <v>-1050.31061891186</v>
      </c>
      <c r="DE276" s="21" t="n">
        <f aca="false">IF(ISBLANK(Actuals!DF96),-896.43*Escalation!$B$106,Actuals!DF96)</f>
        <v>-1050.31061891186</v>
      </c>
    </row>
    <row r="277" customFormat="false" ht="15" hidden="false" customHeight="true" outlineLevel="0" collapsed="false">
      <c r="A277" s="35" t="s">
        <v>79</v>
      </c>
      <c r="B277" s="21" t="n">
        <f aca="false">IF(ISBLANK(Actuals!C97),0,Actuals!C97)</f>
        <v>0</v>
      </c>
      <c r="C277" s="21" t="n">
        <f aca="false">IF(ISBLANK(Actuals!D97),0,Actuals!D97)</f>
        <v>0</v>
      </c>
      <c r="D277" s="21" t="n">
        <f aca="false">IF(ISBLANK(Actuals!E97),0,Actuals!E97)</f>
        <v>-38050.5</v>
      </c>
      <c r="E277" s="21" t="n">
        <f aca="false">IF(ISBLANK(Actuals!F97),-2000*Escalation!$B$2,Actuals!F97)</f>
        <v>0</v>
      </c>
      <c r="F277" s="21" t="n">
        <f aca="false">IF(ISBLANK(Actuals!G97),-2000*Escalation!$B$3,Actuals!G97)</f>
        <v>-986.5</v>
      </c>
      <c r="G277" s="21" t="n">
        <f aca="false">IF(ISBLANK(Actuals!H97),-2000*Escalation!$B$4,Actuals!H97)</f>
        <v>-4830</v>
      </c>
      <c r="H277" s="21" t="n">
        <f aca="false">IF(ISBLANK(Actuals!I97),-2000*Escalation!$B$5,Actuals!I97)</f>
        <v>0</v>
      </c>
      <c r="I277" s="21" t="n">
        <f aca="false">IF(ISBLANK(Actuals!J97),-2000*Escalation!$B$6,Actuals!J97)</f>
        <v>0</v>
      </c>
      <c r="J277" s="21" t="n">
        <f aca="false">IF(ISBLANK(Actuals!K97),-2000*Escalation!$B$7,Actuals!K97)</f>
        <v>-2000</v>
      </c>
      <c r="K277" s="21" t="n">
        <f aca="false">IF(ISBLANK(Actuals!L97),-2000*Escalation!$B$8,Actuals!L97)</f>
        <v>-2000</v>
      </c>
      <c r="L277" s="21" t="n">
        <f aca="false">IF(ISBLANK(Actuals!M97),-2000*Escalation!$B$9,Actuals!M97)</f>
        <v>-2000</v>
      </c>
      <c r="M277" s="21" t="n">
        <f aca="false">IF(ISBLANK(Actuals!N97),-2000*Escalation!$B$10,Actuals!N97)</f>
        <v>-2000</v>
      </c>
      <c r="N277" s="21" t="n">
        <f aca="false">IF(ISBLANK(Actuals!O97),-2000*Escalation!$B$11,Actuals!O97)</f>
        <v>-2000</v>
      </c>
      <c r="O277" s="21" t="n">
        <f aca="false">IF(ISBLANK(Actuals!P97),-2000*Escalation!$B$12,Actuals!P97)</f>
        <v>-2000</v>
      </c>
      <c r="P277" s="21" t="n">
        <f aca="false">IF(ISBLANK(Actuals!Q97),-2000*Escalation!$B$13,Actuals!Q97)</f>
        <v>-2000</v>
      </c>
      <c r="Q277" s="21" t="n">
        <f aca="false">IF(ISBLANK(Actuals!R97),-2000*Escalation!$B$14,Actuals!R97)</f>
        <v>-2040</v>
      </c>
      <c r="R277" s="21" t="n">
        <f aca="false">IF(ISBLANK(Actuals!S97),-2000*Escalation!$B$15,Actuals!S97)</f>
        <v>-2040</v>
      </c>
      <c r="S277" s="21" t="n">
        <f aca="false">IF(ISBLANK(Actuals!T97),-2000*Escalation!$B$16,Actuals!T97)</f>
        <v>-2040</v>
      </c>
      <c r="T277" s="21" t="n">
        <f aca="false">IF(ISBLANK(Actuals!U97),-2000*Escalation!$B$17,Actuals!U97)</f>
        <v>-2040</v>
      </c>
      <c r="U277" s="21" t="n">
        <f aca="false">IF(ISBLANK(Actuals!V97),-2000*Escalation!$B$18,Actuals!V97)</f>
        <v>-2040</v>
      </c>
      <c r="V277" s="21" t="n">
        <f aca="false">IF(ISBLANK(Actuals!W97),-2000*Escalation!$B$19,Actuals!W97)</f>
        <v>-2040</v>
      </c>
      <c r="W277" s="21" t="n">
        <f aca="false">IF(ISBLANK(Actuals!X97),-2000*Escalation!$B$20,Actuals!X97)</f>
        <v>-2040</v>
      </c>
      <c r="X277" s="21" t="n">
        <f aca="false">IF(ISBLANK(Actuals!Y97),-2000*Escalation!$B$21,Actuals!Y97)</f>
        <v>-2040</v>
      </c>
      <c r="Y277" s="21" t="n">
        <f aca="false">IF(ISBLANK(Actuals!Z97),-2000*Escalation!$B$22,Actuals!Z97)</f>
        <v>-2040</v>
      </c>
      <c r="Z277" s="21" t="n">
        <f aca="false">IF(ISBLANK(Actuals!AA97),-2000*Escalation!$B$23,Actuals!AA97)</f>
        <v>-2040</v>
      </c>
      <c r="AA277" s="21" t="n">
        <f aca="false">IF(ISBLANK(Actuals!AB97),-2000*Escalation!$B$24,Actuals!AB97)</f>
        <v>-2040</v>
      </c>
      <c r="AB277" s="21" t="n">
        <f aca="false">IF(ISBLANK(Actuals!AC97),-2000*Escalation!$B$25,Actuals!AC97)</f>
        <v>-2040</v>
      </c>
      <c r="AC277" s="21" t="n">
        <f aca="false">IF(ISBLANK(Actuals!AD97),-2000*Escalation!$B$26,Actuals!AD97)</f>
        <v>-2080.8</v>
      </c>
      <c r="AD277" s="21" t="n">
        <f aca="false">IF(ISBLANK(Actuals!AE97),-2000*Escalation!$B$27,Actuals!AE97)</f>
        <v>-2080.8</v>
      </c>
      <c r="AE277" s="21" t="n">
        <f aca="false">IF(ISBLANK(Actuals!AF97),-2000*Escalation!$B$28,Actuals!AF97)</f>
        <v>-2080.8</v>
      </c>
      <c r="AF277" s="21" t="n">
        <f aca="false">IF(ISBLANK(Actuals!AG97),-2000*Escalation!$B$29,Actuals!AG97)</f>
        <v>-2080.8</v>
      </c>
      <c r="AG277" s="21" t="n">
        <f aca="false">IF(ISBLANK(Actuals!AH97),-2000*Escalation!$B$30,Actuals!AH97)</f>
        <v>-2080.8</v>
      </c>
      <c r="AH277" s="21" t="n">
        <f aca="false">IF(ISBLANK(Actuals!AI97),-2000*Escalation!$B$31,Actuals!AI97)</f>
        <v>-2080.8</v>
      </c>
      <c r="AI277" s="21" t="n">
        <f aca="false">IF(ISBLANK(Actuals!AJ97),-2000*Escalation!$B$32,Actuals!AJ97)</f>
        <v>-2080.8</v>
      </c>
      <c r="AJ277" s="21" t="n">
        <f aca="false">IF(ISBLANK(Actuals!AK97),-2000*Escalation!$B$33,Actuals!AK97)</f>
        <v>-2080.8</v>
      </c>
      <c r="AK277" s="21" t="n">
        <f aca="false">IF(ISBLANK(Actuals!AL97),-2000*Escalation!$B$34,Actuals!AL97)</f>
        <v>-2080.8</v>
      </c>
      <c r="AL277" s="21" t="n">
        <f aca="false">IF(ISBLANK(Actuals!AM97),-2000*Escalation!$B$35,Actuals!AM97)</f>
        <v>-2080.8</v>
      </c>
      <c r="AM277" s="21" t="n">
        <f aca="false">IF(ISBLANK(Actuals!AN97),-2000*Escalation!$B$36,Actuals!AN97)</f>
        <v>-2080.8</v>
      </c>
      <c r="AN277" s="21" t="n">
        <f aca="false">IF(ISBLANK(Actuals!AO97),-2000*Escalation!$B$37,Actuals!AO97)</f>
        <v>-2080.8</v>
      </c>
      <c r="AO277" s="21" t="n">
        <f aca="false">IF(ISBLANK(Actuals!AP97),-2000*Escalation!$B$38,Actuals!AP97)</f>
        <v>-2122.416</v>
      </c>
      <c r="AP277" s="21" t="n">
        <f aca="false">IF(ISBLANK(Actuals!AQ97),-2000*Escalation!$B$39,Actuals!AQ97)</f>
        <v>-2122.416</v>
      </c>
      <c r="AQ277" s="21" t="n">
        <f aca="false">IF(ISBLANK(Actuals!AR97),-2000*Escalation!$B$40,Actuals!AR97)</f>
        <v>-2122.416</v>
      </c>
      <c r="AR277" s="21" t="n">
        <f aca="false">IF(ISBLANK(Actuals!AS97),-2000*Escalation!$B$41,Actuals!AS97)</f>
        <v>-2122.416</v>
      </c>
      <c r="AS277" s="21" t="n">
        <f aca="false">IF(ISBLANK(Actuals!AT97),-2000*Escalation!$B$42,Actuals!AT97)</f>
        <v>-2122.416</v>
      </c>
      <c r="AT277" s="21" t="n">
        <f aca="false">IF(ISBLANK(Actuals!AU97),-2000*Escalation!$B$43,Actuals!AU97)</f>
        <v>-2122.416</v>
      </c>
      <c r="AU277" s="21" t="n">
        <f aca="false">IF(ISBLANK(Actuals!AV97),-2000*Escalation!$B$44,Actuals!AV97)</f>
        <v>-2122.416</v>
      </c>
      <c r="AV277" s="21" t="n">
        <f aca="false">IF(ISBLANK(Actuals!AW97),-2000*Escalation!$B$45,Actuals!AW97)</f>
        <v>-2122.416</v>
      </c>
      <c r="AW277" s="21" t="n">
        <f aca="false">IF(ISBLANK(Actuals!AX97),-2000*Escalation!$B$46,Actuals!AX97)</f>
        <v>-2122.416</v>
      </c>
      <c r="AX277" s="21" t="n">
        <f aca="false">IF(ISBLANK(Actuals!AY97),-2000*Escalation!$B$47,Actuals!AY97)</f>
        <v>-2122.416</v>
      </c>
      <c r="AY277" s="21" t="n">
        <f aca="false">IF(ISBLANK(Actuals!AZ97),-2000*Escalation!$B$48,Actuals!AZ97)</f>
        <v>-2122.416</v>
      </c>
      <c r="AZ277" s="21" t="n">
        <f aca="false">IF(ISBLANK(Actuals!BA97),-2000*Escalation!$B$49,Actuals!BA97)</f>
        <v>-2122.416</v>
      </c>
      <c r="BA277" s="21" t="n">
        <f aca="false">IF(ISBLANK(Actuals!BB97),-2000*Escalation!$B$50,Actuals!BB97)</f>
        <v>-2164.86432</v>
      </c>
      <c r="BB277" s="21" t="n">
        <f aca="false">IF(ISBLANK(Actuals!BC97),-2000*Escalation!$B$51,Actuals!BC97)</f>
        <v>-2164.86432</v>
      </c>
      <c r="BC277" s="21" t="n">
        <f aca="false">IF(ISBLANK(Actuals!BD97),-2000*Escalation!$B$52,Actuals!BD97)</f>
        <v>-2164.86432</v>
      </c>
      <c r="BD277" s="21" t="n">
        <f aca="false">IF(ISBLANK(Actuals!BE97),-2000*Escalation!$B$53,Actuals!BE97)</f>
        <v>-2164.86432</v>
      </c>
      <c r="BE277" s="21" t="n">
        <f aca="false">IF(ISBLANK(Actuals!BF97),-2000*Escalation!$B$54,Actuals!BF97)</f>
        <v>-2164.86432</v>
      </c>
      <c r="BF277" s="21" t="n">
        <f aca="false">IF(ISBLANK(Actuals!BG97),-2000*Escalation!$B$55,Actuals!BG97)</f>
        <v>-2164.86432</v>
      </c>
      <c r="BG277" s="21" t="n">
        <f aca="false">IF(ISBLANK(Actuals!BH97),-2000*Escalation!$B$56,Actuals!BH97)</f>
        <v>-2164.86432</v>
      </c>
      <c r="BH277" s="21" t="n">
        <f aca="false">IF(ISBLANK(Actuals!BI97),-2000*Escalation!$B$57,Actuals!BI97)</f>
        <v>-2164.86432</v>
      </c>
      <c r="BI277" s="21" t="n">
        <f aca="false">IF(ISBLANK(Actuals!BJ97),-2000*Escalation!$B$58,Actuals!BJ97)</f>
        <v>-2164.86432</v>
      </c>
      <c r="BJ277" s="21" t="n">
        <f aca="false">IF(ISBLANK(Actuals!BK97),-2000*Escalation!$B$59,Actuals!BK97)</f>
        <v>-2164.86432</v>
      </c>
      <c r="BK277" s="21" t="n">
        <f aca="false">IF(ISBLANK(Actuals!BL97),-2000*Escalation!$B$60,Actuals!BL97)</f>
        <v>-2164.86432</v>
      </c>
      <c r="BL277" s="21" t="n">
        <f aca="false">IF(ISBLANK(Actuals!BM97),-2000*Escalation!$B$61,Actuals!BM97)</f>
        <v>-2164.86432</v>
      </c>
      <c r="BM277" s="21" t="n">
        <f aca="false">IF(ISBLANK(Actuals!BN97),-2000*Escalation!$B$62,Actuals!BN97)</f>
        <v>-2208.1616064</v>
      </c>
      <c r="BN277" s="21" t="n">
        <f aca="false">IF(ISBLANK(Actuals!BO97),-2000*Escalation!$B$63,Actuals!BO97)</f>
        <v>-2208.1616064</v>
      </c>
      <c r="BO277" s="21" t="n">
        <f aca="false">IF(ISBLANK(Actuals!BP97),-2000*Escalation!$B$64,Actuals!BP97)</f>
        <v>-2208.1616064</v>
      </c>
      <c r="BP277" s="21" t="n">
        <f aca="false">IF(ISBLANK(Actuals!BQ97),-2000*Escalation!$B$65,Actuals!BQ97)</f>
        <v>-2208.1616064</v>
      </c>
      <c r="BQ277" s="21" t="n">
        <f aca="false">IF(ISBLANK(Actuals!BR97),-2000*Escalation!$B$66,Actuals!BR97)</f>
        <v>-2208.1616064</v>
      </c>
      <c r="BR277" s="21" t="n">
        <f aca="false">IF(ISBLANK(Actuals!BS97),-2000*Escalation!$B$67,Actuals!BS97)</f>
        <v>-2208.1616064</v>
      </c>
      <c r="BS277" s="21" t="n">
        <f aca="false">IF(ISBLANK(Actuals!BT97),-2000*Escalation!$B$68,Actuals!BT97)</f>
        <v>-2208.1616064</v>
      </c>
      <c r="BT277" s="21" t="n">
        <f aca="false">IF(ISBLANK(Actuals!BU97),-2000*Escalation!$B$69,Actuals!BU97)</f>
        <v>-2208.1616064</v>
      </c>
      <c r="BU277" s="21" t="n">
        <f aca="false">IF(ISBLANK(Actuals!BV97),-2000*Escalation!$B$70,Actuals!BV97)</f>
        <v>-2208.1616064</v>
      </c>
      <c r="BV277" s="21" t="n">
        <f aca="false">IF(ISBLANK(Actuals!BW97),-2000*Escalation!$B$71,Actuals!BW97)</f>
        <v>-2208.1616064</v>
      </c>
      <c r="BW277" s="21" t="n">
        <f aca="false">IF(ISBLANK(Actuals!BX97),-2000*Escalation!$B$72,Actuals!BX97)</f>
        <v>-2208.1616064</v>
      </c>
      <c r="BX277" s="21" t="n">
        <f aca="false">IF(ISBLANK(Actuals!BY97),-2000*Escalation!$B$73,Actuals!BY97)</f>
        <v>-2208.1616064</v>
      </c>
      <c r="BY277" s="21" t="n">
        <f aca="false">IF(ISBLANK(Actuals!BZ97),-2000*Escalation!$B$74,Actuals!BZ97)</f>
        <v>-2252.324838528</v>
      </c>
      <c r="BZ277" s="21" t="n">
        <f aca="false">IF(ISBLANK(Actuals!CA97),-2000*Escalation!$B$75,Actuals!CA97)</f>
        <v>-2252.324838528</v>
      </c>
      <c r="CA277" s="21" t="n">
        <f aca="false">IF(ISBLANK(Actuals!CB97),-2000*Escalation!$B$76,Actuals!CB97)</f>
        <v>-2252.324838528</v>
      </c>
      <c r="CB277" s="21" t="n">
        <f aca="false">IF(ISBLANK(Actuals!CC97),-2000*Escalation!$B$77,Actuals!CC97)</f>
        <v>-2252.324838528</v>
      </c>
      <c r="CC277" s="21" t="n">
        <f aca="false">IF(ISBLANK(Actuals!CD97),-2000*Escalation!$B$78,Actuals!CD97)</f>
        <v>-2252.324838528</v>
      </c>
      <c r="CD277" s="21" t="n">
        <f aca="false">IF(ISBLANK(Actuals!CE97),-2000*Escalation!$B$79,Actuals!CE97)</f>
        <v>-2252.324838528</v>
      </c>
      <c r="CE277" s="21" t="n">
        <f aca="false">IF(ISBLANK(Actuals!CF97),-2000*Escalation!$B$80,Actuals!CF97)</f>
        <v>-2252.324838528</v>
      </c>
      <c r="CF277" s="21" t="n">
        <f aca="false">IF(ISBLANK(Actuals!CG97),-2000*Escalation!$B$81,Actuals!CG97)</f>
        <v>-2252.324838528</v>
      </c>
      <c r="CG277" s="21" t="n">
        <f aca="false">IF(ISBLANK(Actuals!CH97),-2000*Escalation!$B$82,Actuals!CH97)</f>
        <v>-2252.324838528</v>
      </c>
      <c r="CH277" s="21" t="n">
        <f aca="false">IF(ISBLANK(Actuals!CI97),-2000*Escalation!$B$83,Actuals!CI97)</f>
        <v>-2252.324838528</v>
      </c>
      <c r="CI277" s="21" t="n">
        <f aca="false">IF(ISBLANK(Actuals!CJ97),-2000*Escalation!$B$84,Actuals!CJ97)</f>
        <v>-2252.324838528</v>
      </c>
      <c r="CJ277" s="21" t="n">
        <f aca="false">IF(ISBLANK(Actuals!CK97),-2000*Escalation!$B$85,Actuals!CK97)</f>
        <v>-2252.324838528</v>
      </c>
      <c r="CK277" s="21" t="n">
        <f aca="false">IF(ISBLANK(Actuals!CL97),-2000*Escalation!$B$86,Actuals!CL97)</f>
        <v>-2297.37133529856</v>
      </c>
      <c r="CL277" s="21" t="n">
        <f aca="false">IF(ISBLANK(Actuals!CM97),-2000*Escalation!$B$87,Actuals!CM97)</f>
        <v>-2297.37133529856</v>
      </c>
      <c r="CM277" s="21" t="n">
        <f aca="false">IF(ISBLANK(Actuals!CN97),-2000*Escalation!$B$88,Actuals!CN97)</f>
        <v>-2297.37133529856</v>
      </c>
      <c r="CN277" s="21" t="n">
        <f aca="false">IF(ISBLANK(Actuals!CO97),-2000*Escalation!$B$89,Actuals!CO97)</f>
        <v>-2297.37133529856</v>
      </c>
      <c r="CO277" s="21" t="n">
        <f aca="false">IF(ISBLANK(Actuals!CP97),-2000*Escalation!$B$90,Actuals!CP97)</f>
        <v>-2297.37133529856</v>
      </c>
      <c r="CP277" s="21" t="n">
        <f aca="false">IF(ISBLANK(Actuals!CQ97),-2000*Escalation!$B$91,Actuals!CQ97)</f>
        <v>-2297.37133529856</v>
      </c>
      <c r="CQ277" s="21" t="n">
        <f aca="false">IF(ISBLANK(Actuals!CR97),-2000*Escalation!$B$92,Actuals!CR97)</f>
        <v>-2297.37133529856</v>
      </c>
      <c r="CR277" s="21" t="n">
        <f aca="false">IF(ISBLANK(Actuals!CS97),-2000*Escalation!$B$93,Actuals!CS97)</f>
        <v>-2297.37133529856</v>
      </c>
      <c r="CS277" s="21" t="n">
        <f aca="false">IF(ISBLANK(Actuals!CT97),-2000*Escalation!$B$94,Actuals!CT97)</f>
        <v>-2297.37133529856</v>
      </c>
      <c r="CT277" s="21" t="n">
        <f aca="false">IF(ISBLANK(Actuals!CU97),-2000*Escalation!$B$95,Actuals!CU97)</f>
        <v>-2297.37133529856</v>
      </c>
      <c r="CU277" s="21" t="n">
        <f aca="false">IF(ISBLANK(Actuals!CV97),-2000*Escalation!$B$96,Actuals!CV97)</f>
        <v>-2297.37133529856</v>
      </c>
      <c r="CV277" s="21" t="n">
        <f aca="false">IF(ISBLANK(Actuals!CW97),-2000*Escalation!$B$97,Actuals!CW97)</f>
        <v>-2297.37133529856</v>
      </c>
      <c r="CW277" s="21" t="n">
        <f aca="false">IF(ISBLANK(Actuals!CX97),-2000*Escalation!$B$98,Actuals!CX97)</f>
        <v>-2343.31876200453</v>
      </c>
      <c r="CX277" s="21" t="n">
        <f aca="false">IF(ISBLANK(Actuals!CY97),-2000*Escalation!$B$99,Actuals!CY97)</f>
        <v>-2343.31876200453</v>
      </c>
      <c r="CY277" s="21" t="n">
        <f aca="false">IF(ISBLANK(Actuals!CZ97),-2000*Escalation!$B$100,Actuals!CZ97)</f>
        <v>-2343.31876200453</v>
      </c>
      <c r="CZ277" s="21" t="n">
        <f aca="false">IF(ISBLANK(Actuals!DA97),-2000*Escalation!$B$101,Actuals!DA97)</f>
        <v>-2343.31876200453</v>
      </c>
      <c r="DA277" s="21" t="n">
        <f aca="false">IF(ISBLANK(Actuals!DB97),-2000*Escalation!$B$102,Actuals!DB97)</f>
        <v>-2343.31876200453</v>
      </c>
      <c r="DB277" s="21" t="n">
        <f aca="false">IF(ISBLANK(Actuals!DC97),-2000*Escalation!$B$103,Actuals!DC97)</f>
        <v>-2343.31876200453</v>
      </c>
      <c r="DC277" s="21" t="n">
        <f aca="false">IF(ISBLANK(Actuals!DD97),-2000*Escalation!$B$104,Actuals!DD97)</f>
        <v>-2343.31876200453</v>
      </c>
      <c r="DD277" s="21" t="n">
        <f aca="false">IF(ISBLANK(Actuals!DE97),-2000*Escalation!$B$105,Actuals!DE97)</f>
        <v>-2343.31876200453</v>
      </c>
      <c r="DE277" s="21" t="n">
        <f aca="false">IF(ISBLANK(Actuals!DF97),-2000*Escalation!$B$106,Actuals!DF97)</f>
        <v>-2343.31876200453</v>
      </c>
    </row>
    <row r="278" customFormat="false" ht="15" hidden="false" customHeight="true" outlineLevel="0" collapsed="false">
      <c r="A278" s="35" t="s">
        <v>80</v>
      </c>
      <c r="B278" s="21" t="n">
        <f aca="false">IF(ISBLANK(Actuals!C98),0,Actuals!C98)</f>
        <v>-4097.78</v>
      </c>
      <c r="C278" s="21" t="n">
        <f aca="false">IF(ISBLANK(Actuals!D98),0,Actuals!D98)</f>
        <v>-1950.2</v>
      </c>
      <c r="D278" s="21" t="n">
        <f aca="false">IF(ISBLANK(Actuals!E98),0,Actuals!E98)</f>
        <v>-1978.2</v>
      </c>
      <c r="E278" s="21" t="n">
        <f aca="false">IF(ISBLANK(Actuals!F98),-2675.39*Escalation!$B$2,Actuals!F98)</f>
        <v>-1970.2</v>
      </c>
      <c r="F278" s="21" t="n">
        <f aca="false">IF(ISBLANK(Actuals!G98),-2675.39*Escalation!$B$3,Actuals!G98)</f>
        <v>-6126.2</v>
      </c>
      <c r="G278" s="21" t="n">
        <f aca="false">IF(ISBLANK(Actuals!H98),-2675.39*Escalation!$B$4,Actuals!H98)</f>
        <v>-1993.2</v>
      </c>
      <c r="H278" s="21" t="n">
        <f aca="false">IF(ISBLANK(Actuals!I98),-2675.39*Escalation!$B$5,Actuals!I98)</f>
        <v>-2040.2</v>
      </c>
      <c r="I278" s="21" t="n">
        <f aca="false">IF(ISBLANK(Actuals!J98),-2675.39*Escalation!$B$6,Actuals!J98)</f>
        <v>-2271.2</v>
      </c>
      <c r="J278" s="21" t="n">
        <f aca="false">IF(ISBLANK(Actuals!K98),-2675.39*Escalation!$B$7,Actuals!K98)</f>
        <v>-2675.39</v>
      </c>
      <c r="K278" s="21" t="n">
        <f aca="false">IF(ISBLANK(Actuals!L98),-2675.39*Escalation!$B$8,Actuals!L98)</f>
        <v>-2675.39</v>
      </c>
      <c r="L278" s="21" t="n">
        <f aca="false">IF(ISBLANK(Actuals!M98),-2675.39*Escalation!$B$9,Actuals!M98)</f>
        <v>-2675.39</v>
      </c>
      <c r="M278" s="21" t="n">
        <f aca="false">IF(ISBLANK(Actuals!N98),-2675.39*Escalation!$B$10,Actuals!N98)</f>
        <v>-2675.39</v>
      </c>
      <c r="N278" s="21" t="n">
        <f aca="false">IF(ISBLANK(Actuals!O98),-2675.39*Escalation!$B$11,Actuals!O98)</f>
        <v>-2675.39</v>
      </c>
      <c r="O278" s="21" t="n">
        <f aca="false">IF(ISBLANK(Actuals!P98),-2675.39*Escalation!$B$12,Actuals!P98)</f>
        <v>-2675.39</v>
      </c>
      <c r="P278" s="21" t="n">
        <f aca="false">IF(ISBLANK(Actuals!Q98),-2675.39*Escalation!$B$13,Actuals!Q98)</f>
        <v>-2675.39</v>
      </c>
      <c r="Q278" s="21" t="n">
        <f aca="false">IF(ISBLANK(Actuals!R98),-2675.39*Escalation!$B$14,Actuals!R98)</f>
        <v>-2728.8978</v>
      </c>
      <c r="R278" s="21" t="n">
        <f aca="false">IF(ISBLANK(Actuals!S98),-2675.39*Escalation!$B$15,Actuals!S98)</f>
        <v>-2728.8978</v>
      </c>
      <c r="S278" s="21" t="n">
        <f aca="false">IF(ISBLANK(Actuals!T98),-2675.39*Escalation!$B$16,Actuals!T98)</f>
        <v>-2728.8978</v>
      </c>
      <c r="T278" s="21" t="n">
        <f aca="false">IF(ISBLANK(Actuals!U98),-2675.39*Escalation!$B$17,Actuals!U98)</f>
        <v>-2728.8978</v>
      </c>
      <c r="U278" s="21" t="n">
        <f aca="false">IF(ISBLANK(Actuals!V98),-2675.39*Escalation!$B$18,Actuals!V98)</f>
        <v>-2728.8978</v>
      </c>
      <c r="V278" s="21" t="n">
        <f aca="false">IF(ISBLANK(Actuals!W98),-2675.39*Escalation!$B$19,Actuals!W98)</f>
        <v>-2728.8978</v>
      </c>
      <c r="W278" s="21" t="n">
        <f aca="false">IF(ISBLANK(Actuals!X98),-2675.39*Escalation!$B$20,Actuals!X98)</f>
        <v>-2728.8978</v>
      </c>
      <c r="X278" s="21" t="n">
        <f aca="false">IF(ISBLANK(Actuals!Y98),-2675.39*Escalation!$B$21,Actuals!Y98)</f>
        <v>-2728.8978</v>
      </c>
      <c r="Y278" s="21" t="n">
        <f aca="false">IF(ISBLANK(Actuals!Z98),-2675.39*Escalation!$B$22,Actuals!Z98)</f>
        <v>-2728.8978</v>
      </c>
      <c r="Z278" s="21" t="n">
        <f aca="false">IF(ISBLANK(Actuals!AA98),-2675.39*Escalation!$B$23,Actuals!AA98)</f>
        <v>-2728.8978</v>
      </c>
      <c r="AA278" s="21" t="n">
        <f aca="false">IF(ISBLANK(Actuals!AB98),-2675.39*Escalation!$B$24,Actuals!AB98)</f>
        <v>-2728.8978</v>
      </c>
      <c r="AB278" s="21" t="n">
        <f aca="false">IF(ISBLANK(Actuals!AC98),-2675.39*Escalation!$B$25,Actuals!AC98)</f>
        <v>-2728.8978</v>
      </c>
      <c r="AC278" s="21" t="n">
        <f aca="false">IF(ISBLANK(Actuals!AD98),-2675.39*Escalation!$B$26,Actuals!AD98)</f>
        <v>-2783.475756</v>
      </c>
      <c r="AD278" s="21" t="n">
        <f aca="false">IF(ISBLANK(Actuals!AE98),-2675.39*Escalation!$B$27,Actuals!AE98)</f>
        <v>-2783.475756</v>
      </c>
      <c r="AE278" s="21" t="n">
        <f aca="false">IF(ISBLANK(Actuals!AF98),-2675.39*Escalation!$B$28,Actuals!AF98)</f>
        <v>-2783.475756</v>
      </c>
      <c r="AF278" s="21" t="n">
        <f aca="false">IF(ISBLANK(Actuals!AG98),-2675.39*Escalation!$B$29,Actuals!AG98)</f>
        <v>-2783.475756</v>
      </c>
      <c r="AG278" s="21" t="n">
        <f aca="false">IF(ISBLANK(Actuals!AH98),-2675.39*Escalation!$B$30,Actuals!AH98)</f>
        <v>-2783.475756</v>
      </c>
      <c r="AH278" s="21" t="n">
        <f aca="false">IF(ISBLANK(Actuals!AI98),-2675.39*Escalation!$B$31,Actuals!AI98)</f>
        <v>-2783.475756</v>
      </c>
      <c r="AI278" s="21" t="n">
        <f aca="false">IF(ISBLANK(Actuals!AJ98),-2675.39*Escalation!$B$32,Actuals!AJ98)</f>
        <v>-2783.475756</v>
      </c>
      <c r="AJ278" s="21" t="n">
        <f aca="false">IF(ISBLANK(Actuals!AK98),-2675.39*Escalation!$B$33,Actuals!AK98)</f>
        <v>-2783.475756</v>
      </c>
      <c r="AK278" s="21" t="n">
        <f aca="false">IF(ISBLANK(Actuals!AL98),-2675.39*Escalation!$B$34,Actuals!AL98)</f>
        <v>-2783.475756</v>
      </c>
      <c r="AL278" s="21" t="n">
        <f aca="false">IF(ISBLANK(Actuals!AM98),-2675.39*Escalation!$B$35,Actuals!AM98)</f>
        <v>-2783.475756</v>
      </c>
      <c r="AM278" s="21" t="n">
        <f aca="false">IF(ISBLANK(Actuals!AN98),-2675.39*Escalation!$B$36,Actuals!AN98)</f>
        <v>-2783.475756</v>
      </c>
      <c r="AN278" s="21" t="n">
        <f aca="false">IF(ISBLANK(Actuals!AO98),-2675.39*Escalation!$B$37,Actuals!AO98)</f>
        <v>-2783.475756</v>
      </c>
      <c r="AO278" s="21" t="n">
        <f aca="false">IF(ISBLANK(Actuals!AP98),-2675.39*Escalation!$B$38,Actuals!AP98)</f>
        <v>-2839.14527112</v>
      </c>
      <c r="AP278" s="21" t="n">
        <f aca="false">IF(ISBLANK(Actuals!AQ98),-2675.39*Escalation!$B$39,Actuals!AQ98)</f>
        <v>-2839.14527112</v>
      </c>
      <c r="AQ278" s="21" t="n">
        <f aca="false">IF(ISBLANK(Actuals!AR98),-2675.39*Escalation!$B$40,Actuals!AR98)</f>
        <v>-2839.14527112</v>
      </c>
      <c r="AR278" s="21" t="n">
        <f aca="false">IF(ISBLANK(Actuals!AS98),-2675.39*Escalation!$B$41,Actuals!AS98)</f>
        <v>-2839.14527112</v>
      </c>
      <c r="AS278" s="21" t="n">
        <f aca="false">IF(ISBLANK(Actuals!AT98),-2675.39*Escalation!$B$42,Actuals!AT98)</f>
        <v>-2839.14527112</v>
      </c>
      <c r="AT278" s="21" t="n">
        <f aca="false">IF(ISBLANK(Actuals!AU98),-2675.39*Escalation!$B$43,Actuals!AU98)</f>
        <v>-2839.14527112</v>
      </c>
      <c r="AU278" s="21" t="n">
        <f aca="false">IF(ISBLANK(Actuals!AV98),-2675.39*Escalation!$B$44,Actuals!AV98)</f>
        <v>-2839.14527112</v>
      </c>
      <c r="AV278" s="21" t="n">
        <f aca="false">IF(ISBLANK(Actuals!AW98),-2675.39*Escalation!$B$45,Actuals!AW98)</f>
        <v>-2839.14527112</v>
      </c>
      <c r="AW278" s="21" t="n">
        <f aca="false">IF(ISBLANK(Actuals!AX98),-2675.39*Escalation!$B$46,Actuals!AX98)</f>
        <v>-2839.14527112</v>
      </c>
      <c r="AX278" s="21" t="n">
        <f aca="false">IF(ISBLANK(Actuals!AY98),-2675.39*Escalation!$B$47,Actuals!AY98)</f>
        <v>-2839.14527112</v>
      </c>
      <c r="AY278" s="21" t="n">
        <f aca="false">IF(ISBLANK(Actuals!AZ98),-2675.39*Escalation!$B$48,Actuals!AZ98)</f>
        <v>-2839.14527112</v>
      </c>
      <c r="AZ278" s="21" t="n">
        <f aca="false">IF(ISBLANK(Actuals!BA98),-2675.39*Escalation!$B$49,Actuals!BA98)</f>
        <v>-2839.14527112</v>
      </c>
      <c r="BA278" s="21" t="n">
        <f aca="false">IF(ISBLANK(Actuals!BB98),-2675.39*Escalation!$B$50,Actuals!BB98)</f>
        <v>-2895.9281765424</v>
      </c>
      <c r="BB278" s="21" t="n">
        <f aca="false">IF(ISBLANK(Actuals!BC98),-2675.39*Escalation!$B$51,Actuals!BC98)</f>
        <v>-2895.9281765424</v>
      </c>
      <c r="BC278" s="21" t="n">
        <f aca="false">IF(ISBLANK(Actuals!BD98),-2675.39*Escalation!$B$52,Actuals!BD98)</f>
        <v>-2895.9281765424</v>
      </c>
      <c r="BD278" s="21" t="n">
        <f aca="false">IF(ISBLANK(Actuals!BE98),-2675.39*Escalation!$B$53,Actuals!BE98)</f>
        <v>-2895.9281765424</v>
      </c>
      <c r="BE278" s="21" t="n">
        <f aca="false">IF(ISBLANK(Actuals!BF98),-2675.39*Escalation!$B$54,Actuals!BF98)</f>
        <v>-2895.9281765424</v>
      </c>
      <c r="BF278" s="21" t="n">
        <f aca="false">IF(ISBLANK(Actuals!BG98),-2675.39*Escalation!$B$55,Actuals!BG98)</f>
        <v>-2895.9281765424</v>
      </c>
      <c r="BG278" s="21" t="n">
        <f aca="false">IF(ISBLANK(Actuals!BH98),-2675.39*Escalation!$B$56,Actuals!BH98)</f>
        <v>-2895.9281765424</v>
      </c>
      <c r="BH278" s="21" t="n">
        <f aca="false">IF(ISBLANK(Actuals!BI98),-2675.39*Escalation!$B$57,Actuals!BI98)</f>
        <v>-2895.9281765424</v>
      </c>
      <c r="BI278" s="21" t="n">
        <f aca="false">IF(ISBLANK(Actuals!BJ98),-2675.39*Escalation!$B$58,Actuals!BJ98)</f>
        <v>-2895.9281765424</v>
      </c>
      <c r="BJ278" s="21" t="n">
        <f aca="false">IF(ISBLANK(Actuals!BK98),-2675.39*Escalation!$B$59,Actuals!BK98)</f>
        <v>-2895.9281765424</v>
      </c>
      <c r="BK278" s="21" t="n">
        <f aca="false">IF(ISBLANK(Actuals!BL98),-2675.39*Escalation!$B$60,Actuals!BL98)</f>
        <v>-2895.9281765424</v>
      </c>
      <c r="BL278" s="21" t="n">
        <f aca="false">IF(ISBLANK(Actuals!BM98),-2675.39*Escalation!$B$61,Actuals!BM98)</f>
        <v>-2895.9281765424</v>
      </c>
      <c r="BM278" s="21" t="n">
        <f aca="false">IF(ISBLANK(Actuals!BN98),-2675.39*Escalation!$B$62,Actuals!BN98)</f>
        <v>-2953.84674007325</v>
      </c>
      <c r="BN278" s="21" t="n">
        <f aca="false">IF(ISBLANK(Actuals!BO98),-2675.39*Escalation!$B$63,Actuals!BO98)</f>
        <v>-2953.84674007325</v>
      </c>
      <c r="BO278" s="21" t="n">
        <f aca="false">IF(ISBLANK(Actuals!BP98),-2675.39*Escalation!$B$64,Actuals!BP98)</f>
        <v>-2953.84674007325</v>
      </c>
      <c r="BP278" s="21" t="n">
        <f aca="false">IF(ISBLANK(Actuals!BQ98),-2675.39*Escalation!$B$65,Actuals!BQ98)</f>
        <v>-2953.84674007325</v>
      </c>
      <c r="BQ278" s="21" t="n">
        <f aca="false">IF(ISBLANK(Actuals!BR98),-2675.39*Escalation!$B$66,Actuals!BR98)</f>
        <v>-2953.84674007325</v>
      </c>
      <c r="BR278" s="21" t="n">
        <f aca="false">IF(ISBLANK(Actuals!BS98),-2675.39*Escalation!$B$67,Actuals!BS98)</f>
        <v>-2953.84674007325</v>
      </c>
      <c r="BS278" s="21" t="n">
        <f aca="false">IF(ISBLANK(Actuals!BT98),-2675.39*Escalation!$B$68,Actuals!BT98)</f>
        <v>-2953.84674007325</v>
      </c>
      <c r="BT278" s="21" t="n">
        <f aca="false">IF(ISBLANK(Actuals!BU98),-2675.39*Escalation!$B$69,Actuals!BU98)</f>
        <v>-2953.84674007325</v>
      </c>
      <c r="BU278" s="21" t="n">
        <f aca="false">IF(ISBLANK(Actuals!BV98),-2675.39*Escalation!$B$70,Actuals!BV98)</f>
        <v>-2953.84674007325</v>
      </c>
      <c r="BV278" s="21" t="n">
        <f aca="false">IF(ISBLANK(Actuals!BW98),-2675.39*Escalation!$B$71,Actuals!BW98)</f>
        <v>-2953.84674007325</v>
      </c>
      <c r="BW278" s="21" t="n">
        <f aca="false">IF(ISBLANK(Actuals!BX98),-2675.39*Escalation!$B$72,Actuals!BX98)</f>
        <v>-2953.84674007325</v>
      </c>
      <c r="BX278" s="21" t="n">
        <f aca="false">IF(ISBLANK(Actuals!BY98),-2675.39*Escalation!$B$73,Actuals!BY98)</f>
        <v>-2953.84674007325</v>
      </c>
      <c r="BY278" s="21" t="n">
        <f aca="false">IF(ISBLANK(Actuals!BZ98),-2675.39*Escalation!$B$74,Actuals!BZ98)</f>
        <v>-3012.92367487471</v>
      </c>
      <c r="BZ278" s="21" t="n">
        <f aca="false">IF(ISBLANK(Actuals!CA98),-2675.39*Escalation!$B$75,Actuals!CA98)</f>
        <v>-3012.92367487471</v>
      </c>
      <c r="CA278" s="21" t="n">
        <f aca="false">IF(ISBLANK(Actuals!CB98),-2675.39*Escalation!$B$76,Actuals!CB98)</f>
        <v>-3012.92367487471</v>
      </c>
      <c r="CB278" s="21" t="n">
        <f aca="false">IF(ISBLANK(Actuals!CC98),-2675.39*Escalation!$B$77,Actuals!CC98)</f>
        <v>-3012.92367487471</v>
      </c>
      <c r="CC278" s="21" t="n">
        <f aca="false">IF(ISBLANK(Actuals!CD98),-2675.39*Escalation!$B$78,Actuals!CD98)</f>
        <v>-3012.92367487471</v>
      </c>
      <c r="CD278" s="21" t="n">
        <f aca="false">IF(ISBLANK(Actuals!CE98),-2675.39*Escalation!$B$79,Actuals!CE98)</f>
        <v>-3012.92367487471</v>
      </c>
      <c r="CE278" s="21" t="n">
        <f aca="false">IF(ISBLANK(Actuals!CF98),-2675.39*Escalation!$B$80,Actuals!CF98)</f>
        <v>-3012.92367487471</v>
      </c>
      <c r="CF278" s="21" t="n">
        <f aca="false">IF(ISBLANK(Actuals!CG98),-2675.39*Escalation!$B$81,Actuals!CG98)</f>
        <v>-3012.92367487471</v>
      </c>
      <c r="CG278" s="21" t="n">
        <f aca="false">IF(ISBLANK(Actuals!CH98),-2675.39*Escalation!$B$82,Actuals!CH98)</f>
        <v>-3012.92367487471</v>
      </c>
      <c r="CH278" s="21" t="n">
        <f aca="false">IF(ISBLANK(Actuals!CI98),-2675.39*Escalation!$B$83,Actuals!CI98)</f>
        <v>-3012.92367487471</v>
      </c>
      <c r="CI278" s="21" t="n">
        <f aca="false">IF(ISBLANK(Actuals!CJ98),-2675.39*Escalation!$B$84,Actuals!CJ98)</f>
        <v>-3012.92367487471</v>
      </c>
      <c r="CJ278" s="21" t="n">
        <f aca="false">IF(ISBLANK(Actuals!CK98),-2675.39*Escalation!$B$85,Actuals!CK98)</f>
        <v>-3012.92367487471</v>
      </c>
      <c r="CK278" s="21" t="n">
        <f aca="false">IF(ISBLANK(Actuals!CL98),-2675.39*Escalation!$B$86,Actuals!CL98)</f>
        <v>-3073.18214837221</v>
      </c>
      <c r="CL278" s="21" t="n">
        <f aca="false">IF(ISBLANK(Actuals!CM98),-2675.39*Escalation!$B$87,Actuals!CM98)</f>
        <v>-3073.18214837221</v>
      </c>
      <c r="CM278" s="21" t="n">
        <f aca="false">IF(ISBLANK(Actuals!CN98),-2675.39*Escalation!$B$88,Actuals!CN98)</f>
        <v>-3073.18214837221</v>
      </c>
      <c r="CN278" s="21" t="n">
        <f aca="false">IF(ISBLANK(Actuals!CO98),-2675.39*Escalation!$B$89,Actuals!CO98)</f>
        <v>-3073.18214837221</v>
      </c>
      <c r="CO278" s="21" t="n">
        <f aca="false">IF(ISBLANK(Actuals!CP98),-2675.39*Escalation!$B$90,Actuals!CP98)</f>
        <v>-3073.18214837221</v>
      </c>
      <c r="CP278" s="21" t="n">
        <f aca="false">IF(ISBLANK(Actuals!CQ98),-2675.39*Escalation!$B$91,Actuals!CQ98)</f>
        <v>-3073.18214837221</v>
      </c>
      <c r="CQ278" s="21" t="n">
        <f aca="false">IF(ISBLANK(Actuals!CR98),-2675.39*Escalation!$B$92,Actuals!CR98)</f>
        <v>-3073.18214837221</v>
      </c>
      <c r="CR278" s="21" t="n">
        <f aca="false">IF(ISBLANK(Actuals!CS98),-2675.39*Escalation!$B$93,Actuals!CS98)</f>
        <v>-3073.18214837221</v>
      </c>
      <c r="CS278" s="21" t="n">
        <f aca="false">IF(ISBLANK(Actuals!CT98),-2675.39*Escalation!$B$94,Actuals!CT98)</f>
        <v>-3073.18214837221</v>
      </c>
      <c r="CT278" s="21" t="n">
        <f aca="false">IF(ISBLANK(Actuals!CU98),-2675.39*Escalation!$B$95,Actuals!CU98)</f>
        <v>-3073.18214837221</v>
      </c>
      <c r="CU278" s="21" t="n">
        <f aca="false">IF(ISBLANK(Actuals!CV98),-2675.39*Escalation!$B$96,Actuals!CV98)</f>
        <v>-3073.18214837221</v>
      </c>
      <c r="CV278" s="21" t="n">
        <f aca="false">IF(ISBLANK(Actuals!CW98),-2675.39*Escalation!$B$97,Actuals!CW98)</f>
        <v>-3073.18214837221</v>
      </c>
      <c r="CW278" s="21" t="n">
        <f aca="false">IF(ISBLANK(Actuals!CX98),-2675.39*Escalation!$B$98,Actuals!CX98)</f>
        <v>-3134.64579133965</v>
      </c>
      <c r="CX278" s="21" t="n">
        <f aca="false">IF(ISBLANK(Actuals!CY98),-2675.39*Escalation!$B$99,Actuals!CY98)</f>
        <v>-3134.64579133965</v>
      </c>
      <c r="CY278" s="21" t="n">
        <f aca="false">IF(ISBLANK(Actuals!CZ98),-2675.39*Escalation!$B$100,Actuals!CZ98)</f>
        <v>-3134.64579133965</v>
      </c>
      <c r="CZ278" s="21" t="n">
        <f aca="false">IF(ISBLANK(Actuals!DA98),-2675.39*Escalation!$B$101,Actuals!DA98)</f>
        <v>-3134.64579133965</v>
      </c>
      <c r="DA278" s="21" t="n">
        <f aca="false">IF(ISBLANK(Actuals!DB98),-2675.39*Escalation!$B$102,Actuals!DB98)</f>
        <v>-3134.64579133965</v>
      </c>
      <c r="DB278" s="21" t="n">
        <f aca="false">IF(ISBLANK(Actuals!DC98),-2675.39*Escalation!$B$103,Actuals!DC98)</f>
        <v>-3134.64579133965</v>
      </c>
      <c r="DC278" s="21" t="n">
        <f aca="false">IF(ISBLANK(Actuals!DD98),-2675.39*Escalation!$B$104,Actuals!DD98)</f>
        <v>-3134.64579133965</v>
      </c>
      <c r="DD278" s="21" t="n">
        <f aca="false">IF(ISBLANK(Actuals!DE98),-2675.39*Escalation!$B$105,Actuals!DE98)</f>
        <v>-3134.64579133965</v>
      </c>
      <c r="DE278" s="21" t="n">
        <f aca="false">IF(ISBLANK(Actuals!DF98),-2675.39*Escalation!$B$106,Actuals!DF98)</f>
        <v>-3134.64579133965</v>
      </c>
    </row>
    <row r="279" customFormat="false" ht="15" hidden="false" customHeight="true" outlineLevel="0" collapsed="false">
      <c r="A279" s="35" t="s">
        <v>81</v>
      </c>
      <c r="B279" s="21" t="n">
        <f aca="false">IF(ISBLANK(Actuals!C99),0,Actuals!C99)</f>
        <v>-28038</v>
      </c>
      <c r="C279" s="21" t="n">
        <f aca="false">IF(ISBLANK(Actuals!D99),0,Actuals!D99)</f>
        <v>-29387.5</v>
      </c>
      <c r="D279" s="21" t="n">
        <f aca="false">IF(ISBLANK(Actuals!E99),0,Actuals!E99)</f>
        <v>-28083</v>
      </c>
      <c r="E279" s="21" t="n">
        <f aca="false">IF(ISBLANK(Actuals!F99),(-(SUMPRODUCT((Personnel!$O$9:$O$100="SP-Prof")*(Personnel!$G$9:$G$100="Yes")*(1&gt;=Personnel!$E$9:$E$100)*((Personnel!$K$9:$K$100="")+(1&lt;=Personnel!$K$9:$K$100)&gt;0)*Personnel!$D$9:$D$100*(1-Personnel!$I$9:$I$100))))*Escalation!$B$2,Actuals!F99)</f>
        <v>-28083</v>
      </c>
      <c r="F279" s="21" t="n">
        <f aca="false">IF(ISBLANK(Actuals!G99),(-(SUMPRODUCT((Personnel!$O$9:$O$100="SP-Prof")*(Personnel!$G$9:$G$100="Yes")*(2&gt;=Personnel!$E$9:$E$100)*((Personnel!$K$9:$K$100="")+(2&lt;=Personnel!$K$9:$K$100)&gt;0)*Personnel!$D$9:$D$100*(1-Personnel!$I$9:$I$100))))*Escalation!$B$3,Actuals!G99)</f>
        <v>-69333</v>
      </c>
      <c r="G279" s="21" t="n">
        <f aca="false">IF(ISBLANK(Actuals!H99),(-(SUMPRODUCT((Personnel!$O$9:$O$100="SP-Prof")*(Personnel!$G$9:$G$100="Yes")*(3&gt;=Personnel!$E$9:$E$100)*((Personnel!$K$9:$K$100="")+(3&lt;=Personnel!$K$9:$K$100)&gt;0)*Personnel!$D$9:$D$100*(1-Personnel!$I$9:$I$100))))*Escalation!$B$4,Actuals!H99)</f>
        <v>-28083</v>
      </c>
      <c r="H279" s="21" t="n">
        <f aca="false">IF(ISBLANK(Actuals!I99),(-(SUMPRODUCT((Personnel!$O$9:$O$100="SP-Prof")*(Personnel!$G$9:$G$100="Yes")*(4&gt;=Personnel!$E$9:$E$100)*((Personnel!$K$9:$K$100="")+(4&lt;=Personnel!$K$9:$K$100)&gt;0)*Personnel!$D$9:$D$100*(1-Personnel!$I$9:$I$100))))*Escalation!$B$5,Actuals!I99)</f>
        <v>-28628</v>
      </c>
      <c r="I279" s="21" t="n">
        <f aca="false">IF(ISBLANK(Actuals!J99),(-(SUMPRODUCT((Personnel!$O$9:$O$100="SP-Prof")*(Personnel!$G$9:$G$100="Yes")*(5&gt;=Personnel!$E$9:$E$100)*((Personnel!$K$9:$K$100="")+(5&lt;=Personnel!$K$9:$K$100)&gt;0)*Personnel!$D$9:$D$100*(1-Personnel!$I$9:$I$100))))*Escalation!$B$6,Actuals!J99)</f>
        <v>-28083</v>
      </c>
      <c r="J279" s="21" t="n">
        <f aca="false">IF(ISBLANK(Actuals!K99),(-(SUMPRODUCT((Personnel!$O$9:$O$100="SP-Prof")*(Personnel!$G$9:$G$100="Yes")*(6&gt;=Personnel!$E$9:$E$100)*((Personnel!$K$9:$K$100="")+(6&lt;=Personnel!$K$9:$K$100)&gt;0)*Personnel!$D$9:$D$100*(1-Personnel!$I$9:$I$100))))*Escalation!$B$7,Actuals!K99)</f>
        <v>-28083.3333333333</v>
      </c>
      <c r="K279" s="21" t="n">
        <f aca="false">IF(ISBLANK(Actuals!L99),(-(SUMPRODUCT((Personnel!$O$9:$O$100="SP-Prof")*(Personnel!$G$9:$G$100="Yes")*(7&gt;=Personnel!$E$9:$E$100)*((Personnel!$K$9:$K$100="")+(7&lt;=Personnel!$K$9:$K$100)&gt;0)*Personnel!$D$9:$D$100*(1-Personnel!$I$9:$I$100))))*Escalation!$B$8,Actuals!L99)</f>
        <v>-28083.3333333333</v>
      </c>
      <c r="L279" s="21" t="n">
        <f aca="false">IF(ISBLANK(Actuals!M99),(-(SUMPRODUCT((Personnel!$O$9:$O$100="SP-Prof")*(Personnel!$G$9:$G$100="Yes")*(8&gt;=Personnel!$E$9:$E$100)*((Personnel!$K$9:$K$100="")+(8&lt;=Personnel!$K$9:$K$100)&gt;0)*Personnel!$D$9:$D$100*(1-Personnel!$I$9:$I$100))))*Escalation!$B$9,Actuals!M99)</f>
        <v>-28083.3333333333</v>
      </c>
      <c r="M279" s="21" t="n">
        <f aca="false">IF(ISBLANK(Actuals!N99),(-(SUMPRODUCT((Personnel!$O$9:$O$100="SP-Prof")*(Personnel!$G$9:$G$100="Yes")*(9&gt;=Personnel!$E$9:$E$100)*((Personnel!$K$9:$K$100="")+(9&lt;=Personnel!$K$9:$K$100)&gt;0)*Personnel!$D$9:$D$100*(1-Personnel!$I$9:$I$100))))*Escalation!$B$10,Actuals!N99)</f>
        <v>-28083.3333333333</v>
      </c>
      <c r="N279" s="21" t="n">
        <f aca="false">IF(ISBLANK(Actuals!O99),(-(SUMPRODUCT((Personnel!$O$9:$O$100="SP-Prof")*(Personnel!$G$9:$G$100="Yes")*(10&gt;=Personnel!$E$9:$E$100)*((Personnel!$K$9:$K$100="")+(10&lt;=Personnel!$K$9:$K$100)&gt;0)*Personnel!$D$9:$D$100*(1-Personnel!$I$9:$I$100))))*Escalation!$B$11,Actuals!O99)</f>
        <v>-28083.3333333333</v>
      </c>
      <c r="O279" s="21" t="n">
        <f aca="false">IF(ISBLANK(Actuals!P99),(-(SUMPRODUCT((Personnel!$O$9:$O$100="SP-Prof")*(Personnel!$G$9:$G$100="Yes")*(11&gt;=Personnel!$E$9:$E$100)*((Personnel!$K$9:$K$100="")+(11&lt;=Personnel!$K$9:$K$100)&gt;0)*Personnel!$D$9:$D$100*(1-Personnel!$I$9:$I$100))))*Escalation!$B$12,Actuals!P99)</f>
        <v>-28083.3333333333</v>
      </c>
      <c r="P279" s="21" t="n">
        <f aca="false">IF(ISBLANK(Actuals!Q99),(-(SUMPRODUCT((Personnel!$O$9:$O$100="SP-Prof")*(Personnel!$G$9:$G$100="Yes")*(12&gt;=Personnel!$E$9:$E$100)*((Personnel!$K$9:$K$100="")+(12&lt;=Personnel!$K$9:$K$100)&gt;0)*Personnel!$D$9:$D$100*(1-Personnel!$I$9:$I$100))))*Escalation!$B$13,Actuals!Q99)</f>
        <v>-28083.3333333333</v>
      </c>
      <c r="Q279" s="21" t="n">
        <f aca="false">IF(ISBLANK(Actuals!R99),(-(SUMPRODUCT((Personnel!$O$9:$O$100="SP-Prof")*(Personnel!$G$9:$G$100="Yes")*(13&gt;=Personnel!$E$9:$E$100)*((Personnel!$K$9:$K$100="")+(13&lt;=Personnel!$K$9:$K$100)&gt;0)*Personnel!$D$9:$D$100*(1-Personnel!$I$9:$I$100))))*Escalation!$B$14,Actuals!R99)</f>
        <v>-28645</v>
      </c>
      <c r="R279" s="21" t="n">
        <f aca="false">IF(ISBLANK(Actuals!S99),(-(SUMPRODUCT((Personnel!$O$9:$O$100="SP-Prof")*(Personnel!$G$9:$G$100="Yes")*(14&gt;=Personnel!$E$9:$E$100)*((Personnel!$K$9:$K$100="")+(14&lt;=Personnel!$K$9:$K$100)&gt;0)*Personnel!$D$9:$D$100*(1-Personnel!$I$9:$I$100))))*Escalation!$B$15,Actuals!S99)</f>
        <v>-28645</v>
      </c>
      <c r="S279" s="21" t="n">
        <f aca="false">IF(ISBLANK(Actuals!T99),(-(SUMPRODUCT((Personnel!$O$9:$O$100="SP-Prof")*(Personnel!$G$9:$G$100="Yes")*(15&gt;=Personnel!$E$9:$E$100)*((Personnel!$K$9:$K$100="")+(15&lt;=Personnel!$K$9:$K$100)&gt;0)*Personnel!$D$9:$D$100*(1-Personnel!$I$9:$I$100))))*Escalation!$B$16,Actuals!T99)</f>
        <v>-28645</v>
      </c>
      <c r="T279" s="21" t="n">
        <f aca="false">IF(ISBLANK(Actuals!U99),(-(SUMPRODUCT((Personnel!$O$9:$O$100="SP-Prof")*(Personnel!$G$9:$G$100="Yes")*(16&gt;=Personnel!$E$9:$E$100)*((Personnel!$K$9:$K$100="")+(16&lt;=Personnel!$K$9:$K$100)&gt;0)*Personnel!$D$9:$D$100*(1-Personnel!$I$9:$I$100))))*Escalation!$B$17,Actuals!U99)</f>
        <v>-28645</v>
      </c>
      <c r="U279" s="21" t="n">
        <f aca="false">IF(ISBLANK(Actuals!V99),(-(SUMPRODUCT((Personnel!$O$9:$O$100="SP-Prof")*(Personnel!$G$9:$G$100="Yes")*(17&gt;=Personnel!$E$9:$E$100)*((Personnel!$K$9:$K$100="")+(17&lt;=Personnel!$K$9:$K$100)&gt;0)*Personnel!$D$9:$D$100*(1-Personnel!$I$9:$I$100))))*Escalation!$B$18,Actuals!V99)</f>
        <v>-28645</v>
      </c>
      <c r="V279" s="21" t="n">
        <f aca="false">IF(ISBLANK(Actuals!W99),(-(SUMPRODUCT((Personnel!$O$9:$O$100="SP-Prof")*(Personnel!$G$9:$G$100="Yes")*(18&gt;=Personnel!$E$9:$E$100)*((Personnel!$K$9:$K$100="")+(18&lt;=Personnel!$K$9:$K$100)&gt;0)*Personnel!$D$9:$D$100*(1-Personnel!$I$9:$I$100))))*Escalation!$B$19,Actuals!W99)</f>
        <v>-28645</v>
      </c>
      <c r="W279" s="21" t="n">
        <f aca="false">IF(ISBLANK(Actuals!X99),(-(SUMPRODUCT((Personnel!$O$9:$O$100="SP-Prof")*(Personnel!$G$9:$G$100="Yes")*(19&gt;=Personnel!$E$9:$E$100)*((Personnel!$K$9:$K$100="")+(19&lt;=Personnel!$K$9:$K$100)&gt;0)*Personnel!$D$9:$D$100*(1-Personnel!$I$9:$I$100))))*Escalation!$B$20,Actuals!X99)</f>
        <v>-28645</v>
      </c>
      <c r="X279" s="21" t="n">
        <f aca="false">IF(ISBLANK(Actuals!Y99),(-(SUMPRODUCT((Personnel!$O$9:$O$100="SP-Prof")*(Personnel!$G$9:$G$100="Yes")*(20&gt;=Personnel!$E$9:$E$100)*((Personnel!$K$9:$K$100="")+(20&lt;=Personnel!$K$9:$K$100)&gt;0)*Personnel!$D$9:$D$100*(1-Personnel!$I$9:$I$100))))*Escalation!$B$21,Actuals!Y99)</f>
        <v>-28645</v>
      </c>
      <c r="Y279" s="21" t="n">
        <f aca="false">IF(ISBLANK(Actuals!Z99),(-(SUMPRODUCT((Personnel!$O$9:$O$100="SP-Prof")*(Personnel!$G$9:$G$100="Yes")*(21&gt;=Personnel!$E$9:$E$100)*((Personnel!$K$9:$K$100="")+(21&lt;=Personnel!$K$9:$K$100)&gt;0)*Personnel!$D$9:$D$100*(1-Personnel!$I$9:$I$100))))*Escalation!$B$22,Actuals!Z99)</f>
        <v>-28645</v>
      </c>
      <c r="Z279" s="21" t="n">
        <f aca="false">IF(ISBLANK(Actuals!AA99),(-(SUMPRODUCT((Personnel!$O$9:$O$100="SP-Prof")*(Personnel!$G$9:$G$100="Yes")*(22&gt;=Personnel!$E$9:$E$100)*((Personnel!$K$9:$K$100="")+(22&lt;=Personnel!$K$9:$K$100)&gt;0)*Personnel!$D$9:$D$100*(1-Personnel!$I$9:$I$100))))*Escalation!$B$23,Actuals!AA99)</f>
        <v>-28645</v>
      </c>
      <c r="AA279" s="21" t="n">
        <f aca="false">IF(ISBLANK(Actuals!AB99),(-(SUMPRODUCT((Personnel!$O$9:$O$100="SP-Prof")*(Personnel!$G$9:$G$100="Yes")*(23&gt;=Personnel!$E$9:$E$100)*((Personnel!$K$9:$K$100="")+(23&lt;=Personnel!$K$9:$K$100)&gt;0)*Personnel!$D$9:$D$100*(1-Personnel!$I$9:$I$100))))*Escalation!$B$24,Actuals!AB99)</f>
        <v>-28645</v>
      </c>
      <c r="AB279" s="21" t="n">
        <f aca="false">IF(ISBLANK(Actuals!AC99),(-(SUMPRODUCT((Personnel!$O$9:$O$100="SP-Prof")*(Personnel!$G$9:$G$100="Yes")*(24&gt;=Personnel!$E$9:$E$100)*((Personnel!$K$9:$K$100="")+(24&lt;=Personnel!$K$9:$K$100)&gt;0)*Personnel!$D$9:$D$100*(1-Personnel!$I$9:$I$100))))*Escalation!$B$25,Actuals!AC99)</f>
        <v>-28645</v>
      </c>
      <c r="AC279" s="21" t="n">
        <f aca="false">IF(ISBLANK(Actuals!AD99),(-(SUMPRODUCT((Personnel!$O$9:$O$100="SP-Prof")*(Personnel!$G$9:$G$100="Yes")*(25&gt;=Personnel!$E$9:$E$100)*((Personnel!$K$9:$K$100="")+(25&lt;=Personnel!$K$9:$K$100)&gt;0)*Personnel!$D$9:$D$100*(1-Personnel!$I$9:$I$100))))*Escalation!$B$26,Actuals!AD99)</f>
        <v>-29217.9</v>
      </c>
      <c r="AD279" s="21" t="n">
        <f aca="false">IF(ISBLANK(Actuals!AE99),(-(SUMPRODUCT((Personnel!$O$9:$O$100="SP-Prof")*(Personnel!$G$9:$G$100="Yes")*(26&gt;=Personnel!$E$9:$E$100)*((Personnel!$K$9:$K$100="")+(26&lt;=Personnel!$K$9:$K$100)&gt;0)*Personnel!$D$9:$D$100*(1-Personnel!$I$9:$I$100))))*Escalation!$B$27,Actuals!AE99)</f>
        <v>-29217.9</v>
      </c>
      <c r="AE279" s="21" t="n">
        <f aca="false">IF(ISBLANK(Actuals!AF99),(-(SUMPRODUCT((Personnel!$O$9:$O$100="SP-Prof")*(Personnel!$G$9:$G$100="Yes")*(27&gt;=Personnel!$E$9:$E$100)*((Personnel!$K$9:$K$100="")+(27&lt;=Personnel!$K$9:$K$100)&gt;0)*Personnel!$D$9:$D$100*(1-Personnel!$I$9:$I$100))))*Escalation!$B$28,Actuals!AF99)</f>
        <v>-29217.9</v>
      </c>
      <c r="AF279" s="21" t="n">
        <f aca="false">IF(ISBLANK(Actuals!AG99),(-(SUMPRODUCT((Personnel!$O$9:$O$100="SP-Prof")*(Personnel!$G$9:$G$100="Yes")*(28&gt;=Personnel!$E$9:$E$100)*((Personnel!$K$9:$K$100="")+(28&lt;=Personnel!$K$9:$K$100)&gt;0)*Personnel!$D$9:$D$100*(1-Personnel!$I$9:$I$100))))*Escalation!$B$29,Actuals!AG99)</f>
        <v>-29217.9</v>
      </c>
      <c r="AG279" s="21" t="n">
        <f aca="false">IF(ISBLANK(Actuals!AH99),(-(SUMPRODUCT((Personnel!$O$9:$O$100="SP-Prof")*(Personnel!$G$9:$G$100="Yes")*(29&gt;=Personnel!$E$9:$E$100)*((Personnel!$K$9:$K$100="")+(29&lt;=Personnel!$K$9:$K$100)&gt;0)*Personnel!$D$9:$D$100*(1-Personnel!$I$9:$I$100))))*Escalation!$B$30,Actuals!AH99)</f>
        <v>-29217.9</v>
      </c>
      <c r="AH279" s="21" t="n">
        <f aca="false">IF(ISBLANK(Actuals!AI99),(-(SUMPRODUCT((Personnel!$O$9:$O$100="SP-Prof")*(Personnel!$G$9:$G$100="Yes")*(30&gt;=Personnel!$E$9:$E$100)*((Personnel!$K$9:$K$100="")+(30&lt;=Personnel!$K$9:$K$100)&gt;0)*Personnel!$D$9:$D$100*(1-Personnel!$I$9:$I$100))))*Escalation!$B$31,Actuals!AI99)</f>
        <v>-29217.9</v>
      </c>
      <c r="AI279" s="21" t="n">
        <f aca="false">IF(ISBLANK(Actuals!AJ99),(-(SUMPRODUCT((Personnel!$O$9:$O$100="SP-Prof")*(Personnel!$G$9:$G$100="Yes")*(31&gt;=Personnel!$E$9:$E$100)*((Personnel!$K$9:$K$100="")+(31&lt;=Personnel!$K$9:$K$100)&gt;0)*Personnel!$D$9:$D$100*(1-Personnel!$I$9:$I$100))))*Escalation!$B$32,Actuals!AJ99)</f>
        <v>-29217.9</v>
      </c>
      <c r="AJ279" s="21" t="n">
        <f aca="false">IF(ISBLANK(Actuals!AK99),(-(SUMPRODUCT((Personnel!$O$9:$O$100="SP-Prof")*(Personnel!$G$9:$G$100="Yes")*(32&gt;=Personnel!$E$9:$E$100)*((Personnel!$K$9:$K$100="")+(32&lt;=Personnel!$K$9:$K$100)&gt;0)*Personnel!$D$9:$D$100*(1-Personnel!$I$9:$I$100))))*Escalation!$B$33,Actuals!AK99)</f>
        <v>-29217.9</v>
      </c>
      <c r="AK279" s="21" t="n">
        <f aca="false">IF(ISBLANK(Actuals!AL99),(-(SUMPRODUCT((Personnel!$O$9:$O$100="SP-Prof")*(Personnel!$G$9:$G$100="Yes")*(33&gt;=Personnel!$E$9:$E$100)*((Personnel!$K$9:$K$100="")+(33&lt;=Personnel!$K$9:$K$100)&gt;0)*Personnel!$D$9:$D$100*(1-Personnel!$I$9:$I$100))))*Escalation!$B$34,Actuals!AL99)</f>
        <v>-29217.9</v>
      </c>
      <c r="AL279" s="21" t="n">
        <f aca="false">IF(ISBLANK(Actuals!AM99),(-(SUMPRODUCT((Personnel!$O$9:$O$100="SP-Prof")*(Personnel!$G$9:$G$100="Yes")*(34&gt;=Personnel!$E$9:$E$100)*((Personnel!$K$9:$K$100="")+(34&lt;=Personnel!$K$9:$K$100)&gt;0)*Personnel!$D$9:$D$100*(1-Personnel!$I$9:$I$100))))*Escalation!$B$35,Actuals!AM99)</f>
        <v>-29217.9</v>
      </c>
      <c r="AM279" s="21" t="n">
        <f aca="false">IF(ISBLANK(Actuals!AN99),(-(SUMPRODUCT((Personnel!$O$9:$O$100="SP-Prof")*(Personnel!$G$9:$G$100="Yes")*(35&gt;=Personnel!$E$9:$E$100)*((Personnel!$K$9:$K$100="")+(35&lt;=Personnel!$K$9:$K$100)&gt;0)*Personnel!$D$9:$D$100*(1-Personnel!$I$9:$I$100))))*Escalation!$B$36,Actuals!AN99)</f>
        <v>-29217.9</v>
      </c>
      <c r="AN279" s="21" t="n">
        <f aca="false">IF(ISBLANK(Actuals!AO99),(-(SUMPRODUCT((Personnel!$O$9:$O$100="SP-Prof")*(Personnel!$G$9:$G$100="Yes")*(36&gt;=Personnel!$E$9:$E$100)*((Personnel!$K$9:$K$100="")+(36&lt;=Personnel!$K$9:$K$100)&gt;0)*Personnel!$D$9:$D$100*(1-Personnel!$I$9:$I$100))))*Escalation!$B$37,Actuals!AO99)</f>
        <v>-29217.9</v>
      </c>
      <c r="AO279" s="21" t="n">
        <f aca="false">IF(ISBLANK(Actuals!AP99),(-(SUMPRODUCT((Personnel!$O$9:$O$100="SP-Prof")*(Personnel!$G$9:$G$100="Yes")*(37&gt;=Personnel!$E$9:$E$100)*((Personnel!$K$9:$K$100="")+(37&lt;=Personnel!$K$9:$K$100)&gt;0)*Personnel!$D$9:$D$100*(1-Personnel!$I$9:$I$100))))*Escalation!$B$38,Actuals!AP99)</f>
        <v>-29802.258</v>
      </c>
      <c r="AP279" s="21" t="n">
        <f aca="false">IF(ISBLANK(Actuals!AQ99),(-(SUMPRODUCT((Personnel!$O$9:$O$100="SP-Prof")*(Personnel!$G$9:$G$100="Yes")*(38&gt;=Personnel!$E$9:$E$100)*((Personnel!$K$9:$K$100="")+(38&lt;=Personnel!$K$9:$K$100)&gt;0)*Personnel!$D$9:$D$100*(1-Personnel!$I$9:$I$100))))*Escalation!$B$39,Actuals!AQ99)</f>
        <v>-29802.258</v>
      </c>
      <c r="AQ279" s="21" t="n">
        <f aca="false">IF(ISBLANK(Actuals!AR99),(-(SUMPRODUCT((Personnel!$O$9:$O$100="SP-Prof")*(Personnel!$G$9:$G$100="Yes")*(39&gt;=Personnel!$E$9:$E$100)*((Personnel!$K$9:$K$100="")+(39&lt;=Personnel!$K$9:$K$100)&gt;0)*Personnel!$D$9:$D$100*(1-Personnel!$I$9:$I$100))))*Escalation!$B$40,Actuals!AR99)</f>
        <v>-29802.258</v>
      </c>
      <c r="AR279" s="21" t="n">
        <f aca="false">IF(ISBLANK(Actuals!AS99),(-(SUMPRODUCT((Personnel!$O$9:$O$100="SP-Prof")*(Personnel!$G$9:$G$100="Yes")*(40&gt;=Personnel!$E$9:$E$100)*((Personnel!$K$9:$K$100="")+(40&lt;=Personnel!$K$9:$K$100)&gt;0)*Personnel!$D$9:$D$100*(1-Personnel!$I$9:$I$100))))*Escalation!$B$41,Actuals!AS99)</f>
        <v>-29802.258</v>
      </c>
      <c r="AS279" s="21" t="n">
        <f aca="false">IF(ISBLANK(Actuals!AT99),(-(SUMPRODUCT((Personnel!$O$9:$O$100="SP-Prof")*(Personnel!$G$9:$G$100="Yes")*(41&gt;=Personnel!$E$9:$E$100)*((Personnel!$K$9:$K$100="")+(41&lt;=Personnel!$K$9:$K$100)&gt;0)*Personnel!$D$9:$D$100*(1-Personnel!$I$9:$I$100))))*Escalation!$B$42,Actuals!AT99)</f>
        <v>-29802.258</v>
      </c>
      <c r="AT279" s="21" t="n">
        <f aca="false">IF(ISBLANK(Actuals!AU99),(-(SUMPRODUCT((Personnel!$O$9:$O$100="SP-Prof")*(Personnel!$G$9:$G$100="Yes")*(42&gt;=Personnel!$E$9:$E$100)*((Personnel!$K$9:$K$100="")+(42&lt;=Personnel!$K$9:$K$100)&gt;0)*Personnel!$D$9:$D$100*(1-Personnel!$I$9:$I$100))))*Escalation!$B$43,Actuals!AU99)</f>
        <v>-29802.258</v>
      </c>
      <c r="AU279" s="21" t="n">
        <f aca="false">IF(ISBLANK(Actuals!AV99),(-(SUMPRODUCT((Personnel!$O$9:$O$100="SP-Prof")*(Personnel!$G$9:$G$100="Yes")*(43&gt;=Personnel!$E$9:$E$100)*((Personnel!$K$9:$K$100="")+(43&lt;=Personnel!$K$9:$K$100)&gt;0)*Personnel!$D$9:$D$100*(1-Personnel!$I$9:$I$100))))*Escalation!$B$44,Actuals!AV99)</f>
        <v>-29802.258</v>
      </c>
      <c r="AV279" s="21" t="n">
        <f aca="false">IF(ISBLANK(Actuals!AW99),(-(SUMPRODUCT((Personnel!$O$9:$O$100="SP-Prof")*(Personnel!$G$9:$G$100="Yes")*(44&gt;=Personnel!$E$9:$E$100)*((Personnel!$K$9:$K$100="")+(44&lt;=Personnel!$K$9:$K$100)&gt;0)*Personnel!$D$9:$D$100*(1-Personnel!$I$9:$I$100))))*Escalation!$B$45,Actuals!AW99)</f>
        <v>-29802.258</v>
      </c>
      <c r="AW279" s="21" t="n">
        <f aca="false">IF(ISBLANK(Actuals!AX99),(-(SUMPRODUCT((Personnel!$O$9:$O$100="SP-Prof")*(Personnel!$G$9:$G$100="Yes")*(45&gt;=Personnel!$E$9:$E$100)*((Personnel!$K$9:$K$100="")+(45&lt;=Personnel!$K$9:$K$100)&gt;0)*Personnel!$D$9:$D$100*(1-Personnel!$I$9:$I$100))))*Escalation!$B$46,Actuals!AX99)</f>
        <v>-29802.258</v>
      </c>
      <c r="AX279" s="21" t="n">
        <f aca="false">IF(ISBLANK(Actuals!AY99),(-(SUMPRODUCT((Personnel!$O$9:$O$100="SP-Prof")*(Personnel!$G$9:$G$100="Yes")*(46&gt;=Personnel!$E$9:$E$100)*((Personnel!$K$9:$K$100="")+(46&lt;=Personnel!$K$9:$K$100)&gt;0)*Personnel!$D$9:$D$100*(1-Personnel!$I$9:$I$100))))*Escalation!$B$47,Actuals!AY99)</f>
        <v>-29802.258</v>
      </c>
      <c r="AY279" s="21" t="n">
        <f aca="false">IF(ISBLANK(Actuals!AZ99),(-(SUMPRODUCT((Personnel!$O$9:$O$100="SP-Prof")*(Personnel!$G$9:$G$100="Yes")*(47&gt;=Personnel!$E$9:$E$100)*((Personnel!$K$9:$K$100="")+(47&lt;=Personnel!$K$9:$K$100)&gt;0)*Personnel!$D$9:$D$100*(1-Personnel!$I$9:$I$100))))*Escalation!$B$48,Actuals!AZ99)</f>
        <v>-29802.258</v>
      </c>
      <c r="AZ279" s="21" t="n">
        <f aca="false">IF(ISBLANK(Actuals!BA99),(-(SUMPRODUCT((Personnel!$O$9:$O$100="SP-Prof")*(Personnel!$G$9:$G$100="Yes")*(48&gt;=Personnel!$E$9:$E$100)*((Personnel!$K$9:$K$100="")+(48&lt;=Personnel!$K$9:$K$100)&gt;0)*Personnel!$D$9:$D$100*(1-Personnel!$I$9:$I$100))))*Escalation!$B$49,Actuals!BA99)</f>
        <v>-29802.258</v>
      </c>
      <c r="BA279" s="21" t="n">
        <f aca="false">IF(ISBLANK(Actuals!BB99),(-(SUMPRODUCT((Personnel!$O$9:$O$100="SP-Prof")*(Personnel!$G$9:$G$100="Yes")*(49&gt;=Personnel!$E$9:$E$100)*((Personnel!$K$9:$K$100="")+(49&lt;=Personnel!$K$9:$K$100)&gt;0)*Personnel!$D$9:$D$100*(1-Personnel!$I$9:$I$100))))*Escalation!$B$50,Actuals!BB99)</f>
        <v>-30398.30316</v>
      </c>
      <c r="BB279" s="21" t="n">
        <f aca="false">IF(ISBLANK(Actuals!BC99),(-(SUMPRODUCT((Personnel!$O$9:$O$100="SP-Prof")*(Personnel!$G$9:$G$100="Yes")*(50&gt;=Personnel!$E$9:$E$100)*((Personnel!$K$9:$K$100="")+(50&lt;=Personnel!$K$9:$K$100)&gt;0)*Personnel!$D$9:$D$100*(1-Personnel!$I$9:$I$100))))*Escalation!$B$51,Actuals!BC99)</f>
        <v>-30398.30316</v>
      </c>
      <c r="BC279" s="21" t="n">
        <f aca="false">IF(ISBLANK(Actuals!BD99),(-(SUMPRODUCT((Personnel!$O$9:$O$100="SP-Prof")*(Personnel!$G$9:$G$100="Yes")*(51&gt;=Personnel!$E$9:$E$100)*((Personnel!$K$9:$K$100="")+(51&lt;=Personnel!$K$9:$K$100)&gt;0)*Personnel!$D$9:$D$100*(1-Personnel!$I$9:$I$100))))*Escalation!$B$52,Actuals!BD99)</f>
        <v>-30398.30316</v>
      </c>
      <c r="BD279" s="21" t="n">
        <f aca="false">IF(ISBLANK(Actuals!BE99),(-(SUMPRODUCT((Personnel!$O$9:$O$100="SP-Prof")*(Personnel!$G$9:$G$100="Yes")*(52&gt;=Personnel!$E$9:$E$100)*((Personnel!$K$9:$K$100="")+(52&lt;=Personnel!$K$9:$K$100)&gt;0)*Personnel!$D$9:$D$100*(1-Personnel!$I$9:$I$100))))*Escalation!$B$53,Actuals!BE99)</f>
        <v>-30398.30316</v>
      </c>
      <c r="BE279" s="21" t="n">
        <f aca="false">IF(ISBLANK(Actuals!BF99),(-(SUMPRODUCT((Personnel!$O$9:$O$100="SP-Prof")*(Personnel!$G$9:$G$100="Yes")*(53&gt;=Personnel!$E$9:$E$100)*((Personnel!$K$9:$K$100="")+(53&lt;=Personnel!$K$9:$K$100)&gt;0)*Personnel!$D$9:$D$100*(1-Personnel!$I$9:$I$100))))*Escalation!$B$54,Actuals!BF99)</f>
        <v>-30398.30316</v>
      </c>
      <c r="BF279" s="21" t="n">
        <f aca="false">IF(ISBLANK(Actuals!BG99),(-(SUMPRODUCT((Personnel!$O$9:$O$100="SP-Prof")*(Personnel!$G$9:$G$100="Yes")*(54&gt;=Personnel!$E$9:$E$100)*((Personnel!$K$9:$K$100="")+(54&lt;=Personnel!$K$9:$K$100)&gt;0)*Personnel!$D$9:$D$100*(1-Personnel!$I$9:$I$100))))*Escalation!$B$55,Actuals!BG99)</f>
        <v>-30398.30316</v>
      </c>
      <c r="BG279" s="21" t="n">
        <f aca="false">IF(ISBLANK(Actuals!BH99),(-(SUMPRODUCT((Personnel!$O$9:$O$100="SP-Prof")*(Personnel!$G$9:$G$100="Yes")*(55&gt;=Personnel!$E$9:$E$100)*((Personnel!$K$9:$K$100="")+(55&lt;=Personnel!$K$9:$K$100)&gt;0)*Personnel!$D$9:$D$100*(1-Personnel!$I$9:$I$100))))*Escalation!$B$56,Actuals!BH99)</f>
        <v>-30398.30316</v>
      </c>
      <c r="BH279" s="21" t="n">
        <f aca="false">IF(ISBLANK(Actuals!BI99),(-(SUMPRODUCT((Personnel!$O$9:$O$100="SP-Prof")*(Personnel!$G$9:$G$100="Yes")*(56&gt;=Personnel!$E$9:$E$100)*((Personnel!$K$9:$K$100="")+(56&lt;=Personnel!$K$9:$K$100)&gt;0)*Personnel!$D$9:$D$100*(1-Personnel!$I$9:$I$100))))*Escalation!$B$57,Actuals!BI99)</f>
        <v>-30398.30316</v>
      </c>
      <c r="BI279" s="21" t="n">
        <f aca="false">IF(ISBLANK(Actuals!BJ99),(-(SUMPRODUCT((Personnel!$O$9:$O$100="SP-Prof")*(Personnel!$G$9:$G$100="Yes")*(57&gt;=Personnel!$E$9:$E$100)*((Personnel!$K$9:$K$100="")+(57&lt;=Personnel!$K$9:$K$100)&gt;0)*Personnel!$D$9:$D$100*(1-Personnel!$I$9:$I$100))))*Escalation!$B$58,Actuals!BJ99)</f>
        <v>-30398.30316</v>
      </c>
      <c r="BJ279" s="21" t="n">
        <f aca="false">IF(ISBLANK(Actuals!BK99),(-(SUMPRODUCT((Personnel!$O$9:$O$100="SP-Prof")*(Personnel!$G$9:$G$100="Yes")*(58&gt;=Personnel!$E$9:$E$100)*((Personnel!$K$9:$K$100="")+(58&lt;=Personnel!$K$9:$K$100)&gt;0)*Personnel!$D$9:$D$100*(1-Personnel!$I$9:$I$100))))*Escalation!$B$59,Actuals!BK99)</f>
        <v>-30398.30316</v>
      </c>
      <c r="BK279" s="21" t="n">
        <f aca="false">IF(ISBLANK(Actuals!BL99),(-(SUMPRODUCT((Personnel!$O$9:$O$100="SP-Prof")*(Personnel!$G$9:$G$100="Yes")*(59&gt;=Personnel!$E$9:$E$100)*((Personnel!$K$9:$K$100="")+(59&lt;=Personnel!$K$9:$K$100)&gt;0)*Personnel!$D$9:$D$100*(1-Personnel!$I$9:$I$100))))*Escalation!$B$60,Actuals!BL99)</f>
        <v>-30398.30316</v>
      </c>
      <c r="BL279" s="21" t="n">
        <f aca="false">IF(ISBLANK(Actuals!BM99),(-(SUMPRODUCT((Personnel!$O$9:$O$100="SP-Prof")*(Personnel!$G$9:$G$100="Yes")*(60&gt;=Personnel!$E$9:$E$100)*((Personnel!$K$9:$K$100="")+(60&lt;=Personnel!$K$9:$K$100)&gt;0)*Personnel!$D$9:$D$100*(1-Personnel!$I$9:$I$100))))*Escalation!$B$61,Actuals!BM99)</f>
        <v>-30398.30316</v>
      </c>
      <c r="BM279" s="21" t="n">
        <f aca="false">IF(ISBLANK(Actuals!BN99),(-(SUMPRODUCT((Personnel!$O$9:$O$100="SP-Prof")*(Personnel!$G$9:$G$100="Yes")*(61&gt;=Personnel!$E$9:$E$100)*((Personnel!$K$9:$K$100="")+(61&lt;=Personnel!$K$9:$K$100)&gt;0)*Personnel!$D$9:$D$100*(1-Personnel!$I$9:$I$100))))*Escalation!$B$62,Actuals!BN99)</f>
        <v>-31006.2692232</v>
      </c>
      <c r="BN279" s="21" t="n">
        <f aca="false">IF(ISBLANK(Actuals!BO99),(-(SUMPRODUCT((Personnel!$O$9:$O$100="SP-Prof")*(Personnel!$G$9:$G$100="Yes")*(62&gt;=Personnel!$E$9:$E$100)*((Personnel!$K$9:$K$100="")+(62&lt;=Personnel!$K$9:$K$100)&gt;0)*Personnel!$D$9:$D$100*(1-Personnel!$I$9:$I$100))))*Escalation!$B$63,Actuals!BO99)</f>
        <v>-31006.2692232</v>
      </c>
      <c r="BO279" s="21" t="n">
        <f aca="false">IF(ISBLANK(Actuals!BP99),(-(SUMPRODUCT((Personnel!$O$9:$O$100="SP-Prof")*(Personnel!$G$9:$G$100="Yes")*(63&gt;=Personnel!$E$9:$E$100)*((Personnel!$K$9:$K$100="")+(63&lt;=Personnel!$K$9:$K$100)&gt;0)*Personnel!$D$9:$D$100*(1-Personnel!$I$9:$I$100))))*Escalation!$B$64,Actuals!BP99)</f>
        <v>-31006.2692232</v>
      </c>
      <c r="BP279" s="21" t="n">
        <f aca="false">IF(ISBLANK(Actuals!BQ99),(-(SUMPRODUCT((Personnel!$O$9:$O$100="SP-Prof")*(Personnel!$G$9:$G$100="Yes")*(64&gt;=Personnel!$E$9:$E$100)*((Personnel!$K$9:$K$100="")+(64&lt;=Personnel!$K$9:$K$100)&gt;0)*Personnel!$D$9:$D$100*(1-Personnel!$I$9:$I$100))))*Escalation!$B$65,Actuals!BQ99)</f>
        <v>-31006.2692232</v>
      </c>
      <c r="BQ279" s="21" t="n">
        <f aca="false">IF(ISBLANK(Actuals!BR99),(-(SUMPRODUCT((Personnel!$O$9:$O$100="SP-Prof")*(Personnel!$G$9:$G$100="Yes")*(65&gt;=Personnel!$E$9:$E$100)*((Personnel!$K$9:$K$100="")+(65&lt;=Personnel!$K$9:$K$100)&gt;0)*Personnel!$D$9:$D$100*(1-Personnel!$I$9:$I$100))))*Escalation!$B$66,Actuals!BR99)</f>
        <v>-31006.2692232</v>
      </c>
      <c r="BR279" s="21" t="n">
        <f aca="false">IF(ISBLANK(Actuals!BS99),(-(SUMPRODUCT((Personnel!$O$9:$O$100="SP-Prof")*(Personnel!$G$9:$G$100="Yes")*(66&gt;=Personnel!$E$9:$E$100)*((Personnel!$K$9:$K$100="")+(66&lt;=Personnel!$K$9:$K$100)&gt;0)*Personnel!$D$9:$D$100*(1-Personnel!$I$9:$I$100))))*Escalation!$B$67,Actuals!BS99)</f>
        <v>-31006.2692232</v>
      </c>
      <c r="BS279" s="21" t="n">
        <f aca="false">IF(ISBLANK(Actuals!BT99),(-(SUMPRODUCT((Personnel!$O$9:$O$100="SP-Prof")*(Personnel!$G$9:$G$100="Yes")*(67&gt;=Personnel!$E$9:$E$100)*((Personnel!$K$9:$K$100="")+(67&lt;=Personnel!$K$9:$K$100)&gt;0)*Personnel!$D$9:$D$100*(1-Personnel!$I$9:$I$100))))*Escalation!$B$68,Actuals!BT99)</f>
        <v>-31006.2692232</v>
      </c>
      <c r="BT279" s="21" t="n">
        <f aca="false">IF(ISBLANK(Actuals!BU99),(-(SUMPRODUCT((Personnel!$O$9:$O$100="SP-Prof")*(Personnel!$G$9:$G$100="Yes")*(68&gt;=Personnel!$E$9:$E$100)*((Personnel!$K$9:$K$100="")+(68&lt;=Personnel!$K$9:$K$100)&gt;0)*Personnel!$D$9:$D$100*(1-Personnel!$I$9:$I$100))))*Escalation!$B$69,Actuals!BU99)</f>
        <v>-31006.2692232</v>
      </c>
      <c r="BU279" s="21" t="n">
        <f aca="false">IF(ISBLANK(Actuals!BV99),(-(SUMPRODUCT((Personnel!$O$9:$O$100="SP-Prof")*(Personnel!$G$9:$G$100="Yes")*(69&gt;=Personnel!$E$9:$E$100)*((Personnel!$K$9:$K$100="")+(69&lt;=Personnel!$K$9:$K$100)&gt;0)*Personnel!$D$9:$D$100*(1-Personnel!$I$9:$I$100))))*Escalation!$B$70,Actuals!BV99)</f>
        <v>-31006.2692232</v>
      </c>
      <c r="BV279" s="21" t="n">
        <f aca="false">IF(ISBLANK(Actuals!BW99),(-(SUMPRODUCT((Personnel!$O$9:$O$100="SP-Prof")*(Personnel!$G$9:$G$100="Yes")*(70&gt;=Personnel!$E$9:$E$100)*((Personnel!$K$9:$K$100="")+(70&lt;=Personnel!$K$9:$K$100)&gt;0)*Personnel!$D$9:$D$100*(1-Personnel!$I$9:$I$100))))*Escalation!$B$71,Actuals!BW99)</f>
        <v>-31006.2692232</v>
      </c>
      <c r="BW279" s="21" t="n">
        <f aca="false">IF(ISBLANK(Actuals!BX99),(-(SUMPRODUCT((Personnel!$O$9:$O$100="SP-Prof")*(Personnel!$G$9:$G$100="Yes")*(71&gt;=Personnel!$E$9:$E$100)*((Personnel!$K$9:$K$100="")+(71&lt;=Personnel!$K$9:$K$100)&gt;0)*Personnel!$D$9:$D$100*(1-Personnel!$I$9:$I$100))))*Escalation!$B$72,Actuals!BX99)</f>
        <v>-31006.2692232</v>
      </c>
      <c r="BX279" s="21" t="n">
        <f aca="false">IF(ISBLANK(Actuals!BY99),(-(SUMPRODUCT((Personnel!$O$9:$O$100="SP-Prof")*(Personnel!$G$9:$G$100="Yes")*(72&gt;=Personnel!$E$9:$E$100)*((Personnel!$K$9:$K$100="")+(72&lt;=Personnel!$K$9:$K$100)&gt;0)*Personnel!$D$9:$D$100*(1-Personnel!$I$9:$I$100))))*Escalation!$B$73,Actuals!BY99)</f>
        <v>-31006.2692232</v>
      </c>
      <c r="BY279" s="21" t="n">
        <f aca="false">IF(ISBLANK(Actuals!BZ99),(-(SUMPRODUCT((Personnel!$O$9:$O$100="SP-Prof")*(Personnel!$G$9:$G$100="Yes")*(73&gt;=Personnel!$E$9:$E$100)*((Personnel!$K$9:$K$100="")+(73&lt;=Personnel!$K$9:$K$100)&gt;0)*Personnel!$D$9:$D$100*(1-Personnel!$I$9:$I$100))))*Escalation!$B$74,Actuals!BZ99)</f>
        <v>-31626.394607664</v>
      </c>
      <c r="BZ279" s="21" t="n">
        <f aca="false">IF(ISBLANK(Actuals!CA99),(-(SUMPRODUCT((Personnel!$O$9:$O$100="SP-Prof")*(Personnel!$G$9:$G$100="Yes")*(74&gt;=Personnel!$E$9:$E$100)*((Personnel!$K$9:$K$100="")+(74&lt;=Personnel!$K$9:$K$100)&gt;0)*Personnel!$D$9:$D$100*(1-Personnel!$I$9:$I$100))))*Escalation!$B$75,Actuals!CA99)</f>
        <v>-31626.394607664</v>
      </c>
      <c r="CA279" s="21" t="n">
        <f aca="false">IF(ISBLANK(Actuals!CB99),(-(SUMPRODUCT((Personnel!$O$9:$O$100="SP-Prof")*(Personnel!$G$9:$G$100="Yes")*(75&gt;=Personnel!$E$9:$E$100)*((Personnel!$K$9:$K$100="")+(75&lt;=Personnel!$K$9:$K$100)&gt;0)*Personnel!$D$9:$D$100*(1-Personnel!$I$9:$I$100))))*Escalation!$B$76,Actuals!CB99)</f>
        <v>-31626.394607664</v>
      </c>
      <c r="CB279" s="21" t="n">
        <f aca="false">IF(ISBLANK(Actuals!CC99),(-(SUMPRODUCT((Personnel!$O$9:$O$100="SP-Prof")*(Personnel!$G$9:$G$100="Yes")*(76&gt;=Personnel!$E$9:$E$100)*((Personnel!$K$9:$K$100="")+(76&lt;=Personnel!$K$9:$K$100)&gt;0)*Personnel!$D$9:$D$100*(1-Personnel!$I$9:$I$100))))*Escalation!$B$77,Actuals!CC99)</f>
        <v>-31626.394607664</v>
      </c>
      <c r="CC279" s="21" t="n">
        <f aca="false">IF(ISBLANK(Actuals!CD99),(-(SUMPRODUCT((Personnel!$O$9:$O$100="SP-Prof")*(Personnel!$G$9:$G$100="Yes")*(77&gt;=Personnel!$E$9:$E$100)*((Personnel!$K$9:$K$100="")+(77&lt;=Personnel!$K$9:$K$100)&gt;0)*Personnel!$D$9:$D$100*(1-Personnel!$I$9:$I$100))))*Escalation!$B$78,Actuals!CD99)</f>
        <v>-31626.394607664</v>
      </c>
      <c r="CD279" s="21" t="n">
        <f aca="false">IF(ISBLANK(Actuals!CE99),(-(SUMPRODUCT((Personnel!$O$9:$O$100="SP-Prof")*(Personnel!$G$9:$G$100="Yes")*(78&gt;=Personnel!$E$9:$E$100)*((Personnel!$K$9:$K$100="")+(78&lt;=Personnel!$K$9:$K$100)&gt;0)*Personnel!$D$9:$D$100*(1-Personnel!$I$9:$I$100))))*Escalation!$B$79,Actuals!CE99)</f>
        <v>-31626.394607664</v>
      </c>
      <c r="CE279" s="21" t="n">
        <f aca="false">IF(ISBLANK(Actuals!CF99),(-(SUMPRODUCT((Personnel!$O$9:$O$100="SP-Prof")*(Personnel!$G$9:$G$100="Yes")*(79&gt;=Personnel!$E$9:$E$100)*((Personnel!$K$9:$K$100="")+(79&lt;=Personnel!$K$9:$K$100)&gt;0)*Personnel!$D$9:$D$100*(1-Personnel!$I$9:$I$100))))*Escalation!$B$80,Actuals!CF99)</f>
        <v>-31626.394607664</v>
      </c>
      <c r="CF279" s="21" t="n">
        <f aca="false">IF(ISBLANK(Actuals!CG99),(-(SUMPRODUCT((Personnel!$O$9:$O$100="SP-Prof")*(Personnel!$G$9:$G$100="Yes")*(80&gt;=Personnel!$E$9:$E$100)*((Personnel!$K$9:$K$100="")+(80&lt;=Personnel!$K$9:$K$100)&gt;0)*Personnel!$D$9:$D$100*(1-Personnel!$I$9:$I$100))))*Escalation!$B$81,Actuals!CG99)</f>
        <v>-31626.394607664</v>
      </c>
      <c r="CG279" s="21" t="n">
        <f aca="false">IF(ISBLANK(Actuals!CH99),(-(SUMPRODUCT((Personnel!$O$9:$O$100="SP-Prof")*(Personnel!$G$9:$G$100="Yes")*(81&gt;=Personnel!$E$9:$E$100)*((Personnel!$K$9:$K$100="")+(81&lt;=Personnel!$K$9:$K$100)&gt;0)*Personnel!$D$9:$D$100*(1-Personnel!$I$9:$I$100))))*Escalation!$B$82,Actuals!CH99)</f>
        <v>-31626.394607664</v>
      </c>
      <c r="CH279" s="21" t="n">
        <f aca="false">IF(ISBLANK(Actuals!CI99),(-(SUMPRODUCT((Personnel!$O$9:$O$100="SP-Prof")*(Personnel!$G$9:$G$100="Yes")*(82&gt;=Personnel!$E$9:$E$100)*((Personnel!$K$9:$K$100="")+(82&lt;=Personnel!$K$9:$K$100)&gt;0)*Personnel!$D$9:$D$100*(1-Personnel!$I$9:$I$100))))*Escalation!$B$83,Actuals!CI99)</f>
        <v>-31626.394607664</v>
      </c>
      <c r="CI279" s="21" t="n">
        <f aca="false">IF(ISBLANK(Actuals!CJ99),(-(SUMPRODUCT((Personnel!$O$9:$O$100="SP-Prof")*(Personnel!$G$9:$G$100="Yes")*(83&gt;=Personnel!$E$9:$E$100)*((Personnel!$K$9:$K$100="")+(83&lt;=Personnel!$K$9:$K$100)&gt;0)*Personnel!$D$9:$D$100*(1-Personnel!$I$9:$I$100))))*Escalation!$B$84,Actuals!CJ99)</f>
        <v>-31626.394607664</v>
      </c>
      <c r="CJ279" s="21" t="n">
        <f aca="false">IF(ISBLANK(Actuals!CK99),(-(SUMPRODUCT((Personnel!$O$9:$O$100="SP-Prof")*(Personnel!$G$9:$G$100="Yes")*(84&gt;=Personnel!$E$9:$E$100)*((Personnel!$K$9:$K$100="")+(84&lt;=Personnel!$K$9:$K$100)&gt;0)*Personnel!$D$9:$D$100*(1-Personnel!$I$9:$I$100))))*Escalation!$B$85,Actuals!CK99)</f>
        <v>-31626.394607664</v>
      </c>
      <c r="CK279" s="21" t="n">
        <f aca="false">IF(ISBLANK(Actuals!CL99),(-(SUMPRODUCT((Personnel!$O$9:$O$100="SP-Prof")*(Personnel!$G$9:$G$100="Yes")*(85&gt;=Personnel!$E$9:$E$100)*((Personnel!$K$9:$K$100="")+(85&lt;=Personnel!$K$9:$K$100)&gt;0)*Personnel!$D$9:$D$100*(1-Personnel!$I$9:$I$100))))*Escalation!$B$86,Actuals!CL99)</f>
        <v>-32258.9224998173</v>
      </c>
      <c r="CL279" s="21" t="n">
        <f aca="false">IF(ISBLANK(Actuals!CM99),(-(SUMPRODUCT((Personnel!$O$9:$O$100="SP-Prof")*(Personnel!$G$9:$G$100="Yes")*(86&gt;=Personnel!$E$9:$E$100)*((Personnel!$K$9:$K$100="")+(86&lt;=Personnel!$K$9:$K$100)&gt;0)*Personnel!$D$9:$D$100*(1-Personnel!$I$9:$I$100))))*Escalation!$B$87,Actuals!CM99)</f>
        <v>-32258.9224998173</v>
      </c>
      <c r="CM279" s="21" t="n">
        <f aca="false">IF(ISBLANK(Actuals!CN99),(-(SUMPRODUCT((Personnel!$O$9:$O$100="SP-Prof")*(Personnel!$G$9:$G$100="Yes")*(87&gt;=Personnel!$E$9:$E$100)*((Personnel!$K$9:$K$100="")+(87&lt;=Personnel!$K$9:$K$100)&gt;0)*Personnel!$D$9:$D$100*(1-Personnel!$I$9:$I$100))))*Escalation!$B$88,Actuals!CN99)</f>
        <v>-32258.9224998173</v>
      </c>
      <c r="CN279" s="21" t="n">
        <f aca="false">IF(ISBLANK(Actuals!CO99),(-(SUMPRODUCT((Personnel!$O$9:$O$100="SP-Prof")*(Personnel!$G$9:$G$100="Yes")*(88&gt;=Personnel!$E$9:$E$100)*((Personnel!$K$9:$K$100="")+(88&lt;=Personnel!$K$9:$K$100)&gt;0)*Personnel!$D$9:$D$100*(1-Personnel!$I$9:$I$100))))*Escalation!$B$89,Actuals!CO99)</f>
        <v>-32258.9224998173</v>
      </c>
      <c r="CO279" s="21" t="n">
        <f aca="false">IF(ISBLANK(Actuals!CP99),(-(SUMPRODUCT((Personnel!$O$9:$O$100="SP-Prof")*(Personnel!$G$9:$G$100="Yes")*(89&gt;=Personnel!$E$9:$E$100)*((Personnel!$K$9:$K$100="")+(89&lt;=Personnel!$K$9:$K$100)&gt;0)*Personnel!$D$9:$D$100*(1-Personnel!$I$9:$I$100))))*Escalation!$B$90,Actuals!CP99)</f>
        <v>-32258.9224998173</v>
      </c>
      <c r="CP279" s="21" t="n">
        <f aca="false">IF(ISBLANK(Actuals!CQ99),(-(SUMPRODUCT((Personnel!$O$9:$O$100="SP-Prof")*(Personnel!$G$9:$G$100="Yes")*(90&gt;=Personnel!$E$9:$E$100)*((Personnel!$K$9:$K$100="")+(90&lt;=Personnel!$K$9:$K$100)&gt;0)*Personnel!$D$9:$D$100*(1-Personnel!$I$9:$I$100))))*Escalation!$B$91,Actuals!CQ99)</f>
        <v>-32258.9224998173</v>
      </c>
      <c r="CQ279" s="21" t="n">
        <f aca="false">IF(ISBLANK(Actuals!CR99),(-(SUMPRODUCT((Personnel!$O$9:$O$100="SP-Prof")*(Personnel!$G$9:$G$100="Yes")*(91&gt;=Personnel!$E$9:$E$100)*((Personnel!$K$9:$K$100="")+(91&lt;=Personnel!$K$9:$K$100)&gt;0)*Personnel!$D$9:$D$100*(1-Personnel!$I$9:$I$100))))*Escalation!$B$92,Actuals!CR99)</f>
        <v>-32258.9224998173</v>
      </c>
      <c r="CR279" s="21" t="n">
        <f aca="false">IF(ISBLANK(Actuals!CS99),(-(SUMPRODUCT((Personnel!$O$9:$O$100="SP-Prof")*(Personnel!$G$9:$G$100="Yes")*(92&gt;=Personnel!$E$9:$E$100)*((Personnel!$K$9:$K$100="")+(92&lt;=Personnel!$K$9:$K$100)&gt;0)*Personnel!$D$9:$D$100*(1-Personnel!$I$9:$I$100))))*Escalation!$B$93,Actuals!CS99)</f>
        <v>-32258.9224998173</v>
      </c>
      <c r="CS279" s="21" t="n">
        <f aca="false">IF(ISBLANK(Actuals!CT99),(-(SUMPRODUCT((Personnel!$O$9:$O$100="SP-Prof")*(Personnel!$G$9:$G$100="Yes")*(93&gt;=Personnel!$E$9:$E$100)*((Personnel!$K$9:$K$100="")+(93&lt;=Personnel!$K$9:$K$100)&gt;0)*Personnel!$D$9:$D$100*(1-Personnel!$I$9:$I$100))))*Escalation!$B$94,Actuals!CT99)</f>
        <v>-32258.9224998173</v>
      </c>
      <c r="CT279" s="21" t="n">
        <f aca="false">IF(ISBLANK(Actuals!CU99),(-(SUMPRODUCT((Personnel!$O$9:$O$100="SP-Prof")*(Personnel!$G$9:$G$100="Yes")*(94&gt;=Personnel!$E$9:$E$100)*((Personnel!$K$9:$K$100="")+(94&lt;=Personnel!$K$9:$K$100)&gt;0)*Personnel!$D$9:$D$100*(1-Personnel!$I$9:$I$100))))*Escalation!$B$95,Actuals!CU99)</f>
        <v>-32258.9224998173</v>
      </c>
      <c r="CU279" s="21" t="n">
        <f aca="false">IF(ISBLANK(Actuals!CV99),(-(SUMPRODUCT((Personnel!$O$9:$O$100="SP-Prof")*(Personnel!$G$9:$G$100="Yes")*(95&gt;=Personnel!$E$9:$E$100)*((Personnel!$K$9:$K$100="")+(95&lt;=Personnel!$K$9:$K$100)&gt;0)*Personnel!$D$9:$D$100*(1-Personnel!$I$9:$I$100))))*Escalation!$B$96,Actuals!CV99)</f>
        <v>-32258.9224998173</v>
      </c>
      <c r="CV279" s="21" t="n">
        <f aca="false">IF(ISBLANK(Actuals!CW99),(-(SUMPRODUCT((Personnel!$O$9:$O$100="SP-Prof")*(Personnel!$G$9:$G$100="Yes")*(96&gt;=Personnel!$E$9:$E$100)*((Personnel!$K$9:$K$100="")+(96&lt;=Personnel!$K$9:$K$100)&gt;0)*Personnel!$D$9:$D$100*(1-Personnel!$I$9:$I$100))))*Escalation!$B$97,Actuals!CW99)</f>
        <v>-32258.9224998173</v>
      </c>
      <c r="CW279" s="21" t="n">
        <f aca="false">IF(ISBLANK(Actuals!CX99),(-(SUMPRODUCT((Personnel!$O$9:$O$100="SP-Prof")*(Personnel!$G$9:$G$100="Yes")*(97&gt;=Personnel!$E$9:$E$100)*((Personnel!$K$9:$K$100="")+(97&lt;=Personnel!$K$9:$K$100)&gt;0)*Personnel!$D$9:$D$100*(1-Personnel!$I$9:$I$100))))*Escalation!$B$98,Actuals!CX99)</f>
        <v>-32904.1009498136</v>
      </c>
      <c r="CX279" s="21" t="n">
        <f aca="false">IF(ISBLANK(Actuals!CY99),(-(SUMPRODUCT((Personnel!$O$9:$O$100="SP-Prof")*(Personnel!$G$9:$G$100="Yes")*(98&gt;=Personnel!$E$9:$E$100)*((Personnel!$K$9:$K$100="")+(98&lt;=Personnel!$K$9:$K$100)&gt;0)*Personnel!$D$9:$D$100*(1-Personnel!$I$9:$I$100))))*Escalation!$B$99,Actuals!CY99)</f>
        <v>-32904.1009498136</v>
      </c>
      <c r="CY279" s="21" t="n">
        <f aca="false">IF(ISBLANK(Actuals!CZ99),(-(SUMPRODUCT((Personnel!$O$9:$O$100="SP-Prof")*(Personnel!$G$9:$G$100="Yes")*(99&gt;=Personnel!$E$9:$E$100)*((Personnel!$K$9:$K$100="")+(99&lt;=Personnel!$K$9:$K$100)&gt;0)*Personnel!$D$9:$D$100*(1-Personnel!$I$9:$I$100))))*Escalation!$B$100,Actuals!CZ99)</f>
        <v>-32904.1009498136</v>
      </c>
      <c r="CZ279" s="21" t="n">
        <f aca="false">IF(ISBLANK(Actuals!DA99),(-(SUMPRODUCT((Personnel!$O$9:$O$100="SP-Prof")*(Personnel!$G$9:$G$100="Yes")*(100&gt;=Personnel!$E$9:$E$100)*((Personnel!$K$9:$K$100="")+(100&lt;=Personnel!$K$9:$K$100)&gt;0)*Personnel!$D$9:$D$100*(1-Personnel!$I$9:$I$100))))*Escalation!$B$101,Actuals!DA99)</f>
        <v>-32904.1009498136</v>
      </c>
      <c r="DA279" s="21" t="n">
        <f aca="false">IF(ISBLANK(Actuals!DB99),(-(SUMPRODUCT((Personnel!$O$9:$O$100="SP-Prof")*(Personnel!$G$9:$G$100="Yes")*(101&gt;=Personnel!$E$9:$E$100)*((Personnel!$K$9:$K$100="")+(101&lt;=Personnel!$K$9:$K$100)&gt;0)*Personnel!$D$9:$D$100*(1-Personnel!$I$9:$I$100))))*Escalation!$B$102,Actuals!DB99)</f>
        <v>-32904.1009498136</v>
      </c>
      <c r="DB279" s="21" t="n">
        <f aca="false">IF(ISBLANK(Actuals!DC99),(-(SUMPRODUCT((Personnel!$O$9:$O$100="SP-Prof")*(Personnel!$G$9:$G$100="Yes")*(102&gt;=Personnel!$E$9:$E$100)*((Personnel!$K$9:$K$100="")+(102&lt;=Personnel!$K$9:$K$100)&gt;0)*Personnel!$D$9:$D$100*(1-Personnel!$I$9:$I$100))))*Escalation!$B$103,Actuals!DC99)</f>
        <v>-32904.1009498136</v>
      </c>
      <c r="DC279" s="21" t="n">
        <f aca="false">IF(ISBLANK(Actuals!DD99),(-(SUMPRODUCT((Personnel!$O$9:$O$100="SP-Prof")*(Personnel!$G$9:$G$100="Yes")*(103&gt;=Personnel!$E$9:$E$100)*((Personnel!$K$9:$K$100="")+(103&lt;=Personnel!$K$9:$K$100)&gt;0)*Personnel!$D$9:$D$100*(1-Personnel!$I$9:$I$100))))*Escalation!$B$104,Actuals!DD99)</f>
        <v>-32904.1009498136</v>
      </c>
      <c r="DD279" s="21" t="n">
        <f aca="false">IF(ISBLANK(Actuals!DE99),(-(SUMPRODUCT((Personnel!$O$9:$O$100="SP-Prof")*(Personnel!$G$9:$G$100="Yes")*(104&gt;=Personnel!$E$9:$E$100)*((Personnel!$K$9:$K$100="")+(104&lt;=Personnel!$K$9:$K$100)&gt;0)*Personnel!$D$9:$D$100*(1-Personnel!$I$9:$I$100))))*Escalation!$B$105,Actuals!DE99)</f>
        <v>-32904.1009498136</v>
      </c>
      <c r="DE279" s="21" t="n">
        <f aca="false">IF(ISBLANK(Actuals!DF99),(-(SUMPRODUCT((Personnel!$O$9:$O$100="SP-Prof")*(Personnel!$G$9:$G$100="Yes")*(105&gt;=Personnel!$E$9:$E$100)*((Personnel!$K$9:$K$100="")+(105&lt;=Personnel!$K$9:$K$100)&gt;0)*Personnel!$D$9:$D$100*(1-Personnel!$I$9:$I$100))))*Escalation!$B$106,Actuals!DF99)</f>
        <v>-32904.1009498136</v>
      </c>
    </row>
    <row r="280" customFormat="false" ht="15" hidden="false" customHeight="true" outlineLevel="0" collapsed="false">
      <c r="A280" s="35" t="s">
        <v>128</v>
      </c>
      <c r="B280" s="21" t="n">
        <f aca="false">IF(ISBLANK(Actuals!C100),0,Actuals!C100)</f>
        <v>-268</v>
      </c>
      <c r="C280" s="21" t="n">
        <f aca="false">IF(ISBLANK(Actuals!D100),0,Actuals!D100)</f>
        <v>-2088.75</v>
      </c>
      <c r="D280" s="21" t="n">
        <f aca="false">IF(ISBLANK(Actuals!E100),0,Actuals!E100)</f>
        <v>-2401.75</v>
      </c>
      <c r="E280" s="21" t="n">
        <f aca="false">IF(ISBLANK(Actuals!F100),-1586.17*Escalation!$B$2,Actuals!F100)</f>
        <v>-4209.5</v>
      </c>
      <c r="F280" s="21" t="n">
        <f aca="false">IF(ISBLANK(Actuals!G100),-1586.17*Escalation!$B$3,Actuals!G100)</f>
        <v>-2377.59</v>
      </c>
      <c r="G280" s="21" t="n">
        <f aca="false">IF(ISBLANK(Actuals!H100),-1586.17*Escalation!$B$4,Actuals!H100)</f>
        <v>-16</v>
      </c>
      <c r="H280" s="21" t="n">
        <f aca="false">IF(ISBLANK(Actuals!I100),-1586.17*Escalation!$B$5,Actuals!I100)</f>
        <v>-4592.5</v>
      </c>
      <c r="I280" s="21" t="n">
        <f aca="false">IF(ISBLANK(Actuals!J100),-1586.17*Escalation!$B$6,Actuals!J100)</f>
        <v>-268</v>
      </c>
      <c r="J280" s="21" t="n">
        <f aca="false">IF(ISBLANK(Actuals!K100),-1586.17*Escalation!$B$7,Actuals!K100)</f>
        <v>-1586.17</v>
      </c>
      <c r="K280" s="21" t="n">
        <f aca="false">IF(ISBLANK(Actuals!L100),-1586.17*Escalation!$B$8,Actuals!L100)</f>
        <v>-1586.17</v>
      </c>
      <c r="L280" s="21" t="n">
        <f aca="false">IF(ISBLANK(Actuals!M100),-1586.17*Escalation!$B$9,Actuals!M100)</f>
        <v>-1586.17</v>
      </c>
      <c r="M280" s="21" t="n">
        <f aca="false">IF(ISBLANK(Actuals!N100),-1586.17*Escalation!$B$10,Actuals!N100)</f>
        <v>-1586.17</v>
      </c>
      <c r="N280" s="21" t="n">
        <f aca="false">IF(ISBLANK(Actuals!O100),-1586.17*Escalation!$B$11,Actuals!O100)</f>
        <v>-1586.17</v>
      </c>
      <c r="O280" s="21" t="n">
        <f aca="false">IF(ISBLANK(Actuals!P100),-1586.17*Escalation!$B$12,Actuals!P100)</f>
        <v>-1586.17</v>
      </c>
      <c r="P280" s="21" t="n">
        <f aca="false">IF(ISBLANK(Actuals!Q100),-1586.17*Escalation!$B$13,Actuals!Q100)</f>
        <v>-1586.17</v>
      </c>
      <c r="Q280" s="21" t="n">
        <f aca="false">IF(ISBLANK(Actuals!R100),-1586.17*Escalation!$B$14,Actuals!R100)</f>
        <v>-1617.8934</v>
      </c>
      <c r="R280" s="21" t="n">
        <f aca="false">IF(ISBLANK(Actuals!S100),-1586.17*Escalation!$B$15,Actuals!S100)</f>
        <v>-1617.8934</v>
      </c>
      <c r="S280" s="21" t="n">
        <f aca="false">IF(ISBLANK(Actuals!T100),-1586.17*Escalation!$B$16,Actuals!T100)</f>
        <v>-1617.8934</v>
      </c>
      <c r="T280" s="21" t="n">
        <f aca="false">IF(ISBLANK(Actuals!U100),-1586.17*Escalation!$B$17,Actuals!U100)</f>
        <v>-1617.8934</v>
      </c>
      <c r="U280" s="21" t="n">
        <f aca="false">IF(ISBLANK(Actuals!V100),-1586.17*Escalation!$B$18,Actuals!V100)</f>
        <v>-1617.8934</v>
      </c>
      <c r="V280" s="21" t="n">
        <f aca="false">IF(ISBLANK(Actuals!W100),-1586.17*Escalation!$B$19,Actuals!W100)</f>
        <v>-1617.8934</v>
      </c>
      <c r="W280" s="21" t="n">
        <f aca="false">IF(ISBLANK(Actuals!X100),-1586.17*Escalation!$B$20,Actuals!X100)</f>
        <v>-1617.8934</v>
      </c>
      <c r="X280" s="21" t="n">
        <f aca="false">IF(ISBLANK(Actuals!Y100),-1586.17*Escalation!$B$21,Actuals!Y100)</f>
        <v>-1617.8934</v>
      </c>
      <c r="Y280" s="21" t="n">
        <f aca="false">IF(ISBLANK(Actuals!Z100),-1586.17*Escalation!$B$22,Actuals!Z100)</f>
        <v>-1617.8934</v>
      </c>
      <c r="Z280" s="21" t="n">
        <f aca="false">IF(ISBLANK(Actuals!AA100),-1586.17*Escalation!$B$23,Actuals!AA100)</f>
        <v>-1617.8934</v>
      </c>
      <c r="AA280" s="21" t="n">
        <f aca="false">IF(ISBLANK(Actuals!AB100),-1586.17*Escalation!$B$24,Actuals!AB100)</f>
        <v>-1617.8934</v>
      </c>
      <c r="AB280" s="21" t="n">
        <f aca="false">IF(ISBLANK(Actuals!AC100),-1586.17*Escalation!$B$25,Actuals!AC100)</f>
        <v>-1617.8934</v>
      </c>
      <c r="AC280" s="21" t="n">
        <f aca="false">IF(ISBLANK(Actuals!AD100),-1586.17*Escalation!$B$26,Actuals!AD100)</f>
        <v>-1650.251268</v>
      </c>
      <c r="AD280" s="21" t="n">
        <f aca="false">IF(ISBLANK(Actuals!AE100),-1586.17*Escalation!$B$27,Actuals!AE100)</f>
        <v>-1650.251268</v>
      </c>
      <c r="AE280" s="21" t="n">
        <f aca="false">IF(ISBLANK(Actuals!AF100),-1586.17*Escalation!$B$28,Actuals!AF100)</f>
        <v>-1650.251268</v>
      </c>
      <c r="AF280" s="21" t="n">
        <f aca="false">IF(ISBLANK(Actuals!AG100),-1586.17*Escalation!$B$29,Actuals!AG100)</f>
        <v>-1650.251268</v>
      </c>
      <c r="AG280" s="21" t="n">
        <f aca="false">IF(ISBLANK(Actuals!AH100),-1586.17*Escalation!$B$30,Actuals!AH100)</f>
        <v>-1650.251268</v>
      </c>
      <c r="AH280" s="21" t="n">
        <f aca="false">IF(ISBLANK(Actuals!AI100),-1586.17*Escalation!$B$31,Actuals!AI100)</f>
        <v>-1650.251268</v>
      </c>
      <c r="AI280" s="21" t="n">
        <f aca="false">IF(ISBLANK(Actuals!AJ100),-1586.17*Escalation!$B$32,Actuals!AJ100)</f>
        <v>-1650.251268</v>
      </c>
      <c r="AJ280" s="21" t="n">
        <f aca="false">IF(ISBLANK(Actuals!AK100),-1586.17*Escalation!$B$33,Actuals!AK100)</f>
        <v>-1650.251268</v>
      </c>
      <c r="AK280" s="21" t="n">
        <f aca="false">IF(ISBLANK(Actuals!AL100),-1586.17*Escalation!$B$34,Actuals!AL100)</f>
        <v>-1650.251268</v>
      </c>
      <c r="AL280" s="21" t="n">
        <f aca="false">IF(ISBLANK(Actuals!AM100),-1586.17*Escalation!$B$35,Actuals!AM100)</f>
        <v>-1650.251268</v>
      </c>
      <c r="AM280" s="21" t="n">
        <f aca="false">IF(ISBLANK(Actuals!AN100),-1586.17*Escalation!$B$36,Actuals!AN100)</f>
        <v>-1650.251268</v>
      </c>
      <c r="AN280" s="21" t="n">
        <f aca="false">IF(ISBLANK(Actuals!AO100),-1586.17*Escalation!$B$37,Actuals!AO100)</f>
        <v>-1650.251268</v>
      </c>
      <c r="AO280" s="21" t="n">
        <f aca="false">IF(ISBLANK(Actuals!AP100),-1586.17*Escalation!$B$38,Actuals!AP100)</f>
        <v>-1683.25629336</v>
      </c>
      <c r="AP280" s="21" t="n">
        <f aca="false">IF(ISBLANK(Actuals!AQ100),-1586.17*Escalation!$B$39,Actuals!AQ100)</f>
        <v>-1683.25629336</v>
      </c>
      <c r="AQ280" s="21" t="n">
        <f aca="false">IF(ISBLANK(Actuals!AR100),-1586.17*Escalation!$B$40,Actuals!AR100)</f>
        <v>-1683.25629336</v>
      </c>
      <c r="AR280" s="21" t="n">
        <f aca="false">IF(ISBLANK(Actuals!AS100),-1586.17*Escalation!$B$41,Actuals!AS100)</f>
        <v>-1683.25629336</v>
      </c>
      <c r="AS280" s="21" t="n">
        <f aca="false">IF(ISBLANK(Actuals!AT100),-1586.17*Escalation!$B$42,Actuals!AT100)</f>
        <v>-1683.25629336</v>
      </c>
      <c r="AT280" s="21" t="n">
        <f aca="false">IF(ISBLANK(Actuals!AU100),-1586.17*Escalation!$B$43,Actuals!AU100)</f>
        <v>-1683.25629336</v>
      </c>
      <c r="AU280" s="21" t="n">
        <f aca="false">IF(ISBLANK(Actuals!AV100),-1586.17*Escalation!$B$44,Actuals!AV100)</f>
        <v>-1683.25629336</v>
      </c>
      <c r="AV280" s="21" t="n">
        <f aca="false">IF(ISBLANK(Actuals!AW100),-1586.17*Escalation!$B$45,Actuals!AW100)</f>
        <v>-1683.25629336</v>
      </c>
      <c r="AW280" s="21" t="n">
        <f aca="false">IF(ISBLANK(Actuals!AX100),-1586.17*Escalation!$B$46,Actuals!AX100)</f>
        <v>-1683.25629336</v>
      </c>
      <c r="AX280" s="21" t="n">
        <f aca="false">IF(ISBLANK(Actuals!AY100),-1586.17*Escalation!$B$47,Actuals!AY100)</f>
        <v>-1683.25629336</v>
      </c>
      <c r="AY280" s="21" t="n">
        <f aca="false">IF(ISBLANK(Actuals!AZ100),-1586.17*Escalation!$B$48,Actuals!AZ100)</f>
        <v>-1683.25629336</v>
      </c>
      <c r="AZ280" s="21" t="n">
        <f aca="false">IF(ISBLANK(Actuals!BA100),-1586.17*Escalation!$B$49,Actuals!BA100)</f>
        <v>-1683.25629336</v>
      </c>
      <c r="BA280" s="21" t="n">
        <f aca="false">IF(ISBLANK(Actuals!BB100),-1586.17*Escalation!$B$50,Actuals!BB100)</f>
        <v>-1716.9214192272</v>
      </c>
      <c r="BB280" s="21" t="n">
        <f aca="false">IF(ISBLANK(Actuals!BC100),-1586.17*Escalation!$B$51,Actuals!BC100)</f>
        <v>-1716.9214192272</v>
      </c>
      <c r="BC280" s="21" t="n">
        <f aca="false">IF(ISBLANK(Actuals!BD100),-1586.17*Escalation!$B$52,Actuals!BD100)</f>
        <v>-1716.9214192272</v>
      </c>
      <c r="BD280" s="21" t="n">
        <f aca="false">IF(ISBLANK(Actuals!BE100),-1586.17*Escalation!$B$53,Actuals!BE100)</f>
        <v>-1716.9214192272</v>
      </c>
      <c r="BE280" s="21" t="n">
        <f aca="false">IF(ISBLANK(Actuals!BF100),-1586.17*Escalation!$B$54,Actuals!BF100)</f>
        <v>-1716.9214192272</v>
      </c>
      <c r="BF280" s="21" t="n">
        <f aca="false">IF(ISBLANK(Actuals!BG100),-1586.17*Escalation!$B$55,Actuals!BG100)</f>
        <v>-1716.9214192272</v>
      </c>
      <c r="BG280" s="21" t="n">
        <f aca="false">IF(ISBLANK(Actuals!BH100),-1586.17*Escalation!$B$56,Actuals!BH100)</f>
        <v>-1716.9214192272</v>
      </c>
      <c r="BH280" s="21" t="n">
        <f aca="false">IF(ISBLANK(Actuals!BI100),-1586.17*Escalation!$B$57,Actuals!BI100)</f>
        <v>-1716.9214192272</v>
      </c>
      <c r="BI280" s="21" t="n">
        <f aca="false">IF(ISBLANK(Actuals!BJ100),-1586.17*Escalation!$B$58,Actuals!BJ100)</f>
        <v>-1716.9214192272</v>
      </c>
      <c r="BJ280" s="21" t="n">
        <f aca="false">IF(ISBLANK(Actuals!BK100),-1586.17*Escalation!$B$59,Actuals!BK100)</f>
        <v>-1716.9214192272</v>
      </c>
      <c r="BK280" s="21" t="n">
        <f aca="false">IF(ISBLANK(Actuals!BL100),-1586.17*Escalation!$B$60,Actuals!BL100)</f>
        <v>-1716.9214192272</v>
      </c>
      <c r="BL280" s="21" t="n">
        <f aca="false">IF(ISBLANK(Actuals!BM100),-1586.17*Escalation!$B$61,Actuals!BM100)</f>
        <v>-1716.9214192272</v>
      </c>
      <c r="BM280" s="21" t="n">
        <f aca="false">IF(ISBLANK(Actuals!BN100),-1586.17*Escalation!$B$62,Actuals!BN100)</f>
        <v>-1751.25984761174</v>
      </c>
      <c r="BN280" s="21" t="n">
        <f aca="false">IF(ISBLANK(Actuals!BO100),-1586.17*Escalation!$B$63,Actuals!BO100)</f>
        <v>-1751.25984761174</v>
      </c>
      <c r="BO280" s="21" t="n">
        <f aca="false">IF(ISBLANK(Actuals!BP100),-1586.17*Escalation!$B$64,Actuals!BP100)</f>
        <v>-1751.25984761174</v>
      </c>
      <c r="BP280" s="21" t="n">
        <f aca="false">IF(ISBLANK(Actuals!BQ100),-1586.17*Escalation!$B$65,Actuals!BQ100)</f>
        <v>-1751.25984761174</v>
      </c>
      <c r="BQ280" s="21" t="n">
        <f aca="false">IF(ISBLANK(Actuals!BR100),-1586.17*Escalation!$B$66,Actuals!BR100)</f>
        <v>-1751.25984761174</v>
      </c>
      <c r="BR280" s="21" t="n">
        <f aca="false">IF(ISBLANK(Actuals!BS100),-1586.17*Escalation!$B$67,Actuals!BS100)</f>
        <v>-1751.25984761174</v>
      </c>
      <c r="BS280" s="21" t="n">
        <f aca="false">IF(ISBLANK(Actuals!BT100),-1586.17*Escalation!$B$68,Actuals!BT100)</f>
        <v>-1751.25984761174</v>
      </c>
      <c r="BT280" s="21" t="n">
        <f aca="false">IF(ISBLANK(Actuals!BU100),-1586.17*Escalation!$B$69,Actuals!BU100)</f>
        <v>-1751.25984761174</v>
      </c>
      <c r="BU280" s="21" t="n">
        <f aca="false">IF(ISBLANK(Actuals!BV100),-1586.17*Escalation!$B$70,Actuals!BV100)</f>
        <v>-1751.25984761174</v>
      </c>
      <c r="BV280" s="21" t="n">
        <f aca="false">IF(ISBLANK(Actuals!BW100),-1586.17*Escalation!$B$71,Actuals!BW100)</f>
        <v>-1751.25984761174</v>
      </c>
      <c r="BW280" s="21" t="n">
        <f aca="false">IF(ISBLANK(Actuals!BX100),-1586.17*Escalation!$B$72,Actuals!BX100)</f>
        <v>-1751.25984761174</v>
      </c>
      <c r="BX280" s="21" t="n">
        <f aca="false">IF(ISBLANK(Actuals!BY100),-1586.17*Escalation!$B$73,Actuals!BY100)</f>
        <v>-1751.25984761174</v>
      </c>
      <c r="BY280" s="21" t="n">
        <f aca="false">IF(ISBLANK(Actuals!BZ100),-1586.17*Escalation!$B$74,Actuals!BZ100)</f>
        <v>-1786.28504456398</v>
      </c>
      <c r="BZ280" s="21" t="n">
        <f aca="false">IF(ISBLANK(Actuals!CA100),-1586.17*Escalation!$B$75,Actuals!CA100)</f>
        <v>-1786.28504456398</v>
      </c>
      <c r="CA280" s="21" t="n">
        <f aca="false">IF(ISBLANK(Actuals!CB100),-1586.17*Escalation!$B$76,Actuals!CB100)</f>
        <v>-1786.28504456398</v>
      </c>
      <c r="CB280" s="21" t="n">
        <f aca="false">IF(ISBLANK(Actuals!CC100),-1586.17*Escalation!$B$77,Actuals!CC100)</f>
        <v>-1786.28504456398</v>
      </c>
      <c r="CC280" s="21" t="n">
        <f aca="false">IF(ISBLANK(Actuals!CD100),-1586.17*Escalation!$B$78,Actuals!CD100)</f>
        <v>-1786.28504456398</v>
      </c>
      <c r="CD280" s="21" t="n">
        <f aca="false">IF(ISBLANK(Actuals!CE100),-1586.17*Escalation!$B$79,Actuals!CE100)</f>
        <v>-1786.28504456398</v>
      </c>
      <c r="CE280" s="21" t="n">
        <f aca="false">IF(ISBLANK(Actuals!CF100),-1586.17*Escalation!$B$80,Actuals!CF100)</f>
        <v>-1786.28504456398</v>
      </c>
      <c r="CF280" s="21" t="n">
        <f aca="false">IF(ISBLANK(Actuals!CG100),-1586.17*Escalation!$B$81,Actuals!CG100)</f>
        <v>-1786.28504456398</v>
      </c>
      <c r="CG280" s="21" t="n">
        <f aca="false">IF(ISBLANK(Actuals!CH100),-1586.17*Escalation!$B$82,Actuals!CH100)</f>
        <v>-1786.28504456398</v>
      </c>
      <c r="CH280" s="21" t="n">
        <f aca="false">IF(ISBLANK(Actuals!CI100),-1586.17*Escalation!$B$83,Actuals!CI100)</f>
        <v>-1786.28504456398</v>
      </c>
      <c r="CI280" s="21" t="n">
        <f aca="false">IF(ISBLANK(Actuals!CJ100),-1586.17*Escalation!$B$84,Actuals!CJ100)</f>
        <v>-1786.28504456398</v>
      </c>
      <c r="CJ280" s="21" t="n">
        <f aca="false">IF(ISBLANK(Actuals!CK100),-1586.17*Escalation!$B$85,Actuals!CK100)</f>
        <v>-1786.28504456398</v>
      </c>
      <c r="CK280" s="21" t="n">
        <f aca="false">IF(ISBLANK(Actuals!CL100),-1586.17*Escalation!$B$86,Actuals!CL100)</f>
        <v>-1822.01074545526</v>
      </c>
      <c r="CL280" s="21" t="n">
        <f aca="false">IF(ISBLANK(Actuals!CM100),-1586.17*Escalation!$B$87,Actuals!CM100)</f>
        <v>-1822.01074545526</v>
      </c>
      <c r="CM280" s="21" t="n">
        <f aca="false">IF(ISBLANK(Actuals!CN100),-1586.17*Escalation!$B$88,Actuals!CN100)</f>
        <v>-1822.01074545526</v>
      </c>
      <c r="CN280" s="21" t="n">
        <f aca="false">IF(ISBLANK(Actuals!CO100),-1586.17*Escalation!$B$89,Actuals!CO100)</f>
        <v>-1822.01074545526</v>
      </c>
      <c r="CO280" s="21" t="n">
        <f aca="false">IF(ISBLANK(Actuals!CP100),-1586.17*Escalation!$B$90,Actuals!CP100)</f>
        <v>-1822.01074545526</v>
      </c>
      <c r="CP280" s="21" t="n">
        <f aca="false">IF(ISBLANK(Actuals!CQ100),-1586.17*Escalation!$B$91,Actuals!CQ100)</f>
        <v>-1822.01074545526</v>
      </c>
      <c r="CQ280" s="21" t="n">
        <f aca="false">IF(ISBLANK(Actuals!CR100),-1586.17*Escalation!$B$92,Actuals!CR100)</f>
        <v>-1822.01074545526</v>
      </c>
      <c r="CR280" s="21" t="n">
        <f aca="false">IF(ISBLANK(Actuals!CS100),-1586.17*Escalation!$B$93,Actuals!CS100)</f>
        <v>-1822.01074545526</v>
      </c>
      <c r="CS280" s="21" t="n">
        <f aca="false">IF(ISBLANK(Actuals!CT100),-1586.17*Escalation!$B$94,Actuals!CT100)</f>
        <v>-1822.01074545526</v>
      </c>
      <c r="CT280" s="21" t="n">
        <f aca="false">IF(ISBLANK(Actuals!CU100),-1586.17*Escalation!$B$95,Actuals!CU100)</f>
        <v>-1822.01074545526</v>
      </c>
      <c r="CU280" s="21" t="n">
        <f aca="false">IF(ISBLANK(Actuals!CV100),-1586.17*Escalation!$B$96,Actuals!CV100)</f>
        <v>-1822.01074545526</v>
      </c>
      <c r="CV280" s="21" t="n">
        <f aca="false">IF(ISBLANK(Actuals!CW100),-1586.17*Escalation!$B$97,Actuals!CW100)</f>
        <v>-1822.01074545526</v>
      </c>
      <c r="CW280" s="21" t="n">
        <f aca="false">IF(ISBLANK(Actuals!CX100),-1586.17*Escalation!$B$98,Actuals!CX100)</f>
        <v>-1858.45096036436</v>
      </c>
      <c r="CX280" s="21" t="n">
        <f aca="false">IF(ISBLANK(Actuals!CY100),-1586.17*Escalation!$B$99,Actuals!CY100)</f>
        <v>-1858.45096036436</v>
      </c>
      <c r="CY280" s="21" t="n">
        <f aca="false">IF(ISBLANK(Actuals!CZ100),-1586.17*Escalation!$B$100,Actuals!CZ100)</f>
        <v>-1858.45096036436</v>
      </c>
      <c r="CZ280" s="21" t="n">
        <f aca="false">IF(ISBLANK(Actuals!DA100),-1586.17*Escalation!$B$101,Actuals!DA100)</f>
        <v>-1858.45096036436</v>
      </c>
      <c r="DA280" s="21" t="n">
        <f aca="false">IF(ISBLANK(Actuals!DB100),-1586.17*Escalation!$B$102,Actuals!DB100)</f>
        <v>-1858.45096036436</v>
      </c>
      <c r="DB280" s="21" t="n">
        <f aca="false">IF(ISBLANK(Actuals!DC100),-1586.17*Escalation!$B$103,Actuals!DC100)</f>
        <v>-1858.45096036436</v>
      </c>
      <c r="DC280" s="21" t="n">
        <f aca="false">IF(ISBLANK(Actuals!DD100),-1586.17*Escalation!$B$104,Actuals!DD100)</f>
        <v>-1858.45096036436</v>
      </c>
      <c r="DD280" s="21" t="n">
        <f aca="false">IF(ISBLANK(Actuals!DE100),-1586.17*Escalation!$B$105,Actuals!DE100)</f>
        <v>-1858.45096036436</v>
      </c>
      <c r="DE280" s="21" t="n">
        <f aca="false">IF(ISBLANK(Actuals!DF100),-1586.17*Escalation!$B$106,Actuals!DF100)</f>
        <v>-1858.45096036436</v>
      </c>
    </row>
    <row r="281" customFormat="false" ht="15" hidden="false" customHeight="true" outlineLevel="0" collapsed="false">
      <c r="A281" s="35" t="s">
        <v>129</v>
      </c>
      <c r="B281" s="21" t="n">
        <f aca="false">IF(ISBLANK(Actuals!C101),0,Actuals!C101)</f>
        <v>-341.83</v>
      </c>
      <c r="C281" s="21" t="n">
        <f aca="false">IF(ISBLANK(Actuals!D101),0,Actuals!D101)</f>
        <v>-728</v>
      </c>
      <c r="D281" s="21" t="n">
        <f aca="false">IF(ISBLANK(Actuals!E101),0,Actuals!E101)</f>
        <v>-15256.75</v>
      </c>
      <c r="E281" s="21" t="n">
        <f aca="false">IF(ISBLANK(Actuals!F101),-5442.19*Escalation!$B$2,Actuals!F101)</f>
        <v>-1033.41</v>
      </c>
      <c r="F281" s="21" t="n">
        <f aca="false">IF(ISBLANK(Actuals!G101),-5442.19*Escalation!$B$3,Actuals!G101)</f>
        <v>-3499</v>
      </c>
      <c r="G281" s="21" t="n">
        <f aca="false">IF(ISBLANK(Actuals!H101),-5442.19*Escalation!$B$4,Actuals!H101)</f>
        <v>-1033.41</v>
      </c>
      <c r="H281" s="21" t="n">
        <f aca="false">IF(ISBLANK(Actuals!I101),-5442.19*Escalation!$B$5,Actuals!I101)</f>
        <v>-537.06</v>
      </c>
      <c r="I281" s="21" t="n">
        <f aca="false">IF(ISBLANK(Actuals!J101),-5442.19*Escalation!$B$6,Actuals!J101)</f>
        <v>-1903.22</v>
      </c>
      <c r="J281" s="21" t="n">
        <f aca="false">IF(ISBLANK(Actuals!K101),-5442.19*Escalation!$B$7,Actuals!K101)</f>
        <v>-5442.19</v>
      </c>
      <c r="K281" s="21" t="n">
        <f aca="false">IF(ISBLANK(Actuals!L101),-5442.19*Escalation!$B$8,Actuals!L101)</f>
        <v>-5442.19</v>
      </c>
      <c r="L281" s="21" t="n">
        <f aca="false">IF(ISBLANK(Actuals!M101),-5442.19*Escalation!$B$9,Actuals!M101)</f>
        <v>-5442.19</v>
      </c>
      <c r="M281" s="21" t="n">
        <f aca="false">IF(ISBLANK(Actuals!N101),-5442.19*Escalation!$B$10,Actuals!N101)</f>
        <v>-5442.19</v>
      </c>
      <c r="N281" s="21" t="n">
        <f aca="false">IF(ISBLANK(Actuals!O101),-5442.19*Escalation!$B$11,Actuals!O101)</f>
        <v>-5442.19</v>
      </c>
      <c r="O281" s="21" t="n">
        <f aca="false">IF(ISBLANK(Actuals!P101),-5442.19*Escalation!$B$12,Actuals!P101)</f>
        <v>-5442.19</v>
      </c>
      <c r="P281" s="21" t="n">
        <f aca="false">IF(ISBLANK(Actuals!Q101),-5442.19*Escalation!$B$13,Actuals!Q101)</f>
        <v>-5442.19</v>
      </c>
      <c r="Q281" s="21" t="n">
        <f aca="false">IF(ISBLANK(Actuals!R101),-5442.19*Escalation!$B$14,Actuals!R101)</f>
        <v>-5551.0338</v>
      </c>
      <c r="R281" s="21" t="n">
        <f aca="false">IF(ISBLANK(Actuals!S101),-5442.19*Escalation!$B$15,Actuals!S101)</f>
        <v>-5551.0338</v>
      </c>
      <c r="S281" s="21" t="n">
        <f aca="false">IF(ISBLANK(Actuals!T101),-5442.19*Escalation!$B$16,Actuals!T101)</f>
        <v>-5551.0338</v>
      </c>
      <c r="T281" s="21" t="n">
        <f aca="false">IF(ISBLANK(Actuals!U101),-5442.19*Escalation!$B$17,Actuals!U101)</f>
        <v>-5551.0338</v>
      </c>
      <c r="U281" s="21" t="n">
        <f aca="false">IF(ISBLANK(Actuals!V101),-5442.19*Escalation!$B$18,Actuals!V101)</f>
        <v>-5551.0338</v>
      </c>
      <c r="V281" s="21" t="n">
        <f aca="false">IF(ISBLANK(Actuals!W101),-5442.19*Escalation!$B$19,Actuals!W101)</f>
        <v>-5551.0338</v>
      </c>
      <c r="W281" s="21" t="n">
        <f aca="false">IF(ISBLANK(Actuals!X101),-5442.19*Escalation!$B$20,Actuals!X101)</f>
        <v>-5551.0338</v>
      </c>
      <c r="X281" s="21" t="n">
        <f aca="false">IF(ISBLANK(Actuals!Y101),-5442.19*Escalation!$B$21,Actuals!Y101)</f>
        <v>-5551.0338</v>
      </c>
      <c r="Y281" s="21" t="n">
        <f aca="false">IF(ISBLANK(Actuals!Z101),-5442.19*Escalation!$B$22,Actuals!Z101)</f>
        <v>-5551.0338</v>
      </c>
      <c r="Z281" s="21" t="n">
        <f aca="false">IF(ISBLANK(Actuals!AA101),-5442.19*Escalation!$B$23,Actuals!AA101)</f>
        <v>-5551.0338</v>
      </c>
      <c r="AA281" s="21" t="n">
        <f aca="false">IF(ISBLANK(Actuals!AB101),-5442.19*Escalation!$B$24,Actuals!AB101)</f>
        <v>-5551.0338</v>
      </c>
      <c r="AB281" s="21" t="n">
        <f aca="false">IF(ISBLANK(Actuals!AC101),-5442.19*Escalation!$B$25,Actuals!AC101)</f>
        <v>-5551.0338</v>
      </c>
      <c r="AC281" s="21" t="n">
        <f aca="false">IF(ISBLANK(Actuals!AD101),-5442.19*Escalation!$B$26,Actuals!AD101)</f>
        <v>-5662.054476</v>
      </c>
      <c r="AD281" s="21" t="n">
        <f aca="false">IF(ISBLANK(Actuals!AE101),-5442.19*Escalation!$B$27,Actuals!AE101)</f>
        <v>-5662.054476</v>
      </c>
      <c r="AE281" s="21" t="n">
        <f aca="false">IF(ISBLANK(Actuals!AF101),-5442.19*Escalation!$B$28,Actuals!AF101)</f>
        <v>-5662.054476</v>
      </c>
      <c r="AF281" s="21" t="n">
        <f aca="false">IF(ISBLANK(Actuals!AG101),-5442.19*Escalation!$B$29,Actuals!AG101)</f>
        <v>-5662.054476</v>
      </c>
      <c r="AG281" s="21" t="n">
        <f aca="false">IF(ISBLANK(Actuals!AH101),-5442.19*Escalation!$B$30,Actuals!AH101)</f>
        <v>-5662.054476</v>
      </c>
      <c r="AH281" s="21" t="n">
        <f aca="false">IF(ISBLANK(Actuals!AI101),-5442.19*Escalation!$B$31,Actuals!AI101)</f>
        <v>-5662.054476</v>
      </c>
      <c r="AI281" s="21" t="n">
        <f aca="false">IF(ISBLANK(Actuals!AJ101),-5442.19*Escalation!$B$32,Actuals!AJ101)</f>
        <v>-5662.054476</v>
      </c>
      <c r="AJ281" s="21" t="n">
        <f aca="false">IF(ISBLANK(Actuals!AK101),-5442.19*Escalation!$B$33,Actuals!AK101)</f>
        <v>-5662.054476</v>
      </c>
      <c r="AK281" s="21" t="n">
        <f aca="false">IF(ISBLANK(Actuals!AL101),-5442.19*Escalation!$B$34,Actuals!AL101)</f>
        <v>-5662.054476</v>
      </c>
      <c r="AL281" s="21" t="n">
        <f aca="false">IF(ISBLANK(Actuals!AM101),-5442.19*Escalation!$B$35,Actuals!AM101)</f>
        <v>-5662.054476</v>
      </c>
      <c r="AM281" s="21" t="n">
        <f aca="false">IF(ISBLANK(Actuals!AN101),-5442.19*Escalation!$B$36,Actuals!AN101)</f>
        <v>-5662.054476</v>
      </c>
      <c r="AN281" s="21" t="n">
        <f aca="false">IF(ISBLANK(Actuals!AO101),-5442.19*Escalation!$B$37,Actuals!AO101)</f>
        <v>-5662.054476</v>
      </c>
      <c r="AO281" s="21" t="n">
        <f aca="false">IF(ISBLANK(Actuals!AP101),-5442.19*Escalation!$B$38,Actuals!AP101)</f>
        <v>-5775.29556552</v>
      </c>
      <c r="AP281" s="21" t="n">
        <f aca="false">IF(ISBLANK(Actuals!AQ101),-5442.19*Escalation!$B$39,Actuals!AQ101)</f>
        <v>-5775.29556552</v>
      </c>
      <c r="AQ281" s="21" t="n">
        <f aca="false">IF(ISBLANK(Actuals!AR101),-5442.19*Escalation!$B$40,Actuals!AR101)</f>
        <v>-5775.29556552</v>
      </c>
      <c r="AR281" s="21" t="n">
        <f aca="false">IF(ISBLANK(Actuals!AS101),-5442.19*Escalation!$B$41,Actuals!AS101)</f>
        <v>-5775.29556552</v>
      </c>
      <c r="AS281" s="21" t="n">
        <f aca="false">IF(ISBLANK(Actuals!AT101),-5442.19*Escalation!$B$42,Actuals!AT101)</f>
        <v>-5775.29556552</v>
      </c>
      <c r="AT281" s="21" t="n">
        <f aca="false">IF(ISBLANK(Actuals!AU101),-5442.19*Escalation!$B$43,Actuals!AU101)</f>
        <v>-5775.29556552</v>
      </c>
      <c r="AU281" s="21" t="n">
        <f aca="false">IF(ISBLANK(Actuals!AV101),-5442.19*Escalation!$B$44,Actuals!AV101)</f>
        <v>-5775.29556552</v>
      </c>
      <c r="AV281" s="21" t="n">
        <f aca="false">IF(ISBLANK(Actuals!AW101),-5442.19*Escalation!$B$45,Actuals!AW101)</f>
        <v>-5775.29556552</v>
      </c>
      <c r="AW281" s="21" t="n">
        <f aca="false">IF(ISBLANK(Actuals!AX101),-5442.19*Escalation!$B$46,Actuals!AX101)</f>
        <v>-5775.29556552</v>
      </c>
      <c r="AX281" s="21" t="n">
        <f aca="false">IF(ISBLANK(Actuals!AY101),-5442.19*Escalation!$B$47,Actuals!AY101)</f>
        <v>-5775.29556552</v>
      </c>
      <c r="AY281" s="21" t="n">
        <f aca="false">IF(ISBLANK(Actuals!AZ101),-5442.19*Escalation!$B$48,Actuals!AZ101)</f>
        <v>-5775.29556552</v>
      </c>
      <c r="AZ281" s="21" t="n">
        <f aca="false">IF(ISBLANK(Actuals!BA101),-5442.19*Escalation!$B$49,Actuals!BA101)</f>
        <v>-5775.29556552</v>
      </c>
      <c r="BA281" s="21" t="n">
        <f aca="false">IF(ISBLANK(Actuals!BB101),-5442.19*Escalation!$B$50,Actuals!BB101)</f>
        <v>-5890.8014768304</v>
      </c>
      <c r="BB281" s="21" t="n">
        <f aca="false">IF(ISBLANK(Actuals!BC101),-5442.19*Escalation!$B$51,Actuals!BC101)</f>
        <v>-5890.8014768304</v>
      </c>
      <c r="BC281" s="21" t="n">
        <f aca="false">IF(ISBLANK(Actuals!BD101),-5442.19*Escalation!$B$52,Actuals!BD101)</f>
        <v>-5890.8014768304</v>
      </c>
      <c r="BD281" s="21" t="n">
        <f aca="false">IF(ISBLANK(Actuals!BE101),-5442.19*Escalation!$B$53,Actuals!BE101)</f>
        <v>-5890.8014768304</v>
      </c>
      <c r="BE281" s="21" t="n">
        <f aca="false">IF(ISBLANK(Actuals!BF101),-5442.19*Escalation!$B$54,Actuals!BF101)</f>
        <v>-5890.8014768304</v>
      </c>
      <c r="BF281" s="21" t="n">
        <f aca="false">IF(ISBLANK(Actuals!BG101),-5442.19*Escalation!$B$55,Actuals!BG101)</f>
        <v>-5890.8014768304</v>
      </c>
      <c r="BG281" s="21" t="n">
        <f aca="false">IF(ISBLANK(Actuals!BH101),-5442.19*Escalation!$B$56,Actuals!BH101)</f>
        <v>-5890.8014768304</v>
      </c>
      <c r="BH281" s="21" t="n">
        <f aca="false">IF(ISBLANK(Actuals!BI101),-5442.19*Escalation!$B$57,Actuals!BI101)</f>
        <v>-5890.8014768304</v>
      </c>
      <c r="BI281" s="21" t="n">
        <f aca="false">IF(ISBLANK(Actuals!BJ101),-5442.19*Escalation!$B$58,Actuals!BJ101)</f>
        <v>-5890.8014768304</v>
      </c>
      <c r="BJ281" s="21" t="n">
        <f aca="false">IF(ISBLANK(Actuals!BK101),-5442.19*Escalation!$B$59,Actuals!BK101)</f>
        <v>-5890.8014768304</v>
      </c>
      <c r="BK281" s="21" t="n">
        <f aca="false">IF(ISBLANK(Actuals!BL101),-5442.19*Escalation!$B$60,Actuals!BL101)</f>
        <v>-5890.8014768304</v>
      </c>
      <c r="BL281" s="21" t="n">
        <f aca="false">IF(ISBLANK(Actuals!BM101),-5442.19*Escalation!$B$61,Actuals!BM101)</f>
        <v>-5890.8014768304</v>
      </c>
      <c r="BM281" s="21" t="n">
        <f aca="false">IF(ISBLANK(Actuals!BN101),-5442.19*Escalation!$B$62,Actuals!BN101)</f>
        <v>-6008.61750636701</v>
      </c>
      <c r="BN281" s="21" t="n">
        <f aca="false">IF(ISBLANK(Actuals!BO101),-5442.19*Escalation!$B$63,Actuals!BO101)</f>
        <v>-6008.61750636701</v>
      </c>
      <c r="BO281" s="21" t="n">
        <f aca="false">IF(ISBLANK(Actuals!BP101),-5442.19*Escalation!$B$64,Actuals!BP101)</f>
        <v>-6008.61750636701</v>
      </c>
      <c r="BP281" s="21" t="n">
        <f aca="false">IF(ISBLANK(Actuals!BQ101),-5442.19*Escalation!$B$65,Actuals!BQ101)</f>
        <v>-6008.61750636701</v>
      </c>
      <c r="BQ281" s="21" t="n">
        <f aca="false">IF(ISBLANK(Actuals!BR101),-5442.19*Escalation!$B$66,Actuals!BR101)</f>
        <v>-6008.61750636701</v>
      </c>
      <c r="BR281" s="21" t="n">
        <f aca="false">IF(ISBLANK(Actuals!BS101),-5442.19*Escalation!$B$67,Actuals!BS101)</f>
        <v>-6008.61750636701</v>
      </c>
      <c r="BS281" s="21" t="n">
        <f aca="false">IF(ISBLANK(Actuals!BT101),-5442.19*Escalation!$B$68,Actuals!BT101)</f>
        <v>-6008.61750636701</v>
      </c>
      <c r="BT281" s="21" t="n">
        <f aca="false">IF(ISBLANK(Actuals!BU101),-5442.19*Escalation!$B$69,Actuals!BU101)</f>
        <v>-6008.61750636701</v>
      </c>
      <c r="BU281" s="21" t="n">
        <f aca="false">IF(ISBLANK(Actuals!BV101),-5442.19*Escalation!$B$70,Actuals!BV101)</f>
        <v>-6008.61750636701</v>
      </c>
      <c r="BV281" s="21" t="n">
        <f aca="false">IF(ISBLANK(Actuals!BW101),-5442.19*Escalation!$B$71,Actuals!BW101)</f>
        <v>-6008.61750636701</v>
      </c>
      <c r="BW281" s="21" t="n">
        <f aca="false">IF(ISBLANK(Actuals!BX101),-5442.19*Escalation!$B$72,Actuals!BX101)</f>
        <v>-6008.61750636701</v>
      </c>
      <c r="BX281" s="21" t="n">
        <f aca="false">IF(ISBLANK(Actuals!BY101),-5442.19*Escalation!$B$73,Actuals!BY101)</f>
        <v>-6008.61750636701</v>
      </c>
      <c r="BY281" s="21" t="n">
        <f aca="false">IF(ISBLANK(Actuals!BZ101),-5442.19*Escalation!$B$74,Actuals!BZ101)</f>
        <v>-6128.78985649435</v>
      </c>
      <c r="BZ281" s="21" t="n">
        <f aca="false">IF(ISBLANK(Actuals!CA101),-5442.19*Escalation!$B$75,Actuals!CA101)</f>
        <v>-6128.78985649435</v>
      </c>
      <c r="CA281" s="21" t="n">
        <f aca="false">IF(ISBLANK(Actuals!CB101),-5442.19*Escalation!$B$76,Actuals!CB101)</f>
        <v>-6128.78985649435</v>
      </c>
      <c r="CB281" s="21" t="n">
        <f aca="false">IF(ISBLANK(Actuals!CC101),-5442.19*Escalation!$B$77,Actuals!CC101)</f>
        <v>-6128.78985649435</v>
      </c>
      <c r="CC281" s="21" t="n">
        <f aca="false">IF(ISBLANK(Actuals!CD101),-5442.19*Escalation!$B$78,Actuals!CD101)</f>
        <v>-6128.78985649435</v>
      </c>
      <c r="CD281" s="21" t="n">
        <f aca="false">IF(ISBLANK(Actuals!CE101),-5442.19*Escalation!$B$79,Actuals!CE101)</f>
        <v>-6128.78985649435</v>
      </c>
      <c r="CE281" s="21" t="n">
        <f aca="false">IF(ISBLANK(Actuals!CF101),-5442.19*Escalation!$B$80,Actuals!CF101)</f>
        <v>-6128.78985649435</v>
      </c>
      <c r="CF281" s="21" t="n">
        <f aca="false">IF(ISBLANK(Actuals!CG101),-5442.19*Escalation!$B$81,Actuals!CG101)</f>
        <v>-6128.78985649435</v>
      </c>
      <c r="CG281" s="21" t="n">
        <f aca="false">IF(ISBLANK(Actuals!CH101),-5442.19*Escalation!$B$82,Actuals!CH101)</f>
        <v>-6128.78985649435</v>
      </c>
      <c r="CH281" s="21" t="n">
        <f aca="false">IF(ISBLANK(Actuals!CI101),-5442.19*Escalation!$B$83,Actuals!CI101)</f>
        <v>-6128.78985649435</v>
      </c>
      <c r="CI281" s="21" t="n">
        <f aca="false">IF(ISBLANK(Actuals!CJ101),-5442.19*Escalation!$B$84,Actuals!CJ101)</f>
        <v>-6128.78985649435</v>
      </c>
      <c r="CJ281" s="21" t="n">
        <f aca="false">IF(ISBLANK(Actuals!CK101),-5442.19*Escalation!$B$85,Actuals!CK101)</f>
        <v>-6128.78985649435</v>
      </c>
      <c r="CK281" s="21" t="n">
        <f aca="false">IF(ISBLANK(Actuals!CL101),-5442.19*Escalation!$B$86,Actuals!CL101)</f>
        <v>-6251.36565362424</v>
      </c>
      <c r="CL281" s="21" t="n">
        <f aca="false">IF(ISBLANK(Actuals!CM101),-5442.19*Escalation!$B$87,Actuals!CM101)</f>
        <v>-6251.36565362424</v>
      </c>
      <c r="CM281" s="21" t="n">
        <f aca="false">IF(ISBLANK(Actuals!CN101),-5442.19*Escalation!$B$88,Actuals!CN101)</f>
        <v>-6251.36565362424</v>
      </c>
      <c r="CN281" s="21" t="n">
        <f aca="false">IF(ISBLANK(Actuals!CO101),-5442.19*Escalation!$B$89,Actuals!CO101)</f>
        <v>-6251.36565362424</v>
      </c>
      <c r="CO281" s="21" t="n">
        <f aca="false">IF(ISBLANK(Actuals!CP101),-5442.19*Escalation!$B$90,Actuals!CP101)</f>
        <v>-6251.36565362424</v>
      </c>
      <c r="CP281" s="21" t="n">
        <f aca="false">IF(ISBLANK(Actuals!CQ101),-5442.19*Escalation!$B$91,Actuals!CQ101)</f>
        <v>-6251.36565362424</v>
      </c>
      <c r="CQ281" s="21" t="n">
        <f aca="false">IF(ISBLANK(Actuals!CR101),-5442.19*Escalation!$B$92,Actuals!CR101)</f>
        <v>-6251.36565362424</v>
      </c>
      <c r="CR281" s="21" t="n">
        <f aca="false">IF(ISBLANK(Actuals!CS101),-5442.19*Escalation!$B$93,Actuals!CS101)</f>
        <v>-6251.36565362424</v>
      </c>
      <c r="CS281" s="21" t="n">
        <f aca="false">IF(ISBLANK(Actuals!CT101),-5442.19*Escalation!$B$94,Actuals!CT101)</f>
        <v>-6251.36565362424</v>
      </c>
      <c r="CT281" s="21" t="n">
        <f aca="false">IF(ISBLANK(Actuals!CU101),-5442.19*Escalation!$B$95,Actuals!CU101)</f>
        <v>-6251.36565362424</v>
      </c>
      <c r="CU281" s="21" t="n">
        <f aca="false">IF(ISBLANK(Actuals!CV101),-5442.19*Escalation!$B$96,Actuals!CV101)</f>
        <v>-6251.36565362424</v>
      </c>
      <c r="CV281" s="21" t="n">
        <f aca="false">IF(ISBLANK(Actuals!CW101),-5442.19*Escalation!$B$97,Actuals!CW101)</f>
        <v>-6251.36565362424</v>
      </c>
      <c r="CW281" s="21" t="n">
        <f aca="false">IF(ISBLANK(Actuals!CX101),-5442.19*Escalation!$B$98,Actuals!CX101)</f>
        <v>-6376.39296669672</v>
      </c>
      <c r="CX281" s="21" t="n">
        <f aca="false">IF(ISBLANK(Actuals!CY101),-5442.19*Escalation!$B$99,Actuals!CY101)</f>
        <v>-6376.39296669672</v>
      </c>
      <c r="CY281" s="21" t="n">
        <f aca="false">IF(ISBLANK(Actuals!CZ101),-5442.19*Escalation!$B$100,Actuals!CZ101)</f>
        <v>-6376.39296669672</v>
      </c>
      <c r="CZ281" s="21" t="n">
        <f aca="false">IF(ISBLANK(Actuals!DA101),-5442.19*Escalation!$B$101,Actuals!DA101)</f>
        <v>-6376.39296669672</v>
      </c>
      <c r="DA281" s="21" t="n">
        <f aca="false">IF(ISBLANK(Actuals!DB101),-5442.19*Escalation!$B$102,Actuals!DB101)</f>
        <v>-6376.39296669672</v>
      </c>
      <c r="DB281" s="21" t="n">
        <f aca="false">IF(ISBLANK(Actuals!DC101),-5442.19*Escalation!$B$103,Actuals!DC101)</f>
        <v>-6376.39296669672</v>
      </c>
      <c r="DC281" s="21" t="n">
        <f aca="false">IF(ISBLANK(Actuals!DD101),-5442.19*Escalation!$B$104,Actuals!DD101)</f>
        <v>-6376.39296669672</v>
      </c>
      <c r="DD281" s="21" t="n">
        <f aca="false">IF(ISBLANK(Actuals!DE101),-5442.19*Escalation!$B$105,Actuals!DE101)</f>
        <v>-6376.39296669672</v>
      </c>
      <c r="DE281" s="21" t="n">
        <f aca="false">IF(ISBLANK(Actuals!DF101),-5442.19*Escalation!$B$106,Actuals!DF101)</f>
        <v>-6376.39296669672</v>
      </c>
    </row>
    <row r="282" customFormat="false" ht="15" hidden="false" customHeight="true" outlineLevel="0" collapsed="false">
      <c r="A282" s="35" t="s">
        <v>130</v>
      </c>
      <c r="B282" s="21" t="n">
        <f aca="false">IF(ISBLANK(Actuals!C102),0,Actuals!C102)</f>
        <v>-1905.31</v>
      </c>
      <c r="C282" s="21" t="n">
        <f aca="false">IF(ISBLANK(Actuals!D102),0,Actuals!D102)</f>
        <v>-1905.31</v>
      </c>
      <c r="D282" s="21" t="n">
        <f aca="false">IF(ISBLANK(Actuals!E102),0,Actuals!E102)</f>
        <v>-1905.31</v>
      </c>
      <c r="E282" s="21" t="n">
        <f aca="false">IF(ISBLANK(Actuals!F102),-1905.31*Escalation!$B$2,Actuals!F102)</f>
        <v>-1905.31</v>
      </c>
      <c r="F282" s="21" t="n">
        <f aca="false">IF(ISBLANK(Actuals!G102),-1905.31*Escalation!$B$3,Actuals!G102)</f>
        <v>-1905.31</v>
      </c>
      <c r="G282" s="21" t="n">
        <f aca="false">IF(ISBLANK(Actuals!H102),-1905.31*Escalation!$B$4,Actuals!H102)</f>
        <v>-1905.31</v>
      </c>
      <c r="H282" s="21" t="n">
        <f aca="false">IF(ISBLANK(Actuals!I102),-1905.31*Escalation!$B$5,Actuals!I102)</f>
        <v>-1905.31</v>
      </c>
      <c r="I282" s="21" t="n">
        <f aca="false">IF(ISBLANK(Actuals!J102),-1905.31*Escalation!$B$6,Actuals!J102)</f>
        <v>-1905.31</v>
      </c>
      <c r="J282" s="21" t="n">
        <f aca="false">IF(ISBLANK(Actuals!K102),-1905.31*Escalation!$B$7,Actuals!K102)</f>
        <v>-1905.31</v>
      </c>
      <c r="K282" s="21" t="n">
        <f aca="false">IF(ISBLANK(Actuals!L102),-1905.31*Escalation!$B$8,Actuals!L102)</f>
        <v>-1905.31</v>
      </c>
      <c r="L282" s="21" t="n">
        <f aca="false">IF(ISBLANK(Actuals!M102),-1905.31*Escalation!$B$9,Actuals!M102)</f>
        <v>-1905.31</v>
      </c>
      <c r="M282" s="21" t="n">
        <f aca="false">IF(ISBLANK(Actuals!N102),-1905.31*Escalation!$B$10,Actuals!N102)</f>
        <v>-1905.31</v>
      </c>
      <c r="N282" s="21" t="n">
        <f aca="false">IF(ISBLANK(Actuals!O102),-1905.31*Escalation!$B$11,Actuals!O102)</f>
        <v>-1905.31</v>
      </c>
      <c r="O282" s="21" t="n">
        <f aca="false">IF(ISBLANK(Actuals!P102),-1905.31*Escalation!$B$12,Actuals!P102)</f>
        <v>-1905.31</v>
      </c>
      <c r="P282" s="21" t="n">
        <f aca="false">IF(ISBLANK(Actuals!Q102),-1905.31*Escalation!$B$13,Actuals!Q102)</f>
        <v>-1905.31</v>
      </c>
      <c r="Q282" s="21" t="n">
        <f aca="false">IF(ISBLANK(Actuals!R102),-1905.31*Escalation!$B$14,Actuals!R102)</f>
        <v>-1943.4162</v>
      </c>
      <c r="R282" s="21" t="n">
        <f aca="false">IF(ISBLANK(Actuals!S102),-1905.31*Escalation!$B$15,Actuals!S102)</f>
        <v>-1943.4162</v>
      </c>
      <c r="S282" s="21" t="n">
        <f aca="false">IF(ISBLANK(Actuals!T102),-1905.31*Escalation!$B$16,Actuals!T102)</f>
        <v>-1943.4162</v>
      </c>
      <c r="T282" s="21" t="n">
        <f aca="false">IF(ISBLANK(Actuals!U102),-1905.31*Escalation!$B$17,Actuals!U102)</f>
        <v>-1943.4162</v>
      </c>
      <c r="U282" s="21" t="n">
        <f aca="false">IF(ISBLANK(Actuals!V102),-1905.31*Escalation!$B$18,Actuals!V102)</f>
        <v>-1943.4162</v>
      </c>
      <c r="V282" s="21" t="n">
        <f aca="false">IF(ISBLANK(Actuals!W102),-1905.31*Escalation!$B$19,Actuals!W102)</f>
        <v>-1943.4162</v>
      </c>
      <c r="W282" s="21" t="n">
        <f aca="false">IF(ISBLANK(Actuals!X102),-1905.31*Escalation!$B$20,Actuals!X102)</f>
        <v>-1943.4162</v>
      </c>
      <c r="X282" s="21" t="n">
        <f aca="false">IF(ISBLANK(Actuals!Y102),-1905.31*Escalation!$B$21,Actuals!Y102)</f>
        <v>-1943.4162</v>
      </c>
      <c r="Y282" s="21" t="n">
        <f aca="false">IF(ISBLANK(Actuals!Z102),-1905.31*Escalation!$B$22,Actuals!Z102)</f>
        <v>-1943.4162</v>
      </c>
      <c r="Z282" s="21" t="n">
        <f aca="false">IF(ISBLANK(Actuals!AA102),-1905.31*Escalation!$B$23,Actuals!AA102)</f>
        <v>-1943.4162</v>
      </c>
      <c r="AA282" s="21" t="n">
        <f aca="false">IF(ISBLANK(Actuals!AB102),-1905.31*Escalation!$B$24,Actuals!AB102)</f>
        <v>-1943.4162</v>
      </c>
      <c r="AB282" s="21" t="n">
        <f aca="false">IF(ISBLANK(Actuals!AC102),-1905.31*Escalation!$B$25,Actuals!AC102)</f>
        <v>-1943.4162</v>
      </c>
      <c r="AC282" s="21" t="n">
        <f aca="false">IF(ISBLANK(Actuals!AD102),-1905.31*Escalation!$B$26,Actuals!AD102)</f>
        <v>-1982.284524</v>
      </c>
      <c r="AD282" s="21" t="n">
        <f aca="false">IF(ISBLANK(Actuals!AE102),-1905.31*Escalation!$B$27,Actuals!AE102)</f>
        <v>-1982.284524</v>
      </c>
      <c r="AE282" s="21" t="n">
        <f aca="false">IF(ISBLANK(Actuals!AF102),-1905.31*Escalation!$B$28,Actuals!AF102)</f>
        <v>-1982.284524</v>
      </c>
      <c r="AF282" s="21" t="n">
        <f aca="false">IF(ISBLANK(Actuals!AG102),-1905.31*Escalation!$B$29,Actuals!AG102)</f>
        <v>-1982.284524</v>
      </c>
      <c r="AG282" s="21" t="n">
        <f aca="false">IF(ISBLANK(Actuals!AH102),-1905.31*Escalation!$B$30,Actuals!AH102)</f>
        <v>-1982.284524</v>
      </c>
      <c r="AH282" s="21" t="n">
        <f aca="false">IF(ISBLANK(Actuals!AI102),-1905.31*Escalation!$B$31,Actuals!AI102)</f>
        <v>-1982.284524</v>
      </c>
      <c r="AI282" s="21" t="n">
        <f aca="false">IF(ISBLANK(Actuals!AJ102),-1905.31*Escalation!$B$32,Actuals!AJ102)</f>
        <v>-1982.284524</v>
      </c>
      <c r="AJ282" s="21" t="n">
        <f aca="false">IF(ISBLANK(Actuals!AK102),-1905.31*Escalation!$B$33,Actuals!AK102)</f>
        <v>-1982.284524</v>
      </c>
      <c r="AK282" s="21" t="n">
        <f aca="false">IF(ISBLANK(Actuals!AL102),-1905.31*Escalation!$B$34,Actuals!AL102)</f>
        <v>-1982.284524</v>
      </c>
      <c r="AL282" s="21" t="n">
        <f aca="false">IF(ISBLANK(Actuals!AM102),-1905.31*Escalation!$B$35,Actuals!AM102)</f>
        <v>-1982.284524</v>
      </c>
      <c r="AM282" s="21" t="n">
        <f aca="false">IF(ISBLANK(Actuals!AN102),-1905.31*Escalation!$B$36,Actuals!AN102)</f>
        <v>-1982.284524</v>
      </c>
      <c r="AN282" s="21" t="n">
        <f aca="false">IF(ISBLANK(Actuals!AO102),-1905.31*Escalation!$B$37,Actuals!AO102)</f>
        <v>-1982.284524</v>
      </c>
      <c r="AO282" s="21" t="n">
        <f aca="false">IF(ISBLANK(Actuals!AP102),-1905.31*Escalation!$B$38,Actuals!AP102)</f>
        <v>-2021.93021448</v>
      </c>
      <c r="AP282" s="21" t="n">
        <f aca="false">IF(ISBLANK(Actuals!AQ102),-1905.31*Escalation!$B$39,Actuals!AQ102)</f>
        <v>-2021.93021448</v>
      </c>
      <c r="AQ282" s="21" t="n">
        <f aca="false">IF(ISBLANK(Actuals!AR102),-1905.31*Escalation!$B$40,Actuals!AR102)</f>
        <v>-2021.93021448</v>
      </c>
      <c r="AR282" s="21" t="n">
        <f aca="false">IF(ISBLANK(Actuals!AS102),-1905.31*Escalation!$B$41,Actuals!AS102)</f>
        <v>-2021.93021448</v>
      </c>
      <c r="AS282" s="21" t="n">
        <f aca="false">IF(ISBLANK(Actuals!AT102),-1905.31*Escalation!$B$42,Actuals!AT102)</f>
        <v>-2021.93021448</v>
      </c>
      <c r="AT282" s="21" t="n">
        <f aca="false">IF(ISBLANK(Actuals!AU102),-1905.31*Escalation!$B$43,Actuals!AU102)</f>
        <v>-2021.93021448</v>
      </c>
      <c r="AU282" s="21" t="n">
        <f aca="false">IF(ISBLANK(Actuals!AV102),-1905.31*Escalation!$B$44,Actuals!AV102)</f>
        <v>-2021.93021448</v>
      </c>
      <c r="AV282" s="21" t="n">
        <f aca="false">IF(ISBLANK(Actuals!AW102),-1905.31*Escalation!$B$45,Actuals!AW102)</f>
        <v>-2021.93021448</v>
      </c>
      <c r="AW282" s="21" t="n">
        <f aca="false">IF(ISBLANK(Actuals!AX102),-1905.31*Escalation!$B$46,Actuals!AX102)</f>
        <v>-2021.93021448</v>
      </c>
      <c r="AX282" s="21" t="n">
        <f aca="false">IF(ISBLANK(Actuals!AY102),-1905.31*Escalation!$B$47,Actuals!AY102)</f>
        <v>-2021.93021448</v>
      </c>
      <c r="AY282" s="21" t="n">
        <f aca="false">IF(ISBLANK(Actuals!AZ102),-1905.31*Escalation!$B$48,Actuals!AZ102)</f>
        <v>-2021.93021448</v>
      </c>
      <c r="AZ282" s="21" t="n">
        <f aca="false">IF(ISBLANK(Actuals!BA102),-1905.31*Escalation!$B$49,Actuals!BA102)</f>
        <v>-2021.93021448</v>
      </c>
      <c r="BA282" s="21" t="n">
        <f aca="false">IF(ISBLANK(Actuals!BB102),-1905.31*Escalation!$B$50,Actuals!BB102)</f>
        <v>-2062.3688187696</v>
      </c>
      <c r="BB282" s="21" t="n">
        <f aca="false">IF(ISBLANK(Actuals!BC102),-1905.31*Escalation!$B$51,Actuals!BC102)</f>
        <v>-2062.3688187696</v>
      </c>
      <c r="BC282" s="21" t="n">
        <f aca="false">IF(ISBLANK(Actuals!BD102),-1905.31*Escalation!$B$52,Actuals!BD102)</f>
        <v>-2062.3688187696</v>
      </c>
      <c r="BD282" s="21" t="n">
        <f aca="false">IF(ISBLANK(Actuals!BE102),-1905.31*Escalation!$B$53,Actuals!BE102)</f>
        <v>-2062.3688187696</v>
      </c>
      <c r="BE282" s="21" t="n">
        <f aca="false">IF(ISBLANK(Actuals!BF102),-1905.31*Escalation!$B$54,Actuals!BF102)</f>
        <v>-2062.3688187696</v>
      </c>
      <c r="BF282" s="21" t="n">
        <f aca="false">IF(ISBLANK(Actuals!BG102),-1905.31*Escalation!$B$55,Actuals!BG102)</f>
        <v>-2062.3688187696</v>
      </c>
      <c r="BG282" s="21" t="n">
        <f aca="false">IF(ISBLANK(Actuals!BH102),-1905.31*Escalation!$B$56,Actuals!BH102)</f>
        <v>-2062.3688187696</v>
      </c>
      <c r="BH282" s="21" t="n">
        <f aca="false">IF(ISBLANK(Actuals!BI102),-1905.31*Escalation!$B$57,Actuals!BI102)</f>
        <v>-2062.3688187696</v>
      </c>
      <c r="BI282" s="21" t="n">
        <f aca="false">IF(ISBLANK(Actuals!BJ102),-1905.31*Escalation!$B$58,Actuals!BJ102)</f>
        <v>-2062.3688187696</v>
      </c>
      <c r="BJ282" s="21" t="n">
        <f aca="false">IF(ISBLANK(Actuals!BK102),-1905.31*Escalation!$B$59,Actuals!BK102)</f>
        <v>-2062.3688187696</v>
      </c>
      <c r="BK282" s="21" t="n">
        <f aca="false">IF(ISBLANK(Actuals!BL102),-1905.31*Escalation!$B$60,Actuals!BL102)</f>
        <v>-2062.3688187696</v>
      </c>
      <c r="BL282" s="21" t="n">
        <f aca="false">IF(ISBLANK(Actuals!BM102),-1905.31*Escalation!$B$61,Actuals!BM102)</f>
        <v>-2062.3688187696</v>
      </c>
      <c r="BM282" s="21" t="n">
        <f aca="false">IF(ISBLANK(Actuals!BN102),-1905.31*Escalation!$B$62,Actuals!BN102)</f>
        <v>-2103.61619514499</v>
      </c>
      <c r="BN282" s="21" t="n">
        <f aca="false">IF(ISBLANK(Actuals!BO102),-1905.31*Escalation!$B$63,Actuals!BO102)</f>
        <v>-2103.61619514499</v>
      </c>
      <c r="BO282" s="21" t="n">
        <f aca="false">IF(ISBLANK(Actuals!BP102),-1905.31*Escalation!$B$64,Actuals!BP102)</f>
        <v>-2103.61619514499</v>
      </c>
      <c r="BP282" s="21" t="n">
        <f aca="false">IF(ISBLANK(Actuals!BQ102),-1905.31*Escalation!$B$65,Actuals!BQ102)</f>
        <v>-2103.61619514499</v>
      </c>
      <c r="BQ282" s="21" t="n">
        <f aca="false">IF(ISBLANK(Actuals!BR102),-1905.31*Escalation!$B$66,Actuals!BR102)</f>
        <v>-2103.61619514499</v>
      </c>
      <c r="BR282" s="21" t="n">
        <f aca="false">IF(ISBLANK(Actuals!BS102),-1905.31*Escalation!$B$67,Actuals!BS102)</f>
        <v>-2103.61619514499</v>
      </c>
      <c r="BS282" s="21" t="n">
        <f aca="false">IF(ISBLANK(Actuals!BT102),-1905.31*Escalation!$B$68,Actuals!BT102)</f>
        <v>-2103.61619514499</v>
      </c>
      <c r="BT282" s="21" t="n">
        <f aca="false">IF(ISBLANK(Actuals!BU102),-1905.31*Escalation!$B$69,Actuals!BU102)</f>
        <v>-2103.61619514499</v>
      </c>
      <c r="BU282" s="21" t="n">
        <f aca="false">IF(ISBLANK(Actuals!BV102),-1905.31*Escalation!$B$70,Actuals!BV102)</f>
        <v>-2103.61619514499</v>
      </c>
      <c r="BV282" s="21" t="n">
        <f aca="false">IF(ISBLANK(Actuals!BW102),-1905.31*Escalation!$B$71,Actuals!BW102)</f>
        <v>-2103.61619514499</v>
      </c>
      <c r="BW282" s="21" t="n">
        <f aca="false">IF(ISBLANK(Actuals!BX102),-1905.31*Escalation!$B$72,Actuals!BX102)</f>
        <v>-2103.61619514499</v>
      </c>
      <c r="BX282" s="21" t="n">
        <f aca="false">IF(ISBLANK(Actuals!BY102),-1905.31*Escalation!$B$73,Actuals!BY102)</f>
        <v>-2103.61619514499</v>
      </c>
      <c r="BY282" s="21" t="n">
        <f aca="false">IF(ISBLANK(Actuals!BZ102),-1905.31*Escalation!$B$74,Actuals!BZ102)</f>
        <v>-2145.68851904789</v>
      </c>
      <c r="BZ282" s="21" t="n">
        <f aca="false">IF(ISBLANK(Actuals!CA102),-1905.31*Escalation!$B$75,Actuals!CA102)</f>
        <v>-2145.68851904789</v>
      </c>
      <c r="CA282" s="21" t="n">
        <f aca="false">IF(ISBLANK(Actuals!CB102),-1905.31*Escalation!$B$76,Actuals!CB102)</f>
        <v>-2145.68851904789</v>
      </c>
      <c r="CB282" s="21" t="n">
        <f aca="false">IF(ISBLANK(Actuals!CC102),-1905.31*Escalation!$B$77,Actuals!CC102)</f>
        <v>-2145.68851904789</v>
      </c>
      <c r="CC282" s="21" t="n">
        <f aca="false">IF(ISBLANK(Actuals!CD102),-1905.31*Escalation!$B$78,Actuals!CD102)</f>
        <v>-2145.68851904789</v>
      </c>
      <c r="CD282" s="21" t="n">
        <f aca="false">IF(ISBLANK(Actuals!CE102),-1905.31*Escalation!$B$79,Actuals!CE102)</f>
        <v>-2145.68851904789</v>
      </c>
      <c r="CE282" s="21" t="n">
        <f aca="false">IF(ISBLANK(Actuals!CF102),-1905.31*Escalation!$B$80,Actuals!CF102)</f>
        <v>-2145.68851904789</v>
      </c>
      <c r="CF282" s="21" t="n">
        <f aca="false">IF(ISBLANK(Actuals!CG102),-1905.31*Escalation!$B$81,Actuals!CG102)</f>
        <v>-2145.68851904789</v>
      </c>
      <c r="CG282" s="21" t="n">
        <f aca="false">IF(ISBLANK(Actuals!CH102),-1905.31*Escalation!$B$82,Actuals!CH102)</f>
        <v>-2145.68851904789</v>
      </c>
      <c r="CH282" s="21" t="n">
        <f aca="false">IF(ISBLANK(Actuals!CI102),-1905.31*Escalation!$B$83,Actuals!CI102)</f>
        <v>-2145.68851904789</v>
      </c>
      <c r="CI282" s="21" t="n">
        <f aca="false">IF(ISBLANK(Actuals!CJ102),-1905.31*Escalation!$B$84,Actuals!CJ102)</f>
        <v>-2145.68851904789</v>
      </c>
      <c r="CJ282" s="21" t="n">
        <f aca="false">IF(ISBLANK(Actuals!CK102),-1905.31*Escalation!$B$85,Actuals!CK102)</f>
        <v>-2145.68851904789</v>
      </c>
      <c r="CK282" s="21" t="n">
        <f aca="false">IF(ISBLANK(Actuals!CL102),-1905.31*Escalation!$B$86,Actuals!CL102)</f>
        <v>-2188.60228942885</v>
      </c>
      <c r="CL282" s="21" t="n">
        <f aca="false">IF(ISBLANK(Actuals!CM102),-1905.31*Escalation!$B$87,Actuals!CM102)</f>
        <v>-2188.60228942885</v>
      </c>
      <c r="CM282" s="21" t="n">
        <f aca="false">IF(ISBLANK(Actuals!CN102),-1905.31*Escalation!$B$88,Actuals!CN102)</f>
        <v>-2188.60228942885</v>
      </c>
      <c r="CN282" s="21" t="n">
        <f aca="false">IF(ISBLANK(Actuals!CO102),-1905.31*Escalation!$B$89,Actuals!CO102)</f>
        <v>-2188.60228942885</v>
      </c>
      <c r="CO282" s="21" t="n">
        <f aca="false">IF(ISBLANK(Actuals!CP102),-1905.31*Escalation!$B$90,Actuals!CP102)</f>
        <v>-2188.60228942885</v>
      </c>
      <c r="CP282" s="21" t="n">
        <f aca="false">IF(ISBLANK(Actuals!CQ102),-1905.31*Escalation!$B$91,Actuals!CQ102)</f>
        <v>-2188.60228942885</v>
      </c>
      <c r="CQ282" s="21" t="n">
        <f aca="false">IF(ISBLANK(Actuals!CR102),-1905.31*Escalation!$B$92,Actuals!CR102)</f>
        <v>-2188.60228942885</v>
      </c>
      <c r="CR282" s="21" t="n">
        <f aca="false">IF(ISBLANK(Actuals!CS102),-1905.31*Escalation!$B$93,Actuals!CS102)</f>
        <v>-2188.60228942885</v>
      </c>
      <c r="CS282" s="21" t="n">
        <f aca="false">IF(ISBLANK(Actuals!CT102),-1905.31*Escalation!$B$94,Actuals!CT102)</f>
        <v>-2188.60228942885</v>
      </c>
      <c r="CT282" s="21" t="n">
        <f aca="false">IF(ISBLANK(Actuals!CU102),-1905.31*Escalation!$B$95,Actuals!CU102)</f>
        <v>-2188.60228942885</v>
      </c>
      <c r="CU282" s="21" t="n">
        <f aca="false">IF(ISBLANK(Actuals!CV102),-1905.31*Escalation!$B$96,Actuals!CV102)</f>
        <v>-2188.60228942885</v>
      </c>
      <c r="CV282" s="21" t="n">
        <f aca="false">IF(ISBLANK(Actuals!CW102),-1905.31*Escalation!$B$97,Actuals!CW102)</f>
        <v>-2188.60228942885</v>
      </c>
      <c r="CW282" s="21" t="n">
        <f aca="false">IF(ISBLANK(Actuals!CX102),-1905.31*Escalation!$B$98,Actuals!CX102)</f>
        <v>-2232.37433521743</v>
      </c>
      <c r="CX282" s="21" t="n">
        <f aca="false">IF(ISBLANK(Actuals!CY102),-1905.31*Escalation!$B$99,Actuals!CY102)</f>
        <v>-2232.37433521743</v>
      </c>
      <c r="CY282" s="21" t="n">
        <f aca="false">IF(ISBLANK(Actuals!CZ102),-1905.31*Escalation!$B$100,Actuals!CZ102)</f>
        <v>-2232.37433521743</v>
      </c>
      <c r="CZ282" s="21" t="n">
        <f aca="false">IF(ISBLANK(Actuals!DA102),-1905.31*Escalation!$B$101,Actuals!DA102)</f>
        <v>-2232.37433521743</v>
      </c>
      <c r="DA282" s="21" t="n">
        <f aca="false">IF(ISBLANK(Actuals!DB102),-1905.31*Escalation!$B$102,Actuals!DB102)</f>
        <v>-2232.37433521743</v>
      </c>
      <c r="DB282" s="21" t="n">
        <f aca="false">IF(ISBLANK(Actuals!DC102),-1905.31*Escalation!$B$103,Actuals!DC102)</f>
        <v>-2232.37433521743</v>
      </c>
      <c r="DC282" s="21" t="n">
        <f aca="false">IF(ISBLANK(Actuals!DD102),-1905.31*Escalation!$B$104,Actuals!DD102)</f>
        <v>-2232.37433521743</v>
      </c>
      <c r="DD282" s="21" t="n">
        <f aca="false">IF(ISBLANK(Actuals!DE102),-1905.31*Escalation!$B$105,Actuals!DE102)</f>
        <v>-2232.37433521743</v>
      </c>
      <c r="DE282" s="21" t="n">
        <f aca="false">IF(ISBLANK(Actuals!DF102),-1905.31*Escalation!$B$106,Actuals!DF102)</f>
        <v>-2232.37433521743</v>
      </c>
    </row>
    <row r="283" customFormat="false" ht="15" hidden="false" customHeight="true" outlineLevel="0" collapsed="false">
      <c r="A283" s="35" t="s">
        <v>131</v>
      </c>
      <c r="B283" s="21" t="n">
        <f aca="false">IF(ISBLANK(Actuals!C103),0,Actuals!C103)</f>
        <v>-2100</v>
      </c>
      <c r="C283" s="21" t="n">
        <f aca="false">IF(ISBLANK(Actuals!D103),0,Actuals!D103)</f>
        <v>-2100</v>
      </c>
      <c r="D283" s="21" t="n">
        <f aca="false">IF(ISBLANK(Actuals!E103),0,Actuals!E103)</f>
        <v>-2100</v>
      </c>
      <c r="E283" s="21" t="n">
        <f aca="false">IF(ISBLANK(Actuals!F103),-2100*Escalation!$B$2,Actuals!F103)</f>
        <v>-2100</v>
      </c>
      <c r="F283" s="21" t="n">
        <f aca="false">IF(ISBLANK(Actuals!G103),-2100*Escalation!$B$3,Actuals!G103)</f>
        <v>-2100</v>
      </c>
      <c r="G283" s="21" t="n">
        <f aca="false">IF(ISBLANK(Actuals!H103),-2100*Escalation!$B$4,Actuals!H103)</f>
        <v>-2100</v>
      </c>
      <c r="H283" s="21" t="n">
        <f aca="false">IF(ISBLANK(Actuals!I103),-2100*Escalation!$B$5,Actuals!I103)</f>
        <v>-2100</v>
      </c>
      <c r="I283" s="21" t="n">
        <f aca="false">IF(ISBLANK(Actuals!J103),-2100*Escalation!$B$6,Actuals!J103)</f>
        <v>-2100</v>
      </c>
      <c r="J283" s="21" t="n">
        <f aca="false">IF(ISBLANK(Actuals!K103),-2100*Escalation!$B$7,Actuals!K103)</f>
        <v>-2100</v>
      </c>
      <c r="K283" s="21" t="n">
        <f aca="false">IF(ISBLANK(Actuals!L103),-2100*Escalation!$B$8,Actuals!L103)</f>
        <v>-2100</v>
      </c>
      <c r="L283" s="21" t="n">
        <f aca="false">IF(ISBLANK(Actuals!M103),-2100*Escalation!$B$9,Actuals!M103)</f>
        <v>-2100</v>
      </c>
      <c r="M283" s="21" t="n">
        <f aca="false">IF(ISBLANK(Actuals!N103),-2100*Escalation!$B$10,Actuals!N103)</f>
        <v>-2100</v>
      </c>
      <c r="N283" s="21" t="n">
        <f aca="false">IF(ISBLANK(Actuals!O103),-2100*Escalation!$B$11,Actuals!O103)</f>
        <v>-2100</v>
      </c>
      <c r="O283" s="21" t="n">
        <f aca="false">IF(ISBLANK(Actuals!P103),-2100*Escalation!$B$12,Actuals!P103)</f>
        <v>-2100</v>
      </c>
      <c r="P283" s="21" t="n">
        <f aca="false">IF(ISBLANK(Actuals!Q103),-2100*Escalation!$B$13,Actuals!Q103)</f>
        <v>-2100</v>
      </c>
      <c r="Q283" s="21" t="n">
        <f aca="false">IF(ISBLANK(Actuals!R103),-2100*Escalation!$B$14,Actuals!R103)</f>
        <v>-2142</v>
      </c>
      <c r="R283" s="21" t="n">
        <f aca="false">IF(ISBLANK(Actuals!S103),-2100*Escalation!$B$15,Actuals!S103)</f>
        <v>-2142</v>
      </c>
      <c r="S283" s="21" t="n">
        <f aca="false">IF(ISBLANK(Actuals!T103),-2100*Escalation!$B$16,Actuals!T103)</f>
        <v>-2142</v>
      </c>
      <c r="T283" s="21" t="n">
        <f aca="false">IF(ISBLANK(Actuals!U103),-2100*Escalation!$B$17,Actuals!U103)</f>
        <v>-2142</v>
      </c>
      <c r="U283" s="21" t="n">
        <f aca="false">IF(ISBLANK(Actuals!V103),-2100*Escalation!$B$18,Actuals!V103)</f>
        <v>-2142</v>
      </c>
      <c r="V283" s="21" t="n">
        <f aca="false">IF(ISBLANK(Actuals!W103),-2100*Escalation!$B$19,Actuals!W103)</f>
        <v>-2142</v>
      </c>
      <c r="W283" s="21" t="n">
        <f aca="false">IF(ISBLANK(Actuals!X103),-2100*Escalation!$B$20,Actuals!X103)</f>
        <v>-2142</v>
      </c>
      <c r="X283" s="21" t="n">
        <f aca="false">IF(ISBLANK(Actuals!Y103),-2100*Escalation!$B$21,Actuals!Y103)</f>
        <v>-2142</v>
      </c>
      <c r="Y283" s="21" t="n">
        <f aca="false">IF(ISBLANK(Actuals!Z103),-2100*Escalation!$B$22,Actuals!Z103)</f>
        <v>-2142</v>
      </c>
      <c r="Z283" s="21" t="n">
        <f aca="false">IF(ISBLANK(Actuals!AA103),-2100*Escalation!$B$23,Actuals!AA103)</f>
        <v>-2142</v>
      </c>
      <c r="AA283" s="21" t="n">
        <f aca="false">IF(ISBLANK(Actuals!AB103),-2100*Escalation!$B$24,Actuals!AB103)</f>
        <v>-2142</v>
      </c>
      <c r="AB283" s="21" t="n">
        <f aca="false">IF(ISBLANK(Actuals!AC103),-2100*Escalation!$B$25,Actuals!AC103)</f>
        <v>-2142</v>
      </c>
      <c r="AC283" s="21" t="n">
        <f aca="false">IF(ISBLANK(Actuals!AD103),-2100*Escalation!$B$26,Actuals!AD103)</f>
        <v>-2184.84</v>
      </c>
      <c r="AD283" s="21" t="n">
        <f aca="false">IF(ISBLANK(Actuals!AE103),-2100*Escalation!$B$27,Actuals!AE103)</f>
        <v>-2184.84</v>
      </c>
      <c r="AE283" s="21" t="n">
        <f aca="false">IF(ISBLANK(Actuals!AF103),-2100*Escalation!$B$28,Actuals!AF103)</f>
        <v>-2184.84</v>
      </c>
      <c r="AF283" s="21" t="n">
        <f aca="false">IF(ISBLANK(Actuals!AG103),-2100*Escalation!$B$29,Actuals!AG103)</f>
        <v>-2184.84</v>
      </c>
      <c r="AG283" s="21" t="n">
        <f aca="false">IF(ISBLANK(Actuals!AH103),-2100*Escalation!$B$30,Actuals!AH103)</f>
        <v>-2184.84</v>
      </c>
      <c r="AH283" s="21" t="n">
        <f aca="false">IF(ISBLANK(Actuals!AI103),-2100*Escalation!$B$31,Actuals!AI103)</f>
        <v>-2184.84</v>
      </c>
      <c r="AI283" s="21" t="n">
        <f aca="false">IF(ISBLANK(Actuals!AJ103),-2100*Escalation!$B$32,Actuals!AJ103)</f>
        <v>-2184.84</v>
      </c>
      <c r="AJ283" s="21" t="n">
        <f aca="false">IF(ISBLANK(Actuals!AK103),-2100*Escalation!$B$33,Actuals!AK103)</f>
        <v>-2184.84</v>
      </c>
      <c r="AK283" s="21" t="n">
        <f aca="false">IF(ISBLANK(Actuals!AL103),-2100*Escalation!$B$34,Actuals!AL103)</f>
        <v>-2184.84</v>
      </c>
      <c r="AL283" s="21" t="n">
        <f aca="false">IF(ISBLANK(Actuals!AM103),-2100*Escalation!$B$35,Actuals!AM103)</f>
        <v>-2184.84</v>
      </c>
      <c r="AM283" s="21" t="n">
        <f aca="false">IF(ISBLANK(Actuals!AN103),-2100*Escalation!$B$36,Actuals!AN103)</f>
        <v>-2184.84</v>
      </c>
      <c r="AN283" s="21" t="n">
        <f aca="false">IF(ISBLANK(Actuals!AO103),-2100*Escalation!$B$37,Actuals!AO103)</f>
        <v>-2184.84</v>
      </c>
      <c r="AO283" s="21" t="n">
        <f aca="false">IF(ISBLANK(Actuals!AP103),-2100*Escalation!$B$38,Actuals!AP103)</f>
        <v>-2228.5368</v>
      </c>
      <c r="AP283" s="21" t="n">
        <f aca="false">IF(ISBLANK(Actuals!AQ103),-2100*Escalation!$B$39,Actuals!AQ103)</f>
        <v>-2228.5368</v>
      </c>
      <c r="AQ283" s="21" t="n">
        <f aca="false">IF(ISBLANK(Actuals!AR103),-2100*Escalation!$B$40,Actuals!AR103)</f>
        <v>-2228.5368</v>
      </c>
      <c r="AR283" s="21" t="n">
        <f aca="false">IF(ISBLANK(Actuals!AS103),-2100*Escalation!$B$41,Actuals!AS103)</f>
        <v>-2228.5368</v>
      </c>
      <c r="AS283" s="21" t="n">
        <f aca="false">IF(ISBLANK(Actuals!AT103),-2100*Escalation!$B$42,Actuals!AT103)</f>
        <v>-2228.5368</v>
      </c>
      <c r="AT283" s="21" t="n">
        <f aca="false">IF(ISBLANK(Actuals!AU103),-2100*Escalation!$B$43,Actuals!AU103)</f>
        <v>-2228.5368</v>
      </c>
      <c r="AU283" s="21" t="n">
        <f aca="false">IF(ISBLANK(Actuals!AV103),-2100*Escalation!$B$44,Actuals!AV103)</f>
        <v>-2228.5368</v>
      </c>
      <c r="AV283" s="21" t="n">
        <f aca="false">IF(ISBLANK(Actuals!AW103),-2100*Escalation!$B$45,Actuals!AW103)</f>
        <v>-2228.5368</v>
      </c>
      <c r="AW283" s="21" t="n">
        <f aca="false">IF(ISBLANK(Actuals!AX103),-2100*Escalation!$B$46,Actuals!AX103)</f>
        <v>-2228.5368</v>
      </c>
      <c r="AX283" s="21" t="n">
        <f aca="false">IF(ISBLANK(Actuals!AY103),-2100*Escalation!$B$47,Actuals!AY103)</f>
        <v>-2228.5368</v>
      </c>
      <c r="AY283" s="21" t="n">
        <f aca="false">IF(ISBLANK(Actuals!AZ103),-2100*Escalation!$B$48,Actuals!AZ103)</f>
        <v>-2228.5368</v>
      </c>
      <c r="AZ283" s="21" t="n">
        <f aca="false">IF(ISBLANK(Actuals!BA103),-2100*Escalation!$B$49,Actuals!BA103)</f>
        <v>-2228.5368</v>
      </c>
      <c r="BA283" s="21" t="n">
        <f aca="false">IF(ISBLANK(Actuals!BB103),-2100*Escalation!$B$50,Actuals!BB103)</f>
        <v>-2273.107536</v>
      </c>
      <c r="BB283" s="21" t="n">
        <f aca="false">IF(ISBLANK(Actuals!BC103),-2100*Escalation!$B$51,Actuals!BC103)</f>
        <v>-2273.107536</v>
      </c>
      <c r="BC283" s="21" t="n">
        <f aca="false">IF(ISBLANK(Actuals!BD103),-2100*Escalation!$B$52,Actuals!BD103)</f>
        <v>-2273.107536</v>
      </c>
      <c r="BD283" s="21" t="n">
        <f aca="false">IF(ISBLANK(Actuals!BE103),-2100*Escalation!$B$53,Actuals!BE103)</f>
        <v>-2273.107536</v>
      </c>
      <c r="BE283" s="21" t="n">
        <f aca="false">IF(ISBLANK(Actuals!BF103),-2100*Escalation!$B$54,Actuals!BF103)</f>
        <v>-2273.107536</v>
      </c>
      <c r="BF283" s="21" t="n">
        <f aca="false">IF(ISBLANK(Actuals!BG103),-2100*Escalation!$B$55,Actuals!BG103)</f>
        <v>-2273.107536</v>
      </c>
      <c r="BG283" s="21" t="n">
        <f aca="false">IF(ISBLANK(Actuals!BH103),-2100*Escalation!$B$56,Actuals!BH103)</f>
        <v>-2273.107536</v>
      </c>
      <c r="BH283" s="21" t="n">
        <f aca="false">IF(ISBLANK(Actuals!BI103),-2100*Escalation!$B$57,Actuals!BI103)</f>
        <v>-2273.107536</v>
      </c>
      <c r="BI283" s="21" t="n">
        <f aca="false">IF(ISBLANK(Actuals!BJ103),-2100*Escalation!$B$58,Actuals!BJ103)</f>
        <v>-2273.107536</v>
      </c>
      <c r="BJ283" s="21" t="n">
        <f aca="false">IF(ISBLANK(Actuals!BK103),-2100*Escalation!$B$59,Actuals!BK103)</f>
        <v>-2273.107536</v>
      </c>
      <c r="BK283" s="21" t="n">
        <f aca="false">IF(ISBLANK(Actuals!BL103),-2100*Escalation!$B$60,Actuals!BL103)</f>
        <v>-2273.107536</v>
      </c>
      <c r="BL283" s="21" t="n">
        <f aca="false">IF(ISBLANK(Actuals!BM103),-2100*Escalation!$B$61,Actuals!BM103)</f>
        <v>-2273.107536</v>
      </c>
      <c r="BM283" s="21" t="n">
        <f aca="false">IF(ISBLANK(Actuals!BN103),-2100*Escalation!$B$62,Actuals!BN103)</f>
        <v>-2318.56968672</v>
      </c>
      <c r="BN283" s="21" t="n">
        <f aca="false">IF(ISBLANK(Actuals!BO103),-2100*Escalation!$B$63,Actuals!BO103)</f>
        <v>-2318.56968672</v>
      </c>
      <c r="BO283" s="21" t="n">
        <f aca="false">IF(ISBLANK(Actuals!BP103),-2100*Escalation!$B$64,Actuals!BP103)</f>
        <v>-2318.56968672</v>
      </c>
      <c r="BP283" s="21" t="n">
        <f aca="false">IF(ISBLANK(Actuals!BQ103),-2100*Escalation!$B$65,Actuals!BQ103)</f>
        <v>-2318.56968672</v>
      </c>
      <c r="BQ283" s="21" t="n">
        <f aca="false">IF(ISBLANK(Actuals!BR103),-2100*Escalation!$B$66,Actuals!BR103)</f>
        <v>-2318.56968672</v>
      </c>
      <c r="BR283" s="21" t="n">
        <f aca="false">IF(ISBLANK(Actuals!BS103),-2100*Escalation!$B$67,Actuals!BS103)</f>
        <v>-2318.56968672</v>
      </c>
      <c r="BS283" s="21" t="n">
        <f aca="false">IF(ISBLANK(Actuals!BT103),-2100*Escalation!$B$68,Actuals!BT103)</f>
        <v>-2318.56968672</v>
      </c>
      <c r="BT283" s="21" t="n">
        <f aca="false">IF(ISBLANK(Actuals!BU103),-2100*Escalation!$B$69,Actuals!BU103)</f>
        <v>-2318.56968672</v>
      </c>
      <c r="BU283" s="21" t="n">
        <f aca="false">IF(ISBLANK(Actuals!BV103),-2100*Escalation!$B$70,Actuals!BV103)</f>
        <v>-2318.56968672</v>
      </c>
      <c r="BV283" s="21" t="n">
        <f aca="false">IF(ISBLANK(Actuals!BW103),-2100*Escalation!$B$71,Actuals!BW103)</f>
        <v>-2318.56968672</v>
      </c>
      <c r="BW283" s="21" t="n">
        <f aca="false">IF(ISBLANK(Actuals!BX103),-2100*Escalation!$B$72,Actuals!BX103)</f>
        <v>-2318.56968672</v>
      </c>
      <c r="BX283" s="21" t="n">
        <f aca="false">IF(ISBLANK(Actuals!BY103),-2100*Escalation!$B$73,Actuals!BY103)</f>
        <v>-2318.56968672</v>
      </c>
      <c r="BY283" s="21" t="n">
        <f aca="false">IF(ISBLANK(Actuals!BZ103),-2100*Escalation!$B$74,Actuals!BZ103)</f>
        <v>-2364.9410804544</v>
      </c>
      <c r="BZ283" s="21" t="n">
        <f aca="false">IF(ISBLANK(Actuals!CA103),-2100*Escalation!$B$75,Actuals!CA103)</f>
        <v>-2364.9410804544</v>
      </c>
      <c r="CA283" s="21" t="n">
        <f aca="false">IF(ISBLANK(Actuals!CB103),-2100*Escalation!$B$76,Actuals!CB103)</f>
        <v>-2364.9410804544</v>
      </c>
      <c r="CB283" s="21" t="n">
        <f aca="false">IF(ISBLANK(Actuals!CC103),-2100*Escalation!$B$77,Actuals!CC103)</f>
        <v>-2364.9410804544</v>
      </c>
      <c r="CC283" s="21" t="n">
        <f aca="false">IF(ISBLANK(Actuals!CD103),-2100*Escalation!$B$78,Actuals!CD103)</f>
        <v>-2364.9410804544</v>
      </c>
      <c r="CD283" s="21" t="n">
        <f aca="false">IF(ISBLANK(Actuals!CE103),-2100*Escalation!$B$79,Actuals!CE103)</f>
        <v>-2364.9410804544</v>
      </c>
      <c r="CE283" s="21" t="n">
        <f aca="false">IF(ISBLANK(Actuals!CF103),-2100*Escalation!$B$80,Actuals!CF103)</f>
        <v>-2364.9410804544</v>
      </c>
      <c r="CF283" s="21" t="n">
        <f aca="false">IF(ISBLANK(Actuals!CG103),-2100*Escalation!$B$81,Actuals!CG103)</f>
        <v>-2364.9410804544</v>
      </c>
      <c r="CG283" s="21" t="n">
        <f aca="false">IF(ISBLANK(Actuals!CH103),-2100*Escalation!$B$82,Actuals!CH103)</f>
        <v>-2364.9410804544</v>
      </c>
      <c r="CH283" s="21" t="n">
        <f aca="false">IF(ISBLANK(Actuals!CI103),-2100*Escalation!$B$83,Actuals!CI103)</f>
        <v>-2364.9410804544</v>
      </c>
      <c r="CI283" s="21" t="n">
        <f aca="false">IF(ISBLANK(Actuals!CJ103),-2100*Escalation!$B$84,Actuals!CJ103)</f>
        <v>-2364.9410804544</v>
      </c>
      <c r="CJ283" s="21" t="n">
        <f aca="false">IF(ISBLANK(Actuals!CK103),-2100*Escalation!$B$85,Actuals!CK103)</f>
        <v>-2364.9410804544</v>
      </c>
      <c r="CK283" s="21" t="n">
        <f aca="false">IF(ISBLANK(Actuals!CL103),-2100*Escalation!$B$86,Actuals!CL103)</f>
        <v>-2412.23990206349</v>
      </c>
      <c r="CL283" s="21" t="n">
        <f aca="false">IF(ISBLANK(Actuals!CM103),-2100*Escalation!$B$87,Actuals!CM103)</f>
        <v>-2412.23990206349</v>
      </c>
      <c r="CM283" s="21" t="n">
        <f aca="false">IF(ISBLANK(Actuals!CN103),-2100*Escalation!$B$88,Actuals!CN103)</f>
        <v>-2412.23990206349</v>
      </c>
      <c r="CN283" s="21" t="n">
        <f aca="false">IF(ISBLANK(Actuals!CO103),-2100*Escalation!$B$89,Actuals!CO103)</f>
        <v>-2412.23990206349</v>
      </c>
      <c r="CO283" s="21" t="n">
        <f aca="false">IF(ISBLANK(Actuals!CP103),-2100*Escalation!$B$90,Actuals!CP103)</f>
        <v>-2412.23990206349</v>
      </c>
      <c r="CP283" s="21" t="n">
        <f aca="false">IF(ISBLANK(Actuals!CQ103),-2100*Escalation!$B$91,Actuals!CQ103)</f>
        <v>-2412.23990206349</v>
      </c>
      <c r="CQ283" s="21" t="n">
        <f aca="false">IF(ISBLANK(Actuals!CR103),-2100*Escalation!$B$92,Actuals!CR103)</f>
        <v>-2412.23990206349</v>
      </c>
      <c r="CR283" s="21" t="n">
        <f aca="false">IF(ISBLANK(Actuals!CS103),-2100*Escalation!$B$93,Actuals!CS103)</f>
        <v>-2412.23990206349</v>
      </c>
      <c r="CS283" s="21" t="n">
        <f aca="false">IF(ISBLANK(Actuals!CT103),-2100*Escalation!$B$94,Actuals!CT103)</f>
        <v>-2412.23990206349</v>
      </c>
      <c r="CT283" s="21" t="n">
        <f aca="false">IF(ISBLANK(Actuals!CU103),-2100*Escalation!$B$95,Actuals!CU103)</f>
        <v>-2412.23990206349</v>
      </c>
      <c r="CU283" s="21" t="n">
        <f aca="false">IF(ISBLANK(Actuals!CV103),-2100*Escalation!$B$96,Actuals!CV103)</f>
        <v>-2412.23990206349</v>
      </c>
      <c r="CV283" s="21" t="n">
        <f aca="false">IF(ISBLANK(Actuals!CW103),-2100*Escalation!$B$97,Actuals!CW103)</f>
        <v>-2412.23990206349</v>
      </c>
      <c r="CW283" s="21" t="n">
        <f aca="false">IF(ISBLANK(Actuals!CX103),-2100*Escalation!$B$98,Actuals!CX103)</f>
        <v>-2460.48470010476</v>
      </c>
      <c r="CX283" s="21" t="n">
        <f aca="false">IF(ISBLANK(Actuals!CY103),-2100*Escalation!$B$99,Actuals!CY103)</f>
        <v>-2460.48470010476</v>
      </c>
      <c r="CY283" s="21" t="n">
        <f aca="false">IF(ISBLANK(Actuals!CZ103),-2100*Escalation!$B$100,Actuals!CZ103)</f>
        <v>-2460.48470010476</v>
      </c>
      <c r="CZ283" s="21" t="n">
        <f aca="false">IF(ISBLANK(Actuals!DA103),-2100*Escalation!$B$101,Actuals!DA103)</f>
        <v>-2460.48470010476</v>
      </c>
      <c r="DA283" s="21" t="n">
        <f aca="false">IF(ISBLANK(Actuals!DB103),-2100*Escalation!$B$102,Actuals!DB103)</f>
        <v>-2460.48470010476</v>
      </c>
      <c r="DB283" s="21" t="n">
        <f aca="false">IF(ISBLANK(Actuals!DC103),-2100*Escalation!$B$103,Actuals!DC103)</f>
        <v>-2460.48470010476</v>
      </c>
      <c r="DC283" s="21" t="n">
        <f aca="false">IF(ISBLANK(Actuals!DD103),-2100*Escalation!$B$104,Actuals!DD103)</f>
        <v>-2460.48470010476</v>
      </c>
      <c r="DD283" s="21" t="n">
        <f aca="false">IF(ISBLANK(Actuals!DE103),-2100*Escalation!$B$105,Actuals!DE103)</f>
        <v>-2460.48470010476</v>
      </c>
      <c r="DE283" s="21" t="n">
        <f aca="false">IF(ISBLANK(Actuals!DF103),-2100*Escalation!$B$106,Actuals!DF103)</f>
        <v>-2460.48470010476</v>
      </c>
    </row>
    <row r="284" customFormat="false" ht="15" hidden="false" customHeight="true" outlineLevel="0" collapsed="false">
      <c r="A284" s="35" t="s">
        <v>84</v>
      </c>
      <c r="B284" s="21" t="n">
        <f aca="false">IF(ISBLANK(Actuals!C104),0,Actuals!C104)</f>
        <v>-66666.66</v>
      </c>
      <c r="C284" s="21" t="n">
        <f aca="false">IF(ISBLANK(Actuals!D104),0,Actuals!D104)</f>
        <v>-66666.66</v>
      </c>
      <c r="D284" s="21" t="n">
        <f aca="false">IF(ISBLANK(Actuals!E104),0,Actuals!E104)</f>
        <v>-66666.66</v>
      </c>
      <c r="E284" s="21" t="n">
        <f aca="false">IF(ISBLANK(Actuals!F104),(-(SUMPRODUCT((Personnel!$O$9:$O$100="SP-Fee")*(Personnel!$G$9:$G$100="Yes")*(1&gt;=Personnel!$E$9:$E$100)*((Personnel!$K$9:$K$100="")+(1&lt;=Personnel!$K$9:$K$100)&gt;0)*Personnel!$D$9:$D$100*(1-Personnel!$I$9:$I$100))))*Escalation!$B$2,Actuals!F104)</f>
        <v>-66666.66</v>
      </c>
      <c r="F284" s="21" t="n">
        <f aca="false">IF(ISBLANK(Actuals!G104),(-(SUMPRODUCT((Personnel!$O$9:$O$100="SP-Fee")*(Personnel!$G$9:$G$100="Yes")*(2&gt;=Personnel!$E$9:$E$100)*((Personnel!$K$9:$K$100="")+(2&lt;=Personnel!$K$9:$K$100)&gt;0)*Personnel!$D$9:$D$100*(1-Personnel!$I$9:$I$100))))*Escalation!$B$3,Actuals!G104)</f>
        <v>-66666.66</v>
      </c>
      <c r="G284" s="21" t="n">
        <f aca="false">IF(ISBLANK(Actuals!H104),(-(SUMPRODUCT((Personnel!$O$9:$O$100="SP-Fee")*(Personnel!$G$9:$G$100="Yes")*(3&gt;=Personnel!$E$9:$E$100)*((Personnel!$K$9:$K$100="")+(3&lt;=Personnel!$K$9:$K$100)&gt;0)*Personnel!$D$9:$D$100*(1-Personnel!$I$9:$I$100))))*Escalation!$B$4,Actuals!H104)</f>
        <v>-66666.66</v>
      </c>
      <c r="H284" s="21" t="n">
        <f aca="false">IF(ISBLANK(Actuals!I104),(-(SUMPRODUCT((Personnel!$O$9:$O$100="SP-Fee")*(Personnel!$G$9:$G$100="Yes")*(4&gt;=Personnel!$E$9:$E$100)*((Personnel!$K$9:$K$100="")+(4&lt;=Personnel!$K$9:$K$100)&gt;0)*Personnel!$D$9:$D$100*(1-Personnel!$I$9:$I$100))))*Escalation!$B$5,Actuals!I104)</f>
        <v>-66666.66</v>
      </c>
      <c r="I284" s="21" t="n">
        <f aca="false">IF(ISBLANK(Actuals!J104),(-(SUMPRODUCT((Personnel!$O$9:$O$100="SP-Fee")*(Personnel!$G$9:$G$100="Yes")*(5&gt;=Personnel!$E$9:$E$100)*((Personnel!$K$9:$K$100="")+(5&lt;=Personnel!$K$9:$K$100)&gt;0)*Personnel!$D$9:$D$100*(1-Personnel!$I$9:$I$100))))*Escalation!$B$6,Actuals!J104)</f>
        <v>-66666.66</v>
      </c>
      <c r="J284" s="21" t="n">
        <f aca="false">IF(ISBLANK(Actuals!K104),(-(SUMPRODUCT((Personnel!$O$9:$O$100="SP-Fee")*(Personnel!$G$9:$G$100="Yes")*(6&gt;=Personnel!$E$9:$E$100)*((Personnel!$K$9:$K$100="")+(6&lt;=Personnel!$K$9:$K$100)&gt;0)*Personnel!$D$9:$D$100*(1-Personnel!$I$9:$I$100))))*Escalation!$B$7,Actuals!K104)</f>
        <v>-66666.6666666667</v>
      </c>
      <c r="K284" s="21" t="n">
        <f aca="false">IF(ISBLANK(Actuals!L104),(-(SUMPRODUCT((Personnel!$O$9:$O$100="SP-Fee")*(Personnel!$G$9:$G$100="Yes")*(7&gt;=Personnel!$E$9:$E$100)*((Personnel!$K$9:$K$100="")+(7&lt;=Personnel!$K$9:$K$100)&gt;0)*Personnel!$D$9:$D$100*(1-Personnel!$I$9:$I$100))))*Escalation!$B$8,Actuals!L104)</f>
        <v>-66666.6666666667</v>
      </c>
      <c r="L284" s="21" t="n">
        <f aca="false">IF(ISBLANK(Actuals!M104),(-(SUMPRODUCT((Personnel!$O$9:$O$100="SP-Fee")*(Personnel!$G$9:$G$100="Yes")*(8&gt;=Personnel!$E$9:$E$100)*((Personnel!$K$9:$K$100="")+(8&lt;=Personnel!$K$9:$K$100)&gt;0)*Personnel!$D$9:$D$100*(1-Personnel!$I$9:$I$100))))*Escalation!$B$9,Actuals!M104)</f>
        <v>-66666.6666666667</v>
      </c>
      <c r="M284" s="21" t="n">
        <f aca="false">IF(ISBLANK(Actuals!N104),(-(SUMPRODUCT((Personnel!$O$9:$O$100="SP-Fee")*(Personnel!$G$9:$G$100="Yes")*(9&gt;=Personnel!$E$9:$E$100)*((Personnel!$K$9:$K$100="")+(9&lt;=Personnel!$K$9:$K$100)&gt;0)*Personnel!$D$9:$D$100*(1-Personnel!$I$9:$I$100))))*Escalation!$B$10,Actuals!N104)</f>
        <v>-66666.6666666667</v>
      </c>
      <c r="N284" s="21" t="n">
        <f aca="false">IF(ISBLANK(Actuals!O104),(-(SUMPRODUCT((Personnel!$O$9:$O$100="SP-Fee")*(Personnel!$G$9:$G$100="Yes")*(10&gt;=Personnel!$E$9:$E$100)*((Personnel!$K$9:$K$100="")+(10&lt;=Personnel!$K$9:$K$100)&gt;0)*Personnel!$D$9:$D$100*(1-Personnel!$I$9:$I$100))))*Escalation!$B$11,Actuals!O104)</f>
        <v>-66666.6666666667</v>
      </c>
      <c r="O284" s="21" t="n">
        <f aca="false">IF(ISBLANK(Actuals!P104),(-(SUMPRODUCT((Personnel!$O$9:$O$100="SP-Fee")*(Personnel!$G$9:$G$100="Yes")*(11&gt;=Personnel!$E$9:$E$100)*((Personnel!$K$9:$K$100="")+(11&lt;=Personnel!$K$9:$K$100)&gt;0)*Personnel!$D$9:$D$100*(1-Personnel!$I$9:$I$100))))*Escalation!$B$12,Actuals!P104)</f>
        <v>-66666.6666666667</v>
      </c>
      <c r="P284" s="21" t="n">
        <f aca="false">IF(ISBLANK(Actuals!Q104),(-(SUMPRODUCT((Personnel!$O$9:$O$100="SP-Fee")*(Personnel!$G$9:$G$100="Yes")*(12&gt;=Personnel!$E$9:$E$100)*((Personnel!$K$9:$K$100="")+(12&lt;=Personnel!$K$9:$K$100)&gt;0)*Personnel!$D$9:$D$100*(1-Personnel!$I$9:$I$100))))*Escalation!$B$13,Actuals!Q104)</f>
        <v>-66666.6666666667</v>
      </c>
      <c r="Q284" s="21" t="n">
        <f aca="false">IF(ISBLANK(Actuals!R104),(-(SUMPRODUCT((Personnel!$O$9:$O$100="SP-Fee")*(Personnel!$G$9:$G$100="Yes")*(13&gt;=Personnel!$E$9:$E$100)*((Personnel!$K$9:$K$100="")+(13&lt;=Personnel!$K$9:$K$100)&gt;0)*Personnel!$D$9:$D$100*(1-Personnel!$I$9:$I$100))))*Escalation!$B$14,Actuals!R104)</f>
        <v>-68000</v>
      </c>
      <c r="R284" s="21" t="n">
        <f aca="false">IF(ISBLANK(Actuals!S104),(-(SUMPRODUCT((Personnel!$O$9:$O$100="SP-Fee")*(Personnel!$G$9:$G$100="Yes")*(14&gt;=Personnel!$E$9:$E$100)*((Personnel!$K$9:$K$100="")+(14&lt;=Personnel!$K$9:$K$100)&gt;0)*Personnel!$D$9:$D$100*(1-Personnel!$I$9:$I$100))))*Escalation!$B$15,Actuals!S104)</f>
        <v>-68000</v>
      </c>
      <c r="S284" s="21" t="n">
        <f aca="false">IF(ISBLANK(Actuals!T104),(-(SUMPRODUCT((Personnel!$O$9:$O$100="SP-Fee")*(Personnel!$G$9:$G$100="Yes")*(15&gt;=Personnel!$E$9:$E$100)*((Personnel!$K$9:$K$100="")+(15&lt;=Personnel!$K$9:$K$100)&gt;0)*Personnel!$D$9:$D$100*(1-Personnel!$I$9:$I$100))))*Escalation!$B$16,Actuals!T104)</f>
        <v>-68000</v>
      </c>
      <c r="T284" s="21" t="n">
        <f aca="false">IF(ISBLANK(Actuals!U104),(-(SUMPRODUCT((Personnel!$O$9:$O$100="SP-Fee")*(Personnel!$G$9:$G$100="Yes")*(16&gt;=Personnel!$E$9:$E$100)*((Personnel!$K$9:$K$100="")+(16&lt;=Personnel!$K$9:$K$100)&gt;0)*Personnel!$D$9:$D$100*(1-Personnel!$I$9:$I$100))))*Escalation!$B$17,Actuals!U104)</f>
        <v>-68000</v>
      </c>
      <c r="U284" s="21" t="n">
        <f aca="false">IF(ISBLANK(Actuals!V104),(-(SUMPRODUCT((Personnel!$O$9:$O$100="SP-Fee")*(Personnel!$G$9:$G$100="Yes")*(17&gt;=Personnel!$E$9:$E$100)*((Personnel!$K$9:$K$100="")+(17&lt;=Personnel!$K$9:$K$100)&gt;0)*Personnel!$D$9:$D$100*(1-Personnel!$I$9:$I$100))))*Escalation!$B$18,Actuals!V104)</f>
        <v>-68000</v>
      </c>
      <c r="V284" s="21" t="n">
        <f aca="false">IF(ISBLANK(Actuals!W104),(-(SUMPRODUCT((Personnel!$O$9:$O$100="SP-Fee")*(Personnel!$G$9:$G$100="Yes")*(18&gt;=Personnel!$E$9:$E$100)*((Personnel!$K$9:$K$100="")+(18&lt;=Personnel!$K$9:$K$100)&gt;0)*Personnel!$D$9:$D$100*(1-Personnel!$I$9:$I$100))))*Escalation!$B$19,Actuals!W104)</f>
        <v>-68000</v>
      </c>
      <c r="W284" s="21" t="n">
        <f aca="false">IF(ISBLANK(Actuals!X104),(-(SUMPRODUCT((Personnel!$O$9:$O$100="SP-Fee")*(Personnel!$G$9:$G$100="Yes")*(19&gt;=Personnel!$E$9:$E$100)*((Personnel!$K$9:$K$100="")+(19&lt;=Personnel!$K$9:$K$100)&gt;0)*Personnel!$D$9:$D$100*(1-Personnel!$I$9:$I$100))))*Escalation!$B$20,Actuals!X104)</f>
        <v>-68000</v>
      </c>
      <c r="X284" s="21" t="n">
        <f aca="false">IF(ISBLANK(Actuals!Y104),(-(SUMPRODUCT((Personnel!$O$9:$O$100="SP-Fee")*(Personnel!$G$9:$G$100="Yes")*(20&gt;=Personnel!$E$9:$E$100)*((Personnel!$K$9:$K$100="")+(20&lt;=Personnel!$K$9:$K$100)&gt;0)*Personnel!$D$9:$D$100*(1-Personnel!$I$9:$I$100))))*Escalation!$B$21,Actuals!Y104)</f>
        <v>-68000</v>
      </c>
      <c r="Y284" s="21" t="n">
        <f aca="false">IF(ISBLANK(Actuals!Z104),(-(SUMPRODUCT((Personnel!$O$9:$O$100="SP-Fee")*(Personnel!$G$9:$G$100="Yes")*(21&gt;=Personnel!$E$9:$E$100)*((Personnel!$K$9:$K$100="")+(21&lt;=Personnel!$K$9:$K$100)&gt;0)*Personnel!$D$9:$D$100*(1-Personnel!$I$9:$I$100))))*Escalation!$B$22,Actuals!Z104)</f>
        <v>-68000</v>
      </c>
      <c r="Z284" s="21" t="n">
        <f aca="false">IF(ISBLANK(Actuals!AA104),(-(SUMPRODUCT((Personnel!$O$9:$O$100="SP-Fee")*(Personnel!$G$9:$G$100="Yes")*(22&gt;=Personnel!$E$9:$E$100)*((Personnel!$K$9:$K$100="")+(22&lt;=Personnel!$K$9:$K$100)&gt;0)*Personnel!$D$9:$D$100*(1-Personnel!$I$9:$I$100))))*Escalation!$B$23,Actuals!AA104)</f>
        <v>-68000</v>
      </c>
      <c r="AA284" s="21" t="n">
        <f aca="false">IF(ISBLANK(Actuals!AB104),(-(SUMPRODUCT((Personnel!$O$9:$O$100="SP-Fee")*(Personnel!$G$9:$G$100="Yes")*(23&gt;=Personnel!$E$9:$E$100)*((Personnel!$K$9:$K$100="")+(23&lt;=Personnel!$K$9:$K$100)&gt;0)*Personnel!$D$9:$D$100*(1-Personnel!$I$9:$I$100))))*Escalation!$B$24,Actuals!AB104)</f>
        <v>-68000</v>
      </c>
      <c r="AB284" s="21" t="n">
        <f aca="false">IF(ISBLANK(Actuals!AC104),(-(SUMPRODUCT((Personnel!$O$9:$O$100="SP-Fee")*(Personnel!$G$9:$G$100="Yes")*(24&gt;=Personnel!$E$9:$E$100)*((Personnel!$K$9:$K$100="")+(24&lt;=Personnel!$K$9:$K$100)&gt;0)*Personnel!$D$9:$D$100*(1-Personnel!$I$9:$I$100))))*Escalation!$B$25,Actuals!AC104)</f>
        <v>-68000</v>
      </c>
      <c r="AC284" s="21" t="n">
        <f aca="false">IF(ISBLANK(Actuals!AD104),(-(SUMPRODUCT((Personnel!$O$9:$O$100="SP-Fee")*(Personnel!$G$9:$G$100="Yes")*(25&gt;=Personnel!$E$9:$E$100)*((Personnel!$K$9:$K$100="")+(25&lt;=Personnel!$K$9:$K$100)&gt;0)*Personnel!$D$9:$D$100*(1-Personnel!$I$9:$I$100))))*Escalation!$B$26,Actuals!AD104)</f>
        <v>-69360</v>
      </c>
      <c r="AD284" s="21" t="n">
        <f aca="false">IF(ISBLANK(Actuals!AE104),(-(SUMPRODUCT((Personnel!$O$9:$O$100="SP-Fee")*(Personnel!$G$9:$G$100="Yes")*(26&gt;=Personnel!$E$9:$E$100)*((Personnel!$K$9:$K$100="")+(26&lt;=Personnel!$K$9:$K$100)&gt;0)*Personnel!$D$9:$D$100*(1-Personnel!$I$9:$I$100))))*Escalation!$B$27,Actuals!AE104)</f>
        <v>-69360</v>
      </c>
      <c r="AE284" s="21" t="n">
        <f aca="false">IF(ISBLANK(Actuals!AF104),(-(SUMPRODUCT((Personnel!$O$9:$O$100="SP-Fee")*(Personnel!$G$9:$G$100="Yes")*(27&gt;=Personnel!$E$9:$E$100)*((Personnel!$K$9:$K$100="")+(27&lt;=Personnel!$K$9:$K$100)&gt;0)*Personnel!$D$9:$D$100*(1-Personnel!$I$9:$I$100))))*Escalation!$B$28,Actuals!AF104)</f>
        <v>-69360</v>
      </c>
      <c r="AF284" s="21" t="n">
        <f aca="false">IF(ISBLANK(Actuals!AG104),(-(SUMPRODUCT((Personnel!$O$9:$O$100="SP-Fee")*(Personnel!$G$9:$G$100="Yes")*(28&gt;=Personnel!$E$9:$E$100)*((Personnel!$K$9:$K$100="")+(28&lt;=Personnel!$K$9:$K$100)&gt;0)*Personnel!$D$9:$D$100*(1-Personnel!$I$9:$I$100))))*Escalation!$B$29,Actuals!AG104)</f>
        <v>-69360</v>
      </c>
      <c r="AG284" s="21" t="n">
        <f aca="false">IF(ISBLANK(Actuals!AH104),(-(SUMPRODUCT((Personnel!$O$9:$O$100="SP-Fee")*(Personnel!$G$9:$G$100="Yes")*(29&gt;=Personnel!$E$9:$E$100)*((Personnel!$K$9:$K$100="")+(29&lt;=Personnel!$K$9:$K$100)&gt;0)*Personnel!$D$9:$D$100*(1-Personnel!$I$9:$I$100))))*Escalation!$B$30,Actuals!AH104)</f>
        <v>-69360</v>
      </c>
      <c r="AH284" s="21" t="n">
        <f aca="false">IF(ISBLANK(Actuals!AI104),(-(SUMPRODUCT((Personnel!$O$9:$O$100="SP-Fee")*(Personnel!$G$9:$G$100="Yes")*(30&gt;=Personnel!$E$9:$E$100)*((Personnel!$K$9:$K$100="")+(30&lt;=Personnel!$K$9:$K$100)&gt;0)*Personnel!$D$9:$D$100*(1-Personnel!$I$9:$I$100))))*Escalation!$B$31,Actuals!AI104)</f>
        <v>-69360</v>
      </c>
      <c r="AI284" s="21" t="n">
        <f aca="false">IF(ISBLANK(Actuals!AJ104),(-(SUMPRODUCT((Personnel!$O$9:$O$100="SP-Fee")*(Personnel!$G$9:$G$100="Yes")*(31&gt;=Personnel!$E$9:$E$100)*((Personnel!$K$9:$K$100="")+(31&lt;=Personnel!$K$9:$K$100)&gt;0)*Personnel!$D$9:$D$100*(1-Personnel!$I$9:$I$100))))*Escalation!$B$32,Actuals!AJ104)</f>
        <v>-69360</v>
      </c>
      <c r="AJ284" s="21" t="n">
        <f aca="false">IF(ISBLANK(Actuals!AK104),(-(SUMPRODUCT((Personnel!$O$9:$O$100="SP-Fee")*(Personnel!$G$9:$G$100="Yes")*(32&gt;=Personnel!$E$9:$E$100)*((Personnel!$K$9:$K$100="")+(32&lt;=Personnel!$K$9:$K$100)&gt;0)*Personnel!$D$9:$D$100*(1-Personnel!$I$9:$I$100))))*Escalation!$B$33,Actuals!AK104)</f>
        <v>-69360</v>
      </c>
      <c r="AK284" s="21" t="n">
        <f aca="false">IF(ISBLANK(Actuals!AL104),(-(SUMPRODUCT((Personnel!$O$9:$O$100="SP-Fee")*(Personnel!$G$9:$G$100="Yes")*(33&gt;=Personnel!$E$9:$E$100)*((Personnel!$K$9:$K$100="")+(33&lt;=Personnel!$K$9:$K$100)&gt;0)*Personnel!$D$9:$D$100*(1-Personnel!$I$9:$I$100))))*Escalation!$B$34,Actuals!AL104)</f>
        <v>-69360</v>
      </c>
      <c r="AL284" s="21" t="n">
        <f aca="false">IF(ISBLANK(Actuals!AM104),(-(SUMPRODUCT((Personnel!$O$9:$O$100="SP-Fee")*(Personnel!$G$9:$G$100="Yes")*(34&gt;=Personnel!$E$9:$E$100)*((Personnel!$K$9:$K$100="")+(34&lt;=Personnel!$K$9:$K$100)&gt;0)*Personnel!$D$9:$D$100*(1-Personnel!$I$9:$I$100))))*Escalation!$B$35,Actuals!AM104)</f>
        <v>-69360</v>
      </c>
      <c r="AM284" s="21" t="n">
        <f aca="false">IF(ISBLANK(Actuals!AN104),(-(SUMPRODUCT((Personnel!$O$9:$O$100="SP-Fee")*(Personnel!$G$9:$G$100="Yes")*(35&gt;=Personnel!$E$9:$E$100)*((Personnel!$K$9:$K$100="")+(35&lt;=Personnel!$K$9:$K$100)&gt;0)*Personnel!$D$9:$D$100*(1-Personnel!$I$9:$I$100))))*Escalation!$B$36,Actuals!AN104)</f>
        <v>-69360</v>
      </c>
      <c r="AN284" s="21" t="n">
        <f aca="false">IF(ISBLANK(Actuals!AO104),(-(SUMPRODUCT((Personnel!$O$9:$O$100="SP-Fee")*(Personnel!$G$9:$G$100="Yes")*(36&gt;=Personnel!$E$9:$E$100)*((Personnel!$K$9:$K$100="")+(36&lt;=Personnel!$K$9:$K$100)&gt;0)*Personnel!$D$9:$D$100*(1-Personnel!$I$9:$I$100))))*Escalation!$B$37,Actuals!AO104)</f>
        <v>-69360</v>
      </c>
      <c r="AO284" s="21" t="n">
        <f aca="false">IF(ISBLANK(Actuals!AP104),(-(SUMPRODUCT((Personnel!$O$9:$O$100="SP-Fee")*(Personnel!$G$9:$G$100="Yes")*(37&gt;=Personnel!$E$9:$E$100)*((Personnel!$K$9:$K$100="")+(37&lt;=Personnel!$K$9:$K$100)&gt;0)*Personnel!$D$9:$D$100*(1-Personnel!$I$9:$I$100))))*Escalation!$B$38,Actuals!AP104)</f>
        <v>-70747.2</v>
      </c>
      <c r="AP284" s="21" t="n">
        <f aca="false">IF(ISBLANK(Actuals!AQ104),(-(SUMPRODUCT((Personnel!$O$9:$O$100="SP-Fee")*(Personnel!$G$9:$G$100="Yes")*(38&gt;=Personnel!$E$9:$E$100)*((Personnel!$K$9:$K$100="")+(38&lt;=Personnel!$K$9:$K$100)&gt;0)*Personnel!$D$9:$D$100*(1-Personnel!$I$9:$I$100))))*Escalation!$B$39,Actuals!AQ104)</f>
        <v>-70747.2</v>
      </c>
      <c r="AQ284" s="21" t="n">
        <f aca="false">IF(ISBLANK(Actuals!AR104),(-(SUMPRODUCT((Personnel!$O$9:$O$100="SP-Fee")*(Personnel!$G$9:$G$100="Yes")*(39&gt;=Personnel!$E$9:$E$100)*((Personnel!$K$9:$K$100="")+(39&lt;=Personnel!$K$9:$K$100)&gt;0)*Personnel!$D$9:$D$100*(1-Personnel!$I$9:$I$100))))*Escalation!$B$40,Actuals!AR104)</f>
        <v>-70747.2</v>
      </c>
      <c r="AR284" s="21" t="n">
        <f aca="false">IF(ISBLANK(Actuals!AS104),(-(SUMPRODUCT((Personnel!$O$9:$O$100="SP-Fee")*(Personnel!$G$9:$G$100="Yes")*(40&gt;=Personnel!$E$9:$E$100)*((Personnel!$K$9:$K$100="")+(40&lt;=Personnel!$K$9:$K$100)&gt;0)*Personnel!$D$9:$D$100*(1-Personnel!$I$9:$I$100))))*Escalation!$B$41,Actuals!AS104)</f>
        <v>-70747.2</v>
      </c>
      <c r="AS284" s="21" t="n">
        <f aca="false">IF(ISBLANK(Actuals!AT104),(-(SUMPRODUCT((Personnel!$O$9:$O$100="SP-Fee")*(Personnel!$G$9:$G$100="Yes")*(41&gt;=Personnel!$E$9:$E$100)*((Personnel!$K$9:$K$100="")+(41&lt;=Personnel!$K$9:$K$100)&gt;0)*Personnel!$D$9:$D$100*(1-Personnel!$I$9:$I$100))))*Escalation!$B$42,Actuals!AT104)</f>
        <v>-70747.2</v>
      </c>
      <c r="AT284" s="21" t="n">
        <f aca="false">IF(ISBLANK(Actuals!AU104),(-(SUMPRODUCT((Personnel!$O$9:$O$100="SP-Fee")*(Personnel!$G$9:$G$100="Yes")*(42&gt;=Personnel!$E$9:$E$100)*((Personnel!$K$9:$K$100="")+(42&lt;=Personnel!$K$9:$K$100)&gt;0)*Personnel!$D$9:$D$100*(1-Personnel!$I$9:$I$100))))*Escalation!$B$43,Actuals!AU104)</f>
        <v>-70747.2</v>
      </c>
      <c r="AU284" s="21" t="n">
        <f aca="false">IF(ISBLANK(Actuals!AV104),(-(SUMPRODUCT((Personnel!$O$9:$O$100="SP-Fee")*(Personnel!$G$9:$G$100="Yes")*(43&gt;=Personnel!$E$9:$E$100)*((Personnel!$K$9:$K$100="")+(43&lt;=Personnel!$K$9:$K$100)&gt;0)*Personnel!$D$9:$D$100*(1-Personnel!$I$9:$I$100))))*Escalation!$B$44,Actuals!AV104)</f>
        <v>-70747.2</v>
      </c>
      <c r="AV284" s="21" t="n">
        <f aca="false">IF(ISBLANK(Actuals!AW104),(-(SUMPRODUCT((Personnel!$O$9:$O$100="SP-Fee")*(Personnel!$G$9:$G$100="Yes")*(44&gt;=Personnel!$E$9:$E$100)*((Personnel!$K$9:$K$100="")+(44&lt;=Personnel!$K$9:$K$100)&gt;0)*Personnel!$D$9:$D$100*(1-Personnel!$I$9:$I$100))))*Escalation!$B$45,Actuals!AW104)</f>
        <v>-70747.2</v>
      </c>
      <c r="AW284" s="21" t="n">
        <f aca="false">IF(ISBLANK(Actuals!AX104),(-(SUMPRODUCT((Personnel!$O$9:$O$100="SP-Fee")*(Personnel!$G$9:$G$100="Yes")*(45&gt;=Personnel!$E$9:$E$100)*((Personnel!$K$9:$K$100="")+(45&lt;=Personnel!$K$9:$K$100)&gt;0)*Personnel!$D$9:$D$100*(1-Personnel!$I$9:$I$100))))*Escalation!$B$46,Actuals!AX104)</f>
        <v>-70747.2</v>
      </c>
      <c r="AX284" s="21" t="n">
        <f aca="false">IF(ISBLANK(Actuals!AY104),(-(SUMPRODUCT((Personnel!$O$9:$O$100="SP-Fee")*(Personnel!$G$9:$G$100="Yes")*(46&gt;=Personnel!$E$9:$E$100)*((Personnel!$K$9:$K$100="")+(46&lt;=Personnel!$K$9:$K$100)&gt;0)*Personnel!$D$9:$D$100*(1-Personnel!$I$9:$I$100))))*Escalation!$B$47,Actuals!AY104)</f>
        <v>-70747.2</v>
      </c>
      <c r="AY284" s="21" t="n">
        <f aca="false">IF(ISBLANK(Actuals!AZ104),(-(SUMPRODUCT((Personnel!$O$9:$O$100="SP-Fee")*(Personnel!$G$9:$G$100="Yes")*(47&gt;=Personnel!$E$9:$E$100)*((Personnel!$K$9:$K$100="")+(47&lt;=Personnel!$K$9:$K$100)&gt;0)*Personnel!$D$9:$D$100*(1-Personnel!$I$9:$I$100))))*Escalation!$B$48,Actuals!AZ104)</f>
        <v>-70747.2</v>
      </c>
      <c r="AZ284" s="21" t="n">
        <f aca="false">IF(ISBLANK(Actuals!BA104),(-(SUMPRODUCT((Personnel!$O$9:$O$100="SP-Fee")*(Personnel!$G$9:$G$100="Yes")*(48&gt;=Personnel!$E$9:$E$100)*((Personnel!$K$9:$K$100="")+(48&lt;=Personnel!$K$9:$K$100)&gt;0)*Personnel!$D$9:$D$100*(1-Personnel!$I$9:$I$100))))*Escalation!$B$49,Actuals!BA104)</f>
        <v>-70747.2</v>
      </c>
      <c r="BA284" s="21" t="n">
        <f aca="false">IF(ISBLANK(Actuals!BB104),(-(SUMPRODUCT((Personnel!$O$9:$O$100="SP-Fee")*(Personnel!$G$9:$G$100="Yes")*(49&gt;=Personnel!$E$9:$E$100)*((Personnel!$K$9:$K$100="")+(49&lt;=Personnel!$K$9:$K$100)&gt;0)*Personnel!$D$9:$D$100*(1-Personnel!$I$9:$I$100))))*Escalation!$B$50,Actuals!BB104)</f>
        <v>-72162.144</v>
      </c>
      <c r="BB284" s="21" t="n">
        <f aca="false">IF(ISBLANK(Actuals!BC104),(-(SUMPRODUCT((Personnel!$O$9:$O$100="SP-Fee")*(Personnel!$G$9:$G$100="Yes")*(50&gt;=Personnel!$E$9:$E$100)*((Personnel!$K$9:$K$100="")+(50&lt;=Personnel!$K$9:$K$100)&gt;0)*Personnel!$D$9:$D$100*(1-Personnel!$I$9:$I$100))))*Escalation!$B$51,Actuals!BC104)</f>
        <v>-72162.144</v>
      </c>
      <c r="BC284" s="21" t="n">
        <f aca="false">IF(ISBLANK(Actuals!BD104),(-(SUMPRODUCT((Personnel!$O$9:$O$100="SP-Fee")*(Personnel!$G$9:$G$100="Yes")*(51&gt;=Personnel!$E$9:$E$100)*((Personnel!$K$9:$K$100="")+(51&lt;=Personnel!$K$9:$K$100)&gt;0)*Personnel!$D$9:$D$100*(1-Personnel!$I$9:$I$100))))*Escalation!$B$52,Actuals!BD104)</f>
        <v>-72162.144</v>
      </c>
      <c r="BD284" s="21" t="n">
        <f aca="false">IF(ISBLANK(Actuals!BE104),(-(SUMPRODUCT((Personnel!$O$9:$O$100="SP-Fee")*(Personnel!$G$9:$G$100="Yes")*(52&gt;=Personnel!$E$9:$E$100)*((Personnel!$K$9:$K$100="")+(52&lt;=Personnel!$K$9:$K$100)&gt;0)*Personnel!$D$9:$D$100*(1-Personnel!$I$9:$I$100))))*Escalation!$B$53,Actuals!BE104)</f>
        <v>-72162.144</v>
      </c>
      <c r="BE284" s="21" t="n">
        <f aca="false">IF(ISBLANK(Actuals!BF104),(-(SUMPRODUCT((Personnel!$O$9:$O$100="SP-Fee")*(Personnel!$G$9:$G$100="Yes")*(53&gt;=Personnel!$E$9:$E$100)*((Personnel!$K$9:$K$100="")+(53&lt;=Personnel!$K$9:$K$100)&gt;0)*Personnel!$D$9:$D$100*(1-Personnel!$I$9:$I$100))))*Escalation!$B$54,Actuals!BF104)</f>
        <v>-72162.144</v>
      </c>
      <c r="BF284" s="21" t="n">
        <f aca="false">IF(ISBLANK(Actuals!BG104),(-(SUMPRODUCT((Personnel!$O$9:$O$100="SP-Fee")*(Personnel!$G$9:$G$100="Yes")*(54&gt;=Personnel!$E$9:$E$100)*((Personnel!$K$9:$K$100="")+(54&lt;=Personnel!$K$9:$K$100)&gt;0)*Personnel!$D$9:$D$100*(1-Personnel!$I$9:$I$100))))*Escalation!$B$55,Actuals!BG104)</f>
        <v>-72162.144</v>
      </c>
      <c r="BG284" s="21" t="n">
        <f aca="false">IF(ISBLANK(Actuals!BH104),(-(SUMPRODUCT((Personnel!$O$9:$O$100="SP-Fee")*(Personnel!$G$9:$G$100="Yes")*(55&gt;=Personnel!$E$9:$E$100)*((Personnel!$K$9:$K$100="")+(55&lt;=Personnel!$K$9:$K$100)&gt;0)*Personnel!$D$9:$D$100*(1-Personnel!$I$9:$I$100))))*Escalation!$B$56,Actuals!BH104)</f>
        <v>-72162.144</v>
      </c>
      <c r="BH284" s="21" t="n">
        <f aca="false">IF(ISBLANK(Actuals!BI104),(-(SUMPRODUCT((Personnel!$O$9:$O$100="SP-Fee")*(Personnel!$G$9:$G$100="Yes")*(56&gt;=Personnel!$E$9:$E$100)*((Personnel!$K$9:$K$100="")+(56&lt;=Personnel!$K$9:$K$100)&gt;0)*Personnel!$D$9:$D$100*(1-Personnel!$I$9:$I$100))))*Escalation!$B$57,Actuals!BI104)</f>
        <v>-72162.144</v>
      </c>
      <c r="BI284" s="21" t="n">
        <f aca="false">IF(ISBLANK(Actuals!BJ104),(-(SUMPRODUCT((Personnel!$O$9:$O$100="SP-Fee")*(Personnel!$G$9:$G$100="Yes")*(57&gt;=Personnel!$E$9:$E$100)*((Personnel!$K$9:$K$100="")+(57&lt;=Personnel!$K$9:$K$100)&gt;0)*Personnel!$D$9:$D$100*(1-Personnel!$I$9:$I$100))))*Escalation!$B$58,Actuals!BJ104)</f>
        <v>-72162.144</v>
      </c>
      <c r="BJ284" s="21" t="n">
        <f aca="false">IF(ISBLANK(Actuals!BK104),(-(SUMPRODUCT((Personnel!$O$9:$O$100="SP-Fee")*(Personnel!$G$9:$G$100="Yes")*(58&gt;=Personnel!$E$9:$E$100)*((Personnel!$K$9:$K$100="")+(58&lt;=Personnel!$K$9:$K$100)&gt;0)*Personnel!$D$9:$D$100*(1-Personnel!$I$9:$I$100))))*Escalation!$B$59,Actuals!BK104)</f>
        <v>-72162.144</v>
      </c>
      <c r="BK284" s="21" t="n">
        <f aca="false">IF(ISBLANK(Actuals!BL104),(-(SUMPRODUCT((Personnel!$O$9:$O$100="SP-Fee")*(Personnel!$G$9:$G$100="Yes")*(59&gt;=Personnel!$E$9:$E$100)*((Personnel!$K$9:$K$100="")+(59&lt;=Personnel!$K$9:$K$100)&gt;0)*Personnel!$D$9:$D$100*(1-Personnel!$I$9:$I$100))))*Escalation!$B$60,Actuals!BL104)</f>
        <v>-72162.144</v>
      </c>
      <c r="BL284" s="21" t="n">
        <f aca="false">IF(ISBLANK(Actuals!BM104),(-(SUMPRODUCT((Personnel!$O$9:$O$100="SP-Fee")*(Personnel!$G$9:$G$100="Yes")*(60&gt;=Personnel!$E$9:$E$100)*((Personnel!$K$9:$K$100="")+(60&lt;=Personnel!$K$9:$K$100)&gt;0)*Personnel!$D$9:$D$100*(1-Personnel!$I$9:$I$100))))*Escalation!$B$61,Actuals!BM104)</f>
        <v>-72162.144</v>
      </c>
      <c r="BM284" s="21" t="n">
        <f aca="false">IF(ISBLANK(Actuals!BN104),(-(SUMPRODUCT((Personnel!$O$9:$O$100="SP-Fee")*(Personnel!$G$9:$G$100="Yes")*(61&gt;=Personnel!$E$9:$E$100)*((Personnel!$K$9:$K$100="")+(61&lt;=Personnel!$K$9:$K$100)&gt;0)*Personnel!$D$9:$D$100*(1-Personnel!$I$9:$I$100))))*Escalation!$B$62,Actuals!BN104)</f>
        <v>-73605.38688</v>
      </c>
      <c r="BN284" s="21" t="n">
        <f aca="false">IF(ISBLANK(Actuals!BO104),(-(SUMPRODUCT((Personnel!$O$9:$O$100="SP-Fee")*(Personnel!$G$9:$G$100="Yes")*(62&gt;=Personnel!$E$9:$E$100)*((Personnel!$K$9:$K$100="")+(62&lt;=Personnel!$K$9:$K$100)&gt;0)*Personnel!$D$9:$D$100*(1-Personnel!$I$9:$I$100))))*Escalation!$B$63,Actuals!BO104)</f>
        <v>-73605.38688</v>
      </c>
      <c r="BO284" s="21" t="n">
        <f aca="false">IF(ISBLANK(Actuals!BP104),(-(SUMPRODUCT((Personnel!$O$9:$O$100="SP-Fee")*(Personnel!$G$9:$G$100="Yes")*(63&gt;=Personnel!$E$9:$E$100)*((Personnel!$K$9:$K$100="")+(63&lt;=Personnel!$K$9:$K$100)&gt;0)*Personnel!$D$9:$D$100*(1-Personnel!$I$9:$I$100))))*Escalation!$B$64,Actuals!BP104)</f>
        <v>-73605.38688</v>
      </c>
      <c r="BP284" s="21" t="n">
        <f aca="false">IF(ISBLANK(Actuals!BQ104),(-(SUMPRODUCT((Personnel!$O$9:$O$100="SP-Fee")*(Personnel!$G$9:$G$100="Yes")*(64&gt;=Personnel!$E$9:$E$100)*((Personnel!$K$9:$K$100="")+(64&lt;=Personnel!$K$9:$K$100)&gt;0)*Personnel!$D$9:$D$100*(1-Personnel!$I$9:$I$100))))*Escalation!$B$65,Actuals!BQ104)</f>
        <v>-73605.38688</v>
      </c>
      <c r="BQ284" s="21" t="n">
        <f aca="false">IF(ISBLANK(Actuals!BR104),(-(SUMPRODUCT((Personnel!$O$9:$O$100="SP-Fee")*(Personnel!$G$9:$G$100="Yes")*(65&gt;=Personnel!$E$9:$E$100)*((Personnel!$K$9:$K$100="")+(65&lt;=Personnel!$K$9:$K$100)&gt;0)*Personnel!$D$9:$D$100*(1-Personnel!$I$9:$I$100))))*Escalation!$B$66,Actuals!BR104)</f>
        <v>-73605.38688</v>
      </c>
      <c r="BR284" s="21" t="n">
        <f aca="false">IF(ISBLANK(Actuals!BS104),(-(SUMPRODUCT((Personnel!$O$9:$O$100="SP-Fee")*(Personnel!$G$9:$G$100="Yes")*(66&gt;=Personnel!$E$9:$E$100)*((Personnel!$K$9:$K$100="")+(66&lt;=Personnel!$K$9:$K$100)&gt;0)*Personnel!$D$9:$D$100*(1-Personnel!$I$9:$I$100))))*Escalation!$B$67,Actuals!BS104)</f>
        <v>-73605.38688</v>
      </c>
      <c r="BS284" s="21" t="n">
        <f aca="false">IF(ISBLANK(Actuals!BT104),(-(SUMPRODUCT((Personnel!$O$9:$O$100="SP-Fee")*(Personnel!$G$9:$G$100="Yes")*(67&gt;=Personnel!$E$9:$E$100)*((Personnel!$K$9:$K$100="")+(67&lt;=Personnel!$K$9:$K$100)&gt;0)*Personnel!$D$9:$D$100*(1-Personnel!$I$9:$I$100))))*Escalation!$B$68,Actuals!BT104)</f>
        <v>-73605.38688</v>
      </c>
      <c r="BT284" s="21" t="n">
        <f aca="false">IF(ISBLANK(Actuals!BU104),(-(SUMPRODUCT((Personnel!$O$9:$O$100="SP-Fee")*(Personnel!$G$9:$G$100="Yes")*(68&gt;=Personnel!$E$9:$E$100)*((Personnel!$K$9:$K$100="")+(68&lt;=Personnel!$K$9:$K$100)&gt;0)*Personnel!$D$9:$D$100*(1-Personnel!$I$9:$I$100))))*Escalation!$B$69,Actuals!BU104)</f>
        <v>-73605.38688</v>
      </c>
      <c r="BU284" s="21" t="n">
        <f aca="false">IF(ISBLANK(Actuals!BV104),(-(SUMPRODUCT((Personnel!$O$9:$O$100="SP-Fee")*(Personnel!$G$9:$G$100="Yes")*(69&gt;=Personnel!$E$9:$E$100)*((Personnel!$K$9:$K$100="")+(69&lt;=Personnel!$K$9:$K$100)&gt;0)*Personnel!$D$9:$D$100*(1-Personnel!$I$9:$I$100))))*Escalation!$B$70,Actuals!BV104)</f>
        <v>-73605.38688</v>
      </c>
      <c r="BV284" s="21" t="n">
        <f aca="false">IF(ISBLANK(Actuals!BW104),(-(SUMPRODUCT((Personnel!$O$9:$O$100="SP-Fee")*(Personnel!$G$9:$G$100="Yes")*(70&gt;=Personnel!$E$9:$E$100)*((Personnel!$K$9:$K$100="")+(70&lt;=Personnel!$K$9:$K$100)&gt;0)*Personnel!$D$9:$D$100*(1-Personnel!$I$9:$I$100))))*Escalation!$B$71,Actuals!BW104)</f>
        <v>-73605.38688</v>
      </c>
      <c r="BW284" s="21" t="n">
        <f aca="false">IF(ISBLANK(Actuals!BX104),(-(SUMPRODUCT((Personnel!$O$9:$O$100="SP-Fee")*(Personnel!$G$9:$G$100="Yes")*(71&gt;=Personnel!$E$9:$E$100)*((Personnel!$K$9:$K$100="")+(71&lt;=Personnel!$K$9:$K$100)&gt;0)*Personnel!$D$9:$D$100*(1-Personnel!$I$9:$I$100))))*Escalation!$B$72,Actuals!BX104)</f>
        <v>-73605.38688</v>
      </c>
      <c r="BX284" s="21" t="n">
        <f aca="false">IF(ISBLANK(Actuals!BY104),(-(SUMPRODUCT((Personnel!$O$9:$O$100="SP-Fee")*(Personnel!$G$9:$G$100="Yes")*(72&gt;=Personnel!$E$9:$E$100)*((Personnel!$K$9:$K$100="")+(72&lt;=Personnel!$K$9:$K$100)&gt;0)*Personnel!$D$9:$D$100*(1-Personnel!$I$9:$I$100))))*Escalation!$B$73,Actuals!BY104)</f>
        <v>-73605.38688</v>
      </c>
      <c r="BY284" s="21" t="n">
        <f aca="false">IF(ISBLANK(Actuals!BZ104),(-(SUMPRODUCT((Personnel!$O$9:$O$100="SP-Fee")*(Personnel!$G$9:$G$100="Yes")*(73&gt;=Personnel!$E$9:$E$100)*((Personnel!$K$9:$K$100="")+(73&lt;=Personnel!$K$9:$K$100)&gt;0)*Personnel!$D$9:$D$100*(1-Personnel!$I$9:$I$100))))*Escalation!$B$74,Actuals!BZ104)</f>
        <v>-75077.4946176</v>
      </c>
      <c r="BZ284" s="21" t="n">
        <f aca="false">IF(ISBLANK(Actuals!CA104),(-(SUMPRODUCT((Personnel!$O$9:$O$100="SP-Fee")*(Personnel!$G$9:$G$100="Yes")*(74&gt;=Personnel!$E$9:$E$100)*((Personnel!$K$9:$K$100="")+(74&lt;=Personnel!$K$9:$K$100)&gt;0)*Personnel!$D$9:$D$100*(1-Personnel!$I$9:$I$100))))*Escalation!$B$75,Actuals!CA104)</f>
        <v>-75077.4946176</v>
      </c>
      <c r="CA284" s="21" t="n">
        <f aca="false">IF(ISBLANK(Actuals!CB104),(-(SUMPRODUCT((Personnel!$O$9:$O$100="SP-Fee")*(Personnel!$G$9:$G$100="Yes")*(75&gt;=Personnel!$E$9:$E$100)*((Personnel!$K$9:$K$100="")+(75&lt;=Personnel!$K$9:$K$100)&gt;0)*Personnel!$D$9:$D$100*(1-Personnel!$I$9:$I$100))))*Escalation!$B$76,Actuals!CB104)</f>
        <v>-75077.4946176</v>
      </c>
      <c r="CB284" s="21" t="n">
        <f aca="false">IF(ISBLANK(Actuals!CC104),(-(SUMPRODUCT((Personnel!$O$9:$O$100="SP-Fee")*(Personnel!$G$9:$G$100="Yes")*(76&gt;=Personnel!$E$9:$E$100)*((Personnel!$K$9:$K$100="")+(76&lt;=Personnel!$K$9:$K$100)&gt;0)*Personnel!$D$9:$D$100*(1-Personnel!$I$9:$I$100))))*Escalation!$B$77,Actuals!CC104)</f>
        <v>-75077.4946176</v>
      </c>
      <c r="CC284" s="21" t="n">
        <f aca="false">IF(ISBLANK(Actuals!CD104),(-(SUMPRODUCT((Personnel!$O$9:$O$100="SP-Fee")*(Personnel!$G$9:$G$100="Yes")*(77&gt;=Personnel!$E$9:$E$100)*((Personnel!$K$9:$K$100="")+(77&lt;=Personnel!$K$9:$K$100)&gt;0)*Personnel!$D$9:$D$100*(1-Personnel!$I$9:$I$100))))*Escalation!$B$78,Actuals!CD104)</f>
        <v>-75077.4946176</v>
      </c>
      <c r="CD284" s="21" t="n">
        <f aca="false">IF(ISBLANK(Actuals!CE104),(-(SUMPRODUCT((Personnel!$O$9:$O$100="SP-Fee")*(Personnel!$G$9:$G$100="Yes")*(78&gt;=Personnel!$E$9:$E$100)*((Personnel!$K$9:$K$100="")+(78&lt;=Personnel!$K$9:$K$100)&gt;0)*Personnel!$D$9:$D$100*(1-Personnel!$I$9:$I$100))))*Escalation!$B$79,Actuals!CE104)</f>
        <v>-75077.4946176</v>
      </c>
      <c r="CE284" s="21" t="n">
        <f aca="false">IF(ISBLANK(Actuals!CF104),(-(SUMPRODUCT((Personnel!$O$9:$O$100="SP-Fee")*(Personnel!$G$9:$G$100="Yes")*(79&gt;=Personnel!$E$9:$E$100)*((Personnel!$K$9:$K$100="")+(79&lt;=Personnel!$K$9:$K$100)&gt;0)*Personnel!$D$9:$D$100*(1-Personnel!$I$9:$I$100))))*Escalation!$B$80,Actuals!CF104)</f>
        <v>-75077.4946176</v>
      </c>
      <c r="CF284" s="21" t="n">
        <f aca="false">IF(ISBLANK(Actuals!CG104),(-(SUMPRODUCT((Personnel!$O$9:$O$100="SP-Fee")*(Personnel!$G$9:$G$100="Yes")*(80&gt;=Personnel!$E$9:$E$100)*((Personnel!$K$9:$K$100="")+(80&lt;=Personnel!$K$9:$K$100)&gt;0)*Personnel!$D$9:$D$100*(1-Personnel!$I$9:$I$100))))*Escalation!$B$81,Actuals!CG104)</f>
        <v>-75077.4946176</v>
      </c>
      <c r="CG284" s="21" t="n">
        <f aca="false">IF(ISBLANK(Actuals!CH104),(-(SUMPRODUCT((Personnel!$O$9:$O$100="SP-Fee")*(Personnel!$G$9:$G$100="Yes")*(81&gt;=Personnel!$E$9:$E$100)*((Personnel!$K$9:$K$100="")+(81&lt;=Personnel!$K$9:$K$100)&gt;0)*Personnel!$D$9:$D$100*(1-Personnel!$I$9:$I$100))))*Escalation!$B$82,Actuals!CH104)</f>
        <v>-75077.4946176</v>
      </c>
      <c r="CH284" s="21" t="n">
        <f aca="false">IF(ISBLANK(Actuals!CI104),(-(SUMPRODUCT((Personnel!$O$9:$O$100="SP-Fee")*(Personnel!$G$9:$G$100="Yes")*(82&gt;=Personnel!$E$9:$E$100)*((Personnel!$K$9:$K$100="")+(82&lt;=Personnel!$K$9:$K$100)&gt;0)*Personnel!$D$9:$D$100*(1-Personnel!$I$9:$I$100))))*Escalation!$B$83,Actuals!CI104)</f>
        <v>-75077.4946176</v>
      </c>
      <c r="CI284" s="21" t="n">
        <f aca="false">IF(ISBLANK(Actuals!CJ104),(-(SUMPRODUCT((Personnel!$O$9:$O$100="SP-Fee")*(Personnel!$G$9:$G$100="Yes")*(83&gt;=Personnel!$E$9:$E$100)*((Personnel!$K$9:$K$100="")+(83&lt;=Personnel!$K$9:$K$100)&gt;0)*Personnel!$D$9:$D$100*(1-Personnel!$I$9:$I$100))))*Escalation!$B$84,Actuals!CJ104)</f>
        <v>-75077.4946176</v>
      </c>
      <c r="CJ284" s="21" t="n">
        <f aca="false">IF(ISBLANK(Actuals!CK104),(-(SUMPRODUCT((Personnel!$O$9:$O$100="SP-Fee")*(Personnel!$G$9:$G$100="Yes")*(84&gt;=Personnel!$E$9:$E$100)*((Personnel!$K$9:$K$100="")+(84&lt;=Personnel!$K$9:$K$100)&gt;0)*Personnel!$D$9:$D$100*(1-Personnel!$I$9:$I$100))))*Escalation!$B$85,Actuals!CK104)</f>
        <v>-75077.4946176</v>
      </c>
      <c r="CK284" s="21" t="n">
        <f aca="false">IF(ISBLANK(Actuals!CL104),(-(SUMPRODUCT((Personnel!$O$9:$O$100="SP-Fee")*(Personnel!$G$9:$G$100="Yes")*(85&gt;=Personnel!$E$9:$E$100)*((Personnel!$K$9:$K$100="")+(85&lt;=Personnel!$K$9:$K$100)&gt;0)*Personnel!$D$9:$D$100*(1-Personnel!$I$9:$I$100))))*Escalation!$B$86,Actuals!CL104)</f>
        <v>-76579.044509952</v>
      </c>
      <c r="CL284" s="21" t="n">
        <f aca="false">IF(ISBLANK(Actuals!CM104),(-(SUMPRODUCT((Personnel!$O$9:$O$100="SP-Fee")*(Personnel!$G$9:$G$100="Yes")*(86&gt;=Personnel!$E$9:$E$100)*((Personnel!$K$9:$K$100="")+(86&lt;=Personnel!$K$9:$K$100)&gt;0)*Personnel!$D$9:$D$100*(1-Personnel!$I$9:$I$100))))*Escalation!$B$87,Actuals!CM104)</f>
        <v>-76579.044509952</v>
      </c>
      <c r="CM284" s="21" t="n">
        <f aca="false">IF(ISBLANK(Actuals!CN104),(-(SUMPRODUCT((Personnel!$O$9:$O$100="SP-Fee")*(Personnel!$G$9:$G$100="Yes")*(87&gt;=Personnel!$E$9:$E$100)*((Personnel!$K$9:$K$100="")+(87&lt;=Personnel!$K$9:$K$100)&gt;0)*Personnel!$D$9:$D$100*(1-Personnel!$I$9:$I$100))))*Escalation!$B$88,Actuals!CN104)</f>
        <v>-76579.044509952</v>
      </c>
      <c r="CN284" s="21" t="n">
        <f aca="false">IF(ISBLANK(Actuals!CO104),(-(SUMPRODUCT((Personnel!$O$9:$O$100="SP-Fee")*(Personnel!$G$9:$G$100="Yes")*(88&gt;=Personnel!$E$9:$E$100)*((Personnel!$K$9:$K$100="")+(88&lt;=Personnel!$K$9:$K$100)&gt;0)*Personnel!$D$9:$D$100*(1-Personnel!$I$9:$I$100))))*Escalation!$B$89,Actuals!CO104)</f>
        <v>-76579.044509952</v>
      </c>
      <c r="CO284" s="21" t="n">
        <f aca="false">IF(ISBLANK(Actuals!CP104),(-(SUMPRODUCT((Personnel!$O$9:$O$100="SP-Fee")*(Personnel!$G$9:$G$100="Yes")*(89&gt;=Personnel!$E$9:$E$100)*((Personnel!$K$9:$K$100="")+(89&lt;=Personnel!$K$9:$K$100)&gt;0)*Personnel!$D$9:$D$100*(1-Personnel!$I$9:$I$100))))*Escalation!$B$90,Actuals!CP104)</f>
        <v>-76579.044509952</v>
      </c>
      <c r="CP284" s="21" t="n">
        <f aca="false">IF(ISBLANK(Actuals!CQ104),(-(SUMPRODUCT((Personnel!$O$9:$O$100="SP-Fee")*(Personnel!$G$9:$G$100="Yes")*(90&gt;=Personnel!$E$9:$E$100)*((Personnel!$K$9:$K$100="")+(90&lt;=Personnel!$K$9:$K$100)&gt;0)*Personnel!$D$9:$D$100*(1-Personnel!$I$9:$I$100))))*Escalation!$B$91,Actuals!CQ104)</f>
        <v>-76579.044509952</v>
      </c>
      <c r="CQ284" s="21" t="n">
        <f aca="false">IF(ISBLANK(Actuals!CR104),(-(SUMPRODUCT((Personnel!$O$9:$O$100="SP-Fee")*(Personnel!$G$9:$G$100="Yes")*(91&gt;=Personnel!$E$9:$E$100)*((Personnel!$K$9:$K$100="")+(91&lt;=Personnel!$K$9:$K$100)&gt;0)*Personnel!$D$9:$D$100*(1-Personnel!$I$9:$I$100))))*Escalation!$B$92,Actuals!CR104)</f>
        <v>-76579.044509952</v>
      </c>
      <c r="CR284" s="21" t="n">
        <f aca="false">IF(ISBLANK(Actuals!CS104),(-(SUMPRODUCT((Personnel!$O$9:$O$100="SP-Fee")*(Personnel!$G$9:$G$100="Yes")*(92&gt;=Personnel!$E$9:$E$100)*((Personnel!$K$9:$K$100="")+(92&lt;=Personnel!$K$9:$K$100)&gt;0)*Personnel!$D$9:$D$100*(1-Personnel!$I$9:$I$100))))*Escalation!$B$93,Actuals!CS104)</f>
        <v>-76579.044509952</v>
      </c>
      <c r="CS284" s="21" t="n">
        <f aca="false">IF(ISBLANK(Actuals!CT104),(-(SUMPRODUCT((Personnel!$O$9:$O$100="SP-Fee")*(Personnel!$G$9:$G$100="Yes")*(93&gt;=Personnel!$E$9:$E$100)*((Personnel!$K$9:$K$100="")+(93&lt;=Personnel!$K$9:$K$100)&gt;0)*Personnel!$D$9:$D$100*(1-Personnel!$I$9:$I$100))))*Escalation!$B$94,Actuals!CT104)</f>
        <v>-76579.044509952</v>
      </c>
      <c r="CT284" s="21" t="n">
        <f aca="false">IF(ISBLANK(Actuals!CU104),(-(SUMPRODUCT((Personnel!$O$9:$O$100="SP-Fee")*(Personnel!$G$9:$G$100="Yes")*(94&gt;=Personnel!$E$9:$E$100)*((Personnel!$K$9:$K$100="")+(94&lt;=Personnel!$K$9:$K$100)&gt;0)*Personnel!$D$9:$D$100*(1-Personnel!$I$9:$I$100))))*Escalation!$B$95,Actuals!CU104)</f>
        <v>-76579.044509952</v>
      </c>
      <c r="CU284" s="21" t="n">
        <f aca="false">IF(ISBLANK(Actuals!CV104),(-(SUMPRODUCT((Personnel!$O$9:$O$100="SP-Fee")*(Personnel!$G$9:$G$100="Yes")*(95&gt;=Personnel!$E$9:$E$100)*((Personnel!$K$9:$K$100="")+(95&lt;=Personnel!$K$9:$K$100)&gt;0)*Personnel!$D$9:$D$100*(1-Personnel!$I$9:$I$100))))*Escalation!$B$96,Actuals!CV104)</f>
        <v>-76579.044509952</v>
      </c>
      <c r="CV284" s="21" t="n">
        <f aca="false">IF(ISBLANK(Actuals!CW104),(-(SUMPRODUCT((Personnel!$O$9:$O$100="SP-Fee")*(Personnel!$G$9:$G$100="Yes")*(96&gt;=Personnel!$E$9:$E$100)*((Personnel!$K$9:$K$100="")+(96&lt;=Personnel!$K$9:$K$100)&gt;0)*Personnel!$D$9:$D$100*(1-Personnel!$I$9:$I$100))))*Escalation!$B$97,Actuals!CW104)</f>
        <v>-76579.044509952</v>
      </c>
      <c r="CW284" s="21" t="n">
        <f aca="false">IF(ISBLANK(Actuals!CX104),(-(SUMPRODUCT((Personnel!$O$9:$O$100="SP-Fee")*(Personnel!$G$9:$G$100="Yes")*(97&gt;=Personnel!$E$9:$E$100)*((Personnel!$K$9:$K$100="")+(97&lt;=Personnel!$K$9:$K$100)&gt;0)*Personnel!$D$9:$D$100*(1-Personnel!$I$9:$I$100))))*Escalation!$B$98,Actuals!CX104)</f>
        <v>-78110.6254001511</v>
      </c>
      <c r="CX284" s="21" t="n">
        <f aca="false">IF(ISBLANK(Actuals!CY104),(-(SUMPRODUCT((Personnel!$O$9:$O$100="SP-Fee")*(Personnel!$G$9:$G$100="Yes")*(98&gt;=Personnel!$E$9:$E$100)*((Personnel!$K$9:$K$100="")+(98&lt;=Personnel!$K$9:$K$100)&gt;0)*Personnel!$D$9:$D$100*(1-Personnel!$I$9:$I$100))))*Escalation!$B$99,Actuals!CY104)</f>
        <v>-78110.6254001511</v>
      </c>
      <c r="CY284" s="21" t="n">
        <f aca="false">IF(ISBLANK(Actuals!CZ104),(-(SUMPRODUCT((Personnel!$O$9:$O$100="SP-Fee")*(Personnel!$G$9:$G$100="Yes")*(99&gt;=Personnel!$E$9:$E$100)*((Personnel!$K$9:$K$100="")+(99&lt;=Personnel!$K$9:$K$100)&gt;0)*Personnel!$D$9:$D$100*(1-Personnel!$I$9:$I$100))))*Escalation!$B$100,Actuals!CZ104)</f>
        <v>-78110.6254001511</v>
      </c>
      <c r="CZ284" s="21" t="n">
        <f aca="false">IF(ISBLANK(Actuals!DA104),(-(SUMPRODUCT((Personnel!$O$9:$O$100="SP-Fee")*(Personnel!$G$9:$G$100="Yes")*(100&gt;=Personnel!$E$9:$E$100)*((Personnel!$K$9:$K$100="")+(100&lt;=Personnel!$K$9:$K$100)&gt;0)*Personnel!$D$9:$D$100*(1-Personnel!$I$9:$I$100))))*Escalation!$B$101,Actuals!DA104)</f>
        <v>-78110.6254001511</v>
      </c>
      <c r="DA284" s="21" t="n">
        <f aca="false">IF(ISBLANK(Actuals!DB104),(-(SUMPRODUCT((Personnel!$O$9:$O$100="SP-Fee")*(Personnel!$G$9:$G$100="Yes")*(101&gt;=Personnel!$E$9:$E$100)*((Personnel!$K$9:$K$100="")+(101&lt;=Personnel!$K$9:$K$100)&gt;0)*Personnel!$D$9:$D$100*(1-Personnel!$I$9:$I$100))))*Escalation!$B$102,Actuals!DB104)</f>
        <v>-78110.6254001511</v>
      </c>
      <c r="DB284" s="21" t="n">
        <f aca="false">IF(ISBLANK(Actuals!DC104),(-(SUMPRODUCT((Personnel!$O$9:$O$100="SP-Fee")*(Personnel!$G$9:$G$100="Yes")*(102&gt;=Personnel!$E$9:$E$100)*((Personnel!$K$9:$K$100="")+(102&lt;=Personnel!$K$9:$K$100)&gt;0)*Personnel!$D$9:$D$100*(1-Personnel!$I$9:$I$100))))*Escalation!$B$103,Actuals!DC104)</f>
        <v>-78110.6254001511</v>
      </c>
      <c r="DC284" s="21" t="n">
        <f aca="false">IF(ISBLANK(Actuals!DD104),(-(SUMPRODUCT((Personnel!$O$9:$O$100="SP-Fee")*(Personnel!$G$9:$G$100="Yes")*(103&gt;=Personnel!$E$9:$E$100)*((Personnel!$K$9:$K$100="")+(103&lt;=Personnel!$K$9:$K$100)&gt;0)*Personnel!$D$9:$D$100*(1-Personnel!$I$9:$I$100))))*Escalation!$B$104,Actuals!DD104)</f>
        <v>-78110.6254001511</v>
      </c>
      <c r="DD284" s="21" t="n">
        <f aca="false">IF(ISBLANK(Actuals!DE104),(-(SUMPRODUCT((Personnel!$O$9:$O$100="SP-Fee")*(Personnel!$G$9:$G$100="Yes")*(104&gt;=Personnel!$E$9:$E$100)*((Personnel!$K$9:$K$100="")+(104&lt;=Personnel!$K$9:$K$100)&gt;0)*Personnel!$D$9:$D$100*(1-Personnel!$I$9:$I$100))))*Escalation!$B$105,Actuals!DE104)</f>
        <v>-78110.6254001511</v>
      </c>
      <c r="DE284" s="21" t="n">
        <f aca="false">IF(ISBLANK(Actuals!DF104),(-(SUMPRODUCT((Personnel!$O$9:$O$100="SP-Fee")*(Personnel!$G$9:$G$100="Yes")*(105&gt;=Personnel!$E$9:$E$100)*((Personnel!$K$9:$K$100="")+(105&lt;=Personnel!$K$9:$K$100)&gt;0)*Personnel!$D$9:$D$100*(1-Personnel!$I$9:$I$100))))*Escalation!$B$106,Actuals!DF104)</f>
        <v>-78110.6254001511</v>
      </c>
    </row>
    <row r="285" customFormat="false" ht="15" hidden="false" customHeight="true" outlineLevel="0" collapsed="false">
      <c r="A285" s="22" t="s">
        <v>92</v>
      </c>
      <c r="B285" s="13" t="n">
        <f aca="false">IF(ISBLANK(Actuals!C105),0,Actuals!C105)</f>
        <v>-6935.84</v>
      </c>
      <c r="C285" s="13" t="n">
        <f aca="false">IF(ISBLANK(Actuals!D105),0,Actuals!D105)</f>
        <v>-2799.88</v>
      </c>
      <c r="D285" s="13" t="n">
        <f aca="false">IF(ISBLANK(Actuals!E105),0,Actuals!E105)</f>
        <v>-12899.88</v>
      </c>
      <c r="E285" s="13" t="n">
        <f aca="false">IF(ISBLANK(Actuals!F105),-1580.65*Escalation!$B$2,Actuals!F105)</f>
        <v>-2932.88</v>
      </c>
      <c r="F285" s="13" t="n">
        <f aca="false">IF(ISBLANK(Actuals!G105),-1580.65*Escalation!$B$3,Actuals!G105)</f>
        <v>-5474.88</v>
      </c>
      <c r="G285" s="13" t="n">
        <f aca="false">IF(ISBLANK(Actuals!H105),-1580.65*Escalation!$B$4,Actuals!H105)</f>
        <v>-5</v>
      </c>
      <c r="H285" s="13" t="n">
        <f aca="false">IF(ISBLANK(Actuals!I105),-1580.65*Escalation!$B$5,Actuals!I105)</f>
        <v>-255</v>
      </c>
      <c r="I285" s="13" t="n">
        <f aca="false">IF(ISBLANK(Actuals!J105),-1580.65*Escalation!$B$6,Actuals!J105)</f>
        <v>4520.8</v>
      </c>
      <c r="J285" s="13" t="n">
        <f aca="false">IF(ISBLANK(Actuals!K105),-1580.65*Escalation!$B$7,Actuals!K105)</f>
        <v>-1580.65</v>
      </c>
      <c r="K285" s="13" t="n">
        <f aca="false">IF(ISBLANK(Actuals!L105),-1580.65*Escalation!$B$8,Actuals!L105)</f>
        <v>-1580.65</v>
      </c>
      <c r="L285" s="13" t="n">
        <f aca="false">IF(ISBLANK(Actuals!M105),-1580.65*Escalation!$B$9,Actuals!M105)</f>
        <v>-1580.65</v>
      </c>
      <c r="M285" s="13" t="n">
        <f aca="false">IF(ISBLANK(Actuals!N105),-1580.65*Escalation!$B$10,Actuals!N105)</f>
        <v>-1580.65</v>
      </c>
      <c r="N285" s="13" t="n">
        <f aca="false">IF(ISBLANK(Actuals!O105),-1580.65*Escalation!$B$11,Actuals!O105)</f>
        <v>-1580.65</v>
      </c>
      <c r="O285" s="13" t="n">
        <f aca="false">IF(ISBLANK(Actuals!P105),-1580.65*Escalation!$B$12,Actuals!P105)</f>
        <v>-1580.65</v>
      </c>
      <c r="P285" s="13" t="n">
        <f aca="false">IF(ISBLANK(Actuals!Q105),-1580.65*Escalation!$B$13,Actuals!Q105)</f>
        <v>-1580.65</v>
      </c>
      <c r="Q285" s="13" t="n">
        <f aca="false">IF(ISBLANK(Actuals!R105),-1580.65*Escalation!$B$14,Actuals!R105)</f>
        <v>-1612.263</v>
      </c>
      <c r="R285" s="13" t="n">
        <f aca="false">IF(ISBLANK(Actuals!S105),-1580.65*Escalation!$B$15,Actuals!S105)</f>
        <v>-1612.263</v>
      </c>
      <c r="S285" s="13" t="n">
        <f aca="false">IF(ISBLANK(Actuals!T105),-1580.65*Escalation!$B$16,Actuals!T105)</f>
        <v>-1612.263</v>
      </c>
      <c r="T285" s="13" t="n">
        <f aca="false">IF(ISBLANK(Actuals!U105),-1580.65*Escalation!$B$17,Actuals!U105)</f>
        <v>-1612.263</v>
      </c>
      <c r="U285" s="13" t="n">
        <f aca="false">IF(ISBLANK(Actuals!V105),-1580.65*Escalation!$B$18,Actuals!V105)</f>
        <v>-1612.263</v>
      </c>
      <c r="V285" s="13" t="n">
        <f aca="false">IF(ISBLANK(Actuals!W105),-1580.65*Escalation!$B$19,Actuals!W105)</f>
        <v>-1612.263</v>
      </c>
      <c r="W285" s="13" t="n">
        <f aca="false">IF(ISBLANK(Actuals!X105),-1580.65*Escalation!$B$20,Actuals!X105)</f>
        <v>-1612.263</v>
      </c>
      <c r="X285" s="13" t="n">
        <f aca="false">IF(ISBLANK(Actuals!Y105),-1580.65*Escalation!$B$21,Actuals!Y105)</f>
        <v>-1612.263</v>
      </c>
      <c r="Y285" s="13" t="n">
        <f aca="false">IF(ISBLANK(Actuals!Z105),-1580.65*Escalation!$B$22,Actuals!Z105)</f>
        <v>-1612.263</v>
      </c>
      <c r="Z285" s="13" t="n">
        <f aca="false">IF(ISBLANK(Actuals!AA105),-1580.65*Escalation!$B$23,Actuals!AA105)</f>
        <v>-1612.263</v>
      </c>
      <c r="AA285" s="13" t="n">
        <f aca="false">IF(ISBLANK(Actuals!AB105),-1580.65*Escalation!$B$24,Actuals!AB105)</f>
        <v>-1612.263</v>
      </c>
      <c r="AB285" s="13" t="n">
        <f aca="false">IF(ISBLANK(Actuals!AC105),-1580.65*Escalation!$B$25,Actuals!AC105)</f>
        <v>-1612.263</v>
      </c>
      <c r="AC285" s="13" t="n">
        <f aca="false">IF(ISBLANK(Actuals!AD105),-1580.65*Escalation!$B$26,Actuals!AD105)</f>
        <v>-1644.50826</v>
      </c>
      <c r="AD285" s="13" t="n">
        <f aca="false">IF(ISBLANK(Actuals!AE105),-1580.65*Escalation!$B$27,Actuals!AE105)</f>
        <v>-1644.50826</v>
      </c>
      <c r="AE285" s="13" t="n">
        <f aca="false">IF(ISBLANK(Actuals!AF105),-1580.65*Escalation!$B$28,Actuals!AF105)</f>
        <v>-1644.50826</v>
      </c>
      <c r="AF285" s="13" t="n">
        <f aca="false">IF(ISBLANK(Actuals!AG105),-1580.65*Escalation!$B$29,Actuals!AG105)</f>
        <v>-1644.50826</v>
      </c>
      <c r="AG285" s="13" t="n">
        <f aca="false">IF(ISBLANK(Actuals!AH105),-1580.65*Escalation!$B$30,Actuals!AH105)</f>
        <v>-1644.50826</v>
      </c>
      <c r="AH285" s="13" t="n">
        <f aca="false">IF(ISBLANK(Actuals!AI105),-1580.65*Escalation!$B$31,Actuals!AI105)</f>
        <v>-1644.50826</v>
      </c>
      <c r="AI285" s="13" t="n">
        <f aca="false">IF(ISBLANK(Actuals!AJ105),-1580.65*Escalation!$B$32,Actuals!AJ105)</f>
        <v>-1644.50826</v>
      </c>
      <c r="AJ285" s="13" t="n">
        <f aca="false">IF(ISBLANK(Actuals!AK105),-1580.65*Escalation!$B$33,Actuals!AK105)</f>
        <v>-1644.50826</v>
      </c>
      <c r="AK285" s="13" t="n">
        <f aca="false">IF(ISBLANK(Actuals!AL105),-1580.65*Escalation!$B$34,Actuals!AL105)</f>
        <v>-1644.50826</v>
      </c>
      <c r="AL285" s="13" t="n">
        <f aca="false">IF(ISBLANK(Actuals!AM105),-1580.65*Escalation!$B$35,Actuals!AM105)</f>
        <v>-1644.50826</v>
      </c>
      <c r="AM285" s="13" t="n">
        <f aca="false">IF(ISBLANK(Actuals!AN105),-1580.65*Escalation!$B$36,Actuals!AN105)</f>
        <v>-1644.50826</v>
      </c>
      <c r="AN285" s="13" t="n">
        <f aca="false">IF(ISBLANK(Actuals!AO105),-1580.65*Escalation!$B$37,Actuals!AO105)</f>
        <v>-1644.50826</v>
      </c>
      <c r="AO285" s="13" t="n">
        <f aca="false">IF(ISBLANK(Actuals!AP105),-1580.65*Escalation!$B$38,Actuals!AP105)</f>
        <v>-1677.3984252</v>
      </c>
      <c r="AP285" s="13" t="n">
        <f aca="false">IF(ISBLANK(Actuals!AQ105),-1580.65*Escalation!$B$39,Actuals!AQ105)</f>
        <v>-1677.3984252</v>
      </c>
      <c r="AQ285" s="13" t="n">
        <f aca="false">IF(ISBLANK(Actuals!AR105),-1580.65*Escalation!$B$40,Actuals!AR105)</f>
        <v>-1677.3984252</v>
      </c>
      <c r="AR285" s="13" t="n">
        <f aca="false">IF(ISBLANK(Actuals!AS105),-1580.65*Escalation!$B$41,Actuals!AS105)</f>
        <v>-1677.3984252</v>
      </c>
      <c r="AS285" s="13" t="n">
        <f aca="false">IF(ISBLANK(Actuals!AT105),-1580.65*Escalation!$B$42,Actuals!AT105)</f>
        <v>-1677.3984252</v>
      </c>
      <c r="AT285" s="13" t="n">
        <f aca="false">IF(ISBLANK(Actuals!AU105),-1580.65*Escalation!$B$43,Actuals!AU105)</f>
        <v>-1677.3984252</v>
      </c>
      <c r="AU285" s="13" t="n">
        <f aca="false">IF(ISBLANK(Actuals!AV105),-1580.65*Escalation!$B$44,Actuals!AV105)</f>
        <v>-1677.3984252</v>
      </c>
      <c r="AV285" s="13" t="n">
        <f aca="false">IF(ISBLANK(Actuals!AW105),-1580.65*Escalation!$B$45,Actuals!AW105)</f>
        <v>-1677.3984252</v>
      </c>
      <c r="AW285" s="13" t="n">
        <f aca="false">IF(ISBLANK(Actuals!AX105),-1580.65*Escalation!$B$46,Actuals!AX105)</f>
        <v>-1677.3984252</v>
      </c>
      <c r="AX285" s="13" t="n">
        <f aca="false">IF(ISBLANK(Actuals!AY105),-1580.65*Escalation!$B$47,Actuals!AY105)</f>
        <v>-1677.3984252</v>
      </c>
      <c r="AY285" s="13" t="n">
        <f aca="false">IF(ISBLANK(Actuals!AZ105),-1580.65*Escalation!$B$48,Actuals!AZ105)</f>
        <v>-1677.3984252</v>
      </c>
      <c r="AZ285" s="13" t="n">
        <f aca="false">IF(ISBLANK(Actuals!BA105),-1580.65*Escalation!$B$49,Actuals!BA105)</f>
        <v>-1677.3984252</v>
      </c>
      <c r="BA285" s="13" t="n">
        <f aca="false">IF(ISBLANK(Actuals!BB105),-1580.65*Escalation!$B$50,Actuals!BB105)</f>
        <v>-1710.946393704</v>
      </c>
      <c r="BB285" s="13" t="n">
        <f aca="false">IF(ISBLANK(Actuals!BC105),-1580.65*Escalation!$B$51,Actuals!BC105)</f>
        <v>-1710.946393704</v>
      </c>
      <c r="BC285" s="13" t="n">
        <f aca="false">IF(ISBLANK(Actuals!BD105),-1580.65*Escalation!$B$52,Actuals!BD105)</f>
        <v>-1710.946393704</v>
      </c>
      <c r="BD285" s="13" t="n">
        <f aca="false">IF(ISBLANK(Actuals!BE105),-1580.65*Escalation!$B$53,Actuals!BE105)</f>
        <v>-1710.946393704</v>
      </c>
      <c r="BE285" s="13" t="n">
        <f aca="false">IF(ISBLANK(Actuals!BF105),-1580.65*Escalation!$B$54,Actuals!BF105)</f>
        <v>-1710.946393704</v>
      </c>
      <c r="BF285" s="13" t="n">
        <f aca="false">IF(ISBLANK(Actuals!BG105),-1580.65*Escalation!$B$55,Actuals!BG105)</f>
        <v>-1710.946393704</v>
      </c>
      <c r="BG285" s="13" t="n">
        <f aca="false">IF(ISBLANK(Actuals!BH105),-1580.65*Escalation!$B$56,Actuals!BH105)</f>
        <v>-1710.946393704</v>
      </c>
      <c r="BH285" s="13" t="n">
        <f aca="false">IF(ISBLANK(Actuals!BI105),-1580.65*Escalation!$B$57,Actuals!BI105)</f>
        <v>-1710.946393704</v>
      </c>
      <c r="BI285" s="13" t="n">
        <f aca="false">IF(ISBLANK(Actuals!BJ105),-1580.65*Escalation!$B$58,Actuals!BJ105)</f>
        <v>-1710.946393704</v>
      </c>
      <c r="BJ285" s="13" t="n">
        <f aca="false">IF(ISBLANK(Actuals!BK105),-1580.65*Escalation!$B$59,Actuals!BK105)</f>
        <v>-1710.946393704</v>
      </c>
      <c r="BK285" s="13" t="n">
        <f aca="false">IF(ISBLANK(Actuals!BL105),-1580.65*Escalation!$B$60,Actuals!BL105)</f>
        <v>-1710.946393704</v>
      </c>
      <c r="BL285" s="13" t="n">
        <f aca="false">IF(ISBLANK(Actuals!BM105),-1580.65*Escalation!$B$61,Actuals!BM105)</f>
        <v>-1710.946393704</v>
      </c>
      <c r="BM285" s="13" t="n">
        <f aca="false">IF(ISBLANK(Actuals!BN105),-1580.65*Escalation!$B$62,Actuals!BN105)</f>
        <v>-1745.16532157808</v>
      </c>
      <c r="BN285" s="13" t="n">
        <f aca="false">IF(ISBLANK(Actuals!BO105),-1580.65*Escalation!$B$63,Actuals!BO105)</f>
        <v>-1745.16532157808</v>
      </c>
      <c r="BO285" s="13" t="n">
        <f aca="false">IF(ISBLANK(Actuals!BP105),-1580.65*Escalation!$B$64,Actuals!BP105)</f>
        <v>-1745.16532157808</v>
      </c>
      <c r="BP285" s="13" t="n">
        <f aca="false">IF(ISBLANK(Actuals!BQ105),-1580.65*Escalation!$B$65,Actuals!BQ105)</f>
        <v>-1745.16532157808</v>
      </c>
      <c r="BQ285" s="13" t="n">
        <f aca="false">IF(ISBLANK(Actuals!BR105),-1580.65*Escalation!$B$66,Actuals!BR105)</f>
        <v>-1745.16532157808</v>
      </c>
      <c r="BR285" s="13" t="n">
        <f aca="false">IF(ISBLANK(Actuals!BS105),-1580.65*Escalation!$B$67,Actuals!BS105)</f>
        <v>-1745.16532157808</v>
      </c>
      <c r="BS285" s="13" t="n">
        <f aca="false">IF(ISBLANK(Actuals!BT105),-1580.65*Escalation!$B$68,Actuals!BT105)</f>
        <v>-1745.16532157808</v>
      </c>
      <c r="BT285" s="13" t="n">
        <f aca="false">IF(ISBLANK(Actuals!BU105),-1580.65*Escalation!$B$69,Actuals!BU105)</f>
        <v>-1745.16532157808</v>
      </c>
      <c r="BU285" s="13" t="n">
        <f aca="false">IF(ISBLANK(Actuals!BV105),-1580.65*Escalation!$B$70,Actuals!BV105)</f>
        <v>-1745.16532157808</v>
      </c>
      <c r="BV285" s="13" t="n">
        <f aca="false">IF(ISBLANK(Actuals!BW105),-1580.65*Escalation!$B$71,Actuals!BW105)</f>
        <v>-1745.16532157808</v>
      </c>
      <c r="BW285" s="13" t="n">
        <f aca="false">IF(ISBLANK(Actuals!BX105),-1580.65*Escalation!$B$72,Actuals!BX105)</f>
        <v>-1745.16532157808</v>
      </c>
      <c r="BX285" s="13" t="n">
        <f aca="false">IF(ISBLANK(Actuals!BY105),-1580.65*Escalation!$B$73,Actuals!BY105)</f>
        <v>-1745.16532157808</v>
      </c>
      <c r="BY285" s="13" t="n">
        <f aca="false">IF(ISBLANK(Actuals!BZ105),-1580.65*Escalation!$B$74,Actuals!BZ105)</f>
        <v>-1780.06862800964</v>
      </c>
      <c r="BZ285" s="13" t="n">
        <f aca="false">IF(ISBLANK(Actuals!CA105),-1580.65*Escalation!$B$75,Actuals!CA105)</f>
        <v>-1780.06862800964</v>
      </c>
      <c r="CA285" s="13" t="n">
        <f aca="false">IF(ISBLANK(Actuals!CB105),-1580.65*Escalation!$B$76,Actuals!CB105)</f>
        <v>-1780.06862800964</v>
      </c>
      <c r="CB285" s="13" t="n">
        <f aca="false">IF(ISBLANK(Actuals!CC105),-1580.65*Escalation!$B$77,Actuals!CC105)</f>
        <v>-1780.06862800964</v>
      </c>
      <c r="CC285" s="13" t="n">
        <f aca="false">IF(ISBLANK(Actuals!CD105),-1580.65*Escalation!$B$78,Actuals!CD105)</f>
        <v>-1780.06862800964</v>
      </c>
      <c r="CD285" s="13" t="n">
        <f aca="false">IF(ISBLANK(Actuals!CE105),-1580.65*Escalation!$B$79,Actuals!CE105)</f>
        <v>-1780.06862800964</v>
      </c>
      <c r="CE285" s="13" t="n">
        <f aca="false">IF(ISBLANK(Actuals!CF105),-1580.65*Escalation!$B$80,Actuals!CF105)</f>
        <v>-1780.06862800964</v>
      </c>
      <c r="CF285" s="13" t="n">
        <f aca="false">IF(ISBLANK(Actuals!CG105),-1580.65*Escalation!$B$81,Actuals!CG105)</f>
        <v>-1780.06862800964</v>
      </c>
      <c r="CG285" s="13" t="n">
        <f aca="false">IF(ISBLANK(Actuals!CH105),-1580.65*Escalation!$B$82,Actuals!CH105)</f>
        <v>-1780.06862800964</v>
      </c>
      <c r="CH285" s="13" t="n">
        <f aca="false">IF(ISBLANK(Actuals!CI105),-1580.65*Escalation!$B$83,Actuals!CI105)</f>
        <v>-1780.06862800964</v>
      </c>
      <c r="CI285" s="13" t="n">
        <f aca="false">IF(ISBLANK(Actuals!CJ105),-1580.65*Escalation!$B$84,Actuals!CJ105)</f>
        <v>-1780.06862800964</v>
      </c>
      <c r="CJ285" s="13" t="n">
        <f aca="false">IF(ISBLANK(Actuals!CK105),-1580.65*Escalation!$B$85,Actuals!CK105)</f>
        <v>-1780.06862800964</v>
      </c>
      <c r="CK285" s="13" t="n">
        <f aca="false">IF(ISBLANK(Actuals!CL105),-1580.65*Escalation!$B$86,Actuals!CL105)</f>
        <v>-1815.67000056983</v>
      </c>
      <c r="CL285" s="13" t="n">
        <f aca="false">IF(ISBLANK(Actuals!CM105),-1580.65*Escalation!$B$87,Actuals!CM105)</f>
        <v>-1815.67000056983</v>
      </c>
      <c r="CM285" s="13" t="n">
        <f aca="false">IF(ISBLANK(Actuals!CN105),-1580.65*Escalation!$B$88,Actuals!CN105)</f>
        <v>-1815.67000056983</v>
      </c>
      <c r="CN285" s="13" t="n">
        <f aca="false">IF(ISBLANK(Actuals!CO105),-1580.65*Escalation!$B$89,Actuals!CO105)</f>
        <v>-1815.67000056983</v>
      </c>
      <c r="CO285" s="13" t="n">
        <f aca="false">IF(ISBLANK(Actuals!CP105),-1580.65*Escalation!$B$90,Actuals!CP105)</f>
        <v>-1815.67000056983</v>
      </c>
      <c r="CP285" s="13" t="n">
        <f aca="false">IF(ISBLANK(Actuals!CQ105),-1580.65*Escalation!$B$91,Actuals!CQ105)</f>
        <v>-1815.67000056983</v>
      </c>
      <c r="CQ285" s="13" t="n">
        <f aca="false">IF(ISBLANK(Actuals!CR105),-1580.65*Escalation!$B$92,Actuals!CR105)</f>
        <v>-1815.67000056983</v>
      </c>
      <c r="CR285" s="13" t="n">
        <f aca="false">IF(ISBLANK(Actuals!CS105),-1580.65*Escalation!$B$93,Actuals!CS105)</f>
        <v>-1815.67000056983</v>
      </c>
      <c r="CS285" s="13" t="n">
        <f aca="false">IF(ISBLANK(Actuals!CT105),-1580.65*Escalation!$B$94,Actuals!CT105)</f>
        <v>-1815.67000056983</v>
      </c>
      <c r="CT285" s="13" t="n">
        <f aca="false">IF(ISBLANK(Actuals!CU105),-1580.65*Escalation!$B$95,Actuals!CU105)</f>
        <v>-1815.67000056983</v>
      </c>
      <c r="CU285" s="13" t="n">
        <f aca="false">IF(ISBLANK(Actuals!CV105),-1580.65*Escalation!$B$96,Actuals!CV105)</f>
        <v>-1815.67000056983</v>
      </c>
      <c r="CV285" s="13" t="n">
        <f aca="false">IF(ISBLANK(Actuals!CW105),-1580.65*Escalation!$B$97,Actuals!CW105)</f>
        <v>-1815.67000056983</v>
      </c>
      <c r="CW285" s="13" t="n">
        <f aca="false">IF(ISBLANK(Actuals!CX105),-1580.65*Escalation!$B$98,Actuals!CX105)</f>
        <v>-1851.98340058123</v>
      </c>
      <c r="CX285" s="13" t="n">
        <f aca="false">IF(ISBLANK(Actuals!CY105),-1580.65*Escalation!$B$99,Actuals!CY105)</f>
        <v>-1851.98340058123</v>
      </c>
      <c r="CY285" s="13" t="n">
        <f aca="false">IF(ISBLANK(Actuals!CZ105),-1580.65*Escalation!$B$100,Actuals!CZ105)</f>
        <v>-1851.98340058123</v>
      </c>
      <c r="CZ285" s="13" t="n">
        <f aca="false">IF(ISBLANK(Actuals!DA105),-1580.65*Escalation!$B$101,Actuals!DA105)</f>
        <v>-1851.98340058123</v>
      </c>
      <c r="DA285" s="13" t="n">
        <f aca="false">IF(ISBLANK(Actuals!DB105),-1580.65*Escalation!$B$102,Actuals!DB105)</f>
        <v>-1851.98340058123</v>
      </c>
      <c r="DB285" s="13" t="n">
        <f aca="false">IF(ISBLANK(Actuals!DC105),-1580.65*Escalation!$B$103,Actuals!DC105)</f>
        <v>-1851.98340058123</v>
      </c>
      <c r="DC285" s="13" t="n">
        <f aca="false">IF(ISBLANK(Actuals!DD105),-1580.65*Escalation!$B$104,Actuals!DD105)</f>
        <v>-1851.98340058123</v>
      </c>
      <c r="DD285" s="13" t="n">
        <f aca="false">IF(ISBLANK(Actuals!DE105),-1580.65*Escalation!$B$105,Actuals!DE105)</f>
        <v>-1851.98340058123</v>
      </c>
      <c r="DE285" s="13" t="n">
        <f aca="false">IF(ISBLANK(Actuals!DF105),-1580.65*Escalation!$B$106,Actuals!DF105)</f>
        <v>-1851.98340058123</v>
      </c>
    </row>
    <row r="286" customFormat="false" ht="15" hidden="false" customHeight="true" outlineLevel="0" collapsed="false">
      <c r="A286" s="22" t="s">
        <v>93</v>
      </c>
      <c r="B286" s="13" t="n">
        <f aca="false">IF(ISBLANK(Actuals!C106),0,Actuals!C106)</f>
        <v>-658.14</v>
      </c>
      <c r="C286" s="13" t="n">
        <f aca="false">IF(ISBLANK(Actuals!D106),0,Actuals!D106)</f>
        <v>-310</v>
      </c>
      <c r="D286" s="13" t="n">
        <f aca="false">IF(ISBLANK(Actuals!E106),0,Actuals!E106)</f>
        <v>-371.74</v>
      </c>
      <c r="E286" s="13" t="n">
        <f aca="false">IF(ISBLANK(Actuals!F106),-446.63*Escalation!$B$2,Actuals!F106)</f>
        <v>-857.33</v>
      </c>
      <c r="F286" s="13" t="n">
        <f aca="false">IF(ISBLANK(Actuals!G106),-446.63*Escalation!$B$3,Actuals!G106)</f>
        <v>-305</v>
      </c>
      <c r="G286" s="13" t="n">
        <f aca="false">IF(ISBLANK(Actuals!H106),-446.63*Escalation!$B$4,Actuals!H106)</f>
        <v>-352.5</v>
      </c>
      <c r="H286" s="13" t="n">
        <f aca="false">IF(ISBLANK(Actuals!I106),-446.63*Escalation!$B$5,Actuals!I106)</f>
        <v>-204</v>
      </c>
      <c r="I286" s="13" t="n">
        <f aca="false">IF(ISBLANK(Actuals!J106),-446.63*Escalation!$B$6,Actuals!J106)</f>
        <v>-1477.65</v>
      </c>
      <c r="J286" s="13" t="n">
        <f aca="false">IF(ISBLANK(Actuals!K106),-446.63*Escalation!$B$7,Actuals!K106)</f>
        <v>-446.63</v>
      </c>
      <c r="K286" s="13" t="n">
        <f aca="false">IF(ISBLANK(Actuals!L106),-446.63*Escalation!$B$8,Actuals!L106)</f>
        <v>-446.63</v>
      </c>
      <c r="L286" s="13" t="n">
        <f aca="false">IF(ISBLANK(Actuals!M106),-446.63*Escalation!$B$9,Actuals!M106)</f>
        <v>-446.63</v>
      </c>
      <c r="M286" s="13" t="n">
        <f aca="false">IF(ISBLANK(Actuals!N106),-446.63*Escalation!$B$10,Actuals!N106)</f>
        <v>-446.63</v>
      </c>
      <c r="N286" s="13" t="n">
        <f aca="false">IF(ISBLANK(Actuals!O106),-446.63*Escalation!$B$11,Actuals!O106)</f>
        <v>-446.63</v>
      </c>
      <c r="O286" s="13" t="n">
        <f aca="false">IF(ISBLANK(Actuals!P106),-446.63*Escalation!$B$12,Actuals!P106)</f>
        <v>-446.63</v>
      </c>
      <c r="P286" s="13" t="n">
        <f aca="false">IF(ISBLANK(Actuals!Q106),-446.63*Escalation!$B$13,Actuals!Q106)</f>
        <v>-446.63</v>
      </c>
      <c r="Q286" s="13" t="n">
        <f aca="false">IF(ISBLANK(Actuals!R106),-446.63*Escalation!$B$14,Actuals!R106)</f>
        <v>-455.5626</v>
      </c>
      <c r="R286" s="13" t="n">
        <f aca="false">IF(ISBLANK(Actuals!S106),-446.63*Escalation!$B$15,Actuals!S106)</f>
        <v>-455.5626</v>
      </c>
      <c r="S286" s="13" t="n">
        <f aca="false">IF(ISBLANK(Actuals!T106),-446.63*Escalation!$B$16,Actuals!T106)</f>
        <v>-455.5626</v>
      </c>
      <c r="T286" s="13" t="n">
        <f aca="false">IF(ISBLANK(Actuals!U106),-446.63*Escalation!$B$17,Actuals!U106)</f>
        <v>-455.5626</v>
      </c>
      <c r="U286" s="13" t="n">
        <f aca="false">IF(ISBLANK(Actuals!V106),-446.63*Escalation!$B$18,Actuals!V106)</f>
        <v>-455.5626</v>
      </c>
      <c r="V286" s="13" t="n">
        <f aca="false">IF(ISBLANK(Actuals!W106),-446.63*Escalation!$B$19,Actuals!W106)</f>
        <v>-455.5626</v>
      </c>
      <c r="W286" s="13" t="n">
        <f aca="false">IF(ISBLANK(Actuals!X106),-446.63*Escalation!$B$20,Actuals!X106)</f>
        <v>-455.5626</v>
      </c>
      <c r="X286" s="13" t="n">
        <f aca="false">IF(ISBLANK(Actuals!Y106),-446.63*Escalation!$B$21,Actuals!Y106)</f>
        <v>-455.5626</v>
      </c>
      <c r="Y286" s="13" t="n">
        <f aca="false">IF(ISBLANK(Actuals!Z106),-446.63*Escalation!$B$22,Actuals!Z106)</f>
        <v>-455.5626</v>
      </c>
      <c r="Z286" s="13" t="n">
        <f aca="false">IF(ISBLANK(Actuals!AA106),-446.63*Escalation!$B$23,Actuals!AA106)</f>
        <v>-455.5626</v>
      </c>
      <c r="AA286" s="13" t="n">
        <f aca="false">IF(ISBLANK(Actuals!AB106),-446.63*Escalation!$B$24,Actuals!AB106)</f>
        <v>-455.5626</v>
      </c>
      <c r="AB286" s="13" t="n">
        <f aca="false">IF(ISBLANK(Actuals!AC106),-446.63*Escalation!$B$25,Actuals!AC106)</f>
        <v>-455.5626</v>
      </c>
      <c r="AC286" s="13" t="n">
        <f aca="false">IF(ISBLANK(Actuals!AD106),-446.63*Escalation!$B$26,Actuals!AD106)</f>
        <v>-464.673852</v>
      </c>
      <c r="AD286" s="13" t="n">
        <f aca="false">IF(ISBLANK(Actuals!AE106),-446.63*Escalation!$B$27,Actuals!AE106)</f>
        <v>-464.673852</v>
      </c>
      <c r="AE286" s="13" t="n">
        <f aca="false">IF(ISBLANK(Actuals!AF106),-446.63*Escalation!$B$28,Actuals!AF106)</f>
        <v>-464.673852</v>
      </c>
      <c r="AF286" s="13" t="n">
        <f aca="false">IF(ISBLANK(Actuals!AG106),-446.63*Escalation!$B$29,Actuals!AG106)</f>
        <v>-464.673852</v>
      </c>
      <c r="AG286" s="13" t="n">
        <f aca="false">IF(ISBLANK(Actuals!AH106),-446.63*Escalation!$B$30,Actuals!AH106)</f>
        <v>-464.673852</v>
      </c>
      <c r="AH286" s="13" t="n">
        <f aca="false">IF(ISBLANK(Actuals!AI106),-446.63*Escalation!$B$31,Actuals!AI106)</f>
        <v>-464.673852</v>
      </c>
      <c r="AI286" s="13" t="n">
        <f aca="false">IF(ISBLANK(Actuals!AJ106),-446.63*Escalation!$B$32,Actuals!AJ106)</f>
        <v>-464.673852</v>
      </c>
      <c r="AJ286" s="13" t="n">
        <f aca="false">IF(ISBLANK(Actuals!AK106),-446.63*Escalation!$B$33,Actuals!AK106)</f>
        <v>-464.673852</v>
      </c>
      <c r="AK286" s="13" t="n">
        <f aca="false">IF(ISBLANK(Actuals!AL106),-446.63*Escalation!$B$34,Actuals!AL106)</f>
        <v>-464.673852</v>
      </c>
      <c r="AL286" s="13" t="n">
        <f aca="false">IF(ISBLANK(Actuals!AM106),-446.63*Escalation!$B$35,Actuals!AM106)</f>
        <v>-464.673852</v>
      </c>
      <c r="AM286" s="13" t="n">
        <f aca="false">IF(ISBLANK(Actuals!AN106),-446.63*Escalation!$B$36,Actuals!AN106)</f>
        <v>-464.673852</v>
      </c>
      <c r="AN286" s="13" t="n">
        <f aca="false">IF(ISBLANK(Actuals!AO106),-446.63*Escalation!$B$37,Actuals!AO106)</f>
        <v>-464.673852</v>
      </c>
      <c r="AO286" s="13" t="n">
        <f aca="false">IF(ISBLANK(Actuals!AP106),-446.63*Escalation!$B$38,Actuals!AP106)</f>
        <v>-473.96732904</v>
      </c>
      <c r="AP286" s="13" t="n">
        <f aca="false">IF(ISBLANK(Actuals!AQ106),-446.63*Escalation!$B$39,Actuals!AQ106)</f>
        <v>-473.96732904</v>
      </c>
      <c r="AQ286" s="13" t="n">
        <f aca="false">IF(ISBLANK(Actuals!AR106),-446.63*Escalation!$B$40,Actuals!AR106)</f>
        <v>-473.96732904</v>
      </c>
      <c r="AR286" s="13" t="n">
        <f aca="false">IF(ISBLANK(Actuals!AS106),-446.63*Escalation!$B$41,Actuals!AS106)</f>
        <v>-473.96732904</v>
      </c>
      <c r="AS286" s="13" t="n">
        <f aca="false">IF(ISBLANK(Actuals!AT106),-446.63*Escalation!$B$42,Actuals!AT106)</f>
        <v>-473.96732904</v>
      </c>
      <c r="AT286" s="13" t="n">
        <f aca="false">IF(ISBLANK(Actuals!AU106),-446.63*Escalation!$B$43,Actuals!AU106)</f>
        <v>-473.96732904</v>
      </c>
      <c r="AU286" s="13" t="n">
        <f aca="false">IF(ISBLANK(Actuals!AV106),-446.63*Escalation!$B$44,Actuals!AV106)</f>
        <v>-473.96732904</v>
      </c>
      <c r="AV286" s="13" t="n">
        <f aca="false">IF(ISBLANK(Actuals!AW106),-446.63*Escalation!$B$45,Actuals!AW106)</f>
        <v>-473.96732904</v>
      </c>
      <c r="AW286" s="13" t="n">
        <f aca="false">IF(ISBLANK(Actuals!AX106),-446.63*Escalation!$B$46,Actuals!AX106)</f>
        <v>-473.96732904</v>
      </c>
      <c r="AX286" s="13" t="n">
        <f aca="false">IF(ISBLANK(Actuals!AY106),-446.63*Escalation!$B$47,Actuals!AY106)</f>
        <v>-473.96732904</v>
      </c>
      <c r="AY286" s="13" t="n">
        <f aca="false">IF(ISBLANK(Actuals!AZ106),-446.63*Escalation!$B$48,Actuals!AZ106)</f>
        <v>-473.96732904</v>
      </c>
      <c r="AZ286" s="13" t="n">
        <f aca="false">IF(ISBLANK(Actuals!BA106),-446.63*Escalation!$B$49,Actuals!BA106)</f>
        <v>-473.96732904</v>
      </c>
      <c r="BA286" s="13" t="n">
        <f aca="false">IF(ISBLANK(Actuals!BB106),-446.63*Escalation!$B$50,Actuals!BB106)</f>
        <v>-483.4466756208</v>
      </c>
      <c r="BB286" s="13" t="n">
        <f aca="false">IF(ISBLANK(Actuals!BC106),-446.63*Escalation!$B$51,Actuals!BC106)</f>
        <v>-483.4466756208</v>
      </c>
      <c r="BC286" s="13" t="n">
        <f aca="false">IF(ISBLANK(Actuals!BD106),-446.63*Escalation!$B$52,Actuals!BD106)</f>
        <v>-483.4466756208</v>
      </c>
      <c r="BD286" s="13" t="n">
        <f aca="false">IF(ISBLANK(Actuals!BE106),-446.63*Escalation!$B$53,Actuals!BE106)</f>
        <v>-483.4466756208</v>
      </c>
      <c r="BE286" s="13" t="n">
        <f aca="false">IF(ISBLANK(Actuals!BF106),-446.63*Escalation!$B$54,Actuals!BF106)</f>
        <v>-483.4466756208</v>
      </c>
      <c r="BF286" s="13" t="n">
        <f aca="false">IF(ISBLANK(Actuals!BG106),-446.63*Escalation!$B$55,Actuals!BG106)</f>
        <v>-483.4466756208</v>
      </c>
      <c r="BG286" s="13" t="n">
        <f aca="false">IF(ISBLANK(Actuals!BH106),-446.63*Escalation!$B$56,Actuals!BH106)</f>
        <v>-483.4466756208</v>
      </c>
      <c r="BH286" s="13" t="n">
        <f aca="false">IF(ISBLANK(Actuals!BI106),-446.63*Escalation!$B$57,Actuals!BI106)</f>
        <v>-483.4466756208</v>
      </c>
      <c r="BI286" s="13" t="n">
        <f aca="false">IF(ISBLANK(Actuals!BJ106),-446.63*Escalation!$B$58,Actuals!BJ106)</f>
        <v>-483.4466756208</v>
      </c>
      <c r="BJ286" s="13" t="n">
        <f aca="false">IF(ISBLANK(Actuals!BK106),-446.63*Escalation!$B$59,Actuals!BK106)</f>
        <v>-483.4466756208</v>
      </c>
      <c r="BK286" s="13" t="n">
        <f aca="false">IF(ISBLANK(Actuals!BL106),-446.63*Escalation!$B$60,Actuals!BL106)</f>
        <v>-483.4466756208</v>
      </c>
      <c r="BL286" s="13" t="n">
        <f aca="false">IF(ISBLANK(Actuals!BM106),-446.63*Escalation!$B$61,Actuals!BM106)</f>
        <v>-483.4466756208</v>
      </c>
      <c r="BM286" s="13" t="n">
        <f aca="false">IF(ISBLANK(Actuals!BN106),-446.63*Escalation!$B$62,Actuals!BN106)</f>
        <v>-493.115609133216</v>
      </c>
      <c r="BN286" s="13" t="n">
        <f aca="false">IF(ISBLANK(Actuals!BO106),-446.63*Escalation!$B$63,Actuals!BO106)</f>
        <v>-493.115609133216</v>
      </c>
      <c r="BO286" s="13" t="n">
        <f aca="false">IF(ISBLANK(Actuals!BP106),-446.63*Escalation!$B$64,Actuals!BP106)</f>
        <v>-493.115609133216</v>
      </c>
      <c r="BP286" s="13" t="n">
        <f aca="false">IF(ISBLANK(Actuals!BQ106),-446.63*Escalation!$B$65,Actuals!BQ106)</f>
        <v>-493.115609133216</v>
      </c>
      <c r="BQ286" s="13" t="n">
        <f aca="false">IF(ISBLANK(Actuals!BR106),-446.63*Escalation!$B$66,Actuals!BR106)</f>
        <v>-493.115609133216</v>
      </c>
      <c r="BR286" s="13" t="n">
        <f aca="false">IF(ISBLANK(Actuals!BS106),-446.63*Escalation!$B$67,Actuals!BS106)</f>
        <v>-493.115609133216</v>
      </c>
      <c r="BS286" s="13" t="n">
        <f aca="false">IF(ISBLANK(Actuals!BT106),-446.63*Escalation!$B$68,Actuals!BT106)</f>
        <v>-493.115609133216</v>
      </c>
      <c r="BT286" s="13" t="n">
        <f aca="false">IF(ISBLANK(Actuals!BU106),-446.63*Escalation!$B$69,Actuals!BU106)</f>
        <v>-493.115609133216</v>
      </c>
      <c r="BU286" s="13" t="n">
        <f aca="false">IF(ISBLANK(Actuals!BV106),-446.63*Escalation!$B$70,Actuals!BV106)</f>
        <v>-493.115609133216</v>
      </c>
      <c r="BV286" s="13" t="n">
        <f aca="false">IF(ISBLANK(Actuals!BW106),-446.63*Escalation!$B$71,Actuals!BW106)</f>
        <v>-493.115609133216</v>
      </c>
      <c r="BW286" s="13" t="n">
        <f aca="false">IF(ISBLANK(Actuals!BX106),-446.63*Escalation!$B$72,Actuals!BX106)</f>
        <v>-493.115609133216</v>
      </c>
      <c r="BX286" s="13" t="n">
        <f aca="false">IF(ISBLANK(Actuals!BY106),-446.63*Escalation!$B$73,Actuals!BY106)</f>
        <v>-493.115609133216</v>
      </c>
      <c r="BY286" s="13" t="n">
        <f aca="false">IF(ISBLANK(Actuals!BZ106),-446.63*Escalation!$B$74,Actuals!BZ106)</f>
        <v>-502.97792131588</v>
      </c>
      <c r="BZ286" s="13" t="n">
        <f aca="false">IF(ISBLANK(Actuals!CA106),-446.63*Escalation!$B$75,Actuals!CA106)</f>
        <v>-502.97792131588</v>
      </c>
      <c r="CA286" s="13" t="n">
        <f aca="false">IF(ISBLANK(Actuals!CB106),-446.63*Escalation!$B$76,Actuals!CB106)</f>
        <v>-502.97792131588</v>
      </c>
      <c r="CB286" s="13" t="n">
        <f aca="false">IF(ISBLANK(Actuals!CC106),-446.63*Escalation!$B$77,Actuals!CC106)</f>
        <v>-502.97792131588</v>
      </c>
      <c r="CC286" s="13" t="n">
        <f aca="false">IF(ISBLANK(Actuals!CD106),-446.63*Escalation!$B$78,Actuals!CD106)</f>
        <v>-502.97792131588</v>
      </c>
      <c r="CD286" s="13" t="n">
        <f aca="false">IF(ISBLANK(Actuals!CE106),-446.63*Escalation!$B$79,Actuals!CE106)</f>
        <v>-502.97792131588</v>
      </c>
      <c r="CE286" s="13" t="n">
        <f aca="false">IF(ISBLANK(Actuals!CF106),-446.63*Escalation!$B$80,Actuals!CF106)</f>
        <v>-502.97792131588</v>
      </c>
      <c r="CF286" s="13" t="n">
        <f aca="false">IF(ISBLANK(Actuals!CG106),-446.63*Escalation!$B$81,Actuals!CG106)</f>
        <v>-502.97792131588</v>
      </c>
      <c r="CG286" s="13" t="n">
        <f aca="false">IF(ISBLANK(Actuals!CH106),-446.63*Escalation!$B$82,Actuals!CH106)</f>
        <v>-502.97792131588</v>
      </c>
      <c r="CH286" s="13" t="n">
        <f aca="false">IF(ISBLANK(Actuals!CI106),-446.63*Escalation!$B$83,Actuals!CI106)</f>
        <v>-502.97792131588</v>
      </c>
      <c r="CI286" s="13" t="n">
        <f aca="false">IF(ISBLANK(Actuals!CJ106),-446.63*Escalation!$B$84,Actuals!CJ106)</f>
        <v>-502.97792131588</v>
      </c>
      <c r="CJ286" s="13" t="n">
        <f aca="false">IF(ISBLANK(Actuals!CK106),-446.63*Escalation!$B$85,Actuals!CK106)</f>
        <v>-502.97792131588</v>
      </c>
      <c r="CK286" s="13" t="n">
        <f aca="false">IF(ISBLANK(Actuals!CL106),-446.63*Escalation!$B$86,Actuals!CL106)</f>
        <v>-513.037479742198</v>
      </c>
      <c r="CL286" s="13" t="n">
        <f aca="false">IF(ISBLANK(Actuals!CM106),-446.63*Escalation!$B$87,Actuals!CM106)</f>
        <v>-513.037479742198</v>
      </c>
      <c r="CM286" s="13" t="n">
        <f aca="false">IF(ISBLANK(Actuals!CN106),-446.63*Escalation!$B$88,Actuals!CN106)</f>
        <v>-513.037479742198</v>
      </c>
      <c r="CN286" s="13" t="n">
        <f aca="false">IF(ISBLANK(Actuals!CO106),-446.63*Escalation!$B$89,Actuals!CO106)</f>
        <v>-513.037479742198</v>
      </c>
      <c r="CO286" s="13" t="n">
        <f aca="false">IF(ISBLANK(Actuals!CP106),-446.63*Escalation!$B$90,Actuals!CP106)</f>
        <v>-513.037479742198</v>
      </c>
      <c r="CP286" s="13" t="n">
        <f aca="false">IF(ISBLANK(Actuals!CQ106),-446.63*Escalation!$B$91,Actuals!CQ106)</f>
        <v>-513.037479742198</v>
      </c>
      <c r="CQ286" s="13" t="n">
        <f aca="false">IF(ISBLANK(Actuals!CR106),-446.63*Escalation!$B$92,Actuals!CR106)</f>
        <v>-513.037479742198</v>
      </c>
      <c r="CR286" s="13" t="n">
        <f aca="false">IF(ISBLANK(Actuals!CS106),-446.63*Escalation!$B$93,Actuals!CS106)</f>
        <v>-513.037479742198</v>
      </c>
      <c r="CS286" s="13" t="n">
        <f aca="false">IF(ISBLANK(Actuals!CT106),-446.63*Escalation!$B$94,Actuals!CT106)</f>
        <v>-513.037479742198</v>
      </c>
      <c r="CT286" s="13" t="n">
        <f aca="false">IF(ISBLANK(Actuals!CU106),-446.63*Escalation!$B$95,Actuals!CU106)</f>
        <v>-513.037479742198</v>
      </c>
      <c r="CU286" s="13" t="n">
        <f aca="false">IF(ISBLANK(Actuals!CV106),-446.63*Escalation!$B$96,Actuals!CV106)</f>
        <v>-513.037479742198</v>
      </c>
      <c r="CV286" s="13" t="n">
        <f aca="false">IF(ISBLANK(Actuals!CW106),-446.63*Escalation!$B$97,Actuals!CW106)</f>
        <v>-513.037479742198</v>
      </c>
      <c r="CW286" s="13" t="n">
        <f aca="false">IF(ISBLANK(Actuals!CX106),-446.63*Escalation!$B$98,Actuals!CX106)</f>
        <v>-523.298229337042</v>
      </c>
      <c r="CX286" s="13" t="n">
        <f aca="false">IF(ISBLANK(Actuals!CY106),-446.63*Escalation!$B$99,Actuals!CY106)</f>
        <v>-523.298229337042</v>
      </c>
      <c r="CY286" s="13" t="n">
        <f aca="false">IF(ISBLANK(Actuals!CZ106),-446.63*Escalation!$B$100,Actuals!CZ106)</f>
        <v>-523.298229337042</v>
      </c>
      <c r="CZ286" s="13" t="n">
        <f aca="false">IF(ISBLANK(Actuals!DA106),-446.63*Escalation!$B$101,Actuals!DA106)</f>
        <v>-523.298229337042</v>
      </c>
      <c r="DA286" s="13" t="n">
        <f aca="false">IF(ISBLANK(Actuals!DB106),-446.63*Escalation!$B$102,Actuals!DB106)</f>
        <v>-523.298229337042</v>
      </c>
      <c r="DB286" s="13" t="n">
        <f aca="false">IF(ISBLANK(Actuals!DC106),-446.63*Escalation!$B$103,Actuals!DC106)</f>
        <v>-523.298229337042</v>
      </c>
      <c r="DC286" s="13" t="n">
        <f aca="false">IF(ISBLANK(Actuals!DD106),-446.63*Escalation!$B$104,Actuals!DD106)</f>
        <v>-523.298229337042</v>
      </c>
      <c r="DD286" s="13" t="n">
        <f aca="false">IF(ISBLANK(Actuals!DE106),-446.63*Escalation!$B$105,Actuals!DE106)</f>
        <v>-523.298229337042</v>
      </c>
      <c r="DE286" s="13" t="n">
        <f aca="false">IF(ISBLANK(Actuals!DF106),-446.63*Escalation!$B$106,Actuals!DF106)</f>
        <v>-523.298229337042</v>
      </c>
    </row>
    <row r="287" customFormat="false" ht="15" hidden="false" customHeight="true" outlineLevel="0" collapsed="false">
      <c r="A287" s="22" t="s">
        <v>132</v>
      </c>
      <c r="B287" s="13" t="n">
        <f aca="false">IF(ISBLANK(Actuals!C107),0,Actuals!C107)</f>
        <v>0</v>
      </c>
      <c r="C287" s="13" t="n">
        <f aca="false">IF(ISBLANK(Actuals!D107),0,Actuals!D107)</f>
        <v>0</v>
      </c>
      <c r="D287" s="13" t="n">
        <f aca="false">IF(ISBLANK(Actuals!E107),0,Actuals!E107)</f>
        <v>0</v>
      </c>
      <c r="E287" s="13" t="n">
        <f aca="false">IF(ISBLANK(Actuals!F107),-(IF(AND(Projects!$G$2="Yes",Projects!$J$2="Yes",Projects!$K$2="No",1=Projects!$C$2),Projects!$B$2*Assumptions!$B$47,0)+IF(AND(Projects!$G$3="Yes",Projects!$J$3="Yes",Projects!$K$3="No",1=Projects!$C$3),Projects!$B$3*Assumptions!$B$47,0)+IF(AND(Projects!$G$4="Yes",Projects!$J$4="Yes",Projects!$K$4="No",1=Projects!$C$4),Projects!$B$4*Assumptions!$B$47,0)+IF(AND(Projects!$G$5="Yes",Projects!$J$5="Yes",Projects!$K$5="No",1=Projects!$C$5),Projects!$B$5*Assumptions!$B$47,0)+IF(AND(Projects!$G$6="Yes",Projects!$J$6="Yes",Projects!$K$6="No",1=Projects!$C$6),Projects!$B$6*Assumptions!$B$47,0)+IF(AND(Projects!$G$7="Yes",Projects!$J$7="Yes",Projects!$K$7="No",1=Projects!$C$7),Projects!$B$7*Assumptions!$B$47,0)+IF(AND(Projects!$G$8="Yes",Projects!$J$8="Yes",Projects!$K$8="No",1=Projects!$C$8),Projects!$B$8*Assumptions!$B$47,0)+IF(AND(Projects!$G$9="Yes",Projects!$J$9="Yes",Projects!$K$9="No",1=Projects!$C$9),Projects!$B$9*Assumptions!$B$47,0)+IF(AND(Projects!$G$10="Yes",Projects!$J$10="Yes",Projects!$K$10="No",1=Projects!$C$10),Projects!$B$10*Assumptions!$B$47,0)+IF(AND(Projects!$G$11="Yes",Projects!$J$11="Yes",Projects!$K$11="No",1=Projects!$C$11),Projects!$B$11*Assumptions!$B$47,0)+IF(AND(Projects!$G$12="Yes",Projects!$J$12="Yes",Projects!$K$12="No",1=Projects!$C$12),Projects!$B$12*Assumptions!$B$47,0)+IF(AND(Projects!$G$13="Yes",Projects!$J$13="Yes",Projects!$K$13="No",1=Projects!$C$13),Projects!$B$13*Assumptions!$B$47,0)+IF(AND(Projects!$G$14="Yes",Projects!$J$14="Yes",Projects!$K$14="No",1=Projects!$C$14),Projects!$B$14*Assumptions!$B$47,0)),Actuals!F107)</f>
        <v>-0</v>
      </c>
      <c r="F287" s="13" t="n">
        <f aca="false">IF(ISBLANK(Actuals!G107),-(IF(AND(Projects!$G$2="Yes",Projects!$J$2="Yes",Projects!$K$2="No",2=Projects!$C$2),Projects!$B$2*Assumptions!$B$47,0)+IF(AND(Projects!$G$3="Yes",Projects!$J$3="Yes",Projects!$K$3="No",2=Projects!$C$3),Projects!$B$3*Assumptions!$B$47,0)+IF(AND(Projects!$G$4="Yes",Projects!$J$4="Yes",Projects!$K$4="No",2=Projects!$C$4),Projects!$B$4*Assumptions!$B$47,0)+IF(AND(Projects!$G$5="Yes",Projects!$J$5="Yes",Projects!$K$5="No",2=Projects!$C$5),Projects!$B$5*Assumptions!$B$47,0)+IF(AND(Projects!$G$6="Yes",Projects!$J$6="Yes",Projects!$K$6="No",2=Projects!$C$6),Projects!$B$6*Assumptions!$B$47,0)+IF(AND(Projects!$G$7="Yes",Projects!$J$7="Yes",Projects!$K$7="No",2=Projects!$C$7),Projects!$B$7*Assumptions!$B$47,0)+IF(AND(Projects!$G$8="Yes",Projects!$J$8="Yes",Projects!$K$8="No",2=Projects!$C$8),Projects!$B$8*Assumptions!$B$47,0)+IF(AND(Projects!$G$9="Yes",Projects!$J$9="Yes",Projects!$K$9="No",2=Projects!$C$9),Projects!$B$9*Assumptions!$B$47,0)+IF(AND(Projects!$G$10="Yes",Projects!$J$10="Yes",Projects!$K$10="No",2=Projects!$C$10),Projects!$B$10*Assumptions!$B$47,0)+IF(AND(Projects!$G$11="Yes",Projects!$J$11="Yes",Projects!$K$11="No",2=Projects!$C$11),Projects!$B$11*Assumptions!$B$47,0)+IF(AND(Projects!$G$12="Yes",Projects!$J$12="Yes",Projects!$K$12="No",2=Projects!$C$12),Projects!$B$12*Assumptions!$B$47,0)+IF(AND(Projects!$G$13="Yes",Projects!$J$13="Yes",Projects!$K$13="No",2=Projects!$C$13),Projects!$B$13*Assumptions!$B$47,0)+IF(AND(Projects!$G$14="Yes",Projects!$J$14="Yes",Projects!$K$14="No",2=Projects!$C$14),Projects!$B$14*Assumptions!$B$47,0)),Actuals!G107)</f>
        <v>-0</v>
      </c>
      <c r="G287" s="13" t="n">
        <f aca="false">IF(ISBLANK(Actuals!H107),-(IF(AND(Projects!$G$2="Yes",Projects!$J$2="Yes",Projects!$K$2="No",3=Projects!$C$2),Projects!$B$2*Assumptions!$B$47,0)+IF(AND(Projects!$G$3="Yes",Projects!$J$3="Yes",Projects!$K$3="No",3=Projects!$C$3),Projects!$B$3*Assumptions!$B$47,0)+IF(AND(Projects!$G$4="Yes",Projects!$J$4="Yes",Projects!$K$4="No",3=Projects!$C$4),Projects!$B$4*Assumptions!$B$47,0)+IF(AND(Projects!$G$5="Yes",Projects!$J$5="Yes",Projects!$K$5="No",3=Projects!$C$5),Projects!$B$5*Assumptions!$B$47,0)+IF(AND(Projects!$G$6="Yes",Projects!$J$6="Yes",Projects!$K$6="No",3=Projects!$C$6),Projects!$B$6*Assumptions!$B$47,0)+IF(AND(Projects!$G$7="Yes",Projects!$J$7="Yes",Projects!$K$7="No",3=Projects!$C$7),Projects!$B$7*Assumptions!$B$47,0)+IF(AND(Projects!$G$8="Yes",Projects!$J$8="Yes",Projects!$K$8="No",3=Projects!$C$8),Projects!$B$8*Assumptions!$B$47,0)+IF(AND(Projects!$G$9="Yes",Projects!$J$9="Yes",Projects!$K$9="No",3=Projects!$C$9),Projects!$B$9*Assumptions!$B$47,0)+IF(AND(Projects!$G$10="Yes",Projects!$J$10="Yes",Projects!$K$10="No",3=Projects!$C$10),Projects!$B$10*Assumptions!$B$47,0)+IF(AND(Projects!$G$11="Yes",Projects!$J$11="Yes",Projects!$K$11="No",3=Projects!$C$11),Projects!$B$11*Assumptions!$B$47,0)+IF(AND(Projects!$G$12="Yes",Projects!$J$12="Yes",Projects!$K$12="No",3=Projects!$C$12),Projects!$B$12*Assumptions!$B$47,0)+IF(AND(Projects!$G$13="Yes",Projects!$J$13="Yes",Projects!$K$13="No",3=Projects!$C$13),Projects!$B$13*Assumptions!$B$47,0)+IF(AND(Projects!$G$14="Yes",Projects!$J$14="Yes",Projects!$K$14="No",3=Projects!$C$14),Projects!$B$14*Assumptions!$B$47,0)),Actuals!H107)</f>
        <v>-0</v>
      </c>
      <c r="H287" s="13" t="n">
        <f aca="false">IF(ISBLANK(Actuals!I107),-(IF(AND(Projects!$G$2="Yes",Projects!$J$2="Yes",Projects!$K$2="No",4=Projects!$C$2),Projects!$B$2*Assumptions!$B$47,0)+IF(AND(Projects!$G$3="Yes",Projects!$J$3="Yes",Projects!$K$3="No",4=Projects!$C$3),Projects!$B$3*Assumptions!$B$47,0)+IF(AND(Projects!$G$4="Yes",Projects!$J$4="Yes",Projects!$K$4="No",4=Projects!$C$4),Projects!$B$4*Assumptions!$B$47,0)+IF(AND(Projects!$G$5="Yes",Projects!$J$5="Yes",Projects!$K$5="No",4=Projects!$C$5),Projects!$B$5*Assumptions!$B$47,0)+IF(AND(Projects!$G$6="Yes",Projects!$J$6="Yes",Projects!$K$6="No",4=Projects!$C$6),Projects!$B$6*Assumptions!$B$47,0)+IF(AND(Projects!$G$7="Yes",Projects!$J$7="Yes",Projects!$K$7="No",4=Projects!$C$7),Projects!$B$7*Assumptions!$B$47,0)+IF(AND(Projects!$G$8="Yes",Projects!$J$8="Yes",Projects!$K$8="No",4=Projects!$C$8),Projects!$B$8*Assumptions!$B$47,0)+IF(AND(Projects!$G$9="Yes",Projects!$J$9="Yes",Projects!$K$9="No",4=Projects!$C$9),Projects!$B$9*Assumptions!$B$47,0)+IF(AND(Projects!$G$10="Yes",Projects!$J$10="Yes",Projects!$K$10="No",4=Projects!$C$10),Projects!$B$10*Assumptions!$B$47,0)+IF(AND(Projects!$G$11="Yes",Projects!$J$11="Yes",Projects!$K$11="No",4=Projects!$C$11),Projects!$B$11*Assumptions!$B$47,0)+IF(AND(Projects!$G$12="Yes",Projects!$J$12="Yes",Projects!$K$12="No",4=Projects!$C$12),Projects!$B$12*Assumptions!$B$47,0)+IF(AND(Projects!$G$13="Yes",Projects!$J$13="Yes",Projects!$K$13="No",4=Projects!$C$13),Projects!$B$13*Assumptions!$B$47,0)+IF(AND(Projects!$G$14="Yes",Projects!$J$14="Yes",Projects!$K$14="No",4=Projects!$C$14),Projects!$B$14*Assumptions!$B$47,0)),Actuals!I107)</f>
        <v>-0</v>
      </c>
      <c r="I287" s="13" t="n">
        <f aca="false">IF(ISBLANK(Actuals!J107),-(IF(AND(Projects!$G$2="Yes",Projects!$J$2="Yes",Projects!$K$2="No",5=Projects!$C$2),Projects!$B$2*Assumptions!$B$47,0)+IF(AND(Projects!$G$3="Yes",Projects!$J$3="Yes",Projects!$K$3="No",5=Projects!$C$3),Projects!$B$3*Assumptions!$B$47,0)+IF(AND(Projects!$G$4="Yes",Projects!$J$4="Yes",Projects!$K$4="No",5=Projects!$C$4),Projects!$B$4*Assumptions!$B$47,0)+IF(AND(Projects!$G$5="Yes",Projects!$J$5="Yes",Projects!$K$5="No",5=Projects!$C$5),Projects!$B$5*Assumptions!$B$47,0)+IF(AND(Projects!$G$6="Yes",Projects!$J$6="Yes",Projects!$K$6="No",5=Projects!$C$6),Projects!$B$6*Assumptions!$B$47,0)+IF(AND(Projects!$G$7="Yes",Projects!$J$7="Yes",Projects!$K$7="No",5=Projects!$C$7),Projects!$B$7*Assumptions!$B$47,0)+IF(AND(Projects!$G$8="Yes",Projects!$J$8="Yes",Projects!$K$8="No",5=Projects!$C$8),Projects!$B$8*Assumptions!$B$47,0)+IF(AND(Projects!$G$9="Yes",Projects!$J$9="Yes",Projects!$K$9="No",5=Projects!$C$9),Projects!$B$9*Assumptions!$B$47,0)+IF(AND(Projects!$G$10="Yes",Projects!$J$10="Yes",Projects!$K$10="No",5=Projects!$C$10),Projects!$B$10*Assumptions!$B$47,0)+IF(AND(Projects!$G$11="Yes",Projects!$J$11="Yes",Projects!$K$11="No",5=Projects!$C$11),Projects!$B$11*Assumptions!$B$47,0)+IF(AND(Projects!$G$12="Yes",Projects!$J$12="Yes",Projects!$K$12="No",5=Projects!$C$12),Projects!$B$12*Assumptions!$B$47,0)+IF(AND(Projects!$G$13="Yes",Projects!$J$13="Yes",Projects!$K$13="No",5=Projects!$C$13),Projects!$B$13*Assumptions!$B$47,0)+IF(AND(Projects!$G$14="Yes",Projects!$J$14="Yes",Projects!$K$14="No",5=Projects!$C$14),Projects!$B$14*Assumptions!$B$47,0)),Actuals!J107)</f>
        <v>-0</v>
      </c>
      <c r="J287" s="13" t="n">
        <f aca="false">IF(ISBLANK(Actuals!K107),-(IF(AND(Projects!$G$2="Yes",Projects!$J$2="Yes",Projects!$K$2="No",6=Projects!$C$2),Projects!$B$2*Assumptions!$B$47,0)+IF(AND(Projects!$G$3="Yes",Projects!$J$3="Yes",Projects!$K$3="No",6=Projects!$C$3),Projects!$B$3*Assumptions!$B$47,0)+IF(AND(Projects!$G$4="Yes",Projects!$J$4="Yes",Projects!$K$4="No",6=Projects!$C$4),Projects!$B$4*Assumptions!$B$47,0)+IF(AND(Projects!$G$5="Yes",Projects!$J$5="Yes",Projects!$K$5="No",6=Projects!$C$5),Projects!$B$5*Assumptions!$B$47,0)+IF(AND(Projects!$G$6="Yes",Projects!$J$6="Yes",Projects!$K$6="No",6=Projects!$C$6),Projects!$B$6*Assumptions!$B$47,0)+IF(AND(Projects!$G$7="Yes",Projects!$J$7="Yes",Projects!$K$7="No",6=Projects!$C$7),Projects!$B$7*Assumptions!$B$47,0)+IF(AND(Projects!$G$8="Yes",Projects!$J$8="Yes",Projects!$K$8="No",6=Projects!$C$8),Projects!$B$8*Assumptions!$B$47,0)+IF(AND(Projects!$G$9="Yes",Projects!$J$9="Yes",Projects!$K$9="No",6=Projects!$C$9),Projects!$B$9*Assumptions!$B$47,0)+IF(AND(Projects!$G$10="Yes",Projects!$J$10="Yes",Projects!$K$10="No",6=Projects!$C$10),Projects!$B$10*Assumptions!$B$47,0)+IF(AND(Projects!$G$11="Yes",Projects!$J$11="Yes",Projects!$K$11="No",6=Projects!$C$11),Projects!$B$11*Assumptions!$B$47,0)+IF(AND(Projects!$G$12="Yes",Projects!$J$12="Yes",Projects!$K$12="No",6=Projects!$C$12),Projects!$B$12*Assumptions!$B$47,0)+IF(AND(Projects!$G$13="Yes",Projects!$J$13="Yes",Projects!$K$13="No",6=Projects!$C$13),Projects!$B$13*Assumptions!$B$47,0)+IF(AND(Projects!$G$14="Yes",Projects!$J$14="Yes",Projects!$K$14="No",6=Projects!$C$14),Projects!$B$14*Assumptions!$B$47,0)),Actuals!K107)</f>
        <v>-0</v>
      </c>
      <c r="K287" s="13" t="n">
        <f aca="false">IF(ISBLANK(Actuals!L107),-(IF(AND(Projects!$G$2="Yes",Projects!$J$2="Yes",Projects!$K$2="No",7=Projects!$C$2),Projects!$B$2*Assumptions!$B$47,0)+IF(AND(Projects!$G$3="Yes",Projects!$J$3="Yes",Projects!$K$3="No",7=Projects!$C$3),Projects!$B$3*Assumptions!$B$47,0)+IF(AND(Projects!$G$4="Yes",Projects!$J$4="Yes",Projects!$K$4="No",7=Projects!$C$4),Projects!$B$4*Assumptions!$B$47,0)+IF(AND(Projects!$G$5="Yes",Projects!$J$5="Yes",Projects!$K$5="No",7=Projects!$C$5),Projects!$B$5*Assumptions!$B$47,0)+IF(AND(Projects!$G$6="Yes",Projects!$J$6="Yes",Projects!$K$6="No",7=Projects!$C$6),Projects!$B$6*Assumptions!$B$47,0)+IF(AND(Projects!$G$7="Yes",Projects!$J$7="Yes",Projects!$K$7="No",7=Projects!$C$7),Projects!$B$7*Assumptions!$B$47,0)+IF(AND(Projects!$G$8="Yes",Projects!$J$8="Yes",Projects!$K$8="No",7=Projects!$C$8),Projects!$B$8*Assumptions!$B$47,0)+IF(AND(Projects!$G$9="Yes",Projects!$J$9="Yes",Projects!$K$9="No",7=Projects!$C$9),Projects!$B$9*Assumptions!$B$47,0)+IF(AND(Projects!$G$10="Yes",Projects!$J$10="Yes",Projects!$K$10="No",7=Projects!$C$10),Projects!$B$10*Assumptions!$B$47,0)+IF(AND(Projects!$G$11="Yes",Projects!$J$11="Yes",Projects!$K$11="No",7=Projects!$C$11),Projects!$B$11*Assumptions!$B$47,0)+IF(AND(Projects!$G$12="Yes",Projects!$J$12="Yes",Projects!$K$12="No",7=Projects!$C$12),Projects!$B$12*Assumptions!$B$47,0)+IF(AND(Projects!$G$13="Yes",Projects!$J$13="Yes",Projects!$K$13="No",7=Projects!$C$13),Projects!$B$13*Assumptions!$B$47,0)+IF(AND(Projects!$G$14="Yes",Projects!$J$14="Yes",Projects!$K$14="No",7=Projects!$C$14),Projects!$B$14*Assumptions!$B$47,0)),Actuals!L107)</f>
        <v>-0</v>
      </c>
      <c r="L287" s="13" t="n">
        <f aca="false">IF(ISBLANK(Actuals!M107),-(IF(AND(Projects!$G$2="Yes",Projects!$J$2="Yes",Projects!$K$2="No",8=Projects!$C$2),Projects!$B$2*Assumptions!$B$47,0)+IF(AND(Projects!$G$3="Yes",Projects!$J$3="Yes",Projects!$K$3="No",8=Projects!$C$3),Projects!$B$3*Assumptions!$B$47,0)+IF(AND(Projects!$G$4="Yes",Projects!$J$4="Yes",Projects!$K$4="No",8=Projects!$C$4),Projects!$B$4*Assumptions!$B$47,0)+IF(AND(Projects!$G$5="Yes",Projects!$J$5="Yes",Projects!$K$5="No",8=Projects!$C$5),Projects!$B$5*Assumptions!$B$47,0)+IF(AND(Projects!$G$6="Yes",Projects!$J$6="Yes",Projects!$K$6="No",8=Projects!$C$6),Projects!$B$6*Assumptions!$B$47,0)+IF(AND(Projects!$G$7="Yes",Projects!$J$7="Yes",Projects!$K$7="No",8=Projects!$C$7),Projects!$B$7*Assumptions!$B$47,0)+IF(AND(Projects!$G$8="Yes",Projects!$J$8="Yes",Projects!$K$8="No",8=Projects!$C$8),Projects!$B$8*Assumptions!$B$47,0)+IF(AND(Projects!$G$9="Yes",Projects!$J$9="Yes",Projects!$K$9="No",8=Projects!$C$9),Projects!$B$9*Assumptions!$B$47,0)+IF(AND(Projects!$G$10="Yes",Projects!$J$10="Yes",Projects!$K$10="No",8=Projects!$C$10),Projects!$B$10*Assumptions!$B$47,0)+IF(AND(Projects!$G$11="Yes",Projects!$J$11="Yes",Projects!$K$11="No",8=Projects!$C$11),Projects!$B$11*Assumptions!$B$47,0)+IF(AND(Projects!$G$12="Yes",Projects!$J$12="Yes",Projects!$K$12="No",8=Projects!$C$12),Projects!$B$12*Assumptions!$B$47,0)+IF(AND(Projects!$G$13="Yes",Projects!$J$13="Yes",Projects!$K$13="No",8=Projects!$C$13),Projects!$B$13*Assumptions!$B$47,0)+IF(AND(Projects!$G$14="Yes",Projects!$J$14="Yes",Projects!$K$14="No",8=Projects!$C$14),Projects!$B$14*Assumptions!$B$47,0)),Actuals!M107)</f>
        <v>-0</v>
      </c>
      <c r="M287" s="13" t="n">
        <f aca="false">IF(ISBLANK(Actuals!N107),-(IF(AND(Projects!$G$2="Yes",Projects!$J$2="Yes",Projects!$K$2="No",9=Projects!$C$2),Projects!$B$2*Assumptions!$B$47,0)+IF(AND(Projects!$G$3="Yes",Projects!$J$3="Yes",Projects!$K$3="No",9=Projects!$C$3),Projects!$B$3*Assumptions!$B$47,0)+IF(AND(Projects!$G$4="Yes",Projects!$J$4="Yes",Projects!$K$4="No",9=Projects!$C$4),Projects!$B$4*Assumptions!$B$47,0)+IF(AND(Projects!$G$5="Yes",Projects!$J$5="Yes",Projects!$K$5="No",9=Projects!$C$5),Projects!$B$5*Assumptions!$B$47,0)+IF(AND(Projects!$G$6="Yes",Projects!$J$6="Yes",Projects!$K$6="No",9=Projects!$C$6),Projects!$B$6*Assumptions!$B$47,0)+IF(AND(Projects!$G$7="Yes",Projects!$J$7="Yes",Projects!$K$7="No",9=Projects!$C$7),Projects!$B$7*Assumptions!$B$47,0)+IF(AND(Projects!$G$8="Yes",Projects!$J$8="Yes",Projects!$K$8="No",9=Projects!$C$8),Projects!$B$8*Assumptions!$B$47,0)+IF(AND(Projects!$G$9="Yes",Projects!$J$9="Yes",Projects!$K$9="No",9=Projects!$C$9),Projects!$B$9*Assumptions!$B$47,0)+IF(AND(Projects!$G$10="Yes",Projects!$J$10="Yes",Projects!$K$10="No",9=Projects!$C$10),Projects!$B$10*Assumptions!$B$47,0)+IF(AND(Projects!$G$11="Yes",Projects!$J$11="Yes",Projects!$K$11="No",9=Projects!$C$11),Projects!$B$11*Assumptions!$B$47,0)+IF(AND(Projects!$G$12="Yes",Projects!$J$12="Yes",Projects!$K$12="No",9=Projects!$C$12),Projects!$B$12*Assumptions!$B$47,0)+IF(AND(Projects!$G$13="Yes",Projects!$J$13="Yes",Projects!$K$13="No",9=Projects!$C$13),Projects!$B$13*Assumptions!$B$47,0)+IF(AND(Projects!$G$14="Yes",Projects!$J$14="Yes",Projects!$K$14="No",9=Projects!$C$14),Projects!$B$14*Assumptions!$B$47,0)),Actuals!N107)</f>
        <v>-0</v>
      </c>
      <c r="N287" s="13" t="n">
        <f aca="false">IF(ISBLANK(Actuals!O107),-(IF(AND(Projects!$G$2="Yes",Projects!$J$2="Yes",Projects!$K$2="No",10=Projects!$C$2),Projects!$B$2*Assumptions!$B$47,0)+IF(AND(Projects!$G$3="Yes",Projects!$J$3="Yes",Projects!$K$3="No",10=Projects!$C$3),Projects!$B$3*Assumptions!$B$47,0)+IF(AND(Projects!$G$4="Yes",Projects!$J$4="Yes",Projects!$K$4="No",10=Projects!$C$4),Projects!$B$4*Assumptions!$B$47,0)+IF(AND(Projects!$G$5="Yes",Projects!$J$5="Yes",Projects!$K$5="No",10=Projects!$C$5),Projects!$B$5*Assumptions!$B$47,0)+IF(AND(Projects!$G$6="Yes",Projects!$J$6="Yes",Projects!$K$6="No",10=Projects!$C$6),Projects!$B$6*Assumptions!$B$47,0)+IF(AND(Projects!$G$7="Yes",Projects!$J$7="Yes",Projects!$K$7="No",10=Projects!$C$7),Projects!$B$7*Assumptions!$B$47,0)+IF(AND(Projects!$G$8="Yes",Projects!$J$8="Yes",Projects!$K$8="No",10=Projects!$C$8),Projects!$B$8*Assumptions!$B$47,0)+IF(AND(Projects!$G$9="Yes",Projects!$J$9="Yes",Projects!$K$9="No",10=Projects!$C$9),Projects!$B$9*Assumptions!$B$47,0)+IF(AND(Projects!$G$10="Yes",Projects!$J$10="Yes",Projects!$K$10="No",10=Projects!$C$10),Projects!$B$10*Assumptions!$B$47,0)+IF(AND(Projects!$G$11="Yes",Projects!$J$11="Yes",Projects!$K$11="No",10=Projects!$C$11),Projects!$B$11*Assumptions!$B$47,0)+IF(AND(Projects!$G$12="Yes",Projects!$J$12="Yes",Projects!$K$12="No",10=Projects!$C$12),Projects!$B$12*Assumptions!$B$47,0)+IF(AND(Projects!$G$13="Yes",Projects!$J$13="Yes",Projects!$K$13="No",10=Projects!$C$13),Projects!$B$13*Assumptions!$B$47,0)+IF(AND(Projects!$G$14="Yes",Projects!$J$14="Yes",Projects!$K$14="No",10=Projects!$C$14),Projects!$B$14*Assumptions!$B$47,0)),Actuals!O107)</f>
        <v>-75452.03</v>
      </c>
      <c r="O287" s="13" t="n">
        <f aca="false">IF(ISBLANK(Actuals!P107),-(IF(AND(Projects!$G$2="Yes",Projects!$J$2="Yes",Projects!$K$2="No",11=Projects!$C$2),Projects!$B$2*Assumptions!$B$47,0)+IF(AND(Projects!$G$3="Yes",Projects!$J$3="Yes",Projects!$K$3="No",11=Projects!$C$3),Projects!$B$3*Assumptions!$B$47,0)+IF(AND(Projects!$G$4="Yes",Projects!$J$4="Yes",Projects!$K$4="No",11=Projects!$C$4),Projects!$B$4*Assumptions!$B$47,0)+IF(AND(Projects!$G$5="Yes",Projects!$J$5="Yes",Projects!$K$5="No",11=Projects!$C$5),Projects!$B$5*Assumptions!$B$47,0)+IF(AND(Projects!$G$6="Yes",Projects!$J$6="Yes",Projects!$K$6="No",11=Projects!$C$6),Projects!$B$6*Assumptions!$B$47,0)+IF(AND(Projects!$G$7="Yes",Projects!$J$7="Yes",Projects!$K$7="No",11=Projects!$C$7),Projects!$B$7*Assumptions!$B$47,0)+IF(AND(Projects!$G$8="Yes",Projects!$J$8="Yes",Projects!$K$8="No",11=Projects!$C$8),Projects!$B$8*Assumptions!$B$47,0)+IF(AND(Projects!$G$9="Yes",Projects!$J$9="Yes",Projects!$K$9="No",11=Projects!$C$9),Projects!$B$9*Assumptions!$B$47,0)+IF(AND(Projects!$G$10="Yes",Projects!$J$10="Yes",Projects!$K$10="No",11=Projects!$C$10),Projects!$B$10*Assumptions!$B$47,0)+IF(AND(Projects!$G$11="Yes",Projects!$J$11="Yes",Projects!$K$11="No",11=Projects!$C$11),Projects!$B$11*Assumptions!$B$47,0)+IF(AND(Projects!$G$12="Yes",Projects!$J$12="Yes",Projects!$K$12="No",11=Projects!$C$12),Projects!$B$12*Assumptions!$B$47,0)+IF(AND(Projects!$G$13="Yes",Projects!$J$13="Yes",Projects!$K$13="No",11=Projects!$C$13),Projects!$B$13*Assumptions!$B$47,0)+IF(AND(Projects!$G$14="Yes",Projects!$J$14="Yes",Projects!$K$14="No",11=Projects!$C$14),Projects!$B$14*Assumptions!$B$47,0)),Actuals!P107)</f>
        <v>-95771.09</v>
      </c>
      <c r="P287" s="13" t="n">
        <f aca="false">IF(ISBLANK(Actuals!Q107),-(IF(AND(Projects!$G$2="Yes",Projects!$J$2="Yes",Projects!$K$2="No",12=Projects!$C$2),Projects!$B$2*Assumptions!$B$47,0)+IF(AND(Projects!$G$3="Yes",Projects!$J$3="Yes",Projects!$K$3="No",12=Projects!$C$3),Projects!$B$3*Assumptions!$B$47,0)+IF(AND(Projects!$G$4="Yes",Projects!$J$4="Yes",Projects!$K$4="No",12=Projects!$C$4),Projects!$B$4*Assumptions!$B$47,0)+IF(AND(Projects!$G$5="Yes",Projects!$J$5="Yes",Projects!$K$5="No",12=Projects!$C$5),Projects!$B$5*Assumptions!$B$47,0)+IF(AND(Projects!$G$6="Yes",Projects!$J$6="Yes",Projects!$K$6="No",12=Projects!$C$6),Projects!$B$6*Assumptions!$B$47,0)+IF(AND(Projects!$G$7="Yes",Projects!$J$7="Yes",Projects!$K$7="No",12=Projects!$C$7),Projects!$B$7*Assumptions!$B$47,0)+IF(AND(Projects!$G$8="Yes",Projects!$J$8="Yes",Projects!$K$8="No",12=Projects!$C$8),Projects!$B$8*Assumptions!$B$47,0)+IF(AND(Projects!$G$9="Yes",Projects!$J$9="Yes",Projects!$K$9="No",12=Projects!$C$9),Projects!$B$9*Assumptions!$B$47,0)+IF(AND(Projects!$G$10="Yes",Projects!$J$10="Yes",Projects!$K$10="No",12=Projects!$C$10),Projects!$B$10*Assumptions!$B$47,0)+IF(AND(Projects!$G$11="Yes",Projects!$J$11="Yes",Projects!$K$11="No",12=Projects!$C$11),Projects!$B$11*Assumptions!$B$47,0)+IF(AND(Projects!$G$12="Yes",Projects!$J$12="Yes",Projects!$K$12="No",12=Projects!$C$12),Projects!$B$12*Assumptions!$B$47,0)+IF(AND(Projects!$G$13="Yes",Projects!$J$13="Yes",Projects!$K$13="No",12=Projects!$C$13),Projects!$B$13*Assumptions!$B$47,0)+IF(AND(Projects!$G$14="Yes",Projects!$J$14="Yes",Projects!$K$14="No",12=Projects!$C$14),Projects!$B$14*Assumptions!$B$47,0)),Actuals!Q107)</f>
        <v>-0</v>
      </c>
      <c r="Q287" s="13" t="n">
        <f aca="false">IF(ISBLANK(Actuals!R107),-(IF(AND(Projects!$G$2="Yes",Projects!$J$2="Yes",Projects!$K$2="No",13=Projects!$C$2),Projects!$B$2*Assumptions!$B$47,0)+IF(AND(Projects!$G$3="Yes",Projects!$J$3="Yes",Projects!$K$3="No",13=Projects!$C$3),Projects!$B$3*Assumptions!$B$47,0)+IF(AND(Projects!$G$4="Yes",Projects!$J$4="Yes",Projects!$K$4="No",13=Projects!$C$4),Projects!$B$4*Assumptions!$B$47,0)+IF(AND(Projects!$G$5="Yes",Projects!$J$5="Yes",Projects!$K$5="No",13=Projects!$C$5),Projects!$B$5*Assumptions!$B$47,0)+IF(AND(Projects!$G$6="Yes",Projects!$J$6="Yes",Projects!$K$6="No",13=Projects!$C$6),Projects!$B$6*Assumptions!$B$47,0)+IF(AND(Projects!$G$7="Yes",Projects!$J$7="Yes",Projects!$K$7="No",13=Projects!$C$7),Projects!$B$7*Assumptions!$B$47,0)+IF(AND(Projects!$G$8="Yes",Projects!$J$8="Yes",Projects!$K$8="No",13=Projects!$C$8),Projects!$B$8*Assumptions!$B$47,0)+IF(AND(Projects!$G$9="Yes",Projects!$J$9="Yes",Projects!$K$9="No",13=Projects!$C$9),Projects!$B$9*Assumptions!$B$47,0)+IF(AND(Projects!$G$10="Yes",Projects!$J$10="Yes",Projects!$K$10="No",13=Projects!$C$10),Projects!$B$10*Assumptions!$B$47,0)+IF(AND(Projects!$G$11="Yes",Projects!$J$11="Yes",Projects!$K$11="No",13=Projects!$C$11),Projects!$B$11*Assumptions!$B$47,0)+IF(AND(Projects!$G$12="Yes",Projects!$J$12="Yes",Projects!$K$12="No",13=Projects!$C$12),Projects!$B$12*Assumptions!$B$47,0)+IF(AND(Projects!$G$13="Yes",Projects!$J$13="Yes",Projects!$K$13="No",13=Projects!$C$13),Projects!$B$13*Assumptions!$B$47,0)+IF(AND(Projects!$G$14="Yes",Projects!$J$14="Yes",Projects!$K$14="No",13=Projects!$C$14),Projects!$B$14*Assumptions!$B$47,0)),Actuals!R107)</f>
        <v>-0</v>
      </c>
      <c r="R287" s="13" t="n">
        <f aca="false">IF(ISBLANK(Actuals!S107),-(IF(AND(Projects!$G$2="Yes",Projects!$J$2="Yes",Projects!$K$2="No",14=Projects!$C$2),Projects!$B$2*Assumptions!$B$47,0)+IF(AND(Projects!$G$3="Yes",Projects!$J$3="Yes",Projects!$K$3="No",14=Projects!$C$3),Projects!$B$3*Assumptions!$B$47,0)+IF(AND(Projects!$G$4="Yes",Projects!$J$4="Yes",Projects!$K$4="No",14=Projects!$C$4),Projects!$B$4*Assumptions!$B$47,0)+IF(AND(Projects!$G$5="Yes",Projects!$J$5="Yes",Projects!$K$5="No",14=Projects!$C$5),Projects!$B$5*Assumptions!$B$47,0)+IF(AND(Projects!$G$6="Yes",Projects!$J$6="Yes",Projects!$K$6="No",14=Projects!$C$6),Projects!$B$6*Assumptions!$B$47,0)+IF(AND(Projects!$G$7="Yes",Projects!$J$7="Yes",Projects!$K$7="No",14=Projects!$C$7),Projects!$B$7*Assumptions!$B$47,0)+IF(AND(Projects!$G$8="Yes",Projects!$J$8="Yes",Projects!$K$8="No",14=Projects!$C$8),Projects!$B$8*Assumptions!$B$47,0)+IF(AND(Projects!$G$9="Yes",Projects!$J$9="Yes",Projects!$K$9="No",14=Projects!$C$9),Projects!$B$9*Assumptions!$B$47,0)+IF(AND(Projects!$G$10="Yes",Projects!$J$10="Yes",Projects!$K$10="No",14=Projects!$C$10),Projects!$B$10*Assumptions!$B$47,0)+IF(AND(Projects!$G$11="Yes",Projects!$J$11="Yes",Projects!$K$11="No",14=Projects!$C$11),Projects!$B$11*Assumptions!$B$47,0)+IF(AND(Projects!$G$12="Yes",Projects!$J$12="Yes",Projects!$K$12="No",14=Projects!$C$12),Projects!$B$12*Assumptions!$B$47,0)+IF(AND(Projects!$G$13="Yes",Projects!$J$13="Yes",Projects!$K$13="No",14=Projects!$C$13),Projects!$B$13*Assumptions!$B$47,0)+IF(AND(Projects!$G$14="Yes",Projects!$J$14="Yes",Projects!$K$14="No",14=Projects!$C$14),Projects!$B$14*Assumptions!$B$47,0)),Actuals!S107)</f>
        <v>-0</v>
      </c>
      <c r="S287" s="13" t="n">
        <f aca="false">IF(ISBLANK(Actuals!T107),-(IF(AND(Projects!$G$2="Yes",Projects!$J$2="Yes",Projects!$K$2="No",15=Projects!$C$2),Projects!$B$2*Assumptions!$B$47,0)+IF(AND(Projects!$G$3="Yes",Projects!$J$3="Yes",Projects!$K$3="No",15=Projects!$C$3),Projects!$B$3*Assumptions!$B$47,0)+IF(AND(Projects!$G$4="Yes",Projects!$J$4="Yes",Projects!$K$4="No",15=Projects!$C$4),Projects!$B$4*Assumptions!$B$47,0)+IF(AND(Projects!$G$5="Yes",Projects!$J$5="Yes",Projects!$K$5="No",15=Projects!$C$5),Projects!$B$5*Assumptions!$B$47,0)+IF(AND(Projects!$G$6="Yes",Projects!$J$6="Yes",Projects!$K$6="No",15=Projects!$C$6),Projects!$B$6*Assumptions!$B$47,0)+IF(AND(Projects!$G$7="Yes",Projects!$J$7="Yes",Projects!$K$7="No",15=Projects!$C$7),Projects!$B$7*Assumptions!$B$47,0)+IF(AND(Projects!$G$8="Yes",Projects!$J$8="Yes",Projects!$K$8="No",15=Projects!$C$8),Projects!$B$8*Assumptions!$B$47,0)+IF(AND(Projects!$G$9="Yes",Projects!$J$9="Yes",Projects!$K$9="No",15=Projects!$C$9),Projects!$B$9*Assumptions!$B$47,0)+IF(AND(Projects!$G$10="Yes",Projects!$J$10="Yes",Projects!$K$10="No",15=Projects!$C$10),Projects!$B$10*Assumptions!$B$47,0)+IF(AND(Projects!$G$11="Yes",Projects!$J$11="Yes",Projects!$K$11="No",15=Projects!$C$11),Projects!$B$11*Assumptions!$B$47,0)+IF(AND(Projects!$G$12="Yes",Projects!$J$12="Yes",Projects!$K$12="No",15=Projects!$C$12),Projects!$B$12*Assumptions!$B$47,0)+IF(AND(Projects!$G$13="Yes",Projects!$J$13="Yes",Projects!$K$13="No",15=Projects!$C$13),Projects!$B$13*Assumptions!$B$47,0)+IF(AND(Projects!$G$14="Yes",Projects!$J$14="Yes",Projects!$K$14="No",15=Projects!$C$14),Projects!$B$14*Assumptions!$B$47,0)),Actuals!T107)</f>
        <v>-0</v>
      </c>
      <c r="T287" s="13" t="n">
        <f aca="false">IF(ISBLANK(Actuals!U107),-(IF(AND(Projects!$G$2="Yes",Projects!$J$2="Yes",Projects!$K$2="No",16=Projects!$C$2),Projects!$B$2*Assumptions!$B$47,0)+IF(AND(Projects!$G$3="Yes",Projects!$J$3="Yes",Projects!$K$3="No",16=Projects!$C$3),Projects!$B$3*Assumptions!$B$47,0)+IF(AND(Projects!$G$4="Yes",Projects!$J$4="Yes",Projects!$K$4="No",16=Projects!$C$4),Projects!$B$4*Assumptions!$B$47,0)+IF(AND(Projects!$G$5="Yes",Projects!$J$5="Yes",Projects!$K$5="No",16=Projects!$C$5),Projects!$B$5*Assumptions!$B$47,0)+IF(AND(Projects!$G$6="Yes",Projects!$J$6="Yes",Projects!$K$6="No",16=Projects!$C$6),Projects!$B$6*Assumptions!$B$47,0)+IF(AND(Projects!$G$7="Yes",Projects!$J$7="Yes",Projects!$K$7="No",16=Projects!$C$7),Projects!$B$7*Assumptions!$B$47,0)+IF(AND(Projects!$G$8="Yes",Projects!$J$8="Yes",Projects!$K$8="No",16=Projects!$C$8),Projects!$B$8*Assumptions!$B$47,0)+IF(AND(Projects!$G$9="Yes",Projects!$J$9="Yes",Projects!$K$9="No",16=Projects!$C$9),Projects!$B$9*Assumptions!$B$47,0)+IF(AND(Projects!$G$10="Yes",Projects!$J$10="Yes",Projects!$K$10="No",16=Projects!$C$10),Projects!$B$10*Assumptions!$B$47,0)+IF(AND(Projects!$G$11="Yes",Projects!$J$11="Yes",Projects!$K$11="No",16=Projects!$C$11),Projects!$B$11*Assumptions!$B$47,0)+IF(AND(Projects!$G$12="Yes",Projects!$J$12="Yes",Projects!$K$12="No",16=Projects!$C$12),Projects!$B$12*Assumptions!$B$47,0)+IF(AND(Projects!$G$13="Yes",Projects!$J$13="Yes",Projects!$K$13="No",16=Projects!$C$13),Projects!$B$13*Assumptions!$B$47,0)+IF(AND(Projects!$G$14="Yes",Projects!$J$14="Yes",Projects!$K$14="No",16=Projects!$C$14),Projects!$B$14*Assumptions!$B$47,0)),Actuals!U107)</f>
        <v>-0</v>
      </c>
      <c r="U287" s="13" t="n">
        <f aca="false">IF(ISBLANK(Actuals!V107),-(IF(AND(Projects!$G$2="Yes",Projects!$J$2="Yes",Projects!$K$2="No",17=Projects!$C$2),Projects!$B$2*Assumptions!$B$47,0)+IF(AND(Projects!$G$3="Yes",Projects!$J$3="Yes",Projects!$K$3="No",17=Projects!$C$3),Projects!$B$3*Assumptions!$B$47,0)+IF(AND(Projects!$G$4="Yes",Projects!$J$4="Yes",Projects!$K$4="No",17=Projects!$C$4),Projects!$B$4*Assumptions!$B$47,0)+IF(AND(Projects!$G$5="Yes",Projects!$J$5="Yes",Projects!$K$5="No",17=Projects!$C$5),Projects!$B$5*Assumptions!$B$47,0)+IF(AND(Projects!$G$6="Yes",Projects!$J$6="Yes",Projects!$K$6="No",17=Projects!$C$6),Projects!$B$6*Assumptions!$B$47,0)+IF(AND(Projects!$G$7="Yes",Projects!$J$7="Yes",Projects!$K$7="No",17=Projects!$C$7),Projects!$B$7*Assumptions!$B$47,0)+IF(AND(Projects!$G$8="Yes",Projects!$J$8="Yes",Projects!$K$8="No",17=Projects!$C$8),Projects!$B$8*Assumptions!$B$47,0)+IF(AND(Projects!$G$9="Yes",Projects!$J$9="Yes",Projects!$K$9="No",17=Projects!$C$9),Projects!$B$9*Assumptions!$B$47,0)+IF(AND(Projects!$G$10="Yes",Projects!$J$10="Yes",Projects!$K$10="No",17=Projects!$C$10),Projects!$B$10*Assumptions!$B$47,0)+IF(AND(Projects!$G$11="Yes",Projects!$J$11="Yes",Projects!$K$11="No",17=Projects!$C$11),Projects!$B$11*Assumptions!$B$47,0)+IF(AND(Projects!$G$12="Yes",Projects!$J$12="Yes",Projects!$K$12="No",17=Projects!$C$12),Projects!$B$12*Assumptions!$B$47,0)+IF(AND(Projects!$G$13="Yes",Projects!$J$13="Yes",Projects!$K$13="No",17=Projects!$C$13),Projects!$B$13*Assumptions!$B$47,0)+IF(AND(Projects!$G$14="Yes",Projects!$J$14="Yes",Projects!$K$14="No",17=Projects!$C$14),Projects!$B$14*Assumptions!$B$47,0)),Actuals!V107)</f>
        <v>-0</v>
      </c>
      <c r="V287" s="13" t="n">
        <f aca="false">IF(ISBLANK(Actuals!W107),-(IF(AND(Projects!$G$2="Yes",Projects!$J$2="Yes",Projects!$K$2="No",18=Projects!$C$2),Projects!$B$2*Assumptions!$B$47,0)+IF(AND(Projects!$G$3="Yes",Projects!$J$3="Yes",Projects!$K$3="No",18=Projects!$C$3),Projects!$B$3*Assumptions!$B$47,0)+IF(AND(Projects!$G$4="Yes",Projects!$J$4="Yes",Projects!$K$4="No",18=Projects!$C$4),Projects!$B$4*Assumptions!$B$47,0)+IF(AND(Projects!$G$5="Yes",Projects!$J$5="Yes",Projects!$K$5="No",18=Projects!$C$5),Projects!$B$5*Assumptions!$B$47,0)+IF(AND(Projects!$G$6="Yes",Projects!$J$6="Yes",Projects!$K$6="No",18=Projects!$C$6),Projects!$B$6*Assumptions!$B$47,0)+IF(AND(Projects!$G$7="Yes",Projects!$J$7="Yes",Projects!$K$7="No",18=Projects!$C$7),Projects!$B$7*Assumptions!$B$47,0)+IF(AND(Projects!$G$8="Yes",Projects!$J$8="Yes",Projects!$K$8="No",18=Projects!$C$8),Projects!$B$8*Assumptions!$B$47,0)+IF(AND(Projects!$G$9="Yes",Projects!$J$9="Yes",Projects!$K$9="No",18=Projects!$C$9),Projects!$B$9*Assumptions!$B$47,0)+IF(AND(Projects!$G$10="Yes",Projects!$J$10="Yes",Projects!$K$10="No",18=Projects!$C$10),Projects!$B$10*Assumptions!$B$47,0)+IF(AND(Projects!$G$11="Yes",Projects!$J$11="Yes",Projects!$K$11="No",18=Projects!$C$11),Projects!$B$11*Assumptions!$B$47,0)+IF(AND(Projects!$G$12="Yes",Projects!$J$12="Yes",Projects!$K$12="No",18=Projects!$C$12),Projects!$B$12*Assumptions!$B$47,0)+IF(AND(Projects!$G$13="Yes",Projects!$J$13="Yes",Projects!$K$13="No",18=Projects!$C$13),Projects!$B$13*Assumptions!$B$47,0)+IF(AND(Projects!$G$14="Yes",Projects!$J$14="Yes",Projects!$K$14="No",18=Projects!$C$14),Projects!$B$14*Assumptions!$B$47,0)),Actuals!W107)</f>
        <v>-0</v>
      </c>
      <c r="W287" s="13" t="n">
        <f aca="false">IF(ISBLANK(Actuals!X107),-(IF(AND(Projects!$G$2="Yes",Projects!$J$2="Yes",Projects!$K$2="No",19=Projects!$C$2),Projects!$B$2*Assumptions!$B$47,0)+IF(AND(Projects!$G$3="Yes",Projects!$J$3="Yes",Projects!$K$3="No",19=Projects!$C$3),Projects!$B$3*Assumptions!$B$47,0)+IF(AND(Projects!$G$4="Yes",Projects!$J$4="Yes",Projects!$K$4="No",19=Projects!$C$4),Projects!$B$4*Assumptions!$B$47,0)+IF(AND(Projects!$G$5="Yes",Projects!$J$5="Yes",Projects!$K$5="No",19=Projects!$C$5),Projects!$B$5*Assumptions!$B$47,0)+IF(AND(Projects!$G$6="Yes",Projects!$J$6="Yes",Projects!$K$6="No",19=Projects!$C$6),Projects!$B$6*Assumptions!$B$47,0)+IF(AND(Projects!$G$7="Yes",Projects!$J$7="Yes",Projects!$K$7="No",19=Projects!$C$7),Projects!$B$7*Assumptions!$B$47,0)+IF(AND(Projects!$G$8="Yes",Projects!$J$8="Yes",Projects!$K$8="No",19=Projects!$C$8),Projects!$B$8*Assumptions!$B$47,0)+IF(AND(Projects!$G$9="Yes",Projects!$J$9="Yes",Projects!$K$9="No",19=Projects!$C$9),Projects!$B$9*Assumptions!$B$47,0)+IF(AND(Projects!$G$10="Yes",Projects!$J$10="Yes",Projects!$K$10="No",19=Projects!$C$10),Projects!$B$10*Assumptions!$B$47,0)+IF(AND(Projects!$G$11="Yes",Projects!$J$11="Yes",Projects!$K$11="No",19=Projects!$C$11),Projects!$B$11*Assumptions!$B$47,0)+IF(AND(Projects!$G$12="Yes",Projects!$J$12="Yes",Projects!$K$12="No",19=Projects!$C$12),Projects!$B$12*Assumptions!$B$47,0)+IF(AND(Projects!$G$13="Yes",Projects!$J$13="Yes",Projects!$K$13="No",19=Projects!$C$13),Projects!$B$13*Assumptions!$B$47,0)+IF(AND(Projects!$G$14="Yes",Projects!$J$14="Yes",Projects!$K$14="No",19=Projects!$C$14),Projects!$B$14*Assumptions!$B$47,0)),Actuals!X107)</f>
        <v>-0</v>
      </c>
      <c r="X287" s="13" t="n">
        <f aca="false">IF(ISBLANK(Actuals!Y107),-(IF(AND(Projects!$G$2="Yes",Projects!$J$2="Yes",Projects!$K$2="No",20=Projects!$C$2),Projects!$B$2*Assumptions!$B$47,0)+IF(AND(Projects!$G$3="Yes",Projects!$J$3="Yes",Projects!$K$3="No",20=Projects!$C$3),Projects!$B$3*Assumptions!$B$47,0)+IF(AND(Projects!$G$4="Yes",Projects!$J$4="Yes",Projects!$K$4="No",20=Projects!$C$4),Projects!$B$4*Assumptions!$B$47,0)+IF(AND(Projects!$G$5="Yes",Projects!$J$5="Yes",Projects!$K$5="No",20=Projects!$C$5),Projects!$B$5*Assumptions!$B$47,0)+IF(AND(Projects!$G$6="Yes",Projects!$J$6="Yes",Projects!$K$6="No",20=Projects!$C$6),Projects!$B$6*Assumptions!$B$47,0)+IF(AND(Projects!$G$7="Yes",Projects!$J$7="Yes",Projects!$K$7="No",20=Projects!$C$7),Projects!$B$7*Assumptions!$B$47,0)+IF(AND(Projects!$G$8="Yes",Projects!$J$8="Yes",Projects!$K$8="No",20=Projects!$C$8),Projects!$B$8*Assumptions!$B$47,0)+IF(AND(Projects!$G$9="Yes",Projects!$J$9="Yes",Projects!$K$9="No",20=Projects!$C$9),Projects!$B$9*Assumptions!$B$47,0)+IF(AND(Projects!$G$10="Yes",Projects!$J$10="Yes",Projects!$K$10="No",20=Projects!$C$10),Projects!$B$10*Assumptions!$B$47,0)+IF(AND(Projects!$G$11="Yes",Projects!$J$11="Yes",Projects!$K$11="No",20=Projects!$C$11),Projects!$B$11*Assumptions!$B$47,0)+IF(AND(Projects!$G$12="Yes",Projects!$J$12="Yes",Projects!$K$12="No",20=Projects!$C$12),Projects!$B$12*Assumptions!$B$47,0)+IF(AND(Projects!$G$13="Yes",Projects!$J$13="Yes",Projects!$K$13="No",20=Projects!$C$13),Projects!$B$13*Assumptions!$B$47,0)+IF(AND(Projects!$G$14="Yes",Projects!$J$14="Yes",Projects!$K$14="No",20=Projects!$C$14),Projects!$B$14*Assumptions!$B$47,0)),Actuals!Y107)</f>
        <v>-0</v>
      </c>
      <c r="Y287" s="13" t="n">
        <f aca="false">IF(ISBLANK(Actuals!Z107),-(IF(AND(Projects!$G$2="Yes",Projects!$J$2="Yes",Projects!$K$2="No",21=Projects!$C$2),Projects!$B$2*Assumptions!$B$47,0)+IF(AND(Projects!$G$3="Yes",Projects!$J$3="Yes",Projects!$K$3="No",21=Projects!$C$3),Projects!$B$3*Assumptions!$B$47,0)+IF(AND(Projects!$G$4="Yes",Projects!$J$4="Yes",Projects!$K$4="No",21=Projects!$C$4),Projects!$B$4*Assumptions!$B$47,0)+IF(AND(Projects!$G$5="Yes",Projects!$J$5="Yes",Projects!$K$5="No",21=Projects!$C$5),Projects!$B$5*Assumptions!$B$47,0)+IF(AND(Projects!$G$6="Yes",Projects!$J$6="Yes",Projects!$K$6="No",21=Projects!$C$6),Projects!$B$6*Assumptions!$B$47,0)+IF(AND(Projects!$G$7="Yes",Projects!$J$7="Yes",Projects!$K$7="No",21=Projects!$C$7),Projects!$B$7*Assumptions!$B$47,0)+IF(AND(Projects!$G$8="Yes",Projects!$J$8="Yes",Projects!$K$8="No",21=Projects!$C$8),Projects!$B$8*Assumptions!$B$47,0)+IF(AND(Projects!$G$9="Yes",Projects!$J$9="Yes",Projects!$K$9="No",21=Projects!$C$9),Projects!$B$9*Assumptions!$B$47,0)+IF(AND(Projects!$G$10="Yes",Projects!$J$10="Yes",Projects!$K$10="No",21=Projects!$C$10),Projects!$B$10*Assumptions!$B$47,0)+IF(AND(Projects!$G$11="Yes",Projects!$J$11="Yes",Projects!$K$11="No",21=Projects!$C$11),Projects!$B$11*Assumptions!$B$47,0)+IF(AND(Projects!$G$12="Yes",Projects!$J$12="Yes",Projects!$K$12="No",21=Projects!$C$12),Projects!$B$12*Assumptions!$B$47,0)+IF(AND(Projects!$G$13="Yes",Projects!$J$13="Yes",Projects!$K$13="No",21=Projects!$C$13),Projects!$B$13*Assumptions!$B$47,0)+IF(AND(Projects!$G$14="Yes",Projects!$J$14="Yes",Projects!$K$14="No",21=Projects!$C$14),Projects!$B$14*Assumptions!$B$47,0)),Actuals!Z107)</f>
        <v>-0</v>
      </c>
      <c r="Z287" s="13" t="n">
        <f aca="false">IF(ISBLANK(Actuals!AA107),-(IF(AND(Projects!$G$2="Yes",Projects!$J$2="Yes",Projects!$K$2="No",22=Projects!$C$2),Projects!$B$2*Assumptions!$B$47,0)+IF(AND(Projects!$G$3="Yes",Projects!$J$3="Yes",Projects!$K$3="No",22=Projects!$C$3),Projects!$B$3*Assumptions!$B$47,0)+IF(AND(Projects!$G$4="Yes",Projects!$J$4="Yes",Projects!$K$4="No",22=Projects!$C$4),Projects!$B$4*Assumptions!$B$47,0)+IF(AND(Projects!$G$5="Yes",Projects!$J$5="Yes",Projects!$K$5="No",22=Projects!$C$5),Projects!$B$5*Assumptions!$B$47,0)+IF(AND(Projects!$G$6="Yes",Projects!$J$6="Yes",Projects!$K$6="No",22=Projects!$C$6),Projects!$B$6*Assumptions!$B$47,0)+IF(AND(Projects!$G$7="Yes",Projects!$J$7="Yes",Projects!$K$7="No",22=Projects!$C$7),Projects!$B$7*Assumptions!$B$47,0)+IF(AND(Projects!$G$8="Yes",Projects!$J$8="Yes",Projects!$K$8="No",22=Projects!$C$8),Projects!$B$8*Assumptions!$B$47,0)+IF(AND(Projects!$G$9="Yes",Projects!$J$9="Yes",Projects!$K$9="No",22=Projects!$C$9),Projects!$B$9*Assumptions!$B$47,0)+IF(AND(Projects!$G$10="Yes",Projects!$J$10="Yes",Projects!$K$10="No",22=Projects!$C$10),Projects!$B$10*Assumptions!$B$47,0)+IF(AND(Projects!$G$11="Yes",Projects!$J$11="Yes",Projects!$K$11="No",22=Projects!$C$11),Projects!$B$11*Assumptions!$B$47,0)+IF(AND(Projects!$G$12="Yes",Projects!$J$12="Yes",Projects!$K$12="No",22=Projects!$C$12),Projects!$B$12*Assumptions!$B$47,0)+IF(AND(Projects!$G$13="Yes",Projects!$J$13="Yes",Projects!$K$13="No",22=Projects!$C$13),Projects!$B$13*Assumptions!$B$47,0)+IF(AND(Projects!$G$14="Yes",Projects!$J$14="Yes",Projects!$K$14="No",22=Projects!$C$14),Projects!$B$14*Assumptions!$B$47,0)),Actuals!AA107)</f>
        <v>-0</v>
      </c>
      <c r="AA287" s="13" t="n">
        <f aca="false">IF(ISBLANK(Actuals!AB107),-(IF(AND(Projects!$G$2="Yes",Projects!$J$2="Yes",Projects!$K$2="No",23=Projects!$C$2),Projects!$B$2*Assumptions!$B$47,0)+IF(AND(Projects!$G$3="Yes",Projects!$J$3="Yes",Projects!$K$3="No",23=Projects!$C$3),Projects!$B$3*Assumptions!$B$47,0)+IF(AND(Projects!$G$4="Yes",Projects!$J$4="Yes",Projects!$K$4="No",23=Projects!$C$4),Projects!$B$4*Assumptions!$B$47,0)+IF(AND(Projects!$G$5="Yes",Projects!$J$5="Yes",Projects!$K$5="No",23=Projects!$C$5),Projects!$B$5*Assumptions!$B$47,0)+IF(AND(Projects!$G$6="Yes",Projects!$J$6="Yes",Projects!$K$6="No",23=Projects!$C$6),Projects!$B$6*Assumptions!$B$47,0)+IF(AND(Projects!$G$7="Yes",Projects!$J$7="Yes",Projects!$K$7="No",23=Projects!$C$7),Projects!$B$7*Assumptions!$B$47,0)+IF(AND(Projects!$G$8="Yes",Projects!$J$8="Yes",Projects!$K$8="No",23=Projects!$C$8),Projects!$B$8*Assumptions!$B$47,0)+IF(AND(Projects!$G$9="Yes",Projects!$J$9="Yes",Projects!$K$9="No",23=Projects!$C$9),Projects!$B$9*Assumptions!$B$47,0)+IF(AND(Projects!$G$10="Yes",Projects!$J$10="Yes",Projects!$K$10="No",23=Projects!$C$10),Projects!$B$10*Assumptions!$B$47,0)+IF(AND(Projects!$G$11="Yes",Projects!$J$11="Yes",Projects!$K$11="No",23=Projects!$C$11),Projects!$B$11*Assumptions!$B$47,0)+IF(AND(Projects!$G$12="Yes",Projects!$J$12="Yes",Projects!$K$12="No",23=Projects!$C$12),Projects!$B$12*Assumptions!$B$47,0)+IF(AND(Projects!$G$13="Yes",Projects!$J$13="Yes",Projects!$K$13="No",23=Projects!$C$13),Projects!$B$13*Assumptions!$B$47,0)+IF(AND(Projects!$G$14="Yes",Projects!$J$14="Yes",Projects!$K$14="No",23=Projects!$C$14),Projects!$B$14*Assumptions!$B$47,0)),Actuals!AB107)</f>
        <v>-0</v>
      </c>
      <c r="AB287" s="13" t="n">
        <f aca="false">IF(ISBLANK(Actuals!AC107),-(IF(AND(Projects!$G$2="Yes",Projects!$J$2="Yes",Projects!$K$2="No",24=Projects!$C$2),Projects!$B$2*Assumptions!$B$47,0)+IF(AND(Projects!$G$3="Yes",Projects!$J$3="Yes",Projects!$K$3="No",24=Projects!$C$3),Projects!$B$3*Assumptions!$B$47,0)+IF(AND(Projects!$G$4="Yes",Projects!$J$4="Yes",Projects!$K$4="No",24=Projects!$C$4),Projects!$B$4*Assumptions!$B$47,0)+IF(AND(Projects!$G$5="Yes",Projects!$J$5="Yes",Projects!$K$5="No",24=Projects!$C$5),Projects!$B$5*Assumptions!$B$47,0)+IF(AND(Projects!$G$6="Yes",Projects!$J$6="Yes",Projects!$K$6="No",24=Projects!$C$6),Projects!$B$6*Assumptions!$B$47,0)+IF(AND(Projects!$G$7="Yes",Projects!$J$7="Yes",Projects!$K$7="No",24=Projects!$C$7),Projects!$B$7*Assumptions!$B$47,0)+IF(AND(Projects!$G$8="Yes",Projects!$J$8="Yes",Projects!$K$8="No",24=Projects!$C$8),Projects!$B$8*Assumptions!$B$47,0)+IF(AND(Projects!$G$9="Yes",Projects!$J$9="Yes",Projects!$K$9="No",24=Projects!$C$9),Projects!$B$9*Assumptions!$B$47,0)+IF(AND(Projects!$G$10="Yes",Projects!$J$10="Yes",Projects!$K$10="No",24=Projects!$C$10),Projects!$B$10*Assumptions!$B$47,0)+IF(AND(Projects!$G$11="Yes",Projects!$J$11="Yes",Projects!$K$11="No",24=Projects!$C$11),Projects!$B$11*Assumptions!$B$47,0)+IF(AND(Projects!$G$12="Yes",Projects!$J$12="Yes",Projects!$K$12="No",24=Projects!$C$12),Projects!$B$12*Assumptions!$B$47,0)+IF(AND(Projects!$G$13="Yes",Projects!$J$13="Yes",Projects!$K$13="No",24=Projects!$C$13),Projects!$B$13*Assumptions!$B$47,0)+IF(AND(Projects!$G$14="Yes",Projects!$J$14="Yes",Projects!$K$14="No",24=Projects!$C$14),Projects!$B$14*Assumptions!$B$47,0)),Actuals!AC107)</f>
        <v>-0</v>
      </c>
      <c r="AC287" s="13" t="n">
        <f aca="false">IF(ISBLANK(Actuals!AD107),-(IF(AND(Projects!$G$2="Yes",Projects!$J$2="Yes",Projects!$K$2="No",25=Projects!$C$2),Projects!$B$2*Assumptions!$B$47,0)+IF(AND(Projects!$G$3="Yes",Projects!$J$3="Yes",Projects!$K$3="No",25=Projects!$C$3),Projects!$B$3*Assumptions!$B$47,0)+IF(AND(Projects!$G$4="Yes",Projects!$J$4="Yes",Projects!$K$4="No",25=Projects!$C$4),Projects!$B$4*Assumptions!$B$47,0)+IF(AND(Projects!$G$5="Yes",Projects!$J$5="Yes",Projects!$K$5="No",25=Projects!$C$5),Projects!$B$5*Assumptions!$B$47,0)+IF(AND(Projects!$G$6="Yes",Projects!$J$6="Yes",Projects!$K$6="No",25=Projects!$C$6),Projects!$B$6*Assumptions!$B$47,0)+IF(AND(Projects!$G$7="Yes",Projects!$J$7="Yes",Projects!$K$7="No",25=Projects!$C$7),Projects!$B$7*Assumptions!$B$47,0)+IF(AND(Projects!$G$8="Yes",Projects!$J$8="Yes",Projects!$K$8="No",25=Projects!$C$8),Projects!$B$8*Assumptions!$B$47,0)+IF(AND(Projects!$G$9="Yes",Projects!$J$9="Yes",Projects!$K$9="No",25=Projects!$C$9),Projects!$B$9*Assumptions!$B$47,0)+IF(AND(Projects!$G$10="Yes",Projects!$J$10="Yes",Projects!$K$10="No",25=Projects!$C$10),Projects!$B$10*Assumptions!$B$47,0)+IF(AND(Projects!$G$11="Yes",Projects!$J$11="Yes",Projects!$K$11="No",25=Projects!$C$11),Projects!$B$11*Assumptions!$B$47,0)+IF(AND(Projects!$G$12="Yes",Projects!$J$12="Yes",Projects!$K$12="No",25=Projects!$C$12),Projects!$B$12*Assumptions!$B$47,0)+IF(AND(Projects!$G$13="Yes",Projects!$J$13="Yes",Projects!$K$13="No",25=Projects!$C$13),Projects!$B$13*Assumptions!$B$47,0)+IF(AND(Projects!$G$14="Yes",Projects!$J$14="Yes",Projects!$K$14="No",25=Projects!$C$14),Projects!$B$14*Assumptions!$B$47,0)),Actuals!AD107)</f>
        <v>-0</v>
      </c>
      <c r="AD287" s="13" t="n">
        <f aca="false">IF(ISBLANK(Actuals!AE107),-(IF(AND(Projects!$G$2="Yes",Projects!$J$2="Yes",Projects!$K$2="No",26=Projects!$C$2),Projects!$B$2*Assumptions!$B$47,0)+IF(AND(Projects!$G$3="Yes",Projects!$J$3="Yes",Projects!$K$3="No",26=Projects!$C$3),Projects!$B$3*Assumptions!$B$47,0)+IF(AND(Projects!$G$4="Yes",Projects!$J$4="Yes",Projects!$K$4="No",26=Projects!$C$4),Projects!$B$4*Assumptions!$B$47,0)+IF(AND(Projects!$G$5="Yes",Projects!$J$5="Yes",Projects!$K$5="No",26=Projects!$C$5),Projects!$B$5*Assumptions!$B$47,0)+IF(AND(Projects!$G$6="Yes",Projects!$J$6="Yes",Projects!$K$6="No",26=Projects!$C$6),Projects!$B$6*Assumptions!$B$47,0)+IF(AND(Projects!$G$7="Yes",Projects!$J$7="Yes",Projects!$K$7="No",26=Projects!$C$7),Projects!$B$7*Assumptions!$B$47,0)+IF(AND(Projects!$G$8="Yes",Projects!$J$8="Yes",Projects!$K$8="No",26=Projects!$C$8),Projects!$B$8*Assumptions!$B$47,0)+IF(AND(Projects!$G$9="Yes",Projects!$J$9="Yes",Projects!$K$9="No",26=Projects!$C$9),Projects!$B$9*Assumptions!$B$47,0)+IF(AND(Projects!$G$10="Yes",Projects!$J$10="Yes",Projects!$K$10="No",26=Projects!$C$10),Projects!$B$10*Assumptions!$B$47,0)+IF(AND(Projects!$G$11="Yes",Projects!$J$11="Yes",Projects!$K$11="No",26=Projects!$C$11),Projects!$B$11*Assumptions!$B$47,0)+IF(AND(Projects!$G$12="Yes",Projects!$J$12="Yes",Projects!$K$12="No",26=Projects!$C$12),Projects!$B$12*Assumptions!$B$47,0)+IF(AND(Projects!$G$13="Yes",Projects!$J$13="Yes",Projects!$K$13="No",26=Projects!$C$13),Projects!$B$13*Assumptions!$B$47,0)+IF(AND(Projects!$G$14="Yes",Projects!$J$14="Yes",Projects!$K$14="No",26=Projects!$C$14),Projects!$B$14*Assumptions!$B$47,0)),Actuals!AE107)</f>
        <v>-0</v>
      </c>
      <c r="AE287" s="13" t="n">
        <f aca="false">IF(ISBLANK(Actuals!AF107),-(IF(AND(Projects!$G$2="Yes",Projects!$J$2="Yes",Projects!$K$2="No",27=Projects!$C$2),Projects!$B$2*Assumptions!$B$47,0)+IF(AND(Projects!$G$3="Yes",Projects!$J$3="Yes",Projects!$K$3="No",27=Projects!$C$3),Projects!$B$3*Assumptions!$B$47,0)+IF(AND(Projects!$G$4="Yes",Projects!$J$4="Yes",Projects!$K$4="No",27=Projects!$C$4),Projects!$B$4*Assumptions!$B$47,0)+IF(AND(Projects!$G$5="Yes",Projects!$J$5="Yes",Projects!$K$5="No",27=Projects!$C$5),Projects!$B$5*Assumptions!$B$47,0)+IF(AND(Projects!$G$6="Yes",Projects!$J$6="Yes",Projects!$K$6="No",27=Projects!$C$6),Projects!$B$6*Assumptions!$B$47,0)+IF(AND(Projects!$G$7="Yes",Projects!$J$7="Yes",Projects!$K$7="No",27=Projects!$C$7),Projects!$B$7*Assumptions!$B$47,0)+IF(AND(Projects!$G$8="Yes",Projects!$J$8="Yes",Projects!$K$8="No",27=Projects!$C$8),Projects!$B$8*Assumptions!$B$47,0)+IF(AND(Projects!$G$9="Yes",Projects!$J$9="Yes",Projects!$K$9="No",27=Projects!$C$9),Projects!$B$9*Assumptions!$B$47,0)+IF(AND(Projects!$G$10="Yes",Projects!$J$10="Yes",Projects!$K$10="No",27=Projects!$C$10),Projects!$B$10*Assumptions!$B$47,0)+IF(AND(Projects!$G$11="Yes",Projects!$J$11="Yes",Projects!$K$11="No",27=Projects!$C$11),Projects!$B$11*Assumptions!$B$47,0)+IF(AND(Projects!$G$12="Yes",Projects!$J$12="Yes",Projects!$K$12="No",27=Projects!$C$12),Projects!$B$12*Assumptions!$B$47,0)+IF(AND(Projects!$G$13="Yes",Projects!$J$13="Yes",Projects!$K$13="No",27=Projects!$C$13),Projects!$B$13*Assumptions!$B$47,0)+IF(AND(Projects!$G$14="Yes",Projects!$J$14="Yes",Projects!$K$14="No",27=Projects!$C$14),Projects!$B$14*Assumptions!$B$47,0)),Actuals!AF107)</f>
        <v>-0</v>
      </c>
      <c r="AF287" s="13" t="n">
        <f aca="false">IF(ISBLANK(Actuals!AG107),-(IF(AND(Projects!$G$2="Yes",Projects!$J$2="Yes",Projects!$K$2="No",28=Projects!$C$2),Projects!$B$2*Assumptions!$B$47,0)+IF(AND(Projects!$G$3="Yes",Projects!$J$3="Yes",Projects!$K$3="No",28=Projects!$C$3),Projects!$B$3*Assumptions!$B$47,0)+IF(AND(Projects!$G$4="Yes",Projects!$J$4="Yes",Projects!$K$4="No",28=Projects!$C$4),Projects!$B$4*Assumptions!$B$47,0)+IF(AND(Projects!$G$5="Yes",Projects!$J$5="Yes",Projects!$K$5="No",28=Projects!$C$5),Projects!$B$5*Assumptions!$B$47,0)+IF(AND(Projects!$G$6="Yes",Projects!$J$6="Yes",Projects!$K$6="No",28=Projects!$C$6),Projects!$B$6*Assumptions!$B$47,0)+IF(AND(Projects!$G$7="Yes",Projects!$J$7="Yes",Projects!$K$7="No",28=Projects!$C$7),Projects!$B$7*Assumptions!$B$47,0)+IF(AND(Projects!$G$8="Yes",Projects!$J$8="Yes",Projects!$K$8="No",28=Projects!$C$8),Projects!$B$8*Assumptions!$B$47,0)+IF(AND(Projects!$G$9="Yes",Projects!$J$9="Yes",Projects!$K$9="No",28=Projects!$C$9),Projects!$B$9*Assumptions!$B$47,0)+IF(AND(Projects!$G$10="Yes",Projects!$J$10="Yes",Projects!$K$10="No",28=Projects!$C$10),Projects!$B$10*Assumptions!$B$47,0)+IF(AND(Projects!$G$11="Yes",Projects!$J$11="Yes",Projects!$K$11="No",28=Projects!$C$11),Projects!$B$11*Assumptions!$B$47,0)+IF(AND(Projects!$G$12="Yes",Projects!$J$12="Yes",Projects!$K$12="No",28=Projects!$C$12),Projects!$B$12*Assumptions!$B$47,0)+IF(AND(Projects!$G$13="Yes",Projects!$J$13="Yes",Projects!$K$13="No",28=Projects!$C$13),Projects!$B$13*Assumptions!$B$47,0)+IF(AND(Projects!$G$14="Yes",Projects!$J$14="Yes",Projects!$K$14="No",28=Projects!$C$14),Projects!$B$14*Assumptions!$B$47,0)),Actuals!AG107)</f>
        <v>-0</v>
      </c>
      <c r="AG287" s="13" t="n">
        <f aca="false">IF(ISBLANK(Actuals!AH107),-(IF(AND(Projects!$G$2="Yes",Projects!$J$2="Yes",Projects!$K$2="No",29=Projects!$C$2),Projects!$B$2*Assumptions!$B$47,0)+IF(AND(Projects!$G$3="Yes",Projects!$J$3="Yes",Projects!$K$3="No",29=Projects!$C$3),Projects!$B$3*Assumptions!$B$47,0)+IF(AND(Projects!$G$4="Yes",Projects!$J$4="Yes",Projects!$K$4="No",29=Projects!$C$4),Projects!$B$4*Assumptions!$B$47,0)+IF(AND(Projects!$G$5="Yes",Projects!$J$5="Yes",Projects!$K$5="No",29=Projects!$C$5),Projects!$B$5*Assumptions!$B$47,0)+IF(AND(Projects!$G$6="Yes",Projects!$J$6="Yes",Projects!$K$6="No",29=Projects!$C$6),Projects!$B$6*Assumptions!$B$47,0)+IF(AND(Projects!$G$7="Yes",Projects!$J$7="Yes",Projects!$K$7="No",29=Projects!$C$7),Projects!$B$7*Assumptions!$B$47,0)+IF(AND(Projects!$G$8="Yes",Projects!$J$8="Yes",Projects!$K$8="No",29=Projects!$C$8),Projects!$B$8*Assumptions!$B$47,0)+IF(AND(Projects!$G$9="Yes",Projects!$J$9="Yes",Projects!$K$9="No",29=Projects!$C$9),Projects!$B$9*Assumptions!$B$47,0)+IF(AND(Projects!$G$10="Yes",Projects!$J$10="Yes",Projects!$K$10="No",29=Projects!$C$10),Projects!$B$10*Assumptions!$B$47,0)+IF(AND(Projects!$G$11="Yes",Projects!$J$11="Yes",Projects!$K$11="No",29=Projects!$C$11),Projects!$B$11*Assumptions!$B$47,0)+IF(AND(Projects!$G$12="Yes",Projects!$J$12="Yes",Projects!$K$12="No",29=Projects!$C$12),Projects!$B$12*Assumptions!$B$47,0)+IF(AND(Projects!$G$13="Yes",Projects!$J$13="Yes",Projects!$K$13="No",29=Projects!$C$13),Projects!$B$13*Assumptions!$B$47,0)+IF(AND(Projects!$G$14="Yes",Projects!$J$14="Yes",Projects!$K$14="No",29=Projects!$C$14),Projects!$B$14*Assumptions!$B$47,0)),Actuals!AH107)</f>
        <v>-0</v>
      </c>
      <c r="AH287" s="13" t="n">
        <f aca="false">IF(ISBLANK(Actuals!AI107),-(IF(AND(Projects!$G$2="Yes",Projects!$J$2="Yes",Projects!$K$2="No",30=Projects!$C$2),Projects!$B$2*Assumptions!$B$47,0)+IF(AND(Projects!$G$3="Yes",Projects!$J$3="Yes",Projects!$K$3="No",30=Projects!$C$3),Projects!$B$3*Assumptions!$B$47,0)+IF(AND(Projects!$G$4="Yes",Projects!$J$4="Yes",Projects!$K$4="No",30=Projects!$C$4),Projects!$B$4*Assumptions!$B$47,0)+IF(AND(Projects!$G$5="Yes",Projects!$J$5="Yes",Projects!$K$5="No",30=Projects!$C$5),Projects!$B$5*Assumptions!$B$47,0)+IF(AND(Projects!$G$6="Yes",Projects!$J$6="Yes",Projects!$K$6="No",30=Projects!$C$6),Projects!$B$6*Assumptions!$B$47,0)+IF(AND(Projects!$G$7="Yes",Projects!$J$7="Yes",Projects!$K$7="No",30=Projects!$C$7),Projects!$B$7*Assumptions!$B$47,0)+IF(AND(Projects!$G$8="Yes",Projects!$J$8="Yes",Projects!$K$8="No",30=Projects!$C$8),Projects!$B$8*Assumptions!$B$47,0)+IF(AND(Projects!$G$9="Yes",Projects!$J$9="Yes",Projects!$K$9="No",30=Projects!$C$9),Projects!$B$9*Assumptions!$B$47,0)+IF(AND(Projects!$G$10="Yes",Projects!$J$10="Yes",Projects!$K$10="No",30=Projects!$C$10),Projects!$B$10*Assumptions!$B$47,0)+IF(AND(Projects!$G$11="Yes",Projects!$J$11="Yes",Projects!$K$11="No",30=Projects!$C$11),Projects!$B$11*Assumptions!$B$47,0)+IF(AND(Projects!$G$12="Yes",Projects!$J$12="Yes",Projects!$K$12="No",30=Projects!$C$12),Projects!$B$12*Assumptions!$B$47,0)+IF(AND(Projects!$G$13="Yes",Projects!$J$13="Yes",Projects!$K$13="No",30=Projects!$C$13),Projects!$B$13*Assumptions!$B$47,0)+IF(AND(Projects!$G$14="Yes",Projects!$J$14="Yes",Projects!$K$14="No",30=Projects!$C$14),Projects!$B$14*Assumptions!$B$47,0)),Actuals!AI107)</f>
        <v>-0</v>
      </c>
      <c r="AI287" s="13" t="n">
        <f aca="false">IF(ISBLANK(Actuals!AJ107),-(IF(AND(Projects!$G$2="Yes",Projects!$J$2="Yes",Projects!$K$2="No",31=Projects!$C$2),Projects!$B$2*Assumptions!$B$47,0)+IF(AND(Projects!$G$3="Yes",Projects!$J$3="Yes",Projects!$K$3="No",31=Projects!$C$3),Projects!$B$3*Assumptions!$B$47,0)+IF(AND(Projects!$G$4="Yes",Projects!$J$4="Yes",Projects!$K$4="No",31=Projects!$C$4),Projects!$B$4*Assumptions!$B$47,0)+IF(AND(Projects!$G$5="Yes",Projects!$J$5="Yes",Projects!$K$5="No",31=Projects!$C$5),Projects!$B$5*Assumptions!$B$47,0)+IF(AND(Projects!$G$6="Yes",Projects!$J$6="Yes",Projects!$K$6="No",31=Projects!$C$6),Projects!$B$6*Assumptions!$B$47,0)+IF(AND(Projects!$G$7="Yes",Projects!$J$7="Yes",Projects!$K$7="No",31=Projects!$C$7),Projects!$B$7*Assumptions!$B$47,0)+IF(AND(Projects!$G$8="Yes",Projects!$J$8="Yes",Projects!$K$8="No",31=Projects!$C$8),Projects!$B$8*Assumptions!$B$47,0)+IF(AND(Projects!$G$9="Yes",Projects!$J$9="Yes",Projects!$K$9="No",31=Projects!$C$9),Projects!$B$9*Assumptions!$B$47,0)+IF(AND(Projects!$G$10="Yes",Projects!$J$10="Yes",Projects!$K$10="No",31=Projects!$C$10),Projects!$B$10*Assumptions!$B$47,0)+IF(AND(Projects!$G$11="Yes",Projects!$J$11="Yes",Projects!$K$11="No",31=Projects!$C$11),Projects!$B$11*Assumptions!$B$47,0)+IF(AND(Projects!$G$12="Yes",Projects!$J$12="Yes",Projects!$K$12="No",31=Projects!$C$12),Projects!$B$12*Assumptions!$B$47,0)+IF(AND(Projects!$G$13="Yes",Projects!$J$13="Yes",Projects!$K$13="No",31=Projects!$C$13),Projects!$B$13*Assumptions!$B$47,0)+IF(AND(Projects!$G$14="Yes",Projects!$J$14="Yes",Projects!$K$14="No",31=Projects!$C$14),Projects!$B$14*Assumptions!$B$47,0)),Actuals!AJ107)</f>
        <v>-0</v>
      </c>
      <c r="AJ287" s="13" t="n">
        <f aca="false">IF(ISBLANK(Actuals!AK107),-(IF(AND(Projects!$G$2="Yes",Projects!$J$2="Yes",Projects!$K$2="No",32=Projects!$C$2),Projects!$B$2*Assumptions!$B$47,0)+IF(AND(Projects!$G$3="Yes",Projects!$J$3="Yes",Projects!$K$3="No",32=Projects!$C$3),Projects!$B$3*Assumptions!$B$47,0)+IF(AND(Projects!$G$4="Yes",Projects!$J$4="Yes",Projects!$K$4="No",32=Projects!$C$4),Projects!$B$4*Assumptions!$B$47,0)+IF(AND(Projects!$G$5="Yes",Projects!$J$5="Yes",Projects!$K$5="No",32=Projects!$C$5),Projects!$B$5*Assumptions!$B$47,0)+IF(AND(Projects!$G$6="Yes",Projects!$J$6="Yes",Projects!$K$6="No",32=Projects!$C$6),Projects!$B$6*Assumptions!$B$47,0)+IF(AND(Projects!$G$7="Yes",Projects!$J$7="Yes",Projects!$K$7="No",32=Projects!$C$7),Projects!$B$7*Assumptions!$B$47,0)+IF(AND(Projects!$G$8="Yes",Projects!$J$8="Yes",Projects!$K$8="No",32=Projects!$C$8),Projects!$B$8*Assumptions!$B$47,0)+IF(AND(Projects!$G$9="Yes",Projects!$J$9="Yes",Projects!$K$9="No",32=Projects!$C$9),Projects!$B$9*Assumptions!$B$47,0)+IF(AND(Projects!$G$10="Yes",Projects!$J$10="Yes",Projects!$K$10="No",32=Projects!$C$10),Projects!$B$10*Assumptions!$B$47,0)+IF(AND(Projects!$G$11="Yes",Projects!$J$11="Yes",Projects!$K$11="No",32=Projects!$C$11),Projects!$B$11*Assumptions!$B$47,0)+IF(AND(Projects!$G$12="Yes",Projects!$J$12="Yes",Projects!$K$12="No",32=Projects!$C$12),Projects!$B$12*Assumptions!$B$47,0)+IF(AND(Projects!$G$13="Yes",Projects!$J$13="Yes",Projects!$K$13="No",32=Projects!$C$13),Projects!$B$13*Assumptions!$B$47,0)+IF(AND(Projects!$G$14="Yes",Projects!$J$14="Yes",Projects!$K$14="No",32=Projects!$C$14),Projects!$B$14*Assumptions!$B$47,0)),Actuals!AK107)</f>
        <v>-0</v>
      </c>
      <c r="AK287" s="13" t="n">
        <f aca="false">IF(ISBLANK(Actuals!AL107),-(IF(AND(Projects!$G$2="Yes",Projects!$J$2="Yes",Projects!$K$2="No",33=Projects!$C$2),Projects!$B$2*Assumptions!$B$47,0)+IF(AND(Projects!$G$3="Yes",Projects!$J$3="Yes",Projects!$K$3="No",33=Projects!$C$3),Projects!$B$3*Assumptions!$B$47,0)+IF(AND(Projects!$G$4="Yes",Projects!$J$4="Yes",Projects!$K$4="No",33=Projects!$C$4),Projects!$B$4*Assumptions!$B$47,0)+IF(AND(Projects!$G$5="Yes",Projects!$J$5="Yes",Projects!$K$5="No",33=Projects!$C$5),Projects!$B$5*Assumptions!$B$47,0)+IF(AND(Projects!$G$6="Yes",Projects!$J$6="Yes",Projects!$K$6="No",33=Projects!$C$6),Projects!$B$6*Assumptions!$B$47,0)+IF(AND(Projects!$G$7="Yes",Projects!$J$7="Yes",Projects!$K$7="No",33=Projects!$C$7),Projects!$B$7*Assumptions!$B$47,0)+IF(AND(Projects!$G$8="Yes",Projects!$J$8="Yes",Projects!$K$8="No",33=Projects!$C$8),Projects!$B$8*Assumptions!$B$47,0)+IF(AND(Projects!$G$9="Yes",Projects!$J$9="Yes",Projects!$K$9="No",33=Projects!$C$9),Projects!$B$9*Assumptions!$B$47,0)+IF(AND(Projects!$G$10="Yes",Projects!$J$10="Yes",Projects!$K$10="No",33=Projects!$C$10),Projects!$B$10*Assumptions!$B$47,0)+IF(AND(Projects!$G$11="Yes",Projects!$J$11="Yes",Projects!$K$11="No",33=Projects!$C$11),Projects!$B$11*Assumptions!$B$47,0)+IF(AND(Projects!$G$12="Yes",Projects!$J$12="Yes",Projects!$K$12="No",33=Projects!$C$12),Projects!$B$12*Assumptions!$B$47,0)+IF(AND(Projects!$G$13="Yes",Projects!$J$13="Yes",Projects!$K$13="No",33=Projects!$C$13),Projects!$B$13*Assumptions!$B$47,0)+IF(AND(Projects!$G$14="Yes",Projects!$J$14="Yes",Projects!$K$14="No",33=Projects!$C$14),Projects!$B$14*Assumptions!$B$47,0)),Actuals!AL107)</f>
        <v>-0</v>
      </c>
      <c r="AL287" s="13" t="n">
        <f aca="false">IF(ISBLANK(Actuals!AM107),-(IF(AND(Projects!$G$2="Yes",Projects!$J$2="Yes",Projects!$K$2="No",34=Projects!$C$2),Projects!$B$2*Assumptions!$B$47,0)+IF(AND(Projects!$G$3="Yes",Projects!$J$3="Yes",Projects!$K$3="No",34=Projects!$C$3),Projects!$B$3*Assumptions!$B$47,0)+IF(AND(Projects!$G$4="Yes",Projects!$J$4="Yes",Projects!$K$4="No",34=Projects!$C$4),Projects!$B$4*Assumptions!$B$47,0)+IF(AND(Projects!$G$5="Yes",Projects!$J$5="Yes",Projects!$K$5="No",34=Projects!$C$5),Projects!$B$5*Assumptions!$B$47,0)+IF(AND(Projects!$G$6="Yes",Projects!$J$6="Yes",Projects!$K$6="No",34=Projects!$C$6),Projects!$B$6*Assumptions!$B$47,0)+IF(AND(Projects!$G$7="Yes",Projects!$J$7="Yes",Projects!$K$7="No",34=Projects!$C$7),Projects!$B$7*Assumptions!$B$47,0)+IF(AND(Projects!$G$8="Yes",Projects!$J$8="Yes",Projects!$K$8="No",34=Projects!$C$8),Projects!$B$8*Assumptions!$B$47,0)+IF(AND(Projects!$G$9="Yes",Projects!$J$9="Yes",Projects!$K$9="No",34=Projects!$C$9),Projects!$B$9*Assumptions!$B$47,0)+IF(AND(Projects!$G$10="Yes",Projects!$J$10="Yes",Projects!$K$10="No",34=Projects!$C$10),Projects!$B$10*Assumptions!$B$47,0)+IF(AND(Projects!$G$11="Yes",Projects!$J$11="Yes",Projects!$K$11="No",34=Projects!$C$11),Projects!$B$11*Assumptions!$B$47,0)+IF(AND(Projects!$G$12="Yes",Projects!$J$12="Yes",Projects!$K$12="No",34=Projects!$C$12),Projects!$B$12*Assumptions!$B$47,0)+IF(AND(Projects!$G$13="Yes",Projects!$J$13="Yes",Projects!$K$13="No",34=Projects!$C$13),Projects!$B$13*Assumptions!$B$47,0)+IF(AND(Projects!$G$14="Yes",Projects!$J$14="Yes",Projects!$K$14="No",34=Projects!$C$14),Projects!$B$14*Assumptions!$B$47,0)),Actuals!AM107)</f>
        <v>-0</v>
      </c>
      <c r="AM287" s="13" t="n">
        <f aca="false">IF(ISBLANK(Actuals!AN107),-(IF(AND(Projects!$G$2="Yes",Projects!$J$2="Yes",Projects!$K$2="No",35=Projects!$C$2),Projects!$B$2*Assumptions!$B$47,0)+IF(AND(Projects!$G$3="Yes",Projects!$J$3="Yes",Projects!$K$3="No",35=Projects!$C$3),Projects!$B$3*Assumptions!$B$47,0)+IF(AND(Projects!$G$4="Yes",Projects!$J$4="Yes",Projects!$K$4="No",35=Projects!$C$4),Projects!$B$4*Assumptions!$B$47,0)+IF(AND(Projects!$G$5="Yes",Projects!$J$5="Yes",Projects!$K$5="No",35=Projects!$C$5),Projects!$B$5*Assumptions!$B$47,0)+IF(AND(Projects!$G$6="Yes",Projects!$J$6="Yes",Projects!$K$6="No",35=Projects!$C$6),Projects!$B$6*Assumptions!$B$47,0)+IF(AND(Projects!$G$7="Yes",Projects!$J$7="Yes",Projects!$K$7="No",35=Projects!$C$7),Projects!$B$7*Assumptions!$B$47,0)+IF(AND(Projects!$G$8="Yes",Projects!$J$8="Yes",Projects!$K$8="No",35=Projects!$C$8),Projects!$B$8*Assumptions!$B$47,0)+IF(AND(Projects!$G$9="Yes",Projects!$J$9="Yes",Projects!$K$9="No",35=Projects!$C$9),Projects!$B$9*Assumptions!$B$47,0)+IF(AND(Projects!$G$10="Yes",Projects!$J$10="Yes",Projects!$K$10="No",35=Projects!$C$10),Projects!$B$10*Assumptions!$B$47,0)+IF(AND(Projects!$G$11="Yes",Projects!$J$11="Yes",Projects!$K$11="No",35=Projects!$C$11),Projects!$B$11*Assumptions!$B$47,0)+IF(AND(Projects!$G$12="Yes",Projects!$J$12="Yes",Projects!$K$12="No",35=Projects!$C$12),Projects!$B$12*Assumptions!$B$47,0)+IF(AND(Projects!$G$13="Yes",Projects!$J$13="Yes",Projects!$K$13="No",35=Projects!$C$13),Projects!$B$13*Assumptions!$B$47,0)+IF(AND(Projects!$G$14="Yes",Projects!$J$14="Yes",Projects!$K$14="No",35=Projects!$C$14),Projects!$B$14*Assumptions!$B$47,0)),Actuals!AN107)</f>
        <v>-0</v>
      </c>
      <c r="AN287" s="13" t="n">
        <f aca="false">IF(ISBLANK(Actuals!AO107),-(IF(AND(Projects!$G$2="Yes",Projects!$J$2="Yes",Projects!$K$2="No",36=Projects!$C$2),Projects!$B$2*Assumptions!$B$47,0)+IF(AND(Projects!$G$3="Yes",Projects!$J$3="Yes",Projects!$K$3="No",36=Projects!$C$3),Projects!$B$3*Assumptions!$B$47,0)+IF(AND(Projects!$G$4="Yes",Projects!$J$4="Yes",Projects!$K$4="No",36=Projects!$C$4),Projects!$B$4*Assumptions!$B$47,0)+IF(AND(Projects!$G$5="Yes",Projects!$J$5="Yes",Projects!$K$5="No",36=Projects!$C$5),Projects!$B$5*Assumptions!$B$47,0)+IF(AND(Projects!$G$6="Yes",Projects!$J$6="Yes",Projects!$K$6="No",36=Projects!$C$6),Projects!$B$6*Assumptions!$B$47,0)+IF(AND(Projects!$G$7="Yes",Projects!$J$7="Yes",Projects!$K$7="No",36=Projects!$C$7),Projects!$B$7*Assumptions!$B$47,0)+IF(AND(Projects!$G$8="Yes",Projects!$J$8="Yes",Projects!$K$8="No",36=Projects!$C$8),Projects!$B$8*Assumptions!$B$47,0)+IF(AND(Projects!$G$9="Yes",Projects!$J$9="Yes",Projects!$K$9="No",36=Projects!$C$9),Projects!$B$9*Assumptions!$B$47,0)+IF(AND(Projects!$G$10="Yes",Projects!$J$10="Yes",Projects!$K$10="No",36=Projects!$C$10),Projects!$B$10*Assumptions!$B$47,0)+IF(AND(Projects!$G$11="Yes",Projects!$J$11="Yes",Projects!$K$11="No",36=Projects!$C$11),Projects!$B$11*Assumptions!$B$47,0)+IF(AND(Projects!$G$12="Yes",Projects!$J$12="Yes",Projects!$K$12="No",36=Projects!$C$12),Projects!$B$12*Assumptions!$B$47,0)+IF(AND(Projects!$G$13="Yes",Projects!$J$13="Yes",Projects!$K$13="No",36=Projects!$C$13),Projects!$B$13*Assumptions!$B$47,0)+IF(AND(Projects!$G$14="Yes",Projects!$J$14="Yes",Projects!$K$14="No",36=Projects!$C$14),Projects!$B$14*Assumptions!$B$47,0)),Actuals!AO107)</f>
        <v>-0</v>
      </c>
      <c r="AO287" s="13" t="n">
        <f aca="false">IF(ISBLANK(Actuals!AP107),-(IF(AND(Projects!$G$2="Yes",Projects!$J$2="Yes",Projects!$K$2="No",37=Projects!$C$2),Projects!$B$2*Assumptions!$B$47,0)+IF(AND(Projects!$G$3="Yes",Projects!$J$3="Yes",Projects!$K$3="No",37=Projects!$C$3),Projects!$B$3*Assumptions!$B$47,0)+IF(AND(Projects!$G$4="Yes",Projects!$J$4="Yes",Projects!$K$4="No",37=Projects!$C$4),Projects!$B$4*Assumptions!$B$47,0)+IF(AND(Projects!$G$5="Yes",Projects!$J$5="Yes",Projects!$K$5="No",37=Projects!$C$5),Projects!$B$5*Assumptions!$B$47,0)+IF(AND(Projects!$G$6="Yes",Projects!$J$6="Yes",Projects!$K$6="No",37=Projects!$C$6),Projects!$B$6*Assumptions!$B$47,0)+IF(AND(Projects!$G$7="Yes",Projects!$J$7="Yes",Projects!$K$7="No",37=Projects!$C$7),Projects!$B$7*Assumptions!$B$47,0)+IF(AND(Projects!$G$8="Yes",Projects!$J$8="Yes",Projects!$K$8="No",37=Projects!$C$8),Projects!$B$8*Assumptions!$B$47,0)+IF(AND(Projects!$G$9="Yes",Projects!$J$9="Yes",Projects!$K$9="No",37=Projects!$C$9),Projects!$B$9*Assumptions!$B$47,0)+IF(AND(Projects!$G$10="Yes",Projects!$J$10="Yes",Projects!$K$10="No",37=Projects!$C$10),Projects!$B$10*Assumptions!$B$47,0)+IF(AND(Projects!$G$11="Yes",Projects!$J$11="Yes",Projects!$K$11="No",37=Projects!$C$11),Projects!$B$11*Assumptions!$B$47,0)+IF(AND(Projects!$G$12="Yes",Projects!$J$12="Yes",Projects!$K$12="No",37=Projects!$C$12),Projects!$B$12*Assumptions!$B$47,0)+IF(AND(Projects!$G$13="Yes",Projects!$J$13="Yes",Projects!$K$13="No",37=Projects!$C$13),Projects!$B$13*Assumptions!$B$47,0)+IF(AND(Projects!$G$14="Yes",Projects!$J$14="Yes",Projects!$K$14="No",37=Projects!$C$14),Projects!$B$14*Assumptions!$B$47,0)),Actuals!AP107)</f>
        <v>-0</v>
      </c>
      <c r="AP287" s="13" t="n">
        <f aca="false">IF(ISBLANK(Actuals!AQ107),-(IF(AND(Projects!$G$2="Yes",Projects!$J$2="Yes",Projects!$K$2="No",38=Projects!$C$2),Projects!$B$2*Assumptions!$B$47,0)+IF(AND(Projects!$G$3="Yes",Projects!$J$3="Yes",Projects!$K$3="No",38=Projects!$C$3),Projects!$B$3*Assumptions!$B$47,0)+IF(AND(Projects!$G$4="Yes",Projects!$J$4="Yes",Projects!$K$4="No",38=Projects!$C$4),Projects!$B$4*Assumptions!$B$47,0)+IF(AND(Projects!$G$5="Yes",Projects!$J$5="Yes",Projects!$K$5="No",38=Projects!$C$5),Projects!$B$5*Assumptions!$B$47,0)+IF(AND(Projects!$G$6="Yes",Projects!$J$6="Yes",Projects!$K$6="No",38=Projects!$C$6),Projects!$B$6*Assumptions!$B$47,0)+IF(AND(Projects!$G$7="Yes",Projects!$J$7="Yes",Projects!$K$7="No",38=Projects!$C$7),Projects!$B$7*Assumptions!$B$47,0)+IF(AND(Projects!$G$8="Yes",Projects!$J$8="Yes",Projects!$K$8="No",38=Projects!$C$8),Projects!$B$8*Assumptions!$B$47,0)+IF(AND(Projects!$G$9="Yes",Projects!$J$9="Yes",Projects!$K$9="No",38=Projects!$C$9),Projects!$B$9*Assumptions!$B$47,0)+IF(AND(Projects!$G$10="Yes",Projects!$J$10="Yes",Projects!$K$10="No",38=Projects!$C$10),Projects!$B$10*Assumptions!$B$47,0)+IF(AND(Projects!$G$11="Yes",Projects!$J$11="Yes",Projects!$K$11="No",38=Projects!$C$11),Projects!$B$11*Assumptions!$B$47,0)+IF(AND(Projects!$G$12="Yes",Projects!$J$12="Yes",Projects!$K$12="No",38=Projects!$C$12),Projects!$B$12*Assumptions!$B$47,0)+IF(AND(Projects!$G$13="Yes",Projects!$J$13="Yes",Projects!$K$13="No",38=Projects!$C$13),Projects!$B$13*Assumptions!$B$47,0)+IF(AND(Projects!$G$14="Yes",Projects!$J$14="Yes",Projects!$K$14="No",38=Projects!$C$14),Projects!$B$14*Assumptions!$B$47,0)),Actuals!AQ107)</f>
        <v>-0</v>
      </c>
      <c r="AQ287" s="13" t="n">
        <f aca="false">IF(ISBLANK(Actuals!AR107),-(IF(AND(Projects!$G$2="Yes",Projects!$J$2="Yes",Projects!$K$2="No",39=Projects!$C$2),Projects!$B$2*Assumptions!$B$47,0)+IF(AND(Projects!$G$3="Yes",Projects!$J$3="Yes",Projects!$K$3="No",39=Projects!$C$3),Projects!$B$3*Assumptions!$B$47,0)+IF(AND(Projects!$G$4="Yes",Projects!$J$4="Yes",Projects!$K$4="No",39=Projects!$C$4),Projects!$B$4*Assumptions!$B$47,0)+IF(AND(Projects!$G$5="Yes",Projects!$J$5="Yes",Projects!$K$5="No",39=Projects!$C$5),Projects!$B$5*Assumptions!$B$47,0)+IF(AND(Projects!$G$6="Yes",Projects!$J$6="Yes",Projects!$K$6="No",39=Projects!$C$6),Projects!$B$6*Assumptions!$B$47,0)+IF(AND(Projects!$G$7="Yes",Projects!$J$7="Yes",Projects!$K$7="No",39=Projects!$C$7),Projects!$B$7*Assumptions!$B$47,0)+IF(AND(Projects!$G$8="Yes",Projects!$J$8="Yes",Projects!$K$8="No",39=Projects!$C$8),Projects!$B$8*Assumptions!$B$47,0)+IF(AND(Projects!$G$9="Yes",Projects!$J$9="Yes",Projects!$K$9="No",39=Projects!$C$9),Projects!$B$9*Assumptions!$B$47,0)+IF(AND(Projects!$G$10="Yes",Projects!$J$10="Yes",Projects!$K$10="No",39=Projects!$C$10),Projects!$B$10*Assumptions!$B$47,0)+IF(AND(Projects!$G$11="Yes",Projects!$J$11="Yes",Projects!$K$11="No",39=Projects!$C$11),Projects!$B$11*Assumptions!$B$47,0)+IF(AND(Projects!$G$12="Yes",Projects!$J$12="Yes",Projects!$K$12="No",39=Projects!$C$12),Projects!$B$12*Assumptions!$B$47,0)+IF(AND(Projects!$G$13="Yes",Projects!$J$13="Yes",Projects!$K$13="No",39=Projects!$C$13),Projects!$B$13*Assumptions!$B$47,0)+IF(AND(Projects!$G$14="Yes",Projects!$J$14="Yes",Projects!$K$14="No",39=Projects!$C$14),Projects!$B$14*Assumptions!$B$47,0)),Actuals!AR107)</f>
        <v>-0</v>
      </c>
      <c r="AR287" s="13" t="n">
        <f aca="false">IF(ISBLANK(Actuals!AS107),-(IF(AND(Projects!$G$2="Yes",Projects!$J$2="Yes",Projects!$K$2="No",40=Projects!$C$2),Projects!$B$2*Assumptions!$B$47,0)+IF(AND(Projects!$G$3="Yes",Projects!$J$3="Yes",Projects!$K$3="No",40=Projects!$C$3),Projects!$B$3*Assumptions!$B$47,0)+IF(AND(Projects!$G$4="Yes",Projects!$J$4="Yes",Projects!$K$4="No",40=Projects!$C$4),Projects!$B$4*Assumptions!$B$47,0)+IF(AND(Projects!$G$5="Yes",Projects!$J$5="Yes",Projects!$K$5="No",40=Projects!$C$5),Projects!$B$5*Assumptions!$B$47,0)+IF(AND(Projects!$G$6="Yes",Projects!$J$6="Yes",Projects!$K$6="No",40=Projects!$C$6),Projects!$B$6*Assumptions!$B$47,0)+IF(AND(Projects!$G$7="Yes",Projects!$J$7="Yes",Projects!$K$7="No",40=Projects!$C$7),Projects!$B$7*Assumptions!$B$47,0)+IF(AND(Projects!$G$8="Yes",Projects!$J$8="Yes",Projects!$K$8="No",40=Projects!$C$8),Projects!$B$8*Assumptions!$B$47,0)+IF(AND(Projects!$G$9="Yes",Projects!$J$9="Yes",Projects!$K$9="No",40=Projects!$C$9),Projects!$B$9*Assumptions!$B$47,0)+IF(AND(Projects!$G$10="Yes",Projects!$J$10="Yes",Projects!$K$10="No",40=Projects!$C$10),Projects!$B$10*Assumptions!$B$47,0)+IF(AND(Projects!$G$11="Yes",Projects!$J$11="Yes",Projects!$K$11="No",40=Projects!$C$11),Projects!$B$11*Assumptions!$B$47,0)+IF(AND(Projects!$G$12="Yes",Projects!$J$12="Yes",Projects!$K$12="No",40=Projects!$C$12),Projects!$B$12*Assumptions!$B$47,0)+IF(AND(Projects!$G$13="Yes",Projects!$J$13="Yes",Projects!$K$13="No",40=Projects!$C$13),Projects!$B$13*Assumptions!$B$47,0)+IF(AND(Projects!$G$14="Yes",Projects!$J$14="Yes",Projects!$K$14="No",40=Projects!$C$14),Projects!$B$14*Assumptions!$B$47,0)),Actuals!AS107)</f>
        <v>-0</v>
      </c>
      <c r="AS287" s="13" t="n">
        <f aca="false">IF(ISBLANK(Actuals!AT107),-(IF(AND(Projects!$G$2="Yes",Projects!$J$2="Yes",Projects!$K$2="No",41=Projects!$C$2),Projects!$B$2*Assumptions!$B$47,0)+IF(AND(Projects!$G$3="Yes",Projects!$J$3="Yes",Projects!$K$3="No",41=Projects!$C$3),Projects!$B$3*Assumptions!$B$47,0)+IF(AND(Projects!$G$4="Yes",Projects!$J$4="Yes",Projects!$K$4="No",41=Projects!$C$4),Projects!$B$4*Assumptions!$B$47,0)+IF(AND(Projects!$G$5="Yes",Projects!$J$5="Yes",Projects!$K$5="No",41=Projects!$C$5),Projects!$B$5*Assumptions!$B$47,0)+IF(AND(Projects!$G$6="Yes",Projects!$J$6="Yes",Projects!$K$6="No",41=Projects!$C$6),Projects!$B$6*Assumptions!$B$47,0)+IF(AND(Projects!$G$7="Yes",Projects!$J$7="Yes",Projects!$K$7="No",41=Projects!$C$7),Projects!$B$7*Assumptions!$B$47,0)+IF(AND(Projects!$G$8="Yes",Projects!$J$8="Yes",Projects!$K$8="No",41=Projects!$C$8),Projects!$B$8*Assumptions!$B$47,0)+IF(AND(Projects!$G$9="Yes",Projects!$J$9="Yes",Projects!$K$9="No",41=Projects!$C$9),Projects!$B$9*Assumptions!$B$47,0)+IF(AND(Projects!$G$10="Yes",Projects!$J$10="Yes",Projects!$K$10="No",41=Projects!$C$10),Projects!$B$10*Assumptions!$B$47,0)+IF(AND(Projects!$G$11="Yes",Projects!$J$11="Yes",Projects!$K$11="No",41=Projects!$C$11),Projects!$B$11*Assumptions!$B$47,0)+IF(AND(Projects!$G$12="Yes",Projects!$J$12="Yes",Projects!$K$12="No",41=Projects!$C$12),Projects!$B$12*Assumptions!$B$47,0)+IF(AND(Projects!$G$13="Yes",Projects!$J$13="Yes",Projects!$K$13="No",41=Projects!$C$13),Projects!$B$13*Assumptions!$B$47,0)+IF(AND(Projects!$G$14="Yes",Projects!$J$14="Yes",Projects!$K$14="No",41=Projects!$C$14),Projects!$B$14*Assumptions!$B$47,0)),Actuals!AT107)</f>
        <v>-0</v>
      </c>
      <c r="AT287" s="13" t="n">
        <f aca="false">IF(ISBLANK(Actuals!AU107),-(IF(AND(Projects!$G$2="Yes",Projects!$J$2="Yes",Projects!$K$2="No",42=Projects!$C$2),Projects!$B$2*Assumptions!$B$47,0)+IF(AND(Projects!$G$3="Yes",Projects!$J$3="Yes",Projects!$K$3="No",42=Projects!$C$3),Projects!$B$3*Assumptions!$B$47,0)+IF(AND(Projects!$G$4="Yes",Projects!$J$4="Yes",Projects!$K$4="No",42=Projects!$C$4),Projects!$B$4*Assumptions!$B$47,0)+IF(AND(Projects!$G$5="Yes",Projects!$J$5="Yes",Projects!$K$5="No",42=Projects!$C$5),Projects!$B$5*Assumptions!$B$47,0)+IF(AND(Projects!$G$6="Yes",Projects!$J$6="Yes",Projects!$K$6="No",42=Projects!$C$6),Projects!$B$6*Assumptions!$B$47,0)+IF(AND(Projects!$G$7="Yes",Projects!$J$7="Yes",Projects!$K$7="No",42=Projects!$C$7),Projects!$B$7*Assumptions!$B$47,0)+IF(AND(Projects!$G$8="Yes",Projects!$J$8="Yes",Projects!$K$8="No",42=Projects!$C$8),Projects!$B$8*Assumptions!$B$47,0)+IF(AND(Projects!$G$9="Yes",Projects!$J$9="Yes",Projects!$K$9="No",42=Projects!$C$9),Projects!$B$9*Assumptions!$B$47,0)+IF(AND(Projects!$G$10="Yes",Projects!$J$10="Yes",Projects!$K$10="No",42=Projects!$C$10),Projects!$B$10*Assumptions!$B$47,0)+IF(AND(Projects!$G$11="Yes",Projects!$J$11="Yes",Projects!$K$11="No",42=Projects!$C$11),Projects!$B$11*Assumptions!$B$47,0)+IF(AND(Projects!$G$12="Yes",Projects!$J$12="Yes",Projects!$K$12="No",42=Projects!$C$12),Projects!$B$12*Assumptions!$B$47,0)+IF(AND(Projects!$G$13="Yes",Projects!$J$13="Yes",Projects!$K$13="No",42=Projects!$C$13),Projects!$B$13*Assumptions!$B$47,0)+IF(AND(Projects!$G$14="Yes",Projects!$J$14="Yes",Projects!$K$14="No",42=Projects!$C$14),Projects!$B$14*Assumptions!$B$47,0)),Actuals!AU107)</f>
        <v>-0</v>
      </c>
      <c r="AU287" s="13" t="n">
        <f aca="false">IF(ISBLANK(Actuals!AV107),-(IF(AND(Projects!$G$2="Yes",Projects!$J$2="Yes",Projects!$K$2="No",43=Projects!$C$2),Projects!$B$2*Assumptions!$B$47,0)+IF(AND(Projects!$G$3="Yes",Projects!$J$3="Yes",Projects!$K$3="No",43=Projects!$C$3),Projects!$B$3*Assumptions!$B$47,0)+IF(AND(Projects!$G$4="Yes",Projects!$J$4="Yes",Projects!$K$4="No",43=Projects!$C$4),Projects!$B$4*Assumptions!$B$47,0)+IF(AND(Projects!$G$5="Yes",Projects!$J$5="Yes",Projects!$K$5="No",43=Projects!$C$5),Projects!$B$5*Assumptions!$B$47,0)+IF(AND(Projects!$G$6="Yes",Projects!$J$6="Yes",Projects!$K$6="No",43=Projects!$C$6),Projects!$B$6*Assumptions!$B$47,0)+IF(AND(Projects!$G$7="Yes",Projects!$J$7="Yes",Projects!$K$7="No",43=Projects!$C$7),Projects!$B$7*Assumptions!$B$47,0)+IF(AND(Projects!$G$8="Yes",Projects!$J$8="Yes",Projects!$K$8="No",43=Projects!$C$8),Projects!$B$8*Assumptions!$B$47,0)+IF(AND(Projects!$G$9="Yes",Projects!$J$9="Yes",Projects!$K$9="No",43=Projects!$C$9),Projects!$B$9*Assumptions!$B$47,0)+IF(AND(Projects!$G$10="Yes",Projects!$J$10="Yes",Projects!$K$10="No",43=Projects!$C$10),Projects!$B$10*Assumptions!$B$47,0)+IF(AND(Projects!$G$11="Yes",Projects!$J$11="Yes",Projects!$K$11="No",43=Projects!$C$11),Projects!$B$11*Assumptions!$B$47,0)+IF(AND(Projects!$G$12="Yes",Projects!$J$12="Yes",Projects!$K$12="No",43=Projects!$C$12),Projects!$B$12*Assumptions!$B$47,0)+IF(AND(Projects!$G$13="Yes",Projects!$J$13="Yes",Projects!$K$13="No",43=Projects!$C$13),Projects!$B$13*Assumptions!$B$47,0)+IF(AND(Projects!$G$14="Yes",Projects!$J$14="Yes",Projects!$K$14="No",43=Projects!$C$14),Projects!$B$14*Assumptions!$B$47,0)),Actuals!AV107)</f>
        <v>-0</v>
      </c>
      <c r="AV287" s="13" t="n">
        <f aca="false">IF(ISBLANK(Actuals!AW107),-(IF(AND(Projects!$G$2="Yes",Projects!$J$2="Yes",Projects!$K$2="No",44=Projects!$C$2),Projects!$B$2*Assumptions!$B$47,0)+IF(AND(Projects!$G$3="Yes",Projects!$J$3="Yes",Projects!$K$3="No",44=Projects!$C$3),Projects!$B$3*Assumptions!$B$47,0)+IF(AND(Projects!$G$4="Yes",Projects!$J$4="Yes",Projects!$K$4="No",44=Projects!$C$4),Projects!$B$4*Assumptions!$B$47,0)+IF(AND(Projects!$G$5="Yes",Projects!$J$5="Yes",Projects!$K$5="No",44=Projects!$C$5),Projects!$B$5*Assumptions!$B$47,0)+IF(AND(Projects!$G$6="Yes",Projects!$J$6="Yes",Projects!$K$6="No",44=Projects!$C$6),Projects!$B$6*Assumptions!$B$47,0)+IF(AND(Projects!$G$7="Yes",Projects!$J$7="Yes",Projects!$K$7="No",44=Projects!$C$7),Projects!$B$7*Assumptions!$B$47,0)+IF(AND(Projects!$G$8="Yes",Projects!$J$8="Yes",Projects!$K$8="No",44=Projects!$C$8),Projects!$B$8*Assumptions!$B$47,0)+IF(AND(Projects!$G$9="Yes",Projects!$J$9="Yes",Projects!$K$9="No",44=Projects!$C$9),Projects!$B$9*Assumptions!$B$47,0)+IF(AND(Projects!$G$10="Yes",Projects!$J$10="Yes",Projects!$K$10="No",44=Projects!$C$10),Projects!$B$10*Assumptions!$B$47,0)+IF(AND(Projects!$G$11="Yes",Projects!$J$11="Yes",Projects!$K$11="No",44=Projects!$C$11),Projects!$B$11*Assumptions!$B$47,0)+IF(AND(Projects!$G$12="Yes",Projects!$J$12="Yes",Projects!$K$12="No",44=Projects!$C$12),Projects!$B$12*Assumptions!$B$47,0)+IF(AND(Projects!$G$13="Yes",Projects!$J$13="Yes",Projects!$K$13="No",44=Projects!$C$13),Projects!$B$13*Assumptions!$B$47,0)+IF(AND(Projects!$G$14="Yes",Projects!$J$14="Yes",Projects!$K$14="No",44=Projects!$C$14),Projects!$B$14*Assumptions!$B$47,0)),Actuals!AW107)</f>
        <v>-0</v>
      </c>
      <c r="AW287" s="13" t="n">
        <f aca="false">IF(ISBLANK(Actuals!AX107),-(IF(AND(Projects!$G$2="Yes",Projects!$J$2="Yes",Projects!$K$2="No",45=Projects!$C$2),Projects!$B$2*Assumptions!$B$47,0)+IF(AND(Projects!$G$3="Yes",Projects!$J$3="Yes",Projects!$K$3="No",45=Projects!$C$3),Projects!$B$3*Assumptions!$B$47,0)+IF(AND(Projects!$G$4="Yes",Projects!$J$4="Yes",Projects!$K$4="No",45=Projects!$C$4),Projects!$B$4*Assumptions!$B$47,0)+IF(AND(Projects!$G$5="Yes",Projects!$J$5="Yes",Projects!$K$5="No",45=Projects!$C$5),Projects!$B$5*Assumptions!$B$47,0)+IF(AND(Projects!$G$6="Yes",Projects!$J$6="Yes",Projects!$K$6="No",45=Projects!$C$6),Projects!$B$6*Assumptions!$B$47,0)+IF(AND(Projects!$G$7="Yes",Projects!$J$7="Yes",Projects!$K$7="No",45=Projects!$C$7),Projects!$B$7*Assumptions!$B$47,0)+IF(AND(Projects!$G$8="Yes",Projects!$J$8="Yes",Projects!$K$8="No",45=Projects!$C$8),Projects!$B$8*Assumptions!$B$47,0)+IF(AND(Projects!$G$9="Yes",Projects!$J$9="Yes",Projects!$K$9="No",45=Projects!$C$9),Projects!$B$9*Assumptions!$B$47,0)+IF(AND(Projects!$G$10="Yes",Projects!$J$10="Yes",Projects!$K$10="No",45=Projects!$C$10),Projects!$B$10*Assumptions!$B$47,0)+IF(AND(Projects!$G$11="Yes",Projects!$J$11="Yes",Projects!$K$11="No",45=Projects!$C$11),Projects!$B$11*Assumptions!$B$47,0)+IF(AND(Projects!$G$12="Yes",Projects!$J$12="Yes",Projects!$K$12="No",45=Projects!$C$12),Projects!$B$12*Assumptions!$B$47,0)+IF(AND(Projects!$G$13="Yes",Projects!$J$13="Yes",Projects!$K$13="No",45=Projects!$C$13),Projects!$B$13*Assumptions!$B$47,0)+IF(AND(Projects!$G$14="Yes",Projects!$J$14="Yes",Projects!$K$14="No",45=Projects!$C$14),Projects!$B$14*Assumptions!$B$47,0)),Actuals!AX107)</f>
        <v>-0</v>
      </c>
      <c r="AX287" s="13" t="n">
        <f aca="false">IF(ISBLANK(Actuals!AY107),-(IF(AND(Projects!$G$2="Yes",Projects!$J$2="Yes",Projects!$K$2="No",46=Projects!$C$2),Projects!$B$2*Assumptions!$B$47,0)+IF(AND(Projects!$G$3="Yes",Projects!$J$3="Yes",Projects!$K$3="No",46=Projects!$C$3),Projects!$B$3*Assumptions!$B$47,0)+IF(AND(Projects!$G$4="Yes",Projects!$J$4="Yes",Projects!$K$4="No",46=Projects!$C$4),Projects!$B$4*Assumptions!$B$47,0)+IF(AND(Projects!$G$5="Yes",Projects!$J$5="Yes",Projects!$K$5="No",46=Projects!$C$5),Projects!$B$5*Assumptions!$B$47,0)+IF(AND(Projects!$G$6="Yes",Projects!$J$6="Yes",Projects!$K$6="No",46=Projects!$C$6),Projects!$B$6*Assumptions!$B$47,0)+IF(AND(Projects!$G$7="Yes",Projects!$J$7="Yes",Projects!$K$7="No",46=Projects!$C$7),Projects!$B$7*Assumptions!$B$47,0)+IF(AND(Projects!$G$8="Yes",Projects!$J$8="Yes",Projects!$K$8="No",46=Projects!$C$8),Projects!$B$8*Assumptions!$B$47,0)+IF(AND(Projects!$G$9="Yes",Projects!$J$9="Yes",Projects!$K$9="No",46=Projects!$C$9),Projects!$B$9*Assumptions!$B$47,0)+IF(AND(Projects!$G$10="Yes",Projects!$J$10="Yes",Projects!$K$10="No",46=Projects!$C$10),Projects!$B$10*Assumptions!$B$47,0)+IF(AND(Projects!$G$11="Yes",Projects!$J$11="Yes",Projects!$K$11="No",46=Projects!$C$11),Projects!$B$11*Assumptions!$B$47,0)+IF(AND(Projects!$G$12="Yes",Projects!$J$12="Yes",Projects!$K$12="No",46=Projects!$C$12),Projects!$B$12*Assumptions!$B$47,0)+IF(AND(Projects!$G$13="Yes",Projects!$J$13="Yes",Projects!$K$13="No",46=Projects!$C$13),Projects!$B$13*Assumptions!$B$47,0)+IF(AND(Projects!$G$14="Yes",Projects!$J$14="Yes",Projects!$K$14="No",46=Projects!$C$14),Projects!$B$14*Assumptions!$B$47,0)),Actuals!AY107)</f>
        <v>-0</v>
      </c>
      <c r="AY287" s="13" t="n">
        <f aca="false">IF(ISBLANK(Actuals!AZ107),-(IF(AND(Projects!$G$2="Yes",Projects!$J$2="Yes",Projects!$K$2="No",47=Projects!$C$2),Projects!$B$2*Assumptions!$B$47,0)+IF(AND(Projects!$G$3="Yes",Projects!$J$3="Yes",Projects!$K$3="No",47=Projects!$C$3),Projects!$B$3*Assumptions!$B$47,0)+IF(AND(Projects!$G$4="Yes",Projects!$J$4="Yes",Projects!$K$4="No",47=Projects!$C$4),Projects!$B$4*Assumptions!$B$47,0)+IF(AND(Projects!$G$5="Yes",Projects!$J$5="Yes",Projects!$K$5="No",47=Projects!$C$5),Projects!$B$5*Assumptions!$B$47,0)+IF(AND(Projects!$G$6="Yes",Projects!$J$6="Yes",Projects!$K$6="No",47=Projects!$C$6),Projects!$B$6*Assumptions!$B$47,0)+IF(AND(Projects!$G$7="Yes",Projects!$J$7="Yes",Projects!$K$7="No",47=Projects!$C$7),Projects!$B$7*Assumptions!$B$47,0)+IF(AND(Projects!$G$8="Yes",Projects!$J$8="Yes",Projects!$K$8="No",47=Projects!$C$8),Projects!$B$8*Assumptions!$B$47,0)+IF(AND(Projects!$G$9="Yes",Projects!$J$9="Yes",Projects!$K$9="No",47=Projects!$C$9),Projects!$B$9*Assumptions!$B$47,0)+IF(AND(Projects!$G$10="Yes",Projects!$J$10="Yes",Projects!$K$10="No",47=Projects!$C$10),Projects!$B$10*Assumptions!$B$47,0)+IF(AND(Projects!$G$11="Yes",Projects!$J$11="Yes",Projects!$K$11="No",47=Projects!$C$11),Projects!$B$11*Assumptions!$B$47,0)+IF(AND(Projects!$G$12="Yes",Projects!$J$12="Yes",Projects!$K$12="No",47=Projects!$C$12),Projects!$B$12*Assumptions!$B$47,0)+IF(AND(Projects!$G$13="Yes",Projects!$J$13="Yes",Projects!$K$13="No",47=Projects!$C$13),Projects!$B$13*Assumptions!$B$47,0)+IF(AND(Projects!$G$14="Yes",Projects!$J$14="Yes",Projects!$K$14="No",47=Projects!$C$14),Projects!$B$14*Assumptions!$B$47,0)),Actuals!AZ107)</f>
        <v>-0</v>
      </c>
      <c r="AZ287" s="13" t="n">
        <f aca="false">IF(ISBLANK(Actuals!BA107),-(IF(AND(Projects!$G$2="Yes",Projects!$J$2="Yes",Projects!$K$2="No",48=Projects!$C$2),Projects!$B$2*Assumptions!$B$47,0)+IF(AND(Projects!$G$3="Yes",Projects!$J$3="Yes",Projects!$K$3="No",48=Projects!$C$3),Projects!$B$3*Assumptions!$B$47,0)+IF(AND(Projects!$G$4="Yes",Projects!$J$4="Yes",Projects!$K$4="No",48=Projects!$C$4),Projects!$B$4*Assumptions!$B$47,0)+IF(AND(Projects!$G$5="Yes",Projects!$J$5="Yes",Projects!$K$5="No",48=Projects!$C$5),Projects!$B$5*Assumptions!$B$47,0)+IF(AND(Projects!$G$6="Yes",Projects!$J$6="Yes",Projects!$K$6="No",48=Projects!$C$6),Projects!$B$6*Assumptions!$B$47,0)+IF(AND(Projects!$G$7="Yes",Projects!$J$7="Yes",Projects!$K$7="No",48=Projects!$C$7),Projects!$B$7*Assumptions!$B$47,0)+IF(AND(Projects!$G$8="Yes",Projects!$J$8="Yes",Projects!$K$8="No",48=Projects!$C$8),Projects!$B$8*Assumptions!$B$47,0)+IF(AND(Projects!$G$9="Yes",Projects!$J$9="Yes",Projects!$K$9="No",48=Projects!$C$9),Projects!$B$9*Assumptions!$B$47,0)+IF(AND(Projects!$G$10="Yes",Projects!$J$10="Yes",Projects!$K$10="No",48=Projects!$C$10),Projects!$B$10*Assumptions!$B$47,0)+IF(AND(Projects!$G$11="Yes",Projects!$J$11="Yes",Projects!$K$11="No",48=Projects!$C$11),Projects!$B$11*Assumptions!$B$47,0)+IF(AND(Projects!$G$12="Yes",Projects!$J$12="Yes",Projects!$K$12="No",48=Projects!$C$12),Projects!$B$12*Assumptions!$B$47,0)+IF(AND(Projects!$G$13="Yes",Projects!$J$13="Yes",Projects!$K$13="No",48=Projects!$C$13),Projects!$B$13*Assumptions!$B$47,0)+IF(AND(Projects!$G$14="Yes",Projects!$J$14="Yes",Projects!$K$14="No",48=Projects!$C$14),Projects!$B$14*Assumptions!$B$47,0)),Actuals!BA107)</f>
        <v>-0</v>
      </c>
      <c r="BA287" s="13" t="n">
        <f aca="false">IF(ISBLANK(Actuals!BB107),-(IF(AND(Projects!$G$2="Yes",Projects!$J$2="Yes",Projects!$K$2="No",49=Projects!$C$2),Projects!$B$2*Assumptions!$B$47,0)+IF(AND(Projects!$G$3="Yes",Projects!$J$3="Yes",Projects!$K$3="No",49=Projects!$C$3),Projects!$B$3*Assumptions!$B$47,0)+IF(AND(Projects!$G$4="Yes",Projects!$J$4="Yes",Projects!$K$4="No",49=Projects!$C$4),Projects!$B$4*Assumptions!$B$47,0)+IF(AND(Projects!$G$5="Yes",Projects!$J$5="Yes",Projects!$K$5="No",49=Projects!$C$5),Projects!$B$5*Assumptions!$B$47,0)+IF(AND(Projects!$G$6="Yes",Projects!$J$6="Yes",Projects!$K$6="No",49=Projects!$C$6),Projects!$B$6*Assumptions!$B$47,0)+IF(AND(Projects!$G$7="Yes",Projects!$J$7="Yes",Projects!$K$7="No",49=Projects!$C$7),Projects!$B$7*Assumptions!$B$47,0)+IF(AND(Projects!$G$8="Yes",Projects!$J$8="Yes",Projects!$K$8="No",49=Projects!$C$8),Projects!$B$8*Assumptions!$B$47,0)+IF(AND(Projects!$G$9="Yes",Projects!$J$9="Yes",Projects!$K$9="No",49=Projects!$C$9),Projects!$B$9*Assumptions!$B$47,0)+IF(AND(Projects!$G$10="Yes",Projects!$J$10="Yes",Projects!$K$10="No",49=Projects!$C$10),Projects!$B$10*Assumptions!$B$47,0)+IF(AND(Projects!$G$11="Yes",Projects!$J$11="Yes",Projects!$K$11="No",49=Projects!$C$11),Projects!$B$11*Assumptions!$B$47,0)+IF(AND(Projects!$G$12="Yes",Projects!$J$12="Yes",Projects!$K$12="No",49=Projects!$C$12),Projects!$B$12*Assumptions!$B$47,0)+IF(AND(Projects!$G$13="Yes",Projects!$J$13="Yes",Projects!$K$13="No",49=Projects!$C$13),Projects!$B$13*Assumptions!$B$47,0)+IF(AND(Projects!$G$14="Yes",Projects!$J$14="Yes",Projects!$K$14="No",49=Projects!$C$14),Projects!$B$14*Assumptions!$B$47,0)),Actuals!BB107)</f>
        <v>-0</v>
      </c>
      <c r="BB287" s="13" t="n">
        <f aca="false">IF(ISBLANK(Actuals!BC107),-(IF(AND(Projects!$G$2="Yes",Projects!$J$2="Yes",Projects!$K$2="No",50=Projects!$C$2),Projects!$B$2*Assumptions!$B$47,0)+IF(AND(Projects!$G$3="Yes",Projects!$J$3="Yes",Projects!$K$3="No",50=Projects!$C$3),Projects!$B$3*Assumptions!$B$47,0)+IF(AND(Projects!$G$4="Yes",Projects!$J$4="Yes",Projects!$K$4="No",50=Projects!$C$4),Projects!$B$4*Assumptions!$B$47,0)+IF(AND(Projects!$G$5="Yes",Projects!$J$5="Yes",Projects!$K$5="No",50=Projects!$C$5),Projects!$B$5*Assumptions!$B$47,0)+IF(AND(Projects!$G$6="Yes",Projects!$J$6="Yes",Projects!$K$6="No",50=Projects!$C$6),Projects!$B$6*Assumptions!$B$47,0)+IF(AND(Projects!$G$7="Yes",Projects!$J$7="Yes",Projects!$K$7="No",50=Projects!$C$7),Projects!$B$7*Assumptions!$B$47,0)+IF(AND(Projects!$G$8="Yes",Projects!$J$8="Yes",Projects!$K$8="No",50=Projects!$C$8),Projects!$B$8*Assumptions!$B$47,0)+IF(AND(Projects!$G$9="Yes",Projects!$J$9="Yes",Projects!$K$9="No",50=Projects!$C$9),Projects!$B$9*Assumptions!$B$47,0)+IF(AND(Projects!$G$10="Yes",Projects!$J$10="Yes",Projects!$K$10="No",50=Projects!$C$10),Projects!$B$10*Assumptions!$B$47,0)+IF(AND(Projects!$G$11="Yes",Projects!$J$11="Yes",Projects!$K$11="No",50=Projects!$C$11),Projects!$B$11*Assumptions!$B$47,0)+IF(AND(Projects!$G$12="Yes",Projects!$J$12="Yes",Projects!$K$12="No",50=Projects!$C$12),Projects!$B$12*Assumptions!$B$47,0)+IF(AND(Projects!$G$13="Yes",Projects!$J$13="Yes",Projects!$K$13="No",50=Projects!$C$13),Projects!$B$13*Assumptions!$B$47,0)+IF(AND(Projects!$G$14="Yes",Projects!$J$14="Yes",Projects!$K$14="No",50=Projects!$C$14),Projects!$B$14*Assumptions!$B$47,0)),Actuals!BC107)</f>
        <v>-0</v>
      </c>
      <c r="BC287" s="13" t="n">
        <f aca="false">IF(ISBLANK(Actuals!BD107),-(IF(AND(Projects!$G$2="Yes",Projects!$J$2="Yes",Projects!$K$2="No",51=Projects!$C$2),Projects!$B$2*Assumptions!$B$47,0)+IF(AND(Projects!$G$3="Yes",Projects!$J$3="Yes",Projects!$K$3="No",51=Projects!$C$3),Projects!$B$3*Assumptions!$B$47,0)+IF(AND(Projects!$G$4="Yes",Projects!$J$4="Yes",Projects!$K$4="No",51=Projects!$C$4),Projects!$B$4*Assumptions!$B$47,0)+IF(AND(Projects!$G$5="Yes",Projects!$J$5="Yes",Projects!$K$5="No",51=Projects!$C$5),Projects!$B$5*Assumptions!$B$47,0)+IF(AND(Projects!$G$6="Yes",Projects!$J$6="Yes",Projects!$K$6="No",51=Projects!$C$6),Projects!$B$6*Assumptions!$B$47,0)+IF(AND(Projects!$G$7="Yes",Projects!$J$7="Yes",Projects!$K$7="No",51=Projects!$C$7),Projects!$B$7*Assumptions!$B$47,0)+IF(AND(Projects!$G$8="Yes",Projects!$J$8="Yes",Projects!$K$8="No",51=Projects!$C$8),Projects!$B$8*Assumptions!$B$47,0)+IF(AND(Projects!$G$9="Yes",Projects!$J$9="Yes",Projects!$K$9="No",51=Projects!$C$9),Projects!$B$9*Assumptions!$B$47,0)+IF(AND(Projects!$G$10="Yes",Projects!$J$10="Yes",Projects!$K$10="No",51=Projects!$C$10),Projects!$B$10*Assumptions!$B$47,0)+IF(AND(Projects!$G$11="Yes",Projects!$J$11="Yes",Projects!$K$11="No",51=Projects!$C$11),Projects!$B$11*Assumptions!$B$47,0)+IF(AND(Projects!$G$12="Yes",Projects!$J$12="Yes",Projects!$K$12="No",51=Projects!$C$12),Projects!$B$12*Assumptions!$B$47,0)+IF(AND(Projects!$G$13="Yes",Projects!$J$13="Yes",Projects!$K$13="No",51=Projects!$C$13),Projects!$B$13*Assumptions!$B$47,0)+IF(AND(Projects!$G$14="Yes",Projects!$J$14="Yes",Projects!$K$14="No",51=Projects!$C$14),Projects!$B$14*Assumptions!$B$47,0)),Actuals!BD107)</f>
        <v>-0</v>
      </c>
      <c r="BD287" s="13" t="n">
        <f aca="false">IF(ISBLANK(Actuals!BE107),-(IF(AND(Projects!$G$2="Yes",Projects!$J$2="Yes",Projects!$K$2="No",52=Projects!$C$2),Projects!$B$2*Assumptions!$B$47,0)+IF(AND(Projects!$G$3="Yes",Projects!$J$3="Yes",Projects!$K$3="No",52=Projects!$C$3),Projects!$B$3*Assumptions!$B$47,0)+IF(AND(Projects!$G$4="Yes",Projects!$J$4="Yes",Projects!$K$4="No",52=Projects!$C$4),Projects!$B$4*Assumptions!$B$47,0)+IF(AND(Projects!$G$5="Yes",Projects!$J$5="Yes",Projects!$K$5="No",52=Projects!$C$5),Projects!$B$5*Assumptions!$B$47,0)+IF(AND(Projects!$G$6="Yes",Projects!$J$6="Yes",Projects!$K$6="No",52=Projects!$C$6),Projects!$B$6*Assumptions!$B$47,0)+IF(AND(Projects!$G$7="Yes",Projects!$J$7="Yes",Projects!$K$7="No",52=Projects!$C$7),Projects!$B$7*Assumptions!$B$47,0)+IF(AND(Projects!$G$8="Yes",Projects!$J$8="Yes",Projects!$K$8="No",52=Projects!$C$8),Projects!$B$8*Assumptions!$B$47,0)+IF(AND(Projects!$G$9="Yes",Projects!$J$9="Yes",Projects!$K$9="No",52=Projects!$C$9),Projects!$B$9*Assumptions!$B$47,0)+IF(AND(Projects!$G$10="Yes",Projects!$J$10="Yes",Projects!$K$10="No",52=Projects!$C$10),Projects!$B$10*Assumptions!$B$47,0)+IF(AND(Projects!$G$11="Yes",Projects!$J$11="Yes",Projects!$K$11="No",52=Projects!$C$11),Projects!$B$11*Assumptions!$B$47,0)+IF(AND(Projects!$G$12="Yes",Projects!$J$12="Yes",Projects!$K$12="No",52=Projects!$C$12),Projects!$B$12*Assumptions!$B$47,0)+IF(AND(Projects!$G$13="Yes",Projects!$J$13="Yes",Projects!$K$13="No",52=Projects!$C$13),Projects!$B$13*Assumptions!$B$47,0)+IF(AND(Projects!$G$14="Yes",Projects!$J$14="Yes",Projects!$K$14="No",52=Projects!$C$14),Projects!$B$14*Assumptions!$B$47,0)),Actuals!BE107)</f>
        <v>-0</v>
      </c>
      <c r="BE287" s="13" t="n">
        <f aca="false">IF(ISBLANK(Actuals!BF107),-(IF(AND(Projects!$G$2="Yes",Projects!$J$2="Yes",Projects!$K$2="No",53=Projects!$C$2),Projects!$B$2*Assumptions!$B$47,0)+IF(AND(Projects!$G$3="Yes",Projects!$J$3="Yes",Projects!$K$3="No",53=Projects!$C$3),Projects!$B$3*Assumptions!$B$47,0)+IF(AND(Projects!$G$4="Yes",Projects!$J$4="Yes",Projects!$K$4="No",53=Projects!$C$4),Projects!$B$4*Assumptions!$B$47,0)+IF(AND(Projects!$G$5="Yes",Projects!$J$5="Yes",Projects!$K$5="No",53=Projects!$C$5),Projects!$B$5*Assumptions!$B$47,0)+IF(AND(Projects!$G$6="Yes",Projects!$J$6="Yes",Projects!$K$6="No",53=Projects!$C$6),Projects!$B$6*Assumptions!$B$47,0)+IF(AND(Projects!$G$7="Yes",Projects!$J$7="Yes",Projects!$K$7="No",53=Projects!$C$7),Projects!$B$7*Assumptions!$B$47,0)+IF(AND(Projects!$G$8="Yes",Projects!$J$8="Yes",Projects!$K$8="No",53=Projects!$C$8),Projects!$B$8*Assumptions!$B$47,0)+IF(AND(Projects!$G$9="Yes",Projects!$J$9="Yes",Projects!$K$9="No",53=Projects!$C$9),Projects!$B$9*Assumptions!$B$47,0)+IF(AND(Projects!$G$10="Yes",Projects!$J$10="Yes",Projects!$K$10="No",53=Projects!$C$10),Projects!$B$10*Assumptions!$B$47,0)+IF(AND(Projects!$G$11="Yes",Projects!$J$11="Yes",Projects!$K$11="No",53=Projects!$C$11),Projects!$B$11*Assumptions!$B$47,0)+IF(AND(Projects!$G$12="Yes",Projects!$J$12="Yes",Projects!$K$12="No",53=Projects!$C$12),Projects!$B$12*Assumptions!$B$47,0)+IF(AND(Projects!$G$13="Yes",Projects!$J$13="Yes",Projects!$K$13="No",53=Projects!$C$13),Projects!$B$13*Assumptions!$B$47,0)+IF(AND(Projects!$G$14="Yes",Projects!$J$14="Yes",Projects!$K$14="No",53=Projects!$C$14),Projects!$B$14*Assumptions!$B$47,0)),Actuals!BF107)</f>
        <v>-0</v>
      </c>
      <c r="BF287" s="13" t="n">
        <f aca="false">IF(ISBLANK(Actuals!BG107),-(IF(AND(Projects!$G$2="Yes",Projects!$J$2="Yes",Projects!$K$2="No",54=Projects!$C$2),Projects!$B$2*Assumptions!$B$47,0)+IF(AND(Projects!$G$3="Yes",Projects!$J$3="Yes",Projects!$K$3="No",54=Projects!$C$3),Projects!$B$3*Assumptions!$B$47,0)+IF(AND(Projects!$G$4="Yes",Projects!$J$4="Yes",Projects!$K$4="No",54=Projects!$C$4),Projects!$B$4*Assumptions!$B$47,0)+IF(AND(Projects!$G$5="Yes",Projects!$J$5="Yes",Projects!$K$5="No",54=Projects!$C$5),Projects!$B$5*Assumptions!$B$47,0)+IF(AND(Projects!$G$6="Yes",Projects!$J$6="Yes",Projects!$K$6="No",54=Projects!$C$6),Projects!$B$6*Assumptions!$B$47,0)+IF(AND(Projects!$G$7="Yes",Projects!$J$7="Yes",Projects!$K$7="No",54=Projects!$C$7),Projects!$B$7*Assumptions!$B$47,0)+IF(AND(Projects!$G$8="Yes",Projects!$J$8="Yes",Projects!$K$8="No",54=Projects!$C$8),Projects!$B$8*Assumptions!$B$47,0)+IF(AND(Projects!$G$9="Yes",Projects!$J$9="Yes",Projects!$K$9="No",54=Projects!$C$9),Projects!$B$9*Assumptions!$B$47,0)+IF(AND(Projects!$G$10="Yes",Projects!$J$10="Yes",Projects!$K$10="No",54=Projects!$C$10),Projects!$B$10*Assumptions!$B$47,0)+IF(AND(Projects!$G$11="Yes",Projects!$J$11="Yes",Projects!$K$11="No",54=Projects!$C$11),Projects!$B$11*Assumptions!$B$47,0)+IF(AND(Projects!$G$12="Yes",Projects!$J$12="Yes",Projects!$K$12="No",54=Projects!$C$12),Projects!$B$12*Assumptions!$B$47,0)+IF(AND(Projects!$G$13="Yes",Projects!$J$13="Yes",Projects!$K$13="No",54=Projects!$C$13),Projects!$B$13*Assumptions!$B$47,0)+IF(AND(Projects!$G$14="Yes",Projects!$J$14="Yes",Projects!$K$14="No",54=Projects!$C$14),Projects!$B$14*Assumptions!$B$47,0)),Actuals!BG107)</f>
        <v>-0</v>
      </c>
      <c r="BG287" s="13" t="n">
        <f aca="false">IF(ISBLANK(Actuals!BH107),-(IF(AND(Projects!$G$2="Yes",Projects!$J$2="Yes",Projects!$K$2="No",55=Projects!$C$2),Projects!$B$2*Assumptions!$B$47,0)+IF(AND(Projects!$G$3="Yes",Projects!$J$3="Yes",Projects!$K$3="No",55=Projects!$C$3),Projects!$B$3*Assumptions!$B$47,0)+IF(AND(Projects!$G$4="Yes",Projects!$J$4="Yes",Projects!$K$4="No",55=Projects!$C$4),Projects!$B$4*Assumptions!$B$47,0)+IF(AND(Projects!$G$5="Yes",Projects!$J$5="Yes",Projects!$K$5="No",55=Projects!$C$5),Projects!$B$5*Assumptions!$B$47,0)+IF(AND(Projects!$G$6="Yes",Projects!$J$6="Yes",Projects!$K$6="No",55=Projects!$C$6),Projects!$B$6*Assumptions!$B$47,0)+IF(AND(Projects!$G$7="Yes",Projects!$J$7="Yes",Projects!$K$7="No",55=Projects!$C$7),Projects!$B$7*Assumptions!$B$47,0)+IF(AND(Projects!$G$8="Yes",Projects!$J$8="Yes",Projects!$K$8="No",55=Projects!$C$8),Projects!$B$8*Assumptions!$B$47,0)+IF(AND(Projects!$G$9="Yes",Projects!$J$9="Yes",Projects!$K$9="No",55=Projects!$C$9),Projects!$B$9*Assumptions!$B$47,0)+IF(AND(Projects!$G$10="Yes",Projects!$J$10="Yes",Projects!$K$10="No",55=Projects!$C$10),Projects!$B$10*Assumptions!$B$47,0)+IF(AND(Projects!$G$11="Yes",Projects!$J$11="Yes",Projects!$K$11="No",55=Projects!$C$11),Projects!$B$11*Assumptions!$B$47,0)+IF(AND(Projects!$G$12="Yes",Projects!$J$12="Yes",Projects!$K$12="No",55=Projects!$C$12),Projects!$B$12*Assumptions!$B$47,0)+IF(AND(Projects!$G$13="Yes",Projects!$J$13="Yes",Projects!$K$13="No",55=Projects!$C$13),Projects!$B$13*Assumptions!$B$47,0)+IF(AND(Projects!$G$14="Yes",Projects!$J$14="Yes",Projects!$K$14="No",55=Projects!$C$14),Projects!$B$14*Assumptions!$B$47,0)),Actuals!BH107)</f>
        <v>-0</v>
      </c>
      <c r="BH287" s="13" t="n">
        <f aca="false">IF(ISBLANK(Actuals!BI107),-(IF(AND(Projects!$G$2="Yes",Projects!$J$2="Yes",Projects!$K$2="No",56=Projects!$C$2),Projects!$B$2*Assumptions!$B$47,0)+IF(AND(Projects!$G$3="Yes",Projects!$J$3="Yes",Projects!$K$3="No",56=Projects!$C$3),Projects!$B$3*Assumptions!$B$47,0)+IF(AND(Projects!$G$4="Yes",Projects!$J$4="Yes",Projects!$K$4="No",56=Projects!$C$4),Projects!$B$4*Assumptions!$B$47,0)+IF(AND(Projects!$G$5="Yes",Projects!$J$5="Yes",Projects!$K$5="No",56=Projects!$C$5),Projects!$B$5*Assumptions!$B$47,0)+IF(AND(Projects!$G$6="Yes",Projects!$J$6="Yes",Projects!$K$6="No",56=Projects!$C$6),Projects!$B$6*Assumptions!$B$47,0)+IF(AND(Projects!$G$7="Yes",Projects!$J$7="Yes",Projects!$K$7="No",56=Projects!$C$7),Projects!$B$7*Assumptions!$B$47,0)+IF(AND(Projects!$G$8="Yes",Projects!$J$8="Yes",Projects!$K$8="No",56=Projects!$C$8),Projects!$B$8*Assumptions!$B$47,0)+IF(AND(Projects!$G$9="Yes",Projects!$J$9="Yes",Projects!$K$9="No",56=Projects!$C$9),Projects!$B$9*Assumptions!$B$47,0)+IF(AND(Projects!$G$10="Yes",Projects!$J$10="Yes",Projects!$K$10="No",56=Projects!$C$10),Projects!$B$10*Assumptions!$B$47,0)+IF(AND(Projects!$G$11="Yes",Projects!$J$11="Yes",Projects!$K$11="No",56=Projects!$C$11),Projects!$B$11*Assumptions!$B$47,0)+IF(AND(Projects!$G$12="Yes",Projects!$J$12="Yes",Projects!$K$12="No",56=Projects!$C$12),Projects!$B$12*Assumptions!$B$47,0)+IF(AND(Projects!$G$13="Yes",Projects!$J$13="Yes",Projects!$K$13="No",56=Projects!$C$13),Projects!$B$13*Assumptions!$B$47,0)+IF(AND(Projects!$G$14="Yes",Projects!$J$14="Yes",Projects!$K$14="No",56=Projects!$C$14),Projects!$B$14*Assumptions!$B$47,0)),Actuals!BI107)</f>
        <v>-0</v>
      </c>
      <c r="BI287" s="13" t="n">
        <f aca="false">IF(ISBLANK(Actuals!BJ107),-(IF(AND(Projects!$G$2="Yes",Projects!$J$2="Yes",Projects!$K$2="No",57=Projects!$C$2),Projects!$B$2*Assumptions!$B$47,0)+IF(AND(Projects!$G$3="Yes",Projects!$J$3="Yes",Projects!$K$3="No",57=Projects!$C$3),Projects!$B$3*Assumptions!$B$47,0)+IF(AND(Projects!$G$4="Yes",Projects!$J$4="Yes",Projects!$K$4="No",57=Projects!$C$4),Projects!$B$4*Assumptions!$B$47,0)+IF(AND(Projects!$G$5="Yes",Projects!$J$5="Yes",Projects!$K$5="No",57=Projects!$C$5),Projects!$B$5*Assumptions!$B$47,0)+IF(AND(Projects!$G$6="Yes",Projects!$J$6="Yes",Projects!$K$6="No",57=Projects!$C$6),Projects!$B$6*Assumptions!$B$47,0)+IF(AND(Projects!$G$7="Yes",Projects!$J$7="Yes",Projects!$K$7="No",57=Projects!$C$7),Projects!$B$7*Assumptions!$B$47,0)+IF(AND(Projects!$G$8="Yes",Projects!$J$8="Yes",Projects!$K$8="No",57=Projects!$C$8),Projects!$B$8*Assumptions!$B$47,0)+IF(AND(Projects!$G$9="Yes",Projects!$J$9="Yes",Projects!$K$9="No",57=Projects!$C$9),Projects!$B$9*Assumptions!$B$47,0)+IF(AND(Projects!$G$10="Yes",Projects!$J$10="Yes",Projects!$K$10="No",57=Projects!$C$10),Projects!$B$10*Assumptions!$B$47,0)+IF(AND(Projects!$G$11="Yes",Projects!$J$11="Yes",Projects!$K$11="No",57=Projects!$C$11),Projects!$B$11*Assumptions!$B$47,0)+IF(AND(Projects!$G$12="Yes",Projects!$J$12="Yes",Projects!$K$12="No",57=Projects!$C$12),Projects!$B$12*Assumptions!$B$47,0)+IF(AND(Projects!$G$13="Yes",Projects!$J$13="Yes",Projects!$K$13="No",57=Projects!$C$13),Projects!$B$13*Assumptions!$B$47,0)+IF(AND(Projects!$G$14="Yes",Projects!$J$14="Yes",Projects!$K$14="No",57=Projects!$C$14),Projects!$B$14*Assumptions!$B$47,0)),Actuals!BJ107)</f>
        <v>-0</v>
      </c>
      <c r="BJ287" s="13" t="n">
        <f aca="false">IF(ISBLANK(Actuals!BK107),-(IF(AND(Projects!$G$2="Yes",Projects!$J$2="Yes",Projects!$K$2="No",58=Projects!$C$2),Projects!$B$2*Assumptions!$B$47,0)+IF(AND(Projects!$G$3="Yes",Projects!$J$3="Yes",Projects!$K$3="No",58=Projects!$C$3),Projects!$B$3*Assumptions!$B$47,0)+IF(AND(Projects!$G$4="Yes",Projects!$J$4="Yes",Projects!$K$4="No",58=Projects!$C$4),Projects!$B$4*Assumptions!$B$47,0)+IF(AND(Projects!$G$5="Yes",Projects!$J$5="Yes",Projects!$K$5="No",58=Projects!$C$5),Projects!$B$5*Assumptions!$B$47,0)+IF(AND(Projects!$G$6="Yes",Projects!$J$6="Yes",Projects!$K$6="No",58=Projects!$C$6),Projects!$B$6*Assumptions!$B$47,0)+IF(AND(Projects!$G$7="Yes",Projects!$J$7="Yes",Projects!$K$7="No",58=Projects!$C$7),Projects!$B$7*Assumptions!$B$47,0)+IF(AND(Projects!$G$8="Yes",Projects!$J$8="Yes",Projects!$K$8="No",58=Projects!$C$8),Projects!$B$8*Assumptions!$B$47,0)+IF(AND(Projects!$G$9="Yes",Projects!$J$9="Yes",Projects!$K$9="No",58=Projects!$C$9),Projects!$B$9*Assumptions!$B$47,0)+IF(AND(Projects!$G$10="Yes",Projects!$J$10="Yes",Projects!$K$10="No",58=Projects!$C$10),Projects!$B$10*Assumptions!$B$47,0)+IF(AND(Projects!$G$11="Yes",Projects!$J$11="Yes",Projects!$K$11="No",58=Projects!$C$11),Projects!$B$11*Assumptions!$B$47,0)+IF(AND(Projects!$G$12="Yes",Projects!$J$12="Yes",Projects!$K$12="No",58=Projects!$C$12),Projects!$B$12*Assumptions!$B$47,0)+IF(AND(Projects!$G$13="Yes",Projects!$J$13="Yes",Projects!$K$13="No",58=Projects!$C$13),Projects!$B$13*Assumptions!$B$47,0)+IF(AND(Projects!$G$14="Yes",Projects!$J$14="Yes",Projects!$K$14="No",58=Projects!$C$14),Projects!$B$14*Assumptions!$B$47,0)),Actuals!BK107)</f>
        <v>-0</v>
      </c>
      <c r="BK287" s="13" t="n">
        <f aca="false">IF(ISBLANK(Actuals!BL107),-(IF(AND(Projects!$G$2="Yes",Projects!$J$2="Yes",Projects!$K$2="No",59=Projects!$C$2),Projects!$B$2*Assumptions!$B$47,0)+IF(AND(Projects!$G$3="Yes",Projects!$J$3="Yes",Projects!$K$3="No",59=Projects!$C$3),Projects!$B$3*Assumptions!$B$47,0)+IF(AND(Projects!$G$4="Yes",Projects!$J$4="Yes",Projects!$K$4="No",59=Projects!$C$4),Projects!$B$4*Assumptions!$B$47,0)+IF(AND(Projects!$G$5="Yes",Projects!$J$5="Yes",Projects!$K$5="No",59=Projects!$C$5),Projects!$B$5*Assumptions!$B$47,0)+IF(AND(Projects!$G$6="Yes",Projects!$J$6="Yes",Projects!$K$6="No",59=Projects!$C$6),Projects!$B$6*Assumptions!$B$47,0)+IF(AND(Projects!$G$7="Yes",Projects!$J$7="Yes",Projects!$K$7="No",59=Projects!$C$7),Projects!$B$7*Assumptions!$B$47,0)+IF(AND(Projects!$G$8="Yes",Projects!$J$8="Yes",Projects!$K$8="No",59=Projects!$C$8),Projects!$B$8*Assumptions!$B$47,0)+IF(AND(Projects!$G$9="Yes",Projects!$J$9="Yes",Projects!$K$9="No",59=Projects!$C$9),Projects!$B$9*Assumptions!$B$47,0)+IF(AND(Projects!$G$10="Yes",Projects!$J$10="Yes",Projects!$K$10="No",59=Projects!$C$10),Projects!$B$10*Assumptions!$B$47,0)+IF(AND(Projects!$G$11="Yes",Projects!$J$11="Yes",Projects!$K$11="No",59=Projects!$C$11),Projects!$B$11*Assumptions!$B$47,0)+IF(AND(Projects!$G$12="Yes",Projects!$J$12="Yes",Projects!$K$12="No",59=Projects!$C$12),Projects!$B$12*Assumptions!$B$47,0)+IF(AND(Projects!$G$13="Yes",Projects!$J$13="Yes",Projects!$K$13="No",59=Projects!$C$13),Projects!$B$13*Assumptions!$B$47,0)+IF(AND(Projects!$G$14="Yes",Projects!$J$14="Yes",Projects!$K$14="No",59=Projects!$C$14),Projects!$B$14*Assumptions!$B$47,0)),Actuals!BL107)</f>
        <v>-0</v>
      </c>
      <c r="BL287" s="13" t="n">
        <f aca="false">IF(ISBLANK(Actuals!BM107),-(IF(AND(Projects!$G$2="Yes",Projects!$J$2="Yes",Projects!$K$2="No",60=Projects!$C$2),Projects!$B$2*Assumptions!$B$47,0)+IF(AND(Projects!$G$3="Yes",Projects!$J$3="Yes",Projects!$K$3="No",60=Projects!$C$3),Projects!$B$3*Assumptions!$B$47,0)+IF(AND(Projects!$G$4="Yes",Projects!$J$4="Yes",Projects!$K$4="No",60=Projects!$C$4),Projects!$B$4*Assumptions!$B$47,0)+IF(AND(Projects!$G$5="Yes",Projects!$J$5="Yes",Projects!$K$5="No",60=Projects!$C$5),Projects!$B$5*Assumptions!$B$47,0)+IF(AND(Projects!$G$6="Yes",Projects!$J$6="Yes",Projects!$K$6="No",60=Projects!$C$6),Projects!$B$6*Assumptions!$B$47,0)+IF(AND(Projects!$G$7="Yes",Projects!$J$7="Yes",Projects!$K$7="No",60=Projects!$C$7),Projects!$B$7*Assumptions!$B$47,0)+IF(AND(Projects!$G$8="Yes",Projects!$J$8="Yes",Projects!$K$8="No",60=Projects!$C$8),Projects!$B$8*Assumptions!$B$47,0)+IF(AND(Projects!$G$9="Yes",Projects!$J$9="Yes",Projects!$K$9="No",60=Projects!$C$9),Projects!$B$9*Assumptions!$B$47,0)+IF(AND(Projects!$G$10="Yes",Projects!$J$10="Yes",Projects!$K$10="No",60=Projects!$C$10),Projects!$B$10*Assumptions!$B$47,0)+IF(AND(Projects!$G$11="Yes",Projects!$J$11="Yes",Projects!$K$11="No",60=Projects!$C$11),Projects!$B$11*Assumptions!$B$47,0)+IF(AND(Projects!$G$12="Yes",Projects!$J$12="Yes",Projects!$K$12="No",60=Projects!$C$12),Projects!$B$12*Assumptions!$B$47,0)+IF(AND(Projects!$G$13="Yes",Projects!$J$13="Yes",Projects!$K$13="No",60=Projects!$C$13),Projects!$B$13*Assumptions!$B$47,0)+IF(AND(Projects!$G$14="Yes",Projects!$J$14="Yes",Projects!$K$14="No",60=Projects!$C$14),Projects!$B$14*Assumptions!$B$47,0)),Actuals!BM107)</f>
        <v>-0</v>
      </c>
      <c r="BM287" s="13" t="n">
        <f aca="false">IF(ISBLANK(Actuals!BN107),-(IF(AND(Projects!$G$2="Yes",Projects!$J$2="Yes",Projects!$K$2="No",61=Projects!$C$2),Projects!$B$2*Assumptions!$B$47,0)+IF(AND(Projects!$G$3="Yes",Projects!$J$3="Yes",Projects!$K$3="No",61=Projects!$C$3),Projects!$B$3*Assumptions!$B$47,0)+IF(AND(Projects!$G$4="Yes",Projects!$J$4="Yes",Projects!$K$4="No",61=Projects!$C$4),Projects!$B$4*Assumptions!$B$47,0)+IF(AND(Projects!$G$5="Yes",Projects!$J$5="Yes",Projects!$K$5="No",61=Projects!$C$5),Projects!$B$5*Assumptions!$B$47,0)+IF(AND(Projects!$G$6="Yes",Projects!$J$6="Yes",Projects!$K$6="No",61=Projects!$C$6),Projects!$B$6*Assumptions!$B$47,0)+IF(AND(Projects!$G$7="Yes",Projects!$J$7="Yes",Projects!$K$7="No",61=Projects!$C$7),Projects!$B$7*Assumptions!$B$47,0)+IF(AND(Projects!$G$8="Yes",Projects!$J$8="Yes",Projects!$K$8="No",61=Projects!$C$8),Projects!$B$8*Assumptions!$B$47,0)+IF(AND(Projects!$G$9="Yes",Projects!$J$9="Yes",Projects!$K$9="No",61=Projects!$C$9),Projects!$B$9*Assumptions!$B$47,0)+IF(AND(Projects!$G$10="Yes",Projects!$J$10="Yes",Projects!$K$10="No",61=Projects!$C$10),Projects!$B$10*Assumptions!$B$47,0)+IF(AND(Projects!$G$11="Yes",Projects!$J$11="Yes",Projects!$K$11="No",61=Projects!$C$11),Projects!$B$11*Assumptions!$B$47,0)+IF(AND(Projects!$G$12="Yes",Projects!$J$12="Yes",Projects!$K$12="No",61=Projects!$C$12),Projects!$B$12*Assumptions!$B$47,0)+IF(AND(Projects!$G$13="Yes",Projects!$J$13="Yes",Projects!$K$13="No",61=Projects!$C$13),Projects!$B$13*Assumptions!$B$47,0)+IF(AND(Projects!$G$14="Yes",Projects!$J$14="Yes",Projects!$K$14="No",61=Projects!$C$14),Projects!$B$14*Assumptions!$B$47,0)),Actuals!BN107)</f>
        <v>-0</v>
      </c>
      <c r="BN287" s="13" t="n">
        <f aca="false">IF(ISBLANK(Actuals!BO107),-(IF(AND(Projects!$G$2="Yes",Projects!$J$2="Yes",Projects!$K$2="No",62=Projects!$C$2),Projects!$B$2*Assumptions!$B$47,0)+IF(AND(Projects!$G$3="Yes",Projects!$J$3="Yes",Projects!$K$3="No",62=Projects!$C$3),Projects!$B$3*Assumptions!$B$47,0)+IF(AND(Projects!$G$4="Yes",Projects!$J$4="Yes",Projects!$K$4="No",62=Projects!$C$4),Projects!$B$4*Assumptions!$B$47,0)+IF(AND(Projects!$G$5="Yes",Projects!$J$5="Yes",Projects!$K$5="No",62=Projects!$C$5),Projects!$B$5*Assumptions!$B$47,0)+IF(AND(Projects!$G$6="Yes",Projects!$J$6="Yes",Projects!$K$6="No",62=Projects!$C$6),Projects!$B$6*Assumptions!$B$47,0)+IF(AND(Projects!$G$7="Yes",Projects!$J$7="Yes",Projects!$K$7="No",62=Projects!$C$7),Projects!$B$7*Assumptions!$B$47,0)+IF(AND(Projects!$G$8="Yes",Projects!$J$8="Yes",Projects!$K$8="No",62=Projects!$C$8),Projects!$B$8*Assumptions!$B$47,0)+IF(AND(Projects!$G$9="Yes",Projects!$J$9="Yes",Projects!$K$9="No",62=Projects!$C$9),Projects!$B$9*Assumptions!$B$47,0)+IF(AND(Projects!$G$10="Yes",Projects!$J$10="Yes",Projects!$K$10="No",62=Projects!$C$10),Projects!$B$10*Assumptions!$B$47,0)+IF(AND(Projects!$G$11="Yes",Projects!$J$11="Yes",Projects!$K$11="No",62=Projects!$C$11),Projects!$B$11*Assumptions!$B$47,0)+IF(AND(Projects!$G$12="Yes",Projects!$J$12="Yes",Projects!$K$12="No",62=Projects!$C$12),Projects!$B$12*Assumptions!$B$47,0)+IF(AND(Projects!$G$13="Yes",Projects!$J$13="Yes",Projects!$K$13="No",62=Projects!$C$13),Projects!$B$13*Assumptions!$B$47,0)+IF(AND(Projects!$G$14="Yes",Projects!$J$14="Yes",Projects!$K$14="No",62=Projects!$C$14),Projects!$B$14*Assumptions!$B$47,0)),Actuals!BO107)</f>
        <v>-0</v>
      </c>
      <c r="BO287" s="13" t="n">
        <f aca="false">IF(ISBLANK(Actuals!BP107),-(IF(AND(Projects!$G$2="Yes",Projects!$J$2="Yes",Projects!$K$2="No",63=Projects!$C$2),Projects!$B$2*Assumptions!$B$47,0)+IF(AND(Projects!$G$3="Yes",Projects!$J$3="Yes",Projects!$K$3="No",63=Projects!$C$3),Projects!$B$3*Assumptions!$B$47,0)+IF(AND(Projects!$G$4="Yes",Projects!$J$4="Yes",Projects!$K$4="No",63=Projects!$C$4),Projects!$B$4*Assumptions!$B$47,0)+IF(AND(Projects!$G$5="Yes",Projects!$J$5="Yes",Projects!$K$5="No",63=Projects!$C$5),Projects!$B$5*Assumptions!$B$47,0)+IF(AND(Projects!$G$6="Yes",Projects!$J$6="Yes",Projects!$K$6="No",63=Projects!$C$6),Projects!$B$6*Assumptions!$B$47,0)+IF(AND(Projects!$G$7="Yes",Projects!$J$7="Yes",Projects!$K$7="No",63=Projects!$C$7),Projects!$B$7*Assumptions!$B$47,0)+IF(AND(Projects!$G$8="Yes",Projects!$J$8="Yes",Projects!$K$8="No",63=Projects!$C$8),Projects!$B$8*Assumptions!$B$47,0)+IF(AND(Projects!$G$9="Yes",Projects!$J$9="Yes",Projects!$K$9="No",63=Projects!$C$9),Projects!$B$9*Assumptions!$B$47,0)+IF(AND(Projects!$G$10="Yes",Projects!$J$10="Yes",Projects!$K$10="No",63=Projects!$C$10),Projects!$B$10*Assumptions!$B$47,0)+IF(AND(Projects!$G$11="Yes",Projects!$J$11="Yes",Projects!$K$11="No",63=Projects!$C$11),Projects!$B$11*Assumptions!$B$47,0)+IF(AND(Projects!$G$12="Yes",Projects!$J$12="Yes",Projects!$K$12="No",63=Projects!$C$12),Projects!$B$12*Assumptions!$B$47,0)+IF(AND(Projects!$G$13="Yes",Projects!$J$13="Yes",Projects!$K$13="No",63=Projects!$C$13),Projects!$B$13*Assumptions!$B$47,0)+IF(AND(Projects!$G$14="Yes",Projects!$J$14="Yes",Projects!$K$14="No",63=Projects!$C$14),Projects!$B$14*Assumptions!$B$47,0)),Actuals!BP107)</f>
        <v>-0</v>
      </c>
      <c r="BP287" s="13" t="n">
        <f aca="false">IF(ISBLANK(Actuals!BQ107),-(IF(AND(Projects!$G$2="Yes",Projects!$J$2="Yes",Projects!$K$2="No",64=Projects!$C$2),Projects!$B$2*Assumptions!$B$47,0)+IF(AND(Projects!$G$3="Yes",Projects!$J$3="Yes",Projects!$K$3="No",64=Projects!$C$3),Projects!$B$3*Assumptions!$B$47,0)+IF(AND(Projects!$G$4="Yes",Projects!$J$4="Yes",Projects!$K$4="No",64=Projects!$C$4),Projects!$B$4*Assumptions!$B$47,0)+IF(AND(Projects!$G$5="Yes",Projects!$J$5="Yes",Projects!$K$5="No",64=Projects!$C$5),Projects!$B$5*Assumptions!$B$47,0)+IF(AND(Projects!$G$6="Yes",Projects!$J$6="Yes",Projects!$K$6="No",64=Projects!$C$6),Projects!$B$6*Assumptions!$B$47,0)+IF(AND(Projects!$G$7="Yes",Projects!$J$7="Yes",Projects!$K$7="No",64=Projects!$C$7),Projects!$B$7*Assumptions!$B$47,0)+IF(AND(Projects!$G$8="Yes",Projects!$J$8="Yes",Projects!$K$8="No",64=Projects!$C$8),Projects!$B$8*Assumptions!$B$47,0)+IF(AND(Projects!$G$9="Yes",Projects!$J$9="Yes",Projects!$K$9="No",64=Projects!$C$9),Projects!$B$9*Assumptions!$B$47,0)+IF(AND(Projects!$G$10="Yes",Projects!$J$10="Yes",Projects!$K$10="No",64=Projects!$C$10),Projects!$B$10*Assumptions!$B$47,0)+IF(AND(Projects!$G$11="Yes",Projects!$J$11="Yes",Projects!$K$11="No",64=Projects!$C$11),Projects!$B$11*Assumptions!$B$47,0)+IF(AND(Projects!$G$12="Yes",Projects!$J$12="Yes",Projects!$K$12="No",64=Projects!$C$12),Projects!$B$12*Assumptions!$B$47,0)+IF(AND(Projects!$G$13="Yes",Projects!$J$13="Yes",Projects!$K$13="No",64=Projects!$C$13),Projects!$B$13*Assumptions!$B$47,0)+IF(AND(Projects!$G$14="Yes",Projects!$J$14="Yes",Projects!$K$14="No",64=Projects!$C$14),Projects!$B$14*Assumptions!$B$47,0)),Actuals!BQ107)</f>
        <v>-0</v>
      </c>
      <c r="BQ287" s="13" t="n">
        <f aca="false">IF(ISBLANK(Actuals!BR107),-(IF(AND(Projects!$G$2="Yes",Projects!$J$2="Yes",Projects!$K$2="No",65=Projects!$C$2),Projects!$B$2*Assumptions!$B$47,0)+IF(AND(Projects!$G$3="Yes",Projects!$J$3="Yes",Projects!$K$3="No",65=Projects!$C$3),Projects!$B$3*Assumptions!$B$47,0)+IF(AND(Projects!$G$4="Yes",Projects!$J$4="Yes",Projects!$K$4="No",65=Projects!$C$4),Projects!$B$4*Assumptions!$B$47,0)+IF(AND(Projects!$G$5="Yes",Projects!$J$5="Yes",Projects!$K$5="No",65=Projects!$C$5),Projects!$B$5*Assumptions!$B$47,0)+IF(AND(Projects!$G$6="Yes",Projects!$J$6="Yes",Projects!$K$6="No",65=Projects!$C$6),Projects!$B$6*Assumptions!$B$47,0)+IF(AND(Projects!$G$7="Yes",Projects!$J$7="Yes",Projects!$K$7="No",65=Projects!$C$7),Projects!$B$7*Assumptions!$B$47,0)+IF(AND(Projects!$G$8="Yes",Projects!$J$8="Yes",Projects!$K$8="No",65=Projects!$C$8),Projects!$B$8*Assumptions!$B$47,0)+IF(AND(Projects!$G$9="Yes",Projects!$J$9="Yes",Projects!$K$9="No",65=Projects!$C$9),Projects!$B$9*Assumptions!$B$47,0)+IF(AND(Projects!$G$10="Yes",Projects!$J$10="Yes",Projects!$K$10="No",65=Projects!$C$10),Projects!$B$10*Assumptions!$B$47,0)+IF(AND(Projects!$G$11="Yes",Projects!$J$11="Yes",Projects!$K$11="No",65=Projects!$C$11),Projects!$B$11*Assumptions!$B$47,0)+IF(AND(Projects!$G$12="Yes",Projects!$J$12="Yes",Projects!$K$12="No",65=Projects!$C$12),Projects!$B$12*Assumptions!$B$47,0)+IF(AND(Projects!$G$13="Yes",Projects!$J$13="Yes",Projects!$K$13="No",65=Projects!$C$13),Projects!$B$13*Assumptions!$B$47,0)+IF(AND(Projects!$G$14="Yes",Projects!$J$14="Yes",Projects!$K$14="No",65=Projects!$C$14),Projects!$B$14*Assumptions!$B$47,0)),Actuals!BR107)</f>
        <v>-0</v>
      </c>
      <c r="BR287" s="13" t="n">
        <f aca="false">IF(ISBLANK(Actuals!BS107),-(IF(AND(Projects!$G$2="Yes",Projects!$J$2="Yes",Projects!$K$2="No",66=Projects!$C$2),Projects!$B$2*Assumptions!$B$47,0)+IF(AND(Projects!$G$3="Yes",Projects!$J$3="Yes",Projects!$K$3="No",66=Projects!$C$3),Projects!$B$3*Assumptions!$B$47,0)+IF(AND(Projects!$G$4="Yes",Projects!$J$4="Yes",Projects!$K$4="No",66=Projects!$C$4),Projects!$B$4*Assumptions!$B$47,0)+IF(AND(Projects!$G$5="Yes",Projects!$J$5="Yes",Projects!$K$5="No",66=Projects!$C$5),Projects!$B$5*Assumptions!$B$47,0)+IF(AND(Projects!$G$6="Yes",Projects!$J$6="Yes",Projects!$K$6="No",66=Projects!$C$6),Projects!$B$6*Assumptions!$B$47,0)+IF(AND(Projects!$G$7="Yes",Projects!$J$7="Yes",Projects!$K$7="No",66=Projects!$C$7),Projects!$B$7*Assumptions!$B$47,0)+IF(AND(Projects!$G$8="Yes",Projects!$J$8="Yes",Projects!$K$8="No",66=Projects!$C$8),Projects!$B$8*Assumptions!$B$47,0)+IF(AND(Projects!$G$9="Yes",Projects!$J$9="Yes",Projects!$K$9="No",66=Projects!$C$9),Projects!$B$9*Assumptions!$B$47,0)+IF(AND(Projects!$G$10="Yes",Projects!$J$10="Yes",Projects!$K$10="No",66=Projects!$C$10),Projects!$B$10*Assumptions!$B$47,0)+IF(AND(Projects!$G$11="Yes",Projects!$J$11="Yes",Projects!$K$11="No",66=Projects!$C$11),Projects!$B$11*Assumptions!$B$47,0)+IF(AND(Projects!$G$12="Yes",Projects!$J$12="Yes",Projects!$K$12="No",66=Projects!$C$12),Projects!$B$12*Assumptions!$B$47,0)+IF(AND(Projects!$G$13="Yes",Projects!$J$13="Yes",Projects!$K$13="No",66=Projects!$C$13),Projects!$B$13*Assumptions!$B$47,0)+IF(AND(Projects!$G$14="Yes",Projects!$J$14="Yes",Projects!$K$14="No",66=Projects!$C$14),Projects!$B$14*Assumptions!$B$47,0)),Actuals!BS107)</f>
        <v>-0</v>
      </c>
      <c r="BS287" s="13" t="n">
        <f aca="false">IF(ISBLANK(Actuals!BT107),-(IF(AND(Projects!$G$2="Yes",Projects!$J$2="Yes",Projects!$K$2="No",67=Projects!$C$2),Projects!$B$2*Assumptions!$B$47,0)+IF(AND(Projects!$G$3="Yes",Projects!$J$3="Yes",Projects!$K$3="No",67=Projects!$C$3),Projects!$B$3*Assumptions!$B$47,0)+IF(AND(Projects!$G$4="Yes",Projects!$J$4="Yes",Projects!$K$4="No",67=Projects!$C$4),Projects!$B$4*Assumptions!$B$47,0)+IF(AND(Projects!$G$5="Yes",Projects!$J$5="Yes",Projects!$K$5="No",67=Projects!$C$5),Projects!$B$5*Assumptions!$B$47,0)+IF(AND(Projects!$G$6="Yes",Projects!$J$6="Yes",Projects!$K$6="No",67=Projects!$C$6),Projects!$B$6*Assumptions!$B$47,0)+IF(AND(Projects!$G$7="Yes",Projects!$J$7="Yes",Projects!$K$7="No",67=Projects!$C$7),Projects!$B$7*Assumptions!$B$47,0)+IF(AND(Projects!$G$8="Yes",Projects!$J$8="Yes",Projects!$K$8="No",67=Projects!$C$8),Projects!$B$8*Assumptions!$B$47,0)+IF(AND(Projects!$G$9="Yes",Projects!$J$9="Yes",Projects!$K$9="No",67=Projects!$C$9),Projects!$B$9*Assumptions!$B$47,0)+IF(AND(Projects!$G$10="Yes",Projects!$J$10="Yes",Projects!$K$10="No",67=Projects!$C$10),Projects!$B$10*Assumptions!$B$47,0)+IF(AND(Projects!$G$11="Yes",Projects!$J$11="Yes",Projects!$K$11="No",67=Projects!$C$11),Projects!$B$11*Assumptions!$B$47,0)+IF(AND(Projects!$G$12="Yes",Projects!$J$12="Yes",Projects!$K$12="No",67=Projects!$C$12),Projects!$B$12*Assumptions!$B$47,0)+IF(AND(Projects!$G$13="Yes",Projects!$J$13="Yes",Projects!$K$13="No",67=Projects!$C$13),Projects!$B$13*Assumptions!$B$47,0)+IF(AND(Projects!$G$14="Yes",Projects!$J$14="Yes",Projects!$K$14="No",67=Projects!$C$14),Projects!$B$14*Assumptions!$B$47,0)),Actuals!BT107)</f>
        <v>-0</v>
      </c>
      <c r="BT287" s="13" t="n">
        <f aca="false">IF(ISBLANK(Actuals!BU107),-(IF(AND(Projects!$G$2="Yes",Projects!$J$2="Yes",Projects!$K$2="No",68=Projects!$C$2),Projects!$B$2*Assumptions!$B$47,0)+IF(AND(Projects!$G$3="Yes",Projects!$J$3="Yes",Projects!$K$3="No",68=Projects!$C$3),Projects!$B$3*Assumptions!$B$47,0)+IF(AND(Projects!$G$4="Yes",Projects!$J$4="Yes",Projects!$K$4="No",68=Projects!$C$4),Projects!$B$4*Assumptions!$B$47,0)+IF(AND(Projects!$G$5="Yes",Projects!$J$5="Yes",Projects!$K$5="No",68=Projects!$C$5),Projects!$B$5*Assumptions!$B$47,0)+IF(AND(Projects!$G$6="Yes",Projects!$J$6="Yes",Projects!$K$6="No",68=Projects!$C$6),Projects!$B$6*Assumptions!$B$47,0)+IF(AND(Projects!$G$7="Yes",Projects!$J$7="Yes",Projects!$K$7="No",68=Projects!$C$7),Projects!$B$7*Assumptions!$B$47,0)+IF(AND(Projects!$G$8="Yes",Projects!$J$8="Yes",Projects!$K$8="No",68=Projects!$C$8),Projects!$B$8*Assumptions!$B$47,0)+IF(AND(Projects!$G$9="Yes",Projects!$J$9="Yes",Projects!$K$9="No",68=Projects!$C$9),Projects!$B$9*Assumptions!$B$47,0)+IF(AND(Projects!$G$10="Yes",Projects!$J$10="Yes",Projects!$K$10="No",68=Projects!$C$10),Projects!$B$10*Assumptions!$B$47,0)+IF(AND(Projects!$G$11="Yes",Projects!$J$11="Yes",Projects!$K$11="No",68=Projects!$C$11),Projects!$B$11*Assumptions!$B$47,0)+IF(AND(Projects!$G$12="Yes",Projects!$J$12="Yes",Projects!$K$12="No",68=Projects!$C$12),Projects!$B$12*Assumptions!$B$47,0)+IF(AND(Projects!$G$13="Yes",Projects!$J$13="Yes",Projects!$K$13="No",68=Projects!$C$13),Projects!$B$13*Assumptions!$B$47,0)+IF(AND(Projects!$G$14="Yes",Projects!$J$14="Yes",Projects!$K$14="No",68=Projects!$C$14),Projects!$B$14*Assumptions!$B$47,0)),Actuals!BU107)</f>
        <v>-0</v>
      </c>
      <c r="BU287" s="13" t="n">
        <f aca="false">IF(ISBLANK(Actuals!BV107),-(IF(AND(Projects!$G$2="Yes",Projects!$J$2="Yes",Projects!$K$2="No",69=Projects!$C$2),Projects!$B$2*Assumptions!$B$47,0)+IF(AND(Projects!$G$3="Yes",Projects!$J$3="Yes",Projects!$K$3="No",69=Projects!$C$3),Projects!$B$3*Assumptions!$B$47,0)+IF(AND(Projects!$G$4="Yes",Projects!$J$4="Yes",Projects!$K$4="No",69=Projects!$C$4),Projects!$B$4*Assumptions!$B$47,0)+IF(AND(Projects!$G$5="Yes",Projects!$J$5="Yes",Projects!$K$5="No",69=Projects!$C$5),Projects!$B$5*Assumptions!$B$47,0)+IF(AND(Projects!$G$6="Yes",Projects!$J$6="Yes",Projects!$K$6="No",69=Projects!$C$6),Projects!$B$6*Assumptions!$B$47,0)+IF(AND(Projects!$G$7="Yes",Projects!$J$7="Yes",Projects!$K$7="No",69=Projects!$C$7),Projects!$B$7*Assumptions!$B$47,0)+IF(AND(Projects!$G$8="Yes",Projects!$J$8="Yes",Projects!$K$8="No",69=Projects!$C$8),Projects!$B$8*Assumptions!$B$47,0)+IF(AND(Projects!$G$9="Yes",Projects!$J$9="Yes",Projects!$K$9="No",69=Projects!$C$9),Projects!$B$9*Assumptions!$B$47,0)+IF(AND(Projects!$G$10="Yes",Projects!$J$10="Yes",Projects!$K$10="No",69=Projects!$C$10),Projects!$B$10*Assumptions!$B$47,0)+IF(AND(Projects!$G$11="Yes",Projects!$J$11="Yes",Projects!$K$11="No",69=Projects!$C$11),Projects!$B$11*Assumptions!$B$47,0)+IF(AND(Projects!$G$12="Yes",Projects!$J$12="Yes",Projects!$K$12="No",69=Projects!$C$12),Projects!$B$12*Assumptions!$B$47,0)+IF(AND(Projects!$G$13="Yes",Projects!$J$13="Yes",Projects!$K$13="No",69=Projects!$C$13),Projects!$B$13*Assumptions!$B$47,0)+IF(AND(Projects!$G$14="Yes",Projects!$J$14="Yes",Projects!$K$14="No",69=Projects!$C$14),Projects!$B$14*Assumptions!$B$47,0)),Actuals!BV107)</f>
        <v>-0</v>
      </c>
      <c r="BV287" s="13" t="n">
        <f aca="false">IF(ISBLANK(Actuals!BW107),-(IF(AND(Projects!$G$2="Yes",Projects!$J$2="Yes",Projects!$K$2="No",70=Projects!$C$2),Projects!$B$2*Assumptions!$B$47,0)+IF(AND(Projects!$G$3="Yes",Projects!$J$3="Yes",Projects!$K$3="No",70=Projects!$C$3),Projects!$B$3*Assumptions!$B$47,0)+IF(AND(Projects!$G$4="Yes",Projects!$J$4="Yes",Projects!$K$4="No",70=Projects!$C$4),Projects!$B$4*Assumptions!$B$47,0)+IF(AND(Projects!$G$5="Yes",Projects!$J$5="Yes",Projects!$K$5="No",70=Projects!$C$5),Projects!$B$5*Assumptions!$B$47,0)+IF(AND(Projects!$G$6="Yes",Projects!$J$6="Yes",Projects!$K$6="No",70=Projects!$C$6),Projects!$B$6*Assumptions!$B$47,0)+IF(AND(Projects!$G$7="Yes",Projects!$J$7="Yes",Projects!$K$7="No",70=Projects!$C$7),Projects!$B$7*Assumptions!$B$47,0)+IF(AND(Projects!$G$8="Yes",Projects!$J$8="Yes",Projects!$K$8="No",70=Projects!$C$8),Projects!$B$8*Assumptions!$B$47,0)+IF(AND(Projects!$G$9="Yes",Projects!$J$9="Yes",Projects!$K$9="No",70=Projects!$C$9),Projects!$B$9*Assumptions!$B$47,0)+IF(AND(Projects!$G$10="Yes",Projects!$J$10="Yes",Projects!$K$10="No",70=Projects!$C$10),Projects!$B$10*Assumptions!$B$47,0)+IF(AND(Projects!$G$11="Yes",Projects!$J$11="Yes",Projects!$K$11="No",70=Projects!$C$11),Projects!$B$11*Assumptions!$B$47,0)+IF(AND(Projects!$G$12="Yes",Projects!$J$12="Yes",Projects!$K$12="No",70=Projects!$C$12),Projects!$B$12*Assumptions!$B$47,0)+IF(AND(Projects!$G$13="Yes",Projects!$J$13="Yes",Projects!$K$13="No",70=Projects!$C$13),Projects!$B$13*Assumptions!$B$47,0)+IF(AND(Projects!$G$14="Yes",Projects!$J$14="Yes",Projects!$K$14="No",70=Projects!$C$14),Projects!$B$14*Assumptions!$B$47,0)),Actuals!BW107)</f>
        <v>-0</v>
      </c>
      <c r="BW287" s="13" t="n">
        <f aca="false">IF(ISBLANK(Actuals!BX107),-(IF(AND(Projects!$G$2="Yes",Projects!$J$2="Yes",Projects!$K$2="No",71=Projects!$C$2),Projects!$B$2*Assumptions!$B$47,0)+IF(AND(Projects!$G$3="Yes",Projects!$J$3="Yes",Projects!$K$3="No",71=Projects!$C$3),Projects!$B$3*Assumptions!$B$47,0)+IF(AND(Projects!$G$4="Yes",Projects!$J$4="Yes",Projects!$K$4="No",71=Projects!$C$4),Projects!$B$4*Assumptions!$B$47,0)+IF(AND(Projects!$G$5="Yes",Projects!$J$5="Yes",Projects!$K$5="No",71=Projects!$C$5),Projects!$B$5*Assumptions!$B$47,0)+IF(AND(Projects!$G$6="Yes",Projects!$J$6="Yes",Projects!$K$6="No",71=Projects!$C$6),Projects!$B$6*Assumptions!$B$47,0)+IF(AND(Projects!$G$7="Yes",Projects!$J$7="Yes",Projects!$K$7="No",71=Projects!$C$7),Projects!$B$7*Assumptions!$B$47,0)+IF(AND(Projects!$G$8="Yes",Projects!$J$8="Yes",Projects!$K$8="No",71=Projects!$C$8),Projects!$B$8*Assumptions!$B$47,0)+IF(AND(Projects!$G$9="Yes",Projects!$J$9="Yes",Projects!$K$9="No",71=Projects!$C$9),Projects!$B$9*Assumptions!$B$47,0)+IF(AND(Projects!$G$10="Yes",Projects!$J$10="Yes",Projects!$K$10="No",71=Projects!$C$10),Projects!$B$10*Assumptions!$B$47,0)+IF(AND(Projects!$G$11="Yes",Projects!$J$11="Yes",Projects!$K$11="No",71=Projects!$C$11),Projects!$B$11*Assumptions!$B$47,0)+IF(AND(Projects!$G$12="Yes",Projects!$J$12="Yes",Projects!$K$12="No",71=Projects!$C$12),Projects!$B$12*Assumptions!$B$47,0)+IF(AND(Projects!$G$13="Yes",Projects!$J$13="Yes",Projects!$K$13="No",71=Projects!$C$13),Projects!$B$13*Assumptions!$B$47,0)+IF(AND(Projects!$G$14="Yes",Projects!$J$14="Yes",Projects!$K$14="No",71=Projects!$C$14),Projects!$B$14*Assumptions!$B$47,0)),Actuals!BX107)</f>
        <v>-0</v>
      </c>
      <c r="BX287" s="13" t="n">
        <f aca="false">IF(ISBLANK(Actuals!BY107),-(IF(AND(Projects!$G$2="Yes",Projects!$J$2="Yes",Projects!$K$2="No",72=Projects!$C$2),Projects!$B$2*Assumptions!$B$47,0)+IF(AND(Projects!$G$3="Yes",Projects!$J$3="Yes",Projects!$K$3="No",72=Projects!$C$3),Projects!$B$3*Assumptions!$B$47,0)+IF(AND(Projects!$G$4="Yes",Projects!$J$4="Yes",Projects!$K$4="No",72=Projects!$C$4),Projects!$B$4*Assumptions!$B$47,0)+IF(AND(Projects!$G$5="Yes",Projects!$J$5="Yes",Projects!$K$5="No",72=Projects!$C$5),Projects!$B$5*Assumptions!$B$47,0)+IF(AND(Projects!$G$6="Yes",Projects!$J$6="Yes",Projects!$K$6="No",72=Projects!$C$6),Projects!$B$6*Assumptions!$B$47,0)+IF(AND(Projects!$G$7="Yes",Projects!$J$7="Yes",Projects!$K$7="No",72=Projects!$C$7),Projects!$B$7*Assumptions!$B$47,0)+IF(AND(Projects!$G$8="Yes",Projects!$J$8="Yes",Projects!$K$8="No",72=Projects!$C$8),Projects!$B$8*Assumptions!$B$47,0)+IF(AND(Projects!$G$9="Yes",Projects!$J$9="Yes",Projects!$K$9="No",72=Projects!$C$9),Projects!$B$9*Assumptions!$B$47,0)+IF(AND(Projects!$G$10="Yes",Projects!$J$10="Yes",Projects!$K$10="No",72=Projects!$C$10),Projects!$B$10*Assumptions!$B$47,0)+IF(AND(Projects!$G$11="Yes",Projects!$J$11="Yes",Projects!$K$11="No",72=Projects!$C$11),Projects!$B$11*Assumptions!$B$47,0)+IF(AND(Projects!$G$12="Yes",Projects!$J$12="Yes",Projects!$K$12="No",72=Projects!$C$12),Projects!$B$12*Assumptions!$B$47,0)+IF(AND(Projects!$G$13="Yes",Projects!$J$13="Yes",Projects!$K$13="No",72=Projects!$C$13),Projects!$B$13*Assumptions!$B$47,0)+IF(AND(Projects!$G$14="Yes",Projects!$J$14="Yes",Projects!$K$14="No",72=Projects!$C$14),Projects!$B$14*Assumptions!$B$47,0)),Actuals!BY107)</f>
        <v>-0</v>
      </c>
      <c r="BY287" s="13" t="n">
        <f aca="false">IF(ISBLANK(Actuals!BZ107),-(IF(AND(Projects!$G$2="Yes",Projects!$J$2="Yes",Projects!$K$2="No",73=Projects!$C$2),Projects!$B$2*Assumptions!$B$47,0)+IF(AND(Projects!$G$3="Yes",Projects!$J$3="Yes",Projects!$K$3="No",73=Projects!$C$3),Projects!$B$3*Assumptions!$B$47,0)+IF(AND(Projects!$G$4="Yes",Projects!$J$4="Yes",Projects!$K$4="No",73=Projects!$C$4),Projects!$B$4*Assumptions!$B$47,0)+IF(AND(Projects!$G$5="Yes",Projects!$J$5="Yes",Projects!$K$5="No",73=Projects!$C$5),Projects!$B$5*Assumptions!$B$47,0)+IF(AND(Projects!$G$6="Yes",Projects!$J$6="Yes",Projects!$K$6="No",73=Projects!$C$6),Projects!$B$6*Assumptions!$B$47,0)+IF(AND(Projects!$G$7="Yes",Projects!$J$7="Yes",Projects!$K$7="No",73=Projects!$C$7),Projects!$B$7*Assumptions!$B$47,0)+IF(AND(Projects!$G$8="Yes",Projects!$J$8="Yes",Projects!$K$8="No",73=Projects!$C$8),Projects!$B$8*Assumptions!$B$47,0)+IF(AND(Projects!$G$9="Yes",Projects!$J$9="Yes",Projects!$K$9="No",73=Projects!$C$9),Projects!$B$9*Assumptions!$B$47,0)+IF(AND(Projects!$G$10="Yes",Projects!$J$10="Yes",Projects!$K$10="No",73=Projects!$C$10),Projects!$B$10*Assumptions!$B$47,0)+IF(AND(Projects!$G$11="Yes",Projects!$J$11="Yes",Projects!$K$11="No",73=Projects!$C$11),Projects!$B$11*Assumptions!$B$47,0)+IF(AND(Projects!$G$12="Yes",Projects!$J$12="Yes",Projects!$K$12="No",73=Projects!$C$12),Projects!$B$12*Assumptions!$B$47,0)+IF(AND(Projects!$G$13="Yes",Projects!$J$13="Yes",Projects!$K$13="No",73=Projects!$C$13),Projects!$B$13*Assumptions!$B$47,0)+IF(AND(Projects!$G$14="Yes",Projects!$J$14="Yes",Projects!$K$14="No",73=Projects!$C$14),Projects!$B$14*Assumptions!$B$47,0)),Actuals!BZ107)</f>
        <v>-0</v>
      </c>
      <c r="BZ287" s="13" t="n">
        <f aca="false">IF(ISBLANK(Actuals!CA107),-(IF(AND(Projects!$G$2="Yes",Projects!$J$2="Yes",Projects!$K$2="No",74=Projects!$C$2),Projects!$B$2*Assumptions!$B$47,0)+IF(AND(Projects!$G$3="Yes",Projects!$J$3="Yes",Projects!$K$3="No",74=Projects!$C$3),Projects!$B$3*Assumptions!$B$47,0)+IF(AND(Projects!$G$4="Yes",Projects!$J$4="Yes",Projects!$K$4="No",74=Projects!$C$4),Projects!$B$4*Assumptions!$B$47,0)+IF(AND(Projects!$G$5="Yes",Projects!$J$5="Yes",Projects!$K$5="No",74=Projects!$C$5),Projects!$B$5*Assumptions!$B$47,0)+IF(AND(Projects!$G$6="Yes",Projects!$J$6="Yes",Projects!$K$6="No",74=Projects!$C$6),Projects!$B$6*Assumptions!$B$47,0)+IF(AND(Projects!$G$7="Yes",Projects!$J$7="Yes",Projects!$K$7="No",74=Projects!$C$7),Projects!$B$7*Assumptions!$B$47,0)+IF(AND(Projects!$G$8="Yes",Projects!$J$8="Yes",Projects!$K$8="No",74=Projects!$C$8),Projects!$B$8*Assumptions!$B$47,0)+IF(AND(Projects!$G$9="Yes",Projects!$J$9="Yes",Projects!$K$9="No",74=Projects!$C$9),Projects!$B$9*Assumptions!$B$47,0)+IF(AND(Projects!$G$10="Yes",Projects!$J$10="Yes",Projects!$K$10="No",74=Projects!$C$10),Projects!$B$10*Assumptions!$B$47,0)+IF(AND(Projects!$G$11="Yes",Projects!$J$11="Yes",Projects!$K$11="No",74=Projects!$C$11),Projects!$B$11*Assumptions!$B$47,0)+IF(AND(Projects!$G$12="Yes",Projects!$J$12="Yes",Projects!$K$12="No",74=Projects!$C$12),Projects!$B$12*Assumptions!$B$47,0)+IF(AND(Projects!$G$13="Yes",Projects!$J$13="Yes",Projects!$K$13="No",74=Projects!$C$13),Projects!$B$13*Assumptions!$B$47,0)+IF(AND(Projects!$G$14="Yes",Projects!$J$14="Yes",Projects!$K$14="No",74=Projects!$C$14),Projects!$B$14*Assumptions!$B$47,0)),Actuals!CA107)</f>
        <v>-0</v>
      </c>
      <c r="CA287" s="13" t="n">
        <f aca="false">IF(ISBLANK(Actuals!CB107),-(IF(AND(Projects!$G$2="Yes",Projects!$J$2="Yes",Projects!$K$2="No",75=Projects!$C$2),Projects!$B$2*Assumptions!$B$47,0)+IF(AND(Projects!$G$3="Yes",Projects!$J$3="Yes",Projects!$K$3="No",75=Projects!$C$3),Projects!$B$3*Assumptions!$B$47,0)+IF(AND(Projects!$G$4="Yes",Projects!$J$4="Yes",Projects!$K$4="No",75=Projects!$C$4),Projects!$B$4*Assumptions!$B$47,0)+IF(AND(Projects!$G$5="Yes",Projects!$J$5="Yes",Projects!$K$5="No",75=Projects!$C$5),Projects!$B$5*Assumptions!$B$47,0)+IF(AND(Projects!$G$6="Yes",Projects!$J$6="Yes",Projects!$K$6="No",75=Projects!$C$6),Projects!$B$6*Assumptions!$B$47,0)+IF(AND(Projects!$G$7="Yes",Projects!$J$7="Yes",Projects!$K$7="No",75=Projects!$C$7),Projects!$B$7*Assumptions!$B$47,0)+IF(AND(Projects!$G$8="Yes",Projects!$J$8="Yes",Projects!$K$8="No",75=Projects!$C$8),Projects!$B$8*Assumptions!$B$47,0)+IF(AND(Projects!$G$9="Yes",Projects!$J$9="Yes",Projects!$K$9="No",75=Projects!$C$9),Projects!$B$9*Assumptions!$B$47,0)+IF(AND(Projects!$G$10="Yes",Projects!$J$10="Yes",Projects!$K$10="No",75=Projects!$C$10),Projects!$B$10*Assumptions!$B$47,0)+IF(AND(Projects!$G$11="Yes",Projects!$J$11="Yes",Projects!$K$11="No",75=Projects!$C$11),Projects!$B$11*Assumptions!$B$47,0)+IF(AND(Projects!$G$12="Yes",Projects!$J$12="Yes",Projects!$K$12="No",75=Projects!$C$12),Projects!$B$12*Assumptions!$B$47,0)+IF(AND(Projects!$G$13="Yes",Projects!$J$13="Yes",Projects!$K$13="No",75=Projects!$C$13),Projects!$B$13*Assumptions!$B$47,0)+IF(AND(Projects!$G$14="Yes",Projects!$J$14="Yes",Projects!$K$14="No",75=Projects!$C$14),Projects!$B$14*Assumptions!$B$47,0)),Actuals!CB107)</f>
        <v>-0</v>
      </c>
      <c r="CB287" s="13" t="n">
        <f aca="false">IF(ISBLANK(Actuals!CC107),-(IF(AND(Projects!$G$2="Yes",Projects!$J$2="Yes",Projects!$K$2="No",76=Projects!$C$2),Projects!$B$2*Assumptions!$B$47,0)+IF(AND(Projects!$G$3="Yes",Projects!$J$3="Yes",Projects!$K$3="No",76=Projects!$C$3),Projects!$B$3*Assumptions!$B$47,0)+IF(AND(Projects!$G$4="Yes",Projects!$J$4="Yes",Projects!$K$4="No",76=Projects!$C$4),Projects!$B$4*Assumptions!$B$47,0)+IF(AND(Projects!$G$5="Yes",Projects!$J$5="Yes",Projects!$K$5="No",76=Projects!$C$5),Projects!$B$5*Assumptions!$B$47,0)+IF(AND(Projects!$G$6="Yes",Projects!$J$6="Yes",Projects!$K$6="No",76=Projects!$C$6),Projects!$B$6*Assumptions!$B$47,0)+IF(AND(Projects!$G$7="Yes",Projects!$J$7="Yes",Projects!$K$7="No",76=Projects!$C$7),Projects!$B$7*Assumptions!$B$47,0)+IF(AND(Projects!$G$8="Yes",Projects!$J$8="Yes",Projects!$K$8="No",76=Projects!$C$8),Projects!$B$8*Assumptions!$B$47,0)+IF(AND(Projects!$G$9="Yes",Projects!$J$9="Yes",Projects!$K$9="No",76=Projects!$C$9),Projects!$B$9*Assumptions!$B$47,0)+IF(AND(Projects!$G$10="Yes",Projects!$J$10="Yes",Projects!$K$10="No",76=Projects!$C$10),Projects!$B$10*Assumptions!$B$47,0)+IF(AND(Projects!$G$11="Yes",Projects!$J$11="Yes",Projects!$K$11="No",76=Projects!$C$11),Projects!$B$11*Assumptions!$B$47,0)+IF(AND(Projects!$G$12="Yes",Projects!$J$12="Yes",Projects!$K$12="No",76=Projects!$C$12),Projects!$B$12*Assumptions!$B$47,0)+IF(AND(Projects!$G$13="Yes",Projects!$J$13="Yes",Projects!$K$13="No",76=Projects!$C$13),Projects!$B$13*Assumptions!$B$47,0)+IF(AND(Projects!$G$14="Yes",Projects!$J$14="Yes",Projects!$K$14="No",76=Projects!$C$14),Projects!$B$14*Assumptions!$B$47,0)),Actuals!CC107)</f>
        <v>-0</v>
      </c>
      <c r="CC287" s="13" t="n">
        <f aca="false">IF(ISBLANK(Actuals!CD107),-(IF(AND(Projects!$G$2="Yes",Projects!$J$2="Yes",Projects!$K$2="No",77=Projects!$C$2),Projects!$B$2*Assumptions!$B$47,0)+IF(AND(Projects!$G$3="Yes",Projects!$J$3="Yes",Projects!$K$3="No",77=Projects!$C$3),Projects!$B$3*Assumptions!$B$47,0)+IF(AND(Projects!$G$4="Yes",Projects!$J$4="Yes",Projects!$K$4="No",77=Projects!$C$4),Projects!$B$4*Assumptions!$B$47,0)+IF(AND(Projects!$G$5="Yes",Projects!$J$5="Yes",Projects!$K$5="No",77=Projects!$C$5),Projects!$B$5*Assumptions!$B$47,0)+IF(AND(Projects!$G$6="Yes",Projects!$J$6="Yes",Projects!$K$6="No",77=Projects!$C$6),Projects!$B$6*Assumptions!$B$47,0)+IF(AND(Projects!$G$7="Yes",Projects!$J$7="Yes",Projects!$K$7="No",77=Projects!$C$7),Projects!$B$7*Assumptions!$B$47,0)+IF(AND(Projects!$G$8="Yes",Projects!$J$8="Yes",Projects!$K$8="No",77=Projects!$C$8),Projects!$B$8*Assumptions!$B$47,0)+IF(AND(Projects!$G$9="Yes",Projects!$J$9="Yes",Projects!$K$9="No",77=Projects!$C$9),Projects!$B$9*Assumptions!$B$47,0)+IF(AND(Projects!$G$10="Yes",Projects!$J$10="Yes",Projects!$K$10="No",77=Projects!$C$10),Projects!$B$10*Assumptions!$B$47,0)+IF(AND(Projects!$G$11="Yes",Projects!$J$11="Yes",Projects!$K$11="No",77=Projects!$C$11),Projects!$B$11*Assumptions!$B$47,0)+IF(AND(Projects!$G$12="Yes",Projects!$J$12="Yes",Projects!$K$12="No",77=Projects!$C$12),Projects!$B$12*Assumptions!$B$47,0)+IF(AND(Projects!$G$13="Yes",Projects!$J$13="Yes",Projects!$K$13="No",77=Projects!$C$13),Projects!$B$13*Assumptions!$B$47,0)+IF(AND(Projects!$G$14="Yes",Projects!$J$14="Yes",Projects!$K$14="No",77=Projects!$C$14),Projects!$B$14*Assumptions!$B$47,0)),Actuals!CD107)</f>
        <v>-0</v>
      </c>
      <c r="CD287" s="13" t="n">
        <f aca="false">IF(ISBLANK(Actuals!CE107),-(IF(AND(Projects!$G$2="Yes",Projects!$J$2="Yes",Projects!$K$2="No",78=Projects!$C$2),Projects!$B$2*Assumptions!$B$47,0)+IF(AND(Projects!$G$3="Yes",Projects!$J$3="Yes",Projects!$K$3="No",78=Projects!$C$3),Projects!$B$3*Assumptions!$B$47,0)+IF(AND(Projects!$G$4="Yes",Projects!$J$4="Yes",Projects!$K$4="No",78=Projects!$C$4),Projects!$B$4*Assumptions!$B$47,0)+IF(AND(Projects!$G$5="Yes",Projects!$J$5="Yes",Projects!$K$5="No",78=Projects!$C$5),Projects!$B$5*Assumptions!$B$47,0)+IF(AND(Projects!$G$6="Yes",Projects!$J$6="Yes",Projects!$K$6="No",78=Projects!$C$6),Projects!$B$6*Assumptions!$B$47,0)+IF(AND(Projects!$G$7="Yes",Projects!$J$7="Yes",Projects!$K$7="No",78=Projects!$C$7),Projects!$B$7*Assumptions!$B$47,0)+IF(AND(Projects!$G$8="Yes",Projects!$J$8="Yes",Projects!$K$8="No",78=Projects!$C$8),Projects!$B$8*Assumptions!$B$47,0)+IF(AND(Projects!$G$9="Yes",Projects!$J$9="Yes",Projects!$K$9="No",78=Projects!$C$9),Projects!$B$9*Assumptions!$B$47,0)+IF(AND(Projects!$G$10="Yes",Projects!$J$10="Yes",Projects!$K$10="No",78=Projects!$C$10),Projects!$B$10*Assumptions!$B$47,0)+IF(AND(Projects!$G$11="Yes",Projects!$J$11="Yes",Projects!$K$11="No",78=Projects!$C$11),Projects!$B$11*Assumptions!$B$47,0)+IF(AND(Projects!$G$12="Yes",Projects!$J$12="Yes",Projects!$K$12="No",78=Projects!$C$12),Projects!$B$12*Assumptions!$B$47,0)+IF(AND(Projects!$G$13="Yes",Projects!$J$13="Yes",Projects!$K$13="No",78=Projects!$C$13),Projects!$B$13*Assumptions!$B$47,0)+IF(AND(Projects!$G$14="Yes",Projects!$J$14="Yes",Projects!$K$14="No",78=Projects!$C$14),Projects!$B$14*Assumptions!$B$47,0)),Actuals!CE107)</f>
        <v>-0</v>
      </c>
      <c r="CE287" s="13" t="n">
        <f aca="false">IF(ISBLANK(Actuals!CF107),-(IF(AND(Projects!$G$2="Yes",Projects!$J$2="Yes",Projects!$K$2="No",79=Projects!$C$2),Projects!$B$2*Assumptions!$B$47,0)+IF(AND(Projects!$G$3="Yes",Projects!$J$3="Yes",Projects!$K$3="No",79=Projects!$C$3),Projects!$B$3*Assumptions!$B$47,0)+IF(AND(Projects!$G$4="Yes",Projects!$J$4="Yes",Projects!$K$4="No",79=Projects!$C$4),Projects!$B$4*Assumptions!$B$47,0)+IF(AND(Projects!$G$5="Yes",Projects!$J$5="Yes",Projects!$K$5="No",79=Projects!$C$5),Projects!$B$5*Assumptions!$B$47,0)+IF(AND(Projects!$G$6="Yes",Projects!$J$6="Yes",Projects!$K$6="No",79=Projects!$C$6),Projects!$B$6*Assumptions!$B$47,0)+IF(AND(Projects!$G$7="Yes",Projects!$J$7="Yes",Projects!$K$7="No",79=Projects!$C$7),Projects!$B$7*Assumptions!$B$47,0)+IF(AND(Projects!$G$8="Yes",Projects!$J$8="Yes",Projects!$K$8="No",79=Projects!$C$8),Projects!$B$8*Assumptions!$B$47,0)+IF(AND(Projects!$G$9="Yes",Projects!$J$9="Yes",Projects!$K$9="No",79=Projects!$C$9),Projects!$B$9*Assumptions!$B$47,0)+IF(AND(Projects!$G$10="Yes",Projects!$J$10="Yes",Projects!$K$10="No",79=Projects!$C$10),Projects!$B$10*Assumptions!$B$47,0)+IF(AND(Projects!$G$11="Yes",Projects!$J$11="Yes",Projects!$K$11="No",79=Projects!$C$11),Projects!$B$11*Assumptions!$B$47,0)+IF(AND(Projects!$G$12="Yes",Projects!$J$12="Yes",Projects!$K$12="No",79=Projects!$C$12),Projects!$B$12*Assumptions!$B$47,0)+IF(AND(Projects!$G$13="Yes",Projects!$J$13="Yes",Projects!$K$13="No",79=Projects!$C$13),Projects!$B$13*Assumptions!$B$47,0)+IF(AND(Projects!$G$14="Yes",Projects!$J$14="Yes",Projects!$K$14="No",79=Projects!$C$14),Projects!$B$14*Assumptions!$B$47,0)),Actuals!CF107)</f>
        <v>-0</v>
      </c>
      <c r="CF287" s="13" t="n">
        <f aca="false">IF(ISBLANK(Actuals!CG107),-(IF(AND(Projects!$G$2="Yes",Projects!$J$2="Yes",Projects!$K$2="No",80=Projects!$C$2),Projects!$B$2*Assumptions!$B$47,0)+IF(AND(Projects!$G$3="Yes",Projects!$J$3="Yes",Projects!$K$3="No",80=Projects!$C$3),Projects!$B$3*Assumptions!$B$47,0)+IF(AND(Projects!$G$4="Yes",Projects!$J$4="Yes",Projects!$K$4="No",80=Projects!$C$4),Projects!$B$4*Assumptions!$B$47,0)+IF(AND(Projects!$G$5="Yes",Projects!$J$5="Yes",Projects!$K$5="No",80=Projects!$C$5),Projects!$B$5*Assumptions!$B$47,0)+IF(AND(Projects!$G$6="Yes",Projects!$J$6="Yes",Projects!$K$6="No",80=Projects!$C$6),Projects!$B$6*Assumptions!$B$47,0)+IF(AND(Projects!$G$7="Yes",Projects!$J$7="Yes",Projects!$K$7="No",80=Projects!$C$7),Projects!$B$7*Assumptions!$B$47,0)+IF(AND(Projects!$G$8="Yes",Projects!$J$8="Yes",Projects!$K$8="No",80=Projects!$C$8),Projects!$B$8*Assumptions!$B$47,0)+IF(AND(Projects!$G$9="Yes",Projects!$J$9="Yes",Projects!$K$9="No",80=Projects!$C$9),Projects!$B$9*Assumptions!$B$47,0)+IF(AND(Projects!$G$10="Yes",Projects!$J$10="Yes",Projects!$K$10="No",80=Projects!$C$10),Projects!$B$10*Assumptions!$B$47,0)+IF(AND(Projects!$G$11="Yes",Projects!$J$11="Yes",Projects!$K$11="No",80=Projects!$C$11),Projects!$B$11*Assumptions!$B$47,0)+IF(AND(Projects!$G$12="Yes",Projects!$J$12="Yes",Projects!$K$12="No",80=Projects!$C$12),Projects!$B$12*Assumptions!$B$47,0)+IF(AND(Projects!$G$13="Yes",Projects!$J$13="Yes",Projects!$K$13="No",80=Projects!$C$13),Projects!$B$13*Assumptions!$B$47,0)+IF(AND(Projects!$G$14="Yes",Projects!$J$14="Yes",Projects!$K$14="No",80=Projects!$C$14),Projects!$B$14*Assumptions!$B$47,0)),Actuals!CG107)</f>
        <v>-0</v>
      </c>
      <c r="CG287" s="13" t="n">
        <f aca="false">IF(ISBLANK(Actuals!CH107),-(IF(AND(Projects!$G$2="Yes",Projects!$J$2="Yes",Projects!$K$2="No",81=Projects!$C$2),Projects!$B$2*Assumptions!$B$47,0)+IF(AND(Projects!$G$3="Yes",Projects!$J$3="Yes",Projects!$K$3="No",81=Projects!$C$3),Projects!$B$3*Assumptions!$B$47,0)+IF(AND(Projects!$G$4="Yes",Projects!$J$4="Yes",Projects!$K$4="No",81=Projects!$C$4),Projects!$B$4*Assumptions!$B$47,0)+IF(AND(Projects!$G$5="Yes",Projects!$J$5="Yes",Projects!$K$5="No",81=Projects!$C$5),Projects!$B$5*Assumptions!$B$47,0)+IF(AND(Projects!$G$6="Yes",Projects!$J$6="Yes",Projects!$K$6="No",81=Projects!$C$6),Projects!$B$6*Assumptions!$B$47,0)+IF(AND(Projects!$G$7="Yes",Projects!$J$7="Yes",Projects!$K$7="No",81=Projects!$C$7),Projects!$B$7*Assumptions!$B$47,0)+IF(AND(Projects!$G$8="Yes",Projects!$J$8="Yes",Projects!$K$8="No",81=Projects!$C$8),Projects!$B$8*Assumptions!$B$47,0)+IF(AND(Projects!$G$9="Yes",Projects!$J$9="Yes",Projects!$K$9="No",81=Projects!$C$9),Projects!$B$9*Assumptions!$B$47,0)+IF(AND(Projects!$G$10="Yes",Projects!$J$10="Yes",Projects!$K$10="No",81=Projects!$C$10),Projects!$B$10*Assumptions!$B$47,0)+IF(AND(Projects!$G$11="Yes",Projects!$J$11="Yes",Projects!$K$11="No",81=Projects!$C$11),Projects!$B$11*Assumptions!$B$47,0)+IF(AND(Projects!$G$12="Yes",Projects!$J$12="Yes",Projects!$K$12="No",81=Projects!$C$12),Projects!$B$12*Assumptions!$B$47,0)+IF(AND(Projects!$G$13="Yes",Projects!$J$13="Yes",Projects!$K$13="No",81=Projects!$C$13),Projects!$B$13*Assumptions!$B$47,0)+IF(AND(Projects!$G$14="Yes",Projects!$J$14="Yes",Projects!$K$14="No",81=Projects!$C$14),Projects!$B$14*Assumptions!$B$47,0)),Actuals!CH107)</f>
        <v>-0</v>
      </c>
      <c r="CH287" s="13" t="n">
        <f aca="false">IF(ISBLANK(Actuals!CI107),-(IF(AND(Projects!$G$2="Yes",Projects!$J$2="Yes",Projects!$K$2="No",82=Projects!$C$2),Projects!$B$2*Assumptions!$B$47,0)+IF(AND(Projects!$G$3="Yes",Projects!$J$3="Yes",Projects!$K$3="No",82=Projects!$C$3),Projects!$B$3*Assumptions!$B$47,0)+IF(AND(Projects!$G$4="Yes",Projects!$J$4="Yes",Projects!$K$4="No",82=Projects!$C$4),Projects!$B$4*Assumptions!$B$47,0)+IF(AND(Projects!$G$5="Yes",Projects!$J$5="Yes",Projects!$K$5="No",82=Projects!$C$5),Projects!$B$5*Assumptions!$B$47,0)+IF(AND(Projects!$G$6="Yes",Projects!$J$6="Yes",Projects!$K$6="No",82=Projects!$C$6),Projects!$B$6*Assumptions!$B$47,0)+IF(AND(Projects!$G$7="Yes",Projects!$J$7="Yes",Projects!$K$7="No",82=Projects!$C$7),Projects!$B$7*Assumptions!$B$47,0)+IF(AND(Projects!$G$8="Yes",Projects!$J$8="Yes",Projects!$K$8="No",82=Projects!$C$8),Projects!$B$8*Assumptions!$B$47,0)+IF(AND(Projects!$G$9="Yes",Projects!$J$9="Yes",Projects!$K$9="No",82=Projects!$C$9),Projects!$B$9*Assumptions!$B$47,0)+IF(AND(Projects!$G$10="Yes",Projects!$J$10="Yes",Projects!$K$10="No",82=Projects!$C$10),Projects!$B$10*Assumptions!$B$47,0)+IF(AND(Projects!$G$11="Yes",Projects!$J$11="Yes",Projects!$K$11="No",82=Projects!$C$11),Projects!$B$11*Assumptions!$B$47,0)+IF(AND(Projects!$G$12="Yes",Projects!$J$12="Yes",Projects!$K$12="No",82=Projects!$C$12),Projects!$B$12*Assumptions!$B$47,0)+IF(AND(Projects!$G$13="Yes",Projects!$J$13="Yes",Projects!$K$13="No",82=Projects!$C$13),Projects!$B$13*Assumptions!$B$47,0)+IF(AND(Projects!$G$14="Yes",Projects!$J$14="Yes",Projects!$K$14="No",82=Projects!$C$14),Projects!$B$14*Assumptions!$B$47,0)),Actuals!CI107)</f>
        <v>-0</v>
      </c>
      <c r="CI287" s="13" t="n">
        <f aca="false">IF(ISBLANK(Actuals!CJ107),-(IF(AND(Projects!$G$2="Yes",Projects!$J$2="Yes",Projects!$K$2="No",83=Projects!$C$2),Projects!$B$2*Assumptions!$B$47,0)+IF(AND(Projects!$G$3="Yes",Projects!$J$3="Yes",Projects!$K$3="No",83=Projects!$C$3),Projects!$B$3*Assumptions!$B$47,0)+IF(AND(Projects!$G$4="Yes",Projects!$J$4="Yes",Projects!$K$4="No",83=Projects!$C$4),Projects!$B$4*Assumptions!$B$47,0)+IF(AND(Projects!$G$5="Yes",Projects!$J$5="Yes",Projects!$K$5="No",83=Projects!$C$5),Projects!$B$5*Assumptions!$B$47,0)+IF(AND(Projects!$G$6="Yes",Projects!$J$6="Yes",Projects!$K$6="No",83=Projects!$C$6),Projects!$B$6*Assumptions!$B$47,0)+IF(AND(Projects!$G$7="Yes",Projects!$J$7="Yes",Projects!$K$7="No",83=Projects!$C$7),Projects!$B$7*Assumptions!$B$47,0)+IF(AND(Projects!$G$8="Yes",Projects!$J$8="Yes",Projects!$K$8="No",83=Projects!$C$8),Projects!$B$8*Assumptions!$B$47,0)+IF(AND(Projects!$G$9="Yes",Projects!$J$9="Yes",Projects!$K$9="No",83=Projects!$C$9),Projects!$B$9*Assumptions!$B$47,0)+IF(AND(Projects!$G$10="Yes",Projects!$J$10="Yes",Projects!$K$10="No",83=Projects!$C$10),Projects!$B$10*Assumptions!$B$47,0)+IF(AND(Projects!$G$11="Yes",Projects!$J$11="Yes",Projects!$K$11="No",83=Projects!$C$11),Projects!$B$11*Assumptions!$B$47,0)+IF(AND(Projects!$G$12="Yes",Projects!$J$12="Yes",Projects!$K$12="No",83=Projects!$C$12),Projects!$B$12*Assumptions!$B$47,0)+IF(AND(Projects!$G$13="Yes",Projects!$J$13="Yes",Projects!$K$13="No",83=Projects!$C$13),Projects!$B$13*Assumptions!$B$47,0)+IF(AND(Projects!$G$14="Yes",Projects!$J$14="Yes",Projects!$K$14="No",83=Projects!$C$14),Projects!$B$14*Assumptions!$B$47,0)),Actuals!CJ107)</f>
        <v>-0</v>
      </c>
      <c r="CJ287" s="13" t="n">
        <f aca="false">IF(ISBLANK(Actuals!CK107),-(IF(AND(Projects!$G$2="Yes",Projects!$J$2="Yes",Projects!$K$2="No",84=Projects!$C$2),Projects!$B$2*Assumptions!$B$47,0)+IF(AND(Projects!$G$3="Yes",Projects!$J$3="Yes",Projects!$K$3="No",84=Projects!$C$3),Projects!$B$3*Assumptions!$B$47,0)+IF(AND(Projects!$G$4="Yes",Projects!$J$4="Yes",Projects!$K$4="No",84=Projects!$C$4),Projects!$B$4*Assumptions!$B$47,0)+IF(AND(Projects!$G$5="Yes",Projects!$J$5="Yes",Projects!$K$5="No",84=Projects!$C$5),Projects!$B$5*Assumptions!$B$47,0)+IF(AND(Projects!$G$6="Yes",Projects!$J$6="Yes",Projects!$K$6="No",84=Projects!$C$6),Projects!$B$6*Assumptions!$B$47,0)+IF(AND(Projects!$G$7="Yes",Projects!$J$7="Yes",Projects!$K$7="No",84=Projects!$C$7),Projects!$B$7*Assumptions!$B$47,0)+IF(AND(Projects!$G$8="Yes",Projects!$J$8="Yes",Projects!$K$8="No",84=Projects!$C$8),Projects!$B$8*Assumptions!$B$47,0)+IF(AND(Projects!$G$9="Yes",Projects!$J$9="Yes",Projects!$K$9="No",84=Projects!$C$9),Projects!$B$9*Assumptions!$B$47,0)+IF(AND(Projects!$G$10="Yes",Projects!$J$10="Yes",Projects!$K$10="No",84=Projects!$C$10),Projects!$B$10*Assumptions!$B$47,0)+IF(AND(Projects!$G$11="Yes",Projects!$J$11="Yes",Projects!$K$11="No",84=Projects!$C$11),Projects!$B$11*Assumptions!$B$47,0)+IF(AND(Projects!$G$12="Yes",Projects!$J$12="Yes",Projects!$K$12="No",84=Projects!$C$12),Projects!$B$12*Assumptions!$B$47,0)+IF(AND(Projects!$G$13="Yes",Projects!$J$13="Yes",Projects!$K$13="No",84=Projects!$C$13),Projects!$B$13*Assumptions!$B$47,0)+IF(AND(Projects!$G$14="Yes",Projects!$J$14="Yes",Projects!$K$14="No",84=Projects!$C$14),Projects!$B$14*Assumptions!$B$47,0)),Actuals!CK107)</f>
        <v>-0</v>
      </c>
      <c r="CK287" s="13" t="n">
        <f aca="false">IF(ISBLANK(Actuals!CL107),-(IF(AND(Projects!$G$2="Yes",Projects!$J$2="Yes",Projects!$K$2="No",85=Projects!$C$2),Projects!$B$2*Assumptions!$B$47,0)+IF(AND(Projects!$G$3="Yes",Projects!$J$3="Yes",Projects!$K$3="No",85=Projects!$C$3),Projects!$B$3*Assumptions!$B$47,0)+IF(AND(Projects!$G$4="Yes",Projects!$J$4="Yes",Projects!$K$4="No",85=Projects!$C$4),Projects!$B$4*Assumptions!$B$47,0)+IF(AND(Projects!$G$5="Yes",Projects!$J$5="Yes",Projects!$K$5="No",85=Projects!$C$5),Projects!$B$5*Assumptions!$B$47,0)+IF(AND(Projects!$G$6="Yes",Projects!$J$6="Yes",Projects!$K$6="No",85=Projects!$C$6),Projects!$B$6*Assumptions!$B$47,0)+IF(AND(Projects!$G$7="Yes",Projects!$J$7="Yes",Projects!$K$7="No",85=Projects!$C$7),Projects!$B$7*Assumptions!$B$47,0)+IF(AND(Projects!$G$8="Yes",Projects!$J$8="Yes",Projects!$K$8="No",85=Projects!$C$8),Projects!$B$8*Assumptions!$B$47,0)+IF(AND(Projects!$G$9="Yes",Projects!$J$9="Yes",Projects!$K$9="No",85=Projects!$C$9),Projects!$B$9*Assumptions!$B$47,0)+IF(AND(Projects!$G$10="Yes",Projects!$J$10="Yes",Projects!$K$10="No",85=Projects!$C$10),Projects!$B$10*Assumptions!$B$47,0)+IF(AND(Projects!$G$11="Yes",Projects!$J$11="Yes",Projects!$K$11="No",85=Projects!$C$11),Projects!$B$11*Assumptions!$B$47,0)+IF(AND(Projects!$G$12="Yes",Projects!$J$12="Yes",Projects!$K$12="No",85=Projects!$C$12),Projects!$B$12*Assumptions!$B$47,0)+IF(AND(Projects!$G$13="Yes",Projects!$J$13="Yes",Projects!$K$13="No",85=Projects!$C$13),Projects!$B$13*Assumptions!$B$47,0)+IF(AND(Projects!$G$14="Yes",Projects!$J$14="Yes",Projects!$K$14="No",85=Projects!$C$14),Projects!$B$14*Assumptions!$B$47,0)),Actuals!CL107)</f>
        <v>-0</v>
      </c>
      <c r="CL287" s="13" t="n">
        <f aca="false">IF(ISBLANK(Actuals!CM107),-(IF(AND(Projects!$G$2="Yes",Projects!$J$2="Yes",Projects!$K$2="No",86=Projects!$C$2),Projects!$B$2*Assumptions!$B$47,0)+IF(AND(Projects!$G$3="Yes",Projects!$J$3="Yes",Projects!$K$3="No",86=Projects!$C$3),Projects!$B$3*Assumptions!$B$47,0)+IF(AND(Projects!$G$4="Yes",Projects!$J$4="Yes",Projects!$K$4="No",86=Projects!$C$4),Projects!$B$4*Assumptions!$B$47,0)+IF(AND(Projects!$G$5="Yes",Projects!$J$5="Yes",Projects!$K$5="No",86=Projects!$C$5),Projects!$B$5*Assumptions!$B$47,0)+IF(AND(Projects!$G$6="Yes",Projects!$J$6="Yes",Projects!$K$6="No",86=Projects!$C$6),Projects!$B$6*Assumptions!$B$47,0)+IF(AND(Projects!$G$7="Yes",Projects!$J$7="Yes",Projects!$K$7="No",86=Projects!$C$7),Projects!$B$7*Assumptions!$B$47,0)+IF(AND(Projects!$G$8="Yes",Projects!$J$8="Yes",Projects!$K$8="No",86=Projects!$C$8),Projects!$B$8*Assumptions!$B$47,0)+IF(AND(Projects!$G$9="Yes",Projects!$J$9="Yes",Projects!$K$9="No",86=Projects!$C$9),Projects!$B$9*Assumptions!$B$47,0)+IF(AND(Projects!$G$10="Yes",Projects!$J$10="Yes",Projects!$K$10="No",86=Projects!$C$10),Projects!$B$10*Assumptions!$B$47,0)+IF(AND(Projects!$G$11="Yes",Projects!$J$11="Yes",Projects!$K$11="No",86=Projects!$C$11),Projects!$B$11*Assumptions!$B$47,0)+IF(AND(Projects!$G$12="Yes",Projects!$J$12="Yes",Projects!$K$12="No",86=Projects!$C$12),Projects!$B$12*Assumptions!$B$47,0)+IF(AND(Projects!$G$13="Yes",Projects!$J$13="Yes",Projects!$K$13="No",86=Projects!$C$13),Projects!$B$13*Assumptions!$B$47,0)+IF(AND(Projects!$G$14="Yes",Projects!$J$14="Yes",Projects!$K$14="No",86=Projects!$C$14),Projects!$B$14*Assumptions!$B$47,0)),Actuals!CM107)</f>
        <v>-0</v>
      </c>
      <c r="CM287" s="13" t="n">
        <f aca="false">IF(ISBLANK(Actuals!CN107),-(IF(AND(Projects!$G$2="Yes",Projects!$J$2="Yes",Projects!$K$2="No",87=Projects!$C$2),Projects!$B$2*Assumptions!$B$47,0)+IF(AND(Projects!$G$3="Yes",Projects!$J$3="Yes",Projects!$K$3="No",87=Projects!$C$3),Projects!$B$3*Assumptions!$B$47,0)+IF(AND(Projects!$G$4="Yes",Projects!$J$4="Yes",Projects!$K$4="No",87=Projects!$C$4),Projects!$B$4*Assumptions!$B$47,0)+IF(AND(Projects!$G$5="Yes",Projects!$J$5="Yes",Projects!$K$5="No",87=Projects!$C$5),Projects!$B$5*Assumptions!$B$47,0)+IF(AND(Projects!$G$6="Yes",Projects!$J$6="Yes",Projects!$K$6="No",87=Projects!$C$6),Projects!$B$6*Assumptions!$B$47,0)+IF(AND(Projects!$G$7="Yes",Projects!$J$7="Yes",Projects!$K$7="No",87=Projects!$C$7),Projects!$B$7*Assumptions!$B$47,0)+IF(AND(Projects!$G$8="Yes",Projects!$J$8="Yes",Projects!$K$8="No",87=Projects!$C$8),Projects!$B$8*Assumptions!$B$47,0)+IF(AND(Projects!$G$9="Yes",Projects!$J$9="Yes",Projects!$K$9="No",87=Projects!$C$9),Projects!$B$9*Assumptions!$B$47,0)+IF(AND(Projects!$G$10="Yes",Projects!$J$10="Yes",Projects!$K$10="No",87=Projects!$C$10),Projects!$B$10*Assumptions!$B$47,0)+IF(AND(Projects!$G$11="Yes",Projects!$J$11="Yes",Projects!$K$11="No",87=Projects!$C$11),Projects!$B$11*Assumptions!$B$47,0)+IF(AND(Projects!$G$12="Yes",Projects!$J$12="Yes",Projects!$K$12="No",87=Projects!$C$12),Projects!$B$12*Assumptions!$B$47,0)+IF(AND(Projects!$G$13="Yes",Projects!$J$13="Yes",Projects!$K$13="No",87=Projects!$C$13),Projects!$B$13*Assumptions!$B$47,0)+IF(AND(Projects!$G$14="Yes",Projects!$J$14="Yes",Projects!$K$14="No",87=Projects!$C$14),Projects!$B$14*Assumptions!$B$47,0)),Actuals!CN107)</f>
        <v>-0</v>
      </c>
      <c r="CN287" s="13" t="n">
        <f aca="false">IF(ISBLANK(Actuals!CO107),-(IF(AND(Projects!$G$2="Yes",Projects!$J$2="Yes",Projects!$K$2="No",88=Projects!$C$2),Projects!$B$2*Assumptions!$B$47,0)+IF(AND(Projects!$G$3="Yes",Projects!$J$3="Yes",Projects!$K$3="No",88=Projects!$C$3),Projects!$B$3*Assumptions!$B$47,0)+IF(AND(Projects!$G$4="Yes",Projects!$J$4="Yes",Projects!$K$4="No",88=Projects!$C$4),Projects!$B$4*Assumptions!$B$47,0)+IF(AND(Projects!$G$5="Yes",Projects!$J$5="Yes",Projects!$K$5="No",88=Projects!$C$5),Projects!$B$5*Assumptions!$B$47,0)+IF(AND(Projects!$G$6="Yes",Projects!$J$6="Yes",Projects!$K$6="No",88=Projects!$C$6),Projects!$B$6*Assumptions!$B$47,0)+IF(AND(Projects!$G$7="Yes",Projects!$J$7="Yes",Projects!$K$7="No",88=Projects!$C$7),Projects!$B$7*Assumptions!$B$47,0)+IF(AND(Projects!$G$8="Yes",Projects!$J$8="Yes",Projects!$K$8="No",88=Projects!$C$8),Projects!$B$8*Assumptions!$B$47,0)+IF(AND(Projects!$G$9="Yes",Projects!$J$9="Yes",Projects!$K$9="No",88=Projects!$C$9),Projects!$B$9*Assumptions!$B$47,0)+IF(AND(Projects!$G$10="Yes",Projects!$J$10="Yes",Projects!$K$10="No",88=Projects!$C$10),Projects!$B$10*Assumptions!$B$47,0)+IF(AND(Projects!$G$11="Yes",Projects!$J$11="Yes",Projects!$K$11="No",88=Projects!$C$11),Projects!$B$11*Assumptions!$B$47,0)+IF(AND(Projects!$G$12="Yes",Projects!$J$12="Yes",Projects!$K$12="No",88=Projects!$C$12),Projects!$B$12*Assumptions!$B$47,0)+IF(AND(Projects!$G$13="Yes",Projects!$J$13="Yes",Projects!$K$13="No",88=Projects!$C$13),Projects!$B$13*Assumptions!$B$47,0)+IF(AND(Projects!$G$14="Yes",Projects!$J$14="Yes",Projects!$K$14="No",88=Projects!$C$14),Projects!$B$14*Assumptions!$B$47,0)),Actuals!CO107)</f>
        <v>-0</v>
      </c>
      <c r="CO287" s="13" t="n">
        <f aca="false">IF(ISBLANK(Actuals!CP107),-(IF(AND(Projects!$G$2="Yes",Projects!$J$2="Yes",Projects!$K$2="No",89=Projects!$C$2),Projects!$B$2*Assumptions!$B$47,0)+IF(AND(Projects!$G$3="Yes",Projects!$J$3="Yes",Projects!$K$3="No",89=Projects!$C$3),Projects!$B$3*Assumptions!$B$47,0)+IF(AND(Projects!$G$4="Yes",Projects!$J$4="Yes",Projects!$K$4="No",89=Projects!$C$4),Projects!$B$4*Assumptions!$B$47,0)+IF(AND(Projects!$G$5="Yes",Projects!$J$5="Yes",Projects!$K$5="No",89=Projects!$C$5),Projects!$B$5*Assumptions!$B$47,0)+IF(AND(Projects!$G$6="Yes",Projects!$J$6="Yes",Projects!$K$6="No",89=Projects!$C$6),Projects!$B$6*Assumptions!$B$47,0)+IF(AND(Projects!$G$7="Yes",Projects!$J$7="Yes",Projects!$K$7="No",89=Projects!$C$7),Projects!$B$7*Assumptions!$B$47,0)+IF(AND(Projects!$G$8="Yes",Projects!$J$8="Yes",Projects!$K$8="No",89=Projects!$C$8),Projects!$B$8*Assumptions!$B$47,0)+IF(AND(Projects!$G$9="Yes",Projects!$J$9="Yes",Projects!$K$9="No",89=Projects!$C$9),Projects!$B$9*Assumptions!$B$47,0)+IF(AND(Projects!$G$10="Yes",Projects!$J$10="Yes",Projects!$K$10="No",89=Projects!$C$10),Projects!$B$10*Assumptions!$B$47,0)+IF(AND(Projects!$G$11="Yes",Projects!$J$11="Yes",Projects!$K$11="No",89=Projects!$C$11),Projects!$B$11*Assumptions!$B$47,0)+IF(AND(Projects!$G$12="Yes",Projects!$J$12="Yes",Projects!$K$12="No",89=Projects!$C$12),Projects!$B$12*Assumptions!$B$47,0)+IF(AND(Projects!$G$13="Yes",Projects!$J$13="Yes",Projects!$K$13="No",89=Projects!$C$13),Projects!$B$13*Assumptions!$B$47,0)+IF(AND(Projects!$G$14="Yes",Projects!$J$14="Yes",Projects!$K$14="No",89=Projects!$C$14),Projects!$B$14*Assumptions!$B$47,0)),Actuals!CP107)</f>
        <v>-0</v>
      </c>
      <c r="CP287" s="13" t="n">
        <f aca="false">IF(ISBLANK(Actuals!CQ107),-(IF(AND(Projects!$G$2="Yes",Projects!$J$2="Yes",Projects!$K$2="No",90=Projects!$C$2),Projects!$B$2*Assumptions!$B$47,0)+IF(AND(Projects!$G$3="Yes",Projects!$J$3="Yes",Projects!$K$3="No",90=Projects!$C$3),Projects!$B$3*Assumptions!$B$47,0)+IF(AND(Projects!$G$4="Yes",Projects!$J$4="Yes",Projects!$K$4="No",90=Projects!$C$4),Projects!$B$4*Assumptions!$B$47,0)+IF(AND(Projects!$G$5="Yes",Projects!$J$5="Yes",Projects!$K$5="No",90=Projects!$C$5),Projects!$B$5*Assumptions!$B$47,0)+IF(AND(Projects!$G$6="Yes",Projects!$J$6="Yes",Projects!$K$6="No",90=Projects!$C$6),Projects!$B$6*Assumptions!$B$47,0)+IF(AND(Projects!$G$7="Yes",Projects!$J$7="Yes",Projects!$K$7="No",90=Projects!$C$7),Projects!$B$7*Assumptions!$B$47,0)+IF(AND(Projects!$G$8="Yes",Projects!$J$8="Yes",Projects!$K$8="No",90=Projects!$C$8),Projects!$B$8*Assumptions!$B$47,0)+IF(AND(Projects!$G$9="Yes",Projects!$J$9="Yes",Projects!$K$9="No",90=Projects!$C$9),Projects!$B$9*Assumptions!$B$47,0)+IF(AND(Projects!$G$10="Yes",Projects!$J$10="Yes",Projects!$K$10="No",90=Projects!$C$10),Projects!$B$10*Assumptions!$B$47,0)+IF(AND(Projects!$G$11="Yes",Projects!$J$11="Yes",Projects!$K$11="No",90=Projects!$C$11),Projects!$B$11*Assumptions!$B$47,0)+IF(AND(Projects!$G$12="Yes",Projects!$J$12="Yes",Projects!$K$12="No",90=Projects!$C$12),Projects!$B$12*Assumptions!$B$47,0)+IF(AND(Projects!$G$13="Yes",Projects!$J$13="Yes",Projects!$K$13="No",90=Projects!$C$13),Projects!$B$13*Assumptions!$B$47,0)+IF(AND(Projects!$G$14="Yes",Projects!$J$14="Yes",Projects!$K$14="No",90=Projects!$C$14),Projects!$B$14*Assumptions!$B$47,0)),Actuals!CQ107)</f>
        <v>-0</v>
      </c>
      <c r="CQ287" s="13" t="n">
        <f aca="false">IF(ISBLANK(Actuals!CR107),-(IF(AND(Projects!$G$2="Yes",Projects!$J$2="Yes",Projects!$K$2="No",91=Projects!$C$2),Projects!$B$2*Assumptions!$B$47,0)+IF(AND(Projects!$G$3="Yes",Projects!$J$3="Yes",Projects!$K$3="No",91=Projects!$C$3),Projects!$B$3*Assumptions!$B$47,0)+IF(AND(Projects!$G$4="Yes",Projects!$J$4="Yes",Projects!$K$4="No",91=Projects!$C$4),Projects!$B$4*Assumptions!$B$47,0)+IF(AND(Projects!$G$5="Yes",Projects!$J$5="Yes",Projects!$K$5="No",91=Projects!$C$5),Projects!$B$5*Assumptions!$B$47,0)+IF(AND(Projects!$G$6="Yes",Projects!$J$6="Yes",Projects!$K$6="No",91=Projects!$C$6),Projects!$B$6*Assumptions!$B$47,0)+IF(AND(Projects!$G$7="Yes",Projects!$J$7="Yes",Projects!$K$7="No",91=Projects!$C$7),Projects!$B$7*Assumptions!$B$47,0)+IF(AND(Projects!$G$8="Yes",Projects!$J$8="Yes",Projects!$K$8="No",91=Projects!$C$8),Projects!$B$8*Assumptions!$B$47,0)+IF(AND(Projects!$G$9="Yes",Projects!$J$9="Yes",Projects!$K$9="No",91=Projects!$C$9),Projects!$B$9*Assumptions!$B$47,0)+IF(AND(Projects!$G$10="Yes",Projects!$J$10="Yes",Projects!$K$10="No",91=Projects!$C$10),Projects!$B$10*Assumptions!$B$47,0)+IF(AND(Projects!$G$11="Yes",Projects!$J$11="Yes",Projects!$K$11="No",91=Projects!$C$11),Projects!$B$11*Assumptions!$B$47,0)+IF(AND(Projects!$G$12="Yes",Projects!$J$12="Yes",Projects!$K$12="No",91=Projects!$C$12),Projects!$B$12*Assumptions!$B$47,0)+IF(AND(Projects!$G$13="Yes",Projects!$J$13="Yes",Projects!$K$13="No",91=Projects!$C$13),Projects!$B$13*Assumptions!$B$47,0)+IF(AND(Projects!$G$14="Yes",Projects!$J$14="Yes",Projects!$K$14="No",91=Projects!$C$14),Projects!$B$14*Assumptions!$B$47,0)),Actuals!CR107)</f>
        <v>-0</v>
      </c>
      <c r="CR287" s="13" t="n">
        <f aca="false">IF(ISBLANK(Actuals!CS107),-(IF(AND(Projects!$G$2="Yes",Projects!$J$2="Yes",Projects!$K$2="No",92=Projects!$C$2),Projects!$B$2*Assumptions!$B$47,0)+IF(AND(Projects!$G$3="Yes",Projects!$J$3="Yes",Projects!$K$3="No",92=Projects!$C$3),Projects!$B$3*Assumptions!$B$47,0)+IF(AND(Projects!$G$4="Yes",Projects!$J$4="Yes",Projects!$K$4="No",92=Projects!$C$4),Projects!$B$4*Assumptions!$B$47,0)+IF(AND(Projects!$G$5="Yes",Projects!$J$5="Yes",Projects!$K$5="No",92=Projects!$C$5),Projects!$B$5*Assumptions!$B$47,0)+IF(AND(Projects!$G$6="Yes",Projects!$J$6="Yes",Projects!$K$6="No",92=Projects!$C$6),Projects!$B$6*Assumptions!$B$47,0)+IF(AND(Projects!$G$7="Yes",Projects!$J$7="Yes",Projects!$K$7="No",92=Projects!$C$7),Projects!$B$7*Assumptions!$B$47,0)+IF(AND(Projects!$G$8="Yes",Projects!$J$8="Yes",Projects!$K$8="No",92=Projects!$C$8),Projects!$B$8*Assumptions!$B$47,0)+IF(AND(Projects!$G$9="Yes",Projects!$J$9="Yes",Projects!$K$9="No",92=Projects!$C$9),Projects!$B$9*Assumptions!$B$47,0)+IF(AND(Projects!$G$10="Yes",Projects!$J$10="Yes",Projects!$K$10="No",92=Projects!$C$10),Projects!$B$10*Assumptions!$B$47,0)+IF(AND(Projects!$G$11="Yes",Projects!$J$11="Yes",Projects!$K$11="No",92=Projects!$C$11),Projects!$B$11*Assumptions!$B$47,0)+IF(AND(Projects!$G$12="Yes",Projects!$J$12="Yes",Projects!$K$12="No",92=Projects!$C$12),Projects!$B$12*Assumptions!$B$47,0)+IF(AND(Projects!$G$13="Yes",Projects!$J$13="Yes",Projects!$K$13="No",92=Projects!$C$13),Projects!$B$13*Assumptions!$B$47,0)+IF(AND(Projects!$G$14="Yes",Projects!$J$14="Yes",Projects!$K$14="No",92=Projects!$C$14),Projects!$B$14*Assumptions!$B$47,0)),Actuals!CS107)</f>
        <v>-0</v>
      </c>
      <c r="CS287" s="13" t="n">
        <f aca="false">IF(ISBLANK(Actuals!CT107),-(IF(AND(Projects!$G$2="Yes",Projects!$J$2="Yes",Projects!$K$2="No",93=Projects!$C$2),Projects!$B$2*Assumptions!$B$47,0)+IF(AND(Projects!$G$3="Yes",Projects!$J$3="Yes",Projects!$K$3="No",93=Projects!$C$3),Projects!$B$3*Assumptions!$B$47,0)+IF(AND(Projects!$G$4="Yes",Projects!$J$4="Yes",Projects!$K$4="No",93=Projects!$C$4),Projects!$B$4*Assumptions!$B$47,0)+IF(AND(Projects!$G$5="Yes",Projects!$J$5="Yes",Projects!$K$5="No",93=Projects!$C$5),Projects!$B$5*Assumptions!$B$47,0)+IF(AND(Projects!$G$6="Yes",Projects!$J$6="Yes",Projects!$K$6="No",93=Projects!$C$6),Projects!$B$6*Assumptions!$B$47,0)+IF(AND(Projects!$G$7="Yes",Projects!$J$7="Yes",Projects!$K$7="No",93=Projects!$C$7),Projects!$B$7*Assumptions!$B$47,0)+IF(AND(Projects!$G$8="Yes",Projects!$J$8="Yes",Projects!$K$8="No",93=Projects!$C$8),Projects!$B$8*Assumptions!$B$47,0)+IF(AND(Projects!$G$9="Yes",Projects!$J$9="Yes",Projects!$K$9="No",93=Projects!$C$9),Projects!$B$9*Assumptions!$B$47,0)+IF(AND(Projects!$G$10="Yes",Projects!$J$10="Yes",Projects!$K$10="No",93=Projects!$C$10),Projects!$B$10*Assumptions!$B$47,0)+IF(AND(Projects!$G$11="Yes",Projects!$J$11="Yes",Projects!$K$11="No",93=Projects!$C$11),Projects!$B$11*Assumptions!$B$47,0)+IF(AND(Projects!$G$12="Yes",Projects!$J$12="Yes",Projects!$K$12="No",93=Projects!$C$12),Projects!$B$12*Assumptions!$B$47,0)+IF(AND(Projects!$G$13="Yes",Projects!$J$13="Yes",Projects!$K$13="No",93=Projects!$C$13),Projects!$B$13*Assumptions!$B$47,0)+IF(AND(Projects!$G$14="Yes",Projects!$J$14="Yes",Projects!$K$14="No",93=Projects!$C$14),Projects!$B$14*Assumptions!$B$47,0)),Actuals!CT107)</f>
        <v>-0</v>
      </c>
      <c r="CT287" s="13" t="n">
        <f aca="false">IF(ISBLANK(Actuals!CU107),-(IF(AND(Projects!$G$2="Yes",Projects!$J$2="Yes",Projects!$K$2="No",94=Projects!$C$2),Projects!$B$2*Assumptions!$B$47,0)+IF(AND(Projects!$G$3="Yes",Projects!$J$3="Yes",Projects!$K$3="No",94=Projects!$C$3),Projects!$B$3*Assumptions!$B$47,0)+IF(AND(Projects!$G$4="Yes",Projects!$J$4="Yes",Projects!$K$4="No",94=Projects!$C$4),Projects!$B$4*Assumptions!$B$47,0)+IF(AND(Projects!$G$5="Yes",Projects!$J$5="Yes",Projects!$K$5="No",94=Projects!$C$5),Projects!$B$5*Assumptions!$B$47,0)+IF(AND(Projects!$G$6="Yes",Projects!$J$6="Yes",Projects!$K$6="No",94=Projects!$C$6),Projects!$B$6*Assumptions!$B$47,0)+IF(AND(Projects!$G$7="Yes",Projects!$J$7="Yes",Projects!$K$7="No",94=Projects!$C$7),Projects!$B$7*Assumptions!$B$47,0)+IF(AND(Projects!$G$8="Yes",Projects!$J$8="Yes",Projects!$K$8="No",94=Projects!$C$8),Projects!$B$8*Assumptions!$B$47,0)+IF(AND(Projects!$G$9="Yes",Projects!$J$9="Yes",Projects!$K$9="No",94=Projects!$C$9),Projects!$B$9*Assumptions!$B$47,0)+IF(AND(Projects!$G$10="Yes",Projects!$J$10="Yes",Projects!$K$10="No",94=Projects!$C$10),Projects!$B$10*Assumptions!$B$47,0)+IF(AND(Projects!$G$11="Yes",Projects!$J$11="Yes",Projects!$K$11="No",94=Projects!$C$11),Projects!$B$11*Assumptions!$B$47,0)+IF(AND(Projects!$G$12="Yes",Projects!$J$12="Yes",Projects!$K$12="No",94=Projects!$C$12),Projects!$B$12*Assumptions!$B$47,0)+IF(AND(Projects!$G$13="Yes",Projects!$J$13="Yes",Projects!$K$13="No",94=Projects!$C$13),Projects!$B$13*Assumptions!$B$47,0)+IF(AND(Projects!$G$14="Yes",Projects!$J$14="Yes",Projects!$K$14="No",94=Projects!$C$14),Projects!$B$14*Assumptions!$B$47,0)),Actuals!CU107)</f>
        <v>-0</v>
      </c>
      <c r="CU287" s="13" t="n">
        <f aca="false">IF(ISBLANK(Actuals!CV107),-(IF(AND(Projects!$G$2="Yes",Projects!$J$2="Yes",Projects!$K$2="No",95=Projects!$C$2),Projects!$B$2*Assumptions!$B$47,0)+IF(AND(Projects!$G$3="Yes",Projects!$J$3="Yes",Projects!$K$3="No",95=Projects!$C$3),Projects!$B$3*Assumptions!$B$47,0)+IF(AND(Projects!$G$4="Yes",Projects!$J$4="Yes",Projects!$K$4="No",95=Projects!$C$4),Projects!$B$4*Assumptions!$B$47,0)+IF(AND(Projects!$G$5="Yes",Projects!$J$5="Yes",Projects!$K$5="No",95=Projects!$C$5),Projects!$B$5*Assumptions!$B$47,0)+IF(AND(Projects!$G$6="Yes",Projects!$J$6="Yes",Projects!$K$6="No",95=Projects!$C$6),Projects!$B$6*Assumptions!$B$47,0)+IF(AND(Projects!$G$7="Yes",Projects!$J$7="Yes",Projects!$K$7="No",95=Projects!$C$7),Projects!$B$7*Assumptions!$B$47,0)+IF(AND(Projects!$G$8="Yes",Projects!$J$8="Yes",Projects!$K$8="No",95=Projects!$C$8),Projects!$B$8*Assumptions!$B$47,0)+IF(AND(Projects!$G$9="Yes",Projects!$J$9="Yes",Projects!$K$9="No",95=Projects!$C$9),Projects!$B$9*Assumptions!$B$47,0)+IF(AND(Projects!$G$10="Yes",Projects!$J$10="Yes",Projects!$K$10="No",95=Projects!$C$10),Projects!$B$10*Assumptions!$B$47,0)+IF(AND(Projects!$G$11="Yes",Projects!$J$11="Yes",Projects!$K$11="No",95=Projects!$C$11),Projects!$B$11*Assumptions!$B$47,0)+IF(AND(Projects!$G$12="Yes",Projects!$J$12="Yes",Projects!$K$12="No",95=Projects!$C$12),Projects!$B$12*Assumptions!$B$47,0)+IF(AND(Projects!$G$13="Yes",Projects!$J$13="Yes",Projects!$K$13="No",95=Projects!$C$13),Projects!$B$13*Assumptions!$B$47,0)+IF(AND(Projects!$G$14="Yes",Projects!$J$14="Yes",Projects!$K$14="No",95=Projects!$C$14),Projects!$B$14*Assumptions!$B$47,0)),Actuals!CV107)</f>
        <v>-0</v>
      </c>
      <c r="CV287" s="13" t="n">
        <f aca="false">IF(ISBLANK(Actuals!CW107),-(IF(AND(Projects!$G$2="Yes",Projects!$J$2="Yes",Projects!$K$2="No",96=Projects!$C$2),Projects!$B$2*Assumptions!$B$47,0)+IF(AND(Projects!$G$3="Yes",Projects!$J$3="Yes",Projects!$K$3="No",96=Projects!$C$3),Projects!$B$3*Assumptions!$B$47,0)+IF(AND(Projects!$G$4="Yes",Projects!$J$4="Yes",Projects!$K$4="No",96=Projects!$C$4),Projects!$B$4*Assumptions!$B$47,0)+IF(AND(Projects!$G$5="Yes",Projects!$J$5="Yes",Projects!$K$5="No",96=Projects!$C$5),Projects!$B$5*Assumptions!$B$47,0)+IF(AND(Projects!$G$6="Yes",Projects!$J$6="Yes",Projects!$K$6="No",96=Projects!$C$6),Projects!$B$6*Assumptions!$B$47,0)+IF(AND(Projects!$G$7="Yes",Projects!$J$7="Yes",Projects!$K$7="No",96=Projects!$C$7),Projects!$B$7*Assumptions!$B$47,0)+IF(AND(Projects!$G$8="Yes",Projects!$J$8="Yes",Projects!$K$8="No",96=Projects!$C$8),Projects!$B$8*Assumptions!$B$47,0)+IF(AND(Projects!$G$9="Yes",Projects!$J$9="Yes",Projects!$K$9="No",96=Projects!$C$9),Projects!$B$9*Assumptions!$B$47,0)+IF(AND(Projects!$G$10="Yes",Projects!$J$10="Yes",Projects!$K$10="No",96=Projects!$C$10),Projects!$B$10*Assumptions!$B$47,0)+IF(AND(Projects!$G$11="Yes",Projects!$J$11="Yes",Projects!$K$11="No",96=Projects!$C$11),Projects!$B$11*Assumptions!$B$47,0)+IF(AND(Projects!$G$12="Yes",Projects!$J$12="Yes",Projects!$K$12="No",96=Projects!$C$12),Projects!$B$12*Assumptions!$B$47,0)+IF(AND(Projects!$G$13="Yes",Projects!$J$13="Yes",Projects!$K$13="No",96=Projects!$C$13),Projects!$B$13*Assumptions!$B$47,0)+IF(AND(Projects!$G$14="Yes",Projects!$J$14="Yes",Projects!$K$14="No",96=Projects!$C$14),Projects!$B$14*Assumptions!$B$47,0)),Actuals!CW107)</f>
        <v>-0</v>
      </c>
      <c r="CW287" s="13" t="n">
        <f aca="false">IF(ISBLANK(Actuals!CX107),-(IF(AND(Projects!$G$2="Yes",Projects!$J$2="Yes",Projects!$K$2="No",97=Projects!$C$2),Projects!$B$2*Assumptions!$B$47,0)+IF(AND(Projects!$G$3="Yes",Projects!$J$3="Yes",Projects!$K$3="No",97=Projects!$C$3),Projects!$B$3*Assumptions!$B$47,0)+IF(AND(Projects!$G$4="Yes",Projects!$J$4="Yes",Projects!$K$4="No",97=Projects!$C$4),Projects!$B$4*Assumptions!$B$47,0)+IF(AND(Projects!$G$5="Yes",Projects!$J$5="Yes",Projects!$K$5="No",97=Projects!$C$5),Projects!$B$5*Assumptions!$B$47,0)+IF(AND(Projects!$G$6="Yes",Projects!$J$6="Yes",Projects!$K$6="No",97=Projects!$C$6),Projects!$B$6*Assumptions!$B$47,0)+IF(AND(Projects!$G$7="Yes",Projects!$J$7="Yes",Projects!$K$7="No",97=Projects!$C$7),Projects!$B$7*Assumptions!$B$47,0)+IF(AND(Projects!$G$8="Yes",Projects!$J$8="Yes",Projects!$K$8="No",97=Projects!$C$8),Projects!$B$8*Assumptions!$B$47,0)+IF(AND(Projects!$G$9="Yes",Projects!$J$9="Yes",Projects!$K$9="No",97=Projects!$C$9),Projects!$B$9*Assumptions!$B$47,0)+IF(AND(Projects!$G$10="Yes",Projects!$J$10="Yes",Projects!$K$10="No",97=Projects!$C$10),Projects!$B$10*Assumptions!$B$47,0)+IF(AND(Projects!$G$11="Yes",Projects!$J$11="Yes",Projects!$K$11="No",97=Projects!$C$11),Projects!$B$11*Assumptions!$B$47,0)+IF(AND(Projects!$G$12="Yes",Projects!$J$12="Yes",Projects!$K$12="No",97=Projects!$C$12),Projects!$B$12*Assumptions!$B$47,0)+IF(AND(Projects!$G$13="Yes",Projects!$J$13="Yes",Projects!$K$13="No",97=Projects!$C$13),Projects!$B$13*Assumptions!$B$47,0)+IF(AND(Projects!$G$14="Yes",Projects!$J$14="Yes",Projects!$K$14="No",97=Projects!$C$14),Projects!$B$14*Assumptions!$B$47,0)),Actuals!CX107)</f>
        <v>-0</v>
      </c>
      <c r="CX287" s="13" t="n">
        <f aca="false">IF(ISBLANK(Actuals!CY107),-(IF(AND(Projects!$G$2="Yes",Projects!$J$2="Yes",Projects!$K$2="No",98=Projects!$C$2),Projects!$B$2*Assumptions!$B$47,0)+IF(AND(Projects!$G$3="Yes",Projects!$J$3="Yes",Projects!$K$3="No",98=Projects!$C$3),Projects!$B$3*Assumptions!$B$47,0)+IF(AND(Projects!$G$4="Yes",Projects!$J$4="Yes",Projects!$K$4="No",98=Projects!$C$4),Projects!$B$4*Assumptions!$B$47,0)+IF(AND(Projects!$G$5="Yes",Projects!$J$5="Yes",Projects!$K$5="No",98=Projects!$C$5),Projects!$B$5*Assumptions!$B$47,0)+IF(AND(Projects!$G$6="Yes",Projects!$J$6="Yes",Projects!$K$6="No",98=Projects!$C$6),Projects!$B$6*Assumptions!$B$47,0)+IF(AND(Projects!$G$7="Yes",Projects!$J$7="Yes",Projects!$K$7="No",98=Projects!$C$7),Projects!$B$7*Assumptions!$B$47,0)+IF(AND(Projects!$G$8="Yes",Projects!$J$8="Yes",Projects!$K$8="No",98=Projects!$C$8),Projects!$B$8*Assumptions!$B$47,0)+IF(AND(Projects!$G$9="Yes",Projects!$J$9="Yes",Projects!$K$9="No",98=Projects!$C$9),Projects!$B$9*Assumptions!$B$47,0)+IF(AND(Projects!$G$10="Yes",Projects!$J$10="Yes",Projects!$K$10="No",98=Projects!$C$10),Projects!$B$10*Assumptions!$B$47,0)+IF(AND(Projects!$G$11="Yes",Projects!$J$11="Yes",Projects!$K$11="No",98=Projects!$C$11),Projects!$B$11*Assumptions!$B$47,0)+IF(AND(Projects!$G$12="Yes",Projects!$J$12="Yes",Projects!$K$12="No",98=Projects!$C$12),Projects!$B$12*Assumptions!$B$47,0)+IF(AND(Projects!$G$13="Yes",Projects!$J$13="Yes",Projects!$K$13="No",98=Projects!$C$13),Projects!$B$13*Assumptions!$B$47,0)+IF(AND(Projects!$G$14="Yes",Projects!$J$14="Yes",Projects!$K$14="No",98=Projects!$C$14),Projects!$B$14*Assumptions!$B$47,0)),Actuals!CY107)</f>
        <v>-0</v>
      </c>
      <c r="CY287" s="13" t="n">
        <f aca="false">IF(ISBLANK(Actuals!CZ107),-(IF(AND(Projects!$G$2="Yes",Projects!$J$2="Yes",Projects!$K$2="No",99=Projects!$C$2),Projects!$B$2*Assumptions!$B$47,0)+IF(AND(Projects!$G$3="Yes",Projects!$J$3="Yes",Projects!$K$3="No",99=Projects!$C$3),Projects!$B$3*Assumptions!$B$47,0)+IF(AND(Projects!$G$4="Yes",Projects!$J$4="Yes",Projects!$K$4="No",99=Projects!$C$4),Projects!$B$4*Assumptions!$B$47,0)+IF(AND(Projects!$G$5="Yes",Projects!$J$5="Yes",Projects!$K$5="No",99=Projects!$C$5),Projects!$B$5*Assumptions!$B$47,0)+IF(AND(Projects!$G$6="Yes",Projects!$J$6="Yes",Projects!$K$6="No",99=Projects!$C$6),Projects!$B$6*Assumptions!$B$47,0)+IF(AND(Projects!$G$7="Yes",Projects!$J$7="Yes",Projects!$K$7="No",99=Projects!$C$7),Projects!$B$7*Assumptions!$B$47,0)+IF(AND(Projects!$G$8="Yes",Projects!$J$8="Yes",Projects!$K$8="No",99=Projects!$C$8),Projects!$B$8*Assumptions!$B$47,0)+IF(AND(Projects!$G$9="Yes",Projects!$J$9="Yes",Projects!$K$9="No",99=Projects!$C$9),Projects!$B$9*Assumptions!$B$47,0)+IF(AND(Projects!$G$10="Yes",Projects!$J$10="Yes",Projects!$K$10="No",99=Projects!$C$10),Projects!$B$10*Assumptions!$B$47,0)+IF(AND(Projects!$G$11="Yes",Projects!$J$11="Yes",Projects!$K$11="No",99=Projects!$C$11),Projects!$B$11*Assumptions!$B$47,0)+IF(AND(Projects!$G$12="Yes",Projects!$J$12="Yes",Projects!$K$12="No",99=Projects!$C$12),Projects!$B$12*Assumptions!$B$47,0)+IF(AND(Projects!$G$13="Yes",Projects!$J$13="Yes",Projects!$K$13="No",99=Projects!$C$13),Projects!$B$13*Assumptions!$B$47,0)+IF(AND(Projects!$G$14="Yes",Projects!$J$14="Yes",Projects!$K$14="No",99=Projects!$C$14),Projects!$B$14*Assumptions!$B$47,0)),Actuals!CZ107)</f>
        <v>-0</v>
      </c>
      <c r="CZ287" s="13" t="n">
        <f aca="false">IF(ISBLANK(Actuals!DA107),-(IF(AND(Projects!$G$2="Yes",Projects!$J$2="Yes",Projects!$K$2="No",100=Projects!$C$2),Projects!$B$2*Assumptions!$B$47,0)+IF(AND(Projects!$G$3="Yes",Projects!$J$3="Yes",Projects!$K$3="No",100=Projects!$C$3),Projects!$B$3*Assumptions!$B$47,0)+IF(AND(Projects!$G$4="Yes",Projects!$J$4="Yes",Projects!$K$4="No",100=Projects!$C$4),Projects!$B$4*Assumptions!$B$47,0)+IF(AND(Projects!$G$5="Yes",Projects!$J$5="Yes",Projects!$K$5="No",100=Projects!$C$5),Projects!$B$5*Assumptions!$B$47,0)+IF(AND(Projects!$G$6="Yes",Projects!$J$6="Yes",Projects!$K$6="No",100=Projects!$C$6),Projects!$B$6*Assumptions!$B$47,0)+IF(AND(Projects!$G$7="Yes",Projects!$J$7="Yes",Projects!$K$7="No",100=Projects!$C$7),Projects!$B$7*Assumptions!$B$47,0)+IF(AND(Projects!$G$8="Yes",Projects!$J$8="Yes",Projects!$K$8="No",100=Projects!$C$8),Projects!$B$8*Assumptions!$B$47,0)+IF(AND(Projects!$G$9="Yes",Projects!$J$9="Yes",Projects!$K$9="No",100=Projects!$C$9),Projects!$B$9*Assumptions!$B$47,0)+IF(AND(Projects!$G$10="Yes",Projects!$J$10="Yes",Projects!$K$10="No",100=Projects!$C$10),Projects!$B$10*Assumptions!$B$47,0)+IF(AND(Projects!$G$11="Yes",Projects!$J$11="Yes",Projects!$K$11="No",100=Projects!$C$11),Projects!$B$11*Assumptions!$B$47,0)+IF(AND(Projects!$G$12="Yes",Projects!$J$12="Yes",Projects!$K$12="No",100=Projects!$C$12),Projects!$B$12*Assumptions!$B$47,0)+IF(AND(Projects!$G$13="Yes",Projects!$J$13="Yes",Projects!$K$13="No",100=Projects!$C$13),Projects!$B$13*Assumptions!$B$47,0)+IF(AND(Projects!$G$14="Yes",Projects!$J$14="Yes",Projects!$K$14="No",100=Projects!$C$14),Projects!$B$14*Assumptions!$B$47,0)),Actuals!DA107)</f>
        <v>-0</v>
      </c>
      <c r="DA287" s="13" t="n">
        <f aca="false">IF(ISBLANK(Actuals!DB107),-(IF(AND(Projects!$G$2="Yes",Projects!$J$2="Yes",Projects!$K$2="No",101=Projects!$C$2),Projects!$B$2*Assumptions!$B$47,0)+IF(AND(Projects!$G$3="Yes",Projects!$J$3="Yes",Projects!$K$3="No",101=Projects!$C$3),Projects!$B$3*Assumptions!$B$47,0)+IF(AND(Projects!$G$4="Yes",Projects!$J$4="Yes",Projects!$K$4="No",101=Projects!$C$4),Projects!$B$4*Assumptions!$B$47,0)+IF(AND(Projects!$G$5="Yes",Projects!$J$5="Yes",Projects!$K$5="No",101=Projects!$C$5),Projects!$B$5*Assumptions!$B$47,0)+IF(AND(Projects!$G$6="Yes",Projects!$J$6="Yes",Projects!$K$6="No",101=Projects!$C$6),Projects!$B$6*Assumptions!$B$47,0)+IF(AND(Projects!$G$7="Yes",Projects!$J$7="Yes",Projects!$K$7="No",101=Projects!$C$7),Projects!$B$7*Assumptions!$B$47,0)+IF(AND(Projects!$G$8="Yes",Projects!$J$8="Yes",Projects!$K$8="No",101=Projects!$C$8),Projects!$B$8*Assumptions!$B$47,0)+IF(AND(Projects!$G$9="Yes",Projects!$J$9="Yes",Projects!$K$9="No",101=Projects!$C$9),Projects!$B$9*Assumptions!$B$47,0)+IF(AND(Projects!$G$10="Yes",Projects!$J$10="Yes",Projects!$K$10="No",101=Projects!$C$10),Projects!$B$10*Assumptions!$B$47,0)+IF(AND(Projects!$G$11="Yes",Projects!$J$11="Yes",Projects!$K$11="No",101=Projects!$C$11),Projects!$B$11*Assumptions!$B$47,0)+IF(AND(Projects!$G$12="Yes",Projects!$J$12="Yes",Projects!$K$12="No",101=Projects!$C$12),Projects!$B$12*Assumptions!$B$47,0)+IF(AND(Projects!$G$13="Yes",Projects!$J$13="Yes",Projects!$K$13="No",101=Projects!$C$13),Projects!$B$13*Assumptions!$B$47,0)+IF(AND(Projects!$G$14="Yes",Projects!$J$14="Yes",Projects!$K$14="No",101=Projects!$C$14),Projects!$B$14*Assumptions!$B$47,0)),Actuals!DB107)</f>
        <v>-0</v>
      </c>
      <c r="DB287" s="13" t="n">
        <f aca="false">IF(ISBLANK(Actuals!DC107),-(IF(AND(Projects!$G$2="Yes",Projects!$J$2="Yes",Projects!$K$2="No",102=Projects!$C$2),Projects!$B$2*Assumptions!$B$47,0)+IF(AND(Projects!$G$3="Yes",Projects!$J$3="Yes",Projects!$K$3="No",102=Projects!$C$3),Projects!$B$3*Assumptions!$B$47,0)+IF(AND(Projects!$G$4="Yes",Projects!$J$4="Yes",Projects!$K$4="No",102=Projects!$C$4),Projects!$B$4*Assumptions!$B$47,0)+IF(AND(Projects!$G$5="Yes",Projects!$J$5="Yes",Projects!$K$5="No",102=Projects!$C$5),Projects!$B$5*Assumptions!$B$47,0)+IF(AND(Projects!$G$6="Yes",Projects!$J$6="Yes",Projects!$K$6="No",102=Projects!$C$6),Projects!$B$6*Assumptions!$B$47,0)+IF(AND(Projects!$G$7="Yes",Projects!$J$7="Yes",Projects!$K$7="No",102=Projects!$C$7),Projects!$B$7*Assumptions!$B$47,0)+IF(AND(Projects!$G$8="Yes",Projects!$J$8="Yes",Projects!$K$8="No",102=Projects!$C$8),Projects!$B$8*Assumptions!$B$47,0)+IF(AND(Projects!$G$9="Yes",Projects!$J$9="Yes",Projects!$K$9="No",102=Projects!$C$9),Projects!$B$9*Assumptions!$B$47,0)+IF(AND(Projects!$G$10="Yes",Projects!$J$10="Yes",Projects!$K$10="No",102=Projects!$C$10),Projects!$B$10*Assumptions!$B$47,0)+IF(AND(Projects!$G$11="Yes",Projects!$J$11="Yes",Projects!$K$11="No",102=Projects!$C$11),Projects!$B$11*Assumptions!$B$47,0)+IF(AND(Projects!$G$12="Yes",Projects!$J$12="Yes",Projects!$K$12="No",102=Projects!$C$12),Projects!$B$12*Assumptions!$B$47,0)+IF(AND(Projects!$G$13="Yes",Projects!$J$13="Yes",Projects!$K$13="No",102=Projects!$C$13),Projects!$B$13*Assumptions!$B$47,0)+IF(AND(Projects!$G$14="Yes",Projects!$J$14="Yes",Projects!$K$14="No",102=Projects!$C$14),Projects!$B$14*Assumptions!$B$47,0)),Actuals!DC107)</f>
        <v>-0</v>
      </c>
      <c r="DC287" s="13" t="n">
        <f aca="false">IF(ISBLANK(Actuals!DD107),-(IF(AND(Projects!$G$2="Yes",Projects!$J$2="Yes",Projects!$K$2="No",103=Projects!$C$2),Projects!$B$2*Assumptions!$B$47,0)+IF(AND(Projects!$G$3="Yes",Projects!$J$3="Yes",Projects!$K$3="No",103=Projects!$C$3),Projects!$B$3*Assumptions!$B$47,0)+IF(AND(Projects!$G$4="Yes",Projects!$J$4="Yes",Projects!$K$4="No",103=Projects!$C$4),Projects!$B$4*Assumptions!$B$47,0)+IF(AND(Projects!$G$5="Yes",Projects!$J$5="Yes",Projects!$K$5="No",103=Projects!$C$5),Projects!$B$5*Assumptions!$B$47,0)+IF(AND(Projects!$G$6="Yes",Projects!$J$6="Yes",Projects!$K$6="No",103=Projects!$C$6),Projects!$B$6*Assumptions!$B$47,0)+IF(AND(Projects!$G$7="Yes",Projects!$J$7="Yes",Projects!$K$7="No",103=Projects!$C$7),Projects!$B$7*Assumptions!$B$47,0)+IF(AND(Projects!$G$8="Yes",Projects!$J$8="Yes",Projects!$K$8="No",103=Projects!$C$8),Projects!$B$8*Assumptions!$B$47,0)+IF(AND(Projects!$G$9="Yes",Projects!$J$9="Yes",Projects!$K$9="No",103=Projects!$C$9),Projects!$B$9*Assumptions!$B$47,0)+IF(AND(Projects!$G$10="Yes",Projects!$J$10="Yes",Projects!$K$10="No",103=Projects!$C$10),Projects!$B$10*Assumptions!$B$47,0)+IF(AND(Projects!$G$11="Yes",Projects!$J$11="Yes",Projects!$K$11="No",103=Projects!$C$11),Projects!$B$11*Assumptions!$B$47,0)+IF(AND(Projects!$G$12="Yes",Projects!$J$12="Yes",Projects!$K$12="No",103=Projects!$C$12),Projects!$B$12*Assumptions!$B$47,0)+IF(AND(Projects!$G$13="Yes",Projects!$J$13="Yes",Projects!$K$13="No",103=Projects!$C$13),Projects!$B$13*Assumptions!$B$47,0)+IF(AND(Projects!$G$14="Yes",Projects!$J$14="Yes",Projects!$K$14="No",103=Projects!$C$14),Projects!$B$14*Assumptions!$B$47,0)),Actuals!DD107)</f>
        <v>-0</v>
      </c>
      <c r="DD287" s="13" t="n">
        <f aca="false">IF(ISBLANK(Actuals!DE107),-(IF(AND(Projects!$G$2="Yes",Projects!$J$2="Yes",Projects!$K$2="No",104=Projects!$C$2),Projects!$B$2*Assumptions!$B$47,0)+IF(AND(Projects!$G$3="Yes",Projects!$J$3="Yes",Projects!$K$3="No",104=Projects!$C$3),Projects!$B$3*Assumptions!$B$47,0)+IF(AND(Projects!$G$4="Yes",Projects!$J$4="Yes",Projects!$K$4="No",104=Projects!$C$4),Projects!$B$4*Assumptions!$B$47,0)+IF(AND(Projects!$G$5="Yes",Projects!$J$5="Yes",Projects!$K$5="No",104=Projects!$C$5),Projects!$B$5*Assumptions!$B$47,0)+IF(AND(Projects!$G$6="Yes",Projects!$J$6="Yes",Projects!$K$6="No",104=Projects!$C$6),Projects!$B$6*Assumptions!$B$47,0)+IF(AND(Projects!$G$7="Yes",Projects!$J$7="Yes",Projects!$K$7="No",104=Projects!$C$7),Projects!$B$7*Assumptions!$B$47,0)+IF(AND(Projects!$G$8="Yes",Projects!$J$8="Yes",Projects!$K$8="No",104=Projects!$C$8),Projects!$B$8*Assumptions!$B$47,0)+IF(AND(Projects!$G$9="Yes",Projects!$J$9="Yes",Projects!$K$9="No",104=Projects!$C$9),Projects!$B$9*Assumptions!$B$47,0)+IF(AND(Projects!$G$10="Yes",Projects!$J$10="Yes",Projects!$K$10="No",104=Projects!$C$10),Projects!$B$10*Assumptions!$B$47,0)+IF(AND(Projects!$G$11="Yes",Projects!$J$11="Yes",Projects!$K$11="No",104=Projects!$C$11),Projects!$B$11*Assumptions!$B$47,0)+IF(AND(Projects!$G$12="Yes",Projects!$J$12="Yes",Projects!$K$12="No",104=Projects!$C$12),Projects!$B$12*Assumptions!$B$47,0)+IF(AND(Projects!$G$13="Yes",Projects!$J$13="Yes",Projects!$K$13="No",104=Projects!$C$13),Projects!$B$13*Assumptions!$B$47,0)+IF(AND(Projects!$G$14="Yes",Projects!$J$14="Yes",Projects!$K$14="No",104=Projects!$C$14),Projects!$B$14*Assumptions!$B$47,0)),Actuals!DE107)</f>
        <v>-0</v>
      </c>
      <c r="DE287" s="13" t="n">
        <f aca="false">IF(ISBLANK(Actuals!DF107),-(IF(AND(Projects!$G$2="Yes",Projects!$J$2="Yes",Projects!$K$2="No",105=Projects!$C$2),Projects!$B$2*Assumptions!$B$47,0)+IF(AND(Projects!$G$3="Yes",Projects!$J$3="Yes",Projects!$K$3="No",105=Projects!$C$3),Projects!$B$3*Assumptions!$B$47,0)+IF(AND(Projects!$G$4="Yes",Projects!$J$4="Yes",Projects!$K$4="No",105=Projects!$C$4),Projects!$B$4*Assumptions!$B$47,0)+IF(AND(Projects!$G$5="Yes",Projects!$J$5="Yes",Projects!$K$5="No",105=Projects!$C$5),Projects!$B$5*Assumptions!$B$47,0)+IF(AND(Projects!$G$6="Yes",Projects!$J$6="Yes",Projects!$K$6="No",105=Projects!$C$6),Projects!$B$6*Assumptions!$B$47,0)+IF(AND(Projects!$G$7="Yes",Projects!$J$7="Yes",Projects!$K$7="No",105=Projects!$C$7),Projects!$B$7*Assumptions!$B$47,0)+IF(AND(Projects!$G$8="Yes",Projects!$J$8="Yes",Projects!$K$8="No",105=Projects!$C$8),Projects!$B$8*Assumptions!$B$47,0)+IF(AND(Projects!$G$9="Yes",Projects!$J$9="Yes",Projects!$K$9="No",105=Projects!$C$9),Projects!$B$9*Assumptions!$B$47,0)+IF(AND(Projects!$G$10="Yes",Projects!$J$10="Yes",Projects!$K$10="No",105=Projects!$C$10),Projects!$B$10*Assumptions!$B$47,0)+IF(AND(Projects!$G$11="Yes",Projects!$J$11="Yes",Projects!$K$11="No",105=Projects!$C$11),Projects!$B$11*Assumptions!$B$47,0)+IF(AND(Projects!$G$12="Yes",Projects!$J$12="Yes",Projects!$K$12="No",105=Projects!$C$12),Projects!$B$12*Assumptions!$B$47,0)+IF(AND(Projects!$G$13="Yes",Projects!$J$13="Yes",Projects!$K$13="No",105=Projects!$C$13),Projects!$B$13*Assumptions!$B$47,0)+IF(AND(Projects!$G$14="Yes",Projects!$J$14="Yes",Projects!$K$14="No",105=Projects!$C$14),Projects!$B$14*Assumptions!$B$47,0)),Actuals!DF107)</f>
        <v>-0</v>
      </c>
    </row>
    <row r="288" customFormat="false" ht="15" hidden="false" customHeight="true" outlineLevel="0" collapsed="false">
      <c r="A288" s="22" t="s">
        <v>133</v>
      </c>
      <c r="B288" s="13" t="n">
        <f aca="false">IF(ISBLANK(Actuals!C108),0,Actuals!C108)</f>
        <v>0</v>
      </c>
      <c r="C288" s="13" t="n">
        <f aca="false">IF(ISBLANK(Actuals!D108),0,Actuals!D108)</f>
        <v>0</v>
      </c>
      <c r="D288" s="13" t="n">
        <f aca="false">IF(ISBLANK(Actuals!E108),0,Actuals!E108)</f>
        <v>0</v>
      </c>
      <c r="E288" s="13" t="n">
        <f aca="false">IF(ISBLANK(Actuals!F108),-(IF(AND(Projects!$G$7="Yes",Projects!$K$7="No",1=Projects!$C$7,Assumptions!$B$53&gt;0),Assumptions!$B$53*Assumptions!$B$48,0)+IF(AND(Projects!$G$11="Yes",Projects!$K$11="No",1=Projects!$C$11,Assumptions!$B$51&gt;0),Assumptions!$B$51*Assumptions!$B$48,0)+IF(AND(Projects!$G$12="Yes",Projects!$K$12="No",1=Projects!$C$12,Assumptions!$B$52&gt;0),Assumptions!$B$52*Assumptions!$B$48,0)+IF(AND(Projects!$G$13="Yes",Projects!$K$13="No",1=Projects!$C$13,Assumptions!$B$54&gt;0),Assumptions!$B$54*Assumptions!$B$48,0)+IF(AND(Projects!$G$14="Yes",Projects!$K$14="No",1=Projects!$C$14,Assumptions!$B$55&gt;0),Assumptions!$B$55*Assumptions!$B$48,0)),Actuals!F108)</f>
        <v>-0</v>
      </c>
      <c r="F288" s="13" t="n">
        <f aca="false">IF(ISBLANK(Actuals!G108),-(IF(AND(Projects!$G$7="Yes",Projects!$K$7="No",2=Projects!$C$7,Assumptions!$B$53&gt;0),Assumptions!$B$53*Assumptions!$B$48,0)+IF(AND(Projects!$G$11="Yes",Projects!$K$11="No",2=Projects!$C$11,Assumptions!$B$51&gt;0),Assumptions!$B$51*Assumptions!$B$48,0)+IF(AND(Projects!$G$12="Yes",Projects!$K$12="No",2=Projects!$C$12,Assumptions!$B$52&gt;0),Assumptions!$B$52*Assumptions!$B$48,0)+IF(AND(Projects!$G$13="Yes",Projects!$K$13="No",2=Projects!$C$13,Assumptions!$B$54&gt;0),Assumptions!$B$54*Assumptions!$B$48,0)+IF(AND(Projects!$G$14="Yes",Projects!$K$14="No",2=Projects!$C$14,Assumptions!$B$55&gt;0),Assumptions!$B$55*Assumptions!$B$48,0)),Actuals!G108)</f>
        <v>-0</v>
      </c>
      <c r="G288" s="13" t="n">
        <f aca="false">IF(ISBLANK(Actuals!H108),-(IF(AND(Projects!$G$7="Yes",Projects!$K$7="No",3=Projects!$C$7,Assumptions!$B$53&gt;0),Assumptions!$B$53*Assumptions!$B$48,0)+IF(AND(Projects!$G$11="Yes",Projects!$K$11="No",3=Projects!$C$11,Assumptions!$B$51&gt;0),Assumptions!$B$51*Assumptions!$B$48,0)+IF(AND(Projects!$G$12="Yes",Projects!$K$12="No",3=Projects!$C$12,Assumptions!$B$52&gt;0),Assumptions!$B$52*Assumptions!$B$48,0)+IF(AND(Projects!$G$13="Yes",Projects!$K$13="No",3=Projects!$C$13,Assumptions!$B$54&gt;0),Assumptions!$B$54*Assumptions!$B$48,0)+IF(AND(Projects!$G$14="Yes",Projects!$K$14="No",3=Projects!$C$14,Assumptions!$B$55&gt;0),Assumptions!$B$55*Assumptions!$B$48,0)),Actuals!H108)</f>
        <v>-0</v>
      </c>
      <c r="H288" s="13" t="n">
        <f aca="false">IF(ISBLANK(Actuals!I108),-(IF(AND(Projects!$G$7="Yes",Projects!$K$7="No",4=Projects!$C$7,Assumptions!$B$53&gt;0),Assumptions!$B$53*Assumptions!$B$48,0)+IF(AND(Projects!$G$11="Yes",Projects!$K$11="No",4=Projects!$C$11,Assumptions!$B$51&gt;0),Assumptions!$B$51*Assumptions!$B$48,0)+IF(AND(Projects!$G$12="Yes",Projects!$K$12="No",4=Projects!$C$12,Assumptions!$B$52&gt;0),Assumptions!$B$52*Assumptions!$B$48,0)+IF(AND(Projects!$G$13="Yes",Projects!$K$13="No",4=Projects!$C$13,Assumptions!$B$54&gt;0),Assumptions!$B$54*Assumptions!$B$48,0)+IF(AND(Projects!$G$14="Yes",Projects!$K$14="No",4=Projects!$C$14,Assumptions!$B$55&gt;0),Assumptions!$B$55*Assumptions!$B$48,0)),Actuals!I108)</f>
        <v>-0</v>
      </c>
      <c r="I288" s="13" t="n">
        <f aca="false">IF(ISBLANK(Actuals!J108),-(IF(AND(Projects!$G$7="Yes",Projects!$K$7="No",5=Projects!$C$7,Assumptions!$B$53&gt;0),Assumptions!$B$53*Assumptions!$B$48,0)+IF(AND(Projects!$G$11="Yes",Projects!$K$11="No",5=Projects!$C$11,Assumptions!$B$51&gt;0),Assumptions!$B$51*Assumptions!$B$48,0)+IF(AND(Projects!$G$12="Yes",Projects!$K$12="No",5=Projects!$C$12,Assumptions!$B$52&gt;0),Assumptions!$B$52*Assumptions!$B$48,0)+IF(AND(Projects!$G$13="Yes",Projects!$K$13="No",5=Projects!$C$13,Assumptions!$B$54&gt;0),Assumptions!$B$54*Assumptions!$B$48,0)+IF(AND(Projects!$G$14="Yes",Projects!$K$14="No",5=Projects!$C$14,Assumptions!$B$55&gt;0),Assumptions!$B$55*Assumptions!$B$48,0)),Actuals!J108)</f>
        <v>-0</v>
      </c>
      <c r="J288" s="13" t="n">
        <f aca="false">IF(ISBLANK(Actuals!K108),-(IF(AND(Projects!$G$7="Yes",Projects!$K$7="No",6=Projects!$C$7,Assumptions!$B$53&gt;0),Assumptions!$B$53*Assumptions!$B$48,0)+IF(AND(Projects!$G$11="Yes",Projects!$K$11="No",6=Projects!$C$11,Assumptions!$B$51&gt;0),Assumptions!$B$51*Assumptions!$B$48,0)+IF(AND(Projects!$G$12="Yes",Projects!$K$12="No",6=Projects!$C$12,Assumptions!$B$52&gt;0),Assumptions!$B$52*Assumptions!$B$48,0)+IF(AND(Projects!$G$13="Yes",Projects!$K$13="No",6=Projects!$C$13,Assumptions!$B$54&gt;0),Assumptions!$B$54*Assumptions!$B$48,0)+IF(AND(Projects!$G$14="Yes",Projects!$K$14="No",6=Projects!$C$14,Assumptions!$B$55&gt;0),Assumptions!$B$55*Assumptions!$B$48,0)),Actuals!K108)</f>
        <v>-0</v>
      </c>
      <c r="K288" s="13" t="n">
        <f aca="false">IF(ISBLANK(Actuals!L108),-(IF(AND(Projects!$G$7="Yes",Projects!$K$7="No",7=Projects!$C$7,Assumptions!$B$53&gt;0),Assumptions!$B$53*Assumptions!$B$48,0)+IF(AND(Projects!$G$11="Yes",Projects!$K$11="No",7=Projects!$C$11,Assumptions!$B$51&gt;0),Assumptions!$B$51*Assumptions!$B$48,0)+IF(AND(Projects!$G$12="Yes",Projects!$K$12="No",7=Projects!$C$12,Assumptions!$B$52&gt;0),Assumptions!$B$52*Assumptions!$B$48,0)+IF(AND(Projects!$G$13="Yes",Projects!$K$13="No",7=Projects!$C$13,Assumptions!$B$54&gt;0),Assumptions!$B$54*Assumptions!$B$48,0)+IF(AND(Projects!$G$14="Yes",Projects!$K$14="No",7=Projects!$C$14,Assumptions!$B$55&gt;0),Assumptions!$B$55*Assumptions!$B$48,0)),Actuals!L108)</f>
        <v>-0</v>
      </c>
      <c r="L288" s="13" t="n">
        <f aca="false">IF(ISBLANK(Actuals!M108),-(IF(AND(Projects!$G$7="Yes",Projects!$K$7="No",8=Projects!$C$7,Assumptions!$B$53&gt;0),Assumptions!$B$53*Assumptions!$B$48,0)+IF(AND(Projects!$G$11="Yes",Projects!$K$11="No",8=Projects!$C$11,Assumptions!$B$51&gt;0),Assumptions!$B$51*Assumptions!$B$48,0)+IF(AND(Projects!$G$12="Yes",Projects!$K$12="No",8=Projects!$C$12,Assumptions!$B$52&gt;0),Assumptions!$B$52*Assumptions!$B$48,0)+IF(AND(Projects!$G$13="Yes",Projects!$K$13="No",8=Projects!$C$13,Assumptions!$B$54&gt;0),Assumptions!$B$54*Assumptions!$B$48,0)+IF(AND(Projects!$G$14="Yes",Projects!$K$14="No",8=Projects!$C$14,Assumptions!$B$55&gt;0),Assumptions!$B$55*Assumptions!$B$48,0)),Actuals!M108)</f>
        <v>-0</v>
      </c>
      <c r="M288" s="13" t="n">
        <f aca="false">IF(ISBLANK(Actuals!N108),-(IF(AND(Projects!$G$7="Yes",Projects!$K$7="No",9=Projects!$C$7,Assumptions!$B$53&gt;0),Assumptions!$B$53*Assumptions!$B$48,0)+IF(AND(Projects!$G$11="Yes",Projects!$K$11="No",9=Projects!$C$11,Assumptions!$B$51&gt;0),Assumptions!$B$51*Assumptions!$B$48,0)+IF(AND(Projects!$G$12="Yes",Projects!$K$12="No",9=Projects!$C$12,Assumptions!$B$52&gt;0),Assumptions!$B$52*Assumptions!$B$48,0)+IF(AND(Projects!$G$13="Yes",Projects!$K$13="No",9=Projects!$C$13,Assumptions!$B$54&gt;0),Assumptions!$B$54*Assumptions!$B$48,0)+IF(AND(Projects!$G$14="Yes",Projects!$K$14="No",9=Projects!$C$14,Assumptions!$B$55&gt;0),Assumptions!$B$55*Assumptions!$B$48,0)),Actuals!N108)</f>
        <v>-0</v>
      </c>
      <c r="N288" s="13" t="n">
        <f aca="false">IF(ISBLANK(Actuals!O108),-(IF(AND(Projects!$G$7="Yes",Projects!$K$7="No",10=Projects!$C$7,Assumptions!$B$53&gt;0),Assumptions!$B$53*Assumptions!$B$48,0)+IF(AND(Projects!$G$11="Yes",Projects!$K$11="No",10=Projects!$C$11,Assumptions!$B$51&gt;0),Assumptions!$B$51*Assumptions!$B$48,0)+IF(AND(Projects!$G$12="Yes",Projects!$K$12="No",10=Projects!$C$12,Assumptions!$B$52&gt;0),Assumptions!$B$52*Assumptions!$B$48,0)+IF(AND(Projects!$G$13="Yes",Projects!$K$13="No",10=Projects!$C$13,Assumptions!$B$54&gt;0),Assumptions!$B$54*Assumptions!$B$48,0)+IF(AND(Projects!$G$14="Yes",Projects!$K$14="No",10=Projects!$C$14,Assumptions!$B$55&gt;0),Assumptions!$B$55*Assumptions!$B$48,0)),Actuals!O108)</f>
        <v>-60000</v>
      </c>
      <c r="O288" s="13" t="n">
        <f aca="false">IF(ISBLANK(Actuals!P108),-(IF(AND(Projects!$G$7="Yes",Projects!$K$7="No",11=Projects!$C$7,Assumptions!$B$53&gt;0),Assumptions!$B$53*Assumptions!$B$48,0)+IF(AND(Projects!$G$11="Yes",Projects!$K$11="No",11=Projects!$C$11,Assumptions!$B$51&gt;0),Assumptions!$B$51*Assumptions!$B$48,0)+IF(AND(Projects!$G$12="Yes",Projects!$K$12="No",11=Projects!$C$12,Assumptions!$B$52&gt;0),Assumptions!$B$52*Assumptions!$B$48,0)+IF(AND(Projects!$G$13="Yes",Projects!$K$13="No",11=Projects!$C$13,Assumptions!$B$54&gt;0),Assumptions!$B$54*Assumptions!$B$48,0)+IF(AND(Projects!$G$14="Yes",Projects!$K$14="No",11=Projects!$C$14,Assumptions!$B$55&gt;0),Assumptions!$B$55*Assumptions!$B$48,0)),Actuals!P108)</f>
        <v>-60000</v>
      </c>
      <c r="P288" s="13" t="n">
        <f aca="false">IF(ISBLANK(Actuals!Q108),-(IF(AND(Projects!$G$7="Yes",Projects!$K$7="No",12=Projects!$C$7,Assumptions!$B$53&gt;0),Assumptions!$B$53*Assumptions!$B$48,0)+IF(AND(Projects!$G$11="Yes",Projects!$K$11="No",12=Projects!$C$11,Assumptions!$B$51&gt;0),Assumptions!$B$51*Assumptions!$B$48,0)+IF(AND(Projects!$G$12="Yes",Projects!$K$12="No",12=Projects!$C$12,Assumptions!$B$52&gt;0),Assumptions!$B$52*Assumptions!$B$48,0)+IF(AND(Projects!$G$13="Yes",Projects!$K$13="No",12=Projects!$C$13,Assumptions!$B$54&gt;0),Assumptions!$B$54*Assumptions!$B$48,0)+IF(AND(Projects!$G$14="Yes",Projects!$K$14="No",12=Projects!$C$14,Assumptions!$B$55&gt;0),Assumptions!$B$55*Assumptions!$B$48,0)),Actuals!Q108)</f>
        <v>-0</v>
      </c>
      <c r="Q288" s="13" t="n">
        <f aca="false">IF(ISBLANK(Actuals!R108),-(IF(AND(Projects!$G$7="Yes",Projects!$K$7="No",13=Projects!$C$7,Assumptions!$B$53&gt;0),Assumptions!$B$53*Assumptions!$B$48,0)+IF(AND(Projects!$G$11="Yes",Projects!$K$11="No",13=Projects!$C$11,Assumptions!$B$51&gt;0),Assumptions!$B$51*Assumptions!$B$48,0)+IF(AND(Projects!$G$12="Yes",Projects!$K$12="No",13=Projects!$C$12,Assumptions!$B$52&gt;0),Assumptions!$B$52*Assumptions!$B$48,0)+IF(AND(Projects!$G$13="Yes",Projects!$K$13="No",13=Projects!$C$13,Assumptions!$B$54&gt;0),Assumptions!$B$54*Assumptions!$B$48,0)+IF(AND(Projects!$G$14="Yes",Projects!$K$14="No",13=Projects!$C$14,Assumptions!$B$55&gt;0),Assumptions!$B$55*Assumptions!$B$48,0)),Actuals!R108)</f>
        <v>-0</v>
      </c>
      <c r="R288" s="13" t="n">
        <f aca="false">IF(ISBLANK(Actuals!S108),-(IF(AND(Projects!$G$7="Yes",Projects!$K$7="No",14=Projects!$C$7,Assumptions!$B$53&gt;0),Assumptions!$B$53*Assumptions!$B$48,0)+IF(AND(Projects!$G$11="Yes",Projects!$K$11="No",14=Projects!$C$11,Assumptions!$B$51&gt;0),Assumptions!$B$51*Assumptions!$B$48,0)+IF(AND(Projects!$G$12="Yes",Projects!$K$12="No",14=Projects!$C$12,Assumptions!$B$52&gt;0),Assumptions!$B$52*Assumptions!$B$48,0)+IF(AND(Projects!$G$13="Yes",Projects!$K$13="No",14=Projects!$C$13,Assumptions!$B$54&gt;0),Assumptions!$B$54*Assumptions!$B$48,0)+IF(AND(Projects!$G$14="Yes",Projects!$K$14="No",14=Projects!$C$14,Assumptions!$B$55&gt;0),Assumptions!$B$55*Assumptions!$B$48,0)),Actuals!S108)</f>
        <v>-0</v>
      </c>
      <c r="S288" s="13" t="n">
        <f aca="false">IF(ISBLANK(Actuals!T108),-(IF(AND(Projects!$G$7="Yes",Projects!$K$7="No",15=Projects!$C$7,Assumptions!$B$53&gt;0),Assumptions!$B$53*Assumptions!$B$48,0)+IF(AND(Projects!$G$11="Yes",Projects!$K$11="No",15=Projects!$C$11,Assumptions!$B$51&gt;0),Assumptions!$B$51*Assumptions!$B$48,0)+IF(AND(Projects!$G$12="Yes",Projects!$K$12="No",15=Projects!$C$12,Assumptions!$B$52&gt;0),Assumptions!$B$52*Assumptions!$B$48,0)+IF(AND(Projects!$G$13="Yes",Projects!$K$13="No",15=Projects!$C$13,Assumptions!$B$54&gt;0),Assumptions!$B$54*Assumptions!$B$48,0)+IF(AND(Projects!$G$14="Yes",Projects!$K$14="No",15=Projects!$C$14,Assumptions!$B$55&gt;0),Assumptions!$B$55*Assumptions!$B$48,0)),Actuals!T108)</f>
        <v>-0</v>
      </c>
      <c r="T288" s="13" t="n">
        <f aca="false">IF(ISBLANK(Actuals!U108),-(IF(AND(Projects!$G$7="Yes",Projects!$K$7="No",16=Projects!$C$7,Assumptions!$B$53&gt;0),Assumptions!$B$53*Assumptions!$B$48,0)+IF(AND(Projects!$G$11="Yes",Projects!$K$11="No",16=Projects!$C$11,Assumptions!$B$51&gt;0),Assumptions!$B$51*Assumptions!$B$48,0)+IF(AND(Projects!$G$12="Yes",Projects!$K$12="No",16=Projects!$C$12,Assumptions!$B$52&gt;0),Assumptions!$B$52*Assumptions!$B$48,0)+IF(AND(Projects!$G$13="Yes",Projects!$K$13="No",16=Projects!$C$13,Assumptions!$B$54&gt;0),Assumptions!$B$54*Assumptions!$B$48,0)+IF(AND(Projects!$G$14="Yes",Projects!$K$14="No",16=Projects!$C$14,Assumptions!$B$55&gt;0),Assumptions!$B$55*Assumptions!$B$48,0)),Actuals!U108)</f>
        <v>-0</v>
      </c>
      <c r="U288" s="13" t="n">
        <f aca="false">IF(ISBLANK(Actuals!V108),-(IF(AND(Projects!$G$7="Yes",Projects!$K$7="No",17=Projects!$C$7,Assumptions!$B$53&gt;0),Assumptions!$B$53*Assumptions!$B$48,0)+IF(AND(Projects!$G$11="Yes",Projects!$K$11="No",17=Projects!$C$11,Assumptions!$B$51&gt;0),Assumptions!$B$51*Assumptions!$B$48,0)+IF(AND(Projects!$G$12="Yes",Projects!$K$12="No",17=Projects!$C$12,Assumptions!$B$52&gt;0),Assumptions!$B$52*Assumptions!$B$48,0)+IF(AND(Projects!$G$13="Yes",Projects!$K$13="No",17=Projects!$C$13,Assumptions!$B$54&gt;0),Assumptions!$B$54*Assumptions!$B$48,0)+IF(AND(Projects!$G$14="Yes",Projects!$K$14="No",17=Projects!$C$14,Assumptions!$B$55&gt;0),Assumptions!$B$55*Assumptions!$B$48,0)),Actuals!V108)</f>
        <v>-0</v>
      </c>
      <c r="V288" s="13" t="n">
        <f aca="false">IF(ISBLANK(Actuals!W108),-(IF(AND(Projects!$G$7="Yes",Projects!$K$7="No",18=Projects!$C$7,Assumptions!$B$53&gt;0),Assumptions!$B$53*Assumptions!$B$48,0)+IF(AND(Projects!$G$11="Yes",Projects!$K$11="No",18=Projects!$C$11,Assumptions!$B$51&gt;0),Assumptions!$B$51*Assumptions!$B$48,0)+IF(AND(Projects!$G$12="Yes",Projects!$K$12="No",18=Projects!$C$12,Assumptions!$B$52&gt;0),Assumptions!$B$52*Assumptions!$B$48,0)+IF(AND(Projects!$G$13="Yes",Projects!$K$13="No",18=Projects!$C$13,Assumptions!$B$54&gt;0),Assumptions!$B$54*Assumptions!$B$48,0)+IF(AND(Projects!$G$14="Yes",Projects!$K$14="No",18=Projects!$C$14,Assumptions!$B$55&gt;0),Assumptions!$B$55*Assumptions!$B$48,0)),Actuals!W108)</f>
        <v>-0</v>
      </c>
      <c r="W288" s="13" t="n">
        <f aca="false">IF(ISBLANK(Actuals!X108),-(IF(AND(Projects!$G$7="Yes",Projects!$K$7="No",19=Projects!$C$7,Assumptions!$B$53&gt;0),Assumptions!$B$53*Assumptions!$B$48,0)+IF(AND(Projects!$G$11="Yes",Projects!$K$11="No",19=Projects!$C$11,Assumptions!$B$51&gt;0),Assumptions!$B$51*Assumptions!$B$48,0)+IF(AND(Projects!$G$12="Yes",Projects!$K$12="No",19=Projects!$C$12,Assumptions!$B$52&gt;0),Assumptions!$B$52*Assumptions!$B$48,0)+IF(AND(Projects!$G$13="Yes",Projects!$K$13="No",19=Projects!$C$13,Assumptions!$B$54&gt;0),Assumptions!$B$54*Assumptions!$B$48,0)+IF(AND(Projects!$G$14="Yes",Projects!$K$14="No",19=Projects!$C$14,Assumptions!$B$55&gt;0),Assumptions!$B$55*Assumptions!$B$48,0)),Actuals!X108)</f>
        <v>-0</v>
      </c>
      <c r="X288" s="13" t="n">
        <f aca="false">IF(ISBLANK(Actuals!Y108),-(IF(AND(Projects!$G$7="Yes",Projects!$K$7="No",20=Projects!$C$7,Assumptions!$B$53&gt;0),Assumptions!$B$53*Assumptions!$B$48,0)+IF(AND(Projects!$G$11="Yes",Projects!$K$11="No",20=Projects!$C$11,Assumptions!$B$51&gt;0),Assumptions!$B$51*Assumptions!$B$48,0)+IF(AND(Projects!$G$12="Yes",Projects!$K$12="No",20=Projects!$C$12,Assumptions!$B$52&gt;0),Assumptions!$B$52*Assumptions!$B$48,0)+IF(AND(Projects!$G$13="Yes",Projects!$K$13="No",20=Projects!$C$13,Assumptions!$B$54&gt;0),Assumptions!$B$54*Assumptions!$B$48,0)+IF(AND(Projects!$G$14="Yes",Projects!$K$14="No",20=Projects!$C$14,Assumptions!$B$55&gt;0),Assumptions!$B$55*Assumptions!$B$48,0)),Actuals!Y108)</f>
        <v>-0</v>
      </c>
      <c r="Y288" s="13" t="n">
        <f aca="false">IF(ISBLANK(Actuals!Z108),-(IF(AND(Projects!$G$7="Yes",Projects!$K$7="No",21=Projects!$C$7,Assumptions!$B$53&gt;0),Assumptions!$B$53*Assumptions!$B$48,0)+IF(AND(Projects!$G$11="Yes",Projects!$K$11="No",21=Projects!$C$11,Assumptions!$B$51&gt;0),Assumptions!$B$51*Assumptions!$B$48,0)+IF(AND(Projects!$G$12="Yes",Projects!$K$12="No",21=Projects!$C$12,Assumptions!$B$52&gt;0),Assumptions!$B$52*Assumptions!$B$48,0)+IF(AND(Projects!$G$13="Yes",Projects!$K$13="No",21=Projects!$C$13,Assumptions!$B$54&gt;0),Assumptions!$B$54*Assumptions!$B$48,0)+IF(AND(Projects!$G$14="Yes",Projects!$K$14="No",21=Projects!$C$14,Assumptions!$B$55&gt;0),Assumptions!$B$55*Assumptions!$B$48,0)),Actuals!Z108)</f>
        <v>-0</v>
      </c>
      <c r="Z288" s="13" t="n">
        <f aca="false">IF(ISBLANK(Actuals!AA108),-(IF(AND(Projects!$G$7="Yes",Projects!$K$7="No",22=Projects!$C$7,Assumptions!$B$53&gt;0),Assumptions!$B$53*Assumptions!$B$48,0)+IF(AND(Projects!$G$11="Yes",Projects!$K$11="No",22=Projects!$C$11,Assumptions!$B$51&gt;0),Assumptions!$B$51*Assumptions!$B$48,0)+IF(AND(Projects!$G$12="Yes",Projects!$K$12="No",22=Projects!$C$12,Assumptions!$B$52&gt;0),Assumptions!$B$52*Assumptions!$B$48,0)+IF(AND(Projects!$G$13="Yes",Projects!$K$13="No",22=Projects!$C$13,Assumptions!$B$54&gt;0),Assumptions!$B$54*Assumptions!$B$48,0)+IF(AND(Projects!$G$14="Yes",Projects!$K$14="No",22=Projects!$C$14,Assumptions!$B$55&gt;0),Assumptions!$B$55*Assumptions!$B$48,0)),Actuals!AA108)</f>
        <v>-0</v>
      </c>
      <c r="AA288" s="13" t="n">
        <f aca="false">IF(ISBLANK(Actuals!AB108),-(IF(AND(Projects!$G$7="Yes",Projects!$K$7="No",23=Projects!$C$7,Assumptions!$B$53&gt;0),Assumptions!$B$53*Assumptions!$B$48,0)+IF(AND(Projects!$G$11="Yes",Projects!$K$11="No",23=Projects!$C$11,Assumptions!$B$51&gt;0),Assumptions!$B$51*Assumptions!$B$48,0)+IF(AND(Projects!$G$12="Yes",Projects!$K$12="No",23=Projects!$C$12,Assumptions!$B$52&gt;0),Assumptions!$B$52*Assumptions!$B$48,0)+IF(AND(Projects!$G$13="Yes",Projects!$K$13="No",23=Projects!$C$13,Assumptions!$B$54&gt;0),Assumptions!$B$54*Assumptions!$B$48,0)+IF(AND(Projects!$G$14="Yes",Projects!$K$14="No",23=Projects!$C$14,Assumptions!$B$55&gt;0),Assumptions!$B$55*Assumptions!$B$48,0)),Actuals!AB108)</f>
        <v>-0</v>
      </c>
      <c r="AB288" s="13" t="n">
        <f aca="false">IF(ISBLANK(Actuals!AC108),-(IF(AND(Projects!$G$7="Yes",Projects!$K$7="No",24=Projects!$C$7,Assumptions!$B$53&gt;0),Assumptions!$B$53*Assumptions!$B$48,0)+IF(AND(Projects!$G$11="Yes",Projects!$K$11="No",24=Projects!$C$11,Assumptions!$B$51&gt;0),Assumptions!$B$51*Assumptions!$B$48,0)+IF(AND(Projects!$G$12="Yes",Projects!$K$12="No",24=Projects!$C$12,Assumptions!$B$52&gt;0),Assumptions!$B$52*Assumptions!$B$48,0)+IF(AND(Projects!$G$13="Yes",Projects!$K$13="No",24=Projects!$C$13,Assumptions!$B$54&gt;0),Assumptions!$B$54*Assumptions!$B$48,0)+IF(AND(Projects!$G$14="Yes",Projects!$K$14="No",24=Projects!$C$14,Assumptions!$B$55&gt;0),Assumptions!$B$55*Assumptions!$B$48,0)),Actuals!AC108)</f>
        <v>-0</v>
      </c>
      <c r="AC288" s="13" t="n">
        <f aca="false">IF(ISBLANK(Actuals!AD108),-(IF(AND(Projects!$G$7="Yes",Projects!$K$7="No",25=Projects!$C$7,Assumptions!$B$53&gt;0),Assumptions!$B$53*Assumptions!$B$48,0)+IF(AND(Projects!$G$11="Yes",Projects!$K$11="No",25=Projects!$C$11,Assumptions!$B$51&gt;0),Assumptions!$B$51*Assumptions!$B$48,0)+IF(AND(Projects!$G$12="Yes",Projects!$K$12="No",25=Projects!$C$12,Assumptions!$B$52&gt;0),Assumptions!$B$52*Assumptions!$B$48,0)+IF(AND(Projects!$G$13="Yes",Projects!$K$13="No",25=Projects!$C$13,Assumptions!$B$54&gt;0),Assumptions!$B$54*Assumptions!$B$48,0)+IF(AND(Projects!$G$14="Yes",Projects!$K$14="No",25=Projects!$C$14,Assumptions!$B$55&gt;0),Assumptions!$B$55*Assumptions!$B$48,0)),Actuals!AD108)</f>
        <v>-0</v>
      </c>
      <c r="AD288" s="13" t="n">
        <f aca="false">IF(ISBLANK(Actuals!AE108),-(IF(AND(Projects!$G$7="Yes",Projects!$K$7="No",26=Projects!$C$7,Assumptions!$B$53&gt;0),Assumptions!$B$53*Assumptions!$B$48,0)+IF(AND(Projects!$G$11="Yes",Projects!$K$11="No",26=Projects!$C$11,Assumptions!$B$51&gt;0),Assumptions!$B$51*Assumptions!$B$48,0)+IF(AND(Projects!$G$12="Yes",Projects!$K$12="No",26=Projects!$C$12,Assumptions!$B$52&gt;0),Assumptions!$B$52*Assumptions!$B$48,0)+IF(AND(Projects!$G$13="Yes",Projects!$K$13="No",26=Projects!$C$13,Assumptions!$B$54&gt;0),Assumptions!$B$54*Assumptions!$B$48,0)+IF(AND(Projects!$G$14="Yes",Projects!$K$14="No",26=Projects!$C$14,Assumptions!$B$55&gt;0),Assumptions!$B$55*Assumptions!$B$48,0)),Actuals!AE108)</f>
        <v>-0</v>
      </c>
      <c r="AE288" s="13" t="n">
        <f aca="false">IF(ISBLANK(Actuals!AF108),-(IF(AND(Projects!$G$7="Yes",Projects!$K$7="No",27=Projects!$C$7,Assumptions!$B$53&gt;0),Assumptions!$B$53*Assumptions!$B$48,0)+IF(AND(Projects!$G$11="Yes",Projects!$K$11="No",27=Projects!$C$11,Assumptions!$B$51&gt;0),Assumptions!$B$51*Assumptions!$B$48,0)+IF(AND(Projects!$G$12="Yes",Projects!$K$12="No",27=Projects!$C$12,Assumptions!$B$52&gt;0),Assumptions!$B$52*Assumptions!$B$48,0)+IF(AND(Projects!$G$13="Yes",Projects!$K$13="No",27=Projects!$C$13,Assumptions!$B$54&gt;0),Assumptions!$B$54*Assumptions!$B$48,0)+IF(AND(Projects!$G$14="Yes",Projects!$K$14="No",27=Projects!$C$14,Assumptions!$B$55&gt;0),Assumptions!$B$55*Assumptions!$B$48,0)),Actuals!AF108)</f>
        <v>-0</v>
      </c>
      <c r="AF288" s="13" t="n">
        <f aca="false">IF(ISBLANK(Actuals!AG108),-(IF(AND(Projects!$G$7="Yes",Projects!$K$7="No",28=Projects!$C$7,Assumptions!$B$53&gt;0),Assumptions!$B$53*Assumptions!$B$48,0)+IF(AND(Projects!$G$11="Yes",Projects!$K$11="No",28=Projects!$C$11,Assumptions!$B$51&gt;0),Assumptions!$B$51*Assumptions!$B$48,0)+IF(AND(Projects!$G$12="Yes",Projects!$K$12="No",28=Projects!$C$12,Assumptions!$B$52&gt;0),Assumptions!$B$52*Assumptions!$B$48,0)+IF(AND(Projects!$G$13="Yes",Projects!$K$13="No",28=Projects!$C$13,Assumptions!$B$54&gt;0),Assumptions!$B$54*Assumptions!$B$48,0)+IF(AND(Projects!$G$14="Yes",Projects!$K$14="No",28=Projects!$C$14,Assumptions!$B$55&gt;0),Assumptions!$B$55*Assumptions!$B$48,0)),Actuals!AG108)</f>
        <v>-0</v>
      </c>
      <c r="AG288" s="13" t="n">
        <f aca="false">IF(ISBLANK(Actuals!AH108),-(IF(AND(Projects!$G$7="Yes",Projects!$K$7="No",29=Projects!$C$7,Assumptions!$B$53&gt;0),Assumptions!$B$53*Assumptions!$B$48,0)+IF(AND(Projects!$G$11="Yes",Projects!$K$11="No",29=Projects!$C$11,Assumptions!$B$51&gt;0),Assumptions!$B$51*Assumptions!$B$48,0)+IF(AND(Projects!$G$12="Yes",Projects!$K$12="No",29=Projects!$C$12,Assumptions!$B$52&gt;0),Assumptions!$B$52*Assumptions!$B$48,0)+IF(AND(Projects!$G$13="Yes",Projects!$K$13="No",29=Projects!$C$13,Assumptions!$B$54&gt;0),Assumptions!$B$54*Assumptions!$B$48,0)+IF(AND(Projects!$G$14="Yes",Projects!$K$14="No",29=Projects!$C$14,Assumptions!$B$55&gt;0),Assumptions!$B$55*Assumptions!$B$48,0)),Actuals!AH108)</f>
        <v>-0</v>
      </c>
      <c r="AH288" s="13" t="n">
        <f aca="false">IF(ISBLANK(Actuals!AI108),-(IF(AND(Projects!$G$7="Yes",Projects!$K$7="No",30=Projects!$C$7,Assumptions!$B$53&gt;0),Assumptions!$B$53*Assumptions!$B$48,0)+IF(AND(Projects!$G$11="Yes",Projects!$K$11="No",30=Projects!$C$11,Assumptions!$B$51&gt;0),Assumptions!$B$51*Assumptions!$B$48,0)+IF(AND(Projects!$G$12="Yes",Projects!$K$12="No",30=Projects!$C$12,Assumptions!$B$52&gt;0),Assumptions!$B$52*Assumptions!$B$48,0)+IF(AND(Projects!$G$13="Yes",Projects!$K$13="No",30=Projects!$C$13,Assumptions!$B$54&gt;0),Assumptions!$B$54*Assumptions!$B$48,0)+IF(AND(Projects!$G$14="Yes",Projects!$K$14="No",30=Projects!$C$14,Assumptions!$B$55&gt;0),Assumptions!$B$55*Assumptions!$B$48,0)),Actuals!AI108)</f>
        <v>-0</v>
      </c>
      <c r="AI288" s="13" t="n">
        <f aca="false">IF(ISBLANK(Actuals!AJ108),-(IF(AND(Projects!$G$7="Yes",Projects!$K$7="No",31=Projects!$C$7,Assumptions!$B$53&gt;0),Assumptions!$B$53*Assumptions!$B$48,0)+IF(AND(Projects!$G$11="Yes",Projects!$K$11="No",31=Projects!$C$11,Assumptions!$B$51&gt;0),Assumptions!$B$51*Assumptions!$B$48,0)+IF(AND(Projects!$G$12="Yes",Projects!$K$12="No",31=Projects!$C$12,Assumptions!$B$52&gt;0),Assumptions!$B$52*Assumptions!$B$48,0)+IF(AND(Projects!$G$13="Yes",Projects!$K$13="No",31=Projects!$C$13,Assumptions!$B$54&gt;0),Assumptions!$B$54*Assumptions!$B$48,0)+IF(AND(Projects!$G$14="Yes",Projects!$K$14="No",31=Projects!$C$14,Assumptions!$B$55&gt;0),Assumptions!$B$55*Assumptions!$B$48,0)),Actuals!AJ108)</f>
        <v>-0</v>
      </c>
      <c r="AJ288" s="13" t="n">
        <f aca="false">IF(ISBLANK(Actuals!AK108),-(IF(AND(Projects!$G$7="Yes",Projects!$K$7="No",32=Projects!$C$7,Assumptions!$B$53&gt;0),Assumptions!$B$53*Assumptions!$B$48,0)+IF(AND(Projects!$G$11="Yes",Projects!$K$11="No",32=Projects!$C$11,Assumptions!$B$51&gt;0),Assumptions!$B$51*Assumptions!$B$48,0)+IF(AND(Projects!$G$12="Yes",Projects!$K$12="No",32=Projects!$C$12,Assumptions!$B$52&gt;0),Assumptions!$B$52*Assumptions!$B$48,0)+IF(AND(Projects!$G$13="Yes",Projects!$K$13="No",32=Projects!$C$13,Assumptions!$B$54&gt;0),Assumptions!$B$54*Assumptions!$B$48,0)+IF(AND(Projects!$G$14="Yes",Projects!$K$14="No",32=Projects!$C$14,Assumptions!$B$55&gt;0),Assumptions!$B$55*Assumptions!$B$48,0)),Actuals!AK108)</f>
        <v>-0</v>
      </c>
      <c r="AK288" s="13" t="n">
        <f aca="false">IF(ISBLANK(Actuals!AL108),-(IF(AND(Projects!$G$7="Yes",Projects!$K$7="No",33=Projects!$C$7,Assumptions!$B$53&gt;0),Assumptions!$B$53*Assumptions!$B$48,0)+IF(AND(Projects!$G$11="Yes",Projects!$K$11="No",33=Projects!$C$11,Assumptions!$B$51&gt;0),Assumptions!$B$51*Assumptions!$B$48,0)+IF(AND(Projects!$G$12="Yes",Projects!$K$12="No",33=Projects!$C$12,Assumptions!$B$52&gt;0),Assumptions!$B$52*Assumptions!$B$48,0)+IF(AND(Projects!$G$13="Yes",Projects!$K$13="No",33=Projects!$C$13,Assumptions!$B$54&gt;0),Assumptions!$B$54*Assumptions!$B$48,0)+IF(AND(Projects!$G$14="Yes",Projects!$K$14="No",33=Projects!$C$14,Assumptions!$B$55&gt;0),Assumptions!$B$55*Assumptions!$B$48,0)),Actuals!AL108)</f>
        <v>-0</v>
      </c>
      <c r="AL288" s="13" t="n">
        <f aca="false">IF(ISBLANK(Actuals!AM108),-(IF(AND(Projects!$G$7="Yes",Projects!$K$7="No",34=Projects!$C$7,Assumptions!$B$53&gt;0),Assumptions!$B$53*Assumptions!$B$48,0)+IF(AND(Projects!$G$11="Yes",Projects!$K$11="No",34=Projects!$C$11,Assumptions!$B$51&gt;0),Assumptions!$B$51*Assumptions!$B$48,0)+IF(AND(Projects!$G$12="Yes",Projects!$K$12="No",34=Projects!$C$12,Assumptions!$B$52&gt;0),Assumptions!$B$52*Assumptions!$B$48,0)+IF(AND(Projects!$G$13="Yes",Projects!$K$13="No",34=Projects!$C$13,Assumptions!$B$54&gt;0),Assumptions!$B$54*Assumptions!$B$48,0)+IF(AND(Projects!$G$14="Yes",Projects!$K$14="No",34=Projects!$C$14,Assumptions!$B$55&gt;0),Assumptions!$B$55*Assumptions!$B$48,0)),Actuals!AM108)</f>
        <v>-0</v>
      </c>
      <c r="AM288" s="13" t="n">
        <f aca="false">IF(ISBLANK(Actuals!AN108),-(IF(AND(Projects!$G$7="Yes",Projects!$K$7="No",35=Projects!$C$7,Assumptions!$B$53&gt;0),Assumptions!$B$53*Assumptions!$B$48,0)+IF(AND(Projects!$G$11="Yes",Projects!$K$11="No",35=Projects!$C$11,Assumptions!$B$51&gt;0),Assumptions!$B$51*Assumptions!$B$48,0)+IF(AND(Projects!$G$12="Yes",Projects!$K$12="No",35=Projects!$C$12,Assumptions!$B$52&gt;0),Assumptions!$B$52*Assumptions!$B$48,0)+IF(AND(Projects!$G$13="Yes",Projects!$K$13="No",35=Projects!$C$13,Assumptions!$B$54&gt;0),Assumptions!$B$54*Assumptions!$B$48,0)+IF(AND(Projects!$G$14="Yes",Projects!$K$14="No",35=Projects!$C$14,Assumptions!$B$55&gt;0),Assumptions!$B$55*Assumptions!$B$48,0)),Actuals!AN108)</f>
        <v>-0</v>
      </c>
      <c r="AN288" s="13" t="n">
        <f aca="false">IF(ISBLANK(Actuals!AO108),-(IF(AND(Projects!$G$7="Yes",Projects!$K$7="No",36=Projects!$C$7,Assumptions!$B$53&gt;0),Assumptions!$B$53*Assumptions!$B$48,0)+IF(AND(Projects!$G$11="Yes",Projects!$K$11="No",36=Projects!$C$11,Assumptions!$B$51&gt;0),Assumptions!$B$51*Assumptions!$B$48,0)+IF(AND(Projects!$G$12="Yes",Projects!$K$12="No",36=Projects!$C$12,Assumptions!$B$52&gt;0),Assumptions!$B$52*Assumptions!$B$48,0)+IF(AND(Projects!$G$13="Yes",Projects!$K$13="No",36=Projects!$C$13,Assumptions!$B$54&gt;0),Assumptions!$B$54*Assumptions!$B$48,0)+IF(AND(Projects!$G$14="Yes",Projects!$K$14="No",36=Projects!$C$14,Assumptions!$B$55&gt;0),Assumptions!$B$55*Assumptions!$B$48,0)),Actuals!AO108)</f>
        <v>-0</v>
      </c>
      <c r="AO288" s="13" t="n">
        <f aca="false">IF(ISBLANK(Actuals!AP108),-(IF(AND(Projects!$G$7="Yes",Projects!$K$7="No",37=Projects!$C$7,Assumptions!$B$53&gt;0),Assumptions!$B$53*Assumptions!$B$48,0)+IF(AND(Projects!$G$11="Yes",Projects!$K$11="No",37=Projects!$C$11,Assumptions!$B$51&gt;0),Assumptions!$B$51*Assumptions!$B$48,0)+IF(AND(Projects!$G$12="Yes",Projects!$K$12="No",37=Projects!$C$12,Assumptions!$B$52&gt;0),Assumptions!$B$52*Assumptions!$B$48,0)+IF(AND(Projects!$G$13="Yes",Projects!$K$13="No",37=Projects!$C$13,Assumptions!$B$54&gt;0),Assumptions!$B$54*Assumptions!$B$48,0)+IF(AND(Projects!$G$14="Yes",Projects!$K$14="No",37=Projects!$C$14,Assumptions!$B$55&gt;0),Assumptions!$B$55*Assumptions!$B$48,0)),Actuals!AP108)</f>
        <v>-0</v>
      </c>
      <c r="AP288" s="13" t="n">
        <f aca="false">IF(ISBLANK(Actuals!AQ108),-(IF(AND(Projects!$G$7="Yes",Projects!$K$7="No",38=Projects!$C$7,Assumptions!$B$53&gt;0),Assumptions!$B$53*Assumptions!$B$48,0)+IF(AND(Projects!$G$11="Yes",Projects!$K$11="No",38=Projects!$C$11,Assumptions!$B$51&gt;0),Assumptions!$B$51*Assumptions!$B$48,0)+IF(AND(Projects!$G$12="Yes",Projects!$K$12="No",38=Projects!$C$12,Assumptions!$B$52&gt;0),Assumptions!$B$52*Assumptions!$B$48,0)+IF(AND(Projects!$G$13="Yes",Projects!$K$13="No",38=Projects!$C$13,Assumptions!$B$54&gt;0),Assumptions!$B$54*Assumptions!$B$48,0)+IF(AND(Projects!$G$14="Yes",Projects!$K$14="No",38=Projects!$C$14,Assumptions!$B$55&gt;0),Assumptions!$B$55*Assumptions!$B$48,0)),Actuals!AQ108)</f>
        <v>-0</v>
      </c>
      <c r="AQ288" s="13" t="n">
        <f aca="false">IF(ISBLANK(Actuals!AR108),-(IF(AND(Projects!$G$7="Yes",Projects!$K$7="No",39=Projects!$C$7,Assumptions!$B$53&gt;0),Assumptions!$B$53*Assumptions!$B$48,0)+IF(AND(Projects!$G$11="Yes",Projects!$K$11="No",39=Projects!$C$11,Assumptions!$B$51&gt;0),Assumptions!$B$51*Assumptions!$B$48,0)+IF(AND(Projects!$G$12="Yes",Projects!$K$12="No",39=Projects!$C$12,Assumptions!$B$52&gt;0),Assumptions!$B$52*Assumptions!$B$48,0)+IF(AND(Projects!$G$13="Yes",Projects!$K$13="No",39=Projects!$C$13,Assumptions!$B$54&gt;0),Assumptions!$B$54*Assumptions!$B$48,0)+IF(AND(Projects!$G$14="Yes",Projects!$K$14="No",39=Projects!$C$14,Assumptions!$B$55&gt;0),Assumptions!$B$55*Assumptions!$B$48,0)),Actuals!AR108)</f>
        <v>-0</v>
      </c>
      <c r="AR288" s="13" t="n">
        <f aca="false">IF(ISBLANK(Actuals!AS108),-(IF(AND(Projects!$G$7="Yes",Projects!$K$7="No",40=Projects!$C$7,Assumptions!$B$53&gt;0),Assumptions!$B$53*Assumptions!$B$48,0)+IF(AND(Projects!$G$11="Yes",Projects!$K$11="No",40=Projects!$C$11,Assumptions!$B$51&gt;0),Assumptions!$B$51*Assumptions!$B$48,0)+IF(AND(Projects!$G$12="Yes",Projects!$K$12="No",40=Projects!$C$12,Assumptions!$B$52&gt;0),Assumptions!$B$52*Assumptions!$B$48,0)+IF(AND(Projects!$G$13="Yes",Projects!$K$13="No",40=Projects!$C$13,Assumptions!$B$54&gt;0),Assumptions!$B$54*Assumptions!$B$48,0)+IF(AND(Projects!$G$14="Yes",Projects!$K$14="No",40=Projects!$C$14,Assumptions!$B$55&gt;0),Assumptions!$B$55*Assumptions!$B$48,0)),Actuals!AS108)</f>
        <v>-0</v>
      </c>
      <c r="AS288" s="13" t="n">
        <f aca="false">IF(ISBLANK(Actuals!AT108),-(IF(AND(Projects!$G$7="Yes",Projects!$K$7="No",41=Projects!$C$7,Assumptions!$B$53&gt;0),Assumptions!$B$53*Assumptions!$B$48,0)+IF(AND(Projects!$G$11="Yes",Projects!$K$11="No",41=Projects!$C$11,Assumptions!$B$51&gt;0),Assumptions!$B$51*Assumptions!$B$48,0)+IF(AND(Projects!$G$12="Yes",Projects!$K$12="No",41=Projects!$C$12,Assumptions!$B$52&gt;0),Assumptions!$B$52*Assumptions!$B$48,0)+IF(AND(Projects!$G$13="Yes",Projects!$K$13="No",41=Projects!$C$13,Assumptions!$B$54&gt;0),Assumptions!$B$54*Assumptions!$B$48,0)+IF(AND(Projects!$G$14="Yes",Projects!$K$14="No",41=Projects!$C$14,Assumptions!$B$55&gt;0),Assumptions!$B$55*Assumptions!$B$48,0)),Actuals!AT108)</f>
        <v>-0</v>
      </c>
      <c r="AT288" s="13" t="n">
        <f aca="false">IF(ISBLANK(Actuals!AU108),-(IF(AND(Projects!$G$7="Yes",Projects!$K$7="No",42=Projects!$C$7,Assumptions!$B$53&gt;0),Assumptions!$B$53*Assumptions!$B$48,0)+IF(AND(Projects!$G$11="Yes",Projects!$K$11="No",42=Projects!$C$11,Assumptions!$B$51&gt;0),Assumptions!$B$51*Assumptions!$B$48,0)+IF(AND(Projects!$G$12="Yes",Projects!$K$12="No",42=Projects!$C$12,Assumptions!$B$52&gt;0),Assumptions!$B$52*Assumptions!$B$48,0)+IF(AND(Projects!$G$13="Yes",Projects!$K$13="No",42=Projects!$C$13,Assumptions!$B$54&gt;0),Assumptions!$B$54*Assumptions!$B$48,0)+IF(AND(Projects!$G$14="Yes",Projects!$K$14="No",42=Projects!$C$14,Assumptions!$B$55&gt;0),Assumptions!$B$55*Assumptions!$B$48,0)),Actuals!AU108)</f>
        <v>-0</v>
      </c>
      <c r="AU288" s="13" t="n">
        <f aca="false">IF(ISBLANK(Actuals!AV108),-(IF(AND(Projects!$G$7="Yes",Projects!$K$7="No",43=Projects!$C$7,Assumptions!$B$53&gt;0),Assumptions!$B$53*Assumptions!$B$48,0)+IF(AND(Projects!$G$11="Yes",Projects!$K$11="No",43=Projects!$C$11,Assumptions!$B$51&gt;0),Assumptions!$B$51*Assumptions!$B$48,0)+IF(AND(Projects!$G$12="Yes",Projects!$K$12="No",43=Projects!$C$12,Assumptions!$B$52&gt;0),Assumptions!$B$52*Assumptions!$B$48,0)+IF(AND(Projects!$G$13="Yes",Projects!$K$13="No",43=Projects!$C$13,Assumptions!$B$54&gt;0),Assumptions!$B$54*Assumptions!$B$48,0)+IF(AND(Projects!$G$14="Yes",Projects!$K$14="No",43=Projects!$C$14,Assumptions!$B$55&gt;0),Assumptions!$B$55*Assumptions!$B$48,0)),Actuals!AV108)</f>
        <v>-0</v>
      </c>
      <c r="AV288" s="13" t="n">
        <f aca="false">IF(ISBLANK(Actuals!AW108),-(IF(AND(Projects!$G$7="Yes",Projects!$K$7="No",44=Projects!$C$7,Assumptions!$B$53&gt;0),Assumptions!$B$53*Assumptions!$B$48,0)+IF(AND(Projects!$G$11="Yes",Projects!$K$11="No",44=Projects!$C$11,Assumptions!$B$51&gt;0),Assumptions!$B$51*Assumptions!$B$48,0)+IF(AND(Projects!$G$12="Yes",Projects!$K$12="No",44=Projects!$C$12,Assumptions!$B$52&gt;0),Assumptions!$B$52*Assumptions!$B$48,0)+IF(AND(Projects!$G$13="Yes",Projects!$K$13="No",44=Projects!$C$13,Assumptions!$B$54&gt;0),Assumptions!$B$54*Assumptions!$B$48,0)+IF(AND(Projects!$G$14="Yes",Projects!$K$14="No",44=Projects!$C$14,Assumptions!$B$55&gt;0),Assumptions!$B$55*Assumptions!$B$48,0)),Actuals!AW108)</f>
        <v>-0</v>
      </c>
      <c r="AW288" s="13" t="n">
        <f aca="false">IF(ISBLANK(Actuals!AX108),-(IF(AND(Projects!$G$7="Yes",Projects!$K$7="No",45=Projects!$C$7,Assumptions!$B$53&gt;0),Assumptions!$B$53*Assumptions!$B$48,0)+IF(AND(Projects!$G$11="Yes",Projects!$K$11="No",45=Projects!$C$11,Assumptions!$B$51&gt;0),Assumptions!$B$51*Assumptions!$B$48,0)+IF(AND(Projects!$G$12="Yes",Projects!$K$12="No",45=Projects!$C$12,Assumptions!$B$52&gt;0),Assumptions!$B$52*Assumptions!$B$48,0)+IF(AND(Projects!$G$13="Yes",Projects!$K$13="No",45=Projects!$C$13,Assumptions!$B$54&gt;0),Assumptions!$B$54*Assumptions!$B$48,0)+IF(AND(Projects!$G$14="Yes",Projects!$K$14="No",45=Projects!$C$14,Assumptions!$B$55&gt;0),Assumptions!$B$55*Assumptions!$B$48,0)),Actuals!AX108)</f>
        <v>-0</v>
      </c>
      <c r="AX288" s="13" t="n">
        <f aca="false">IF(ISBLANK(Actuals!AY108),-(IF(AND(Projects!$G$7="Yes",Projects!$K$7="No",46=Projects!$C$7,Assumptions!$B$53&gt;0),Assumptions!$B$53*Assumptions!$B$48,0)+IF(AND(Projects!$G$11="Yes",Projects!$K$11="No",46=Projects!$C$11,Assumptions!$B$51&gt;0),Assumptions!$B$51*Assumptions!$B$48,0)+IF(AND(Projects!$G$12="Yes",Projects!$K$12="No",46=Projects!$C$12,Assumptions!$B$52&gt;0),Assumptions!$B$52*Assumptions!$B$48,0)+IF(AND(Projects!$G$13="Yes",Projects!$K$13="No",46=Projects!$C$13,Assumptions!$B$54&gt;0),Assumptions!$B$54*Assumptions!$B$48,0)+IF(AND(Projects!$G$14="Yes",Projects!$K$14="No",46=Projects!$C$14,Assumptions!$B$55&gt;0),Assumptions!$B$55*Assumptions!$B$48,0)),Actuals!AY108)</f>
        <v>-0</v>
      </c>
      <c r="AY288" s="13" t="n">
        <f aca="false">IF(ISBLANK(Actuals!AZ108),-(IF(AND(Projects!$G$7="Yes",Projects!$K$7="No",47=Projects!$C$7,Assumptions!$B$53&gt;0),Assumptions!$B$53*Assumptions!$B$48,0)+IF(AND(Projects!$G$11="Yes",Projects!$K$11="No",47=Projects!$C$11,Assumptions!$B$51&gt;0),Assumptions!$B$51*Assumptions!$B$48,0)+IF(AND(Projects!$G$12="Yes",Projects!$K$12="No",47=Projects!$C$12,Assumptions!$B$52&gt;0),Assumptions!$B$52*Assumptions!$B$48,0)+IF(AND(Projects!$G$13="Yes",Projects!$K$13="No",47=Projects!$C$13,Assumptions!$B$54&gt;0),Assumptions!$B$54*Assumptions!$B$48,0)+IF(AND(Projects!$G$14="Yes",Projects!$K$14="No",47=Projects!$C$14,Assumptions!$B$55&gt;0),Assumptions!$B$55*Assumptions!$B$48,0)),Actuals!AZ108)</f>
        <v>-0</v>
      </c>
      <c r="AZ288" s="13" t="n">
        <f aca="false">IF(ISBLANK(Actuals!BA108),-(IF(AND(Projects!$G$7="Yes",Projects!$K$7="No",48=Projects!$C$7,Assumptions!$B$53&gt;0),Assumptions!$B$53*Assumptions!$B$48,0)+IF(AND(Projects!$G$11="Yes",Projects!$K$11="No",48=Projects!$C$11,Assumptions!$B$51&gt;0),Assumptions!$B$51*Assumptions!$B$48,0)+IF(AND(Projects!$G$12="Yes",Projects!$K$12="No",48=Projects!$C$12,Assumptions!$B$52&gt;0),Assumptions!$B$52*Assumptions!$B$48,0)+IF(AND(Projects!$G$13="Yes",Projects!$K$13="No",48=Projects!$C$13,Assumptions!$B$54&gt;0),Assumptions!$B$54*Assumptions!$B$48,0)+IF(AND(Projects!$G$14="Yes",Projects!$K$14="No",48=Projects!$C$14,Assumptions!$B$55&gt;0),Assumptions!$B$55*Assumptions!$B$48,0)),Actuals!BA108)</f>
        <v>-0</v>
      </c>
      <c r="BA288" s="13" t="n">
        <f aca="false">IF(ISBLANK(Actuals!BB108),-(IF(AND(Projects!$G$7="Yes",Projects!$K$7="No",49=Projects!$C$7,Assumptions!$B$53&gt;0),Assumptions!$B$53*Assumptions!$B$48,0)+IF(AND(Projects!$G$11="Yes",Projects!$K$11="No",49=Projects!$C$11,Assumptions!$B$51&gt;0),Assumptions!$B$51*Assumptions!$B$48,0)+IF(AND(Projects!$G$12="Yes",Projects!$K$12="No",49=Projects!$C$12,Assumptions!$B$52&gt;0),Assumptions!$B$52*Assumptions!$B$48,0)+IF(AND(Projects!$G$13="Yes",Projects!$K$13="No",49=Projects!$C$13,Assumptions!$B$54&gt;0),Assumptions!$B$54*Assumptions!$B$48,0)+IF(AND(Projects!$G$14="Yes",Projects!$K$14="No",49=Projects!$C$14,Assumptions!$B$55&gt;0),Assumptions!$B$55*Assumptions!$B$48,0)),Actuals!BB108)</f>
        <v>-0</v>
      </c>
      <c r="BB288" s="13" t="n">
        <f aca="false">IF(ISBLANK(Actuals!BC108),-(IF(AND(Projects!$G$7="Yes",Projects!$K$7="No",50=Projects!$C$7,Assumptions!$B$53&gt;0),Assumptions!$B$53*Assumptions!$B$48,0)+IF(AND(Projects!$G$11="Yes",Projects!$K$11="No",50=Projects!$C$11,Assumptions!$B$51&gt;0),Assumptions!$B$51*Assumptions!$B$48,0)+IF(AND(Projects!$G$12="Yes",Projects!$K$12="No",50=Projects!$C$12,Assumptions!$B$52&gt;0),Assumptions!$B$52*Assumptions!$B$48,0)+IF(AND(Projects!$G$13="Yes",Projects!$K$13="No",50=Projects!$C$13,Assumptions!$B$54&gt;0),Assumptions!$B$54*Assumptions!$B$48,0)+IF(AND(Projects!$G$14="Yes",Projects!$K$14="No",50=Projects!$C$14,Assumptions!$B$55&gt;0),Assumptions!$B$55*Assumptions!$B$48,0)),Actuals!BC108)</f>
        <v>-0</v>
      </c>
      <c r="BC288" s="13" t="n">
        <f aca="false">IF(ISBLANK(Actuals!BD108),-(IF(AND(Projects!$G$7="Yes",Projects!$K$7="No",51=Projects!$C$7,Assumptions!$B$53&gt;0),Assumptions!$B$53*Assumptions!$B$48,0)+IF(AND(Projects!$G$11="Yes",Projects!$K$11="No",51=Projects!$C$11,Assumptions!$B$51&gt;0),Assumptions!$B$51*Assumptions!$B$48,0)+IF(AND(Projects!$G$12="Yes",Projects!$K$12="No",51=Projects!$C$12,Assumptions!$B$52&gt;0),Assumptions!$B$52*Assumptions!$B$48,0)+IF(AND(Projects!$G$13="Yes",Projects!$K$13="No",51=Projects!$C$13,Assumptions!$B$54&gt;0),Assumptions!$B$54*Assumptions!$B$48,0)+IF(AND(Projects!$G$14="Yes",Projects!$K$14="No",51=Projects!$C$14,Assumptions!$B$55&gt;0),Assumptions!$B$55*Assumptions!$B$48,0)),Actuals!BD108)</f>
        <v>-0</v>
      </c>
      <c r="BD288" s="13" t="n">
        <f aca="false">IF(ISBLANK(Actuals!BE108),-(IF(AND(Projects!$G$7="Yes",Projects!$K$7="No",52=Projects!$C$7,Assumptions!$B$53&gt;0),Assumptions!$B$53*Assumptions!$B$48,0)+IF(AND(Projects!$G$11="Yes",Projects!$K$11="No",52=Projects!$C$11,Assumptions!$B$51&gt;0),Assumptions!$B$51*Assumptions!$B$48,0)+IF(AND(Projects!$G$12="Yes",Projects!$K$12="No",52=Projects!$C$12,Assumptions!$B$52&gt;0),Assumptions!$B$52*Assumptions!$B$48,0)+IF(AND(Projects!$G$13="Yes",Projects!$K$13="No",52=Projects!$C$13,Assumptions!$B$54&gt;0),Assumptions!$B$54*Assumptions!$B$48,0)+IF(AND(Projects!$G$14="Yes",Projects!$K$14="No",52=Projects!$C$14,Assumptions!$B$55&gt;0),Assumptions!$B$55*Assumptions!$B$48,0)),Actuals!BE108)</f>
        <v>-0</v>
      </c>
      <c r="BE288" s="13" t="n">
        <f aca="false">IF(ISBLANK(Actuals!BF108),-(IF(AND(Projects!$G$7="Yes",Projects!$K$7="No",53=Projects!$C$7,Assumptions!$B$53&gt;0),Assumptions!$B$53*Assumptions!$B$48,0)+IF(AND(Projects!$G$11="Yes",Projects!$K$11="No",53=Projects!$C$11,Assumptions!$B$51&gt;0),Assumptions!$B$51*Assumptions!$B$48,0)+IF(AND(Projects!$G$12="Yes",Projects!$K$12="No",53=Projects!$C$12,Assumptions!$B$52&gt;0),Assumptions!$B$52*Assumptions!$B$48,0)+IF(AND(Projects!$G$13="Yes",Projects!$K$13="No",53=Projects!$C$13,Assumptions!$B$54&gt;0),Assumptions!$B$54*Assumptions!$B$48,0)+IF(AND(Projects!$G$14="Yes",Projects!$K$14="No",53=Projects!$C$14,Assumptions!$B$55&gt;0),Assumptions!$B$55*Assumptions!$B$48,0)),Actuals!BF108)</f>
        <v>-0</v>
      </c>
      <c r="BF288" s="13" t="n">
        <f aca="false">IF(ISBLANK(Actuals!BG108),-(IF(AND(Projects!$G$7="Yes",Projects!$K$7="No",54=Projects!$C$7,Assumptions!$B$53&gt;0),Assumptions!$B$53*Assumptions!$B$48,0)+IF(AND(Projects!$G$11="Yes",Projects!$K$11="No",54=Projects!$C$11,Assumptions!$B$51&gt;0),Assumptions!$B$51*Assumptions!$B$48,0)+IF(AND(Projects!$G$12="Yes",Projects!$K$12="No",54=Projects!$C$12,Assumptions!$B$52&gt;0),Assumptions!$B$52*Assumptions!$B$48,0)+IF(AND(Projects!$G$13="Yes",Projects!$K$13="No",54=Projects!$C$13,Assumptions!$B$54&gt;0),Assumptions!$B$54*Assumptions!$B$48,0)+IF(AND(Projects!$G$14="Yes",Projects!$K$14="No",54=Projects!$C$14,Assumptions!$B$55&gt;0),Assumptions!$B$55*Assumptions!$B$48,0)),Actuals!BG108)</f>
        <v>-0</v>
      </c>
      <c r="BG288" s="13" t="n">
        <f aca="false">IF(ISBLANK(Actuals!BH108),-(IF(AND(Projects!$G$7="Yes",Projects!$K$7="No",55=Projects!$C$7,Assumptions!$B$53&gt;0),Assumptions!$B$53*Assumptions!$B$48,0)+IF(AND(Projects!$G$11="Yes",Projects!$K$11="No",55=Projects!$C$11,Assumptions!$B$51&gt;0),Assumptions!$B$51*Assumptions!$B$48,0)+IF(AND(Projects!$G$12="Yes",Projects!$K$12="No",55=Projects!$C$12,Assumptions!$B$52&gt;0),Assumptions!$B$52*Assumptions!$B$48,0)+IF(AND(Projects!$G$13="Yes",Projects!$K$13="No",55=Projects!$C$13,Assumptions!$B$54&gt;0),Assumptions!$B$54*Assumptions!$B$48,0)+IF(AND(Projects!$G$14="Yes",Projects!$K$14="No",55=Projects!$C$14,Assumptions!$B$55&gt;0),Assumptions!$B$55*Assumptions!$B$48,0)),Actuals!BH108)</f>
        <v>-0</v>
      </c>
      <c r="BH288" s="13" t="n">
        <f aca="false">IF(ISBLANK(Actuals!BI108),-(IF(AND(Projects!$G$7="Yes",Projects!$K$7="No",56=Projects!$C$7,Assumptions!$B$53&gt;0),Assumptions!$B$53*Assumptions!$B$48,0)+IF(AND(Projects!$G$11="Yes",Projects!$K$11="No",56=Projects!$C$11,Assumptions!$B$51&gt;0),Assumptions!$B$51*Assumptions!$B$48,0)+IF(AND(Projects!$G$12="Yes",Projects!$K$12="No",56=Projects!$C$12,Assumptions!$B$52&gt;0),Assumptions!$B$52*Assumptions!$B$48,0)+IF(AND(Projects!$G$13="Yes",Projects!$K$13="No",56=Projects!$C$13,Assumptions!$B$54&gt;0),Assumptions!$B$54*Assumptions!$B$48,0)+IF(AND(Projects!$G$14="Yes",Projects!$K$14="No",56=Projects!$C$14,Assumptions!$B$55&gt;0),Assumptions!$B$55*Assumptions!$B$48,0)),Actuals!BI108)</f>
        <v>-0</v>
      </c>
      <c r="BI288" s="13" t="n">
        <f aca="false">IF(ISBLANK(Actuals!BJ108),-(IF(AND(Projects!$G$7="Yes",Projects!$K$7="No",57=Projects!$C$7,Assumptions!$B$53&gt;0),Assumptions!$B$53*Assumptions!$B$48,0)+IF(AND(Projects!$G$11="Yes",Projects!$K$11="No",57=Projects!$C$11,Assumptions!$B$51&gt;0),Assumptions!$B$51*Assumptions!$B$48,0)+IF(AND(Projects!$G$12="Yes",Projects!$K$12="No",57=Projects!$C$12,Assumptions!$B$52&gt;0),Assumptions!$B$52*Assumptions!$B$48,0)+IF(AND(Projects!$G$13="Yes",Projects!$K$13="No",57=Projects!$C$13,Assumptions!$B$54&gt;0),Assumptions!$B$54*Assumptions!$B$48,0)+IF(AND(Projects!$G$14="Yes",Projects!$K$14="No",57=Projects!$C$14,Assumptions!$B$55&gt;0),Assumptions!$B$55*Assumptions!$B$48,0)),Actuals!BJ108)</f>
        <v>-0</v>
      </c>
      <c r="BJ288" s="13" t="n">
        <f aca="false">IF(ISBLANK(Actuals!BK108),-(IF(AND(Projects!$G$7="Yes",Projects!$K$7="No",58=Projects!$C$7,Assumptions!$B$53&gt;0),Assumptions!$B$53*Assumptions!$B$48,0)+IF(AND(Projects!$G$11="Yes",Projects!$K$11="No",58=Projects!$C$11,Assumptions!$B$51&gt;0),Assumptions!$B$51*Assumptions!$B$48,0)+IF(AND(Projects!$G$12="Yes",Projects!$K$12="No",58=Projects!$C$12,Assumptions!$B$52&gt;0),Assumptions!$B$52*Assumptions!$B$48,0)+IF(AND(Projects!$G$13="Yes",Projects!$K$13="No",58=Projects!$C$13,Assumptions!$B$54&gt;0),Assumptions!$B$54*Assumptions!$B$48,0)+IF(AND(Projects!$G$14="Yes",Projects!$K$14="No",58=Projects!$C$14,Assumptions!$B$55&gt;0),Assumptions!$B$55*Assumptions!$B$48,0)),Actuals!BK108)</f>
        <v>-0</v>
      </c>
      <c r="BK288" s="13" t="n">
        <f aca="false">IF(ISBLANK(Actuals!BL108),-(IF(AND(Projects!$G$7="Yes",Projects!$K$7="No",59=Projects!$C$7,Assumptions!$B$53&gt;0),Assumptions!$B$53*Assumptions!$B$48,0)+IF(AND(Projects!$G$11="Yes",Projects!$K$11="No",59=Projects!$C$11,Assumptions!$B$51&gt;0),Assumptions!$B$51*Assumptions!$B$48,0)+IF(AND(Projects!$G$12="Yes",Projects!$K$12="No",59=Projects!$C$12,Assumptions!$B$52&gt;0),Assumptions!$B$52*Assumptions!$B$48,0)+IF(AND(Projects!$G$13="Yes",Projects!$K$13="No",59=Projects!$C$13,Assumptions!$B$54&gt;0),Assumptions!$B$54*Assumptions!$B$48,0)+IF(AND(Projects!$G$14="Yes",Projects!$K$14="No",59=Projects!$C$14,Assumptions!$B$55&gt;0),Assumptions!$B$55*Assumptions!$B$48,0)),Actuals!BL108)</f>
        <v>-0</v>
      </c>
      <c r="BL288" s="13" t="n">
        <f aca="false">IF(ISBLANK(Actuals!BM108),-(IF(AND(Projects!$G$7="Yes",Projects!$K$7="No",60=Projects!$C$7,Assumptions!$B$53&gt;0),Assumptions!$B$53*Assumptions!$B$48,0)+IF(AND(Projects!$G$11="Yes",Projects!$K$11="No",60=Projects!$C$11,Assumptions!$B$51&gt;0),Assumptions!$B$51*Assumptions!$B$48,0)+IF(AND(Projects!$G$12="Yes",Projects!$K$12="No",60=Projects!$C$12,Assumptions!$B$52&gt;0),Assumptions!$B$52*Assumptions!$B$48,0)+IF(AND(Projects!$G$13="Yes",Projects!$K$13="No",60=Projects!$C$13,Assumptions!$B$54&gt;0),Assumptions!$B$54*Assumptions!$B$48,0)+IF(AND(Projects!$G$14="Yes",Projects!$K$14="No",60=Projects!$C$14,Assumptions!$B$55&gt;0),Assumptions!$B$55*Assumptions!$B$48,0)),Actuals!BM108)</f>
        <v>-0</v>
      </c>
      <c r="BM288" s="13" t="n">
        <f aca="false">IF(ISBLANK(Actuals!BN108),-(IF(AND(Projects!$G$7="Yes",Projects!$K$7="No",61=Projects!$C$7,Assumptions!$B$53&gt;0),Assumptions!$B$53*Assumptions!$B$48,0)+IF(AND(Projects!$G$11="Yes",Projects!$K$11="No",61=Projects!$C$11,Assumptions!$B$51&gt;0),Assumptions!$B$51*Assumptions!$B$48,0)+IF(AND(Projects!$G$12="Yes",Projects!$K$12="No",61=Projects!$C$12,Assumptions!$B$52&gt;0),Assumptions!$B$52*Assumptions!$B$48,0)+IF(AND(Projects!$G$13="Yes",Projects!$K$13="No",61=Projects!$C$13,Assumptions!$B$54&gt;0),Assumptions!$B$54*Assumptions!$B$48,0)+IF(AND(Projects!$G$14="Yes",Projects!$K$14="No",61=Projects!$C$14,Assumptions!$B$55&gt;0),Assumptions!$B$55*Assumptions!$B$48,0)),Actuals!BN108)</f>
        <v>-0</v>
      </c>
      <c r="BN288" s="13" t="n">
        <f aca="false">IF(ISBLANK(Actuals!BO108),-(IF(AND(Projects!$G$7="Yes",Projects!$K$7="No",62=Projects!$C$7,Assumptions!$B$53&gt;0),Assumptions!$B$53*Assumptions!$B$48,0)+IF(AND(Projects!$G$11="Yes",Projects!$K$11="No",62=Projects!$C$11,Assumptions!$B$51&gt;0),Assumptions!$B$51*Assumptions!$B$48,0)+IF(AND(Projects!$G$12="Yes",Projects!$K$12="No",62=Projects!$C$12,Assumptions!$B$52&gt;0),Assumptions!$B$52*Assumptions!$B$48,0)+IF(AND(Projects!$G$13="Yes",Projects!$K$13="No",62=Projects!$C$13,Assumptions!$B$54&gt;0),Assumptions!$B$54*Assumptions!$B$48,0)+IF(AND(Projects!$G$14="Yes",Projects!$K$14="No",62=Projects!$C$14,Assumptions!$B$55&gt;0),Assumptions!$B$55*Assumptions!$B$48,0)),Actuals!BO108)</f>
        <v>-0</v>
      </c>
      <c r="BO288" s="13" t="n">
        <f aca="false">IF(ISBLANK(Actuals!BP108),-(IF(AND(Projects!$G$7="Yes",Projects!$K$7="No",63=Projects!$C$7,Assumptions!$B$53&gt;0),Assumptions!$B$53*Assumptions!$B$48,0)+IF(AND(Projects!$G$11="Yes",Projects!$K$11="No",63=Projects!$C$11,Assumptions!$B$51&gt;0),Assumptions!$B$51*Assumptions!$B$48,0)+IF(AND(Projects!$G$12="Yes",Projects!$K$12="No",63=Projects!$C$12,Assumptions!$B$52&gt;0),Assumptions!$B$52*Assumptions!$B$48,0)+IF(AND(Projects!$G$13="Yes",Projects!$K$13="No",63=Projects!$C$13,Assumptions!$B$54&gt;0),Assumptions!$B$54*Assumptions!$B$48,0)+IF(AND(Projects!$G$14="Yes",Projects!$K$14="No",63=Projects!$C$14,Assumptions!$B$55&gt;0),Assumptions!$B$55*Assumptions!$B$48,0)),Actuals!BP108)</f>
        <v>-0</v>
      </c>
      <c r="BP288" s="13" t="n">
        <f aca="false">IF(ISBLANK(Actuals!BQ108),-(IF(AND(Projects!$G$7="Yes",Projects!$K$7="No",64=Projects!$C$7,Assumptions!$B$53&gt;0),Assumptions!$B$53*Assumptions!$B$48,0)+IF(AND(Projects!$G$11="Yes",Projects!$K$11="No",64=Projects!$C$11,Assumptions!$B$51&gt;0),Assumptions!$B$51*Assumptions!$B$48,0)+IF(AND(Projects!$G$12="Yes",Projects!$K$12="No",64=Projects!$C$12,Assumptions!$B$52&gt;0),Assumptions!$B$52*Assumptions!$B$48,0)+IF(AND(Projects!$G$13="Yes",Projects!$K$13="No",64=Projects!$C$13,Assumptions!$B$54&gt;0),Assumptions!$B$54*Assumptions!$B$48,0)+IF(AND(Projects!$G$14="Yes",Projects!$K$14="No",64=Projects!$C$14,Assumptions!$B$55&gt;0),Assumptions!$B$55*Assumptions!$B$48,0)),Actuals!BQ108)</f>
        <v>-0</v>
      </c>
      <c r="BQ288" s="13" t="n">
        <f aca="false">IF(ISBLANK(Actuals!BR108),-(IF(AND(Projects!$G$7="Yes",Projects!$K$7="No",65=Projects!$C$7,Assumptions!$B$53&gt;0),Assumptions!$B$53*Assumptions!$B$48,0)+IF(AND(Projects!$G$11="Yes",Projects!$K$11="No",65=Projects!$C$11,Assumptions!$B$51&gt;0),Assumptions!$B$51*Assumptions!$B$48,0)+IF(AND(Projects!$G$12="Yes",Projects!$K$12="No",65=Projects!$C$12,Assumptions!$B$52&gt;0),Assumptions!$B$52*Assumptions!$B$48,0)+IF(AND(Projects!$G$13="Yes",Projects!$K$13="No",65=Projects!$C$13,Assumptions!$B$54&gt;0),Assumptions!$B$54*Assumptions!$B$48,0)+IF(AND(Projects!$G$14="Yes",Projects!$K$14="No",65=Projects!$C$14,Assumptions!$B$55&gt;0),Assumptions!$B$55*Assumptions!$B$48,0)),Actuals!BR108)</f>
        <v>-0</v>
      </c>
      <c r="BR288" s="13" t="n">
        <f aca="false">IF(ISBLANK(Actuals!BS108),-(IF(AND(Projects!$G$7="Yes",Projects!$K$7="No",66=Projects!$C$7,Assumptions!$B$53&gt;0),Assumptions!$B$53*Assumptions!$B$48,0)+IF(AND(Projects!$G$11="Yes",Projects!$K$11="No",66=Projects!$C$11,Assumptions!$B$51&gt;0),Assumptions!$B$51*Assumptions!$B$48,0)+IF(AND(Projects!$G$12="Yes",Projects!$K$12="No",66=Projects!$C$12,Assumptions!$B$52&gt;0),Assumptions!$B$52*Assumptions!$B$48,0)+IF(AND(Projects!$G$13="Yes",Projects!$K$13="No",66=Projects!$C$13,Assumptions!$B$54&gt;0),Assumptions!$B$54*Assumptions!$B$48,0)+IF(AND(Projects!$G$14="Yes",Projects!$K$14="No",66=Projects!$C$14,Assumptions!$B$55&gt;0),Assumptions!$B$55*Assumptions!$B$48,0)),Actuals!BS108)</f>
        <v>-0</v>
      </c>
      <c r="BS288" s="13" t="n">
        <f aca="false">IF(ISBLANK(Actuals!BT108),-(IF(AND(Projects!$G$7="Yes",Projects!$K$7="No",67=Projects!$C$7,Assumptions!$B$53&gt;0),Assumptions!$B$53*Assumptions!$B$48,0)+IF(AND(Projects!$G$11="Yes",Projects!$K$11="No",67=Projects!$C$11,Assumptions!$B$51&gt;0),Assumptions!$B$51*Assumptions!$B$48,0)+IF(AND(Projects!$G$12="Yes",Projects!$K$12="No",67=Projects!$C$12,Assumptions!$B$52&gt;0),Assumptions!$B$52*Assumptions!$B$48,0)+IF(AND(Projects!$G$13="Yes",Projects!$K$13="No",67=Projects!$C$13,Assumptions!$B$54&gt;0),Assumptions!$B$54*Assumptions!$B$48,0)+IF(AND(Projects!$G$14="Yes",Projects!$K$14="No",67=Projects!$C$14,Assumptions!$B$55&gt;0),Assumptions!$B$55*Assumptions!$B$48,0)),Actuals!BT108)</f>
        <v>-0</v>
      </c>
      <c r="BT288" s="13" t="n">
        <f aca="false">IF(ISBLANK(Actuals!BU108),-(IF(AND(Projects!$G$7="Yes",Projects!$K$7="No",68=Projects!$C$7,Assumptions!$B$53&gt;0),Assumptions!$B$53*Assumptions!$B$48,0)+IF(AND(Projects!$G$11="Yes",Projects!$K$11="No",68=Projects!$C$11,Assumptions!$B$51&gt;0),Assumptions!$B$51*Assumptions!$B$48,0)+IF(AND(Projects!$G$12="Yes",Projects!$K$12="No",68=Projects!$C$12,Assumptions!$B$52&gt;0),Assumptions!$B$52*Assumptions!$B$48,0)+IF(AND(Projects!$G$13="Yes",Projects!$K$13="No",68=Projects!$C$13,Assumptions!$B$54&gt;0),Assumptions!$B$54*Assumptions!$B$48,0)+IF(AND(Projects!$G$14="Yes",Projects!$K$14="No",68=Projects!$C$14,Assumptions!$B$55&gt;0),Assumptions!$B$55*Assumptions!$B$48,0)),Actuals!BU108)</f>
        <v>-0</v>
      </c>
      <c r="BU288" s="13" t="n">
        <f aca="false">IF(ISBLANK(Actuals!BV108),-(IF(AND(Projects!$G$7="Yes",Projects!$K$7="No",69=Projects!$C$7,Assumptions!$B$53&gt;0),Assumptions!$B$53*Assumptions!$B$48,0)+IF(AND(Projects!$G$11="Yes",Projects!$K$11="No",69=Projects!$C$11,Assumptions!$B$51&gt;0),Assumptions!$B$51*Assumptions!$B$48,0)+IF(AND(Projects!$G$12="Yes",Projects!$K$12="No",69=Projects!$C$12,Assumptions!$B$52&gt;0),Assumptions!$B$52*Assumptions!$B$48,0)+IF(AND(Projects!$G$13="Yes",Projects!$K$13="No",69=Projects!$C$13,Assumptions!$B$54&gt;0),Assumptions!$B$54*Assumptions!$B$48,0)+IF(AND(Projects!$G$14="Yes",Projects!$K$14="No",69=Projects!$C$14,Assumptions!$B$55&gt;0),Assumptions!$B$55*Assumptions!$B$48,0)),Actuals!BV108)</f>
        <v>-0</v>
      </c>
      <c r="BV288" s="13" t="n">
        <f aca="false">IF(ISBLANK(Actuals!BW108),-(IF(AND(Projects!$G$7="Yes",Projects!$K$7="No",70=Projects!$C$7,Assumptions!$B$53&gt;0),Assumptions!$B$53*Assumptions!$B$48,0)+IF(AND(Projects!$G$11="Yes",Projects!$K$11="No",70=Projects!$C$11,Assumptions!$B$51&gt;0),Assumptions!$B$51*Assumptions!$B$48,0)+IF(AND(Projects!$G$12="Yes",Projects!$K$12="No",70=Projects!$C$12,Assumptions!$B$52&gt;0),Assumptions!$B$52*Assumptions!$B$48,0)+IF(AND(Projects!$G$13="Yes",Projects!$K$13="No",70=Projects!$C$13,Assumptions!$B$54&gt;0),Assumptions!$B$54*Assumptions!$B$48,0)+IF(AND(Projects!$G$14="Yes",Projects!$K$14="No",70=Projects!$C$14,Assumptions!$B$55&gt;0),Assumptions!$B$55*Assumptions!$B$48,0)),Actuals!BW108)</f>
        <v>-0</v>
      </c>
      <c r="BW288" s="13" t="n">
        <f aca="false">IF(ISBLANK(Actuals!BX108),-(IF(AND(Projects!$G$7="Yes",Projects!$K$7="No",71=Projects!$C$7,Assumptions!$B$53&gt;0),Assumptions!$B$53*Assumptions!$B$48,0)+IF(AND(Projects!$G$11="Yes",Projects!$K$11="No",71=Projects!$C$11,Assumptions!$B$51&gt;0),Assumptions!$B$51*Assumptions!$B$48,0)+IF(AND(Projects!$G$12="Yes",Projects!$K$12="No",71=Projects!$C$12,Assumptions!$B$52&gt;0),Assumptions!$B$52*Assumptions!$B$48,0)+IF(AND(Projects!$G$13="Yes",Projects!$K$13="No",71=Projects!$C$13,Assumptions!$B$54&gt;0),Assumptions!$B$54*Assumptions!$B$48,0)+IF(AND(Projects!$G$14="Yes",Projects!$K$14="No",71=Projects!$C$14,Assumptions!$B$55&gt;0),Assumptions!$B$55*Assumptions!$B$48,0)),Actuals!BX108)</f>
        <v>-0</v>
      </c>
      <c r="BX288" s="13" t="n">
        <f aca="false">IF(ISBLANK(Actuals!BY108),-(IF(AND(Projects!$G$7="Yes",Projects!$K$7="No",72=Projects!$C$7,Assumptions!$B$53&gt;0),Assumptions!$B$53*Assumptions!$B$48,0)+IF(AND(Projects!$G$11="Yes",Projects!$K$11="No",72=Projects!$C$11,Assumptions!$B$51&gt;0),Assumptions!$B$51*Assumptions!$B$48,0)+IF(AND(Projects!$G$12="Yes",Projects!$K$12="No",72=Projects!$C$12,Assumptions!$B$52&gt;0),Assumptions!$B$52*Assumptions!$B$48,0)+IF(AND(Projects!$G$13="Yes",Projects!$K$13="No",72=Projects!$C$13,Assumptions!$B$54&gt;0),Assumptions!$B$54*Assumptions!$B$48,0)+IF(AND(Projects!$G$14="Yes",Projects!$K$14="No",72=Projects!$C$14,Assumptions!$B$55&gt;0),Assumptions!$B$55*Assumptions!$B$48,0)),Actuals!BY108)</f>
        <v>-0</v>
      </c>
      <c r="BY288" s="13" t="n">
        <f aca="false">IF(ISBLANK(Actuals!BZ108),-(IF(AND(Projects!$G$7="Yes",Projects!$K$7="No",73=Projects!$C$7,Assumptions!$B$53&gt;0),Assumptions!$B$53*Assumptions!$B$48,0)+IF(AND(Projects!$G$11="Yes",Projects!$K$11="No",73=Projects!$C$11,Assumptions!$B$51&gt;0),Assumptions!$B$51*Assumptions!$B$48,0)+IF(AND(Projects!$G$12="Yes",Projects!$K$12="No",73=Projects!$C$12,Assumptions!$B$52&gt;0),Assumptions!$B$52*Assumptions!$B$48,0)+IF(AND(Projects!$G$13="Yes",Projects!$K$13="No",73=Projects!$C$13,Assumptions!$B$54&gt;0),Assumptions!$B$54*Assumptions!$B$48,0)+IF(AND(Projects!$G$14="Yes",Projects!$K$14="No",73=Projects!$C$14,Assumptions!$B$55&gt;0),Assumptions!$B$55*Assumptions!$B$48,0)),Actuals!BZ108)</f>
        <v>-0</v>
      </c>
      <c r="BZ288" s="13" t="n">
        <f aca="false">IF(ISBLANK(Actuals!CA108),-(IF(AND(Projects!$G$7="Yes",Projects!$K$7="No",74=Projects!$C$7,Assumptions!$B$53&gt;0),Assumptions!$B$53*Assumptions!$B$48,0)+IF(AND(Projects!$G$11="Yes",Projects!$K$11="No",74=Projects!$C$11,Assumptions!$B$51&gt;0),Assumptions!$B$51*Assumptions!$B$48,0)+IF(AND(Projects!$G$12="Yes",Projects!$K$12="No",74=Projects!$C$12,Assumptions!$B$52&gt;0),Assumptions!$B$52*Assumptions!$B$48,0)+IF(AND(Projects!$G$13="Yes",Projects!$K$13="No",74=Projects!$C$13,Assumptions!$B$54&gt;0),Assumptions!$B$54*Assumptions!$B$48,0)+IF(AND(Projects!$G$14="Yes",Projects!$K$14="No",74=Projects!$C$14,Assumptions!$B$55&gt;0),Assumptions!$B$55*Assumptions!$B$48,0)),Actuals!CA108)</f>
        <v>-0</v>
      </c>
      <c r="CA288" s="13" t="n">
        <f aca="false">IF(ISBLANK(Actuals!CB108),-(IF(AND(Projects!$G$7="Yes",Projects!$K$7="No",75=Projects!$C$7,Assumptions!$B$53&gt;0),Assumptions!$B$53*Assumptions!$B$48,0)+IF(AND(Projects!$G$11="Yes",Projects!$K$11="No",75=Projects!$C$11,Assumptions!$B$51&gt;0),Assumptions!$B$51*Assumptions!$B$48,0)+IF(AND(Projects!$G$12="Yes",Projects!$K$12="No",75=Projects!$C$12,Assumptions!$B$52&gt;0),Assumptions!$B$52*Assumptions!$B$48,0)+IF(AND(Projects!$G$13="Yes",Projects!$K$13="No",75=Projects!$C$13,Assumptions!$B$54&gt;0),Assumptions!$B$54*Assumptions!$B$48,0)+IF(AND(Projects!$G$14="Yes",Projects!$K$14="No",75=Projects!$C$14,Assumptions!$B$55&gt;0),Assumptions!$B$55*Assumptions!$B$48,0)),Actuals!CB108)</f>
        <v>-0</v>
      </c>
      <c r="CB288" s="13" t="n">
        <f aca="false">IF(ISBLANK(Actuals!CC108),-(IF(AND(Projects!$G$7="Yes",Projects!$K$7="No",76=Projects!$C$7,Assumptions!$B$53&gt;0),Assumptions!$B$53*Assumptions!$B$48,0)+IF(AND(Projects!$G$11="Yes",Projects!$K$11="No",76=Projects!$C$11,Assumptions!$B$51&gt;0),Assumptions!$B$51*Assumptions!$B$48,0)+IF(AND(Projects!$G$12="Yes",Projects!$K$12="No",76=Projects!$C$12,Assumptions!$B$52&gt;0),Assumptions!$B$52*Assumptions!$B$48,0)+IF(AND(Projects!$G$13="Yes",Projects!$K$13="No",76=Projects!$C$13,Assumptions!$B$54&gt;0),Assumptions!$B$54*Assumptions!$B$48,0)+IF(AND(Projects!$G$14="Yes",Projects!$K$14="No",76=Projects!$C$14,Assumptions!$B$55&gt;0),Assumptions!$B$55*Assumptions!$B$48,0)),Actuals!CC108)</f>
        <v>-0</v>
      </c>
      <c r="CC288" s="13" t="n">
        <f aca="false">IF(ISBLANK(Actuals!CD108),-(IF(AND(Projects!$G$7="Yes",Projects!$K$7="No",77=Projects!$C$7,Assumptions!$B$53&gt;0),Assumptions!$B$53*Assumptions!$B$48,0)+IF(AND(Projects!$G$11="Yes",Projects!$K$11="No",77=Projects!$C$11,Assumptions!$B$51&gt;0),Assumptions!$B$51*Assumptions!$B$48,0)+IF(AND(Projects!$G$12="Yes",Projects!$K$12="No",77=Projects!$C$12,Assumptions!$B$52&gt;0),Assumptions!$B$52*Assumptions!$B$48,0)+IF(AND(Projects!$G$13="Yes",Projects!$K$13="No",77=Projects!$C$13,Assumptions!$B$54&gt;0),Assumptions!$B$54*Assumptions!$B$48,0)+IF(AND(Projects!$G$14="Yes",Projects!$K$14="No",77=Projects!$C$14,Assumptions!$B$55&gt;0),Assumptions!$B$55*Assumptions!$B$48,0)),Actuals!CD108)</f>
        <v>-0</v>
      </c>
      <c r="CD288" s="13" t="n">
        <f aca="false">IF(ISBLANK(Actuals!CE108),-(IF(AND(Projects!$G$7="Yes",Projects!$K$7="No",78=Projects!$C$7,Assumptions!$B$53&gt;0),Assumptions!$B$53*Assumptions!$B$48,0)+IF(AND(Projects!$G$11="Yes",Projects!$K$11="No",78=Projects!$C$11,Assumptions!$B$51&gt;0),Assumptions!$B$51*Assumptions!$B$48,0)+IF(AND(Projects!$G$12="Yes",Projects!$K$12="No",78=Projects!$C$12,Assumptions!$B$52&gt;0),Assumptions!$B$52*Assumptions!$B$48,0)+IF(AND(Projects!$G$13="Yes",Projects!$K$13="No",78=Projects!$C$13,Assumptions!$B$54&gt;0),Assumptions!$B$54*Assumptions!$B$48,0)+IF(AND(Projects!$G$14="Yes",Projects!$K$14="No",78=Projects!$C$14,Assumptions!$B$55&gt;0),Assumptions!$B$55*Assumptions!$B$48,0)),Actuals!CE108)</f>
        <v>-0</v>
      </c>
      <c r="CE288" s="13" t="n">
        <f aca="false">IF(ISBLANK(Actuals!CF108),-(IF(AND(Projects!$G$7="Yes",Projects!$K$7="No",79=Projects!$C$7,Assumptions!$B$53&gt;0),Assumptions!$B$53*Assumptions!$B$48,0)+IF(AND(Projects!$G$11="Yes",Projects!$K$11="No",79=Projects!$C$11,Assumptions!$B$51&gt;0),Assumptions!$B$51*Assumptions!$B$48,0)+IF(AND(Projects!$G$12="Yes",Projects!$K$12="No",79=Projects!$C$12,Assumptions!$B$52&gt;0),Assumptions!$B$52*Assumptions!$B$48,0)+IF(AND(Projects!$G$13="Yes",Projects!$K$13="No",79=Projects!$C$13,Assumptions!$B$54&gt;0),Assumptions!$B$54*Assumptions!$B$48,0)+IF(AND(Projects!$G$14="Yes",Projects!$K$14="No",79=Projects!$C$14,Assumptions!$B$55&gt;0),Assumptions!$B$55*Assumptions!$B$48,0)),Actuals!CF108)</f>
        <v>-0</v>
      </c>
      <c r="CF288" s="13" t="n">
        <f aca="false">IF(ISBLANK(Actuals!CG108),-(IF(AND(Projects!$G$7="Yes",Projects!$K$7="No",80=Projects!$C$7,Assumptions!$B$53&gt;0),Assumptions!$B$53*Assumptions!$B$48,0)+IF(AND(Projects!$G$11="Yes",Projects!$K$11="No",80=Projects!$C$11,Assumptions!$B$51&gt;0),Assumptions!$B$51*Assumptions!$B$48,0)+IF(AND(Projects!$G$12="Yes",Projects!$K$12="No",80=Projects!$C$12,Assumptions!$B$52&gt;0),Assumptions!$B$52*Assumptions!$B$48,0)+IF(AND(Projects!$G$13="Yes",Projects!$K$13="No",80=Projects!$C$13,Assumptions!$B$54&gt;0),Assumptions!$B$54*Assumptions!$B$48,0)+IF(AND(Projects!$G$14="Yes",Projects!$K$14="No",80=Projects!$C$14,Assumptions!$B$55&gt;0),Assumptions!$B$55*Assumptions!$B$48,0)),Actuals!CG108)</f>
        <v>-0</v>
      </c>
      <c r="CG288" s="13" t="n">
        <f aca="false">IF(ISBLANK(Actuals!CH108),-(IF(AND(Projects!$G$7="Yes",Projects!$K$7="No",81=Projects!$C$7,Assumptions!$B$53&gt;0),Assumptions!$B$53*Assumptions!$B$48,0)+IF(AND(Projects!$G$11="Yes",Projects!$K$11="No",81=Projects!$C$11,Assumptions!$B$51&gt;0),Assumptions!$B$51*Assumptions!$B$48,0)+IF(AND(Projects!$G$12="Yes",Projects!$K$12="No",81=Projects!$C$12,Assumptions!$B$52&gt;0),Assumptions!$B$52*Assumptions!$B$48,0)+IF(AND(Projects!$G$13="Yes",Projects!$K$13="No",81=Projects!$C$13,Assumptions!$B$54&gt;0),Assumptions!$B$54*Assumptions!$B$48,0)+IF(AND(Projects!$G$14="Yes",Projects!$K$14="No",81=Projects!$C$14,Assumptions!$B$55&gt;0),Assumptions!$B$55*Assumptions!$B$48,0)),Actuals!CH108)</f>
        <v>-0</v>
      </c>
      <c r="CH288" s="13" t="n">
        <f aca="false">IF(ISBLANK(Actuals!CI108),-(IF(AND(Projects!$G$7="Yes",Projects!$K$7="No",82=Projects!$C$7,Assumptions!$B$53&gt;0),Assumptions!$B$53*Assumptions!$B$48,0)+IF(AND(Projects!$G$11="Yes",Projects!$K$11="No",82=Projects!$C$11,Assumptions!$B$51&gt;0),Assumptions!$B$51*Assumptions!$B$48,0)+IF(AND(Projects!$G$12="Yes",Projects!$K$12="No",82=Projects!$C$12,Assumptions!$B$52&gt;0),Assumptions!$B$52*Assumptions!$B$48,0)+IF(AND(Projects!$G$13="Yes",Projects!$K$13="No",82=Projects!$C$13,Assumptions!$B$54&gt;0),Assumptions!$B$54*Assumptions!$B$48,0)+IF(AND(Projects!$G$14="Yes",Projects!$K$14="No",82=Projects!$C$14,Assumptions!$B$55&gt;0),Assumptions!$B$55*Assumptions!$B$48,0)),Actuals!CI108)</f>
        <v>-0</v>
      </c>
      <c r="CI288" s="13" t="n">
        <f aca="false">IF(ISBLANK(Actuals!CJ108),-(IF(AND(Projects!$G$7="Yes",Projects!$K$7="No",83=Projects!$C$7,Assumptions!$B$53&gt;0),Assumptions!$B$53*Assumptions!$B$48,0)+IF(AND(Projects!$G$11="Yes",Projects!$K$11="No",83=Projects!$C$11,Assumptions!$B$51&gt;0),Assumptions!$B$51*Assumptions!$B$48,0)+IF(AND(Projects!$G$12="Yes",Projects!$K$12="No",83=Projects!$C$12,Assumptions!$B$52&gt;0),Assumptions!$B$52*Assumptions!$B$48,0)+IF(AND(Projects!$G$13="Yes",Projects!$K$13="No",83=Projects!$C$13,Assumptions!$B$54&gt;0),Assumptions!$B$54*Assumptions!$B$48,0)+IF(AND(Projects!$G$14="Yes",Projects!$K$14="No",83=Projects!$C$14,Assumptions!$B$55&gt;0),Assumptions!$B$55*Assumptions!$B$48,0)),Actuals!CJ108)</f>
        <v>-0</v>
      </c>
      <c r="CJ288" s="13" t="n">
        <f aca="false">IF(ISBLANK(Actuals!CK108),-(IF(AND(Projects!$G$7="Yes",Projects!$K$7="No",84=Projects!$C$7,Assumptions!$B$53&gt;0),Assumptions!$B$53*Assumptions!$B$48,0)+IF(AND(Projects!$G$11="Yes",Projects!$K$11="No",84=Projects!$C$11,Assumptions!$B$51&gt;0),Assumptions!$B$51*Assumptions!$B$48,0)+IF(AND(Projects!$G$12="Yes",Projects!$K$12="No",84=Projects!$C$12,Assumptions!$B$52&gt;0),Assumptions!$B$52*Assumptions!$B$48,0)+IF(AND(Projects!$G$13="Yes",Projects!$K$13="No",84=Projects!$C$13,Assumptions!$B$54&gt;0),Assumptions!$B$54*Assumptions!$B$48,0)+IF(AND(Projects!$G$14="Yes",Projects!$K$14="No",84=Projects!$C$14,Assumptions!$B$55&gt;0),Assumptions!$B$55*Assumptions!$B$48,0)),Actuals!CK108)</f>
        <v>-0</v>
      </c>
      <c r="CK288" s="13" t="n">
        <f aca="false">IF(ISBLANK(Actuals!CL108),-(IF(AND(Projects!$G$7="Yes",Projects!$K$7="No",85=Projects!$C$7,Assumptions!$B$53&gt;0),Assumptions!$B$53*Assumptions!$B$48,0)+IF(AND(Projects!$G$11="Yes",Projects!$K$11="No",85=Projects!$C$11,Assumptions!$B$51&gt;0),Assumptions!$B$51*Assumptions!$B$48,0)+IF(AND(Projects!$G$12="Yes",Projects!$K$12="No",85=Projects!$C$12,Assumptions!$B$52&gt;0),Assumptions!$B$52*Assumptions!$B$48,0)+IF(AND(Projects!$G$13="Yes",Projects!$K$13="No",85=Projects!$C$13,Assumptions!$B$54&gt;0),Assumptions!$B$54*Assumptions!$B$48,0)+IF(AND(Projects!$G$14="Yes",Projects!$K$14="No",85=Projects!$C$14,Assumptions!$B$55&gt;0),Assumptions!$B$55*Assumptions!$B$48,0)),Actuals!CL108)</f>
        <v>-0</v>
      </c>
      <c r="CL288" s="13" t="n">
        <f aca="false">IF(ISBLANK(Actuals!CM108),-(IF(AND(Projects!$G$7="Yes",Projects!$K$7="No",86=Projects!$C$7,Assumptions!$B$53&gt;0),Assumptions!$B$53*Assumptions!$B$48,0)+IF(AND(Projects!$G$11="Yes",Projects!$K$11="No",86=Projects!$C$11,Assumptions!$B$51&gt;0),Assumptions!$B$51*Assumptions!$B$48,0)+IF(AND(Projects!$G$12="Yes",Projects!$K$12="No",86=Projects!$C$12,Assumptions!$B$52&gt;0),Assumptions!$B$52*Assumptions!$B$48,0)+IF(AND(Projects!$G$13="Yes",Projects!$K$13="No",86=Projects!$C$13,Assumptions!$B$54&gt;0),Assumptions!$B$54*Assumptions!$B$48,0)+IF(AND(Projects!$G$14="Yes",Projects!$K$14="No",86=Projects!$C$14,Assumptions!$B$55&gt;0),Assumptions!$B$55*Assumptions!$B$48,0)),Actuals!CM108)</f>
        <v>-0</v>
      </c>
      <c r="CM288" s="13" t="n">
        <f aca="false">IF(ISBLANK(Actuals!CN108),-(IF(AND(Projects!$G$7="Yes",Projects!$K$7="No",87=Projects!$C$7,Assumptions!$B$53&gt;0),Assumptions!$B$53*Assumptions!$B$48,0)+IF(AND(Projects!$G$11="Yes",Projects!$K$11="No",87=Projects!$C$11,Assumptions!$B$51&gt;0),Assumptions!$B$51*Assumptions!$B$48,0)+IF(AND(Projects!$G$12="Yes",Projects!$K$12="No",87=Projects!$C$12,Assumptions!$B$52&gt;0),Assumptions!$B$52*Assumptions!$B$48,0)+IF(AND(Projects!$G$13="Yes",Projects!$K$13="No",87=Projects!$C$13,Assumptions!$B$54&gt;0),Assumptions!$B$54*Assumptions!$B$48,0)+IF(AND(Projects!$G$14="Yes",Projects!$K$14="No",87=Projects!$C$14,Assumptions!$B$55&gt;0),Assumptions!$B$55*Assumptions!$B$48,0)),Actuals!CN108)</f>
        <v>-0</v>
      </c>
      <c r="CN288" s="13" t="n">
        <f aca="false">IF(ISBLANK(Actuals!CO108),-(IF(AND(Projects!$G$7="Yes",Projects!$K$7="No",88=Projects!$C$7,Assumptions!$B$53&gt;0),Assumptions!$B$53*Assumptions!$B$48,0)+IF(AND(Projects!$G$11="Yes",Projects!$K$11="No",88=Projects!$C$11,Assumptions!$B$51&gt;0),Assumptions!$B$51*Assumptions!$B$48,0)+IF(AND(Projects!$G$12="Yes",Projects!$K$12="No",88=Projects!$C$12,Assumptions!$B$52&gt;0),Assumptions!$B$52*Assumptions!$B$48,0)+IF(AND(Projects!$G$13="Yes",Projects!$K$13="No",88=Projects!$C$13,Assumptions!$B$54&gt;0),Assumptions!$B$54*Assumptions!$B$48,0)+IF(AND(Projects!$G$14="Yes",Projects!$K$14="No",88=Projects!$C$14,Assumptions!$B$55&gt;0),Assumptions!$B$55*Assumptions!$B$48,0)),Actuals!CO108)</f>
        <v>-0</v>
      </c>
      <c r="CO288" s="13" t="n">
        <f aca="false">IF(ISBLANK(Actuals!CP108),-(IF(AND(Projects!$G$7="Yes",Projects!$K$7="No",89=Projects!$C$7,Assumptions!$B$53&gt;0),Assumptions!$B$53*Assumptions!$B$48,0)+IF(AND(Projects!$G$11="Yes",Projects!$K$11="No",89=Projects!$C$11,Assumptions!$B$51&gt;0),Assumptions!$B$51*Assumptions!$B$48,0)+IF(AND(Projects!$G$12="Yes",Projects!$K$12="No",89=Projects!$C$12,Assumptions!$B$52&gt;0),Assumptions!$B$52*Assumptions!$B$48,0)+IF(AND(Projects!$G$13="Yes",Projects!$K$13="No",89=Projects!$C$13,Assumptions!$B$54&gt;0),Assumptions!$B$54*Assumptions!$B$48,0)+IF(AND(Projects!$G$14="Yes",Projects!$K$14="No",89=Projects!$C$14,Assumptions!$B$55&gt;0),Assumptions!$B$55*Assumptions!$B$48,0)),Actuals!CP108)</f>
        <v>-0</v>
      </c>
      <c r="CP288" s="13" t="n">
        <f aca="false">IF(ISBLANK(Actuals!CQ108),-(IF(AND(Projects!$G$7="Yes",Projects!$K$7="No",90=Projects!$C$7,Assumptions!$B$53&gt;0),Assumptions!$B$53*Assumptions!$B$48,0)+IF(AND(Projects!$G$11="Yes",Projects!$K$11="No",90=Projects!$C$11,Assumptions!$B$51&gt;0),Assumptions!$B$51*Assumptions!$B$48,0)+IF(AND(Projects!$G$12="Yes",Projects!$K$12="No",90=Projects!$C$12,Assumptions!$B$52&gt;0),Assumptions!$B$52*Assumptions!$B$48,0)+IF(AND(Projects!$G$13="Yes",Projects!$K$13="No",90=Projects!$C$13,Assumptions!$B$54&gt;0),Assumptions!$B$54*Assumptions!$B$48,0)+IF(AND(Projects!$G$14="Yes",Projects!$K$14="No",90=Projects!$C$14,Assumptions!$B$55&gt;0),Assumptions!$B$55*Assumptions!$B$48,0)),Actuals!CQ108)</f>
        <v>-0</v>
      </c>
      <c r="CQ288" s="13" t="n">
        <f aca="false">IF(ISBLANK(Actuals!CR108),-(IF(AND(Projects!$G$7="Yes",Projects!$K$7="No",91=Projects!$C$7,Assumptions!$B$53&gt;0),Assumptions!$B$53*Assumptions!$B$48,0)+IF(AND(Projects!$G$11="Yes",Projects!$K$11="No",91=Projects!$C$11,Assumptions!$B$51&gt;0),Assumptions!$B$51*Assumptions!$B$48,0)+IF(AND(Projects!$G$12="Yes",Projects!$K$12="No",91=Projects!$C$12,Assumptions!$B$52&gt;0),Assumptions!$B$52*Assumptions!$B$48,0)+IF(AND(Projects!$G$13="Yes",Projects!$K$13="No",91=Projects!$C$13,Assumptions!$B$54&gt;0),Assumptions!$B$54*Assumptions!$B$48,0)+IF(AND(Projects!$G$14="Yes",Projects!$K$14="No",91=Projects!$C$14,Assumptions!$B$55&gt;0),Assumptions!$B$55*Assumptions!$B$48,0)),Actuals!CR108)</f>
        <v>-0</v>
      </c>
      <c r="CR288" s="13" t="n">
        <f aca="false">IF(ISBLANK(Actuals!CS108),-(IF(AND(Projects!$G$7="Yes",Projects!$K$7="No",92=Projects!$C$7,Assumptions!$B$53&gt;0),Assumptions!$B$53*Assumptions!$B$48,0)+IF(AND(Projects!$G$11="Yes",Projects!$K$11="No",92=Projects!$C$11,Assumptions!$B$51&gt;0),Assumptions!$B$51*Assumptions!$B$48,0)+IF(AND(Projects!$G$12="Yes",Projects!$K$12="No",92=Projects!$C$12,Assumptions!$B$52&gt;0),Assumptions!$B$52*Assumptions!$B$48,0)+IF(AND(Projects!$G$13="Yes",Projects!$K$13="No",92=Projects!$C$13,Assumptions!$B$54&gt;0),Assumptions!$B$54*Assumptions!$B$48,0)+IF(AND(Projects!$G$14="Yes",Projects!$K$14="No",92=Projects!$C$14,Assumptions!$B$55&gt;0),Assumptions!$B$55*Assumptions!$B$48,0)),Actuals!CS108)</f>
        <v>-0</v>
      </c>
      <c r="CS288" s="13" t="n">
        <f aca="false">IF(ISBLANK(Actuals!CT108),-(IF(AND(Projects!$G$7="Yes",Projects!$K$7="No",93=Projects!$C$7,Assumptions!$B$53&gt;0),Assumptions!$B$53*Assumptions!$B$48,0)+IF(AND(Projects!$G$11="Yes",Projects!$K$11="No",93=Projects!$C$11,Assumptions!$B$51&gt;0),Assumptions!$B$51*Assumptions!$B$48,0)+IF(AND(Projects!$G$12="Yes",Projects!$K$12="No",93=Projects!$C$12,Assumptions!$B$52&gt;0),Assumptions!$B$52*Assumptions!$B$48,0)+IF(AND(Projects!$G$13="Yes",Projects!$K$13="No",93=Projects!$C$13,Assumptions!$B$54&gt;0),Assumptions!$B$54*Assumptions!$B$48,0)+IF(AND(Projects!$G$14="Yes",Projects!$K$14="No",93=Projects!$C$14,Assumptions!$B$55&gt;0),Assumptions!$B$55*Assumptions!$B$48,0)),Actuals!CT108)</f>
        <v>-0</v>
      </c>
      <c r="CT288" s="13" t="n">
        <f aca="false">IF(ISBLANK(Actuals!CU108),-(IF(AND(Projects!$G$7="Yes",Projects!$K$7="No",94=Projects!$C$7,Assumptions!$B$53&gt;0),Assumptions!$B$53*Assumptions!$B$48,0)+IF(AND(Projects!$G$11="Yes",Projects!$K$11="No",94=Projects!$C$11,Assumptions!$B$51&gt;0),Assumptions!$B$51*Assumptions!$B$48,0)+IF(AND(Projects!$G$12="Yes",Projects!$K$12="No",94=Projects!$C$12,Assumptions!$B$52&gt;0),Assumptions!$B$52*Assumptions!$B$48,0)+IF(AND(Projects!$G$13="Yes",Projects!$K$13="No",94=Projects!$C$13,Assumptions!$B$54&gt;0),Assumptions!$B$54*Assumptions!$B$48,0)+IF(AND(Projects!$G$14="Yes",Projects!$K$14="No",94=Projects!$C$14,Assumptions!$B$55&gt;0),Assumptions!$B$55*Assumptions!$B$48,0)),Actuals!CU108)</f>
        <v>-0</v>
      </c>
      <c r="CU288" s="13" t="n">
        <f aca="false">IF(ISBLANK(Actuals!CV108),-(IF(AND(Projects!$G$7="Yes",Projects!$K$7="No",95=Projects!$C$7,Assumptions!$B$53&gt;0),Assumptions!$B$53*Assumptions!$B$48,0)+IF(AND(Projects!$G$11="Yes",Projects!$K$11="No",95=Projects!$C$11,Assumptions!$B$51&gt;0),Assumptions!$B$51*Assumptions!$B$48,0)+IF(AND(Projects!$G$12="Yes",Projects!$K$12="No",95=Projects!$C$12,Assumptions!$B$52&gt;0),Assumptions!$B$52*Assumptions!$B$48,0)+IF(AND(Projects!$G$13="Yes",Projects!$K$13="No",95=Projects!$C$13,Assumptions!$B$54&gt;0),Assumptions!$B$54*Assumptions!$B$48,0)+IF(AND(Projects!$G$14="Yes",Projects!$K$14="No",95=Projects!$C$14,Assumptions!$B$55&gt;0),Assumptions!$B$55*Assumptions!$B$48,0)),Actuals!CV108)</f>
        <v>-0</v>
      </c>
      <c r="CV288" s="13" t="n">
        <f aca="false">IF(ISBLANK(Actuals!CW108),-(IF(AND(Projects!$G$7="Yes",Projects!$K$7="No",96=Projects!$C$7,Assumptions!$B$53&gt;0),Assumptions!$B$53*Assumptions!$B$48,0)+IF(AND(Projects!$G$11="Yes",Projects!$K$11="No",96=Projects!$C$11,Assumptions!$B$51&gt;0),Assumptions!$B$51*Assumptions!$B$48,0)+IF(AND(Projects!$G$12="Yes",Projects!$K$12="No",96=Projects!$C$12,Assumptions!$B$52&gt;0),Assumptions!$B$52*Assumptions!$B$48,0)+IF(AND(Projects!$G$13="Yes",Projects!$K$13="No",96=Projects!$C$13,Assumptions!$B$54&gt;0),Assumptions!$B$54*Assumptions!$B$48,0)+IF(AND(Projects!$G$14="Yes",Projects!$K$14="No",96=Projects!$C$14,Assumptions!$B$55&gt;0),Assumptions!$B$55*Assumptions!$B$48,0)),Actuals!CW108)</f>
        <v>-0</v>
      </c>
      <c r="CW288" s="13" t="n">
        <f aca="false">IF(ISBLANK(Actuals!CX108),-(IF(AND(Projects!$G$7="Yes",Projects!$K$7="No",97=Projects!$C$7,Assumptions!$B$53&gt;0),Assumptions!$B$53*Assumptions!$B$48,0)+IF(AND(Projects!$G$11="Yes",Projects!$K$11="No",97=Projects!$C$11,Assumptions!$B$51&gt;0),Assumptions!$B$51*Assumptions!$B$48,0)+IF(AND(Projects!$G$12="Yes",Projects!$K$12="No",97=Projects!$C$12,Assumptions!$B$52&gt;0),Assumptions!$B$52*Assumptions!$B$48,0)+IF(AND(Projects!$G$13="Yes",Projects!$K$13="No",97=Projects!$C$13,Assumptions!$B$54&gt;0),Assumptions!$B$54*Assumptions!$B$48,0)+IF(AND(Projects!$G$14="Yes",Projects!$K$14="No",97=Projects!$C$14,Assumptions!$B$55&gt;0),Assumptions!$B$55*Assumptions!$B$48,0)),Actuals!CX108)</f>
        <v>-0</v>
      </c>
      <c r="CX288" s="13" t="n">
        <f aca="false">IF(ISBLANK(Actuals!CY108),-(IF(AND(Projects!$G$7="Yes",Projects!$K$7="No",98=Projects!$C$7,Assumptions!$B$53&gt;0),Assumptions!$B$53*Assumptions!$B$48,0)+IF(AND(Projects!$G$11="Yes",Projects!$K$11="No",98=Projects!$C$11,Assumptions!$B$51&gt;0),Assumptions!$B$51*Assumptions!$B$48,0)+IF(AND(Projects!$G$12="Yes",Projects!$K$12="No",98=Projects!$C$12,Assumptions!$B$52&gt;0),Assumptions!$B$52*Assumptions!$B$48,0)+IF(AND(Projects!$G$13="Yes",Projects!$K$13="No",98=Projects!$C$13,Assumptions!$B$54&gt;0),Assumptions!$B$54*Assumptions!$B$48,0)+IF(AND(Projects!$G$14="Yes",Projects!$K$14="No",98=Projects!$C$14,Assumptions!$B$55&gt;0),Assumptions!$B$55*Assumptions!$B$48,0)),Actuals!CY108)</f>
        <v>-0</v>
      </c>
      <c r="CY288" s="13" t="n">
        <f aca="false">IF(ISBLANK(Actuals!CZ108),-(IF(AND(Projects!$G$7="Yes",Projects!$K$7="No",99=Projects!$C$7,Assumptions!$B$53&gt;0),Assumptions!$B$53*Assumptions!$B$48,0)+IF(AND(Projects!$G$11="Yes",Projects!$K$11="No",99=Projects!$C$11,Assumptions!$B$51&gt;0),Assumptions!$B$51*Assumptions!$B$48,0)+IF(AND(Projects!$G$12="Yes",Projects!$K$12="No",99=Projects!$C$12,Assumptions!$B$52&gt;0),Assumptions!$B$52*Assumptions!$B$48,0)+IF(AND(Projects!$G$13="Yes",Projects!$K$13="No",99=Projects!$C$13,Assumptions!$B$54&gt;0),Assumptions!$B$54*Assumptions!$B$48,0)+IF(AND(Projects!$G$14="Yes",Projects!$K$14="No",99=Projects!$C$14,Assumptions!$B$55&gt;0),Assumptions!$B$55*Assumptions!$B$48,0)),Actuals!CZ108)</f>
        <v>-0</v>
      </c>
      <c r="CZ288" s="13" t="n">
        <f aca="false">IF(ISBLANK(Actuals!DA108),-(IF(AND(Projects!$G$7="Yes",Projects!$K$7="No",100=Projects!$C$7,Assumptions!$B$53&gt;0),Assumptions!$B$53*Assumptions!$B$48,0)+IF(AND(Projects!$G$11="Yes",Projects!$K$11="No",100=Projects!$C$11,Assumptions!$B$51&gt;0),Assumptions!$B$51*Assumptions!$B$48,0)+IF(AND(Projects!$G$12="Yes",Projects!$K$12="No",100=Projects!$C$12,Assumptions!$B$52&gt;0),Assumptions!$B$52*Assumptions!$B$48,0)+IF(AND(Projects!$G$13="Yes",Projects!$K$13="No",100=Projects!$C$13,Assumptions!$B$54&gt;0),Assumptions!$B$54*Assumptions!$B$48,0)+IF(AND(Projects!$G$14="Yes",Projects!$K$14="No",100=Projects!$C$14,Assumptions!$B$55&gt;0),Assumptions!$B$55*Assumptions!$B$48,0)),Actuals!DA108)</f>
        <v>-0</v>
      </c>
      <c r="DA288" s="13" t="n">
        <f aca="false">IF(ISBLANK(Actuals!DB108),-(IF(AND(Projects!$G$7="Yes",Projects!$K$7="No",101=Projects!$C$7,Assumptions!$B$53&gt;0),Assumptions!$B$53*Assumptions!$B$48,0)+IF(AND(Projects!$G$11="Yes",Projects!$K$11="No",101=Projects!$C$11,Assumptions!$B$51&gt;0),Assumptions!$B$51*Assumptions!$B$48,0)+IF(AND(Projects!$G$12="Yes",Projects!$K$12="No",101=Projects!$C$12,Assumptions!$B$52&gt;0),Assumptions!$B$52*Assumptions!$B$48,0)+IF(AND(Projects!$G$13="Yes",Projects!$K$13="No",101=Projects!$C$13,Assumptions!$B$54&gt;0),Assumptions!$B$54*Assumptions!$B$48,0)+IF(AND(Projects!$G$14="Yes",Projects!$K$14="No",101=Projects!$C$14,Assumptions!$B$55&gt;0),Assumptions!$B$55*Assumptions!$B$48,0)),Actuals!DB108)</f>
        <v>-0</v>
      </c>
      <c r="DB288" s="13" t="n">
        <f aca="false">IF(ISBLANK(Actuals!DC108),-(IF(AND(Projects!$G$7="Yes",Projects!$K$7="No",102=Projects!$C$7,Assumptions!$B$53&gt;0),Assumptions!$B$53*Assumptions!$B$48,0)+IF(AND(Projects!$G$11="Yes",Projects!$K$11="No",102=Projects!$C$11,Assumptions!$B$51&gt;0),Assumptions!$B$51*Assumptions!$B$48,0)+IF(AND(Projects!$G$12="Yes",Projects!$K$12="No",102=Projects!$C$12,Assumptions!$B$52&gt;0),Assumptions!$B$52*Assumptions!$B$48,0)+IF(AND(Projects!$G$13="Yes",Projects!$K$13="No",102=Projects!$C$13,Assumptions!$B$54&gt;0),Assumptions!$B$54*Assumptions!$B$48,0)+IF(AND(Projects!$G$14="Yes",Projects!$K$14="No",102=Projects!$C$14,Assumptions!$B$55&gt;0),Assumptions!$B$55*Assumptions!$B$48,0)),Actuals!DC108)</f>
        <v>-0</v>
      </c>
      <c r="DC288" s="13" t="n">
        <f aca="false">IF(ISBLANK(Actuals!DD108),-(IF(AND(Projects!$G$7="Yes",Projects!$K$7="No",103=Projects!$C$7,Assumptions!$B$53&gt;0),Assumptions!$B$53*Assumptions!$B$48,0)+IF(AND(Projects!$G$11="Yes",Projects!$K$11="No",103=Projects!$C$11,Assumptions!$B$51&gt;0),Assumptions!$B$51*Assumptions!$B$48,0)+IF(AND(Projects!$G$12="Yes",Projects!$K$12="No",103=Projects!$C$12,Assumptions!$B$52&gt;0),Assumptions!$B$52*Assumptions!$B$48,0)+IF(AND(Projects!$G$13="Yes",Projects!$K$13="No",103=Projects!$C$13,Assumptions!$B$54&gt;0),Assumptions!$B$54*Assumptions!$B$48,0)+IF(AND(Projects!$G$14="Yes",Projects!$K$14="No",103=Projects!$C$14,Assumptions!$B$55&gt;0),Assumptions!$B$55*Assumptions!$B$48,0)),Actuals!DD108)</f>
        <v>-0</v>
      </c>
      <c r="DD288" s="13" t="n">
        <f aca="false">IF(ISBLANK(Actuals!DE108),-(IF(AND(Projects!$G$7="Yes",Projects!$K$7="No",104=Projects!$C$7,Assumptions!$B$53&gt;0),Assumptions!$B$53*Assumptions!$B$48,0)+IF(AND(Projects!$G$11="Yes",Projects!$K$11="No",104=Projects!$C$11,Assumptions!$B$51&gt;0),Assumptions!$B$51*Assumptions!$B$48,0)+IF(AND(Projects!$G$12="Yes",Projects!$K$12="No",104=Projects!$C$12,Assumptions!$B$52&gt;0),Assumptions!$B$52*Assumptions!$B$48,0)+IF(AND(Projects!$G$13="Yes",Projects!$K$13="No",104=Projects!$C$13,Assumptions!$B$54&gt;0),Assumptions!$B$54*Assumptions!$B$48,0)+IF(AND(Projects!$G$14="Yes",Projects!$K$14="No",104=Projects!$C$14,Assumptions!$B$55&gt;0),Assumptions!$B$55*Assumptions!$B$48,0)),Actuals!DE108)</f>
        <v>-0</v>
      </c>
      <c r="DE288" s="13" t="n">
        <f aca="false">IF(ISBLANK(Actuals!DF108),-(IF(AND(Projects!$G$7="Yes",Projects!$K$7="No",105=Projects!$C$7,Assumptions!$B$53&gt;0),Assumptions!$B$53*Assumptions!$B$48,0)+IF(AND(Projects!$G$11="Yes",Projects!$K$11="No",105=Projects!$C$11,Assumptions!$B$51&gt;0),Assumptions!$B$51*Assumptions!$B$48,0)+IF(AND(Projects!$G$12="Yes",Projects!$K$12="No",105=Projects!$C$12,Assumptions!$B$52&gt;0),Assumptions!$B$52*Assumptions!$B$48,0)+IF(AND(Projects!$G$13="Yes",Projects!$K$13="No",105=Projects!$C$13,Assumptions!$B$54&gt;0),Assumptions!$B$54*Assumptions!$B$48,0)+IF(AND(Projects!$G$14="Yes",Projects!$K$14="No",105=Projects!$C$14,Assumptions!$B$55&gt;0),Assumptions!$B$55*Assumptions!$B$48,0)),Actuals!DF108)</f>
        <v>-0</v>
      </c>
    </row>
    <row r="289" customFormat="false" ht="15" hidden="false" customHeight="true" outlineLevel="0" collapsed="false">
      <c r="A289" s="22" t="s">
        <v>134</v>
      </c>
      <c r="B289" s="13" t="n">
        <f aca="false">IF(ISBLANK(Actuals!C109),0,Actuals!C109)</f>
        <v>0</v>
      </c>
      <c r="C289" s="13" t="n">
        <f aca="false">IF(ISBLANK(Actuals!D109),0,Actuals!D109)</f>
        <v>0</v>
      </c>
      <c r="D289" s="13" t="n">
        <f aca="false">IF(ISBLANK(Actuals!E109),0,Actuals!E109)</f>
        <v>0</v>
      </c>
      <c r="E289" s="13" t="n">
        <f aca="false">IF(ISBLANK(Actuals!F109),-Helpers!C20,Actuals!F109)</f>
        <v>-0</v>
      </c>
      <c r="F289" s="13" t="n">
        <f aca="false">IF(ISBLANK(Actuals!G109),-Helpers!D20,Actuals!G109)</f>
        <v>-0</v>
      </c>
      <c r="G289" s="13" t="n">
        <f aca="false">IF(ISBLANK(Actuals!H109),-Helpers!E20,Actuals!H109)</f>
        <v>-0</v>
      </c>
      <c r="H289" s="13" t="n">
        <f aca="false">IF(ISBLANK(Actuals!I109),-Helpers!F20,Actuals!I109)</f>
        <v>-0</v>
      </c>
      <c r="I289" s="13" t="n">
        <f aca="false">IF(ISBLANK(Actuals!J109),-Helpers!G20,Actuals!J109)</f>
        <v>0</v>
      </c>
      <c r="J289" s="13" t="n">
        <f aca="false">IF(ISBLANK(Actuals!K109),-Helpers!H20,Actuals!K109)</f>
        <v>-0</v>
      </c>
      <c r="K289" s="13" t="n">
        <f aca="false">IF(ISBLANK(Actuals!L109),-Helpers!I20,Actuals!L109)</f>
        <v>-0</v>
      </c>
      <c r="L289" s="13" t="n">
        <f aca="false">IF(ISBLANK(Actuals!M109),-Helpers!J20,Actuals!M109)</f>
        <v>-0</v>
      </c>
      <c r="M289" s="13" t="n">
        <f aca="false">IF(ISBLANK(Actuals!N109),-Helpers!K20,Actuals!N109)</f>
        <v>-0</v>
      </c>
      <c r="N289" s="13" t="n">
        <f aca="false">IF(ISBLANK(Actuals!O109),-Helpers!L20,Actuals!O109)</f>
        <v>-0</v>
      </c>
      <c r="O289" s="13" t="n">
        <f aca="false">IF(ISBLANK(Actuals!P109),-Helpers!M20,Actuals!P109)</f>
        <v>-0</v>
      </c>
      <c r="P289" s="13" t="n">
        <f aca="false">IF(ISBLANK(Actuals!Q109),-Helpers!N20,Actuals!Q109)</f>
        <v>-0</v>
      </c>
      <c r="Q289" s="13" t="n">
        <f aca="false">IF(ISBLANK(Actuals!R109),-Helpers!O20,Actuals!R109)</f>
        <v>-0</v>
      </c>
      <c r="R289" s="13" t="n">
        <f aca="false">IF(ISBLANK(Actuals!S109),-Helpers!P20,Actuals!S109)</f>
        <v>-0</v>
      </c>
      <c r="S289" s="13" t="n">
        <f aca="false">IF(ISBLANK(Actuals!T109),-Helpers!Q20,Actuals!T109)</f>
        <v>-0</v>
      </c>
      <c r="T289" s="13" t="n">
        <f aca="false">IF(ISBLANK(Actuals!U109),-Helpers!R20,Actuals!U109)</f>
        <v>-0</v>
      </c>
      <c r="U289" s="13" t="n">
        <f aca="false">IF(ISBLANK(Actuals!V109),-Helpers!S20,Actuals!V109)</f>
        <v>-0</v>
      </c>
      <c r="V289" s="13" t="n">
        <f aca="false">IF(ISBLANK(Actuals!W109),-Helpers!T20,Actuals!W109)</f>
        <v>-0</v>
      </c>
      <c r="W289" s="13" t="n">
        <f aca="false">IF(ISBLANK(Actuals!X109),-Helpers!U20,Actuals!X109)</f>
        <v>-0</v>
      </c>
      <c r="X289" s="13" t="n">
        <f aca="false">IF(ISBLANK(Actuals!Y109),-Helpers!V20,Actuals!Y109)</f>
        <v>-0</v>
      </c>
      <c r="Y289" s="13" t="n">
        <f aca="false">IF(ISBLANK(Actuals!Z109),-Helpers!W20,Actuals!Z109)</f>
        <v>-0</v>
      </c>
      <c r="Z289" s="13" t="n">
        <f aca="false">IF(ISBLANK(Actuals!AA109),-Helpers!X20,Actuals!AA109)</f>
        <v>-0</v>
      </c>
      <c r="AA289" s="13" t="n">
        <f aca="false">IF(ISBLANK(Actuals!AB109),-Helpers!Y20,Actuals!AB109)</f>
        <v>-0</v>
      </c>
      <c r="AB289" s="13" t="n">
        <f aca="false">IF(ISBLANK(Actuals!AC109),-Helpers!Z20,Actuals!AC109)</f>
        <v>-0</v>
      </c>
      <c r="AC289" s="13" t="n">
        <f aca="false">IF(ISBLANK(Actuals!AD109),-Helpers!AA20,Actuals!AD109)</f>
        <v>-0</v>
      </c>
      <c r="AD289" s="13" t="n">
        <f aca="false">IF(ISBLANK(Actuals!AE109),-Helpers!AB20,Actuals!AE109)</f>
        <v>-0</v>
      </c>
      <c r="AE289" s="13" t="n">
        <f aca="false">IF(ISBLANK(Actuals!AF109),-Helpers!AC20,Actuals!AF109)</f>
        <v>-0</v>
      </c>
      <c r="AF289" s="13" t="n">
        <f aca="false">IF(ISBLANK(Actuals!AG109),-Helpers!AD20,Actuals!AG109)</f>
        <v>-0</v>
      </c>
      <c r="AG289" s="13" t="n">
        <f aca="false">IF(ISBLANK(Actuals!AH109),-Helpers!AE20,Actuals!AH109)</f>
        <v>-0</v>
      </c>
      <c r="AH289" s="13" t="n">
        <f aca="false">IF(ISBLANK(Actuals!AI109),-Helpers!AF20,Actuals!AI109)</f>
        <v>-0</v>
      </c>
      <c r="AI289" s="13" t="n">
        <f aca="false">IF(ISBLANK(Actuals!AJ109),-Helpers!AG20,Actuals!AJ109)</f>
        <v>-0</v>
      </c>
      <c r="AJ289" s="13" t="n">
        <f aca="false">IF(ISBLANK(Actuals!AK109),-Helpers!AH20,Actuals!AK109)</f>
        <v>-0</v>
      </c>
      <c r="AK289" s="13" t="n">
        <f aca="false">IF(ISBLANK(Actuals!AL109),-Helpers!AI20,Actuals!AL109)</f>
        <v>-0</v>
      </c>
      <c r="AL289" s="13" t="n">
        <f aca="false">IF(ISBLANK(Actuals!AM109),-Helpers!AJ20,Actuals!AM109)</f>
        <v>-0</v>
      </c>
      <c r="AM289" s="13" t="n">
        <f aca="false">IF(ISBLANK(Actuals!AN109),-Helpers!AK20,Actuals!AN109)</f>
        <v>-0</v>
      </c>
      <c r="AN289" s="13" t="n">
        <f aca="false">IF(ISBLANK(Actuals!AO109),-Helpers!AL20,Actuals!AO109)</f>
        <v>-0</v>
      </c>
      <c r="AO289" s="13" t="n">
        <f aca="false">IF(ISBLANK(Actuals!AP109),-Helpers!AM20,Actuals!AP109)</f>
        <v>-0</v>
      </c>
      <c r="AP289" s="13" t="n">
        <f aca="false">IF(ISBLANK(Actuals!AQ109),-Helpers!AN20,Actuals!AQ109)</f>
        <v>-0</v>
      </c>
      <c r="AQ289" s="13" t="n">
        <f aca="false">IF(ISBLANK(Actuals!AR109),-Helpers!AO20,Actuals!AR109)</f>
        <v>-0</v>
      </c>
      <c r="AR289" s="13" t="n">
        <f aca="false">IF(ISBLANK(Actuals!AS109),-Helpers!AP20,Actuals!AS109)</f>
        <v>-0</v>
      </c>
      <c r="AS289" s="13" t="n">
        <f aca="false">IF(ISBLANK(Actuals!AT109),-Helpers!AQ20,Actuals!AT109)</f>
        <v>-0</v>
      </c>
      <c r="AT289" s="13" t="n">
        <f aca="false">IF(ISBLANK(Actuals!AU109),-Helpers!AR20,Actuals!AU109)</f>
        <v>-81683</v>
      </c>
      <c r="AU289" s="13" t="n">
        <f aca="false">IF(ISBLANK(Actuals!AV109),-Helpers!AS20,Actuals!AV109)</f>
        <v>-0</v>
      </c>
      <c r="AV289" s="13" t="n">
        <f aca="false">IF(ISBLANK(Actuals!AW109),-Helpers!AT20,Actuals!AW109)</f>
        <v>-0</v>
      </c>
      <c r="AW289" s="13" t="n">
        <f aca="false">IF(ISBLANK(Actuals!AX109),-Helpers!AU20,Actuals!AX109)</f>
        <v>-81682</v>
      </c>
      <c r="AX289" s="13" t="n">
        <f aca="false">IF(ISBLANK(Actuals!AY109),-Helpers!AV20,Actuals!AY109)</f>
        <v>-0</v>
      </c>
      <c r="AY289" s="13" t="n">
        <f aca="false">IF(ISBLANK(Actuals!AZ109),-Helpers!AW20,Actuals!AZ109)</f>
        <v>-0</v>
      </c>
      <c r="AZ289" s="13" t="n">
        <f aca="false">IF(ISBLANK(Actuals!BA109),-Helpers!AX20,Actuals!BA109)</f>
        <v>-81682</v>
      </c>
      <c r="BA289" s="13" t="n">
        <f aca="false">IF(ISBLANK(Actuals!BB109),-Helpers!AY20,Actuals!BB109)</f>
        <v>-0</v>
      </c>
      <c r="BB289" s="13" t="n">
        <f aca="false">IF(ISBLANK(Actuals!BC109),-Helpers!AZ20,Actuals!BC109)</f>
        <v>-0</v>
      </c>
      <c r="BC289" s="13" t="n">
        <f aca="false">IF(ISBLANK(Actuals!BD109),-Helpers!BA20,Actuals!BD109)</f>
        <v>-81682</v>
      </c>
      <c r="BD289" s="13" t="n">
        <f aca="false">IF(ISBLANK(Actuals!BE109),-Helpers!BB20,Actuals!BE109)</f>
        <v>-0</v>
      </c>
      <c r="BE289" s="13" t="n">
        <f aca="false">IF(ISBLANK(Actuals!BF109),-Helpers!BC20,Actuals!BF109)</f>
        <v>-0</v>
      </c>
      <c r="BF289" s="13" t="n">
        <f aca="false">IF(ISBLANK(Actuals!BG109),-Helpers!BD20,Actuals!BG109)</f>
        <v>-59178</v>
      </c>
      <c r="BG289" s="13" t="n">
        <f aca="false">IF(ISBLANK(Actuals!BH109),-Helpers!BE20,Actuals!BH109)</f>
        <v>-0</v>
      </c>
      <c r="BH289" s="13" t="n">
        <f aca="false">IF(ISBLANK(Actuals!BI109),-Helpers!BF20,Actuals!BI109)</f>
        <v>-0</v>
      </c>
      <c r="BI289" s="13" t="n">
        <f aca="false">IF(ISBLANK(Actuals!BJ109),-Helpers!BG20,Actuals!BJ109)</f>
        <v>-59176</v>
      </c>
      <c r="BJ289" s="13" t="n">
        <f aca="false">IF(ISBLANK(Actuals!BK109),-Helpers!BH20,Actuals!BK109)</f>
        <v>-0</v>
      </c>
      <c r="BK289" s="13" t="n">
        <f aca="false">IF(ISBLANK(Actuals!BL109),-Helpers!BI20,Actuals!BL109)</f>
        <v>-0</v>
      </c>
      <c r="BL289" s="13" t="n">
        <f aca="false">IF(ISBLANK(Actuals!BM109),-Helpers!BJ20,Actuals!BM109)</f>
        <v>-59176</v>
      </c>
      <c r="BM289" s="13" t="n">
        <f aca="false">IF(ISBLANK(Actuals!BN109),-Helpers!BK20,Actuals!BN109)</f>
        <v>-0</v>
      </c>
      <c r="BN289" s="13" t="n">
        <f aca="false">IF(ISBLANK(Actuals!BO109),-Helpers!BL20,Actuals!BO109)</f>
        <v>-0</v>
      </c>
      <c r="BO289" s="13" t="n">
        <f aca="false">IF(ISBLANK(Actuals!BP109),-Helpers!BM20,Actuals!BP109)</f>
        <v>-59176</v>
      </c>
      <c r="BP289" s="13" t="n">
        <f aca="false">IF(ISBLANK(Actuals!BQ109),-Helpers!BN20,Actuals!BQ109)</f>
        <v>-0</v>
      </c>
      <c r="BQ289" s="13" t="n">
        <f aca="false">IF(ISBLANK(Actuals!BR109),-Helpers!BO20,Actuals!BR109)</f>
        <v>-0</v>
      </c>
      <c r="BR289" s="13" t="n">
        <f aca="false">IF(ISBLANK(Actuals!BS109),-Helpers!BP20,Actuals!BS109)</f>
        <v>-14512.65</v>
      </c>
      <c r="BS289" s="13" t="n">
        <f aca="false">IF(ISBLANK(Actuals!BT109),-Helpers!BQ20,Actuals!BT109)</f>
        <v>-0</v>
      </c>
      <c r="BT289" s="13" t="n">
        <f aca="false">IF(ISBLANK(Actuals!BU109),-Helpers!BR20,Actuals!BU109)</f>
        <v>-0</v>
      </c>
      <c r="BU289" s="13" t="n">
        <f aca="false">IF(ISBLANK(Actuals!BV109),-Helpers!BS20,Actuals!BV109)</f>
        <v>-0</v>
      </c>
      <c r="BV289" s="13" t="n">
        <f aca="false">IF(ISBLANK(Actuals!BW109),-Helpers!BT20,Actuals!BW109)</f>
        <v>-0</v>
      </c>
      <c r="BW289" s="13" t="n">
        <f aca="false">IF(ISBLANK(Actuals!BX109),-Helpers!BU20,Actuals!BX109)</f>
        <v>-0</v>
      </c>
      <c r="BX289" s="13" t="n">
        <f aca="false">IF(ISBLANK(Actuals!BY109),-Helpers!BV20,Actuals!BY109)</f>
        <v>-0</v>
      </c>
      <c r="BY289" s="13" t="n">
        <f aca="false">IF(ISBLANK(Actuals!BZ109),-Helpers!BW20,Actuals!BZ109)</f>
        <v>-0</v>
      </c>
      <c r="BZ289" s="13" t="n">
        <f aca="false">IF(ISBLANK(Actuals!CA109),-Helpers!BX20,Actuals!CA109)</f>
        <v>-0</v>
      </c>
      <c r="CA289" s="13" t="n">
        <f aca="false">IF(ISBLANK(Actuals!CB109),-Helpers!BY20,Actuals!CB109)</f>
        <v>-0</v>
      </c>
      <c r="CB289" s="13" t="n">
        <f aca="false">IF(ISBLANK(Actuals!CC109),-Helpers!BZ20,Actuals!CC109)</f>
        <v>-0</v>
      </c>
      <c r="CC289" s="13" t="n">
        <f aca="false">IF(ISBLANK(Actuals!CD109),-Helpers!CA20,Actuals!CD109)</f>
        <v>-0</v>
      </c>
      <c r="CD289" s="13" t="n">
        <f aca="false">IF(ISBLANK(Actuals!CE109),-Helpers!CB20,Actuals!CE109)</f>
        <v>-0</v>
      </c>
      <c r="CE289" s="13" t="n">
        <f aca="false">IF(ISBLANK(Actuals!CF109),-Helpers!CC20,Actuals!CF109)</f>
        <v>-0</v>
      </c>
      <c r="CF289" s="13" t="n">
        <f aca="false">IF(ISBLANK(Actuals!CG109),-Helpers!CD20,Actuals!CG109)</f>
        <v>-0</v>
      </c>
      <c r="CG289" s="13" t="n">
        <f aca="false">IF(ISBLANK(Actuals!CH109),-Helpers!CE20,Actuals!CH109)</f>
        <v>-0</v>
      </c>
      <c r="CH289" s="13" t="n">
        <f aca="false">IF(ISBLANK(Actuals!CI109),-Helpers!CF20,Actuals!CI109)</f>
        <v>-0</v>
      </c>
      <c r="CI289" s="13" t="n">
        <f aca="false">IF(ISBLANK(Actuals!CJ109),-Helpers!CG20,Actuals!CJ109)</f>
        <v>-0</v>
      </c>
      <c r="CJ289" s="13" t="n">
        <f aca="false">IF(ISBLANK(Actuals!CK109),-Helpers!CH20,Actuals!CK109)</f>
        <v>-0</v>
      </c>
      <c r="CK289" s="13" t="n">
        <f aca="false">IF(ISBLANK(Actuals!CL109),-Helpers!CI20,Actuals!CL109)</f>
        <v>-0</v>
      </c>
      <c r="CL289" s="13" t="n">
        <f aca="false">IF(ISBLANK(Actuals!CM109),-Helpers!CJ20,Actuals!CM109)</f>
        <v>-0</v>
      </c>
      <c r="CM289" s="13" t="n">
        <f aca="false">IF(ISBLANK(Actuals!CN109),-Helpers!CK20,Actuals!CN109)</f>
        <v>-0</v>
      </c>
      <c r="CN289" s="13" t="n">
        <f aca="false">IF(ISBLANK(Actuals!CO109),-Helpers!CL20,Actuals!CO109)</f>
        <v>-0</v>
      </c>
      <c r="CO289" s="13" t="n">
        <f aca="false">IF(ISBLANK(Actuals!CP109),-Helpers!CM20,Actuals!CP109)</f>
        <v>-0</v>
      </c>
      <c r="CP289" s="13" t="n">
        <f aca="false">IF(ISBLANK(Actuals!CQ109),-Helpers!CN20,Actuals!CQ109)</f>
        <v>-0</v>
      </c>
      <c r="CQ289" s="13" t="n">
        <f aca="false">IF(ISBLANK(Actuals!CR109),-Helpers!CO20,Actuals!CR109)</f>
        <v>-0</v>
      </c>
      <c r="CR289" s="13" t="n">
        <f aca="false">IF(ISBLANK(Actuals!CS109),-Helpers!CP20,Actuals!CS109)</f>
        <v>-0</v>
      </c>
      <c r="CS289" s="13" t="n">
        <f aca="false">IF(ISBLANK(Actuals!CT109),-Helpers!CQ20,Actuals!CT109)</f>
        <v>-0</v>
      </c>
      <c r="CT289" s="13" t="n">
        <f aca="false">IF(ISBLANK(Actuals!CU109),-Helpers!CR20,Actuals!CU109)</f>
        <v>-0</v>
      </c>
      <c r="CU289" s="13" t="n">
        <f aca="false">IF(ISBLANK(Actuals!CV109),-Helpers!CS20,Actuals!CV109)</f>
        <v>-0</v>
      </c>
      <c r="CV289" s="13" t="n">
        <f aca="false">IF(ISBLANK(Actuals!CW109),-Helpers!CT20,Actuals!CW109)</f>
        <v>-0</v>
      </c>
      <c r="CW289" s="13" t="n">
        <f aca="false">IF(ISBLANK(Actuals!CX109),-Helpers!CU20,Actuals!CX109)</f>
        <v>-0</v>
      </c>
      <c r="CX289" s="13" t="n">
        <f aca="false">IF(ISBLANK(Actuals!CY109),-Helpers!CV20,Actuals!CY109)</f>
        <v>-0</v>
      </c>
      <c r="CY289" s="13" t="n">
        <f aca="false">IF(ISBLANK(Actuals!CZ109),-Helpers!CW20,Actuals!CZ109)</f>
        <v>-0</v>
      </c>
      <c r="CZ289" s="13" t="n">
        <f aca="false">IF(ISBLANK(Actuals!DA109),-Helpers!CX20,Actuals!DA109)</f>
        <v>-0</v>
      </c>
      <c r="DA289" s="13" t="n">
        <f aca="false">IF(ISBLANK(Actuals!DB109),-Helpers!CY20,Actuals!DB109)</f>
        <v>-0</v>
      </c>
      <c r="DB289" s="13" t="n">
        <f aca="false">IF(ISBLANK(Actuals!DC109),-Helpers!CZ20,Actuals!DC109)</f>
        <v>-0</v>
      </c>
      <c r="DC289" s="13" t="n">
        <f aca="false">IF(ISBLANK(Actuals!DD109),-Helpers!DA20,Actuals!DD109)</f>
        <v>-0</v>
      </c>
      <c r="DD289" s="13" t="n">
        <f aca="false">IF(ISBLANK(Actuals!DE109),-Helpers!DB20,Actuals!DE109)</f>
        <v>-0</v>
      </c>
      <c r="DE289" s="13" t="n">
        <f aca="false">IF(ISBLANK(Actuals!DF109),-Helpers!DC20,Actuals!DF109)</f>
        <v>-0</v>
      </c>
    </row>
    <row r="290" customFormat="false" ht="15" hidden="false" customHeight="true" outlineLevel="0" collapsed="false">
      <c r="A290" s="22" t="s">
        <v>135</v>
      </c>
      <c r="B290" s="13" t="n">
        <f aca="false">IF(ISBLANK(Actuals!C110),0,Actuals!C110)</f>
        <v>0</v>
      </c>
      <c r="C290" s="13" t="n">
        <f aca="false">IF(ISBLANK(Actuals!D110),0,Actuals!D110)</f>
        <v>0</v>
      </c>
      <c r="D290" s="13" t="n">
        <f aca="false">IF(ISBLANK(Actuals!E110),0,Actuals!E110)</f>
        <v>0</v>
      </c>
      <c r="E290" s="13" t="n">
        <f aca="false">IF(ISBLANK(Actuals!F110),-Helpers!C23+E338,Actuals!F110)</f>
        <v>-0</v>
      </c>
      <c r="F290" s="13" t="n">
        <f aca="false">IF(ISBLANK(Actuals!G110),-Helpers!D23+F338,Actuals!G110)</f>
        <v>-0</v>
      </c>
      <c r="G290" s="13" t="n">
        <f aca="false">IF(ISBLANK(Actuals!H110),-Helpers!E23+G338,Actuals!H110)</f>
        <v>-0</v>
      </c>
      <c r="H290" s="13" t="n">
        <f aca="false">IF(ISBLANK(Actuals!I110),-Helpers!F23+H338,Actuals!I110)</f>
        <v>-0</v>
      </c>
      <c r="I290" s="13" t="n">
        <f aca="false">IF(ISBLANK(Actuals!J110),-Helpers!G23+I338,Actuals!J110)</f>
        <v>-0</v>
      </c>
      <c r="J290" s="13" t="n">
        <f aca="false">IF(ISBLANK(Actuals!K110),-Helpers!H23+J338,Actuals!K110)</f>
        <v>-0</v>
      </c>
      <c r="K290" s="13" t="n">
        <f aca="false">IF(ISBLANK(Actuals!L110),-Helpers!I23+K338,Actuals!L110)</f>
        <v>-0</v>
      </c>
      <c r="L290" s="13" t="n">
        <f aca="false">IF(ISBLANK(Actuals!M110),-Helpers!J23+L338,Actuals!M110)</f>
        <v>-0</v>
      </c>
      <c r="M290" s="13" t="n">
        <f aca="false">IF(ISBLANK(Actuals!N110),-Helpers!K23+M338,Actuals!N110)</f>
        <v>-0</v>
      </c>
      <c r="N290" s="13" t="n">
        <f aca="false">IF(ISBLANK(Actuals!O110),-Helpers!L23+N338,Actuals!O110)</f>
        <v>-0</v>
      </c>
      <c r="O290" s="13" t="n">
        <f aca="false">IF(ISBLANK(Actuals!P110),-Helpers!M23+O338,Actuals!P110)</f>
        <v>-0</v>
      </c>
      <c r="P290" s="13" t="n">
        <f aca="false">IF(ISBLANK(Actuals!Q110),-Helpers!N23+P338,Actuals!Q110)</f>
        <v>-0</v>
      </c>
      <c r="Q290" s="13" t="n">
        <f aca="false">IF(ISBLANK(Actuals!R110),-Helpers!O23+Q338,Actuals!R110)</f>
        <v>-0</v>
      </c>
      <c r="R290" s="13" t="n">
        <f aca="false">IF(ISBLANK(Actuals!S110),-Helpers!P23+R338,Actuals!S110)</f>
        <v>-0</v>
      </c>
      <c r="S290" s="13" t="n">
        <f aca="false">IF(ISBLANK(Actuals!T110),-Helpers!Q23+S338,Actuals!T110)</f>
        <v>-0</v>
      </c>
      <c r="T290" s="13" t="n">
        <f aca="false">IF(ISBLANK(Actuals!U110),-Helpers!R23+T338,Actuals!U110)</f>
        <v>-0</v>
      </c>
      <c r="U290" s="13" t="n">
        <f aca="false">IF(ISBLANK(Actuals!V110),-Helpers!S23+U338,Actuals!V110)</f>
        <v>-0</v>
      </c>
      <c r="V290" s="13" t="n">
        <f aca="false">IF(ISBLANK(Actuals!W110),-Helpers!T23+V338,Actuals!W110)</f>
        <v>-0</v>
      </c>
      <c r="W290" s="13" t="n">
        <f aca="false">IF(ISBLANK(Actuals!X110),-Helpers!U23+W338,Actuals!X110)</f>
        <v>-0</v>
      </c>
      <c r="X290" s="13" t="n">
        <f aca="false">IF(ISBLANK(Actuals!Y110),-Helpers!V23+X338,Actuals!Y110)</f>
        <v>-0</v>
      </c>
      <c r="Y290" s="13" t="n">
        <f aca="false">IF(ISBLANK(Actuals!Z110),-Helpers!W23+Y338,Actuals!Z110)</f>
        <v>-0</v>
      </c>
      <c r="Z290" s="13" t="n">
        <f aca="false">IF(ISBLANK(Actuals!AA110),-Helpers!X23+Z338,Actuals!AA110)</f>
        <v>-0</v>
      </c>
      <c r="AA290" s="13" t="n">
        <f aca="false">IF(ISBLANK(Actuals!AB110),-Helpers!Y23+AA338,Actuals!AB110)</f>
        <v>-0</v>
      </c>
      <c r="AB290" s="13" t="n">
        <f aca="false">IF(ISBLANK(Actuals!AC110),-Helpers!Z23+AB338,Actuals!AC110)</f>
        <v>-0</v>
      </c>
      <c r="AC290" s="13" t="n">
        <f aca="false">IF(ISBLANK(Actuals!AD110),-Helpers!AA23+AC338,Actuals!AD110)</f>
        <v>-0</v>
      </c>
      <c r="AD290" s="13" t="n">
        <f aca="false">IF(ISBLANK(Actuals!AE110),-Helpers!AB23+AD338,Actuals!AE110)</f>
        <v>-0</v>
      </c>
      <c r="AE290" s="13" t="n">
        <f aca="false">IF(ISBLANK(Actuals!AF110),-Helpers!AC23+AE338,Actuals!AF110)</f>
        <v>-0</v>
      </c>
      <c r="AF290" s="13" t="n">
        <f aca="false">IF(ISBLANK(Actuals!AG110),-Helpers!AD23+AF338,Actuals!AG110)</f>
        <v>-0</v>
      </c>
      <c r="AG290" s="13" t="n">
        <f aca="false">IF(ISBLANK(Actuals!AH110),-Helpers!AE23+AG338,Actuals!AH110)</f>
        <v>-0</v>
      </c>
      <c r="AH290" s="13" t="n">
        <f aca="false">IF(ISBLANK(Actuals!AI110),-Helpers!AF23+AH338,Actuals!AI110)</f>
        <v>-0</v>
      </c>
      <c r="AI290" s="13" t="n">
        <f aca="false">IF(ISBLANK(Actuals!AJ110),-Helpers!AG23+AI338,Actuals!AJ110)</f>
        <v>-0</v>
      </c>
      <c r="AJ290" s="13" t="n">
        <f aca="false">IF(ISBLANK(Actuals!AK110),-Helpers!AH23+AJ338,Actuals!AK110)</f>
        <v>-0</v>
      </c>
      <c r="AK290" s="13" t="n">
        <f aca="false">IF(ISBLANK(Actuals!AL110),-Helpers!AI23+AK338,Actuals!AL110)</f>
        <v>-0</v>
      </c>
      <c r="AL290" s="13" t="n">
        <f aca="false">IF(ISBLANK(Actuals!AM110),-Helpers!AJ23+AL338,Actuals!AM110)</f>
        <v>-0</v>
      </c>
      <c r="AM290" s="13" t="n">
        <f aca="false">IF(ISBLANK(Actuals!AN110),-Helpers!AK23+AM338,Actuals!AN110)</f>
        <v>-0</v>
      </c>
      <c r="AN290" s="13" t="n">
        <f aca="false">IF(ISBLANK(Actuals!AO110),-Helpers!AL23+AN338,Actuals!AO110)</f>
        <v>-0</v>
      </c>
      <c r="AO290" s="13" t="n">
        <f aca="false">IF(ISBLANK(Actuals!AP110),-Helpers!AM23+AO338,Actuals!AP110)</f>
        <v>-0</v>
      </c>
      <c r="AP290" s="13" t="n">
        <f aca="false">IF(ISBLANK(Actuals!AQ110),-Helpers!AN23+AP338,Actuals!AQ110)</f>
        <v>-0</v>
      </c>
      <c r="AQ290" s="13" t="n">
        <f aca="false">IF(ISBLANK(Actuals!AR110),-Helpers!AO23+AQ338,Actuals!AR110)</f>
        <v>-0</v>
      </c>
      <c r="AR290" s="13" t="n">
        <f aca="false">IF(ISBLANK(Actuals!AS110),-Helpers!AP23+AR338,Actuals!AS110)</f>
        <v>-0</v>
      </c>
      <c r="AS290" s="13" t="n">
        <f aca="false">IF(ISBLANK(Actuals!AT110),-Helpers!AQ23+AS338,Actuals!AT110)</f>
        <v>-0</v>
      </c>
      <c r="AT290" s="13" t="n">
        <f aca="false">IF(ISBLANK(Actuals!AU110),-Helpers!AR23+AT338,Actuals!AU110)</f>
        <v>-0</v>
      </c>
      <c r="AU290" s="13" t="n">
        <f aca="false">IF(ISBLANK(Actuals!AV110),-Helpers!AS23+AU338,Actuals!AV110)</f>
        <v>-0</v>
      </c>
      <c r="AV290" s="13" t="n">
        <f aca="false">IF(ISBLANK(Actuals!AW110),-Helpers!AT23+AV338,Actuals!AW110)</f>
        <v>-0</v>
      </c>
      <c r="AW290" s="13" t="n">
        <f aca="false">IF(ISBLANK(Actuals!AX110),-Helpers!AU23+AW338,Actuals!AX110)</f>
        <v>-0</v>
      </c>
      <c r="AX290" s="13" t="n">
        <f aca="false">IF(ISBLANK(Actuals!AY110),-Helpers!AV23+AX338,Actuals!AY110)</f>
        <v>-0</v>
      </c>
      <c r="AY290" s="13" t="n">
        <f aca="false">IF(ISBLANK(Actuals!AZ110),-Helpers!AW23+AY338,Actuals!AZ110)</f>
        <v>-0</v>
      </c>
      <c r="AZ290" s="13" t="n">
        <f aca="false">IF(ISBLANK(Actuals!BA110),-Helpers!AX23+AZ338,Actuals!BA110)</f>
        <v>-0</v>
      </c>
      <c r="BA290" s="13" t="n">
        <f aca="false">IF(ISBLANK(Actuals!BB110),-Helpers!AY23+BA338,Actuals!BB110)</f>
        <v>-0</v>
      </c>
      <c r="BB290" s="13" t="n">
        <f aca="false">IF(ISBLANK(Actuals!BC110),-Helpers!AZ23+BB338,Actuals!BC110)</f>
        <v>-0</v>
      </c>
      <c r="BC290" s="13" t="n">
        <f aca="false">IF(ISBLANK(Actuals!BD110),-Helpers!BA23+BC338,Actuals!BD110)</f>
        <v>-851839</v>
      </c>
      <c r="BD290" s="13" t="n">
        <f aca="false">IF(ISBLANK(Actuals!BE110),-Helpers!BB23+BD338,Actuals!BE110)</f>
        <v>-0</v>
      </c>
      <c r="BE290" s="13" t="n">
        <f aca="false">IF(ISBLANK(Actuals!BF110),-Helpers!BC23+BE338,Actuals!BF110)</f>
        <v>-0</v>
      </c>
      <c r="BF290" s="13" t="n">
        <f aca="false">IF(ISBLANK(Actuals!BG110),-Helpers!BD23+BF338,Actuals!BG110)</f>
        <v>-71700</v>
      </c>
      <c r="BG290" s="13" t="n">
        <f aca="false">IF(ISBLANK(Actuals!BH110),-Helpers!BE23+BG338,Actuals!BH110)</f>
        <v>-0</v>
      </c>
      <c r="BH290" s="13" t="n">
        <f aca="false">IF(ISBLANK(Actuals!BI110),-Helpers!BF23+BH338,Actuals!BI110)</f>
        <v>-0</v>
      </c>
      <c r="BI290" s="13" t="n">
        <f aca="false">IF(ISBLANK(Actuals!BJ110),-Helpers!BG23+BI338,Actuals!BJ110)</f>
        <v>-71700</v>
      </c>
      <c r="BJ290" s="13" t="n">
        <f aca="false">IF(ISBLANK(Actuals!BK110),-Helpers!BH23+BJ338,Actuals!BK110)</f>
        <v>-0</v>
      </c>
      <c r="BK290" s="13" t="n">
        <f aca="false">IF(ISBLANK(Actuals!BL110),-Helpers!BI23+BK338,Actuals!BL110)</f>
        <v>-0</v>
      </c>
      <c r="BL290" s="13" t="n">
        <f aca="false">IF(ISBLANK(Actuals!BM110),-Helpers!BJ23+BL338,Actuals!BM110)</f>
        <v>-71700</v>
      </c>
      <c r="BM290" s="13" t="n">
        <f aca="false">IF(ISBLANK(Actuals!BN110),-Helpers!BK23+BM338,Actuals!BN110)</f>
        <v>-0</v>
      </c>
      <c r="BN290" s="13" t="n">
        <f aca="false">IF(ISBLANK(Actuals!BO110),-Helpers!BL23+BN338,Actuals!BO110)</f>
        <v>-0</v>
      </c>
      <c r="BO290" s="13" t="n">
        <f aca="false">IF(ISBLANK(Actuals!BP110),-Helpers!BM23+BO338,Actuals!BP110)</f>
        <v>-71700</v>
      </c>
      <c r="BP290" s="13" t="n">
        <f aca="false">IF(ISBLANK(Actuals!BQ110),-Helpers!BN23+BP338,Actuals!BQ110)</f>
        <v>-0</v>
      </c>
      <c r="BQ290" s="13" t="n">
        <f aca="false">IF(ISBLANK(Actuals!BR110),-Helpers!BO23+BQ338,Actuals!BR110)</f>
        <v>-0</v>
      </c>
      <c r="BR290" s="13" t="n">
        <f aca="false">IF(ISBLANK(Actuals!BS110),-Helpers!BP23+BR338,Actuals!BS110)</f>
        <v>-74643</v>
      </c>
      <c r="BS290" s="13" t="n">
        <f aca="false">IF(ISBLANK(Actuals!BT110),-Helpers!BQ23+BS338,Actuals!BT110)</f>
        <v>-0</v>
      </c>
      <c r="BT290" s="13" t="n">
        <f aca="false">IF(ISBLANK(Actuals!BU110),-Helpers!BR23+BT338,Actuals!BU110)</f>
        <v>-0</v>
      </c>
      <c r="BU290" s="13" t="n">
        <f aca="false">IF(ISBLANK(Actuals!BV110),-Helpers!BS23+BU338,Actuals!BV110)</f>
        <v>-74640</v>
      </c>
      <c r="BV290" s="13" t="n">
        <f aca="false">IF(ISBLANK(Actuals!BW110),-Helpers!BT23+BV338,Actuals!BW110)</f>
        <v>-0</v>
      </c>
      <c r="BW290" s="13" t="n">
        <f aca="false">IF(ISBLANK(Actuals!BX110),-Helpers!BU23+BW338,Actuals!BX110)</f>
        <v>-0</v>
      </c>
      <c r="BX290" s="13" t="n">
        <f aca="false">IF(ISBLANK(Actuals!BY110),-Helpers!BV23+BX338,Actuals!BY110)</f>
        <v>-74640</v>
      </c>
      <c r="BY290" s="13" t="n">
        <f aca="false">IF(ISBLANK(Actuals!BZ110),-Helpers!BW23+BY338,Actuals!BZ110)</f>
        <v>-0</v>
      </c>
      <c r="BZ290" s="13" t="n">
        <f aca="false">IF(ISBLANK(Actuals!CA110),-Helpers!BX23+BZ338,Actuals!CA110)</f>
        <v>-0</v>
      </c>
      <c r="CA290" s="13" t="n">
        <f aca="false">IF(ISBLANK(Actuals!CB110),-Helpers!BY23+CA338,Actuals!CB110)</f>
        <v>-74640</v>
      </c>
      <c r="CB290" s="13" t="n">
        <f aca="false">IF(ISBLANK(Actuals!CC110),-Helpers!BZ23+CB338,Actuals!CC110)</f>
        <v>-0</v>
      </c>
      <c r="CC290" s="13" t="n">
        <f aca="false">IF(ISBLANK(Actuals!CD110),-Helpers!CA23+CC338,Actuals!CD110)</f>
        <v>-0</v>
      </c>
      <c r="CD290" s="13" t="n">
        <f aca="false">IF(ISBLANK(Actuals!CE110),-Helpers!CB23+CD338,Actuals!CE110)</f>
        <v>-81363</v>
      </c>
      <c r="CE290" s="13" t="n">
        <f aca="false">IF(ISBLANK(Actuals!CF110),-Helpers!CC23+CE338,Actuals!CF110)</f>
        <v>-0</v>
      </c>
      <c r="CF290" s="13" t="n">
        <f aca="false">IF(ISBLANK(Actuals!CG110),-Helpers!CD23+CF338,Actuals!CG110)</f>
        <v>-0</v>
      </c>
      <c r="CG290" s="13" t="n">
        <f aca="false">IF(ISBLANK(Actuals!CH110),-Helpers!CE23+CG338,Actuals!CH110)</f>
        <v>-81362</v>
      </c>
      <c r="CH290" s="13" t="n">
        <f aca="false">IF(ISBLANK(Actuals!CI110),-Helpers!CF23+CH338,Actuals!CI110)</f>
        <v>-0</v>
      </c>
      <c r="CI290" s="13" t="n">
        <f aca="false">IF(ISBLANK(Actuals!CJ110),-Helpers!CG23+CI338,Actuals!CJ110)</f>
        <v>-0</v>
      </c>
      <c r="CJ290" s="13" t="n">
        <f aca="false">IF(ISBLANK(Actuals!CK110),-Helpers!CH23+CJ338,Actuals!CK110)</f>
        <v>-74753.9733935208</v>
      </c>
      <c r="CK290" s="13" t="n">
        <f aca="false">IF(ISBLANK(Actuals!CL110),-Helpers!CI23+CK338,Actuals!CL110)</f>
        <v>-0</v>
      </c>
      <c r="CL290" s="13" t="n">
        <f aca="false">IF(ISBLANK(Actuals!CM110),-Helpers!CJ23+CL338,Actuals!CM110)</f>
        <v>-0</v>
      </c>
      <c r="CM290" s="13" t="n">
        <f aca="false">IF(ISBLANK(Actuals!CN110),-Helpers!CK23+CM338,Actuals!CN110)</f>
        <v>-0</v>
      </c>
      <c r="CN290" s="13" t="n">
        <f aca="false">IF(ISBLANK(Actuals!CO110),-Helpers!CL23+CN338,Actuals!CO110)</f>
        <v>-0</v>
      </c>
      <c r="CO290" s="13" t="n">
        <f aca="false">IF(ISBLANK(Actuals!CP110),-Helpers!CM23+CO338,Actuals!CP110)</f>
        <v>-0</v>
      </c>
      <c r="CP290" s="13" t="n">
        <f aca="false">IF(ISBLANK(Actuals!CQ110),-Helpers!CN23+CP338,Actuals!CQ110)</f>
        <v>-0</v>
      </c>
      <c r="CQ290" s="13" t="n">
        <f aca="false">IF(ISBLANK(Actuals!CR110),-Helpers!CO23+CQ338,Actuals!CR110)</f>
        <v>-0</v>
      </c>
      <c r="CR290" s="13" t="n">
        <f aca="false">IF(ISBLANK(Actuals!CS110),-Helpers!CP23+CR338,Actuals!CS110)</f>
        <v>-0</v>
      </c>
      <c r="CS290" s="13" t="n">
        <f aca="false">IF(ISBLANK(Actuals!CT110),-Helpers!CQ23+CS338,Actuals!CT110)</f>
        <v>-0</v>
      </c>
      <c r="CT290" s="13" t="n">
        <f aca="false">IF(ISBLANK(Actuals!CU110),-Helpers!CR23+CT338,Actuals!CU110)</f>
        <v>-0</v>
      </c>
      <c r="CU290" s="13" t="n">
        <f aca="false">IF(ISBLANK(Actuals!CV110),-Helpers!CS23+CU338,Actuals!CV110)</f>
        <v>-0</v>
      </c>
      <c r="CV290" s="13" t="n">
        <f aca="false">IF(ISBLANK(Actuals!CW110),-Helpers!CT23+CV338,Actuals!CW110)</f>
        <v>-0</v>
      </c>
      <c r="CW290" s="13" t="n">
        <f aca="false">IF(ISBLANK(Actuals!CX110),-Helpers!CU23+CW338,Actuals!CX110)</f>
        <v>-0</v>
      </c>
      <c r="CX290" s="13" t="n">
        <f aca="false">IF(ISBLANK(Actuals!CY110),-Helpers!CV23+CX338,Actuals!CY110)</f>
        <v>-0</v>
      </c>
      <c r="CY290" s="13" t="n">
        <f aca="false">IF(ISBLANK(Actuals!CZ110),-Helpers!CW23+CY338,Actuals!CZ110)</f>
        <v>-0</v>
      </c>
      <c r="CZ290" s="13" t="n">
        <f aca="false">IF(ISBLANK(Actuals!DA110),-Helpers!CX23+CZ338,Actuals!DA110)</f>
        <v>-0</v>
      </c>
      <c r="DA290" s="13" t="n">
        <f aca="false">IF(ISBLANK(Actuals!DB110),-Helpers!CY23+DA338,Actuals!DB110)</f>
        <v>-0</v>
      </c>
      <c r="DB290" s="13" t="n">
        <f aca="false">IF(ISBLANK(Actuals!DC110),-Helpers!CZ23+DB338,Actuals!DC110)</f>
        <v>-0</v>
      </c>
      <c r="DC290" s="13" t="n">
        <f aca="false">IF(ISBLANK(Actuals!DD110),-Helpers!DA23+DC338,Actuals!DD110)</f>
        <v>-0</v>
      </c>
      <c r="DD290" s="13" t="n">
        <f aca="false">IF(ISBLANK(Actuals!DE110),-Helpers!DB23+DD338,Actuals!DE110)</f>
        <v>-0</v>
      </c>
      <c r="DE290" s="13" t="n">
        <f aca="false">IF(ISBLANK(Actuals!DF110),-Helpers!DC23+DE338,Actuals!DF110)</f>
        <v>-0</v>
      </c>
    </row>
    <row r="291" customFormat="false" ht="15" hidden="false" customHeight="true" outlineLevel="0" collapsed="false">
      <c r="A291" s="22" t="s">
        <v>136</v>
      </c>
      <c r="B291" s="13" t="n">
        <f aca="false">IF(ISBLANK(Actuals!C111),0,Actuals!C111)</f>
        <v>0</v>
      </c>
      <c r="C291" s="13" t="n">
        <f aca="false">IF(ISBLANK(Actuals!D111),0,Actuals!D111)</f>
        <v>0</v>
      </c>
      <c r="D291" s="13" t="n">
        <f aca="false">IF(ISBLANK(Actuals!E111),0,Actuals!E111)</f>
        <v>0</v>
      </c>
      <c r="E291" s="13" t="n">
        <f aca="false">IF(ISBLANK(Actuals!F111),-Helpers!C26+E333,Actuals!F111)</f>
        <v>-0</v>
      </c>
      <c r="F291" s="13" t="n">
        <f aca="false">IF(ISBLANK(Actuals!G111),-Helpers!D26+F333,Actuals!G111)</f>
        <v>-0</v>
      </c>
      <c r="G291" s="13" t="n">
        <f aca="false">IF(ISBLANK(Actuals!H111),-Helpers!E26+G333,Actuals!H111)</f>
        <v>-0</v>
      </c>
      <c r="H291" s="13" t="n">
        <f aca="false">IF(ISBLANK(Actuals!I111),-Helpers!F26+H333,Actuals!I111)</f>
        <v>-0</v>
      </c>
      <c r="I291" s="13" t="n">
        <f aca="false">IF(ISBLANK(Actuals!J111),-Helpers!G26+I333,Actuals!J111)</f>
        <v>-0</v>
      </c>
      <c r="J291" s="13" t="n">
        <f aca="false">IF(ISBLANK(Actuals!K111),-Helpers!H26+J333,Actuals!K111)</f>
        <v>-0</v>
      </c>
      <c r="K291" s="13" t="n">
        <f aca="false">IF(ISBLANK(Actuals!L111),-Helpers!I26+K333,Actuals!L111)</f>
        <v>-0</v>
      </c>
      <c r="L291" s="13" t="n">
        <f aca="false">IF(ISBLANK(Actuals!M111),-Helpers!J26+L333,Actuals!M111)</f>
        <v>-0</v>
      </c>
      <c r="M291" s="13" t="n">
        <f aca="false">IF(ISBLANK(Actuals!N111),-Helpers!K26+M333,Actuals!N111)</f>
        <v>-0</v>
      </c>
      <c r="N291" s="13" t="n">
        <f aca="false">IF(ISBLANK(Actuals!O111),-Helpers!L26+N333,Actuals!O111)</f>
        <v>-0</v>
      </c>
      <c r="O291" s="13" t="n">
        <f aca="false">IF(ISBLANK(Actuals!P111),-Helpers!M26+O333,Actuals!P111)</f>
        <v>-0</v>
      </c>
      <c r="P291" s="13" t="n">
        <f aca="false">IF(ISBLANK(Actuals!Q111),-Helpers!N26+P333,Actuals!Q111)</f>
        <v>-0</v>
      </c>
      <c r="Q291" s="13" t="n">
        <f aca="false">IF(ISBLANK(Actuals!R111),-Helpers!O26+Q333,Actuals!R111)</f>
        <v>-0</v>
      </c>
      <c r="R291" s="13" t="n">
        <f aca="false">IF(ISBLANK(Actuals!S111),-Helpers!P26+R333,Actuals!S111)</f>
        <v>-0</v>
      </c>
      <c r="S291" s="13" t="n">
        <f aca="false">IF(ISBLANK(Actuals!T111),-Helpers!Q26+S333,Actuals!T111)</f>
        <v>-0</v>
      </c>
      <c r="T291" s="13" t="n">
        <f aca="false">IF(ISBLANK(Actuals!U111),-Helpers!R26+T333,Actuals!U111)</f>
        <v>-0</v>
      </c>
      <c r="U291" s="13" t="n">
        <f aca="false">IF(ISBLANK(Actuals!V111),-Helpers!S26+U333,Actuals!V111)</f>
        <v>-0</v>
      </c>
      <c r="V291" s="13" t="n">
        <f aca="false">IF(ISBLANK(Actuals!W111),-Helpers!T26+V333,Actuals!W111)</f>
        <v>-0</v>
      </c>
      <c r="W291" s="13" t="n">
        <f aca="false">IF(ISBLANK(Actuals!X111),-Helpers!U26+W333,Actuals!X111)</f>
        <v>-0</v>
      </c>
      <c r="X291" s="13" t="n">
        <f aca="false">IF(ISBLANK(Actuals!Y111),-Helpers!V26+X333,Actuals!Y111)</f>
        <v>-0</v>
      </c>
      <c r="Y291" s="13" t="n">
        <f aca="false">IF(ISBLANK(Actuals!Z111),-Helpers!W26+Y333,Actuals!Z111)</f>
        <v>-0</v>
      </c>
      <c r="Z291" s="13" t="n">
        <f aca="false">IF(ISBLANK(Actuals!AA111),-Helpers!X26+Z333,Actuals!AA111)</f>
        <v>-0</v>
      </c>
      <c r="AA291" s="13" t="n">
        <f aca="false">IF(ISBLANK(Actuals!AB111),-Helpers!Y26+AA333,Actuals!AB111)</f>
        <v>-0</v>
      </c>
      <c r="AB291" s="13" t="n">
        <f aca="false">IF(ISBLANK(Actuals!AC111),-Helpers!Z26+AB333,Actuals!AC111)</f>
        <v>-0</v>
      </c>
      <c r="AC291" s="13" t="n">
        <f aca="false">IF(ISBLANK(Actuals!AD111),-Helpers!AA26+AC333,Actuals!AD111)</f>
        <v>-0</v>
      </c>
      <c r="AD291" s="13" t="n">
        <f aca="false">IF(ISBLANK(Actuals!AE111),-Helpers!AB26+AD333,Actuals!AE111)</f>
        <v>-0</v>
      </c>
      <c r="AE291" s="13" t="n">
        <f aca="false">IF(ISBLANK(Actuals!AF111),-Helpers!AC26+AE333,Actuals!AF111)</f>
        <v>-0</v>
      </c>
      <c r="AF291" s="13" t="n">
        <f aca="false">IF(ISBLANK(Actuals!AG111),-Helpers!AD26+AF333,Actuals!AG111)</f>
        <v>-0</v>
      </c>
      <c r="AG291" s="13" t="n">
        <f aca="false">IF(ISBLANK(Actuals!AH111),-Helpers!AE26+AG333,Actuals!AH111)</f>
        <v>-0</v>
      </c>
      <c r="AH291" s="13" t="n">
        <f aca="false">IF(ISBLANK(Actuals!AI111),-Helpers!AF26+AH333,Actuals!AI111)</f>
        <v>-0</v>
      </c>
      <c r="AI291" s="13" t="n">
        <f aca="false">IF(ISBLANK(Actuals!AJ111),-Helpers!AG26+AI333,Actuals!AJ111)</f>
        <v>-0</v>
      </c>
      <c r="AJ291" s="13" t="n">
        <f aca="false">IF(ISBLANK(Actuals!AK111),-Helpers!AH26+AJ333,Actuals!AK111)</f>
        <v>-0</v>
      </c>
      <c r="AK291" s="13" t="n">
        <f aca="false">IF(ISBLANK(Actuals!AL111),-Helpers!AI26+AK333,Actuals!AL111)</f>
        <v>-0</v>
      </c>
      <c r="AL291" s="13" t="n">
        <f aca="false">IF(ISBLANK(Actuals!AM111),-Helpers!AJ26+AL333,Actuals!AM111)</f>
        <v>-0</v>
      </c>
      <c r="AM291" s="13" t="n">
        <f aca="false">IF(ISBLANK(Actuals!AN111),-Helpers!AK26+AM333,Actuals!AN111)</f>
        <v>-0</v>
      </c>
      <c r="AN291" s="13" t="n">
        <f aca="false">IF(ISBLANK(Actuals!AO111),-Helpers!AL26+AN333,Actuals!AO111)</f>
        <v>-0</v>
      </c>
      <c r="AO291" s="13" t="n">
        <f aca="false">IF(ISBLANK(Actuals!AP111),-Helpers!AM26+AO333,Actuals!AP111)</f>
        <v>-0</v>
      </c>
      <c r="AP291" s="13" t="n">
        <f aca="false">IF(ISBLANK(Actuals!AQ111),-Helpers!AN26+AP333,Actuals!AQ111)</f>
        <v>-0</v>
      </c>
      <c r="AQ291" s="13" t="n">
        <f aca="false">IF(ISBLANK(Actuals!AR111),-Helpers!AO26+AQ333,Actuals!AR111)</f>
        <v>-0</v>
      </c>
      <c r="AR291" s="13" t="n">
        <f aca="false">IF(ISBLANK(Actuals!AS111),-Helpers!AP26+AR333,Actuals!AS111)</f>
        <v>-0</v>
      </c>
      <c r="AS291" s="13" t="n">
        <f aca="false">IF(ISBLANK(Actuals!AT111),-Helpers!AQ26+AS333,Actuals!AT111)</f>
        <v>-0</v>
      </c>
      <c r="AT291" s="13" t="n">
        <f aca="false">IF(ISBLANK(Actuals!AU111),-Helpers!AR26+AT333,Actuals!AU111)</f>
        <v>-0</v>
      </c>
      <c r="AU291" s="13" t="n">
        <f aca="false">IF(ISBLANK(Actuals!AV111),-Helpers!AS26+AU333,Actuals!AV111)</f>
        <v>-0</v>
      </c>
      <c r="AV291" s="13" t="n">
        <f aca="false">IF(ISBLANK(Actuals!AW111),-Helpers!AT26+AV333,Actuals!AW111)</f>
        <v>-0</v>
      </c>
      <c r="AW291" s="13" t="n">
        <f aca="false">IF(ISBLANK(Actuals!AX111),-Helpers!AU26+AW333,Actuals!AX111)</f>
        <v>-0</v>
      </c>
      <c r="AX291" s="13" t="n">
        <f aca="false">IF(ISBLANK(Actuals!AY111),-Helpers!AV26+AX333,Actuals!AY111)</f>
        <v>-0</v>
      </c>
      <c r="AY291" s="13" t="n">
        <f aca="false">IF(ISBLANK(Actuals!AZ111),-Helpers!AW26+AY333,Actuals!AZ111)</f>
        <v>-0</v>
      </c>
      <c r="AZ291" s="13" t="n">
        <f aca="false">IF(ISBLANK(Actuals!BA111),-Helpers!AX26+AZ333,Actuals!BA111)</f>
        <v>-0</v>
      </c>
      <c r="BA291" s="13" t="n">
        <f aca="false">IF(ISBLANK(Actuals!BB111),-Helpers!AY26+BA333,Actuals!BB111)</f>
        <v>-0</v>
      </c>
      <c r="BB291" s="13" t="n">
        <f aca="false">IF(ISBLANK(Actuals!BC111),-Helpers!AZ26+BB333,Actuals!BC111)</f>
        <v>-0</v>
      </c>
      <c r="BC291" s="13" t="n">
        <f aca="false">IF(ISBLANK(Actuals!BD111),-Helpers!BA26+BC333,Actuals!BD111)</f>
        <v>-0</v>
      </c>
      <c r="BD291" s="13" t="n">
        <f aca="false">IF(ISBLANK(Actuals!BE111),-Helpers!BB26+BD333,Actuals!BE111)</f>
        <v>-0</v>
      </c>
      <c r="BE291" s="13" t="n">
        <f aca="false">IF(ISBLANK(Actuals!BF111),-Helpers!BC26+BE333,Actuals!BF111)</f>
        <v>-0</v>
      </c>
      <c r="BF291" s="13" t="n">
        <f aca="false">IF(ISBLANK(Actuals!BG111),-Helpers!BD26+BF333,Actuals!BG111)</f>
        <v>-0</v>
      </c>
      <c r="BG291" s="13" t="n">
        <f aca="false">IF(ISBLANK(Actuals!BH111),-Helpers!BE26+BG333,Actuals!BH111)</f>
        <v>-0</v>
      </c>
      <c r="BH291" s="13" t="n">
        <f aca="false">IF(ISBLANK(Actuals!BI111),-Helpers!BF26+BH333,Actuals!BI111)</f>
        <v>-0</v>
      </c>
      <c r="BI291" s="13" t="n">
        <f aca="false">IF(ISBLANK(Actuals!BJ111),-Helpers!BG26+BI333,Actuals!BJ111)</f>
        <v>-0</v>
      </c>
      <c r="BJ291" s="13" t="n">
        <f aca="false">IF(ISBLANK(Actuals!BK111),-Helpers!BH26+BJ333,Actuals!BK111)</f>
        <v>-0</v>
      </c>
      <c r="BK291" s="13" t="n">
        <f aca="false">IF(ISBLANK(Actuals!BL111),-Helpers!BI26+BK333,Actuals!BL111)</f>
        <v>-0</v>
      </c>
      <c r="BL291" s="13" t="n">
        <f aca="false">IF(ISBLANK(Actuals!BM111),-Helpers!BJ26+BL333,Actuals!BM111)</f>
        <v>-0</v>
      </c>
      <c r="BM291" s="13" t="n">
        <f aca="false">IF(ISBLANK(Actuals!BN111),-Helpers!BK26+BM333,Actuals!BN111)</f>
        <v>-0</v>
      </c>
      <c r="BN291" s="13" t="n">
        <f aca="false">IF(ISBLANK(Actuals!BO111),-Helpers!BL26+BN333,Actuals!BO111)</f>
        <v>-0</v>
      </c>
      <c r="BO291" s="13" t="n">
        <f aca="false">IF(ISBLANK(Actuals!BP111),-Helpers!BM26+BO333,Actuals!BP111)</f>
        <v>-0</v>
      </c>
      <c r="BP291" s="13" t="n">
        <f aca="false">IF(ISBLANK(Actuals!BQ111),-Helpers!BN26+BP333,Actuals!BQ111)</f>
        <v>-0</v>
      </c>
      <c r="BQ291" s="13" t="n">
        <f aca="false">IF(ISBLANK(Actuals!BR111),-Helpers!BO26+BQ333,Actuals!BR111)</f>
        <v>-0</v>
      </c>
      <c r="BR291" s="13" t="n">
        <f aca="false">IF(ISBLANK(Actuals!BS111),-Helpers!BP26+BR333,Actuals!BS111)</f>
        <v>-0</v>
      </c>
      <c r="BS291" s="13" t="n">
        <f aca="false">IF(ISBLANK(Actuals!BT111),-Helpers!BQ26+BS333,Actuals!BT111)</f>
        <v>-0</v>
      </c>
      <c r="BT291" s="13" t="n">
        <f aca="false">IF(ISBLANK(Actuals!BU111),-Helpers!BR26+BT333,Actuals!BU111)</f>
        <v>-0</v>
      </c>
      <c r="BU291" s="13" t="n">
        <f aca="false">IF(ISBLANK(Actuals!BV111),-Helpers!BS26+BU333,Actuals!BV111)</f>
        <v>-0</v>
      </c>
      <c r="BV291" s="13" t="n">
        <f aca="false">IF(ISBLANK(Actuals!BW111),-Helpers!BT26+BV333,Actuals!BW111)</f>
        <v>-0</v>
      </c>
      <c r="BW291" s="13" t="n">
        <f aca="false">IF(ISBLANK(Actuals!BX111),-Helpers!BU26+BW333,Actuals!BX111)</f>
        <v>-0</v>
      </c>
      <c r="BX291" s="13" t="n">
        <f aca="false">IF(ISBLANK(Actuals!BY111),-Helpers!BV26+BX333,Actuals!BY111)</f>
        <v>-0</v>
      </c>
      <c r="BY291" s="13" t="n">
        <f aca="false">IF(ISBLANK(Actuals!BZ111),-Helpers!BW26+BY333,Actuals!BZ111)</f>
        <v>-0</v>
      </c>
      <c r="BZ291" s="13" t="n">
        <f aca="false">IF(ISBLANK(Actuals!CA111),-Helpers!BX26+BZ333,Actuals!CA111)</f>
        <v>-0</v>
      </c>
      <c r="CA291" s="13" t="n">
        <f aca="false">IF(ISBLANK(Actuals!CB111),-Helpers!BY26+CA333,Actuals!CB111)</f>
        <v>-73156</v>
      </c>
      <c r="CB291" s="13" t="n">
        <f aca="false">IF(ISBLANK(Actuals!CC111),-Helpers!BZ26+CB333,Actuals!CC111)</f>
        <v>-0</v>
      </c>
      <c r="CC291" s="13" t="n">
        <f aca="false">IF(ISBLANK(Actuals!CD111),-Helpers!CA26+CC333,Actuals!CD111)</f>
        <v>-0</v>
      </c>
      <c r="CD291" s="13" t="n">
        <f aca="false">IF(ISBLANK(Actuals!CE111),-Helpers!CB26+CD333,Actuals!CE111)</f>
        <v>-73155</v>
      </c>
      <c r="CE291" s="13" t="n">
        <f aca="false">IF(ISBLANK(Actuals!CF111),-Helpers!CC26+CE333,Actuals!CF111)</f>
        <v>-0</v>
      </c>
      <c r="CF291" s="13" t="n">
        <f aca="false">IF(ISBLANK(Actuals!CG111),-Helpers!CD26+CF333,Actuals!CG111)</f>
        <v>-0</v>
      </c>
      <c r="CG291" s="13" t="n">
        <f aca="false">IF(ISBLANK(Actuals!CH111),-Helpers!CE26+CG333,Actuals!CH111)</f>
        <v>-73155</v>
      </c>
      <c r="CH291" s="13" t="n">
        <f aca="false">IF(ISBLANK(Actuals!CI111),-Helpers!CF26+CH333,Actuals!CI111)</f>
        <v>-0</v>
      </c>
      <c r="CI291" s="13" t="n">
        <f aca="false">IF(ISBLANK(Actuals!CJ111),-Helpers!CG26+CI333,Actuals!CJ111)</f>
        <v>-0</v>
      </c>
      <c r="CJ291" s="13" t="n">
        <f aca="false">IF(ISBLANK(Actuals!CK111),-Helpers!CH26+CJ333,Actuals!CK111)</f>
        <v>-73155</v>
      </c>
      <c r="CK291" s="13" t="n">
        <f aca="false">IF(ISBLANK(Actuals!CL111),-Helpers!CI26+CK333,Actuals!CL111)</f>
        <v>-73155</v>
      </c>
      <c r="CL291" s="13" t="n">
        <f aca="false">IF(ISBLANK(Actuals!CM111),-Helpers!CJ26+CL333,Actuals!CM111)</f>
        <v>-73155</v>
      </c>
      <c r="CM291" s="13" t="n">
        <f aca="false">IF(ISBLANK(Actuals!CN111),-Helpers!CK26+CM333,Actuals!CN111)</f>
        <v>-73155</v>
      </c>
      <c r="CN291" s="13" t="n">
        <f aca="false">IF(ISBLANK(Actuals!CO111),-Helpers!CL26+CN333,Actuals!CO111)</f>
        <v>-73155</v>
      </c>
      <c r="CO291" s="13" t="n">
        <f aca="false">IF(ISBLANK(Actuals!CP111),-Helpers!CM26+CO333,Actuals!CP111)</f>
        <v>-73155</v>
      </c>
      <c r="CP291" s="13" t="n">
        <f aca="false">IF(ISBLANK(Actuals!CQ111),-Helpers!CN26+CP333,Actuals!CQ111)</f>
        <v>-73155</v>
      </c>
      <c r="CQ291" s="13" t="n">
        <f aca="false">IF(ISBLANK(Actuals!CR111),-Helpers!CO26+CQ333,Actuals!CR111)</f>
        <v>-73155</v>
      </c>
      <c r="CR291" s="13" t="n">
        <f aca="false">IF(ISBLANK(Actuals!CS111),-Helpers!CP26+CR333,Actuals!CS111)</f>
        <v>-73155</v>
      </c>
      <c r="CS291" s="13" t="n">
        <f aca="false">IF(ISBLANK(Actuals!CT111),-Helpers!CQ26+CS333,Actuals!CT111)</f>
        <v>-73155</v>
      </c>
      <c r="CT291" s="13" t="n">
        <f aca="false">IF(ISBLANK(Actuals!CU111),-Helpers!CR26+CT333,Actuals!CU111)</f>
        <v>-73155</v>
      </c>
      <c r="CU291" s="13" t="n">
        <f aca="false">IF(ISBLANK(Actuals!CV111),-Helpers!CS26+CU333,Actuals!CV111)</f>
        <v>-73155</v>
      </c>
      <c r="CV291" s="13" t="n">
        <f aca="false">IF(ISBLANK(Actuals!CW111),-Helpers!CT26+CV333,Actuals!CW111)</f>
        <v>-73155</v>
      </c>
      <c r="CW291" s="13" t="n">
        <f aca="false">IF(ISBLANK(Actuals!CX111),-Helpers!CU26+CW333,Actuals!CX111)</f>
        <v>-17446.8489364072</v>
      </c>
      <c r="CX291" s="13" t="n">
        <f aca="false">IF(ISBLANK(Actuals!CY111),-Helpers!CV26+CX333,Actuals!CY111)</f>
        <v>-0</v>
      </c>
      <c r="CY291" s="13" t="n">
        <f aca="false">IF(ISBLANK(Actuals!CZ111),-Helpers!CW26+CY333,Actuals!CZ111)</f>
        <v>-0</v>
      </c>
      <c r="CZ291" s="13" t="n">
        <f aca="false">IF(ISBLANK(Actuals!DA111),-Helpers!CX26+CZ333,Actuals!DA111)</f>
        <v>-0</v>
      </c>
      <c r="DA291" s="13" t="n">
        <f aca="false">IF(ISBLANK(Actuals!DB111),-Helpers!CY26+DA333,Actuals!DB111)</f>
        <v>-0</v>
      </c>
      <c r="DB291" s="13" t="n">
        <f aca="false">IF(ISBLANK(Actuals!DC111),-Helpers!CZ26+DB333,Actuals!DC111)</f>
        <v>-0</v>
      </c>
      <c r="DC291" s="13" t="n">
        <f aca="false">IF(ISBLANK(Actuals!DD111),-Helpers!DA26+DC333,Actuals!DD111)</f>
        <v>-0</v>
      </c>
      <c r="DD291" s="13" t="n">
        <f aca="false">IF(ISBLANK(Actuals!DE111),-Helpers!DB26+DD333,Actuals!DE111)</f>
        <v>-0</v>
      </c>
      <c r="DE291" s="13" t="n">
        <f aca="false">IF(ISBLANK(Actuals!DF111),-Helpers!DC26+DE333,Actuals!DF111)</f>
        <v>-0</v>
      </c>
    </row>
    <row r="292" customFormat="false" ht="19.5" hidden="false" customHeight="true" outlineLevel="0" collapsed="false">
      <c r="A292" s="29" t="s">
        <v>137</v>
      </c>
      <c r="B292" s="30" t="n">
        <f aca="false">SUM(B263:B291)+Actuals!C113</f>
        <v>-198827.72</v>
      </c>
      <c r="C292" s="30" t="n">
        <f aca="false">SUM(C263:C291)+Actuals!D113</f>
        <v>-192502</v>
      </c>
      <c r="D292" s="30" t="n">
        <f aca="false">SUM(D263:D291)+Actuals!E113</f>
        <v>-255024.1</v>
      </c>
      <c r="E292" s="30" t="n">
        <f aca="false">SUM(E263:E291)+Actuals!F113</f>
        <v>-195904.72</v>
      </c>
      <c r="F292" s="30" t="n">
        <f aca="false">SUM(F263:F291)+Actuals!G113</f>
        <v>-250029.52</v>
      </c>
      <c r="G292" s="30" t="n">
        <f aca="false">SUM(G263:G291)+Actuals!H113</f>
        <v>-147940.79</v>
      </c>
      <c r="H292" s="30" t="n">
        <f aca="false">SUM(H263:H291)+Actuals!I113</f>
        <v>-196497.94</v>
      </c>
      <c r="I292" s="30" t="n">
        <f aca="false">SUM(I263:I291)+Actuals!J113</f>
        <v>-184415.27</v>
      </c>
      <c r="J292" s="30" t="n">
        <f aca="false">SUM(J263:J291)+Actuals!K113</f>
        <v>-188116.133333333</v>
      </c>
      <c r="K292" s="30" t="n">
        <f aca="false">SUM(K263:K291)+Actuals!L113</f>
        <v>-188116.133333333</v>
      </c>
      <c r="L292" s="30" t="n">
        <f aca="false">SUM(L263:L291)+Actuals!M113</f>
        <v>-188116.133333333</v>
      </c>
      <c r="M292" s="30" t="n">
        <f aca="false">SUM(M263:M291)+Actuals!N113</f>
        <v>-184616.133333333</v>
      </c>
      <c r="N292" s="30" t="n">
        <f aca="false">SUM(N263:N291)+Actuals!O113</f>
        <v>-320068.163333333</v>
      </c>
      <c r="O292" s="30" t="n">
        <f aca="false">SUM(O263:O291)+Actuals!P113</f>
        <v>-340387.223333333</v>
      </c>
      <c r="P292" s="30" t="n">
        <f aca="false">SUM(P263:P291)+Actuals!Q113</f>
        <v>-184616.133333333</v>
      </c>
      <c r="Q292" s="30" t="n">
        <f aca="false">SUM(Q263:Q291)+Actuals!R113</f>
        <v>-188208.456</v>
      </c>
      <c r="R292" s="30" t="n">
        <f aca="false">SUM(R263:R291)+Actuals!S113</f>
        <v>-188208.456</v>
      </c>
      <c r="S292" s="30" t="n">
        <f aca="false">SUM(S263:S291)+Actuals!T113</f>
        <v>-188208.456</v>
      </c>
      <c r="T292" s="30" t="n">
        <f aca="false">SUM(T263:T291)+Actuals!U113</f>
        <v>-188208.456</v>
      </c>
      <c r="U292" s="30" t="n">
        <f aca="false">SUM(U263:U291)+Actuals!V113</f>
        <v>-188208.456</v>
      </c>
      <c r="V292" s="30" t="n">
        <f aca="false">SUM(V263:V291)+Actuals!W113</f>
        <v>-188208.456</v>
      </c>
      <c r="W292" s="30" t="n">
        <f aca="false">SUM(W263:W291)+Actuals!X113</f>
        <v>-188208.456</v>
      </c>
      <c r="X292" s="30" t="n">
        <f aca="false">SUM(X263:X291)+Actuals!Y113</f>
        <v>-188208.456</v>
      </c>
      <c r="Y292" s="30" t="n">
        <f aca="false">SUM(Y263:Y291)+Actuals!Z113</f>
        <v>-188208.456</v>
      </c>
      <c r="Z292" s="30" t="n">
        <f aca="false">SUM(Z263:Z291)+Actuals!AA113</f>
        <v>-188208.456</v>
      </c>
      <c r="AA292" s="30" t="n">
        <f aca="false">SUM(AA263:AA291)+Actuals!AB113</f>
        <v>-188208.456</v>
      </c>
      <c r="AB292" s="30" t="n">
        <f aca="false">SUM(AB263:AB291)+Actuals!AC113</f>
        <v>-188208.456</v>
      </c>
      <c r="AC292" s="30" t="n">
        <f aca="false">SUM(AC263:AC291)+Actuals!AD113</f>
        <v>-191872.62512</v>
      </c>
      <c r="AD292" s="30" t="n">
        <f aca="false">SUM(AD263:AD291)+Actuals!AE113</f>
        <v>-191872.62512</v>
      </c>
      <c r="AE292" s="30" t="n">
        <f aca="false">SUM(AE263:AE291)+Actuals!AF113</f>
        <v>-191872.62512</v>
      </c>
      <c r="AF292" s="30" t="n">
        <f aca="false">SUM(AF263:AF291)+Actuals!AG113</f>
        <v>-191872.62512</v>
      </c>
      <c r="AG292" s="30" t="n">
        <f aca="false">SUM(AG263:AG291)+Actuals!AH113</f>
        <v>-191872.62512</v>
      </c>
      <c r="AH292" s="30" t="n">
        <f aca="false">SUM(AH263:AH291)+Actuals!AI113</f>
        <v>-191872.62512</v>
      </c>
      <c r="AI292" s="30" t="n">
        <f aca="false">SUM(AI263:AI291)+Actuals!AJ113</f>
        <v>-191872.62512</v>
      </c>
      <c r="AJ292" s="30" t="n">
        <f aca="false">SUM(AJ263:AJ291)+Actuals!AK113</f>
        <v>-191872.62512</v>
      </c>
      <c r="AK292" s="30" t="n">
        <f aca="false">SUM(AK263:AK291)+Actuals!AL113</f>
        <v>-191872.62512</v>
      </c>
      <c r="AL292" s="30" t="n">
        <f aca="false">SUM(AL263:AL291)+Actuals!AM113</f>
        <v>-191872.62512</v>
      </c>
      <c r="AM292" s="30" t="n">
        <f aca="false">SUM(AM263:AM291)+Actuals!AN113</f>
        <v>-191872.62512</v>
      </c>
      <c r="AN292" s="30" t="n">
        <f aca="false">SUM(AN263:AN291)+Actuals!AO113</f>
        <v>-191872.62512</v>
      </c>
      <c r="AO292" s="30" t="n">
        <f aca="false">SUM(AO263:AO291)+Actuals!AP113</f>
        <v>-195610.0776224</v>
      </c>
      <c r="AP292" s="30" t="n">
        <f aca="false">SUM(AP263:AP291)+Actuals!AQ113</f>
        <v>-195610.0776224</v>
      </c>
      <c r="AQ292" s="30" t="n">
        <f aca="false">SUM(AQ263:AQ291)+Actuals!AR113</f>
        <v>-195610.0776224</v>
      </c>
      <c r="AR292" s="30" t="n">
        <f aca="false">SUM(AR263:AR291)+Actuals!AS113</f>
        <v>-195610.0776224</v>
      </c>
      <c r="AS292" s="30" t="n">
        <f aca="false">SUM(AS263:AS291)+Actuals!AT113</f>
        <v>-195610.0776224</v>
      </c>
      <c r="AT292" s="30" t="n">
        <f aca="false">SUM(AT263:AT291)+Actuals!AU113</f>
        <v>-277293.0776224</v>
      </c>
      <c r="AU292" s="30" t="n">
        <f aca="false">SUM(AU263:AU291)+Actuals!AV113</f>
        <v>-195610.0776224</v>
      </c>
      <c r="AV292" s="30" t="n">
        <f aca="false">SUM(AV263:AV291)+Actuals!AW113</f>
        <v>-195610.0776224</v>
      </c>
      <c r="AW292" s="30" t="n">
        <f aca="false">SUM(AW263:AW291)+Actuals!AX113</f>
        <v>-277292.0776224</v>
      </c>
      <c r="AX292" s="30" t="n">
        <f aca="false">SUM(AX263:AX291)+Actuals!AY113</f>
        <v>-195610.0776224</v>
      </c>
      <c r="AY292" s="30" t="n">
        <f aca="false">SUM(AY263:AY291)+Actuals!AZ113</f>
        <v>-195610.0776224</v>
      </c>
      <c r="AZ292" s="30" t="n">
        <f aca="false">SUM(AZ263:AZ291)+Actuals!BA113</f>
        <v>-277292.0776224</v>
      </c>
      <c r="BA292" s="30" t="n">
        <f aca="false">SUM(BA263:BA291)+Actuals!BB113</f>
        <v>-199422.279174848</v>
      </c>
      <c r="BB292" s="30" t="n">
        <f aca="false">SUM(BB263:BB291)+Actuals!BC113</f>
        <v>-199422.279174848</v>
      </c>
      <c r="BC292" s="30" t="n">
        <f aca="false">SUM(BC263:BC291)+Actuals!BD113</f>
        <v>-1132943.27917485</v>
      </c>
      <c r="BD292" s="30" t="n">
        <f aca="false">SUM(BD263:BD291)+Actuals!BE113</f>
        <v>-199422.279174848</v>
      </c>
      <c r="BE292" s="30" t="n">
        <f aca="false">SUM(BE263:BE291)+Actuals!BF113</f>
        <v>-199422.279174848</v>
      </c>
      <c r="BF292" s="30" t="n">
        <f aca="false">SUM(BF263:BF291)+Actuals!BG113</f>
        <v>-330300.279174848</v>
      </c>
      <c r="BG292" s="30" t="n">
        <f aca="false">SUM(BG263:BG291)+Actuals!BH113</f>
        <v>-199422.279174848</v>
      </c>
      <c r="BH292" s="30" t="n">
        <f aca="false">SUM(BH263:BH291)+Actuals!BI113</f>
        <v>-199422.279174848</v>
      </c>
      <c r="BI292" s="30" t="n">
        <f aca="false">SUM(BI263:BI291)+Actuals!BJ113</f>
        <v>-330298.279174848</v>
      </c>
      <c r="BJ292" s="30" t="n">
        <f aca="false">SUM(BJ263:BJ291)+Actuals!BK113</f>
        <v>-199422.279174848</v>
      </c>
      <c r="BK292" s="30" t="n">
        <f aca="false">SUM(BK263:BK291)+Actuals!BL113</f>
        <v>-199422.279174848</v>
      </c>
      <c r="BL292" s="30" t="n">
        <f aca="false">SUM(BL263:BL291)+Actuals!BM113</f>
        <v>-330298.279174848</v>
      </c>
      <c r="BM292" s="30" t="n">
        <f aca="false">SUM(BM263:BM291)+Actuals!BN113</f>
        <v>-203310.724758345</v>
      </c>
      <c r="BN292" s="30" t="n">
        <f aca="false">SUM(BN263:BN291)+Actuals!BO113</f>
        <v>-203310.724758345</v>
      </c>
      <c r="BO292" s="30" t="n">
        <f aca="false">SUM(BO263:BO291)+Actuals!BP113</f>
        <v>-334186.724758345</v>
      </c>
      <c r="BP292" s="30" t="n">
        <f aca="false">SUM(BP263:BP291)+Actuals!BQ113</f>
        <v>-203310.724758345</v>
      </c>
      <c r="BQ292" s="30" t="n">
        <f aca="false">SUM(BQ263:BQ291)+Actuals!BR113</f>
        <v>-203310.724758345</v>
      </c>
      <c r="BR292" s="30" t="n">
        <f aca="false">SUM(BR263:BR291)+Actuals!BS113</f>
        <v>-292466.374758345</v>
      </c>
      <c r="BS292" s="30" t="n">
        <f aca="false">SUM(BS263:BS291)+Actuals!BT113</f>
        <v>-203310.724758345</v>
      </c>
      <c r="BT292" s="30" t="n">
        <f aca="false">SUM(BT263:BT291)+Actuals!BU113</f>
        <v>-203310.724758345</v>
      </c>
      <c r="BU292" s="30" t="n">
        <f aca="false">SUM(BU263:BU291)+Actuals!BV113</f>
        <v>-277950.724758345</v>
      </c>
      <c r="BV292" s="30" t="n">
        <f aca="false">SUM(BV263:BV291)+Actuals!BW113</f>
        <v>-203310.724758345</v>
      </c>
      <c r="BW292" s="30" t="n">
        <f aca="false">SUM(BW263:BW291)+Actuals!BX113</f>
        <v>-203310.724758345</v>
      </c>
      <c r="BX292" s="30" t="n">
        <f aca="false">SUM(BX263:BX291)+Actuals!BY113</f>
        <v>-277950.724758345</v>
      </c>
      <c r="BY292" s="30" t="n">
        <f aca="false">SUM(BY263:BY291)+Actuals!BZ113</f>
        <v>-207276.939253512</v>
      </c>
      <c r="BZ292" s="30" t="n">
        <f aca="false">SUM(BZ263:BZ291)+Actuals!CA113</f>
        <v>-207276.939253512</v>
      </c>
      <c r="CA292" s="30" t="n">
        <f aca="false">SUM(CA263:CA291)+Actuals!CB113</f>
        <v>-355072.939253512</v>
      </c>
      <c r="CB292" s="30" t="n">
        <f aca="false">SUM(CB263:CB291)+Actuals!CC113</f>
        <v>-207276.939253512</v>
      </c>
      <c r="CC292" s="30" t="n">
        <f aca="false">SUM(CC263:CC291)+Actuals!CD113</f>
        <v>-207276.939253512</v>
      </c>
      <c r="CD292" s="30" t="n">
        <f aca="false">SUM(CD263:CD291)+Actuals!CE113</f>
        <v>-361794.939253512</v>
      </c>
      <c r="CE292" s="30" t="n">
        <f aca="false">SUM(CE263:CE291)+Actuals!CF113</f>
        <v>-207276.939253512</v>
      </c>
      <c r="CF292" s="30" t="n">
        <f aca="false">SUM(CF263:CF291)+Actuals!CG113</f>
        <v>-207276.939253512</v>
      </c>
      <c r="CG292" s="30" t="n">
        <f aca="false">SUM(CG263:CG291)+Actuals!CH113</f>
        <v>-361793.939253512</v>
      </c>
      <c r="CH292" s="30" t="n">
        <f aca="false">SUM(CH263:CH291)+Actuals!CI113</f>
        <v>-207276.939253512</v>
      </c>
      <c r="CI292" s="30" t="n">
        <f aca="false">SUM(CI263:CI291)+Actuals!CJ113</f>
        <v>-207276.939253512</v>
      </c>
      <c r="CJ292" s="30" t="n">
        <f aca="false">SUM(CJ263:CJ291)+Actuals!CK113</f>
        <v>-355185.912647033</v>
      </c>
      <c r="CK292" s="30" t="n">
        <f aca="false">SUM(CK263:CK291)+Actuals!CL113</f>
        <v>-284477.478038582</v>
      </c>
      <c r="CL292" s="30" t="n">
        <f aca="false">SUM(CL263:CL291)+Actuals!CM113</f>
        <v>-284477.478038582</v>
      </c>
      <c r="CM292" s="30" t="n">
        <f aca="false">SUM(CM263:CM291)+Actuals!CN113</f>
        <v>-284477.478038582</v>
      </c>
      <c r="CN292" s="30" t="n">
        <f aca="false">SUM(CN263:CN291)+Actuals!CO113</f>
        <v>-284477.478038582</v>
      </c>
      <c r="CO292" s="30" t="n">
        <f aca="false">SUM(CO263:CO291)+Actuals!CP113</f>
        <v>-284477.478038582</v>
      </c>
      <c r="CP292" s="30" t="n">
        <f aca="false">SUM(CP263:CP291)+Actuals!CQ113</f>
        <v>-284477.478038582</v>
      </c>
      <c r="CQ292" s="30" t="n">
        <f aca="false">SUM(CQ263:CQ291)+Actuals!CR113</f>
        <v>-284477.478038582</v>
      </c>
      <c r="CR292" s="30" t="n">
        <f aca="false">SUM(CR263:CR291)+Actuals!CS113</f>
        <v>-284477.478038582</v>
      </c>
      <c r="CS292" s="30" t="n">
        <f aca="false">SUM(CS263:CS291)+Actuals!CT113</f>
        <v>-284477.478038582</v>
      </c>
      <c r="CT292" s="30" t="n">
        <f aca="false">SUM(CT263:CT291)+Actuals!CU113</f>
        <v>-275455.509357253</v>
      </c>
      <c r="CU292" s="30" t="n">
        <f aca="false">SUM(CU263:CU291)+Actuals!CV113</f>
        <v>-275455.509357253</v>
      </c>
      <c r="CV292" s="30" t="n">
        <f aca="false">SUM(CV263:CV291)+Actuals!CW113</f>
        <v>-275455.509357253</v>
      </c>
      <c r="CW292" s="30" t="n">
        <f aca="false">SUM(CW263:CW291)+Actuals!CX113</f>
        <v>-223693.368480806</v>
      </c>
      <c r="CX292" s="30" t="n">
        <f aca="false">SUM(CX263:CX291)+Actuals!CY113</f>
        <v>-206246.519544398</v>
      </c>
      <c r="CY292" s="30" t="n">
        <f aca="false">SUM(CY263:CY291)+Actuals!CZ113</f>
        <v>-206246.519544398</v>
      </c>
      <c r="CZ292" s="30" t="n">
        <f aca="false">SUM(CZ263:CZ291)+Actuals!DA113</f>
        <v>-206246.519544398</v>
      </c>
      <c r="DA292" s="30" t="n">
        <f aca="false">SUM(DA263:DA291)+Actuals!DB113</f>
        <v>-206246.519544398</v>
      </c>
      <c r="DB292" s="30" t="n">
        <f aca="false">SUM(DB263:DB291)+Actuals!DC113</f>
        <v>-206246.519544398</v>
      </c>
      <c r="DC292" s="30" t="n">
        <f aca="false">SUM(DC263:DC291)+Actuals!DD113</f>
        <v>-206246.519544398</v>
      </c>
      <c r="DD292" s="30" t="n">
        <f aca="false">SUM(DD263:DD291)+Actuals!DE113</f>
        <v>-206246.519544398</v>
      </c>
      <c r="DE292" s="30" t="n">
        <f aca="false">SUM(DE263:DE291)+Actuals!DF113</f>
        <v>-206246.519544398</v>
      </c>
    </row>
    <row r="293" customFormat="false" ht="19.5" hidden="false" customHeight="true" outlineLevel="0" collapsed="false">
      <c r="A293" s="36" t="s">
        <v>138</v>
      </c>
      <c r="B293" s="37" t="n">
        <f aca="false">B261+B292</f>
        <v>-164713.14</v>
      </c>
      <c r="C293" s="37" t="n">
        <f aca="false">C261+C292</f>
        <v>-158387.42</v>
      </c>
      <c r="D293" s="37" t="n">
        <f aca="false">D261+D292</f>
        <v>-220909.52</v>
      </c>
      <c r="E293" s="37" t="n">
        <f aca="false">E261+E292</f>
        <v>-161790.14</v>
      </c>
      <c r="F293" s="37" t="n">
        <f aca="false">F261+F292</f>
        <v>-215914.94</v>
      </c>
      <c r="G293" s="37" t="n">
        <f aca="false">G261+G292</f>
        <v>-113826.21</v>
      </c>
      <c r="H293" s="37" t="n">
        <f aca="false">H261+H292</f>
        <v>-118383.36</v>
      </c>
      <c r="I293" s="37" t="n">
        <f aca="false">I261+I292</f>
        <v>-3786.68999999997</v>
      </c>
      <c r="J293" s="37" t="n">
        <f aca="false">J261+J292</f>
        <v>-145334.883333333</v>
      </c>
      <c r="K293" s="37" t="n">
        <f aca="false">K261+K292</f>
        <v>-145334.883333333</v>
      </c>
      <c r="L293" s="37" t="n">
        <f aca="false">L261+L292</f>
        <v>-154709.883333333</v>
      </c>
      <c r="M293" s="37" t="n">
        <f aca="false">M261+M292</f>
        <v>-151209.883333333</v>
      </c>
      <c r="N293" s="37" t="n">
        <f aca="false">N261+N292</f>
        <v>-81505.6261904762</v>
      </c>
      <c r="O293" s="37" t="n">
        <f aca="false">O261+O292</f>
        <v>-22100.9633333333</v>
      </c>
      <c r="P293" s="37" t="n">
        <f aca="false">P261+P292</f>
        <v>-119809.873333333</v>
      </c>
      <c r="Q293" s="37" t="n">
        <f aca="false">Q261+Q292</f>
        <v>-100269.9656</v>
      </c>
      <c r="R293" s="37" t="n">
        <f aca="false">R261+R292</f>
        <v>-106520.1656</v>
      </c>
      <c r="S293" s="37" t="n">
        <f aca="false">S261+S292</f>
        <v>-106520.1656</v>
      </c>
      <c r="T293" s="37" t="n">
        <f aca="false">T261+T292</f>
        <v>-132026.4156</v>
      </c>
      <c r="U293" s="37" t="n">
        <f aca="false">U261+U292</f>
        <v>-134926.4156</v>
      </c>
      <c r="V293" s="37" t="n">
        <f aca="false">V261+V292</f>
        <v>-134926.4156</v>
      </c>
      <c r="W293" s="37" t="n">
        <f aca="false">W261+W292</f>
        <v>-118354.1532</v>
      </c>
      <c r="X293" s="37" t="n">
        <f aca="false">X261+X292</f>
        <v>-102320.6908</v>
      </c>
      <c r="Y293" s="37" t="n">
        <f aca="false">Y261+Y292</f>
        <v>-28373.4284</v>
      </c>
      <c r="Z293" s="37" t="n">
        <f aca="false">Z261+Z292</f>
        <v>-82798.452</v>
      </c>
      <c r="AA293" s="37" t="n">
        <f aca="false">AA261+AA292</f>
        <v>-67261.95</v>
      </c>
      <c r="AB293" s="37" t="n">
        <f aca="false">AB261+AB292</f>
        <v>5649.53999999998</v>
      </c>
      <c r="AC293" s="37" t="n">
        <f aca="false">AC261+AC292</f>
        <v>-39853.13912</v>
      </c>
      <c r="AD293" s="37" t="n">
        <f aca="false">AD261+AD292</f>
        <v>-24316.64312</v>
      </c>
      <c r="AE293" s="37" t="n">
        <f aca="false">AE261+AE292</f>
        <v>48594.85888</v>
      </c>
      <c r="AF293" s="37" t="n">
        <f aca="false">AF261+AF292</f>
        <v>-5989.04812000002</v>
      </c>
      <c r="AG293" s="37" t="n">
        <f aca="false">AG261+AG292</f>
        <v>-2799.88462</v>
      </c>
      <c r="AH293" s="37" t="n">
        <f aca="false">AH261+AH292</f>
        <v>17858.66038</v>
      </c>
      <c r="AI293" s="37" t="n">
        <f aca="false">AI261+AI292</f>
        <v>-40766.56962</v>
      </c>
      <c r="AJ293" s="37" t="n">
        <f aca="false">AJ261+AJ292</f>
        <v>-40336.40362</v>
      </c>
      <c r="AK293" s="37" t="n">
        <f aca="false">AK261+AK292</f>
        <v>-39906.24862</v>
      </c>
      <c r="AL293" s="37" t="n">
        <f aca="false">AL261+AL292</f>
        <v>-39476.08812</v>
      </c>
      <c r="AM293" s="37" t="n">
        <f aca="false">AM261+AM292</f>
        <v>-39045.93312</v>
      </c>
      <c r="AN293" s="37" t="n">
        <f aca="false">AN261+AN292</f>
        <v>-24373.98462</v>
      </c>
      <c r="AO293" s="37" t="n">
        <f aca="false">AO261+AO292</f>
        <v>-41923.0591224</v>
      </c>
      <c r="AP293" s="37" t="n">
        <f aca="false">AP261+AP292</f>
        <v>-55734.6866224</v>
      </c>
      <c r="AQ293" s="37" t="n">
        <f aca="false">AQ261+AQ292</f>
        <v>-69546.3141224</v>
      </c>
      <c r="AR293" s="37" t="n">
        <f aca="false">AR261+AR292</f>
        <v>-83357.9471224</v>
      </c>
      <c r="AS293" s="37" t="n">
        <f aca="false">AS261+AS292</f>
        <v>-104982.3426224</v>
      </c>
      <c r="AT293" s="37" t="n">
        <f aca="false">AT261+AT292</f>
        <v>-117538.3676224</v>
      </c>
      <c r="AU293" s="37" t="n">
        <f aca="false">AU261+AU292</f>
        <v>-130094.3976224</v>
      </c>
      <c r="AV293" s="37" t="n">
        <f aca="false">AV261+AV292</f>
        <v>-142650.4176224</v>
      </c>
      <c r="AW293" s="37" t="n">
        <f aca="false">AW261+AW292</f>
        <v>-155691.0291224</v>
      </c>
      <c r="AX293" s="37" t="n">
        <f aca="false">AX261+AX292</f>
        <v>-114813.0276224</v>
      </c>
      <c r="AY293" s="37" t="n">
        <f aca="false">AY261+AY292</f>
        <v>-127760.1026224</v>
      </c>
      <c r="AZ293" s="37" t="n">
        <f aca="false">AZ261+AZ292</f>
        <v>-153553.4651224</v>
      </c>
      <c r="BA293" s="37" t="n">
        <f aca="false">BA261+BA292</f>
        <v>-157795.827174848</v>
      </c>
      <c r="BB293" s="37" t="n">
        <f aca="false">BB261+BB292</f>
        <v>-158225.993174848</v>
      </c>
      <c r="BC293" s="37" t="n">
        <f aca="false">BC261+BC292</f>
        <v>-158656.148174848</v>
      </c>
      <c r="BD293" s="37" t="n">
        <f aca="false">BD261+BD292</f>
        <v>-159086.308674848</v>
      </c>
      <c r="BE293" s="37" t="n">
        <f aca="false">BE261+BE292</f>
        <v>-159516.469174848</v>
      </c>
      <c r="BF293" s="37" t="n">
        <f aca="false">BF261+BF292</f>
        <v>-159946.629674848</v>
      </c>
      <c r="BG293" s="37" t="n">
        <f aca="false">BG261+BG292</f>
        <v>-160376.790174848</v>
      </c>
      <c r="BH293" s="37" t="n">
        <f aca="false">BH261+BH292</f>
        <v>-160806.950674848</v>
      </c>
      <c r="BI293" s="37" t="n">
        <f aca="false">BI261+BI292</f>
        <v>-161237.111174848</v>
      </c>
      <c r="BJ293" s="37" t="n">
        <f aca="false">BJ261+BJ292</f>
        <v>-161667.271674848</v>
      </c>
      <c r="BK293" s="37" t="n">
        <f aca="false">BK261+BK292</f>
        <v>-162097.432174848</v>
      </c>
      <c r="BL293" s="37" t="n">
        <f aca="false">BL261+BL292</f>
        <v>-162527.587174848</v>
      </c>
      <c r="BM293" s="37" t="n">
        <f aca="false">BM261+BM292</f>
        <v>-143345.698758345</v>
      </c>
      <c r="BN293" s="37" t="n">
        <f aca="false">BN261+BN292</f>
        <v>-143775.859258345</v>
      </c>
      <c r="BO293" s="37" t="n">
        <f aca="false">BO261+BO292</f>
        <v>-90379.729758345</v>
      </c>
      <c r="BP293" s="37" t="n">
        <f aca="false">BP261+BP292</f>
        <v>-203310.724758345</v>
      </c>
      <c r="BQ293" s="37" t="n">
        <f aca="false">BQ261+BQ292</f>
        <v>-203310.724758345</v>
      </c>
      <c r="BR293" s="37" t="n">
        <f aca="false">BR261+BR292</f>
        <v>-150060.374758345</v>
      </c>
      <c r="BS293" s="37" t="n">
        <f aca="false">BS261+BS292</f>
        <v>-203310.724758345</v>
      </c>
      <c r="BT293" s="37" t="n">
        <f aca="false">BT261+BT292</f>
        <v>-203310.724758345</v>
      </c>
      <c r="BU293" s="37" t="n">
        <f aca="false">BU261+BU292</f>
        <v>-135548.724758345</v>
      </c>
      <c r="BV293" s="37" t="n">
        <f aca="false">BV261+BV292</f>
        <v>-203310.724758345</v>
      </c>
      <c r="BW293" s="37" t="n">
        <f aca="false">BW261+BW292</f>
        <v>-203310.724758345</v>
      </c>
      <c r="BX293" s="37" t="n">
        <f aca="false">BX261+BX292</f>
        <v>-135548.724758345</v>
      </c>
      <c r="BY293" s="37" t="n">
        <f aca="false">BY261+BY292</f>
        <v>-207276.939253512</v>
      </c>
      <c r="BZ293" s="37" t="n">
        <f aca="false">BZ261+BZ292</f>
        <v>-207276.939253512</v>
      </c>
      <c r="CA293" s="37" t="n">
        <f aca="false">CA261+CA292</f>
        <v>-139514.939253512</v>
      </c>
      <c r="CB293" s="37" t="n">
        <f aca="false">CB261+CB292</f>
        <v>-207276.939253512</v>
      </c>
      <c r="CC293" s="37" t="n">
        <f aca="false">CC261+CC292</f>
        <v>-207276.939253512</v>
      </c>
      <c r="CD293" s="37" t="n">
        <f aca="false">CD261+CD292</f>
        <v>-130777.939253512</v>
      </c>
      <c r="CE293" s="37" t="n">
        <f aca="false">CE261+CE292</f>
        <v>-207276.939253512</v>
      </c>
      <c r="CF293" s="37" t="n">
        <f aca="false">CF261+CF292</f>
        <v>-207276.939253512</v>
      </c>
      <c r="CG293" s="37" t="n">
        <f aca="false">CG261+CG292</f>
        <v>-130777.939253512</v>
      </c>
      <c r="CH293" s="37" t="n">
        <f aca="false">CH261+CH292</f>
        <v>-207276.939253512</v>
      </c>
      <c r="CI293" s="37" t="n">
        <f aca="false">CI261+CI292</f>
        <v>-207276.939253512</v>
      </c>
      <c r="CJ293" s="37" t="n">
        <f aca="false">CJ261+CJ292</f>
        <v>-124169.912647033</v>
      </c>
      <c r="CK293" s="37" t="n">
        <f aca="false">CK261+CK292</f>
        <v>-53461.4780385821</v>
      </c>
      <c r="CL293" s="37" t="n">
        <f aca="false">CL261+CL292</f>
        <v>-53461.4780385821</v>
      </c>
      <c r="CM293" s="37" t="n">
        <f aca="false">CM261+CM292</f>
        <v>-53461.4780385821</v>
      </c>
      <c r="CN293" s="37" t="n">
        <f aca="false">CN261+CN292</f>
        <v>-53461.4780385821</v>
      </c>
      <c r="CO293" s="37" t="n">
        <f aca="false">CO261+CO292</f>
        <v>-53461.4780385821</v>
      </c>
      <c r="CP293" s="37" t="n">
        <f aca="false">CP261+CP292</f>
        <v>-53461.4780385821</v>
      </c>
      <c r="CQ293" s="37" t="n">
        <f aca="false">CQ261+CQ292</f>
        <v>-53461.4780385821</v>
      </c>
      <c r="CR293" s="37" t="n">
        <f aca="false">CR261+CR292</f>
        <v>-53461.4780385821</v>
      </c>
      <c r="CS293" s="37" t="n">
        <f aca="false">CS261+CS292</f>
        <v>-53461.4780385821</v>
      </c>
      <c r="CT293" s="37" t="n">
        <f aca="false">CT261+CT292</f>
        <v>-44439.5093572534</v>
      </c>
      <c r="CU293" s="37" t="n">
        <f aca="false">CU261+CU292</f>
        <v>-44439.5093572534</v>
      </c>
      <c r="CV293" s="37" t="n">
        <f aca="false">CV261+CV292</f>
        <v>-44439.5093572534</v>
      </c>
      <c r="CW293" s="37" t="n">
        <f aca="false">CW261+CW292</f>
        <v>7322.63151919434</v>
      </c>
      <c r="CX293" s="37" t="n">
        <f aca="false">CX261+CX292</f>
        <v>24769.4804556015</v>
      </c>
      <c r="CY293" s="37" t="n">
        <f aca="false">CY261+CY292</f>
        <v>24769.4804556015</v>
      </c>
      <c r="CZ293" s="37" t="n">
        <f aca="false">CZ261+CZ292</f>
        <v>24769.4804556015</v>
      </c>
      <c r="DA293" s="37" t="n">
        <f aca="false">DA261+DA292</f>
        <v>24769.4804556015</v>
      </c>
      <c r="DB293" s="37" t="n">
        <f aca="false">DB261+DB292</f>
        <v>24769.4804556015</v>
      </c>
      <c r="DC293" s="37" t="n">
        <f aca="false">DC261+DC292</f>
        <v>24769.4804556015</v>
      </c>
      <c r="DD293" s="37" t="n">
        <f aca="false">DD261+DD292</f>
        <v>24769.4804556015</v>
      </c>
      <c r="DE293" s="37" t="n">
        <f aca="false">DE261+DE292</f>
        <v>24769.4804556015</v>
      </c>
    </row>
    <row r="294" customFormat="false" ht="15" hidden="false" customHeight="true" outlineLevel="0" collapsed="false">
      <c r="A294" s="27"/>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c r="AC294" s="13"/>
      <c r="AD294" s="13"/>
      <c r="AE294" s="13"/>
      <c r="AF294" s="13"/>
      <c r="AG294" s="13"/>
      <c r="AH294" s="13"/>
      <c r="AI294" s="13"/>
      <c r="AJ294" s="13"/>
      <c r="AK294" s="13"/>
      <c r="AL294" s="13"/>
      <c r="AM294" s="13"/>
      <c r="AN294" s="13"/>
      <c r="AO294" s="13"/>
      <c r="AP294" s="13"/>
      <c r="AQ294" s="13"/>
      <c r="AR294" s="13"/>
      <c r="AS294" s="13"/>
      <c r="AT294" s="13"/>
      <c r="AU294" s="13"/>
      <c r="AV294" s="13"/>
      <c r="AW294" s="13"/>
      <c r="AX294" s="13"/>
      <c r="AY294" s="13"/>
      <c r="AZ294" s="13"/>
      <c r="BA294" s="13"/>
      <c r="BB294" s="13"/>
      <c r="BC294" s="13"/>
      <c r="BD294" s="13"/>
      <c r="BE294" s="13"/>
      <c r="BF294" s="13"/>
      <c r="BG294" s="13"/>
      <c r="BH294" s="13"/>
      <c r="BI294" s="13"/>
      <c r="BJ294" s="13"/>
      <c r="BK294" s="13"/>
      <c r="BL294" s="13"/>
      <c r="BM294" s="13"/>
      <c r="BN294" s="13"/>
      <c r="BO294" s="13"/>
      <c r="BP294" s="13"/>
      <c r="BQ294" s="13"/>
      <c r="BR294" s="13"/>
      <c r="BS294" s="13"/>
      <c r="BT294" s="13"/>
      <c r="BU294" s="13"/>
      <c r="BV294" s="13"/>
      <c r="BW294" s="13"/>
      <c r="BX294" s="13"/>
      <c r="BY294" s="13"/>
      <c r="BZ294" s="13"/>
      <c r="CA294" s="13"/>
      <c r="CB294" s="13"/>
      <c r="CC294" s="13"/>
      <c r="CD294" s="13"/>
      <c r="CE294" s="13"/>
      <c r="CF294" s="13"/>
      <c r="CG294" s="13"/>
      <c r="CH294" s="13"/>
      <c r="CI294" s="13"/>
      <c r="CJ294" s="13"/>
      <c r="CK294" s="13"/>
      <c r="CL294" s="13"/>
      <c r="CM294" s="13"/>
      <c r="CN294" s="13"/>
      <c r="CO294" s="13"/>
      <c r="CP294" s="13"/>
      <c r="CQ294" s="13"/>
      <c r="CR294" s="13"/>
      <c r="CS294" s="13"/>
      <c r="CT294" s="13"/>
      <c r="CU294" s="13"/>
      <c r="CV294" s="13"/>
      <c r="CW294" s="13"/>
      <c r="CX294" s="13"/>
      <c r="CY294" s="13"/>
      <c r="CZ294" s="13"/>
      <c r="DA294" s="13"/>
      <c r="DB294" s="13"/>
      <c r="DC294" s="13"/>
      <c r="DD294" s="13"/>
      <c r="DE294" s="13"/>
    </row>
    <row r="295" customFormat="false" ht="15" hidden="false" customHeight="true" outlineLevel="0" collapsed="false">
      <c r="A295" s="38" t="s">
        <v>139</v>
      </c>
      <c r="B295" s="39"/>
      <c r="C295" s="39"/>
      <c r="D295" s="39"/>
      <c r="E295" s="39"/>
      <c r="F295" s="39"/>
      <c r="G295" s="39"/>
      <c r="H295" s="39"/>
      <c r="I295" s="39"/>
      <c r="J295" s="39"/>
      <c r="K295" s="39"/>
      <c r="L295" s="39"/>
      <c r="M295" s="39"/>
      <c r="N295" s="39"/>
      <c r="O295" s="39"/>
      <c r="P295" s="39"/>
      <c r="Q295" s="39"/>
      <c r="R295" s="39"/>
      <c r="S295" s="39"/>
      <c r="T295" s="39"/>
      <c r="U295" s="39"/>
      <c r="V295" s="39"/>
      <c r="W295" s="39"/>
      <c r="X295" s="39"/>
      <c r="Y295" s="39"/>
      <c r="Z295" s="39"/>
      <c r="AA295" s="39"/>
      <c r="AB295" s="39"/>
      <c r="AC295" s="39"/>
      <c r="AD295" s="39"/>
      <c r="AE295" s="39"/>
      <c r="AF295" s="39"/>
      <c r="AG295" s="39"/>
      <c r="AH295" s="39"/>
      <c r="AI295" s="39"/>
      <c r="AJ295" s="39"/>
      <c r="AK295" s="39"/>
      <c r="AL295" s="39"/>
      <c r="AM295" s="39"/>
      <c r="AN295" s="39"/>
      <c r="AO295" s="39"/>
      <c r="AP295" s="39"/>
      <c r="AQ295" s="39"/>
      <c r="AR295" s="39"/>
      <c r="AS295" s="39"/>
      <c r="AT295" s="39"/>
      <c r="AU295" s="39"/>
      <c r="AV295" s="39"/>
      <c r="AW295" s="39"/>
      <c r="AX295" s="39"/>
      <c r="AY295" s="39"/>
      <c r="AZ295" s="39"/>
      <c r="BA295" s="39"/>
      <c r="BB295" s="39"/>
      <c r="BC295" s="39"/>
      <c r="BD295" s="39"/>
      <c r="BE295" s="39"/>
      <c r="BF295" s="39"/>
      <c r="BG295" s="39"/>
      <c r="BH295" s="39"/>
      <c r="BI295" s="39"/>
      <c r="BJ295" s="39"/>
      <c r="BK295" s="39"/>
      <c r="BL295" s="39"/>
      <c r="BM295" s="39"/>
      <c r="BN295" s="39"/>
      <c r="BO295" s="39"/>
      <c r="BP295" s="39"/>
      <c r="BQ295" s="39"/>
      <c r="BR295" s="39"/>
      <c r="BS295" s="39"/>
      <c r="BT295" s="39"/>
      <c r="BU295" s="39"/>
      <c r="BV295" s="39"/>
      <c r="BW295" s="39"/>
      <c r="BX295" s="39"/>
      <c r="BY295" s="39"/>
      <c r="BZ295" s="39"/>
      <c r="CA295" s="39"/>
      <c r="CB295" s="39"/>
      <c r="CC295" s="39"/>
      <c r="CD295" s="39"/>
      <c r="CE295" s="39"/>
      <c r="CF295" s="39"/>
      <c r="CG295" s="39"/>
      <c r="CH295" s="39"/>
      <c r="CI295" s="39"/>
      <c r="CJ295" s="39"/>
      <c r="CK295" s="39"/>
      <c r="CL295" s="39"/>
      <c r="CM295" s="39"/>
      <c r="CN295" s="39"/>
      <c r="CO295" s="39"/>
      <c r="CP295" s="39"/>
      <c r="CQ295" s="39"/>
      <c r="CR295" s="39"/>
      <c r="CS295" s="39"/>
      <c r="CT295" s="39"/>
      <c r="CU295" s="39"/>
      <c r="CV295" s="39"/>
      <c r="CW295" s="39"/>
      <c r="CX295" s="39"/>
      <c r="CY295" s="39"/>
      <c r="CZ295" s="39"/>
      <c r="DA295" s="39"/>
      <c r="DB295" s="39"/>
      <c r="DC295" s="39"/>
      <c r="DD295" s="39"/>
      <c r="DE295" s="39"/>
    </row>
    <row r="296" customFormat="false" ht="15" hidden="false" customHeight="true" outlineLevel="0" collapsed="false">
      <c r="A296" s="40" t="s">
        <v>140</v>
      </c>
      <c r="B296" s="13" t="n">
        <f aca="false">B199</f>
        <v>218756.86</v>
      </c>
      <c r="C296" s="13" t="n">
        <f aca="false">C199</f>
        <v>-51000.77</v>
      </c>
      <c r="D296" s="13" t="n">
        <f aca="false">D199</f>
        <v>594184.52</v>
      </c>
      <c r="E296" s="13" t="n">
        <f aca="false">E199</f>
        <v>447358.25</v>
      </c>
      <c r="F296" s="13" t="n">
        <f aca="false">F199</f>
        <v>465536.7</v>
      </c>
      <c r="G296" s="13" t="n">
        <f aca="false">G199</f>
        <v>641351.13</v>
      </c>
      <c r="H296" s="13" t="n">
        <f aca="false">H199</f>
        <v>1766649.51</v>
      </c>
      <c r="I296" s="13" t="n">
        <f aca="false">I199</f>
        <v>-132141.505125</v>
      </c>
      <c r="J296" s="13" t="n">
        <f aca="false">J199</f>
        <v>702607.028396964</v>
      </c>
      <c r="K296" s="13" t="n">
        <f aca="false">K199</f>
        <v>770495.389718767</v>
      </c>
      <c r="L296" s="13" t="n">
        <f aca="false">L199</f>
        <v>609302.628116041</v>
      </c>
      <c r="M296" s="13" t="n">
        <f aca="false">M199</f>
        <v>202550.231435551</v>
      </c>
      <c r="N296" s="13" t="n">
        <f aca="false">N199</f>
        <v>921198.021338766</v>
      </c>
      <c r="O296" s="13" t="n">
        <f aca="false">O199</f>
        <v>831983.497819715</v>
      </c>
      <c r="P296" s="13" t="n">
        <f aca="false">P199</f>
        <v>852806.987819716</v>
      </c>
      <c r="Q296" s="13" t="n">
        <f aca="false">Q199</f>
        <v>169427.681211907</v>
      </c>
      <c r="R296" s="13" t="n">
        <f aca="false">R199</f>
        <v>736482.701731266</v>
      </c>
      <c r="S296" s="13" t="n">
        <f aca="false">S199</f>
        <v>861251.627420825</v>
      </c>
      <c r="T296" s="13" t="n">
        <f aca="false">T199</f>
        <v>922973.338934083</v>
      </c>
      <c r="U296" s="13" t="n">
        <f aca="false">U199</f>
        <v>1144080.80498088</v>
      </c>
      <c r="V296" s="13" t="n">
        <f aca="false">V199</f>
        <v>1222659.89498088</v>
      </c>
      <c r="W296" s="13" t="n">
        <f aca="false">W199</f>
        <v>1110973.59498088</v>
      </c>
      <c r="X296" s="13" t="n">
        <f aca="false">X199</f>
        <v>1404851.5398398</v>
      </c>
      <c r="Y296" s="13" t="n">
        <f aca="false">Y199</f>
        <v>1243090.7198398</v>
      </c>
      <c r="Z296" s="13" t="n">
        <f aca="false">Z199</f>
        <v>1369436.8998398</v>
      </c>
      <c r="AA296" s="13" t="n">
        <f aca="false">AA199</f>
        <v>1398675.55320094</v>
      </c>
      <c r="AB296" s="13" t="n">
        <f aca="false">AB199</f>
        <v>1320695.73110043</v>
      </c>
      <c r="AC296" s="13" t="n">
        <f aca="false">AC199</f>
        <v>1091970.26185688</v>
      </c>
      <c r="AD296" s="13" t="n">
        <f aca="false">AD199</f>
        <v>1114920.17185688</v>
      </c>
      <c r="AE296" s="13" t="n">
        <f aca="false">AE199</f>
        <v>530638.47976976</v>
      </c>
      <c r="AF296" s="13" t="n">
        <f aca="false">AF199</f>
        <v>1433131.63684014</v>
      </c>
      <c r="AG296" s="13" t="n">
        <f aca="false">AG199</f>
        <v>1451580.62509166</v>
      </c>
      <c r="AH296" s="13" t="n">
        <f aca="false">AH199</f>
        <v>1423239.20212976</v>
      </c>
      <c r="AI296" s="13" t="n">
        <f aca="false">AI199</f>
        <v>1507365.58212976</v>
      </c>
      <c r="AJ296" s="13" t="n">
        <f aca="false">AJ199</f>
        <v>1429400.32663805</v>
      </c>
      <c r="AK296" s="13" t="n">
        <f aca="false">AK199</f>
        <v>1414918.80967213</v>
      </c>
      <c r="AL296" s="13" t="n">
        <f aca="false">AL199</f>
        <v>1494288.17005258</v>
      </c>
      <c r="AM296" s="13" t="n">
        <f aca="false">AM199</f>
        <v>1392487.50978468</v>
      </c>
      <c r="AN296" s="13" t="n">
        <f aca="false">AN199</f>
        <v>1374298.70978468</v>
      </c>
      <c r="AO296" s="13" t="n">
        <f aca="false">AO199</f>
        <v>1424663.34978468</v>
      </c>
      <c r="AP296" s="13" t="n">
        <f aca="false">AP199</f>
        <v>1214025.10200143</v>
      </c>
      <c r="AQ296" s="13" t="n">
        <f aca="false">AQ199</f>
        <v>1623308.49978468</v>
      </c>
      <c r="AR296" s="13" t="n">
        <f aca="false">AR199</f>
        <v>1623308.49978468</v>
      </c>
      <c r="AS296" s="13" t="n">
        <f aca="false">AS199</f>
        <v>1623308.49978468</v>
      </c>
      <c r="AT296" s="13" t="n">
        <f aca="false">AT199</f>
        <v>2004145.98513818</v>
      </c>
      <c r="AU296" s="13" t="n">
        <f aca="false">AU199</f>
        <v>1601381.5439703</v>
      </c>
      <c r="AV296" s="13" t="n">
        <f aca="false">AV199</f>
        <v>1421765.14086855</v>
      </c>
      <c r="AW296" s="13" t="n">
        <f aca="false">AW199</f>
        <v>1421765.14086855</v>
      </c>
      <c r="AX296" s="13" t="n">
        <f aca="false">AX199</f>
        <v>1421765.14086855</v>
      </c>
      <c r="AY296" s="13" t="n">
        <f aca="false">AY199</f>
        <v>1530117.04086855</v>
      </c>
      <c r="AZ296" s="13" t="n">
        <f aca="false">AZ199</f>
        <v>1512058.39086855</v>
      </c>
      <c r="BA296" s="13" t="n">
        <f aca="false">BA199</f>
        <v>1493999.74086855</v>
      </c>
      <c r="BB296" s="13" t="n">
        <f aca="false">BB199</f>
        <v>1228174.61771584</v>
      </c>
      <c r="BC296" s="13" t="n">
        <f aca="false">BC199</f>
        <v>1493999.74086855</v>
      </c>
      <c r="BD296" s="13" t="n">
        <f aca="false">BD199</f>
        <v>1512058.39086855</v>
      </c>
      <c r="BE296" s="13" t="n">
        <f aca="false">BE199</f>
        <v>1530117.04086855</v>
      </c>
      <c r="BF296" s="13" t="n">
        <f aca="false">BF199</f>
        <v>1493999.74086855</v>
      </c>
      <c r="BG296" s="13" t="n">
        <f aca="false">BG199</f>
        <v>1512058.39086855</v>
      </c>
      <c r="BH296" s="13" t="n">
        <f aca="false">BH199</f>
        <v>1513228.19277144</v>
      </c>
      <c r="BI296" s="13" t="n">
        <f aca="false">BI199</f>
        <v>1246046.85</v>
      </c>
      <c r="BJ296" s="13" t="n">
        <f aca="false">BJ199</f>
        <v>1065460.35</v>
      </c>
      <c r="BK296" s="13" t="n">
        <f aca="false">BK199</f>
        <v>1065460.35</v>
      </c>
      <c r="BL296" s="13" t="n">
        <f aca="false">BL199</f>
        <v>1065460.35</v>
      </c>
      <c r="BM296" s="13" t="n">
        <f aca="false">BM199</f>
        <v>1173812.25</v>
      </c>
      <c r="BN296" s="13" t="n">
        <f aca="false">BN199</f>
        <v>1047401.7</v>
      </c>
      <c r="BO296" s="13" t="n">
        <f aca="false">BO199</f>
        <v>866815.199999999</v>
      </c>
      <c r="BP296" s="13" t="n">
        <f aca="false">BP199</f>
        <v>866815.2</v>
      </c>
      <c r="BQ296" s="13" t="n">
        <f aca="false">BQ199</f>
        <v>866815.2</v>
      </c>
      <c r="BR296" s="13" t="n">
        <f aca="false">BR199</f>
        <v>957108.45</v>
      </c>
      <c r="BS296" s="13" t="n">
        <f aca="false">BS199</f>
        <v>884873.85</v>
      </c>
      <c r="BT296" s="13" t="n">
        <f aca="false">BT199</f>
        <v>758463.3</v>
      </c>
      <c r="BU296" s="13" t="n">
        <f aca="false">BU199</f>
        <v>668170.05</v>
      </c>
      <c r="BV296" s="13" t="n">
        <f aca="false">BV199</f>
        <v>595935.45</v>
      </c>
      <c r="BW296" s="13" t="n">
        <f aca="false">BW199</f>
        <v>469524.9</v>
      </c>
      <c r="BX296" s="13" t="n">
        <f aca="false">BX199</f>
        <v>379231.65</v>
      </c>
      <c r="BY296" s="13" t="n">
        <f aca="false">BY199</f>
        <v>306997.05</v>
      </c>
      <c r="BZ296" s="13" t="n">
        <f aca="false">BZ199</f>
        <v>180586.5</v>
      </c>
      <c r="CA296" s="13" t="n">
        <f aca="false">CA199</f>
        <v>0</v>
      </c>
      <c r="CB296" s="13" t="n">
        <f aca="false">CB199</f>
        <v>0</v>
      </c>
      <c r="CC296" s="13" t="n">
        <f aca="false">CC199</f>
        <v>0</v>
      </c>
      <c r="CD296" s="13" t="n">
        <f aca="false">CD199</f>
        <v>0</v>
      </c>
      <c r="CE296" s="13" t="n">
        <f aca="false">CE199</f>
        <v>0</v>
      </c>
      <c r="CF296" s="13" t="n">
        <f aca="false">CF199</f>
        <v>0</v>
      </c>
      <c r="CG296" s="13" t="n">
        <f aca="false">CG199</f>
        <v>0</v>
      </c>
      <c r="CH296" s="13" t="n">
        <f aca="false">CH199</f>
        <v>0</v>
      </c>
      <c r="CI296" s="13" t="n">
        <f aca="false">CI199</f>
        <v>0</v>
      </c>
      <c r="CJ296" s="13" t="n">
        <f aca="false">CJ199</f>
        <v>0</v>
      </c>
      <c r="CK296" s="13" t="n">
        <f aca="false">CK199</f>
        <v>0</v>
      </c>
      <c r="CL296" s="13" t="n">
        <f aca="false">CL199</f>
        <v>0</v>
      </c>
      <c r="CM296" s="13" t="n">
        <f aca="false">CM199</f>
        <v>0</v>
      </c>
      <c r="CN296" s="13" t="n">
        <f aca="false">CN199</f>
        <v>0</v>
      </c>
      <c r="CO296" s="13" t="n">
        <f aca="false">CO199</f>
        <v>0</v>
      </c>
      <c r="CP296" s="13" t="n">
        <f aca="false">CP199</f>
        <v>0</v>
      </c>
      <c r="CQ296" s="13" t="n">
        <f aca="false">CQ199</f>
        <v>0</v>
      </c>
      <c r="CR296" s="13" t="n">
        <f aca="false">CR199</f>
        <v>0</v>
      </c>
      <c r="CS296" s="13" t="n">
        <f aca="false">CS199</f>
        <v>0</v>
      </c>
      <c r="CT296" s="13" t="n">
        <f aca="false">CT199</f>
        <v>0</v>
      </c>
      <c r="CU296" s="13" t="n">
        <f aca="false">CU199</f>
        <v>0</v>
      </c>
      <c r="CV296" s="13" t="n">
        <f aca="false">CV199</f>
        <v>0</v>
      </c>
      <c r="CW296" s="13" t="n">
        <f aca="false">CW199</f>
        <v>0</v>
      </c>
      <c r="CX296" s="13" t="n">
        <f aca="false">CX199</f>
        <v>0</v>
      </c>
      <c r="CY296" s="13" t="n">
        <f aca="false">CY199</f>
        <v>0</v>
      </c>
      <c r="CZ296" s="13" t="n">
        <f aca="false">CZ199</f>
        <v>0</v>
      </c>
      <c r="DA296" s="13" t="n">
        <f aca="false">DA199</f>
        <v>0</v>
      </c>
      <c r="DB296" s="13" t="n">
        <f aca="false">DB199</f>
        <v>0</v>
      </c>
      <c r="DC296" s="13" t="n">
        <f aca="false">DC199</f>
        <v>0</v>
      </c>
      <c r="DD296" s="13" t="n">
        <f aca="false">DD199</f>
        <v>0</v>
      </c>
      <c r="DE296" s="13" t="n">
        <f aca="false">DE199</f>
        <v>0</v>
      </c>
    </row>
    <row r="297" customFormat="false" ht="15" hidden="false" customHeight="true" outlineLevel="0" collapsed="false">
      <c r="A297" s="40" t="s">
        <v>100</v>
      </c>
      <c r="B297" s="13" t="n">
        <f aca="false">B261</f>
        <v>34114.58</v>
      </c>
      <c r="C297" s="13" t="n">
        <f aca="false">C261</f>
        <v>34114.58</v>
      </c>
      <c r="D297" s="13" t="n">
        <f aca="false">D261</f>
        <v>34114.58</v>
      </c>
      <c r="E297" s="13" t="n">
        <f aca="false">E261</f>
        <v>34114.58</v>
      </c>
      <c r="F297" s="13" t="n">
        <f aca="false">F261</f>
        <v>34114.58</v>
      </c>
      <c r="G297" s="13" t="n">
        <f aca="false">G261</f>
        <v>34114.58</v>
      </c>
      <c r="H297" s="13" t="n">
        <f aca="false">H261</f>
        <v>78114.58</v>
      </c>
      <c r="I297" s="13" t="n">
        <f aca="false">I261</f>
        <v>180628.58</v>
      </c>
      <c r="J297" s="13" t="n">
        <f aca="false">J261</f>
        <v>42781.25</v>
      </c>
      <c r="K297" s="13" t="n">
        <f aca="false">K261</f>
        <v>42781.25</v>
      </c>
      <c r="L297" s="13" t="n">
        <f aca="false">L261</f>
        <v>33406.25</v>
      </c>
      <c r="M297" s="13" t="n">
        <f aca="false">M261</f>
        <v>33406.25</v>
      </c>
      <c r="N297" s="13" t="n">
        <f aca="false">N261</f>
        <v>238562.537142857</v>
      </c>
      <c r="O297" s="13" t="n">
        <f aca="false">O261</f>
        <v>318286.26</v>
      </c>
      <c r="P297" s="13" t="n">
        <f aca="false">P261</f>
        <v>64806.26</v>
      </c>
      <c r="Q297" s="13" t="n">
        <f aca="false">Q261</f>
        <v>87938.4904</v>
      </c>
      <c r="R297" s="13" t="n">
        <f aca="false">R261</f>
        <v>81688.2904</v>
      </c>
      <c r="S297" s="13" t="n">
        <f aca="false">S261</f>
        <v>81688.2904</v>
      </c>
      <c r="T297" s="13" t="n">
        <f aca="false">T261</f>
        <v>56182.0404</v>
      </c>
      <c r="U297" s="13" t="n">
        <f aca="false">U261</f>
        <v>53282.0404</v>
      </c>
      <c r="V297" s="13" t="n">
        <f aca="false">V261</f>
        <v>53282.0404</v>
      </c>
      <c r="W297" s="13" t="n">
        <f aca="false">W261</f>
        <v>69854.3028</v>
      </c>
      <c r="X297" s="13" t="n">
        <f aca="false">X261</f>
        <v>85887.7652</v>
      </c>
      <c r="Y297" s="13" t="n">
        <f aca="false">Y261</f>
        <v>159835.0276</v>
      </c>
      <c r="Z297" s="13" t="n">
        <f aca="false">Z261</f>
        <v>105410.004</v>
      </c>
      <c r="AA297" s="13" t="n">
        <f aca="false">AA261</f>
        <v>120946.506</v>
      </c>
      <c r="AB297" s="13" t="n">
        <f aca="false">AB261</f>
        <v>193857.996</v>
      </c>
      <c r="AC297" s="13" t="n">
        <f aca="false">AC261</f>
        <v>152019.486</v>
      </c>
      <c r="AD297" s="13" t="n">
        <f aca="false">AD261</f>
        <v>167555.982</v>
      </c>
      <c r="AE297" s="13" t="n">
        <f aca="false">AE261</f>
        <v>240467.484</v>
      </c>
      <c r="AF297" s="13" t="n">
        <f aca="false">AF261</f>
        <v>185883.577</v>
      </c>
      <c r="AG297" s="13" t="n">
        <f aca="false">AG261</f>
        <v>189072.7405</v>
      </c>
      <c r="AH297" s="13" t="n">
        <f aca="false">AH261</f>
        <v>209731.2855</v>
      </c>
      <c r="AI297" s="13" t="n">
        <f aca="false">AI261</f>
        <v>151106.0555</v>
      </c>
      <c r="AJ297" s="13" t="n">
        <f aca="false">AJ261</f>
        <v>151536.2215</v>
      </c>
      <c r="AK297" s="13" t="n">
        <f aca="false">AK261</f>
        <v>151966.3765</v>
      </c>
      <c r="AL297" s="13" t="n">
        <f aca="false">AL261</f>
        <v>152396.537</v>
      </c>
      <c r="AM297" s="13" t="n">
        <f aca="false">AM261</f>
        <v>152826.692</v>
      </c>
      <c r="AN297" s="13" t="n">
        <f aca="false">AN261</f>
        <v>167498.6405</v>
      </c>
      <c r="AO297" s="13" t="n">
        <f aca="false">AO261</f>
        <v>153687.0185</v>
      </c>
      <c r="AP297" s="13" t="n">
        <f aca="false">AP261</f>
        <v>139875.391</v>
      </c>
      <c r="AQ297" s="13" t="n">
        <f aca="false">AQ261</f>
        <v>126063.7635</v>
      </c>
      <c r="AR297" s="13" t="n">
        <f aca="false">AR261</f>
        <v>112252.1305</v>
      </c>
      <c r="AS297" s="13" t="n">
        <f aca="false">AS261</f>
        <v>90627.735</v>
      </c>
      <c r="AT297" s="13" t="n">
        <f aca="false">AT261</f>
        <v>159754.71</v>
      </c>
      <c r="AU297" s="13" t="n">
        <f aca="false">AU261</f>
        <v>65515.68</v>
      </c>
      <c r="AV297" s="13" t="n">
        <f aca="false">AV261</f>
        <v>52959.66</v>
      </c>
      <c r="AW297" s="13" t="n">
        <f aca="false">AW261</f>
        <v>121601.0485</v>
      </c>
      <c r="AX297" s="13" t="n">
        <f aca="false">AX261</f>
        <v>80797.05</v>
      </c>
      <c r="AY297" s="13" t="n">
        <f aca="false">AY261</f>
        <v>67849.975</v>
      </c>
      <c r="AZ297" s="13" t="n">
        <f aca="false">AZ261</f>
        <v>123738.6125</v>
      </c>
      <c r="BA297" s="13" t="n">
        <f aca="false">BA261</f>
        <v>41626.452</v>
      </c>
      <c r="BB297" s="13" t="n">
        <f aca="false">BB261</f>
        <v>41196.286</v>
      </c>
      <c r="BC297" s="13" t="n">
        <f aca="false">BC261</f>
        <v>974287.131</v>
      </c>
      <c r="BD297" s="13" t="n">
        <f aca="false">BD261</f>
        <v>40335.9705</v>
      </c>
      <c r="BE297" s="13" t="n">
        <f aca="false">BE261</f>
        <v>39905.81</v>
      </c>
      <c r="BF297" s="13" t="n">
        <f aca="false">BF261</f>
        <v>170353.6495</v>
      </c>
      <c r="BG297" s="13" t="n">
        <f aca="false">BG261</f>
        <v>39045.489</v>
      </c>
      <c r="BH297" s="13" t="n">
        <f aca="false">BH261</f>
        <v>38615.3285</v>
      </c>
      <c r="BI297" s="13" t="n">
        <f aca="false">BI261</f>
        <v>169061.168</v>
      </c>
      <c r="BJ297" s="13" t="n">
        <f aca="false">BJ261</f>
        <v>37755.0075</v>
      </c>
      <c r="BK297" s="13" t="n">
        <f aca="false">BK261</f>
        <v>37324.847</v>
      </c>
      <c r="BL297" s="13" t="n">
        <f aca="false">BL261</f>
        <v>167770.692</v>
      </c>
      <c r="BM297" s="13" t="n">
        <f aca="false">BM261</f>
        <v>59965.026</v>
      </c>
      <c r="BN297" s="13" t="n">
        <f aca="false">BN261</f>
        <v>59534.8655</v>
      </c>
      <c r="BO297" s="13" t="n">
        <f aca="false">BO261</f>
        <v>243806.995</v>
      </c>
      <c r="BP297" s="13" t="n">
        <f aca="false">BP261</f>
        <v>0</v>
      </c>
      <c r="BQ297" s="13" t="n">
        <f aca="false">BQ261</f>
        <v>0</v>
      </c>
      <c r="BR297" s="13" t="n">
        <f aca="false">BR261</f>
        <v>142406</v>
      </c>
      <c r="BS297" s="13" t="n">
        <f aca="false">BS261</f>
        <v>0</v>
      </c>
      <c r="BT297" s="13" t="n">
        <f aca="false">BT261</f>
        <v>0</v>
      </c>
      <c r="BU297" s="13" t="n">
        <f aca="false">BU261</f>
        <v>142402</v>
      </c>
      <c r="BV297" s="13" t="n">
        <f aca="false">BV261</f>
        <v>0</v>
      </c>
      <c r="BW297" s="13" t="n">
        <f aca="false">BW261</f>
        <v>0</v>
      </c>
      <c r="BX297" s="13" t="n">
        <f aca="false">BX261</f>
        <v>142402</v>
      </c>
      <c r="BY297" s="13" t="n">
        <f aca="false">BY261</f>
        <v>0</v>
      </c>
      <c r="BZ297" s="13" t="n">
        <f aca="false">BZ261</f>
        <v>0</v>
      </c>
      <c r="CA297" s="13" t="n">
        <f aca="false">CA261</f>
        <v>215558</v>
      </c>
      <c r="CB297" s="13" t="n">
        <f aca="false">CB261</f>
        <v>0</v>
      </c>
      <c r="CC297" s="13" t="n">
        <f aca="false">CC261</f>
        <v>0</v>
      </c>
      <c r="CD297" s="13" t="n">
        <f aca="false">CD261</f>
        <v>231017</v>
      </c>
      <c r="CE297" s="13" t="n">
        <f aca="false">CE261</f>
        <v>0</v>
      </c>
      <c r="CF297" s="13" t="n">
        <f aca="false">CF261</f>
        <v>0</v>
      </c>
      <c r="CG297" s="13" t="n">
        <f aca="false">CG261</f>
        <v>231016</v>
      </c>
      <c r="CH297" s="13" t="n">
        <f aca="false">CH261</f>
        <v>0</v>
      </c>
      <c r="CI297" s="13" t="n">
        <f aca="false">CI261</f>
        <v>0</v>
      </c>
      <c r="CJ297" s="13" t="n">
        <f aca="false">CJ261</f>
        <v>231016</v>
      </c>
      <c r="CK297" s="13" t="n">
        <f aca="false">CK261</f>
        <v>231016</v>
      </c>
      <c r="CL297" s="13" t="n">
        <f aca="false">CL261</f>
        <v>231016</v>
      </c>
      <c r="CM297" s="13" t="n">
        <f aca="false">CM261</f>
        <v>231016</v>
      </c>
      <c r="CN297" s="13" t="n">
        <f aca="false">CN261</f>
        <v>231016</v>
      </c>
      <c r="CO297" s="13" t="n">
        <f aca="false">CO261</f>
        <v>231016</v>
      </c>
      <c r="CP297" s="13" t="n">
        <f aca="false">CP261</f>
        <v>231016</v>
      </c>
      <c r="CQ297" s="13" t="n">
        <f aca="false">CQ261</f>
        <v>231016</v>
      </c>
      <c r="CR297" s="13" t="n">
        <f aca="false">CR261</f>
        <v>231016</v>
      </c>
      <c r="CS297" s="13" t="n">
        <f aca="false">CS261</f>
        <v>231016</v>
      </c>
      <c r="CT297" s="13" t="n">
        <f aca="false">CT261</f>
        <v>231016</v>
      </c>
      <c r="CU297" s="13" t="n">
        <f aca="false">CU261</f>
        <v>231016</v>
      </c>
      <c r="CV297" s="13" t="n">
        <f aca="false">CV261</f>
        <v>231016</v>
      </c>
      <c r="CW297" s="13" t="n">
        <f aca="false">CW261</f>
        <v>231016</v>
      </c>
      <c r="CX297" s="13" t="n">
        <f aca="false">CX261</f>
        <v>231016</v>
      </c>
      <c r="CY297" s="13" t="n">
        <f aca="false">CY261</f>
        <v>231016</v>
      </c>
      <c r="CZ297" s="13" t="n">
        <f aca="false">CZ261</f>
        <v>231016</v>
      </c>
      <c r="DA297" s="13" t="n">
        <f aca="false">DA261</f>
        <v>231016</v>
      </c>
      <c r="DB297" s="13" t="n">
        <f aca="false">DB261</f>
        <v>231016</v>
      </c>
      <c r="DC297" s="13" t="n">
        <f aca="false">DC261</f>
        <v>231016</v>
      </c>
      <c r="DD297" s="13" t="n">
        <f aca="false">DD261</f>
        <v>231016</v>
      </c>
      <c r="DE297" s="13" t="n">
        <f aca="false">DE261</f>
        <v>231016</v>
      </c>
    </row>
    <row r="298" customFormat="false" ht="15" hidden="false" customHeight="true" outlineLevel="0" collapsed="false">
      <c r="A298" s="41" t="s">
        <v>141</v>
      </c>
      <c r="B298" s="30" t="n">
        <f aca="false">B296+B297</f>
        <v>252871.44</v>
      </c>
      <c r="C298" s="30" t="n">
        <f aca="false">C296+C297</f>
        <v>-16886.19</v>
      </c>
      <c r="D298" s="30" t="n">
        <f aca="false">D296+D297</f>
        <v>628299.1</v>
      </c>
      <c r="E298" s="30" t="n">
        <f aca="false">E296+E297</f>
        <v>481472.830000001</v>
      </c>
      <c r="F298" s="30" t="n">
        <f aca="false">F296+F297</f>
        <v>499651.28</v>
      </c>
      <c r="G298" s="30" t="n">
        <f aca="false">G296+G297</f>
        <v>675465.71</v>
      </c>
      <c r="H298" s="30" t="n">
        <f aca="false">H296+H297</f>
        <v>1844764.09</v>
      </c>
      <c r="I298" s="30" t="n">
        <f aca="false">I296+I297</f>
        <v>48487.0748749996</v>
      </c>
      <c r="J298" s="30" t="n">
        <f aca="false">J296+J297</f>
        <v>745388.278396964</v>
      </c>
      <c r="K298" s="30" t="n">
        <f aca="false">K296+K297</f>
        <v>813276.639718767</v>
      </c>
      <c r="L298" s="30" t="n">
        <f aca="false">L296+L297</f>
        <v>642708.878116041</v>
      </c>
      <c r="M298" s="30" t="n">
        <f aca="false">M296+M297</f>
        <v>235956.481435551</v>
      </c>
      <c r="N298" s="30" t="n">
        <f aca="false">N296+N297</f>
        <v>1159760.55848162</v>
      </c>
      <c r="O298" s="30" t="n">
        <f aca="false">O296+O297</f>
        <v>1150269.75781972</v>
      </c>
      <c r="P298" s="30" t="n">
        <f aca="false">P296+P297</f>
        <v>917613.247819716</v>
      </c>
      <c r="Q298" s="30" t="n">
        <f aca="false">Q296+Q297</f>
        <v>257366.171611907</v>
      </c>
      <c r="R298" s="30" t="n">
        <f aca="false">R296+R297</f>
        <v>818170.992131266</v>
      </c>
      <c r="S298" s="30" t="n">
        <f aca="false">S296+S297</f>
        <v>942939.917820825</v>
      </c>
      <c r="T298" s="30" t="n">
        <f aca="false">T296+T297</f>
        <v>979155.379334083</v>
      </c>
      <c r="U298" s="30" t="n">
        <f aca="false">U296+U297</f>
        <v>1197362.84538088</v>
      </c>
      <c r="V298" s="30" t="n">
        <f aca="false">V296+V297</f>
        <v>1275941.93538088</v>
      </c>
      <c r="W298" s="30" t="n">
        <f aca="false">W296+W297</f>
        <v>1180827.89778088</v>
      </c>
      <c r="X298" s="30" t="n">
        <f aca="false">X296+X297</f>
        <v>1490739.3050398</v>
      </c>
      <c r="Y298" s="30" t="n">
        <f aca="false">Y296+Y297</f>
        <v>1402925.7474398</v>
      </c>
      <c r="Z298" s="30" t="n">
        <f aca="false">Z296+Z297</f>
        <v>1474846.9038398</v>
      </c>
      <c r="AA298" s="30" t="n">
        <f aca="false">AA296+AA297</f>
        <v>1519622.05920094</v>
      </c>
      <c r="AB298" s="30" t="n">
        <f aca="false">AB296+AB297</f>
        <v>1514553.72710043</v>
      </c>
      <c r="AC298" s="30" t="n">
        <f aca="false">AC296+AC297</f>
        <v>1243989.74785688</v>
      </c>
      <c r="AD298" s="30" t="n">
        <f aca="false">AD296+AD297</f>
        <v>1282476.15385688</v>
      </c>
      <c r="AE298" s="30" t="n">
        <f aca="false">AE296+AE297</f>
        <v>771105.96376976</v>
      </c>
      <c r="AF298" s="30" t="n">
        <f aca="false">AF296+AF297</f>
        <v>1619015.21384014</v>
      </c>
      <c r="AG298" s="30" t="n">
        <f aca="false">AG296+AG297</f>
        <v>1640653.36559166</v>
      </c>
      <c r="AH298" s="30" t="n">
        <f aca="false">AH296+AH297</f>
        <v>1632970.48762976</v>
      </c>
      <c r="AI298" s="30" t="n">
        <f aca="false">AI296+AI297</f>
        <v>1658471.63762976</v>
      </c>
      <c r="AJ298" s="30" t="n">
        <f aca="false">AJ296+AJ297</f>
        <v>1580936.54813805</v>
      </c>
      <c r="AK298" s="30" t="n">
        <f aca="false">AK296+AK297</f>
        <v>1566885.18617213</v>
      </c>
      <c r="AL298" s="30" t="n">
        <f aca="false">AL296+AL297</f>
        <v>1646684.70705258</v>
      </c>
      <c r="AM298" s="30" t="n">
        <f aca="false">AM296+AM297</f>
        <v>1545314.20178468</v>
      </c>
      <c r="AN298" s="30" t="n">
        <f aca="false">AN296+AN297</f>
        <v>1541797.35028468</v>
      </c>
      <c r="AO298" s="30" t="n">
        <f aca="false">AO296+AO297</f>
        <v>1578350.36828468</v>
      </c>
      <c r="AP298" s="30" t="n">
        <f aca="false">AP296+AP297</f>
        <v>1353900.49300143</v>
      </c>
      <c r="AQ298" s="30" t="n">
        <f aca="false">AQ296+AQ297</f>
        <v>1749372.26328468</v>
      </c>
      <c r="AR298" s="30" t="n">
        <f aca="false">AR296+AR297</f>
        <v>1735560.63028468</v>
      </c>
      <c r="AS298" s="30" t="n">
        <f aca="false">AS296+AS297</f>
        <v>1713936.23478468</v>
      </c>
      <c r="AT298" s="30" t="n">
        <f aca="false">AT296+AT297</f>
        <v>2163900.69513818</v>
      </c>
      <c r="AU298" s="30" t="n">
        <f aca="false">AU296+AU297</f>
        <v>1666897.2239703</v>
      </c>
      <c r="AV298" s="30" t="n">
        <f aca="false">AV296+AV297</f>
        <v>1474724.80086855</v>
      </c>
      <c r="AW298" s="30" t="n">
        <f aca="false">AW296+AW297</f>
        <v>1543366.18936855</v>
      </c>
      <c r="AX298" s="30" t="n">
        <f aca="false">AX296+AX297</f>
        <v>1502562.19086855</v>
      </c>
      <c r="AY298" s="30" t="n">
        <f aca="false">AY296+AY297</f>
        <v>1597967.01586855</v>
      </c>
      <c r="AZ298" s="30" t="n">
        <f aca="false">AZ296+AZ297</f>
        <v>1635797.00336855</v>
      </c>
      <c r="BA298" s="30" t="n">
        <f aca="false">BA296+BA297</f>
        <v>1535626.19286855</v>
      </c>
      <c r="BB298" s="30" t="n">
        <f aca="false">BB296+BB297</f>
        <v>1269370.90371584</v>
      </c>
      <c r="BC298" s="30" t="n">
        <f aca="false">BC296+BC297</f>
        <v>2468286.87186855</v>
      </c>
      <c r="BD298" s="30" t="n">
        <f aca="false">BD296+BD297</f>
        <v>1552394.36136855</v>
      </c>
      <c r="BE298" s="30" t="n">
        <f aca="false">BE296+BE297</f>
        <v>1570022.85086855</v>
      </c>
      <c r="BF298" s="30" t="n">
        <f aca="false">BF296+BF297</f>
        <v>1664353.39036855</v>
      </c>
      <c r="BG298" s="30" t="n">
        <f aca="false">BG296+BG297</f>
        <v>1551103.87986855</v>
      </c>
      <c r="BH298" s="30" t="n">
        <f aca="false">BH296+BH297</f>
        <v>1551843.52127144</v>
      </c>
      <c r="BI298" s="30" t="n">
        <f aca="false">BI296+BI297</f>
        <v>1415108.018</v>
      </c>
      <c r="BJ298" s="30" t="n">
        <f aca="false">BJ296+BJ297</f>
        <v>1103215.3575</v>
      </c>
      <c r="BK298" s="30" t="n">
        <f aca="false">BK296+BK297</f>
        <v>1102785.197</v>
      </c>
      <c r="BL298" s="30" t="n">
        <f aca="false">BL296+BL297</f>
        <v>1233231.042</v>
      </c>
      <c r="BM298" s="30" t="n">
        <f aca="false">BM296+BM297</f>
        <v>1233777.276</v>
      </c>
      <c r="BN298" s="30" t="n">
        <f aca="false">BN296+BN297</f>
        <v>1106936.5655</v>
      </c>
      <c r="BO298" s="30" t="n">
        <f aca="false">BO296+BO297</f>
        <v>1110622.195</v>
      </c>
      <c r="BP298" s="30" t="n">
        <f aca="false">BP296+BP297</f>
        <v>866815.2</v>
      </c>
      <c r="BQ298" s="30" t="n">
        <f aca="false">BQ296+BQ297</f>
        <v>866815.2</v>
      </c>
      <c r="BR298" s="30" t="n">
        <f aca="false">BR296+BR297</f>
        <v>1099514.45</v>
      </c>
      <c r="BS298" s="30" t="n">
        <f aca="false">BS296+BS297</f>
        <v>884873.85</v>
      </c>
      <c r="BT298" s="30" t="n">
        <f aca="false">BT296+BT297</f>
        <v>758463.3</v>
      </c>
      <c r="BU298" s="30" t="n">
        <f aca="false">BU296+BU297</f>
        <v>810572.05</v>
      </c>
      <c r="BV298" s="30" t="n">
        <f aca="false">BV296+BV297</f>
        <v>595935.45</v>
      </c>
      <c r="BW298" s="30" t="n">
        <f aca="false">BW296+BW297</f>
        <v>469524.9</v>
      </c>
      <c r="BX298" s="30" t="n">
        <f aca="false">BX296+BX297</f>
        <v>521633.65</v>
      </c>
      <c r="BY298" s="30" t="n">
        <f aca="false">BY296+BY297</f>
        <v>306997.05</v>
      </c>
      <c r="BZ298" s="30" t="n">
        <f aca="false">BZ296+BZ297</f>
        <v>180586.5</v>
      </c>
      <c r="CA298" s="30" t="n">
        <f aca="false">CA296+CA297</f>
        <v>215558</v>
      </c>
      <c r="CB298" s="30" t="n">
        <f aca="false">CB296+CB297</f>
        <v>0</v>
      </c>
      <c r="CC298" s="30" t="n">
        <f aca="false">CC296+CC297</f>
        <v>0</v>
      </c>
      <c r="CD298" s="30" t="n">
        <f aca="false">CD296+CD297</f>
        <v>231017</v>
      </c>
      <c r="CE298" s="30" t="n">
        <f aca="false">CE296+CE297</f>
        <v>0</v>
      </c>
      <c r="CF298" s="30" t="n">
        <f aca="false">CF296+CF297</f>
        <v>0</v>
      </c>
      <c r="CG298" s="30" t="n">
        <f aca="false">CG296+CG297</f>
        <v>231016</v>
      </c>
      <c r="CH298" s="30" t="n">
        <f aca="false">CH296+CH297</f>
        <v>0</v>
      </c>
      <c r="CI298" s="30" t="n">
        <f aca="false">CI296+CI297</f>
        <v>0</v>
      </c>
      <c r="CJ298" s="30" t="n">
        <f aca="false">CJ296+CJ297</f>
        <v>231016</v>
      </c>
      <c r="CK298" s="30" t="n">
        <f aca="false">CK296+CK297</f>
        <v>231016</v>
      </c>
      <c r="CL298" s="30" t="n">
        <f aca="false">CL296+CL297</f>
        <v>231016</v>
      </c>
      <c r="CM298" s="30" t="n">
        <f aca="false">CM296+CM297</f>
        <v>231016</v>
      </c>
      <c r="CN298" s="30" t="n">
        <f aca="false">CN296+CN297</f>
        <v>231016</v>
      </c>
      <c r="CO298" s="30" t="n">
        <f aca="false">CO296+CO297</f>
        <v>231016</v>
      </c>
      <c r="CP298" s="30" t="n">
        <f aca="false">CP296+CP297</f>
        <v>231016</v>
      </c>
      <c r="CQ298" s="30" t="n">
        <f aca="false">CQ296+CQ297</f>
        <v>231016</v>
      </c>
      <c r="CR298" s="30" t="n">
        <f aca="false">CR296+CR297</f>
        <v>231016</v>
      </c>
      <c r="CS298" s="30" t="n">
        <f aca="false">CS296+CS297</f>
        <v>231016</v>
      </c>
      <c r="CT298" s="30" t="n">
        <f aca="false">CT296+CT297</f>
        <v>231016</v>
      </c>
      <c r="CU298" s="30" t="n">
        <f aca="false">CU296+CU297</f>
        <v>231016</v>
      </c>
      <c r="CV298" s="30" t="n">
        <f aca="false">CV296+CV297</f>
        <v>231016</v>
      </c>
      <c r="CW298" s="30" t="n">
        <f aca="false">CW296+CW297</f>
        <v>231016</v>
      </c>
      <c r="CX298" s="30" t="n">
        <f aca="false">CX296+CX297</f>
        <v>231016</v>
      </c>
      <c r="CY298" s="30" t="n">
        <f aca="false">CY296+CY297</f>
        <v>231016</v>
      </c>
      <c r="CZ298" s="30" t="n">
        <f aca="false">CZ296+CZ297</f>
        <v>231016</v>
      </c>
      <c r="DA298" s="30" t="n">
        <f aca="false">DA296+DA297</f>
        <v>231016</v>
      </c>
      <c r="DB298" s="30" t="n">
        <f aca="false">DB296+DB297</f>
        <v>231016</v>
      </c>
      <c r="DC298" s="30" t="n">
        <f aca="false">DC296+DC297</f>
        <v>231016</v>
      </c>
      <c r="DD298" s="30" t="n">
        <f aca="false">DD296+DD297</f>
        <v>231016</v>
      </c>
      <c r="DE298" s="30" t="n">
        <f aca="false">DE296+DE297</f>
        <v>231016</v>
      </c>
    </row>
    <row r="299" customFormat="false" ht="15" hidden="false" customHeight="true" outlineLevel="0" collapsed="false">
      <c r="A299" s="40" t="s">
        <v>142</v>
      </c>
      <c r="B299" s="13" t="n">
        <f aca="false">B236</f>
        <v>-260601.5</v>
      </c>
      <c r="C299" s="13" t="n">
        <f aca="false">C236</f>
        <v>-260308.54</v>
      </c>
      <c r="D299" s="13" t="n">
        <f aca="false">D236</f>
        <v>-351937.74</v>
      </c>
      <c r="E299" s="13" t="n">
        <f aca="false">E236</f>
        <v>-73431.56</v>
      </c>
      <c r="F299" s="13" t="n">
        <f aca="false">F236</f>
        <v>-437914.85</v>
      </c>
      <c r="G299" s="13" t="n">
        <f aca="false">G236</f>
        <v>-323453.89</v>
      </c>
      <c r="H299" s="13" t="n">
        <f aca="false">H236</f>
        <v>-321511.57</v>
      </c>
      <c r="I299" s="13" t="n">
        <f aca="false">I236</f>
        <v>-385163.17</v>
      </c>
      <c r="J299" s="13" t="n">
        <f aca="false">J236</f>
        <v>-404365.935</v>
      </c>
      <c r="K299" s="13" t="n">
        <f aca="false">K236</f>
        <v>-394365.935</v>
      </c>
      <c r="L299" s="13" t="n">
        <f aca="false">L236</f>
        <v>-394365.935</v>
      </c>
      <c r="M299" s="13" t="n">
        <f aca="false">M236</f>
        <v>-464309.685</v>
      </c>
      <c r="N299" s="13" t="n">
        <f aca="false">N236</f>
        <v>-492474.268333333</v>
      </c>
      <c r="O299" s="13" t="n">
        <f aca="false">O236</f>
        <v>-607200.123541667</v>
      </c>
      <c r="P299" s="13" t="n">
        <f aca="false">P236</f>
        <v>-487476.351666667</v>
      </c>
      <c r="Q299" s="13" t="n">
        <f aca="false">Q236</f>
        <v>-567713.5037</v>
      </c>
      <c r="R299" s="13" t="n">
        <f aca="false">R236</f>
        <v>-616473.7537</v>
      </c>
      <c r="S299" s="13" t="n">
        <f aca="false">S236</f>
        <v>-630179.4162</v>
      </c>
      <c r="T299" s="13" t="n">
        <f aca="false">T236</f>
        <v>-632348.4662</v>
      </c>
      <c r="U299" s="13" t="n">
        <f aca="false">U236</f>
        <v>-631411.9262</v>
      </c>
      <c r="V299" s="13" t="n">
        <f aca="false">V236</f>
        <v>-585305.0037</v>
      </c>
      <c r="W299" s="13" t="n">
        <f aca="false">W236</f>
        <v>-585305.0037</v>
      </c>
      <c r="X299" s="13" t="n">
        <f aca="false">X236</f>
        <v>-585305.0037</v>
      </c>
      <c r="Y299" s="13" t="n">
        <f aca="false">Y236</f>
        <v>-647870.83015</v>
      </c>
      <c r="Z299" s="13" t="n">
        <f aca="false">Z236</f>
        <v>-582754.763315385</v>
      </c>
      <c r="AA299" s="13" t="n">
        <f aca="false">AA236</f>
        <v>-573139.3787</v>
      </c>
      <c r="AB299" s="13" t="n">
        <f aca="false">AB236</f>
        <v>-571507.224853846</v>
      </c>
      <c r="AC299" s="13" t="n">
        <f aca="false">AC236</f>
        <v>-621660.446274</v>
      </c>
      <c r="AD299" s="13" t="n">
        <f aca="false">AD236</f>
        <v>-576660.446274</v>
      </c>
      <c r="AE299" s="13" t="n">
        <f aca="false">AE236</f>
        <v>-576660.446274</v>
      </c>
      <c r="AF299" s="13" t="n">
        <f aca="false">AF236</f>
        <v>-576660.446274</v>
      </c>
      <c r="AG299" s="13" t="n">
        <f aca="false">AG236</f>
        <v>-576660.446274</v>
      </c>
      <c r="AH299" s="13" t="n">
        <f aca="false">AH236</f>
        <v>-621660.446274</v>
      </c>
      <c r="AI299" s="13" t="n">
        <f aca="false">AI236</f>
        <v>-621660.446274</v>
      </c>
      <c r="AJ299" s="13" t="n">
        <f aca="false">AJ236</f>
        <v>-665261.103774</v>
      </c>
      <c r="AK299" s="13" t="n">
        <f aca="false">AK236</f>
        <v>-634511.103774</v>
      </c>
      <c r="AL299" s="13" t="n">
        <f aca="false">AL236</f>
        <v>-705613.652642043</v>
      </c>
      <c r="AM299" s="13" t="n">
        <f aca="false">AM236</f>
        <v>-634511.103774</v>
      </c>
      <c r="AN299" s="13" t="n">
        <f aca="false">AN236</f>
        <v>-642011.103774</v>
      </c>
      <c r="AO299" s="13" t="n">
        <f aca="false">AO236</f>
        <v>-646451.32584948</v>
      </c>
      <c r="AP299" s="13" t="n">
        <f aca="false">AP236</f>
        <v>-646451.32584948</v>
      </c>
      <c r="AQ299" s="13" t="n">
        <f aca="false">AQ236</f>
        <v>-718021.84299948</v>
      </c>
      <c r="AR299" s="13" t="n">
        <f aca="false">AR236</f>
        <v>-672271.84299948</v>
      </c>
      <c r="AS299" s="13" t="n">
        <f aca="false">AS236</f>
        <v>-634771.84299948</v>
      </c>
      <c r="AT299" s="13" t="n">
        <f aca="false">AT236</f>
        <v>-709781.903325236</v>
      </c>
      <c r="AU299" s="13" t="n">
        <f aca="false">AU236</f>
        <v>-813488.210456817</v>
      </c>
      <c r="AV299" s="13" t="n">
        <f aca="false">AV236</f>
        <v>-705086.07549948</v>
      </c>
      <c r="AW299" s="13" t="n">
        <f aca="false">AW236</f>
        <v>-694422.67459948</v>
      </c>
      <c r="AX299" s="13" t="n">
        <f aca="false">AX236</f>
        <v>-646922.67459948</v>
      </c>
      <c r="AY299" s="13" t="n">
        <f aca="false">AY236</f>
        <v>-725514.483929193</v>
      </c>
      <c r="AZ299" s="13" t="n">
        <f aca="false">AZ236</f>
        <v>-726660.212144794</v>
      </c>
      <c r="BA299" s="13" t="n">
        <f aca="false">BA236</f>
        <v>-742991.998036205</v>
      </c>
      <c r="BB299" s="13" t="n">
        <f aca="false">BB236</f>
        <v>-723992.667476803</v>
      </c>
      <c r="BC299" s="13" t="n">
        <f aca="false">BC236</f>
        <v>-693958.617403725</v>
      </c>
      <c r="BD299" s="13" t="n">
        <f aca="false">BD236</f>
        <v>-695082.136931409</v>
      </c>
      <c r="BE299" s="13" t="n">
        <f aca="false">BE236</f>
        <v>-732322.956459092</v>
      </c>
      <c r="BF299" s="13" t="n">
        <f aca="false">BF236</f>
        <v>-697329.175986776</v>
      </c>
      <c r="BG299" s="13" t="n">
        <f aca="false">BG236</f>
        <v>-698000.414375237</v>
      </c>
      <c r="BH299" s="13" t="n">
        <f aca="false">BH236</f>
        <v>-734498.101200321</v>
      </c>
      <c r="BI299" s="13" t="n">
        <f aca="false">BI236</f>
        <v>-697709.290360997</v>
      </c>
      <c r="BJ299" s="13" t="n">
        <f aca="false">BJ236</f>
        <v>-602539.58001847</v>
      </c>
      <c r="BK299" s="13" t="n">
        <f aca="false">BK236</f>
        <v>-599112.91110047</v>
      </c>
      <c r="BL299" s="13" t="n">
        <f aca="false">BL236</f>
        <v>-589112.91110047</v>
      </c>
      <c r="BM299" s="13" t="n">
        <f aca="false">BM236</f>
        <v>-679101.281567718</v>
      </c>
      <c r="BN299" s="13" t="n">
        <f aca="false">BN236</f>
        <v>-634205.308301434</v>
      </c>
      <c r="BO299" s="13" t="n">
        <f aca="false">BO236</f>
        <v>-551207.492681034</v>
      </c>
      <c r="BP299" s="13" t="n">
        <f aca="false">BP236</f>
        <v>-502721.856877476</v>
      </c>
      <c r="BQ299" s="13" t="n">
        <f aca="false">BQ236</f>
        <v>-477103.577658039</v>
      </c>
      <c r="BR299" s="13" t="n">
        <f aca="false">BR236</f>
        <v>-515856.671289823</v>
      </c>
      <c r="BS299" s="13" t="n">
        <f aca="false">BS236</f>
        <v>-543256.052816236</v>
      </c>
      <c r="BT299" s="13" t="n">
        <f aca="false">BT236</f>
        <v>-508149.098010064</v>
      </c>
      <c r="BU299" s="13" t="n">
        <f aca="false">BU236</f>
        <v>-484842.706449941</v>
      </c>
      <c r="BV299" s="13" t="n">
        <f aca="false">BV236</f>
        <v>-487436.306735443</v>
      </c>
      <c r="BW299" s="13" t="n">
        <f aca="false">BW236</f>
        <v>-452617.26471042</v>
      </c>
      <c r="BX299" s="13" t="n">
        <f aca="false">BX236</f>
        <v>-442913.657296059</v>
      </c>
      <c r="BY299" s="13" t="n">
        <f aca="false">BY236</f>
        <v>-462807.872190712</v>
      </c>
      <c r="BZ299" s="13" t="n">
        <f aca="false">BZ236</f>
        <v>-428628.323654909</v>
      </c>
      <c r="CA299" s="13" t="n">
        <f aca="false">CA236</f>
        <v>-428628.323654909</v>
      </c>
      <c r="CB299" s="13" t="n">
        <f aca="false">CB236</f>
        <v>-428628.323654909</v>
      </c>
      <c r="CC299" s="13" t="n">
        <f aca="false">CC236</f>
        <v>-428628.323654909</v>
      </c>
      <c r="CD299" s="13" t="n">
        <f aca="false">CD236</f>
        <v>-428628.323654909</v>
      </c>
      <c r="CE299" s="13" t="n">
        <f aca="false">CE236</f>
        <v>-428628.323654909</v>
      </c>
      <c r="CF299" s="13" t="n">
        <f aca="false">CF236</f>
        <v>-428628.323654909</v>
      </c>
      <c r="CG299" s="13" t="n">
        <f aca="false">CG236</f>
        <v>-428628.323654909</v>
      </c>
      <c r="CH299" s="13" t="n">
        <f aca="false">CH236</f>
        <v>-428628.323654909</v>
      </c>
      <c r="CI299" s="13" t="n">
        <f aca="false">CI236</f>
        <v>-428628.323654909</v>
      </c>
      <c r="CJ299" s="13" t="n">
        <f aca="false">CJ236</f>
        <v>-428628.323654909</v>
      </c>
      <c r="CK299" s="13" t="n">
        <f aca="false">CK236</f>
        <v>-437200.890128007</v>
      </c>
      <c r="CL299" s="13" t="n">
        <f aca="false">CL236</f>
        <v>-437200.890128007</v>
      </c>
      <c r="CM299" s="13" t="n">
        <f aca="false">CM236</f>
        <v>-437200.890128007</v>
      </c>
      <c r="CN299" s="13" t="n">
        <f aca="false">CN236</f>
        <v>-437200.890128007</v>
      </c>
      <c r="CO299" s="13" t="n">
        <f aca="false">CO236</f>
        <v>-437200.890128007</v>
      </c>
      <c r="CP299" s="13" t="n">
        <f aca="false">CP236</f>
        <v>-437200.890128007</v>
      </c>
      <c r="CQ299" s="13" t="n">
        <f aca="false">CQ236</f>
        <v>-437200.890128007</v>
      </c>
      <c r="CR299" s="13" t="n">
        <f aca="false">CR236</f>
        <v>-437200.890128007</v>
      </c>
      <c r="CS299" s="13" t="n">
        <f aca="false">CS236</f>
        <v>-437200.890128007</v>
      </c>
      <c r="CT299" s="13" t="n">
        <f aca="false">CT236</f>
        <v>-385420.730516558</v>
      </c>
      <c r="CU299" s="13" t="n">
        <f aca="false">CU236</f>
        <v>-385420.730516558</v>
      </c>
      <c r="CV299" s="13" t="n">
        <f aca="false">CV236</f>
        <v>-385420.730516558</v>
      </c>
      <c r="CW299" s="13" t="n">
        <f aca="false">CW236</f>
        <v>-393129.145126889</v>
      </c>
      <c r="CX299" s="13" t="n">
        <f aca="false">CX236</f>
        <v>-393129.145126889</v>
      </c>
      <c r="CY299" s="13" t="n">
        <f aca="false">CY236</f>
        <v>-393129.145126889</v>
      </c>
      <c r="CZ299" s="13" t="n">
        <f aca="false">CZ236</f>
        <v>-393129.145126889</v>
      </c>
      <c r="DA299" s="13" t="n">
        <f aca="false">DA236</f>
        <v>-393129.145126889</v>
      </c>
      <c r="DB299" s="13" t="n">
        <f aca="false">DB236</f>
        <v>-393129.145126889</v>
      </c>
      <c r="DC299" s="13" t="n">
        <f aca="false">DC236</f>
        <v>-393129.145126889</v>
      </c>
      <c r="DD299" s="13" t="n">
        <f aca="false">DD236</f>
        <v>-393129.145126889</v>
      </c>
      <c r="DE299" s="13" t="n">
        <f aca="false">DE236</f>
        <v>-393129.145126889</v>
      </c>
    </row>
    <row r="300" customFormat="false" ht="15" hidden="false" customHeight="true" outlineLevel="0" collapsed="false">
      <c r="A300" s="40" t="s">
        <v>122</v>
      </c>
      <c r="B300" s="13" t="n">
        <f aca="false">B292</f>
        <v>-198827.72</v>
      </c>
      <c r="C300" s="13" t="n">
        <f aca="false">C292</f>
        <v>-192502</v>
      </c>
      <c r="D300" s="13" t="n">
        <f aca="false">D292</f>
        <v>-255024.1</v>
      </c>
      <c r="E300" s="13" t="n">
        <f aca="false">E292</f>
        <v>-195904.72</v>
      </c>
      <c r="F300" s="13" t="n">
        <f aca="false">F292</f>
        <v>-250029.52</v>
      </c>
      <c r="G300" s="13" t="n">
        <f aca="false">G292</f>
        <v>-147940.79</v>
      </c>
      <c r="H300" s="13" t="n">
        <f aca="false">H292</f>
        <v>-196497.94</v>
      </c>
      <c r="I300" s="13" t="n">
        <f aca="false">I292</f>
        <v>-184415.27</v>
      </c>
      <c r="J300" s="13" t="n">
        <f aca="false">J292</f>
        <v>-188116.133333333</v>
      </c>
      <c r="K300" s="13" t="n">
        <f aca="false">K292</f>
        <v>-188116.133333333</v>
      </c>
      <c r="L300" s="13" t="n">
        <f aca="false">L292</f>
        <v>-188116.133333333</v>
      </c>
      <c r="M300" s="13" t="n">
        <f aca="false">M292</f>
        <v>-184616.133333333</v>
      </c>
      <c r="N300" s="13" t="n">
        <f aca="false">N292</f>
        <v>-320068.163333333</v>
      </c>
      <c r="O300" s="13" t="n">
        <f aca="false">O292</f>
        <v>-340387.223333333</v>
      </c>
      <c r="P300" s="13" t="n">
        <f aca="false">P292</f>
        <v>-184616.133333333</v>
      </c>
      <c r="Q300" s="13" t="n">
        <f aca="false">Q292</f>
        <v>-188208.456</v>
      </c>
      <c r="R300" s="13" t="n">
        <f aca="false">R292</f>
        <v>-188208.456</v>
      </c>
      <c r="S300" s="13" t="n">
        <f aca="false">S292</f>
        <v>-188208.456</v>
      </c>
      <c r="T300" s="13" t="n">
        <f aca="false">T292</f>
        <v>-188208.456</v>
      </c>
      <c r="U300" s="13" t="n">
        <f aca="false">U292</f>
        <v>-188208.456</v>
      </c>
      <c r="V300" s="13" t="n">
        <f aca="false">V292</f>
        <v>-188208.456</v>
      </c>
      <c r="W300" s="13" t="n">
        <f aca="false">W292</f>
        <v>-188208.456</v>
      </c>
      <c r="X300" s="13" t="n">
        <f aca="false">X292</f>
        <v>-188208.456</v>
      </c>
      <c r="Y300" s="13" t="n">
        <f aca="false">Y292</f>
        <v>-188208.456</v>
      </c>
      <c r="Z300" s="13" t="n">
        <f aca="false">Z292</f>
        <v>-188208.456</v>
      </c>
      <c r="AA300" s="13" t="n">
        <f aca="false">AA292</f>
        <v>-188208.456</v>
      </c>
      <c r="AB300" s="13" t="n">
        <f aca="false">AB292</f>
        <v>-188208.456</v>
      </c>
      <c r="AC300" s="13" t="n">
        <f aca="false">AC292</f>
        <v>-191872.62512</v>
      </c>
      <c r="AD300" s="13" t="n">
        <f aca="false">AD292</f>
        <v>-191872.62512</v>
      </c>
      <c r="AE300" s="13" t="n">
        <f aca="false">AE292</f>
        <v>-191872.62512</v>
      </c>
      <c r="AF300" s="13" t="n">
        <f aca="false">AF292</f>
        <v>-191872.62512</v>
      </c>
      <c r="AG300" s="13" t="n">
        <f aca="false">AG292</f>
        <v>-191872.62512</v>
      </c>
      <c r="AH300" s="13" t="n">
        <f aca="false">AH292</f>
        <v>-191872.62512</v>
      </c>
      <c r="AI300" s="13" t="n">
        <f aca="false">AI292</f>
        <v>-191872.62512</v>
      </c>
      <c r="AJ300" s="13" t="n">
        <f aca="false">AJ292</f>
        <v>-191872.62512</v>
      </c>
      <c r="AK300" s="13" t="n">
        <f aca="false">AK292</f>
        <v>-191872.62512</v>
      </c>
      <c r="AL300" s="13" t="n">
        <f aca="false">AL292</f>
        <v>-191872.62512</v>
      </c>
      <c r="AM300" s="13" t="n">
        <f aca="false">AM292</f>
        <v>-191872.62512</v>
      </c>
      <c r="AN300" s="13" t="n">
        <f aca="false">AN292</f>
        <v>-191872.62512</v>
      </c>
      <c r="AO300" s="13" t="n">
        <f aca="false">AO292</f>
        <v>-195610.0776224</v>
      </c>
      <c r="AP300" s="13" t="n">
        <f aca="false">AP292</f>
        <v>-195610.0776224</v>
      </c>
      <c r="AQ300" s="13" t="n">
        <f aca="false">AQ292</f>
        <v>-195610.0776224</v>
      </c>
      <c r="AR300" s="13" t="n">
        <f aca="false">AR292</f>
        <v>-195610.0776224</v>
      </c>
      <c r="AS300" s="13" t="n">
        <f aca="false">AS292</f>
        <v>-195610.0776224</v>
      </c>
      <c r="AT300" s="13" t="n">
        <f aca="false">AT292</f>
        <v>-277293.0776224</v>
      </c>
      <c r="AU300" s="13" t="n">
        <f aca="false">AU292</f>
        <v>-195610.0776224</v>
      </c>
      <c r="AV300" s="13" t="n">
        <f aca="false">AV292</f>
        <v>-195610.0776224</v>
      </c>
      <c r="AW300" s="13" t="n">
        <f aca="false">AW292</f>
        <v>-277292.0776224</v>
      </c>
      <c r="AX300" s="13" t="n">
        <f aca="false">AX292</f>
        <v>-195610.0776224</v>
      </c>
      <c r="AY300" s="13" t="n">
        <f aca="false">AY292</f>
        <v>-195610.0776224</v>
      </c>
      <c r="AZ300" s="13" t="n">
        <f aca="false">AZ292</f>
        <v>-277292.0776224</v>
      </c>
      <c r="BA300" s="13" t="n">
        <f aca="false">BA292</f>
        <v>-199422.279174848</v>
      </c>
      <c r="BB300" s="13" t="n">
        <f aca="false">BB292</f>
        <v>-199422.279174848</v>
      </c>
      <c r="BC300" s="13" t="n">
        <f aca="false">BC292</f>
        <v>-1132943.27917485</v>
      </c>
      <c r="BD300" s="13" t="n">
        <f aca="false">BD292</f>
        <v>-199422.279174848</v>
      </c>
      <c r="BE300" s="13" t="n">
        <f aca="false">BE292</f>
        <v>-199422.279174848</v>
      </c>
      <c r="BF300" s="13" t="n">
        <f aca="false">BF292</f>
        <v>-330300.279174848</v>
      </c>
      <c r="BG300" s="13" t="n">
        <f aca="false">BG292</f>
        <v>-199422.279174848</v>
      </c>
      <c r="BH300" s="13" t="n">
        <f aca="false">BH292</f>
        <v>-199422.279174848</v>
      </c>
      <c r="BI300" s="13" t="n">
        <f aca="false">BI292</f>
        <v>-330298.279174848</v>
      </c>
      <c r="BJ300" s="13" t="n">
        <f aca="false">BJ292</f>
        <v>-199422.279174848</v>
      </c>
      <c r="BK300" s="13" t="n">
        <f aca="false">BK292</f>
        <v>-199422.279174848</v>
      </c>
      <c r="BL300" s="13" t="n">
        <f aca="false">BL292</f>
        <v>-330298.279174848</v>
      </c>
      <c r="BM300" s="13" t="n">
        <f aca="false">BM292</f>
        <v>-203310.724758345</v>
      </c>
      <c r="BN300" s="13" t="n">
        <f aca="false">BN292</f>
        <v>-203310.724758345</v>
      </c>
      <c r="BO300" s="13" t="n">
        <f aca="false">BO292</f>
        <v>-334186.724758345</v>
      </c>
      <c r="BP300" s="13" t="n">
        <f aca="false">BP292</f>
        <v>-203310.724758345</v>
      </c>
      <c r="BQ300" s="13" t="n">
        <f aca="false">BQ292</f>
        <v>-203310.724758345</v>
      </c>
      <c r="BR300" s="13" t="n">
        <f aca="false">BR292</f>
        <v>-292466.374758345</v>
      </c>
      <c r="BS300" s="13" t="n">
        <f aca="false">BS292</f>
        <v>-203310.724758345</v>
      </c>
      <c r="BT300" s="13" t="n">
        <f aca="false">BT292</f>
        <v>-203310.724758345</v>
      </c>
      <c r="BU300" s="13" t="n">
        <f aca="false">BU292</f>
        <v>-277950.724758345</v>
      </c>
      <c r="BV300" s="13" t="n">
        <f aca="false">BV292</f>
        <v>-203310.724758345</v>
      </c>
      <c r="BW300" s="13" t="n">
        <f aca="false">BW292</f>
        <v>-203310.724758345</v>
      </c>
      <c r="BX300" s="13" t="n">
        <f aca="false">BX292</f>
        <v>-277950.724758345</v>
      </c>
      <c r="BY300" s="13" t="n">
        <f aca="false">BY292</f>
        <v>-207276.939253512</v>
      </c>
      <c r="BZ300" s="13" t="n">
        <f aca="false">BZ292</f>
        <v>-207276.939253512</v>
      </c>
      <c r="CA300" s="13" t="n">
        <f aca="false">CA292</f>
        <v>-355072.939253512</v>
      </c>
      <c r="CB300" s="13" t="n">
        <f aca="false">CB292</f>
        <v>-207276.939253512</v>
      </c>
      <c r="CC300" s="13" t="n">
        <f aca="false">CC292</f>
        <v>-207276.939253512</v>
      </c>
      <c r="CD300" s="13" t="n">
        <f aca="false">CD292</f>
        <v>-361794.939253512</v>
      </c>
      <c r="CE300" s="13" t="n">
        <f aca="false">CE292</f>
        <v>-207276.939253512</v>
      </c>
      <c r="CF300" s="13" t="n">
        <f aca="false">CF292</f>
        <v>-207276.939253512</v>
      </c>
      <c r="CG300" s="13" t="n">
        <f aca="false">CG292</f>
        <v>-361793.939253512</v>
      </c>
      <c r="CH300" s="13" t="n">
        <f aca="false">CH292</f>
        <v>-207276.939253512</v>
      </c>
      <c r="CI300" s="13" t="n">
        <f aca="false">CI292</f>
        <v>-207276.939253512</v>
      </c>
      <c r="CJ300" s="13" t="n">
        <f aca="false">CJ292</f>
        <v>-355185.912647033</v>
      </c>
      <c r="CK300" s="13" t="n">
        <f aca="false">CK292</f>
        <v>-284477.478038582</v>
      </c>
      <c r="CL300" s="13" t="n">
        <f aca="false">CL292</f>
        <v>-284477.478038582</v>
      </c>
      <c r="CM300" s="13" t="n">
        <f aca="false">CM292</f>
        <v>-284477.478038582</v>
      </c>
      <c r="CN300" s="13" t="n">
        <f aca="false">CN292</f>
        <v>-284477.478038582</v>
      </c>
      <c r="CO300" s="13" t="n">
        <f aca="false">CO292</f>
        <v>-284477.478038582</v>
      </c>
      <c r="CP300" s="13" t="n">
        <f aca="false">CP292</f>
        <v>-284477.478038582</v>
      </c>
      <c r="CQ300" s="13" t="n">
        <f aca="false">CQ292</f>
        <v>-284477.478038582</v>
      </c>
      <c r="CR300" s="13" t="n">
        <f aca="false">CR292</f>
        <v>-284477.478038582</v>
      </c>
      <c r="CS300" s="13" t="n">
        <f aca="false">CS292</f>
        <v>-284477.478038582</v>
      </c>
      <c r="CT300" s="13" t="n">
        <f aca="false">CT292</f>
        <v>-275455.509357253</v>
      </c>
      <c r="CU300" s="13" t="n">
        <f aca="false">CU292</f>
        <v>-275455.509357253</v>
      </c>
      <c r="CV300" s="13" t="n">
        <f aca="false">CV292</f>
        <v>-275455.509357253</v>
      </c>
      <c r="CW300" s="13" t="n">
        <f aca="false">CW292</f>
        <v>-223693.368480806</v>
      </c>
      <c r="CX300" s="13" t="n">
        <f aca="false">CX292</f>
        <v>-206246.519544398</v>
      </c>
      <c r="CY300" s="13" t="n">
        <f aca="false">CY292</f>
        <v>-206246.519544398</v>
      </c>
      <c r="CZ300" s="13" t="n">
        <f aca="false">CZ292</f>
        <v>-206246.519544398</v>
      </c>
      <c r="DA300" s="13" t="n">
        <f aca="false">DA292</f>
        <v>-206246.519544398</v>
      </c>
      <c r="DB300" s="13" t="n">
        <f aca="false">DB292</f>
        <v>-206246.519544398</v>
      </c>
      <c r="DC300" s="13" t="n">
        <f aca="false">DC292</f>
        <v>-206246.519544398</v>
      </c>
      <c r="DD300" s="13" t="n">
        <f aca="false">DD292</f>
        <v>-206246.519544398</v>
      </c>
      <c r="DE300" s="13" t="n">
        <f aca="false">DE292</f>
        <v>-206246.519544398</v>
      </c>
    </row>
    <row r="301" customFormat="false" ht="15" hidden="false" customHeight="true" outlineLevel="0" collapsed="false">
      <c r="A301" s="41" t="s">
        <v>143</v>
      </c>
      <c r="B301" s="30" t="n">
        <f aca="false">B299+B300</f>
        <v>-459429.22</v>
      </c>
      <c r="C301" s="30" t="n">
        <f aca="false">C299+C300</f>
        <v>-452810.54</v>
      </c>
      <c r="D301" s="30" t="n">
        <f aca="false">D299+D300</f>
        <v>-606961.84</v>
      </c>
      <c r="E301" s="30" t="n">
        <f aca="false">E299+E300</f>
        <v>-269336.28</v>
      </c>
      <c r="F301" s="30" t="n">
        <f aca="false">F299+F300</f>
        <v>-687944.37</v>
      </c>
      <c r="G301" s="30" t="n">
        <f aca="false">G299+G300</f>
        <v>-471394.68</v>
      </c>
      <c r="H301" s="30" t="n">
        <f aca="false">H299+H300</f>
        <v>-518009.51</v>
      </c>
      <c r="I301" s="30" t="n">
        <f aca="false">I299+I300</f>
        <v>-569578.44</v>
      </c>
      <c r="J301" s="30" t="n">
        <f aca="false">J299+J300</f>
        <v>-592482.068333333</v>
      </c>
      <c r="K301" s="30" t="n">
        <f aca="false">K299+K300</f>
        <v>-582482.068333333</v>
      </c>
      <c r="L301" s="30" t="n">
        <f aca="false">L299+L300</f>
        <v>-582482.068333333</v>
      </c>
      <c r="M301" s="30" t="n">
        <f aca="false">M299+M300</f>
        <v>-648925.818333333</v>
      </c>
      <c r="N301" s="30" t="n">
        <f aca="false">N299+N300</f>
        <v>-812542.431666667</v>
      </c>
      <c r="O301" s="30" t="n">
        <f aca="false">O299+O300</f>
        <v>-947587.346875</v>
      </c>
      <c r="P301" s="30" t="n">
        <f aca="false">P299+P300</f>
        <v>-672092.485</v>
      </c>
      <c r="Q301" s="30" t="n">
        <f aca="false">Q299+Q300</f>
        <v>-755921.9597</v>
      </c>
      <c r="R301" s="30" t="n">
        <f aca="false">R299+R300</f>
        <v>-804682.2097</v>
      </c>
      <c r="S301" s="30" t="n">
        <f aca="false">S299+S300</f>
        <v>-818387.8722</v>
      </c>
      <c r="T301" s="30" t="n">
        <f aca="false">T299+T300</f>
        <v>-820556.9222</v>
      </c>
      <c r="U301" s="30" t="n">
        <f aca="false">U299+U300</f>
        <v>-819620.3822</v>
      </c>
      <c r="V301" s="30" t="n">
        <f aca="false">V299+V300</f>
        <v>-773513.4597</v>
      </c>
      <c r="W301" s="30" t="n">
        <f aca="false">W299+W300</f>
        <v>-773513.4597</v>
      </c>
      <c r="X301" s="30" t="n">
        <f aca="false">X299+X300</f>
        <v>-773513.4597</v>
      </c>
      <c r="Y301" s="30" t="n">
        <f aca="false">Y299+Y300</f>
        <v>-836079.28615</v>
      </c>
      <c r="Z301" s="30" t="n">
        <f aca="false">Z299+Z300</f>
        <v>-770963.219315385</v>
      </c>
      <c r="AA301" s="30" t="n">
        <f aca="false">AA299+AA300</f>
        <v>-761347.8347</v>
      </c>
      <c r="AB301" s="30" t="n">
        <f aca="false">AB299+AB300</f>
        <v>-759715.680853846</v>
      </c>
      <c r="AC301" s="30" t="n">
        <f aca="false">AC299+AC300</f>
        <v>-813533.071394</v>
      </c>
      <c r="AD301" s="30" t="n">
        <f aca="false">AD299+AD300</f>
        <v>-768533.071394</v>
      </c>
      <c r="AE301" s="30" t="n">
        <f aca="false">AE299+AE300</f>
        <v>-768533.071394</v>
      </c>
      <c r="AF301" s="30" t="n">
        <f aca="false">AF299+AF300</f>
        <v>-768533.071394</v>
      </c>
      <c r="AG301" s="30" t="n">
        <f aca="false">AG299+AG300</f>
        <v>-768533.071394</v>
      </c>
      <c r="AH301" s="30" t="n">
        <f aca="false">AH299+AH300</f>
        <v>-813533.071394</v>
      </c>
      <c r="AI301" s="30" t="n">
        <f aca="false">AI299+AI300</f>
        <v>-813533.071394</v>
      </c>
      <c r="AJ301" s="30" t="n">
        <f aca="false">AJ299+AJ300</f>
        <v>-857133.728894</v>
      </c>
      <c r="AK301" s="30" t="n">
        <f aca="false">AK299+AK300</f>
        <v>-826383.728894</v>
      </c>
      <c r="AL301" s="30" t="n">
        <f aca="false">AL299+AL300</f>
        <v>-897486.277762043</v>
      </c>
      <c r="AM301" s="30" t="n">
        <f aca="false">AM299+AM300</f>
        <v>-826383.728894</v>
      </c>
      <c r="AN301" s="30" t="n">
        <f aca="false">AN299+AN300</f>
        <v>-833883.728894</v>
      </c>
      <c r="AO301" s="30" t="n">
        <f aca="false">AO299+AO300</f>
        <v>-842061.40347188</v>
      </c>
      <c r="AP301" s="30" t="n">
        <f aca="false">AP299+AP300</f>
        <v>-842061.40347188</v>
      </c>
      <c r="AQ301" s="30" t="n">
        <f aca="false">AQ299+AQ300</f>
        <v>-913631.92062188</v>
      </c>
      <c r="AR301" s="30" t="n">
        <f aca="false">AR299+AR300</f>
        <v>-867881.92062188</v>
      </c>
      <c r="AS301" s="30" t="n">
        <f aca="false">AS299+AS300</f>
        <v>-830381.92062188</v>
      </c>
      <c r="AT301" s="30" t="n">
        <f aca="false">AT299+AT300</f>
        <v>-987074.980947636</v>
      </c>
      <c r="AU301" s="30" t="n">
        <f aca="false">AU299+AU300</f>
        <v>-1009098.28807922</v>
      </c>
      <c r="AV301" s="30" t="n">
        <f aca="false">AV299+AV300</f>
        <v>-900696.15312188</v>
      </c>
      <c r="AW301" s="30" t="n">
        <f aca="false">AW299+AW300</f>
        <v>-971714.75222188</v>
      </c>
      <c r="AX301" s="30" t="n">
        <f aca="false">AX299+AX300</f>
        <v>-842532.75222188</v>
      </c>
      <c r="AY301" s="30" t="n">
        <f aca="false">AY299+AY300</f>
        <v>-921124.561551593</v>
      </c>
      <c r="AZ301" s="30" t="n">
        <f aca="false">AZ299+AZ300</f>
        <v>-1003952.28976719</v>
      </c>
      <c r="BA301" s="30" t="n">
        <f aca="false">BA299+BA300</f>
        <v>-942414.277211053</v>
      </c>
      <c r="BB301" s="30" t="n">
        <f aca="false">BB299+BB300</f>
        <v>-923414.946651651</v>
      </c>
      <c r="BC301" s="30" t="n">
        <f aca="false">BC299+BC300</f>
        <v>-1826901.89657857</v>
      </c>
      <c r="BD301" s="30" t="n">
        <f aca="false">BD299+BD300</f>
        <v>-894504.416106257</v>
      </c>
      <c r="BE301" s="30" t="n">
        <f aca="false">BE299+BE300</f>
        <v>-931745.23563394</v>
      </c>
      <c r="BF301" s="30" t="n">
        <f aca="false">BF299+BF300</f>
        <v>-1027629.45516162</v>
      </c>
      <c r="BG301" s="30" t="n">
        <f aca="false">BG299+BG300</f>
        <v>-897422.693550085</v>
      </c>
      <c r="BH301" s="30" t="n">
        <f aca="false">BH299+BH300</f>
        <v>-933920.380375169</v>
      </c>
      <c r="BI301" s="30" t="n">
        <f aca="false">BI299+BI300</f>
        <v>-1028007.56953584</v>
      </c>
      <c r="BJ301" s="30" t="n">
        <f aca="false">BJ299+BJ300</f>
        <v>-801961.859193318</v>
      </c>
      <c r="BK301" s="30" t="n">
        <f aca="false">BK299+BK300</f>
        <v>-798535.190275318</v>
      </c>
      <c r="BL301" s="30" t="n">
        <f aca="false">BL299+BL300</f>
        <v>-919411.190275318</v>
      </c>
      <c r="BM301" s="30" t="n">
        <f aca="false">BM299+BM300</f>
        <v>-882412.006326063</v>
      </c>
      <c r="BN301" s="30" t="n">
        <f aca="false">BN299+BN300</f>
        <v>-837516.033059779</v>
      </c>
      <c r="BO301" s="30" t="n">
        <f aca="false">BO299+BO300</f>
        <v>-885394.217439379</v>
      </c>
      <c r="BP301" s="30" t="n">
        <f aca="false">BP299+BP300</f>
        <v>-706032.581635821</v>
      </c>
      <c r="BQ301" s="30" t="n">
        <f aca="false">BQ299+BQ300</f>
        <v>-680414.302416384</v>
      </c>
      <c r="BR301" s="30" t="n">
        <f aca="false">BR299+BR300</f>
        <v>-808323.046048168</v>
      </c>
      <c r="BS301" s="30" t="n">
        <f aca="false">BS299+BS300</f>
        <v>-746566.777574581</v>
      </c>
      <c r="BT301" s="30" t="n">
        <f aca="false">BT299+BT300</f>
        <v>-711459.822768409</v>
      </c>
      <c r="BU301" s="30" t="n">
        <f aca="false">BU299+BU300</f>
        <v>-762793.431208286</v>
      </c>
      <c r="BV301" s="30" t="n">
        <f aca="false">BV299+BV300</f>
        <v>-690747.031493788</v>
      </c>
      <c r="BW301" s="30" t="n">
        <f aca="false">BW299+BW300</f>
        <v>-655927.989468765</v>
      </c>
      <c r="BX301" s="30" t="n">
        <f aca="false">BX299+BX300</f>
        <v>-720864.382054404</v>
      </c>
      <c r="BY301" s="30" t="n">
        <f aca="false">BY299+BY300</f>
        <v>-670084.811444224</v>
      </c>
      <c r="BZ301" s="30" t="n">
        <f aca="false">BZ299+BZ300</f>
        <v>-635905.262908421</v>
      </c>
      <c r="CA301" s="30" t="n">
        <f aca="false">CA299+CA300</f>
        <v>-783701.262908421</v>
      </c>
      <c r="CB301" s="30" t="n">
        <f aca="false">CB299+CB300</f>
        <v>-635905.262908421</v>
      </c>
      <c r="CC301" s="30" t="n">
        <f aca="false">CC299+CC300</f>
        <v>-635905.262908421</v>
      </c>
      <c r="CD301" s="30" t="n">
        <f aca="false">CD299+CD300</f>
        <v>-790423.262908421</v>
      </c>
      <c r="CE301" s="30" t="n">
        <f aca="false">CE299+CE300</f>
        <v>-635905.262908421</v>
      </c>
      <c r="CF301" s="30" t="n">
        <f aca="false">CF299+CF300</f>
        <v>-635905.262908421</v>
      </c>
      <c r="CG301" s="30" t="n">
        <f aca="false">CG299+CG300</f>
        <v>-790422.262908421</v>
      </c>
      <c r="CH301" s="30" t="n">
        <f aca="false">CH299+CH300</f>
        <v>-635905.262908421</v>
      </c>
      <c r="CI301" s="30" t="n">
        <f aca="false">CI299+CI300</f>
        <v>-635905.262908421</v>
      </c>
      <c r="CJ301" s="30" t="n">
        <f aca="false">CJ299+CJ300</f>
        <v>-783814.236301942</v>
      </c>
      <c r="CK301" s="30" t="n">
        <f aca="false">CK299+CK300</f>
        <v>-721678.368166589</v>
      </c>
      <c r="CL301" s="30" t="n">
        <f aca="false">CL299+CL300</f>
        <v>-721678.368166589</v>
      </c>
      <c r="CM301" s="30" t="n">
        <f aca="false">CM299+CM300</f>
        <v>-721678.368166589</v>
      </c>
      <c r="CN301" s="30" t="n">
        <f aca="false">CN299+CN300</f>
        <v>-721678.368166589</v>
      </c>
      <c r="CO301" s="30" t="n">
        <f aca="false">CO299+CO300</f>
        <v>-721678.368166589</v>
      </c>
      <c r="CP301" s="30" t="n">
        <f aca="false">CP299+CP300</f>
        <v>-721678.368166589</v>
      </c>
      <c r="CQ301" s="30" t="n">
        <f aca="false">CQ299+CQ300</f>
        <v>-721678.368166589</v>
      </c>
      <c r="CR301" s="30" t="n">
        <f aca="false">CR299+CR300</f>
        <v>-721678.368166589</v>
      </c>
      <c r="CS301" s="30" t="n">
        <f aca="false">CS299+CS300</f>
        <v>-721678.368166589</v>
      </c>
      <c r="CT301" s="30" t="n">
        <f aca="false">CT299+CT300</f>
        <v>-660876.239873812</v>
      </c>
      <c r="CU301" s="30" t="n">
        <f aca="false">CU299+CU300</f>
        <v>-660876.239873812</v>
      </c>
      <c r="CV301" s="30" t="n">
        <f aca="false">CV299+CV300</f>
        <v>-660876.239873812</v>
      </c>
      <c r="CW301" s="30" t="n">
        <f aca="false">CW299+CW300</f>
        <v>-616822.513607695</v>
      </c>
      <c r="CX301" s="30" t="n">
        <f aca="false">CX299+CX300</f>
        <v>-599375.664671288</v>
      </c>
      <c r="CY301" s="30" t="n">
        <f aca="false">CY299+CY300</f>
        <v>-599375.664671288</v>
      </c>
      <c r="CZ301" s="30" t="n">
        <f aca="false">CZ299+CZ300</f>
        <v>-599375.664671288</v>
      </c>
      <c r="DA301" s="30" t="n">
        <f aca="false">DA299+DA300</f>
        <v>-599375.664671288</v>
      </c>
      <c r="DB301" s="30" t="n">
        <f aca="false">DB299+DB300</f>
        <v>-599375.664671288</v>
      </c>
      <c r="DC301" s="30" t="n">
        <f aca="false">DC299+DC300</f>
        <v>-599375.664671288</v>
      </c>
      <c r="DD301" s="30" t="n">
        <f aca="false">DD299+DD300</f>
        <v>-599375.664671288</v>
      </c>
      <c r="DE301" s="30" t="n">
        <f aca="false">DE299+DE300</f>
        <v>-599375.664671288</v>
      </c>
    </row>
    <row r="302" customFormat="false" ht="19.5" hidden="false" customHeight="true" outlineLevel="0" collapsed="false">
      <c r="A302" s="42" t="s">
        <v>144</v>
      </c>
      <c r="B302" s="37" t="n">
        <f aca="false">B298+B301</f>
        <v>-206557.78</v>
      </c>
      <c r="C302" s="37" t="n">
        <f aca="false">C298+C301</f>
        <v>-469696.73</v>
      </c>
      <c r="D302" s="37" t="n">
        <f aca="false">D298+D301</f>
        <v>21337.26</v>
      </c>
      <c r="E302" s="37" t="n">
        <f aca="false">E298+E301</f>
        <v>212136.55</v>
      </c>
      <c r="F302" s="37" t="n">
        <f aca="false">F298+F301</f>
        <v>-188293.09</v>
      </c>
      <c r="G302" s="37" t="n">
        <f aca="false">G298+G301</f>
        <v>204071.03</v>
      </c>
      <c r="H302" s="37" t="n">
        <f aca="false">H298+H301</f>
        <v>1326754.58</v>
      </c>
      <c r="I302" s="37" t="n">
        <f aca="false">I298+I301</f>
        <v>-521091.365125</v>
      </c>
      <c r="J302" s="37" t="n">
        <f aca="false">J298+J301</f>
        <v>152906.210063631</v>
      </c>
      <c r="K302" s="37" t="n">
        <f aca="false">K298+K301</f>
        <v>230794.571385434</v>
      </c>
      <c r="L302" s="37" t="n">
        <f aca="false">L298+L301</f>
        <v>60226.8097827071</v>
      </c>
      <c r="M302" s="37" t="n">
        <f aca="false">M298+M301</f>
        <v>-412969.336897783</v>
      </c>
      <c r="N302" s="37" t="n">
        <f aca="false">N298+N301</f>
        <v>347218.126814957</v>
      </c>
      <c r="O302" s="37" t="n">
        <f aca="false">O298+O301</f>
        <v>202682.410944715</v>
      </c>
      <c r="P302" s="37" t="n">
        <f aca="false">P298+P301</f>
        <v>245520.762819716</v>
      </c>
      <c r="Q302" s="37" t="n">
        <f aca="false">Q298+Q301</f>
        <v>-498555.788088093</v>
      </c>
      <c r="R302" s="37" t="n">
        <f aca="false">R298+R301</f>
        <v>13488.7824312663</v>
      </c>
      <c r="S302" s="37" t="n">
        <f aca="false">S298+S301</f>
        <v>124552.045620824</v>
      </c>
      <c r="T302" s="37" t="n">
        <f aca="false">T298+T301</f>
        <v>158598.457134083</v>
      </c>
      <c r="U302" s="37" t="n">
        <f aca="false">U298+U301</f>
        <v>377742.463180882</v>
      </c>
      <c r="V302" s="37" t="n">
        <f aca="false">V298+V301</f>
        <v>502428.47568088</v>
      </c>
      <c r="W302" s="37" t="n">
        <f aca="false">W298+W301</f>
        <v>407314.438080882</v>
      </c>
      <c r="X302" s="37" t="n">
        <f aca="false">X298+X301</f>
        <v>717225.845339797</v>
      </c>
      <c r="Y302" s="37" t="n">
        <f aca="false">Y298+Y301</f>
        <v>566846.461289796</v>
      </c>
      <c r="Z302" s="37" t="n">
        <f aca="false">Z298+Z301</f>
        <v>703883.684524412</v>
      </c>
      <c r="AA302" s="37" t="n">
        <f aca="false">AA298+AA301</f>
        <v>758274.224500936</v>
      </c>
      <c r="AB302" s="37" t="n">
        <f aca="false">AB298+AB301</f>
        <v>754838.046246588</v>
      </c>
      <c r="AC302" s="37" t="n">
        <f aca="false">AC298+AC301</f>
        <v>430456.676462878</v>
      </c>
      <c r="AD302" s="37" t="n">
        <f aca="false">AD298+AD301</f>
        <v>513943.082462878</v>
      </c>
      <c r="AE302" s="37" t="n">
        <f aca="false">AE298+AE301</f>
        <v>2572.89237575955</v>
      </c>
      <c r="AF302" s="37" t="n">
        <f aca="false">AF298+AF301</f>
        <v>850482.142446139</v>
      </c>
      <c r="AG302" s="37" t="n">
        <f aca="false">AG298+AG301</f>
        <v>872120.294197663</v>
      </c>
      <c r="AH302" s="37" t="n">
        <f aca="false">AH298+AH301</f>
        <v>819437.416235763</v>
      </c>
      <c r="AI302" s="37" t="n">
        <f aca="false">AI298+AI301</f>
        <v>844938.566235764</v>
      </c>
      <c r="AJ302" s="37" t="n">
        <f aca="false">AJ298+AJ301</f>
        <v>723802.819244053</v>
      </c>
      <c r="AK302" s="37" t="n">
        <f aca="false">AK298+AK301</f>
        <v>740501.457278127</v>
      </c>
      <c r="AL302" s="37" t="n">
        <f aca="false">AL298+AL301</f>
        <v>749198.429290534</v>
      </c>
      <c r="AM302" s="37" t="n">
        <f aca="false">AM298+AM301</f>
        <v>718930.472890678</v>
      </c>
      <c r="AN302" s="37" t="n">
        <f aca="false">AN298+AN301</f>
        <v>707913.621390677</v>
      </c>
      <c r="AO302" s="37" t="n">
        <f aca="false">AO298+AO301</f>
        <v>736288.964812798</v>
      </c>
      <c r="AP302" s="37" t="n">
        <f aca="false">AP298+AP301</f>
        <v>511839.089529547</v>
      </c>
      <c r="AQ302" s="37" t="n">
        <f aca="false">AQ298+AQ301</f>
        <v>835740.342662798</v>
      </c>
      <c r="AR302" s="37" t="n">
        <f aca="false">AR298+AR301</f>
        <v>867678.709662798</v>
      </c>
      <c r="AS302" s="37" t="n">
        <f aca="false">AS298+AS301</f>
        <v>883554.314162798</v>
      </c>
      <c r="AT302" s="37" t="n">
        <f aca="false">AT298+AT301</f>
        <v>1176825.71419054</v>
      </c>
      <c r="AU302" s="37" t="n">
        <f aca="false">AU298+AU301</f>
        <v>657798.935891083</v>
      </c>
      <c r="AV302" s="37" t="n">
        <f aca="false">AV298+AV301</f>
        <v>574028.647746666</v>
      </c>
      <c r="AW302" s="37" t="n">
        <f aca="false">AW298+AW301</f>
        <v>571651.437146666</v>
      </c>
      <c r="AX302" s="37" t="n">
        <f aca="false">AX298+AX301</f>
        <v>660029.438646666</v>
      </c>
      <c r="AY302" s="37" t="n">
        <f aca="false">AY298+AY301</f>
        <v>676842.454316954</v>
      </c>
      <c r="AZ302" s="37" t="n">
        <f aca="false">AZ298+AZ301</f>
        <v>631844.713601353</v>
      </c>
      <c r="BA302" s="37" t="n">
        <f aca="false">BA298+BA301</f>
        <v>593211.915657493</v>
      </c>
      <c r="BB302" s="37" t="n">
        <f aca="false">BB298+BB301</f>
        <v>345955.957064186</v>
      </c>
      <c r="BC302" s="37" t="n">
        <f aca="false">BC298+BC301</f>
        <v>641384.975289973</v>
      </c>
      <c r="BD302" s="37" t="n">
        <f aca="false">BD298+BD301</f>
        <v>657889.94526229</v>
      </c>
      <c r="BE302" s="37" t="n">
        <f aca="false">BE298+BE301</f>
        <v>638277.615234606</v>
      </c>
      <c r="BF302" s="37" t="n">
        <f aca="false">BF298+BF301</f>
        <v>636723.935206922</v>
      </c>
      <c r="BG302" s="37" t="n">
        <f aca="false">BG298+BG301</f>
        <v>653681.186318461</v>
      </c>
      <c r="BH302" s="37" t="n">
        <f aca="false">BH298+BH301</f>
        <v>617923.140896269</v>
      </c>
      <c r="BI302" s="37" t="n">
        <f aca="false">BI298+BI301</f>
        <v>387100.448464155</v>
      </c>
      <c r="BJ302" s="37" t="n">
        <f aca="false">BJ298+BJ301</f>
        <v>301253.498306682</v>
      </c>
      <c r="BK302" s="37" t="n">
        <f aca="false">BK298+BK301</f>
        <v>304250.006724682</v>
      </c>
      <c r="BL302" s="37" t="n">
        <f aca="false">BL298+BL301</f>
        <v>313819.851724682</v>
      </c>
      <c r="BM302" s="37" t="n">
        <f aca="false">BM298+BM301</f>
        <v>351365.269673937</v>
      </c>
      <c r="BN302" s="37" t="n">
        <f aca="false">BN298+BN301</f>
        <v>269420.53244022</v>
      </c>
      <c r="BO302" s="37" t="n">
        <f aca="false">BO298+BO301</f>
        <v>225227.97756062</v>
      </c>
      <c r="BP302" s="37" t="n">
        <f aca="false">BP298+BP301</f>
        <v>160782.618364179</v>
      </c>
      <c r="BQ302" s="37" t="n">
        <f aca="false">BQ298+BQ301</f>
        <v>186400.897583616</v>
      </c>
      <c r="BR302" s="37" t="n">
        <f aca="false">BR298+BR301</f>
        <v>291191.403951833</v>
      </c>
      <c r="BS302" s="37" t="n">
        <f aca="false">BS298+BS301</f>
        <v>138307.072425419</v>
      </c>
      <c r="BT302" s="37" t="n">
        <f aca="false">BT298+BT301</f>
        <v>47003.4772315905</v>
      </c>
      <c r="BU302" s="37" t="n">
        <f aca="false">BU298+BU301</f>
        <v>47778.6187917141</v>
      </c>
      <c r="BV302" s="37" t="n">
        <f aca="false">BV298+BV301</f>
        <v>-94811.5814937877</v>
      </c>
      <c r="BW302" s="37" t="n">
        <f aca="false">BW298+BW301</f>
        <v>-186403.089468765</v>
      </c>
      <c r="BX302" s="37" t="n">
        <f aca="false">BX298+BX301</f>
        <v>-199230.732054404</v>
      </c>
      <c r="BY302" s="37" t="n">
        <f aca="false">BY298+BY301</f>
        <v>-363087.761444224</v>
      </c>
      <c r="BZ302" s="37" t="n">
        <f aca="false">BZ298+BZ301</f>
        <v>-455318.762908421</v>
      </c>
      <c r="CA302" s="37" t="n">
        <f aca="false">CA298+CA301</f>
        <v>-568143.262908421</v>
      </c>
      <c r="CB302" s="37" t="n">
        <f aca="false">CB298+CB301</f>
        <v>-635905.262908421</v>
      </c>
      <c r="CC302" s="37" t="n">
        <f aca="false">CC298+CC301</f>
        <v>-635905.262908421</v>
      </c>
      <c r="CD302" s="37" t="n">
        <f aca="false">CD298+CD301</f>
        <v>-559406.262908421</v>
      </c>
      <c r="CE302" s="37" t="n">
        <f aca="false">CE298+CE301</f>
        <v>-635905.262908421</v>
      </c>
      <c r="CF302" s="37" t="n">
        <f aca="false">CF298+CF301</f>
        <v>-635905.262908421</v>
      </c>
      <c r="CG302" s="37" t="n">
        <f aca="false">CG298+CG301</f>
        <v>-559406.262908421</v>
      </c>
      <c r="CH302" s="37" t="n">
        <f aca="false">CH298+CH301</f>
        <v>-635905.262908421</v>
      </c>
      <c r="CI302" s="37" t="n">
        <f aca="false">CI298+CI301</f>
        <v>-635905.262908421</v>
      </c>
      <c r="CJ302" s="37" t="n">
        <f aca="false">CJ298+CJ301</f>
        <v>-552798.236301942</v>
      </c>
      <c r="CK302" s="37" t="n">
        <f aca="false">CK298+CK301</f>
        <v>-490662.368166589</v>
      </c>
      <c r="CL302" s="37" t="n">
        <f aca="false">CL298+CL301</f>
        <v>-490662.368166589</v>
      </c>
      <c r="CM302" s="37" t="n">
        <f aca="false">CM298+CM301</f>
        <v>-490662.368166589</v>
      </c>
      <c r="CN302" s="37" t="n">
        <f aca="false">CN298+CN301</f>
        <v>-490662.368166589</v>
      </c>
      <c r="CO302" s="37" t="n">
        <f aca="false">CO298+CO301</f>
        <v>-490662.368166589</v>
      </c>
      <c r="CP302" s="37" t="n">
        <f aca="false">CP298+CP301</f>
        <v>-490662.368166589</v>
      </c>
      <c r="CQ302" s="37" t="n">
        <f aca="false">CQ298+CQ301</f>
        <v>-490662.368166589</v>
      </c>
      <c r="CR302" s="37" t="n">
        <f aca="false">CR298+CR301</f>
        <v>-490662.368166589</v>
      </c>
      <c r="CS302" s="37" t="n">
        <f aca="false">CS298+CS301</f>
        <v>-490662.368166589</v>
      </c>
      <c r="CT302" s="37" t="n">
        <f aca="false">CT298+CT301</f>
        <v>-429860.239873812</v>
      </c>
      <c r="CU302" s="37" t="n">
        <f aca="false">CU298+CU301</f>
        <v>-429860.239873812</v>
      </c>
      <c r="CV302" s="37" t="n">
        <f aca="false">CV298+CV301</f>
        <v>-429860.239873812</v>
      </c>
      <c r="CW302" s="37" t="n">
        <f aca="false">CW298+CW301</f>
        <v>-385806.513607695</v>
      </c>
      <c r="CX302" s="37" t="n">
        <f aca="false">CX298+CX301</f>
        <v>-368359.664671288</v>
      </c>
      <c r="CY302" s="37" t="n">
        <f aca="false">CY298+CY301</f>
        <v>-368359.664671288</v>
      </c>
      <c r="CZ302" s="37" t="n">
        <f aca="false">CZ298+CZ301</f>
        <v>-368359.664671288</v>
      </c>
      <c r="DA302" s="37" t="n">
        <f aca="false">DA298+DA301</f>
        <v>-368359.664671288</v>
      </c>
      <c r="DB302" s="37" t="n">
        <f aca="false">DB298+DB301</f>
        <v>-368359.664671288</v>
      </c>
      <c r="DC302" s="37" t="n">
        <f aca="false">DC298+DC301</f>
        <v>-368359.664671288</v>
      </c>
      <c r="DD302" s="37" t="n">
        <f aca="false">DD298+DD301</f>
        <v>-368359.664671288</v>
      </c>
      <c r="DE302" s="37" t="n">
        <f aca="false">DE298+DE301</f>
        <v>-368359.664671288</v>
      </c>
    </row>
    <row r="303" customFormat="false" ht="19.5" hidden="false" customHeight="true" outlineLevel="0" collapsed="false">
      <c r="A303" s="43" t="s">
        <v>145</v>
      </c>
      <c r="B303" s="33" t="n">
        <f aca="false">IFERROR(IF(OR(B298&lt;=0,B302/B298&lt;0,B302/B298&gt;1),0,B302/B298),0)</f>
        <v>0</v>
      </c>
      <c r="C303" s="33" t="n">
        <f aca="false">IFERROR(IF(OR(C298&lt;=0,C302/C298&lt;0,C302/C298&gt;1),0,C302/C298),0)</f>
        <v>0</v>
      </c>
      <c r="D303" s="33" t="n">
        <f aca="false">IFERROR(IF(OR(D298&lt;=0,D302/D298&lt;0,D302/D298&gt;1),0,D302/D298),0)</f>
        <v>0.0339603542325622</v>
      </c>
      <c r="E303" s="33" t="n">
        <f aca="false">IFERROR(IF(OR(E298&lt;=0,E302/E298&lt;0,E302/E298&gt;1),0,E302/E298),0)</f>
        <v>0.44059921304386</v>
      </c>
      <c r="F303" s="33" t="n">
        <f aca="false">IFERROR(IF(OR(F298&lt;=0,F302/F298&lt;0,F302/F298&gt;1),0,F302/F298),0)</f>
        <v>0</v>
      </c>
      <c r="G303" s="33" t="n">
        <f aca="false">IFERROR(IF(OR(G298&lt;=0,G302/G298&lt;0,G302/G298&gt;1),0,G302/G298),0)</f>
        <v>0.302119007639929</v>
      </c>
      <c r="H303" s="33" t="n">
        <f aca="false">IFERROR(IF(OR(H298&lt;=0,H302/H298&lt;0,H302/H298&gt;1),0,H302/H298),0)</f>
        <v>0.719200133606244</v>
      </c>
      <c r="I303" s="33" t="n">
        <f aca="false">IFERROR(IF(OR(I298&lt;=0,I302/I298&lt;0,I302/I298&gt;1),0,I302/I298),0)</f>
        <v>0</v>
      </c>
      <c r="J303" s="33" t="n">
        <f aca="false">IFERROR(IF(OR(J298&lt;=0,J302/J298&lt;0,J302/J298&gt;1),0,J302/J298),0)</f>
        <v>0.205136322229901</v>
      </c>
      <c r="K303" s="33" t="n">
        <f aca="false">IFERROR(IF(OR(K298&lt;=0,K302/K298&lt;0,K302/K298&gt;1),0,K302/K298),0)</f>
        <v>0.283783598487771</v>
      </c>
      <c r="L303" s="33" t="n">
        <f aca="false">IFERROR(IF(OR(L298&lt;=0,L302/L298&lt;0,L302/L298&gt;1),0,L302/L298),0)</f>
        <v>0.0937077607504797</v>
      </c>
      <c r="M303" s="33" t="n">
        <f aca="false">IFERROR(IF(OR(M298&lt;=0,M302/M298&lt;0,M302/M298&gt;1),0,M302/M298),0)</f>
        <v>0</v>
      </c>
      <c r="N303" s="33" t="n">
        <f aca="false">IFERROR(IF(OR(N298&lt;=0,N302/N298&lt;0,N302/N298&gt;1),0,N302/N298),0)</f>
        <v>0.299387769549208</v>
      </c>
      <c r="O303" s="33" t="n">
        <f aca="false">IFERROR(IF(OR(O298&lt;=0,O302/O298&lt;0,O302/O298&gt;1),0,O302/O298),0)</f>
        <v>0.176204242150025</v>
      </c>
      <c r="P303" s="33" t="n">
        <f aca="false">IFERROR(IF(OR(P298&lt;=0,P302/P298&lt;0,P302/P298&gt;1),0,P302/P298),0)</f>
        <v>0.267564535933938</v>
      </c>
      <c r="Q303" s="33" t="n">
        <f aca="false">IFERROR(IF(OR(Q298&lt;=0,Q302/Q298&lt;0,Q302/Q298&gt;1),0,Q302/Q298),0)</f>
        <v>0</v>
      </c>
      <c r="R303" s="33" t="n">
        <f aca="false">IFERROR(IF(OR(R298&lt;=0,R302/R298&lt;0,R302/R298&gt;1),0,R302/R298),0)</f>
        <v>0.0164865077850403</v>
      </c>
      <c r="S303" s="33" t="n">
        <f aca="false">IFERROR(IF(OR(S298&lt;=0,S302/S298&lt;0,S302/S298&gt;1),0,S302/S298),0)</f>
        <v>0.132089058132855</v>
      </c>
      <c r="T303" s="33" t="n">
        <f aca="false">IFERROR(IF(OR(T298&lt;=0,T302/T298&lt;0,T302/T298&gt;1),0,T302/T298),0)</f>
        <v>0.161974759554448</v>
      </c>
      <c r="U303" s="33" t="n">
        <f aca="false">IFERROR(IF(OR(U298&lt;=0,U302/U298&lt;0,U302/U298&gt;1),0,U302/U298),0)</f>
        <v>0.315478691056863</v>
      </c>
      <c r="V303" s="33" t="n">
        <f aca="false">IFERROR(IF(OR(V298&lt;=0,V302/V298&lt;0,V302/V298&gt;1),0,V302/V298),0)</f>
        <v>0.393770642494715</v>
      </c>
      <c r="W303" s="33" t="n">
        <f aca="false">IFERROR(IF(OR(W298&lt;=0,W302/W298&lt;0,W302/W298&gt;1),0,W302/W298),0)</f>
        <v>0.344939714624243</v>
      </c>
      <c r="X303" s="33" t="n">
        <f aca="false">IFERROR(IF(OR(X298&lt;=0,X302/X298&lt;0,X302/X298&gt;1),0,X302/X298),0)</f>
        <v>0.481120906194024</v>
      </c>
      <c r="Y303" s="33" t="n">
        <f aca="false">IFERROR(IF(OR(Y298&lt;=0,Y302/Y298&lt;0,Y302/Y298&gt;1),0,Y302/Y298),0)</f>
        <v>0.404045946354778</v>
      </c>
      <c r="Z303" s="33" t="n">
        <f aca="false">IFERROR(IF(OR(Z298&lt;=0,Z302/Z298&lt;0,Z302/Z298&gt;1),0,Z302/Z298),0)</f>
        <v>0.477258814248337</v>
      </c>
      <c r="AA303" s="33" t="n">
        <f aca="false">IFERROR(IF(OR(AA298&lt;=0,AA302/AA298&lt;0,AA302/AA298&gt;1),0,AA302/AA298),0)</f>
        <v>0.498988692556661</v>
      </c>
      <c r="AB303" s="33" t="n">
        <f aca="false">IFERROR(IF(OR(AB298&lt;=0,AB302/AB298&lt;0,AB302/AB298&gt;1),0,AB302/AB298),0)</f>
        <v>0.49838974526952</v>
      </c>
      <c r="AC303" s="33" t="n">
        <f aca="false">IFERROR(IF(OR(AC298&lt;=0,AC302/AC298&lt;0,AC302/AC298&gt;1),0,AC302/AC298),0)</f>
        <v>0.346029118973417</v>
      </c>
      <c r="AD303" s="33" t="n">
        <f aca="false">IFERROR(IF(OR(AD298&lt;=0,AD302/AD298&lt;0,AD302/AD298&gt;1),0,AD302/AD298),0)</f>
        <v>0.400742798154385</v>
      </c>
      <c r="AE303" s="33" t="n">
        <f aca="false">IFERROR(IF(OR(AE298&lt;=0,AE302/AE298&lt;0,AE302/AE298&gt;1),0,AE302/AE298),0)</f>
        <v>0.00333662621824537</v>
      </c>
      <c r="AF303" s="33" t="n">
        <f aca="false">IFERROR(IF(OR(AF298&lt;=0,AF302/AF298&lt;0,AF302/AF298&gt;1),0,AF302/AF298),0)</f>
        <v>0.525308307899641</v>
      </c>
      <c r="AG303" s="33" t="n">
        <f aca="false">IFERROR(IF(OR(AG298&lt;=0,AG302/AG298&lt;0,AG302/AG298&gt;1),0,AG302/AG298),0)</f>
        <v>0.531568893520145</v>
      </c>
      <c r="AH303" s="33" t="n">
        <f aca="false">IFERROR(IF(OR(AH298&lt;=0,AH302/AH298&lt;0,AH302/AH298&gt;1),0,AH302/AH298),0)</f>
        <v>0.501807854118152</v>
      </c>
      <c r="AI303" s="33" t="n">
        <f aca="false">IFERROR(IF(OR(AI298&lt;=0,AI302/AI298&lt;0,AI302/AI298&gt;1),0,AI302/AI298),0)</f>
        <v>0.509468203775449</v>
      </c>
      <c r="AJ303" s="33" t="n">
        <f aca="false">IFERROR(IF(OR(AJ298&lt;=0,AJ302/AJ298&lt;0,AJ302/AJ298&gt;1),0,AJ302/AJ298),0)</f>
        <v>0.457831669523051</v>
      </c>
      <c r="AK303" s="33" t="n">
        <f aca="false">IFERROR(IF(OR(AK298&lt;=0,AK302/AK298&lt;0,AK302/AK298&gt;1),0,AK302/AK298),0)</f>
        <v>0.472594586899605</v>
      </c>
      <c r="AL303" s="33" t="n">
        <f aca="false">IFERROR(IF(OR(AL298&lt;=0,AL302/AL298&lt;0,AL302/AL298&gt;1),0,AL302/AL298),0)</f>
        <v>0.454973818656235</v>
      </c>
      <c r="AM303" s="33" t="n">
        <f aca="false">IFERROR(IF(OR(AM298&lt;=0,AM302/AM298&lt;0,AM302/AM298&gt;1),0,AM302/AM298),0)</f>
        <v>0.46523255404007</v>
      </c>
      <c r="AN303" s="33" t="n">
        <f aca="false">IFERROR(IF(OR(AN298&lt;=0,AN302/AN298&lt;0,AN302/AN298&gt;1),0,AN302/AN298),0)</f>
        <v>0.459148292906307</v>
      </c>
      <c r="AO303" s="33" t="n">
        <f aca="false">IFERROR(IF(OR(AO298&lt;=0,AO302/AO298&lt;0,AO302/AO298&gt;1),0,AO302/AO298),0)</f>
        <v>0.466492725321174</v>
      </c>
      <c r="AP303" s="33" t="n">
        <f aca="false">IFERROR(IF(OR(AP298&lt;=0,AP302/AP298&lt;0,AP302/AP298&gt;1),0,AP302/AP298),0)</f>
        <v>0.378047790199754</v>
      </c>
      <c r="AQ303" s="33" t="n">
        <f aca="false">IFERROR(IF(OR(AQ298&lt;=0,AQ302/AQ298&lt;0,AQ302/AQ298&gt;1),0,AQ302/AQ298),0)</f>
        <v>0.477737277652719</v>
      </c>
      <c r="AR303" s="33" t="n">
        <f aca="false">IFERROR(IF(OR(AR298&lt;=0,AR302/AR298&lt;0,AR302/AR298&gt;1),0,AR302/AR298),0)</f>
        <v>0.499941456681047</v>
      </c>
      <c r="AS303" s="33" t="n">
        <f aca="false">IFERROR(IF(OR(AS298&lt;=0,AS302/AS298&lt;0,AS302/AS298&gt;1),0,AS302/AS298),0)</f>
        <v>0.51551177706083</v>
      </c>
      <c r="AT303" s="33" t="n">
        <f aca="false">IFERROR(IF(OR(AT298&lt;=0,AT302/AT298&lt;0,AT302/AT298&gt;1),0,AT302/AT298),0)</f>
        <v>0.543844602866766</v>
      </c>
      <c r="AU303" s="33" t="n">
        <f aca="false">IFERROR(IF(OR(AU298&lt;=0,AU302/AU298&lt;0,AU302/AU298&gt;1),0,AU302/AU298),0)</f>
        <v>0.394624771360711</v>
      </c>
      <c r="AV303" s="33" t="n">
        <f aca="false">IFERROR(IF(OR(AV298&lt;=0,AV302/AV298&lt;0,AV302/AV298&gt;1),0,AV302/AV298),0)</f>
        <v>0.389244588148643</v>
      </c>
      <c r="AW303" s="33" t="n">
        <f aca="false">IFERROR(IF(OR(AW298&lt;=0,AW302/AW298&lt;0,AW302/AW298&gt;1),0,AW302/AW298),0)</f>
        <v>0.370392613939892</v>
      </c>
      <c r="AX303" s="33" t="n">
        <f aca="false">IFERROR(IF(OR(AX298&lt;=0,AX302/AX298&lt;0,AX302/AX298&gt;1),0,AX302/AX298),0)</f>
        <v>0.439269297908488</v>
      </c>
      <c r="AY303" s="33" t="n">
        <f aca="false">IFERROR(IF(OR(AY298&lt;=0,AY302/AY298&lt;0,AY302/AY298&gt;1),0,AY302/AY298),0)</f>
        <v>0.423564721671723</v>
      </c>
      <c r="AZ303" s="33" t="n">
        <f aca="false">IFERROR(IF(OR(AZ298&lt;=0,AZ302/AZ298&lt;0,AZ302/AZ298&gt;1),0,AZ302/AZ298),0)</f>
        <v>0.386261077811131</v>
      </c>
      <c r="BA303" s="33" t="n">
        <f aca="false">IFERROR(IF(OR(BA298&lt;=0,BA302/BA298&lt;0,BA302/BA298&gt;1),0,BA302/BA298),0)</f>
        <v>0.386299685699796</v>
      </c>
      <c r="BB303" s="33" t="n">
        <f aca="false">IFERROR(IF(OR(BB298&lt;=0,BB302/BB298&lt;0,BB302/BB298&gt;1),0,BB302/BB298),0)</f>
        <v>0.272541269105403</v>
      </c>
      <c r="BC303" s="33" t="n">
        <f aca="false">IFERROR(IF(OR(BC298&lt;=0,BC302/BC298&lt;0,BC302/BC298&gt;1),0,BC302/BC298),0)</f>
        <v>0.25985025590013</v>
      </c>
      <c r="BD303" s="33" t="n">
        <f aca="false">IFERROR(IF(OR(BD298&lt;=0,BD302/BD298&lt;0,BD302/BD298&gt;1),0,BD302/BD298),0)</f>
        <v>0.423790475947306</v>
      </c>
      <c r="BE303" s="33" t="n">
        <f aca="false">IFERROR(IF(OR(BE298&lt;=0,BE302/BE298&lt;0,BE302/BE298&gt;1),0,BE302/BE298),0)</f>
        <v>0.406540334671885</v>
      </c>
      <c r="BF303" s="33" t="n">
        <f aca="false">IFERROR(IF(OR(BF298&lt;=0,BF302/BF298&lt;0,BF302/BF298&gt;1),0,BF302/BF298),0)</f>
        <v>0.382565348736382</v>
      </c>
      <c r="BG303" s="33" t="n">
        <f aca="false">IFERROR(IF(OR(BG298&lt;=0,BG302/BG298&lt;0,BG302/BG298&gt;1),0,BG302/BG298),0)</f>
        <v>0.421429663610834</v>
      </c>
      <c r="BH303" s="33" t="n">
        <f aca="false">IFERROR(IF(OR(BH298&lt;=0,BH302/BH298&lt;0,BH302/BH298&gt;1),0,BH302/BH298),0)</f>
        <v>0.398186500395349</v>
      </c>
      <c r="BI303" s="33" t="n">
        <f aca="false">IFERROR(IF(OR(BI298&lt;=0,BI302/BI298&lt;0,BI302/BI298&gt;1),0,BI302/BI298),0)</f>
        <v>0.273548339448498</v>
      </c>
      <c r="BJ303" s="33" t="n">
        <f aca="false">IFERROR(IF(OR(BJ298&lt;=0,BJ302/BJ298&lt;0,BJ302/BJ298&gt;1),0,BJ302/BJ298),0)</f>
        <v>0.273068622783999</v>
      </c>
      <c r="BK303" s="33" t="n">
        <f aca="false">IFERROR(IF(OR(BK298&lt;=0,BK302/BK298&lt;0,BK302/BK298&gt;1),0,BK302/BK298),0)</f>
        <v>0.275892356510007</v>
      </c>
      <c r="BL303" s="33" t="n">
        <f aca="false">IFERROR(IF(OR(BL298&lt;=0,BL302/BL298&lt;0,BL302/BL298&gt;1),0,BL302/BL298),0)</f>
        <v>0.254469633861748</v>
      </c>
      <c r="BM303" s="33" t="n">
        <f aca="false">IFERROR(IF(OR(BM298&lt;=0,BM302/BM298&lt;0,BM302/BM298&gt;1),0,BM302/BM298),0)</f>
        <v>0.28478824866437</v>
      </c>
      <c r="BN303" s="33" t="n">
        <f aca="false">IFERROR(IF(OR(BN298&lt;=0,BN302/BN298&lt;0,BN302/BN298&gt;1),0,BN302/BN298),0)</f>
        <v>0.243392928589837</v>
      </c>
      <c r="BO303" s="33" t="n">
        <f aca="false">IFERROR(IF(OR(BO298&lt;=0,BO302/BO298&lt;0,BO302/BO298&gt;1),0,BO302/BO298),0)</f>
        <v>0.20279441431532</v>
      </c>
      <c r="BP303" s="33" t="n">
        <f aca="false">IFERROR(IF(OR(BP298&lt;=0,BP302/BP298&lt;0,BP302/BP298&gt;1),0,BP302/BP298),0)</f>
        <v>0.185486616252437</v>
      </c>
      <c r="BQ303" s="33" t="n">
        <f aca="false">IFERROR(IF(OR(BQ298&lt;=0,BQ302/BQ298&lt;0,BQ302/BQ298&gt;1),0,BQ302/BQ298),0)</f>
        <v>0.215041104013423</v>
      </c>
      <c r="BR303" s="33" t="n">
        <f aca="false">IFERROR(IF(OR(BR298&lt;=0,BR302/BR298&lt;0,BR302/BR298&gt;1),0,BR302/BR298),0)</f>
        <v>0.264836359314634</v>
      </c>
      <c r="BS303" s="33" t="n">
        <f aca="false">IFERROR(IF(OR(BS298&lt;=0,BS302/BS298&lt;0,BS302/BS298&gt;1),0,BS302/BS298),0)</f>
        <v>0.15630145746246</v>
      </c>
      <c r="BT303" s="33" t="n">
        <f aca="false">IFERROR(IF(OR(BT298&lt;=0,BT302/BT298&lt;0,BT302/BT298&gt;1),0,BT302/BT298),0)</f>
        <v>0.0619719862933257</v>
      </c>
      <c r="BU303" s="33" t="n">
        <f aca="false">IFERROR(IF(OR(BU298&lt;=0,BU302/BU298&lt;0,BU302/BU298&gt;1),0,BU302/BU298),0)</f>
        <v>0.0589443206087776</v>
      </c>
      <c r="BV303" s="33" t="n">
        <f aca="false">IFERROR(IF(OR(BV298&lt;=0,BV302/BV298&lt;0,BV302/BV298&gt;1),0,BV302/BV298),0)</f>
        <v>0</v>
      </c>
      <c r="BW303" s="33" t="n">
        <f aca="false">IFERROR(IF(OR(BW298&lt;=0,BW302/BW298&lt;0,BW302/BW298&gt;1),0,BW302/BW298),0)</f>
        <v>0</v>
      </c>
      <c r="BX303" s="33" t="n">
        <f aca="false">IFERROR(IF(OR(BX298&lt;=0,BX302/BX298&lt;0,BX302/BX298&gt;1),0,BX302/BX298),0)</f>
        <v>0</v>
      </c>
      <c r="BY303" s="33" t="n">
        <f aca="false">IFERROR(IF(OR(BY298&lt;=0,BY302/BY298&lt;0,BY302/BY298&gt;1),0,BY302/BY298),0)</f>
        <v>0</v>
      </c>
      <c r="BZ303" s="33" t="n">
        <f aca="false">IFERROR(IF(OR(BZ298&lt;=0,BZ302/BZ298&lt;0,BZ302/BZ298&gt;1),0,BZ302/BZ298),0)</f>
        <v>0</v>
      </c>
      <c r="CA303" s="33" t="n">
        <f aca="false">IFERROR(IF(OR(CA298&lt;=0,CA302/CA298&lt;0,CA302/CA298&gt;1),0,CA302/CA298),0)</f>
        <v>0</v>
      </c>
      <c r="CB303" s="33" t="n">
        <f aca="false">IFERROR(IF(OR(CB298&lt;=0,CB302/CB298&lt;0,CB302/CB298&gt;1),0,CB302/CB298),0)</f>
        <v>0</v>
      </c>
      <c r="CC303" s="33" t="n">
        <f aca="false">IFERROR(IF(OR(CC298&lt;=0,CC302/CC298&lt;0,CC302/CC298&gt;1),0,CC302/CC298),0)</f>
        <v>0</v>
      </c>
      <c r="CD303" s="33" t="n">
        <f aca="false">IFERROR(IF(OR(CD298&lt;=0,CD302/CD298&lt;0,CD302/CD298&gt;1),0,CD302/CD298),0)</f>
        <v>0</v>
      </c>
      <c r="CE303" s="33" t="n">
        <f aca="false">IFERROR(IF(OR(CE298&lt;=0,CE302/CE298&lt;0,CE302/CE298&gt;1),0,CE302/CE298),0)</f>
        <v>0</v>
      </c>
      <c r="CF303" s="33" t="n">
        <f aca="false">IFERROR(IF(OR(CF298&lt;=0,CF302/CF298&lt;0,CF302/CF298&gt;1),0,CF302/CF298),0)</f>
        <v>0</v>
      </c>
      <c r="CG303" s="33" t="n">
        <f aca="false">IFERROR(IF(OR(CG298&lt;=0,CG302/CG298&lt;0,CG302/CG298&gt;1),0,CG302/CG298),0)</f>
        <v>0</v>
      </c>
      <c r="CH303" s="33" t="n">
        <f aca="false">IFERROR(IF(OR(CH298&lt;=0,CH302/CH298&lt;0,CH302/CH298&gt;1),0,CH302/CH298),0)</f>
        <v>0</v>
      </c>
      <c r="CI303" s="33" t="n">
        <f aca="false">IFERROR(IF(OR(CI298&lt;=0,CI302/CI298&lt;0,CI302/CI298&gt;1),0,CI302/CI298),0)</f>
        <v>0</v>
      </c>
      <c r="CJ303" s="33" t="n">
        <f aca="false">IFERROR(IF(OR(CJ298&lt;=0,CJ302/CJ298&lt;0,CJ302/CJ298&gt;1),0,CJ302/CJ298),0)</f>
        <v>0</v>
      </c>
      <c r="CK303" s="33" t="n">
        <f aca="false">IFERROR(IF(OR(CK298&lt;=0,CK302/CK298&lt;0,CK302/CK298&gt;1),0,CK302/CK298),0)</f>
        <v>0</v>
      </c>
      <c r="CL303" s="33" t="n">
        <f aca="false">IFERROR(IF(OR(CL298&lt;=0,CL302/CL298&lt;0,CL302/CL298&gt;1),0,CL302/CL298),0)</f>
        <v>0</v>
      </c>
      <c r="CM303" s="33" t="n">
        <f aca="false">IFERROR(IF(OR(CM298&lt;=0,CM302/CM298&lt;0,CM302/CM298&gt;1),0,CM302/CM298),0)</f>
        <v>0</v>
      </c>
      <c r="CN303" s="33" t="n">
        <f aca="false">IFERROR(IF(OR(CN298&lt;=0,CN302/CN298&lt;0,CN302/CN298&gt;1),0,CN302/CN298),0)</f>
        <v>0</v>
      </c>
      <c r="CO303" s="33" t="n">
        <f aca="false">IFERROR(IF(OR(CO298&lt;=0,CO302/CO298&lt;0,CO302/CO298&gt;1),0,CO302/CO298),0)</f>
        <v>0</v>
      </c>
      <c r="CP303" s="33" t="n">
        <f aca="false">IFERROR(IF(OR(CP298&lt;=0,CP302/CP298&lt;0,CP302/CP298&gt;1),0,CP302/CP298),0)</f>
        <v>0</v>
      </c>
      <c r="CQ303" s="33" t="n">
        <f aca="false">IFERROR(IF(OR(CQ298&lt;=0,CQ302/CQ298&lt;0,CQ302/CQ298&gt;1),0,CQ302/CQ298),0)</f>
        <v>0</v>
      </c>
      <c r="CR303" s="33" t="n">
        <f aca="false">IFERROR(IF(OR(CR298&lt;=0,CR302/CR298&lt;0,CR302/CR298&gt;1),0,CR302/CR298),0)</f>
        <v>0</v>
      </c>
      <c r="CS303" s="33" t="n">
        <f aca="false">IFERROR(IF(OR(CS298&lt;=0,CS302/CS298&lt;0,CS302/CS298&gt;1),0,CS302/CS298),0)</f>
        <v>0</v>
      </c>
      <c r="CT303" s="33" t="n">
        <f aca="false">IFERROR(IF(OR(CT298&lt;=0,CT302/CT298&lt;0,CT302/CT298&gt;1),0,CT302/CT298),0)</f>
        <v>0</v>
      </c>
      <c r="CU303" s="33" t="n">
        <f aca="false">IFERROR(IF(OR(CU298&lt;=0,CU302/CU298&lt;0,CU302/CU298&gt;1),0,CU302/CU298),0)</f>
        <v>0</v>
      </c>
      <c r="CV303" s="33" t="n">
        <f aca="false">IFERROR(IF(OR(CV298&lt;=0,CV302/CV298&lt;0,CV302/CV298&gt;1),0,CV302/CV298),0)</f>
        <v>0</v>
      </c>
      <c r="CW303" s="33" t="n">
        <f aca="false">IFERROR(IF(OR(CW298&lt;=0,CW302/CW298&lt;0,CW302/CW298&gt;1),0,CW302/CW298),0)</f>
        <v>0</v>
      </c>
      <c r="CX303" s="33" t="n">
        <f aca="false">IFERROR(IF(OR(CX298&lt;=0,CX302/CX298&lt;0,CX302/CX298&gt;1),0,CX302/CX298),0)</f>
        <v>0</v>
      </c>
      <c r="CY303" s="33" t="n">
        <f aca="false">IFERROR(IF(OR(CY298&lt;=0,CY302/CY298&lt;0,CY302/CY298&gt;1),0,CY302/CY298),0)</f>
        <v>0</v>
      </c>
      <c r="CZ303" s="33" t="n">
        <f aca="false">IFERROR(IF(OR(CZ298&lt;=0,CZ302/CZ298&lt;0,CZ302/CZ298&gt;1),0,CZ302/CZ298),0)</f>
        <v>0</v>
      </c>
      <c r="DA303" s="33" t="n">
        <f aca="false">IFERROR(IF(OR(DA298&lt;=0,DA302/DA298&lt;0,DA302/DA298&gt;1),0,DA302/DA298),0)</f>
        <v>0</v>
      </c>
      <c r="DB303" s="33" t="n">
        <f aca="false">IFERROR(IF(OR(DB298&lt;=0,DB302/DB298&lt;0,DB302/DB298&gt;1),0,DB302/DB298),0)</f>
        <v>0</v>
      </c>
      <c r="DC303" s="33" t="n">
        <f aca="false">IFERROR(IF(OR(DC298&lt;=0,DC302/DC298&lt;0,DC302/DC298&gt;1),0,DC302/DC298),0)</f>
        <v>0</v>
      </c>
      <c r="DD303" s="33" t="n">
        <f aca="false">IFERROR(IF(OR(DD298&lt;=0,DD302/DD298&lt;0,DD302/DD298&gt;1),0,DD302/DD298),0)</f>
        <v>0</v>
      </c>
      <c r="DE303" s="33" t="n">
        <f aca="false">IFERROR(IF(OR(DE298&lt;=0,DE302/DE298&lt;0,DE302/DE298&gt;1),0,DE302/DE298),0)</f>
        <v>0</v>
      </c>
    </row>
    <row r="304" customFormat="false" ht="15" hidden="false" customHeight="true" outlineLevel="0" collapsed="false">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c r="BZ304" s="3"/>
      <c r="CA304" s="3"/>
      <c r="CB304" s="3"/>
      <c r="CC304" s="3"/>
      <c r="CD304" s="3"/>
      <c r="CE304" s="3"/>
      <c r="CF304" s="3"/>
      <c r="CG304" s="3"/>
      <c r="CH304" s="3"/>
      <c r="CI304" s="3"/>
      <c r="CJ304" s="3"/>
      <c r="CK304" s="3"/>
      <c r="CL304" s="3"/>
      <c r="CM304" s="3"/>
      <c r="CN304" s="3"/>
      <c r="CO304" s="3"/>
      <c r="CP304" s="3"/>
      <c r="CQ304" s="3"/>
      <c r="CR304" s="3"/>
      <c r="CS304" s="3"/>
      <c r="CT304" s="3"/>
      <c r="CU304" s="3"/>
      <c r="CV304" s="3"/>
      <c r="CW304" s="3"/>
      <c r="CX304" s="3"/>
      <c r="CY304" s="3"/>
      <c r="CZ304" s="3"/>
      <c r="DA304" s="3"/>
      <c r="DB304" s="3"/>
      <c r="DC304" s="3"/>
      <c r="DD304" s="3"/>
      <c r="DE304" s="3"/>
    </row>
    <row r="305" customFormat="false" ht="15" hidden="false" customHeight="true" outlineLevel="0" collapsed="false">
      <c r="A305" s="40" t="s">
        <v>146</v>
      </c>
      <c r="B305" s="13" t="n">
        <f aca="false">ROUND(B302-(Budget!C57+Budget!C114),2)</f>
        <v>-118338.95</v>
      </c>
      <c r="C305" s="13" t="n">
        <f aca="false">ROUND(C302-(Budget!D57+Budget!D114),2)</f>
        <v>-396722.56</v>
      </c>
      <c r="D305" s="13" t="n">
        <f aca="false">ROUND(D302-(Budget!E57+Budget!E114),2)</f>
        <v>79136.02</v>
      </c>
      <c r="E305" s="13" t="n">
        <f aca="false">ROUND(E302-(Budget!F57+Budget!F114),2)</f>
        <v>243557.91</v>
      </c>
      <c r="F305" s="13" t="n">
        <f aca="false">ROUND(F302-(Budget!G57+Budget!G114),2)</f>
        <v>-311031.92</v>
      </c>
      <c r="G305" s="13" t="n">
        <f aca="false">ROUND(G302-(Budget!H57+Budget!H114),2)</f>
        <v>64656.62</v>
      </c>
      <c r="H305" s="13" t="n">
        <f aca="false">ROUND(H302-(Budget!I57+Budget!I114),2)</f>
        <v>1173237.17</v>
      </c>
      <c r="I305" s="13" t="n">
        <f aca="false">ROUND(I302-(Budget!J57+Budget!J114),2)</f>
        <v>-685720.92</v>
      </c>
      <c r="J305" s="13" t="n">
        <f aca="false">ROUND(J302-(Budget!K57+Budget!K114),2)</f>
        <v>-19182.7</v>
      </c>
      <c r="K305" s="13" t="n">
        <f aca="false">ROUND(K302-(Budget!L57+Budget!L114),2)</f>
        <v>65452</v>
      </c>
      <c r="L305" s="13" t="n">
        <f aca="false">ROUND(L302-(Budget!M57+Budget!M114),2)</f>
        <v>-104532.86</v>
      </c>
      <c r="M305" s="13" t="n">
        <f aca="false">ROUND(M302-(Budget!N57+Budget!N114),2)</f>
        <v>-528846.69</v>
      </c>
      <c r="N305" s="13" t="n">
        <f aca="false">ROUND(N302-(Budget!O57+Budget!O114),2)</f>
        <v>347218.13</v>
      </c>
      <c r="O305" s="13" t="n">
        <f aca="false">ROUND(O302-(Budget!P57+Budget!P114),2)</f>
        <v>202682.41</v>
      </c>
      <c r="P305" s="13" t="n">
        <f aca="false">ROUND(P302-(Budget!Q57+Budget!Q114),2)</f>
        <v>245520.76</v>
      </c>
      <c r="Q305" s="13" t="n">
        <f aca="false">ROUND(Q302-(Budget!R57+Budget!R114),2)</f>
        <v>-498555.79</v>
      </c>
      <c r="R305" s="13" t="n">
        <f aca="false">ROUND(R302-(Budget!S57+Budget!S114),2)</f>
        <v>13488.78</v>
      </c>
      <c r="S305" s="13" t="n">
        <f aca="false">ROUND(S302-(Budget!T57+Budget!T114),2)</f>
        <v>124552.05</v>
      </c>
      <c r="T305" s="13" t="n">
        <f aca="false">ROUND(T302-(Budget!U57+Budget!U114),2)</f>
        <v>158598.46</v>
      </c>
      <c r="U305" s="13" t="n">
        <f aca="false">ROUND(U302-(Budget!V57+Budget!V114),2)</f>
        <v>377742.46</v>
      </c>
      <c r="V305" s="13" t="n">
        <f aca="false">ROUND(V302-(Budget!W57+Budget!W114),2)</f>
        <v>502428.48</v>
      </c>
      <c r="W305" s="13" t="n">
        <f aca="false">ROUND(W302-(Budget!X57+Budget!X114),2)</f>
        <v>407314.44</v>
      </c>
      <c r="X305" s="13" t="n">
        <f aca="false">ROUND(X302-(Budget!Y57+Budget!Y114),2)</f>
        <v>717225.85</v>
      </c>
      <c r="Y305" s="13" t="n">
        <f aca="false">ROUND(Y302-(Budget!Z57+Budget!Z114),2)</f>
        <v>566846.46</v>
      </c>
      <c r="Z305" s="13" t="n">
        <f aca="false">ROUND(Z302-(Budget!AA57+Budget!AA114),2)</f>
        <v>703883.68</v>
      </c>
      <c r="AA305" s="13" t="n">
        <f aca="false">ROUND(AA302-(Budget!AB57+Budget!AB114),2)</f>
        <v>758274.22</v>
      </c>
      <c r="AB305" s="13" t="n">
        <f aca="false">ROUND(AB302-(Budget!AC57+Budget!AC114),2)</f>
        <v>754838.05</v>
      </c>
      <c r="AC305" s="13" t="n">
        <f aca="false">ROUND(AC302-(Budget!AD57+Budget!AD114),2)</f>
        <v>430456.68</v>
      </c>
      <c r="AD305" s="13" t="n">
        <f aca="false">ROUND(AD302-(Budget!AE57+Budget!AE114),2)</f>
        <v>513943.08</v>
      </c>
      <c r="AE305" s="13" t="n">
        <f aca="false">ROUND(AE302-(Budget!AF57+Budget!AF114),2)</f>
        <v>2572.89</v>
      </c>
      <c r="AF305" s="13" t="n">
        <f aca="false">ROUND(AF302-(Budget!AG57+Budget!AG114),2)</f>
        <v>850482.14</v>
      </c>
      <c r="AG305" s="13" t="n">
        <f aca="false">ROUND(AG302-(Budget!AH57+Budget!AH114),2)</f>
        <v>872120.29</v>
      </c>
      <c r="AH305" s="13" t="n">
        <f aca="false">ROUND(AH302-(Budget!AI57+Budget!AI114),2)</f>
        <v>819437.42</v>
      </c>
      <c r="AI305" s="13" t="n">
        <f aca="false">ROUND(AI302-(Budget!AJ57+Budget!AJ114),2)</f>
        <v>844938.57</v>
      </c>
      <c r="AJ305" s="13" t="n">
        <f aca="false">ROUND(AJ302-(Budget!AK57+Budget!AK114),2)</f>
        <v>723802.82</v>
      </c>
      <c r="AK305" s="13" t="n">
        <f aca="false">ROUND(AK302-(Budget!AL57+Budget!AL114),2)</f>
        <v>740501.46</v>
      </c>
      <c r="AL305" s="13" t="n">
        <f aca="false">ROUND(AL302-(Budget!AM57+Budget!AM114),2)</f>
        <v>749198.43</v>
      </c>
      <c r="AM305" s="13" t="n">
        <f aca="false">ROUND(AM302-(Budget!AN57+Budget!AN114),2)</f>
        <v>718930.47</v>
      </c>
      <c r="AN305" s="13" t="n">
        <f aca="false">ROUND(AN302-(Budget!AO57+Budget!AO114),2)</f>
        <v>707913.62</v>
      </c>
      <c r="AO305" s="13" t="n">
        <f aca="false">ROUND(AO302-(Budget!AP57+Budget!AP114),2)</f>
        <v>736288.96</v>
      </c>
      <c r="AP305" s="13" t="n">
        <f aca="false">ROUND(AP302-(Budget!AQ57+Budget!AQ114),2)</f>
        <v>511839.09</v>
      </c>
      <c r="AQ305" s="13" t="n">
        <f aca="false">ROUND(AQ302-(Budget!AR57+Budget!AR114),2)</f>
        <v>835740.34</v>
      </c>
      <c r="AR305" s="13" t="n">
        <f aca="false">ROUND(AR302-(Budget!AS57+Budget!AS114),2)</f>
        <v>867678.71</v>
      </c>
      <c r="AS305" s="13" t="n">
        <f aca="false">ROUND(AS302-(Budget!AT57+Budget!AT114),2)</f>
        <v>883554.31</v>
      </c>
      <c r="AT305" s="13" t="n">
        <f aca="false">ROUND(AT302-(Budget!AU57+Budget!AU114),2)</f>
        <v>1176825.71</v>
      </c>
      <c r="AU305" s="13" t="n">
        <f aca="false">ROUND(AU302-(Budget!AV57+Budget!AV114),2)</f>
        <v>657798.94</v>
      </c>
      <c r="AV305" s="13" t="n">
        <f aca="false">ROUND(AV302-(Budget!AW57+Budget!AW114),2)</f>
        <v>574028.65</v>
      </c>
      <c r="AW305" s="13" t="n">
        <f aca="false">ROUND(AW302-(Budget!AX57+Budget!AX114),2)</f>
        <v>571651.44</v>
      </c>
      <c r="AX305" s="13" t="n">
        <f aca="false">ROUND(AX302-(Budget!AY57+Budget!AY114),2)</f>
        <v>660029.44</v>
      </c>
      <c r="AY305" s="13" t="n">
        <f aca="false">ROUND(AY302-(Budget!AZ57+Budget!AZ114),2)</f>
        <v>676842.45</v>
      </c>
      <c r="AZ305" s="13" t="n">
        <f aca="false">ROUND(AZ302-(Budget!BA57+Budget!BA114),2)</f>
        <v>631844.71</v>
      </c>
      <c r="BA305" s="13" t="n">
        <f aca="false">ROUND(BA302-(Budget!BB57+Budget!BB114),2)</f>
        <v>593211.92</v>
      </c>
      <c r="BB305" s="13" t="n">
        <f aca="false">ROUND(BB302-(Budget!BC57+Budget!BC114),2)</f>
        <v>345955.96</v>
      </c>
      <c r="BC305" s="13" t="n">
        <f aca="false">ROUND(BC302-(Budget!BD57+Budget!BD114),2)</f>
        <v>641384.98</v>
      </c>
      <c r="BD305" s="13" t="n">
        <f aca="false">ROUND(BD302-(Budget!BE57+Budget!BE114),2)</f>
        <v>657889.95</v>
      </c>
      <c r="BE305" s="13" t="n">
        <f aca="false">ROUND(BE302-(Budget!BF57+Budget!BF114),2)</f>
        <v>638277.62</v>
      </c>
      <c r="BF305" s="13" t="n">
        <f aca="false">ROUND(BF302-(Budget!BG57+Budget!BG114),2)</f>
        <v>636723.94</v>
      </c>
      <c r="BG305" s="13" t="n">
        <f aca="false">ROUND(BG302-(Budget!BH57+Budget!BH114),2)</f>
        <v>653681.19</v>
      </c>
      <c r="BH305" s="13" t="n">
        <f aca="false">ROUND(BH302-(Budget!BI57+Budget!BI114),2)</f>
        <v>617923.14</v>
      </c>
      <c r="BI305" s="13" t="n">
        <f aca="false">ROUND(BI302-(Budget!BJ57+Budget!BJ114),2)</f>
        <v>387100.45</v>
      </c>
      <c r="BJ305" s="13" t="n">
        <f aca="false">ROUND(BJ302-(Budget!BK57+Budget!BK114),2)</f>
        <v>301253.5</v>
      </c>
      <c r="BK305" s="13" t="n">
        <f aca="false">ROUND(BK302-(Budget!BL57+Budget!BL114),2)</f>
        <v>304250.01</v>
      </c>
      <c r="BL305" s="13" t="n">
        <f aca="false">ROUND(BL302-(Budget!BM57+Budget!BM114),2)</f>
        <v>313819.85</v>
      </c>
      <c r="BM305" s="13" t="n">
        <f aca="false">ROUND(BM302-(Budget!BN57+Budget!BN114),2)</f>
        <v>351365.27</v>
      </c>
      <c r="BN305" s="13" t="n">
        <f aca="false">ROUND(BN302-(Budget!BO57+Budget!BO114),2)</f>
        <v>269420.53</v>
      </c>
      <c r="BO305" s="13" t="n">
        <f aca="false">ROUND(BO302-(Budget!BP57+Budget!BP114),2)</f>
        <v>225227.98</v>
      </c>
      <c r="BP305" s="13" t="n">
        <f aca="false">ROUND(BP302-(Budget!BQ57+Budget!BQ114),2)</f>
        <v>160782.62</v>
      </c>
      <c r="BQ305" s="13" t="n">
        <f aca="false">ROUND(BQ302-(Budget!BR57+Budget!BR114),2)</f>
        <v>186400.9</v>
      </c>
      <c r="BR305" s="13" t="n">
        <f aca="false">ROUND(BR302-(Budget!BS57+Budget!BS114),2)</f>
        <v>291191.4</v>
      </c>
      <c r="BS305" s="13" t="n">
        <f aca="false">ROUND(BS302-(Budget!BT57+Budget!BT114),2)</f>
        <v>138307.07</v>
      </c>
      <c r="BT305" s="13" t="n">
        <f aca="false">ROUND(BT302-(Budget!BU57+Budget!BU114),2)</f>
        <v>47003.48</v>
      </c>
      <c r="BU305" s="13" t="n">
        <f aca="false">ROUND(BU302-(Budget!BV57+Budget!BV114),2)</f>
        <v>47778.62</v>
      </c>
      <c r="BV305" s="13" t="n">
        <f aca="false">ROUND(BV302-(Budget!BW57+Budget!BW114),2)</f>
        <v>-94811.58</v>
      </c>
      <c r="BW305" s="13" t="n">
        <f aca="false">ROUND(BW302-(Budget!BX57+Budget!BX114),2)</f>
        <v>-186403.09</v>
      </c>
      <c r="BX305" s="13" t="n">
        <f aca="false">ROUND(BX302-(Budget!BY57+Budget!BY114),2)</f>
        <v>-199230.73</v>
      </c>
      <c r="BY305" s="13" t="n">
        <f aca="false">ROUND(BY302-(Budget!BZ57+Budget!BZ114),2)</f>
        <v>-363087.76</v>
      </c>
      <c r="BZ305" s="13" t="n">
        <f aca="false">ROUND(BZ302-(Budget!CA57+Budget!CA114),2)</f>
        <v>-455318.76</v>
      </c>
      <c r="CA305" s="13" t="n">
        <f aca="false">ROUND(CA302-(Budget!CB57+Budget!CB114),2)</f>
        <v>-568143.26</v>
      </c>
      <c r="CB305" s="13" t="n">
        <f aca="false">ROUND(CB302-(Budget!CC57+Budget!CC114),2)</f>
        <v>-635905.26</v>
      </c>
      <c r="CC305" s="13" t="n">
        <f aca="false">ROUND(CC302-(Budget!CD57+Budget!CD114),2)</f>
        <v>-635905.26</v>
      </c>
      <c r="CD305" s="13" t="n">
        <f aca="false">ROUND(CD302-(Budget!CE57+Budget!CE114),2)</f>
        <v>-559406.26</v>
      </c>
      <c r="CE305" s="13" t="n">
        <f aca="false">ROUND(CE302-(Budget!CF57+Budget!CF114),2)</f>
        <v>-635905.26</v>
      </c>
      <c r="CF305" s="13" t="n">
        <f aca="false">ROUND(CF302-(Budget!CG57+Budget!CG114),2)</f>
        <v>-635905.26</v>
      </c>
      <c r="CG305" s="13" t="n">
        <f aca="false">ROUND(CG302-(Budget!CH57+Budget!CH114),2)</f>
        <v>-559406.26</v>
      </c>
      <c r="CH305" s="13" t="n">
        <f aca="false">ROUND(CH302-(Budget!CI57+Budget!CI114),2)</f>
        <v>-635905.26</v>
      </c>
      <c r="CI305" s="13" t="n">
        <f aca="false">ROUND(CI302-(Budget!CJ57+Budget!CJ114),2)</f>
        <v>-635905.26</v>
      </c>
      <c r="CJ305" s="13" t="n">
        <f aca="false">ROUND(CJ302-(Budget!CK57+Budget!CK114),2)</f>
        <v>-552798.24</v>
      </c>
      <c r="CK305" s="13" t="n">
        <f aca="false">ROUND(CK302-(Budget!CL57+Budget!CL114),2)</f>
        <v>-490662.37</v>
      </c>
      <c r="CL305" s="13" t="n">
        <f aca="false">ROUND(CL302-(Budget!CM57+Budget!CM114),2)</f>
        <v>-490662.37</v>
      </c>
      <c r="CM305" s="13" t="n">
        <f aca="false">ROUND(CM302-(Budget!CN57+Budget!CN114),2)</f>
        <v>-490662.37</v>
      </c>
      <c r="CN305" s="13" t="n">
        <f aca="false">ROUND(CN302-(Budget!CO57+Budget!CO114),2)</f>
        <v>-490662.37</v>
      </c>
      <c r="CO305" s="13" t="n">
        <f aca="false">ROUND(CO302-(Budget!CP57+Budget!CP114),2)</f>
        <v>-490662.37</v>
      </c>
      <c r="CP305" s="13" t="n">
        <f aca="false">ROUND(CP302-(Budget!CQ57+Budget!CQ114),2)</f>
        <v>-490662.37</v>
      </c>
      <c r="CQ305" s="13" t="n">
        <f aca="false">ROUND(CQ302-(Budget!CR57+Budget!CR114),2)</f>
        <v>-490662.37</v>
      </c>
      <c r="CR305" s="13" t="n">
        <f aca="false">ROUND(CR302-(Budget!CS57+Budget!CS114),2)</f>
        <v>-490662.37</v>
      </c>
      <c r="CS305" s="13" t="n">
        <f aca="false">ROUND(CS302-(Budget!CT57+Budget!CT114),2)</f>
        <v>-490662.37</v>
      </c>
      <c r="CT305" s="13" t="n">
        <f aca="false">ROUND(CT302-(Budget!CU57+Budget!CU114),2)</f>
        <v>-429860.24</v>
      </c>
      <c r="CU305" s="13" t="n">
        <f aca="false">ROUND(CU302-(Budget!CV57+Budget!CV114),2)</f>
        <v>-429860.24</v>
      </c>
      <c r="CV305" s="13" t="n">
        <f aca="false">ROUND(CV302-(Budget!CW57+Budget!CW114),2)</f>
        <v>-429860.24</v>
      </c>
      <c r="CW305" s="13" t="n">
        <f aca="false">ROUND(CW302-(Budget!CX57+Budget!CX114),2)</f>
        <v>-385806.51</v>
      </c>
      <c r="CX305" s="13" t="n">
        <f aca="false">ROUND(CX302-(Budget!CY57+Budget!CY114),2)</f>
        <v>-368359.66</v>
      </c>
      <c r="CY305" s="13" t="n">
        <f aca="false">ROUND(CY302-(Budget!CZ57+Budget!CZ114),2)</f>
        <v>-368359.66</v>
      </c>
      <c r="CZ305" s="13" t="n">
        <f aca="false">ROUND(CZ302-(Budget!DA57+Budget!DA114),2)</f>
        <v>-368359.66</v>
      </c>
      <c r="DA305" s="13" t="n">
        <f aca="false">ROUND(DA302-(Budget!DB57+Budget!DB114),2)</f>
        <v>-368359.66</v>
      </c>
      <c r="DB305" s="13" t="n">
        <f aca="false">ROUND(DB302-(Budget!DC57+Budget!DC114),2)</f>
        <v>-368359.66</v>
      </c>
      <c r="DC305" s="13" t="n">
        <f aca="false">ROUND(DC302-(Budget!DD57+Budget!DD114),2)</f>
        <v>-368359.66</v>
      </c>
      <c r="DD305" s="13" t="n">
        <f aca="false">ROUND(DD302-(Budget!DE57+Budget!DE114),2)</f>
        <v>-368359.66</v>
      </c>
      <c r="DE305" s="13" t="n">
        <f aca="false">ROUND(DE302-(Budget!DF57+Budget!DF114),2)</f>
        <v>-368359.66</v>
      </c>
    </row>
    <row r="306" customFormat="false" ht="15" hidden="false" customHeight="true" outlineLevel="0" collapsed="false">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c r="BY306" s="3"/>
      <c r="BZ306" s="3"/>
      <c r="CA306" s="3"/>
      <c r="CB306" s="3"/>
      <c r="CC306" s="3"/>
      <c r="CD306" s="3"/>
      <c r="CE306" s="3"/>
      <c r="CF306" s="3"/>
      <c r="CG306" s="3"/>
      <c r="CH306" s="3"/>
      <c r="CI306" s="3"/>
      <c r="CJ306" s="3"/>
      <c r="CK306" s="3"/>
      <c r="CL306" s="3"/>
      <c r="CM306" s="3"/>
      <c r="CN306" s="3"/>
      <c r="CO306" s="3"/>
      <c r="CP306" s="3"/>
      <c r="CQ306" s="3"/>
      <c r="CR306" s="3"/>
      <c r="CS306" s="3"/>
      <c r="CT306" s="3"/>
      <c r="CU306" s="3"/>
      <c r="CV306" s="3"/>
      <c r="CW306" s="3"/>
      <c r="CX306" s="3"/>
      <c r="CY306" s="3"/>
      <c r="CZ306" s="3"/>
      <c r="DA306" s="3"/>
      <c r="DB306" s="3"/>
      <c r="DC306" s="3"/>
      <c r="DD306" s="3"/>
      <c r="DE306" s="3"/>
    </row>
    <row r="307" customFormat="false" ht="15" hidden="false" customHeight="true" outlineLevel="0" collapsed="false">
      <c r="A307" s="44" t="s">
        <v>147</v>
      </c>
      <c r="B307" s="39"/>
      <c r="C307" s="39"/>
      <c r="D307" s="39"/>
      <c r="E307" s="39"/>
      <c r="F307" s="39"/>
      <c r="G307" s="39"/>
      <c r="H307" s="39"/>
      <c r="I307" s="39"/>
      <c r="J307" s="39"/>
      <c r="K307" s="39"/>
      <c r="L307" s="39"/>
      <c r="M307" s="39"/>
      <c r="N307" s="39"/>
      <c r="O307" s="39"/>
      <c r="P307" s="39"/>
      <c r="Q307" s="39"/>
      <c r="R307" s="39"/>
      <c r="S307" s="39"/>
      <c r="T307" s="39"/>
      <c r="U307" s="39"/>
      <c r="V307" s="39"/>
      <c r="W307" s="39"/>
      <c r="X307" s="39"/>
      <c r="Y307" s="39"/>
      <c r="Z307" s="39"/>
      <c r="AA307" s="39"/>
      <c r="AB307" s="39"/>
      <c r="AC307" s="39"/>
      <c r="AD307" s="39"/>
      <c r="AE307" s="39"/>
      <c r="AF307" s="39"/>
      <c r="AG307" s="39"/>
      <c r="AH307" s="39"/>
      <c r="AI307" s="39"/>
      <c r="AJ307" s="39"/>
      <c r="AK307" s="39"/>
      <c r="AL307" s="39"/>
      <c r="AM307" s="39"/>
      <c r="AN307" s="39"/>
      <c r="AO307" s="39"/>
      <c r="AP307" s="39"/>
      <c r="AQ307" s="39"/>
      <c r="AR307" s="39"/>
      <c r="AS307" s="39"/>
      <c r="AT307" s="39"/>
      <c r="AU307" s="39"/>
      <c r="AV307" s="39"/>
      <c r="AW307" s="39"/>
      <c r="AX307" s="39"/>
      <c r="AY307" s="39"/>
      <c r="AZ307" s="39"/>
      <c r="BA307" s="39"/>
      <c r="BB307" s="39"/>
      <c r="BC307" s="39"/>
      <c r="BD307" s="39"/>
      <c r="BE307" s="39"/>
      <c r="BF307" s="39"/>
      <c r="BG307" s="39"/>
      <c r="BH307" s="39"/>
      <c r="BI307" s="39"/>
      <c r="BJ307" s="39"/>
      <c r="BK307" s="39"/>
      <c r="BL307" s="39"/>
      <c r="BM307" s="39"/>
      <c r="BN307" s="39"/>
      <c r="BO307" s="39"/>
      <c r="BP307" s="39"/>
      <c r="BQ307" s="39"/>
      <c r="BR307" s="39"/>
      <c r="BS307" s="39"/>
      <c r="BT307" s="39"/>
      <c r="BU307" s="39"/>
      <c r="BV307" s="39"/>
      <c r="BW307" s="39"/>
      <c r="BX307" s="39"/>
      <c r="BY307" s="39"/>
      <c r="BZ307" s="39"/>
      <c r="CA307" s="39"/>
      <c r="CB307" s="39"/>
      <c r="CC307" s="39"/>
      <c r="CD307" s="39"/>
      <c r="CE307" s="39"/>
      <c r="CF307" s="39"/>
      <c r="CG307" s="39"/>
      <c r="CH307" s="39"/>
      <c r="CI307" s="39"/>
      <c r="CJ307" s="39"/>
      <c r="CK307" s="39"/>
      <c r="CL307" s="39"/>
      <c r="CM307" s="39"/>
      <c r="CN307" s="39"/>
      <c r="CO307" s="39"/>
      <c r="CP307" s="39"/>
      <c r="CQ307" s="39"/>
      <c r="CR307" s="39"/>
      <c r="CS307" s="39"/>
      <c r="CT307" s="39"/>
      <c r="CU307" s="39"/>
      <c r="CV307" s="39"/>
      <c r="CW307" s="39"/>
      <c r="CX307" s="39"/>
      <c r="CY307" s="39"/>
      <c r="CZ307" s="39"/>
      <c r="DA307" s="39"/>
      <c r="DB307" s="39"/>
      <c r="DC307" s="39"/>
      <c r="DD307" s="39"/>
      <c r="DE307" s="39"/>
    </row>
    <row r="308" customFormat="false" ht="19.5" hidden="false" customHeight="true" outlineLevel="0" collapsed="false">
      <c r="A308" s="22" t="s">
        <v>148</v>
      </c>
      <c r="B308" s="13"/>
      <c r="C308" s="13"/>
      <c r="D308" s="13"/>
      <c r="E308" s="13" t="n">
        <f aca="false">Assumptions!$B$33</f>
        <v>1615485</v>
      </c>
      <c r="F308" s="13" t="n">
        <f aca="false">E311</f>
        <v>1615485</v>
      </c>
      <c r="G308" s="13" t="n">
        <f aca="false">F311</f>
        <v>1615485</v>
      </c>
      <c r="H308" s="13" t="n">
        <f aca="false">G311</f>
        <v>1676065.6875</v>
      </c>
      <c r="I308" s="13" t="n">
        <f aca="false">H311</f>
        <v>1676065.6875</v>
      </c>
      <c r="J308" s="13" t="n">
        <f aca="false">I311</f>
        <v>1676065.6875</v>
      </c>
      <c r="K308" s="13" t="n">
        <f aca="false">J311</f>
        <v>1738918.15078125</v>
      </c>
      <c r="L308" s="13" t="n">
        <f aca="false">K311</f>
        <v>1738918.15078125</v>
      </c>
      <c r="M308" s="13" t="n">
        <f aca="false">L311</f>
        <v>1738918.15078125</v>
      </c>
      <c r="N308" s="13" t="n">
        <f aca="false">M311</f>
        <v>1804127.58143555</v>
      </c>
      <c r="O308" s="13" t="n">
        <f aca="false">N311</f>
        <v>1692127.58143555</v>
      </c>
      <c r="P308" s="13" t="n">
        <f aca="false">O311</f>
        <v>1580127.58143555</v>
      </c>
      <c r="Q308" s="13" t="n">
        <f aca="false">P311</f>
        <v>1527382.36573938</v>
      </c>
      <c r="R308" s="13" t="n">
        <f aca="false">Q311</f>
        <v>1415382.36573938</v>
      </c>
      <c r="S308" s="13" t="n">
        <f aca="false">R311</f>
        <v>1303382.36573938</v>
      </c>
      <c r="T308" s="13" t="n">
        <f aca="false">S311</f>
        <v>1240259.20445461</v>
      </c>
      <c r="U308" s="13" t="n">
        <f aca="false">T311</f>
        <v>1128259.20445461</v>
      </c>
      <c r="V308" s="13" t="n">
        <f aca="false">U311</f>
        <v>1016259.20445461</v>
      </c>
      <c r="W308" s="13" t="n">
        <f aca="false">V311</f>
        <v>942368.924621655</v>
      </c>
      <c r="X308" s="13" t="n">
        <f aca="false">W311</f>
        <v>830368.924621655</v>
      </c>
      <c r="Y308" s="13" t="n">
        <f aca="false">X311</f>
        <v>718368.924621655</v>
      </c>
      <c r="Z308" s="13" t="n">
        <f aca="false">Y311</f>
        <v>633307.759294967</v>
      </c>
      <c r="AA308" s="13" t="n">
        <f aca="false">Z311</f>
        <v>521307.759294967</v>
      </c>
      <c r="AB308" s="13" t="n">
        <f aca="false">AA311</f>
        <v>409307.759294967</v>
      </c>
      <c r="AC308" s="13" t="n">
        <f aca="false">AB311</f>
        <v>312656.800268528</v>
      </c>
      <c r="AD308" s="13" t="n">
        <f aca="false">AC311</f>
        <v>200656.800268528</v>
      </c>
      <c r="AE308" s="13" t="n">
        <f aca="false">AD311</f>
        <v>88656.8002685279</v>
      </c>
      <c r="AF308" s="13" t="n">
        <f aca="false">AE311</f>
        <v>0</v>
      </c>
      <c r="AG308" s="13" t="n">
        <f aca="false">AF311</f>
        <v>0</v>
      </c>
      <c r="AH308" s="13" t="n">
        <f aca="false">AG311</f>
        <v>0</v>
      </c>
      <c r="AI308" s="13" t="n">
        <f aca="false">AH311</f>
        <v>0</v>
      </c>
      <c r="AJ308" s="13" t="n">
        <f aca="false">AI311</f>
        <v>0</v>
      </c>
      <c r="AK308" s="13" t="n">
        <f aca="false">AJ311</f>
        <v>0</v>
      </c>
      <c r="AL308" s="13" t="n">
        <f aca="false">AK311</f>
        <v>0</v>
      </c>
      <c r="AM308" s="13" t="n">
        <f aca="false">AL311</f>
        <v>0</v>
      </c>
      <c r="AN308" s="13" t="n">
        <f aca="false">AM311</f>
        <v>0</v>
      </c>
      <c r="AO308" s="13" t="n">
        <f aca="false">AN311</f>
        <v>0</v>
      </c>
      <c r="AP308" s="13" t="n">
        <f aca="false">AO311</f>
        <v>0</v>
      </c>
      <c r="AQ308" s="13" t="n">
        <f aca="false">AP311</f>
        <v>0</v>
      </c>
      <c r="AR308" s="13" t="n">
        <f aca="false">AQ311</f>
        <v>0</v>
      </c>
      <c r="AS308" s="13" t="n">
        <f aca="false">AR311</f>
        <v>0</v>
      </c>
      <c r="AT308" s="13" t="n">
        <f aca="false">AS311</f>
        <v>0</v>
      </c>
      <c r="AU308" s="13" t="n">
        <f aca="false">AT311</f>
        <v>0</v>
      </c>
      <c r="AV308" s="13" t="n">
        <f aca="false">AU311</f>
        <v>0</v>
      </c>
      <c r="AW308" s="13" t="n">
        <f aca="false">AV311</f>
        <v>0</v>
      </c>
      <c r="AX308" s="13" t="n">
        <f aca="false">AW311</f>
        <v>0</v>
      </c>
      <c r="AY308" s="13" t="n">
        <f aca="false">AX311</f>
        <v>0</v>
      </c>
      <c r="AZ308" s="13" t="n">
        <f aca="false">AY311</f>
        <v>0</v>
      </c>
      <c r="BA308" s="13" t="n">
        <f aca="false">AZ311</f>
        <v>0</v>
      </c>
      <c r="BB308" s="13" t="n">
        <f aca="false">BA311</f>
        <v>0</v>
      </c>
      <c r="BC308" s="13" t="n">
        <f aca="false">BB311</f>
        <v>0</v>
      </c>
      <c r="BD308" s="13" t="n">
        <f aca="false">BC311</f>
        <v>0</v>
      </c>
      <c r="BE308" s="13" t="n">
        <f aca="false">BD311</f>
        <v>0</v>
      </c>
      <c r="BF308" s="13" t="n">
        <f aca="false">BE311</f>
        <v>0</v>
      </c>
      <c r="BG308" s="13" t="n">
        <f aca="false">BF311</f>
        <v>0</v>
      </c>
      <c r="BH308" s="13" t="n">
        <f aca="false">BG311</f>
        <v>0</v>
      </c>
      <c r="BI308" s="13" t="n">
        <f aca="false">BH311</f>
        <v>0</v>
      </c>
      <c r="BJ308" s="13" t="n">
        <f aca="false">BI311</f>
        <v>0</v>
      </c>
      <c r="BK308" s="13" t="n">
        <f aca="false">BJ311</f>
        <v>0</v>
      </c>
      <c r="BL308" s="13" t="n">
        <f aca="false">BK311</f>
        <v>0</v>
      </c>
      <c r="BM308" s="13" t="n">
        <f aca="false">BL311</f>
        <v>0</v>
      </c>
      <c r="BN308" s="13" t="n">
        <f aca="false">BM311</f>
        <v>0</v>
      </c>
      <c r="BO308" s="13" t="n">
        <f aca="false">BN311</f>
        <v>0</v>
      </c>
      <c r="BP308" s="13" t="n">
        <f aca="false">BO311</f>
        <v>0</v>
      </c>
      <c r="BQ308" s="13" t="n">
        <f aca="false">BP311</f>
        <v>0</v>
      </c>
      <c r="BR308" s="13" t="n">
        <f aca="false">BQ311</f>
        <v>0</v>
      </c>
      <c r="BS308" s="13" t="n">
        <f aca="false">BR311</f>
        <v>0</v>
      </c>
      <c r="BT308" s="13" t="n">
        <f aca="false">BS311</f>
        <v>0</v>
      </c>
      <c r="BU308" s="13" t="n">
        <f aca="false">BT311</f>
        <v>0</v>
      </c>
      <c r="BV308" s="13" t="n">
        <f aca="false">BU311</f>
        <v>0</v>
      </c>
      <c r="BW308" s="13" t="n">
        <f aca="false">BV311</f>
        <v>0</v>
      </c>
      <c r="BX308" s="13" t="n">
        <f aca="false">BW311</f>
        <v>0</v>
      </c>
      <c r="BY308" s="13" t="n">
        <f aca="false">BX311</f>
        <v>0</v>
      </c>
      <c r="BZ308" s="13" t="n">
        <f aca="false">BY311</f>
        <v>0</v>
      </c>
      <c r="CA308" s="13" t="n">
        <f aca="false">BZ311</f>
        <v>0</v>
      </c>
      <c r="CB308" s="13" t="n">
        <f aca="false">CA311</f>
        <v>0</v>
      </c>
      <c r="CC308" s="13" t="n">
        <f aca="false">CB311</f>
        <v>0</v>
      </c>
      <c r="CD308" s="13" t="n">
        <f aca="false">CC311</f>
        <v>0</v>
      </c>
      <c r="CE308" s="13" t="n">
        <f aca="false">CD311</f>
        <v>0</v>
      </c>
      <c r="CF308" s="13" t="n">
        <f aca="false">CE311</f>
        <v>0</v>
      </c>
      <c r="CG308" s="13" t="n">
        <f aca="false">CF311</f>
        <v>0</v>
      </c>
      <c r="CH308" s="13" t="n">
        <f aca="false">CG311</f>
        <v>0</v>
      </c>
      <c r="CI308" s="13" t="n">
        <f aca="false">CH311</f>
        <v>0</v>
      </c>
      <c r="CJ308" s="13" t="n">
        <f aca="false">CI311</f>
        <v>0</v>
      </c>
      <c r="CK308" s="13" t="n">
        <f aca="false">CJ311</f>
        <v>0</v>
      </c>
      <c r="CL308" s="13" t="n">
        <f aca="false">CK311</f>
        <v>0</v>
      </c>
      <c r="CM308" s="13" t="n">
        <f aca="false">CL311</f>
        <v>0</v>
      </c>
      <c r="CN308" s="13" t="n">
        <f aca="false">CM311</f>
        <v>0</v>
      </c>
      <c r="CO308" s="13" t="n">
        <f aca="false">CN311</f>
        <v>0</v>
      </c>
      <c r="CP308" s="13" t="n">
        <f aca="false">CO311</f>
        <v>0</v>
      </c>
      <c r="CQ308" s="13" t="n">
        <f aca="false">CP311</f>
        <v>0</v>
      </c>
      <c r="CR308" s="13" t="n">
        <f aca="false">CQ311</f>
        <v>0</v>
      </c>
      <c r="CS308" s="13" t="n">
        <f aca="false">CR311</f>
        <v>0</v>
      </c>
      <c r="CT308" s="13" t="n">
        <f aca="false">CS311</f>
        <v>0</v>
      </c>
      <c r="CU308" s="13" t="n">
        <f aca="false">CT311</f>
        <v>0</v>
      </c>
      <c r="CV308" s="13" t="n">
        <f aca="false">CU311</f>
        <v>0</v>
      </c>
      <c r="CW308" s="13" t="n">
        <f aca="false">CV311</f>
        <v>0</v>
      </c>
      <c r="CX308" s="13" t="n">
        <f aca="false">CW311</f>
        <v>0</v>
      </c>
      <c r="CY308" s="13" t="n">
        <f aca="false">CX311</f>
        <v>0</v>
      </c>
      <c r="CZ308" s="13" t="n">
        <f aca="false">CY311</f>
        <v>0</v>
      </c>
      <c r="DA308" s="13" t="n">
        <f aca="false">CZ311</f>
        <v>0</v>
      </c>
      <c r="DB308" s="13" t="n">
        <f aca="false">DA311</f>
        <v>0</v>
      </c>
      <c r="DC308" s="13" t="n">
        <f aca="false">DB311</f>
        <v>0</v>
      </c>
      <c r="DD308" s="13" t="n">
        <f aca="false">DC311</f>
        <v>0</v>
      </c>
      <c r="DE308" s="13" t="n">
        <f aca="false">DD311</f>
        <v>0</v>
      </c>
    </row>
    <row r="309" customFormat="false" ht="15" hidden="false" customHeight="true" outlineLevel="0" collapsed="false">
      <c r="A309" s="22" t="s">
        <v>149</v>
      </c>
      <c r="B309" s="13"/>
      <c r="C309" s="13"/>
      <c r="D309" s="13"/>
      <c r="E309" s="13" t="n">
        <f aca="false">IF(AND(MOD(1,3)=0,E308&gt;0),E308*Assumptions!$B$35,0)</f>
        <v>0</v>
      </c>
      <c r="F309" s="13" t="n">
        <f aca="false">IF(AND(MOD(2,3)=0,F308&gt;0),F308*Assumptions!$B$35,0)</f>
        <v>0</v>
      </c>
      <c r="G309" s="13" t="n">
        <f aca="false">IF(AND(MOD(3,3)=0,G308&gt;0),G308*Assumptions!$B$35,0)</f>
        <v>60580.6875</v>
      </c>
      <c r="H309" s="13" t="n">
        <f aca="false">IF(AND(MOD(4,3)=0,H308&gt;0),H308*Assumptions!$B$35,0)</f>
        <v>0</v>
      </c>
      <c r="I309" s="13" t="n">
        <f aca="false">IF(AND(MOD(5,3)=0,I308&gt;0),I308*Assumptions!$B$35,0)</f>
        <v>0</v>
      </c>
      <c r="J309" s="13" t="n">
        <f aca="false">IF(AND(MOD(6,3)=0,J308&gt;0),J308*Assumptions!$B$35,0)</f>
        <v>62852.46328125</v>
      </c>
      <c r="K309" s="13" t="n">
        <f aca="false">IF(AND(MOD(7,3)=0,K308&gt;0),K308*Assumptions!$B$35,0)</f>
        <v>0</v>
      </c>
      <c r="L309" s="13" t="n">
        <f aca="false">IF(AND(MOD(8,3)=0,L308&gt;0),L308*Assumptions!$B$35,0)</f>
        <v>0</v>
      </c>
      <c r="M309" s="13" t="n">
        <f aca="false">IF(AND(MOD(9,3)=0,M308&gt;0),M308*Assumptions!$B$35,0)</f>
        <v>65209.4306542969</v>
      </c>
      <c r="N309" s="13" t="n">
        <f aca="false">IF(AND(MOD(10,3)=0,N308&gt;0),N308*Assumptions!$B$35,0)</f>
        <v>0</v>
      </c>
      <c r="O309" s="13" t="n">
        <f aca="false">IF(AND(MOD(11,3)=0,O308&gt;0),O308*Assumptions!$B$35,0)</f>
        <v>0</v>
      </c>
      <c r="P309" s="13" t="n">
        <f aca="false">IF(AND(MOD(12,3)=0,P308&gt;0),P308*Assumptions!$B$35,0)</f>
        <v>59254.784303833</v>
      </c>
      <c r="Q309" s="13" t="n">
        <f aca="false">IF(AND(MOD(13,3)=0,Q308&gt;0),Q308*Assumptions!$B$35,0)</f>
        <v>0</v>
      </c>
      <c r="R309" s="13" t="n">
        <f aca="false">IF(AND(MOD(14,3)=0,R308&gt;0),R308*Assumptions!$B$35,0)</f>
        <v>0</v>
      </c>
      <c r="S309" s="13" t="n">
        <f aca="false">IF(AND(MOD(15,3)=0,S308&gt;0),S308*Assumptions!$B$35,0)</f>
        <v>48876.8387152267</v>
      </c>
      <c r="T309" s="13" t="n">
        <f aca="false">IF(AND(MOD(16,3)=0,T308&gt;0),T308*Assumptions!$B$35,0)</f>
        <v>0</v>
      </c>
      <c r="U309" s="13" t="n">
        <f aca="false">IF(AND(MOD(17,3)=0,U308&gt;0),U308*Assumptions!$B$35,0)</f>
        <v>0</v>
      </c>
      <c r="V309" s="13" t="n">
        <f aca="false">IF(AND(MOD(18,3)=0,V308&gt;0),V308*Assumptions!$B$35,0)</f>
        <v>38109.7201670478</v>
      </c>
      <c r="W309" s="13" t="n">
        <f aca="false">IF(AND(MOD(19,3)=0,W308&gt;0),W308*Assumptions!$B$35,0)</f>
        <v>0</v>
      </c>
      <c r="X309" s="13" t="n">
        <f aca="false">IF(AND(MOD(20,3)=0,X308&gt;0),X308*Assumptions!$B$35,0)</f>
        <v>0</v>
      </c>
      <c r="Y309" s="13" t="n">
        <f aca="false">IF(AND(MOD(21,3)=0,Y308&gt;0),Y308*Assumptions!$B$35,0)</f>
        <v>26938.8346733121</v>
      </c>
      <c r="Z309" s="13" t="n">
        <f aca="false">IF(AND(MOD(22,3)=0,Z308&gt;0),Z308*Assumptions!$B$35,0)</f>
        <v>0</v>
      </c>
      <c r="AA309" s="13" t="n">
        <f aca="false">IF(AND(MOD(23,3)=0,AA308&gt;0),AA308*Assumptions!$B$35,0)</f>
        <v>0</v>
      </c>
      <c r="AB309" s="13" t="n">
        <f aca="false">IF(AND(MOD(24,3)=0,AB308&gt;0),AB308*Assumptions!$B$35,0)</f>
        <v>15349.0409735613</v>
      </c>
      <c r="AC309" s="13" t="n">
        <f aca="false">IF(AND(MOD(25,3)=0,AC308&gt;0),AC308*Assumptions!$B$35,0)</f>
        <v>0</v>
      </c>
      <c r="AD309" s="13" t="n">
        <f aca="false">IF(AND(MOD(26,3)=0,AD308&gt;0),AD308*Assumptions!$B$35,0)</f>
        <v>0</v>
      </c>
      <c r="AE309" s="13" t="n">
        <f aca="false">IF(AND(MOD(27,3)=0,AE308&gt;0),AE308*Assumptions!$B$35,0)</f>
        <v>3324.6300100698</v>
      </c>
      <c r="AF309" s="13" t="n">
        <f aca="false">IF(AND(MOD(28,3)=0,AF308&gt;0),AF308*Assumptions!$B$35,0)</f>
        <v>0</v>
      </c>
      <c r="AG309" s="13" t="n">
        <f aca="false">IF(AND(MOD(29,3)=0,AG308&gt;0),AG308*Assumptions!$B$35,0)</f>
        <v>0</v>
      </c>
      <c r="AH309" s="13" t="n">
        <f aca="false">IF(AND(MOD(30,3)=0,AH308&gt;0),AH308*Assumptions!$B$35,0)</f>
        <v>0</v>
      </c>
      <c r="AI309" s="13" t="n">
        <f aca="false">IF(AND(MOD(31,3)=0,AI308&gt;0),AI308*Assumptions!$B$35,0)</f>
        <v>0</v>
      </c>
      <c r="AJ309" s="13" t="n">
        <f aca="false">IF(AND(MOD(32,3)=0,AJ308&gt;0),AJ308*Assumptions!$B$35,0)</f>
        <v>0</v>
      </c>
      <c r="AK309" s="13" t="n">
        <f aca="false">IF(AND(MOD(33,3)=0,AK308&gt;0),AK308*Assumptions!$B$35,0)</f>
        <v>0</v>
      </c>
      <c r="AL309" s="13" t="n">
        <f aca="false">IF(AND(MOD(34,3)=0,AL308&gt;0),AL308*Assumptions!$B$35,0)</f>
        <v>0</v>
      </c>
      <c r="AM309" s="13" t="n">
        <f aca="false">IF(AND(MOD(35,3)=0,AM308&gt;0),AM308*Assumptions!$B$35,0)</f>
        <v>0</v>
      </c>
      <c r="AN309" s="13" t="n">
        <f aca="false">IF(AND(MOD(36,3)=0,AN308&gt;0),AN308*Assumptions!$B$35,0)</f>
        <v>0</v>
      </c>
      <c r="AO309" s="13" t="n">
        <f aca="false">IF(AND(MOD(37,3)=0,AO308&gt;0),AO308*Assumptions!$B$35,0)</f>
        <v>0</v>
      </c>
      <c r="AP309" s="13" t="n">
        <f aca="false">IF(AND(MOD(38,3)=0,AP308&gt;0),AP308*Assumptions!$B$35,0)</f>
        <v>0</v>
      </c>
      <c r="AQ309" s="13" t="n">
        <f aca="false">IF(AND(MOD(39,3)=0,AQ308&gt;0),AQ308*Assumptions!$B$35,0)</f>
        <v>0</v>
      </c>
      <c r="AR309" s="13" t="n">
        <f aca="false">IF(AND(MOD(40,3)=0,AR308&gt;0),AR308*Assumptions!$B$35,0)</f>
        <v>0</v>
      </c>
      <c r="AS309" s="13" t="n">
        <f aca="false">IF(AND(MOD(41,3)=0,AS308&gt;0),AS308*Assumptions!$B$35,0)</f>
        <v>0</v>
      </c>
      <c r="AT309" s="13" t="n">
        <f aca="false">IF(AND(MOD(42,3)=0,AT308&gt;0),AT308*Assumptions!$B$35,0)</f>
        <v>0</v>
      </c>
      <c r="AU309" s="13" t="n">
        <f aca="false">IF(AND(MOD(43,3)=0,AU308&gt;0),AU308*Assumptions!$B$35,0)</f>
        <v>0</v>
      </c>
      <c r="AV309" s="13" t="n">
        <f aca="false">IF(AND(MOD(44,3)=0,AV308&gt;0),AV308*Assumptions!$B$35,0)</f>
        <v>0</v>
      </c>
      <c r="AW309" s="13" t="n">
        <f aca="false">IF(AND(MOD(45,3)=0,AW308&gt;0),AW308*Assumptions!$B$35,0)</f>
        <v>0</v>
      </c>
      <c r="AX309" s="13" t="n">
        <f aca="false">IF(AND(MOD(46,3)=0,AX308&gt;0),AX308*Assumptions!$B$35,0)</f>
        <v>0</v>
      </c>
      <c r="AY309" s="13" t="n">
        <f aca="false">IF(AND(MOD(47,3)=0,AY308&gt;0),AY308*Assumptions!$B$35,0)</f>
        <v>0</v>
      </c>
      <c r="AZ309" s="13" t="n">
        <f aca="false">IF(AND(MOD(48,3)=0,AZ308&gt;0),AZ308*Assumptions!$B$35,0)</f>
        <v>0</v>
      </c>
      <c r="BA309" s="13" t="n">
        <f aca="false">IF(AND(MOD(49,3)=0,BA308&gt;0),BA308*Assumptions!$B$35,0)</f>
        <v>0</v>
      </c>
      <c r="BB309" s="13" t="n">
        <f aca="false">IF(AND(MOD(50,3)=0,BB308&gt;0),BB308*Assumptions!$B$35,0)</f>
        <v>0</v>
      </c>
      <c r="BC309" s="13" t="n">
        <f aca="false">IF(AND(MOD(51,3)=0,BC308&gt;0),BC308*Assumptions!$B$35,0)</f>
        <v>0</v>
      </c>
      <c r="BD309" s="13" t="n">
        <f aca="false">IF(AND(MOD(52,3)=0,BD308&gt;0),BD308*Assumptions!$B$35,0)</f>
        <v>0</v>
      </c>
      <c r="BE309" s="13" t="n">
        <f aca="false">IF(AND(MOD(53,3)=0,BE308&gt;0),BE308*Assumptions!$B$35,0)</f>
        <v>0</v>
      </c>
      <c r="BF309" s="13" t="n">
        <f aca="false">IF(AND(MOD(54,3)=0,BF308&gt;0),BF308*Assumptions!$B$35,0)</f>
        <v>0</v>
      </c>
      <c r="BG309" s="13" t="n">
        <f aca="false">IF(AND(MOD(55,3)=0,BG308&gt;0),BG308*Assumptions!$B$35,0)</f>
        <v>0</v>
      </c>
      <c r="BH309" s="13" t="n">
        <f aca="false">IF(AND(MOD(56,3)=0,BH308&gt;0),BH308*Assumptions!$B$35,0)</f>
        <v>0</v>
      </c>
      <c r="BI309" s="13" t="n">
        <f aca="false">IF(AND(MOD(57,3)=0,BI308&gt;0),BI308*Assumptions!$B$35,0)</f>
        <v>0</v>
      </c>
      <c r="BJ309" s="13" t="n">
        <f aca="false">IF(AND(MOD(58,3)=0,BJ308&gt;0),BJ308*Assumptions!$B$35,0)</f>
        <v>0</v>
      </c>
      <c r="BK309" s="13" t="n">
        <f aca="false">IF(AND(MOD(59,3)=0,BK308&gt;0),BK308*Assumptions!$B$35,0)</f>
        <v>0</v>
      </c>
      <c r="BL309" s="13" t="n">
        <f aca="false">IF(AND(MOD(60,3)=0,BL308&gt;0),BL308*Assumptions!$B$35,0)</f>
        <v>0</v>
      </c>
      <c r="BM309" s="13" t="n">
        <f aca="false">IF(AND(MOD(61,3)=0,BM308&gt;0),BM308*Assumptions!$B$35,0)</f>
        <v>0</v>
      </c>
      <c r="BN309" s="13" t="n">
        <f aca="false">IF(AND(MOD(62,3)=0,BN308&gt;0),BN308*Assumptions!$B$35,0)</f>
        <v>0</v>
      </c>
      <c r="BO309" s="13" t="n">
        <f aca="false">IF(AND(MOD(63,3)=0,BO308&gt;0),BO308*Assumptions!$B$35,0)</f>
        <v>0</v>
      </c>
      <c r="BP309" s="13" t="n">
        <f aca="false">IF(AND(MOD(64,3)=0,BP308&gt;0),BP308*Assumptions!$B$35,0)</f>
        <v>0</v>
      </c>
      <c r="BQ309" s="13" t="n">
        <f aca="false">IF(AND(MOD(65,3)=0,BQ308&gt;0),BQ308*Assumptions!$B$35,0)</f>
        <v>0</v>
      </c>
      <c r="BR309" s="13" t="n">
        <f aca="false">IF(AND(MOD(66,3)=0,BR308&gt;0),BR308*Assumptions!$B$35,0)</f>
        <v>0</v>
      </c>
      <c r="BS309" s="13" t="n">
        <f aca="false">IF(AND(MOD(67,3)=0,BS308&gt;0),BS308*Assumptions!$B$35,0)</f>
        <v>0</v>
      </c>
      <c r="BT309" s="13" t="n">
        <f aca="false">IF(AND(MOD(68,3)=0,BT308&gt;0),BT308*Assumptions!$B$35,0)</f>
        <v>0</v>
      </c>
      <c r="BU309" s="13" t="n">
        <f aca="false">IF(AND(MOD(69,3)=0,BU308&gt;0),BU308*Assumptions!$B$35,0)</f>
        <v>0</v>
      </c>
      <c r="BV309" s="13" t="n">
        <f aca="false">IF(AND(MOD(70,3)=0,BV308&gt;0),BV308*Assumptions!$B$35,0)</f>
        <v>0</v>
      </c>
      <c r="BW309" s="13" t="n">
        <f aca="false">IF(AND(MOD(71,3)=0,BW308&gt;0),BW308*Assumptions!$B$35,0)</f>
        <v>0</v>
      </c>
      <c r="BX309" s="13" t="n">
        <f aca="false">IF(AND(MOD(72,3)=0,BX308&gt;0),BX308*Assumptions!$B$35,0)</f>
        <v>0</v>
      </c>
      <c r="BY309" s="13" t="n">
        <f aca="false">IF(AND(MOD(73,3)=0,BY308&gt;0),BY308*Assumptions!$B$35,0)</f>
        <v>0</v>
      </c>
      <c r="BZ309" s="13" t="n">
        <f aca="false">IF(AND(MOD(74,3)=0,BZ308&gt;0),BZ308*Assumptions!$B$35,0)</f>
        <v>0</v>
      </c>
      <c r="CA309" s="13" t="n">
        <f aca="false">IF(AND(MOD(75,3)=0,CA308&gt;0),CA308*Assumptions!$B$35,0)</f>
        <v>0</v>
      </c>
      <c r="CB309" s="13" t="n">
        <f aca="false">IF(AND(MOD(76,3)=0,CB308&gt;0),CB308*Assumptions!$B$35,0)</f>
        <v>0</v>
      </c>
      <c r="CC309" s="13" t="n">
        <f aca="false">IF(AND(MOD(77,3)=0,CC308&gt;0),CC308*Assumptions!$B$35,0)</f>
        <v>0</v>
      </c>
      <c r="CD309" s="13" t="n">
        <f aca="false">IF(AND(MOD(78,3)=0,CD308&gt;0),CD308*Assumptions!$B$35,0)</f>
        <v>0</v>
      </c>
      <c r="CE309" s="13" t="n">
        <f aca="false">IF(AND(MOD(79,3)=0,CE308&gt;0),CE308*Assumptions!$B$35,0)</f>
        <v>0</v>
      </c>
      <c r="CF309" s="13" t="n">
        <f aca="false">IF(AND(MOD(80,3)=0,CF308&gt;0),CF308*Assumptions!$B$35,0)</f>
        <v>0</v>
      </c>
      <c r="CG309" s="13" t="n">
        <f aca="false">IF(AND(MOD(81,3)=0,CG308&gt;0),CG308*Assumptions!$B$35,0)</f>
        <v>0</v>
      </c>
      <c r="CH309" s="13" t="n">
        <f aca="false">IF(AND(MOD(82,3)=0,CH308&gt;0),CH308*Assumptions!$B$35,0)</f>
        <v>0</v>
      </c>
      <c r="CI309" s="13" t="n">
        <f aca="false">IF(AND(MOD(83,3)=0,CI308&gt;0),CI308*Assumptions!$B$35,0)</f>
        <v>0</v>
      </c>
      <c r="CJ309" s="13" t="n">
        <f aca="false">IF(AND(MOD(84,3)=0,CJ308&gt;0),CJ308*Assumptions!$B$35,0)</f>
        <v>0</v>
      </c>
      <c r="CK309" s="13" t="n">
        <f aca="false">IF(AND(MOD(85,3)=0,CK308&gt;0),CK308*Assumptions!$B$35,0)</f>
        <v>0</v>
      </c>
      <c r="CL309" s="13" t="n">
        <f aca="false">IF(AND(MOD(86,3)=0,CL308&gt;0),CL308*Assumptions!$B$35,0)</f>
        <v>0</v>
      </c>
      <c r="CM309" s="13" t="n">
        <f aca="false">IF(AND(MOD(87,3)=0,CM308&gt;0),CM308*Assumptions!$B$35,0)</f>
        <v>0</v>
      </c>
      <c r="CN309" s="13" t="n">
        <f aca="false">IF(AND(MOD(88,3)=0,CN308&gt;0),CN308*Assumptions!$B$35,0)</f>
        <v>0</v>
      </c>
      <c r="CO309" s="13" t="n">
        <f aca="false">IF(AND(MOD(89,3)=0,CO308&gt;0),CO308*Assumptions!$B$35,0)</f>
        <v>0</v>
      </c>
      <c r="CP309" s="13" t="n">
        <f aca="false">IF(AND(MOD(90,3)=0,CP308&gt;0),CP308*Assumptions!$B$35,0)</f>
        <v>0</v>
      </c>
      <c r="CQ309" s="13" t="n">
        <f aca="false">IF(AND(MOD(91,3)=0,CQ308&gt;0),CQ308*Assumptions!$B$35,0)</f>
        <v>0</v>
      </c>
      <c r="CR309" s="13" t="n">
        <f aca="false">IF(AND(MOD(92,3)=0,CR308&gt;0),CR308*Assumptions!$B$35,0)</f>
        <v>0</v>
      </c>
      <c r="CS309" s="13" t="n">
        <f aca="false">IF(AND(MOD(93,3)=0,CS308&gt;0),CS308*Assumptions!$B$35,0)</f>
        <v>0</v>
      </c>
      <c r="CT309" s="13" t="n">
        <f aca="false">IF(AND(MOD(94,3)=0,CT308&gt;0),CT308*Assumptions!$B$35,0)</f>
        <v>0</v>
      </c>
      <c r="CU309" s="13" t="n">
        <f aca="false">IF(AND(MOD(95,3)=0,CU308&gt;0),CU308*Assumptions!$B$35,0)</f>
        <v>0</v>
      </c>
      <c r="CV309" s="13" t="n">
        <f aca="false">IF(AND(MOD(96,3)=0,CV308&gt;0),CV308*Assumptions!$B$35,0)</f>
        <v>0</v>
      </c>
      <c r="CW309" s="13" t="n">
        <f aca="false">IF(AND(MOD(97,3)=0,CW308&gt;0),CW308*Assumptions!$B$35,0)</f>
        <v>0</v>
      </c>
      <c r="CX309" s="13" t="n">
        <f aca="false">IF(AND(MOD(98,3)=0,CX308&gt;0),CX308*Assumptions!$B$35,0)</f>
        <v>0</v>
      </c>
      <c r="CY309" s="13" t="n">
        <f aca="false">IF(AND(MOD(99,3)=0,CY308&gt;0),CY308*Assumptions!$B$35,0)</f>
        <v>0</v>
      </c>
      <c r="CZ309" s="13" t="n">
        <f aca="false">IF(AND(MOD(100,3)=0,CZ308&gt;0),CZ308*Assumptions!$B$35,0)</f>
        <v>0</v>
      </c>
      <c r="DA309" s="13" t="n">
        <f aca="false">IF(AND(MOD(101,3)=0,DA308&gt;0),DA308*Assumptions!$B$35,0)</f>
        <v>0</v>
      </c>
      <c r="DB309" s="13" t="n">
        <f aca="false">IF(AND(MOD(102,3)=0,DB308&gt;0),DB308*Assumptions!$B$35,0)</f>
        <v>0</v>
      </c>
      <c r="DC309" s="13" t="n">
        <f aca="false">IF(AND(MOD(103,3)=0,DC308&gt;0),DC308*Assumptions!$B$35,0)</f>
        <v>0</v>
      </c>
      <c r="DD309" s="13" t="n">
        <f aca="false">IF(AND(MOD(104,3)=0,DD308&gt;0),DD308*Assumptions!$B$35,0)</f>
        <v>0</v>
      </c>
      <c r="DE309" s="13" t="n">
        <f aca="false">IF(AND(MOD(105,3)=0,DE308&gt;0),DE308*Assumptions!$B$35,0)</f>
        <v>0</v>
      </c>
    </row>
    <row r="310" customFormat="false" ht="15" hidden="false" customHeight="true" outlineLevel="0" collapsed="false">
      <c r="A310" s="22" t="s">
        <v>150</v>
      </c>
      <c r="B310" s="13"/>
      <c r="C310" s="13"/>
      <c r="D310" s="13"/>
      <c r="E310" s="13" t="n">
        <f aca="false">IF(AND(1&gt;=Assumptions!$B$37,E308+E309&gt;0),-MIN(Assumptions!$B$36,E308+E309),0)</f>
        <v>0</v>
      </c>
      <c r="F310" s="13" t="n">
        <f aca="false">IF(AND(2&gt;=Assumptions!$B$37,F308+F309&gt;0),-MIN(Assumptions!$B$36,F308+F309),0)</f>
        <v>0</v>
      </c>
      <c r="G310" s="13" t="n">
        <f aca="false">IF(AND(3&gt;=Assumptions!$B$37,G308+G309&gt;0),-MIN(Assumptions!$B$36,G308+G309),0)</f>
        <v>0</v>
      </c>
      <c r="H310" s="13" t="n">
        <f aca="false">IF(AND(4&gt;=Assumptions!$B$37,H308+H309&gt;0),-MIN(Assumptions!$B$36,H308+H309),0)</f>
        <v>0</v>
      </c>
      <c r="I310" s="13" t="n">
        <f aca="false">IF(AND(5&gt;=Assumptions!$B$37,I308+I309&gt;0),-MIN(Assumptions!$B$36,I308+I309),0)</f>
        <v>0</v>
      </c>
      <c r="J310" s="13" t="n">
        <f aca="false">IF(AND(6&gt;=Assumptions!$B$37,J308+J309&gt;0),-MIN(Assumptions!$B$36,J308+J309),0)</f>
        <v>0</v>
      </c>
      <c r="K310" s="13" t="n">
        <f aca="false">IF(AND(7&gt;=Assumptions!$B$37,K308+K309&gt;0),-MIN(Assumptions!$B$36,K308+K309),0)</f>
        <v>0</v>
      </c>
      <c r="L310" s="13" t="n">
        <f aca="false">IF(AND(8&gt;=Assumptions!$B$37,L308+L309&gt;0),-MIN(Assumptions!$B$36,L308+L309),0)</f>
        <v>0</v>
      </c>
      <c r="M310" s="13" t="n">
        <f aca="false">IF(AND(9&gt;=Assumptions!$B$37,M308+M309&gt;0),-MIN(Assumptions!$B$36,M308+M309),0)</f>
        <v>0</v>
      </c>
      <c r="N310" s="13" t="n">
        <f aca="false">IF(AND(10&gt;=Assumptions!$B$37,N308+N309&gt;0),-MIN(Assumptions!$B$36,N308+N309),0)</f>
        <v>-112000</v>
      </c>
      <c r="O310" s="13" t="n">
        <f aca="false">IF(AND(11&gt;=Assumptions!$B$37,O308+O309&gt;0),-MIN(Assumptions!$B$36,O308+O309),0)</f>
        <v>-112000</v>
      </c>
      <c r="P310" s="13" t="n">
        <f aca="false">IF(AND(12&gt;=Assumptions!$B$37,P308+P309&gt;0),-MIN(Assumptions!$B$36,P308+P309),0)</f>
        <v>-112000</v>
      </c>
      <c r="Q310" s="13" t="n">
        <f aca="false">IF(AND(13&gt;=Assumptions!$B$37,Q308+Q309&gt;0),-MIN(Assumptions!$B$36,Q308+Q309),0)</f>
        <v>-112000</v>
      </c>
      <c r="R310" s="13" t="n">
        <f aca="false">IF(AND(14&gt;=Assumptions!$B$37,R308+R309&gt;0),-MIN(Assumptions!$B$36,R308+R309),0)</f>
        <v>-112000</v>
      </c>
      <c r="S310" s="13" t="n">
        <f aca="false">IF(AND(15&gt;=Assumptions!$B$37,S308+S309&gt;0),-MIN(Assumptions!$B$36,S308+S309),0)</f>
        <v>-112000</v>
      </c>
      <c r="T310" s="13" t="n">
        <f aca="false">IF(AND(16&gt;=Assumptions!$B$37,T308+T309&gt;0),-MIN(Assumptions!$B$36,T308+T309),0)</f>
        <v>-112000</v>
      </c>
      <c r="U310" s="13" t="n">
        <f aca="false">IF(AND(17&gt;=Assumptions!$B$37,U308+U309&gt;0),-MIN(Assumptions!$B$36,U308+U309),0)</f>
        <v>-112000</v>
      </c>
      <c r="V310" s="13" t="n">
        <f aca="false">IF(AND(18&gt;=Assumptions!$B$37,V308+V309&gt;0),-MIN(Assumptions!$B$36,V308+V309),0)</f>
        <v>-112000</v>
      </c>
      <c r="W310" s="13" t="n">
        <f aca="false">IF(AND(19&gt;=Assumptions!$B$37,W308+W309&gt;0),-MIN(Assumptions!$B$36,W308+W309),0)</f>
        <v>-112000</v>
      </c>
      <c r="X310" s="13" t="n">
        <f aca="false">IF(AND(20&gt;=Assumptions!$B$37,X308+X309&gt;0),-MIN(Assumptions!$B$36,X308+X309),0)</f>
        <v>-112000</v>
      </c>
      <c r="Y310" s="13" t="n">
        <f aca="false">IF(AND(21&gt;=Assumptions!$B$37,Y308+Y309&gt;0),-MIN(Assumptions!$B$36,Y308+Y309),0)</f>
        <v>-112000</v>
      </c>
      <c r="Z310" s="13" t="n">
        <f aca="false">IF(AND(22&gt;=Assumptions!$B$37,Z308+Z309&gt;0),-MIN(Assumptions!$B$36,Z308+Z309),0)</f>
        <v>-112000</v>
      </c>
      <c r="AA310" s="13" t="n">
        <f aca="false">IF(AND(23&gt;=Assumptions!$B$37,AA308+AA309&gt;0),-MIN(Assumptions!$B$36,AA308+AA309),0)</f>
        <v>-112000</v>
      </c>
      <c r="AB310" s="13" t="n">
        <f aca="false">IF(AND(24&gt;=Assumptions!$B$37,AB308+AB309&gt;0),-MIN(Assumptions!$B$36,AB308+AB309),0)</f>
        <v>-112000</v>
      </c>
      <c r="AC310" s="13" t="n">
        <f aca="false">IF(AND(25&gt;=Assumptions!$B$37,AC308+AC309&gt;0),-MIN(Assumptions!$B$36,AC308+AC309),0)</f>
        <v>-112000</v>
      </c>
      <c r="AD310" s="13" t="n">
        <f aca="false">IF(AND(26&gt;=Assumptions!$B$37,AD308+AD309&gt;0),-MIN(Assumptions!$B$36,AD308+AD309),0)</f>
        <v>-112000</v>
      </c>
      <c r="AE310" s="13" t="n">
        <f aca="false">IF(AND(27&gt;=Assumptions!$B$37,AE308+AE309&gt;0),-MIN(Assumptions!$B$36,AE308+AE309),0)</f>
        <v>-91981.4302785977</v>
      </c>
      <c r="AF310" s="13" t="n">
        <f aca="false">IF(AND(28&gt;=Assumptions!$B$37,AF308+AF309&gt;0),-MIN(Assumptions!$B$36,AF308+AF309),0)</f>
        <v>0</v>
      </c>
      <c r="AG310" s="13" t="n">
        <f aca="false">IF(AND(29&gt;=Assumptions!$B$37,AG308+AG309&gt;0),-MIN(Assumptions!$B$36,AG308+AG309),0)</f>
        <v>0</v>
      </c>
      <c r="AH310" s="13" t="n">
        <f aca="false">IF(AND(30&gt;=Assumptions!$B$37,AH308+AH309&gt;0),-MIN(Assumptions!$B$36,AH308+AH309),0)</f>
        <v>0</v>
      </c>
      <c r="AI310" s="13" t="n">
        <f aca="false">IF(AND(31&gt;=Assumptions!$B$37,AI308+AI309&gt;0),-MIN(Assumptions!$B$36,AI308+AI309),0)</f>
        <v>0</v>
      </c>
      <c r="AJ310" s="13" t="n">
        <f aca="false">IF(AND(32&gt;=Assumptions!$B$37,AJ308+AJ309&gt;0),-MIN(Assumptions!$B$36,AJ308+AJ309),0)</f>
        <v>0</v>
      </c>
      <c r="AK310" s="13" t="n">
        <f aca="false">IF(AND(33&gt;=Assumptions!$B$37,AK308+AK309&gt;0),-MIN(Assumptions!$B$36,AK308+AK309),0)</f>
        <v>0</v>
      </c>
      <c r="AL310" s="13" t="n">
        <f aca="false">IF(AND(34&gt;=Assumptions!$B$37,AL308+AL309&gt;0),-MIN(Assumptions!$B$36,AL308+AL309),0)</f>
        <v>0</v>
      </c>
      <c r="AM310" s="13" t="n">
        <f aca="false">IF(AND(35&gt;=Assumptions!$B$37,AM308+AM309&gt;0),-MIN(Assumptions!$B$36,AM308+AM309),0)</f>
        <v>0</v>
      </c>
      <c r="AN310" s="13" t="n">
        <f aca="false">IF(AND(36&gt;=Assumptions!$B$37,AN308+AN309&gt;0),-MIN(Assumptions!$B$36,AN308+AN309),0)</f>
        <v>0</v>
      </c>
      <c r="AO310" s="13" t="n">
        <f aca="false">IF(AND(37&gt;=Assumptions!$B$37,AO308+AO309&gt;0),-MIN(Assumptions!$B$36,AO308+AO309),0)</f>
        <v>0</v>
      </c>
      <c r="AP310" s="13" t="n">
        <f aca="false">IF(AND(38&gt;=Assumptions!$B$37,AP308+AP309&gt;0),-MIN(Assumptions!$B$36,AP308+AP309),0)</f>
        <v>0</v>
      </c>
      <c r="AQ310" s="13" t="n">
        <f aca="false">IF(AND(39&gt;=Assumptions!$B$37,AQ308+AQ309&gt;0),-MIN(Assumptions!$B$36,AQ308+AQ309),0)</f>
        <v>0</v>
      </c>
      <c r="AR310" s="13" t="n">
        <f aca="false">IF(AND(40&gt;=Assumptions!$B$37,AR308+AR309&gt;0),-MIN(Assumptions!$B$36,AR308+AR309),0)</f>
        <v>0</v>
      </c>
      <c r="AS310" s="13" t="n">
        <f aca="false">IF(AND(41&gt;=Assumptions!$B$37,AS308+AS309&gt;0),-MIN(Assumptions!$B$36,AS308+AS309),0)</f>
        <v>0</v>
      </c>
      <c r="AT310" s="13" t="n">
        <f aca="false">IF(AND(42&gt;=Assumptions!$B$37,AT308+AT309&gt;0),-MIN(Assumptions!$B$36,AT308+AT309),0)</f>
        <v>0</v>
      </c>
      <c r="AU310" s="13" t="n">
        <f aca="false">IF(AND(43&gt;=Assumptions!$B$37,AU308+AU309&gt;0),-MIN(Assumptions!$B$36,AU308+AU309),0)</f>
        <v>0</v>
      </c>
      <c r="AV310" s="13" t="n">
        <f aca="false">IF(AND(44&gt;=Assumptions!$B$37,AV308+AV309&gt;0),-MIN(Assumptions!$B$36,AV308+AV309),0)</f>
        <v>0</v>
      </c>
      <c r="AW310" s="13" t="n">
        <f aca="false">IF(AND(45&gt;=Assumptions!$B$37,AW308+AW309&gt;0),-MIN(Assumptions!$B$36,AW308+AW309),0)</f>
        <v>0</v>
      </c>
      <c r="AX310" s="13" t="n">
        <f aca="false">IF(AND(46&gt;=Assumptions!$B$37,AX308+AX309&gt;0),-MIN(Assumptions!$B$36,AX308+AX309),0)</f>
        <v>0</v>
      </c>
      <c r="AY310" s="13" t="n">
        <f aca="false">IF(AND(47&gt;=Assumptions!$B$37,AY308+AY309&gt;0),-MIN(Assumptions!$B$36,AY308+AY309),0)</f>
        <v>0</v>
      </c>
      <c r="AZ310" s="13" t="n">
        <f aca="false">IF(AND(48&gt;=Assumptions!$B$37,AZ308+AZ309&gt;0),-MIN(Assumptions!$B$36,AZ308+AZ309),0)</f>
        <v>0</v>
      </c>
      <c r="BA310" s="13" t="n">
        <f aca="false">IF(AND(49&gt;=Assumptions!$B$37,BA308+BA309&gt;0),-MIN(Assumptions!$B$36,BA308+BA309),0)</f>
        <v>0</v>
      </c>
      <c r="BB310" s="13" t="n">
        <f aca="false">IF(AND(50&gt;=Assumptions!$B$37,BB308+BB309&gt;0),-MIN(Assumptions!$B$36,BB308+BB309),0)</f>
        <v>0</v>
      </c>
      <c r="BC310" s="13" t="n">
        <f aca="false">IF(AND(51&gt;=Assumptions!$B$37,BC308+BC309&gt;0),-MIN(Assumptions!$B$36,BC308+BC309),0)</f>
        <v>0</v>
      </c>
      <c r="BD310" s="13" t="n">
        <f aca="false">IF(AND(52&gt;=Assumptions!$B$37,BD308+BD309&gt;0),-MIN(Assumptions!$B$36,BD308+BD309),0)</f>
        <v>0</v>
      </c>
      <c r="BE310" s="13" t="n">
        <f aca="false">IF(AND(53&gt;=Assumptions!$B$37,BE308+BE309&gt;0),-MIN(Assumptions!$B$36,BE308+BE309),0)</f>
        <v>0</v>
      </c>
      <c r="BF310" s="13" t="n">
        <f aca="false">IF(AND(54&gt;=Assumptions!$B$37,BF308+BF309&gt;0),-MIN(Assumptions!$B$36,BF308+BF309),0)</f>
        <v>0</v>
      </c>
      <c r="BG310" s="13" t="n">
        <f aca="false">IF(AND(55&gt;=Assumptions!$B$37,BG308+BG309&gt;0),-MIN(Assumptions!$B$36,BG308+BG309),0)</f>
        <v>0</v>
      </c>
      <c r="BH310" s="13" t="n">
        <f aca="false">IF(AND(56&gt;=Assumptions!$B$37,BH308+BH309&gt;0),-MIN(Assumptions!$B$36,BH308+BH309),0)</f>
        <v>0</v>
      </c>
      <c r="BI310" s="13" t="n">
        <f aca="false">IF(AND(57&gt;=Assumptions!$B$37,BI308+BI309&gt;0),-MIN(Assumptions!$B$36,BI308+BI309),0)</f>
        <v>0</v>
      </c>
      <c r="BJ310" s="13" t="n">
        <f aca="false">IF(AND(58&gt;=Assumptions!$B$37,BJ308+BJ309&gt;0),-MIN(Assumptions!$B$36,BJ308+BJ309),0)</f>
        <v>0</v>
      </c>
      <c r="BK310" s="13" t="n">
        <f aca="false">IF(AND(59&gt;=Assumptions!$B$37,BK308+BK309&gt;0),-MIN(Assumptions!$B$36,BK308+BK309),0)</f>
        <v>0</v>
      </c>
      <c r="BL310" s="13" t="n">
        <f aca="false">IF(AND(60&gt;=Assumptions!$B$37,BL308+BL309&gt;0),-MIN(Assumptions!$B$36,BL308+BL309),0)</f>
        <v>0</v>
      </c>
      <c r="BM310" s="13" t="n">
        <f aca="false">IF(AND(61&gt;=Assumptions!$B$37,BM308+BM309&gt;0),-MIN(Assumptions!$B$36,BM308+BM309),0)</f>
        <v>0</v>
      </c>
      <c r="BN310" s="13" t="n">
        <f aca="false">IF(AND(62&gt;=Assumptions!$B$37,BN308+BN309&gt;0),-MIN(Assumptions!$B$36,BN308+BN309),0)</f>
        <v>0</v>
      </c>
      <c r="BO310" s="13" t="n">
        <f aca="false">IF(AND(63&gt;=Assumptions!$B$37,BO308+BO309&gt;0),-MIN(Assumptions!$B$36,BO308+BO309),0)</f>
        <v>0</v>
      </c>
      <c r="BP310" s="13" t="n">
        <f aca="false">IF(AND(64&gt;=Assumptions!$B$37,BP308+BP309&gt;0),-MIN(Assumptions!$B$36,BP308+BP309),0)</f>
        <v>0</v>
      </c>
      <c r="BQ310" s="13" t="n">
        <f aca="false">IF(AND(65&gt;=Assumptions!$B$37,BQ308+BQ309&gt;0),-MIN(Assumptions!$B$36,BQ308+BQ309),0)</f>
        <v>0</v>
      </c>
      <c r="BR310" s="13" t="n">
        <f aca="false">IF(AND(66&gt;=Assumptions!$B$37,BR308+BR309&gt;0),-MIN(Assumptions!$B$36,BR308+BR309),0)</f>
        <v>0</v>
      </c>
      <c r="BS310" s="13" t="n">
        <f aca="false">IF(AND(67&gt;=Assumptions!$B$37,BS308+BS309&gt;0),-MIN(Assumptions!$B$36,BS308+BS309),0)</f>
        <v>0</v>
      </c>
      <c r="BT310" s="13" t="n">
        <f aca="false">IF(AND(68&gt;=Assumptions!$B$37,BT308+BT309&gt;0),-MIN(Assumptions!$B$36,BT308+BT309),0)</f>
        <v>0</v>
      </c>
      <c r="BU310" s="13" t="n">
        <f aca="false">IF(AND(69&gt;=Assumptions!$B$37,BU308+BU309&gt;0),-MIN(Assumptions!$B$36,BU308+BU309),0)</f>
        <v>0</v>
      </c>
      <c r="BV310" s="13" t="n">
        <f aca="false">IF(AND(70&gt;=Assumptions!$B$37,BV308+BV309&gt;0),-MIN(Assumptions!$B$36,BV308+BV309),0)</f>
        <v>0</v>
      </c>
      <c r="BW310" s="13" t="n">
        <f aca="false">IF(AND(71&gt;=Assumptions!$B$37,BW308+BW309&gt;0),-MIN(Assumptions!$B$36,BW308+BW309),0)</f>
        <v>0</v>
      </c>
      <c r="BX310" s="13" t="n">
        <f aca="false">IF(AND(72&gt;=Assumptions!$B$37,BX308+BX309&gt;0),-MIN(Assumptions!$B$36,BX308+BX309),0)</f>
        <v>0</v>
      </c>
      <c r="BY310" s="13" t="n">
        <f aca="false">IF(AND(73&gt;=Assumptions!$B$37,BY308+BY309&gt;0),-MIN(Assumptions!$B$36,BY308+BY309),0)</f>
        <v>0</v>
      </c>
      <c r="BZ310" s="13" t="n">
        <f aca="false">IF(AND(74&gt;=Assumptions!$B$37,BZ308+BZ309&gt;0),-MIN(Assumptions!$B$36,BZ308+BZ309),0)</f>
        <v>0</v>
      </c>
      <c r="CA310" s="13" t="n">
        <f aca="false">IF(AND(75&gt;=Assumptions!$B$37,CA308+CA309&gt;0),-MIN(Assumptions!$B$36,CA308+CA309),0)</f>
        <v>0</v>
      </c>
      <c r="CB310" s="13" t="n">
        <f aca="false">IF(AND(76&gt;=Assumptions!$B$37,CB308+CB309&gt;0),-MIN(Assumptions!$B$36,CB308+CB309),0)</f>
        <v>0</v>
      </c>
      <c r="CC310" s="13" t="n">
        <f aca="false">IF(AND(77&gt;=Assumptions!$B$37,CC308+CC309&gt;0),-MIN(Assumptions!$B$36,CC308+CC309),0)</f>
        <v>0</v>
      </c>
      <c r="CD310" s="13" t="n">
        <f aca="false">IF(AND(78&gt;=Assumptions!$B$37,CD308+CD309&gt;0),-MIN(Assumptions!$B$36,CD308+CD309),0)</f>
        <v>0</v>
      </c>
      <c r="CE310" s="13" t="n">
        <f aca="false">IF(AND(79&gt;=Assumptions!$B$37,CE308+CE309&gt;0),-MIN(Assumptions!$B$36,CE308+CE309),0)</f>
        <v>0</v>
      </c>
      <c r="CF310" s="13" t="n">
        <f aca="false">IF(AND(80&gt;=Assumptions!$B$37,CF308+CF309&gt;0),-MIN(Assumptions!$B$36,CF308+CF309),0)</f>
        <v>0</v>
      </c>
      <c r="CG310" s="13" t="n">
        <f aca="false">IF(AND(81&gt;=Assumptions!$B$37,CG308+CG309&gt;0),-MIN(Assumptions!$B$36,CG308+CG309),0)</f>
        <v>0</v>
      </c>
      <c r="CH310" s="13" t="n">
        <f aca="false">IF(AND(82&gt;=Assumptions!$B$37,CH308+CH309&gt;0),-MIN(Assumptions!$B$36,CH308+CH309),0)</f>
        <v>0</v>
      </c>
      <c r="CI310" s="13" t="n">
        <f aca="false">IF(AND(83&gt;=Assumptions!$B$37,CI308+CI309&gt;0),-MIN(Assumptions!$B$36,CI308+CI309),0)</f>
        <v>0</v>
      </c>
      <c r="CJ310" s="13" t="n">
        <f aca="false">IF(AND(84&gt;=Assumptions!$B$37,CJ308+CJ309&gt;0),-MIN(Assumptions!$B$36,CJ308+CJ309),0)</f>
        <v>0</v>
      </c>
      <c r="CK310" s="13" t="n">
        <f aca="false">IF(AND(85&gt;=Assumptions!$B$37,CK308+CK309&gt;0),-MIN(Assumptions!$B$36,CK308+CK309),0)</f>
        <v>0</v>
      </c>
      <c r="CL310" s="13" t="n">
        <f aca="false">IF(AND(86&gt;=Assumptions!$B$37,CL308+CL309&gt;0),-MIN(Assumptions!$B$36,CL308+CL309),0)</f>
        <v>0</v>
      </c>
      <c r="CM310" s="13" t="n">
        <f aca="false">IF(AND(87&gt;=Assumptions!$B$37,CM308+CM309&gt;0),-MIN(Assumptions!$B$36,CM308+CM309),0)</f>
        <v>0</v>
      </c>
      <c r="CN310" s="13" t="n">
        <f aca="false">IF(AND(88&gt;=Assumptions!$B$37,CN308+CN309&gt;0),-MIN(Assumptions!$B$36,CN308+CN309),0)</f>
        <v>0</v>
      </c>
      <c r="CO310" s="13" t="n">
        <f aca="false">IF(AND(89&gt;=Assumptions!$B$37,CO308+CO309&gt;0),-MIN(Assumptions!$B$36,CO308+CO309),0)</f>
        <v>0</v>
      </c>
      <c r="CP310" s="13" t="n">
        <f aca="false">IF(AND(90&gt;=Assumptions!$B$37,CP308+CP309&gt;0),-MIN(Assumptions!$B$36,CP308+CP309),0)</f>
        <v>0</v>
      </c>
      <c r="CQ310" s="13" t="n">
        <f aca="false">IF(AND(91&gt;=Assumptions!$B$37,CQ308+CQ309&gt;0),-MIN(Assumptions!$B$36,CQ308+CQ309),0)</f>
        <v>0</v>
      </c>
      <c r="CR310" s="13" t="n">
        <f aca="false">IF(AND(92&gt;=Assumptions!$B$37,CR308+CR309&gt;0),-MIN(Assumptions!$B$36,CR308+CR309),0)</f>
        <v>0</v>
      </c>
      <c r="CS310" s="13" t="n">
        <f aca="false">IF(AND(93&gt;=Assumptions!$B$37,CS308+CS309&gt;0),-MIN(Assumptions!$B$36,CS308+CS309),0)</f>
        <v>0</v>
      </c>
      <c r="CT310" s="13" t="n">
        <f aca="false">IF(AND(94&gt;=Assumptions!$B$37,CT308+CT309&gt;0),-MIN(Assumptions!$B$36,CT308+CT309),0)</f>
        <v>0</v>
      </c>
      <c r="CU310" s="13" t="n">
        <f aca="false">IF(AND(95&gt;=Assumptions!$B$37,CU308+CU309&gt;0),-MIN(Assumptions!$B$36,CU308+CU309),0)</f>
        <v>0</v>
      </c>
      <c r="CV310" s="13" t="n">
        <f aca="false">IF(AND(96&gt;=Assumptions!$B$37,CV308+CV309&gt;0),-MIN(Assumptions!$B$36,CV308+CV309),0)</f>
        <v>0</v>
      </c>
      <c r="CW310" s="13" t="n">
        <f aca="false">IF(AND(97&gt;=Assumptions!$B$37,CW308+CW309&gt;0),-MIN(Assumptions!$B$36,CW308+CW309),0)</f>
        <v>0</v>
      </c>
      <c r="CX310" s="13" t="n">
        <f aca="false">IF(AND(98&gt;=Assumptions!$B$37,CX308+CX309&gt;0),-MIN(Assumptions!$B$36,CX308+CX309),0)</f>
        <v>0</v>
      </c>
      <c r="CY310" s="13" t="n">
        <f aca="false">IF(AND(99&gt;=Assumptions!$B$37,CY308+CY309&gt;0),-MIN(Assumptions!$B$36,CY308+CY309),0)</f>
        <v>0</v>
      </c>
      <c r="CZ310" s="13" t="n">
        <f aca="false">IF(AND(100&gt;=Assumptions!$B$37,CZ308+CZ309&gt;0),-MIN(Assumptions!$B$36,CZ308+CZ309),0)</f>
        <v>0</v>
      </c>
      <c r="DA310" s="13" t="n">
        <f aca="false">IF(AND(101&gt;=Assumptions!$B$37,DA308+DA309&gt;0),-MIN(Assumptions!$B$36,DA308+DA309),0)</f>
        <v>0</v>
      </c>
      <c r="DB310" s="13" t="n">
        <f aca="false">IF(AND(102&gt;=Assumptions!$B$37,DB308+DB309&gt;0),-MIN(Assumptions!$B$36,DB308+DB309),0)</f>
        <v>0</v>
      </c>
      <c r="DC310" s="13" t="n">
        <f aca="false">IF(AND(103&gt;=Assumptions!$B$37,DC308+DC309&gt;0),-MIN(Assumptions!$B$36,DC308+DC309),0)</f>
        <v>0</v>
      </c>
      <c r="DD310" s="13" t="n">
        <f aca="false">IF(AND(104&gt;=Assumptions!$B$37,DD308+DD309&gt;0),-MIN(Assumptions!$B$36,DD308+DD309),0)</f>
        <v>0</v>
      </c>
      <c r="DE310" s="13" t="n">
        <f aca="false">IF(AND(105&gt;=Assumptions!$B$37,DE308+DE309&gt;0),-MIN(Assumptions!$B$36,DE308+DE309),0)</f>
        <v>0</v>
      </c>
    </row>
    <row r="311" customFormat="false" ht="15" hidden="false" customHeight="true" outlineLevel="0" collapsed="false">
      <c r="A311" s="45" t="s">
        <v>151</v>
      </c>
      <c r="B311" s="46"/>
      <c r="C311" s="46"/>
      <c r="D311" s="46"/>
      <c r="E311" s="46" t="n">
        <f aca="false">MAX(0,E308+E309+E310)</f>
        <v>1615485</v>
      </c>
      <c r="F311" s="46" t="n">
        <f aca="false">MAX(0,F308+F309+F310)</f>
        <v>1615485</v>
      </c>
      <c r="G311" s="46" t="n">
        <f aca="false">MAX(0,G308+G309+G310)</f>
        <v>1676065.6875</v>
      </c>
      <c r="H311" s="46" t="n">
        <f aca="false">MAX(0,H308+H309+H310)</f>
        <v>1676065.6875</v>
      </c>
      <c r="I311" s="46" t="n">
        <f aca="false">MAX(0,I308+I309+I310)</f>
        <v>1676065.6875</v>
      </c>
      <c r="J311" s="46" t="n">
        <f aca="false">MAX(0,J308+J309+J310)</f>
        <v>1738918.15078125</v>
      </c>
      <c r="K311" s="46" t="n">
        <f aca="false">MAX(0,K308+K309+K310)</f>
        <v>1738918.15078125</v>
      </c>
      <c r="L311" s="46" t="n">
        <f aca="false">MAX(0,L308+L309+L310)</f>
        <v>1738918.15078125</v>
      </c>
      <c r="M311" s="46" t="n">
        <f aca="false">MAX(0,M308+M309+M310)</f>
        <v>1804127.58143555</v>
      </c>
      <c r="N311" s="46" t="n">
        <f aca="false">MAX(0,N308+N309+N310)</f>
        <v>1692127.58143555</v>
      </c>
      <c r="O311" s="46" t="n">
        <f aca="false">MAX(0,O308+O309+O310)</f>
        <v>1580127.58143555</v>
      </c>
      <c r="P311" s="46" t="n">
        <f aca="false">MAX(0,P308+P309+P310)</f>
        <v>1527382.36573938</v>
      </c>
      <c r="Q311" s="46" t="n">
        <f aca="false">MAX(0,Q308+Q309+Q310)</f>
        <v>1415382.36573938</v>
      </c>
      <c r="R311" s="46" t="n">
        <f aca="false">MAX(0,R308+R309+R310)</f>
        <v>1303382.36573938</v>
      </c>
      <c r="S311" s="46" t="n">
        <f aca="false">MAX(0,S308+S309+S310)</f>
        <v>1240259.20445461</v>
      </c>
      <c r="T311" s="46" t="n">
        <f aca="false">MAX(0,T308+T309+T310)</f>
        <v>1128259.20445461</v>
      </c>
      <c r="U311" s="46" t="n">
        <f aca="false">MAX(0,U308+U309+U310)</f>
        <v>1016259.20445461</v>
      </c>
      <c r="V311" s="46" t="n">
        <f aca="false">MAX(0,V308+V309+V310)</f>
        <v>942368.924621655</v>
      </c>
      <c r="W311" s="46" t="n">
        <f aca="false">MAX(0,W308+W309+W310)</f>
        <v>830368.924621655</v>
      </c>
      <c r="X311" s="46" t="n">
        <f aca="false">MAX(0,X308+X309+X310)</f>
        <v>718368.924621655</v>
      </c>
      <c r="Y311" s="46" t="n">
        <f aca="false">MAX(0,Y308+Y309+Y310)</f>
        <v>633307.759294967</v>
      </c>
      <c r="Z311" s="46" t="n">
        <f aca="false">MAX(0,Z308+Z309+Z310)</f>
        <v>521307.759294967</v>
      </c>
      <c r="AA311" s="46" t="n">
        <f aca="false">MAX(0,AA308+AA309+AA310)</f>
        <v>409307.759294967</v>
      </c>
      <c r="AB311" s="46" t="n">
        <f aca="false">MAX(0,AB308+AB309+AB310)</f>
        <v>312656.800268528</v>
      </c>
      <c r="AC311" s="46" t="n">
        <f aca="false">MAX(0,AC308+AC309+AC310)</f>
        <v>200656.800268528</v>
      </c>
      <c r="AD311" s="46" t="n">
        <f aca="false">MAX(0,AD308+AD309+AD310)</f>
        <v>88656.8002685279</v>
      </c>
      <c r="AE311" s="46" t="n">
        <f aca="false">MAX(0,AE308+AE309+AE310)</f>
        <v>0</v>
      </c>
      <c r="AF311" s="46" t="n">
        <f aca="false">MAX(0,AF308+AF309+AF310)</f>
        <v>0</v>
      </c>
      <c r="AG311" s="46" t="n">
        <f aca="false">MAX(0,AG308+AG309+AG310)</f>
        <v>0</v>
      </c>
      <c r="AH311" s="46" t="n">
        <f aca="false">MAX(0,AH308+AH309+AH310)</f>
        <v>0</v>
      </c>
      <c r="AI311" s="46" t="n">
        <f aca="false">MAX(0,AI308+AI309+AI310)</f>
        <v>0</v>
      </c>
      <c r="AJ311" s="46" t="n">
        <f aca="false">MAX(0,AJ308+AJ309+AJ310)</f>
        <v>0</v>
      </c>
      <c r="AK311" s="46" t="n">
        <f aca="false">MAX(0,AK308+AK309+AK310)</f>
        <v>0</v>
      </c>
      <c r="AL311" s="46" t="n">
        <f aca="false">MAX(0,AL308+AL309+AL310)</f>
        <v>0</v>
      </c>
      <c r="AM311" s="46" t="n">
        <f aca="false">MAX(0,AM308+AM309+AM310)</f>
        <v>0</v>
      </c>
      <c r="AN311" s="46" t="n">
        <f aca="false">MAX(0,AN308+AN309+AN310)</f>
        <v>0</v>
      </c>
      <c r="AO311" s="46" t="n">
        <f aca="false">MAX(0,AO308+AO309+AO310)</f>
        <v>0</v>
      </c>
      <c r="AP311" s="46" t="n">
        <f aca="false">MAX(0,AP308+AP309+AP310)</f>
        <v>0</v>
      </c>
      <c r="AQ311" s="46" t="n">
        <f aca="false">MAX(0,AQ308+AQ309+AQ310)</f>
        <v>0</v>
      </c>
      <c r="AR311" s="46" t="n">
        <f aca="false">MAX(0,AR308+AR309+AR310)</f>
        <v>0</v>
      </c>
      <c r="AS311" s="46" t="n">
        <f aca="false">MAX(0,AS308+AS309+AS310)</f>
        <v>0</v>
      </c>
      <c r="AT311" s="46" t="n">
        <f aca="false">MAX(0,AT308+AT309+AT310)</f>
        <v>0</v>
      </c>
      <c r="AU311" s="46" t="n">
        <f aca="false">MAX(0,AU308+AU309+AU310)</f>
        <v>0</v>
      </c>
      <c r="AV311" s="46" t="n">
        <f aca="false">MAX(0,AV308+AV309+AV310)</f>
        <v>0</v>
      </c>
      <c r="AW311" s="46" t="n">
        <f aca="false">MAX(0,AW308+AW309+AW310)</f>
        <v>0</v>
      </c>
      <c r="AX311" s="46" t="n">
        <f aca="false">MAX(0,AX308+AX309+AX310)</f>
        <v>0</v>
      </c>
      <c r="AY311" s="46" t="n">
        <f aca="false">MAX(0,AY308+AY309+AY310)</f>
        <v>0</v>
      </c>
      <c r="AZ311" s="46" t="n">
        <f aca="false">MAX(0,AZ308+AZ309+AZ310)</f>
        <v>0</v>
      </c>
      <c r="BA311" s="46" t="n">
        <f aca="false">MAX(0,BA308+BA309+BA310)</f>
        <v>0</v>
      </c>
      <c r="BB311" s="46" t="n">
        <f aca="false">MAX(0,BB308+BB309+BB310)</f>
        <v>0</v>
      </c>
      <c r="BC311" s="46" t="n">
        <f aca="false">MAX(0,BC308+BC309+BC310)</f>
        <v>0</v>
      </c>
      <c r="BD311" s="46" t="n">
        <f aca="false">MAX(0,BD308+BD309+BD310)</f>
        <v>0</v>
      </c>
      <c r="BE311" s="46" t="n">
        <f aca="false">MAX(0,BE308+BE309+BE310)</f>
        <v>0</v>
      </c>
      <c r="BF311" s="46" t="n">
        <f aca="false">MAX(0,BF308+BF309+BF310)</f>
        <v>0</v>
      </c>
      <c r="BG311" s="46" t="n">
        <f aca="false">MAX(0,BG308+BG309+BG310)</f>
        <v>0</v>
      </c>
      <c r="BH311" s="46" t="n">
        <f aca="false">MAX(0,BH308+BH309+BH310)</f>
        <v>0</v>
      </c>
      <c r="BI311" s="46" t="n">
        <f aca="false">MAX(0,BI308+BI309+BI310)</f>
        <v>0</v>
      </c>
      <c r="BJ311" s="46" t="n">
        <f aca="false">MAX(0,BJ308+BJ309+BJ310)</f>
        <v>0</v>
      </c>
      <c r="BK311" s="46" t="n">
        <f aca="false">MAX(0,BK308+BK309+BK310)</f>
        <v>0</v>
      </c>
      <c r="BL311" s="46" t="n">
        <f aca="false">MAX(0,BL308+BL309+BL310)</f>
        <v>0</v>
      </c>
      <c r="BM311" s="46" t="n">
        <f aca="false">MAX(0,BM308+BM309+BM310)</f>
        <v>0</v>
      </c>
      <c r="BN311" s="46" t="n">
        <f aca="false">MAX(0,BN308+BN309+BN310)</f>
        <v>0</v>
      </c>
      <c r="BO311" s="46" t="n">
        <f aca="false">MAX(0,BO308+BO309+BO310)</f>
        <v>0</v>
      </c>
      <c r="BP311" s="46" t="n">
        <f aca="false">MAX(0,BP308+BP309+BP310)</f>
        <v>0</v>
      </c>
      <c r="BQ311" s="46" t="n">
        <f aca="false">MAX(0,BQ308+BQ309+BQ310)</f>
        <v>0</v>
      </c>
      <c r="BR311" s="46" t="n">
        <f aca="false">MAX(0,BR308+BR309+BR310)</f>
        <v>0</v>
      </c>
      <c r="BS311" s="46" t="n">
        <f aca="false">MAX(0,BS308+BS309+BS310)</f>
        <v>0</v>
      </c>
      <c r="BT311" s="46" t="n">
        <f aca="false">MAX(0,BT308+BT309+BT310)</f>
        <v>0</v>
      </c>
      <c r="BU311" s="46" t="n">
        <f aca="false">MAX(0,BU308+BU309+BU310)</f>
        <v>0</v>
      </c>
      <c r="BV311" s="46" t="n">
        <f aca="false">MAX(0,BV308+BV309+BV310)</f>
        <v>0</v>
      </c>
      <c r="BW311" s="46" t="n">
        <f aca="false">MAX(0,BW308+BW309+BW310)</f>
        <v>0</v>
      </c>
      <c r="BX311" s="46" t="n">
        <f aca="false">MAX(0,BX308+BX309+BX310)</f>
        <v>0</v>
      </c>
      <c r="BY311" s="46" t="n">
        <f aca="false">MAX(0,BY308+BY309+BY310)</f>
        <v>0</v>
      </c>
      <c r="BZ311" s="46" t="n">
        <f aca="false">MAX(0,BZ308+BZ309+BZ310)</f>
        <v>0</v>
      </c>
      <c r="CA311" s="46" t="n">
        <f aca="false">MAX(0,CA308+CA309+CA310)</f>
        <v>0</v>
      </c>
      <c r="CB311" s="46" t="n">
        <f aca="false">MAX(0,CB308+CB309+CB310)</f>
        <v>0</v>
      </c>
      <c r="CC311" s="46" t="n">
        <f aca="false">MAX(0,CC308+CC309+CC310)</f>
        <v>0</v>
      </c>
      <c r="CD311" s="46" t="n">
        <f aca="false">MAX(0,CD308+CD309+CD310)</f>
        <v>0</v>
      </c>
      <c r="CE311" s="46" t="n">
        <f aca="false">MAX(0,CE308+CE309+CE310)</f>
        <v>0</v>
      </c>
      <c r="CF311" s="46" t="n">
        <f aca="false">MAX(0,CF308+CF309+CF310)</f>
        <v>0</v>
      </c>
      <c r="CG311" s="46" t="n">
        <f aca="false">MAX(0,CG308+CG309+CG310)</f>
        <v>0</v>
      </c>
      <c r="CH311" s="46" t="n">
        <f aca="false">MAX(0,CH308+CH309+CH310)</f>
        <v>0</v>
      </c>
      <c r="CI311" s="46" t="n">
        <f aca="false">MAX(0,CI308+CI309+CI310)</f>
        <v>0</v>
      </c>
      <c r="CJ311" s="46" t="n">
        <f aca="false">MAX(0,CJ308+CJ309+CJ310)</f>
        <v>0</v>
      </c>
      <c r="CK311" s="46" t="n">
        <f aca="false">MAX(0,CK308+CK309+CK310)</f>
        <v>0</v>
      </c>
      <c r="CL311" s="46" t="n">
        <f aca="false">MAX(0,CL308+CL309+CL310)</f>
        <v>0</v>
      </c>
      <c r="CM311" s="46" t="n">
        <f aca="false">MAX(0,CM308+CM309+CM310)</f>
        <v>0</v>
      </c>
      <c r="CN311" s="46" t="n">
        <f aca="false">MAX(0,CN308+CN309+CN310)</f>
        <v>0</v>
      </c>
      <c r="CO311" s="46" t="n">
        <f aca="false">MAX(0,CO308+CO309+CO310)</f>
        <v>0</v>
      </c>
      <c r="CP311" s="46" t="n">
        <f aca="false">MAX(0,CP308+CP309+CP310)</f>
        <v>0</v>
      </c>
      <c r="CQ311" s="46" t="n">
        <f aca="false">MAX(0,CQ308+CQ309+CQ310)</f>
        <v>0</v>
      </c>
      <c r="CR311" s="46" t="n">
        <f aca="false">MAX(0,CR308+CR309+CR310)</f>
        <v>0</v>
      </c>
      <c r="CS311" s="46" t="n">
        <f aca="false">MAX(0,CS308+CS309+CS310)</f>
        <v>0</v>
      </c>
      <c r="CT311" s="46" t="n">
        <f aca="false">MAX(0,CT308+CT309+CT310)</f>
        <v>0</v>
      </c>
      <c r="CU311" s="46" t="n">
        <f aca="false">MAX(0,CU308+CU309+CU310)</f>
        <v>0</v>
      </c>
      <c r="CV311" s="46" t="n">
        <f aca="false">MAX(0,CV308+CV309+CV310)</f>
        <v>0</v>
      </c>
      <c r="CW311" s="46" t="n">
        <f aca="false">MAX(0,CW308+CW309+CW310)</f>
        <v>0</v>
      </c>
      <c r="CX311" s="46" t="n">
        <f aca="false">MAX(0,CX308+CX309+CX310)</f>
        <v>0</v>
      </c>
      <c r="CY311" s="46" t="n">
        <f aca="false">MAX(0,CY308+CY309+CY310)</f>
        <v>0</v>
      </c>
      <c r="CZ311" s="46" t="n">
        <f aca="false">MAX(0,CZ308+CZ309+CZ310)</f>
        <v>0</v>
      </c>
      <c r="DA311" s="46" t="n">
        <f aca="false">MAX(0,DA308+DA309+DA310)</f>
        <v>0</v>
      </c>
      <c r="DB311" s="46" t="n">
        <f aca="false">MAX(0,DB308+DB309+DB310)</f>
        <v>0</v>
      </c>
      <c r="DC311" s="46" t="n">
        <f aca="false">MAX(0,DC308+DC309+DC310)</f>
        <v>0</v>
      </c>
      <c r="DD311" s="46" t="n">
        <f aca="false">MAX(0,DD308+DD309+DD310)</f>
        <v>0</v>
      </c>
      <c r="DE311" s="46" t="n">
        <f aca="false">MAX(0,DE308+DE309+DE310)</f>
        <v>0</v>
      </c>
    </row>
    <row r="312" customFormat="false" ht="13.5" hidden="false" customHeight="true" outlineLevel="0" collapsed="false">
      <c r="A312" s="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c r="AC312" s="13"/>
      <c r="AD312" s="13"/>
      <c r="AE312" s="13"/>
      <c r="AF312" s="13"/>
      <c r="AG312" s="13"/>
      <c r="AH312" s="13"/>
      <c r="AI312" s="13"/>
      <c r="AJ312" s="13"/>
      <c r="AK312" s="13"/>
      <c r="AL312" s="13"/>
      <c r="AM312" s="13"/>
      <c r="AN312" s="13"/>
      <c r="AO312" s="13"/>
      <c r="AP312" s="13"/>
      <c r="AQ312" s="13"/>
      <c r="AR312" s="13"/>
      <c r="AS312" s="13"/>
      <c r="AT312" s="13"/>
      <c r="AU312" s="13"/>
      <c r="AV312" s="13"/>
      <c r="AW312" s="13"/>
      <c r="AX312" s="13"/>
      <c r="AY312" s="13"/>
      <c r="AZ312" s="13"/>
      <c r="BA312" s="13"/>
      <c r="BB312" s="13"/>
      <c r="BC312" s="13"/>
      <c r="BD312" s="13"/>
      <c r="BE312" s="13"/>
      <c r="BF312" s="13"/>
      <c r="BG312" s="13"/>
      <c r="BH312" s="13"/>
      <c r="BI312" s="13"/>
      <c r="BJ312" s="13"/>
      <c r="BK312" s="13"/>
      <c r="BL312" s="13"/>
      <c r="BM312" s="13"/>
      <c r="BN312" s="13"/>
      <c r="BO312" s="13"/>
      <c r="BP312" s="13"/>
      <c r="BQ312" s="13"/>
      <c r="BR312" s="13"/>
      <c r="BS312" s="13"/>
      <c r="BT312" s="13"/>
      <c r="BU312" s="13"/>
      <c r="BV312" s="13"/>
      <c r="BW312" s="13"/>
      <c r="BX312" s="13"/>
      <c r="BY312" s="13"/>
      <c r="BZ312" s="13"/>
      <c r="CA312" s="13"/>
      <c r="CB312" s="13"/>
      <c r="CC312" s="13"/>
      <c r="CD312" s="13"/>
      <c r="CE312" s="13"/>
      <c r="CF312" s="13"/>
      <c r="CG312" s="13"/>
      <c r="CH312" s="13"/>
      <c r="CI312" s="13"/>
      <c r="CJ312" s="13"/>
      <c r="CK312" s="13"/>
      <c r="CL312" s="13"/>
      <c r="CM312" s="13"/>
      <c r="CN312" s="13"/>
      <c r="CO312" s="13"/>
      <c r="CP312" s="13"/>
      <c r="CQ312" s="13"/>
      <c r="CR312" s="13"/>
      <c r="CS312" s="13"/>
      <c r="CT312" s="13"/>
      <c r="CU312" s="13"/>
      <c r="CV312" s="13"/>
      <c r="CW312" s="13"/>
      <c r="CX312" s="13"/>
      <c r="CY312" s="13"/>
      <c r="CZ312" s="13"/>
      <c r="DA312" s="13"/>
      <c r="DB312" s="13"/>
      <c r="DC312" s="13"/>
      <c r="DD312" s="13"/>
      <c r="DE312" s="13"/>
    </row>
    <row r="313" customFormat="false" ht="16.5" hidden="false" customHeight="true" outlineLevel="0" collapsed="false">
      <c r="A313" s="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c r="AC313" s="13"/>
      <c r="AD313" s="13"/>
      <c r="AE313" s="13"/>
      <c r="AF313" s="13"/>
      <c r="AG313" s="13"/>
      <c r="AH313" s="13"/>
      <c r="AI313" s="13"/>
      <c r="AJ313" s="13"/>
      <c r="AK313" s="13"/>
      <c r="AL313" s="13"/>
      <c r="AM313" s="13"/>
      <c r="AN313" s="13"/>
      <c r="AO313" s="13"/>
      <c r="AP313" s="13"/>
      <c r="AQ313" s="13"/>
      <c r="AR313" s="13"/>
      <c r="AS313" s="13"/>
      <c r="AT313" s="13"/>
      <c r="AU313" s="13"/>
      <c r="AV313" s="13"/>
      <c r="AW313" s="13"/>
      <c r="AX313" s="13"/>
      <c r="AY313" s="13"/>
      <c r="AZ313" s="13"/>
      <c r="BA313" s="13"/>
      <c r="BB313" s="13"/>
      <c r="BC313" s="13"/>
      <c r="BD313" s="13"/>
      <c r="BE313" s="13"/>
      <c r="BF313" s="13"/>
      <c r="BG313" s="13"/>
      <c r="BH313" s="13"/>
      <c r="BI313" s="13"/>
      <c r="BJ313" s="13"/>
      <c r="BK313" s="13"/>
      <c r="BL313" s="13"/>
      <c r="BM313" s="13"/>
      <c r="BN313" s="13"/>
      <c r="BO313" s="13"/>
      <c r="BP313" s="13"/>
      <c r="BQ313" s="13"/>
      <c r="BR313" s="13"/>
      <c r="BS313" s="13"/>
      <c r="BT313" s="13"/>
      <c r="BU313" s="13"/>
      <c r="BV313" s="13"/>
      <c r="BW313" s="13"/>
      <c r="BX313" s="13"/>
      <c r="BY313" s="13"/>
      <c r="BZ313" s="13"/>
      <c r="CA313" s="13"/>
      <c r="CB313" s="13"/>
      <c r="CC313" s="13"/>
      <c r="CD313" s="13"/>
      <c r="CE313" s="13"/>
      <c r="CF313" s="13"/>
      <c r="CG313" s="13"/>
      <c r="CH313" s="13"/>
      <c r="CI313" s="13"/>
      <c r="CJ313" s="13"/>
      <c r="CK313" s="13"/>
      <c r="CL313" s="13"/>
      <c r="CM313" s="13"/>
      <c r="CN313" s="13"/>
      <c r="CO313" s="13"/>
      <c r="CP313" s="13"/>
      <c r="CQ313" s="13"/>
      <c r="CR313" s="13"/>
      <c r="CS313" s="13"/>
      <c r="CT313" s="13"/>
      <c r="CU313" s="13"/>
      <c r="CV313" s="13"/>
      <c r="CW313" s="13"/>
      <c r="CX313" s="13"/>
      <c r="CY313" s="13"/>
      <c r="CZ313" s="13"/>
      <c r="DA313" s="13"/>
      <c r="DB313" s="13"/>
      <c r="DC313" s="13"/>
      <c r="DD313" s="13"/>
      <c r="DE313" s="13"/>
    </row>
    <row r="314" customFormat="false" ht="15" hidden="false" customHeight="true" outlineLevel="0" collapsed="false">
      <c r="A314" s="44" t="s">
        <v>152</v>
      </c>
      <c r="B314" s="39"/>
      <c r="C314" s="39"/>
      <c r="D314" s="39"/>
      <c r="E314" s="39"/>
      <c r="F314" s="39"/>
      <c r="G314" s="39"/>
      <c r="H314" s="39"/>
      <c r="I314" s="39"/>
      <c r="J314" s="39"/>
      <c r="K314" s="39"/>
      <c r="L314" s="39"/>
      <c r="M314" s="39"/>
      <c r="N314" s="39"/>
      <c r="O314" s="39"/>
      <c r="P314" s="39"/>
      <c r="Q314" s="39"/>
      <c r="R314" s="39"/>
      <c r="S314" s="39"/>
      <c r="T314" s="39"/>
      <c r="U314" s="39"/>
      <c r="V314" s="39"/>
      <c r="W314" s="39"/>
      <c r="X314" s="39"/>
      <c r="Y314" s="39"/>
      <c r="Z314" s="39"/>
      <c r="AA314" s="39"/>
      <c r="AB314" s="39"/>
      <c r="AC314" s="39"/>
      <c r="AD314" s="39"/>
      <c r="AE314" s="39"/>
      <c r="AF314" s="39"/>
      <c r="AG314" s="39"/>
      <c r="AH314" s="39"/>
      <c r="AI314" s="39"/>
      <c r="AJ314" s="39"/>
      <c r="AK314" s="39"/>
      <c r="AL314" s="39"/>
      <c r="AM314" s="39"/>
      <c r="AN314" s="39"/>
      <c r="AO314" s="39"/>
      <c r="AP314" s="39"/>
      <c r="AQ314" s="39"/>
      <c r="AR314" s="39"/>
      <c r="AS314" s="39"/>
      <c r="AT314" s="39"/>
      <c r="AU314" s="39"/>
      <c r="AV314" s="39"/>
      <c r="AW314" s="39"/>
      <c r="AX314" s="39"/>
      <c r="AY314" s="39"/>
      <c r="AZ314" s="39"/>
      <c r="BA314" s="39"/>
      <c r="BB314" s="39"/>
      <c r="BC314" s="39"/>
      <c r="BD314" s="39"/>
      <c r="BE314" s="39"/>
      <c r="BF314" s="39"/>
      <c r="BG314" s="39"/>
      <c r="BH314" s="39"/>
      <c r="BI314" s="39"/>
      <c r="BJ314" s="39"/>
      <c r="BK314" s="39"/>
      <c r="BL314" s="39"/>
      <c r="BM314" s="39"/>
      <c r="BN314" s="39"/>
      <c r="BO314" s="39"/>
      <c r="BP314" s="39"/>
      <c r="BQ314" s="39"/>
      <c r="BR314" s="39"/>
      <c r="BS314" s="39"/>
      <c r="BT314" s="39"/>
      <c r="BU314" s="39"/>
      <c r="BV314" s="39"/>
      <c r="BW314" s="39"/>
      <c r="BX314" s="39"/>
      <c r="BY314" s="39"/>
      <c r="BZ314" s="39"/>
      <c r="CA314" s="39"/>
      <c r="CB314" s="39"/>
      <c r="CC314" s="39"/>
      <c r="CD314" s="39"/>
      <c r="CE314" s="39"/>
      <c r="CF314" s="39"/>
      <c r="CG314" s="39"/>
      <c r="CH314" s="39"/>
      <c r="CI314" s="39"/>
      <c r="CJ314" s="39"/>
      <c r="CK314" s="39"/>
      <c r="CL314" s="39"/>
      <c r="CM314" s="39"/>
      <c r="CN314" s="39"/>
      <c r="CO314" s="39"/>
      <c r="CP314" s="39"/>
      <c r="CQ314" s="39"/>
      <c r="CR314" s="39"/>
      <c r="CS314" s="39"/>
      <c r="CT314" s="39"/>
      <c r="CU314" s="39"/>
      <c r="CV314" s="39"/>
      <c r="CW314" s="39"/>
      <c r="CX314" s="39"/>
      <c r="CY314" s="39"/>
      <c r="CZ314" s="39"/>
      <c r="DA314" s="39"/>
      <c r="DB314" s="39"/>
      <c r="DC314" s="39"/>
      <c r="DD314" s="39"/>
      <c r="DE314" s="39"/>
    </row>
    <row r="315" customFormat="false" ht="15" hidden="false" customHeight="true" outlineLevel="0" collapsed="false">
      <c r="A315" s="22" t="s">
        <v>148</v>
      </c>
      <c r="B315" s="13"/>
      <c r="C315" s="13"/>
      <c r="D315" s="13"/>
      <c r="E315" s="13" t="n">
        <f aca="false">Assumptions!$B$41</f>
        <v>1000000</v>
      </c>
      <c r="F315" s="13" t="n">
        <f aca="false">E317</f>
        <v>1000000</v>
      </c>
      <c r="G315" s="13" t="n">
        <f aca="false">F317</f>
        <v>1000000</v>
      </c>
      <c r="H315" s="13" t="n">
        <f aca="false">G317</f>
        <v>1000000</v>
      </c>
      <c r="I315" s="13" t="n">
        <f aca="false">H317</f>
        <v>1000000</v>
      </c>
      <c r="J315" s="13" t="n">
        <f aca="false">I317</f>
        <v>1000000</v>
      </c>
      <c r="K315" s="13" t="n">
        <f aca="false">J317</f>
        <v>1000000</v>
      </c>
      <c r="L315" s="13" t="n">
        <f aca="false">K317</f>
        <v>1000000</v>
      </c>
      <c r="M315" s="13" t="n">
        <f aca="false">L317</f>
        <v>1000000</v>
      </c>
      <c r="N315" s="13" t="n">
        <f aca="false">M317</f>
        <v>1000000</v>
      </c>
      <c r="O315" s="13" t="n">
        <f aca="false">N317</f>
        <v>1000000</v>
      </c>
      <c r="P315" s="13" t="n">
        <f aca="false">O317</f>
        <v>1000000</v>
      </c>
      <c r="Q315" s="13" t="n">
        <f aca="false">P317</f>
        <v>1000000</v>
      </c>
      <c r="R315" s="13" t="n">
        <f aca="false">Q317</f>
        <v>1000000</v>
      </c>
      <c r="S315" s="13" t="n">
        <f aca="false">R317</f>
        <v>1000000</v>
      </c>
      <c r="T315" s="13" t="n">
        <f aca="false">S317</f>
        <v>1000000</v>
      </c>
      <c r="U315" s="13" t="n">
        <f aca="false">T317</f>
        <v>1000000</v>
      </c>
      <c r="V315" s="13" t="n">
        <f aca="false">U317</f>
        <v>1000000</v>
      </c>
      <c r="W315" s="13" t="n">
        <f aca="false">V317</f>
        <v>1000000</v>
      </c>
      <c r="X315" s="13" t="n">
        <f aca="false">W317</f>
        <v>1000000</v>
      </c>
      <c r="Y315" s="13" t="n">
        <f aca="false">X317</f>
        <v>1000000</v>
      </c>
      <c r="Z315" s="13" t="n">
        <f aca="false">Y317</f>
        <v>1000000</v>
      </c>
      <c r="AA315" s="13" t="n">
        <f aca="false">Z317</f>
        <v>1000000</v>
      </c>
      <c r="AB315" s="13" t="n">
        <f aca="false">AA317</f>
        <v>750000</v>
      </c>
      <c r="AC315" s="13" t="n">
        <f aca="false">AB317</f>
        <v>750000</v>
      </c>
      <c r="AD315" s="13" t="n">
        <f aca="false">AC317</f>
        <v>750000</v>
      </c>
      <c r="AE315" s="13" t="n">
        <f aca="false">AD317</f>
        <v>750000</v>
      </c>
      <c r="AF315" s="13" t="n">
        <f aca="false">AE317</f>
        <v>750000</v>
      </c>
      <c r="AG315" s="13" t="n">
        <f aca="false">AF317</f>
        <v>750000</v>
      </c>
      <c r="AH315" s="13" t="n">
        <f aca="false">AG317</f>
        <v>750000</v>
      </c>
      <c r="AI315" s="13" t="n">
        <f aca="false">AH317</f>
        <v>750000</v>
      </c>
      <c r="AJ315" s="13" t="n">
        <f aca="false">AI317</f>
        <v>750000</v>
      </c>
      <c r="AK315" s="13" t="n">
        <f aca="false">AJ317</f>
        <v>750000</v>
      </c>
      <c r="AL315" s="13" t="n">
        <f aca="false">AK317</f>
        <v>750000</v>
      </c>
      <c r="AM315" s="13" t="n">
        <f aca="false">AL317</f>
        <v>750000</v>
      </c>
      <c r="AN315" s="13" t="n">
        <f aca="false">AM317</f>
        <v>500000</v>
      </c>
      <c r="AO315" s="13" t="n">
        <f aca="false">AN317</f>
        <v>500000</v>
      </c>
      <c r="AP315" s="13" t="n">
        <f aca="false">AO317</f>
        <v>500000</v>
      </c>
      <c r="AQ315" s="13" t="n">
        <f aca="false">AP317</f>
        <v>500000</v>
      </c>
      <c r="AR315" s="13" t="n">
        <f aca="false">AQ317</f>
        <v>500000</v>
      </c>
      <c r="AS315" s="13" t="n">
        <f aca="false">AR317</f>
        <v>500000</v>
      </c>
      <c r="AT315" s="13" t="n">
        <f aca="false">AS317</f>
        <v>500000</v>
      </c>
      <c r="AU315" s="13" t="n">
        <f aca="false">AT317</f>
        <v>500000</v>
      </c>
      <c r="AV315" s="13" t="n">
        <f aca="false">AU317</f>
        <v>500000</v>
      </c>
      <c r="AW315" s="13" t="n">
        <f aca="false">AV317</f>
        <v>500000</v>
      </c>
      <c r="AX315" s="13" t="n">
        <f aca="false">AW317</f>
        <v>500000</v>
      </c>
      <c r="AY315" s="13" t="n">
        <f aca="false">AX317</f>
        <v>500000</v>
      </c>
      <c r="AZ315" s="13" t="n">
        <f aca="false">AY317</f>
        <v>250000</v>
      </c>
      <c r="BA315" s="13" t="n">
        <f aca="false">AZ317</f>
        <v>250000</v>
      </c>
      <c r="BB315" s="13" t="n">
        <f aca="false">BA317</f>
        <v>250000</v>
      </c>
      <c r="BC315" s="13" t="n">
        <f aca="false">BB317</f>
        <v>250000</v>
      </c>
      <c r="BD315" s="13" t="n">
        <f aca="false">BC317</f>
        <v>250000</v>
      </c>
      <c r="BE315" s="13" t="n">
        <f aca="false">BD317</f>
        <v>250000</v>
      </c>
      <c r="BF315" s="13" t="n">
        <f aca="false">BE317</f>
        <v>250000</v>
      </c>
      <c r="BG315" s="13" t="n">
        <f aca="false">BF317</f>
        <v>250000</v>
      </c>
      <c r="BH315" s="13" t="n">
        <f aca="false">BG317</f>
        <v>250000</v>
      </c>
      <c r="BI315" s="13" t="n">
        <f aca="false">BH317</f>
        <v>250000</v>
      </c>
      <c r="BJ315" s="13" t="n">
        <f aca="false">BI317</f>
        <v>250000</v>
      </c>
      <c r="BK315" s="13" t="n">
        <f aca="false">BJ317</f>
        <v>250000</v>
      </c>
      <c r="BL315" s="13" t="n">
        <f aca="false">BK317</f>
        <v>0</v>
      </c>
      <c r="BM315" s="13" t="n">
        <f aca="false">BL317</f>
        <v>0</v>
      </c>
      <c r="BN315" s="13" t="n">
        <f aca="false">BM317</f>
        <v>0</v>
      </c>
      <c r="BO315" s="13" t="n">
        <f aca="false">BN317</f>
        <v>0</v>
      </c>
      <c r="BP315" s="13" t="n">
        <f aca="false">BO317</f>
        <v>0</v>
      </c>
      <c r="BQ315" s="13" t="n">
        <f aca="false">BP317</f>
        <v>0</v>
      </c>
      <c r="BR315" s="13" t="n">
        <f aca="false">BQ317</f>
        <v>0</v>
      </c>
      <c r="BS315" s="13" t="n">
        <f aca="false">BR317</f>
        <v>0</v>
      </c>
      <c r="BT315" s="13" t="n">
        <f aca="false">BS317</f>
        <v>0</v>
      </c>
      <c r="BU315" s="13" t="n">
        <f aca="false">BT317</f>
        <v>0</v>
      </c>
      <c r="BV315" s="13" t="n">
        <f aca="false">BU317</f>
        <v>0</v>
      </c>
      <c r="BW315" s="13" t="n">
        <f aca="false">BV317</f>
        <v>0</v>
      </c>
      <c r="BX315" s="13" t="n">
        <f aca="false">BW317</f>
        <v>0</v>
      </c>
      <c r="BY315" s="13" t="n">
        <f aca="false">BX317</f>
        <v>0</v>
      </c>
      <c r="BZ315" s="13" t="n">
        <f aca="false">BY317</f>
        <v>0</v>
      </c>
      <c r="CA315" s="13" t="n">
        <f aca="false">BZ317</f>
        <v>0</v>
      </c>
      <c r="CB315" s="13" t="n">
        <f aca="false">CA317</f>
        <v>0</v>
      </c>
      <c r="CC315" s="13" t="n">
        <f aca="false">CB317</f>
        <v>0</v>
      </c>
      <c r="CD315" s="13" t="n">
        <f aca="false">CC317</f>
        <v>0</v>
      </c>
      <c r="CE315" s="13" t="n">
        <f aca="false">CD317</f>
        <v>0</v>
      </c>
      <c r="CF315" s="13" t="n">
        <f aca="false">CE317</f>
        <v>0</v>
      </c>
      <c r="CG315" s="13" t="n">
        <f aca="false">CF317</f>
        <v>0</v>
      </c>
      <c r="CH315" s="13" t="n">
        <f aca="false">CG317</f>
        <v>0</v>
      </c>
      <c r="CI315" s="13" t="n">
        <f aca="false">CH317</f>
        <v>0</v>
      </c>
      <c r="CJ315" s="13" t="n">
        <f aca="false">CI317</f>
        <v>0</v>
      </c>
      <c r="CK315" s="13" t="n">
        <f aca="false">CJ317</f>
        <v>0</v>
      </c>
      <c r="CL315" s="13" t="n">
        <f aca="false">CK317</f>
        <v>0</v>
      </c>
      <c r="CM315" s="13" t="n">
        <f aca="false">CL317</f>
        <v>0</v>
      </c>
      <c r="CN315" s="13" t="n">
        <f aca="false">CM317</f>
        <v>0</v>
      </c>
      <c r="CO315" s="13" t="n">
        <f aca="false">CN317</f>
        <v>0</v>
      </c>
      <c r="CP315" s="13" t="n">
        <f aca="false">CO317</f>
        <v>0</v>
      </c>
      <c r="CQ315" s="13" t="n">
        <f aca="false">CP317</f>
        <v>0</v>
      </c>
      <c r="CR315" s="13" t="n">
        <f aca="false">CQ317</f>
        <v>0</v>
      </c>
      <c r="CS315" s="13" t="n">
        <f aca="false">CR317</f>
        <v>0</v>
      </c>
      <c r="CT315" s="13" t="n">
        <f aca="false">CS317</f>
        <v>0</v>
      </c>
      <c r="CU315" s="13" t="n">
        <f aca="false">CT317</f>
        <v>0</v>
      </c>
      <c r="CV315" s="13" t="n">
        <f aca="false">CU317</f>
        <v>0</v>
      </c>
      <c r="CW315" s="13" t="n">
        <f aca="false">CV317</f>
        <v>0</v>
      </c>
      <c r="CX315" s="13" t="n">
        <f aca="false">CW317</f>
        <v>0</v>
      </c>
      <c r="CY315" s="13" t="n">
        <f aca="false">CX317</f>
        <v>0</v>
      </c>
      <c r="CZ315" s="13" t="n">
        <f aca="false">CY317</f>
        <v>0</v>
      </c>
      <c r="DA315" s="13" t="n">
        <f aca="false">CZ317</f>
        <v>0</v>
      </c>
      <c r="DB315" s="13" t="n">
        <f aca="false">DA317</f>
        <v>0</v>
      </c>
      <c r="DC315" s="13" t="n">
        <f aca="false">DB317</f>
        <v>0</v>
      </c>
      <c r="DD315" s="13" t="n">
        <f aca="false">DC317</f>
        <v>0</v>
      </c>
      <c r="DE315" s="13" t="n">
        <f aca="false">DD317</f>
        <v>0</v>
      </c>
    </row>
    <row r="316" customFormat="false" ht="15" hidden="false" customHeight="true" outlineLevel="0" collapsed="false">
      <c r="A316" s="22" t="s">
        <v>153</v>
      </c>
      <c r="B316" s="13"/>
      <c r="C316" s="13"/>
      <c r="D316" s="13"/>
      <c r="E316" s="13" t="n">
        <v>0</v>
      </c>
      <c r="F316" s="13" t="n">
        <v>0</v>
      </c>
      <c r="G316" s="13" t="n">
        <v>0</v>
      </c>
      <c r="H316" s="13" t="n">
        <v>0</v>
      </c>
      <c r="I316" s="13" t="n">
        <v>0</v>
      </c>
      <c r="J316" s="13" t="n">
        <v>0</v>
      </c>
      <c r="K316" s="13" t="n">
        <v>0</v>
      </c>
      <c r="L316" s="13" t="n">
        <v>0</v>
      </c>
      <c r="M316" s="13" t="n">
        <v>0</v>
      </c>
      <c r="N316" s="13" t="n">
        <v>0</v>
      </c>
      <c r="O316" s="13" t="n">
        <f aca="false">IF(AND(O315&gt;0,SUM(B302:M302)&gt;=Assumptions!$B$43),-MIN(Assumptions!$B$42,O315),0)</f>
        <v>0</v>
      </c>
      <c r="P316" s="13" t="n">
        <v>0</v>
      </c>
      <c r="Q316" s="13" t="n">
        <v>0</v>
      </c>
      <c r="R316" s="13" t="n">
        <v>0</v>
      </c>
      <c r="S316" s="13" t="n">
        <v>0</v>
      </c>
      <c r="T316" s="13" t="n">
        <v>0</v>
      </c>
      <c r="U316" s="13" t="n">
        <v>0</v>
      </c>
      <c r="V316" s="13" t="n">
        <v>0</v>
      </c>
      <c r="W316" s="13" t="n">
        <v>0</v>
      </c>
      <c r="X316" s="13" t="n">
        <v>0</v>
      </c>
      <c r="Y316" s="13" t="n">
        <v>0</v>
      </c>
      <c r="Z316" s="13" t="n">
        <v>0</v>
      </c>
      <c r="AA316" s="13" t="n">
        <f aca="false">IF(AND(AA315&gt;0,SUM(N302:Y302)&gt;=Assumptions!$B$43),-MIN(Assumptions!$B$42,AA315),0)</f>
        <v>-250000</v>
      </c>
      <c r="AB316" s="13" t="n">
        <v>0</v>
      </c>
      <c r="AC316" s="13" t="n">
        <v>0</v>
      </c>
      <c r="AD316" s="13" t="n">
        <v>0</v>
      </c>
      <c r="AE316" s="13" t="n">
        <v>0</v>
      </c>
      <c r="AF316" s="13" t="n">
        <v>0</v>
      </c>
      <c r="AG316" s="13" t="n">
        <v>0</v>
      </c>
      <c r="AH316" s="13" t="n">
        <v>0</v>
      </c>
      <c r="AI316" s="13" t="n">
        <v>0</v>
      </c>
      <c r="AJ316" s="13" t="n">
        <v>0</v>
      </c>
      <c r="AK316" s="13" t="n">
        <v>0</v>
      </c>
      <c r="AL316" s="13" t="n">
        <v>0</v>
      </c>
      <c r="AM316" s="13" t="n">
        <f aca="false">IF(AND(AM315&gt;0,SUM(Z302:AK302)&gt;=Assumptions!$B$43),-MIN(Assumptions!$B$42,AM315),0)</f>
        <v>-250000</v>
      </c>
      <c r="AN316" s="13" t="n">
        <v>0</v>
      </c>
      <c r="AO316" s="13" t="n">
        <v>0</v>
      </c>
      <c r="AP316" s="13" t="n">
        <v>0</v>
      </c>
      <c r="AQ316" s="13" t="n">
        <v>0</v>
      </c>
      <c r="AR316" s="13" t="n">
        <v>0</v>
      </c>
      <c r="AS316" s="13" t="n">
        <v>0</v>
      </c>
      <c r="AT316" s="13" t="n">
        <v>0</v>
      </c>
      <c r="AU316" s="13" t="n">
        <v>0</v>
      </c>
      <c r="AV316" s="13" t="n">
        <v>0</v>
      </c>
      <c r="AW316" s="13" t="n">
        <v>0</v>
      </c>
      <c r="AX316" s="13" t="n">
        <v>0</v>
      </c>
      <c r="AY316" s="13" t="n">
        <f aca="false">IF(AND(AY315&gt;0,SUM(AL302:AW302)&gt;=Assumptions!$B$43),-MIN(Assumptions!$B$42,AY315),0)</f>
        <v>-250000</v>
      </c>
      <c r="AZ316" s="13" t="n">
        <v>0</v>
      </c>
      <c r="BA316" s="13" t="n">
        <v>0</v>
      </c>
      <c r="BB316" s="13" t="n">
        <v>0</v>
      </c>
      <c r="BC316" s="13" t="n">
        <v>0</v>
      </c>
      <c r="BD316" s="13" t="n">
        <v>0</v>
      </c>
      <c r="BE316" s="13" t="n">
        <v>0</v>
      </c>
      <c r="BF316" s="13" t="n">
        <v>0</v>
      </c>
      <c r="BG316" s="13" t="n">
        <v>0</v>
      </c>
      <c r="BH316" s="13" t="n">
        <v>0</v>
      </c>
      <c r="BI316" s="13" t="n">
        <v>0</v>
      </c>
      <c r="BJ316" s="13" t="n">
        <v>0</v>
      </c>
      <c r="BK316" s="13" t="n">
        <f aca="false">IF(AND(BK315&gt;0,SUM(AX302:BI302)&gt;=Assumptions!$B$43),-MIN(Assumptions!$B$42,BK315),0)</f>
        <v>-250000</v>
      </c>
      <c r="BL316" s="13" t="n">
        <v>0</v>
      </c>
      <c r="BM316" s="13" t="n">
        <v>0</v>
      </c>
      <c r="BN316" s="13" t="n">
        <v>0</v>
      </c>
      <c r="BO316" s="13" t="n">
        <v>0</v>
      </c>
      <c r="BP316" s="13" t="n">
        <v>0</v>
      </c>
      <c r="BQ316" s="13" t="n">
        <v>0</v>
      </c>
      <c r="BR316" s="13" t="n">
        <v>0</v>
      </c>
      <c r="BS316" s="13" t="n">
        <v>0</v>
      </c>
      <c r="BT316" s="13" t="n">
        <v>0</v>
      </c>
      <c r="BU316" s="13" t="n">
        <v>0</v>
      </c>
      <c r="BV316" s="13" t="n">
        <v>0</v>
      </c>
      <c r="BW316" s="13" t="n">
        <f aca="false">IF(AND(BW315&gt;0,SUM(BJ302:BU302)&gt;=Assumptions!$B$43),-MIN(Assumptions!$B$42,BW315),0)</f>
        <v>0</v>
      </c>
      <c r="BX316" s="13" t="n">
        <v>0</v>
      </c>
      <c r="BY316" s="13" t="n">
        <v>0</v>
      </c>
      <c r="BZ316" s="13" t="n">
        <v>0</v>
      </c>
      <c r="CA316" s="13" t="n">
        <v>0</v>
      </c>
      <c r="CB316" s="13" t="n">
        <v>0</v>
      </c>
      <c r="CC316" s="13" t="n">
        <v>0</v>
      </c>
      <c r="CD316" s="13" t="n">
        <v>0</v>
      </c>
      <c r="CE316" s="13" t="n">
        <v>0</v>
      </c>
      <c r="CF316" s="13" t="n">
        <v>0</v>
      </c>
      <c r="CG316" s="13" t="n">
        <v>0</v>
      </c>
      <c r="CH316" s="13" t="n">
        <v>0</v>
      </c>
      <c r="CI316" s="13" t="n">
        <f aca="false">IF(AND(CI315&gt;0,SUM(BV302:CG302)&gt;=Assumptions!$B$43),-MIN(Assumptions!$B$42,CI315),0)</f>
        <v>0</v>
      </c>
      <c r="CJ316" s="13" t="n">
        <v>0</v>
      </c>
      <c r="CK316" s="13" t="n">
        <v>0</v>
      </c>
      <c r="CL316" s="13" t="n">
        <v>0</v>
      </c>
      <c r="CM316" s="13" t="n">
        <v>0</v>
      </c>
      <c r="CN316" s="13" t="n">
        <v>0</v>
      </c>
      <c r="CO316" s="13" t="n">
        <v>0</v>
      </c>
      <c r="CP316" s="13" t="n">
        <v>0</v>
      </c>
      <c r="CQ316" s="13" t="n">
        <v>0</v>
      </c>
      <c r="CR316" s="13" t="n">
        <v>0</v>
      </c>
      <c r="CS316" s="13" t="n">
        <v>0</v>
      </c>
      <c r="CT316" s="13"/>
      <c r="CU316" s="13"/>
      <c r="CV316" s="13"/>
      <c r="CW316" s="13"/>
      <c r="CX316" s="13"/>
      <c r="CY316" s="13"/>
      <c r="CZ316" s="13"/>
      <c r="DA316" s="13"/>
      <c r="DB316" s="13"/>
      <c r="DC316" s="13"/>
      <c r="DD316" s="13"/>
      <c r="DE316" s="13"/>
    </row>
    <row r="317" customFormat="false" ht="15" hidden="false" customHeight="true" outlineLevel="0" collapsed="false">
      <c r="A317" s="45" t="s">
        <v>151</v>
      </c>
      <c r="B317" s="46"/>
      <c r="C317" s="46"/>
      <c r="D317" s="46"/>
      <c r="E317" s="46" t="n">
        <f aca="false">MAX(0,E315+E316)</f>
        <v>1000000</v>
      </c>
      <c r="F317" s="46" t="n">
        <f aca="false">MAX(0,F315+F316)</f>
        <v>1000000</v>
      </c>
      <c r="G317" s="46" t="n">
        <f aca="false">MAX(0,G315+G316)</f>
        <v>1000000</v>
      </c>
      <c r="H317" s="46" t="n">
        <f aca="false">MAX(0,H315+H316)</f>
        <v>1000000</v>
      </c>
      <c r="I317" s="46" t="n">
        <f aca="false">MAX(0,I315+I316)</f>
        <v>1000000</v>
      </c>
      <c r="J317" s="46" t="n">
        <f aca="false">MAX(0,J315+J316)</f>
        <v>1000000</v>
      </c>
      <c r="K317" s="46" t="n">
        <f aca="false">MAX(0,K315+K316)</f>
        <v>1000000</v>
      </c>
      <c r="L317" s="46" t="n">
        <f aca="false">MAX(0,L315+L316)</f>
        <v>1000000</v>
      </c>
      <c r="M317" s="46" t="n">
        <f aca="false">MAX(0,M315+M316)</f>
        <v>1000000</v>
      </c>
      <c r="N317" s="46" t="n">
        <f aca="false">MAX(0,N315+N316)</f>
        <v>1000000</v>
      </c>
      <c r="O317" s="46" t="n">
        <f aca="false">MAX(0,O315+O316)</f>
        <v>1000000</v>
      </c>
      <c r="P317" s="46" t="n">
        <f aca="false">MAX(0,P315+P316)</f>
        <v>1000000</v>
      </c>
      <c r="Q317" s="46" t="n">
        <f aca="false">MAX(0,Q315+Q316)</f>
        <v>1000000</v>
      </c>
      <c r="R317" s="46" t="n">
        <f aca="false">MAX(0,R315+R316)</f>
        <v>1000000</v>
      </c>
      <c r="S317" s="46" t="n">
        <f aca="false">MAX(0,S315+S316)</f>
        <v>1000000</v>
      </c>
      <c r="T317" s="46" t="n">
        <f aca="false">MAX(0,T315+T316)</f>
        <v>1000000</v>
      </c>
      <c r="U317" s="46" t="n">
        <f aca="false">MAX(0,U315+U316)</f>
        <v>1000000</v>
      </c>
      <c r="V317" s="46" t="n">
        <f aca="false">MAX(0,V315+V316)</f>
        <v>1000000</v>
      </c>
      <c r="W317" s="46" t="n">
        <f aca="false">MAX(0,W315+W316)</f>
        <v>1000000</v>
      </c>
      <c r="X317" s="46" t="n">
        <f aca="false">MAX(0,X315+X316)</f>
        <v>1000000</v>
      </c>
      <c r="Y317" s="46" t="n">
        <f aca="false">MAX(0,Y315+Y316)</f>
        <v>1000000</v>
      </c>
      <c r="Z317" s="46" t="n">
        <f aca="false">MAX(0,Z315+Z316)</f>
        <v>1000000</v>
      </c>
      <c r="AA317" s="46" t="n">
        <f aca="false">MAX(0,AA315+AA316)</f>
        <v>750000</v>
      </c>
      <c r="AB317" s="46" t="n">
        <f aca="false">MAX(0,AB315+AB316)</f>
        <v>750000</v>
      </c>
      <c r="AC317" s="46" t="n">
        <f aca="false">MAX(0,AC315+AC316)</f>
        <v>750000</v>
      </c>
      <c r="AD317" s="46" t="n">
        <f aca="false">MAX(0,AD315+AD316)</f>
        <v>750000</v>
      </c>
      <c r="AE317" s="46" t="n">
        <f aca="false">MAX(0,AE315+AE316)</f>
        <v>750000</v>
      </c>
      <c r="AF317" s="46" t="n">
        <f aca="false">MAX(0,AF315+AF316)</f>
        <v>750000</v>
      </c>
      <c r="AG317" s="46" t="n">
        <f aca="false">MAX(0,AG315+AG316)</f>
        <v>750000</v>
      </c>
      <c r="AH317" s="46" t="n">
        <f aca="false">MAX(0,AH315+AH316)</f>
        <v>750000</v>
      </c>
      <c r="AI317" s="46" t="n">
        <f aca="false">MAX(0,AI315+AI316)</f>
        <v>750000</v>
      </c>
      <c r="AJ317" s="46" t="n">
        <f aca="false">MAX(0,AJ315+AJ316)</f>
        <v>750000</v>
      </c>
      <c r="AK317" s="46" t="n">
        <f aca="false">MAX(0,AK315+AK316)</f>
        <v>750000</v>
      </c>
      <c r="AL317" s="46" t="n">
        <f aca="false">MAX(0,AL315+AL316)</f>
        <v>750000</v>
      </c>
      <c r="AM317" s="46" t="n">
        <f aca="false">MAX(0,AM315+AM316)</f>
        <v>500000</v>
      </c>
      <c r="AN317" s="46" t="n">
        <f aca="false">MAX(0,AN315+AN316)</f>
        <v>500000</v>
      </c>
      <c r="AO317" s="46" t="n">
        <f aca="false">MAX(0,AO315+AO316)</f>
        <v>500000</v>
      </c>
      <c r="AP317" s="46" t="n">
        <f aca="false">MAX(0,AP315+AP316)</f>
        <v>500000</v>
      </c>
      <c r="AQ317" s="46" t="n">
        <f aca="false">MAX(0,AQ315+AQ316)</f>
        <v>500000</v>
      </c>
      <c r="AR317" s="46" t="n">
        <f aca="false">MAX(0,AR315+AR316)</f>
        <v>500000</v>
      </c>
      <c r="AS317" s="46" t="n">
        <f aca="false">MAX(0,AS315+AS316)</f>
        <v>500000</v>
      </c>
      <c r="AT317" s="46" t="n">
        <f aca="false">MAX(0,AT315+AT316)</f>
        <v>500000</v>
      </c>
      <c r="AU317" s="46" t="n">
        <f aca="false">MAX(0,AU315+AU316)</f>
        <v>500000</v>
      </c>
      <c r="AV317" s="46" t="n">
        <f aca="false">MAX(0,AV315+AV316)</f>
        <v>500000</v>
      </c>
      <c r="AW317" s="46" t="n">
        <f aca="false">MAX(0,AW315+AW316)</f>
        <v>500000</v>
      </c>
      <c r="AX317" s="46" t="n">
        <f aca="false">MAX(0,AX315+AX316)</f>
        <v>500000</v>
      </c>
      <c r="AY317" s="46" t="n">
        <f aca="false">MAX(0,AY315+AY316)</f>
        <v>250000</v>
      </c>
      <c r="AZ317" s="46" t="n">
        <f aca="false">MAX(0,AZ315+AZ316)</f>
        <v>250000</v>
      </c>
      <c r="BA317" s="46" t="n">
        <f aca="false">MAX(0,BA315+BA316)</f>
        <v>250000</v>
      </c>
      <c r="BB317" s="46" t="n">
        <f aca="false">MAX(0,BB315+BB316)</f>
        <v>250000</v>
      </c>
      <c r="BC317" s="46" t="n">
        <f aca="false">MAX(0,BC315+BC316)</f>
        <v>250000</v>
      </c>
      <c r="BD317" s="46" t="n">
        <f aca="false">MAX(0,BD315+BD316)</f>
        <v>250000</v>
      </c>
      <c r="BE317" s="46" t="n">
        <f aca="false">MAX(0,BE315+BE316)</f>
        <v>250000</v>
      </c>
      <c r="BF317" s="46" t="n">
        <f aca="false">MAX(0,BF315+BF316)</f>
        <v>250000</v>
      </c>
      <c r="BG317" s="46" t="n">
        <f aca="false">MAX(0,BG315+BG316)</f>
        <v>250000</v>
      </c>
      <c r="BH317" s="46" t="n">
        <f aca="false">MAX(0,BH315+BH316)</f>
        <v>250000</v>
      </c>
      <c r="BI317" s="46" t="n">
        <f aca="false">MAX(0,BI315+BI316)</f>
        <v>250000</v>
      </c>
      <c r="BJ317" s="46" t="n">
        <f aca="false">MAX(0,BJ315+BJ316)</f>
        <v>250000</v>
      </c>
      <c r="BK317" s="46" t="n">
        <f aca="false">MAX(0,BK315+BK316)</f>
        <v>0</v>
      </c>
      <c r="BL317" s="46" t="n">
        <f aca="false">MAX(0,BL315+BL316)</f>
        <v>0</v>
      </c>
      <c r="BM317" s="46" t="n">
        <f aca="false">MAX(0,BM315+BM316)</f>
        <v>0</v>
      </c>
      <c r="BN317" s="46" t="n">
        <f aca="false">MAX(0,BN315+BN316)</f>
        <v>0</v>
      </c>
      <c r="BO317" s="46" t="n">
        <f aca="false">MAX(0,BO315+BO316)</f>
        <v>0</v>
      </c>
      <c r="BP317" s="46" t="n">
        <f aca="false">MAX(0,BP315+BP316)</f>
        <v>0</v>
      </c>
      <c r="BQ317" s="46" t="n">
        <f aca="false">MAX(0,BQ315+BQ316)</f>
        <v>0</v>
      </c>
      <c r="BR317" s="46" t="n">
        <f aca="false">MAX(0,BR315+BR316)</f>
        <v>0</v>
      </c>
      <c r="BS317" s="46" t="n">
        <f aca="false">MAX(0,BS315+BS316)</f>
        <v>0</v>
      </c>
      <c r="BT317" s="46" t="n">
        <f aca="false">MAX(0,BT315+BT316)</f>
        <v>0</v>
      </c>
      <c r="BU317" s="46" t="n">
        <f aca="false">MAX(0,BU315+BU316)</f>
        <v>0</v>
      </c>
      <c r="BV317" s="46" t="n">
        <f aca="false">MAX(0,BV315+BV316)</f>
        <v>0</v>
      </c>
      <c r="BW317" s="46" t="n">
        <f aca="false">MAX(0,BW315+BW316)</f>
        <v>0</v>
      </c>
      <c r="BX317" s="46" t="n">
        <f aca="false">MAX(0,BX315+BX316)</f>
        <v>0</v>
      </c>
      <c r="BY317" s="46" t="n">
        <f aca="false">MAX(0,BY315+BY316)</f>
        <v>0</v>
      </c>
      <c r="BZ317" s="46" t="n">
        <f aca="false">MAX(0,BZ315+BZ316)</f>
        <v>0</v>
      </c>
      <c r="CA317" s="46" t="n">
        <f aca="false">MAX(0,CA315+CA316)</f>
        <v>0</v>
      </c>
      <c r="CB317" s="46" t="n">
        <f aca="false">MAX(0,CB315+CB316)</f>
        <v>0</v>
      </c>
      <c r="CC317" s="46" t="n">
        <f aca="false">MAX(0,CC315+CC316)</f>
        <v>0</v>
      </c>
      <c r="CD317" s="46" t="n">
        <f aca="false">MAX(0,CD315+CD316)</f>
        <v>0</v>
      </c>
      <c r="CE317" s="46" t="n">
        <f aca="false">MAX(0,CE315+CE316)</f>
        <v>0</v>
      </c>
      <c r="CF317" s="46" t="n">
        <f aca="false">MAX(0,CF315+CF316)</f>
        <v>0</v>
      </c>
      <c r="CG317" s="46" t="n">
        <f aca="false">MAX(0,CG315+CG316)</f>
        <v>0</v>
      </c>
      <c r="CH317" s="46" t="n">
        <f aca="false">MAX(0,CH315+CH316)</f>
        <v>0</v>
      </c>
      <c r="CI317" s="46" t="n">
        <f aca="false">MAX(0,CI315+CI316)</f>
        <v>0</v>
      </c>
      <c r="CJ317" s="46" t="n">
        <f aca="false">MAX(0,CJ315+CJ316)</f>
        <v>0</v>
      </c>
      <c r="CK317" s="46" t="n">
        <f aca="false">MAX(0,CK315+CK316)</f>
        <v>0</v>
      </c>
      <c r="CL317" s="46" t="n">
        <f aca="false">MAX(0,CL315+CL316)</f>
        <v>0</v>
      </c>
      <c r="CM317" s="46" t="n">
        <f aca="false">MAX(0,CM315+CM316)</f>
        <v>0</v>
      </c>
      <c r="CN317" s="46" t="n">
        <f aca="false">MAX(0,CN315+CN316)</f>
        <v>0</v>
      </c>
      <c r="CO317" s="46" t="n">
        <f aca="false">MAX(0,CO315+CO316)</f>
        <v>0</v>
      </c>
      <c r="CP317" s="46" t="n">
        <f aca="false">MAX(0,CP315+CP316)</f>
        <v>0</v>
      </c>
      <c r="CQ317" s="46" t="n">
        <f aca="false">MAX(0,CQ315+CQ316)</f>
        <v>0</v>
      </c>
      <c r="CR317" s="46" t="n">
        <f aca="false">MAX(0,CR315+CR316)</f>
        <v>0</v>
      </c>
      <c r="CS317" s="46" t="n">
        <f aca="false">MAX(0,CS315+CS316)</f>
        <v>0</v>
      </c>
      <c r="CT317" s="46" t="n">
        <f aca="false">MAX(0,CT315+CT316)</f>
        <v>0</v>
      </c>
      <c r="CU317" s="46" t="n">
        <f aca="false">MAX(0,CU315+CU316)</f>
        <v>0</v>
      </c>
      <c r="CV317" s="46" t="n">
        <f aca="false">MAX(0,CV315+CV316)</f>
        <v>0</v>
      </c>
      <c r="CW317" s="46" t="n">
        <f aca="false">MAX(0,CW315+CW316)</f>
        <v>0</v>
      </c>
      <c r="CX317" s="46" t="n">
        <f aca="false">MAX(0,CX315+CX316)</f>
        <v>0</v>
      </c>
      <c r="CY317" s="46" t="n">
        <f aca="false">MAX(0,CY315+CY316)</f>
        <v>0</v>
      </c>
      <c r="CZ317" s="46" t="n">
        <f aca="false">MAX(0,CZ315+CZ316)</f>
        <v>0</v>
      </c>
      <c r="DA317" s="46" t="n">
        <f aca="false">MAX(0,DA315+DA316)</f>
        <v>0</v>
      </c>
      <c r="DB317" s="46" t="n">
        <f aca="false">MAX(0,DB315+DB316)</f>
        <v>0</v>
      </c>
      <c r="DC317" s="46" t="n">
        <f aca="false">MAX(0,DC315+DC316)</f>
        <v>0</v>
      </c>
      <c r="DD317" s="46" t="n">
        <f aca="false">MAX(0,DD315+DD316)</f>
        <v>0</v>
      </c>
      <c r="DE317" s="46" t="n">
        <f aca="false">MAX(0,DE315+DE316)</f>
        <v>0</v>
      </c>
    </row>
    <row r="318" customFormat="false" ht="15" hidden="false" customHeight="true" outlineLevel="0" collapsed="false">
      <c r="A318" s="47"/>
      <c r="B318" s="48"/>
      <c r="C318" s="48"/>
      <c r="D318" s="48"/>
      <c r="E318" s="48"/>
      <c r="F318" s="48"/>
      <c r="G318" s="48"/>
      <c r="H318" s="48"/>
      <c r="I318" s="48"/>
      <c r="J318" s="48"/>
      <c r="K318" s="48"/>
      <c r="L318" s="48"/>
      <c r="M318" s="48"/>
      <c r="N318" s="48"/>
      <c r="O318" s="48"/>
      <c r="P318" s="48"/>
      <c r="Q318" s="48"/>
      <c r="R318" s="48"/>
      <c r="S318" s="48"/>
      <c r="T318" s="48"/>
      <c r="U318" s="48"/>
      <c r="V318" s="48"/>
      <c r="W318" s="48"/>
      <c r="X318" s="48"/>
      <c r="Y318" s="48"/>
      <c r="Z318" s="48"/>
      <c r="AA318" s="48"/>
      <c r="AB318" s="48"/>
      <c r="AC318" s="48"/>
      <c r="AD318" s="48"/>
      <c r="AE318" s="48"/>
      <c r="AF318" s="48"/>
      <c r="AG318" s="48"/>
      <c r="AH318" s="48"/>
      <c r="AI318" s="48"/>
      <c r="AJ318" s="48"/>
      <c r="AK318" s="48"/>
      <c r="AL318" s="48"/>
      <c r="AM318" s="48"/>
      <c r="AN318" s="48"/>
      <c r="AO318" s="48"/>
      <c r="AP318" s="48"/>
      <c r="AQ318" s="48"/>
      <c r="AR318" s="48"/>
      <c r="AS318" s="48"/>
      <c r="AT318" s="48"/>
      <c r="AU318" s="48"/>
      <c r="AV318" s="48"/>
      <c r="AW318" s="48"/>
      <c r="AX318" s="48"/>
      <c r="AY318" s="48"/>
      <c r="AZ318" s="48"/>
      <c r="BA318" s="48"/>
      <c r="BB318" s="48"/>
      <c r="BC318" s="48"/>
      <c r="BD318" s="48"/>
      <c r="BE318" s="48"/>
      <c r="BF318" s="48"/>
      <c r="BG318" s="48"/>
      <c r="BH318" s="48"/>
      <c r="BI318" s="48"/>
      <c r="BJ318" s="48"/>
      <c r="BK318" s="48"/>
      <c r="BL318" s="48"/>
      <c r="BM318" s="48"/>
      <c r="BN318" s="48"/>
      <c r="BO318" s="48"/>
      <c r="BP318" s="48"/>
      <c r="BQ318" s="48"/>
      <c r="BR318" s="48"/>
      <c r="BS318" s="48"/>
      <c r="BT318" s="48"/>
      <c r="BU318" s="48"/>
      <c r="BV318" s="48"/>
      <c r="BW318" s="48"/>
      <c r="BX318" s="48"/>
      <c r="BY318" s="48"/>
      <c r="BZ318" s="48"/>
      <c r="CA318" s="48"/>
      <c r="CB318" s="48"/>
      <c r="CC318" s="48"/>
      <c r="CD318" s="48"/>
      <c r="CE318" s="48"/>
      <c r="CF318" s="48"/>
      <c r="CG318" s="48"/>
      <c r="CH318" s="48"/>
      <c r="CI318" s="48"/>
      <c r="CJ318" s="48"/>
      <c r="CK318" s="48"/>
      <c r="CL318" s="48"/>
      <c r="CM318" s="48"/>
      <c r="CN318" s="48"/>
      <c r="CO318" s="48"/>
      <c r="CP318" s="48"/>
      <c r="CQ318" s="48"/>
      <c r="CR318" s="48"/>
      <c r="CS318" s="48"/>
      <c r="CT318" s="48"/>
      <c r="CU318" s="48"/>
      <c r="CV318" s="48"/>
      <c r="CW318" s="48"/>
      <c r="CX318" s="48"/>
      <c r="CY318" s="48"/>
      <c r="CZ318" s="48"/>
      <c r="DA318" s="48"/>
      <c r="DB318" s="48"/>
      <c r="DC318" s="48"/>
      <c r="DD318" s="48"/>
      <c r="DE318" s="48"/>
    </row>
    <row r="319" customFormat="false" ht="15" hidden="false" customHeight="true" outlineLevel="0" collapsed="false">
      <c r="A319" s="49" t="s">
        <v>154</v>
      </c>
      <c r="B319" s="50"/>
      <c r="C319" s="50"/>
      <c r="D319" s="50"/>
      <c r="E319" s="50"/>
      <c r="F319" s="50"/>
      <c r="G319" s="50"/>
      <c r="H319" s="50"/>
      <c r="I319" s="50"/>
      <c r="J319" s="50"/>
      <c r="K319" s="50"/>
      <c r="L319" s="50"/>
      <c r="M319" s="50"/>
      <c r="N319" s="50"/>
      <c r="O319" s="50"/>
      <c r="P319" s="50"/>
      <c r="Q319" s="50"/>
      <c r="R319" s="50"/>
      <c r="S319" s="50"/>
      <c r="T319" s="50"/>
      <c r="U319" s="50"/>
      <c r="V319" s="50"/>
      <c r="W319" s="50"/>
      <c r="X319" s="50"/>
      <c r="Y319" s="50"/>
      <c r="Z319" s="50"/>
      <c r="AA319" s="50"/>
      <c r="AB319" s="50"/>
      <c r="AC319" s="50"/>
      <c r="AD319" s="50"/>
      <c r="AE319" s="50"/>
      <c r="AF319" s="50"/>
      <c r="AG319" s="50"/>
      <c r="AH319" s="50"/>
      <c r="AI319" s="50"/>
      <c r="AJ319" s="50"/>
      <c r="AK319" s="50"/>
      <c r="AL319" s="50"/>
      <c r="AM319" s="50"/>
      <c r="AN319" s="50"/>
      <c r="AO319" s="50"/>
      <c r="AP319" s="50"/>
      <c r="AQ319" s="50"/>
      <c r="AR319" s="50"/>
      <c r="AS319" s="50"/>
      <c r="AT319" s="50"/>
      <c r="AU319" s="50"/>
      <c r="AV319" s="50"/>
      <c r="AW319" s="50"/>
      <c r="AX319" s="50"/>
      <c r="AY319" s="50"/>
      <c r="AZ319" s="50"/>
      <c r="BA319" s="50"/>
      <c r="BB319" s="50"/>
      <c r="BC319" s="50"/>
      <c r="BD319" s="50"/>
      <c r="BE319" s="50"/>
      <c r="BF319" s="50"/>
      <c r="BG319" s="50"/>
      <c r="BH319" s="50"/>
      <c r="BI319" s="50"/>
      <c r="BJ319" s="50"/>
      <c r="BK319" s="50"/>
      <c r="BL319" s="50"/>
      <c r="BM319" s="50"/>
      <c r="BN319" s="50"/>
      <c r="BO319" s="50"/>
      <c r="BP319" s="50"/>
      <c r="BQ319" s="50"/>
      <c r="BR319" s="50"/>
      <c r="BS319" s="50"/>
      <c r="BT319" s="50"/>
      <c r="BU319" s="50"/>
      <c r="BV319" s="50"/>
      <c r="BW319" s="50"/>
      <c r="BX319" s="50"/>
      <c r="BY319" s="50"/>
      <c r="BZ319" s="50"/>
      <c r="CA319" s="50"/>
      <c r="CB319" s="50"/>
      <c r="CC319" s="50"/>
      <c r="CD319" s="50"/>
      <c r="CE319" s="50"/>
      <c r="CF319" s="50"/>
      <c r="CG319" s="50"/>
      <c r="CH319" s="50"/>
      <c r="CI319" s="50"/>
      <c r="CJ319" s="50"/>
      <c r="CK319" s="50"/>
      <c r="CL319" s="50"/>
      <c r="CM319" s="50"/>
      <c r="CN319" s="50"/>
      <c r="CO319" s="50"/>
      <c r="CP319" s="50"/>
      <c r="CQ319" s="50"/>
      <c r="CR319" s="50"/>
      <c r="CS319" s="50"/>
      <c r="CT319" s="50"/>
      <c r="CU319" s="50"/>
      <c r="CV319" s="50"/>
      <c r="CW319" s="50"/>
      <c r="CX319" s="50"/>
      <c r="CY319" s="50"/>
      <c r="CZ319" s="50"/>
      <c r="DA319" s="50"/>
      <c r="DB319" s="50"/>
      <c r="DC319" s="50"/>
      <c r="DD319" s="50"/>
      <c r="DE319" s="50"/>
    </row>
    <row r="320" customFormat="false" ht="15" hidden="false" customHeight="true" outlineLevel="0" collapsed="false">
      <c r="A320" s="22" t="s">
        <v>155</v>
      </c>
      <c r="B320" s="21"/>
      <c r="C320" s="21"/>
      <c r="D320" s="21"/>
      <c r="E320" s="21" t="n">
        <f aca="false">IF(AND(Projects!$G$11="Yes",Projects!$C$11&lt;=1),Assumptions!$B$60,0)</f>
        <v>0</v>
      </c>
      <c r="F320" s="21" t="n">
        <f aca="false">IF(AND(Projects!$G$11="Yes",2=Projects!$C$11),Assumptions!$B$60,E324)</f>
        <v>0</v>
      </c>
      <c r="G320" s="21" t="n">
        <f aca="false">IF(AND(Projects!$G$11="Yes",3=Projects!$C$11),Assumptions!$B$60,F324)</f>
        <v>0</v>
      </c>
      <c r="H320" s="21" t="n">
        <f aca="false">IF(AND(Projects!$G$11="Yes",4=Projects!$C$11),Assumptions!$B$60,G324)</f>
        <v>0</v>
      </c>
      <c r="I320" s="21" t="n">
        <f aca="false">IF(AND(Projects!$G$11="Yes",5=Projects!$C$11),Assumptions!$B$60,H324)</f>
        <v>0</v>
      </c>
      <c r="J320" s="21" t="n">
        <f aca="false">IF(AND(Projects!$G$11="Yes",6=Projects!$C$11),Assumptions!$B$60,I324)</f>
        <v>0</v>
      </c>
      <c r="K320" s="21" t="n">
        <f aca="false">IF(AND(Projects!$G$11="Yes",7=Projects!$C$11),Assumptions!$B$60,J324)</f>
        <v>0</v>
      </c>
      <c r="L320" s="21" t="n">
        <f aca="false">IF(AND(Projects!$G$11="Yes",8=Projects!$C$11),Assumptions!$B$60,K324)</f>
        <v>0</v>
      </c>
      <c r="M320" s="21" t="n">
        <f aca="false">IF(AND(Projects!$G$11="Yes",9=Projects!$C$11),Assumptions!$B$60,L324)</f>
        <v>0</v>
      </c>
      <c r="N320" s="21" t="n">
        <f aca="false">IF(AND(Projects!$G$11="Yes",10=Projects!$C$11),Assumptions!$B$60,M324)</f>
        <v>0</v>
      </c>
      <c r="O320" s="21" t="n">
        <f aca="false">IF(AND(Projects!$G$11="Yes",11=Projects!$C$11),Assumptions!$B$60,N324)</f>
        <v>0</v>
      </c>
      <c r="P320" s="21" t="n">
        <f aca="false">IF(AND(Projects!$G$11="Yes",12=Projects!$C$11),Assumptions!$B$60,O324)</f>
        <v>0</v>
      </c>
      <c r="Q320" s="21" t="n">
        <f aca="false">IF(AND(Projects!$G$11="Yes",13=Projects!$C$11),Assumptions!$B$60,P324)</f>
        <v>0</v>
      </c>
      <c r="R320" s="21" t="n">
        <f aca="false">IF(AND(Projects!$G$11="Yes",14=Projects!$C$11),Assumptions!$B$60,Q324)</f>
        <v>0</v>
      </c>
      <c r="S320" s="21" t="n">
        <f aca="false">IF(AND(Projects!$G$11="Yes",15=Projects!$C$11),Assumptions!$B$60,R324)</f>
        <v>0</v>
      </c>
      <c r="T320" s="21" t="n">
        <f aca="false">IF(AND(Projects!$G$11="Yes",16=Projects!$C$11),Assumptions!$B$60,S324)</f>
        <v>0</v>
      </c>
      <c r="U320" s="21" t="n">
        <f aca="false">IF(AND(Projects!$G$11="Yes",17=Projects!$C$11),Assumptions!$B$60,T324)</f>
        <v>0</v>
      </c>
      <c r="V320" s="21" t="n">
        <f aca="false">IF(AND(Projects!$G$11="Yes",18=Projects!$C$11),Assumptions!$B$60,U324)</f>
        <v>0</v>
      </c>
      <c r="W320" s="21" t="n">
        <f aca="false">IF(AND(Projects!$G$11="Yes",19=Projects!$C$11),Assumptions!$B$60,V324)</f>
        <v>0</v>
      </c>
      <c r="X320" s="21" t="n">
        <f aca="false">IF(AND(Projects!$G$11="Yes",20=Projects!$C$11),Assumptions!$B$60,W324)</f>
        <v>0</v>
      </c>
      <c r="Y320" s="21" t="n">
        <f aca="false">IF(AND(Projects!$G$11="Yes",21=Projects!$C$11),Assumptions!$B$60,X324)</f>
        <v>0</v>
      </c>
      <c r="Z320" s="21" t="n">
        <f aca="false">IF(AND(Projects!$G$11="Yes",22=Projects!$C$11),Assumptions!$B$60,Y324)</f>
        <v>0</v>
      </c>
      <c r="AA320" s="21" t="n">
        <f aca="false">IF(AND(Projects!$G$11="Yes",23=Projects!$C$11),Assumptions!$B$60,Z324)</f>
        <v>0</v>
      </c>
      <c r="AB320" s="21" t="n">
        <f aca="false">IF(AND(Projects!$G$11="Yes",24=Projects!$C$11),Assumptions!$B$60,AA324)</f>
        <v>0</v>
      </c>
      <c r="AC320" s="21" t="n">
        <f aca="false">IF(AND(Projects!$G$11="Yes",25=Projects!$C$11),Assumptions!$B$60,AB324)</f>
        <v>0</v>
      </c>
      <c r="AD320" s="21" t="n">
        <f aca="false">IF(AND(Projects!$G$11="Yes",26=Projects!$C$11),Assumptions!$B$60,AC324)</f>
        <v>0</v>
      </c>
      <c r="AE320" s="21" t="n">
        <f aca="false">IF(AND(Projects!$G$11="Yes",27=Projects!$C$11),Assumptions!$B$60,AD324)</f>
        <v>0</v>
      </c>
      <c r="AF320" s="21" t="n">
        <f aca="false">IF(AND(Projects!$G$11="Yes",28=Projects!$C$11),Assumptions!$B$60,AE324)</f>
        <v>0</v>
      </c>
      <c r="AG320" s="21" t="n">
        <f aca="false">IF(AND(Projects!$G$11="Yes",29=Projects!$C$11),Assumptions!$B$60,AF324)</f>
        <v>0</v>
      </c>
      <c r="AH320" s="21" t="n">
        <f aca="false">IF(AND(Projects!$G$11="Yes",30=Projects!$C$11),Assumptions!$B$60,AG324)</f>
        <v>0</v>
      </c>
      <c r="AI320" s="21" t="n">
        <f aca="false">IF(AND(Projects!$G$11="Yes",31=Projects!$C$11),Assumptions!$B$60,AH324)</f>
        <v>0</v>
      </c>
      <c r="AJ320" s="21" t="n">
        <f aca="false">IF(AND(Projects!$G$11="Yes",32=Projects!$C$11),Assumptions!$B$60,AI324)</f>
        <v>0</v>
      </c>
      <c r="AK320" s="21" t="n">
        <f aca="false">IF(AND(Projects!$G$11="Yes",33=Projects!$C$11),Assumptions!$B$60,AJ324)</f>
        <v>0</v>
      </c>
      <c r="AL320" s="21" t="n">
        <f aca="false">IF(AND(Projects!$G$11="Yes",34=Projects!$C$11),Assumptions!$B$60,AK324)</f>
        <v>0</v>
      </c>
      <c r="AM320" s="21" t="n">
        <f aca="false">IF(AND(Projects!$G$11="Yes",35=Projects!$C$11),Assumptions!$B$60,AL324)</f>
        <v>0</v>
      </c>
      <c r="AN320" s="21" t="n">
        <f aca="false">IF(AND(Projects!$G$11="Yes",36=Projects!$C$11),Assumptions!$B$60,AM324)</f>
        <v>0</v>
      </c>
      <c r="AO320" s="21" t="n">
        <f aca="false">IF(AND(Projects!$G$11="Yes",37=Projects!$C$11),Assumptions!$B$60,AN324)</f>
        <v>0</v>
      </c>
      <c r="AP320" s="21" t="n">
        <f aca="false">IF(AND(Projects!$G$11="Yes",38=Projects!$C$11),Assumptions!$B$60,AO324)</f>
        <v>0</v>
      </c>
      <c r="AQ320" s="21" t="n">
        <f aca="false">IF(AND(Projects!$G$11="Yes",39=Projects!$C$11),Assumptions!$B$60,AP324)</f>
        <v>0</v>
      </c>
      <c r="AR320" s="21" t="n">
        <f aca="false">IF(AND(Projects!$G$11="Yes",40=Projects!$C$11),Assumptions!$B$60,AQ324)</f>
        <v>0</v>
      </c>
      <c r="AS320" s="21" t="n">
        <f aca="false">IF(AND(Projects!$G$11="Yes",41=Projects!$C$11),Assumptions!$B$60,AR324)</f>
        <v>0</v>
      </c>
      <c r="AT320" s="21" t="n">
        <f aca="false">IF(AND(Projects!$G$11="Yes",42=Projects!$C$11),Assumptions!$B$60,AS324)</f>
        <v>0</v>
      </c>
      <c r="AU320" s="21" t="n">
        <f aca="false">IF(AND(Projects!$G$11="Yes",43=Projects!$C$11),Assumptions!$B$60,AT324)</f>
        <v>0</v>
      </c>
      <c r="AV320" s="21" t="n">
        <f aca="false">IF(AND(Projects!$G$11="Yes",44=Projects!$C$11),Assumptions!$B$60,AU324)</f>
        <v>0</v>
      </c>
      <c r="AW320" s="21" t="n">
        <f aca="false">IF(AND(Projects!$G$11="Yes",45=Projects!$C$11),Assumptions!$B$60,AV324)</f>
        <v>0</v>
      </c>
      <c r="AX320" s="21" t="n">
        <f aca="false">IF(AND(Projects!$G$11="Yes",46=Projects!$C$11),Assumptions!$B$60,AW324)</f>
        <v>0</v>
      </c>
      <c r="AY320" s="21" t="n">
        <f aca="false">IF(AND(Projects!$G$11="Yes",47=Projects!$C$11),Assumptions!$B$60,AX324)</f>
        <v>0</v>
      </c>
      <c r="AZ320" s="21" t="n">
        <f aca="false">IF(AND(Projects!$G$11="Yes",48=Projects!$C$11),Assumptions!$B$60,AY324)</f>
        <v>0</v>
      </c>
      <c r="BA320" s="21" t="n">
        <f aca="false">IF(AND(Projects!$G$11="Yes",49=Projects!$C$11),Assumptions!$B$60,AZ324)</f>
        <v>0</v>
      </c>
      <c r="BB320" s="21" t="n">
        <f aca="false">IF(AND(Projects!$G$11="Yes",50=Projects!$C$11),Assumptions!$B$60,BA324)</f>
        <v>0</v>
      </c>
      <c r="BC320" s="21" t="n">
        <f aca="false">IF(AND(Projects!$G$11="Yes",51=Projects!$C$11),Assumptions!$B$60,BB324)</f>
        <v>0</v>
      </c>
      <c r="BD320" s="21" t="n">
        <f aca="false">IF(AND(Projects!$G$11="Yes",52=Projects!$C$11),Assumptions!$B$60,BC324)</f>
        <v>0</v>
      </c>
      <c r="BE320" s="21" t="n">
        <f aca="false">IF(AND(Projects!$G$11="Yes",53=Projects!$C$11),Assumptions!$B$60,BD324)</f>
        <v>0</v>
      </c>
      <c r="BF320" s="21" t="n">
        <f aca="false">IF(AND(Projects!$G$11="Yes",54=Projects!$C$11),Assumptions!$B$60,BE324)</f>
        <v>0</v>
      </c>
      <c r="BG320" s="21" t="n">
        <f aca="false">IF(AND(Projects!$G$11="Yes",55=Projects!$C$11),Assumptions!$B$60,BF324)</f>
        <v>0</v>
      </c>
      <c r="BH320" s="21" t="n">
        <f aca="false">IF(AND(Projects!$G$11="Yes",56=Projects!$C$11),Assumptions!$B$60,BG324)</f>
        <v>0</v>
      </c>
      <c r="BI320" s="21" t="n">
        <f aca="false">IF(AND(Projects!$G$11="Yes",57=Projects!$C$11),Assumptions!$B$60,BH324)</f>
        <v>0</v>
      </c>
      <c r="BJ320" s="21" t="n">
        <f aca="false">IF(AND(Projects!$G$11="Yes",58=Projects!$C$11),Assumptions!$B$60,BI324)</f>
        <v>0</v>
      </c>
      <c r="BK320" s="21" t="n">
        <f aca="false">IF(AND(Projects!$G$11="Yes",59=Projects!$C$11),Assumptions!$B$60,BJ324)</f>
        <v>0</v>
      </c>
      <c r="BL320" s="21" t="n">
        <f aca="false">IF(AND(Projects!$G$11="Yes",60=Projects!$C$11),Assumptions!$B$60,BK324)</f>
        <v>0</v>
      </c>
      <c r="BM320" s="21" t="n">
        <f aca="false">IF(AND(Projects!$G$11="Yes",61=Projects!$C$11),Assumptions!$B$60,BL324)</f>
        <v>0</v>
      </c>
      <c r="BN320" s="21" t="n">
        <f aca="false">IF(AND(Projects!$G$11="Yes",62=Projects!$C$11),Assumptions!$B$60,BM324)</f>
        <v>0</v>
      </c>
      <c r="BO320" s="21" t="n">
        <f aca="false">IF(AND(Projects!$G$11="Yes",63=Projects!$C$11),Assumptions!$B$60,BN324)</f>
        <v>0</v>
      </c>
      <c r="BP320" s="21" t="n">
        <f aca="false">IF(AND(Projects!$G$11="Yes",64=Projects!$C$11),Assumptions!$B$60,BO324)</f>
        <v>0</v>
      </c>
      <c r="BQ320" s="21" t="n">
        <f aca="false">IF(AND(Projects!$G$11="Yes",65=Projects!$C$11),Assumptions!$B$60,BP324)</f>
        <v>0</v>
      </c>
      <c r="BR320" s="21" t="n">
        <f aca="false">IF(AND(Projects!$G$11="Yes",66=Projects!$C$11),Assumptions!$B$60,BQ324)</f>
        <v>0</v>
      </c>
      <c r="BS320" s="21" t="n">
        <f aca="false">IF(AND(Projects!$G$11="Yes",67=Projects!$C$11),Assumptions!$B$60,BR324)</f>
        <v>0</v>
      </c>
      <c r="BT320" s="21" t="n">
        <f aca="false">IF(AND(Projects!$G$11="Yes",68=Projects!$C$11),Assumptions!$B$60,BS324)</f>
        <v>0</v>
      </c>
      <c r="BU320" s="21" t="n">
        <f aca="false">IF(AND(Projects!$G$11="Yes",69=Projects!$C$11),Assumptions!$B$60,BT324)</f>
        <v>0</v>
      </c>
      <c r="BV320" s="21" t="n">
        <f aca="false">IF(AND(Projects!$G$11="Yes",70=Projects!$C$11),Assumptions!$B$60,BU324)</f>
        <v>0</v>
      </c>
      <c r="BW320" s="21" t="n">
        <f aca="false">IF(AND(Projects!$G$11="Yes",71=Projects!$C$11),Assumptions!$B$60,BV324)</f>
        <v>0</v>
      </c>
      <c r="BX320" s="21" t="n">
        <f aca="false">IF(AND(Projects!$G$11="Yes",72=Projects!$C$11),Assumptions!$B$60,BW324)</f>
        <v>0</v>
      </c>
      <c r="BY320" s="21" t="n">
        <f aca="false">IF(AND(Projects!$G$11="Yes",73=Projects!$C$11),Assumptions!$B$60,BX324)</f>
        <v>0</v>
      </c>
      <c r="BZ320" s="21" t="n">
        <f aca="false">IF(AND(Projects!$G$11="Yes",74=Projects!$C$11),Assumptions!$B$60,BY324)</f>
        <v>0</v>
      </c>
      <c r="CA320" s="21" t="n">
        <f aca="false">IF(AND(Projects!$G$11="Yes",75=Projects!$C$11),Assumptions!$B$60,BZ324)</f>
        <v>0</v>
      </c>
      <c r="CB320" s="21" t="n">
        <f aca="false">IF(AND(Projects!$G$11="Yes",76=Projects!$C$11),Assumptions!$B$60,CA324)</f>
        <v>0</v>
      </c>
      <c r="CC320" s="21" t="n">
        <f aca="false">IF(AND(Projects!$G$11="Yes",77=Projects!$C$11),Assumptions!$B$60,CB324)</f>
        <v>0</v>
      </c>
      <c r="CD320" s="21" t="n">
        <f aca="false">IF(AND(Projects!$G$11="Yes",78=Projects!$C$11),Assumptions!$B$60,CC324)</f>
        <v>0</v>
      </c>
      <c r="CE320" s="21" t="n">
        <f aca="false">IF(AND(Projects!$G$11="Yes",79=Projects!$C$11),Assumptions!$B$60,CD324)</f>
        <v>0</v>
      </c>
      <c r="CF320" s="21" t="n">
        <f aca="false">IF(AND(Projects!$G$11="Yes",80=Projects!$C$11),Assumptions!$B$60,CE324)</f>
        <v>0</v>
      </c>
      <c r="CG320" s="21" t="n">
        <f aca="false">IF(AND(Projects!$G$11="Yes",81=Projects!$C$11),Assumptions!$B$60,CF324)</f>
        <v>0</v>
      </c>
      <c r="CH320" s="21" t="n">
        <f aca="false">IF(AND(Projects!$G$11="Yes",82=Projects!$C$11),Assumptions!$B$60,CG324)</f>
        <v>0</v>
      </c>
      <c r="CI320" s="21" t="n">
        <f aca="false">IF(AND(Projects!$G$11="Yes",83=Projects!$C$11),Assumptions!$B$60,CH324)</f>
        <v>0</v>
      </c>
      <c r="CJ320" s="21" t="n">
        <f aca="false">IF(AND(Projects!$G$11="Yes",84=Projects!$C$11),Assumptions!$B$60,CI324)</f>
        <v>0</v>
      </c>
      <c r="CK320" s="21" t="n">
        <f aca="false">IF(AND(Projects!$G$11="Yes",85=Projects!$C$11),Assumptions!$B$60,CJ324)</f>
        <v>0</v>
      </c>
      <c r="CL320" s="21" t="n">
        <f aca="false">IF(AND(Projects!$G$11="Yes",86=Projects!$C$11),Assumptions!$B$60,CK324)</f>
        <v>0</v>
      </c>
      <c r="CM320" s="21" t="n">
        <f aca="false">IF(AND(Projects!$G$11="Yes",87=Projects!$C$11),Assumptions!$B$60,CL324)</f>
        <v>0</v>
      </c>
      <c r="CN320" s="21" t="n">
        <f aca="false">IF(AND(Projects!$G$11="Yes",88=Projects!$C$11),Assumptions!$B$60,CM324)</f>
        <v>0</v>
      </c>
      <c r="CO320" s="21" t="n">
        <f aca="false">IF(AND(Projects!$G$11="Yes",89=Projects!$C$11),Assumptions!$B$60,CN324)</f>
        <v>0</v>
      </c>
      <c r="CP320" s="21" t="n">
        <f aca="false">IF(AND(Projects!$G$11="Yes",90=Projects!$C$11),Assumptions!$B$60,CO324)</f>
        <v>0</v>
      </c>
      <c r="CQ320" s="21" t="n">
        <f aca="false">IF(AND(Projects!$G$11="Yes",91=Projects!$C$11),Assumptions!$B$60,CP324)</f>
        <v>0</v>
      </c>
      <c r="CR320" s="21" t="n">
        <f aca="false">IF(AND(Projects!$G$11="Yes",92=Projects!$C$11),Assumptions!$B$60,CQ324)</f>
        <v>0</v>
      </c>
      <c r="CS320" s="21" t="n">
        <f aca="false">IF(AND(Projects!$G$11="Yes",93=Projects!$C$11),Assumptions!$B$60,CR324)</f>
        <v>0</v>
      </c>
      <c r="CT320" s="21" t="n">
        <f aca="false">IF(AND(Projects!$G$11="Yes",94=Projects!$C$11),Assumptions!$B$60,CS324)</f>
        <v>0</v>
      </c>
      <c r="CU320" s="21" t="n">
        <f aca="false">IF(AND(Projects!$G$11="Yes",95=Projects!$C$11),Assumptions!$B$60,CT324)</f>
        <v>0</v>
      </c>
      <c r="CV320" s="21" t="n">
        <f aca="false">IF(AND(Projects!$G$11="Yes",96=Projects!$C$11),Assumptions!$B$60,CU324)</f>
        <v>0</v>
      </c>
      <c r="CW320" s="21" t="n">
        <f aca="false">IF(AND(Projects!$G$11="Yes",97=Projects!$C$11),Assumptions!$B$60,CV324)</f>
        <v>0</v>
      </c>
      <c r="CX320" s="21" t="n">
        <f aca="false">IF(AND(Projects!$G$11="Yes",98=Projects!$C$11),Assumptions!$B$60,CW324)</f>
        <v>0</v>
      </c>
      <c r="CY320" s="21" t="n">
        <f aca="false">IF(AND(Projects!$G$11="Yes",99=Projects!$C$11),Assumptions!$B$60,CX324)</f>
        <v>0</v>
      </c>
      <c r="CZ320" s="21" t="n">
        <f aca="false">IF(AND(Projects!$G$11="Yes",100=Projects!$C$11),Assumptions!$B$60,CY324)</f>
        <v>0</v>
      </c>
      <c r="DA320" s="21" t="n">
        <f aca="false">IF(AND(Projects!$G$11="Yes",101=Projects!$C$11),Assumptions!$B$60,CZ324)</f>
        <v>0</v>
      </c>
      <c r="DB320" s="21" t="n">
        <f aca="false">IF(AND(Projects!$G$11="Yes",102=Projects!$C$11),Assumptions!$B$60,DA324)</f>
        <v>0</v>
      </c>
      <c r="DC320" s="21" t="n">
        <f aca="false">IF(AND(Projects!$G$11="Yes",103=Projects!$C$11),Assumptions!$B$60,DB324)</f>
        <v>0</v>
      </c>
      <c r="DD320" s="21" t="n">
        <f aca="false">IF(AND(Projects!$G$11="Yes",104=Projects!$C$11),Assumptions!$B$60,DC324)</f>
        <v>0</v>
      </c>
      <c r="DE320" s="21" t="n">
        <f aca="false">IF(AND(Projects!$G$11="Yes",105=Projects!$C$11),Assumptions!$B$60,DD324)</f>
        <v>0</v>
      </c>
    </row>
    <row r="321" customFormat="false" ht="15" hidden="false" customHeight="true" outlineLevel="0" collapsed="false">
      <c r="A321" s="22" t="s">
        <v>156</v>
      </c>
      <c r="B321" s="21"/>
      <c r="C321" s="21"/>
      <c r="D321" s="21"/>
      <c r="E321" s="21" t="n">
        <f aca="false">IF(AND(MOD(1,3)=0,E320&gt;0),E320*Assumptions!$B$59,0)</f>
        <v>0</v>
      </c>
      <c r="F321" s="21" t="n">
        <f aca="false">IF(AND(MOD(2,3)=0,F320&gt;0),F320*Assumptions!$B$59,0)</f>
        <v>0</v>
      </c>
      <c r="G321" s="21" t="n">
        <f aca="false">IF(AND(MOD(3,3)=0,G320&gt;0),G320*Assumptions!$B$59,0)</f>
        <v>0</v>
      </c>
      <c r="H321" s="21" t="n">
        <f aca="false">IF(AND(MOD(4,3)=0,H320&gt;0),H320*Assumptions!$B$59,0)</f>
        <v>0</v>
      </c>
      <c r="I321" s="21" t="n">
        <f aca="false">IF(AND(MOD(5,3)=0,I320&gt;0),I320*Assumptions!$B$59,0)</f>
        <v>0</v>
      </c>
      <c r="J321" s="21" t="n">
        <f aca="false">IF(AND(MOD(6,3)=0,J320&gt;0),J320*Assumptions!$B$59,0)</f>
        <v>0</v>
      </c>
      <c r="K321" s="21" t="n">
        <f aca="false">IF(AND(MOD(7,3)=0,K320&gt;0),K320*Assumptions!$B$59,0)</f>
        <v>0</v>
      </c>
      <c r="L321" s="21" t="n">
        <f aca="false">IF(AND(MOD(8,3)=0,L320&gt;0),L320*Assumptions!$B$59,0)</f>
        <v>0</v>
      </c>
      <c r="M321" s="21" t="n">
        <f aca="false">IF(AND(MOD(9,3)=0,M320&gt;0),M320*Assumptions!$B$59,0)</f>
        <v>0</v>
      </c>
      <c r="N321" s="21" t="n">
        <f aca="false">IF(AND(MOD(10,3)=0,N320&gt;0),N320*Assumptions!$B$59,0)</f>
        <v>0</v>
      </c>
      <c r="O321" s="21" t="n">
        <f aca="false">IF(AND(MOD(11,3)=0,O320&gt;0),O320*Assumptions!$B$59,0)</f>
        <v>0</v>
      </c>
      <c r="P321" s="21" t="n">
        <f aca="false">IF(AND(MOD(12,3)=0,P320&gt;0),P320*Assumptions!$B$59,0)</f>
        <v>0</v>
      </c>
      <c r="Q321" s="21" t="n">
        <f aca="false">IF(AND(MOD(13,3)=0,Q320&gt;0),Q320*Assumptions!$B$59,0)</f>
        <v>0</v>
      </c>
      <c r="R321" s="21" t="n">
        <f aca="false">IF(AND(MOD(14,3)=0,R320&gt;0),R320*Assumptions!$B$59,0)</f>
        <v>0</v>
      </c>
      <c r="S321" s="21" t="n">
        <f aca="false">IF(AND(MOD(15,3)=0,S320&gt;0),S320*Assumptions!$B$59,0)</f>
        <v>0</v>
      </c>
      <c r="T321" s="21" t="n">
        <f aca="false">IF(AND(MOD(16,3)=0,T320&gt;0),T320*Assumptions!$B$59,0)</f>
        <v>0</v>
      </c>
      <c r="U321" s="21" t="n">
        <f aca="false">IF(AND(MOD(17,3)=0,U320&gt;0),U320*Assumptions!$B$59,0)</f>
        <v>0</v>
      </c>
      <c r="V321" s="21" t="n">
        <f aca="false">IF(AND(MOD(18,3)=0,V320&gt;0),V320*Assumptions!$B$59,0)</f>
        <v>0</v>
      </c>
      <c r="W321" s="21" t="n">
        <f aca="false">IF(AND(MOD(19,3)=0,W320&gt;0),W320*Assumptions!$B$59,0)</f>
        <v>0</v>
      </c>
      <c r="X321" s="21" t="n">
        <f aca="false">IF(AND(MOD(20,3)=0,X320&gt;0),X320*Assumptions!$B$59,0)</f>
        <v>0</v>
      </c>
      <c r="Y321" s="21" t="n">
        <f aca="false">IF(AND(MOD(21,3)=0,Y320&gt;0),Y320*Assumptions!$B$59,0)</f>
        <v>0</v>
      </c>
      <c r="Z321" s="21" t="n">
        <f aca="false">IF(AND(MOD(22,3)=0,Z320&gt;0),Z320*Assumptions!$B$59,0)</f>
        <v>0</v>
      </c>
      <c r="AA321" s="21" t="n">
        <f aca="false">IF(AND(MOD(23,3)=0,AA320&gt;0),AA320*Assumptions!$B$59,0)</f>
        <v>0</v>
      </c>
      <c r="AB321" s="21" t="n">
        <f aca="false">IF(AND(MOD(24,3)=0,AB320&gt;0),AB320*Assumptions!$B$59,0)</f>
        <v>0</v>
      </c>
      <c r="AC321" s="21" t="n">
        <f aca="false">IF(AND(MOD(25,3)=0,AC320&gt;0),AC320*Assumptions!$B$59,0)</f>
        <v>0</v>
      </c>
      <c r="AD321" s="21" t="n">
        <f aca="false">IF(AND(MOD(26,3)=0,AD320&gt;0),AD320*Assumptions!$B$59,0)</f>
        <v>0</v>
      </c>
      <c r="AE321" s="21" t="n">
        <f aca="false">IF(AND(MOD(27,3)=0,AE320&gt;0),AE320*Assumptions!$B$59,0)</f>
        <v>0</v>
      </c>
      <c r="AF321" s="21" t="n">
        <f aca="false">IF(AND(MOD(28,3)=0,AF320&gt;0),AF320*Assumptions!$B$59,0)</f>
        <v>0</v>
      </c>
      <c r="AG321" s="21" t="n">
        <f aca="false">IF(AND(MOD(29,3)=0,AG320&gt;0),AG320*Assumptions!$B$59,0)</f>
        <v>0</v>
      </c>
      <c r="AH321" s="21" t="n">
        <f aca="false">IF(AND(MOD(30,3)=0,AH320&gt;0),AH320*Assumptions!$B$59,0)</f>
        <v>0</v>
      </c>
      <c r="AI321" s="21" t="n">
        <f aca="false">IF(AND(MOD(31,3)=0,AI320&gt;0),AI320*Assumptions!$B$59,0)</f>
        <v>0</v>
      </c>
      <c r="AJ321" s="21" t="n">
        <f aca="false">IF(AND(MOD(32,3)=0,AJ320&gt;0),AJ320*Assumptions!$B$59,0)</f>
        <v>0</v>
      </c>
      <c r="AK321" s="21" t="n">
        <f aca="false">IF(AND(MOD(33,3)=0,AK320&gt;0),AK320*Assumptions!$B$59,0)</f>
        <v>0</v>
      </c>
      <c r="AL321" s="21" t="n">
        <f aca="false">IF(AND(MOD(34,3)=0,AL320&gt;0),AL320*Assumptions!$B$59,0)</f>
        <v>0</v>
      </c>
      <c r="AM321" s="21" t="n">
        <f aca="false">IF(AND(MOD(35,3)=0,AM320&gt;0),AM320*Assumptions!$B$59,0)</f>
        <v>0</v>
      </c>
      <c r="AN321" s="21" t="n">
        <f aca="false">IF(AND(MOD(36,3)=0,AN320&gt;0),AN320*Assumptions!$B$59,0)</f>
        <v>0</v>
      </c>
      <c r="AO321" s="21" t="n">
        <f aca="false">IF(AND(MOD(37,3)=0,AO320&gt;0),AO320*Assumptions!$B$59,0)</f>
        <v>0</v>
      </c>
      <c r="AP321" s="21" t="n">
        <f aca="false">IF(AND(MOD(38,3)=0,AP320&gt;0),AP320*Assumptions!$B$59,0)</f>
        <v>0</v>
      </c>
      <c r="AQ321" s="21" t="n">
        <f aca="false">IF(AND(MOD(39,3)=0,AQ320&gt;0),AQ320*Assumptions!$B$59,0)</f>
        <v>0</v>
      </c>
      <c r="AR321" s="21" t="n">
        <f aca="false">IF(AND(MOD(40,3)=0,AR320&gt;0),AR320*Assumptions!$B$59,0)</f>
        <v>0</v>
      </c>
      <c r="AS321" s="21" t="n">
        <f aca="false">IF(AND(MOD(41,3)=0,AS320&gt;0),AS320*Assumptions!$B$59,0)</f>
        <v>0</v>
      </c>
      <c r="AT321" s="21" t="n">
        <f aca="false">IF(AND(MOD(42,3)=0,AT320&gt;0),AT320*Assumptions!$B$59,0)</f>
        <v>0</v>
      </c>
      <c r="AU321" s="21" t="n">
        <f aca="false">IF(AND(MOD(43,3)=0,AU320&gt;0),AU320*Assumptions!$B$59,0)</f>
        <v>0</v>
      </c>
      <c r="AV321" s="21" t="n">
        <f aca="false">IF(AND(MOD(44,3)=0,AV320&gt;0),AV320*Assumptions!$B$59,0)</f>
        <v>0</v>
      </c>
      <c r="AW321" s="21" t="n">
        <f aca="false">IF(AND(MOD(45,3)=0,AW320&gt;0),AW320*Assumptions!$B$59,0)</f>
        <v>0</v>
      </c>
      <c r="AX321" s="21" t="n">
        <f aca="false">IF(AND(MOD(46,3)=0,AX320&gt;0),AX320*Assumptions!$B$59,0)</f>
        <v>0</v>
      </c>
      <c r="AY321" s="21" t="n">
        <f aca="false">IF(AND(MOD(47,3)=0,AY320&gt;0),AY320*Assumptions!$B$59,0)</f>
        <v>0</v>
      </c>
      <c r="AZ321" s="21" t="n">
        <f aca="false">IF(AND(MOD(48,3)=0,AZ320&gt;0),AZ320*Assumptions!$B$59,0)</f>
        <v>0</v>
      </c>
      <c r="BA321" s="21" t="n">
        <f aca="false">IF(AND(MOD(49,3)=0,BA320&gt;0),BA320*Assumptions!$B$59,0)</f>
        <v>0</v>
      </c>
      <c r="BB321" s="21" t="n">
        <f aca="false">IF(AND(MOD(50,3)=0,BB320&gt;0),BB320*Assumptions!$B$59,0)</f>
        <v>0</v>
      </c>
      <c r="BC321" s="21" t="n">
        <f aca="false">IF(AND(MOD(51,3)=0,BC320&gt;0),BC320*Assumptions!$B$59,0)</f>
        <v>0</v>
      </c>
      <c r="BD321" s="21" t="n">
        <f aca="false">IF(AND(MOD(52,3)=0,BD320&gt;0),BD320*Assumptions!$B$59,0)</f>
        <v>0</v>
      </c>
      <c r="BE321" s="21" t="n">
        <f aca="false">IF(AND(MOD(53,3)=0,BE320&gt;0),BE320*Assumptions!$B$59,0)</f>
        <v>0</v>
      </c>
      <c r="BF321" s="21" t="n">
        <f aca="false">IF(AND(MOD(54,3)=0,BF320&gt;0),BF320*Assumptions!$B$59,0)</f>
        <v>0</v>
      </c>
      <c r="BG321" s="21" t="n">
        <f aca="false">IF(AND(MOD(55,3)=0,BG320&gt;0),BG320*Assumptions!$B$59,0)</f>
        <v>0</v>
      </c>
      <c r="BH321" s="21" t="n">
        <f aca="false">IF(AND(MOD(56,3)=0,BH320&gt;0),BH320*Assumptions!$B$59,0)</f>
        <v>0</v>
      </c>
      <c r="BI321" s="21" t="n">
        <f aca="false">IF(AND(MOD(57,3)=0,BI320&gt;0),BI320*Assumptions!$B$59,0)</f>
        <v>0</v>
      </c>
      <c r="BJ321" s="21" t="n">
        <f aca="false">IF(AND(MOD(58,3)=0,BJ320&gt;0),BJ320*Assumptions!$B$59,0)</f>
        <v>0</v>
      </c>
      <c r="BK321" s="21" t="n">
        <f aca="false">IF(AND(MOD(59,3)=0,BK320&gt;0),BK320*Assumptions!$B$59,0)</f>
        <v>0</v>
      </c>
      <c r="BL321" s="21" t="n">
        <f aca="false">IF(AND(MOD(60,3)=0,BL320&gt;0),BL320*Assumptions!$B$59,0)</f>
        <v>0</v>
      </c>
      <c r="BM321" s="21" t="n">
        <f aca="false">IF(AND(MOD(61,3)=0,BM320&gt;0),BM320*Assumptions!$B$59,0)</f>
        <v>0</v>
      </c>
      <c r="BN321" s="21" t="n">
        <f aca="false">IF(AND(MOD(62,3)=0,BN320&gt;0),BN320*Assumptions!$B$59,0)</f>
        <v>0</v>
      </c>
      <c r="BO321" s="21" t="n">
        <f aca="false">IF(AND(MOD(63,3)=0,BO320&gt;0),BO320*Assumptions!$B$59,0)</f>
        <v>0</v>
      </c>
      <c r="BP321" s="21" t="n">
        <f aca="false">IF(AND(MOD(64,3)=0,BP320&gt;0),BP320*Assumptions!$B$59,0)</f>
        <v>0</v>
      </c>
      <c r="BQ321" s="21" t="n">
        <f aca="false">IF(AND(MOD(65,3)=0,BQ320&gt;0),BQ320*Assumptions!$B$59,0)</f>
        <v>0</v>
      </c>
      <c r="BR321" s="21" t="n">
        <f aca="false">IF(AND(MOD(66,3)=0,BR320&gt;0),BR320*Assumptions!$B$59,0)</f>
        <v>0</v>
      </c>
      <c r="BS321" s="21" t="n">
        <f aca="false">IF(AND(MOD(67,3)=0,BS320&gt;0),BS320*Assumptions!$B$59,0)</f>
        <v>0</v>
      </c>
      <c r="BT321" s="21" t="n">
        <f aca="false">IF(AND(MOD(68,3)=0,BT320&gt;0),BT320*Assumptions!$B$59,0)</f>
        <v>0</v>
      </c>
      <c r="BU321" s="21" t="n">
        <f aca="false">IF(AND(MOD(69,3)=0,BU320&gt;0),BU320*Assumptions!$B$59,0)</f>
        <v>0</v>
      </c>
      <c r="BV321" s="21" t="n">
        <f aca="false">IF(AND(MOD(70,3)=0,BV320&gt;0),BV320*Assumptions!$B$59,0)</f>
        <v>0</v>
      </c>
      <c r="BW321" s="21" t="n">
        <f aca="false">IF(AND(MOD(71,3)=0,BW320&gt;0),BW320*Assumptions!$B$59,0)</f>
        <v>0</v>
      </c>
      <c r="BX321" s="21" t="n">
        <f aca="false">IF(AND(MOD(72,3)=0,BX320&gt;0),BX320*Assumptions!$B$59,0)</f>
        <v>0</v>
      </c>
      <c r="BY321" s="21" t="n">
        <f aca="false">IF(AND(MOD(73,3)=0,BY320&gt;0),BY320*Assumptions!$B$59,0)</f>
        <v>0</v>
      </c>
      <c r="BZ321" s="21" t="n">
        <f aca="false">IF(AND(MOD(74,3)=0,BZ320&gt;0),BZ320*Assumptions!$B$59,0)</f>
        <v>0</v>
      </c>
      <c r="CA321" s="21" t="n">
        <f aca="false">IF(AND(MOD(75,3)=0,CA320&gt;0),CA320*Assumptions!$B$59,0)</f>
        <v>0</v>
      </c>
      <c r="CB321" s="21" t="n">
        <f aca="false">IF(AND(MOD(76,3)=0,CB320&gt;0),CB320*Assumptions!$B$59,0)</f>
        <v>0</v>
      </c>
      <c r="CC321" s="21" t="n">
        <f aca="false">IF(AND(MOD(77,3)=0,CC320&gt;0),CC320*Assumptions!$B$59,0)</f>
        <v>0</v>
      </c>
      <c r="CD321" s="21" t="n">
        <f aca="false">IF(AND(MOD(78,3)=0,CD320&gt;0),CD320*Assumptions!$B$59,0)</f>
        <v>0</v>
      </c>
      <c r="CE321" s="21" t="n">
        <f aca="false">IF(AND(MOD(79,3)=0,CE320&gt;0),CE320*Assumptions!$B$59,0)</f>
        <v>0</v>
      </c>
      <c r="CF321" s="21" t="n">
        <f aca="false">IF(AND(MOD(80,3)=0,CF320&gt;0),CF320*Assumptions!$B$59,0)</f>
        <v>0</v>
      </c>
      <c r="CG321" s="21" t="n">
        <f aca="false">IF(AND(MOD(81,3)=0,CG320&gt;0),CG320*Assumptions!$B$59,0)</f>
        <v>0</v>
      </c>
      <c r="CH321" s="21" t="n">
        <f aca="false">IF(AND(MOD(82,3)=0,CH320&gt;0),CH320*Assumptions!$B$59,0)</f>
        <v>0</v>
      </c>
      <c r="CI321" s="21" t="n">
        <f aca="false">IF(AND(MOD(83,3)=0,CI320&gt;0),CI320*Assumptions!$B$59,0)</f>
        <v>0</v>
      </c>
      <c r="CJ321" s="21" t="n">
        <f aca="false">IF(AND(MOD(84,3)=0,CJ320&gt;0),CJ320*Assumptions!$B$59,0)</f>
        <v>0</v>
      </c>
      <c r="CK321" s="21" t="n">
        <f aca="false">IF(AND(MOD(85,3)=0,CK320&gt;0),CK320*Assumptions!$B$59,0)</f>
        <v>0</v>
      </c>
      <c r="CL321" s="21" t="n">
        <f aca="false">IF(AND(MOD(86,3)=0,CL320&gt;0),CL320*Assumptions!$B$59,0)</f>
        <v>0</v>
      </c>
      <c r="CM321" s="21" t="n">
        <f aca="false">IF(AND(MOD(87,3)=0,CM320&gt;0),CM320*Assumptions!$B$59,0)</f>
        <v>0</v>
      </c>
      <c r="CN321" s="21" t="n">
        <f aca="false">IF(AND(MOD(88,3)=0,CN320&gt;0),CN320*Assumptions!$B$59,0)</f>
        <v>0</v>
      </c>
      <c r="CO321" s="21" t="n">
        <f aca="false">IF(AND(MOD(89,3)=0,CO320&gt;0),CO320*Assumptions!$B$59,0)</f>
        <v>0</v>
      </c>
      <c r="CP321" s="21" t="n">
        <f aca="false">IF(AND(MOD(90,3)=0,CP320&gt;0),CP320*Assumptions!$B$59,0)</f>
        <v>0</v>
      </c>
      <c r="CQ321" s="21" t="n">
        <f aca="false">IF(AND(MOD(91,3)=0,CQ320&gt;0),CQ320*Assumptions!$B$59,0)</f>
        <v>0</v>
      </c>
      <c r="CR321" s="21" t="n">
        <f aca="false">IF(AND(MOD(92,3)=0,CR320&gt;0),CR320*Assumptions!$B$59,0)</f>
        <v>0</v>
      </c>
      <c r="CS321" s="21" t="n">
        <f aca="false">IF(AND(MOD(93,3)=0,CS320&gt;0),CS320*Assumptions!$B$59,0)</f>
        <v>0</v>
      </c>
      <c r="CT321" s="21" t="n">
        <f aca="false">IF(AND(MOD(94,3)=0,CT320&gt;0),CT320*Assumptions!$B$59,0)</f>
        <v>0</v>
      </c>
      <c r="CU321" s="21" t="n">
        <f aca="false">IF(AND(MOD(95,3)=0,CU320&gt;0),CU320*Assumptions!$B$59,0)</f>
        <v>0</v>
      </c>
      <c r="CV321" s="21" t="n">
        <f aca="false">IF(AND(MOD(96,3)=0,CV320&gt;0),CV320*Assumptions!$B$59,0)</f>
        <v>0</v>
      </c>
      <c r="CW321" s="21" t="n">
        <f aca="false">IF(AND(MOD(97,3)=0,CW320&gt;0),CW320*Assumptions!$B$59,0)</f>
        <v>0</v>
      </c>
      <c r="CX321" s="21" t="n">
        <f aca="false">IF(AND(MOD(98,3)=0,CX320&gt;0),CX320*Assumptions!$B$59,0)</f>
        <v>0</v>
      </c>
      <c r="CY321" s="21" t="n">
        <f aca="false">IF(AND(MOD(99,3)=0,CY320&gt;0),CY320*Assumptions!$B$59,0)</f>
        <v>0</v>
      </c>
      <c r="CZ321" s="21" t="n">
        <f aca="false">IF(AND(MOD(100,3)=0,CZ320&gt;0),CZ320*Assumptions!$B$59,0)</f>
        <v>0</v>
      </c>
      <c r="DA321" s="21" t="n">
        <f aca="false">IF(AND(MOD(101,3)=0,DA320&gt;0),DA320*Assumptions!$B$59,0)</f>
        <v>0</v>
      </c>
      <c r="DB321" s="21" t="n">
        <f aca="false">IF(AND(MOD(102,3)=0,DB320&gt;0),DB320*Assumptions!$B$59,0)</f>
        <v>0</v>
      </c>
      <c r="DC321" s="21" t="n">
        <f aca="false">IF(AND(MOD(103,3)=0,DC320&gt;0),DC320*Assumptions!$B$59,0)</f>
        <v>0</v>
      </c>
      <c r="DD321" s="21" t="n">
        <f aca="false">IF(AND(MOD(104,3)=0,DD320&gt;0),DD320*Assumptions!$B$59,0)</f>
        <v>0</v>
      </c>
      <c r="DE321" s="21" t="n">
        <f aca="false">IF(AND(MOD(105,3)=0,DE320&gt;0),DE320*Assumptions!$B$59,0)</f>
        <v>0</v>
      </c>
    </row>
    <row r="322" customFormat="false" ht="15" hidden="false" customHeight="true" outlineLevel="0" collapsed="false">
      <c r="A322" s="22" t="s">
        <v>157</v>
      </c>
      <c r="B322" s="21"/>
      <c r="C322" s="21"/>
      <c r="D322" s="21"/>
      <c r="E322" s="21" t="n">
        <v>0</v>
      </c>
      <c r="F322" s="21" t="n">
        <v>0</v>
      </c>
      <c r="G322" s="21" t="n">
        <v>0</v>
      </c>
      <c r="H322" s="21" t="n">
        <v>0</v>
      </c>
      <c r="I322" s="21" t="n">
        <v>0</v>
      </c>
      <c r="J322" s="21" t="n">
        <v>0</v>
      </c>
      <c r="K322" s="21" t="n">
        <v>0</v>
      </c>
      <c r="L322" s="21" t="n">
        <v>0</v>
      </c>
      <c r="M322" s="21" t="n">
        <v>0</v>
      </c>
      <c r="N322" s="21" t="n">
        <v>0</v>
      </c>
      <c r="O322" s="21" t="n">
        <v>0</v>
      </c>
      <c r="P322" s="21" t="n">
        <v>0</v>
      </c>
      <c r="Q322" s="21" t="n">
        <v>0</v>
      </c>
      <c r="R322" s="21" t="n">
        <v>0</v>
      </c>
      <c r="S322" s="21" t="n">
        <v>0</v>
      </c>
      <c r="T322" s="21" t="n">
        <v>0</v>
      </c>
      <c r="U322" s="21" t="n">
        <v>0</v>
      </c>
      <c r="V322" s="21" t="n">
        <v>0</v>
      </c>
      <c r="W322" s="21" t="n">
        <v>0</v>
      </c>
      <c r="X322" s="21" t="n">
        <v>0</v>
      </c>
      <c r="Y322" s="21" t="n">
        <v>0</v>
      </c>
      <c r="Z322" s="21" t="n">
        <v>0</v>
      </c>
      <c r="AA322" s="21" t="n">
        <v>0</v>
      </c>
      <c r="AB322" s="21" t="n">
        <v>0</v>
      </c>
      <c r="AC322" s="21" t="n">
        <v>0</v>
      </c>
      <c r="AD322" s="21" t="n">
        <v>0</v>
      </c>
      <c r="AE322" s="21" t="n">
        <v>0</v>
      </c>
      <c r="AF322" s="21" t="n">
        <v>0</v>
      </c>
      <c r="AG322" s="21" t="n">
        <v>0</v>
      </c>
      <c r="AH322" s="21" t="n">
        <v>0</v>
      </c>
      <c r="AI322" s="21" t="n">
        <v>0</v>
      </c>
      <c r="AJ322" s="21" t="n">
        <v>0</v>
      </c>
      <c r="AK322" s="21" t="n">
        <v>0</v>
      </c>
      <c r="AL322" s="21" t="n">
        <v>0</v>
      </c>
      <c r="AM322" s="21" t="n">
        <v>0</v>
      </c>
      <c r="AN322" s="21" t="n">
        <v>0</v>
      </c>
      <c r="AO322" s="21" t="n">
        <v>0</v>
      </c>
      <c r="AP322" s="21" t="n">
        <v>0</v>
      </c>
      <c r="AQ322" s="21" t="n">
        <v>0</v>
      </c>
      <c r="AR322" s="21" t="n">
        <v>0</v>
      </c>
      <c r="AS322" s="21" t="n">
        <v>0</v>
      </c>
      <c r="AT322" s="21" t="n">
        <v>0</v>
      </c>
      <c r="AU322" s="21" t="n">
        <v>0</v>
      </c>
      <c r="AV322" s="21" t="n">
        <v>0</v>
      </c>
      <c r="AW322" s="21" t="n">
        <v>0</v>
      </c>
      <c r="AX322" s="21" t="n">
        <v>0</v>
      </c>
      <c r="AY322" s="21" t="n">
        <v>0</v>
      </c>
      <c r="AZ322" s="21" t="n">
        <v>0</v>
      </c>
      <c r="BA322" s="21" t="n">
        <v>0</v>
      </c>
      <c r="BB322" s="21" t="n">
        <v>0</v>
      </c>
      <c r="BC322" s="21" t="n">
        <v>0</v>
      </c>
      <c r="BD322" s="21" t="n">
        <v>0</v>
      </c>
      <c r="BE322" s="21" t="n">
        <v>0</v>
      </c>
      <c r="BF322" s="21" t="n">
        <v>0</v>
      </c>
      <c r="BG322" s="21" t="n">
        <v>0</v>
      </c>
      <c r="BH322" s="21" t="n">
        <v>0</v>
      </c>
      <c r="BI322" s="21" t="n">
        <v>0</v>
      </c>
      <c r="BJ322" s="21" t="n">
        <v>0</v>
      </c>
      <c r="BK322" s="21" t="n">
        <v>0</v>
      </c>
      <c r="BL322" s="21" t="n">
        <v>0</v>
      </c>
      <c r="BM322" s="21" t="n">
        <v>0</v>
      </c>
      <c r="BN322" s="21" t="n">
        <v>0</v>
      </c>
      <c r="BO322" s="21" t="n">
        <v>0</v>
      </c>
      <c r="BP322" s="21" t="n">
        <v>0</v>
      </c>
      <c r="BQ322" s="21" t="n">
        <v>0</v>
      </c>
      <c r="BR322" s="21" t="n">
        <v>0</v>
      </c>
      <c r="BS322" s="21" t="n">
        <v>0</v>
      </c>
      <c r="BT322" s="21" t="n">
        <v>0</v>
      </c>
      <c r="BU322" s="21" t="n">
        <v>0</v>
      </c>
      <c r="BV322" s="21" t="n">
        <v>0</v>
      </c>
      <c r="BW322" s="21" t="n">
        <v>0</v>
      </c>
      <c r="BX322" s="21" t="n">
        <v>0</v>
      </c>
      <c r="BY322" s="21" t="n">
        <v>0</v>
      </c>
      <c r="BZ322" s="21" t="n">
        <v>0</v>
      </c>
      <c r="CA322" s="21" t="n">
        <v>0</v>
      </c>
      <c r="CB322" s="21" t="n">
        <v>0</v>
      </c>
      <c r="CC322" s="21" t="n">
        <v>0</v>
      </c>
      <c r="CD322" s="21" t="n">
        <v>0</v>
      </c>
      <c r="CE322" s="21" t="n">
        <v>0</v>
      </c>
      <c r="CF322" s="21" t="n">
        <v>0</v>
      </c>
      <c r="CG322" s="21" t="n">
        <v>0</v>
      </c>
      <c r="CH322" s="21" t="n">
        <v>0</v>
      </c>
      <c r="CI322" s="21" t="n">
        <v>0</v>
      </c>
      <c r="CJ322" s="21" t="n">
        <v>0</v>
      </c>
      <c r="CK322" s="21" t="n">
        <v>0</v>
      </c>
      <c r="CL322" s="21" t="n">
        <v>0</v>
      </c>
      <c r="CM322" s="21" t="n">
        <v>0</v>
      </c>
      <c r="CN322" s="21" t="n">
        <v>0</v>
      </c>
      <c r="CO322" s="21" t="n">
        <v>0</v>
      </c>
      <c r="CP322" s="21" t="n">
        <v>0</v>
      </c>
      <c r="CQ322" s="21" t="n">
        <v>0</v>
      </c>
      <c r="CR322" s="21" t="n">
        <v>0</v>
      </c>
      <c r="CS322" s="21" t="n">
        <v>0</v>
      </c>
      <c r="CT322" s="21"/>
      <c r="CU322" s="21"/>
      <c r="CV322" s="21"/>
      <c r="CW322" s="21"/>
      <c r="CX322" s="21"/>
      <c r="CY322" s="21"/>
      <c r="CZ322" s="21"/>
      <c r="DA322" s="21"/>
      <c r="DB322" s="21"/>
      <c r="DC322" s="21"/>
      <c r="DD322" s="21"/>
      <c r="DE322" s="21"/>
    </row>
    <row r="323" customFormat="false" ht="15" hidden="false" customHeight="true" outlineLevel="0" collapsed="false">
      <c r="A323" s="51" t="s">
        <v>158</v>
      </c>
      <c r="B323" s="52"/>
      <c r="C323" s="52"/>
      <c r="D323" s="52"/>
      <c r="E323" s="52" t="n">
        <v>0</v>
      </c>
      <c r="F323" s="52" t="n">
        <v>0</v>
      </c>
      <c r="G323" s="52" t="n">
        <v>0</v>
      </c>
      <c r="H323" s="52" t="n">
        <v>0</v>
      </c>
      <c r="I323" s="52" t="n">
        <v>0</v>
      </c>
      <c r="J323" s="52" t="n">
        <v>0</v>
      </c>
      <c r="K323" s="52" t="n">
        <v>0</v>
      </c>
      <c r="L323" s="52" t="n">
        <v>0</v>
      </c>
      <c r="M323" s="52" t="n">
        <v>0</v>
      </c>
      <c r="N323" s="52" t="n">
        <v>0</v>
      </c>
      <c r="O323" s="52" t="n">
        <v>0</v>
      </c>
      <c r="P323" s="52" t="n">
        <v>0</v>
      </c>
      <c r="Q323" s="52" t="n">
        <v>0</v>
      </c>
      <c r="R323" s="52" t="n">
        <v>0</v>
      </c>
      <c r="S323" s="52" t="n">
        <v>0</v>
      </c>
      <c r="T323" s="52" t="n">
        <v>0</v>
      </c>
      <c r="U323" s="52" t="n">
        <v>0</v>
      </c>
      <c r="V323" s="52" t="n">
        <v>0</v>
      </c>
      <c r="W323" s="52" t="n">
        <v>0</v>
      </c>
      <c r="X323" s="52" t="n">
        <v>0</v>
      </c>
      <c r="Y323" s="52" t="n">
        <v>0</v>
      </c>
      <c r="Z323" s="52" t="n">
        <v>0</v>
      </c>
      <c r="AA323" s="52" t="n">
        <v>0</v>
      </c>
      <c r="AB323" s="52" t="n">
        <v>0</v>
      </c>
      <c r="AC323" s="52" t="n">
        <v>0</v>
      </c>
      <c r="AD323" s="52" t="n">
        <v>0</v>
      </c>
      <c r="AE323" s="52" t="n">
        <v>0</v>
      </c>
      <c r="AF323" s="52" t="n">
        <v>0</v>
      </c>
      <c r="AG323" s="52" t="n">
        <v>0</v>
      </c>
      <c r="AH323" s="52" t="n">
        <v>0</v>
      </c>
      <c r="AI323" s="52" t="n">
        <v>0</v>
      </c>
      <c r="AJ323" s="52" t="n">
        <v>0</v>
      </c>
      <c r="AK323" s="52" t="n">
        <v>0</v>
      </c>
      <c r="AL323" s="52" t="n">
        <v>0</v>
      </c>
      <c r="AM323" s="52" t="n">
        <v>0</v>
      </c>
      <c r="AN323" s="52" t="n">
        <v>0</v>
      </c>
      <c r="AO323" s="52" t="n">
        <v>0</v>
      </c>
      <c r="AP323" s="52" t="n">
        <v>0</v>
      </c>
      <c r="AQ323" s="52" t="n">
        <v>0</v>
      </c>
      <c r="AR323" s="52" t="n">
        <v>0</v>
      </c>
      <c r="AS323" s="52" t="n">
        <v>0</v>
      </c>
      <c r="AT323" s="52" t="n">
        <v>0</v>
      </c>
      <c r="AU323" s="52" t="n">
        <v>0</v>
      </c>
      <c r="AV323" s="52" t="n">
        <v>0</v>
      </c>
      <c r="AW323" s="52" t="n">
        <v>0</v>
      </c>
      <c r="AX323" s="52" t="n">
        <v>0</v>
      </c>
      <c r="AY323" s="52" t="n">
        <v>0</v>
      </c>
      <c r="AZ323" s="52" t="n">
        <v>0</v>
      </c>
      <c r="BA323" s="52" t="n">
        <v>0</v>
      </c>
      <c r="BB323" s="52" t="n">
        <v>0</v>
      </c>
      <c r="BC323" s="52" t="n">
        <v>0</v>
      </c>
      <c r="BD323" s="52" t="n">
        <v>0</v>
      </c>
      <c r="BE323" s="52" t="n">
        <v>0</v>
      </c>
      <c r="BF323" s="52" t="n">
        <v>0</v>
      </c>
      <c r="BG323" s="52" t="n">
        <v>0</v>
      </c>
      <c r="BH323" s="52" t="n">
        <v>0</v>
      </c>
      <c r="BI323" s="52" t="n">
        <v>0</v>
      </c>
      <c r="BJ323" s="52" t="n">
        <v>0</v>
      </c>
      <c r="BK323" s="52" t="n">
        <v>0</v>
      </c>
      <c r="BL323" s="52" t="n">
        <v>0</v>
      </c>
      <c r="BM323" s="52" t="n">
        <v>0</v>
      </c>
      <c r="BN323" s="52" t="n">
        <v>0</v>
      </c>
      <c r="BO323" s="52" t="n">
        <v>0</v>
      </c>
      <c r="BP323" s="52" t="n">
        <v>0</v>
      </c>
      <c r="BQ323" s="52" t="n">
        <v>0</v>
      </c>
      <c r="BR323" s="52" t="n">
        <v>0</v>
      </c>
      <c r="BS323" s="52" t="n">
        <v>0</v>
      </c>
      <c r="BT323" s="52" t="n">
        <v>0</v>
      </c>
      <c r="BU323" s="52" t="n">
        <v>0</v>
      </c>
      <c r="BV323" s="52" t="n">
        <v>0</v>
      </c>
      <c r="BW323" s="52" t="n">
        <v>0</v>
      </c>
      <c r="BX323" s="52" t="n">
        <v>0</v>
      </c>
      <c r="BY323" s="52" t="n">
        <v>0</v>
      </c>
      <c r="BZ323" s="52" t="n">
        <v>0</v>
      </c>
      <c r="CA323" s="52" t="n">
        <v>0</v>
      </c>
      <c r="CB323" s="52" t="n">
        <v>0</v>
      </c>
      <c r="CC323" s="52" t="n">
        <v>0</v>
      </c>
      <c r="CD323" s="52" t="n">
        <v>0</v>
      </c>
      <c r="CE323" s="52" t="n">
        <v>0</v>
      </c>
      <c r="CF323" s="52" t="n">
        <v>0</v>
      </c>
      <c r="CG323" s="52" t="n">
        <v>0</v>
      </c>
      <c r="CH323" s="52" t="n">
        <v>0</v>
      </c>
      <c r="CI323" s="52" t="n">
        <v>0</v>
      </c>
      <c r="CJ323" s="52" t="n">
        <v>0</v>
      </c>
      <c r="CK323" s="52" t="n">
        <v>0</v>
      </c>
      <c r="CL323" s="52" t="n">
        <v>0</v>
      </c>
      <c r="CM323" s="52" t="n">
        <v>0</v>
      </c>
      <c r="CN323" s="52" t="n">
        <v>0</v>
      </c>
      <c r="CO323" s="52" t="n">
        <v>0</v>
      </c>
      <c r="CP323" s="52" t="n">
        <v>0</v>
      </c>
      <c r="CQ323" s="52" t="n">
        <v>0</v>
      </c>
      <c r="CR323" s="52" t="n">
        <v>0</v>
      </c>
      <c r="CS323" s="52" t="n">
        <v>0</v>
      </c>
      <c r="CT323" s="52"/>
      <c r="CU323" s="52"/>
      <c r="CV323" s="52"/>
      <c r="CW323" s="52"/>
      <c r="CX323" s="52"/>
      <c r="CY323" s="52"/>
      <c r="CZ323" s="52"/>
      <c r="DA323" s="52"/>
      <c r="DB323" s="52"/>
      <c r="DC323" s="52"/>
      <c r="DD323" s="52"/>
      <c r="DE323" s="52"/>
    </row>
    <row r="324" customFormat="false" ht="15" hidden="false" customHeight="true" outlineLevel="0" collapsed="false">
      <c r="A324" s="53" t="s">
        <v>159</v>
      </c>
      <c r="B324" s="54"/>
      <c r="C324" s="54"/>
      <c r="D324" s="54"/>
      <c r="E324" s="54" t="n">
        <f aca="false">MAX(0,E320+E321+E322+E323)</f>
        <v>0</v>
      </c>
      <c r="F324" s="54" t="n">
        <f aca="false">MAX(0,F320+F321+F322+F323)</f>
        <v>0</v>
      </c>
      <c r="G324" s="54" t="n">
        <f aca="false">MAX(0,G320+G321+G322+G323)</f>
        <v>0</v>
      </c>
      <c r="H324" s="54" t="n">
        <f aca="false">MAX(0,H320+H321+H322+H323)</f>
        <v>0</v>
      </c>
      <c r="I324" s="54" t="n">
        <f aca="false">MAX(0,I320+I321+I322+I323)</f>
        <v>0</v>
      </c>
      <c r="J324" s="54" t="n">
        <f aca="false">MAX(0,J320+J321+J322+J323)</f>
        <v>0</v>
      </c>
      <c r="K324" s="54" t="n">
        <f aca="false">MAX(0,K320+K321+K322+K323)</f>
        <v>0</v>
      </c>
      <c r="L324" s="54" t="n">
        <f aca="false">MAX(0,L320+L321+L322+L323)</f>
        <v>0</v>
      </c>
      <c r="M324" s="54" t="n">
        <f aca="false">MAX(0,M320+M321+M322+M323)</f>
        <v>0</v>
      </c>
      <c r="N324" s="54" t="n">
        <f aca="false">MAX(0,N320+N321+N322+N323)</f>
        <v>0</v>
      </c>
      <c r="O324" s="54" t="n">
        <f aca="false">MAX(0,O320+O321+O322+O323)</f>
        <v>0</v>
      </c>
      <c r="P324" s="54" t="n">
        <f aca="false">MAX(0,P320+P321+P322+P323)</f>
        <v>0</v>
      </c>
      <c r="Q324" s="54" t="n">
        <f aca="false">MAX(0,Q320+Q321+Q322+Q323)</f>
        <v>0</v>
      </c>
      <c r="R324" s="54" t="n">
        <f aca="false">MAX(0,R320+R321+R322+R323)</f>
        <v>0</v>
      </c>
      <c r="S324" s="54" t="n">
        <f aca="false">MAX(0,S320+S321+S322+S323)</f>
        <v>0</v>
      </c>
      <c r="T324" s="54" t="n">
        <f aca="false">MAX(0,T320+T321+T322+T323)</f>
        <v>0</v>
      </c>
      <c r="U324" s="54" t="n">
        <f aca="false">MAX(0,U320+U321+U322+U323)</f>
        <v>0</v>
      </c>
      <c r="V324" s="54" t="n">
        <f aca="false">MAX(0,V320+V321+V322+V323)</f>
        <v>0</v>
      </c>
      <c r="W324" s="54" t="n">
        <f aca="false">MAX(0,W320+W321+W322+W323)</f>
        <v>0</v>
      </c>
      <c r="X324" s="54" t="n">
        <f aca="false">MAX(0,X320+X321+X322+X323)</f>
        <v>0</v>
      </c>
      <c r="Y324" s="54" t="n">
        <f aca="false">MAX(0,Y320+Y321+Y322+Y323)</f>
        <v>0</v>
      </c>
      <c r="Z324" s="54" t="n">
        <f aca="false">MAX(0,Z320+Z321+Z322+Z323)</f>
        <v>0</v>
      </c>
      <c r="AA324" s="54" t="n">
        <f aca="false">MAX(0,AA320+AA321+AA322+AA323)</f>
        <v>0</v>
      </c>
      <c r="AB324" s="54" t="n">
        <f aca="false">MAX(0,AB320+AB321+AB322+AB323)</f>
        <v>0</v>
      </c>
      <c r="AC324" s="54" t="n">
        <f aca="false">MAX(0,AC320+AC321+AC322+AC323)</f>
        <v>0</v>
      </c>
      <c r="AD324" s="54" t="n">
        <f aca="false">MAX(0,AD320+AD321+AD322+AD323)</f>
        <v>0</v>
      </c>
      <c r="AE324" s="54" t="n">
        <f aca="false">MAX(0,AE320+AE321+AE322+AE323)</f>
        <v>0</v>
      </c>
      <c r="AF324" s="54" t="n">
        <f aca="false">MAX(0,AF320+AF321+AF322+AF323)</f>
        <v>0</v>
      </c>
      <c r="AG324" s="54" t="n">
        <f aca="false">MAX(0,AG320+AG321+AG322+AG323)</f>
        <v>0</v>
      </c>
      <c r="AH324" s="54" t="n">
        <f aca="false">MAX(0,AH320+AH321+AH322+AH323)</f>
        <v>0</v>
      </c>
      <c r="AI324" s="54" t="n">
        <f aca="false">MAX(0,AI320+AI321+AI322+AI323)</f>
        <v>0</v>
      </c>
      <c r="AJ324" s="54" t="n">
        <f aca="false">MAX(0,AJ320+AJ321+AJ322+AJ323)</f>
        <v>0</v>
      </c>
      <c r="AK324" s="54" t="n">
        <f aca="false">MAX(0,AK320+AK321+AK322+AK323)</f>
        <v>0</v>
      </c>
      <c r="AL324" s="54" t="n">
        <f aca="false">MAX(0,AL320+AL321+AL322+AL323)</f>
        <v>0</v>
      </c>
      <c r="AM324" s="54" t="n">
        <f aca="false">MAX(0,AM320+AM321+AM322+AM323)</f>
        <v>0</v>
      </c>
      <c r="AN324" s="54" t="n">
        <f aca="false">MAX(0,AN320+AN321+AN322+AN323)</f>
        <v>0</v>
      </c>
      <c r="AO324" s="54" t="n">
        <f aca="false">MAX(0,AO320+AO321+AO322+AO323)</f>
        <v>0</v>
      </c>
      <c r="AP324" s="54" t="n">
        <f aca="false">MAX(0,AP320+AP321+AP322+AP323)</f>
        <v>0</v>
      </c>
      <c r="AQ324" s="54" t="n">
        <f aca="false">MAX(0,AQ320+AQ321+AQ322+AQ323)</f>
        <v>0</v>
      </c>
      <c r="AR324" s="54" t="n">
        <f aca="false">MAX(0,AR320+AR321+AR322+AR323)</f>
        <v>0</v>
      </c>
      <c r="AS324" s="54" t="n">
        <f aca="false">MAX(0,AS320+AS321+AS322+AS323)</f>
        <v>0</v>
      </c>
      <c r="AT324" s="54" t="n">
        <f aca="false">MAX(0,AT320+AT321+AT322+AT323)</f>
        <v>0</v>
      </c>
      <c r="AU324" s="54" t="n">
        <f aca="false">MAX(0,AU320+AU321+AU322+AU323)</f>
        <v>0</v>
      </c>
      <c r="AV324" s="54" t="n">
        <f aca="false">MAX(0,AV320+AV321+AV322+AV323)</f>
        <v>0</v>
      </c>
      <c r="AW324" s="54" t="n">
        <f aca="false">MAX(0,AW320+AW321+AW322+AW323)</f>
        <v>0</v>
      </c>
      <c r="AX324" s="54" t="n">
        <f aca="false">MAX(0,AX320+AX321+AX322+AX323)</f>
        <v>0</v>
      </c>
      <c r="AY324" s="54" t="n">
        <f aca="false">MAX(0,AY320+AY321+AY322+AY323)</f>
        <v>0</v>
      </c>
      <c r="AZ324" s="54" t="n">
        <f aca="false">MAX(0,AZ320+AZ321+AZ322+AZ323)</f>
        <v>0</v>
      </c>
      <c r="BA324" s="54" t="n">
        <f aca="false">MAX(0,BA320+BA321+BA322+BA323)</f>
        <v>0</v>
      </c>
      <c r="BB324" s="54" t="n">
        <f aca="false">MAX(0,BB320+BB321+BB322+BB323)</f>
        <v>0</v>
      </c>
      <c r="BC324" s="54" t="n">
        <f aca="false">MAX(0,BC320+BC321+BC322+BC323)</f>
        <v>0</v>
      </c>
      <c r="BD324" s="54" t="n">
        <f aca="false">MAX(0,BD320+BD321+BD322+BD323)</f>
        <v>0</v>
      </c>
      <c r="BE324" s="54" t="n">
        <f aca="false">MAX(0,BE320+BE321+BE322+BE323)</f>
        <v>0</v>
      </c>
      <c r="BF324" s="54" t="n">
        <f aca="false">MAX(0,BF320+BF321+BF322+BF323)</f>
        <v>0</v>
      </c>
      <c r="BG324" s="54" t="n">
        <f aca="false">MAX(0,BG320+BG321+BG322+BG323)</f>
        <v>0</v>
      </c>
      <c r="BH324" s="54" t="n">
        <f aca="false">MAX(0,BH320+BH321+BH322+BH323)</f>
        <v>0</v>
      </c>
      <c r="BI324" s="54" t="n">
        <f aca="false">MAX(0,BI320+BI321+BI322+BI323)</f>
        <v>0</v>
      </c>
      <c r="BJ324" s="54" t="n">
        <f aca="false">MAX(0,BJ320+BJ321+BJ322+BJ323)</f>
        <v>0</v>
      </c>
      <c r="BK324" s="54" t="n">
        <f aca="false">MAX(0,BK320+BK321+BK322+BK323)</f>
        <v>0</v>
      </c>
      <c r="BL324" s="54" t="n">
        <f aca="false">MAX(0,BL320+BL321+BL322+BL323)</f>
        <v>0</v>
      </c>
      <c r="BM324" s="54" t="n">
        <f aca="false">MAX(0,BM320+BM321+BM322+BM323)</f>
        <v>0</v>
      </c>
      <c r="BN324" s="54" t="n">
        <f aca="false">MAX(0,BN320+BN321+BN322+BN323)</f>
        <v>0</v>
      </c>
      <c r="BO324" s="54" t="n">
        <f aca="false">MAX(0,BO320+BO321+BO322+BO323)</f>
        <v>0</v>
      </c>
      <c r="BP324" s="54" t="n">
        <f aca="false">MAX(0,BP320+BP321+BP322+BP323)</f>
        <v>0</v>
      </c>
      <c r="BQ324" s="54" t="n">
        <f aca="false">MAX(0,BQ320+BQ321+BQ322+BQ323)</f>
        <v>0</v>
      </c>
      <c r="BR324" s="54" t="n">
        <f aca="false">MAX(0,BR320+BR321+BR322+BR323)</f>
        <v>0</v>
      </c>
      <c r="BS324" s="54" t="n">
        <f aca="false">MAX(0,BS320+BS321+BS322+BS323)</f>
        <v>0</v>
      </c>
      <c r="BT324" s="54" t="n">
        <f aca="false">MAX(0,BT320+BT321+BT322+BT323)</f>
        <v>0</v>
      </c>
      <c r="BU324" s="54" t="n">
        <f aca="false">MAX(0,BU320+BU321+BU322+BU323)</f>
        <v>0</v>
      </c>
      <c r="BV324" s="54" t="n">
        <f aca="false">MAX(0,BV320+BV321+BV322+BV323)</f>
        <v>0</v>
      </c>
      <c r="BW324" s="54" t="n">
        <f aca="false">MAX(0,BW320+BW321+BW322+BW323)</f>
        <v>0</v>
      </c>
      <c r="BX324" s="54" t="n">
        <f aca="false">MAX(0,BX320+BX321+BX322+BX323)</f>
        <v>0</v>
      </c>
      <c r="BY324" s="54" t="n">
        <f aca="false">MAX(0,BY320+BY321+BY322+BY323)</f>
        <v>0</v>
      </c>
      <c r="BZ324" s="54" t="n">
        <f aca="false">MAX(0,BZ320+BZ321+BZ322+BZ323)</f>
        <v>0</v>
      </c>
      <c r="CA324" s="54" t="n">
        <f aca="false">MAX(0,CA320+CA321+CA322+CA323)</f>
        <v>0</v>
      </c>
      <c r="CB324" s="54" t="n">
        <f aca="false">MAX(0,CB320+CB321+CB322+CB323)</f>
        <v>0</v>
      </c>
      <c r="CC324" s="54" t="n">
        <f aca="false">MAX(0,CC320+CC321+CC322+CC323)</f>
        <v>0</v>
      </c>
      <c r="CD324" s="54" t="n">
        <f aca="false">MAX(0,CD320+CD321+CD322+CD323)</f>
        <v>0</v>
      </c>
      <c r="CE324" s="54" t="n">
        <f aca="false">MAX(0,CE320+CE321+CE322+CE323)</f>
        <v>0</v>
      </c>
      <c r="CF324" s="54" t="n">
        <f aca="false">MAX(0,CF320+CF321+CF322+CF323)</f>
        <v>0</v>
      </c>
      <c r="CG324" s="54" t="n">
        <f aca="false">MAX(0,CG320+CG321+CG322+CG323)</f>
        <v>0</v>
      </c>
      <c r="CH324" s="54" t="n">
        <f aca="false">MAX(0,CH320+CH321+CH322+CH323)</f>
        <v>0</v>
      </c>
      <c r="CI324" s="54" t="n">
        <f aca="false">MAX(0,CI320+CI321+CI322+CI323)</f>
        <v>0</v>
      </c>
      <c r="CJ324" s="54" t="n">
        <f aca="false">MAX(0,CJ320+CJ321+CJ322+CJ323)</f>
        <v>0</v>
      </c>
      <c r="CK324" s="54" t="n">
        <f aca="false">MAX(0,CK320+CK321+CK322+CK323)</f>
        <v>0</v>
      </c>
      <c r="CL324" s="54" t="n">
        <f aca="false">MAX(0,CL320+CL321+CL322+CL323)</f>
        <v>0</v>
      </c>
      <c r="CM324" s="54" t="n">
        <f aca="false">MAX(0,CM320+CM321+CM322+CM323)</f>
        <v>0</v>
      </c>
      <c r="CN324" s="54" t="n">
        <f aca="false">MAX(0,CN320+CN321+CN322+CN323)</f>
        <v>0</v>
      </c>
      <c r="CO324" s="54" t="n">
        <f aca="false">MAX(0,CO320+CO321+CO322+CO323)</f>
        <v>0</v>
      </c>
      <c r="CP324" s="54" t="n">
        <f aca="false">MAX(0,CP320+CP321+CP322+CP323)</f>
        <v>0</v>
      </c>
      <c r="CQ324" s="54" t="n">
        <f aca="false">MAX(0,CQ320+CQ321+CQ322+CQ323)</f>
        <v>0</v>
      </c>
      <c r="CR324" s="54" t="n">
        <f aca="false">MAX(0,CR320+CR321+CR322+CR323)</f>
        <v>0</v>
      </c>
      <c r="CS324" s="54" t="n">
        <f aca="false">MAX(0,CS320+CS321+CS322+CS323)</f>
        <v>0</v>
      </c>
      <c r="CT324" s="54" t="n">
        <f aca="false">MAX(0,CT320+CT321+CT322+CT323)</f>
        <v>0</v>
      </c>
      <c r="CU324" s="54" t="n">
        <f aca="false">MAX(0,CU320+CU321+CU322+CU323)</f>
        <v>0</v>
      </c>
      <c r="CV324" s="54" t="n">
        <f aca="false">MAX(0,CV320+CV321+CV322+CV323)</f>
        <v>0</v>
      </c>
      <c r="CW324" s="54" t="n">
        <f aca="false">MAX(0,CW320+CW321+CW322+CW323)</f>
        <v>0</v>
      </c>
      <c r="CX324" s="54" t="n">
        <f aca="false">MAX(0,CX320+CX321+CX322+CX323)</f>
        <v>0</v>
      </c>
      <c r="CY324" s="54" t="n">
        <f aca="false">MAX(0,CY320+CY321+CY322+CY323)</f>
        <v>0</v>
      </c>
      <c r="CZ324" s="54" t="n">
        <f aca="false">MAX(0,CZ320+CZ321+CZ322+CZ323)</f>
        <v>0</v>
      </c>
      <c r="DA324" s="54" t="n">
        <f aca="false">MAX(0,DA320+DA321+DA322+DA323)</f>
        <v>0</v>
      </c>
      <c r="DB324" s="54" t="n">
        <f aca="false">MAX(0,DB320+DB321+DB322+DB323)</f>
        <v>0</v>
      </c>
      <c r="DC324" s="54" t="n">
        <f aca="false">MAX(0,DC320+DC321+DC322+DC323)</f>
        <v>0</v>
      </c>
      <c r="DD324" s="54" t="n">
        <f aca="false">MAX(0,DD320+DD321+DD322+DD323)</f>
        <v>0</v>
      </c>
      <c r="DE324" s="54" t="n">
        <f aca="false">MAX(0,DE320+DE321+DE322+DE323)</f>
        <v>0</v>
      </c>
    </row>
    <row r="325" customFormat="false" ht="15" hidden="false" customHeight="true" outlineLevel="0" collapsed="false">
      <c r="A325" s="22" t="s">
        <v>160</v>
      </c>
      <c r="B325" s="21"/>
      <c r="C325" s="21"/>
      <c r="D325" s="21"/>
      <c r="E325" s="21" t="n">
        <f aca="false">IF(AND(Projects!$G$12="Yes",Projects!$C$12&lt;=1),Assumptions!$B$61,0)</f>
        <v>0</v>
      </c>
      <c r="F325" s="21" t="n">
        <f aca="false">IF(AND(Projects!$G$12="Yes",2=Projects!$C$12),Assumptions!$B$61,E329)</f>
        <v>0</v>
      </c>
      <c r="G325" s="21" t="n">
        <f aca="false">IF(AND(Projects!$G$12="Yes",3=Projects!$C$12),Assumptions!$B$61,F329)</f>
        <v>0</v>
      </c>
      <c r="H325" s="21" t="n">
        <f aca="false">IF(AND(Projects!$G$12="Yes",4=Projects!$C$12),Assumptions!$B$61,G329)</f>
        <v>0</v>
      </c>
      <c r="I325" s="21" t="n">
        <f aca="false">IF(AND(Projects!$G$12="Yes",5=Projects!$C$12),Assumptions!$B$61,H329)</f>
        <v>0</v>
      </c>
      <c r="J325" s="21" t="n">
        <f aca="false">IF(AND(Projects!$G$12="Yes",6=Projects!$C$12),Assumptions!$B$61,I329)</f>
        <v>0</v>
      </c>
      <c r="K325" s="21" t="n">
        <f aca="false">IF(AND(Projects!$G$12="Yes",7=Projects!$C$12),Assumptions!$B$61,J329)</f>
        <v>0</v>
      </c>
      <c r="L325" s="21" t="n">
        <f aca="false">IF(AND(Projects!$G$12="Yes",8=Projects!$C$12),Assumptions!$B$61,K329)</f>
        <v>0</v>
      </c>
      <c r="M325" s="21" t="n">
        <f aca="false">IF(AND(Projects!$G$12="Yes",9=Projects!$C$12),Assumptions!$B$61,L329)</f>
        <v>0</v>
      </c>
      <c r="N325" s="21" t="n">
        <f aca="false">IF(AND(Projects!$G$12="Yes",10=Projects!$C$12),Assumptions!$B$61,M329)</f>
        <v>0</v>
      </c>
      <c r="O325" s="21" t="n">
        <f aca="false">IF(AND(Projects!$G$12="Yes",11=Projects!$C$12),Assumptions!$B$61,N329)</f>
        <v>0</v>
      </c>
      <c r="P325" s="21" t="n">
        <f aca="false">IF(AND(Projects!$G$12="Yes",12=Projects!$C$12),Assumptions!$B$61,O329)</f>
        <v>0</v>
      </c>
      <c r="Q325" s="21" t="n">
        <f aca="false">IF(AND(Projects!$G$12="Yes",13=Projects!$C$12),Assumptions!$B$61,P329)</f>
        <v>0</v>
      </c>
      <c r="R325" s="21" t="n">
        <f aca="false">IF(AND(Projects!$G$12="Yes",14=Projects!$C$12),Assumptions!$B$61,Q329)</f>
        <v>0</v>
      </c>
      <c r="S325" s="21" t="n">
        <f aca="false">IF(AND(Projects!$G$12="Yes",15=Projects!$C$12),Assumptions!$B$61,R329)</f>
        <v>0</v>
      </c>
      <c r="T325" s="21" t="n">
        <f aca="false">IF(AND(Projects!$G$12="Yes",16=Projects!$C$12),Assumptions!$B$61,S329)</f>
        <v>0</v>
      </c>
      <c r="U325" s="21" t="n">
        <f aca="false">IF(AND(Projects!$G$12="Yes",17=Projects!$C$12),Assumptions!$B$61,T329)</f>
        <v>0</v>
      </c>
      <c r="V325" s="21" t="n">
        <f aca="false">IF(AND(Projects!$G$12="Yes",18=Projects!$C$12),Assumptions!$B$61,U329)</f>
        <v>0</v>
      </c>
      <c r="W325" s="21" t="n">
        <f aca="false">IF(AND(Projects!$G$12="Yes",19=Projects!$C$12),Assumptions!$B$61,V329)</f>
        <v>0</v>
      </c>
      <c r="X325" s="21" t="n">
        <f aca="false">IF(AND(Projects!$G$12="Yes",20=Projects!$C$12),Assumptions!$B$61,W329)</f>
        <v>0</v>
      </c>
      <c r="Y325" s="21" t="n">
        <f aca="false">IF(AND(Projects!$G$12="Yes",21=Projects!$C$12),Assumptions!$B$61,X329)</f>
        <v>0</v>
      </c>
      <c r="Z325" s="21" t="n">
        <f aca="false">IF(AND(Projects!$G$12="Yes",22=Projects!$C$12),Assumptions!$B$61,Y329)</f>
        <v>0</v>
      </c>
      <c r="AA325" s="21" t="n">
        <f aca="false">IF(AND(Projects!$G$12="Yes",23=Projects!$C$12),Assumptions!$B$61,Z329)</f>
        <v>0</v>
      </c>
      <c r="AB325" s="21" t="n">
        <f aca="false">IF(AND(Projects!$G$12="Yes",24=Projects!$C$12),Assumptions!$B$61,AA329)</f>
        <v>0</v>
      </c>
      <c r="AC325" s="21" t="n">
        <f aca="false">IF(AND(Projects!$G$12="Yes",25=Projects!$C$12),Assumptions!$B$61,AB329)</f>
        <v>0</v>
      </c>
      <c r="AD325" s="21" t="n">
        <f aca="false">IF(AND(Projects!$G$12="Yes",26=Projects!$C$12),Assumptions!$B$61,AC329)</f>
        <v>0</v>
      </c>
      <c r="AE325" s="21" t="n">
        <f aca="false">IF(AND(Projects!$G$12="Yes",27=Projects!$C$12),Assumptions!$B$61,AD329)</f>
        <v>0</v>
      </c>
      <c r="AF325" s="21" t="n">
        <f aca="false">IF(AND(Projects!$G$12="Yes",28=Projects!$C$12),Assumptions!$B$61,AE329)</f>
        <v>0</v>
      </c>
      <c r="AG325" s="21" t="n">
        <f aca="false">IF(AND(Projects!$G$12="Yes",29=Projects!$C$12),Assumptions!$B$61,AF329)</f>
        <v>0</v>
      </c>
      <c r="AH325" s="21" t="n">
        <f aca="false">IF(AND(Projects!$G$12="Yes",30=Projects!$C$12),Assumptions!$B$61,AG329)</f>
        <v>0</v>
      </c>
      <c r="AI325" s="21" t="n">
        <f aca="false">IF(AND(Projects!$G$12="Yes",31=Projects!$C$12),Assumptions!$B$61,AH329)</f>
        <v>0</v>
      </c>
      <c r="AJ325" s="21" t="n">
        <f aca="false">IF(AND(Projects!$G$12="Yes",32=Projects!$C$12),Assumptions!$B$61,AI329)</f>
        <v>0</v>
      </c>
      <c r="AK325" s="21" t="n">
        <f aca="false">IF(AND(Projects!$G$12="Yes",33=Projects!$C$12),Assumptions!$B$61,AJ329)</f>
        <v>0</v>
      </c>
      <c r="AL325" s="21" t="n">
        <f aca="false">IF(AND(Projects!$G$12="Yes",34=Projects!$C$12),Assumptions!$B$61,AK329)</f>
        <v>0</v>
      </c>
      <c r="AM325" s="21" t="n">
        <f aca="false">IF(AND(Projects!$G$12="Yes",35=Projects!$C$12),Assumptions!$B$61,AL329)</f>
        <v>0</v>
      </c>
      <c r="AN325" s="21" t="n">
        <f aca="false">IF(AND(Projects!$G$12="Yes",36=Projects!$C$12),Assumptions!$B$61,AM329)</f>
        <v>0</v>
      </c>
      <c r="AO325" s="21" t="n">
        <f aca="false">IF(AND(Projects!$G$12="Yes",37=Projects!$C$12),Assumptions!$B$61,AN329)</f>
        <v>0</v>
      </c>
      <c r="AP325" s="21" t="n">
        <f aca="false">IF(AND(Projects!$G$12="Yes",38=Projects!$C$12),Assumptions!$B$61,AO329)</f>
        <v>0</v>
      </c>
      <c r="AQ325" s="21" t="n">
        <f aca="false">IF(AND(Projects!$G$12="Yes",39=Projects!$C$12),Assumptions!$B$61,AP329)</f>
        <v>0</v>
      </c>
      <c r="AR325" s="21" t="n">
        <f aca="false">IF(AND(Projects!$G$12="Yes",40=Projects!$C$12),Assumptions!$B$61,AQ329)</f>
        <v>0</v>
      </c>
      <c r="AS325" s="21" t="n">
        <f aca="false">IF(AND(Projects!$G$12="Yes",41=Projects!$C$12),Assumptions!$B$61,AR329)</f>
        <v>0</v>
      </c>
      <c r="AT325" s="21" t="n">
        <f aca="false">IF(AND(Projects!$G$12="Yes",42=Projects!$C$12),Assumptions!$B$61,AS329)</f>
        <v>0</v>
      </c>
      <c r="AU325" s="21" t="n">
        <f aca="false">IF(AND(Projects!$G$12="Yes",43=Projects!$C$12),Assumptions!$B$61,AT329)</f>
        <v>0</v>
      </c>
      <c r="AV325" s="21" t="n">
        <f aca="false">IF(AND(Projects!$G$12="Yes",44=Projects!$C$12),Assumptions!$B$61,AU329)</f>
        <v>0</v>
      </c>
      <c r="AW325" s="21" t="n">
        <f aca="false">IF(AND(Projects!$G$12="Yes",45=Projects!$C$12),Assumptions!$B$61,AV329)</f>
        <v>0</v>
      </c>
      <c r="AX325" s="21" t="n">
        <f aca="false">IF(AND(Projects!$G$12="Yes",46=Projects!$C$12),Assumptions!$B$61,AW329)</f>
        <v>0</v>
      </c>
      <c r="AY325" s="21" t="n">
        <f aca="false">IF(AND(Projects!$G$12="Yes",47=Projects!$C$12),Assumptions!$B$61,AX329)</f>
        <v>0</v>
      </c>
      <c r="AZ325" s="21" t="n">
        <f aca="false">IF(AND(Projects!$G$12="Yes",48=Projects!$C$12),Assumptions!$B$61,AY329)</f>
        <v>0</v>
      </c>
      <c r="BA325" s="21" t="n">
        <f aca="false">IF(AND(Projects!$G$12="Yes",49=Projects!$C$12),Assumptions!$B$61,AZ329)</f>
        <v>0</v>
      </c>
      <c r="BB325" s="21" t="n">
        <f aca="false">IF(AND(Projects!$G$12="Yes",50=Projects!$C$12),Assumptions!$B$61,BA329)</f>
        <v>0</v>
      </c>
      <c r="BC325" s="21" t="n">
        <f aca="false">IF(AND(Projects!$G$12="Yes",51=Projects!$C$12),Assumptions!$B$61,BB329)</f>
        <v>0</v>
      </c>
      <c r="BD325" s="21" t="n">
        <f aca="false">IF(AND(Projects!$G$12="Yes",52=Projects!$C$12),Assumptions!$B$61,BC329)</f>
        <v>0</v>
      </c>
      <c r="BE325" s="21" t="n">
        <f aca="false">IF(AND(Projects!$G$12="Yes",53=Projects!$C$12),Assumptions!$B$61,BD329)</f>
        <v>0</v>
      </c>
      <c r="BF325" s="21" t="n">
        <f aca="false">IF(AND(Projects!$G$12="Yes",54=Projects!$C$12),Assumptions!$B$61,BE329)</f>
        <v>0</v>
      </c>
      <c r="BG325" s="21" t="n">
        <f aca="false">IF(AND(Projects!$G$12="Yes",55=Projects!$C$12),Assumptions!$B$61,BF329)</f>
        <v>0</v>
      </c>
      <c r="BH325" s="21" t="n">
        <f aca="false">IF(AND(Projects!$G$12="Yes",56=Projects!$C$12),Assumptions!$B$61,BG329)</f>
        <v>0</v>
      </c>
      <c r="BI325" s="21" t="n">
        <f aca="false">IF(AND(Projects!$G$12="Yes",57=Projects!$C$12),Assumptions!$B$61,BH329)</f>
        <v>0</v>
      </c>
      <c r="BJ325" s="21" t="n">
        <f aca="false">IF(AND(Projects!$G$12="Yes",58=Projects!$C$12),Assumptions!$B$61,BI329)</f>
        <v>0</v>
      </c>
      <c r="BK325" s="21" t="n">
        <f aca="false">IF(AND(Projects!$G$12="Yes",59=Projects!$C$12),Assumptions!$B$61,BJ329)</f>
        <v>0</v>
      </c>
      <c r="BL325" s="21" t="n">
        <f aca="false">IF(AND(Projects!$G$12="Yes",60=Projects!$C$12),Assumptions!$B$61,BK329)</f>
        <v>0</v>
      </c>
      <c r="BM325" s="21" t="n">
        <f aca="false">IF(AND(Projects!$G$12="Yes",61=Projects!$C$12),Assumptions!$B$61,BL329)</f>
        <v>0</v>
      </c>
      <c r="BN325" s="21" t="n">
        <f aca="false">IF(AND(Projects!$G$12="Yes",62=Projects!$C$12),Assumptions!$B$61,BM329)</f>
        <v>0</v>
      </c>
      <c r="BO325" s="21" t="n">
        <f aca="false">IF(AND(Projects!$G$12="Yes",63=Projects!$C$12),Assumptions!$B$61,BN329)</f>
        <v>0</v>
      </c>
      <c r="BP325" s="21" t="n">
        <f aca="false">IF(AND(Projects!$G$12="Yes",64=Projects!$C$12),Assumptions!$B$61,BO329)</f>
        <v>0</v>
      </c>
      <c r="BQ325" s="21" t="n">
        <f aca="false">IF(AND(Projects!$G$12="Yes",65=Projects!$C$12),Assumptions!$B$61,BP329)</f>
        <v>0</v>
      </c>
      <c r="BR325" s="21" t="n">
        <f aca="false">IF(AND(Projects!$G$12="Yes",66=Projects!$C$12),Assumptions!$B$61,BQ329)</f>
        <v>0</v>
      </c>
      <c r="BS325" s="21" t="n">
        <f aca="false">IF(AND(Projects!$G$12="Yes",67=Projects!$C$12),Assumptions!$B$61,BR329)</f>
        <v>0</v>
      </c>
      <c r="BT325" s="21" t="n">
        <f aca="false">IF(AND(Projects!$G$12="Yes",68=Projects!$C$12),Assumptions!$B$61,BS329)</f>
        <v>0</v>
      </c>
      <c r="BU325" s="21" t="n">
        <f aca="false">IF(AND(Projects!$G$12="Yes",69=Projects!$C$12),Assumptions!$B$61,BT329)</f>
        <v>0</v>
      </c>
      <c r="BV325" s="21" t="n">
        <f aca="false">IF(AND(Projects!$G$12="Yes",70=Projects!$C$12),Assumptions!$B$61,BU329)</f>
        <v>0</v>
      </c>
      <c r="BW325" s="21" t="n">
        <f aca="false">IF(AND(Projects!$G$12="Yes",71=Projects!$C$12),Assumptions!$B$61,BV329)</f>
        <v>0</v>
      </c>
      <c r="BX325" s="21" t="n">
        <f aca="false">IF(AND(Projects!$G$12="Yes",72=Projects!$C$12),Assumptions!$B$61,BW329)</f>
        <v>0</v>
      </c>
      <c r="BY325" s="21" t="n">
        <f aca="false">IF(AND(Projects!$G$12="Yes",73=Projects!$C$12),Assumptions!$B$61,BX329)</f>
        <v>0</v>
      </c>
      <c r="BZ325" s="21" t="n">
        <f aca="false">IF(AND(Projects!$G$12="Yes",74=Projects!$C$12),Assumptions!$B$61,BY329)</f>
        <v>0</v>
      </c>
      <c r="CA325" s="21" t="n">
        <f aca="false">IF(AND(Projects!$G$12="Yes",75=Projects!$C$12),Assumptions!$B$61,BZ329)</f>
        <v>0</v>
      </c>
      <c r="CB325" s="21" t="n">
        <f aca="false">IF(AND(Projects!$G$12="Yes",76=Projects!$C$12),Assumptions!$B$61,CA329)</f>
        <v>0</v>
      </c>
      <c r="CC325" s="21" t="n">
        <f aca="false">IF(AND(Projects!$G$12="Yes",77=Projects!$C$12),Assumptions!$B$61,CB329)</f>
        <v>0</v>
      </c>
      <c r="CD325" s="21" t="n">
        <f aca="false">IF(AND(Projects!$G$12="Yes",78=Projects!$C$12),Assumptions!$B$61,CC329)</f>
        <v>0</v>
      </c>
      <c r="CE325" s="21" t="n">
        <f aca="false">IF(AND(Projects!$G$12="Yes",79=Projects!$C$12),Assumptions!$B$61,CD329)</f>
        <v>0</v>
      </c>
      <c r="CF325" s="21" t="n">
        <f aca="false">IF(AND(Projects!$G$12="Yes",80=Projects!$C$12),Assumptions!$B$61,CE329)</f>
        <v>0</v>
      </c>
      <c r="CG325" s="21" t="n">
        <f aca="false">IF(AND(Projects!$G$12="Yes",81=Projects!$C$12),Assumptions!$B$61,CF329)</f>
        <v>0</v>
      </c>
      <c r="CH325" s="21" t="n">
        <f aca="false">IF(AND(Projects!$G$12="Yes",82=Projects!$C$12),Assumptions!$B$61,CG329)</f>
        <v>0</v>
      </c>
      <c r="CI325" s="21" t="n">
        <f aca="false">IF(AND(Projects!$G$12="Yes",83=Projects!$C$12),Assumptions!$B$61,CH329)</f>
        <v>0</v>
      </c>
      <c r="CJ325" s="21" t="n">
        <f aca="false">IF(AND(Projects!$G$12="Yes",84=Projects!$C$12),Assumptions!$B$61,CI329)</f>
        <v>0</v>
      </c>
      <c r="CK325" s="21" t="n">
        <f aca="false">IF(AND(Projects!$G$12="Yes",85=Projects!$C$12),Assumptions!$B$61,CJ329)</f>
        <v>0</v>
      </c>
      <c r="CL325" s="21" t="n">
        <f aca="false">IF(AND(Projects!$G$12="Yes",86=Projects!$C$12),Assumptions!$B$61,CK329)</f>
        <v>0</v>
      </c>
      <c r="CM325" s="21" t="n">
        <f aca="false">IF(AND(Projects!$G$12="Yes",87=Projects!$C$12),Assumptions!$B$61,CL329)</f>
        <v>0</v>
      </c>
      <c r="CN325" s="21" t="n">
        <f aca="false">IF(AND(Projects!$G$12="Yes",88=Projects!$C$12),Assumptions!$B$61,CM329)</f>
        <v>0</v>
      </c>
      <c r="CO325" s="21" t="n">
        <f aca="false">IF(AND(Projects!$G$12="Yes",89=Projects!$C$12),Assumptions!$B$61,CN329)</f>
        <v>0</v>
      </c>
      <c r="CP325" s="21" t="n">
        <f aca="false">IF(AND(Projects!$G$12="Yes",90=Projects!$C$12),Assumptions!$B$61,CO329)</f>
        <v>0</v>
      </c>
      <c r="CQ325" s="21" t="n">
        <f aca="false">IF(AND(Projects!$G$12="Yes",91=Projects!$C$12),Assumptions!$B$61,CP329)</f>
        <v>0</v>
      </c>
      <c r="CR325" s="21" t="n">
        <f aca="false">IF(AND(Projects!$G$12="Yes",92=Projects!$C$12),Assumptions!$B$61,CQ329)</f>
        <v>0</v>
      </c>
      <c r="CS325" s="21" t="n">
        <f aca="false">IF(AND(Projects!$G$12="Yes",93=Projects!$C$12),Assumptions!$B$61,CR329)</f>
        <v>0</v>
      </c>
      <c r="CT325" s="21" t="n">
        <f aca="false">IF(AND(Projects!$G$12="Yes",94=Projects!$C$12),Assumptions!$B$61,CS329)</f>
        <v>0</v>
      </c>
      <c r="CU325" s="21" t="n">
        <f aca="false">IF(AND(Projects!$G$12="Yes",95=Projects!$C$12),Assumptions!$B$61,CT329)</f>
        <v>0</v>
      </c>
      <c r="CV325" s="21" t="n">
        <f aca="false">IF(AND(Projects!$G$12="Yes",96=Projects!$C$12),Assumptions!$B$61,CU329)</f>
        <v>0</v>
      </c>
      <c r="CW325" s="21" t="n">
        <f aca="false">IF(AND(Projects!$G$12="Yes",97=Projects!$C$12),Assumptions!$B$61,CV329)</f>
        <v>0</v>
      </c>
      <c r="CX325" s="21" t="n">
        <f aca="false">IF(AND(Projects!$G$12="Yes",98=Projects!$C$12),Assumptions!$B$61,CW329)</f>
        <v>0</v>
      </c>
      <c r="CY325" s="21" t="n">
        <f aca="false">IF(AND(Projects!$G$12="Yes",99=Projects!$C$12),Assumptions!$B$61,CX329)</f>
        <v>0</v>
      </c>
      <c r="CZ325" s="21" t="n">
        <f aca="false">IF(AND(Projects!$G$12="Yes",100=Projects!$C$12),Assumptions!$B$61,CY329)</f>
        <v>0</v>
      </c>
      <c r="DA325" s="21" t="n">
        <f aca="false">IF(AND(Projects!$G$12="Yes",101=Projects!$C$12),Assumptions!$B$61,CZ329)</f>
        <v>0</v>
      </c>
      <c r="DB325" s="21" t="n">
        <f aca="false">IF(AND(Projects!$G$12="Yes",102=Projects!$C$12),Assumptions!$B$61,DA329)</f>
        <v>0</v>
      </c>
      <c r="DC325" s="21" t="n">
        <f aca="false">IF(AND(Projects!$G$12="Yes",103=Projects!$C$12),Assumptions!$B$61,DB329)</f>
        <v>0</v>
      </c>
      <c r="DD325" s="21" t="n">
        <f aca="false">IF(AND(Projects!$G$12="Yes",104=Projects!$C$12),Assumptions!$B$61,DC329)</f>
        <v>0</v>
      </c>
      <c r="DE325" s="21" t="n">
        <f aca="false">IF(AND(Projects!$G$12="Yes",105=Projects!$C$12),Assumptions!$B$61,DD329)</f>
        <v>0</v>
      </c>
    </row>
    <row r="326" customFormat="false" ht="21.75" hidden="false" customHeight="true" outlineLevel="0" collapsed="false">
      <c r="A326" s="22" t="s">
        <v>161</v>
      </c>
      <c r="B326" s="21"/>
      <c r="C326" s="21"/>
      <c r="D326" s="21"/>
      <c r="E326" s="21" t="n">
        <f aca="false">IF(AND(MOD(1,3)=0,E325&gt;0),E325*Assumptions!$B$59,0)</f>
        <v>0</v>
      </c>
      <c r="F326" s="21" t="n">
        <f aca="false">IF(AND(MOD(2,3)=0,F325&gt;0),F325*Assumptions!$B$59,0)</f>
        <v>0</v>
      </c>
      <c r="G326" s="21" t="n">
        <f aca="false">IF(AND(MOD(3,3)=0,G325&gt;0),G325*Assumptions!$B$59,0)</f>
        <v>0</v>
      </c>
      <c r="H326" s="21" t="n">
        <f aca="false">IF(AND(MOD(4,3)=0,H325&gt;0),H325*Assumptions!$B$59,0)</f>
        <v>0</v>
      </c>
      <c r="I326" s="21" t="n">
        <f aca="false">IF(AND(MOD(5,3)=0,I325&gt;0),I325*Assumptions!$B$59,0)</f>
        <v>0</v>
      </c>
      <c r="J326" s="21" t="n">
        <f aca="false">IF(AND(MOD(6,3)=0,J325&gt;0),J325*Assumptions!$B$59,0)</f>
        <v>0</v>
      </c>
      <c r="K326" s="21" t="n">
        <f aca="false">IF(AND(MOD(7,3)=0,K325&gt;0),K325*Assumptions!$B$59,0)</f>
        <v>0</v>
      </c>
      <c r="L326" s="21" t="n">
        <f aca="false">IF(AND(MOD(8,3)=0,L325&gt;0),L325*Assumptions!$B$59,0)</f>
        <v>0</v>
      </c>
      <c r="M326" s="21" t="n">
        <f aca="false">IF(AND(MOD(9,3)=0,M325&gt;0),M325*Assumptions!$B$59,0)</f>
        <v>0</v>
      </c>
      <c r="N326" s="21" t="n">
        <f aca="false">IF(AND(MOD(10,3)=0,N325&gt;0),N325*Assumptions!$B$59,0)</f>
        <v>0</v>
      </c>
      <c r="O326" s="21" t="n">
        <f aca="false">IF(AND(MOD(11,3)=0,O325&gt;0),O325*Assumptions!$B$59,0)</f>
        <v>0</v>
      </c>
      <c r="P326" s="21" t="n">
        <f aca="false">IF(AND(MOD(12,3)=0,P325&gt;0),P325*Assumptions!$B$59,0)</f>
        <v>0</v>
      </c>
      <c r="Q326" s="21" t="n">
        <f aca="false">IF(AND(MOD(13,3)=0,Q325&gt;0),Q325*Assumptions!$B$59,0)</f>
        <v>0</v>
      </c>
      <c r="R326" s="21" t="n">
        <f aca="false">IF(AND(MOD(14,3)=0,R325&gt;0),R325*Assumptions!$B$59,0)</f>
        <v>0</v>
      </c>
      <c r="S326" s="21" t="n">
        <f aca="false">IF(AND(MOD(15,3)=0,S325&gt;0),S325*Assumptions!$B$59,0)</f>
        <v>0</v>
      </c>
      <c r="T326" s="21" t="n">
        <f aca="false">IF(AND(MOD(16,3)=0,T325&gt;0),T325*Assumptions!$B$59,0)</f>
        <v>0</v>
      </c>
      <c r="U326" s="21" t="n">
        <f aca="false">IF(AND(MOD(17,3)=0,U325&gt;0),U325*Assumptions!$B$59,0)</f>
        <v>0</v>
      </c>
      <c r="V326" s="21" t="n">
        <f aca="false">IF(AND(MOD(18,3)=0,V325&gt;0),V325*Assumptions!$B$59,0)</f>
        <v>0</v>
      </c>
      <c r="W326" s="21" t="n">
        <f aca="false">IF(AND(MOD(19,3)=0,W325&gt;0),W325*Assumptions!$B$59,0)</f>
        <v>0</v>
      </c>
      <c r="X326" s="21" t="n">
        <f aca="false">IF(AND(MOD(20,3)=0,X325&gt;0),X325*Assumptions!$B$59,0)</f>
        <v>0</v>
      </c>
      <c r="Y326" s="21" t="n">
        <f aca="false">IF(AND(MOD(21,3)=0,Y325&gt;0),Y325*Assumptions!$B$59,0)</f>
        <v>0</v>
      </c>
      <c r="Z326" s="21" t="n">
        <f aca="false">IF(AND(MOD(22,3)=0,Z325&gt;0),Z325*Assumptions!$B$59,0)</f>
        <v>0</v>
      </c>
      <c r="AA326" s="21" t="n">
        <f aca="false">IF(AND(MOD(23,3)=0,AA325&gt;0),AA325*Assumptions!$B$59,0)</f>
        <v>0</v>
      </c>
      <c r="AB326" s="21" t="n">
        <f aca="false">IF(AND(MOD(24,3)=0,AB325&gt;0),AB325*Assumptions!$B$59,0)</f>
        <v>0</v>
      </c>
      <c r="AC326" s="21" t="n">
        <f aca="false">IF(AND(MOD(25,3)=0,AC325&gt;0),AC325*Assumptions!$B$59,0)</f>
        <v>0</v>
      </c>
      <c r="AD326" s="21" t="n">
        <f aca="false">IF(AND(MOD(26,3)=0,AD325&gt;0),AD325*Assumptions!$B$59,0)</f>
        <v>0</v>
      </c>
      <c r="AE326" s="21" t="n">
        <f aca="false">IF(AND(MOD(27,3)=0,AE325&gt;0),AE325*Assumptions!$B$59,0)</f>
        <v>0</v>
      </c>
      <c r="AF326" s="21" t="n">
        <f aca="false">IF(AND(MOD(28,3)=0,AF325&gt;0),AF325*Assumptions!$B$59,0)</f>
        <v>0</v>
      </c>
      <c r="AG326" s="21" t="n">
        <f aca="false">IF(AND(MOD(29,3)=0,AG325&gt;0),AG325*Assumptions!$B$59,0)</f>
        <v>0</v>
      </c>
      <c r="AH326" s="21" t="n">
        <f aca="false">IF(AND(MOD(30,3)=0,AH325&gt;0),AH325*Assumptions!$B$59,0)</f>
        <v>0</v>
      </c>
      <c r="AI326" s="21" t="n">
        <f aca="false">IF(AND(MOD(31,3)=0,AI325&gt;0),AI325*Assumptions!$B$59,0)</f>
        <v>0</v>
      </c>
      <c r="AJ326" s="21" t="n">
        <f aca="false">IF(AND(MOD(32,3)=0,AJ325&gt;0),AJ325*Assumptions!$B$59,0)</f>
        <v>0</v>
      </c>
      <c r="AK326" s="21" t="n">
        <f aca="false">IF(AND(MOD(33,3)=0,AK325&gt;0),AK325*Assumptions!$B$59,0)</f>
        <v>0</v>
      </c>
      <c r="AL326" s="21" t="n">
        <f aca="false">IF(AND(MOD(34,3)=0,AL325&gt;0),AL325*Assumptions!$B$59,0)</f>
        <v>0</v>
      </c>
      <c r="AM326" s="21" t="n">
        <f aca="false">IF(AND(MOD(35,3)=0,AM325&gt;0),AM325*Assumptions!$B$59,0)</f>
        <v>0</v>
      </c>
      <c r="AN326" s="21" t="n">
        <f aca="false">IF(AND(MOD(36,3)=0,AN325&gt;0),AN325*Assumptions!$B$59,0)</f>
        <v>0</v>
      </c>
      <c r="AO326" s="21" t="n">
        <f aca="false">IF(AND(MOD(37,3)=0,AO325&gt;0),AO325*Assumptions!$B$59,0)</f>
        <v>0</v>
      </c>
      <c r="AP326" s="21" t="n">
        <f aca="false">IF(AND(MOD(38,3)=0,AP325&gt;0),AP325*Assumptions!$B$59,0)</f>
        <v>0</v>
      </c>
      <c r="AQ326" s="21" t="n">
        <f aca="false">IF(AND(MOD(39,3)=0,AQ325&gt;0),AQ325*Assumptions!$B$59,0)</f>
        <v>0</v>
      </c>
      <c r="AR326" s="21" t="n">
        <f aca="false">IF(AND(MOD(40,3)=0,AR325&gt;0),AR325*Assumptions!$B$59,0)</f>
        <v>0</v>
      </c>
      <c r="AS326" s="21" t="n">
        <f aca="false">IF(AND(MOD(41,3)=0,AS325&gt;0),AS325*Assumptions!$B$59,0)</f>
        <v>0</v>
      </c>
      <c r="AT326" s="21" t="n">
        <f aca="false">IF(AND(MOD(42,3)=0,AT325&gt;0),AT325*Assumptions!$B$59,0)</f>
        <v>0</v>
      </c>
      <c r="AU326" s="21" t="n">
        <f aca="false">IF(AND(MOD(43,3)=0,AU325&gt;0),AU325*Assumptions!$B$59,0)</f>
        <v>0</v>
      </c>
      <c r="AV326" s="21" t="n">
        <f aca="false">IF(AND(MOD(44,3)=0,AV325&gt;0),AV325*Assumptions!$B$59,0)</f>
        <v>0</v>
      </c>
      <c r="AW326" s="21" t="n">
        <f aca="false">IF(AND(MOD(45,3)=0,AW325&gt;0),AW325*Assumptions!$B$59,0)</f>
        <v>0</v>
      </c>
      <c r="AX326" s="21" t="n">
        <f aca="false">IF(AND(MOD(46,3)=0,AX325&gt;0),AX325*Assumptions!$B$59,0)</f>
        <v>0</v>
      </c>
      <c r="AY326" s="21" t="n">
        <f aca="false">IF(AND(MOD(47,3)=0,AY325&gt;0),AY325*Assumptions!$B$59,0)</f>
        <v>0</v>
      </c>
      <c r="AZ326" s="21" t="n">
        <f aca="false">IF(AND(MOD(48,3)=0,AZ325&gt;0),AZ325*Assumptions!$B$59,0)</f>
        <v>0</v>
      </c>
      <c r="BA326" s="21" t="n">
        <f aca="false">IF(AND(MOD(49,3)=0,BA325&gt;0),BA325*Assumptions!$B$59,0)</f>
        <v>0</v>
      </c>
      <c r="BB326" s="21" t="n">
        <f aca="false">IF(AND(MOD(50,3)=0,BB325&gt;0),BB325*Assumptions!$B$59,0)</f>
        <v>0</v>
      </c>
      <c r="BC326" s="21" t="n">
        <f aca="false">IF(AND(MOD(51,3)=0,BC325&gt;0),BC325*Assumptions!$B$59,0)</f>
        <v>0</v>
      </c>
      <c r="BD326" s="21" t="n">
        <f aca="false">IF(AND(MOD(52,3)=0,BD325&gt;0),BD325*Assumptions!$B$59,0)</f>
        <v>0</v>
      </c>
      <c r="BE326" s="21" t="n">
        <f aca="false">IF(AND(MOD(53,3)=0,BE325&gt;0),BE325*Assumptions!$B$59,0)</f>
        <v>0</v>
      </c>
      <c r="BF326" s="21" t="n">
        <f aca="false">IF(AND(MOD(54,3)=0,BF325&gt;0),BF325*Assumptions!$B$59,0)</f>
        <v>0</v>
      </c>
      <c r="BG326" s="21" t="n">
        <f aca="false">IF(AND(MOD(55,3)=0,BG325&gt;0),BG325*Assumptions!$B$59,0)</f>
        <v>0</v>
      </c>
      <c r="BH326" s="21" t="n">
        <f aca="false">IF(AND(MOD(56,3)=0,BH325&gt;0),BH325*Assumptions!$B$59,0)</f>
        <v>0</v>
      </c>
      <c r="BI326" s="21" t="n">
        <f aca="false">IF(AND(MOD(57,3)=0,BI325&gt;0),BI325*Assumptions!$B$59,0)</f>
        <v>0</v>
      </c>
      <c r="BJ326" s="21" t="n">
        <f aca="false">IF(AND(MOD(58,3)=0,BJ325&gt;0),BJ325*Assumptions!$B$59,0)</f>
        <v>0</v>
      </c>
      <c r="BK326" s="21" t="n">
        <f aca="false">IF(AND(MOD(59,3)=0,BK325&gt;0),BK325*Assumptions!$B$59,0)</f>
        <v>0</v>
      </c>
      <c r="BL326" s="21" t="n">
        <f aca="false">IF(AND(MOD(60,3)=0,BL325&gt;0),BL325*Assumptions!$B$59,0)</f>
        <v>0</v>
      </c>
      <c r="BM326" s="21" t="n">
        <f aca="false">IF(AND(MOD(61,3)=0,BM325&gt;0),BM325*Assumptions!$B$59,0)</f>
        <v>0</v>
      </c>
      <c r="BN326" s="21" t="n">
        <f aca="false">IF(AND(MOD(62,3)=0,BN325&gt;0),BN325*Assumptions!$B$59,0)</f>
        <v>0</v>
      </c>
      <c r="BO326" s="21" t="n">
        <f aca="false">IF(AND(MOD(63,3)=0,BO325&gt;0),BO325*Assumptions!$B$59,0)</f>
        <v>0</v>
      </c>
      <c r="BP326" s="21" t="n">
        <f aca="false">IF(AND(MOD(64,3)=0,BP325&gt;0),BP325*Assumptions!$B$59,0)</f>
        <v>0</v>
      </c>
      <c r="BQ326" s="21" t="n">
        <f aca="false">IF(AND(MOD(65,3)=0,BQ325&gt;0),BQ325*Assumptions!$B$59,0)</f>
        <v>0</v>
      </c>
      <c r="BR326" s="21" t="n">
        <f aca="false">IF(AND(MOD(66,3)=0,BR325&gt;0),BR325*Assumptions!$B$59,0)</f>
        <v>0</v>
      </c>
      <c r="BS326" s="21" t="n">
        <f aca="false">IF(AND(MOD(67,3)=0,BS325&gt;0),BS325*Assumptions!$B$59,0)</f>
        <v>0</v>
      </c>
      <c r="BT326" s="21" t="n">
        <f aca="false">IF(AND(MOD(68,3)=0,BT325&gt;0),BT325*Assumptions!$B$59,0)</f>
        <v>0</v>
      </c>
      <c r="BU326" s="21" t="n">
        <f aca="false">IF(AND(MOD(69,3)=0,BU325&gt;0),BU325*Assumptions!$B$59,0)</f>
        <v>0</v>
      </c>
      <c r="BV326" s="21" t="n">
        <f aca="false">IF(AND(MOD(70,3)=0,BV325&gt;0),BV325*Assumptions!$B$59,0)</f>
        <v>0</v>
      </c>
      <c r="BW326" s="21" t="n">
        <f aca="false">IF(AND(MOD(71,3)=0,BW325&gt;0),BW325*Assumptions!$B$59,0)</f>
        <v>0</v>
      </c>
      <c r="BX326" s="21" t="n">
        <f aca="false">IF(AND(MOD(72,3)=0,BX325&gt;0),BX325*Assumptions!$B$59,0)</f>
        <v>0</v>
      </c>
      <c r="BY326" s="21" t="n">
        <f aca="false">IF(AND(MOD(73,3)=0,BY325&gt;0),BY325*Assumptions!$B$59,0)</f>
        <v>0</v>
      </c>
      <c r="BZ326" s="21" t="n">
        <f aca="false">IF(AND(MOD(74,3)=0,BZ325&gt;0),BZ325*Assumptions!$B$59,0)</f>
        <v>0</v>
      </c>
      <c r="CA326" s="21" t="n">
        <f aca="false">IF(AND(MOD(75,3)=0,CA325&gt;0),CA325*Assumptions!$B$59,0)</f>
        <v>0</v>
      </c>
      <c r="CB326" s="21" t="n">
        <f aca="false">IF(AND(MOD(76,3)=0,CB325&gt;0),CB325*Assumptions!$B$59,0)</f>
        <v>0</v>
      </c>
      <c r="CC326" s="21" t="n">
        <f aca="false">IF(AND(MOD(77,3)=0,CC325&gt;0),CC325*Assumptions!$B$59,0)</f>
        <v>0</v>
      </c>
      <c r="CD326" s="21" t="n">
        <f aca="false">IF(AND(MOD(78,3)=0,CD325&gt;0),CD325*Assumptions!$B$59,0)</f>
        <v>0</v>
      </c>
      <c r="CE326" s="21" t="n">
        <f aca="false">IF(AND(MOD(79,3)=0,CE325&gt;0),CE325*Assumptions!$B$59,0)</f>
        <v>0</v>
      </c>
      <c r="CF326" s="21" t="n">
        <f aca="false">IF(AND(MOD(80,3)=0,CF325&gt;0),CF325*Assumptions!$B$59,0)</f>
        <v>0</v>
      </c>
      <c r="CG326" s="21" t="n">
        <f aca="false">IF(AND(MOD(81,3)=0,CG325&gt;0),CG325*Assumptions!$B$59,0)</f>
        <v>0</v>
      </c>
      <c r="CH326" s="21" t="n">
        <f aca="false">IF(AND(MOD(82,3)=0,CH325&gt;0),CH325*Assumptions!$B$59,0)</f>
        <v>0</v>
      </c>
      <c r="CI326" s="21" t="n">
        <f aca="false">IF(AND(MOD(83,3)=0,CI325&gt;0),CI325*Assumptions!$B$59,0)</f>
        <v>0</v>
      </c>
      <c r="CJ326" s="21" t="n">
        <f aca="false">IF(AND(MOD(84,3)=0,CJ325&gt;0),CJ325*Assumptions!$B$59,0)</f>
        <v>0</v>
      </c>
      <c r="CK326" s="21" t="n">
        <f aca="false">IF(AND(MOD(85,3)=0,CK325&gt;0),CK325*Assumptions!$B$59,0)</f>
        <v>0</v>
      </c>
      <c r="CL326" s="21" t="n">
        <f aca="false">IF(AND(MOD(86,3)=0,CL325&gt;0),CL325*Assumptions!$B$59,0)</f>
        <v>0</v>
      </c>
      <c r="CM326" s="21" t="n">
        <f aca="false">IF(AND(MOD(87,3)=0,CM325&gt;0),CM325*Assumptions!$B$59,0)</f>
        <v>0</v>
      </c>
      <c r="CN326" s="21" t="n">
        <f aca="false">IF(AND(MOD(88,3)=0,CN325&gt;0),CN325*Assumptions!$B$59,0)</f>
        <v>0</v>
      </c>
      <c r="CO326" s="21" t="n">
        <f aca="false">IF(AND(MOD(89,3)=0,CO325&gt;0),CO325*Assumptions!$B$59,0)</f>
        <v>0</v>
      </c>
      <c r="CP326" s="21" t="n">
        <f aca="false">IF(AND(MOD(90,3)=0,CP325&gt;0),CP325*Assumptions!$B$59,0)</f>
        <v>0</v>
      </c>
      <c r="CQ326" s="21" t="n">
        <f aca="false">IF(AND(MOD(91,3)=0,CQ325&gt;0),CQ325*Assumptions!$B$59,0)</f>
        <v>0</v>
      </c>
      <c r="CR326" s="21" t="n">
        <f aca="false">IF(AND(MOD(92,3)=0,CR325&gt;0),CR325*Assumptions!$B$59,0)</f>
        <v>0</v>
      </c>
      <c r="CS326" s="21" t="n">
        <f aca="false">IF(AND(MOD(93,3)=0,CS325&gt;0),CS325*Assumptions!$B$59,0)</f>
        <v>0</v>
      </c>
      <c r="CT326" s="21" t="n">
        <f aca="false">IF(AND(MOD(94,3)=0,CT325&gt;0),CT325*Assumptions!$B$59,0)</f>
        <v>0</v>
      </c>
      <c r="CU326" s="21" t="n">
        <f aca="false">IF(AND(MOD(95,3)=0,CU325&gt;0),CU325*Assumptions!$B$59,0)</f>
        <v>0</v>
      </c>
      <c r="CV326" s="21" t="n">
        <f aca="false">IF(AND(MOD(96,3)=0,CV325&gt;0),CV325*Assumptions!$B$59,0)</f>
        <v>0</v>
      </c>
      <c r="CW326" s="21" t="n">
        <f aca="false">IF(AND(MOD(97,3)=0,CW325&gt;0),CW325*Assumptions!$B$59,0)</f>
        <v>0</v>
      </c>
      <c r="CX326" s="21" t="n">
        <f aca="false">IF(AND(MOD(98,3)=0,CX325&gt;0),CX325*Assumptions!$B$59,0)</f>
        <v>0</v>
      </c>
      <c r="CY326" s="21" t="n">
        <f aca="false">IF(AND(MOD(99,3)=0,CY325&gt;0),CY325*Assumptions!$B$59,0)</f>
        <v>0</v>
      </c>
      <c r="CZ326" s="21" t="n">
        <f aca="false">IF(AND(MOD(100,3)=0,CZ325&gt;0),CZ325*Assumptions!$B$59,0)</f>
        <v>0</v>
      </c>
      <c r="DA326" s="21" t="n">
        <f aca="false">IF(AND(MOD(101,3)=0,DA325&gt;0),DA325*Assumptions!$B$59,0)</f>
        <v>0</v>
      </c>
      <c r="DB326" s="21" t="n">
        <f aca="false">IF(AND(MOD(102,3)=0,DB325&gt;0),DB325*Assumptions!$B$59,0)</f>
        <v>0</v>
      </c>
      <c r="DC326" s="21" t="n">
        <f aca="false">IF(AND(MOD(103,3)=0,DC325&gt;0),DC325*Assumptions!$B$59,0)</f>
        <v>0</v>
      </c>
      <c r="DD326" s="21" t="n">
        <f aca="false">IF(AND(MOD(104,3)=0,DD325&gt;0),DD325*Assumptions!$B$59,0)</f>
        <v>0</v>
      </c>
      <c r="DE326" s="21" t="n">
        <f aca="false">IF(AND(MOD(105,3)=0,DE325&gt;0),DE325*Assumptions!$B$59,0)</f>
        <v>0</v>
      </c>
    </row>
    <row r="327" customFormat="false" ht="15" hidden="false" customHeight="true" outlineLevel="0" collapsed="false">
      <c r="A327" s="22" t="s">
        <v>162</v>
      </c>
      <c r="B327" s="21"/>
      <c r="C327" s="21"/>
      <c r="D327" s="21"/>
      <c r="E327" s="21" t="n">
        <v>0</v>
      </c>
      <c r="F327" s="21" t="n">
        <v>0</v>
      </c>
      <c r="G327" s="21" t="n">
        <v>0</v>
      </c>
      <c r="H327" s="21" t="n">
        <v>0</v>
      </c>
      <c r="I327" s="21" t="n">
        <v>0</v>
      </c>
      <c r="J327" s="21" t="n">
        <v>0</v>
      </c>
      <c r="K327" s="21" t="n">
        <v>0</v>
      </c>
      <c r="L327" s="21" t="n">
        <v>0</v>
      </c>
      <c r="M327" s="21" t="n">
        <v>0</v>
      </c>
      <c r="N327" s="21" t="n">
        <v>0</v>
      </c>
      <c r="O327" s="21" t="n">
        <v>0</v>
      </c>
      <c r="P327" s="21" t="n">
        <v>0</v>
      </c>
      <c r="Q327" s="21" t="n">
        <v>0</v>
      </c>
      <c r="R327" s="21" t="n">
        <v>0</v>
      </c>
      <c r="S327" s="21" t="n">
        <v>0</v>
      </c>
      <c r="T327" s="21" t="n">
        <v>0</v>
      </c>
      <c r="U327" s="21" t="n">
        <v>0</v>
      </c>
      <c r="V327" s="21" t="n">
        <v>0</v>
      </c>
      <c r="W327" s="21" t="n">
        <v>0</v>
      </c>
      <c r="X327" s="21" t="n">
        <v>0</v>
      </c>
      <c r="Y327" s="21" t="n">
        <v>0</v>
      </c>
      <c r="Z327" s="21" t="n">
        <v>0</v>
      </c>
      <c r="AA327" s="21" t="n">
        <v>0</v>
      </c>
      <c r="AB327" s="21" t="n">
        <v>0</v>
      </c>
      <c r="AC327" s="21" t="n">
        <v>0</v>
      </c>
      <c r="AD327" s="21" t="n">
        <v>0</v>
      </c>
      <c r="AE327" s="21" t="n">
        <v>0</v>
      </c>
      <c r="AF327" s="21" t="n">
        <v>0</v>
      </c>
      <c r="AG327" s="21" t="n">
        <v>0</v>
      </c>
      <c r="AH327" s="21" t="n">
        <v>0</v>
      </c>
      <c r="AI327" s="21" t="n">
        <v>0</v>
      </c>
      <c r="AJ327" s="21" t="n">
        <v>0</v>
      </c>
      <c r="AK327" s="21" t="n">
        <v>0</v>
      </c>
      <c r="AL327" s="21" t="n">
        <v>0</v>
      </c>
      <c r="AM327" s="21" t="n">
        <v>0</v>
      </c>
      <c r="AN327" s="21" t="n">
        <v>0</v>
      </c>
      <c r="AO327" s="21" t="n">
        <v>0</v>
      </c>
      <c r="AP327" s="21" t="n">
        <v>0</v>
      </c>
      <c r="AQ327" s="21" t="n">
        <v>0</v>
      </c>
      <c r="AR327" s="21" t="n">
        <v>0</v>
      </c>
      <c r="AS327" s="21" t="n">
        <v>0</v>
      </c>
      <c r="AT327" s="21" t="n">
        <v>0</v>
      </c>
      <c r="AU327" s="21" t="n">
        <v>0</v>
      </c>
      <c r="AV327" s="21" t="n">
        <v>0</v>
      </c>
      <c r="AW327" s="21" t="n">
        <v>0</v>
      </c>
      <c r="AX327" s="21" t="n">
        <v>0</v>
      </c>
      <c r="AY327" s="21" t="n">
        <v>0</v>
      </c>
      <c r="AZ327" s="21" t="n">
        <v>0</v>
      </c>
      <c r="BA327" s="21" t="n">
        <v>0</v>
      </c>
      <c r="BB327" s="21" t="n">
        <v>0</v>
      </c>
      <c r="BC327" s="21" t="n">
        <v>0</v>
      </c>
      <c r="BD327" s="21" t="n">
        <v>0</v>
      </c>
      <c r="BE327" s="21" t="n">
        <v>0</v>
      </c>
      <c r="BF327" s="21" t="n">
        <v>0</v>
      </c>
      <c r="BG327" s="21" t="n">
        <v>0</v>
      </c>
      <c r="BH327" s="21" t="n">
        <v>0</v>
      </c>
      <c r="BI327" s="21" t="n">
        <v>0</v>
      </c>
      <c r="BJ327" s="21" t="n">
        <v>0</v>
      </c>
      <c r="BK327" s="21" t="n">
        <v>0</v>
      </c>
      <c r="BL327" s="21" t="n">
        <v>0</v>
      </c>
      <c r="BM327" s="21" t="n">
        <v>0</v>
      </c>
      <c r="BN327" s="21" t="n">
        <v>0</v>
      </c>
      <c r="BO327" s="21" t="n">
        <v>0</v>
      </c>
      <c r="BP327" s="21" t="n">
        <v>0</v>
      </c>
      <c r="BQ327" s="21" t="n">
        <v>0</v>
      </c>
      <c r="BR327" s="21" t="n">
        <v>0</v>
      </c>
      <c r="BS327" s="21" t="n">
        <v>0</v>
      </c>
      <c r="BT327" s="21" t="n">
        <v>0</v>
      </c>
      <c r="BU327" s="21" t="n">
        <v>0</v>
      </c>
      <c r="BV327" s="21" t="n">
        <v>0</v>
      </c>
      <c r="BW327" s="21" t="n">
        <v>0</v>
      </c>
      <c r="BX327" s="21" t="n">
        <v>0</v>
      </c>
      <c r="BY327" s="21" t="n">
        <v>0</v>
      </c>
      <c r="BZ327" s="21" t="n">
        <v>0</v>
      </c>
      <c r="CA327" s="21" t="n">
        <v>0</v>
      </c>
      <c r="CB327" s="21" t="n">
        <v>0</v>
      </c>
      <c r="CC327" s="21" t="n">
        <v>0</v>
      </c>
      <c r="CD327" s="21" t="n">
        <v>0</v>
      </c>
      <c r="CE327" s="21" t="n">
        <v>0</v>
      </c>
      <c r="CF327" s="21" t="n">
        <v>0</v>
      </c>
      <c r="CG327" s="21" t="n">
        <v>0</v>
      </c>
      <c r="CH327" s="21" t="n">
        <v>0</v>
      </c>
      <c r="CI327" s="21" t="n">
        <v>0</v>
      </c>
      <c r="CJ327" s="21" t="n">
        <v>0</v>
      </c>
      <c r="CK327" s="21" t="n">
        <v>0</v>
      </c>
      <c r="CL327" s="21" t="n">
        <v>0</v>
      </c>
      <c r="CM327" s="21" t="n">
        <v>0</v>
      </c>
      <c r="CN327" s="21" t="n">
        <v>0</v>
      </c>
      <c r="CO327" s="21" t="n">
        <v>0</v>
      </c>
      <c r="CP327" s="21" t="n">
        <v>0</v>
      </c>
      <c r="CQ327" s="21" t="n">
        <v>0</v>
      </c>
      <c r="CR327" s="21" t="n">
        <v>0</v>
      </c>
      <c r="CS327" s="21" t="n">
        <v>0</v>
      </c>
      <c r="CT327" s="21"/>
      <c r="CU327" s="21"/>
      <c r="CV327" s="21"/>
      <c r="CW327" s="21"/>
      <c r="CX327" s="21"/>
      <c r="CY327" s="21"/>
      <c r="CZ327" s="21"/>
      <c r="DA327" s="21"/>
      <c r="DB327" s="21"/>
      <c r="DC327" s="21"/>
      <c r="DD327" s="21"/>
      <c r="DE327" s="21"/>
    </row>
    <row r="328" customFormat="false" ht="15" hidden="false" customHeight="true" outlineLevel="0" collapsed="false">
      <c r="A328" s="51" t="s">
        <v>163</v>
      </c>
      <c r="B328" s="52"/>
      <c r="C328" s="52"/>
      <c r="D328" s="52"/>
      <c r="E328" s="52" t="n">
        <v>0</v>
      </c>
      <c r="F328" s="52" t="n">
        <v>0</v>
      </c>
      <c r="G328" s="52" t="n">
        <v>0</v>
      </c>
      <c r="H328" s="52" t="n">
        <v>0</v>
      </c>
      <c r="I328" s="52" t="n">
        <v>0</v>
      </c>
      <c r="J328" s="52" t="n">
        <v>0</v>
      </c>
      <c r="K328" s="52" t="n">
        <v>0</v>
      </c>
      <c r="L328" s="52" t="n">
        <v>0</v>
      </c>
      <c r="M328" s="52" t="n">
        <v>0</v>
      </c>
      <c r="N328" s="52" t="n">
        <v>0</v>
      </c>
      <c r="O328" s="52" t="n">
        <v>0</v>
      </c>
      <c r="P328" s="52" t="n">
        <v>0</v>
      </c>
      <c r="Q328" s="52" t="n">
        <v>0</v>
      </c>
      <c r="R328" s="52" t="n">
        <v>0</v>
      </c>
      <c r="S328" s="52" t="n">
        <v>0</v>
      </c>
      <c r="T328" s="52" t="n">
        <v>0</v>
      </c>
      <c r="U328" s="52" t="n">
        <v>0</v>
      </c>
      <c r="V328" s="52" t="n">
        <v>0</v>
      </c>
      <c r="W328" s="52" t="n">
        <v>0</v>
      </c>
      <c r="X328" s="52" t="n">
        <v>0</v>
      </c>
      <c r="Y328" s="52" t="n">
        <v>0</v>
      </c>
      <c r="Z328" s="52" t="n">
        <v>0</v>
      </c>
      <c r="AA328" s="52" t="n">
        <v>0</v>
      </c>
      <c r="AB328" s="52" t="n">
        <v>0</v>
      </c>
      <c r="AC328" s="52" t="n">
        <v>0</v>
      </c>
      <c r="AD328" s="52" t="n">
        <v>0</v>
      </c>
      <c r="AE328" s="52" t="n">
        <v>0</v>
      </c>
      <c r="AF328" s="52" t="n">
        <v>0</v>
      </c>
      <c r="AG328" s="52" t="n">
        <v>0</v>
      </c>
      <c r="AH328" s="52" t="n">
        <v>0</v>
      </c>
      <c r="AI328" s="52" t="n">
        <v>0</v>
      </c>
      <c r="AJ328" s="52" t="n">
        <v>0</v>
      </c>
      <c r="AK328" s="52" t="n">
        <v>0</v>
      </c>
      <c r="AL328" s="52" t="n">
        <v>0</v>
      </c>
      <c r="AM328" s="52" t="n">
        <v>0</v>
      </c>
      <c r="AN328" s="52" t="n">
        <v>0</v>
      </c>
      <c r="AO328" s="52" t="n">
        <v>0</v>
      </c>
      <c r="AP328" s="52" t="n">
        <v>0</v>
      </c>
      <c r="AQ328" s="52" t="n">
        <v>0</v>
      </c>
      <c r="AR328" s="52" t="n">
        <v>0</v>
      </c>
      <c r="AS328" s="52" t="n">
        <v>0</v>
      </c>
      <c r="AT328" s="52" t="n">
        <v>0</v>
      </c>
      <c r="AU328" s="52" t="n">
        <v>0</v>
      </c>
      <c r="AV328" s="52" t="n">
        <v>0</v>
      </c>
      <c r="AW328" s="52" t="n">
        <v>0</v>
      </c>
      <c r="AX328" s="52" t="n">
        <v>0</v>
      </c>
      <c r="AY328" s="52" t="n">
        <v>0</v>
      </c>
      <c r="AZ328" s="52" t="n">
        <v>0</v>
      </c>
      <c r="BA328" s="52" t="n">
        <v>0</v>
      </c>
      <c r="BB328" s="52" t="n">
        <v>0</v>
      </c>
      <c r="BC328" s="52" t="n">
        <v>0</v>
      </c>
      <c r="BD328" s="52" t="n">
        <v>0</v>
      </c>
      <c r="BE328" s="52" t="n">
        <v>0</v>
      </c>
      <c r="BF328" s="52" t="n">
        <v>0</v>
      </c>
      <c r="BG328" s="52" t="n">
        <v>0</v>
      </c>
      <c r="BH328" s="52" t="n">
        <v>0</v>
      </c>
      <c r="BI328" s="52" t="n">
        <v>0</v>
      </c>
      <c r="BJ328" s="52" t="n">
        <v>0</v>
      </c>
      <c r="BK328" s="52" t="n">
        <v>0</v>
      </c>
      <c r="BL328" s="52" t="n">
        <v>0</v>
      </c>
      <c r="BM328" s="52" t="n">
        <v>0</v>
      </c>
      <c r="BN328" s="52" t="n">
        <v>0</v>
      </c>
      <c r="BO328" s="52" t="n">
        <v>0</v>
      </c>
      <c r="BP328" s="52" t="n">
        <v>0</v>
      </c>
      <c r="BQ328" s="52" t="n">
        <v>0</v>
      </c>
      <c r="BR328" s="52" t="n">
        <v>0</v>
      </c>
      <c r="BS328" s="52" t="n">
        <v>0</v>
      </c>
      <c r="BT328" s="52" t="n">
        <v>0</v>
      </c>
      <c r="BU328" s="52" t="n">
        <v>0</v>
      </c>
      <c r="BV328" s="52" t="n">
        <v>0</v>
      </c>
      <c r="BW328" s="52" t="n">
        <v>0</v>
      </c>
      <c r="BX328" s="52" t="n">
        <v>0</v>
      </c>
      <c r="BY328" s="52" t="n">
        <v>0</v>
      </c>
      <c r="BZ328" s="52" t="n">
        <v>0</v>
      </c>
      <c r="CA328" s="52" t="n">
        <v>0</v>
      </c>
      <c r="CB328" s="52" t="n">
        <v>0</v>
      </c>
      <c r="CC328" s="52" t="n">
        <v>0</v>
      </c>
      <c r="CD328" s="52" t="n">
        <v>0</v>
      </c>
      <c r="CE328" s="52" t="n">
        <v>0</v>
      </c>
      <c r="CF328" s="52" t="n">
        <v>0</v>
      </c>
      <c r="CG328" s="52" t="n">
        <v>0</v>
      </c>
      <c r="CH328" s="52" t="n">
        <v>0</v>
      </c>
      <c r="CI328" s="52" t="n">
        <v>0</v>
      </c>
      <c r="CJ328" s="52" t="n">
        <v>0</v>
      </c>
      <c r="CK328" s="52" t="n">
        <v>0</v>
      </c>
      <c r="CL328" s="52" t="n">
        <v>0</v>
      </c>
      <c r="CM328" s="52" t="n">
        <v>0</v>
      </c>
      <c r="CN328" s="52" t="n">
        <v>0</v>
      </c>
      <c r="CO328" s="52" t="n">
        <v>0</v>
      </c>
      <c r="CP328" s="52" t="n">
        <v>0</v>
      </c>
      <c r="CQ328" s="52" t="n">
        <v>0</v>
      </c>
      <c r="CR328" s="52" t="n">
        <v>0</v>
      </c>
      <c r="CS328" s="52" t="n">
        <v>0</v>
      </c>
      <c r="CT328" s="52"/>
      <c r="CU328" s="52"/>
      <c r="CV328" s="52"/>
      <c r="CW328" s="52"/>
      <c r="CX328" s="52"/>
      <c r="CY328" s="52"/>
      <c r="CZ328" s="52"/>
      <c r="DA328" s="52"/>
      <c r="DB328" s="52"/>
      <c r="DC328" s="52"/>
      <c r="DD328" s="52"/>
      <c r="DE328" s="52"/>
    </row>
    <row r="329" customFormat="false" ht="15" hidden="false" customHeight="true" outlineLevel="0" collapsed="false">
      <c r="A329" s="53" t="s">
        <v>164</v>
      </c>
      <c r="B329" s="54"/>
      <c r="C329" s="54"/>
      <c r="D329" s="54"/>
      <c r="E329" s="54" t="n">
        <f aca="false">MAX(0,E325+E326+E327+E328)</f>
        <v>0</v>
      </c>
      <c r="F329" s="54" t="n">
        <f aca="false">MAX(0,F325+F326+F327+F328)</f>
        <v>0</v>
      </c>
      <c r="G329" s="54" t="n">
        <f aca="false">MAX(0,G325+G326+G327+G328)</f>
        <v>0</v>
      </c>
      <c r="H329" s="54" t="n">
        <f aca="false">MAX(0,H325+H326+H327+H328)</f>
        <v>0</v>
      </c>
      <c r="I329" s="54" t="n">
        <f aca="false">MAX(0,I325+I326+I327+I328)</f>
        <v>0</v>
      </c>
      <c r="J329" s="54" t="n">
        <f aca="false">MAX(0,J325+J326+J327+J328)</f>
        <v>0</v>
      </c>
      <c r="K329" s="54" t="n">
        <f aca="false">MAX(0,K325+K326+K327+K328)</f>
        <v>0</v>
      </c>
      <c r="L329" s="54" t="n">
        <f aca="false">MAX(0,L325+L326+L327+L328)</f>
        <v>0</v>
      </c>
      <c r="M329" s="54" t="n">
        <f aca="false">MAX(0,M325+M326+M327+M328)</f>
        <v>0</v>
      </c>
      <c r="N329" s="54" t="n">
        <f aca="false">MAX(0,N325+N326+N327+N328)</f>
        <v>0</v>
      </c>
      <c r="O329" s="54" t="n">
        <f aca="false">MAX(0,O325+O326+O327+O328)</f>
        <v>0</v>
      </c>
      <c r="P329" s="54" t="n">
        <f aca="false">MAX(0,P325+P326+P327+P328)</f>
        <v>0</v>
      </c>
      <c r="Q329" s="54" t="n">
        <f aca="false">MAX(0,Q325+Q326+Q327+Q328)</f>
        <v>0</v>
      </c>
      <c r="R329" s="54" t="n">
        <f aca="false">MAX(0,R325+R326+R327+R328)</f>
        <v>0</v>
      </c>
      <c r="S329" s="54" t="n">
        <f aca="false">MAX(0,S325+S326+S327+S328)</f>
        <v>0</v>
      </c>
      <c r="T329" s="54" t="n">
        <f aca="false">MAX(0,T325+T326+T327+T328)</f>
        <v>0</v>
      </c>
      <c r="U329" s="54" t="n">
        <f aca="false">MAX(0,U325+U326+U327+U328)</f>
        <v>0</v>
      </c>
      <c r="V329" s="54" t="n">
        <f aca="false">MAX(0,V325+V326+V327+V328)</f>
        <v>0</v>
      </c>
      <c r="W329" s="54" t="n">
        <f aca="false">MAX(0,W325+W326+W327+W328)</f>
        <v>0</v>
      </c>
      <c r="X329" s="54" t="n">
        <f aca="false">MAX(0,X325+X326+X327+X328)</f>
        <v>0</v>
      </c>
      <c r="Y329" s="54" t="n">
        <f aca="false">MAX(0,Y325+Y326+Y327+Y328)</f>
        <v>0</v>
      </c>
      <c r="Z329" s="54" t="n">
        <f aca="false">MAX(0,Z325+Z326+Z327+Z328)</f>
        <v>0</v>
      </c>
      <c r="AA329" s="54" t="n">
        <f aca="false">MAX(0,AA325+AA326+AA327+AA328)</f>
        <v>0</v>
      </c>
      <c r="AB329" s="54" t="n">
        <f aca="false">MAX(0,AB325+AB326+AB327+AB328)</f>
        <v>0</v>
      </c>
      <c r="AC329" s="54" t="n">
        <f aca="false">MAX(0,AC325+AC326+AC327+AC328)</f>
        <v>0</v>
      </c>
      <c r="AD329" s="54" t="n">
        <f aca="false">MAX(0,AD325+AD326+AD327+AD328)</f>
        <v>0</v>
      </c>
      <c r="AE329" s="54" t="n">
        <f aca="false">MAX(0,AE325+AE326+AE327+AE328)</f>
        <v>0</v>
      </c>
      <c r="AF329" s="54" t="n">
        <f aca="false">MAX(0,AF325+AF326+AF327+AF328)</f>
        <v>0</v>
      </c>
      <c r="AG329" s="54" t="n">
        <f aca="false">MAX(0,AG325+AG326+AG327+AG328)</f>
        <v>0</v>
      </c>
      <c r="AH329" s="54" t="n">
        <f aca="false">MAX(0,AH325+AH326+AH327+AH328)</f>
        <v>0</v>
      </c>
      <c r="AI329" s="54" t="n">
        <f aca="false">MAX(0,AI325+AI326+AI327+AI328)</f>
        <v>0</v>
      </c>
      <c r="AJ329" s="54" t="n">
        <f aca="false">MAX(0,AJ325+AJ326+AJ327+AJ328)</f>
        <v>0</v>
      </c>
      <c r="AK329" s="54" t="n">
        <f aca="false">MAX(0,AK325+AK326+AK327+AK328)</f>
        <v>0</v>
      </c>
      <c r="AL329" s="54" t="n">
        <f aca="false">MAX(0,AL325+AL326+AL327+AL328)</f>
        <v>0</v>
      </c>
      <c r="AM329" s="54" t="n">
        <f aca="false">MAX(0,AM325+AM326+AM327+AM328)</f>
        <v>0</v>
      </c>
      <c r="AN329" s="54" t="n">
        <f aca="false">MAX(0,AN325+AN326+AN327+AN328)</f>
        <v>0</v>
      </c>
      <c r="AO329" s="54" t="n">
        <f aca="false">MAX(0,AO325+AO326+AO327+AO328)</f>
        <v>0</v>
      </c>
      <c r="AP329" s="54" t="n">
        <f aca="false">MAX(0,AP325+AP326+AP327+AP328)</f>
        <v>0</v>
      </c>
      <c r="AQ329" s="54" t="n">
        <f aca="false">MAX(0,AQ325+AQ326+AQ327+AQ328)</f>
        <v>0</v>
      </c>
      <c r="AR329" s="54" t="n">
        <f aca="false">MAX(0,AR325+AR326+AR327+AR328)</f>
        <v>0</v>
      </c>
      <c r="AS329" s="54" t="n">
        <f aca="false">MAX(0,AS325+AS326+AS327+AS328)</f>
        <v>0</v>
      </c>
      <c r="AT329" s="54" t="n">
        <f aca="false">MAX(0,AT325+AT326+AT327+AT328)</f>
        <v>0</v>
      </c>
      <c r="AU329" s="54" t="n">
        <f aca="false">MAX(0,AU325+AU326+AU327+AU328)</f>
        <v>0</v>
      </c>
      <c r="AV329" s="54" t="n">
        <f aca="false">MAX(0,AV325+AV326+AV327+AV328)</f>
        <v>0</v>
      </c>
      <c r="AW329" s="54" t="n">
        <f aca="false">MAX(0,AW325+AW326+AW327+AW328)</f>
        <v>0</v>
      </c>
      <c r="AX329" s="54" t="n">
        <f aca="false">MAX(0,AX325+AX326+AX327+AX328)</f>
        <v>0</v>
      </c>
      <c r="AY329" s="54" t="n">
        <f aca="false">MAX(0,AY325+AY326+AY327+AY328)</f>
        <v>0</v>
      </c>
      <c r="AZ329" s="54" t="n">
        <f aca="false">MAX(0,AZ325+AZ326+AZ327+AZ328)</f>
        <v>0</v>
      </c>
      <c r="BA329" s="54" t="n">
        <f aca="false">MAX(0,BA325+BA326+BA327+BA328)</f>
        <v>0</v>
      </c>
      <c r="BB329" s="54" t="n">
        <f aca="false">MAX(0,BB325+BB326+BB327+BB328)</f>
        <v>0</v>
      </c>
      <c r="BC329" s="54" t="n">
        <f aca="false">MAX(0,BC325+BC326+BC327+BC328)</f>
        <v>0</v>
      </c>
      <c r="BD329" s="54" t="n">
        <f aca="false">MAX(0,BD325+BD326+BD327+BD328)</f>
        <v>0</v>
      </c>
      <c r="BE329" s="54" t="n">
        <f aca="false">MAX(0,BE325+BE326+BE327+BE328)</f>
        <v>0</v>
      </c>
      <c r="BF329" s="54" t="n">
        <f aca="false">MAX(0,BF325+BF326+BF327+BF328)</f>
        <v>0</v>
      </c>
      <c r="BG329" s="54" t="n">
        <f aca="false">MAX(0,BG325+BG326+BG327+BG328)</f>
        <v>0</v>
      </c>
      <c r="BH329" s="54" t="n">
        <f aca="false">MAX(0,BH325+BH326+BH327+BH328)</f>
        <v>0</v>
      </c>
      <c r="BI329" s="54" t="n">
        <f aca="false">MAX(0,BI325+BI326+BI327+BI328)</f>
        <v>0</v>
      </c>
      <c r="BJ329" s="54" t="n">
        <f aca="false">MAX(0,BJ325+BJ326+BJ327+BJ328)</f>
        <v>0</v>
      </c>
      <c r="BK329" s="54" t="n">
        <f aca="false">MAX(0,BK325+BK326+BK327+BK328)</f>
        <v>0</v>
      </c>
      <c r="BL329" s="54" t="n">
        <f aca="false">MAX(0,BL325+BL326+BL327+BL328)</f>
        <v>0</v>
      </c>
      <c r="BM329" s="54" t="n">
        <f aca="false">MAX(0,BM325+BM326+BM327+BM328)</f>
        <v>0</v>
      </c>
      <c r="BN329" s="54" t="n">
        <f aca="false">MAX(0,BN325+BN326+BN327+BN328)</f>
        <v>0</v>
      </c>
      <c r="BO329" s="54" t="n">
        <f aca="false">MAX(0,BO325+BO326+BO327+BO328)</f>
        <v>0</v>
      </c>
      <c r="BP329" s="54" t="n">
        <f aca="false">MAX(0,BP325+BP326+BP327+BP328)</f>
        <v>0</v>
      </c>
      <c r="BQ329" s="54" t="n">
        <f aca="false">MAX(0,BQ325+BQ326+BQ327+BQ328)</f>
        <v>0</v>
      </c>
      <c r="BR329" s="54" t="n">
        <f aca="false">MAX(0,BR325+BR326+BR327+BR328)</f>
        <v>0</v>
      </c>
      <c r="BS329" s="54" t="n">
        <f aca="false">MAX(0,BS325+BS326+BS327+BS328)</f>
        <v>0</v>
      </c>
      <c r="BT329" s="54" t="n">
        <f aca="false">MAX(0,BT325+BT326+BT327+BT328)</f>
        <v>0</v>
      </c>
      <c r="BU329" s="54" t="n">
        <f aca="false">MAX(0,BU325+BU326+BU327+BU328)</f>
        <v>0</v>
      </c>
      <c r="BV329" s="54" t="n">
        <f aca="false">MAX(0,BV325+BV326+BV327+BV328)</f>
        <v>0</v>
      </c>
      <c r="BW329" s="54" t="n">
        <f aca="false">MAX(0,BW325+BW326+BW327+BW328)</f>
        <v>0</v>
      </c>
      <c r="BX329" s="54" t="n">
        <f aca="false">MAX(0,BX325+BX326+BX327+BX328)</f>
        <v>0</v>
      </c>
      <c r="BY329" s="54" t="n">
        <f aca="false">MAX(0,BY325+BY326+BY327+BY328)</f>
        <v>0</v>
      </c>
      <c r="BZ329" s="54" t="n">
        <f aca="false">MAX(0,BZ325+BZ326+BZ327+BZ328)</f>
        <v>0</v>
      </c>
      <c r="CA329" s="54" t="n">
        <f aca="false">MAX(0,CA325+CA326+CA327+CA328)</f>
        <v>0</v>
      </c>
      <c r="CB329" s="54" t="n">
        <f aca="false">MAX(0,CB325+CB326+CB327+CB328)</f>
        <v>0</v>
      </c>
      <c r="CC329" s="54" t="n">
        <f aca="false">MAX(0,CC325+CC326+CC327+CC328)</f>
        <v>0</v>
      </c>
      <c r="CD329" s="54" t="n">
        <f aca="false">MAX(0,CD325+CD326+CD327+CD328)</f>
        <v>0</v>
      </c>
      <c r="CE329" s="54" t="n">
        <f aca="false">MAX(0,CE325+CE326+CE327+CE328)</f>
        <v>0</v>
      </c>
      <c r="CF329" s="54" t="n">
        <f aca="false">MAX(0,CF325+CF326+CF327+CF328)</f>
        <v>0</v>
      </c>
      <c r="CG329" s="54" t="n">
        <f aca="false">MAX(0,CG325+CG326+CG327+CG328)</f>
        <v>0</v>
      </c>
      <c r="CH329" s="54" t="n">
        <f aca="false">MAX(0,CH325+CH326+CH327+CH328)</f>
        <v>0</v>
      </c>
      <c r="CI329" s="54" t="n">
        <f aca="false">MAX(0,CI325+CI326+CI327+CI328)</f>
        <v>0</v>
      </c>
      <c r="CJ329" s="54" t="n">
        <f aca="false">MAX(0,CJ325+CJ326+CJ327+CJ328)</f>
        <v>0</v>
      </c>
      <c r="CK329" s="54" t="n">
        <f aca="false">MAX(0,CK325+CK326+CK327+CK328)</f>
        <v>0</v>
      </c>
      <c r="CL329" s="54" t="n">
        <f aca="false">MAX(0,CL325+CL326+CL327+CL328)</f>
        <v>0</v>
      </c>
      <c r="CM329" s="54" t="n">
        <f aca="false">MAX(0,CM325+CM326+CM327+CM328)</f>
        <v>0</v>
      </c>
      <c r="CN329" s="54" t="n">
        <f aca="false">MAX(0,CN325+CN326+CN327+CN328)</f>
        <v>0</v>
      </c>
      <c r="CO329" s="54" t="n">
        <f aca="false">MAX(0,CO325+CO326+CO327+CO328)</f>
        <v>0</v>
      </c>
      <c r="CP329" s="54" t="n">
        <f aca="false">MAX(0,CP325+CP326+CP327+CP328)</f>
        <v>0</v>
      </c>
      <c r="CQ329" s="54" t="n">
        <f aca="false">MAX(0,CQ325+CQ326+CQ327+CQ328)</f>
        <v>0</v>
      </c>
      <c r="CR329" s="54" t="n">
        <f aca="false">MAX(0,CR325+CR326+CR327+CR328)</f>
        <v>0</v>
      </c>
      <c r="CS329" s="54" t="n">
        <f aca="false">MAX(0,CS325+CS326+CS327+CS328)</f>
        <v>0</v>
      </c>
      <c r="CT329" s="54" t="n">
        <f aca="false">MAX(0,CT325+CT326+CT327+CT328)</f>
        <v>0</v>
      </c>
      <c r="CU329" s="54" t="n">
        <f aca="false">MAX(0,CU325+CU326+CU327+CU328)</f>
        <v>0</v>
      </c>
      <c r="CV329" s="54" t="n">
        <f aca="false">MAX(0,CV325+CV326+CV327+CV328)</f>
        <v>0</v>
      </c>
      <c r="CW329" s="54" t="n">
        <f aca="false">MAX(0,CW325+CW326+CW327+CW328)</f>
        <v>0</v>
      </c>
      <c r="CX329" s="54" t="n">
        <f aca="false">MAX(0,CX325+CX326+CX327+CX328)</f>
        <v>0</v>
      </c>
      <c r="CY329" s="54" t="n">
        <f aca="false">MAX(0,CY325+CY326+CY327+CY328)</f>
        <v>0</v>
      </c>
      <c r="CZ329" s="54" t="n">
        <f aca="false">MAX(0,CZ325+CZ326+CZ327+CZ328)</f>
        <v>0</v>
      </c>
      <c r="DA329" s="54" t="n">
        <f aca="false">MAX(0,DA325+DA326+DA327+DA328)</f>
        <v>0</v>
      </c>
      <c r="DB329" s="54" t="n">
        <f aca="false">MAX(0,DB325+DB326+DB327+DB328)</f>
        <v>0</v>
      </c>
      <c r="DC329" s="54" t="n">
        <f aca="false">MAX(0,DC325+DC326+DC327+DC328)</f>
        <v>0</v>
      </c>
      <c r="DD329" s="54" t="n">
        <f aca="false">MAX(0,DD325+DD326+DD327+DD328)</f>
        <v>0</v>
      </c>
      <c r="DE329" s="54" t="n">
        <f aca="false">MAX(0,DE325+DE326+DE327+DE328)</f>
        <v>0</v>
      </c>
    </row>
    <row r="330" customFormat="false" ht="15" hidden="false" customHeight="true" outlineLevel="0" collapsed="false">
      <c r="A330" s="55" t="s">
        <v>165</v>
      </c>
      <c r="B330" s="56"/>
      <c r="C330" s="56"/>
      <c r="D330" s="56"/>
      <c r="E330" s="56" t="n">
        <f aca="false">IF(Projects!$G$14="Yes",Assumptions!$B$75,0)</f>
        <v>264927.15</v>
      </c>
      <c r="F330" s="56" t="n">
        <f aca="false">E334</f>
        <v>264927.15</v>
      </c>
      <c r="G330" s="56" t="n">
        <f aca="false">IF(Projects!$G$14="Yes",F334+Assumptions!$B$76*0.2,F334)</f>
        <v>441545.25</v>
      </c>
      <c r="H330" s="56" t="n">
        <f aca="false">G334</f>
        <v>458103.196875</v>
      </c>
      <c r="I330" s="56" t="n">
        <f aca="false">H334</f>
        <v>458103.196875</v>
      </c>
      <c r="J330" s="56" t="n">
        <f aca="false">IF(Projects!$G$14="Yes",I334+Assumptions!$B$76*0.2,I334)</f>
        <v>634721.296875</v>
      </c>
      <c r="K330" s="56" t="n">
        <f aca="false">J334</f>
        <v>658523.345507813</v>
      </c>
      <c r="L330" s="56" t="n">
        <f aca="false">K334</f>
        <v>658523.345507813</v>
      </c>
      <c r="M330" s="56" t="n">
        <f aca="false">L334</f>
        <v>658523.345507813</v>
      </c>
      <c r="N330" s="56" t="n">
        <f aca="false">IF(Projects!$G$14="Yes",M334+Assumptions!$B$76*0.1,M334)</f>
        <v>771527.020964355</v>
      </c>
      <c r="O330" s="56" t="n">
        <f aca="false">N334</f>
        <v>771527.020964355</v>
      </c>
      <c r="P330" s="56" t="n">
        <f aca="false">O334</f>
        <v>771527.020964355</v>
      </c>
      <c r="Q330" s="56" t="n">
        <f aca="false">P334</f>
        <v>800459.284250519</v>
      </c>
      <c r="R330" s="56" t="n">
        <f aca="false">Q334</f>
        <v>800459.284250519</v>
      </c>
      <c r="S330" s="56" t="n">
        <f aca="false">IF(Projects!$G$14="Yes",R334+Assumptions!$B$76*0.1,R334)</f>
        <v>888768.334250519</v>
      </c>
      <c r="T330" s="56" t="n">
        <f aca="false">S334</f>
        <v>922097.146784913</v>
      </c>
      <c r="U330" s="56" t="n">
        <f aca="false">T334</f>
        <v>922097.146784913</v>
      </c>
      <c r="V330" s="56" t="n">
        <f aca="false">U334</f>
        <v>922097.146784913</v>
      </c>
      <c r="W330" s="56" t="n">
        <f aca="false">V334</f>
        <v>956675.789789348</v>
      </c>
      <c r="X330" s="56" t="n">
        <f aca="false">W334</f>
        <v>956675.789789348</v>
      </c>
      <c r="Y330" s="56" t="n">
        <f aca="false">IF(Projects!$G$14="Yes",X334+Assumptions!$B$76*0.1,X334)</f>
        <v>1044984.83978935</v>
      </c>
      <c r="Z330" s="56" t="n">
        <f aca="false">Y334</f>
        <v>1084171.77128145</v>
      </c>
      <c r="AA330" s="56" t="n">
        <f aca="false">Z334</f>
        <v>1084171.77128145</v>
      </c>
      <c r="AB330" s="56" t="n">
        <f aca="false">AA334</f>
        <v>1084171.77128145</v>
      </c>
      <c r="AC330" s="56" t="n">
        <f aca="false">AB334</f>
        <v>1124828.2127045</v>
      </c>
      <c r="AD330" s="56" t="n">
        <f aca="false">AC334</f>
        <v>1124828.2127045</v>
      </c>
      <c r="AE330" s="56" t="n">
        <f aca="false">IF(Projects!$G$14="Yes",AD334+Assumptions!$B$76,AD334)</f>
        <v>2007918.7127045</v>
      </c>
      <c r="AF330" s="56" t="n">
        <f aca="false">AE334</f>
        <v>283215.664430921</v>
      </c>
      <c r="AG330" s="56" t="n">
        <f aca="false">AF334</f>
        <v>283215.664430921</v>
      </c>
      <c r="AH330" s="56" t="n">
        <f aca="false">AG334</f>
        <v>283215.664430921</v>
      </c>
      <c r="AI330" s="56" t="n">
        <f aca="false">AH334</f>
        <v>293836.251847081</v>
      </c>
      <c r="AJ330" s="56" t="n">
        <f aca="false">AI334</f>
        <v>293836.251847081</v>
      </c>
      <c r="AK330" s="56" t="n">
        <f aca="false">AJ334</f>
        <v>293836.251847081</v>
      </c>
      <c r="AL330" s="56" t="n">
        <f aca="false">AK334</f>
        <v>304855.111291347</v>
      </c>
      <c r="AM330" s="56" t="n">
        <f aca="false">AL334</f>
        <v>304855.111291347</v>
      </c>
      <c r="AN330" s="56" t="n">
        <f aca="false">AM334</f>
        <v>304855.111291347</v>
      </c>
      <c r="AO330" s="56" t="n">
        <f aca="false">AN334</f>
        <v>316287.177964772</v>
      </c>
      <c r="AP330" s="56" t="n">
        <f aca="false">AO334</f>
        <v>316287.177964772</v>
      </c>
      <c r="AQ330" s="56" t="n">
        <f aca="false">AP334</f>
        <v>316287.177964772</v>
      </c>
      <c r="AR330" s="56" t="n">
        <f aca="false">AQ334</f>
        <v>328147.947138451</v>
      </c>
      <c r="AS330" s="56" t="n">
        <f aca="false">AR334</f>
        <v>328147.947138451</v>
      </c>
      <c r="AT330" s="56" t="n">
        <f aca="false">AS334</f>
        <v>328147.947138451</v>
      </c>
      <c r="AU330" s="56" t="n">
        <f aca="false">AT334</f>
        <v>340453.495156143</v>
      </c>
      <c r="AV330" s="56" t="n">
        <f aca="false">AU334</f>
        <v>340453.495156143</v>
      </c>
      <c r="AW330" s="56" t="n">
        <f aca="false">AV334</f>
        <v>340453.495156143</v>
      </c>
      <c r="AX330" s="56" t="n">
        <f aca="false">AW334</f>
        <v>353220.501224498</v>
      </c>
      <c r="AY330" s="56" t="n">
        <f aca="false">AX334</f>
        <v>353220.501224498</v>
      </c>
      <c r="AZ330" s="56" t="n">
        <f aca="false">AY334</f>
        <v>353220.501224498</v>
      </c>
      <c r="BA330" s="56" t="n">
        <f aca="false">AZ334</f>
        <v>366466.270020417</v>
      </c>
      <c r="BB330" s="56" t="n">
        <f aca="false">BA334</f>
        <v>366466.270020417</v>
      </c>
      <c r="BC330" s="56" t="n">
        <f aca="false">BB334</f>
        <v>366466.270020417</v>
      </c>
      <c r="BD330" s="56" t="n">
        <f aca="false">BC334</f>
        <v>380208.755146183</v>
      </c>
      <c r="BE330" s="56" t="n">
        <f aca="false">BD334</f>
        <v>380208.755146183</v>
      </c>
      <c r="BF330" s="56" t="n">
        <f aca="false">BE334</f>
        <v>380208.755146183</v>
      </c>
      <c r="BG330" s="56" t="n">
        <f aca="false">BF334</f>
        <v>394466.583464164</v>
      </c>
      <c r="BH330" s="56" t="n">
        <f aca="false">BG334</f>
        <v>394466.583464164</v>
      </c>
      <c r="BI330" s="56" t="n">
        <f aca="false">BH334</f>
        <v>394466.583464164</v>
      </c>
      <c r="BJ330" s="56" t="n">
        <f aca="false">BI334</f>
        <v>409259.080344071</v>
      </c>
      <c r="BK330" s="56" t="n">
        <f aca="false">BJ334</f>
        <v>409259.080344071</v>
      </c>
      <c r="BL330" s="56" t="n">
        <f aca="false">BK334</f>
        <v>409259.080344071</v>
      </c>
      <c r="BM330" s="56" t="n">
        <f aca="false">BL334</f>
        <v>424606.295856973</v>
      </c>
      <c r="BN330" s="56" t="n">
        <f aca="false">BM334</f>
        <v>424606.295856973</v>
      </c>
      <c r="BO330" s="56" t="n">
        <f aca="false">BN334</f>
        <v>424606.295856973</v>
      </c>
      <c r="BP330" s="56" t="n">
        <f aca="false">BO334</f>
        <v>440529.03195161</v>
      </c>
      <c r="BQ330" s="56" t="n">
        <f aca="false">BP334</f>
        <v>440529.03195161</v>
      </c>
      <c r="BR330" s="56" t="n">
        <f aca="false">BQ334</f>
        <v>440529.03195161</v>
      </c>
      <c r="BS330" s="56" t="n">
        <f aca="false">BR334</f>
        <v>457048.870649795</v>
      </c>
      <c r="BT330" s="56" t="n">
        <f aca="false">BS334</f>
        <v>457048.870649795</v>
      </c>
      <c r="BU330" s="56" t="n">
        <f aca="false">BT334</f>
        <v>457048.870649795</v>
      </c>
      <c r="BV330" s="56" t="n">
        <f aca="false">BU334</f>
        <v>474188.203299162</v>
      </c>
      <c r="BW330" s="56" t="n">
        <f aca="false">BV334</f>
        <v>474188.203299162</v>
      </c>
      <c r="BX330" s="56" t="n">
        <f aca="false">BW334</f>
        <v>474188.203299162</v>
      </c>
      <c r="BY330" s="56" t="n">
        <f aca="false">BX334</f>
        <v>491970.260922881</v>
      </c>
      <c r="BZ330" s="56" t="n">
        <f aca="false">BY334</f>
        <v>491970.260922881</v>
      </c>
      <c r="CA330" s="56" t="n">
        <f aca="false">BZ334</f>
        <v>491970.260922881</v>
      </c>
      <c r="CB330" s="56" t="n">
        <f aca="false">CA334</f>
        <v>510419.145707489</v>
      </c>
      <c r="CC330" s="56" t="n">
        <f aca="false">CB334</f>
        <v>510419.145707489</v>
      </c>
      <c r="CD330" s="56" t="n">
        <f aca="false">CC334</f>
        <v>510419.145707489</v>
      </c>
      <c r="CE330" s="56" t="n">
        <f aca="false">CD334</f>
        <v>529559.86367152</v>
      </c>
      <c r="CF330" s="56" t="n">
        <f aca="false">CE334</f>
        <v>529559.86367152</v>
      </c>
      <c r="CG330" s="56" t="n">
        <f aca="false">CF334</f>
        <v>529559.86367152</v>
      </c>
      <c r="CH330" s="56" t="n">
        <f aca="false">CG334</f>
        <v>549418.358559202</v>
      </c>
      <c r="CI330" s="56" t="n">
        <f aca="false">CH334</f>
        <v>549418.358559202</v>
      </c>
      <c r="CJ330" s="56" t="n">
        <f aca="false">CI334</f>
        <v>549418.358559202</v>
      </c>
      <c r="CK330" s="56" t="n">
        <f aca="false">CJ334</f>
        <v>570021.547005172</v>
      </c>
      <c r="CL330" s="56" t="n">
        <f aca="false">CK334</f>
        <v>570021.547005172</v>
      </c>
      <c r="CM330" s="56" t="n">
        <f aca="false">CL334</f>
        <v>570021.547005172</v>
      </c>
      <c r="CN330" s="56" t="n">
        <f aca="false">CM334</f>
        <v>591397.355017866</v>
      </c>
      <c r="CO330" s="56" t="n">
        <f aca="false">CN334</f>
        <v>569702.675017866</v>
      </c>
      <c r="CP330" s="56" t="n">
        <f aca="false">CO334</f>
        <v>496547.675017866</v>
      </c>
      <c r="CQ330" s="56" t="n">
        <f aca="false">CP334</f>
        <v>442013.212831036</v>
      </c>
      <c r="CR330" s="56" t="n">
        <f aca="false">CQ334</f>
        <v>368858.212831036</v>
      </c>
      <c r="CS330" s="56" t="n">
        <f aca="false">CR334</f>
        <v>295703.212831036</v>
      </c>
      <c r="CT330" s="56" t="n">
        <f aca="false">CS334</f>
        <v>233637.0833122</v>
      </c>
      <c r="CU330" s="56" t="n">
        <f aca="false">CT334</f>
        <v>160482.0833122</v>
      </c>
      <c r="CV330" s="56" t="n">
        <f aca="false">CU334</f>
        <v>87327.0833121997</v>
      </c>
      <c r="CW330" s="56" t="n">
        <f aca="false">CV334</f>
        <v>17446.8489364072</v>
      </c>
      <c r="CX330" s="56" t="n">
        <f aca="false">CW334</f>
        <v>0</v>
      </c>
      <c r="CY330" s="56" t="n">
        <f aca="false">CX334</f>
        <v>0</v>
      </c>
      <c r="CZ330" s="56" t="n">
        <f aca="false">CY334</f>
        <v>0</v>
      </c>
      <c r="DA330" s="56" t="n">
        <f aca="false">CZ334</f>
        <v>0</v>
      </c>
      <c r="DB330" s="56" t="n">
        <f aca="false">DA334</f>
        <v>0</v>
      </c>
      <c r="DC330" s="56" t="n">
        <f aca="false">DB334</f>
        <v>0</v>
      </c>
      <c r="DD330" s="56" t="n">
        <f aca="false">DC334</f>
        <v>0</v>
      </c>
      <c r="DE330" s="56" t="n">
        <f aca="false">DD334</f>
        <v>0</v>
      </c>
    </row>
    <row r="331" customFormat="false" ht="15" hidden="false" customHeight="true" outlineLevel="0" collapsed="false">
      <c r="A331" s="55" t="s">
        <v>166</v>
      </c>
      <c r="B331" s="56"/>
      <c r="C331" s="56"/>
      <c r="D331" s="56"/>
      <c r="E331" s="56" t="n">
        <f aca="false">IF(AND(MOD(1,3)=0,E330&gt;0),E330*Assumptions!$B$59,0)</f>
        <v>0</v>
      </c>
      <c r="F331" s="56" t="n">
        <f aca="false">IF(AND(MOD(2,3)=0,F330&gt;0),F330*Assumptions!$B$59,0)</f>
        <v>0</v>
      </c>
      <c r="G331" s="56" t="n">
        <f aca="false">IF(AND(MOD(3,3)=0,G330&gt;0),G330*Assumptions!$B$59,0)</f>
        <v>16557.946875</v>
      </c>
      <c r="H331" s="56" t="n">
        <f aca="false">IF(AND(MOD(4,3)=0,H330&gt;0),H330*Assumptions!$B$59,0)</f>
        <v>0</v>
      </c>
      <c r="I331" s="56" t="n">
        <f aca="false">IF(AND(MOD(5,3)=0,I330&gt;0),I330*Assumptions!$B$59,0)</f>
        <v>0</v>
      </c>
      <c r="J331" s="56" t="n">
        <f aca="false">IF(AND(MOD(6,3)=0,J330&gt;0),J330*Assumptions!$B$59,0)</f>
        <v>23802.0486328125</v>
      </c>
      <c r="K331" s="56" t="n">
        <f aca="false">IF(AND(MOD(7,3)=0,K330&gt;0),K330*Assumptions!$B$59,0)</f>
        <v>0</v>
      </c>
      <c r="L331" s="56" t="n">
        <f aca="false">IF(AND(MOD(8,3)=0,L330&gt;0),L330*Assumptions!$B$59,0)</f>
        <v>0</v>
      </c>
      <c r="M331" s="56" t="n">
        <f aca="false">IF(AND(MOD(9,3)=0,M330&gt;0),M330*Assumptions!$B$59,0)</f>
        <v>24694.625456543</v>
      </c>
      <c r="N331" s="56" t="n">
        <f aca="false">IF(AND(MOD(10,3)=0,N330&gt;0),N330*Assumptions!$B$59,0)</f>
        <v>0</v>
      </c>
      <c r="O331" s="56" t="n">
        <f aca="false">IF(AND(MOD(11,3)=0,O330&gt;0),O330*Assumptions!$B$59,0)</f>
        <v>0</v>
      </c>
      <c r="P331" s="56" t="n">
        <f aca="false">IF(AND(MOD(12,3)=0,P330&gt;0),P330*Assumptions!$B$59,0)</f>
        <v>28932.2632861633</v>
      </c>
      <c r="Q331" s="56" t="n">
        <f aca="false">IF(AND(MOD(13,3)=0,Q330&gt;0),Q330*Assumptions!$B$59,0)</f>
        <v>0</v>
      </c>
      <c r="R331" s="56" t="n">
        <f aca="false">IF(AND(MOD(14,3)=0,R330&gt;0),R330*Assumptions!$B$59,0)</f>
        <v>0</v>
      </c>
      <c r="S331" s="56" t="n">
        <f aca="false">IF(AND(MOD(15,3)=0,S330&gt;0),S330*Assumptions!$B$59,0)</f>
        <v>33328.8125343945</v>
      </c>
      <c r="T331" s="56" t="n">
        <f aca="false">IF(AND(MOD(16,3)=0,T330&gt;0),T330*Assumptions!$B$59,0)</f>
        <v>0</v>
      </c>
      <c r="U331" s="56" t="n">
        <f aca="false">IF(AND(MOD(17,3)=0,U330&gt;0),U330*Assumptions!$B$59,0)</f>
        <v>0</v>
      </c>
      <c r="V331" s="56" t="n">
        <f aca="false">IF(AND(MOD(18,3)=0,V330&gt;0),V330*Assumptions!$B$59,0)</f>
        <v>34578.6430044343</v>
      </c>
      <c r="W331" s="56" t="n">
        <f aca="false">IF(AND(MOD(19,3)=0,W330&gt;0),W330*Assumptions!$B$59,0)</f>
        <v>0</v>
      </c>
      <c r="X331" s="56" t="n">
        <f aca="false">IF(AND(MOD(20,3)=0,X330&gt;0),X330*Assumptions!$B$59,0)</f>
        <v>0</v>
      </c>
      <c r="Y331" s="56" t="n">
        <f aca="false">IF(AND(MOD(21,3)=0,Y330&gt;0),Y330*Assumptions!$B$59,0)</f>
        <v>39186.9314921005</v>
      </c>
      <c r="Z331" s="56" t="n">
        <f aca="false">IF(AND(MOD(22,3)=0,Z330&gt;0),Z330*Assumptions!$B$59,0)</f>
        <v>0</v>
      </c>
      <c r="AA331" s="56" t="n">
        <f aca="false">IF(AND(MOD(23,3)=0,AA330&gt;0),AA330*Assumptions!$B$59,0)</f>
        <v>0</v>
      </c>
      <c r="AB331" s="56" t="n">
        <f aca="false">IF(AND(MOD(24,3)=0,AB330&gt;0),AB330*Assumptions!$B$59,0)</f>
        <v>40656.4414230543</v>
      </c>
      <c r="AC331" s="56" t="n">
        <f aca="false">IF(AND(MOD(25,3)=0,AC330&gt;0),AC330*Assumptions!$B$59,0)</f>
        <v>0</v>
      </c>
      <c r="AD331" s="56" t="n">
        <f aca="false">IF(AND(MOD(26,3)=0,AD330&gt;0),AD330*Assumptions!$B$59,0)</f>
        <v>0</v>
      </c>
      <c r="AE331" s="56" t="n">
        <f aca="false">IF(AND(MOD(27,3)=0,AE330&gt;0),AE330*Assumptions!$B$59,0)</f>
        <v>75296.9517264189</v>
      </c>
      <c r="AF331" s="56" t="n">
        <f aca="false">IF(AND(MOD(28,3)=0,AF330&gt;0),AF330*Assumptions!$B$59,0)</f>
        <v>0</v>
      </c>
      <c r="AG331" s="56" t="n">
        <f aca="false">IF(AND(MOD(29,3)=0,AG330&gt;0),AG330*Assumptions!$B$59,0)</f>
        <v>0</v>
      </c>
      <c r="AH331" s="56" t="n">
        <f aca="false">IF(AND(MOD(30,3)=0,AH330&gt;0),AH330*Assumptions!$B$59,0)</f>
        <v>10620.5874161596</v>
      </c>
      <c r="AI331" s="56" t="n">
        <f aca="false">IF(AND(MOD(31,3)=0,AI330&gt;0),AI330*Assumptions!$B$59,0)</f>
        <v>0</v>
      </c>
      <c r="AJ331" s="56" t="n">
        <f aca="false">IF(AND(MOD(32,3)=0,AJ330&gt;0),AJ330*Assumptions!$B$59,0)</f>
        <v>0</v>
      </c>
      <c r="AK331" s="56" t="n">
        <f aca="false">IF(AND(MOD(33,3)=0,AK330&gt;0),AK330*Assumptions!$B$59,0)</f>
        <v>11018.8594442655</v>
      </c>
      <c r="AL331" s="56" t="n">
        <f aca="false">IF(AND(MOD(34,3)=0,AL330&gt;0),AL330*Assumptions!$B$59,0)</f>
        <v>0</v>
      </c>
      <c r="AM331" s="56" t="n">
        <f aca="false">IF(AND(MOD(35,3)=0,AM330&gt;0),AM330*Assumptions!$B$59,0)</f>
        <v>0</v>
      </c>
      <c r="AN331" s="56" t="n">
        <f aca="false">IF(AND(MOD(36,3)=0,AN330&gt;0),AN330*Assumptions!$B$59,0)</f>
        <v>11432.0666734255</v>
      </c>
      <c r="AO331" s="56" t="n">
        <f aca="false">IF(AND(MOD(37,3)=0,AO330&gt;0),AO330*Assumptions!$B$59,0)</f>
        <v>0</v>
      </c>
      <c r="AP331" s="56" t="n">
        <f aca="false">IF(AND(MOD(38,3)=0,AP330&gt;0),AP330*Assumptions!$B$59,0)</f>
        <v>0</v>
      </c>
      <c r="AQ331" s="56" t="n">
        <f aca="false">IF(AND(MOD(39,3)=0,AQ330&gt;0),AQ330*Assumptions!$B$59,0)</f>
        <v>11860.769173679</v>
      </c>
      <c r="AR331" s="56" t="n">
        <f aca="false">IF(AND(MOD(40,3)=0,AR330&gt;0),AR330*Assumptions!$B$59,0)</f>
        <v>0</v>
      </c>
      <c r="AS331" s="56" t="n">
        <f aca="false">IF(AND(MOD(41,3)=0,AS330&gt;0),AS330*Assumptions!$B$59,0)</f>
        <v>0</v>
      </c>
      <c r="AT331" s="56" t="n">
        <f aca="false">IF(AND(MOD(42,3)=0,AT330&gt;0),AT330*Assumptions!$B$59,0)</f>
        <v>12305.5480176919</v>
      </c>
      <c r="AU331" s="56" t="n">
        <f aca="false">IF(AND(MOD(43,3)=0,AU330&gt;0),AU330*Assumptions!$B$59,0)</f>
        <v>0</v>
      </c>
      <c r="AV331" s="56" t="n">
        <f aca="false">IF(AND(MOD(44,3)=0,AV330&gt;0),AV330*Assumptions!$B$59,0)</f>
        <v>0</v>
      </c>
      <c r="AW331" s="56" t="n">
        <f aca="false">IF(AND(MOD(45,3)=0,AW330&gt;0),AW330*Assumptions!$B$59,0)</f>
        <v>12767.0060683554</v>
      </c>
      <c r="AX331" s="56" t="n">
        <f aca="false">IF(AND(MOD(46,3)=0,AX330&gt;0),AX330*Assumptions!$B$59,0)</f>
        <v>0</v>
      </c>
      <c r="AY331" s="56" t="n">
        <f aca="false">IF(AND(MOD(47,3)=0,AY330&gt;0),AY330*Assumptions!$B$59,0)</f>
        <v>0</v>
      </c>
      <c r="AZ331" s="56" t="n">
        <f aca="false">IF(AND(MOD(48,3)=0,AZ330&gt;0),AZ330*Assumptions!$B$59,0)</f>
        <v>13245.7687959187</v>
      </c>
      <c r="BA331" s="56" t="n">
        <f aca="false">IF(AND(MOD(49,3)=0,BA330&gt;0),BA330*Assumptions!$B$59,0)</f>
        <v>0</v>
      </c>
      <c r="BB331" s="56" t="n">
        <f aca="false">IF(AND(MOD(50,3)=0,BB330&gt;0),BB330*Assumptions!$B$59,0)</f>
        <v>0</v>
      </c>
      <c r="BC331" s="56" t="n">
        <f aca="false">IF(AND(MOD(51,3)=0,BC330&gt;0),BC330*Assumptions!$B$59,0)</f>
        <v>13742.4851257656</v>
      </c>
      <c r="BD331" s="56" t="n">
        <f aca="false">IF(AND(MOD(52,3)=0,BD330&gt;0),BD330*Assumptions!$B$59,0)</f>
        <v>0</v>
      </c>
      <c r="BE331" s="56" t="n">
        <f aca="false">IF(AND(MOD(53,3)=0,BE330&gt;0),BE330*Assumptions!$B$59,0)</f>
        <v>0</v>
      </c>
      <c r="BF331" s="56" t="n">
        <f aca="false">IF(AND(MOD(54,3)=0,BF330&gt;0),BF330*Assumptions!$B$59,0)</f>
        <v>14257.8283179818</v>
      </c>
      <c r="BG331" s="56" t="n">
        <f aca="false">IF(AND(MOD(55,3)=0,BG330&gt;0),BG330*Assumptions!$B$59,0)</f>
        <v>0</v>
      </c>
      <c r="BH331" s="56" t="n">
        <f aca="false">IF(AND(MOD(56,3)=0,BH330&gt;0),BH330*Assumptions!$B$59,0)</f>
        <v>0</v>
      </c>
      <c r="BI331" s="56" t="n">
        <f aca="false">IF(AND(MOD(57,3)=0,BI330&gt;0),BI330*Assumptions!$B$59,0)</f>
        <v>14792.4968799062</v>
      </c>
      <c r="BJ331" s="56" t="n">
        <f aca="false">IF(AND(MOD(58,3)=0,BJ330&gt;0),BJ330*Assumptions!$B$59,0)</f>
        <v>0</v>
      </c>
      <c r="BK331" s="56" t="n">
        <f aca="false">IF(AND(MOD(59,3)=0,BK330&gt;0),BK330*Assumptions!$B$59,0)</f>
        <v>0</v>
      </c>
      <c r="BL331" s="56" t="n">
        <f aca="false">IF(AND(MOD(60,3)=0,BL330&gt;0),BL330*Assumptions!$B$59,0)</f>
        <v>15347.2155129026</v>
      </c>
      <c r="BM331" s="56" t="n">
        <f aca="false">IF(AND(MOD(61,3)=0,BM330&gt;0),BM330*Assumptions!$B$59,0)</f>
        <v>0</v>
      </c>
      <c r="BN331" s="56" t="n">
        <f aca="false">IF(AND(MOD(62,3)=0,BN330&gt;0),BN330*Assumptions!$B$59,0)</f>
        <v>0</v>
      </c>
      <c r="BO331" s="56" t="n">
        <f aca="false">IF(AND(MOD(63,3)=0,BO330&gt;0),BO330*Assumptions!$B$59,0)</f>
        <v>15922.7360946365</v>
      </c>
      <c r="BP331" s="56" t="n">
        <f aca="false">IF(AND(MOD(64,3)=0,BP330&gt;0),BP330*Assumptions!$B$59,0)</f>
        <v>0</v>
      </c>
      <c r="BQ331" s="56" t="n">
        <f aca="false">IF(AND(MOD(65,3)=0,BQ330&gt;0),BQ330*Assumptions!$B$59,0)</f>
        <v>0</v>
      </c>
      <c r="BR331" s="56" t="n">
        <f aca="false">IF(AND(MOD(66,3)=0,BR330&gt;0),BR330*Assumptions!$B$59,0)</f>
        <v>16519.8386981854</v>
      </c>
      <c r="BS331" s="56" t="n">
        <f aca="false">IF(AND(MOD(67,3)=0,BS330&gt;0),BS330*Assumptions!$B$59,0)</f>
        <v>0</v>
      </c>
      <c r="BT331" s="56" t="n">
        <f aca="false">IF(AND(MOD(68,3)=0,BT330&gt;0),BT330*Assumptions!$B$59,0)</f>
        <v>0</v>
      </c>
      <c r="BU331" s="56" t="n">
        <f aca="false">IF(AND(MOD(69,3)=0,BU330&gt;0),BU330*Assumptions!$B$59,0)</f>
        <v>17139.3326493673</v>
      </c>
      <c r="BV331" s="56" t="n">
        <f aca="false">IF(AND(MOD(70,3)=0,BV330&gt;0),BV330*Assumptions!$B$59,0)</f>
        <v>0</v>
      </c>
      <c r="BW331" s="56" t="n">
        <f aca="false">IF(AND(MOD(71,3)=0,BW330&gt;0),BW330*Assumptions!$B$59,0)</f>
        <v>0</v>
      </c>
      <c r="BX331" s="56" t="n">
        <f aca="false">IF(AND(MOD(72,3)=0,BX330&gt;0),BX330*Assumptions!$B$59,0)</f>
        <v>17782.0576237186</v>
      </c>
      <c r="BY331" s="56" t="n">
        <f aca="false">IF(AND(MOD(73,3)=0,BY330&gt;0),BY330*Assumptions!$B$59,0)</f>
        <v>0</v>
      </c>
      <c r="BZ331" s="56" t="n">
        <f aca="false">IF(AND(MOD(74,3)=0,BZ330&gt;0),BZ330*Assumptions!$B$59,0)</f>
        <v>0</v>
      </c>
      <c r="CA331" s="56" t="n">
        <f aca="false">IF(AND(MOD(75,3)=0,CA330&gt;0),CA330*Assumptions!$B$59,0)</f>
        <v>18448.884784608</v>
      </c>
      <c r="CB331" s="56" t="n">
        <f aca="false">IF(AND(MOD(76,3)=0,CB330&gt;0),CB330*Assumptions!$B$59,0)</f>
        <v>0</v>
      </c>
      <c r="CC331" s="56" t="n">
        <f aca="false">IF(AND(MOD(77,3)=0,CC330&gt;0),CC330*Assumptions!$B$59,0)</f>
        <v>0</v>
      </c>
      <c r="CD331" s="56" t="n">
        <f aca="false">IF(AND(MOD(78,3)=0,CD330&gt;0),CD330*Assumptions!$B$59,0)</f>
        <v>19140.7179640308</v>
      </c>
      <c r="CE331" s="56" t="n">
        <f aca="false">IF(AND(MOD(79,3)=0,CE330&gt;0),CE330*Assumptions!$B$59,0)</f>
        <v>0</v>
      </c>
      <c r="CF331" s="56" t="n">
        <f aca="false">IF(AND(MOD(80,3)=0,CF330&gt;0),CF330*Assumptions!$B$59,0)</f>
        <v>0</v>
      </c>
      <c r="CG331" s="56" t="n">
        <f aca="false">IF(AND(MOD(81,3)=0,CG330&gt;0),CG330*Assumptions!$B$59,0)</f>
        <v>19858.494887682</v>
      </c>
      <c r="CH331" s="56" t="n">
        <f aca="false">IF(AND(MOD(82,3)=0,CH330&gt;0),CH330*Assumptions!$B$59,0)</f>
        <v>0</v>
      </c>
      <c r="CI331" s="56" t="n">
        <f aca="false">IF(AND(MOD(83,3)=0,CI330&gt;0),CI330*Assumptions!$B$59,0)</f>
        <v>0</v>
      </c>
      <c r="CJ331" s="56" t="n">
        <f aca="false">IF(AND(MOD(84,3)=0,CJ330&gt;0),CJ330*Assumptions!$B$59,0)</f>
        <v>20603.1884459701</v>
      </c>
      <c r="CK331" s="56" t="n">
        <f aca="false">IF(AND(MOD(85,3)=0,CK330&gt;0),CK330*Assumptions!$B$59,0)</f>
        <v>0</v>
      </c>
      <c r="CL331" s="56" t="n">
        <f aca="false">IF(AND(MOD(86,3)=0,CL330&gt;0),CL330*Assumptions!$B$59,0)</f>
        <v>0</v>
      </c>
      <c r="CM331" s="56" t="n">
        <f aca="false">IF(AND(MOD(87,3)=0,CM330&gt;0),CM330*Assumptions!$B$59,0)</f>
        <v>21375.8080126939</v>
      </c>
      <c r="CN331" s="56" t="n">
        <f aca="false">IF(AND(MOD(88,3)=0,CN330&gt;0),CN330*Assumptions!$B$59,0)</f>
        <v>0</v>
      </c>
      <c r="CO331" s="56" t="n">
        <f aca="false">IF(AND(MOD(89,3)=0,CO330&gt;0),CO330*Assumptions!$B$59,0)</f>
        <v>0</v>
      </c>
      <c r="CP331" s="56" t="n">
        <f aca="false">IF(AND(MOD(90,3)=0,CP330&gt;0),CP330*Assumptions!$B$59,0)</f>
        <v>18620.53781317</v>
      </c>
      <c r="CQ331" s="56" t="n">
        <f aca="false">IF(AND(MOD(91,3)=0,CQ330&gt;0),CQ330*Assumptions!$B$59,0)</f>
        <v>0</v>
      </c>
      <c r="CR331" s="56" t="n">
        <f aca="false">IF(AND(MOD(92,3)=0,CR330&gt;0),CR330*Assumptions!$B$59,0)</f>
        <v>0</v>
      </c>
      <c r="CS331" s="56" t="n">
        <f aca="false">IF(AND(MOD(93,3)=0,CS330&gt;0),CS330*Assumptions!$B$59,0)</f>
        <v>11088.8704811638</v>
      </c>
      <c r="CT331" s="56" t="n">
        <f aca="false">IF(AND(MOD(94,3)=0,CT330&gt;0),CT330*Assumptions!$B$59,0)</f>
        <v>0</v>
      </c>
      <c r="CU331" s="56" t="n">
        <f aca="false">IF(AND(MOD(95,3)=0,CU330&gt;0),CU330*Assumptions!$B$59,0)</f>
        <v>0</v>
      </c>
      <c r="CV331" s="56" t="n">
        <f aca="false">IF(AND(MOD(96,3)=0,CV330&gt;0),CV330*Assumptions!$B$59,0)</f>
        <v>3274.76562420749</v>
      </c>
      <c r="CW331" s="56" t="n">
        <f aca="false">IF(AND(MOD(97,3)=0,CW330&gt;0),CW330*Assumptions!$B$59,0)</f>
        <v>0</v>
      </c>
      <c r="CX331" s="56" t="n">
        <f aca="false">IF(AND(MOD(98,3)=0,CX330&gt;0),CX330*Assumptions!$B$59,0)</f>
        <v>0</v>
      </c>
      <c r="CY331" s="56" t="n">
        <f aca="false">IF(AND(MOD(99,3)=0,CY330&gt;0),CY330*Assumptions!$B$59,0)</f>
        <v>0</v>
      </c>
      <c r="CZ331" s="56" t="n">
        <f aca="false">IF(AND(MOD(100,3)=0,CZ330&gt;0),CZ330*Assumptions!$B$59,0)</f>
        <v>0</v>
      </c>
      <c r="DA331" s="56" t="n">
        <f aca="false">IF(AND(MOD(101,3)=0,DA330&gt;0),DA330*Assumptions!$B$59,0)</f>
        <v>0</v>
      </c>
      <c r="DB331" s="56" t="n">
        <f aca="false">IF(AND(MOD(102,3)=0,DB330&gt;0),DB330*Assumptions!$B$59,0)</f>
        <v>0</v>
      </c>
      <c r="DC331" s="56" t="n">
        <f aca="false">IF(AND(MOD(103,3)=0,DC330&gt;0),DC330*Assumptions!$B$59,0)</f>
        <v>0</v>
      </c>
      <c r="DD331" s="56" t="n">
        <f aca="false">IF(AND(MOD(104,3)=0,DD330&gt;0),DD330*Assumptions!$B$59,0)</f>
        <v>0</v>
      </c>
      <c r="DE331" s="56" t="n">
        <f aca="false">IF(AND(MOD(105,3)=0,DE330&gt;0),DE330*Assumptions!$B$59,0)</f>
        <v>0</v>
      </c>
    </row>
    <row r="332" customFormat="false" ht="15" hidden="false" customHeight="true" outlineLevel="0" collapsed="false">
      <c r="A332" s="55" t="s">
        <v>167</v>
      </c>
      <c r="B332" s="56"/>
      <c r="C332" s="56"/>
      <c r="D332" s="56"/>
      <c r="E332" s="56" t="n">
        <v>0</v>
      </c>
      <c r="F332" s="56" t="n">
        <v>0</v>
      </c>
      <c r="G332" s="56" t="n">
        <v>0</v>
      </c>
      <c r="H332" s="56" t="n">
        <v>0</v>
      </c>
      <c r="I332" s="56" t="n">
        <v>0</v>
      </c>
      <c r="J332" s="56" t="n">
        <v>0</v>
      </c>
      <c r="K332" s="56" t="n">
        <v>0</v>
      </c>
      <c r="L332" s="56" t="n">
        <v>0</v>
      </c>
      <c r="M332" s="56" t="n">
        <v>0</v>
      </c>
      <c r="N332" s="56" t="n">
        <v>0</v>
      </c>
      <c r="O332" s="56" t="n">
        <v>0</v>
      </c>
      <c r="P332" s="56" t="n">
        <v>0</v>
      </c>
      <c r="Q332" s="56" t="n">
        <v>0</v>
      </c>
      <c r="R332" s="56" t="n">
        <v>0</v>
      </c>
      <c r="S332" s="56" t="n">
        <v>0</v>
      </c>
      <c r="T332" s="56" t="n">
        <v>0</v>
      </c>
      <c r="U332" s="56" t="n">
        <v>0</v>
      </c>
      <c r="V332" s="56" t="n">
        <v>0</v>
      </c>
      <c r="W332" s="56" t="n">
        <v>0</v>
      </c>
      <c r="X332" s="56" t="n">
        <v>0</v>
      </c>
      <c r="Y332" s="56" t="n">
        <v>0</v>
      </c>
      <c r="Z332" s="56" t="n">
        <v>0</v>
      </c>
      <c r="AA332" s="56" t="n">
        <v>0</v>
      </c>
      <c r="AB332" s="56" t="n">
        <v>0</v>
      </c>
      <c r="AC332" s="56" t="n">
        <v>0</v>
      </c>
      <c r="AD332" s="56" t="n">
        <v>0</v>
      </c>
      <c r="AE332" s="56" t="n">
        <f aca="false">IF(Projects!$G$14="Yes",Assumptions!$B$77,0)</f>
        <v>-1800000</v>
      </c>
      <c r="AF332" s="56" t="n">
        <v>0</v>
      </c>
      <c r="AG332" s="56" t="n">
        <v>0</v>
      </c>
      <c r="AH332" s="56" t="n">
        <v>0</v>
      </c>
      <c r="AI332" s="56" t="n">
        <v>0</v>
      </c>
      <c r="AJ332" s="56" t="n">
        <v>0</v>
      </c>
      <c r="AK332" s="56" t="n">
        <v>0</v>
      </c>
      <c r="AL332" s="56" t="n">
        <v>0</v>
      </c>
      <c r="AM332" s="56" t="n">
        <v>0</v>
      </c>
      <c r="AN332" s="56" t="n">
        <v>0</v>
      </c>
      <c r="AO332" s="56" t="n">
        <v>0</v>
      </c>
      <c r="AP332" s="56" t="n">
        <v>0</v>
      </c>
      <c r="AQ332" s="56" t="n">
        <v>0</v>
      </c>
      <c r="AR332" s="56" t="n">
        <v>0</v>
      </c>
      <c r="AS332" s="56" t="n">
        <v>0</v>
      </c>
      <c r="AT332" s="56" t="n">
        <v>0</v>
      </c>
      <c r="AU332" s="56" t="n">
        <v>0</v>
      </c>
      <c r="AV332" s="56" t="n">
        <v>0</v>
      </c>
      <c r="AW332" s="56" t="n">
        <v>0</v>
      </c>
      <c r="AX332" s="56" t="n">
        <v>0</v>
      </c>
      <c r="AY332" s="56" t="n">
        <v>0</v>
      </c>
      <c r="AZ332" s="56" t="n">
        <v>0</v>
      </c>
      <c r="BA332" s="56" t="n">
        <v>0</v>
      </c>
      <c r="BB332" s="56" t="n">
        <v>0</v>
      </c>
      <c r="BC332" s="56" t="n">
        <v>0</v>
      </c>
      <c r="BD332" s="56" t="n">
        <v>0</v>
      </c>
      <c r="BE332" s="56" t="n">
        <v>0</v>
      </c>
      <c r="BF332" s="56" t="n">
        <v>0</v>
      </c>
      <c r="BG332" s="56" t="n">
        <v>0</v>
      </c>
      <c r="BH332" s="56" t="n">
        <v>0</v>
      </c>
      <c r="BI332" s="56" t="n">
        <v>0</v>
      </c>
      <c r="BJ332" s="56" t="n">
        <v>0</v>
      </c>
      <c r="BK332" s="56" t="n">
        <v>0</v>
      </c>
      <c r="BL332" s="56" t="n">
        <v>0</v>
      </c>
      <c r="BM332" s="56" t="n">
        <v>0</v>
      </c>
      <c r="BN332" s="56" t="n">
        <v>0</v>
      </c>
      <c r="BO332" s="56" t="n">
        <v>0</v>
      </c>
      <c r="BP332" s="56" t="n">
        <v>0</v>
      </c>
      <c r="BQ332" s="56" t="n">
        <v>0</v>
      </c>
      <c r="BR332" s="56" t="n">
        <v>0</v>
      </c>
      <c r="BS332" s="56" t="n">
        <v>0</v>
      </c>
      <c r="BT332" s="56" t="n">
        <v>0</v>
      </c>
      <c r="BU332" s="56" t="n">
        <v>0</v>
      </c>
      <c r="BV332" s="56" t="n">
        <v>0</v>
      </c>
      <c r="BW332" s="56" t="n">
        <v>0</v>
      </c>
      <c r="BX332" s="56" t="n">
        <v>0</v>
      </c>
      <c r="BY332" s="56" t="n">
        <v>0</v>
      </c>
      <c r="BZ332" s="56" t="n">
        <v>0</v>
      </c>
      <c r="CA332" s="56" t="n">
        <v>0</v>
      </c>
      <c r="CB332" s="56" t="n">
        <v>0</v>
      </c>
      <c r="CC332" s="56" t="n">
        <v>0</v>
      </c>
      <c r="CD332" s="56" t="n">
        <v>0</v>
      </c>
      <c r="CE332" s="56" t="n">
        <v>0</v>
      </c>
      <c r="CF332" s="56" t="n">
        <v>0</v>
      </c>
      <c r="CG332" s="56" t="n">
        <v>0</v>
      </c>
      <c r="CH332" s="56" t="n">
        <v>0</v>
      </c>
      <c r="CI332" s="56" t="n">
        <v>0</v>
      </c>
      <c r="CJ332" s="56" t="n">
        <v>0</v>
      </c>
      <c r="CK332" s="56" t="n">
        <v>0</v>
      </c>
      <c r="CL332" s="56" t="n">
        <v>0</v>
      </c>
      <c r="CM332" s="56" t="n">
        <v>0</v>
      </c>
      <c r="CN332" s="56" t="n">
        <v>0</v>
      </c>
      <c r="CO332" s="56" t="n">
        <v>0</v>
      </c>
      <c r="CP332" s="56" t="n">
        <v>0</v>
      </c>
      <c r="CQ332" s="56" t="n">
        <v>0</v>
      </c>
      <c r="CR332" s="56" t="n">
        <v>0</v>
      </c>
      <c r="CS332" s="56" t="n">
        <v>0</v>
      </c>
      <c r="CT332" s="56"/>
      <c r="CU332" s="56"/>
      <c r="CV332" s="56"/>
      <c r="CW332" s="56"/>
      <c r="CX332" s="56"/>
      <c r="CY332" s="56"/>
      <c r="CZ332" s="56"/>
      <c r="DA332" s="56"/>
      <c r="DB332" s="56"/>
      <c r="DC332" s="56"/>
      <c r="DD332" s="56"/>
      <c r="DE332" s="56"/>
    </row>
    <row r="333" customFormat="false" ht="15" hidden="false" customHeight="true" outlineLevel="0" collapsed="false">
      <c r="A333" s="57" t="s">
        <v>168</v>
      </c>
      <c r="B333" s="58"/>
      <c r="C333" s="58"/>
      <c r="D333" s="58"/>
      <c r="E333" s="58" t="n">
        <f aca="false">-MIN(E330+E331+E332,MAX(0,E256-Helpers!C26))</f>
        <v>-0</v>
      </c>
      <c r="F333" s="58" t="n">
        <f aca="false">-MIN(F330+F331+F332,MAX(0,F256-Helpers!D26))</f>
        <v>-0</v>
      </c>
      <c r="G333" s="58" t="n">
        <f aca="false">-MIN(G330+G331+G332,MAX(0,G256-Helpers!E26))</f>
        <v>-0</v>
      </c>
      <c r="H333" s="58" t="n">
        <f aca="false">-MIN(H330+H331+H332,MAX(0,H256-Helpers!F26))</f>
        <v>-0</v>
      </c>
      <c r="I333" s="58" t="n">
        <f aca="false">-MIN(I330+I331+I332,MAX(0,I256-Helpers!G26))</f>
        <v>-0</v>
      </c>
      <c r="J333" s="58" t="n">
        <f aca="false">-MIN(J330+J331+J332,MAX(0,J256-Helpers!H26))</f>
        <v>-0</v>
      </c>
      <c r="K333" s="58" t="n">
        <f aca="false">-MIN(K330+K331+K332,MAX(0,K256-Helpers!I26))</f>
        <v>-0</v>
      </c>
      <c r="L333" s="58" t="n">
        <f aca="false">-MIN(L330+L331+L332,MAX(0,L256-Helpers!J26))</f>
        <v>-0</v>
      </c>
      <c r="M333" s="58" t="n">
        <f aca="false">-MIN(M330+M331+M332,MAX(0,M256-Helpers!K26))</f>
        <v>-0</v>
      </c>
      <c r="N333" s="58" t="n">
        <f aca="false">-MIN(N330+N331+N332,MAX(0,N256-Helpers!L26))</f>
        <v>-0</v>
      </c>
      <c r="O333" s="58" t="n">
        <f aca="false">-MIN(O330+O331+O332,MAX(0,O256-Helpers!M26))</f>
        <v>-0</v>
      </c>
      <c r="P333" s="58" t="n">
        <f aca="false">-MIN(P330+P331+P332,MAX(0,P256-Helpers!N26))</f>
        <v>-0</v>
      </c>
      <c r="Q333" s="58" t="n">
        <f aca="false">-MIN(Q330+Q331+Q332,MAX(0,Q256-Helpers!O26))</f>
        <v>-0</v>
      </c>
      <c r="R333" s="58" t="n">
        <f aca="false">-MIN(R330+R331+R332,MAX(0,R256-Helpers!P26))</f>
        <v>-0</v>
      </c>
      <c r="S333" s="58" t="n">
        <f aca="false">-MIN(S330+S331+S332,MAX(0,S256-Helpers!Q26))</f>
        <v>-0</v>
      </c>
      <c r="T333" s="58" t="n">
        <f aca="false">-MIN(T330+T331+T332,MAX(0,T256-Helpers!R26))</f>
        <v>-0</v>
      </c>
      <c r="U333" s="58" t="n">
        <f aca="false">-MIN(U330+U331+U332,MAX(0,U256-Helpers!S26))</f>
        <v>-0</v>
      </c>
      <c r="V333" s="58" t="n">
        <f aca="false">-MIN(V330+V331+V332,MAX(0,V256-Helpers!T26))</f>
        <v>-0</v>
      </c>
      <c r="W333" s="58" t="n">
        <f aca="false">-MIN(W330+W331+W332,MAX(0,W256-Helpers!U26))</f>
        <v>-0</v>
      </c>
      <c r="X333" s="58" t="n">
        <f aca="false">-MIN(X330+X331+X332,MAX(0,X256-Helpers!V26))</f>
        <v>-0</v>
      </c>
      <c r="Y333" s="58" t="n">
        <f aca="false">-MIN(Y330+Y331+Y332,MAX(0,Y256-Helpers!W26))</f>
        <v>-0</v>
      </c>
      <c r="Z333" s="58" t="n">
        <f aca="false">-MIN(Z330+Z331+Z332,MAX(0,Z256-Helpers!X26))</f>
        <v>-0</v>
      </c>
      <c r="AA333" s="58" t="n">
        <f aca="false">-MIN(AA330+AA331+AA332,MAX(0,AA256-Helpers!Y26))</f>
        <v>-0</v>
      </c>
      <c r="AB333" s="58" t="n">
        <f aca="false">-MIN(AB330+AB331+AB332,MAX(0,AB256-Helpers!Z26))</f>
        <v>-0</v>
      </c>
      <c r="AC333" s="58" t="n">
        <f aca="false">-MIN(AC330+AC331+AC332,MAX(0,AC256-Helpers!AA26))</f>
        <v>-0</v>
      </c>
      <c r="AD333" s="58" t="n">
        <f aca="false">-MIN(AD330+AD331+AD332,MAX(0,AD256-Helpers!AB26))</f>
        <v>-0</v>
      </c>
      <c r="AE333" s="58" t="n">
        <f aca="false">-MIN(AE330+AE331+AE332,MAX(0,AE256-Helpers!AC26))</f>
        <v>-0</v>
      </c>
      <c r="AF333" s="58" t="n">
        <f aca="false">-MIN(AF330+AF331+AF332,MAX(0,AF256-Helpers!AD26))</f>
        <v>-0</v>
      </c>
      <c r="AG333" s="58" t="n">
        <f aca="false">-MIN(AG330+AG331+AG332,MAX(0,AG256-Helpers!AE26))</f>
        <v>-0</v>
      </c>
      <c r="AH333" s="58" t="n">
        <f aca="false">-MIN(AH330+AH331+AH332,MAX(0,AH256-Helpers!AF26))</f>
        <v>-0</v>
      </c>
      <c r="AI333" s="58" t="n">
        <f aca="false">-MIN(AI330+AI331+AI332,MAX(0,AI256-Helpers!AG26))</f>
        <v>-0</v>
      </c>
      <c r="AJ333" s="58" t="n">
        <f aca="false">-MIN(AJ330+AJ331+AJ332,MAX(0,AJ256-Helpers!AH26))</f>
        <v>-0</v>
      </c>
      <c r="AK333" s="58" t="n">
        <f aca="false">-MIN(AK330+AK331+AK332,MAX(0,AK256-Helpers!AI26))</f>
        <v>-0</v>
      </c>
      <c r="AL333" s="58" t="n">
        <f aca="false">-MIN(AL330+AL331+AL332,MAX(0,AL256-Helpers!AJ26))</f>
        <v>-0</v>
      </c>
      <c r="AM333" s="58" t="n">
        <f aca="false">-MIN(AM330+AM331+AM332,MAX(0,AM256-Helpers!AK26))</f>
        <v>-0</v>
      </c>
      <c r="AN333" s="58" t="n">
        <f aca="false">-MIN(AN330+AN331+AN332,MAX(0,AN256-Helpers!AL26))</f>
        <v>-0</v>
      </c>
      <c r="AO333" s="58" t="n">
        <f aca="false">-MIN(AO330+AO331+AO332,MAX(0,AO256-Helpers!AM26))</f>
        <v>-0</v>
      </c>
      <c r="AP333" s="58" t="n">
        <f aca="false">-MIN(AP330+AP331+AP332,MAX(0,AP256-Helpers!AN26))</f>
        <v>-0</v>
      </c>
      <c r="AQ333" s="58" t="n">
        <f aca="false">-MIN(AQ330+AQ331+AQ332,MAX(0,AQ256-Helpers!AO26))</f>
        <v>-0</v>
      </c>
      <c r="AR333" s="58" t="n">
        <f aca="false">-MIN(AR330+AR331+AR332,MAX(0,AR256-Helpers!AP26))</f>
        <v>-0</v>
      </c>
      <c r="AS333" s="58" t="n">
        <f aca="false">-MIN(AS330+AS331+AS332,MAX(0,AS256-Helpers!AQ26))</f>
        <v>-0</v>
      </c>
      <c r="AT333" s="58" t="n">
        <f aca="false">-MIN(AT330+AT331+AT332,MAX(0,AT256-Helpers!AR26))</f>
        <v>-0</v>
      </c>
      <c r="AU333" s="58" t="n">
        <f aca="false">-MIN(AU330+AU331+AU332,MAX(0,AU256-Helpers!AS26))</f>
        <v>-0</v>
      </c>
      <c r="AV333" s="58" t="n">
        <f aca="false">-MIN(AV330+AV331+AV332,MAX(0,AV256-Helpers!AT26))</f>
        <v>-0</v>
      </c>
      <c r="AW333" s="58" t="n">
        <f aca="false">-MIN(AW330+AW331+AW332,MAX(0,AW256-Helpers!AU26))</f>
        <v>-0</v>
      </c>
      <c r="AX333" s="58" t="n">
        <f aca="false">-MIN(AX330+AX331+AX332,MAX(0,AX256-Helpers!AV26))</f>
        <v>-0</v>
      </c>
      <c r="AY333" s="58" t="n">
        <f aca="false">-MIN(AY330+AY331+AY332,MAX(0,AY256-Helpers!AW26))</f>
        <v>-0</v>
      </c>
      <c r="AZ333" s="58" t="n">
        <f aca="false">-MIN(AZ330+AZ331+AZ332,MAX(0,AZ256-Helpers!AX26))</f>
        <v>-0</v>
      </c>
      <c r="BA333" s="58" t="n">
        <f aca="false">-MIN(BA330+BA331+BA332,MAX(0,BA256-Helpers!AY26))</f>
        <v>-0</v>
      </c>
      <c r="BB333" s="58" t="n">
        <f aca="false">-MIN(BB330+BB331+BB332,MAX(0,BB256-Helpers!AZ26))</f>
        <v>-0</v>
      </c>
      <c r="BC333" s="58" t="n">
        <f aca="false">-MIN(BC330+BC331+BC332,MAX(0,BC256-Helpers!BA26))</f>
        <v>-0</v>
      </c>
      <c r="BD333" s="58" t="n">
        <f aca="false">-MIN(BD330+BD331+BD332,MAX(0,BD256-Helpers!BB26))</f>
        <v>-0</v>
      </c>
      <c r="BE333" s="58" t="n">
        <f aca="false">-MIN(BE330+BE331+BE332,MAX(0,BE256-Helpers!BC26))</f>
        <v>-0</v>
      </c>
      <c r="BF333" s="58" t="n">
        <f aca="false">-MIN(BF330+BF331+BF332,MAX(0,BF256-Helpers!BD26))</f>
        <v>-0</v>
      </c>
      <c r="BG333" s="58" t="n">
        <f aca="false">-MIN(BG330+BG331+BG332,MAX(0,BG256-Helpers!BE26))</f>
        <v>-0</v>
      </c>
      <c r="BH333" s="58" t="n">
        <f aca="false">-MIN(BH330+BH331+BH332,MAX(0,BH256-Helpers!BF26))</f>
        <v>-0</v>
      </c>
      <c r="BI333" s="58" t="n">
        <f aca="false">-MIN(BI330+BI331+BI332,MAX(0,BI256-Helpers!BG26))</f>
        <v>-0</v>
      </c>
      <c r="BJ333" s="58" t="n">
        <f aca="false">-MIN(BJ330+BJ331+BJ332,MAX(0,BJ256-Helpers!BH26))</f>
        <v>-0</v>
      </c>
      <c r="BK333" s="58" t="n">
        <f aca="false">-MIN(BK330+BK331+BK332,MAX(0,BK256-Helpers!BI26))</f>
        <v>-0</v>
      </c>
      <c r="BL333" s="58" t="n">
        <f aca="false">-MIN(BL330+BL331+BL332,MAX(0,BL256-Helpers!BJ26))</f>
        <v>-0</v>
      </c>
      <c r="BM333" s="58" t="n">
        <f aca="false">-MIN(BM330+BM331+BM332,MAX(0,BM256-Helpers!BK26))</f>
        <v>-0</v>
      </c>
      <c r="BN333" s="58" t="n">
        <f aca="false">-MIN(BN330+BN331+BN332,MAX(0,BN256-Helpers!BL26))</f>
        <v>-0</v>
      </c>
      <c r="BO333" s="58" t="n">
        <f aca="false">-MIN(BO330+BO331+BO332,MAX(0,BO256-Helpers!BM26))</f>
        <v>-0</v>
      </c>
      <c r="BP333" s="58" t="n">
        <f aca="false">-MIN(BP330+BP331+BP332,MAX(0,BP256-Helpers!BN26))</f>
        <v>-0</v>
      </c>
      <c r="BQ333" s="58" t="n">
        <f aca="false">-MIN(BQ330+BQ331+BQ332,MAX(0,BQ256-Helpers!BO26))</f>
        <v>-0</v>
      </c>
      <c r="BR333" s="58" t="n">
        <f aca="false">-MIN(BR330+BR331+BR332,MAX(0,BR256-Helpers!BP26))</f>
        <v>-0</v>
      </c>
      <c r="BS333" s="58" t="n">
        <f aca="false">-MIN(BS330+BS331+BS332,MAX(0,BS256-Helpers!BQ26))</f>
        <v>-0</v>
      </c>
      <c r="BT333" s="58" t="n">
        <f aca="false">-MIN(BT330+BT331+BT332,MAX(0,BT256-Helpers!BR26))</f>
        <v>-0</v>
      </c>
      <c r="BU333" s="58" t="n">
        <f aca="false">-MIN(BU330+BU331+BU332,MAX(0,BU256-Helpers!BS26))</f>
        <v>-0</v>
      </c>
      <c r="BV333" s="58" t="n">
        <f aca="false">-MIN(BV330+BV331+BV332,MAX(0,BV256-Helpers!BT26))</f>
        <v>-0</v>
      </c>
      <c r="BW333" s="58" t="n">
        <f aca="false">-MIN(BW330+BW331+BW332,MAX(0,BW256-Helpers!BU26))</f>
        <v>-0</v>
      </c>
      <c r="BX333" s="58" t="n">
        <f aca="false">-MIN(BX330+BX331+BX332,MAX(0,BX256-Helpers!BV26))</f>
        <v>-0</v>
      </c>
      <c r="BY333" s="58" t="n">
        <f aca="false">-MIN(BY330+BY331+BY332,MAX(0,BY256-Helpers!BW26))</f>
        <v>-0</v>
      </c>
      <c r="BZ333" s="58" t="n">
        <f aca="false">-MIN(BZ330+BZ331+BZ332,MAX(0,BZ256-Helpers!BX26))</f>
        <v>-0</v>
      </c>
      <c r="CA333" s="58" t="n">
        <f aca="false">-MIN(CA330+CA331+CA332,MAX(0,CA256-Helpers!BY26))</f>
        <v>-0</v>
      </c>
      <c r="CB333" s="58" t="n">
        <f aca="false">-MIN(CB330+CB331+CB332,MAX(0,CB256-Helpers!BZ26))</f>
        <v>-0</v>
      </c>
      <c r="CC333" s="58" t="n">
        <f aca="false">-MIN(CC330+CC331+CC332,MAX(0,CC256-Helpers!CA26))</f>
        <v>-0</v>
      </c>
      <c r="CD333" s="58" t="n">
        <f aca="false">-MIN(CD330+CD331+CD332,MAX(0,CD256-Helpers!CB26))</f>
        <v>-0</v>
      </c>
      <c r="CE333" s="58" t="n">
        <f aca="false">-MIN(CE330+CE331+CE332,MAX(0,CE256-Helpers!CC26))</f>
        <v>-0</v>
      </c>
      <c r="CF333" s="58" t="n">
        <f aca="false">-MIN(CF330+CF331+CF332,MAX(0,CF256-Helpers!CD26))</f>
        <v>-0</v>
      </c>
      <c r="CG333" s="58" t="n">
        <f aca="false">-MIN(CG330+CG331+CG332,MAX(0,CG256-Helpers!CE26))</f>
        <v>-0</v>
      </c>
      <c r="CH333" s="58" t="n">
        <f aca="false">-MIN(CH330+CH331+CH332,MAX(0,CH256-Helpers!CF26))</f>
        <v>-0</v>
      </c>
      <c r="CI333" s="58" t="n">
        <f aca="false">-MIN(CI330+CI331+CI332,MAX(0,CI256-Helpers!CG26))</f>
        <v>-0</v>
      </c>
      <c r="CJ333" s="58" t="n">
        <f aca="false">-MIN(CJ330+CJ331+CJ332,MAX(0,CJ256-Helpers!CH26))</f>
        <v>-0</v>
      </c>
      <c r="CK333" s="58" t="n">
        <f aca="false">-MIN(CK330+CK331+CK332,MAX(0,CK256-Helpers!CI26))</f>
        <v>-0</v>
      </c>
      <c r="CL333" s="58" t="n">
        <f aca="false">-MIN(CL330+CL331+CL332,MAX(0,CL256-Helpers!CJ26))</f>
        <v>-0</v>
      </c>
      <c r="CM333" s="58" t="n">
        <f aca="false">-MIN(CM330+CM331+CM332,MAX(0,CM256-Helpers!CK26))</f>
        <v>-0</v>
      </c>
      <c r="CN333" s="58" t="n">
        <f aca="false">-MIN(CN330+CN331+CN332,MAX(0,CN256-Helpers!CL26))</f>
        <v>-21694.6799999999</v>
      </c>
      <c r="CO333" s="58" t="n">
        <f aca="false">-MIN(CO330+CO331+CO332,MAX(0,CO256-Helpers!CM26))</f>
        <v>-73155</v>
      </c>
      <c r="CP333" s="58" t="n">
        <f aca="false">-MIN(CP330+CP331+CP332,MAX(0,CP256-Helpers!CN26))</f>
        <v>-73155</v>
      </c>
      <c r="CQ333" s="58" t="n">
        <f aca="false">-MIN(CQ330+CQ331+CQ332,MAX(0,CQ256-Helpers!CO26))</f>
        <v>-73155</v>
      </c>
      <c r="CR333" s="58" t="n">
        <f aca="false">-MIN(CR330+CR331+CR332,MAX(0,CR256-Helpers!CP26))</f>
        <v>-73155</v>
      </c>
      <c r="CS333" s="58" t="n">
        <f aca="false">-MIN(CS330+CS331+CS332,MAX(0,CS256-Helpers!CQ26))</f>
        <v>-73155</v>
      </c>
      <c r="CT333" s="58" t="n">
        <f aca="false">-MIN(CT330+CT331+CT332,MAX(0,CT256-Helpers!CR26))</f>
        <v>-73155</v>
      </c>
      <c r="CU333" s="58" t="n">
        <f aca="false">-MIN(CU330+CU331+CU332,MAX(0,CU256-Helpers!CS26))</f>
        <v>-73155</v>
      </c>
      <c r="CV333" s="58" t="n">
        <f aca="false">-MIN(CV330+CV331+CV332,MAX(0,CV256-Helpers!CT26))</f>
        <v>-73155</v>
      </c>
      <c r="CW333" s="58" t="n">
        <f aca="false">-MIN(CW330+CW331+CW332,MAX(0,CW256-Helpers!CU26))</f>
        <v>-17446.8489364072</v>
      </c>
      <c r="CX333" s="58" t="n">
        <f aca="false">-MIN(CX330+CX331+CX332,MAX(0,CX256-Helpers!CV26))</f>
        <v>-0</v>
      </c>
      <c r="CY333" s="58" t="n">
        <f aca="false">-MIN(CY330+CY331+CY332,MAX(0,CY256-Helpers!CW26))</f>
        <v>-0</v>
      </c>
      <c r="CZ333" s="58" t="n">
        <f aca="false">-MIN(CZ330+CZ331+CZ332,MAX(0,CZ256-Helpers!CX26))</f>
        <v>-0</v>
      </c>
      <c r="DA333" s="58" t="n">
        <f aca="false">-MIN(DA330+DA331+DA332,MAX(0,DA256-Helpers!CY26))</f>
        <v>-0</v>
      </c>
      <c r="DB333" s="58" t="n">
        <f aca="false">-MIN(DB330+DB331+DB332,MAX(0,DB256-Helpers!CZ26))</f>
        <v>-0</v>
      </c>
      <c r="DC333" s="58" t="n">
        <f aca="false">-MIN(DC330+DC331+DC332,MAX(0,DC256-Helpers!DA26))</f>
        <v>-0</v>
      </c>
      <c r="DD333" s="58" t="n">
        <f aca="false">-MIN(DD330+DD331+DD332,MAX(0,DD256-Helpers!DB26))</f>
        <v>-0</v>
      </c>
      <c r="DE333" s="58" t="n">
        <f aca="false">-MIN(DE330+DE331+DE332,MAX(0,DE256-Helpers!DC26))</f>
        <v>-0</v>
      </c>
    </row>
    <row r="334" customFormat="false" ht="15" hidden="false" customHeight="true" outlineLevel="0" collapsed="false">
      <c r="A334" s="53" t="s">
        <v>169</v>
      </c>
      <c r="B334" s="54"/>
      <c r="C334" s="54"/>
      <c r="D334" s="54"/>
      <c r="E334" s="54" t="n">
        <f aca="false">MAX(0,E330+E331+E332+E333)</f>
        <v>264927.15</v>
      </c>
      <c r="F334" s="54" t="n">
        <f aca="false">MAX(0,F330+F331+F332+F333)</f>
        <v>264927.15</v>
      </c>
      <c r="G334" s="54" t="n">
        <f aca="false">MAX(0,G330+G331+G332+G333)</f>
        <v>458103.196875</v>
      </c>
      <c r="H334" s="54" t="n">
        <f aca="false">MAX(0,H330+H331+H332+H333)</f>
        <v>458103.196875</v>
      </c>
      <c r="I334" s="54" t="n">
        <f aca="false">MAX(0,I330+I331+I332+I333)</f>
        <v>458103.196875</v>
      </c>
      <c r="J334" s="54" t="n">
        <f aca="false">MAX(0,J330+J331+J332+J333)</f>
        <v>658523.345507813</v>
      </c>
      <c r="K334" s="54" t="n">
        <f aca="false">MAX(0,K330+K331+K332+K333)</f>
        <v>658523.345507813</v>
      </c>
      <c r="L334" s="54" t="n">
        <f aca="false">MAX(0,L330+L331+L332+L333)</f>
        <v>658523.345507813</v>
      </c>
      <c r="M334" s="54" t="n">
        <f aca="false">MAX(0,M330+M331+M332+M333)</f>
        <v>683217.970964355</v>
      </c>
      <c r="N334" s="54" t="n">
        <f aca="false">MAX(0,N330+N331+N332+N333)</f>
        <v>771527.020964355</v>
      </c>
      <c r="O334" s="54" t="n">
        <f aca="false">MAX(0,O330+O331+O332+O333)</f>
        <v>771527.020964355</v>
      </c>
      <c r="P334" s="54" t="n">
        <f aca="false">MAX(0,P330+P331+P332+P333)</f>
        <v>800459.284250519</v>
      </c>
      <c r="Q334" s="54" t="n">
        <f aca="false">MAX(0,Q330+Q331+Q332+Q333)</f>
        <v>800459.284250519</v>
      </c>
      <c r="R334" s="54" t="n">
        <f aca="false">MAX(0,R330+R331+R332+R333)</f>
        <v>800459.284250519</v>
      </c>
      <c r="S334" s="54" t="n">
        <f aca="false">MAX(0,S330+S331+S332+S333)</f>
        <v>922097.146784913</v>
      </c>
      <c r="T334" s="54" t="n">
        <f aca="false">MAX(0,T330+T331+T332+T333)</f>
        <v>922097.146784913</v>
      </c>
      <c r="U334" s="54" t="n">
        <f aca="false">MAX(0,U330+U331+U332+U333)</f>
        <v>922097.146784913</v>
      </c>
      <c r="V334" s="54" t="n">
        <f aca="false">MAX(0,V330+V331+V332+V333)</f>
        <v>956675.789789348</v>
      </c>
      <c r="W334" s="54" t="n">
        <f aca="false">MAX(0,W330+W331+W332+W333)</f>
        <v>956675.789789348</v>
      </c>
      <c r="X334" s="54" t="n">
        <f aca="false">MAX(0,X330+X331+X332+X333)</f>
        <v>956675.789789348</v>
      </c>
      <c r="Y334" s="54" t="n">
        <f aca="false">MAX(0,Y330+Y331+Y332+Y333)</f>
        <v>1084171.77128145</v>
      </c>
      <c r="Z334" s="54" t="n">
        <f aca="false">MAX(0,Z330+Z331+Z332+Z333)</f>
        <v>1084171.77128145</v>
      </c>
      <c r="AA334" s="54" t="n">
        <f aca="false">MAX(0,AA330+AA331+AA332+AA333)</f>
        <v>1084171.77128145</v>
      </c>
      <c r="AB334" s="54" t="n">
        <f aca="false">MAX(0,AB330+AB331+AB332+AB333)</f>
        <v>1124828.2127045</v>
      </c>
      <c r="AC334" s="54" t="n">
        <f aca="false">MAX(0,AC330+AC331+AC332+AC333)</f>
        <v>1124828.2127045</v>
      </c>
      <c r="AD334" s="54" t="n">
        <f aca="false">MAX(0,AD330+AD331+AD332+AD333)</f>
        <v>1124828.2127045</v>
      </c>
      <c r="AE334" s="54" t="n">
        <f aca="false">MAX(0,AE330+AE331+AE332+AE333)</f>
        <v>283215.664430921</v>
      </c>
      <c r="AF334" s="54" t="n">
        <f aca="false">MAX(0,AF330+AF331+AF332+AF333)</f>
        <v>283215.664430921</v>
      </c>
      <c r="AG334" s="54" t="n">
        <f aca="false">MAX(0,AG330+AG331+AG332+AG333)</f>
        <v>283215.664430921</v>
      </c>
      <c r="AH334" s="54" t="n">
        <f aca="false">MAX(0,AH330+AH331+AH332+AH333)</f>
        <v>293836.251847081</v>
      </c>
      <c r="AI334" s="54" t="n">
        <f aca="false">MAX(0,AI330+AI331+AI332+AI333)</f>
        <v>293836.251847081</v>
      </c>
      <c r="AJ334" s="54" t="n">
        <f aca="false">MAX(0,AJ330+AJ331+AJ332+AJ333)</f>
        <v>293836.251847081</v>
      </c>
      <c r="AK334" s="54" t="n">
        <f aca="false">MAX(0,AK330+AK331+AK332+AK333)</f>
        <v>304855.111291347</v>
      </c>
      <c r="AL334" s="54" t="n">
        <f aca="false">MAX(0,AL330+AL331+AL332+AL333)</f>
        <v>304855.111291347</v>
      </c>
      <c r="AM334" s="54" t="n">
        <f aca="false">MAX(0,AM330+AM331+AM332+AM333)</f>
        <v>304855.111291347</v>
      </c>
      <c r="AN334" s="54" t="n">
        <f aca="false">MAX(0,AN330+AN331+AN332+AN333)</f>
        <v>316287.177964772</v>
      </c>
      <c r="AO334" s="54" t="n">
        <f aca="false">MAX(0,AO330+AO331+AO332+AO333)</f>
        <v>316287.177964772</v>
      </c>
      <c r="AP334" s="54" t="n">
        <f aca="false">MAX(0,AP330+AP331+AP332+AP333)</f>
        <v>316287.177964772</v>
      </c>
      <c r="AQ334" s="54" t="n">
        <f aca="false">MAX(0,AQ330+AQ331+AQ332+AQ333)</f>
        <v>328147.947138451</v>
      </c>
      <c r="AR334" s="54" t="n">
        <f aca="false">MAX(0,AR330+AR331+AR332+AR333)</f>
        <v>328147.947138451</v>
      </c>
      <c r="AS334" s="54" t="n">
        <f aca="false">MAX(0,AS330+AS331+AS332+AS333)</f>
        <v>328147.947138451</v>
      </c>
      <c r="AT334" s="54" t="n">
        <f aca="false">MAX(0,AT330+AT331+AT332+AT333)</f>
        <v>340453.495156143</v>
      </c>
      <c r="AU334" s="54" t="n">
        <f aca="false">MAX(0,AU330+AU331+AU332+AU333)</f>
        <v>340453.495156143</v>
      </c>
      <c r="AV334" s="54" t="n">
        <f aca="false">MAX(0,AV330+AV331+AV332+AV333)</f>
        <v>340453.495156143</v>
      </c>
      <c r="AW334" s="54" t="n">
        <f aca="false">MAX(0,AW330+AW331+AW332+AW333)</f>
        <v>353220.501224498</v>
      </c>
      <c r="AX334" s="54" t="n">
        <f aca="false">MAX(0,AX330+AX331+AX332+AX333)</f>
        <v>353220.501224498</v>
      </c>
      <c r="AY334" s="54" t="n">
        <f aca="false">MAX(0,AY330+AY331+AY332+AY333)</f>
        <v>353220.501224498</v>
      </c>
      <c r="AZ334" s="54" t="n">
        <f aca="false">MAX(0,AZ330+AZ331+AZ332+AZ333)</f>
        <v>366466.270020417</v>
      </c>
      <c r="BA334" s="54" t="n">
        <f aca="false">MAX(0,BA330+BA331+BA332+BA333)</f>
        <v>366466.270020417</v>
      </c>
      <c r="BB334" s="54" t="n">
        <f aca="false">MAX(0,BB330+BB331+BB332+BB333)</f>
        <v>366466.270020417</v>
      </c>
      <c r="BC334" s="54" t="n">
        <f aca="false">MAX(0,BC330+BC331+BC332+BC333)</f>
        <v>380208.755146183</v>
      </c>
      <c r="BD334" s="54" t="n">
        <f aca="false">MAX(0,BD330+BD331+BD332+BD333)</f>
        <v>380208.755146183</v>
      </c>
      <c r="BE334" s="54" t="n">
        <f aca="false">MAX(0,BE330+BE331+BE332+BE333)</f>
        <v>380208.755146183</v>
      </c>
      <c r="BF334" s="54" t="n">
        <f aca="false">MAX(0,BF330+BF331+BF332+BF333)</f>
        <v>394466.583464164</v>
      </c>
      <c r="BG334" s="54" t="n">
        <f aca="false">MAX(0,BG330+BG331+BG332+BG333)</f>
        <v>394466.583464164</v>
      </c>
      <c r="BH334" s="54" t="n">
        <f aca="false">MAX(0,BH330+BH331+BH332+BH333)</f>
        <v>394466.583464164</v>
      </c>
      <c r="BI334" s="54" t="n">
        <f aca="false">MAX(0,BI330+BI331+BI332+BI333)</f>
        <v>409259.080344071</v>
      </c>
      <c r="BJ334" s="54" t="n">
        <f aca="false">MAX(0,BJ330+BJ331+BJ332+BJ333)</f>
        <v>409259.080344071</v>
      </c>
      <c r="BK334" s="54" t="n">
        <f aca="false">MAX(0,BK330+BK331+BK332+BK333)</f>
        <v>409259.080344071</v>
      </c>
      <c r="BL334" s="54" t="n">
        <f aca="false">MAX(0,BL330+BL331+BL332+BL333)</f>
        <v>424606.295856973</v>
      </c>
      <c r="BM334" s="54" t="n">
        <f aca="false">MAX(0,BM330+BM331+BM332+BM333)</f>
        <v>424606.295856973</v>
      </c>
      <c r="BN334" s="54" t="n">
        <f aca="false">MAX(0,BN330+BN331+BN332+BN333)</f>
        <v>424606.295856973</v>
      </c>
      <c r="BO334" s="54" t="n">
        <f aca="false">MAX(0,BO330+BO331+BO332+BO333)</f>
        <v>440529.03195161</v>
      </c>
      <c r="BP334" s="54" t="n">
        <f aca="false">MAX(0,BP330+BP331+BP332+BP333)</f>
        <v>440529.03195161</v>
      </c>
      <c r="BQ334" s="54" t="n">
        <f aca="false">MAX(0,BQ330+BQ331+BQ332+BQ333)</f>
        <v>440529.03195161</v>
      </c>
      <c r="BR334" s="54" t="n">
        <f aca="false">MAX(0,BR330+BR331+BR332+BR333)</f>
        <v>457048.870649795</v>
      </c>
      <c r="BS334" s="54" t="n">
        <f aca="false">MAX(0,BS330+BS331+BS332+BS333)</f>
        <v>457048.870649795</v>
      </c>
      <c r="BT334" s="54" t="n">
        <f aca="false">MAX(0,BT330+BT331+BT332+BT333)</f>
        <v>457048.870649795</v>
      </c>
      <c r="BU334" s="54" t="n">
        <f aca="false">MAX(0,BU330+BU331+BU332+BU333)</f>
        <v>474188.203299162</v>
      </c>
      <c r="BV334" s="54" t="n">
        <f aca="false">MAX(0,BV330+BV331+BV332+BV333)</f>
        <v>474188.203299162</v>
      </c>
      <c r="BW334" s="54" t="n">
        <f aca="false">MAX(0,BW330+BW331+BW332+BW333)</f>
        <v>474188.203299162</v>
      </c>
      <c r="BX334" s="54" t="n">
        <f aca="false">MAX(0,BX330+BX331+BX332+BX333)</f>
        <v>491970.260922881</v>
      </c>
      <c r="BY334" s="54" t="n">
        <f aca="false">MAX(0,BY330+BY331+BY332+BY333)</f>
        <v>491970.260922881</v>
      </c>
      <c r="BZ334" s="54" t="n">
        <f aca="false">MAX(0,BZ330+BZ331+BZ332+BZ333)</f>
        <v>491970.260922881</v>
      </c>
      <c r="CA334" s="54" t="n">
        <f aca="false">MAX(0,CA330+CA331+CA332+CA333)</f>
        <v>510419.145707489</v>
      </c>
      <c r="CB334" s="54" t="n">
        <f aca="false">MAX(0,CB330+CB331+CB332+CB333)</f>
        <v>510419.145707489</v>
      </c>
      <c r="CC334" s="54" t="n">
        <f aca="false">MAX(0,CC330+CC331+CC332+CC333)</f>
        <v>510419.145707489</v>
      </c>
      <c r="CD334" s="54" t="n">
        <f aca="false">MAX(0,CD330+CD331+CD332+CD333)</f>
        <v>529559.86367152</v>
      </c>
      <c r="CE334" s="54" t="n">
        <f aca="false">MAX(0,CE330+CE331+CE332+CE333)</f>
        <v>529559.86367152</v>
      </c>
      <c r="CF334" s="54" t="n">
        <f aca="false">MAX(0,CF330+CF331+CF332+CF333)</f>
        <v>529559.86367152</v>
      </c>
      <c r="CG334" s="54" t="n">
        <f aca="false">MAX(0,CG330+CG331+CG332+CG333)</f>
        <v>549418.358559202</v>
      </c>
      <c r="CH334" s="54" t="n">
        <f aca="false">MAX(0,CH330+CH331+CH332+CH333)</f>
        <v>549418.358559202</v>
      </c>
      <c r="CI334" s="54" t="n">
        <f aca="false">MAX(0,CI330+CI331+CI332+CI333)</f>
        <v>549418.358559202</v>
      </c>
      <c r="CJ334" s="54" t="n">
        <f aca="false">MAX(0,CJ330+CJ331+CJ332+CJ333)</f>
        <v>570021.547005172</v>
      </c>
      <c r="CK334" s="54" t="n">
        <f aca="false">MAX(0,CK330+CK331+CK332+CK333)</f>
        <v>570021.547005172</v>
      </c>
      <c r="CL334" s="54" t="n">
        <f aca="false">MAX(0,CL330+CL331+CL332+CL333)</f>
        <v>570021.547005172</v>
      </c>
      <c r="CM334" s="54" t="n">
        <f aca="false">MAX(0,CM330+CM331+CM332+CM333)</f>
        <v>591397.355017866</v>
      </c>
      <c r="CN334" s="54" t="n">
        <f aca="false">MAX(0,CN330+CN331+CN332+CN333)</f>
        <v>569702.675017866</v>
      </c>
      <c r="CO334" s="54" t="n">
        <f aca="false">MAX(0,CO330+CO331+CO332+CO333)</f>
        <v>496547.675017866</v>
      </c>
      <c r="CP334" s="54" t="n">
        <f aca="false">MAX(0,CP330+CP331+CP332+CP333)</f>
        <v>442013.212831036</v>
      </c>
      <c r="CQ334" s="54" t="n">
        <f aca="false">MAX(0,CQ330+CQ331+CQ332+CQ333)</f>
        <v>368858.212831036</v>
      </c>
      <c r="CR334" s="54" t="n">
        <f aca="false">MAX(0,CR330+CR331+CR332+CR333)</f>
        <v>295703.212831036</v>
      </c>
      <c r="CS334" s="54" t="n">
        <f aca="false">MAX(0,CS330+CS331+CS332+CS333)</f>
        <v>233637.0833122</v>
      </c>
      <c r="CT334" s="54" t="n">
        <f aca="false">MAX(0,CT330+CT331+CT332+CT333)</f>
        <v>160482.0833122</v>
      </c>
      <c r="CU334" s="54" t="n">
        <f aca="false">MAX(0,CU330+CU331+CU332+CU333)</f>
        <v>87327.0833121997</v>
      </c>
      <c r="CV334" s="54" t="n">
        <f aca="false">MAX(0,CV330+CV331+CV332+CV333)</f>
        <v>17446.8489364072</v>
      </c>
      <c r="CW334" s="54" t="n">
        <f aca="false">MAX(0,CW330+CW331+CW332+CW333)</f>
        <v>0</v>
      </c>
      <c r="CX334" s="54" t="n">
        <f aca="false">MAX(0,CX330+CX331+CX332+CX333)</f>
        <v>0</v>
      </c>
      <c r="CY334" s="54" t="n">
        <f aca="false">MAX(0,CY330+CY331+CY332+CY333)</f>
        <v>0</v>
      </c>
      <c r="CZ334" s="54" t="n">
        <f aca="false">MAX(0,CZ330+CZ331+CZ332+CZ333)</f>
        <v>0</v>
      </c>
      <c r="DA334" s="54" t="n">
        <f aca="false">MAX(0,DA330+DA331+DA332+DA333)</f>
        <v>0</v>
      </c>
      <c r="DB334" s="54" t="n">
        <f aca="false">MAX(0,DB330+DB331+DB332+DB333)</f>
        <v>0</v>
      </c>
      <c r="DC334" s="54" t="n">
        <f aca="false">MAX(0,DC330+DC331+DC332+DC333)</f>
        <v>0</v>
      </c>
      <c r="DD334" s="54" t="n">
        <f aca="false">MAX(0,DD330+DD331+DD332+DD333)</f>
        <v>0</v>
      </c>
      <c r="DE334" s="54" t="n">
        <f aca="false">MAX(0,DE330+DE331+DE332+DE333)</f>
        <v>0</v>
      </c>
    </row>
    <row r="335" customFormat="false" ht="15" hidden="false" customHeight="true" outlineLevel="0" collapsed="false">
      <c r="A335" s="55" t="s">
        <v>170</v>
      </c>
      <c r="B335" s="56"/>
      <c r="C335" s="56"/>
      <c r="D335" s="56"/>
      <c r="E335" s="56" t="n">
        <f aca="false">IF(Projects!$G$13="Yes",Assumptions!$B$71,0)</f>
        <v>1134000</v>
      </c>
      <c r="F335" s="56" t="n">
        <f aca="false">E339+IF(AND(Projects!$G$13="Yes",2&lt;=Assumptions!$B$73),Assumptions!$B$72,0)</f>
        <v>1184000</v>
      </c>
      <c r="G335" s="56" t="n">
        <f aca="false">F339+IF(AND(Projects!$G$13="Yes",3&lt;=Assumptions!$B$73),Assumptions!$B$72,0)</f>
        <v>1234000</v>
      </c>
      <c r="H335" s="56" t="n">
        <f aca="false">G339+IF(AND(Projects!$G$13="Yes",4&lt;=Assumptions!$B$73),Assumptions!$B$72,0)</f>
        <v>1330275</v>
      </c>
      <c r="I335" s="56" t="n">
        <f aca="false">H339+IF(AND(Projects!$G$13="Yes",5&lt;=Assumptions!$B$73),Assumptions!$B$72,0)</f>
        <v>1380275</v>
      </c>
      <c r="J335" s="56" t="n">
        <f aca="false">I339+IF(AND(Projects!$G$13="Yes",6&lt;=Assumptions!$B$73),Assumptions!$B$72,0)</f>
        <v>1430275</v>
      </c>
      <c r="K335" s="56" t="n">
        <f aca="false">J339+IF(AND(Projects!$G$13="Yes",7&lt;=Assumptions!$B$73),Assumptions!$B$72,0)</f>
        <v>1533910.3125</v>
      </c>
      <c r="L335" s="56" t="n">
        <f aca="false">K339+IF(AND(Projects!$G$13="Yes",8&lt;=Assumptions!$B$73),Assumptions!$B$72,0)</f>
        <v>1583910.3125</v>
      </c>
      <c r="M335" s="56" t="n">
        <f aca="false">L339+IF(AND(Projects!$G$13="Yes",9&lt;=Assumptions!$B$73),Assumptions!$B$72,0)</f>
        <v>1633910.3125</v>
      </c>
      <c r="N335" s="56" t="n">
        <f aca="false">M339+IF(AND(Projects!$G$13="Yes",10&lt;=Assumptions!$B$73),Assumptions!$B$72,0)</f>
        <v>1745181.94921875</v>
      </c>
      <c r="O335" s="56" t="n">
        <f aca="false">N339+IF(AND(Projects!$G$13="Yes",11&lt;=Assumptions!$B$73),Assumptions!$B$72,0)</f>
        <v>1795181.94921875</v>
      </c>
      <c r="P335" s="56" t="n">
        <f aca="false">O339+IF(AND(Projects!$G$13="Yes",12&lt;=Assumptions!$B$73),Assumptions!$B$72,0)</f>
        <v>1845181.94921875</v>
      </c>
      <c r="Q335" s="56" t="n">
        <f aca="false">P339+IF(AND(Projects!$G$13="Yes",13&lt;=Assumptions!$B$73),Assumptions!$B$72,0)</f>
        <v>1964376.27231445</v>
      </c>
      <c r="R335" s="56" t="n">
        <f aca="false">Q339+IF(AND(Projects!$G$13="Yes",14&lt;=Assumptions!$B$73),Assumptions!$B$72,0)</f>
        <v>564376.272314453</v>
      </c>
      <c r="S335" s="56" t="n">
        <f aca="false">R339+IF(AND(Projects!$G$13="Yes",15&lt;=Assumptions!$B$73),Assumptions!$B$72,0)</f>
        <v>564376.272314453</v>
      </c>
      <c r="T335" s="56" t="n">
        <f aca="false">S339+IF(AND(Projects!$G$13="Yes",16&lt;=Assumptions!$B$73),Assumptions!$B$72,0)</f>
        <v>585540.382526245</v>
      </c>
      <c r="U335" s="56" t="n">
        <f aca="false">T339+IF(AND(Projects!$G$13="Yes",17&lt;=Assumptions!$B$73),Assumptions!$B$72,0)</f>
        <v>585540.382526245</v>
      </c>
      <c r="V335" s="56" t="n">
        <f aca="false">U339+IF(AND(Projects!$G$13="Yes",18&lt;=Assumptions!$B$73),Assumptions!$B$72,0)</f>
        <v>585540.382526245</v>
      </c>
      <c r="W335" s="56" t="n">
        <f aca="false">V339+IF(AND(Projects!$G$13="Yes",19&lt;=Assumptions!$B$73),Assumptions!$B$72,0)</f>
        <v>607498.146870979</v>
      </c>
      <c r="X335" s="56" t="n">
        <f aca="false">W339+IF(AND(Projects!$G$13="Yes",20&lt;=Assumptions!$B$73),Assumptions!$B$72,0)</f>
        <v>607498.146870979</v>
      </c>
      <c r="Y335" s="56" t="n">
        <f aca="false">X339+IF(AND(Projects!$G$13="Yes",21&lt;=Assumptions!$B$73),Assumptions!$B$72,0)</f>
        <v>607498.146870979</v>
      </c>
      <c r="Z335" s="56" t="n">
        <f aca="false">Y339+IF(AND(Projects!$G$13="Yes",22&lt;=Assumptions!$B$73),Assumptions!$B$72,0)</f>
        <v>630279.327378641</v>
      </c>
      <c r="AA335" s="56" t="n">
        <f aca="false">Z339+IF(AND(Projects!$G$13="Yes",23&lt;=Assumptions!$B$73),Assumptions!$B$72,0)</f>
        <v>630279.327378641</v>
      </c>
      <c r="AB335" s="56" t="n">
        <f aca="false">AA339+IF(AND(Projects!$G$13="Yes",24&lt;=Assumptions!$B$73),Assumptions!$B$72,0)</f>
        <v>630279.327378641</v>
      </c>
      <c r="AC335" s="56" t="n">
        <f aca="false">AB339+IF(AND(Projects!$G$13="Yes",25&lt;=Assumptions!$B$73),Assumptions!$B$72,0)</f>
        <v>653914.80215534</v>
      </c>
      <c r="AD335" s="56" t="n">
        <f aca="false">AC339+IF(AND(Projects!$G$13="Yes",26&lt;=Assumptions!$B$73),Assumptions!$B$72,0)</f>
        <v>653914.80215534</v>
      </c>
      <c r="AE335" s="56" t="n">
        <f aca="false">AD339+IF(AND(Projects!$G$13="Yes",27&lt;=Assumptions!$B$73),Assumptions!$B$72,0)</f>
        <v>653914.80215534</v>
      </c>
      <c r="AF335" s="56" t="n">
        <f aca="false">AE339+IF(AND(Projects!$G$13="Yes",28&lt;=Assumptions!$B$73),Assumptions!$B$72,0)</f>
        <v>678436.607236165</v>
      </c>
      <c r="AG335" s="56" t="n">
        <f aca="false">AF339+IF(AND(Projects!$G$13="Yes",29&lt;=Assumptions!$B$73),Assumptions!$B$72,0)</f>
        <v>678436.607236165</v>
      </c>
      <c r="AH335" s="56" t="n">
        <f aca="false">AG339+IF(AND(Projects!$G$13="Yes",30&lt;=Assumptions!$B$73),Assumptions!$B$72,0)</f>
        <v>678436.607236165</v>
      </c>
      <c r="AI335" s="56" t="n">
        <f aca="false">AH339+IF(AND(Projects!$G$13="Yes",31&lt;=Assumptions!$B$73),Assumptions!$B$72,0)</f>
        <v>703877.980007521</v>
      </c>
      <c r="AJ335" s="56" t="n">
        <f aca="false">AI339+IF(AND(Projects!$G$13="Yes",32&lt;=Assumptions!$B$73),Assumptions!$B$72,0)</f>
        <v>703877.980007521</v>
      </c>
      <c r="AK335" s="56" t="n">
        <f aca="false">AJ339+IF(AND(Projects!$G$13="Yes",33&lt;=Assumptions!$B$73),Assumptions!$B$72,0)</f>
        <v>703877.980007521</v>
      </c>
      <c r="AL335" s="56" t="n">
        <f aca="false">AK339+IF(AND(Projects!$G$13="Yes",34&lt;=Assumptions!$B$73),Assumptions!$B$72,0)</f>
        <v>730273.404257803</v>
      </c>
      <c r="AM335" s="56" t="n">
        <f aca="false">AL339+IF(AND(Projects!$G$13="Yes",35&lt;=Assumptions!$B$73),Assumptions!$B$72,0)</f>
        <v>730273.404257803</v>
      </c>
      <c r="AN335" s="56" t="n">
        <f aca="false">AM339+IF(AND(Projects!$G$13="Yes",36&lt;=Assumptions!$B$73),Assumptions!$B$72,0)</f>
        <v>730273.404257803</v>
      </c>
      <c r="AO335" s="56" t="n">
        <f aca="false">AN339+IF(AND(Projects!$G$13="Yes",37&lt;=Assumptions!$B$73),Assumptions!$B$72,0)</f>
        <v>757658.656917471</v>
      </c>
      <c r="AP335" s="56" t="n">
        <f aca="false">AO339+IF(AND(Projects!$G$13="Yes",38&lt;=Assumptions!$B$73),Assumptions!$B$72,0)</f>
        <v>757658.656917471</v>
      </c>
      <c r="AQ335" s="56" t="n">
        <f aca="false">AP339+IF(AND(Projects!$G$13="Yes",39&lt;=Assumptions!$B$73),Assumptions!$B$72,0)</f>
        <v>757658.656917471</v>
      </c>
      <c r="AR335" s="56" t="n">
        <f aca="false">AQ339+IF(AND(Projects!$G$13="Yes",40&lt;=Assumptions!$B$73),Assumptions!$B$72,0)</f>
        <v>786070.856551876</v>
      </c>
      <c r="AS335" s="56" t="n">
        <f aca="false">AR339+IF(AND(Projects!$G$13="Yes",41&lt;=Assumptions!$B$73),Assumptions!$B$72,0)</f>
        <v>786070.856551876</v>
      </c>
      <c r="AT335" s="56" t="n">
        <f aca="false">AS339+IF(AND(Projects!$G$13="Yes",42&lt;=Assumptions!$B$73),Assumptions!$B$72,0)</f>
        <v>786070.856551876</v>
      </c>
      <c r="AU335" s="56" t="n">
        <f aca="false">AT339+IF(AND(Projects!$G$13="Yes",43&lt;=Assumptions!$B$73),Assumptions!$B$72,0)</f>
        <v>815548.513672571</v>
      </c>
      <c r="AV335" s="56" t="n">
        <f aca="false">AU339+IF(AND(Projects!$G$13="Yes",44&lt;=Assumptions!$B$73),Assumptions!$B$72,0)</f>
        <v>815548.513672571</v>
      </c>
      <c r="AW335" s="56" t="n">
        <f aca="false">AV339+IF(AND(Projects!$G$13="Yes",45&lt;=Assumptions!$B$73),Assumptions!$B$72,0)</f>
        <v>815548.513672571</v>
      </c>
      <c r="AX335" s="56" t="n">
        <f aca="false">AW339+IF(AND(Projects!$G$13="Yes",46&lt;=Assumptions!$B$73),Assumptions!$B$72,0)</f>
        <v>846131.582935293</v>
      </c>
      <c r="AY335" s="56" t="n">
        <f aca="false">AX339+IF(AND(Projects!$G$13="Yes",47&lt;=Assumptions!$B$73),Assumptions!$B$72,0)</f>
        <v>846131.582935293</v>
      </c>
      <c r="AZ335" s="56" t="n">
        <f aca="false">AY339+IF(AND(Projects!$G$13="Yes",48&lt;=Assumptions!$B$73),Assumptions!$B$72,0)</f>
        <v>846131.582935293</v>
      </c>
      <c r="BA335" s="56" t="n">
        <f aca="false">AZ339+IF(AND(Projects!$G$13="Yes",49&lt;=Assumptions!$B$73),Assumptions!$B$72,0)</f>
        <v>877861.517295366</v>
      </c>
      <c r="BB335" s="56" t="n">
        <f aca="false">BA339+IF(AND(Projects!$G$13="Yes",50&lt;=Assumptions!$B$73),Assumptions!$B$72,0)</f>
        <v>877861.517295366</v>
      </c>
      <c r="BC335" s="56" t="n">
        <f aca="false">BB339+IF(AND(Projects!$G$13="Yes",51&lt;=Assumptions!$B$73),Assumptions!$B$72,0)</f>
        <v>877861.517295366</v>
      </c>
      <c r="BD335" s="56" t="n">
        <f aca="false">BC339+IF(AND(Projects!$G$13="Yes",52&lt;=Assumptions!$B$73),Assumptions!$B$72,0)</f>
        <v>661610.024193943</v>
      </c>
      <c r="BE335" s="56" t="n">
        <f aca="false">BD339+IF(AND(Projects!$G$13="Yes",53&lt;=Assumptions!$B$73),Assumptions!$B$72,0)</f>
        <v>661610.024193943</v>
      </c>
      <c r="BF335" s="56" t="n">
        <f aca="false">BE339+IF(AND(Projects!$G$13="Yes",54&lt;=Assumptions!$B$73),Assumptions!$B$72,0)</f>
        <v>661610.024193943</v>
      </c>
      <c r="BG335" s="56" t="n">
        <f aca="false">BF339+IF(AND(Projects!$G$13="Yes",55&lt;=Assumptions!$B$73),Assumptions!$B$72,0)</f>
        <v>614720.400101215</v>
      </c>
      <c r="BH335" s="56" t="n">
        <f aca="false">BG339+IF(AND(Projects!$G$13="Yes",56&lt;=Assumptions!$B$73),Assumptions!$B$72,0)</f>
        <v>614720.400101215</v>
      </c>
      <c r="BI335" s="56" t="n">
        <f aca="false">BH339+IF(AND(Projects!$G$13="Yes",57&lt;=Assumptions!$B$73),Assumptions!$B$72,0)</f>
        <v>614720.400101215</v>
      </c>
      <c r="BJ335" s="56" t="n">
        <f aca="false">BI339+IF(AND(Projects!$G$13="Yes",58&lt;=Assumptions!$B$73),Assumptions!$B$72,0)</f>
        <v>566072.415105011</v>
      </c>
      <c r="BK335" s="56" t="n">
        <f aca="false">BJ339+IF(AND(Projects!$G$13="Yes",59&lt;=Assumptions!$B$73),Assumptions!$B$72,0)</f>
        <v>566072.415105011</v>
      </c>
      <c r="BL335" s="56" t="n">
        <f aca="false">BK339+IF(AND(Projects!$G$13="Yes",60&lt;=Assumptions!$B$73),Assumptions!$B$72,0)</f>
        <v>566072.415105011</v>
      </c>
      <c r="BM335" s="56" t="n">
        <f aca="false">BL339+IF(AND(Projects!$G$13="Yes",61&lt;=Assumptions!$B$73),Assumptions!$B$72,0)</f>
        <v>515600.130671449</v>
      </c>
      <c r="BN335" s="56" t="n">
        <f aca="false">BM339+IF(AND(Projects!$G$13="Yes",62&lt;=Assumptions!$B$73),Assumptions!$B$72,0)</f>
        <v>515600.130671449</v>
      </c>
      <c r="BO335" s="56" t="n">
        <f aca="false">BN339+IF(AND(Projects!$G$13="Yes",63&lt;=Assumptions!$B$73),Assumptions!$B$72,0)</f>
        <v>515600.130671449</v>
      </c>
      <c r="BP335" s="56" t="n">
        <f aca="false">BO339+IF(AND(Projects!$G$13="Yes",64&lt;=Assumptions!$B$73),Assumptions!$B$72,0)</f>
        <v>463235.135571628</v>
      </c>
      <c r="BQ335" s="56" t="n">
        <f aca="false">BP339+IF(AND(Projects!$G$13="Yes",65&lt;=Assumptions!$B$73),Assumptions!$B$72,0)</f>
        <v>463235.135571628</v>
      </c>
      <c r="BR335" s="56" t="n">
        <f aca="false">BQ339+IF(AND(Projects!$G$13="Yes",66&lt;=Assumptions!$B$73),Assumptions!$B$72,0)</f>
        <v>463235.135571628</v>
      </c>
      <c r="BS335" s="56" t="n">
        <f aca="false">BR339+IF(AND(Projects!$G$13="Yes",67&lt;=Assumptions!$B$73),Assumptions!$B$72,0)</f>
        <v>405963.453155564</v>
      </c>
      <c r="BT335" s="56" t="n">
        <f aca="false">BS339+IF(AND(Projects!$G$13="Yes",68&lt;=Assumptions!$B$73),Assumptions!$B$72,0)</f>
        <v>405963.453155564</v>
      </c>
      <c r="BU335" s="56" t="n">
        <f aca="false">BT339+IF(AND(Projects!$G$13="Yes",69&lt;=Assumptions!$B$73),Assumptions!$B$72,0)</f>
        <v>405963.453155564</v>
      </c>
      <c r="BV335" s="56" t="n">
        <f aca="false">BU339+IF(AND(Projects!$G$13="Yes",70&lt;=Assumptions!$B$73),Assumptions!$B$72,0)</f>
        <v>346547.082648898</v>
      </c>
      <c r="BW335" s="56" t="n">
        <f aca="false">BV339+IF(AND(Projects!$G$13="Yes",71&lt;=Assumptions!$B$73),Assumptions!$B$72,0)</f>
        <v>346547.082648898</v>
      </c>
      <c r="BX335" s="56" t="n">
        <f aca="false">BW339+IF(AND(Projects!$G$13="Yes",72&lt;=Assumptions!$B$73),Assumptions!$B$72,0)</f>
        <v>346547.082648898</v>
      </c>
      <c r="BY335" s="56" t="n">
        <f aca="false">BX339+IF(AND(Projects!$G$13="Yes",73&lt;=Assumptions!$B$73),Assumptions!$B$72,0)</f>
        <v>284902.598248232</v>
      </c>
      <c r="BZ335" s="56" t="n">
        <f aca="false">BY339+IF(AND(Projects!$G$13="Yes",74&lt;=Assumptions!$B$73),Assumptions!$B$72,0)</f>
        <v>284902.598248232</v>
      </c>
      <c r="CA335" s="56" t="n">
        <f aca="false">BZ339+IF(AND(Projects!$G$13="Yes",75&lt;=Assumptions!$B$73),Assumptions!$B$72,0)</f>
        <v>284902.598248232</v>
      </c>
      <c r="CB335" s="56" t="n">
        <f aca="false">CA339+IF(AND(Projects!$G$13="Yes",76&lt;=Assumptions!$B$73),Assumptions!$B$72,0)</f>
        <v>220946.44568254</v>
      </c>
      <c r="CC335" s="56" t="n">
        <f aca="false">CB339+IF(AND(Projects!$G$13="Yes",77&lt;=Assumptions!$B$73),Assumptions!$B$72,0)</f>
        <v>220946.44568254</v>
      </c>
      <c r="CD335" s="56" t="n">
        <f aca="false">CC339+IF(AND(Projects!$G$13="Yes",78&lt;=Assumptions!$B$73),Assumptions!$B$72,0)</f>
        <v>220946.44568254</v>
      </c>
      <c r="CE335" s="56" t="n">
        <f aca="false">CD339+IF(AND(Projects!$G$13="Yes",79&lt;=Assumptions!$B$73),Assumptions!$B$72,0)</f>
        <v>147868.937395636</v>
      </c>
      <c r="CF335" s="56" t="n">
        <f aca="false">CE339+IF(AND(Projects!$G$13="Yes",80&lt;=Assumptions!$B$73),Assumptions!$B$72,0)</f>
        <v>147868.937395636</v>
      </c>
      <c r="CG335" s="56" t="n">
        <f aca="false">CF339+IF(AND(Projects!$G$13="Yes",81&lt;=Assumptions!$B$73),Assumptions!$B$72,0)</f>
        <v>147868.937395636</v>
      </c>
      <c r="CH335" s="56" t="n">
        <f aca="false">CG339+IF(AND(Projects!$G$13="Yes",82&lt;=Assumptions!$B$73),Assumptions!$B$72,0)</f>
        <v>72052.0225479718</v>
      </c>
      <c r="CI335" s="56" t="n">
        <f aca="false">CH339+IF(AND(Projects!$G$13="Yes",83&lt;=Assumptions!$B$73),Assumptions!$B$72,0)</f>
        <v>72052.0225479718</v>
      </c>
      <c r="CJ335" s="56" t="n">
        <f aca="false">CI339+IF(AND(Projects!$G$13="Yes",84&lt;=Assumptions!$B$73),Assumptions!$B$72,0)</f>
        <v>72052.0225479718</v>
      </c>
      <c r="CK335" s="56" t="n">
        <f aca="false">CJ339+IF(AND(Projects!$G$13="Yes",85&lt;=Assumptions!$B$73),Assumptions!$B$72,0)</f>
        <v>0</v>
      </c>
      <c r="CL335" s="56" t="n">
        <f aca="false">CK339+IF(AND(Projects!$G$13="Yes",86&lt;=Assumptions!$B$73),Assumptions!$B$72,0)</f>
        <v>0</v>
      </c>
      <c r="CM335" s="56" t="n">
        <f aca="false">CL339+IF(AND(Projects!$G$13="Yes",87&lt;=Assumptions!$B$73),Assumptions!$B$72,0)</f>
        <v>0</v>
      </c>
      <c r="CN335" s="56" t="n">
        <f aca="false">CM339+IF(AND(Projects!$G$13="Yes",88&lt;=Assumptions!$B$73),Assumptions!$B$72,0)</f>
        <v>0</v>
      </c>
      <c r="CO335" s="56" t="n">
        <f aca="false">CN339+IF(AND(Projects!$G$13="Yes",89&lt;=Assumptions!$B$73),Assumptions!$B$72,0)</f>
        <v>0</v>
      </c>
      <c r="CP335" s="56" t="n">
        <f aca="false">CO339+IF(AND(Projects!$G$13="Yes",90&lt;=Assumptions!$B$73),Assumptions!$B$72,0)</f>
        <v>0</v>
      </c>
      <c r="CQ335" s="56" t="n">
        <f aca="false">CP339+IF(AND(Projects!$G$13="Yes",91&lt;=Assumptions!$B$73),Assumptions!$B$72,0)</f>
        <v>0</v>
      </c>
      <c r="CR335" s="56" t="n">
        <f aca="false">CQ339+IF(AND(Projects!$G$13="Yes",92&lt;=Assumptions!$B$73),Assumptions!$B$72,0)</f>
        <v>0</v>
      </c>
      <c r="CS335" s="56" t="n">
        <f aca="false">CR339+IF(AND(Projects!$G$13="Yes",93&lt;=Assumptions!$B$73),Assumptions!$B$72,0)</f>
        <v>0</v>
      </c>
      <c r="CT335" s="56" t="n">
        <f aca="false">CS339+IF(AND(Projects!$G$13="Yes",94&lt;=Assumptions!$B$73),Assumptions!$B$72,0)</f>
        <v>0</v>
      </c>
      <c r="CU335" s="56" t="n">
        <f aca="false">CT339+IF(AND(Projects!$G$13="Yes",95&lt;=Assumptions!$B$73),Assumptions!$B$72,0)</f>
        <v>0</v>
      </c>
      <c r="CV335" s="56" t="n">
        <f aca="false">CU339+IF(AND(Projects!$G$13="Yes",96&lt;=Assumptions!$B$73),Assumptions!$B$72,0)</f>
        <v>0</v>
      </c>
      <c r="CW335" s="56" t="n">
        <f aca="false">CV339+IF(AND(Projects!$G$13="Yes",97&lt;=Assumptions!$B$73),Assumptions!$B$72,0)</f>
        <v>0</v>
      </c>
      <c r="CX335" s="56" t="n">
        <f aca="false">CW339+IF(AND(Projects!$G$13="Yes",98&lt;=Assumptions!$B$73),Assumptions!$B$72,0)</f>
        <v>0</v>
      </c>
      <c r="CY335" s="56" t="n">
        <f aca="false">CX339+IF(AND(Projects!$G$13="Yes",99&lt;=Assumptions!$B$73),Assumptions!$B$72,0)</f>
        <v>0</v>
      </c>
      <c r="CZ335" s="56" t="n">
        <f aca="false">CY339+IF(AND(Projects!$G$13="Yes",100&lt;=Assumptions!$B$73),Assumptions!$B$72,0)</f>
        <v>0</v>
      </c>
      <c r="DA335" s="56" t="n">
        <f aca="false">CZ339+IF(AND(Projects!$G$13="Yes",101&lt;=Assumptions!$B$73),Assumptions!$B$72,0)</f>
        <v>0</v>
      </c>
      <c r="DB335" s="56" t="n">
        <f aca="false">DA339+IF(AND(Projects!$G$13="Yes",102&lt;=Assumptions!$B$73),Assumptions!$B$72,0)</f>
        <v>0</v>
      </c>
      <c r="DC335" s="56" t="n">
        <f aca="false">DB339+IF(AND(Projects!$G$13="Yes",103&lt;=Assumptions!$B$73),Assumptions!$B$72,0)</f>
        <v>0</v>
      </c>
      <c r="DD335" s="56" t="n">
        <f aca="false">DC339+IF(AND(Projects!$G$13="Yes",104&lt;=Assumptions!$B$73),Assumptions!$B$72,0)</f>
        <v>0</v>
      </c>
      <c r="DE335" s="56" t="n">
        <f aca="false">DD339+IF(AND(Projects!$G$13="Yes",105&lt;=Assumptions!$B$73),Assumptions!$B$72,0)</f>
        <v>0</v>
      </c>
    </row>
    <row r="336" customFormat="false" ht="15" hidden="false" customHeight="true" outlineLevel="0" collapsed="false">
      <c r="A336" s="55" t="s">
        <v>171</v>
      </c>
      <c r="B336" s="56"/>
      <c r="C336" s="56"/>
      <c r="D336" s="56"/>
      <c r="E336" s="56" t="n">
        <f aca="false">IF(AND(MOD(1,3)=0,E335&gt;0),E335*Assumptions!$B$59,0)</f>
        <v>0</v>
      </c>
      <c r="F336" s="56" t="n">
        <f aca="false">IF(AND(MOD(2,3)=0,F335&gt;0),F335*Assumptions!$B$59,0)</f>
        <v>0</v>
      </c>
      <c r="G336" s="56" t="n">
        <f aca="false">IF(AND(MOD(3,3)=0,G335&gt;0),G335*Assumptions!$B$59,0)</f>
        <v>46275</v>
      </c>
      <c r="H336" s="56" t="n">
        <f aca="false">IF(AND(MOD(4,3)=0,H335&gt;0),H335*Assumptions!$B$59,0)</f>
        <v>0</v>
      </c>
      <c r="I336" s="56" t="n">
        <f aca="false">IF(AND(MOD(5,3)=0,I335&gt;0),I335*Assumptions!$B$59,0)</f>
        <v>0</v>
      </c>
      <c r="J336" s="56" t="n">
        <f aca="false">IF(AND(MOD(6,3)=0,J335&gt;0),J335*Assumptions!$B$59,0)</f>
        <v>53635.3125</v>
      </c>
      <c r="K336" s="56" t="n">
        <f aca="false">IF(AND(MOD(7,3)=0,K335&gt;0),K335*Assumptions!$B$59,0)</f>
        <v>0</v>
      </c>
      <c r="L336" s="56" t="n">
        <f aca="false">IF(AND(MOD(8,3)=0,L335&gt;0),L335*Assumptions!$B$59,0)</f>
        <v>0</v>
      </c>
      <c r="M336" s="56" t="n">
        <f aca="false">IF(AND(MOD(9,3)=0,M335&gt;0),M335*Assumptions!$B$59,0)</f>
        <v>61271.63671875</v>
      </c>
      <c r="N336" s="56" t="n">
        <f aca="false">IF(AND(MOD(10,3)=0,N335&gt;0),N335*Assumptions!$B$59,0)</f>
        <v>0</v>
      </c>
      <c r="O336" s="56" t="n">
        <f aca="false">IF(AND(MOD(11,3)=0,O335&gt;0),O335*Assumptions!$B$59,0)</f>
        <v>0</v>
      </c>
      <c r="P336" s="56" t="n">
        <f aca="false">IF(AND(MOD(12,3)=0,P335&gt;0),P335*Assumptions!$B$59,0)</f>
        <v>69194.3230957031</v>
      </c>
      <c r="Q336" s="56" t="n">
        <f aca="false">IF(AND(MOD(13,3)=0,Q335&gt;0),Q335*Assumptions!$B$59,0)</f>
        <v>0</v>
      </c>
      <c r="R336" s="56" t="n">
        <f aca="false">IF(AND(MOD(14,3)=0,R335&gt;0),R335*Assumptions!$B$59,0)</f>
        <v>0</v>
      </c>
      <c r="S336" s="56" t="n">
        <f aca="false">IF(AND(MOD(15,3)=0,S335&gt;0),S335*Assumptions!$B$59,0)</f>
        <v>21164.110211792</v>
      </c>
      <c r="T336" s="56" t="n">
        <f aca="false">IF(AND(MOD(16,3)=0,T335&gt;0),T335*Assumptions!$B$59,0)</f>
        <v>0</v>
      </c>
      <c r="U336" s="56" t="n">
        <f aca="false">IF(AND(MOD(17,3)=0,U335&gt;0),U335*Assumptions!$B$59,0)</f>
        <v>0</v>
      </c>
      <c r="V336" s="56" t="n">
        <f aca="false">IF(AND(MOD(18,3)=0,V335&gt;0),V335*Assumptions!$B$59,0)</f>
        <v>21957.7643447342</v>
      </c>
      <c r="W336" s="56" t="n">
        <f aca="false">IF(AND(MOD(19,3)=0,W335&gt;0),W335*Assumptions!$B$59,0)</f>
        <v>0</v>
      </c>
      <c r="X336" s="56" t="n">
        <f aca="false">IF(AND(MOD(20,3)=0,X335&gt;0),X335*Assumptions!$B$59,0)</f>
        <v>0</v>
      </c>
      <c r="Y336" s="56" t="n">
        <f aca="false">IF(AND(MOD(21,3)=0,Y335&gt;0),Y335*Assumptions!$B$59,0)</f>
        <v>22781.1805076617</v>
      </c>
      <c r="Z336" s="56" t="n">
        <f aca="false">IF(AND(MOD(22,3)=0,Z335&gt;0),Z335*Assumptions!$B$59,0)</f>
        <v>0</v>
      </c>
      <c r="AA336" s="56" t="n">
        <f aca="false">IF(AND(MOD(23,3)=0,AA335&gt;0),AA335*Assumptions!$B$59,0)</f>
        <v>0</v>
      </c>
      <c r="AB336" s="56" t="n">
        <f aca="false">IF(AND(MOD(24,3)=0,AB335&gt;0),AB335*Assumptions!$B$59,0)</f>
        <v>23635.474776699</v>
      </c>
      <c r="AC336" s="56" t="n">
        <f aca="false">IF(AND(MOD(25,3)=0,AC335&gt;0),AC335*Assumptions!$B$59,0)</f>
        <v>0</v>
      </c>
      <c r="AD336" s="56" t="n">
        <f aca="false">IF(AND(MOD(26,3)=0,AD335&gt;0),AD335*Assumptions!$B$59,0)</f>
        <v>0</v>
      </c>
      <c r="AE336" s="56" t="n">
        <f aca="false">IF(AND(MOD(27,3)=0,AE335&gt;0),AE335*Assumptions!$B$59,0)</f>
        <v>24521.8050808252</v>
      </c>
      <c r="AF336" s="56" t="n">
        <f aca="false">IF(AND(MOD(28,3)=0,AF335&gt;0),AF335*Assumptions!$B$59,0)</f>
        <v>0</v>
      </c>
      <c r="AG336" s="56" t="n">
        <f aca="false">IF(AND(MOD(29,3)=0,AG335&gt;0),AG335*Assumptions!$B$59,0)</f>
        <v>0</v>
      </c>
      <c r="AH336" s="56" t="n">
        <f aca="false">IF(AND(MOD(30,3)=0,AH335&gt;0),AH335*Assumptions!$B$59,0)</f>
        <v>25441.3727713562</v>
      </c>
      <c r="AI336" s="56" t="n">
        <f aca="false">IF(AND(MOD(31,3)=0,AI335&gt;0),AI335*Assumptions!$B$59,0)</f>
        <v>0</v>
      </c>
      <c r="AJ336" s="56" t="n">
        <f aca="false">IF(AND(MOD(32,3)=0,AJ335&gt;0),AJ335*Assumptions!$B$59,0)</f>
        <v>0</v>
      </c>
      <c r="AK336" s="56" t="n">
        <f aca="false">IF(AND(MOD(33,3)=0,AK335&gt;0),AK335*Assumptions!$B$59,0)</f>
        <v>26395.424250282</v>
      </c>
      <c r="AL336" s="56" t="n">
        <f aca="false">IF(AND(MOD(34,3)=0,AL335&gt;0),AL335*Assumptions!$B$59,0)</f>
        <v>0</v>
      </c>
      <c r="AM336" s="56" t="n">
        <f aca="false">IF(AND(MOD(35,3)=0,AM335&gt;0),AM335*Assumptions!$B$59,0)</f>
        <v>0</v>
      </c>
      <c r="AN336" s="56" t="n">
        <f aca="false">IF(AND(MOD(36,3)=0,AN335&gt;0),AN335*Assumptions!$B$59,0)</f>
        <v>27385.2526596676</v>
      </c>
      <c r="AO336" s="56" t="n">
        <f aca="false">IF(AND(MOD(37,3)=0,AO335&gt;0),AO335*Assumptions!$B$59,0)</f>
        <v>0</v>
      </c>
      <c r="AP336" s="56" t="n">
        <f aca="false">IF(AND(MOD(38,3)=0,AP335&gt;0),AP335*Assumptions!$B$59,0)</f>
        <v>0</v>
      </c>
      <c r="AQ336" s="56" t="n">
        <f aca="false">IF(AND(MOD(39,3)=0,AQ335&gt;0),AQ335*Assumptions!$B$59,0)</f>
        <v>28412.1996344052</v>
      </c>
      <c r="AR336" s="56" t="n">
        <f aca="false">IF(AND(MOD(40,3)=0,AR335&gt;0),AR335*Assumptions!$B$59,0)</f>
        <v>0</v>
      </c>
      <c r="AS336" s="56" t="n">
        <f aca="false">IF(AND(MOD(41,3)=0,AS335&gt;0),AS335*Assumptions!$B$59,0)</f>
        <v>0</v>
      </c>
      <c r="AT336" s="56" t="n">
        <f aca="false">IF(AND(MOD(42,3)=0,AT335&gt;0),AT335*Assumptions!$B$59,0)</f>
        <v>29477.6571206954</v>
      </c>
      <c r="AU336" s="56" t="n">
        <f aca="false">IF(AND(MOD(43,3)=0,AU335&gt;0),AU335*Assumptions!$B$59,0)</f>
        <v>0</v>
      </c>
      <c r="AV336" s="56" t="n">
        <f aca="false">IF(AND(MOD(44,3)=0,AV335&gt;0),AV335*Assumptions!$B$59,0)</f>
        <v>0</v>
      </c>
      <c r="AW336" s="56" t="n">
        <f aca="false">IF(AND(MOD(45,3)=0,AW335&gt;0),AW335*Assumptions!$B$59,0)</f>
        <v>30583.0692627214</v>
      </c>
      <c r="AX336" s="56" t="n">
        <f aca="false">IF(AND(MOD(46,3)=0,AX335&gt;0),AX335*Assumptions!$B$59,0)</f>
        <v>0</v>
      </c>
      <c r="AY336" s="56" t="n">
        <f aca="false">IF(AND(MOD(47,3)=0,AY335&gt;0),AY335*Assumptions!$B$59,0)</f>
        <v>0</v>
      </c>
      <c r="AZ336" s="56" t="n">
        <f aca="false">IF(AND(MOD(48,3)=0,AZ335&gt;0),AZ335*Assumptions!$B$59,0)</f>
        <v>31729.9343600735</v>
      </c>
      <c r="BA336" s="56" t="n">
        <f aca="false">IF(AND(MOD(49,3)=0,BA335&gt;0),BA335*Assumptions!$B$59,0)</f>
        <v>0</v>
      </c>
      <c r="BB336" s="56" t="n">
        <f aca="false">IF(AND(MOD(50,3)=0,BB335&gt;0),BB335*Assumptions!$B$59,0)</f>
        <v>0</v>
      </c>
      <c r="BC336" s="56" t="n">
        <f aca="false">IF(AND(MOD(51,3)=0,BC335&gt;0),BC335*Assumptions!$B$59,0)</f>
        <v>32919.8068985762</v>
      </c>
      <c r="BD336" s="56" t="n">
        <f aca="false">IF(AND(MOD(52,3)=0,BD335&gt;0),BD335*Assumptions!$B$59,0)</f>
        <v>0</v>
      </c>
      <c r="BE336" s="56" t="n">
        <f aca="false">IF(AND(MOD(53,3)=0,BE335&gt;0),BE335*Assumptions!$B$59,0)</f>
        <v>0</v>
      </c>
      <c r="BF336" s="56" t="n">
        <f aca="false">IF(AND(MOD(54,3)=0,BF335&gt;0),BF335*Assumptions!$B$59,0)</f>
        <v>24810.3759072728</v>
      </c>
      <c r="BG336" s="56" t="n">
        <f aca="false">IF(AND(MOD(55,3)=0,BG335&gt;0),BG335*Assumptions!$B$59,0)</f>
        <v>0</v>
      </c>
      <c r="BH336" s="56" t="n">
        <f aca="false">IF(AND(MOD(56,3)=0,BH335&gt;0),BH335*Assumptions!$B$59,0)</f>
        <v>0</v>
      </c>
      <c r="BI336" s="56" t="n">
        <f aca="false">IF(AND(MOD(57,3)=0,BI335&gt;0),BI335*Assumptions!$B$59,0)</f>
        <v>23052.0150037956</v>
      </c>
      <c r="BJ336" s="56" t="n">
        <f aca="false">IF(AND(MOD(58,3)=0,BJ335&gt;0),BJ335*Assumptions!$B$59,0)</f>
        <v>0</v>
      </c>
      <c r="BK336" s="56" t="n">
        <f aca="false">IF(AND(MOD(59,3)=0,BK335&gt;0),BK335*Assumptions!$B$59,0)</f>
        <v>0</v>
      </c>
      <c r="BL336" s="56" t="n">
        <f aca="false">IF(AND(MOD(60,3)=0,BL335&gt;0),BL335*Assumptions!$B$59,0)</f>
        <v>21227.7155664379</v>
      </c>
      <c r="BM336" s="56" t="n">
        <f aca="false">IF(AND(MOD(61,3)=0,BM335&gt;0),BM335*Assumptions!$B$59,0)</f>
        <v>0</v>
      </c>
      <c r="BN336" s="56" t="n">
        <f aca="false">IF(AND(MOD(62,3)=0,BN335&gt;0),BN335*Assumptions!$B$59,0)</f>
        <v>0</v>
      </c>
      <c r="BO336" s="56" t="n">
        <f aca="false">IF(AND(MOD(63,3)=0,BO335&gt;0),BO335*Assumptions!$B$59,0)</f>
        <v>19335.0049001793</v>
      </c>
      <c r="BP336" s="56" t="n">
        <f aca="false">IF(AND(MOD(64,3)=0,BP335&gt;0),BP335*Assumptions!$B$59,0)</f>
        <v>0</v>
      </c>
      <c r="BQ336" s="56" t="n">
        <f aca="false">IF(AND(MOD(65,3)=0,BQ335&gt;0),BQ335*Assumptions!$B$59,0)</f>
        <v>0</v>
      </c>
      <c r="BR336" s="56" t="n">
        <f aca="false">IF(AND(MOD(66,3)=0,BR335&gt;0),BR335*Assumptions!$B$59,0)</f>
        <v>17371.3175839361</v>
      </c>
      <c r="BS336" s="56" t="n">
        <f aca="false">IF(AND(MOD(67,3)=0,BS335&gt;0),BS335*Assumptions!$B$59,0)</f>
        <v>0</v>
      </c>
      <c r="BT336" s="56" t="n">
        <f aca="false">IF(AND(MOD(68,3)=0,BT335&gt;0),BT335*Assumptions!$B$59,0)</f>
        <v>0</v>
      </c>
      <c r="BU336" s="56" t="n">
        <f aca="false">IF(AND(MOD(69,3)=0,BU335&gt;0),BU335*Assumptions!$B$59,0)</f>
        <v>15223.6294933337</v>
      </c>
      <c r="BV336" s="56" t="n">
        <f aca="false">IF(AND(MOD(70,3)=0,BV335&gt;0),BV335*Assumptions!$B$59,0)</f>
        <v>0</v>
      </c>
      <c r="BW336" s="56" t="n">
        <f aca="false">IF(AND(MOD(71,3)=0,BW335&gt;0),BW335*Assumptions!$B$59,0)</f>
        <v>0</v>
      </c>
      <c r="BX336" s="56" t="n">
        <f aca="false">IF(AND(MOD(72,3)=0,BX335&gt;0),BX335*Assumptions!$B$59,0)</f>
        <v>12995.5155993337</v>
      </c>
      <c r="BY336" s="56" t="n">
        <f aca="false">IF(AND(MOD(73,3)=0,BY335&gt;0),BY335*Assumptions!$B$59,0)</f>
        <v>0</v>
      </c>
      <c r="BZ336" s="56" t="n">
        <f aca="false">IF(AND(MOD(74,3)=0,BZ335&gt;0),BZ335*Assumptions!$B$59,0)</f>
        <v>0</v>
      </c>
      <c r="CA336" s="56" t="n">
        <f aca="false">IF(AND(MOD(75,3)=0,CA335&gt;0),CA335*Assumptions!$B$59,0)</f>
        <v>10683.8474343087</v>
      </c>
      <c r="CB336" s="56" t="n">
        <f aca="false">IF(AND(MOD(76,3)=0,CB335&gt;0),CB335*Assumptions!$B$59,0)</f>
        <v>0</v>
      </c>
      <c r="CC336" s="56" t="n">
        <f aca="false">IF(AND(MOD(77,3)=0,CC335&gt;0),CC335*Assumptions!$B$59,0)</f>
        <v>0</v>
      </c>
      <c r="CD336" s="56" t="n">
        <f aca="false">IF(AND(MOD(78,3)=0,CD335&gt;0),CD335*Assumptions!$B$59,0)</f>
        <v>8285.49171309526</v>
      </c>
      <c r="CE336" s="56" t="n">
        <f aca="false">IF(AND(MOD(79,3)=0,CE335&gt;0),CE335*Assumptions!$B$59,0)</f>
        <v>0</v>
      </c>
      <c r="CF336" s="56" t="n">
        <f aca="false">IF(AND(MOD(80,3)=0,CF335&gt;0),CF335*Assumptions!$B$59,0)</f>
        <v>0</v>
      </c>
      <c r="CG336" s="56" t="n">
        <f aca="false">IF(AND(MOD(81,3)=0,CG335&gt;0),CG335*Assumptions!$B$59,0)</f>
        <v>5545.08515233633</v>
      </c>
      <c r="CH336" s="56" t="n">
        <f aca="false">IF(AND(MOD(82,3)=0,CH335&gt;0),CH335*Assumptions!$B$59,0)</f>
        <v>0</v>
      </c>
      <c r="CI336" s="56" t="n">
        <f aca="false">IF(AND(MOD(83,3)=0,CI335&gt;0),CI335*Assumptions!$B$59,0)</f>
        <v>0</v>
      </c>
      <c r="CJ336" s="56" t="n">
        <f aca="false">IF(AND(MOD(84,3)=0,CJ335&gt;0),CJ335*Assumptions!$B$59,0)</f>
        <v>2701.95084554894</v>
      </c>
      <c r="CK336" s="56" t="n">
        <f aca="false">IF(AND(MOD(85,3)=0,CK335&gt;0),CK335*Assumptions!$B$59,0)</f>
        <v>0</v>
      </c>
      <c r="CL336" s="56" t="n">
        <f aca="false">IF(AND(MOD(86,3)=0,CL335&gt;0),CL335*Assumptions!$B$59,0)</f>
        <v>0</v>
      </c>
      <c r="CM336" s="56" t="n">
        <f aca="false">IF(AND(MOD(87,3)=0,CM335&gt;0),CM335*Assumptions!$B$59,0)</f>
        <v>0</v>
      </c>
      <c r="CN336" s="56" t="n">
        <f aca="false">IF(AND(MOD(88,3)=0,CN335&gt;0),CN335*Assumptions!$B$59,0)</f>
        <v>0</v>
      </c>
      <c r="CO336" s="56" t="n">
        <f aca="false">IF(AND(MOD(89,3)=0,CO335&gt;0),CO335*Assumptions!$B$59,0)</f>
        <v>0</v>
      </c>
      <c r="CP336" s="56" t="n">
        <f aca="false">IF(AND(MOD(90,3)=0,CP335&gt;0),CP335*Assumptions!$B$59,0)</f>
        <v>0</v>
      </c>
      <c r="CQ336" s="56" t="n">
        <f aca="false">IF(AND(MOD(91,3)=0,CQ335&gt;0),CQ335*Assumptions!$B$59,0)</f>
        <v>0</v>
      </c>
      <c r="CR336" s="56" t="n">
        <f aca="false">IF(AND(MOD(92,3)=0,CR335&gt;0),CR335*Assumptions!$B$59,0)</f>
        <v>0</v>
      </c>
      <c r="CS336" s="56" t="n">
        <f aca="false">IF(AND(MOD(93,3)=0,CS335&gt;0),CS335*Assumptions!$B$59,0)</f>
        <v>0</v>
      </c>
      <c r="CT336" s="56" t="n">
        <f aca="false">IF(AND(MOD(94,3)=0,CT335&gt;0),CT335*Assumptions!$B$59,0)</f>
        <v>0</v>
      </c>
      <c r="CU336" s="56" t="n">
        <f aca="false">IF(AND(MOD(95,3)=0,CU335&gt;0),CU335*Assumptions!$B$59,0)</f>
        <v>0</v>
      </c>
      <c r="CV336" s="56" t="n">
        <f aca="false">IF(AND(MOD(96,3)=0,CV335&gt;0),CV335*Assumptions!$B$59,0)</f>
        <v>0</v>
      </c>
      <c r="CW336" s="56" t="n">
        <f aca="false">IF(AND(MOD(97,3)=0,CW335&gt;0),CW335*Assumptions!$B$59,0)</f>
        <v>0</v>
      </c>
      <c r="CX336" s="56" t="n">
        <f aca="false">IF(AND(MOD(98,3)=0,CX335&gt;0),CX335*Assumptions!$B$59,0)</f>
        <v>0</v>
      </c>
      <c r="CY336" s="56" t="n">
        <f aca="false">IF(AND(MOD(99,3)=0,CY335&gt;0),CY335*Assumptions!$B$59,0)</f>
        <v>0</v>
      </c>
      <c r="CZ336" s="56" t="n">
        <f aca="false">IF(AND(MOD(100,3)=0,CZ335&gt;0),CZ335*Assumptions!$B$59,0)</f>
        <v>0</v>
      </c>
      <c r="DA336" s="56" t="n">
        <f aca="false">IF(AND(MOD(101,3)=0,DA335&gt;0),DA335*Assumptions!$B$59,0)</f>
        <v>0</v>
      </c>
      <c r="DB336" s="56" t="n">
        <f aca="false">IF(AND(MOD(102,3)=0,DB335&gt;0),DB335*Assumptions!$B$59,0)</f>
        <v>0</v>
      </c>
      <c r="DC336" s="56" t="n">
        <f aca="false">IF(AND(MOD(103,3)=0,DC335&gt;0),DC335*Assumptions!$B$59,0)</f>
        <v>0</v>
      </c>
      <c r="DD336" s="56" t="n">
        <f aca="false">IF(AND(MOD(104,3)=0,DD335&gt;0),DD335*Assumptions!$B$59,0)</f>
        <v>0</v>
      </c>
      <c r="DE336" s="56" t="n">
        <f aca="false">IF(AND(MOD(105,3)=0,DE335&gt;0),DE335*Assumptions!$B$59,0)</f>
        <v>0</v>
      </c>
    </row>
    <row r="337" customFormat="false" ht="15" hidden="false" customHeight="true" outlineLevel="0" collapsed="false">
      <c r="A337" s="55" t="s">
        <v>172</v>
      </c>
      <c r="B337" s="56"/>
      <c r="C337" s="56"/>
      <c r="D337" s="56"/>
      <c r="E337" s="56" t="n">
        <v>0</v>
      </c>
      <c r="F337" s="56" t="n">
        <v>0</v>
      </c>
      <c r="G337" s="56" t="n">
        <v>0</v>
      </c>
      <c r="H337" s="56" t="n">
        <v>0</v>
      </c>
      <c r="I337" s="56" t="n">
        <v>0</v>
      </c>
      <c r="J337" s="56" t="n">
        <v>0</v>
      </c>
      <c r="K337" s="56" t="n">
        <v>0</v>
      </c>
      <c r="L337" s="56" t="n">
        <v>0</v>
      </c>
      <c r="M337" s="56" t="n">
        <v>0</v>
      </c>
      <c r="N337" s="56" t="n">
        <v>0</v>
      </c>
      <c r="O337" s="56" t="n">
        <v>0</v>
      </c>
      <c r="P337" s="56" t="n">
        <v>0</v>
      </c>
      <c r="Q337" s="56" t="n">
        <f aca="false">IF(Projects!$G$13="Yes",Assumptions!$B$74,0)</f>
        <v>-1450000</v>
      </c>
      <c r="R337" s="56" t="n">
        <v>0</v>
      </c>
      <c r="S337" s="56" t="n">
        <v>0</v>
      </c>
      <c r="T337" s="56" t="n">
        <v>0</v>
      </c>
      <c r="U337" s="56" t="n">
        <v>0</v>
      </c>
      <c r="V337" s="56" t="n">
        <v>0</v>
      </c>
      <c r="W337" s="56" t="n">
        <v>0</v>
      </c>
      <c r="X337" s="56" t="n">
        <v>0</v>
      </c>
      <c r="Y337" s="56" t="n">
        <v>0</v>
      </c>
      <c r="Z337" s="56" t="n">
        <v>0</v>
      </c>
      <c r="AA337" s="56" t="n">
        <v>0</v>
      </c>
      <c r="AB337" s="56" t="n">
        <v>0</v>
      </c>
      <c r="AC337" s="56" t="n">
        <v>0</v>
      </c>
      <c r="AD337" s="56" t="n">
        <v>0</v>
      </c>
      <c r="AE337" s="56" t="n">
        <v>0</v>
      </c>
      <c r="AF337" s="56" t="n">
        <v>0</v>
      </c>
      <c r="AG337" s="56" t="n">
        <v>0</v>
      </c>
      <c r="AH337" s="56" t="n">
        <v>0</v>
      </c>
      <c r="AI337" s="56" t="n">
        <v>0</v>
      </c>
      <c r="AJ337" s="56" t="n">
        <v>0</v>
      </c>
      <c r="AK337" s="56" t="n">
        <v>0</v>
      </c>
      <c r="AL337" s="56" t="n">
        <v>0</v>
      </c>
      <c r="AM337" s="56" t="n">
        <v>0</v>
      </c>
      <c r="AN337" s="56" t="n">
        <v>0</v>
      </c>
      <c r="AO337" s="56" t="n">
        <v>0</v>
      </c>
      <c r="AP337" s="56" t="n">
        <v>0</v>
      </c>
      <c r="AQ337" s="56" t="n">
        <v>0</v>
      </c>
      <c r="AR337" s="56" t="n">
        <v>0</v>
      </c>
      <c r="AS337" s="56" t="n">
        <v>0</v>
      </c>
      <c r="AT337" s="56" t="n">
        <v>0</v>
      </c>
      <c r="AU337" s="56" t="n">
        <v>0</v>
      </c>
      <c r="AV337" s="56" t="n">
        <v>0</v>
      </c>
      <c r="AW337" s="56" t="n">
        <v>0</v>
      </c>
      <c r="AX337" s="56" t="n">
        <v>0</v>
      </c>
      <c r="AY337" s="56" t="n">
        <v>0</v>
      </c>
      <c r="AZ337" s="56" t="n">
        <v>0</v>
      </c>
      <c r="BA337" s="56" t="n">
        <v>0</v>
      </c>
      <c r="BB337" s="56" t="n">
        <v>0</v>
      </c>
      <c r="BC337" s="56" t="n">
        <v>0</v>
      </c>
      <c r="BD337" s="56" t="n">
        <v>0</v>
      </c>
      <c r="BE337" s="56" t="n">
        <v>0</v>
      </c>
      <c r="BF337" s="56" t="n">
        <v>0</v>
      </c>
      <c r="BG337" s="56" t="n">
        <v>0</v>
      </c>
      <c r="BH337" s="56" t="n">
        <v>0</v>
      </c>
      <c r="BI337" s="56" t="n">
        <v>0</v>
      </c>
      <c r="BJ337" s="56" t="n">
        <v>0</v>
      </c>
      <c r="BK337" s="56" t="n">
        <v>0</v>
      </c>
      <c r="BL337" s="56" t="n">
        <v>0</v>
      </c>
      <c r="BM337" s="56" t="n">
        <v>0</v>
      </c>
      <c r="BN337" s="56" t="n">
        <v>0</v>
      </c>
      <c r="BO337" s="56" t="n">
        <v>0</v>
      </c>
      <c r="BP337" s="56" t="n">
        <v>0</v>
      </c>
      <c r="BQ337" s="56" t="n">
        <v>0</v>
      </c>
      <c r="BR337" s="56" t="n">
        <v>0</v>
      </c>
      <c r="BS337" s="56" t="n">
        <v>0</v>
      </c>
      <c r="BT337" s="56" t="n">
        <v>0</v>
      </c>
      <c r="BU337" s="56" t="n">
        <v>0</v>
      </c>
      <c r="BV337" s="56" t="n">
        <v>0</v>
      </c>
      <c r="BW337" s="56" t="n">
        <v>0</v>
      </c>
      <c r="BX337" s="56" t="n">
        <v>0</v>
      </c>
      <c r="BY337" s="56" t="n">
        <v>0</v>
      </c>
      <c r="BZ337" s="56" t="n">
        <v>0</v>
      </c>
      <c r="CA337" s="56" t="n">
        <v>0</v>
      </c>
      <c r="CB337" s="56" t="n">
        <v>0</v>
      </c>
      <c r="CC337" s="56" t="n">
        <v>0</v>
      </c>
      <c r="CD337" s="56" t="n">
        <v>0</v>
      </c>
      <c r="CE337" s="56" t="n">
        <v>0</v>
      </c>
      <c r="CF337" s="56" t="n">
        <v>0</v>
      </c>
      <c r="CG337" s="56" t="n">
        <v>0</v>
      </c>
      <c r="CH337" s="56" t="n">
        <v>0</v>
      </c>
      <c r="CI337" s="56" t="n">
        <v>0</v>
      </c>
      <c r="CJ337" s="56" t="n">
        <v>0</v>
      </c>
      <c r="CK337" s="56" t="n">
        <v>0</v>
      </c>
      <c r="CL337" s="56" t="n">
        <v>0</v>
      </c>
      <c r="CM337" s="56" t="n">
        <v>0</v>
      </c>
      <c r="CN337" s="56" t="n">
        <v>0</v>
      </c>
      <c r="CO337" s="56" t="n">
        <v>0</v>
      </c>
      <c r="CP337" s="56" t="n">
        <v>0</v>
      </c>
      <c r="CQ337" s="56" t="n">
        <v>0</v>
      </c>
      <c r="CR337" s="56" t="n">
        <v>0</v>
      </c>
      <c r="CS337" s="56" t="n">
        <v>0</v>
      </c>
      <c r="CT337" s="56"/>
      <c r="CU337" s="56"/>
      <c r="CV337" s="56"/>
      <c r="CW337" s="56"/>
      <c r="CX337" s="56"/>
      <c r="CY337" s="56"/>
      <c r="CZ337" s="56"/>
      <c r="DA337" s="56"/>
      <c r="DB337" s="56"/>
      <c r="DC337" s="56"/>
      <c r="DD337" s="56"/>
      <c r="DE337" s="56"/>
    </row>
    <row r="338" customFormat="false" ht="15" hidden="false" customHeight="true" outlineLevel="0" collapsed="false">
      <c r="A338" s="57" t="s">
        <v>173</v>
      </c>
      <c r="B338" s="58"/>
      <c r="C338" s="58"/>
      <c r="D338" s="58"/>
      <c r="E338" s="58" t="n">
        <f aca="false">-MIN(E335+E336+E337,MAX(0,E255-Helpers!C23))</f>
        <v>-0</v>
      </c>
      <c r="F338" s="58" t="n">
        <f aca="false">-MIN(F335+F336+F337,MAX(0,F255-Helpers!D23))</f>
        <v>-0</v>
      </c>
      <c r="G338" s="58" t="n">
        <f aca="false">-MIN(G335+G336+G337,MAX(0,G255-Helpers!E23))</f>
        <v>-0</v>
      </c>
      <c r="H338" s="58" t="n">
        <f aca="false">-MIN(H335+H336+H337,MAX(0,H255-Helpers!F23))</f>
        <v>-0</v>
      </c>
      <c r="I338" s="58" t="n">
        <f aca="false">-MIN(I335+I336+I337,MAX(0,I255-Helpers!G23))</f>
        <v>-0</v>
      </c>
      <c r="J338" s="58" t="n">
        <f aca="false">-MIN(J335+J336+J337,MAX(0,J255-Helpers!H23))</f>
        <v>-0</v>
      </c>
      <c r="K338" s="58" t="n">
        <f aca="false">-MIN(K335+K336+K337,MAX(0,K255-Helpers!I23))</f>
        <v>-0</v>
      </c>
      <c r="L338" s="58" t="n">
        <f aca="false">-MIN(L335+L336+L337,MAX(0,L255-Helpers!J23))</f>
        <v>-0</v>
      </c>
      <c r="M338" s="58" t="n">
        <f aca="false">-MIN(M335+M336+M337,MAX(0,M255-Helpers!K23))</f>
        <v>-0</v>
      </c>
      <c r="N338" s="58" t="n">
        <f aca="false">-MIN(N335+N336+N337,MAX(0,N255-Helpers!L23))</f>
        <v>-0</v>
      </c>
      <c r="O338" s="58" t="n">
        <f aca="false">-MIN(O335+O336+O337,MAX(0,O255-Helpers!M23))</f>
        <v>-0</v>
      </c>
      <c r="P338" s="58" t="n">
        <f aca="false">-MIN(P335+P336+P337,MAX(0,P255-Helpers!N23))</f>
        <v>-0</v>
      </c>
      <c r="Q338" s="58" t="n">
        <f aca="false">-MIN(Q335+Q336+Q337,MAX(0,Q255-Helpers!O23))</f>
        <v>-0</v>
      </c>
      <c r="R338" s="58" t="n">
        <f aca="false">-MIN(R335+R336+R337,MAX(0,R255-Helpers!P23))</f>
        <v>-0</v>
      </c>
      <c r="S338" s="58" t="n">
        <f aca="false">-MIN(S335+S336+S337,MAX(0,S255-Helpers!Q23))</f>
        <v>-0</v>
      </c>
      <c r="T338" s="58" t="n">
        <f aca="false">-MIN(T335+T336+T337,MAX(0,T255-Helpers!R23))</f>
        <v>-0</v>
      </c>
      <c r="U338" s="58" t="n">
        <f aca="false">-MIN(U335+U336+U337,MAX(0,U255-Helpers!S23))</f>
        <v>-0</v>
      </c>
      <c r="V338" s="58" t="n">
        <f aca="false">-MIN(V335+V336+V337,MAX(0,V255-Helpers!T23))</f>
        <v>-0</v>
      </c>
      <c r="W338" s="58" t="n">
        <f aca="false">-MIN(W335+W336+W337,MAX(0,W255-Helpers!U23))</f>
        <v>-0</v>
      </c>
      <c r="X338" s="58" t="n">
        <f aca="false">-MIN(X335+X336+X337,MAX(0,X255-Helpers!V23))</f>
        <v>-0</v>
      </c>
      <c r="Y338" s="58" t="n">
        <f aca="false">-MIN(Y335+Y336+Y337,MAX(0,Y255-Helpers!W23))</f>
        <v>-0</v>
      </c>
      <c r="Z338" s="58" t="n">
        <f aca="false">-MIN(Z335+Z336+Z337,MAX(0,Z255-Helpers!X23))</f>
        <v>-0</v>
      </c>
      <c r="AA338" s="58" t="n">
        <f aca="false">-MIN(AA335+AA336+AA337,MAX(0,AA255-Helpers!Y23))</f>
        <v>-0</v>
      </c>
      <c r="AB338" s="58" t="n">
        <f aca="false">-MIN(AB335+AB336+AB337,MAX(0,AB255-Helpers!Z23))</f>
        <v>-0</v>
      </c>
      <c r="AC338" s="58" t="n">
        <f aca="false">-MIN(AC335+AC336+AC337,MAX(0,AC255-Helpers!AA23))</f>
        <v>-0</v>
      </c>
      <c r="AD338" s="58" t="n">
        <f aca="false">-MIN(AD335+AD336+AD337,MAX(0,AD255-Helpers!AB23))</f>
        <v>-0</v>
      </c>
      <c r="AE338" s="58" t="n">
        <f aca="false">-MIN(AE335+AE336+AE337,MAX(0,AE255-Helpers!AC23))</f>
        <v>-0</v>
      </c>
      <c r="AF338" s="58" t="n">
        <f aca="false">-MIN(AF335+AF336+AF337,MAX(0,AF255-Helpers!AD23))</f>
        <v>-0</v>
      </c>
      <c r="AG338" s="58" t="n">
        <f aca="false">-MIN(AG335+AG336+AG337,MAX(0,AG255-Helpers!AE23))</f>
        <v>-0</v>
      </c>
      <c r="AH338" s="58" t="n">
        <f aca="false">-MIN(AH335+AH336+AH337,MAX(0,AH255-Helpers!AF23))</f>
        <v>-0</v>
      </c>
      <c r="AI338" s="58" t="n">
        <f aca="false">-MIN(AI335+AI336+AI337,MAX(0,AI255-Helpers!AG23))</f>
        <v>-0</v>
      </c>
      <c r="AJ338" s="58" t="n">
        <f aca="false">-MIN(AJ335+AJ336+AJ337,MAX(0,AJ255-Helpers!AH23))</f>
        <v>-0</v>
      </c>
      <c r="AK338" s="58" t="n">
        <f aca="false">-MIN(AK335+AK336+AK337,MAX(0,AK255-Helpers!AI23))</f>
        <v>-0</v>
      </c>
      <c r="AL338" s="58" t="n">
        <f aca="false">-MIN(AL335+AL336+AL337,MAX(0,AL255-Helpers!AJ23))</f>
        <v>-0</v>
      </c>
      <c r="AM338" s="58" t="n">
        <f aca="false">-MIN(AM335+AM336+AM337,MAX(0,AM255-Helpers!AK23))</f>
        <v>-0</v>
      </c>
      <c r="AN338" s="58" t="n">
        <f aca="false">-MIN(AN335+AN336+AN337,MAX(0,AN255-Helpers!AL23))</f>
        <v>-0</v>
      </c>
      <c r="AO338" s="58" t="n">
        <f aca="false">-MIN(AO335+AO336+AO337,MAX(0,AO255-Helpers!AM23))</f>
        <v>-0</v>
      </c>
      <c r="AP338" s="58" t="n">
        <f aca="false">-MIN(AP335+AP336+AP337,MAX(0,AP255-Helpers!AN23))</f>
        <v>-0</v>
      </c>
      <c r="AQ338" s="58" t="n">
        <f aca="false">-MIN(AQ335+AQ336+AQ337,MAX(0,AQ255-Helpers!AO23))</f>
        <v>-0</v>
      </c>
      <c r="AR338" s="58" t="n">
        <f aca="false">-MIN(AR335+AR336+AR337,MAX(0,AR255-Helpers!AP23))</f>
        <v>-0</v>
      </c>
      <c r="AS338" s="58" t="n">
        <f aca="false">-MIN(AS335+AS336+AS337,MAX(0,AS255-Helpers!AQ23))</f>
        <v>-0</v>
      </c>
      <c r="AT338" s="58" t="n">
        <f aca="false">-MIN(AT335+AT336+AT337,MAX(0,AT255-Helpers!AR23))</f>
        <v>-0</v>
      </c>
      <c r="AU338" s="58" t="n">
        <f aca="false">-MIN(AU335+AU336+AU337,MAX(0,AU255-Helpers!AS23))</f>
        <v>-0</v>
      </c>
      <c r="AV338" s="58" t="n">
        <f aca="false">-MIN(AV335+AV336+AV337,MAX(0,AV255-Helpers!AT23))</f>
        <v>-0</v>
      </c>
      <c r="AW338" s="58" t="n">
        <f aca="false">-MIN(AW335+AW336+AW337,MAX(0,AW255-Helpers!AU23))</f>
        <v>-0</v>
      </c>
      <c r="AX338" s="58" t="n">
        <f aca="false">-MIN(AX335+AX336+AX337,MAX(0,AX255-Helpers!AV23))</f>
        <v>-0</v>
      </c>
      <c r="AY338" s="58" t="n">
        <f aca="false">-MIN(AY335+AY336+AY337,MAX(0,AY255-Helpers!AW23))</f>
        <v>-0</v>
      </c>
      <c r="AZ338" s="58" t="n">
        <f aca="false">-MIN(AZ335+AZ336+AZ337,MAX(0,AZ255-Helpers!AX23))</f>
        <v>-0</v>
      </c>
      <c r="BA338" s="58" t="n">
        <f aca="false">-MIN(BA335+BA336+BA337,MAX(0,BA255-Helpers!AY23))</f>
        <v>-0</v>
      </c>
      <c r="BB338" s="58" t="n">
        <f aca="false">-MIN(BB335+BB336+BB337,MAX(0,BB255-Helpers!AZ23))</f>
        <v>-0</v>
      </c>
      <c r="BC338" s="58" t="n">
        <f aca="false">-MIN(BC335+BC336+BC337,MAX(0,BC255-Helpers!BA23))</f>
        <v>-249171.3</v>
      </c>
      <c r="BD338" s="58" t="n">
        <f aca="false">-MIN(BD335+BD336+BD337,MAX(0,BD255-Helpers!BB23))</f>
        <v>-0</v>
      </c>
      <c r="BE338" s="58" t="n">
        <f aca="false">-MIN(BE335+BE336+BE337,MAX(0,BE255-Helpers!BC23))</f>
        <v>-0</v>
      </c>
      <c r="BF338" s="58" t="n">
        <f aca="false">-MIN(BF335+BF336+BF337,MAX(0,BF255-Helpers!BD23))</f>
        <v>-71700</v>
      </c>
      <c r="BG338" s="58" t="n">
        <f aca="false">-MIN(BG335+BG336+BG337,MAX(0,BG255-Helpers!BE23))</f>
        <v>-0</v>
      </c>
      <c r="BH338" s="58" t="n">
        <f aca="false">-MIN(BH335+BH336+BH337,MAX(0,BH255-Helpers!BF23))</f>
        <v>-0</v>
      </c>
      <c r="BI338" s="58" t="n">
        <f aca="false">-MIN(BI335+BI336+BI337,MAX(0,BI255-Helpers!BG23))</f>
        <v>-71700</v>
      </c>
      <c r="BJ338" s="58" t="n">
        <f aca="false">-MIN(BJ335+BJ336+BJ337,MAX(0,BJ255-Helpers!BH23))</f>
        <v>-0</v>
      </c>
      <c r="BK338" s="58" t="n">
        <f aca="false">-MIN(BK335+BK336+BK337,MAX(0,BK255-Helpers!BI23))</f>
        <v>-0</v>
      </c>
      <c r="BL338" s="58" t="n">
        <f aca="false">-MIN(BL335+BL336+BL337,MAX(0,BL255-Helpers!BJ23))</f>
        <v>-71700</v>
      </c>
      <c r="BM338" s="58" t="n">
        <f aca="false">-MIN(BM335+BM336+BM337,MAX(0,BM255-Helpers!BK23))</f>
        <v>-0</v>
      </c>
      <c r="BN338" s="58" t="n">
        <f aca="false">-MIN(BN335+BN336+BN337,MAX(0,BN255-Helpers!BL23))</f>
        <v>-0</v>
      </c>
      <c r="BO338" s="58" t="n">
        <f aca="false">-MIN(BO335+BO336+BO337,MAX(0,BO255-Helpers!BM23))</f>
        <v>-71700</v>
      </c>
      <c r="BP338" s="58" t="n">
        <f aca="false">-MIN(BP335+BP336+BP337,MAX(0,BP255-Helpers!BN23))</f>
        <v>-0</v>
      </c>
      <c r="BQ338" s="58" t="n">
        <f aca="false">-MIN(BQ335+BQ336+BQ337,MAX(0,BQ255-Helpers!BO23))</f>
        <v>-0</v>
      </c>
      <c r="BR338" s="58" t="n">
        <f aca="false">-MIN(BR335+BR336+BR337,MAX(0,BR255-Helpers!BP23))</f>
        <v>-74643</v>
      </c>
      <c r="BS338" s="58" t="n">
        <f aca="false">-MIN(BS335+BS336+BS337,MAX(0,BS255-Helpers!BQ23))</f>
        <v>-0</v>
      </c>
      <c r="BT338" s="58" t="n">
        <f aca="false">-MIN(BT335+BT336+BT337,MAX(0,BT255-Helpers!BR23))</f>
        <v>-0</v>
      </c>
      <c r="BU338" s="58" t="n">
        <f aca="false">-MIN(BU335+BU336+BU337,MAX(0,BU255-Helpers!BS23))</f>
        <v>-74640</v>
      </c>
      <c r="BV338" s="58" t="n">
        <f aca="false">-MIN(BV335+BV336+BV337,MAX(0,BV255-Helpers!BT23))</f>
        <v>-0</v>
      </c>
      <c r="BW338" s="58" t="n">
        <f aca="false">-MIN(BW335+BW336+BW337,MAX(0,BW255-Helpers!BU23))</f>
        <v>-0</v>
      </c>
      <c r="BX338" s="58" t="n">
        <f aca="false">-MIN(BX335+BX336+BX337,MAX(0,BX255-Helpers!BV23))</f>
        <v>-74640</v>
      </c>
      <c r="BY338" s="58" t="n">
        <f aca="false">-MIN(BY335+BY336+BY337,MAX(0,BY255-Helpers!BW23))</f>
        <v>-0</v>
      </c>
      <c r="BZ338" s="58" t="n">
        <f aca="false">-MIN(BZ335+BZ336+BZ337,MAX(0,BZ255-Helpers!BX23))</f>
        <v>-0</v>
      </c>
      <c r="CA338" s="58" t="n">
        <f aca="false">-MIN(CA335+CA336+CA337,MAX(0,CA255-Helpers!BY23))</f>
        <v>-74640</v>
      </c>
      <c r="CB338" s="58" t="n">
        <f aca="false">-MIN(CB335+CB336+CB337,MAX(0,CB255-Helpers!BZ23))</f>
        <v>-0</v>
      </c>
      <c r="CC338" s="58" t="n">
        <f aca="false">-MIN(CC335+CC336+CC337,MAX(0,CC255-Helpers!CA23))</f>
        <v>-0</v>
      </c>
      <c r="CD338" s="58" t="n">
        <f aca="false">-MIN(CD335+CD336+CD337,MAX(0,CD255-Helpers!CB23))</f>
        <v>-81363</v>
      </c>
      <c r="CE338" s="58" t="n">
        <f aca="false">-MIN(CE335+CE336+CE337,MAX(0,CE255-Helpers!CC23))</f>
        <v>-0</v>
      </c>
      <c r="CF338" s="58" t="n">
        <f aca="false">-MIN(CF335+CF336+CF337,MAX(0,CF255-Helpers!CD23))</f>
        <v>-0</v>
      </c>
      <c r="CG338" s="58" t="n">
        <f aca="false">-MIN(CG335+CG336+CG337,MAX(0,CG255-Helpers!CE23))</f>
        <v>-81362</v>
      </c>
      <c r="CH338" s="58" t="n">
        <f aca="false">-MIN(CH335+CH336+CH337,MAX(0,CH255-Helpers!CF23))</f>
        <v>-0</v>
      </c>
      <c r="CI338" s="58" t="n">
        <f aca="false">-MIN(CI335+CI336+CI337,MAX(0,CI255-Helpers!CG23))</f>
        <v>-0</v>
      </c>
      <c r="CJ338" s="58" t="n">
        <f aca="false">-MIN(CJ335+CJ336+CJ337,MAX(0,CJ255-Helpers!CH23))</f>
        <v>-74753.9733935208</v>
      </c>
      <c r="CK338" s="58" t="n">
        <f aca="false">-MIN(CK335+CK336+CK337,MAX(0,CK255-Helpers!CI23))</f>
        <v>-0</v>
      </c>
      <c r="CL338" s="58" t="n">
        <f aca="false">-MIN(CL335+CL336+CL337,MAX(0,CL255-Helpers!CJ23))</f>
        <v>-0</v>
      </c>
      <c r="CM338" s="58" t="n">
        <f aca="false">-MIN(CM335+CM336+CM337,MAX(0,CM255-Helpers!CK23))</f>
        <v>-0</v>
      </c>
      <c r="CN338" s="58" t="n">
        <f aca="false">-MIN(CN335+CN336+CN337,MAX(0,CN255-Helpers!CL23))</f>
        <v>-0</v>
      </c>
      <c r="CO338" s="58" t="n">
        <f aca="false">-MIN(CO335+CO336+CO337,MAX(0,CO255-Helpers!CM23))</f>
        <v>-0</v>
      </c>
      <c r="CP338" s="58" t="n">
        <f aca="false">-MIN(CP335+CP336+CP337,MAX(0,CP255-Helpers!CN23))</f>
        <v>-0</v>
      </c>
      <c r="CQ338" s="58" t="n">
        <f aca="false">-MIN(CQ335+CQ336+CQ337,MAX(0,CQ255-Helpers!CO23))</f>
        <v>-0</v>
      </c>
      <c r="CR338" s="58" t="n">
        <f aca="false">-MIN(CR335+CR336+CR337,MAX(0,CR255-Helpers!CP23))</f>
        <v>-0</v>
      </c>
      <c r="CS338" s="58" t="n">
        <f aca="false">-MIN(CS335+CS336+CS337,MAX(0,CS255-Helpers!CQ23))</f>
        <v>-0</v>
      </c>
      <c r="CT338" s="58" t="n">
        <f aca="false">-MIN(CT335+CT336+CT337,MAX(0,CT255-Helpers!CR23))</f>
        <v>-0</v>
      </c>
      <c r="CU338" s="58" t="n">
        <f aca="false">-MIN(CU335+CU336+CU337,MAX(0,CU255-Helpers!CS23))</f>
        <v>-0</v>
      </c>
      <c r="CV338" s="58" t="n">
        <f aca="false">-MIN(CV335+CV336+CV337,MAX(0,CV255-Helpers!CT23))</f>
        <v>-0</v>
      </c>
      <c r="CW338" s="58" t="n">
        <f aca="false">-MIN(CW335+CW336+CW337,MAX(0,CW255-Helpers!CU23))</f>
        <v>-0</v>
      </c>
      <c r="CX338" s="58" t="n">
        <f aca="false">-MIN(CX335+CX336+CX337,MAX(0,CX255-Helpers!CV23))</f>
        <v>-0</v>
      </c>
      <c r="CY338" s="58" t="n">
        <f aca="false">-MIN(CY335+CY336+CY337,MAX(0,CY255-Helpers!CW23))</f>
        <v>-0</v>
      </c>
      <c r="CZ338" s="58" t="n">
        <f aca="false">-MIN(CZ335+CZ336+CZ337,MAX(0,CZ255-Helpers!CX23))</f>
        <v>-0</v>
      </c>
      <c r="DA338" s="58" t="n">
        <f aca="false">-MIN(DA335+DA336+DA337,MAX(0,DA255-Helpers!CY23))</f>
        <v>-0</v>
      </c>
      <c r="DB338" s="58" t="n">
        <f aca="false">-MIN(DB335+DB336+DB337,MAX(0,DB255-Helpers!CZ23))</f>
        <v>-0</v>
      </c>
      <c r="DC338" s="58" t="n">
        <f aca="false">-MIN(DC335+DC336+DC337,MAX(0,DC255-Helpers!DA23))</f>
        <v>-0</v>
      </c>
      <c r="DD338" s="58" t="n">
        <f aca="false">-MIN(DD335+DD336+DD337,MAX(0,DD255-Helpers!DB23))</f>
        <v>-0</v>
      </c>
      <c r="DE338" s="58" t="n">
        <f aca="false">-MIN(DE335+DE336+DE337,MAX(0,DE255-Helpers!DC23))</f>
        <v>-0</v>
      </c>
    </row>
    <row r="339" customFormat="false" ht="15" hidden="false" customHeight="true" outlineLevel="0" collapsed="false">
      <c r="A339" s="59" t="s">
        <v>174</v>
      </c>
      <c r="B339" s="60"/>
      <c r="C339" s="60"/>
      <c r="D339" s="60"/>
      <c r="E339" s="60" t="n">
        <f aca="false">MAX(0,E335+E336+E337+E338)</f>
        <v>1134000</v>
      </c>
      <c r="F339" s="60" t="n">
        <f aca="false">MAX(0,F335+F336+F337+F338)</f>
        <v>1184000</v>
      </c>
      <c r="G339" s="60" t="n">
        <f aca="false">MAX(0,G335+G336+G337+G338)</f>
        <v>1280275</v>
      </c>
      <c r="H339" s="60" t="n">
        <f aca="false">MAX(0,H335+H336+H337+H338)</f>
        <v>1330275</v>
      </c>
      <c r="I339" s="60" t="n">
        <f aca="false">MAX(0,I335+I336+I337+I338)</f>
        <v>1380275</v>
      </c>
      <c r="J339" s="60" t="n">
        <f aca="false">MAX(0,J335+J336+J337+J338)</f>
        <v>1483910.3125</v>
      </c>
      <c r="K339" s="60" t="n">
        <f aca="false">MAX(0,K335+K336+K337+K338)</f>
        <v>1533910.3125</v>
      </c>
      <c r="L339" s="60" t="n">
        <f aca="false">MAX(0,L335+L336+L337+L338)</f>
        <v>1583910.3125</v>
      </c>
      <c r="M339" s="60" t="n">
        <f aca="false">MAX(0,M335+M336+M337+M338)</f>
        <v>1695181.94921875</v>
      </c>
      <c r="N339" s="60" t="n">
        <f aca="false">MAX(0,N335+N336+N337+N338)</f>
        <v>1745181.94921875</v>
      </c>
      <c r="O339" s="60" t="n">
        <f aca="false">MAX(0,O335+O336+O337+O338)</f>
        <v>1795181.94921875</v>
      </c>
      <c r="P339" s="60" t="n">
        <f aca="false">MAX(0,P335+P336+P337+P338)</f>
        <v>1914376.27231445</v>
      </c>
      <c r="Q339" s="60" t="n">
        <f aca="false">MAX(0,Q335+Q336+Q337+Q338)</f>
        <v>514376.272314453</v>
      </c>
      <c r="R339" s="60" t="n">
        <f aca="false">MAX(0,R335+R336+R337+R338)</f>
        <v>564376.272314453</v>
      </c>
      <c r="S339" s="60" t="n">
        <f aca="false">MAX(0,S335+S336+S337+S338)</f>
        <v>585540.382526245</v>
      </c>
      <c r="T339" s="60" t="n">
        <f aca="false">MAX(0,T335+T336+T337+T338)</f>
        <v>585540.382526245</v>
      </c>
      <c r="U339" s="60" t="n">
        <f aca="false">MAX(0,U335+U336+U337+U338)</f>
        <v>585540.382526245</v>
      </c>
      <c r="V339" s="60" t="n">
        <f aca="false">MAX(0,V335+V336+V337+V338)</f>
        <v>607498.146870979</v>
      </c>
      <c r="W339" s="60" t="n">
        <f aca="false">MAX(0,W335+W336+W337+W338)</f>
        <v>607498.146870979</v>
      </c>
      <c r="X339" s="60" t="n">
        <f aca="false">MAX(0,X335+X336+X337+X338)</f>
        <v>607498.146870979</v>
      </c>
      <c r="Y339" s="60" t="n">
        <f aca="false">MAX(0,Y335+Y336+Y337+Y338)</f>
        <v>630279.327378641</v>
      </c>
      <c r="Z339" s="60" t="n">
        <f aca="false">MAX(0,Z335+Z336+Z337+Z338)</f>
        <v>630279.327378641</v>
      </c>
      <c r="AA339" s="60" t="n">
        <f aca="false">MAX(0,AA335+AA336+AA337+AA338)</f>
        <v>630279.327378641</v>
      </c>
      <c r="AB339" s="60" t="n">
        <f aca="false">MAX(0,AB335+AB336+AB337+AB338)</f>
        <v>653914.80215534</v>
      </c>
      <c r="AC339" s="60" t="n">
        <f aca="false">MAX(0,AC335+AC336+AC337+AC338)</f>
        <v>653914.80215534</v>
      </c>
      <c r="AD339" s="60" t="n">
        <f aca="false">MAX(0,AD335+AD336+AD337+AD338)</f>
        <v>653914.80215534</v>
      </c>
      <c r="AE339" s="60" t="n">
        <f aca="false">MAX(0,AE335+AE336+AE337+AE338)</f>
        <v>678436.607236165</v>
      </c>
      <c r="AF339" s="60" t="n">
        <f aca="false">MAX(0,AF335+AF336+AF337+AF338)</f>
        <v>678436.607236165</v>
      </c>
      <c r="AG339" s="60" t="n">
        <f aca="false">MAX(0,AG335+AG336+AG337+AG338)</f>
        <v>678436.607236165</v>
      </c>
      <c r="AH339" s="60" t="n">
        <f aca="false">MAX(0,AH335+AH336+AH337+AH338)</f>
        <v>703877.980007521</v>
      </c>
      <c r="AI339" s="60" t="n">
        <f aca="false">MAX(0,AI335+AI336+AI337+AI338)</f>
        <v>703877.980007521</v>
      </c>
      <c r="AJ339" s="60" t="n">
        <f aca="false">MAX(0,AJ335+AJ336+AJ337+AJ338)</f>
        <v>703877.980007521</v>
      </c>
      <c r="AK339" s="60" t="n">
        <f aca="false">MAX(0,AK335+AK336+AK337+AK338)</f>
        <v>730273.404257803</v>
      </c>
      <c r="AL339" s="60" t="n">
        <f aca="false">MAX(0,AL335+AL336+AL337+AL338)</f>
        <v>730273.404257803</v>
      </c>
      <c r="AM339" s="60" t="n">
        <f aca="false">MAX(0,AM335+AM336+AM337+AM338)</f>
        <v>730273.404257803</v>
      </c>
      <c r="AN339" s="60" t="n">
        <f aca="false">MAX(0,AN335+AN336+AN337+AN338)</f>
        <v>757658.656917471</v>
      </c>
      <c r="AO339" s="60" t="n">
        <f aca="false">MAX(0,AO335+AO336+AO337+AO338)</f>
        <v>757658.656917471</v>
      </c>
      <c r="AP339" s="60" t="n">
        <f aca="false">MAX(0,AP335+AP336+AP337+AP338)</f>
        <v>757658.656917471</v>
      </c>
      <c r="AQ339" s="60" t="n">
        <f aca="false">MAX(0,AQ335+AQ336+AQ337+AQ338)</f>
        <v>786070.856551876</v>
      </c>
      <c r="AR339" s="60" t="n">
        <f aca="false">MAX(0,AR335+AR336+AR337+AR338)</f>
        <v>786070.856551876</v>
      </c>
      <c r="AS339" s="60" t="n">
        <f aca="false">MAX(0,AS335+AS336+AS337+AS338)</f>
        <v>786070.856551876</v>
      </c>
      <c r="AT339" s="60" t="n">
        <f aca="false">MAX(0,AT335+AT336+AT337+AT338)</f>
        <v>815548.513672571</v>
      </c>
      <c r="AU339" s="60" t="n">
        <f aca="false">MAX(0,AU335+AU336+AU337+AU338)</f>
        <v>815548.513672571</v>
      </c>
      <c r="AV339" s="60" t="n">
        <f aca="false">MAX(0,AV335+AV336+AV337+AV338)</f>
        <v>815548.513672571</v>
      </c>
      <c r="AW339" s="60" t="n">
        <f aca="false">MAX(0,AW335+AW336+AW337+AW338)</f>
        <v>846131.582935293</v>
      </c>
      <c r="AX339" s="60" t="n">
        <f aca="false">MAX(0,AX335+AX336+AX337+AX338)</f>
        <v>846131.582935293</v>
      </c>
      <c r="AY339" s="60" t="n">
        <f aca="false">MAX(0,AY335+AY336+AY337+AY338)</f>
        <v>846131.582935293</v>
      </c>
      <c r="AZ339" s="60" t="n">
        <f aca="false">MAX(0,AZ335+AZ336+AZ337+AZ338)</f>
        <v>877861.517295366</v>
      </c>
      <c r="BA339" s="60" t="n">
        <f aca="false">MAX(0,BA335+BA336+BA337+BA338)</f>
        <v>877861.517295366</v>
      </c>
      <c r="BB339" s="60" t="n">
        <f aca="false">MAX(0,BB335+BB336+BB337+BB338)</f>
        <v>877861.517295366</v>
      </c>
      <c r="BC339" s="60" t="n">
        <f aca="false">MAX(0,BC335+BC336+BC337+BC338)</f>
        <v>661610.024193943</v>
      </c>
      <c r="BD339" s="60" t="n">
        <f aca="false">MAX(0,BD335+BD336+BD337+BD338)</f>
        <v>661610.024193943</v>
      </c>
      <c r="BE339" s="60" t="n">
        <f aca="false">MAX(0,BE335+BE336+BE337+BE338)</f>
        <v>661610.024193943</v>
      </c>
      <c r="BF339" s="60" t="n">
        <f aca="false">MAX(0,BF335+BF336+BF337+BF338)</f>
        <v>614720.400101215</v>
      </c>
      <c r="BG339" s="60" t="n">
        <f aca="false">MAX(0,BG335+BG336+BG337+BG338)</f>
        <v>614720.400101215</v>
      </c>
      <c r="BH339" s="60" t="n">
        <f aca="false">MAX(0,BH335+BH336+BH337+BH338)</f>
        <v>614720.400101215</v>
      </c>
      <c r="BI339" s="60" t="n">
        <f aca="false">MAX(0,BI335+BI336+BI337+BI338)</f>
        <v>566072.415105011</v>
      </c>
      <c r="BJ339" s="60" t="n">
        <f aca="false">MAX(0,BJ335+BJ336+BJ337+BJ338)</f>
        <v>566072.415105011</v>
      </c>
      <c r="BK339" s="60" t="n">
        <f aca="false">MAX(0,BK335+BK336+BK337+BK338)</f>
        <v>566072.415105011</v>
      </c>
      <c r="BL339" s="60" t="n">
        <f aca="false">MAX(0,BL335+BL336+BL337+BL338)</f>
        <v>515600.130671449</v>
      </c>
      <c r="BM339" s="60" t="n">
        <f aca="false">MAX(0,BM335+BM336+BM337+BM338)</f>
        <v>515600.130671449</v>
      </c>
      <c r="BN339" s="60" t="n">
        <f aca="false">MAX(0,BN335+BN336+BN337+BN338)</f>
        <v>515600.130671449</v>
      </c>
      <c r="BO339" s="60" t="n">
        <f aca="false">MAX(0,BO335+BO336+BO337+BO338)</f>
        <v>463235.135571628</v>
      </c>
      <c r="BP339" s="60" t="n">
        <f aca="false">MAX(0,BP335+BP336+BP337+BP338)</f>
        <v>463235.135571628</v>
      </c>
      <c r="BQ339" s="60" t="n">
        <f aca="false">MAX(0,BQ335+BQ336+BQ337+BQ338)</f>
        <v>463235.135571628</v>
      </c>
      <c r="BR339" s="60" t="n">
        <f aca="false">MAX(0,BR335+BR336+BR337+BR338)</f>
        <v>405963.453155564</v>
      </c>
      <c r="BS339" s="60" t="n">
        <f aca="false">MAX(0,BS335+BS336+BS337+BS338)</f>
        <v>405963.453155564</v>
      </c>
      <c r="BT339" s="60" t="n">
        <f aca="false">MAX(0,BT335+BT336+BT337+BT338)</f>
        <v>405963.453155564</v>
      </c>
      <c r="BU339" s="60" t="n">
        <f aca="false">MAX(0,BU335+BU336+BU337+BU338)</f>
        <v>346547.082648898</v>
      </c>
      <c r="BV339" s="60" t="n">
        <f aca="false">MAX(0,BV335+BV336+BV337+BV338)</f>
        <v>346547.082648898</v>
      </c>
      <c r="BW339" s="60" t="n">
        <f aca="false">MAX(0,BW335+BW336+BW337+BW338)</f>
        <v>346547.082648898</v>
      </c>
      <c r="BX339" s="60" t="n">
        <f aca="false">MAX(0,BX335+BX336+BX337+BX338)</f>
        <v>284902.598248232</v>
      </c>
      <c r="BY339" s="60" t="n">
        <f aca="false">MAX(0,BY335+BY336+BY337+BY338)</f>
        <v>284902.598248232</v>
      </c>
      <c r="BZ339" s="60" t="n">
        <f aca="false">MAX(0,BZ335+BZ336+BZ337+BZ338)</f>
        <v>284902.598248232</v>
      </c>
      <c r="CA339" s="60" t="n">
        <f aca="false">MAX(0,CA335+CA336+CA337+CA338)</f>
        <v>220946.44568254</v>
      </c>
      <c r="CB339" s="60" t="n">
        <f aca="false">MAX(0,CB335+CB336+CB337+CB338)</f>
        <v>220946.44568254</v>
      </c>
      <c r="CC339" s="60" t="n">
        <f aca="false">MAX(0,CC335+CC336+CC337+CC338)</f>
        <v>220946.44568254</v>
      </c>
      <c r="CD339" s="60" t="n">
        <f aca="false">MAX(0,CD335+CD336+CD337+CD338)</f>
        <v>147868.937395636</v>
      </c>
      <c r="CE339" s="60" t="n">
        <f aca="false">MAX(0,CE335+CE336+CE337+CE338)</f>
        <v>147868.937395636</v>
      </c>
      <c r="CF339" s="60" t="n">
        <f aca="false">MAX(0,CF335+CF336+CF337+CF338)</f>
        <v>147868.937395636</v>
      </c>
      <c r="CG339" s="60" t="n">
        <f aca="false">MAX(0,CG335+CG336+CG337+CG338)</f>
        <v>72052.0225479718</v>
      </c>
      <c r="CH339" s="60" t="n">
        <f aca="false">MAX(0,CH335+CH336+CH337+CH338)</f>
        <v>72052.0225479718</v>
      </c>
      <c r="CI339" s="60" t="n">
        <f aca="false">MAX(0,CI335+CI336+CI337+CI338)</f>
        <v>72052.0225479718</v>
      </c>
      <c r="CJ339" s="60" t="n">
        <f aca="false">MAX(0,CJ335+CJ336+CJ337+CJ338)</f>
        <v>0</v>
      </c>
      <c r="CK339" s="60" t="n">
        <f aca="false">MAX(0,CK335+CK336+CK337+CK338)</f>
        <v>0</v>
      </c>
      <c r="CL339" s="60" t="n">
        <f aca="false">MAX(0,CL335+CL336+CL337+CL338)</f>
        <v>0</v>
      </c>
      <c r="CM339" s="60" t="n">
        <f aca="false">MAX(0,CM335+CM336+CM337+CM338)</f>
        <v>0</v>
      </c>
      <c r="CN339" s="60" t="n">
        <f aca="false">MAX(0,CN335+CN336+CN337+CN338)</f>
        <v>0</v>
      </c>
      <c r="CO339" s="60" t="n">
        <f aca="false">MAX(0,CO335+CO336+CO337+CO338)</f>
        <v>0</v>
      </c>
      <c r="CP339" s="60" t="n">
        <f aca="false">MAX(0,CP335+CP336+CP337+CP338)</f>
        <v>0</v>
      </c>
      <c r="CQ339" s="60" t="n">
        <f aca="false">MAX(0,CQ335+CQ336+CQ337+CQ338)</f>
        <v>0</v>
      </c>
      <c r="CR339" s="60" t="n">
        <f aca="false">MAX(0,CR335+CR336+CR337+CR338)</f>
        <v>0</v>
      </c>
      <c r="CS339" s="60" t="n">
        <f aca="false">MAX(0,CS335+CS336+CS337+CS338)</f>
        <v>0</v>
      </c>
      <c r="CT339" s="60" t="n">
        <f aca="false">MAX(0,CT335+CT336+CT337+CT338)</f>
        <v>0</v>
      </c>
      <c r="CU339" s="60" t="n">
        <f aca="false">MAX(0,CU335+CU336+CU337+CU338)</f>
        <v>0</v>
      </c>
      <c r="CV339" s="60" t="n">
        <f aca="false">MAX(0,CV335+CV336+CV337+CV338)</f>
        <v>0</v>
      </c>
      <c r="CW339" s="60" t="n">
        <f aca="false">MAX(0,CW335+CW336+CW337+CW338)</f>
        <v>0</v>
      </c>
      <c r="CX339" s="60" t="n">
        <f aca="false">MAX(0,CX335+CX336+CX337+CX338)</f>
        <v>0</v>
      </c>
      <c r="CY339" s="60" t="n">
        <f aca="false">MAX(0,CY335+CY336+CY337+CY338)</f>
        <v>0</v>
      </c>
      <c r="CZ339" s="60" t="n">
        <f aca="false">MAX(0,CZ335+CZ336+CZ337+CZ338)</f>
        <v>0</v>
      </c>
      <c r="DA339" s="60" t="n">
        <f aca="false">MAX(0,DA335+DA336+DA337+DA338)</f>
        <v>0</v>
      </c>
      <c r="DB339" s="60" t="n">
        <f aca="false">MAX(0,DB335+DB336+DB337+DB338)</f>
        <v>0</v>
      </c>
      <c r="DC339" s="60" t="n">
        <f aca="false">MAX(0,DC335+DC336+DC337+DC338)</f>
        <v>0</v>
      </c>
      <c r="DD339" s="60" t="n">
        <f aca="false">MAX(0,DD335+DD336+DD337+DD338)</f>
        <v>0</v>
      </c>
      <c r="DE339" s="60" t="n">
        <f aca="false">MAX(0,DE335+DE336+DE337+DE338)</f>
        <v>0</v>
      </c>
    </row>
    <row r="340" customFormat="false" ht="15" hidden="false" customHeight="true" outlineLevel="0" collapsed="false">
      <c r="A340" s="61"/>
      <c r="B340" s="62"/>
      <c r="C340" s="62"/>
      <c r="D340" s="62"/>
      <c r="E340" s="62"/>
      <c r="F340" s="62"/>
      <c r="G340" s="62"/>
      <c r="H340" s="62"/>
      <c r="I340" s="62"/>
      <c r="J340" s="62"/>
      <c r="K340" s="62"/>
      <c r="L340" s="62"/>
      <c r="M340" s="62"/>
      <c r="N340" s="62"/>
      <c r="O340" s="62"/>
      <c r="P340" s="62"/>
      <c r="Q340" s="62"/>
      <c r="R340" s="62"/>
      <c r="S340" s="62"/>
      <c r="T340" s="62"/>
      <c r="U340" s="62"/>
      <c r="V340" s="62"/>
      <c r="W340" s="62"/>
      <c r="X340" s="62"/>
      <c r="Y340" s="62"/>
      <c r="Z340" s="62"/>
      <c r="AA340" s="62"/>
      <c r="AB340" s="62"/>
      <c r="AC340" s="62"/>
      <c r="AD340" s="62"/>
      <c r="AE340" s="62"/>
      <c r="AF340" s="62"/>
      <c r="AG340" s="62"/>
      <c r="AH340" s="62"/>
      <c r="AI340" s="62"/>
      <c r="AJ340" s="62"/>
      <c r="AK340" s="62"/>
      <c r="AL340" s="62"/>
      <c r="AM340" s="62"/>
      <c r="AN340" s="62"/>
      <c r="AO340" s="62"/>
      <c r="AP340" s="62"/>
      <c r="AQ340" s="62"/>
      <c r="AR340" s="62"/>
      <c r="AS340" s="62"/>
      <c r="AT340" s="62"/>
      <c r="AU340" s="62"/>
      <c r="AV340" s="62"/>
      <c r="AW340" s="62"/>
      <c r="AX340" s="62"/>
      <c r="AY340" s="62"/>
      <c r="AZ340" s="62"/>
      <c r="BA340" s="62"/>
      <c r="BB340" s="62"/>
      <c r="BC340" s="62"/>
      <c r="BD340" s="62"/>
      <c r="BE340" s="62"/>
      <c r="BF340" s="62"/>
      <c r="BG340" s="62"/>
      <c r="BH340" s="62"/>
      <c r="BI340" s="62"/>
      <c r="BJ340" s="62"/>
      <c r="BK340" s="62"/>
      <c r="BL340" s="62"/>
      <c r="BM340" s="62"/>
      <c r="BN340" s="62"/>
      <c r="BO340" s="62"/>
      <c r="BP340" s="62"/>
      <c r="BQ340" s="62"/>
      <c r="BR340" s="62"/>
      <c r="BS340" s="62"/>
      <c r="BT340" s="62"/>
      <c r="BU340" s="62"/>
      <c r="BV340" s="62"/>
      <c r="BW340" s="62"/>
      <c r="BX340" s="62"/>
      <c r="BY340" s="62"/>
      <c r="BZ340" s="62"/>
      <c r="CA340" s="62"/>
      <c r="CB340" s="62"/>
      <c r="CC340" s="62"/>
      <c r="CD340" s="62"/>
      <c r="CE340" s="62"/>
      <c r="CF340" s="62"/>
      <c r="CG340" s="62"/>
      <c r="CH340" s="62"/>
      <c r="CI340" s="62"/>
      <c r="CJ340" s="62"/>
      <c r="CK340" s="62"/>
      <c r="CL340" s="62"/>
      <c r="CM340" s="62"/>
      <c r="CN340" s="62"/>
      <c r="CO340" s="62"/>
      <c r="CP340" s="62"/>
      <c r="CQ340" s="62"/>
      <c r="CR340" s="62"/>
      <c r="CS340" s="62"/>
      <c r="CT340" s="62"/>
      <c r="CU340" s="62"/>
      <c r="CV340" s="62"/>
      <c r="CW340" s="62"/>
      <c r="CX340" s="62"/>
      <c r="CY340" s="62"/>
      <c r="CZ340" s="62"/>
      <c r="DA340" s="62"/>
      <c r="DB340" s="62"/>
      <c r="DC340" s="62"/>
      <c r="DD340" s="62"/>
      <c r="DE340" s="62"/>
    </row>
    <row r="341" customFormat="false" ht="15" hidden="false" customHeight="true" outlineLevel="0" collapsed="false">
      <c r="A341" s="63" t="s">
        <v>175</v>
      </c>
      <c r="B341" s="64"/>
      <c r="C341" s="64"/>
      <c r="D341" s="64"/>
      <c r="E341" s="64"/>
      <c r="F341" s="64"/>
      <c r="G341" s="64"/>
      <c r="H341" s="64"/>
      <c r="I341" s="64"/>
      <c r="J341" s="64"/>
      <c r="K341" s="64"/>
      <c r="L341" s="64"/>
      <c r="M341" s="64"/>
      <c r="N341" s="64"/>
      <c r="O341" s="64"/>
      <c r="P341" s="64"/>
      <c r="Q341" s="64"/>
      <c r="R341" s="64"/>
      <c r="S341" s="64"/>
      <c r="T341" s="64"/>
      <c r="U341" s="64"/>
      <c r="V341" s="64"/>
      <c r="W341" s="64"/>
      <c r="X341" s="64"/>
      <c r="Y341" s="64"/>
      <c r="Z341" s="64"/>
      <c r="AA341" s="64"/>
      <c r="AB341" s="64"/>
      <c r="AC341" s="64"/>
      <c r="AD341" s="64"/>
      <c r="AE341" s="64"/>
      <c r="AF341" s="64"/>
      <c r="AG341" s="64"/>
      <c r="AH341" s="64"/>
      <c r="AI341" s="64"/>
      <c r="AJ341" s="64"/>
      <c r="AK341" s="64"/>
      <c r="AL341" s="64"/>
      <c r="AM341" s="64"/>
      <c r="AN341" s="64"/>
      <c r="AO341" s="64"/>
      <c r="AP341" s="64"/>
      <c r="AQ341" s="64"/>
      <c r="AR341" s="64"/>
      <c r="AS341" s="64"/>
      <c r="AT341" s="64"/>
      <c r="AU341" s="64"/>
      <c r="AV341" s="64"/>
      <c r="AW341" s="64"/>
      <c r="AX341" s="64"/>
      <c r="AY341" s="64"/>
      <c r="AZ341" s="64"/>
      <c r="BA341" s="64"/>
      <c r="BB341" s="64"/>
      <c r="BC341" s="64"/>
      <c r="BD341" s="64"/>
      <c r="BE341" s="64"/>
      <c r="BF341" s="64"/>
      <c r="BG341" s="64"/>
      <c r="BH341" s="64"/>
      <c r="BI341" s="64"/>
      <c r="BJ341" s="64"/>
      <c r="BK341" s="64"/>
      <c r="BL341" s="64"/>
      <c r="BM341" s="64"/>
      <c r="BN341" s="64"/>
      <c r="BO341" s="64"/>
      <c r="BP341" s="64"/>
      <c r="BQ341" s="64"/>
      <c r="BR341" s="64"/>
      <c r="BS341" s="64"/>
      <c r="BT341" s="64"/>
      <c r="BU341" s="64"/>
      <c r="BV341" s="64"/>
      <c r="BW341" s="64"/>
      <c r="BX341" s="64"/>
      <c r="BY341" s="64"/>
      <c r="BZ341" s="64"/>
      <c r="CA341" s="64"/>
      <c r="CB341" s="64"/>
      <c r="CC341" s="64"/>
      <c r="CD341" s="64"/>
      <c r="CE341" s="64"/>
      <c r="CF341" s="64"/>
      <c r="CG341" s="64"/>
      <c r="CH341" s="64"/>
      <c r="CI341" s="64"/>
      <c r="CJ341" s="64"/>
      <c r="CK341" s="64"/>
      <c r="CL341" s="64"/>
      <c r="CM341" s="64"/>
      <c r="CN341" s="64"/>
      <c r="CO341" s="64"/>
      <c r="CP341" s="64"/>
      <c r="CQ341" s="64"/>
      <c r="CR341" s="64"/>
      <c r="CS341" s="64"/>
      <c r="CT341" s="64"/>
      <c r="CU341" s="64"/>
      <c r="CV341" s="64"/>
      <c r="CW341" s="64"/>
      <c r="CX341" s="64"/>
      <c r="CY341" s="64"/>
      <c r="CZ341" s="64"/>
      <c r="DA341" s="64"/>
      <c r="DB341" s="64"/>
      <c r="DC341" s="64"/>
      <c r="DD341" s="64"/>
      <c r="DE341" s="64"/>
    </row>
    <row r="342" customFormat="false" ht="15" hidden="false" customHeight="true" outlineLevel="0" collapsed="false">
      <c r="A342" s="22" t="s">
        <v>9</v>
      </c>
      <c r="B342" s="13"/>
      <c r="C342" s="13"/>
      <c r="D342" s="13"/>
      <c r="E342" s="13" t="n">
        <f aca="false">Helpers!C8</f>
        <v>11187175.79</v>
      </c>
      <c r="F342" s="13" t="n">
        <f aca="false">Helpers!D8</f>
        <v>10356493.69</v>
      </c>
      <c r="G342" s="13" t="n">
        <f aca="false">Helpers!E8</f>
        <v>9450240.48</v>
      </c>
      <c r="H342" s="13" t="n">
        <f aca="false">Helpers!F8</f>
        <v>8485833.11</v>
      </c>
      <c r="I342" s="13" t="n">
        <f aca="false">Helpers!G8</f>
        <v>6546008.3</v>
      </c>
      <c r="J342" s="13" t="n">
        <f aca="false">Helpers!H8</f>
        <v>5950977.14</v>
      </c>
      <c r="K342" s="13" t="n">
        <f aca="false">Helpers!I8</f>
        <v>5403449.04</v>
      </c>
      <c r="L342" s="13" t="n">
        <f aca="false">Helpers!J8</f>
        <v>4778618.53</v>
      </c>
      <c r="M342" s="13" t="n">
        <f aca="false">Helpers!K8</f>
        <v>4012283.82</v>
      </c>
      <c r="N342" s="13" t="n">
        <f aca="false">Helpers!L8</f>
        <v>3317496.87</v>
      </c>
      <c r="O342" s="13" t="n">
        <f aca="false">Helpers!M8</f>
        <v>2693094.26</v>
      </c>
      <c r="P342" s="13" t="n">
        <f aca="false">Helpers!N8</f>
        <v>1981609.96</v>
      </c>
      <c r="Q342" s="13" t="n">
        <f aca="false">Helpers!O8</f>
        <v>1250721.11</v>
      </c>
      <c r="R342" s="13" t="n">
        <f aca="false">Helpers!P8</f>
        <v>661631.3</v>
      </c>
      <c r="S342" s="13" t="n">
        <f aca="false">Helpers!Q8</f>
        <v>297802.14</v>
      </c>
      <c r="T342" s="13" t="n">
        <f aca="false">Helpers!R8</f>
        <v>126194.42</v>
      </c>
      <c r="U342" s="13" t="n">
        <f aca="false">Helpers!S8</f>
        <v>0</v>
      </c>
      <c r="V342" s="13" t="n">
        <f aca="false">Helpers!T8</f>
        <v>0</v>
      </c>
      <c r="W342" s="13" t="n">
        <f aca="false">Helpers!U8</f>
        <v>0</v>
      </c>
      <c r="X342" s="13" t="n">
        <f aca="false">Helpers!V8</f>
        <v>0</v>
      </c>
      <c r="Y342" s="13" t="n">
        <f aca="false">Helpers!W8</f>
        <v>0</v>
      </c>
      <c r="Z342" s="13" t="n">
        <f aca="false">Helpers!X8</f>
        <v>0</v>
      </c>
      <c r="AA342" s="13" t="n">
        <f aca="false">Helpers!Y8</f>
        <v>0</v>
      </c>
      <c r="AB342" s="13" t="n">
        <f aca="false">Helpers!Z8</f>
        <v>0</v>
      </c>
      <c r="AC342" s="13" t="n">
        <f aca="false">Helpers!AA8</f>
        <v>0</v>
      </c>
      <c r="AD342" s="13" t="n">
        <f aca="false">Helpers!AB8</f>
        <v>0</v>
      </c>
      <c r="AE342" s="13" t="n">
        <f aca="false">Helpers!AC8</f>
        <v>0</v>
      </c>
      <c r="AF342" s="13" t="n">
        <f aca="false">Helpers!AD8</f>
        <v>0</v>
      </c>
      <c r="AG342" s="13" t="n">
        <f aca="false">Helpers!AE8</f>
        <v>0</v>
      </c>
      <c r="AH342" s="13" t="n">
        <f aca="false">Helpers!AF8</f>
        <v>0</v>
      </c>
      <c r="AI342" s="13" t="n">
        <f aca="false">Helpers!AG8</f>
        <v>0</v>
      </c>
      <c r="AJ342" s="13" t="n">
        <f aca="false">Helpers!AH8</f>
        <v>0</v>
      </c>
      <c r="AK342" s="13" t="n">
        <f aca="false">Helpers!AI8</f>
        <v>0</v>
      </c>
      <c r="AL342" s="13" t="n">
        <f aca="false">Helpers!AJ8</f>
        <v>0</v>
      </c>
      <c r="AM342" s="13" t="n">
        <f aca="false">Helpers!AK8</f>
        <v>0</v>
      </c>
      <c r="AN342" s="13" t="n">
        <f aca="false">Helpers!AL8</f>
        <v>0</v>
      </c>
      <c r="AO342" s="13" t="n">
        <f aca="false">Helpers!AM8</f>
        <v>0</v>
      </c>
      <c r="AP342" s="13" t="n">
        <f aca="false">Helpers!AN8</f>
        <v>0</v>
      </c>
      <c r="AQ342" s="13" t="n">
        <f aca="false">Helpers!AO8</f>
        <v>0</v>
      </c>
      <c r="AR342" s="13" t="n">
        <f aca="false">Helpers!AP8</f>
        <v>0</v>
      </c>
      <c r="AS342" s="13" t="n">
        <f aca="false">Helpers!AQ8</f>
        <v>0</v>
      </c>
      <c r="AT342" s="13" t="n">
        <f aca="false">Helpers!AR8</f>
        <v>0</v>
      </c>
      <c r="AU342" s="13" t="n">
        <f aca="false">Helpers!AS8</f>
        <v>0</v>
      </c>
      <c r="AV342" s="13" t="n">
        <f aca="false">Helpers!AT8</f>
        <v>0</v>
      </c>
      <c r="AW342" s="13" t="n">
        <f aca="false">Helpers!AU8</f>
        <v>0</v>
      </c>
      <c r="AX342" s="13" t="n">
        <f aca="false">Helpers!AV8</f>
        <v>0</v>
      </c>
      <c r="AY342" s="13" t="n">
        <f aca="false">Helpers!AW8</f>
        <v>0</v>
      </c>
      <c r="AZ342" s="13" t="n">
        <f aca="false">Helpers!AX8</f>
        <v>0</v>
      </c>
      <c r="BA342" s="13" t="n">
        <f aca="false">Helpers!AY8</f>
        <v>0</v>
      </c>
      <c r="BB342" s="13" t="n">
        <f aca="false">Helpers!AZ8</f>
        <v>0</v>
      </c>
      <c r="BC342" s="13" t="n">
        <f aca="false">Helpers!BA8</f>
        <v>0</v>
      </c>
      <c r="BD342" s="13" t="n">
        <f aca="false">Helpers!BB8</f>
        <v>0</v>
      </c>
      <c r="BE342" s="13" t="n">
        <f aca="false">Helpers!BC8</f>
        <v>0</v>
      </c>
      <c r="BF342" s="13" t="n">
        <f aca="false">Helpers!BD8</f>
        <v>0</v>
      </c>
      <c r="BG342" s="13" t="n">
        <f aca="false">Helpers!BE8</f>
        <v>0</v>
      </c>
      <c r="BH342" s="13" t="n">
        <f aca="false">Helpers!BF8</f>
        <v>0</v>
      </c>
      <c r="BI342" s="13" t="n">
        <f aca="false">Helpers!BG8</f>
        <v>0</v>
      </c>
      <c r="BJ342" s="13" t="n">
        <f aca="false">Helpers!BH8</f>
        <v>0</v>
      </c>
      <c r="BK342" s="13" t="n">
        <f aca="false">Helpers!BI8</f>
        <v>0</v>
      </c>
      <c r="BL342" s="13" t="n">
        <f aca="false">Helpers!BJ8</f>
        <v>0</v>
      </c>
      <c r="BM342" s="13" t="n">
        <f aca="false">Helpers!BK8</f>
        <v>0</v>
      </c>
      <c r="BN342" s="13" t="n">
        <f aca="false">Helpers!BL8</f>
        <v>0</v>
      </c>
      <c r="BO342" s="13" t="n">
        <f aca="false">Helpers!BM8</f>
        <v>0</v>
      </c>
      <c r="BP342" s="13" t="n">
        <f aca="false">Helpers!BN8</f>
        <v>0</v>
      </c>
      <c r="BQ342" s="13" t="n">
        <f aca="false">Helpers!BO8</f>
        <v>0</v>
      </c>
      <c r="BR342" s="13" t="n">
        <f aca="false">Helpers!BP8</f>
        <v>0</v>
      </c>
      <c r="BS342" s="13" t="n">
        <f aca="false">Helpers!BQ8</f>
        <v>0</v>
      </c>
      <c r="BT342" s="13" t="n">
        <f aca="false">Helpers!BR8</f>
        <v>0</v>
      </c>
      <c r="BU342" s="13" t="n">
        <f aca="false">Helpers!BS8</f>
        <v>0</v>
      </c>
      <c r="BV342" s="13" t="n">
        <f aca="false">Helpers!BT8</f>
        <v>0</v>
      </c>
      <c r="BW342" s="13" t="n">
        <f aca="false">Helpers!BU8</f>
        <v>0</v>
      </c>
      <c r="BX342" s="13" t="n">
        <f aca="false">Helpers!BV8</f>
        <v>0</v>
      </c>
      <c r="BY342" s="13" t="n">
        <f aca="false">Helpers!BW8</f>
        <v>0</v>
      </c>
      <c r="BZ342" s="13" t="n">
        <f aca="false">Helpers!BX8</f>
        <v>0</v>
      </c>
      <c r="CA342" s="13" t="n">
        <f aca="false">Helpers!BY8</f>
        <v>0</v>
      </c>
      <c r="CB342" s="13" t="n">
        <f aca="false">Helpers!BZ8</f>
        <v>0</v>
      </c>
      <c r="CC342" s="13" t="n">
        <f aca="false">Helpers!CA8</f>
        <v>0</v>
      </c>
      <c r="CD342" s="13" t="n">
        <f aca="false">Helpers!CB8</f>
        <v>0</v>
      </c>
      <c r="CE342" s="13" t="n">
        <f aca="false">Helpers!CC8</f>
        <v>0</v>
      </c>
      <c r="CF342" s="13" t="n">
        <f aca="false">Helpers!CD8</f>
        <v>0</v>
      </c>
      <c r="CG342" s="13" t="n">
        <f aca="false">Helpers!CE8</f>
        <v>0</v>
      </c>
      <c r="CH342" s="13" t="n">
        <f aca="false">Helpers!CF8</f>
        <v>0</v>
      </c>
      <c r="CI342" s="13" t="n">
        <f aca="false">Helpers!CG8</f>
        <v>0</v>
      </c>
      <c r="CJ342" s="13" t="n">
        <f aca="false">Helpers!CH8</f>
        <v>0</v>
      </c>
      <c r="CK342" s="13" t="n">
        <f aca="false">Helpers!CI8</f>
        <v>0</v>
      </c>
      <c r="CL342" s="13" t="n">
        <f aca="false">Helpers!CJ8</f>
        <v>0</v>
      </c>
      <c r="CM342" s="13" t="n">
        <f aca="false">Helpers!CK8</f>
        <v>0</v>
      </c>
      <c r="CN342" s="13" t="n">
        <f aca="false">Helpers!CL8</f>
        <v>0</v>
      </c>
      <c r="CO342" s="13" t="n">
        <f aca="false">Helpers!CM8</f>
        <v>0</v>
      </c>
      <c r="CP342" s="13" t="n">
        <f aca="false">Helpers!CN8</f>
        <v>0</v>
      </c>
      <c r="CQ342" s="13" t="n">
        <f aca="false">Helpers!CO8</f>
        <v>0</v>
      </c>
      <c r="CR342" s="13" t="n">
        <f aca="false">Helpers!CP8</f>
        <v>0</v>
      </c>
      <c r="CS342" s="13" t="n">
        <f aca="false">Helpers!CQ8</f>
        <v>0</v>
      </c>
      <c r="CT342" s="13" t="n">
        <f aca="false">Helpers!CR8</f>
        <v>0</v>
      </c>
      <c r="CU342" s="13" t="n">
        <f aca="false">Helpers!CS8</f>
        <v>0</v>
      </c>
      <c r="CV342" s="13" t="n">
        <f aca="false">Helpers!CT8</f>
        <v>0</v>
      </c>
      <c r="CW342" s="13" t="n">
        <f aca="false">Helpers!CU8</f>
        <v>0</v>
      </c>
      <c r="CX342" s="13" t="n">
        <f aca="false">Helpers!CV8</f>
        <v>0</v>
      </c>
      <c r="CY342" s="13" t="n">
        <f aca="false">Helpers!CW8</f>
        <v>0</v>
      </c>
      <c r="CZ342" s="13" t="n">
        <f aca="false">Helpers!CX8</f>
        <v>0</v>
      </c>
      <c r="DA342" s="13" t="n">
        <f aca="false">Helpers!CY8</f>
        <v>0</v>
      </c>
      <c r="DB342" s="13" t="n">
        <f aca="false">Helpers!CZ8</f>
        <v>0</v>
      </c>
      <c r="DC342" s="13" t="n">
        <f aca="false">Helpers!DA8</f>
        <v>0</v>
      </c>
      <c r="DD342" s="13" t="n">
        <f aca="false">Helpers!DB8</f>
        <v>0</v>
      </c>
      <c r="DE342" s="13" t="n">
        <f aca="false">Helpers!DC8</f>
        <v>0</v>
      </c>
    </row>
    <row r="343" customFormat="false" ht="15" hidden="false" customHeight="true" outlineLevel="0" collapsed="false">
      <c r="A343" s="22" t="s">
        <v>10</v>
      </c>
      <c r="B343" s="13"/>
      <c r="C343" s="13"/>
      <c r="D343" s="13"/>
      <c r="E343" s="13" t="n">
        <f aca="false">Helpers!C9</f>
        <v>13529664.56</v>
      </c>
      <c r="F343" s="13" t="n">
        <f aca="false">Helpers!D9</f>
        <v>12525045.48</v>
      </c>
      <c r="G343" s="13" t="n">
        <f aca="false">Helpers!E9</f>
        <v>11429031.43</v>
      </c>
      <c r="H343" s="13" t="n">
        <f aca="false">Helpers!F9</f>
        <v>10262686.27</v>
      </c>
      <c r="I343" s="13" t="n">
        <f aca="false">Helpers!G9</f>
        <v>9354156.4</v>
      </c>
      <c r="J343" s="13" t="n">
        <f aca="false">Helpers!H9</f>
        <v>8576474.68</v>
      </c>
      <c r="K343" s="13" t="n">
        <f aca="false">Helpers!I9</f>
        <v>7686708.76</v>
      </c>
      <c r="L343" s="13" t="n">
        <f aca="false">Helpers!J9</f>
        <v>7003935.62</v>
      </c>
      <c r="M343" s="13" t="n">
        <f aca="false">Helpers!K9</f>
        <v>6232412.67</v>
      </c>
      <c r="N343" s="13" t="n">
        <f aca="false">Helpers!L9</f>
        <v>5543806.21</v>
      </c>
      <c r="O343" s="13" t="n">
        <f aca="false">Helpers!M9</f>
        <v>4887352.83</v>
      </c>
      <c r="P343" s="13" t="n">
        <f aca="false">Helpers!N9</f>
        <v>4294423.23</v>
      </c>
      <c r="Q343" s="13" t="n">
        <f aca="false">Helpers!O9</f>
        <v>3826241.58</v>
      </c>
      <c r="R343" s="13" t="n">
        <f aca="false">Helpers!P9</f>
        <v>3410361.03</v>
      </c>
      <c r="S343" s="13" t="n">
        <f aca="false">Helpers!Q9</f>
        <v>2510448.86</v>
      </c>
      <c r="T343" s="13" t="n">
        <f aca="false">Helpers!R9</f>
        <v>1384588.44</v>
      </c>
      <c r="U343" s="13" t="n">
        <f aca="false">Helpers!S9</f>
        <v>631341.78</v>
      </c>
      <c r="V343" s="13" t="n">
        <f aca="false">Helpers!T9</f>
        <v>164743.84</v>
      </c>
      <c r="W343" s="13" t="n">
        <f aca="false">Helpers!U9</f>
        <v>0</v>
      </c>
      <c r="X343" s="13" t="n">
        <f aca="false">Helpers!V9</f>
        <v>0</v>
      </c>
      <c r="Y343" s="13" t="n">
        <f aca="false">Helpers!W9</f>
        <v>0</v>
      </c>
      <c r="Z343" s="13" t="n">
        <f aca="false">Helpers!X9</f>
        <v>0</v>
      </c>
      <c r="AA343" s="13" t="n">
        <f aca="false">Helpers!Y9</f>
        <v>0</v>
      </c>
      <c r="AB343" s="13" t="n">
        <f aca="false">Helpers!Z9</f>
        <v>0</v>
      </c>
      <c r="AC343" s="13" t="n">
        <f aca="false">Helpers!AA9</f>
        <v>0</v>
      </c>
      <c r="AD343" s="13" t="n">
        <f aca="false">Helpers!AB9</f>
        <v>0</v>
      </c>
      <c r="AE343" s="13" t="n">
        <f aca="false">Helpers!AC9</f>
        <v>0</v>
      </c>
      <c r="AF343" s="13" t="n">
        <f aca="false">Helpers!AD9</f>
        <v>0</v>
      </c>
      <c r="AG343" s="13" t="n">
        <f aca="false">Helpers!AE9</f>
        <v>0</v>
      </c>
      <c r="AH343" s="13" t="n">
        <f aca="false">Helpers!AF9</f>
        <v>0</v>
      </c>
      <c r="AI343" s="13" t="n">
        <f aca="false">Helpers!AG9</f>
        <v>0</v>
      </c>
      <c r="AJ343" s="13" t="n">
        <f aca="false">Helpers!AH9</f>
        <v>0</v>
      </c>
      <c r="AK343" s="13" t="n">
        <f aca="false">Helpers!AI9</f>
        <v>0</v>
      </c>
      <c r="AL343" s="13" t="n">
        <f aca="false">Helpers!AJ9</f>
        <v>0</v>
      </c>
      <c r="AM343" s="13" t="n">
        <f aca="false">Helpers!AK9</f>
        <v>0</v>
      </c>
      <c r="AN343" s="13" t="n">
        <f aca="false">Helpers!AL9</f>
        <v>0</v>
      </c>
      <c r="AO343" s="13" t="n">
        <f aca="false">Helpers!AM9</f>
        <v>0</v>
      </c>
      <c r="AP343" s="13" t="n">
        <f aca="false">Helpers!AN9</f>
        <v>0</v>
      </c>
      <c r="AQ343" s="13" t="n">
        <f aca="false">Helpers!AO9</f>
        <v>0</v>
      </c>
      <c r="AR343" s="13" t="n">
        <f aca="false">Helpers!AP9</f>
        <v>0</v>
      </c>
      <c r="AS343" s="13" t="n">
        <f aca="false">Helpers!AQ9</f>
        <v>0</v>
      </c>
      <c r="AT343" s="13" t="n">
        <f aca="false">Helpers!AR9</f>
        <v>0</v>
      </c>
      <c r="AU343" s="13" t="n">
        <f aca="false">Helpers!AS9</f>
        <v>0</v>
      </c>
      <c r="AV343" s="13" t="n">
        <f aca="false">Helpers!AT9</f>
        <v>0</v>
      </c>
      <c r="AW343" s="13" t="n">
        <f aca="false">Helpers!AU9</f>
        <v>0</v>
      </c>
      <c r="AX343" s="13" t="n">
        <f aca="false">Helpers!AV9</f>
        <v>0</v>
      </c>
      <c r="AY343" s="13" t="n">
        <f aca="false">Helpers!AW9</f>
        <v>0</v>
      </c>
      <c r="AZ343" s="13" t="n">
        <f aca="false">Helpers!AX9</f>
        <v>0</v>
      </c>
      <c r="BA343" s="13" t="n">
        <f aca="false">Helpers!AY9</f>
        <v>0</v>
      </c>
      <c r="BB343" s="13" t="n">
        <f aca="false">Helpers!AZ9</f>
        <v>0</v>
      </c>
      <c r="BC343" s="13" t="n">
        <f aca="false">Helpers!BA9</f>
        <v>0</v>
      </c>
      <c r="BD343" s="13" t="n">
        <f aca="false">Helpers!BB9</f>
        <v>0</v>
      </c>
      <c r="BE343" s="13" t="n">
        <f aca="false">Helpers!BC9</f>
        <v>0</v>
      </c>
      <c r="BF343" s="13" t="n">
        <f aca="false">Helpers!BD9</f>
        <v>0</v>
      </c>
      <c r="BG343" s="13" t="n">
        <f aca="false">Helpers!BE9</f>
        <v>0</v>
      </c>
      <c r="BH343" s="13" t="n">
        <f aca="false">Helpers!BF9</f>
        <v>0</v>
      </c>
      <c r="BI343" s="13" t="n">
        <f aca="false">Helpers!BG9</f>
        <v>0</v>
      </c>
      <c r="BJ343" s="13" t="n">
        <f aca="false">Helpers!BH9</f>
        <v>0</v>
      </c>
      <c r="BK343" s="13" t="n">
        <f aca="false">Helpers!BI9</f>
        <v>0</v>
      </c>
      <c r="BL343" s="13" t="n">
        <f aca="false">Helpers!BJ9</f>
        <v>0</v>
      </c>
      <c r="BM343" s="13" t="n">
        <f aca="false">Helpers!BK9</f>
        <v>0</v>
      </c>
      <c r="BN343" s="13" t="n">
        <f aca="false">Helpers!BL9</f>
        <v>0</v>
      </c>
      <c r="BO343" s="13" t="n">
        <f aca="false">Helpers!BM9</f>
        <v>0</v>
      </c>
      <c r="BP343" s="13" t="n">
        <f aca="false">Helpers!BN9</f>
        <v>0</v>
      </c>
      <c r="BQ343" s="13" t="n">
        <f aca="false">Helpers!BO9</f>
        <v>0</v>
      </c>
      <c r="BR343" s="13" t="n">
        <f aca="false">Helpers!BP9</f>
        <v>0</v>
      </c>
      <c r="BS343" s="13" t="n">
        <f aca="false">Helpers!BQ9</f>
        <v>0</v>
      </c>
      <c r="BT343" s="13" t="n">
        <f aca="false">Helpers!BR9</f>
        <v>0</v>
      </c>
      <c r="BU343" s="13" t="n">
        <f aca="false">Helpers!BS9</f>
        <v>0</v>
      </c>
      <c r="BV343" s="13" t="n">
        <f aca="false">Helpers!BT9</f>
        <v>0</v>
      </c>
      <c r="BW343" s="13" t="n">
        <f aca="false">Helpers!BU9</f>
        <v>0</v>
      </c>
      <c r="BX343" s="13" t="n">
        <f aca="false">Helpers!BV9</f>
        <v>0</v>
      </c>
      <c r="BY343" s="13" t="n">
        <f aca="false">Helpers!BW9</f>
        <v>0</v>
      </c>
      <c r="BZ343" s="13" t="n">
        <f aca="false">Helpers!BX9</f>
        <v>0</v>
      </c>
      <c r="CA343" s="13" t="n">
        <f aca="false">Helpers!BY9</f>
        <v>0</v>
      </c>
      <c r="CB343" s="13" t="n">
        <f aca="false">Helpers!BZ9</f>
        <v>0</v>
      </c>
      <c r="CC343" s="13" t="n">
        <f aca="false">Helpers!CA9</f>
        <v>0</v>
      </c>
      <c r="CD343" s="13" t="n">
        <f aca="false">Helpers!CB9</f>
        <v>0</v>
      </c>
      <c r="CE343" s="13" t="n">
        <f aca="false">Helpers!CC9</f>
        <v>0</v>
      </c>
      <c r="CF343" s="13" t="n">
        <f aca="false">Helpers!CD9</f>
        <v>0</v>
      </c>
      <c r="CG343" s="13" t="n">
        <f aca="false">Helpers!CE9</f>
        <v>0</v>
      </c>
      <c r="CH343" s="13" t="n">
        <f aca="false">Helpers!CF9</f>
        <v>0</v>
      </c>
      <c r="CI343" s="13" t="n">
        <f aca="false">Helpers!CG9</f>
        <v>0</v>
      </c>
      <c r="CJ343" s="13" t="n">
        <f aca="false">Helpers!CH9</f>
        <v>0</v>
      </c>
      <c r="CK343" s="13" t="n">
        <f aca="false">Helpers!CI9</f>
        <v>0</v>
      </c>
      <c r="CL343" s="13" t="n">
        <f aca="false">Helpers!CJ9</f>
        <v>0</v>
      </c>
      <c r="CM343" s="13" t="n">
        <f aca="false">Helpers!CK9</f>
        <v>0</v>
      </c>
      <c r="CN343" s="13" t="n">
        <f aca="false">Helpers!CL9</f>
        <v>0</v>
      </c>
      <c r="CO343" s="13" t="n">
        <f aca="false">Helpers!CM9</f>
        <v>0</v>
      </c>
      <c r="CP343" s="13" t="n">
        <f aca="false">Helpers!CN9</f>
        <v>0</v>
      </c>
      <c r="CQ343" s="13" t="n">
        <f aca="false">Helpers!CO9</f>
        <v>0</v>
      </c>
      <c r="CR343" s="13" t="n">
        <f aca="false">Helpers!CP9</f>
        <v>0</v>
      </c>
      <c r="CS343" s="13" t="n">
        <f aca="false">Helpers!CQ9</f>
        <v>0</v>
      </c>
      <c r="CT343" s="13" t="n">
        <f aca="false">Helpers!CR9</f>
        <v>0</v>
      </c>
      <c r="CU343" s="13" t="n">
        <f aca="false">Helpers!CS9</f>
        <v>0</v>
      </c>
      <c r="CV343" s="13" t="n">
        <f aca="false">Helpers!CT9</f>
        <v>0</v>
      </c>
      <c r="CW343" s="13" t="n">
        <f aca="false">Helpers!CU9</f>
        <v>0</v>
      </c>
      <c r="CX343" s="13" t="n">
        <f aca="false">Helpers!CV9</f>
        <v>0</v>
      </c>
      <c r="CY343" s="13" t="n">
        <f aca="false">Helpers!CW9</f>
        <v>0</v>
      </c>
      <c r="CZ343" s="13" t="n">
        <f aca="false">Helpers!CX9</f>
        <v>0</v>
      </c>
      <c r="DA343" s="13" t="n">
        <f aca="false">Helpers!CY9</f>
        <v>0</v>
      </c>
      <c r="DB343" s="13" t="n">
        <f aca="false">Helpers!CZ9</f>
        <v>0</v>
      </c>
      <c r="DC343" s="13" t="n">
        <f aca="false">Helpers!DA9</f>
        <v>0</v>
      </c>
      <c r="DD343" s="13" t="n">
        <f aca="false">Helpers!DB9</f>
        <v>0</v>
      </c>
      <c r="DE343" s="13" t="n">
        <f aca="false">Helpers!DC9</f>
        <v>0</v>
      </c>
    </row>
    <row r="344" customFormat="false" ht="15" hidden="false" customHeight="true" outlineLevel="0" collapsed="false">
      <c r="A344" s="22" t="s">
        <v>12</v>
      </c>
      <c r="B344" s="13"/>
      <c r="C344" s="13"/>
      <c r="D344" s="13"/>
      <c r="E344" s="13" t="n">
        <f aca="false">Helpers!C10</f>
        <v>0</v>
      </c>
      <c r="F344" s="13" t="n">
        <f aca="false">Helpers!D10</f>
        <v>0</v>
      </c>
      <c r="G344" s="13" t="n">
        <f aca="false">Helpers!E10</f>
        <v>0</v>
      </c>
      <c r="H344" s="13" t="n">
        <f aca="false">Helpers!F10</f>
        <v>0</v>
      </c>
      <c r="I344" s="13" t="n">
        <f aca="false">Helpers!G10</f>
        <v>42418193.38</v>
      </c>
      <c r="J344" s="13" t="n">
        <f aca="false">Helpers!H10</f>
        <v>41557159.51</v>
      </c>
      <c r="K344" s="13" t="n">
        <f aca="false">Helpers!I10</f>
        <v>40347746.5</v>
      </c>
      <c r="L344" s="13" t="n">
        <f aca="false">Helpers!J10</f>
        <v>39561567.49</v>
      </c>
      <c r="M344" s="13" t="n">
        <f aca="false">Helpers!K10</f>
        <v>38972367.12</v>
      </c>
      <c r="N344" s="13" t="n">
        <f aca="false">Helpers!L10</f>
        <v>38221747.38</v>
      </c>
      <c r="O344" s="13" t="n">
        <f aca="false">Helpers!M10</f>
        <v>37614512.89</v>
      </c>
      <c r="P344" s="13" t="n">
        <f aca="false">Helpers!N10</f>
        <v>36881872.23</v>
      </c>
      <c r="Q344" s="13" t="n">
        <f aca="false">Helpers!O10</f>
        <v>36263088.93</v>
      </c>
      <c r="R344" s="13" t="n">
        <f aca="false">Helpers!P10</f>
        <v>35502601.32</v>
      </c>
      <c r="S344" s="13" t="n">
        <f aca="false">Helpers!Q10</f>
        <v>34787831.07</v>
      </c>
      <c r="T344" s="13" t="n">
        <f aca="false">Helpers!R10</f>
        <v>33505756.49</v>
      </c>
      <c r="U344" s="13" t="n">
        <f aca="false">Helpers!S10</f>
        <v>32686448.68</v>
      </c>
      <c r="V344" s="13" t="n">
        <f aca="false">Helpers!T10</f>
        <v>30243213.22</v>
      </c>
      <c r="W344" s="13" t="n">
        <f aca="false">Helpers!U10</f>
        <v>28699798.34</v>
      </c>
      <c r="X344" s="13" t="n">
        <f aca="false">Helpers!V10</f>
        <v>25529541</v>
      </c>
      <c r="Y344" s="13" t="n">
        <f aca="false">Helpers!W10</f>
        <v>23704130.61</v>
      </c>
      <c r="Z344" s="13" t="n">
        <f aca="false">Helpers!X10</f>
        <v>20828303.45</v>
      </c>
      <c r="AA344" s="13" t="n">
        <f aca="false">Helpers!Y10</f>
        <v>18426892.45</v>
      </c>
      <c r="AB344" s="13" t="n">
        <f aca="false">Helpers!Z10</f>
        <v>16789882.88</v>
      </c>
      <c r="AC344" s="13" t="n">
        <f aca="false">Helpers!AA10</f>
        <v>15753895.35</v>
      </c>
      <c r="AD344" s="13" t="n">
        <f aca="false">Helpers!AB10</f>
        <v>14527106.83</v>
      </c>
      <c r="AE344" s="13" t="n">
        <f aca="false">Helpers!AC10</f>
        <v>13375707.75</v>
      </c>
      <c r="AF344" s="13" t="n">
        <f aca="false">Helpers!AD10</f>
        <v>11951889.75</v>
      </c>
      <c r="AG344" s="13" t="n">
        <f aca="false">Helpers!AE10</f>
        <v>9479263.81</v>
      </c>
      <c r="AH344" s="13" t="n">
        <f aca="false">Helpers!AF10</f>
        <v>7184499.57</v>
      </c>
      <c r="AI344" s="13" t="n">
        <f aca="false">Helpers!AG10</f>
        <v>4941005.43</v>
      </c>
      <c r="AJ344" s="13" t="n">
        <f aca="false">Helpers!AH10</f>
        <v>3716991.2</v>
      </c>
      <c r="AK344" s="13" t="n">
        <f aca="false">Helpers!AI10</f>
        <v>2700888.54</v>
      </c>
      <c r="AL344" s="13" t="n">
        <f aca="false">Helpers!AJ10</f>
        <v>1565814.84</v>
      </c>
      <c r="AM344" s="13" t="n">
        <f aca="false">Helpers!AK10</f>
        <v>331958.4</v>
      </c>
      <c r="AN344" s="13" t="n">
        <f aca="false">Helpers!AL10</f>
        <v>0</v>
      </c>
      <c r="AO344" s="13" t="n">
        <f aca="false">Helpers!AM10</f>
        <v>0</v>
      </c>
      <c r="AP344" s="13" t="n">
        <f aca="false">Helpers!AN10</f>
        <v>0</v>
      </c>
      <c r="AQ344" s="13" t="n">
        <f aca="false">Helpers!AO10</f>
        <v>0</v>
      </c>
      <c r="AR344" s="13" t="n">
        <f aca="false">Helpers!AP10</f>
        <v>0</v>
      </c>
      <c r="AS344" s="13" t="n">
        <f aca="false">Helpers!AQ10</f>
        <v>0</v>
      </c>
      <c r="AT344" s="13" t="n">
        <f aca="false">Helpers!AR10</f>
        <v>0</v>
      </c>
      <c r="AU344" s="13" t="n">
        <f aca="false">Helpers!AS10</f>
        <v>0</v>
      </c>
      <c r="AV344" s="13" t="n">
        <f aca="false">Helpers!AT10</f>
        <v>0</v>
      </c>
      <c r="AW344" s="13" t="n">
        <f aca="false">Helpers!AU10</f>
        <v>0</v>
      </c>
      <c r="AX344" s="13" t="n">
        <f aca="false">Helpers!AV10</f>
        <v>0</v>
      </c>
      <c r="AY344" s="13" t="n">
        <f aca="false">Helpers!AW10</f>
        <v>0</v>
      </c>
      <c r="AZ344" s="13" t="n">
        <f aca="false">Helpers!AX10</f>
        <v>0</v>
      </c>
      <c r="BA344" s="13" t="n">
        <f aca="false">Helpers!AY10</f>
        <v>0</v>
      </c>
      <c r="BB344" s="13" t="n">
        <f aca="false">Helpers!AZ10</f>
        <v>0</v>
      </c>
      <c r="BC344" s="13" t="n">
        <f aca="false">Helpers!BA10</f>
        <v>0</v>
      </c>
      <c r="BD344" s="13" t="n">
        <f aca="false">Helpers!BB10</f>
        <v>0</v>
      </c>
      <c r="BE344" s="13" t="n">
        <f aca="false">Helpers!BC10</f>
        <v>0</v>
      </c>
      <c r="BF344" s="13" t="n">
        <f aca="false">Helpers!BD10</f>
        <v>0</v>
      </c>
      <c r="BG344" s="13" t="n">
        <f aca="false">Helpers!BE10</f>
        <v>0</v>
      </c>
      <c r="BH344" s="13" t="n">
        <f aca="false">Helpers!BF10</f>
        <v>0</v>
      </c>
      <c r="BI344" s="13" t="n">
        <f aca="false">Helpers!BG10</f>
        <v>0</v>
      </c>
      <c r="BJ344" s="13" t="n">
        <f aca="false">Helpers!BH10</f>
        <v>0</v>
      </c>
      <c r="BK344" s="13" t="n">
        <f aca="false">Helpers!BI10</f>
        <v>0</v>
      </c>
      <c r="BL344" s="13" t="n">
        <f aca="false">Helpers!BJ10</f>
        <v>0</v>
      </c>
      <c r="BM344" s="13" t="n">
        <f aca="false">Helpers!BK10</f>
        <v>0</v>
      </c>
      <c r="BN344" s="13" t="n">
        <f aca="false">Helpers!BL10</f>
        <v>0</v>
      </c>
      <c r="BO344" s="13" t="n">
        <f aca="false">Helpers!BM10</f>
        <v>0</v>
      </c>
      <c r="BP344" s="13" t="n">
        <f aca="false">Helpers!BN10</f>
        <v>0</v>
      </c>
      <c r="BQ344" s="13" t="n">
        <f aca="false">Helpers!BO10</f>
        <v>0</v>
      </c>
      <c r="BR344" s="13" t="n">
        <f aca="false">Helpers!BP10</f>
        <v>0</v>
      </c>
      <c r="BS344" s="13" t="n">
        <f aca="false">Helpers!BQ10</f>
        <v>0</v>
      </c>
      <c r="BT344" s="13" t="n">
        <f aca="false">Helpers!BR10</f>
        <v>0</v>
      </c>
      <c r="BU344" s="13" t="n">
        <f aca="false">Helpers!BS10</f>
        <v>0</v>
      </c>
      <c r="BV344" s="13" t="n">
        <f aca="false">Helpers!BT10</f>
        <v>0</v>
      </c>
      <c r="BW344" s="13" t="n">
        <f aca="false">Helpers!BU10</f>
        <v>0</v>
      </c>
      <c r="BX344" s="13" t="n">
        <f aca="false">Helpers!BV10</f>
        <v>0</v>
      </c>
      <c r="BY344" s="13" t="n">
        <f aca="false">Helpers!BW10</f>
        <v>0</v>
      </c>
      <c r="BZ344" s="13" t="n">
        <f aca="false">Helpers!BX10</f>
        <v>0</v>
      </c>
      <c r="CA344" s="13" t="n">
        <f aca="false">Helpers!BY10</f>
        <v>0</v>
      </c>
      <c r="CB344" s="13" t="n">
        <f aca="false">Helpers!BZ10</f>
        <v>0</v>
      </c>
      <c r="CC344" s="13" t="n">
        <f aca="false">Helpers!CA10</f>
        <v>0</v>
      </c>
      <c r="CD344" s="13" t="n">
        <f aca="false">Helpers!CB10</f>
        <v>0</v>
      </c>
      <c r="CE344" s="13" t="n">
        <f aca="false">Helpers!CC10</f>
        <v>0</v>
      </c>
      <c r="CF344" s="13" t="n">
        <f aca="false">Helpers!CD10</f>
        <v>0</v>
      </c>
      <c r="CG344" s="13" t="n">
        <f aca="false">Helpers!CE10</f>
        <v>0</v>
      </c>
      <c r="CH344" s="13" t="n">
        <f aca="false">Helpers!CF10</f>
        <v>0</v>
      </c>
      <c r="CI344" s="13" t="n">
        <f aca="false">Helpers!CG10</f>
        <v>0</v>
      </c>
      <c r="CJ344" s="13" t="n">
        <f aca="false">Helpers!CH10</f>
        <v>0</v>
      </c>
      <c r="CK344" s="13" t="n">
        <f aca="false">Helpers!CI10</f>
        <v>0</v>
      </c>
      <c r="CL344" s="13" t="n">
        <f aca="false">Helpers!CJ10</f>
        <v>0</v>
      </c>
      <c r="CM344" s="13" t="n">
        <f aca="false">Helpers!CK10</f>
        <v>0</v>
      </c>
      <c r="CN344" s="13" t="n">
        <f aca="false">Helpers!CL10</f>
        <v>0</v>
      </c>
      <c r="CO344" s="13" t="n">
        <f aca="false">Helpers!CM10</f>
        <v>0</v>
      </c>
      <c r="CP344" s="13" t="n">
        <f aca="false">Helpers!CN10</f>
        <v>0</v>
      </c>
      <c r="CQ344" s="13" t="n">
        <f aca="false">Helpers!CO10</f>
        <v>0</v>
      </c>
      <c r="CR344" s="13" t="n">
        <f aca="false">Helpers!CP10</f>
        <v>0</v>
      </c>
      <c r="CS344" s="13" t="n">
        <f aca="false">Helpers!CQ10</f>
        <v>0</v>
      </c>
      <c r="CT344" s="13" t="n">
        <f aca="false">Helpers!CR10</f>
        <v>0</v>
      </c>
      <c r="CU344" s="13" t="n">
        <f aca="false">Helpers!CS10</f>
        <v>0</v>
      </c>
      <c r="CV344" s="13" t="n">
        <f aca="false">Helpers!CT10</f>
        <v>0</v>
      </c>
      <c r="CW344" s="13" t="n">
        <f aca="false">Helpers!CU10</f>
        <v>0</v>
      </c>
      <c r="CX344" s="13" t="n">
        <f aca="false">Helpers!CV10</f>
        <v>0</v>
      </c>
      <c r="CY344" s="13" t="n">
        <f aca="false">Helpers!CW10</f>
        <v>0</v>
      </c>
      <c r="CZ344" s="13" t="n">
        <f aca="false">Helpers!CX10</f>
        <v>0</v>
      </c>
      <c r="DA344" s="13" t="n">
        <f aca="false">Helpers!CY10</f>
        <v>0</v>
      </c>
      <c r="DB344" s="13" t="n">
        <f aca="false">Helpers!CZ10</f>
        <v>0</v>
      </c>
      <c r="DC344" s="13" t="n">
        <f aca="false">Helpers!DA10</f>
        <v>0</v>
      </c>
      <c r="DD344" s="13" t="n">
        <f aca="false">Helpers!DB10</f>
        <v>0</v>
      </c>
      <c r="DE344" s="13" t="n">
        <f aca="false">Helpers!DC10</f>
        <v>0</v>
      </c>
    </row>
    <row r="345" customFormat="false" ht="15" hidden="false" customHeight="true" outlineLevel="0" collapsed="false">
      <c r="A345" s="22" t="s">
        <v>13</v>
      </c>
      <c r="B345" s="13"/>
      <c r="C345" s="13"/>
      <c r="D345" s="13"/>
      <c r="E345" s="13" t="n">
        <f aca="false">Helpers!C11</f>
        <v>0</v>
      </c>
      <c r="F345" s="13" t="n">
        <f aca="false">Helpers!D11</f>
        <v>0</v>
      </c>
      <c r="G345" s="13" t="n">
        <f aca="false">Helpers!E11</f>
        <v>0</v>
      </c>
      <c r="H345" s="13" t="n">
        <f aca="false">Helpers!F11</f>
        <v>0</v>
      </c>
      <c r="I345" s="13" t="n">
        <f aca="false">Helpers!G11</f>
        <v>0</v>
      </c>
      <c r="J345" s="13" t="n">
        <f aca="false">Helpers!H11</f>
        <v>12649220.0904822</v>
      </c>
      <c r="K345" s="13" t="n">
        <f aca="false">Helpers!I11</f>
        <v>12223530.9933081</v>
      </c>
      <c r="L345" s="13" t="n">
        <f aca="false">Helpers!J11</f>
        <v>11710510.727302</v>
      </c>
      <c r="M345" s="13" t="n">
        <f aca="false">Helpers!K11</f>
        <v>11107443.5932694</v>
      </c>
      <c r="N345" s="13" t="n">
        <f aca="false">Helpers!L11</f>
        <v>10415940.8194405</v>
      </c>
      <c r="O345" s="13" t="n">
        <f aca="false">Helpers!M11</f>
        <v>9642525.2813924</v>
      </c>
      <c r="P345" s="13" t="n">
        <f aca="false">Helpers!N11</f>
        <v>8798748.44603355</v>
      </c>
      <c r="Q345" s="13" t="n">
        <f aca="false">Helpers!O11</f>
        <v>7900826.54587435</v>
      </c>
      <c r="R345" s="13" t="n">
        <f aca="false">Helpers!P11</f>
        <v>6968757.00225575</v>
      </c>
      <c r="S345" s="13" t="n">
        <f aca="false">Helpers!Q11</f>
        <v>6025019.04774425</v>
      </c>
      <c r="T345" s="13" t="n">
        <f aca="false">Helpers!R11</f>
        <v>5092949.50412565</v>
      </c>
      <c r="U345" s="13" t="n">
        <f aca="false">Helpers!S11</f>
        <v>4195027.60396645</v>
      </c>
      <c r="V345" s="13" t="n">
        <f aca="false">Helpers!T11</f>
        <v>3351250.7686076</v>
      </c>
      <c r="W345" s="13" t="n">
        <f aca="false">Helpers!U11</f>
        <v>2577835.2305595</v>
      </c>
      <c r="X345" s="13" t="n">
        <f aca="false">Helpers!V11</f>
        <v>1886332.4567306</v>
      </c>
      <c r="Y345" s="13" t="n">
        <f aca="false">Helpers!W11</f>
        <v>1283265.322698</v>
      </c>
      <c r="Z345" s="13" t="n">
        <f aca="false">Helpers!X11</f>
        <v>770245.056691899</v>
      </c>
      <c r="AA345" s="13" t="n">
        <f aca="false">Helpers!Y11</f>
        <v>344555.95951785</v>
      </c>
      <c r="AB345" s="13" t="n">
        <f aca="false">Helpers!Z11</f>
        <v>0</v>
      </c>
      <c r="AC345" s="13" t="n">
        <f aca="false">Helpers!AA11</f>
        <v>0</v>
      </c>
      <c r="AD345" s="13" t="n">
        <f aca="false">Helpers!AB11</f>
        <v>0</v>
      </c>
      <c r="AE345" s="13" t="n">
        <f aca="false">Helpers!AC11</f>
        <v>0</v>
      </c>
      <c r="AF345" s="13" t="n">
        <f aca="false">Helpers!AD11</f>
        <v>0</v>
      </c>
      <c r="AG345" s="13" t="n">
        <f aca="false">Helpers!AE11</f>
        <v>0</v>
      </c>
      <c r="AH345" s="13" t="n">
        <f aca="false">Helpers!AF11</f>
        <v>0</v>
      </c>
      <c r="AI345" s="13" t="n">
        <f aca="false">Helpers!AG11</f>
        <v>0</v>
      </c>
      <c r="AJ345" s="13" t="n">
        <f aca="false">Helpers!AH11</f>
        <v>0</v>
      </c>
      <c r="AK345" s="13" t="n">
        <f aca="false">Helpers!AI11</f>
        <v>0</v>
      </c>
      <c r="AL345" s="13" t="n">
        <f aca="false">Helpers!AJ11</f>
        <v>0</v>
      </c>
      <c r="AM345" s="13" t="n">
        <f aca="false">Helpers!AK11</f>
        <v>0</v>
      </c>
      <c r="AN345" s="13" t="n">
        <f aca="false">Helpers!AL11</f>
        <v>0</v>
      </c>
      <c r="AO345" s="13" t="n">
        <f aca="false">Helpers!AM11</f>
        <v>0</v>
      </c>
      <c r="AP345" s="13" t="n">
        <f aca="false">Helpers!AN11</f>
        <v>0</v>
      </c>
      <c r="AQ345" s="13" t="n">
        <f aca="false">Helpers!AO11</f>
        <v>0</v>
      </c>
      <c r="AR345" s="13" t="n">
        <f aca="false">Helpers!AP11</f>
        <v>0</v>
      </c>
      <c r="AS345" s="13" t="n">
        <f aca="false">Helpers!AQ11</f>
        <v>0</v>
      </c>
      <c r="AT345" s="13" t="n">
        <f aca="false">Helpers!AR11</f>
        <v>0</v>
      </c>
      <c r="AU345" s="13" t="n">
        <f aca="false">Helpers!AS11</f>
        <v>0</v>
      </c>
      <c r="AV345" s="13" t="n">
        <f aca="false">Helpers!AT11</f>
        <v>0</v>
      </c>
      <c r="AW345" s="13" t="n">
        <f aca="false">Helpers!AU11</f>
        <v>0</v>
      </c>
      <c r="AX345" s="13" t="n">
        <f aca="false">Helpers!AV11</f>
        <v>0</v>
      </c>
      <c r="AY345" s="13" t="n">
        <f aca="false">Helpers!AW11</f>
        <v>0</v>
      </c>
      <c r="AZ345" s="13" t="n">
        <f aca="false">Helpers!AX11</f>
        <v>0</v>
      </c>
      <c r="BA345" s="13" t="n">
        <f aca="false">Helpers!AY11</f>
        <v>0</v>
      </c>
      <c r="BB345" s="13" t="n">
        <f aca="false">Helpers!AZ11</f>
        <v>0</v>
      </c>
      <c r="BC345" s="13" t="n">
        <f aca="false">Helpers!BA11</f>
        <v>0</v>
      </c>
      <c r="BD345" s="13" t="n">
        <f aca="false">Helpers!BB11</f>
        <v>0</v>
      </c>
      <c r="BE345" s="13" t="n">
        <f aca="false">Helpers!BC11</f>
        <v>0</v>
      </c>
      <c r="BF345" s="13" t="n">
        <f aca="false">Helpers!BD11</f>
        <v>0</v>
      </c>
      <c r="BG345" s="13" t="n">
        <f aca="false">Helpers!BE11</f>
        <v>0</v>
      </c>
      <c r="BH345" s="13" t="n">
        <f aca="false">Helpers!BF11</f>
        <v>0</v>
      </c>
      <c r="BI345" s="13" t="n">
        <f aca="false">Helpers!BG11</f>
        <v>0</v>
      </c>
      <c r="BJ345" s="13" t="n">
        <f aca="false">Helpers!BH11</f>
        <v>0</v>
      </c>
      <c r="BK345" s="13" t="n">
        <f aca="false">Helpers!BI11</f>
        <v>0</v>
      </c>
      <c r="BL345" s="13" t="n">
        <f aca="false">Helpers!BJ11</f>
        <v>0</v>
      </c>
      <c r="BM345" s="13" t="n">
        <f aca="false">Helpers!BK11</f>
        <v>0</v>
      </c>
      <c r="BN345" s="13" t="n">
        <f aca="false">Helpers!BL11</f>
        <v>0</v>
      </c>
      <c r="BO345" s="13" t="n">
        <f aca="false">Helpers!BM11</f>
        <v>0</v>
      </c>
      <c r="BP345" s="13" t="n">
        <f aca="false">Helpers!BN11</f>
        <v>0</v>
      </c>
      <c r="BQ345" s="13" t="n">
        <f aca="false">Helpers!BO11</f>
        <v>0</v>
      </c>
      <c r="BR345" s="13" t="n">
        <f aca="false">Helpers!BP11</f>
        <v>0</v>
      </c>
      <c r="BS345" s="13" t="n">
        <f aca="false">Helpers!BQ11</f>
        <v>0</v>
      </c>
      <c r="BT345" s="13" t="n">
        <f aca="false">Helpers!BR11</f>
        <v>0</v>
      </c>
      <c r="BU345" s="13" t="n">
        <f aca="false">Helpers!BS11</f>
        <v>0</v>
      </c>
      <c r="BV345" s="13" t="n">
        <f aca="false">Helpers!BT11</f>
        <v>0</v>
      </c>
      <c r="BW345" s="13" t="n">
        <f aca="false">Helpers!BU11</f>
        <v>0</v>
      </c>
      <c r="BX345" s="13" t="n">
        <f aca="false">Helpers!BV11</f>
        <v>0</v>
      </c>
      <c r="BY345" s="13" t="n">
        <f aca="false">Helpers!BW11</f>
        <v>0</v>
      </c>
      <c r="BZ345" s="13" t="n">
        <f aca="false">Helpers!BX11</f>
        <v>0</v>
      </c>
      <c r="CA345" s="13" t="n">
        <f aca="false">Helpers!BY11</f>
        <v>0</v>
      </c>
      <c r="CB345" s="13" t="n">
        <f aca="false">Helpers!BZ11</f>
        <v>0</v>
      </c>
      <c r="CC345" s="13" t="n">
        <f aca="false">Helpers!CA11</f>
        <v>0</v>
      </c>
      <c r="CD345" s="13" t="n">
        <f aca="false">Helpers!CB11</f>
        <v>0</v>
      </c>
      <c r="CE345" s="13" t="n">
        <f aca="false">Helpers!CC11</f>
        <v>0</v>
      </c>
      <c r="CF345" s="13" t="n">
        <f aca="false">Helpers!CD11</f>
        <v>0</v>
      </c>
      <c r="CG345" s="13" t="n">
        <f aca="false">Helpers!CE11</f>
        <v>0</v>
      </c>
      <c r="CH345" s="13" t="n">
        <f aca="false">Helpers!CF11</f>
        <v>0</v>
      </c>
      <c r="CI345" s="13" t="n">
        <f aca="false">Helpers!CG11</f>
        <v>0</v>
      </c>
      <c r="CJ345" s="13" t="n">
        <f aca="false">Helpers!CH11</f>
        <v>0</v>
      </c>
      <c r="CK345" s="13" t="n">
        <f aca="false">Helpers!CI11</f>
        <v>0</v>
      </c>
      <c r="CL345" s="13" t="n">
        <f aca="false">Helpers!CJ11</f>
        <v>0</v>
      </c>
      <c r="CM345" s="13" t="n">
        <f aca="false">Helpers!CK11</f>
        <v>0</v>
      </c>
      <c r="CN345" s="13" t="n">
        <f aca="false">Helpers!CL11</f>
        <v>0</v>
      </c>
      <c r="CO345" s="13" t="n">
        <f aca="false">Helpers!CM11</f>
        <v>0</v>
      </c>
      <c r="CP345" s="13" t="n">
        <f aca="false">Helpers!CN11</f>
        <v>0</v>
      </c>
      <c r="CQ345" s="13" t="n">
        <f aca="false">Helpers!CO11</f>
        <v>0</v>
      </c>
      <c r="CR345" s="13" t="n">
        <f aca="false">Helpers!CP11</f>
        <v>0</v>
      </c>
      <c r="CS345" s="13" t="n">
        <f aca="false">Helpers!CQ11</f>
        <v>0</v>
      </c>
      <c r="CT345" s="13" t="n">
        <f aca="false">Helpers!CR11</f>
        <v>0</v>
      </c>
      <c r="CU345" s="13" t="n">
        <f aca="false">Helpers!CS11</f>
        <v>0</v>
      </c>
      <c r="CV345" s="13" t="n">
        <f aca="false">Helpers!CT11</f>
        <v>0</v>
      </c>
      <c r="CW345" s="13" t="n">
        <f aca="false">Helpers!CU11</f>
        <v>0</v>
      </c>
      <c r="CX345" s="13" t="n">
        <f aca="false">Helpers!CV11</f>
        <v>0</v>
      </c>
      <c r="CY345" s="13" t="n">
        <f aca="false">Helpers!CW11</f>
        <v>0</v>
      </c>
      <c r="CZ345" s="13" t="n">
        <f aca="false">Helpers!CX11</f>
        <v>0</v>
      </c>
      <c r="DA345" s="13" t="n">
        <f aca="false">Helpers!CY11</f>
        <v>0</v>
      </c>
      <c r="DB345" s="13" t="n">
        <f aca="false">Helpers!CZ11</f>
        <v>0</v>
      </c>
      <c r="DC345" s="13" t="n">
        <f aca="false">Helpers!DA11</f>
        <v>0</v>
      </c>
      <c r="DD345" s="13" t="n">
        <f aca="false">Helpers!DB11</f>
        <v>0</v>
      </c>
      <c r="DE345" s="13" t="n">
        <f aca="false">Helpers!DC11</f>
        <v>0</v>
      </c>
    </row>
    <row r="346" customFormat="false" ht="15" hidden="false" customHeight="true" outlineLevel="0" collapsed="false">
      <c r="A346" s="22" t="s">
        <v>14</v>
      </c>
      <c r="B346" s="13"/>
      <c r="C346" s="13"/>
      <c r="D346" s="13"/>
      <c r="E346" s="13" t="n">
        <f aca="false">Helpers!C12</f>
        <v>0</v>
      </c>
      <c r="F346" s="13" t="n">
        <f aca="false">Helpers!D12</f>
        <v>0</v>
      </c>
      <c r="G346" s="13" t="n">
        <f aca="false">Helpers!E12</f>
        <v>0</v>
      </c>
      <c r="H346" s="13" t="n">
        <f aca="false">Helpers!F12</f>
        <v>0</v>
      </c>
      <c r="I346" s="13" t="n">
        <f aca="false">Helpers!G12</f>
        <v>14106170.5891092</v>
      </c>
      <c r="J346" s="13" t="n">
        <f aca="false">Helpers!H12</f>
        <v>13840677.8231148</v>
      </c>
      <c r="K346" s="13" t="n">
        <f aca="false">Helpers!I12</f>
        <v>13538353.2763752</v>
      </c>
      <c r="L346" s="13" t="n">
        <f aca="false">Helpers!J12</f>
        <v>13197519.5186268</v>
      </c>
      <c r="M346" s="13" t="n">
        <f aca="false">Helpers!K12</f>
        <v>12817086.9370488</v>
      </c>
      <c r="N346" s="13" t="n">
        <f aca="false">Helpers!L12</f>
        <v>12396682.7693604</v>
      </c>
      <c r="O346" s="13" t="n">
        <f aca="false">Helpers!M12</f>
        <v>11936722.7888748</v>
      </c>
      <c r="P346" s="13" t="n">
        <f aca="false">Helpers!N12</f>
        <v>11438482.9895532</v>
      </c>
      <c r="Q346" s="13" t="n">
        <f aca="false">Helpers!O12</f>
        <v>10904156.934048</v>
      </c>
      <c r="R346" s="13" t="n">
        <f aca="false">Helpers!P12</f>
        <v>10336812.7426704</v>
      </c>
      <c r="S346" s="13" t="n">
        <f aca="false">Helpers!Q12</f>
        <v>9740407.4304012</v>
      </c>
      <c r="T346" s="13" t="n">
        <f aca="false">Helpers!R12</f>
        <v>9119686.5478152</v>
      </c>
      <c r="U346" s="13" t="n">
        <f aca="false">Helpers!S12</f>
        <v>8480069.4849948</v>
      </c>
      <c r="V346" s="13" t="n">
        <f aca="false">Helpers!T12</f>
        <v>7827549.1124544</v>
      </c>
      <c r="W346" s="13" t="n">
        <f aca="false">Helpers!U12</f>
        <v>7168476.7259784</v>
      </c>
      <c r="X346" s="13" t="n">
        <f aca="false">Helpers!V12</f>
        <v>6509404.3395024</v>
      </c>
      <c r="Y346" s="13" t="n">
        <f aca="false">Helpers!W12</f>
        <v>5856883.966962</v>
      </c>
      <c r="Z346" s="13" t="n">
        <f aca="false">Helpers!X12</f>
        <v>5217266.9041416</v>
      </c>
      <c r="AA346" s="13" t="n">
        <f aca="false">Helpers!Y12</f>
        <v>4596546.0215556</v>
      </c>
      <c r="AB346" s="13" t="n">
        <f aca="false">Helpers!Z12</f>
        <v>0</v>
      </c>
      <c r="AC346" s="13" t="n">
        <f aca="false">Helpers!AA12</f>
        <v>0</v>
      </c>
      <c r="AD346" s="13" t="n">
        <f aca="false">Helpers!AB12</f>
        <v>0</v>
      </c>
      <c r="AE346" s="13" t="n">
        <f aca="false">Helpers!AC12</f>
        <v>0</v>
      </c>
      <c r="AF346" s="13" t="n">
        <f aca="false">Helpers!AD12</f>
        <v>0</v>
      </c>
      <c r="AG346" s="13" t="n">
        <f aca="false">Helpers!AE12</f>
        <v>0</v>
      </c>
      <c r="AH346" s="13" t="n">
        <f aca="false">Helpers!AF12</f>
        <v>0</v>
      </c>
      <c r="AI346" s="13" t="n">
        <f aca="false">Helpers!AG12</f>
        <v>0</v>
      </c>
      <c r="AJ346" s="13" t="n">
        <f aca="false">Helpers!AH12</f>
        <v>0</v>
      </c>
      <c r="AK346" s="13" t="n">
        <f aca="false">Helpers!AI12</f>
        <v>0</v>
      </c>
      <c r="AL346" s="13" t="n">
        <f aca="false">Helpers!AJ12</f>
        <v>0</v>
      </c>
      <c r="AM346" s="13" t="n">
        <f aca="false">Helpers!AK12</f>
        <v>0</v>
      </c>
      <c r="AN346" s="13" t="n">
        <f aca="false">Helpers!AL12</f>
        <v>0</v>
      </c>
      <c r="AO346" s="13" t="n">
        <f aca="false">Helpers!AM12</f>
        <v>0</v>
      </c>
      <c r="AP346" s="13" t="n">
        <f aca="false">Helpers!AN12</f>
        <v>0</v>
      </c>
      <c r="AQ346" s="13" t="n">
        <f aca="false">Helpers!AO12</f>
        <v>0</v>
      </c>
      <c r="AR346" s="13" t="n">
        <f aca="false">Helpers!AP12</f>
        <v>0</v>
      </c>
      <c r="AS346" s="13" t="n">
        <f aca="false">Helpers!AQ12</f>
        <v>0</v>
      </c>
      <c r="AT346" s="13" t="n">
        <f aca="false">Helpers!AR12</f>
        <v>0</v>
      </c>
      <c r="AU346" s="13" t="n">
        <f aca="false">Helpers!AS12</f>
        <v>0</v>
      </c>
      <c r="AV346" s="13" t="n">
        <f aca="false">Helpers!AT12</f>
        <v>0</v>
      </c>
      <c r="AW346" s="13" t="n">
        <f aca="false">Helpers!AU12</f>
        <v>0</v>
      </c>
      <c r="AX346" s="13" t="n">
        <f aca="false">Helpers!AV12</f>
        <v>0</v>
      </c>
      <c r="AY346" s="13" t="n">
        <f aca="false">Helpers!AW12</f>
        <v>0</v>
      </c>
      <c r="AZ346" s="13" t="n">
        <f aca="false">Helpers!AX12</f>
        <v>0</v>
      </c>
      <c r="BA346" s="13" t="n">
        <f aca="false">Helpers!AY12</f>
        <v>0</v>
      </c>
      <c r="BB346" s="13" t="n">
        <f aca="false">Helpers!AZ12</f>
        <v>0</v>
      </c>
      <c r="BC346" s="13" t="n">
        <f aca="false">Helpers!BA12</f>
        <v>0</v>
      </c>
      <c r="BD346" s="13" t="n">
        <f aca="false">Helpers!BB12</f>
        <v>0</v>
      </c>
      <c r="BE346" s="13" t="n">
        <f aca="false">Helpers!BC12</f>
        <v>0</v>
      </c>
      <c r="BF346" s="13" t="n">
        <f aca="false">Helpers!BD12</f>
        <v>0</v>
      </c>
      <c r="BG346" s="13" t="n">
        <f aca="false">Helpers!BE12</f>
        <v>0</v>
      </c>
      <c r="BH346" s="13" t="n">
        <f aca="false">Helpers!BF12</f>
        <v>0</v>
      </c>
      <c r="BI346" s="13" t="n">
        <f aca="false">Helpers!BG12</f>
        <v>0</v>
      </c>
      <c r="BJ346" s="13" t="n">
        <f aca="false">Helpers!BH12</f>
        <v>0</v>
      </c>
      <c r="BK346" s="13" t="n">
        <f aca="false">Helpers!BI12</f>
        <v>0</v>
      </c>
      <c r="BL346" s="13" t="n">
        <f aca="false">Helpers!BJ12</f>
        <v>0</v>
      </c>
      <c r="BM346" s="13" t="n">
        <f aca="false">Helpers!BK12</f>
        <v>0</v>
      </c>
      <c r="BN346" s="13" t="n">
        <f aca="false">Helpers!BL12</f>
        <v>0</v>
      </c>
      <c r="BO346" s="13" t="n">
        <f aca="false">Helpers!BM12</f>
        <v>0</v>
      </c>
      <c r="BP346" s="13" t="n">
        <f aca="false">Helpers!BN12</f>
        <v>0</v>
      </c>
      <c r="BQ346" s="13" t="n">
        <f aca="false">Helpers!BO12</f>
        <v>0</v>
      </c>
      <c r="BR346" s="13" t="n">
        <f aca="false">Helpers!BP12</f>
        <v>0</v>
      </c>
      <c r="BS346" s="13" t="n">
        <f aca="false">Helpers!BQ12</f>
        <v>0</v>
      </c>
      <c r="BT346" s="13" t="n">
        <f aca="false">Helpers!BR12</f>
        <v>0</v>
      </c>
      <c r="BU346" s="13" t="n">
        <f aca="false">Helpers!BS12</f>
        <v>0</v>
      </c>
      <c r="BV346" s="13" t="n">
        <f aca="false">Helpers!BT12</f>
        <v>0</v>
      </c>
      <c r="BW346" s="13" t="n">
        <f aca="false">Helpers!BU12</f>
        <v>0</v>
      </c>
      <c r="BX346" s="13" t="n">
        <f aca="false">Helpers!BV12</f>
        <v>0</v>
      </c>
      <c r="BY346" s="13" t="n">
        <f aca="false">Helpers!BW12</f>
        <v>0</v>
      </c>
      <c r="BZ346" s="13" t="n">
        <f aca="false">Helpers!BX12</f>
        <v>0</v>
      </c>
      <c r="CA346" s="13" t="n">
        <f aca="false">Helpers!BY12</f>
        <v>0</v>
      </c>
      <c r="CB346" s="13" t="n">
        <f aca="false">Helpers!BZ12</f>
        <v>0</v>
      </c>
      <c r="CC346" s="13" t="n">
        <f aca="false">Helpers!CA12</f>
        <v>0</v>
      </c>
      <c r="CD346" s="13" t="n">
        <f aca="false">Helpers!CB12</f>
        <v>0</v>
      </c>
      <c r="CE346" s="13" t="n">
        <f aca="false">Helpers!CC12</f>
        <v>0</v>
      </c>
      <c r="CF346" s="13" t="n">
        <f aca="false">Helpers!CD12</f>
        <v>0</v>
      </c>
      <c r="CG346" s="13" t="n">
        <f aca="false">Helpers!CE12</f>
        <v>0</v>
      </c>
      <c r="CH346" s="13" t="n">
        <f aca="false">Helpers!CF12</f>
        <v>0</v>
      </c>
      <c r="CI346" s="13" t="n">
        <f aca="false">Helpers!CG12</f>
        <v>0</v>
      </c>
      <c r="CJ346" s="13" t="n">
        <f aca="false">Helpers!CH12</f>
        <v>0</v>
      </c>
      <c r="CK346" s="13" t="n">
        <f aca="false">Helpers!CI12</f>
        <v>0</v>
      </c>
      <c r="CL346" s="13" t="n">
        <f aca="false">Helpers!CJ12</f>
        <v>0</v>
      </c>
      <c r="CM346" s="13" t="n">
        <f aca="false">Helpers!CK12</f>
        <v>0</v>
      </c>
      <c r="CN346" s="13" t="n">
        <f aca="false">Helpers!CL12</f>
        <v>0</v>
      </c>
      <c r="CO346" s="13" t="n">
        <f aca="false">Helpers!CM12</f>
        <v>0</v>
      </c>
      <c r="CP346" s="13" t="n">
        <f aca="false">Helpers!CN12</f>
        <v>0</v>
      </c>
      <c r="CQ346" s="13" t="n">
        <f aca="false">Helpers!CO12</f>
        <v>0</v>
      </c>
      <c r="CR346" s="13" t="n">
        <f aca="false">Helpers!CP12</f>
        <v>0</v>
      </c>
      <c r="CS346" s="13" t="n">
        <f aca="false">Helpers!CQ12</f>
        <v>0</v>
      </c>
      <c r="CT346" s="13" t="n">
        <f aca="false">Helpers!CR12</f>
        <v>0</v>
      </c>
      <c r="CU346" s="13" t="n">
        <f aca="false">Helpers!CS12</f>
        <v>0</v>
      </c>
      <c r="CV346" s="13" t="n">
        <f aca="false">Helpers!CT12</f>
        <v>0</v>
      </c>
      <c r="CW346" s="13" t="n">
        <f aca="false">Helpers!CU12</f>
        <v>0</v>
      </c>
      <c r="CX346" s="13" t="n">
        <f aca="false">Helpers!CV12</f>
        <v>0</v>
      </c>
      <c r="CY346" s="13" t="n">
        <f aca="false">Helpers!CW12</f>
        <v>0</v>
      </c>
      <c r="CZ346" s="13" t="n">
        <f aca="false">Helpers!CX12</f>
        <v>0</v>
      </c>
      <c r="DA346" s="13" t="n">
        <f aca="false">Helpers!CY12</f>
        <v>0</v>
      </c>
      <c r="DB346" s="13" t="n">
        <f aca="false">Helpers!CZ12</f>
        <v>0</v>
      </c>
      <c r="DC346" s="13" t="n">
        <f aca="false">Helpers!DA12</f>
        <v>0</v>
      </c>
      <c r="DD346" s="13" t="n">
        <f aca="false">Helpers!DB12</f>
        <v>0</v>
      </c>
      <c r="DE346" s="13" t="n">
        <f aca="false">Helpers!DC12</f>
        <v>0</v>
      </c>
    </row>
    <row r="347" customFormat="false" ht="15" hidden="false" customHeight="true" outlineLevel="0" collapsed="false">
      <c r="A347" s="22" t="s">
        <v>15</v>
      </c>
      <c r="B347" s="13"/>
      <c r="C347" s="13"/>
      <c r="D347" s="13"/>
      <c r="E347" s="13" t="n">
        <f aca="false">Helpers!C13</f>
        <v>0</v>
      </c>
      <c r="F347" s="13" t="n">
        <f aca="false">Helpers!D13</f>
        <v>0</v>
      </c>
      <c r="G347" s="13" t="n">
        <f aca="false">Helpers!E13</f>
        <v>0</v>
      </c>
      <c r="H347" s="13" t="n">
        <f aca="false">Helpers!F13</f>
        <v>0</v>
      </c>
      <c r="I347" s="13" t="n">
        <f aca="false">Helpers!G13</f>
        <v>0</v>
      </c>
      <c r="J347" s="13" t="n">
        <f aca="false">Helpers!H13</f>
        <v>0</v>
      </c>
      <c r="K347" s="13" t="n">
        <f aca="false">Helpers!I13</f>
        <v>0</v>
      </c>
      <c r="L347" s="13" t="n">
        <f aca="false">Helpers!J13</f>
        <v>0</v>
      </c>
      <c r="M347" s="13" t="n">
        <f aca="false">Helpers!K13</f>
        <v>20699563.289615</v>
      </c>
      <c r="N347" s="13" t="n">
        <f aca="false">Helpers!L13</f>
        <v>20002952.87841</v>
      </c>
      <c r="O347" s="13" t="n">
        <f aca="false">Helpers!M13</f>
        <v>19163431.1222</v>
      </c>
      <c r="P347" s="13" t="n">
        <f aca="false">Helpers!N13</f>
        <v>18176553.96934</v>
      </c>
      <c r="Q347" s="13" t="n">
        <f aca="false">Helpers!O13</f>
        <v>17044958.08205</v>
      </c>
      <c r="R347" s="13" t="n">
        <f aca="false">Helpers!P13</f>
        <v>15779317.68964</v>
      </c>
      <c r="S347" s="13" t="n">
        <f aca="false">Helpers!Q13</f>
        <v>14398535.959155</v>
      </c>
      <c r="T347" s="13" t="n">
        <f aca="false">Helpers!R13</f>
        <v>12929149.620035</v>
      </c>
      <c r="U347" s="13" t="n">
        <f aca="false">Helpers!S13</f>
        <v>11403883.052575</v>
      </c>
      <c r="V347" s="13" t="n">
        <f aca="false">Helpers!T13</f>
        <v>9859521.947425</v>
      </c>
      <c r="W347" s="13" t="n">
        <f aca="false">Helpers!U13</f>
        <v>8334255.379965</v>
      </c>
      <c r="X347" s="13" t="n">
        <f aca="false">Helpers!V13</f>
        <v>6864869.040845</v>
      </c>
      <c r="Y347" s="13" t="n">
        <f aca="false">Helpers!W13</f>
        <v>5484087.31036</v>
      </c>
      <c r="Z347" s="13" t="n">
        <f aca="false">Helpers!X13</f>
        <v>4218446.91795</v>
      </c>
      <c r="AA347" s="13" t="n">
        <f aca="false">Helpers!Y13</f>
        <v>3086851.03066</v>
      </c>
      <c r="AB347" s="13" t="n">
        <f aca="false">Helpers!Z13</f>
        <v>2099973.8778</v>
      </c>
      <c r="AC347" s="13" t="n">
        <f aca="false">Helpers!AA13</f>
        <v>1260452.12159</v>
      </c>
      <c r="AD347" s="13" t="n">
        <f aca="false">Helpers!AB13</f>
        <v>563841.710385</v>
      </c>
      <c r="AE347" s="13" t="n">
        <f aca="false">Helpers!AC13</f>
        <v>0</v>
      </c>
      <c r="AF347" s="13" t="n">
        <f aca="false">Helpers!AD13</f>
        <v>0</v>
      </c>
      <c r="AG347" s="13" t="n">
        <f aca="false">Helpers!AE13</f>
        <v>0</v>
      </c>
      <c r="AH347" s="13" t="n">
        <f aca="false">Helpers!AF13</f>
        <v>0</v>
      </c>
      <c r="AI347" s="13" t="n">
        <f aca="false">Helpers!AG13</f>
        <v>0</v>
      </c>
      <c r="AJ347" s="13" t="n">
        <f aca="false">Helpers!AH13</f>
        <v>0</v>
      </c>
      <c r="AK347" s="13" t="n">
        <f aca="false">Helpers!AI13</f>
        <v>0</v>
      </c>
      <c r="AL347" s="13" t="n">
        <f aca="false">Helpers!AJ13</f>
        <v>0</v>
      </c>
      <c r="AM347" s="13" t="n">
        <f aca="false">Helpers!AK13</f>
        <v>0</v>
      </c>
      <c r="AN347" s="13" t="n">
        <f aca="false">Helpers!AL13</f>
        <v>0</v>
      </c>
      <c r="AO347" s="13" t="n">
        <f aca="false">Helpers!AM13</f>
        <v>0</v>
      </c>
      <c r="AP347" s="13" t="n">
        <f aca="false">Helpers!AN13</f>
        <v>0</v>
      </c>
      <c r="AQ347" s="13" t="n">
        <f aca="false">Helpers!AO13</f>
        <v>0</v>
      </c>
      <c r="AR347" s="13" t="n">
        <f aca="false">Helpers!AP13</f>
        <v>0</v>
      </c>
      <c r="AS347" s="13" t="n">
        <f aca="false">Helpers!AQ13</f>
        <v>0</v>
      </c>
      <c r="AT347" s="13" t="n">
        <f aca="false">Helpers!AR13</f>
        <v>0</v>
      </c>
      <c r="AU347" s="13" t="n">
        <f aca="false">Helpers!AS13</f>
        <v>0</v>
      </c>
      <c r="AV347" s="13" t="n">
        <f aca="false">Helpers!AT13</f>
        <v>0</v>
      </c>
      <c r="AW347" s="13" t="n">
        <f aca="false">Helpers!AU13</f>
        <v>0</v>
      </c>
      <c r="AX347" s="13" t="n">
        <f aca="false">Helpers!AV13</f>
        <v>0</v>
      </c>
      <c r="AY347" s="13" t="n">
        <f aca="false">Helpers!AW13</f>
        <v>0</v>
      </c>
      <c r="AZ347" s="13" t="n">
        <f aca="false">Helpers!AX13</f>
        <v>0</v>
      </c>
      <c r="BA347" s="13" t="n">
        <f aca="false">Helpers!AY13</f>
        <v>0</v>
      </c>
      <c r="BB347" s="13" t="n">
        <f aca="false">Helpers!AZ13</f>
        <v>0</v>
      </c>
      <c r="BC347" s="13" t="n">
        <f aca="false">Helpers!BA13</f>
        <v>0</v>
      </c>
      <c r="BD347" s="13" t="n">
        <f aca="false">Helpers!BB13</f>
        <v>0</v>
      </c>
      <c r="BE347" s="13" t="n">
        <f aca="false">Helpers!BC13</f>
        <v>0</v>
      </c>
      <c r="BF347" s="13" t="n">
        <f aca="false">Helpers!BD13</f>
        <v>0</v>
      </c>
      <c r="BG347" s="13" t="n">
        <f aca="false">Helpers!BE13</f>
        <v>0</v>
      </c>
      <c r="BH347" s="13" t="n">
        <f aca="false">Helpers!BF13</f>
        <v>0</v>
      </c>
      <c r="BI347" s="13" t="n">
        <f aca="false">Helpers!BG13</f>
        <v>0</v>
      </c>
      <c r="BJ347" s="13" t="n">
        <f aca="false">Helpers!BH13</f>
        <v>0</v>
      </c>
      <c r="BK347" s="13" t="n">
        <f aca="false">Helpers!BI13</f>
        <v>0</v>
      </c>
      <c r="BL347" s="13" t="n">
        <f aca="false">Helpers!BJ13</f>
        <v>0</v>
      </c>
      <c r="BM347" s="13" t="n">
        <f aca="false">Helpers!BK13</f>
        <v>0</v>
      </c>
      <c r="BN347" s="13" t="n">
        <f aca="false">Helpers!BL13</f>
        <v>0</v>
      </c>
      <c r="BO347" s="13" t="n">
        <f aca="false">Helpers!BM13</f>
        <v>0</v>
      </c>
      <c r="BP347" s="13" t="n">
        <f aca="false">Helpers!BN13</f>
        <v>0</v>
      </c>
      <c r="BQ347" s="13" t="n">
        <f aca="false">Helpers!BO13</f>
        <v>0</v>
      </c>
      <c r="BR347" s="13" t="n">
        <f aca="false">Helpers!BP13</f>
        <v>0</v>
      </c>
      <c r="BS347" s="13" t="n">
        <f aca="false">Helpers!BQ13</f>
        <v>0</v>
      </c>
      <c r="BT347" s="13" t="n">
        <f aca="false">Helpers!BR13</f>
        <v>0</v>
      </c>
      <c r="BU347" s="13" t="n">
        <f aca="false">Helpers!BS13</f>
        <v>0</v>
      </c>
      <c r="BV347" s="13" t="n">
        <f aca="false">Helpers!BT13</f>
        <v>0</v>
      </c>
      <c r="BW347" s="13" t="n">
        <f aca="false">Helpers!BU13</f>
        <v>0</v>
      </c>
      <c r="BX347" s="13" t="n">
        <f aca="false">Helpers!BV13</f>
        <v>0</v>
      </c>
      <c r="BY347" s="13" t="n">
        <f aca="false">Helpers!BW13</f>
        <v>0</v>
      </c>
      <c r="BZ347" s="13" t="n">
        <f aca="false">Helpers!BX13</f>
        <v>0</v>
      </c>
      <c r="CA347" s="13" t="n">
        <f aca="false">Helpers!BY13</f>
        <v>0</v>
      </c>
      <c r="CB347" s="13" t="n">
        <f aca="false">Helpers!BZ13</f>
        <v>0</v>
      </c>
      <c r="CC347" s="13" t="n">
        <f aca="false">Helpers!CA13</f>
        <v>0</v>
      </c>
      <c r="CD347" s="13" t="n">
        <f aca="false">Helpers!CB13</f>
        <v>0</v>
      </c>
      <c r="CE347" s="13" t="n">
        <f aca="false">Helpers!CC13</f>
        <v>0</v>
      </c>
      <c r="CF347" s="13" t="n">
        <f aca="false">Helpers!CD13</f>
        <v>0</v>
      </c>
      <c r="CG347" s="13" t="n">
        <f aca="false">Helpers!CE13</f>
        <v>0</v>
      </c>
      <c r="CH347" s="13" t="n">
        <f aca="false">Helpers!CF13</f>
        <v>0</v>
      </c>
      <c r="CI347" s="13" t="n">
        <f aca="false">Helpers!CG13</f>
        <v>0</v>
      </c>
      <c r="CJ347" s="13" t="n">
        <f aca="false">Helpers!CH13</f>
        <v>0</v>
      </c>
      <c r="CK347" s="13" t="n">
        <f aca="false">Helpers!CI13</f>
        <v>0</v>
      </c>
      <c r="CL347" s="13" t="n">
        <f aca="false">Helpers!CJ13</f>
        <v>0</v>
      </c>
      <c r="CM347" s="13" t="n">
        <f aca="false">Helpers!CK13</f>
        <v>0</v>
      </c>
      <c r="CN347" s="13" t="n">
        <f aca="false">Helpers!CL13</f>
        <v>0</v>
      </c>
      <c r="CO347" s="13" t="n">
        <f aca="false">Helpers!CM13</f>
        <v>0</v>
      </c>
      <c r="CP347" s="13" t="n">
        <f aca="false">Helpers!CN13</f>
        <v>0</v>
      </c>
      <c r="CQ347" s="13" t="n">
        <f aca="false">Helpers!CO13</f>
        <v>0</v>
      </c>
      <c r="CR347" s="13" t="n">
        <f aca="false">Helpers!CP13</f>
        <v>0</v>
      </c>
      <c r="CS347" s="13" t="n">
        <f aca="false">Helpers!CQ13</f>
        <v>0</v>
      </c>
      <c r="CT347" s="13" t="n">
        <f aca="false">Helpers!CR13</f>
        <v>0</v>
      </c>
      <c r="CU347" s="13" t="n">
        <f aca="false">Helpers!CS13</f>
        <v>0</v>
      </c>
      <c r="CV347" s="13" t="n">
        <f aca="false">Helpers!CT13</f>
        <v>0</v>
      </c>
      <c r="CW347" s="13" t="n">
        <f aca="false">Helpers!CU13</f>
        <v>0</v>
      </c>
      <c r="CX347" s="13" t="n">
        <f aca="false">Helpers!CV13</f>
        <v>0</v>
      </c>
      <c r="CY347" s="13" t="n">
        <f aca="false">Helpers!CW13</f>
        <v>0</v>
      </c>
      <c r="CZ347" s="13" t="n">
        <f aca="false">Helpers!CX13</f>
        <v>0</v>
      </c>
      <c r="DA347" s="13" t="n">
        <f aca="false">Helpers!CY13</f>
        <v>0</v>
      </c>
      <c r="DB347" s="13" t="n">
        <f aca="false">Helpers!CZ13</f>
        <v>0</v>
      </c>
      <c r="DC347" s="13" t="n">
        <f aca="false">Helpers!DA13</f>
        <v>0</v>
      </c>
      <c r="DD347" s="13" t="n">
        <f aca="false">Helpers!DB13</f>
        <v>0</v>
      </c>
      <c r="DE347" s="13" t="n">
        <f aca="false">Helpers!DC13</f>
        <v>0</v>
      </c>
    </row>
    <row r="348" customFormat="false" ht="15" hidden="false" customHeight="true" outlineLevel="0" collapsed="false">
      <c r="A348" s="22" t="s">
        <v>18</v>
      </c>
      <c r="B348" s="13"/>
      <c r="C348" s="13"/>
      <c r="D348" s="13"/>
      <c r="E348" s="13" t="n">
        <f aca="false">Helpers!C14</f>
        <v>0</v>
      </c>
      <c r="F348" s="13" t="n">
        <f aca="false">Helpers!D14</f>
        <v>0</v>
      </c>
      <c r="G348" s="13" t="n">
        <f aca="false">Helpers!E14</f>
        <v>0</v>
      </c>
      <c r="H348" s="13" t="n">
        <f aca="false">Helpers!F14</f>
        <v>0</v>
      </c>
      <c r="I348" s="13" t="n">
        <f aca="false">Helpers!G14</f>
        <v>0</v>
      </c>
      <c r="J348" s="13" t="n">
        <f aca="false">Helpers!H14</f>
        <v>0</v>
      </c>
      <c r="K348" s="13" t="n">
        <f aca="false">Helpers!I14</f>
        <v>0</v>
      </c>
      <c r="L348" s="13" t="n">
        <f aca="false">Helpers!J14</f>
        <v>0</v>
      </c>
      <c r="M348" s="13" t="n">
        <f aca="false">Helpers!K14</f>
        <v>0</v>
      </c>
      <c r="N348" s="13" t="n">
        <f aca="false">Helpers!L14</f>
        <v>0</v>
      </c>
      <c r="O348" s="13" t="n">
        <f aca="false">Helpers!M14</f>
        <v>0</v>
      </c>
      <c r="P348" s="13" t="n">
        <f aca="false">Helpers!N14</f>
        <v>0</v>
      </c>
      <c r="Q348" s="13" t="n">
        <f aca="false">Helpers!O14</f>
        <v>44537929.73623</v>
      </c>
      <c r="R348" s="13" t="n">
        <f aca="false">Helpers!P14</f>
        <v>43699679.68937</v>
      </c>
      <c r="S348" s="13" t="n">
        <f aca="false">Helpers!Q14</f>
        <v>42745139.31038</v>
      </c>
      <c r="T348" s="13" t="n">
        <f aca="false">Helpers!R14</f>
        <v>41669012.38717</v>
      </c>
      <c r="U348" s="13" t="n">
        <f aca="false">Helpers!S14</f>
        <v>40467858.64522</v>
      </c>
      <c r="V348" s="13" t="n">
        <f aca="false">Helpers!T14</f>
        <v>39140501.14851</v>
      </c>
      <c r="W348" s="13" t="n">
        <f aca="false">Helpers!U14</f>
        <v>37688252.63337</v>
      </c>
      <c r="X348" s="13" t="n">
        <f aca="false">Helpers!V14</f>
        <v>36115141.84233</v>
      </c>
      <c r="Y348" s="13" t="n">
        <f aca="false">Helpers!W14</f>
        <v>34428094.5912</v>
      </c>
      <c r="Z348" s="13" t="n">
        <f aca="false">Helpers!X14</f>
        <v>32636797.96876</v>
      </c>
      <c r="AA348" s="13" t="n">
        <f aca="false">Helpers!Y14</f>
        <v>30753745.60353</v>
      </c>
      <c r="AB348" s="13" t="n">
        <f aca="false">Helpers!Z14</f>
        <v>28793920.79638</v>
      </c>
      <c r="AC348" s="13" t="n">
        <f aca="false">Helpers!AA14</f>
        <v>26774434.38637</v>
      </c>
      <c r="AD348" s="13" t="n">
        <f aca="false">Helpers!AB14</f>
        <v>24714207.88336</v>
      </c>
      <c r="AE348" s="13" t="n">
        <f aca="false">Helpers!AC14</f>
        <v>22633294.46646</v>
      </c>
      <c r="AF348" s="13" t="n">
        <f aca="false">Helpers!AD14</f>
        <v>20552381.04956</v>
      </c>
      <c r="AG348" s="13" t="n">
        <f aca="false">Helpers!AE14</f>
        <v>18492154.54655</v>
      </c>
      <c r="AH348" s="13" t="n">
        <f aca="false">Helpers!AF14</f>
        <v>16472668.13654</v>
      </c>
      <c r="AI348" s="13" t="n">
        <f aca="false">Helpers!AG14</f>
        <v>14512843.32939</v>
      </c>
      <c r="AJ348" s="13" t="n">
        <f aca="false">Helpers!AH14</f>
        <v>12629790.96416</v>
      </c>
      <c r="AK348" s="13" t="n">
        <f aca="false">Helpers!AI14</f>
        <v>10838494.34172</v>
      </c>
      <c r="AL348" s="13" t="n">
        <f aca="false">Helpers!AJ14</f>
        <v>9151447.09059</v>
      </c>
      <c r="AM348" s="13" t="n">
        <f aca="false">Helpers!AK14</f>
        <v>7578336.29955</v>
      </c>
      <c r="AN348" s="13" t="n">
        <f aca="false">Helpers!AL14</f>
        <v>6126087.78441</v>
      </c>
      <c r="AO348" s="13" t="n">
        <f aca="false">Helpers!AM14</f>
        <v>4798730.2877</v>
      </c>
      <c r="AP348" s="13" t="n">
        <f aca="false">Helpers!AN14</f>
        <v>3597576.54575</v>
      </c>
      <c r="AQ348" s="13" t="n">
        <f aca="false">Helpers!AO14</f>
        <v>2521449.62254</v>
      </c>
      <c r="AR348" s="13" t="n">
        <f aca="false">Helpers!AP14</f>
        <v>1566909.24355</v>
      </c>
      <c r="AS348" s="13" t="n">
        <f aca="false">Helpers!AQ14</f>
        <v>728659.196690001</v>
      </c>
      <c r="AT348" s="13" t="n">
        <f aca="false">Helpers!AR14</f>
        <v>-181.067079995155</v>
      </c>
      <c r="AU348" s="13" t="n">
        <f aca="false">Helpers!AS14</f>
        <v>0</v>
      </c>
      <c r="AV348" s="13" t="n">
        <f aca="false">Helpers!AT14</f>
        <v>0</v>
      </c>
      <c r="AW348" s="13" t="n">
        <f aca="false">Helpers!AU14</f>
        <v>0</v>
      </c>
      <c r="AX348" s="13" t="n">
        <f aca="false">Helpers!AV14</f>
        <v>0</v>
      </c>
      <c r="AY348" s="13" t="n">
        <f aca="false">Helpers!AW14</f>
        <v>0</v>
      </c>
      <c r="AZ348" s="13" t="n">
        <f aca="false">Helpers!AX14</f>
        <v>0</v>
      </c>
      <c r="BA348" s="13" t="n">
        <f aca="false">Helpers!AY14</f>
        <v>0</v>
      </c>
      <c r="BB348" s="13" t="n">
        <f aca="false">Helpers!AZ14</f>
        <v>0</v>
      </c>
      <c r="BC348" s="13" t="n">
        <f aca="false">Helpers!BA14</f>
        <v>0</v>
      </c>
      <c r="BD348" s="13" t="n">
        <f aca="false">Helpers!BB14</f>
        <v>0</v>
      </c>
      <c r="BE348" s="13" t="n">
        <f aca="false">Helpers!BC14</f>
        <v>0</v>
      </c>
      <c r="BF348" s="13" t="n">
        <f aca="false">Helpers!BD14</f>
        <v>0</v>
      </c>
      <c r="BG348" s="13" t="n">
        <f aca="false">Helpers!BE14</f>
        <v>0</v>
      </c>
      <c r="BH348" s="13" t="n">
        <f aca="false">Helpers!BF14</f>
        <v>0</v>
      </c>
      <c r="BI348" s="13" t="n">
        <f aca="false">Helpers!BG14</f>
        <v>0</v>
      </c>
      <c r="BJ348" s="13" t="n">
        <f aca="false">Helpers!BH14</f>
        <v>0</v>
      </c>
      <c r="BK348" s="13" t="n">
        <f aca="false">Helpers!BI14</f>
        <v>0</v>
      </c>
      <c r="BL348" s="13" t="n">
        <f aca="false">Helpers!BJ14</f>
        <v>0</v>
      </c>
      <c r="BM348" s="13" t="n">
        <f aca="false">Helpers!BK14</f>
        <v>0</v>
      </c>
      <c r="BN348" s="13" t="n">
        <f aca="false">Helpers!BL14</f>
        <v>0</v>
      </c>
      <c r="BO348" s="13" t="n">
        <f aca="false">Helpers!BM14</f>
        <v>0</v>
      </c>
      <c r="BP348" s="13" t="n">
        <f aca="false">Helpers!BN14</f>
        <v>0</v>
      </c>
      <c r="BQ348" s="13" t="n">
        <f aca="false">Helpers!BO14</f>
        <v>0</v>
      </c>
      <c r="BR348" s="13" t="n">
        <f aca="false">Helpers!BP14</f>
        <v>0</v>
      </c>
      <c r="BS348" s="13" t="n">
        <f aca="false">Helpers!BQ14</f>
        <v>0</v>
      </c>
      <c r="BT348" s="13" t="n">
        <f aca="false">Helpers!BR14</f>
        <v>0</v>
      </c>
      <c r="BU348" s="13" t="n">
        <f aca="false">Helpers!BS14</f>
        <v>0</v>
      </c>
      <c r="BV348" s="13" t="n">
        <f aca="false">Helpers!BT14</f>
        <v>0</v>
      </c>
      <c r="BW348" s="13" t="n">
        <f aca="false">Helpers!BU14</f>
        <v>0</v>
      </c>
      <c r="BX348" s="13" t="n">
        <f aca="false">Helpers!BV14</f>
        <v>0</v>
      </c>
      <c r="BY348" s="13" t="n">
        <f aca="false">Helpers!BW14</f>
        <v>0</v>
      </c>
      <c r="BZ348" s="13" t="n">
        <f aca="false">Helpers!BX14</f>
        <v>0</v>
      </c>
      <c r="CA348" s="13" t="n">
        <f aca="false">Helpers!BY14</f>
        <v>0</v>
      </c>
      <c r="CB348" s="13" t="n">
        <f aca="false">Helpers!BZ14</f>
        <v>0</v>
      </c>
      <c r="CC348" s="13" t="n">
        <f aca="false">Helpers!CA14</f>
        <v>0</v>
      </c>
      <c r="CD348" s="13" t="n">
        <f aca="false">Helpers!CB14</f>
        <v>0</v>
      </c>
      <c r="CE348" s="13" t="n">
        <f aca="false">Helpers!CC14</f>
        <v>0</v>
      </c>
      <c r="CF348" s="13" t="n">
        <f aca="false">Helpers!CD14</f>
        <v>0</v>
      </c>
      <c r="CG348" s="13" t="n">
        <f aca="false">Helpers!CE14</f>
        <v>0</v>
      </c>
      <c r="CH348" s="13" t="n">
        <f aca="false">Helpers!CF14</f>
        <v>0</v>
      </c>
      <c r="CI348" s="13" t="n">
        <f aca="false">Helpers!CG14</f>
        <v>0</v>
      </c>
      <c r="CJ348" s="13" t="n">
        <f aca="false">Helpers!CH14</f>
        <v>0</v>
      </c>
      <c r="CK348" s="13" t="n">
        <f aca="false">Helpers!CI14</f>
        <v>0</v>
      </c>
      <c r="CL348" s="13" t="n">
        <f aca="false">Helpers!CJ14</f>
        <v>0</v>
      </c>
      <c r="CM348" s="13" t="n">
        <f aca="false">Helpers!CK14</f>
        <v>0</v>
      </c>
      <c r="CN348" s="13" t="n">
        <f aca="false">Helpers!CL14</f>
        <v>0</v>
      </c>
      <c r="CO348" s="13" t="n">
        <f aca="false">Helpers!CM14</f>
        <v>0</v>
      </c>
      <c r="CP348" s="13" t="n">
        <f aca="false">Helpers!CN14</f>
        <v>0</v>
      </c>
      <c r="CQ348" s="13" t="n">
        <f aca="false">Helpers!CO14</f>
        <v>0</v>
      </c>
      <c r="CR348" s="13" t="n">
        <f aca="false">Helpers!CP14</f>
        <v>0</v>
      </c>
      <c r="CS348" s="13" t="n">
        <f aca="false">Helpers!CQ14</f>
        <v>0</v>
      </c>
      <c r="CT348" s="13" t="n">
        <f aca="false">Helpers!CR14</f>
        <v>0</v>
      </c>
      <c r="CU348" s="13" t="n">
        <f aca="false">Helpers!CS14</f>
        <v>0</v>
      </c>
      <c r="CV348" s="13" t="n">
        <f aca="false">Helpers!CT14</f>
        <v>0</v>
      </c>
      <c r="CW348" s="13" t="n">
        <f aca="false">Helpers!CU14</f>
        <v>0</v>
      </c>
      <c r="CX348" s="13" t="n">
        <f aca="false">Helpers!CV14</f>
        <v>0</v>
      </c>
      <c r="CY348" s="13" t="n">
        <f aca="false">Helpers!CW14</f>
        <v>0</v>
      </c>
      <c r="CZ348" s="13" t="n">
        <f aca="false">Helpers!CX14</f>
        <v>0</v>
      </c>
      <c r="DA348" s="13" t="n">
        <f aca="false">Helpers!CY14</f>
        <v>0</v>
      </c>
      <c r="DB348" s="13" t="n">
        <f aca="false">Helpers!CZ14</f>
        <v>0</v>
      </c>
      <c r="DC348" s="13" t="n">
        <f aca="false">Helpers!DA14</f>
        <v>0</v>
      </c>
      <c r="DD348" s="13" t="n">
        <f aca="false">Helpers!DB14</f>
        <v>0</v>
      </c>
      <c r="DE348" s="13" t="n">
        <f aca="false">Helpers!DC14</f>
        <v>0</v>
      </c>
    </row>
    <row r="349" customFormat="false" ht="15" hidden="false" customHeight="true" outlineLevel="0" collapsed="false">
      <c r="A349" s="22" t="s">
        <v>19</v>
      </c>
      <c r="B349" s="13"/>
      <c r="C349" s="13"/>
      <c r="D349" s="13"/>
      <c r="E349" s="13" t="n">
        <f aca="false">Helpers!C15</f>
        <v>0</v>
      </c>
      <c r="F349" s="13" t="n">
        <f aca="false">Helpers!D15</f>
        <v>0</v>
      </c>
      <c r="G349" s="13" t="n">
        <f aca="false">Helpers!E15</f>
        <v>0</v>
      </c>
      <c r="H349" s="13" t="n">
        <f aca="false">Helpers!F15</f>
        <v>0</v>
      </c>
      <c r="I349" s="13" t="n">
        <f aca="false">Helpers!G15</f>
        <v>0</v>
      </c>
      <c r="J349" s="13" t="n">
        <f aca="false">Helpers!H15</f>
        <v>0</v>
      </c>
      <c r="K349" s="13" t="n">
        <f aca="false">Helpers!I15</f>
        <v>0</v>
      </c>
      <c r="L349" s="13" t="n">
        <f aca="false">Helpers!J15</f>
        <v>0</v>
      </c>
      <c r="M349" s="13" t="n">
        <f aca="false">Helpers!K15</f>
        <v>0</v>
      </c>
      <c r="N349" s="13" t="n">
        <f aca="false">Helpers!L15</f>
        <v>0</v>
      </c>
      <c r="O349" s="13" t="n">
        <f aca="false">Helpers!M15</f>
        <v>0</v>
      </c>
      <c r="P349" s="13" t="n">
        <f aca="false">Helpers!N15</f>
        <v>0</v>
      </c>
      <c r="Q349" s="13" t="n">
        <f aca="false">Helpers!O15</f>
        <v>0</v>
      </c>
      <c r="R349" s="13" t="n">
        <f aca="false">Helpers!P15</f>
        <v>0</v>
      </c>
      <c r="S349" s="13" t="n">
        <f aca="false">Helpers!Q15</f>
        <v>0</v>
      </c>
      <c r="T349" s="13" t="n">
        <f aca="false">Helpers!R15</f>
        <v>0</v>
      </c>
      <c r="U349" s="13" t="n">
        <f aca="false">Helpers!S15</f>
        <v>0</v>
      </c>
      <c r="V349" s="13" t="n">
        <f aca="false">Helpers!T15</f>
        <v>0</v>
      </c>
      <c r="W349" s="13" t="n">
        <f aca="false">Helpers!U15</f>
        <v>0</v>
      </c>
      <c r="X349" s="13" t="n">
        <f aca="false">Helpers!V15</f>
        <v>0</v>
      </c>
      <c r="Y349" s="13" t="n">
        <f aca="false">Helpers!W15</f>
        <v>0</v>
      </c>
      <c r="Z349" s="13" t="n">
        <f aca="false">Helpers!X15</f>
        <v>0</v>
      </c>
      <c r="AA349" s="13" t="n">
        <f aca="false">Helpers!Y15</f>
        <v>0</v>
      </c>
      <c r="AB349" s="13" t="n">
        <f aca="false">Helpers!Z15</f>
        <v>0</v>
      </c>
      <c r="AC349" s="13" t="n">
        <f aca="false">Helpers!AA15</f>
        <v>0</v>
      </c>
      <c r="AD349" s="13" t="n">
        <f aca="false">Helpers!AB15</f>
        <v>0</v>
      </c>
      <c r="AE349" s="13" t="n">
        <f aca="false">Helpers!AC15</f>
        <v>40688781.070168</v>
      </c>
      <c r="AF349" s="13" t="n">
        <f aca="false">Helpers!AD15</f>
        <v>39922975.994792</v>
      </c>
      <c r="AG349" s="13" t="n">
        <f aca="false">Helpers!AE15</f>
        <v>39050930.869808</v>
      </c>
      <c r="AH349" s="13" t="n">
        <f aca="false">Helpers!AF15</f>
        <v>38067807.203272</v>
      </c>
      <c r="AI349" s="13" t="n">
        <f aca="false">Helpers!AG15</f>
        <v>36970462.043152</v>
      </c>
      <c r="AJ349" s="13" t="n">
        <f aca="false">Helpers!AH15</f>
        <v>35757820.169016</v>
      </c>
      <c r="AK349" s="13" t="n">
        <f aca="false">Helpers!AI15</f>
        <v>34431080.865192</v>
      </c>
      <c r="AL349" s="13" t="n">
        <f aca="false">Helpers!AJ15</f>
        <v>32993924.693928</v>
      </c>
      <c r="AM349" s="13" t="n">
        <f aca="false">Helpers!AK15</f>
        <v>31452678.91392</v>
      </c>
      <c r="AN349" s="13" t="n">
        <f aca="false">Helpers!AL15</f>
        <v>29816193.416416</v>
      </c>
      <c r="AO349" s="13" t="n">
        <f aca="false">Helpers!AM15</f>
        <v>28095882.079848</v>
      </c>
      <c r="AP349" s="13" t="n">
        <f aca="false">Helpers!AN15</f>
        <v>26305433.287408</v>
      </c>
      <c r="AQ349" s="13" t="n">
        <f aca="false">Helpers!AO15</f>
        <v>24460479.089992</v>
      </c>
      <c r="AR349" s="13" t="n">
        <f aca="false">Helpers!AP15</f>
        <v>22578305.723776</v>
      </c>
      <c r="AS349" s="13" t="n">
        <f aca="false">Helpers!AQ15</f>
        <v>20677233.290736</v>
      </c>
      <c r="AT349" s="13" t="n">
        <f aca="false">Helpers!AR15</f>
        <v>18776160.857696</v>
      </c>
      <c r="AU349" s="13" t="n">
        <f aca="false">Helpers!AS15</f>
        <v>16893987.49148</v>
      </c>
      <c r="AV349" s="13" t="n">
        <f aca="false">Helpers!AT15</f>
        <v>15049033.294064</v>
      </c>
      <c r="AW349" s="13" t="n">
        <f aca="false">Helpers!AU15</f>
        <v>13258584.501624</v>
      </c>
      <c r="AX349" s="13" t="n">
        <f aca="false">Helpers!AV15</f>
        <v>11538273.165056</v>
      </c>
      <c r="AY349" s="13" t="n">
        <f aca="false">Helpers!AW15</f>
        <v>9901787.667552</v>
      </c>
      <c r="AZ349" s="13" t="n">
        <f aca="false">Helpers!AX15</f>
        <v>8360541.887544</v>
      </c>
      <c r="BA349" s="13" t="n">
        <f aca="false">Helpers!AY15</f>
        <v>6923385.71628</v>
      </c>
      <c r="BB349" s="13" t="n">
        <f aca="false">Helpers!AZ15</f>
        <v>5596646.412456</v>
      </c>
      <c r="BC349" s="13" t="n">
        <f aca="false">Helpers!BA15</f>
        <v>4384004.53832</v>
      </c>
      <c r="BD349" s="13" t="n">
        <f aca="false">Helpers!BB15</f>
        <v>3286659.3782</v>
      </c>
      <c r="BE349" s="13" t="n">
        <f aca="false">Helpers!BC15</f>
        <v>2303535.711664</v>
      </c>
      <c r="BF349" s="13" t="n">
        <f aca="false">Helpers!BD15</f>
        <v>1431490.58668</v>
      </c>
      <c r="BG349" s="13" t="n">
        <f aca="false">Helpers!BE15</f>
        <v>665685.511304001</v>
      </c>
      <c r="BH349" s="13" t="n">
        <f aca="false">Helpers!BF15</f>
        <v>-165.418527995574</v>
      </c>
      <c r="BI349" s="13" t="n">
        <f aca="false">Helpers!BG15</f>
        <v>0</v>
      </c>
      <c r="BJ349" s="13" t="n">
        <f aca="false">Helpers!BH15</f>
        <v>0</v>
      </c>
      <c r="BK349" s="13" t="n">
        <f aca="false">Helpers!BI15</f>
        <v>0</v>
      </c>
      <c r="BL349" s="13" t="n">
        <f aca="false">Helpers!BJ15</f>
        <v>0</v>
      </c>
      <c r="BM349" s="13" t="n">
        <f aca="false">Helpers!BK15</f>
        <v>0</v>
      </c>
      <c r="BN349" s="13" t="n">
        <f aca="false">Helpers!BL15</f>
        <v>0</v>
      </c>
      <c r="BO349" s="13" t="n">
        <f aca="false">Helpers!BM15</f>
        <v>0</v>
      </c>
      <c r="BP349" s="13" t="n">
        <f aca="false">Helpers!BN15</f>
        <v>0</v>
      </c>
      <c r="BQ349" s="13" t="n">
        <f aca="false">Helpers!BO15</f>
        <v>0</v>
      </c>
      <c r="BR349" s="13" t="n">
        <f aca="false">Helpers!BP15</f>
        <v>0</v>
      </c>
      <c r="BS349" s="13" t="n">
        <f aca="false">Helpers!BQ15</f>
        <v>0</v>
      </c>
      <c r="BT349" s="13" t="n">
        <f aca="false">Helpers!BR15</f>
        <v>0</v>
      </c>
      <c r="BU349" s="13" t="n">
        <f aca="false">Helpers!BS15</f>
        <v>0</v>
      </c>
      <c r="BV349" s="13" t="n">
        <f aca="false">Helpers!BT15</f>
        <v>0</v>
      </c>
      <c r="BW349" s="13" t="n">
        <f aca="false">Helpers!BU15</f>
        <v>0</v>
      </c>
      <c r="BX349" s="13" t="n">
        <f aca="false">Helpers!BV15</f>
        <v>0</v>
      </c>
      <c r="BY349" s="13" t="n">
        <f aca="false">Helpers!BW15</f>
        <v>0</v>
      </c>
      <c r="BZ349" s="13" t="n">
        <f aca="false">Helpers!BX15</f>
        <v>0</v>
      </c>
      <c r="CA349" s="13" t="n">
        <f aca="false">Helpers!BY15</f>
        <v>0</v>
      </c>
      <c r="CB349" s="13" t="n">
        <f aca="false">Helpers!BZ15</f>
        <v>0</v>
      </c>
      <c r="CC349" s="13" t="n">
        <f aca="false">Helpers!CA15</f>
        <v>0</v>
      </c>
      <c r="CD349" s="13" t="n">
        <f aca="false">Helpers!CB15</f>
        <v>0</v>
      </c>
      <c r="CE349" s="13" t="n">
        <f aca="false">Helpers!CC15</f>
        <v>0</v>
      </c>
      <c r="CF349" s="13" t="n">
        <f aca="false">Helpers!CD15</f>
        <v>0</v>
      </c>
      <c r="CG349" s="13" t="n">
        <f aca="false">Helpers!CE15</f>
        <v>0</v>
      </c>
      <c r="CH349" s="13" t="n">
        <f aca="false">Helpers!CF15</f>
        <v>0</v>
      </c>
      <c r="CI349" s="13" t="n">
        <f aca="false">Helpers!CG15</f>
        <v>0</v>
      </c>
      <c r="CJ349" s="13" t="n">
        <f aca="false">Helpers!CH15</f>
        <v>0</v>
      </c>
      <c r="CK349" s="13" t="n">
        <f aca="false">Helpers!CI15</f>
        <v>0</v>
      </c>
      <c r="CL349" s="13" t="n">
        <f aca="false">Helpers!CJ15</f>
        <v>0</v>
      </c>
      <c r="CM349" s="13" t="n">
        <f aca="false">Helpers!CK15</f>
        <v>0</v>
      </c>
      <c r="CN349" s="13" t="n">
        <f aca="false">Helpers!CL15</f>
        <v>0</v>
      </c>
      <c r="CO349" s="13" t="n">
        <f aca="false">Helpers!CM15</f>
        <v>0</v>
      </c>
      <c r="CP349" s="13" t="n">
        <f aca="false">Helpers!CN15</f>
        <v>0</v>
      </c>
      <c r="CQ349" s="13" t="n">
        <f aca="false">Helpers!CO15</f>
        <v>0</v>
      </c>
      <c r="CR349" s="13" t="n">
        <f aca="false">Helpers!CP15</f>
        <v>0</v>
      </c>
      <c r="CS349" s="13" t="n">
        <f aca="false">Helpers!CQ15</f>
        <v>0</v>
      </c>
      <c r="CT349" s="13" t="n">
        <f aca="false">Helpers!CR15</f>
        <v>0</v>
      </c>
      <c r="CU349" s="13" t="n">
        <f aca="false">Helpers!CS15</f>
        <v>0</v>
      </c>
      <c r="CV349" s="13" t="n">
        <f aca="false">Helpers!CT15</f>
        <v>0</v>
      </c>
      <c r="CW349" s="13" t="n">
        <f aca="false">Helpers!CU15</f>
        <v>0</v>
      </c>
      <c r="CX349" s="13" t="n">
        <f aca="false">Helpers!CV15</f>
        <v>0</v>
      </c>
      <c r="CY349" s="13" t="n">
        <f aca="false">Helpers!CW15</f>
        <v>0</v>
      </c>
      <c r="CZ349" s="13" t="n">
        <f aca="false">Helpers!CX15</f>
        <v>0</v>
      </c>
      <c r="DA349" s="13" t="n">
        <f aca="false">Helpers!CY15</f>
        <v>0</v>
      </c>
      <c r="DB349" s="13" t="n">
        <f aca="false">Helpers!CZ15</f>
        <v>0</v>
      </c>
      <c r="DC349" s="13" t="n">
        <f aca="false">Helpers!DA15</f>
        <v>0</v>
      </c>
      <c r="DD349" s="13" t="n">
        <f aca="false">Helpers!DB15</f>
        <v>0</v>
      </c>
      <c r="DE349" s="13" t="n">
        <f aca="false">Helpers!DC15</f>
        <v>0</v>
      </c>
    </row>
    <row r="350" customFormat="false" ht="15" hidden="false" customHeight="true" outlineLevel="0" collapsed="false">
      <c r="A350" s="29" t="s">
        <v>176</v>
      </c>
      <c r="B350" s="30"/>
      <c r="C350" s="30"/>
      <c r="D350" s="30"/>
      <c r="E350" s="30" t="n">
        <f aca="false">SUM(E342:E349)+E351</f>
        <v>24716840.35</v>
      </c>
      <c r="F350" s="30" t="n">
        <f aca="false">SUM(F342:F349)+F351</f>
        <v>22881539.17</v>
      </c>
      <c r="G350" s="30" t="n">
        <f aca="false">SUM(G342:G349)+G351</f>
        <v>20879271.91</v>
      </c>
      <c r="H350" s="30" t="n">
        <f aca="false">SUM(H342:H349)+H351</f>
        <v>18748519.38</v>
      </c>
      <c r="I350" s="30" t="n">
        <f aca="false">SUM(I342:I349)+I351</f>
        <v>72424528.6691092</v>
      </c>
      <c r="J350" s="30" t="n">
        <f aca="false">SUM(J342:J349)+J351</f>
        <v>82574509.2435969</v>
      </c>
      <c r="K350" s="30" t="n">
        <f aca="false">SUM(K342:K349)+K351</f>
        <v>79199788.5696833</v>
      </c>
      <c r="L350" s="30" t="n">
        <f aca="false">SUM(L342:L349)+L351</f>
        <v>76252151.8859288</v>
      </c>
      <c r="M350" s="30" t="n">
        <f aca="false">SUM(M342:M349)+M351</f>
        <v>93841157.4299332</v>
      </c>
      <c r="N350" s="30" t="n">
        <f aca="false">SUM(N342:N349)+N351</f>
        <v>89898626.9272109</v>
      </c>
      <c r="O350" s="30" t="n">
        <f aca="false">SUM(O342:O349)+O351</f>
        <v>85937639.1724672</v>
      </c>
      <c r="P350" s="30" t="n">
        <f aca="false">SUM(P342:P349)+P351</f>
        <v>81571690.8249268</v>
      </c>
      <c r="Q350" s="30" t="n">
        <f aca="false">SUM(Q342:Q349)+Q351</f>
        <v>121727922.918202</v>
      </c>
      <c r="R350" s="30" t="n">
        <f aca="false">SUM(R342:R349)+R351</f>
        <v>131269041.004181</v>
      </c>
      <c r="S350" s="30" t="n">
        <f aca="false">SUM(S342:S349)+S351</f>
        <v>135930577.982465</v>
      </c>
      <c r="T350" s="30" t="n">
        <f aca="false">SUM(T342:T349)+T351</f>
        <v>146230977.914143</v>
      </c>
      <c r="U350" s="30" t="n">
        <f aca="false">SUM(U342:U349)+U351</f>
        <v>138506386.313794</v>
      </c>
      <c r="V350" s="30" t="n">
        <f aca="false">SUM(V342:V349)+V351</f>
        <v>129160029.539487</v>
      </c>
      <c r="W350" s="30" t="n">
        <f aca="false">SUM(W342:W349)+W351</f>
        <v>120671973.577775</v>
      </c>
      <c r="X350" s="30" t="n">
        <f aca="false">SUM(X342:X349)+X351</f>
        <v>110458947.210643</v>
      </c>
      <c r="Y350" s="30" t="n">
        <f aca="false">SUM(Y342:Y349)+Y351</f>
        <v>101419054.905732</v>
      </c>
      <c r="Z350" s="30" t="n">
        <f aca="false">SUM(Z342:Z349)+Z351</f>
        <v>91255310.3504825</v>
      </c>
      <c r="AA350" s="30" t="n">
        <f aca="false">SUM(AA342:AA349)+AA351</f>
        <v>81594151.1789565</v>
      </c>
      <c r="AB350" s="30" t="n">
        <f aca="false">SUM(AB342:AB349)+AB351</f>
        <v>68825770.901435</v>
      </c>
      <c r="AC350" s="30" t="n">
        <f aca="false">SUM(AC342:AC349)+AC351</f>
        <v>61721060.331365</v>
      </c>
      <c r="AD350" s="30" t="n">
        <f aca="false">SUM(AD342:AD349)+AD351</f>
        <v>54637845.552147</v>
      </c>
      <c r="AE350" s="30" t="n">
        <f aca="false">SUM(AE342:AE349)+AE351</f>
        <v>88609446.431479</v>
      </c>
      <c r="AF350" s="30" t="n">
        <f aca="false">SUM(AF342:AF349)+AF351</f>
        <v>81652570.77241</v>
      </c>
      <c r="AG350" s="30" t="n">
        <f aca="false">SUM(AG342:AG349)+AG351</f>
        <v>73836787.224888</v>
      </c>
      <c r="AH350" s="30" t="n">
        <f aca="false">SUM(AH342:AH349)+AH351</f>
        <v>66427956.25085</v>
      </c>
      <c r="AI350" s="30" t="n">
        <f aca="false">SUM(AI342:AI349)+AI351</f>
        <v>59322725.386767</v>
      </c>
      <c r="AJ350" s="30" t="n">
        <f aca="false">SUM(AJ342:AJ349)+AJ351</f>
        <v>68100200.892003</v>
      </c>
      <c r="AK350" s="30" t="n">
        <f aca="false">SUM(AK342:AK349)+AK351</f>
        <v>62570340.652485</v>
      </c>
      <c r="AL350" s="30" t="n">
        <f aca="false">SUM(AL342:AL349)+AL351</f>
        <v>57229786.624518</v>
      </c>
      <c r="AM350" s="30" t="n">
        <f aca="false">SUM(AM342:AM349)+AM351</f>
        <v>52185393.61347</v>
      </c>
      <c r="AN350" s="30" t="n">
        <f aca="false">SUM(AN342:AN349)+AN351</f>
        <v>47966431.200826</v>
      </c>
      <c r="AO350" s="30" t="n">
        <f aca="false">SUM(AO342:AO349)+AO351</f>
        <v>44025932.367548</v>
      </c>
      <c r="AP350" s="30" t="n">
        <f aca="false">SUM(AP342:AP349)+AP351</f>
        <v>57582968.833158</v>
      </c>
      <c r="AQ350" s="30" t="n">
        <f aca="false">SUM(AQ342:AQ349)+AQ351</f>
        <v>53035629.712532</v>
      </c>
      <c r="AR350" s="30" t="n">
        <f aca="false">SUM(AR342:AR349)+AR351</f>
        <v>48412259.967326</v>
      </c>
      <c r="AS350" s="30" t="n">
        <f aca="false">SUM(AS342:AS349)+AS351</f>
        <v>43748071.487426</v>
      </c>
      <c r="AT350" s="30" t="n">
        <f aca="false">SUM(AT342:AT349)+AT351</f>
        <v>39084254.790616</v>
      </c>
      <c r="AU350" s="30" t="n">
        <f aca="false">SUM(AU342:AU349)+AU351</f>
        <v>35094306.49148</v>
      </c>
      <c r="AV350" s="30" t="n">
        <f aca="false">SUM(AV342:AV349)+AV351</f>
        <v>31106431.294064</v>
      </c>
      <c r="AW350" s="30" t="n">
        <f aca="false">SUM(AW342:AW349)+AW351</f>
        <v>27179280.501624</v>
      </c>
      <c r="AX350" s="30" t="n">
        <f aca="false">SUM(AX342:AX349)+AX351</f>
        <v>23369523.165056</v>
      </c>
      <c r="AY350" s="30" t="n">
        <f aca="false">SUM(AY342:AY349)+AY351</f>
        <v>19729517.667552</v>
      </c>
      <c r="AZ350" s="30" t="n">
        <f aca="false">SUM(AZ342:AZ349)+AZ351</f>
        <v>16304865.887544</v>
      </c>
      <c r="BA350" s="30" t="n">
        <f aca="false">SUM(BA342:BA349)+BA351</f>
        <v>13132422.71628</v>
      </c>
      <c r="BB350" s="30" t="n">
        <f aca="false">SUM(BB342:BB349)+BB351</f>
        <v>24841307.412456</v>
      </c>
      <c r="BC350" s="30" t="n">
        <f aca="false">SUM(BC342:BC349)+BC351</f>
        <v>22065854.53832</v>
      </c>
      <c r="BD350" s="30" t="n">
        <f aca="false">SUM(BD342:BD349)+BD351</f>
        <v>19418355.3782</v>
      </c>
      <c r="BE350" s="30" t="n">
        <f aca="false">SUM(BE342:BE349)+BE351</f>
        <v>16903635.711664</v>
      </c>
      <c r="BF350" s="30" t="n">
        <f aca="false">SUM(BF342:BF349)+BF351</f>
        <v>14522644.58668</v>
      </c>
      <c r="BG350" s="30" t="n">
        <f aca="false">SUM(BG342:BG349)+BG351</f>
        <v>12274311.511304</v>
      </c>
      <c r="BH350" s="30" t="n">
        <f aca="false">SUM(BH342:BH349)+BH351</f>
        <v>24759344.581472</v>
      </c>
      <c r="BI350" s="30" t="n">
        <f aca="false">SUM(BI342:BI349)+BI351</f>
        <v>23231535</v>
      </c>
      <c r="BJ350" s="30" t="n">
        <f aca="false">SUM(BJ342:BJ349)+BJ351</f>
        <v>21563325</v>
      </c>
      <c r="BK350" s="30" t="n">
        <f aca="false">SUM(BK342:BK349)+BK351</f>
        <v>19777695</v>
      </c>
      <c r="BL350" s="30" t="n">
        <f aca="false">SUM(BL342:BL349)+BL351</f>
        <v>17903445</v>
      </c>
      <c r="BM350" s="30" t="n">
        <f aca="false">SUM(BM342:BM349)+BM351</f>
        <v>15974055</v>
      </c>
      <c r="BN350" s="30" t="n">
        <f aca="false">SUM(BN342:BN349)+BN351</f>
        <v>14025945</v>
      </c>
      <c r="BO350" s="30" t="n">
        <f aca="false">SUM(BO342:BO349)+BO351</f>
        <v>12096555</v>
      </c>
      <c r="BP350" s="30" t="n">
        <f aca="false">SUM(BP342:BP349)+BP351</f>
        <v>10222305</v>
      </c>
      <c r="BQ350" s="30" t="n">
        <f aca="false">SUM(BQ342:BQ349)+BQ351</f>
        <v>8436675</v>
      </c>
      <c r="BR350" s="30" t="n">
        <f aca="false">SUM(BR342:BR349)+BR351</f>
        <v>6768465</v>
      </c>
      <c r="BS350" s="30" t="n">
        <f aca="false">SUM(BS342:BS349)+BS351</f>
        <v>5240490</v>
      </c>
      <c r="BT350" s="30" t="n">
        <f aca="false">SUM(BT342:BT349)+BT351</f>
        <v>3868680</v>
      </c>
      <c r="BU350" s="30" t="n">
        <f aca="false">SUM(BU342:BU349)+BU351</f>
        <v>2975850</v>
      </c>
      <c r="BV350" s="30" t="n">
        <f aca="false">SUM(BV342:BV349)+BV351</f>
        <v>2177580</v>
      </c>
      <c r="BW350" s="30" t="n">
        <f aca="false">SUM(BW342:BW349)+BW351</f>
        <v>1481400</v>
      </c>
      <c r="BX350" s="30" t="n">
        <f aca="false">SUM(BX342:BX349)+BX351</f>
        <v>889169.999999999</v>
      </c>
      <c r="BY350" s="30" t="n">
        <f aca="false">SUM(BY342:BY349)+BY351</f>
        <v>397755</v>
      </c>
      <c r="BZ350" s="30" t="n">
        <f aca="false">SUM(BZ342:BZ349)+BZ351</f>
        <v>0</v>
      </c>
      <c r="CA350" s="30" t="n">
        <f aca="false">SUM(CA342:CA349)+CA351</f>
        <v>0</v>
      </c>
      <c r="CB350" s="30" t="n">
        <f aca="false">SUM(CB342:CB349)+CB351</f>
        <v>0</v>
      </c>
      <c r="CC350" s="30" t="n">
        <f aca="false">SUM(CC342:CC349)+CC351</f>
        <v>0</v>
      </c>
      <c r="CD350" s="30" t="n">
        <f aca="false">SUM(CD342:CD349)+CD351</f>
        <v>0</v>
      </c>
      <c r="CE350" s="30" t="n">
        <f aca="false">SUM(CE342:CE349)+CE351</f>
        <v>0</v>
      </c>
      <c r="CF350" s="30" t="n">
        <f aca="false">SUM(CF342:CF349)+CF351</f>
        <v>0</v>
      </c>
      <c r="CG350" s="30" t="n">
        <f aca="false">SUM(CG342:CG349)+CG351</f>
        <v>0</v>
      </c>
      <c r="CH350" s="30" t="n">
        <f aca="false">SUM(CH342:CH349)+CH351</f>
        <v>0</v>
      </c>
      <c r="CI350" s="30" t="n">
        <f aca="false">SUM(CI342:CI349)+CI351</f>
        <v>0</v>
      </c>
      <c r="CJ350" s="30" t="n">
        <f aca="false">SUM(CJ342:CJ349)+CJ351</f>
        <v>0</v>
      </c>
      <c r="CK350" s="30" t="n">
        <f aca="false">SUM(CK342:CK349)+CK351</f>
        <v>0</v>
      </c>
      <c r="CL350" s="30" t="n">
        <f aca="false">SUM(CL342:CL349)+CL351</f>
        <v>0</v>
      </c>
      <c r="CM350" s="30" t="n">
        <f aca="false">SUM(CM342:CM349)+CM351</f>
        <v>0</v>
      </c>
      <c r="CN350" s="30" t="n">
        <f aca="false">SUM(CN342:CN349)+CN351</f>
        <v>0</v>
      </c>
      <c r="CO350" s="30" t="n">
        <f aca="false">SUM(CO342:CO349)+CO351</f>
        <v>0</v>
      </c>
      <c r="CP350" s="30" t="n">
        <f aca="false">SUM(CP342:CP349)+CP351</f>
        <v>0</v>
      </c>
      <c r="CQ350" s="30" t="n">
        <f aca="false">SUM(CQ342:CQ349)+CQ351</f>
        <v>0</v>
      </c>
      <c r="CR350" s="30" t="n">
        <f aca="false">SUM(CR342:CR349)+CR351</f>
        <v>0</v>
      </c>
      <c r="CS350" s="30" t="n">
        <f aca="false">SUM(CS342:CS349)+CS351</f>
        <v>0</v>
      </c>
      <c r="CT350" s="30" t="n">
        <f aca="false">SUM(CT342:CT349)+CT351</f>
        <v>0</v>
      </c>
      <c r="CU350" s="30" t="n">
        <f aca="false">SUM(CU342:CU349)+CU351</f>
        <v>0</v>
      </c>
      <c r="CV350" s="30" t="n">
        <f aca="false">SUM(CV342:CV349)+CV351</f>
        <v>0</v>
      </c>
      <c r="CW350" s="30" t="n">
        <f aca="false">SUM(CW342:CW349)+CW351</f>
        <v>0</v>
      </c>
      <c r="CX350" s="30" t="n">
        <f aca="false">SUM(CX342:CX349)+CX351</f>
        <v>0</v>
      </c>
      <c r="CY350" s="30" t="n">
        <f aca="false">SUM(CY342:CY349)+CY351</f>
        <v>0</v>
      </c>
      <c r="CZ350" s="30" t="n">
        <f aca="false">SUM(CZ342:CZ349)+CZ351</f>
        <v>0</v>
      </c>
      <c r="DA350" s="30" t="n">
        <f aca="false">SUM(DA342:DA349)+DA351</f>
        <v>0</v>
      </c>
      <c r="DB350" s="30" t="n">
        <f aca="false">SUM(DB342:DB349)+DB351</f>
        <v>0</v>
      </c>
      <c r="DC350" s="30" t="n">
        <f aca="false">SUM(DC342:DC349)+DC351</f>
        <v>0</v>
      </c>
      <c r="DD350" s="30" t="n">
        <f aca="false">SUM(DD342:DD349)+DD351</f>
        <v>0</v>
      </c>
      <c r="DE350" s="30" t="n">
        <f aca="false">SUM(DE342:DE349)+DE351</f>
        <v>0</v>
      </c>
    </row>
    <row r="351" customFormat="false" ht="15" hidden="false" customHeight="true" outlineLevel="0" collapsed="false">
      <c r="A351" s="3" t="s">
        <v>177</v>
      </c>
      <c r="B351" s="13"/>
      <c r="C351" s="13"/>
      <c r="D351" s="13"/>
      <c r="E351" s="13" t="n">
        <f aca="false">IF(AND(Projects!$G$17="Yes",Projects!$F$17="Yes",E$3&gt;=Projects!$C$17,E$3&lt;Projects!$C$17+Projects!$D$17),Projects!$B$17*(1-SUMPRODUCT((Curves!$B$4:$AR$4)*(COLUMN(Curves!$B$4:$AR$4)-COLUMN(Curves!$B$4)+1&lt;=E$3-Projects!$C$17+1))),0)+IF(AND(Projects!$G$18="Yes",Projects!$F$18="Yes",E$3&gt;=Projects!$C$18,E$3&lt;Projects!$C$18+Projects!$D$18),Projects!$B$18*(1-SUMPRODUCT((Curves!$B$4:$AR$4)*(COLUMN(Curves!$B$4:$AR$4)-COLUMN(Curves!$B$4)+1&lt;=E$3-Projects!$C$18+1))),0)+IF(AND(Projects!$G$19="Yes",Projects!$F$19="Yes",E$3&gt;=Projects!$C$19,E$3&lt;Projects!$C$19+Projects!$D$19),Projects!$B$19*(1-SUMPRODUCT((Curves!$B$4:$AR$4)*(COLUMN(Curves!$B$4:$AR$4)-COLUMN(Curves!$B$4)+1&lt;=E$3-Projects!$C$19+1))),0)+IF(AND(Projects!$G$23="Yes",Projects!$F$23="Yes",E$3&gt;=Projects!$C$23,E$3&lt;Projects!$C$23+Projects!$D$23),Projects!$B$23*(1-SUMPRODUCT((Curves!$B$4:$AR$4)*(COLUMN(Curves!$B$4:$AR$4)-COLUMN(Curves!$B$4)+1&lt;=E$3-Projects!$C$23+1))),0)+IF(AND(Projects!$G$28="Yes",Projects!$F$28="Yes",E$3&gt;=Projects!$C$28,E$3&lt;Projects!$C$28+Projects!$D$28),Projects!$B$28*(1-SUMPRODUCT((Curves!$B$4:$AR$4)*(COLUMN(Curves!$B$4:$AR$4)-COLUMN(Curves!$B$4)+1&lt;=E$3-Projects!$C$28+1))),0)+IF(AND(Projects!$G$34="Yes",Projects!$F$34="Yes",E$3&gt;=Projects!$C$34,E$3&lt;Projects!$C$34+Projects!$D$34),Projects!$B$34*(1-SUMPRODUCT((Curves!$B$4:$AR$4)*(COLUMN(Curves!$B$4:$AR$4)-COLUMN(Curves!$B$4)+1&lt;=E$3-Projects!$C$34+1))),0)+IF(AND(Projects!$G$40="Yes",Projects!$F$40="Yes",E$3&gt;=Projects!$C$40,E$3&lt;Projects!$C$40+Projects!$D$40),Projects!$B$40*(1-SUMPRODUCT((Curves!$B$4:$AR$4)*(COLUMN(Curves!$B$4:$AR$4)-COLUMN(Curves!$B$4)+1&lt;=E$3-Projects!$C$40+1))),0)+IF(AND(Projects!$G$46="Yes",Projects!$F$46="Yes",E$3&gt;=Projects!$C$46,E$3&lt;Projects!$C$46+Projects!$D$46),Projects!$B$46*(1-SUMPRODUCT((Curves!$B$4:$AR$4)*(COLUMN(Curves!$B$4:$AR$4)-COLUMN(Curves!$B$4)+1&lt;=E$3-Projects!$C$46+1))),0)</f>
        <v>0</v>
      </c>
      <c r="F351" s="13" t="n">
        <f aca="false">IF(AND(Projects!$G$17="Yes",Projects!$F$17="Yes",F$3&gt;=Projects!$C$17,F$3&lt;Projects!$C$17+Projects!$D$17),Projects!$B$17*(1-SUMPRODUCT((Curves!$B$4:$AR$4)*(COLUMN(Curves!$B$4:$AR$4)-COLUMN(Curves!$B$4)+1&lt;=F$3-Projects!$C$17+1))),0)+IF(AND(Projects!$G$18="Yes",Projects!$F$18="Yes",F$3&gt;=Projects!$C$18,F$3&lt;Projects!$C$18+Projects!$D$18),Projects!$B$18*(1-SUMPRODUCT((Curves!$B$4:$AR$4)*(COLUMN(Curves!$B$4:$AR$4)-COLUMN(Curves!$B$4)+1&lt;=F$3-Projects!$C$18+1))),0)+IF(AND(Projects!$G$19="Yes",Projects!$F$19="Yes",F$3&gt;=Projects!$C$19,F$3&lt;Projects!$C$19+Projects!$D$19),Projects!$B$19*(1-SUMPRODUCT((Curves!$B$4:$AR$4)*(COLUMN(Curves!$B$4:$AR$4)-COLUMN(Curves!$B$4)+1&lt;=F$3-Projects!$C$19+1))),0)+IF(AND(Projects!$G$23="Yes",Projects!$F$23="Yes",F$3&gt;=Projects!$C$23,F$3&lt;Projects!$C$23+Projects!$D$23),Projects!$B$23*(1-SUMPRODUCT((Curves!$B$4:$AR$4)*(COLUMN(Curves!$B$4:$AR$4)-COLUMN(Curves!$B$4)+1&lt;=F$3-Projects!$C$23+1))),0)+IF(AND(Projects!$G$28="Yes",Projects!$F$28="Yes",F$3&gt;=Projects!$C$28,F$3&lt;Projects!$C$28+Projects!$D$28),Projects!$B$28*(1-SUMPRODUCT((Curves!$B$4:$AR$4)*(COLUMN(Curves!$B$4:$AR$4)-COLUMN(Curves!$B$4)+1&lt;=F$3-Projects!$C$28+1))),0)+IF(AND(Projects!$G$34="Yes",Projects!$F$34="Yes",F$3&gt;=Projects!$C$34,F$3&lt;Projects!$C$34+Projects!$D$34),Projects!$B$34*(1-SUMPRODUCT((Curves!$B$4:$AR$4)*(COLUMN(Curves!$B$4:$AR$4)-COLUMN(Curves!$B$4)+1&lt;=F$3-Projects!$C$34+1))),0)+IF(AND(Projects!$G$40="Yes",Projects!$F$40="Yes",F$3&gt;=Projects!$C$40,F$3&lt;Projects!$C$40+Projects!$D$40),Projects!$B$40*(1-SUMPRODUCT((Curves!$B$4:$AR$4)*(COLUMN(Curves!$B$4:$AR$4)-COLUMN(Curves!$B$4)+1&lt;=F$3-Projects!$C$40+1))),0)+IF(AND(Projects!$G$46="Yes",Projects!$F$46="Yes",F$3&gt;=Projects!$C$46,F$3&lt;Projects!$C$46+Projects!$D$46),Projects!$B$46*(1-SUMPRODUCT((Curves!$B$4:$AR$4)*(COLUMN(Curves!$B$4:$AR$4)-COLUMN(Curves!$B$4)+1&lt;=F$3-Projects!$C$46+1))),0)</f>
        <v>0</v>
      </c>
      <c r="G351" s="13" t="n">
        <f aca="false">IF(AND(Projects!$G$17="Yes",Projects!$F$17="Yes",G$3&gt;=Projects!$C$17,G$3&lt;Projects!$C$17+Projects!$D$17),Projects!$B$17*(1-SUMPRODUCT((Curves!$B$4:$AR$4)*(COLUMN(Curves!$B$4:$AR$4)-COLUMN(Curves!$B$4)+1&lt;=G$3-Projects!$C$17+1))),0)+IF(AND(Projects!$G$18="Yes",Projects!$F$18="Yes",G$3&gt;=Projects!$C$18,G$3&lt;Projects!$C$18+Projects!$D$18),Projects!$B$18*(1-SUMPRODUCT((Curves!$B$4:$AR$4)*(COLUMN(Curves!$B$4:$AR$4)-COLUMN(Curves!$B$4)+1&lt;=G$3-Projects!$C$18+1))),0)+IF(AND(Projects!$G$19="Yes",Projects!$F$19="Yes",G$3&gt;=Projects!$C$19,G$3&lt;Projects!$C$19+Projects!$D$19),Projects!$B$19*(1-SUMPRODUCT((Curves!$B$4:$AR$4)*(COLUMN(Curves!$B$4:$AR$4)-COLUMN(Curves!$B$4)+1&lt;=G$3-Projects!$C$19+1))),0)+IF(AND(Projects!$G$23="Yes",Projects!$F$23="Yes",G$3&gt;=Projects!$C$23,G$3&lt;Projects!$C$23+Projects!$D$23),Projects!$B$23*(1-SUMPRODUCT((Curves!$B$4:$AR$4)*(COLUMN(Curves!$B$4:$AR$4)-COLUMN(Curves!$B$4)+1&lt;=G$3-Projects!$C$23+1))),0)+IF(AND(Projects!$G$28="Yes",Projects!$F$28="Yes",G$3&gt;=Projects!$C$28,G$3&lt;Projects!$C$28+Projects!$D$28),Projects!$B$28*(1-SUMPRODUCT((Curves!$B$4:$AR$4)*(COLUMN(Curves!$B$4:$AR$4)-COLUMN(Curves!$B$4)+1&lt;=G$3-Projects!$C$28+1))),0)+IF(AND(Projects!$G$34="Yes",Projects!$F$34="Yes",G$3&gt;=Projects!$C$34,G$3&lt;Projects!$C$34+Projects!$D$34),Projects!$B$34*(1-SUMPRODUCT((Curves!$B$4:$AR$4)*(COLUMN(Curves!$B$4:$AR$4)-COLUMN(Curves!$B$4)+1&lt;=G$3-Projects!$C$34+1))),0)+IF(AND(Projects!$G$40="Yes",Projects!$F$40="Yes",G$3&gt;=Projects!$C$40,G$3&lt;Projects!$C$40+Projects!$D$40),Projects!$B$40*(1-SUMPRODUCT((Curves!$B$4:$AR$4)*(COLUMN(Curves!$B$4:$AR$4)-COLUMN(Curves!$B$4)+1&lt;=G$3-Projects!$C$40+1))),0)+IF(AND(Projects!$G$46="Yes",Projects!$F$46="Yes",G$3&gt;=Projects!$C$46,G$3&lt;Projects!$C$46+Projects!$D$46),Projects!$B$46*(1-SUMPRODUCT((Curves!$B$4:$AR$4)*(COLUMN(Curves!$B$4:$AR$4)-COLUMN(Curves!$B$4)+1&lt;=G$3-Projects!$C$46+1))),0)</f>
        <v>0</v>
      </c>
      <c r="H351" s="13" t="n">
        <f aca="false">IF(AND(Projects!$G$17="Yes",Projects!$F$17="Yes",H$3&gt;=Projects!$C$17,H$3&lt;Projects!$C$17+Projects!$D$17),Projects!$B$17*(1-SUMPRODUCT((Curves!$B$4:$AR$4)*(COLUMN(Curves!$B$4:$AR$4)-COLUMN(Curves!$B$4)+1&lt;=H$3-Projects!$C$17+1))),0)+IF(AND(Projects!$G$18="Yes",Projects!$F$18="Yes",H$3&gt;=Projects!$C$18,H$3&lt;Projects!$C$18+Projects!$D$18),Projects!$B$18*(1-SUMPRODUCT((Curves!$B$4:$AR$4)*(COLUMN(Curves!$B$4:$AR$4)-COLUMN(Curves!$B$4)+1&lt;=H$3-Projects!$C$18+1))),0)+IF(AND(Projects!$G$19="Yes",Projects!$F$19="Yes",H$3&gt;=Projects!$C$19,H$3&lt;Projects!$C$19+Projects!$D$19),Projects!$B$19*(1-SUMPRODUCT((Curves!$B$4:$AR$4)*(COLUMN(Curves!$B$4:$AR$4)-COLUMN(Curves!$B$4)+1&lt;=H$3-Projects!$C$19+1))),0)+IF(AND(Projects!$G$23="Yes",Projects!$F$23="Yes",H$3&gt;=Projects!$C$23,H$3&lt;Projects!$C$23+Projects!$D$23),Projects!$B$23*(1-SUMPRODUCT((Curves!$B$4:$AR$4)*(COLUMN(Curves!$B$4:$AR$4)-COLUMN(Curves!$B$4)+1&lt;=H$3-Projects!$C$23+1))),0)+IF(AND(Projects!$G$28="Yes",Projects!$F$28="Yes",H$3&gt;=Projects!$C$28,H$3&lt;Projects!$C$28+Projects!$D$28),Projects!$B$28*(1-SUMPRODUCT((Curves!$B$4:$AR$4)*(COLUMN(Curves!$B$4:$AR$4)-COLUMN(Curves!$B$4)+1&lt;=H$3-Projects!$C$28+1))),0)+IF(AND(Projects!$G$34="Yes",Projects!$F$34="Yes",H$3&gt;=Projects!$C$34,H$3&lt;Projects!$C$34+Projects!$D$34),Projects!$B$34*(1-SUMPRODUCT((Curves!$B$4:$AR$4)*(COLUMN(Curves!$B$4:$AR$4)-COLUMN(Curves!$B$4)+1&lt;=H$3-Projects!$C$34+1))),0)+IF(AND(Projects!$G$40="Yes",Projects!$F$40="Yes",H$3&gt;=Projects!$C$40,H$3&lt;Projects!$C$40+Projects!$D$40),Projects!$B$40*(1-SUMPRODUCT((Curves!$B$4:$AR$4)*(COLUMN(Curves!$B$4:$AR$4)-COLUMN(Curves!$B$4)+1&lt;=H$3-Projects!$C$40+1))),0)+IF(AND(Projects!$G$46="Yes",Projects!$F$46="Yes",H$3&gt;=Projects!$C$46,H$3&lt;Projects!$C$46+Projects!$D$46),Projects!$B$46*(1-SUMPRODUCT((Curves!$B$4:$AR$4)*(COLUMN(Curves!$B$4:$AR$4)-COLUMN(Curves!$B$4)+1&lt;=H$3-Projects!$C$46+1))),0)</f>
        <v>0</v>
      </c>
      <c r="I351" s="13" t="n">
        <f aca="false">IF(AND(Projects!$G$17="Yes",Projects!$F$17="Yes",I$3&gt;=Projects!$C$17,I$3&lt;Projects!$C$17+Projects!$D$17),Projects!$B$17*(1-SUMPRODUCT((Curves!$B$4:$AR$4)*(COLUMN(Curves!$B$4:$AR$4)-COLUMN(Curves!$B$4)+1&lt;=I$3-Projects!$C$17+1))),0)+IF(AND(Projects!$G$18="Yes",Projects!$F$18="Yes",I$3&gt;=Projects!$C$18,I$3&lt;Projects!$C$18+Projects!$D$18),Projects!$B$18*(1-SUMPRODUCT((Curves!$B$4:$AR$4)*(COLUMN(Curves!$B$4:$AR$4)-COLUMN(Curves!$B$4)+1&lt;=I$3-Projects!$C$18+1))),0)+IF(AND(Projects!$G$19="Yes",Projects!$F$19="Yes",I$3&gt;=Projects!$C$19,I$3&lt;Projects!$C$19+Projects!$D$19),Projects!$B$19*(1-SUMPRODUCT((Curves!$B$4:$AR$4)*(COLUMN(Curves!$B$4:$AR$4)-COLUMN(Curves!$B$4)+1&lt;=I$3-Projects!$C$19+1))),0)+IF(AND(Projects!$G$23="Yes",Projects!$F$23="Yes",I$3&gt;=Projects!$C$23,I$3&lt;Projects!$C$23+Projects!$D$23),Projects!$B$23*(1-SUMPRODUCT((Curves!$B$4:$AR$4)*(COLUMN(Curves!$B$4:$AR$4)-COLUMN(Curves!$B$4)+1&lt;=I$3-Projects!$C$23+1))),0)+IF(AND(Projects!$G$28="Yes",Projects!$F$28="Yes",I$3&gt;=Projects!$C$28,I$3&lt;Projects!$C$28+Projects!$D$28),Projects!$B$28*(1-SUMPRODUCT((Curves!$B$4:$AR$4)*(COLUMN(Curves!$B$4:$AR$4)-COLUMN(Curves!$B$4)+1&lt;=I$3-Projects!$C$28+1))),0)+IF(AND(Projects!$G$34="Yes",Projects!$F$34="Yes",I$3&gt;=Projects!$C$34,I$3&lt;Projects!$C$34+Projects!$D$34),Projects!$B$34*(1-SUMPRODUCT((Curves!$B$4:$AR$4)*(COLUMN(Curves!$B$4:$AR$4)-COLUMN(Curves!$B$4)+1&lt;=I$3-Projects!$C$34+1))),0)+IF(AND(Projects!$G$40="Yes",Projects!$F$40="Yes",I$3&gt;=Projects!$C$40,I$3&lt;Projects!$C$40+Projects!$D$40),Projects!$B$40*(1-SUMPRODUCT((Curves!$B$4:$AR$4)*(COLUMN(Curves!$B$4:$AR$4)-COLUMN(Curves!$B$4)+1&lt;=I$3-Projects!$C$40+1))),0)+IF(AND(Projects!$G$46="Yes",Projects!$F$46="Yes",I$3&gt;=Projects!$C$46,I$3&lt;Projects!$C$46+Projects!$D$46),Projects!$B$46*(1-SUMPRODUCT((Curves!$B$4:$AR$4)*(COLUMN(Curves!$B$4:$AR$4)-COLUMN(Curves!$B$4)+1&lt;=I$3-Projects!$C$46+1))),0)</f>
        <v>0</v>
      </c>
      <c r="J351" s="13" t="n">
        <f aca="false">IF(AND(Projects!$G$17="Yes",Projects!$F$17="Yes",J$3&gt;=Projects!$C$17,J$3&lt;Projects!$C$17+Projects!$D$17),Projects!$B$17*(1-SUMPRODUCT((Curves!$B$4:$AR$4)*(COLUMN(Curves!$B$4:$AR$4)-COLUMN(Curves!$B$4)+1&lt;=J$3-Projects!$C$17+1))),0)+IF(AND(Projects!$G$18="Yes",Projects!$F$18="Yes",J$3&gt;=Projects!$C$18,J$3&lt;Projects!$C$18+Projects!$D$18),Projects!$B$18*(1-SUMPRODUCT((Curves!$B$4:$AR$4)*(COLUMN(Curves!$B$4:$AR$4)-COLUMN(Curves!$B$4)+1&lt;=J$3-Projects!$C$18+1))),0)+IF(AND(Projects!$G$19="Yes",Projects!$F$19="Yes",J$3&gt;=Projects!$C$19,J$3&lt;Projects!$C$19+Projects!$D$19),Projects!$B$19*(1-SUMPRODUCT((Curves!$B$4:$AR$4)*(COLUMN(Curves!$B$4:$AR$4)-COLUMN(Curves!$B$4)+1&lt;=J$3-Projects!$C$19+1))),0)+IF(AND(Projects!$G$23="Yes",Projects!$F$23="Yes",J$3&gt;=Projects!$C$23,J$3&lt;Projects!$C$23+Projects!$D$23),Projects!$B$23*(1-SUMPRODUCT((Curves!$B$4:$AR$4)*(COLUMN(Curves!$B$4:$AR$4)-COLUMN(Curves!$B$4)+1&lt;=J$3-Projects!$C$23+1))),0)+IF(AND(Projects!$G$28="Yes",Projects!$F$28="Yes",J$3&gt;=Projects!$C$28,J$3&lt;Projects!$C$28+Projects!$D$28),Projects!$B$28*(1-SUMPRODUCT((Curves!$B$4:$AR$4)*(COLUMN(Curves!$B$4:$AR$4)-COLUMN(Curves!$B$4)+1&lt;=J$3-Projects!$C$28+1))),0)+IF(AND(Projects!$G$34="Yes",Projects!$F$34="Yes",J$3&gt;=Projects!$C$34,J$3&lt;Projects!$C$34+Projects!$D$34),Projects!$B$34*(1-SUMPRODUCT((Curves!$B$4:$AR$4)*(COLUMN(Curves!$B$4:$AR$4)-COLUMN(Curves!$B$4)+1&lt;=J$3-Projects!$C$34+1))),0)+IF(AND(Projects!$G$40="Yes",Projects!$F$40="Yes",J$3&gt;=Projects!$C$40,J$3&lt;Projects!$C$40+Projects!$D$40),Projects!$B$40*(1-SUMPRODUCT((Curves!$B$4:$AR$4)*(COLUMN(Curves!$B$4:$AR$4)-COLUMN(Curves!$B$4)+1&lt;=J$3-Projects!$C$40+1))),0)+IF(AND(Projects!$G$46="Yes",Projects!$F$46="Yes",J$3&gt;=Projects!$C$46,J$3&lt;Projects!$C$46+Projects!$D$46),Projects!$B$46*(1-SUMPRODUCT((Curves!$B$4:$AR$4)*(COLUMN(Curves!$B$4:$AR$4)-COLUMN(Curves!$B$4)+1&lt;=J$3-Projects!$C$46+1))),0)</f>
        <v>0</v>
      </c>
      <c r="K351" s="13" t="n">
        <f aca="false">IF(AND(Projects!$G$17="Yes",Projects!$F$17="Yes",K$3&gt;=Projects!$C$17,K$3&lt;Projects!$C$17+Projects!$D$17),Projects!$B$17*(1-SUMPRODUCT((Curves!$B$4:$AR$4)*(COLUMN(Curves!$B$4:$AR$4)-COLUMN(Curves!$B$4)+1&lt;=K$3-Projects!$C$17+1))),0)+IF(AND(Projects!$G$18="Yes",Projects!$F$18="Yes",K$3&gt;=Projects!$C$18,K$3&lt;Projects!$C$18+Projects!$D$18),Projects!$B$18*(1-SUMPRODUCT((Curves!$B$4:$AR$4)*(COLUMN(Curves!$B$4:$AR$4)-COLUMN(Curves!$B$4)+1&lt;=K$3-Projects!$C$18+1))),0)+IF(AND(Projects!$G$19="Yes",Projects!$F$19="Yes",K$3&gt;=Projects!$C$19,K$3&lt;Projects!$C$19+Projects!$D$19),Projects!$B$19*(1-SUMPRODUCT((Curves!$B$4:$AR$4)*(COLUMN(Curves!$B$4:$AR$4)-COLUMN(Curves!$B$4)+1&lt;=K$3-Projects!$C$19+1))),0)+IF(AND(Projects!$G$23="Yes",Projects!$F$23="Yes",K$3&gt;=Projects!$C$23,K$3&lt;Projects!$C$23+Projects!$D$23),Projects!$B$23*(1-SUMPRODUCT((Curves!$B$4:$AR$4)*(COLUMN(Curves!$B$4:$AR$4)-COLUMN(Curves!$B$4)+1&lt;=K$3-Projects!$C$23+1))),0)+IF(AND(Projects!$G$28="Yes",Projects!$F$28="Yes",K$3&gt;=Projects!$C$28,K$3&lt;Projects!$C$28+Projects!$D$28),Projects!$B$28*(1-SUMPRODUCT((Curves!$B$4:$AR$4)*(COLUMN(Curves!$B$4:$AR$4)-COLUMN(Curves!$B$4)+1&lt;=K$3-Projects!$C$28+1))),0)+IF(AND(Projects!$G$34="Yes",Projects!$F$34="Yes",K$3&gt;=Projects!$C$34,K$3&lt;Projects!$C$34+Projects!$D$34),Projects!$B$34*(1-SUMPRODUCT((Curves!$B$4:$AR$4)*(COLUMN(Curves!$B$4:$AR$4)-COLUMN(Curves!$B$4)+1&lt;=K$3-Projects!$C$34+1))),0)+IF(AND(Projects!$G$40="Yes",Projects!$F$40="Yes",K$3&gt;=Projects!$C$40,K$3&lt;Projects!$C$40+Projects!$D$40),Projects!$B$40*(1-SUMPRODUCT((Curves!$B$4:$AR$4)*(COLUMN(Curves!$B$4:$AR$4)-COLUMN(Curves!$B$4)+1&lt;=K$3-Projects!$C$40+1))),0)+IF(AND(Projects!$G$46="Yes",Projects!$F$46="Yes",K$3&gt;=Projects!$C$46,K$3&lt;Projects!$C$46+Projects!$D$46),Projects!$B$46*(1-SUMPRODUCT((Curves!$B$4:$AR$4)*(COLUMN(Curves!$B$4:$AR$4)-COLUMN(Curves!$B$4)+1&lt;=K$3-Projects!$C$46+1))),0)</f>
        <v>0</v>
      </c>
      <c r="L351" s="13" t="n">
        <f aca="false">IF(AND(Projects!$G$17="Yes",Projects!$F$17="Yes",L$3&gt;=Projects!$C$17,L$3&lt;Projects!$C$17+Projects!$D$17),Projects!$B$17*(1-SUMPRODUCT((Curves!$B$4:$AR$4)*(COLUMN(Curves!$B$4:$AR$4)-COLUMN(Curves!$B$4)+1&lt;=L$3-Projects!$C$17+1))),0)+IF(AND(Projects!$G$18="Yes",Projects!$F$18="Yes",L$3&gt;=Projects!$C$18,L$3&lt;Projects!$C$18+Projects!$D$18),Projects!$B$18*(1-SUMPRODUCT((Curves!$B$4:$AR$4)*(COLUMN(Curves!$B$4:$AR$4)-COLUMN(Curves!$B$4)+1&lt;=L$3-Projects!$C$18+1))),0)+IF(AND(Projects!$G$19="Yes",Projects!$F$19="Yes",L$3&gt;=Projects!$C$19,L$3&lt;Projects!$C$19+Projects!$D$19),Projects!$B$19*(1-SUMPRODUCT((Curves!$B$4:$AR$4)*(COLUMN(Curves!$B$4:$AR$4)-COLUMN(Curves!$B$4)+1&lt;=L$3-Projects!$C$19+1))),0)+IF(AND(Projects!$G$23="Yes",Projects!$F$23="Yes",L$3&gt;=Projects!$C$23,L$3&lt;Projects!$C$23+Projects!$D$23),Projects!$B$23*(1-SUMPRODUCT((Curves!$B$4:$AR$4)*(COLUMN(Curves!$B$4:$AR$4)-COLUMN(Curves!$B$4)+1&lt;=L$3-Projects!$C$23+1))),0)+IF(AND(Projects!$G$28="Yes",Projects!$F$28="Yes",L$3&gt;=Projects!$C$28,L$3&lt;Projects!$C$28+Projects!$D$28),Projects!$B$28*(1-SUMPRODUCT((Curves!$B$4:$AR$4)*(COLUMN(Curves!$B$4:$AR$4)-COLUMN(Curves!$B$4)+1&lt;=L$3-Projects!$C$28+1))),0)+IF(AND(Projects!$G$34="Yes",Projects!$F$34="Yes",L$3&gt;=Projects!$C$34,L$3&lt;Projects!$C$34+Projects!$D$34),Projects!$B$34*(1-SUMPRODUCT((Curves!$B$4:$AR$4)*(COLUMN(Curves!$B$4:$AR$4)-COLUMN(Curves!$B$4)+1&lt;=L$3-Projects!$C$34+1))),0)+IF(AND(Projects!$G$40="Yes",Projects!$F$40="Yes",L$3&gt;=Projects!$C$40,L$3&lt;Projects!$C$40+Projects!$D$40),Projects!$B$40*(1-SUMPRODUCT((Curves!$B$4:$AR$4)*(COLUMN(Curves!$B$4:$AR$4)-COLUMN(Curves!$B$4)+1&lt;=L$3-Projects!$C$40+1))),0)+IF(AND(Projects!$G$46="Yes",Projects!$F$46="Yes",L$3&gt;=Projects!$C$46,L$3&lt;Projects!$C$46+Projects!$D$46),Projects!$B$46*(1-SUMPRODUCT((Curves!$B$4:$AR$4)*(COLUMN(Curves!$B$4:$AR$4)-COLUMN(Curves!$B$4)+1&lt;=L$3-Projects!$C$46+1))),0)</f>
        <v>0</v>
      </c>
      <c r="M351" s="13" t="n">
        <f aca="false">IF(AND(Projects!$G$17="Yes",Projects!$F$17="Yes",M$3&gt;=Projects!$C$17,M$3&lt;Projects!$C$17+Projects!$D$17),Projects!$B$17*(1-SUMPRODUCT((Curves!$B$4:$AR$4)*(COLUMN(Curves!$B$4:$AR$4)-COLUMN(Curves!$B$4)+1&lt;=M$3-Projects!$C$17+1))),0)+IF(AND(Projects!$G$18="Yes",Projects!$F$18="Yes",M$3&gt;=Projects!$C$18,M$3&lt;Projects!$C$18+Projects!$D$18),Projects!$B$18*(1-SUMPRODUCT((Curves!$B$4:$AR$4)*(COLUMN(Curves!$B$4:$AR$4)-COLUMN(Curves!$B$4)+1&lt;=M$3-Projects!$C$18+1))),0)+IF(AND(Projects!$G$19="Yes",Projects!$F$19="Yes",M$3&gt;=Projects!$C$19,M$3&lt;Projects!$C$19+Projects!$D$19),Projects!$B$19*(1-SUMPRODUCT((Curves!$B$4:$AR$4)*(COLUMN(Curves!$B$4:$AR$4)-COLUMN(Curves!$B$4)+1&lt;=M$3-Projects!$C$19+1))),0)+IF(AND(Projects!$G$23="Yes",Projects!$F$23="Yes",M$3&gt;=Projects!$C$23,M$3&lt;Projects!$C$23+Projects!$D$23),Projects!$B$23*(1-SUMPRODUCT((Curves!$B$4:$AR$4)*(COLUMN(Curves!$B$4:$AR$4)-COLUMN(Curves!$B$4)+1&lt;=M$3-Projects!$C$23+1))),0)+IF(AND(Projects!$G$28="Yes",Projects!$F$28="Yes",M$3&gt;=Projects!$C$28,M$3&lt;Projects!$C$28+Projects!$D$28),Projects!$B$28*(1-SUMPRODUCT((Curves!$B$4:$AR$4)*(COLUMN(Curves!$B$4:$AR$4)-COLUMN(Curves!$B$4)+1&lt;=M$3-Projects!$C$28+1))),0)+IF(AND(Projects!$G$34="Yes",Projects!$F$34="Yes",M$3&gt;=Projects!$C$34,M$3&lt;Projects!$C$34+Projects!$D$34),Projects!$B$34*(1-SUMPRODUCT((Curves!$B$4:$AR$4)*(COLUMN(Curves!$B$4:$AR$4)-COLUMN(Curves!$B$4)+1&lt;=M$3-Projects!$C$34+1))),0)+IF(AND(Projects!$G$40="Yes",Projects!$F$40="Yes",M$3&gt;=Projects!$C$40,M$3&lt;Projects!$C$40+Projects!$D$40),Projects!$B$40*(1-SUMPRODUCT((Curves!$B$4:$AR$4)*(COLUMN(Curves!$B$4:$AR$4)-COLUMN(Curves!$B$4)+1&lt;=M$3-Projects!$C$40+1))),0)+IF(AND(Projects!$G$46="Yes",Projects!$F$46="Yes",M$3&gt;=Projects!$C$46,M$3&lt;Projects!$C$46+Projects!$D$46),Projects!$B$46*(1-SUMPRODUCT((Curves!$B$4:$AR$4)*(COLUMN(Curves!$B$4:$AR$4)-COLUMN(Curves!$B$4)+1&lt;=M$3-Projects!$C$46+1))),0)</f>
        <v>0</v>
      </c>
      <c r="N351" s="13" t="n">
        <f aca="false">IF(AND(Projects!$G$17="Yes",Projects!$F$17="Yes",N$3&gt;=Projects!$C$17,N$3&lt;Projects!$C$17+Projects!$D$17),Projects!$B$17*(1-SUMPRODUCT((Curves!$B$4:$AR$4)*(COLUMN(Curves!$B$4:$AR$4)-COLUMN(Curves!$B$4)+1&lt;=N$3-Projects!$C$17+1))),0)+IF(AND(Projects!$G$18="Yes",Projects!$F$18="Yes",N$3&gt;=Projects!$C$18,N$3&lt;Projects!$C$18+Projects!$D$18),Projects!$B$18*(1-SUMPRODUCT((Curves!$B$4:$AR$4)*(COLUMN(Curves!$B$4:$AR$4)-COLUMN(Curves!$B$4)+1&lt;=N$3-Projects!$C$18+1))),0)+IF(AND(Projects!$G$19="Yes",Projects!$F$19="Yes",N$3&gt;=Projects!$C$19,N$3&lt;Projects!$C$19+Projects!$D$19),Projects!$B$19*(1-SUMPRODUCT((Curves!$B$4:$AR$4)*(COLUMN(Curves!$B$4:$AR$4)-COLUMN(Curves!$B$4)+1&lt;=N$3-Projects!$C$19+1))),0)+IF(AND(Projects!$G$23="Yes",Projects!$F$23="Yes",N$3&gt;=Projects!$C$23,N$3&lt;Projects!$C$23+Projects!$D$23),Projects!$B$23*(1-SUMPRODUCT((Curves!$B$4:$AR$4)*(COLUMN(Curves!$B$4:$AR$4)-COLUMN(Curves!$B$4)+1&lt;=N$3-Projects!$C$23+1))),0)+IF(AND(Projects!$G$28="Yes",Projects!$F$28="Yes",N$3&gt;=Projects!$C$28,N$3&lt;Projects!$C$28+Projects!$D$28),Projects!$B$28*(1-SUMPRODUCT((Curves!$B$4:$AR$4)*(COLUMN(Curves!$B$4:$AR$4)-COLUMN(Curves!$B$4)+1&lt;=N$3-Projects!$C$28+1))),0)+IF(AND(Projects!$G$34="Yes",Projects!$F$34="Yes",N$3&gt;=Projects!$C$34,N$3&lt;Projects!$C$34+Projects!$D$34),Projects!$B$34*(1-SUMPRODUCT((Curves!$B$4:$AR$4)*(COLUMN(Curves!$B$4:$AR$4)-COLUMN(Curves!$B$4)+1&lt;=N$3-Projects!$C$34+1))),0)+IF(AND(Projects!$G$40="Yes",Projects!$F$40="Yes",N$3&gt;=Projects!$C$40,N$3&lt;Projects!$C$40+Projects!$D$40),Projects!$B$40*(1-SUMPRODUCT((Curves!$B$4:$AR$4)*(COLUMN(Curves!$B$4:$AR$4)-COLUMN(Curves!$B$4)+1&lt;=N$3-Projects!$C$40+1))),0)+IF(AND(Projects!$G$46="Yes",Projects!$F$46="Yes",N$3&gt;=Projects!$C$46,N$3&lt;Projects!$C$46+Projects!$D$46),Projects!$B$46*(1-SUMPRODUCT((Curves!$B$4:$AR$4)*(COLUMN(Curves!$B$4:$AR$4)-COLUMN(Curves!$B$4)+1&lt;=N$3-Projects!$C$46+1))),0)</f>
        <v>0</v>
      </c>
      <c r="O351" s="13" t="n">
        <f aca="false">IF(AND(Projects!$G$17="Yes",Projects!$F$17="Yes",O$3&gt;=Projects!$C$17,O$3&lt;Projects!$C$17+Projects!$D$17),Projects!$B$17*(1-SUMPRODUCT((Curves!$B$4:$AR$4)*(COLUMN(Curves!$B$4:$AR$4)-COLUMN(Curves!$B$4)+1&lt;=O$3-Projects!$C$17+1))),0)+IF(AND(Projects!$G$18="Yes",Projects!$F$18="Yes",O$3&gt;=Projects!$C$18,O$3&lt;Projects!$C$18+Projects!$D$18),Projects!$B$18*(1-SUMPRODUCT((Curves!$B$4:$AR$4)*(COLUMN(Curves!$B$4:$AR$4)-COLUMN(Curves!$B$4)+1&lt;=O$3-Projects!$C$18+1))),0)+IF(AND(Projects!$G$19="Yes",Projects!$F$19="Yes",O$3&gt;=Projects!$C$19,O$3&lt;Projects!$C$19+Projects!$D$19),Projects!$B$19*(1-SUMPRODUCT((Curves!$B$4:$AR$4)*(COLUMN(Curves!$B$4:$AR$4)-COLUMN(Curves!$B$4)+1&lt;=O$3-Projects!$C$19+1))),0)+IF(AND(Projects!$G$23="Yes",Projects!$F$23="Yes",O$3&gt;=Projects!$C$23,O$3&lt;Projects!$C$23+Projects!$D$23),Projects!$B$23*(1-SUMPRODUCT((Curves!$B$4:$AR$4)*(COLUMN(Curves!$B$4:$AR$4)-COLUMN(Curves!$B$4)+1&lt;=O$3-Projects!$C$23+1))),0)+IF(AND(Projects!$G$28="Yes",Projects!$F$28="Yes",O$3&gt;=Projects!$C$28,O$3&lt;Projects!$C$28+Projects!$D$28),Projects!$B$28*(1-SUMPRODUCT((Curves!$B$4:$AR$4)*(COLUMN(Curves!$B$4:$AR$4)-COLUMN(Curves!$B$4)+1&lt;=O$3-Projects!$C$28+1))),0)+IF(AND(Projects!$G$34="Yes",Projects!$F$34="Yes",O$3&gt;=Projects!$C$34,O$3&lt;Projects!$C$34+Projects!$D$34),Projects!$B$34*(1-SUMPRODUCT((Curves!$B$4:$AR$4)*(COLUMN(Curves!$B$4:$AR$4)-COLUMN(Curves!$B$4)+1&lt;=O$3-Projects!$C$34+1))),0)+IF(AND(Projects!$G$40="Yes",Projects!$F$40="Yes",O$3&gt;=Projects!$C$40,O$3&lt;Projects!$C$40+Projects!$D$40),Projects!$B$40*(1-SUMPRODUCT((Curves!$B$4:$AR$4)*(COLUMN(Curves!$B$4:$AR$4)-COLUMN(Curves!$B$4)+1&lt;=O$3-Projects!$C$40+1))),0)+IF(AND(Projects!$G$46="Yes",Projects!$F$46="Yes",O$3&gt;=Projects!$C$46,O$3&lt;Projects!$C$46+Projects!$D$46),Projects!$B$46*(1-SUMPRODUCT((Curves!$B$4:$AR$4)*(COLUMN(Curves!$B$4:$AR$4)-COLUMN(Curves!$B$4)+1&lt;=O$3-Projects!$C$46+1))),0)</f>
        <v>0</v>
      </c>
      <c r="P351" s="13" t="n">
        <f aca="false">IF(AND(Projects!$G$17="Yes",Projects!$F$17="Yes",P$3&gt;=Projects!$C$17,P$3&lt;Projects!$C$17+Projects!$D$17),Projects!$B$17*(1-SUMPRODUCT((Curves!$B$4:$AR$4)*(COLUMN(Curves!$B$4:$AR$4)-COLUMN(Curves!$B$4)+1&lt;=P$3-Projects!$C$17+1))),0)+IF(AND(Projects!$G$18="Yes",Projects!$F$18="Yes",P$3&gt;=Projects!$C$18,P$3&lt;Projects!$C$18+Projects!$D$18),Projects!$B$18*(1-SUMPRODUCT((Curves!$B$4:$AR$4)*(COLUMN(Curves!$B$4:$AR$4)-COLUMN(Curves!$B$4)+1&lt;=P$3-Projects!$C$18+1))),0)+IF(AND(Projects!$G$19="Yes",Projects!$F$19="Yes",P$3&gt;=Projects!$C$19,P$3&lt;Projects!$C$19+Projects!$D$19),Projects!$B$19*(1-SUMPRODUCT((Curves!$B$4:$AR$4)*(COLUMN(Curves!$B$4:$AR$4)-COLUMN(Curves!$B$4)+1&lt;=P$3-Projects!$C$19+1))),0)+IF(AND(Projects!$G$23="Yes",Projects!$F$23="Yes",P$3&gt;=Projects!$C$23,P$3&lt;Projects!$C$23+Projects!$D$23),Projects!$B$23*(1-SUMPRODUCT((Curves!$B$4:$AR$4)*(COLUMN(Curves!$B$4:$AR$4)-COLUMN(Curves!$B$4)+1&lt;=P$3-Projects!$C$23+1))),0)+IF(AND(Projects!$G$28="Yes",Projects!$F$28="Yes",P$3&gt;=Projects!$C$28,P$3&lt;Projects!$C$28+Projects!$D$28),Projects!$B$28*(1-SUMPRODUCT((Curves!$B$4:$AR$4)*(COLUMN(Curves!$B$4:$AR$4)-COLUMN(Curves!$B$4)+1&lt;=P$3-Projects!$C$28+1))),0)+IF(AND(Projects!$G$34="Yes",Projects!$F$34="Yes",P$3&gt;=Projects!$C$34,P$3&lt;Projects!$C$34+Projects!$D$34),Projects!$B$34*(1-SUMPRODUCT((Curves!$B$4:$AR$4)*(COLUMN(Curves!$B$4:$AR$4)-COLUMN(Curves!$B$4)+1&lt;=P$3-Projects!$C$34+1))),0)+IF(AND(Projects!$G$40="Yes",Projects!$F$40="Yes",P$3&gt;=Projects!$C$40,P$3&lt;Projects!$C$40+Projects!$D$40),Projects!$B$40*(1-SUMPRODUCT((Curves!$B$4:$AR$4)*(COLUMN(Curves!$B$4:$AR$4)-COLUMN(Curves!$B$4)+1&lt;=P$3-Projects!$C$40+1))),0)+IF(AND(Projects!$G$46="Yes",Projects!$F$46="Yes",P$3&gt;=Projects!$C$46,P$3&lt;Projects!$C$46+Projects!$D$46),Projects!$B$46*(1-SUMPRODUCT((Curves!$B$4:$AR$4)*(COLUMN(Curves!$B$4:$AR$4)-COLUMN(Curves!$B$4)+1&lt;=P$3-Projects!$C$46+1))),0)</f>
        <v>0</v>
      </c>
      <c r="Q351" s="13" t="n">
        <f aca="false">IF(AND(Projects!$G$17="Yes",Projects!$F$17="Yes",Q$3&gt;=Projects!$C$17,Q$3&lt;Projects!$C$17+Projects!$D$17),Projects!$B$17*(1-SUMPRODUCT((Curves!$B$4:$AR$4)*(COLUMN(Curves!$B$4:$AR$4)-COLUMN(Curves!$B$4)+1&lt;=Q$3-Projects!$C$17+1))),0)+IF(AND(Projects!$G$18="Yes",Projects!$F$18="Yes",Q$3&gt;=Projects!$C$18,Q$3&lt;Projects!$C$18+Projects!$D$18),Projects!$B$18*(1-SUMPRODUCT((Curves!$B$4:$AR$4)*(COLUMN(Curves!$B$4:$AR$4)-COLUMN(Curves!$B$4)+1&lt;=Q$3-Projects!$C$18+1))),0)+IF(AND(Projects!$G$19="Yes",Projects!$F$19="Yes",Q$3&gt;=Projects!$C$19,Q$3&lt;Projects!$C$19+Projects!$D$19),Projects!$B$19*(1-SUMPRODUCT((Curves!$B$4:$AR$4)*(COLUMN(Curves!$B$4:$AR$4)-COLUMN(Curves!$B$4)+1&lt;=Q$3-Projects!$C$19+1))),0)+IF(AND(Projects!$G$23="Yes",Projects!$F$23="Yes",Q$3&gt;=Projects!$C$23,Q$3&lt;Projects!$C$23+Projects!$D$23),Projects!$B$23*(1-SUMPRODUCT((Curves!$B$4:$AR$4)*(COLUMN(Curves!$B$4:$AR$4)-COLUMN(Curves!$B$4)+1&lt;=Q$3-Projects!$C$23+1))),0)+IF(AND(Projects!$G$28="Yes",Projects!$F$28="Yes",Q$3&gt;=Projects!$C$28,Q$3&lt;Projects!$C$28+Projects!$D$28),Projects!$B$28*(1-SUMPRODUCT((Curves!$B$4:$AR$4)*(COLUMN(Curves!$B$4:$AR$4)-COLUMN(Curves!$B$4)+1&lt;=Q$3-Projects!$C$28+1))),0)+IF(AND(Projects!$G$34="Yes",Projects!$F$34="Yes",Q$3&gt;=Projects!$C$34,Q$3&lt;Projects!$C$34+Projects!$D$34),Projects!$B$34*(1-SUMPRODUCT((Curves!$B$4:$AR$4)*(COLUMN(Curves!$B$4:$AR$4)-COLUMN(Curves!$B$4)+1&lt;=Q$3-Projects!$C$34+1))),0)+IF(AND(Projects!$G$40="Yes",Projects!$F$40="Yes",Q$3&gt;=Projects!$C$40,Q$3&lt;Projects!$C$40+Projects!$D$40),Projects!$B$40*(1-SUMPRODUCT((Curves!$B$4:$AR$4)*(COLUMN(Curves!$B$4:$AR$4)-COLUMN(Curves!$B$4)+1&lt;=Q$3-Projects!$C$40+1))),0)+IF(AND(Projects!$G$46="Yes",Projects!$F$46="Yes",Q$3&gt;=Projects!$C$46,Q$3&lt;Projects!$C$46+Projects!$D$46),Projects!$B$46*(1-SUMPRODUCT((Curves!$B$4:$AR$4)*(COLUMN(Curves!$B$4:$AR$4)-COLUMN(Curves!$B$4)+1&lt;=Q$3-Projects!$C$46+1))),0)</f>
        <v>0</v>
      </c>
      <c r="R351" s="13" t="n">
        <f aca="false">IF(AND(Projects!$G$17="Yes",Projects!$F$17="Yes",R$3&gt;=Projects!$C$17,R$3&lt;Projects!$C$17+Projects!$D$17),Projects!$B$17*(1-SUMPRODUCT((Curves!$B$4:$AR$4)*(COLUMN(Curves!$B$4:$AR$4)-COLUMN(Curves!$B$4)+1&lt;=R$3-Projects!$C$17+1))),0)+IF(AND(Projects!$G$18="Yes",Projects!$F$18="Yes",R$3&gt;=Projects!$C$18,R$3&lt;Projects!$C$18+Projects!$D$18),Projects!$B$18*(1-SUMPRODUCT((Curves!$B$4:$AR$4)*(COLUMN(Curves!$B$4:$AR$4)-COLUMN(Curves!$B$4)+1&lt;=R$3-Projects!$C$18+1))),0)+IF(AND(Projects!$G$19="Yes",Projects!$F$19="Yes",R$3&gt;=Projects!$C$19,R$3&lt;Projects!$C$19+Projects!$D$19),Projects!$B$19*(1-SUMPRODUCT((Curves!$B$4:$AR$4)*(COLUMN(Curves!$B$4:$AR$4)-COLUMN(Curves!$B$4)+1&lt;=R$3-Projects!$C$19+1))),0)+IF(AND(Projects!$G$23="Yes",Projects!$F$23="Yes",R$3&gt;=Projects!$C$23,R$3&lt;Projects!$C$23+Projects!$D$23),Projects!$B$23*(1-SUMPRODUCT((Curves!$B$4:$AR$4)*(COLUMN(Curves!$B$4:$AR$4)-COLUMN(Curves!$B$4)+1&lt;=R$3-Projects!$C$23+1))),0)+IF(AND(Projects!$G$28="Yes",Projects!$F$28="Yes",R$3&gt;=Projects!$C$28,R$3&lt;Projects!$C$28+Projects!$D$28),Projects!$B$28*(1-SUMPRODUCT((Curves!$B$4:$AR$4)*(COLUMN(Curves!$B$4:$AR$4)-COLUMN(Curves!$B$4)+1&lt;=R$3-Projects!$C$28+1))),0)+IF(AND(Projects!$G$34="Yes",Projects!$F$34="Yes",R$3&gt;=Projects!$C$34,R$3&lt;Projects!$C$34+Projects!$D$34),Projects!$B$34*(1-SUMPRODUCT((Curves!$B$4:$AR$4)*(COLUMN(Curves!$B$4:$AR$4)-COLUMN(Curves!$B$4)+1&lt;=R$3-Projects!$C$34+1))),0)+IF(AND(Projects!$G$40="Yes",Projects!$F$40="Yes",R$3&gt;=Projects!$C$40,R$3&lt;Projects!$C$40+Projects!$D$40),Projects!$B$40*(1-SUMPRODUCT((Curves!$B$4:$AR$4)*(COLUMN(Curves!$B$4:$AR$4)-COLUMN(Curves!$B$4)+1&lt;=R$3-Projects!$C$40+1))),0)+IF(AND(Projects!$G$46="Yes",Projects!$F$46="Yes",R$3&gt;=Projects!$C$46,R$3&lt;Projects!$C$46+Projects!$D$46),Projects!$B$46*(1-SUMPRODUCT((Curves!$B$4:$AR$4)*(COLUMN(Curves!$B$4:$AR$4)-COLUMN(Curves!$B$4)+1&lt;=R$3-Projects!$C$46+1))),0)</f>
        <v>14909880.230245</v>
      </c>
      <c r="S351" s="13" t="n">
        <f aca="false">IF(AND(Projects!$G$17="Yes",Projects!$F$17="Yes",S$3&gt;=Projects!$C$17,S$3&lt;Projects!$C$17+Projects!$D$17),Projects!$B$17*(1-SUMPRODUCT((Curves!$B$4:$AR$4)*(COLUMN(Curves!$B$4:$AR$4)-COLUMN(Curves!$B$4)+1&lt;=S$3-Projects!$C$17+1))),0)+IF(AND(Projects!$G$18="Yes",Projects!$F$18="Yes",S$3&gt;=Projects!$C$18,S$3&lt;Projects!$C$18+Projects!$D$18),Projects!$B$18*(1-SUMPRODUCT((Curves!$B$4:$AR$4)*(COLUMN(Curves!$B$4:$AR$4)-COLUMN(Curves!$B$4)+1&lt;=S$3-Projects!$C$18+1))),0)+IF(AND(Projects!$G$19="Yes",Projects!$F$19="Yes",S$3&gt;=Projects!$C$19,S$3&lt;Projects!$C$19+Projects!$D$19),Projects!$B$19*(1-SUMPRODUCT((Curves!$B$4:$AR$4)*(COLUMN(Curves!$B$4:$AR$4)-COLUMN(Curves!$B$4)+1&lt;=S$3-Projects!$C$19+1))),0)+IF(AND(Projects!$G$23="Yes",Projects!$F$23="Yes",S$3&gt;=Projects!$C$23,S$3&lt;Projects!$C$23+Projects!$D$23),Projects!$B$23*(1-SUMPRODUCT((Curves!$B$4:$AR$4)*(COLUMN(Curves!$B$4:$AR$4)-COLUMN(Curves!$B$4)+1&lt;=S$3-Projects!$C$23+1))),0)+IF(AND(Projects!$G$28="Yes",Projects!$F$28="Yes",S$3&gt;=Projects!$C$28,S$3&lt;Projects!$C$28+Projects!$D$28),Projects!$B$28*(1-SUMPRODUCT((Curves!$B$4:$AR$4)*(COLUMN(Curves!$B$4:$AR$4)-COLUMN(Curves!$B$4)+1&lt;=S$3-Projects!$C$28+1))),0)+IF(AND(Projects!$G$34="Yes",Projects!$F$34="Yes",S$3&gt;=Projects!$C$34,S$3&lt;Projects!$C$34+Projects!$D$34),Projects!$B$34*(1-SUMPRODUCT((Curves!$B$4:$AR$4)*(COLUMN(Curves!$B$4:$AR$4)-COLUMN(Curves!$B$4)+1&lt;=S$3-Projects!$C$34+1))),0)+IF(AND(Projects!$G$40="Yes",Projects!$F$40="Yes",S$3&gt;=Projects!$C$40,S$3&lt;Projects!$C$40+Projects!$D$40),Projects!$B$40*(1-SUMPRODUCT((Curves!$B$4:$AR$4)*(COLUMN(Curves!$B$4:$AR$4)-COLUMN(Curves!$B$4)+1&lt;=S$3-Projects!$C$40+1))),0)+IF(AND(Projects!$G$46="Yes",Projects!$F$46="Yes",S$3&gt;=Projects!$C$46,S$3&lt;Projects!$C$46+Projects!$D$46),Projects!$B$46*(1-SUMPRODUCT((Curves!$B$4:$AR$4)*(COLUMN(Curves!$B$4:$AR$4)-COLUMN(Curves!$B$4)+1&lt;=S$3-Projects!$C$46+1))),0)</f>
        <v>25425394.164785</v>
      </c>
      <c r="T351" s="13" t="n">
        <f aca="false">IF(AND(Projects!$G$17="Yes",Projects!$F$17="Yes",T$3&gt;=Projects!$C$17,T$3&lt;Projects!$C$17+Projects!$D$17),Projects!$B$17*(1-SUMPRODUCT((Curves!$B$4:$AR$4)*(COLUMN(Curves!$B$4:$AR$4)-COLUMN(Curves!$B$4)+1&lt;=T$3-Projects!$C$17+1))),0)+IF(AND(Projects!$G$18="Yes",Projects!$F$18="Yes",T$3&gt;=Projects!$C$18,T$3&lt;Projects!$C$18+Projects!$D$18),Projects!$B$18*(1-SUMPRODUCT((Curves!$B$4:$AR$4)*(COLUMN(Curves!$B$4:$AR$4)-COLUMN(Curves!$B$4)+1&lt;=T$3-Projects!$C$18+1))),0)+IF(AND(Projects!$G$19="Yes",Projects!$F$19="Yes",T$3&gt;=Projects!$C$19,T$3&lt;Projects!$C$19+Projects!$D$19),Projects!$B$19*(1-SUMPRODUCT((Curves!$B$4:$AR$4)*(COLUMN(Curves!$B$4:$AR$4)-COLUMN(Curves!$B$4)+1&lt;=T$3-Projects!$C$19+1))),0)+IF(AND(Projects!$G$23="Yes",Projects!$F$23="Yes",T$3&gt;=Projects!$C$23,T$3&lt;Projects!$C$23+Projects!$D$23),Projects!$B$23*(1-SUMPRODUCT((Curves!$B$4:$AR$4)*(COLUMN(Curves!$B$4:$AR$4)-COLUMN(Curves!$B$4)+1&lt;=T$3-Projects!$C$23+1))),0)+IF(AND(Projects!$G$28="Yes",Projects!$F$28="Yes",T$3&gt;=Projects!$C$28,T$3&lt;Projects!$C$28+Projects!$D$28),Projects!$B$28*(1-SUMPRODUCT((Curves!$B$4:$AR$4)*(COLUMN(Curves!$B$4:$AR$4)-COLUMN(Curves!$B$4)+1&lt;=T$3-Projects!$C$28+1))),0)+IF(AND(Projects!$G$34="Yes",Projects!$F$34="Yes",T$3&gt;=Projects!$C$34,T$3&lt;Projects!$C$34+Projects!$D$34),Projects!$B$34*(1-SUMPRODUCT((Curves!$B$4:$AR$4)*(COLUMN(Curves!$B$4:$AR$4)-COLUMN(Curves!$B$4)+1&lt;=T$3-Projects!$C$34+1))),0)+IF(AND(Projects!$G$40="Yes",Projects!$F$40="Yes",T$3&gt;=Projects!$C$40,T$3&lt;Projects!$C$40+Projects!$D$40),Projects!$B$40*(1-SUMPRODUCT((Curves!$B$4:$AR$4)*(COLUMN(Curves!$B$4:$AR$4)-COLUMN(Curves!$B$4)+1&lt;=T$3-Projects!$C$40+1))),0)+IF(AND(Projects!$G$46="Yes",Projects!$F$46="Yes",T$3&gt;=Projects!$C$46,T$3&lt;Projects!$C$46+Projects!$D$46),Projects!$B$46*(1-SUMPRODUCT((Curves!$B$4:$AR$4)*(COLUMN(Curves!$B$4:$AR$4)-COLUMN(Curves!$B$4)+1&lt;=T$3-Projects!$C$46+1))),0)</f>
        <v>42403640.504997</v>
      </c>
      <c r="U351" s="13" t="n">
        <f aca="false">IF(AND(Projects!$G$17="Yes",Projects!$F$17="Yes",U$3&gt;=Projects!$C$17,U$3&lt;Projects!$C$17+Projects!$D$17),Projects!$B$17*(1-SUMPRODUCT((Curves!$B$4:$AR$4)*(COLUMN(Curves!$B$4:$AR$4)-COLUMN(Curves!$B$4)+1&lt;=U$3-Projects!$C$17+1))),0)+IF(AND(Projects!$G$18="Yes",Projects!$F$18="Yes",U$3&gt;=Projects!$C$18,U$3&lt;Projects!$C$18+Projects!$D$18),Projects!$B$18*(1-SUMPRODUCT((Curves!$B$4:$AR$4)*(COLUMN(Curves!$B$4:$AR$4)-COLUMN(Curves!$B$4)+1&lt;=U$3-Projects!$C$18+1))),0)+IF(AND(Projects!$G$19="Yes",Projects!$F$19="Yes",U$3&gt;=Projects!$C$19,U$3&lt;Projects!$C$19+Projects!$D$19),Projects!$B$19*(1-SUMPRODUCT((Curves!$B$4:$AR$4)*(COLUMN(Curves!$B$4:$AR$4)-COLUMN(Curves!$B$4)+1&lt;=U$3-Projects!$C$19+1))),0)+IF(AND(Projects!$G$23="Yes",Projects!$F$23="Yes",U$3&gt;=Projects!$C$23,U$3&lt;Projects!$C$23+Projects!$D$23),Projects!$B$23*(1-SUMPRODUCT((Curves!$B$4:$AR$4)*(COLUMN(Curves!$B$4:$AR$4)-COLUMN(Curves!$B$4)+1&lt;=U$3-Projects!$C$23+1))),0)+IF(AND(Projects!$G$28="Yes",Projects!$F$28="Yes",U$3&gt;=Projects!$C$28,U$3&lt;Projects!$C$28+Projects!$D$28),Projects!$B$28*(1-SUMPRODUCT((Curves!$B$4:$AR$4)*(COLUMN(Curves!$B$4:$AR$4)-COLUMN(Curves!$B$4)+1&lt;=U$3-Projects!$C$28+1))),0)+IF(AND(Projects!$G$34="Yes",Projects!$F$34="Yes",U$3&gt;=Projects!$C$34,U$3&lt;Projects!$C$34+Projects!$D$34),Projects!$B$34*(1-SUMPRODUCT((Curves!$B$4:$AR$4)*(COLUMN(Curves!$B$4:$AR$4)-COLUMN(Curves!$B$4)+1&lt;=U$3-Projects!$C$34+1))),0)+IF(AND(Projects!$G$40="Yes",Projects!$F$40="Yes",U$3&gt;=Projects!$C$40,U$3&lt;Projects!$C$40+Projects!$D$40),Projects!$B$40*(1-SUMPRODUCT((Curves!$B$4:$AR$4)*(COLUMN(Curves!$B$4:$AR$4)-COLUMN(Curves!$B$4)+1&lt;=U$3-Projects!$C$40+1))),0)+IF(AND(Projects!$G$46="Yes",Projects!$F$46="Yes",U$3&gt;=Projects!$C$46,U$3&lt;Projects!$C$46+Projects!$D$46),Projects!$B$46*(1-SUMPRODUCT((Curves!$B$4:$AR$4)*(COLUMN(Curves!$B$4:$AR$4)-COLUMN(Curves!$B$4)+1&lt;=U$3-Projects!$C$46+1))),0)</f>
        <v>40641757.067038</v>
      </c>
      <c r="V351" s="13" t="n">
        <f aca="false">IF(AND(Projects!$G$17="Yes",Projects!$F$17="Yes",V$3&gt;=Projects!$C$17,V$3&lt;Projects!$C$17+Projects!$D$17),Projects!$B$17*(1-SUMPRODUCT((Curves!$B$4:$AR$4)*(COLUMN(Curves!$B$4:$AR$4)-COLUMN(Curves!$B$4)+1&lt;=V$3-Projects!$C$17+1))),0)+IF(AND(Projects!$G$18="Yes",Projects!$F$18="Yes",V$3&gt;=Projects!$C$18,V$3&lt;Projects!$C$18+Projects!$D$18),Projects!$B$18*(1-SUMPRODUCT((Curves!$B$4:$AR$4)*(COLUMN(Curves!$B$4:$AR$4)-COLUMN(Curves!$B$4)+1&lt;=V$3-Projects!$C$18+1))),0)+IF(AND(Projects!$G$19="Yes",Projects!$F$19="Yes",V$3&gt;=Projects!$C$19,V$3&lt;Projects!$C$19+Projects!$D$19),Projects!$B$19*(1-SUMPRODUCT((Curves!$B$4:$AR$4)*(COLUMN(Curves!$B$4:$AR$4)-COLUMN(Curves!$B$4)+1&lt;=V$3-Projects!$C$19+1))),0)+IF(AND(Projects!$G$23="Yes",Projects!$F$23="Yes",V$3&gt;=Projects!$C$23,V$3&lt;Projects!$C$23+Projects!$D$23),Projects!$B$23*(1-SUMPRODUCT((Curves!$B$4:$AR$4)*(COLUMN(Curves!$B$4:$AR$4)-COLUMN(Curves!$B$4)+1&lt;=V$3-Projects!$C$23+1))),0)+IF(AND(Projects!$G$28="Yes",Projects!$F$28="Yes",V$3&gt;=Projects!$C$28,V$3&lt;Projects!$C$28+Projects!$D$28),Projects!$B$28*(1-SUMPRODUCT((Curves!$B$4:$AR$4)*(COLUMN(Curves!$B$4:$AR$4)-COLUMN(Curves!$B$4)+1&lt;=V$3-Projects!$C$28+1))),0)+IF(AND(Projects!$G$34="Yes",Projects!$F$34="Yes",V$3&gt;=Projects!$C$34,V$3&lt;Projects!$C$34+Projects!$D$34),Projects!$B$34*(1-SUMPRODUCT((Curves!$B$4:$AR$4)*(COLUMN(Curves!$B$4:$AR$4)-COLUMN(Curves!$B$4)+1&lt;=V$3-Projects!$C$34+1))),0)+IF(AND(Projects!$G$40="Yes",Projects!$F$40="Yes",V$3&gt;=Projects!$C$40,V$3&lt;Projects!$C$40+Projects!$D$40),Projects!$B$40*(1-SUMPRODUCT((Curves!$B$4:$AR$4)*(COLUMN(Curves!$B$4:$AR$4)-COLUMN(Curves!$B$4)+1&lt;=V$3-Projects!$C$40+1))),0)+IF(AND(Projects!$G$46="Yes",Projects!$F$46="Yes",V$3&gt;=Projects!$C$46,V$3&lt;Projects!$C$46+Projects!$D$46),Projects!$B$46*(1-SUMPRODUCT((Curves!$B$4:$AR$4)*(COLUMN(Curves!$B$4:$AR$4)-COLUMN(Curves!$B$4)+1&lt;=V$3-Projects!$C$46+1))),0)</f>
        <v>38573249.50249</v>
      </c>
      <c r="W351" s="13" t="n">
        <f aca="false">IF(AND(Projects!$G$17="Yes",Projects!$F$17="Yes",W$3&gt;=Projects!$C$17,W$3&lt;Projects!$C$17+Projects!$D$17),Projects!$B$17*(1-SUMPRODUCT((Curves!$B$4:$AR$4)*(COLUMN(Curves!$B$4:$AR$4)-COLUMN(Curves!$B$4)+1&lt;=W$3-Projects!$C$17+1))),0)+IF(AND(Projects!$G$18="Yes",Projects!$F$18="Yes",W$3&gt;=Projects!$C$18,W$3&lt;Projects!$C$18+Projects!$D$18),Projects!$B$18*(1-SUMPRODUCT((Curves!$B$4:$AR$4)*(COLUMN(Curves!$B$4:$AR$4)-COLUMN(Curves!$B$4)+1&lt;=W$3-Projects!$C$18+1))),0)+IF(AND(Projects!$G$19="Yes",Projects!$F$19="Yes",W$3&gt;=Projects!$C$19,W$3&lt;Projects!$C$19+Projects!$D$19),Projects!$B$19*(1-SUMPRODUCT((Curves!$B$4:$AR$4)*(COLUMN(Curves!$B$4:$AR$4)-COLUMN(Curves!$B$4)+1&lt;=W$3-Projects!$C$19+1))),0)+IF(AND(Projects!$G$23="Yes",Projects!$F$23="Yes",W$3&gt;=Projects!$C$23,W$3&lt;Projects!$C$23+Projects!$D$23),Projects!$B$23*(1-SUMPRODUCT((Curves!$B$4:$AR$4)*(COLUMN(Curves!$B$4:$AR$4)-COLUMN(Curves!$B$4)+1&lt;=W$3-Projects!$C$23+1))),0)+IF(AND(Projects!$G$28="Yes",Projects!$F$28="Yes",W$3&gt;=Projects!$C$28,W$3&lt;Projects!$C$28+Projects!$D$28),Projects!$B$28*(1-SUMPRODUCT((Curves!$B$4:$AR$4)*(COLUMN(Curves!$B$4:$AR$4)-COLUMN(Curves!$B$4)+1&lt;=W$3-Projects!$C$28+1))),0)+IF(AND(Projects!$G$34="Yes",Projects!$F$34="Yes",W$3&gt;=Projects!$C$34,W$3&lt;Projects!$C$34+Projects!$D$34),Projects!$B$34*(1-SUMPRODUCT((Curves!$B$4:$AR$4)*(COLUMN(Curves!$B$4:$AR$4)-COLUMN(Curves!$B$4)+1&lt;=W$3-Projects!$C$34+1))),0)+IF(AND(Projects!$G$40="Yes",Projects!$F$40="Yes",W$3&gt;=Projects!$C$40,W$3&lt;Projects!$C$40+Projects!$D$40),Projects!$B$40*(1-SUMPRODUCT((Curves!$B$4:$AR$4)*(COLUMN(Curves!$B$4:$AR$4)-COLUMN(Curves!$B$4)+1&lt;=W$3-Projects!$C$40+1))),0)+IF(AND(Projects!$G$46="Yes",Projects!$F$46="Yes",W$3&gt;=Projects!$C$46,W$3&lt;Projects!$C$46+Projects!$D$46),Projects!$B$46*(1-SUMPRODUCT((Curves!$B$4:$AR$4)*(COLUMN(Curves!$B$4:$AR$4)-COLUMN(Curves!$B$4)+1&lt;=W$3-Projects!$C$46+1))),0)</f>
        <v>36203355.267902</v>
      </c>
      <c r="X351" s="13" t="n">
        <f aca="false">IF(AND(Projects!$G$17="Yes",Projects!$F$17="Yes",X$3&gt;=Projects!$C$17,X$3&lt;Projects!$C$17+Projects!$D$17),Projects!$B$17*(1-SUMPRODUCT((Curves!$B$4:$AR$4)*(COLUMN(Curves!$B$4:$AR$4)-COLUMN(Curves!$B$4)+1&lt;=X$3-Projects!$C$17+1))),0)+IF(AND(Projects!$G$18="Yes",Projects!$F$18="Yes",X$3&gt;=Projects!$C$18,X$3&lt;Projects!$C$18+Projects!$D$18),Projects!$B$18*(1-SUMPRODUCT((Curves!$B$4:$AR$4)*(COLUMN(Curves!$B$4:$AR$4)-COLUMN(Curves!$B$4)+1&lt;=X$3-Projects!$C$18+1))),0)+IF(AND(Projects!$G$19="Yes",Projects!$F$19="Yes",X$3&gt;=Projects!$C$19,X$3&lt;Projects!$C$19+Projects!$D$19),Projects!$B$19*(1-SUMPRODUCT((Curves!$B$4:$AR$4)*(COLUMN(Curves!$B$4:$AR$4)-COLUMN(Curves!$B$4)+1&lt;=X$3-Projects!$C$19+1))),0)+IF(AND(Projects!$G$23="Yes",Projects!$F$23="Yes",X$3&gt;=Projects!$C$23,X$3&lt;Projects!$C$23+Projects!$D$23),Projects!$B$23*(1-SUMPRODUCT((Curves!$B$4:$AR$4)*(COLUMN(Curves!$B$4:$AR$4)-COLUMN(Curves!$B$4)+1&lt;=X$3-Projects!$C$23+1))),0)+IF(AND(Projects!$G$28="Yes",Projects!$F$28="Yes",X$3&gt;=Projects!$C$28,X$3&lt;Projects!$C$28+Projects!$D$28),Projects!$B$28*(1-SUMPRODUCT((Curves!$B$4:$AR$4)*(COLUMN(Curves!$B$4:$AR$4)-COLUMN(Curves!$B$4)+1&lt;=X$3-Projects!$C$28+1))),0)+IF(AND(Projects!$G$34="Yes",Projects!$F$34="Yes",X$3&gt;=Projects!$C$34,X$3&lt;Projects!$C$34+Projects!$D$34),Projects!$B$34*(1-SUMPRODUCT((Curves!$B$4:$AR$4)*(COLUMN(Curves!$B$4:$AR$4)-COLUMN(Curves!$B$4)+1&lt;=X$3-Projects!$C$34+1))),0)+IF(AND(Projects!$G$40="Yes",Projects!$F$40="Yes",X$3&gt;=Projects!$C$40,X$3&lt;Projects!$C$40+Projects!$D$40),Projects!$B$40*(1-SUMPRODUCT((Curves!$B$4:$AR$4)*(COLUMN(Curves!$B$4:$AR$4)-COLUMN(Curves!$B$4)+1&lt;=X$3-Projects!$C$40+1))),0)+IF(AND(Projects!$G$46="Yes",Projects!$F$46="Yes",X$3&gt;=Projects!$C$46,X$3&lt;Projects!$C$46+Projects!$D$46),Projects!$B$46*(1-SUMPRODUCT((Curves!$B$4:$AR$4)*(COLUMN(Curves!$B$4:$AR$4)-COLUMN(Curves!$B$4)+1&lt;=X$3-Projects!$C$46+1))),0)</f>
        <v>33553658.531235</v>
      </c>
      <c r="Y351" s="13" t="n">
        <f aca="false">IF(AND(Projects!$G$17="Yes",Projects!$F$17="Yes",Y$3&gt;=Projects!$C$17,Y$3&lt;Projects!$C$17+Projects!$D$17),Projects!$B$17*(1-SUMPRODUCT((Curves!$B$4:$AR$4)*(COLUMN(Curves!$B$4:$AR$4)-COLUMN(Curves!$B$4)+1&lt;=Y$3-Projects!$C$17+1))),0)+IF(AND(Projects!$G$18="Yes",Projects!$F$18="Yes",Y$3&gt;=Projects!$C$18,Y$3&lt;Projects!$C$18+Projects!$D$18),Projects!$B$18*(1-SUMPRODUCT((Curves!$B$4:$AR$4)*(COLUMN(Curves!$B$4:$AR$4)-COLUMN(Curves!$B$4)+1&lt;=Y$3-Projects!$C$18+1))),0)+IF(AND(Projects!$G$19="Yes",Projects!$F$19="Yes",Y$3&gt;=Projects!$C$19,Y$3&lt;Projects!$C$19+Projects!$D$19),Projects!$B$19*(1-SUMPRODUCT((Curves!$B$4:$AR$4)*(COLUMN(Curves!$B$4:$AR$4)-COLUMN(Curves!$B$4)+1&lt;=Y$3-Projects!$C$19+1))),0)+IF(AND(Projects!$G$23="Yes",Projects!$F$23="Yes",Y$3&gt;=Projects!$C$23,Y$3&lt;Projects!$C$23+Projects!$D$23),Projects!$B$23*(1-SUMPRODUCT((Curves!$B$4:$AR$4)*(COLUMN(Curves!$B$4:$AR$4)-COLUMN(Curves!$B$4)+1&lt;=Y$3-Projects!$C$23+1))),0)+IF(AND(Projects!$G$28="Yes",Projects!$F$28="Yes",Y$3&gt;=Projects!$C$28,Y$3&lt;Projects!$C$28+Projects!$D$28),Projects!$B$28*(1-SUMPRODUCT((Curves!$B$4:$AR$4)*(COLUMN(Curves!$B$4:$AR$4)-COLUMN(Curves!$B$4)+1&lt;=Y$3-Projects!$C$28+1))),0)+IF(AND(Projects!$G$34="Yes",Projects!$F$34="Yes",Y$3&gt;=Projects!$C$34,Y$3&lt;Projects!$C$34+Projects!$D$34),Projects!$B$34*(1-SUMPRODUCT((Curves!$B$4:$AR$4)*(COLUMN(Curves!$B$4:$AR$4)-COLUMN(Curves!$B$4)+1&lt;=Y$3-Projects!$C$34+1))),0)+IF(AND(Projects!$G$40="Yes",Projects!$F$40="Yes",Y$3&gt;=Projects!$C$40,Y$3&lt;Projects!$C$40+Projects!$D$40),Projects!$B$40*(1-SUMPRODUCT((Curves!$B$4:$AR$4)*(COLUMN(Curves!$B$4:$AR$4)-COLUMN(Curves!$B$4)+1&lt;=Y$3-Projects!$C$40+1))),0)+IF(AND(Projects!$G$46="Yes",Projects!$F$46="Yes",Y$3&gt;=Projects!$C$46,Y$3&lt;Projects!$C$46+Projects!$D$46),Projects!$B$46*(1-SUMPRODUCT((Curves!$B$4:$AR$4)*(COLUMN(Curves!$B$4:$AR$4)-COLUMN(Curves!$B$4)+1&lt;=Y$3-Projects!$C$46+1))),0)</f>
        <v>30662593.104512</v>
      </c>
      <c r="Z351" s="13" t="n">
        <f aca="false">IF(AND(Projects!$G$17="Yes",Projects!$F$17="Yes",Z$3&gt;=Projects!$C$17,Z$3&lt;Projects!$C$17+Projects!$D$17),Projects!$B$17*(1-SUMPRODUCT((Curves!$B$4:$AR$4)*(COLUMN(Curves!$B$4:$AR$4)-COLUMN(Curves!$B$4)+1&lt;=Z$3-Projects!$C$17+1))),0)+IF(AND(Projects!$G$18="Yes",Projects!$F$18="Yes",Z$3&gt;=Projects!$C$18,Z$3&lt;Projects!$C$18+Projects!$D$18),Projects!$B$18*(1-SUMPRODUCT((Curves!$B$4:$AR$4)*(COLUMN(Curves!$B$4:$AR$4)-COLUMN(Curves!$B$4)+1&lt;=Z$3-Projects!$C$18+1))),0)+IF(AND(Projects!$G$19="Yes",Projects!$F$19="Yes",Z$3&gt;=Projects!$C$19,Z$3&lt;Projects!$C$19+Projects!$D$19),Projects!$B$19*(1-SUMPRODUCT((Curves!$B$4:$AR$4)*(COLUMN(Curves!$B$4:$AR$4)-COLUMN(Curves!$B$4)+1&lt;=Z$3-Projects!$C$19+1))),0)+IF(AND(Projects!$G$23="Yes",Projects!$F$23="Yes",Z$3&gt;=Projects!$C$23,Z$3&lt;Projects!$C$23+Projects!$D$23),Projects!$B$23*(1-SUMPRODUCT((Curves!$B$4:$AR$4)*(COLUMN(Curves!$B$4:$AR$4)-COLUMN(Curves!$B$4)+1&lt;=Z$3-Projects!$C$23+1))),0)+IF(AND(Projects!$G$28="Yes",Projects!$F$28="Yes",Z$3&gt;=Projects!$C$28,Z$3&lt;Projects!$C$28+Projects!$D$28),Projects!$B$28*(1-SUMPRODUCT((Curves!$B$4:$AR$4)*(COLUMN(Curves!$B$4:$AR$4)-COLUMN(Curves!$B$4)+1&lt;=Z$3-Projects!$C$28+1))),0)+IF(AND(Projects!$G$34="Yes",Projects!$F$34="Yes",Z$3&gt;=Projects!$C$34,Z$3&lt;Projects!$C$34+Projects!$D$34),Projects!$B$34*(1-SUMPRODUCT((Curves!$B$4:$AR$4)*(COLUMN(Curves!$B$4:$AR$4)-COLUMN(Curves!$B$4)+1&lt;=Z$3-Projects!$C$34+1))),0)+IF(AND(Projects!$G$40="Yes",Projects!$F$40="Yes",Z$3&gt;=Projects!$C$40,Z$3&lt;Projects!$C$40+Projects!$D$40),Projects!$B$40*(1-SUMPRODUCT((Curves!$B$4:$AR$4)*(COLUMN(Curves!$B$4:$AR$4)-COLUMN(Curves!$B$4)+1&lt;=Z$3-Projects!$C$40+1))),0)+IF(AND(Projects!$G$46="Yes",Projects!$F$46="Yes",Z$3&gt;=Projects!$C$46,Z$3&lt;Projects!$C$46+Projects!$D$46),Projects!$B$46*(1-SUMPRODUCT((Curves!$B$4:$AR$4)*(COLUMN(Curves!$B$4:$AR$4)-COLUMN(Curves!$B$4)+1&lt;=Z$3-Projects!$C$46+1))),0)</f>
        <v>27584250.052939</v>
      </c>
      <c r="AA351" s="13" t="n">
        <f aca="false">IF(AND(Projects!$G$17="Yes",Projects!$F$17="Yes",AA$3&gt;=Projects!$C$17,AA$3&lt;Projects!$C$17+Projects!$D$17),Projects!$B$17*(1-SUMPRODUCT((Curves!$B$4:$AR$4)*(COLUMN(Curves!$B$4:$AR$4)-COLUMN(Curves!$B$4)+1&lt;=AA$3-Projects!$C$17+1))),0)+IF(AND(Projects!$G$18="Yes",Projects!$F$18="Yes",AA$3&gt;=Projects!$C$18,AA$3&lt;Projects!$C$18+Projects!$D$18),Projects!$B$18*(1-SUMPRODUCT((Curves!$B$4:$AR$4)*(COLUMN(Curves!$B$4:$AR$4)-COLUMN(Curves!$B$4)+1&lt;=AA$3-Projects!$C$18+1))),0)+IF(AND(Projects!$G$19="Yes",Projects!$F$19="Yes",AA$3&gt;=Projects!$C$19,AA$3&lt;Projects!$C$19+Projects!$D$19),Projects!$B$19*(1-SUMPRODUCT((Curves!$B$4:$AR$4)*(COLUMN(Curves!$B$4:$AR$4)-COLUMN(Curves!$B$4)+1&lt;=AA$3-Projects!$C$19+1))),0)+IF(AND(Projects!$G$23="Yes",Projects!$F$23="Yes",AA$3&gt;=Projects!$C$23,AA$3&lt;Projects!$C$23+Projects!$D$23),Projects!$B$23*(1-SUMPRODUCT((Curves!$B$4:$AR$4)*(COLUMN(Curves!$B$4:$AR$4)-COLUMN(Curves!$B$4)+1&lt;=AA$3-Projects!$C$23+1))),0)+IF(AND(Projects!$G$28="Yes",Projects!$F$28="Yes",AA$3&gt;=Projects!$C$28,AA$3&lt;Projects!$C$28+Projects!$D$28),Projects!$B$28*(1-SUMPRODUCT((Curves!$B$4:$AR$4)*(COLUMN(Curves!$B$4:$AR$4)-COLUMN(Curves!$B$4)+1&lt;=AA$3-Projects!$C$28+1))),0)+IF(AND(Projects!$G$34="Yes",Projects!$F$34="Yes",AA$3&gt;=Projects!$C$34,AA$3&lt;Projects!$C$34+Projects!$D$34),Projects!$B$34*(1-SUMPRODUCT((Curves!$B$4:$AR$4)*(COLUMN(Curves!$B$4:$AR$4)-COLUMN(Curves!$B$4)+1&lt;=AA$3-Projects!$C$34+1))),0)+IF(AND(Projects!$G$40="Yes",Projects!$F$40="Yes",AA$3&gt;=Projects!$C$40,AA$3&lt;Projects!$C$40+Projects!$D$40),Projects!$B$40*(1-SUMPRODUCT((Curves!$B$4:$AR$4)*(COLUMN(Curves!$B$4:$AR$4)-COLUMN(Curves!$B$4)+1&lt;=AA$3-Projects!$C$40+1))),0)+IF(AND(Projects!$G$46="Yes",Projects!$F$46="Yes",AA$3&gt;=Projects!$C$46,AA$3&lt;Projects!$C$46+Projects!$D$46),Projects!$B$46*(1-SUMPRODUCT((Curves!$B$4:$AR$4)*(COLUMN(Curves!$B$4:$AR$4)-COLUMN(Curves!$B$4)+1&lt;=AA$3-Projects!$C$46+1))),0)</f>
        <v>24385560.113693</v>
      </c>
      <c r="AB351" s="13" t="n">
        <f aca="false">IF(AND(Projects!$G$17="Yes",Projects!$F$17="Yes",AB$3&gt;=Projects!$C$17,AB$3&lt;Projects!$C$17+Projects!$D$17),Projects!$B$17*(1-SUMPRODUCT((Curves!$B$4:$AR$4)*(COLUMN(Curves!$B$4:$AR$4)-COLUMN(Curves!$B$4)+1&lt;=AB$3-Projects!$C$17+1))),0)+IF(AND(Projects!$G$18="Yes",Projects!$F$18="Yes",AB$3&gt;=Projects!$C$18,AB$3&lt;Projects!$C$18+Projects!$D$18),Projects!$B$18*(1-SUMPRODUCT((Curves!$B$4:$AR$4)*(COLUMN(Curves!$B$4:$AR$4)-COLUMN(Curves!$B$4)+1&lt;=AB$3-Projects!$C$18+1))),0)+IF(AND(Projects!$G$19="Yes",Projects!$F$19="Yes",AB$3&gt;=Projects!$C$19,AB$3&lt;Projects!$C$19+Projects!$D$19),Projects!$B$19*(1-SUMPRODUCT((Curves!$B$4:$AR$4)*(COLUMN(Curves!$B$4:$AR$4)-COLUMN(Curves!$B$4)+1&lt;=AB$3-Projects!$C$19+1))),0)+IF(AND(Projects!$G$23="Yes",Projects!$F$23="Yes",AB$3&gt;=Projects!$C$23,AB$3&lt;Projects!$C$23+Projects!$D$23),Projects!$B$23*(1-SUMPRODUCT((Curves!$B$4:$AR$4)*(COLUMN(Curves!$B$4:$AR$4)-COLUMN(Curves!$B$4)+1&lt;=AB$3-Projects!$C$23+1))),0)+IF(AND(Projects!$G$28="Yes",Projects!$F$28="Yes",AB$3&gt;=Projects!$C$28,AB$3&lt;Projects!$C$28+Projects!$D$28),Projects!$B$28*(1-SUMPRODUCT((Curves!$B$4:$AR$4)*(COLUMN(Curves!$B$4:$AR$4)-COLUMN(Curves!$B$4)+1&lt;=AB$3-Projects!$C$28+1))),0)+IF(AND(Projects!$G$34="Yes",Projects!$F$34="Yes",AB$3&gt;=Projects!$C$34,AB$3&lt;Projects!$C$34+Projects!$D$34),Projects!$B$34*(1-SUMPRODUCT((Curves!$B$4:$AR$4)*(COLUMN(Curves!$B$4:$AR$4)-COLUMN(Curves!$B$4)+1&lt;=AB$3-Projects!$C$34+1))),0)+IF(AND(Projects!$G$40="Yes",Projects!$F$40="Yes",AB$3&gt;=Projects!$C$40,AB$3&lt;Projects!$C$40+Projects!$D$40),Projects!$B$40*(1-SUMPRODUCT((Curves!$B$4:$AR$4)*(COLUMN(Curves!$B$4:$AR$4)-COLUMN(Curves!$B$4)+1&lt;=AB$3-Projects!$C$40+1))),0)+IF(AND(Projects!$G$46="Yes",Projects!$F$46="Yes",AB$3&gt;=Projects!$C$46,AB$3&lt;Projects!$C$46+Projects!$D$46),Projects!$B$46*(1-SUMPRODUCT((Curves!$B$4:$AR$4)*(COLUMN(Curves!$B$4:$AR$4)-COLUMN(Curves!$B$4)+1&lt;=AB$3-Projects!$C$46+1))),0)</f>
        <v>21141993.347255</v>
      </c>
      <c r="AC351" s="13" t="n">
        <f aca="false">IF(AND(Projects!$G$17="Yes",Projects!$F$17="Yes",AC$3&gt;=Projects!$C$17,AC$3&lt;Projects!$C$17+Projects!$D$17),Projects!$B$17*(1-SUMPRODUCT((Curves!$B$4:$AR$4)*(COLUMN(Curves!$B$4:$AR$4)-COLUMN(Curves!$B$4)+1&lt;=AC$3-Projects!$C$17+1))),0)+IF(AND(Projects!$G$18="Yes",Projects!$F$18="Yes",AC$3&gt;=Projects!$C$18,AC$3&lt;Projects!$C$18+Projects!$D$18),Projects!$B$18*(1-SUMPRODUCT((Curves!$B$4:$AR$4)*(COLUMN(Curves!$B$4:$AR$4)-COLUMN(Curves!$B$4)+1&lt;=AC$3-Projects!$C$18+1))),0)+IF(AND(Projects!$G$19="Yes",Projects!$F$19="Yes",AC$3&gt;=Projects!$C$19,AC$3&lt;Projects!$C$19+Projects!$D$19),Projects!$B$19*(1-SUMPRODUCT((Curves!$B$4:$AR$4)*(COLUMN(Curves!$B$4:$AR$4)-COLUMN(Curves!$B$4)+1&lt;=AC$3-Projects!$C$19+1))),0)+IF(AND(Projects!$G$23="Yes",Projects!$F$23="Yes",AC$3&gt;=Projects!$C$23,AC$3&lt;Projects!$C$23+Projects!$D$23),Projects!$B$23*(1-SUMPRODUCT((Curves!$B$4:$AR$4)*(COLUMN(Curves!$B$4:$AR$4)-COLUMN(Curves!$B$4)+1&lt;=AC$3-Projects!$C$23+1))),0)+IF(AND(Projects!$G$28="Yes",Projects!$F$28="Yes",AC$3&gt;=Projects!$C$28,AC$3&lt;Projects!$C$28+Projects!$D$28),Projects!$B$28*(1-SUMPRODUCT((Curves!$B$4:$AR$4)*(COLUMN(Curves!$B$4:$AR$4)-COLUMN(Curves!$B$4)+1&lt;=AC$3-Projects!$C$28+1))),0)+IF(AND(Projects!$G$34="Yes",Projects!$F$34="Yes",AC$3&gt;=Projects!$C$34,AC$3&lt;Projects!$C$34+Projects!$D$34),Projects!$B$34*(1-SUMPRODUCT((Curves!$B$4:$AR$4)*(COLUMN(Curves!$B$4:$AR$4)-COLUMN(Curves!$B$4)+1&lt;=AC$3-Projects!$C$34+1))),0)+IF(AND(Projects!$G$40="Yes",Projects!$F$40="Yes",AC$3&gt;=Projects!$C$40,AC$3&lt;Projects!$C$40+Projects!$D$40),Projects!$B$40*(1-SUMPRODUCT((Curves!$B$4:$AR$4)*(COLUMN(Curves!$B$4:$AR$4)-COLUMN(Curves!$B$4)+1&lt;=AC$3-Projects!$C$40+1))),0)+IF(AND(Projects!$G$46="Yes",Projects!$F$46="Yes",AC$3&gt;=Projects!$C$46,AC$3&lt;Projects!$C$46+Projects!$D$46),Projects!$B$46*(1-SUMPRODUCT((Curves!$B$4:$AR$4)*(COLUMN(Curves!$B$4:$AR$4)-COLUMN(Curves!$B$4)+1&lt;=AC$3-Projects!$C$46+1))),0)</f>
        <v>17932278.473405</v>
      </c>
      <c r="AD351" s="13" t="n">
        <f aca="false">IF(AND(Projects!$G$17="Yes",Projects!$F$17="Yes",AD$3&gt;=Projects!$C$17,AD$3&lt;Projects!$C$17+Projects!$D$17),Projects!$B$17*(1-SUMPRODUCT((Curves!$B$4:$AR$4)*(COLUMN(Curves!$B$4:$AR$4)-COLUMN(Curves!$B$4)+1&lt;=AD$3-Projects!$C$17+1))),0)+IF(AND(Projects!$G$18="Yes",Projects!$F$18="Yes",AD$3&gt;=Projects!$C$18,AD$3&lt;Projects!$C$18+Projects!$D$18),Projects!$B$18*(1-SUMPRODUCT((Curves!$B$4:$AR$4)*(COLUMN(Curves!$B$4:$AR$4)-COLUMN(Curves!$B$4)+1&lt;=AD$3-Projects!$C$18+1))),0)+IF(AND(Projects!$G$19="Yes",Projects!$F$19="Yes",AD$3&gt;=Projects!$C$19,AD$3&lt;Projects!$C$19+Projects!$D$19),Projects!$B$19*(1-SUMPRODUCT((Curves!$B$4:$AR$4)*(COLUMN(Curves!$B$4:$AR$4)-COLUMN(Curves!$B$4)+1&lt;=AD$3-Projects!$C$19+1))),0)+IF(AND(Projects!$G$23="Yes",Projects!$F$23="Yes",AD$3&gt;=Projects!$C$23,AD$3&lt;Projects!$C$23+Projects!$D$23),Projects!$B$23*(1-SUMPRODUCT((Curves!$B$4:$AR$4)*(COLUMN(Curves!$B$4:$AR$4)-COLUMN(Curves!$B$4)+1&lt;=AD$3-Projects!$C$23+1))),0)+IF(AND(Projects!$G$28="Yes",Projects!$F$28="Yes",AD$3&gt;=Projects!$C$28,AD$3&lt;Projects!$C$28+Projects!$D$28),Projects!$B$28*(1-SUMPRODUCT((Curves!$B$4:$AR$4)*(COLUMN(Curves!$B$4:$AR$4)-COLUMN(Curves!$B$4)+1&lt;=AD$3-Projects!$C$28+1))),0)+IF(AND(Projects!$G$34="Yes",Projects!$F$34="Yes",AD$3&gt;=Projects!$C$34,AD$3&lt;Projects!$C$34+Projects!$D$34),Projects!$B$34*(1-SUMPRODUCT((Curves!$B$4:$AR$4)*(COLUMN(Curves!$B$4:$AR$4)-COLUMN(Curves!$B$4)+1&lt;=AD$3-Projects!$C$34+1))),0)+IF(AND(Projects!$G$40="Yes",Projects!$F$40="Yes",AD$3&gt;=Projects!$C$40,AD$3&lt;Projects!$C$40+Projects!$D$40),Projects!$B$40*(1-SUMPRODUCT((Curves!$B$4:$AR$4)*(COLUMN(Curves!$B$4:$AR$4)-COLUMN(Curves!$B$4)+1&lt;=AD$3-Projects!$C$40+1))),0)+IF(AND(Projects!$G$46="Yes",Projects!$F$46="Yes",AD$3&gt;=Projects!$C$46,AD$3&lt;Projects!$C$46+Projects!$D$46),Projects!$B$46*(1-SUMPRODUCT((Curves!$B$4:$AR$4)*(COLUMN(Curves!$B$4:$AR$4)-COLUMN(Curves!$B$4)+1&lt;=AD$3-Projects!$C$46+1))),0)</f>
        <v>14832689.128402</v>
      </c>
      <c r="AE351" s="13" t="n">
        <f aca="false">IF(AND(Projects!$G$17="Yes",Projects!$F$17="Yes",AE$3&gt;=Projects!$C$17,AE$3&lt;Projects!$C$17+Projects!$D$17),Projects!$B$17*(1-SUMPRODUCT((Curves!$B$4:$AR$4)*(COLUMN(Curves!$B$4:$AR$4)-COLUMN(Curves!$B$4)+1&lt;=AE$3-Projects!$C$17+1))),0)+IF(AND(Projects!$G$18="Yes",Projects!$F$18="Yes",AE$3&gt;=Projects!$C$18,AE$3&lt;Projects!$C$18+Projects!$D$18),Projects!$B$18*(1-SUMPRODUCT((Curves!$B$4:$AR$4)*(COLUMN(Curves!$B$4:$AR$4)-COLUMN(Curves!$B$4)+1&lt;=AE$3-Projects!$C$18+1))),0)+IF(AND(Projects!$G$19="Yes",Projects!$F$19="Yes",AE$3&gt;=Projects!$C$19,AE$3&lt;Projects!$C$19+Projects!$D$19),Projects!$B$19*(1-SUMPRODUCT((Curves!$B$4:$AR$4)*(COLUMN(Curves!$B$4:$AR$4)-COLUMN(Curves!$B$4)+1&lt;=AE$3-Projects!$C$19+1))),0)+IF(AND(Projects!$G$23="Yes",Projects!$F$23="Yes",AE$3&gt;=Projects!$C$23,AE$3&lt;Projects!$C$23+Projects!$D$23),Projects!$B$23*(1-SUMPRODUCT((Curves!$B$4:$AR$4)*(COLUMN(Curves!$B$4:$AR$4)-COLUMN(Curves!$B$4)+1&lt;=AE$3-Projects!$C$23+1))),0)+IF(AND(Projects!$G$28="Yes",Projects!$F$28="Yes",AE$3&gt;=Projects!$C$28,AE$3&lt;Projects!$C$28+Projects!$D$28),Projects!$B$28*(1-SUMPRODUCT((Curves!$B$4:$AR$4)*(COLUMN(Curves!$B$4:$AR$4)-COLUMN(Curves!$B$4)+1&lt;=AE$3-Projects!$C$28+1))),0)+IF(AND(Projects!$G$34="Yes",Projects!$F$34="Yes",AE$3&gt;=Projects!$C$34,AE$3&lt;Projects!$C$34+Projects!$D$34),Projects!$B$34*(1-SUMPRODUCT((Curves!$B$4:$AR$4)*(COLUMN(Curves!$B$4:$AR$4)-COLUMN(Curves!$B$4)+1&lt;=AE$3-Projects!$C$34+1))),0)+IF(AND(Projects!$G$40="Yes",Projects!$F$40="Yes",AE$3&gt;=Projects!$C$40,AE$3&lt;Projects!$C$40+Projects!$D$40),Projects!$B$40*(1-SUMPRODUCT((Curves!$B$4:$AR$4)*(COLUMN(Curves!$B$4:$AR$4)-COLUMN(Curves!$B$4)+1&lt;=AE$3-Projects!$C$40+1))),0)+IF(AND(Projects!$G$46="Yes",Projects!$F$46="Yes",AE$3&gt;=Projects!$C$46,AE$3&lt;Projects!$C$46+Projects!$D$46),Projects!$B$46*(1-SUMPRODUCT((Curves!$B$4:$AR$4)*(COLUMN(Curves!$B$4:$AR$4)-COLUMN(Curves!$B$4)+1&lt;=AE$3-Projects!$C$46+1))),0)</f>
        <v>11911663.144851</v>
      </c>
      <c r="AF351" s="13" t="n">
        <f aca="false">IF(AND(Projects!$G$17="Yes",Projects!$F$17="Yes",AF$3&gt;=Projects!$C$17,AF$3&lt;Projects!$C$17+Projects!$D$17),Projects!$B$17*(1-SUMPRODUCT((Curves!$B$4:$AR$4)*(COLUMN(Curves!$B$4:$AR$4)-COLUMN(Curves!$B$4)+1&lt;=AF$3-Projects!$C$17+1))),0)+IF(AND(Projects!$G$18="Yes",Projects!$F$18="Yes",AF$3&gt;=Projects!$C$18,AF$3&lt;Projects!$C$18+Projects!$D$18),Projects!$B$18*(1-SUMPRODUCT((Curves!$B$4:$AR$4)*(COLUMN(Curves!$B$4:$AR$4)-COLUMN(Curves!$B$4)+1&lt;=AF$3-Projects!$C$18+1))),0)+IF(AND(Projects!$G$19="Yes",Projects!$F$19="Yes",AF$3&gt;=Projects!$C$19,AF$3&lt;Projects!$C$19+Projects!$D$19),Projects!$B$19*(1-SUMPRODUCT((Curves!$B$4:$AR$4)*(COLUMN(Curves!$B$4:$AR$4)-COLUMN(Curves!$B$4)+1&lt;=AF$3-Projects!$C$19+1))),0)+IF(AND(Projects!$G$23="Yes",Projects!$F$23="Yes",AF$3&gt;=Projects!$C$23,AF$3&lt;Projects!$C$23+Projects!$D$23),Projects!$B$23*(1-SUMPRODUCT((Curves!$B$4:$AR$4)*(COLUMN(Curves!$B$4:$AR$4)-COLUMN(Curves!$B$4)+1&lt;=AF$3-Projects!$C$23+1))),0)+IF(AND(Projects!$G$28="Yes",Projects!$F$28="Yes",AF$3&gt;=Projects!$C$28,AF$3&lt;Projects!$C$28+Projects!$D$28),Projects!$B$28*(1-SUMPRODUCT((Curves!$B$4:$AR$4)*(COLUMN(Curves!$B$4:$AR$4)-COLUMN(Curves!$B$4)+1&lt;=AF$3-Projects!$C$28+1))),0)+IF(AND(Projects!$G$34="Yes",Projects!$F$34="Yes",AF$3&gt;=Projects!$C$34,AF$3&lt;Projects!$C$34+Projects!$D$34),Projects!$B$34*(1-SUMPRODUCT((Curves!$B$4:$AR$4)*(COLUMN(Curves!$B$4:$AR$4)-COLUMN(Curves!$B$4)+1&lt;=AF$3-Projects!$C$34+1))),0)+IF(AND(Projects!$G$40="Yes",Projects!$F$40="Yes",AF$3&gt;=Projects!$C$40,AF$3&lt;Projects!$C$40+Projects!$D$40),Projects!$B$40*(1-SUMPRODUCT((Curves!$B$4:$AR$4)*(COLUMN(Curves!$B$4:$AR$4)-COLUMN(Curves!$B$4)+1&lt;=AF$3-Projects!$C$40+1))),0)+IF(AND(Projects!$G$46="Yes",Projects!$F$46="Yes",AF$3&gt;=Projects!$C$46,AF$3&lt;Projects!$C$46+Projects!$D$46),Projects!$B$46*(1-SUMPRODUCT((Curves!$B$4:$AR$4)*(COLUMN(Curves!$B$4:$AR$4)-COLUMN(Curves!$B$4)+1&lt;=AF$3-Projects!$C$46+1))),0)</f>
        <v>9225323.978058</v>
      </c>
      <c r="AG351" s="13" t="n">
        <f aca="false">IF(AND(Projects!$G$17="Yes",Projects!$F$17="Yes",AG$3&gt;=Projects!$C$17,AG$3&lt;Projects!$C$17+Projects!$D$17),Projects!$B$17*(1-SUMPRODUCT((Curves!$B$4:$AR$4)*(COLUMN(Curves!$B$4:$AR$4)-COLUMN(Curves!$B$4)+1&lt;=AG$3-Projects!$C$17+1))),0)+IF(AND(Projects!$G$18="Yes",Projects!$F$18="Yes",AG$3&gt;=Projects!$C$18,AG$3&lt;Projects!$C$18+Projects!$D$18),Projects!$B$18*(1-SUMPRODUCT((Curves!$B$4:$AR$4)*(COLUMN(Curves!$B$4:$AR$4)-COLUMN(Curves!$B$4)+1&lt;=AG$3-Projects!$C$18+1))),0)+IF(AND(Projects!$G$19="Yes",Projects!$F$19="Yes",AG$3&gt;=Projects!$C$19,AG$3&lt;Projects!$C$19+Projects!$D$19),Projects!$B$19*(1-SUMPRODUCT((Curves!$B$4:$AR$4)*(COLUMN(Curves!$B$4:$AR$4)-COLUMN(Curves!$B$4)+1&lt;=AG$3-Projects!$C$19+1))),0)+IF(AND(Projects!$G$23="Yes",Projects!$F$23="Yes",AG$3&gt;=Projects!$C$23,AG$3&lt;Projects!$C$23+Projects!$D$23),Projects!$B$23*(1-SUMPRODUCT((Curves!$B$4:$AR$4)*(COLUMN(Curves!$B$4:$AR$4)-COLUMN(Curves!$B$4)+1&lt;=AG$3-Projects!$C$23+1))),0)+IF(AND(Projects!$G$28="Yes",Projects!$F$28="Yes",AG$3&gt;=Projects!$C$28,AG$3&lt;Projects!$C$28+Projects!$D$28),Projects!$B$28*(1-SUMPRODUCT((Curves!$B$4:$AR$4)*(COLUMN(Curves!$B$4:$AR$4)-COLUMN(Curves!$B$4)+1&lt;=AG$3-Projects!$C$28+1))),0)+IF(AND(Projects!$G$34="Yes",Projects!$F$34="Yes",AG$3&gt;=Projects!$C$34,AG$3&lt;Projects!$C$34+Projects!$D$34),Projects!$B$34*(1-SUMPRODUCT((Curves!$B$4:$AR$4)*(COLUMN(Curves!$B$4:$AR$4)-COLUMN(Curves!$B$4)+1&lt;=AG$3-Projects!$C$34+1))),0)+IF(AND(Projects!$G$40="Yes",Projects!$F$40="Yes",AG$3&gt;=Projects!$C$40,AG$3&lt;Projects!$C$40+Projects!$D$40),Projects!$B$40*(1-SUMPRODUCT((Curves!$B$4:$AR$4)*(COLUMN(Curves!$B$4:$AR$4)-COLUMN(Curves!$B$4)+1&lt;=AG$3-Projects!$C$40+1))),0)+IF(AND(Projects!$G$46="Yes",Projects!$F$46="Yes",AG$3&gt;=Projects!$C$46,AG$3&lt;Projects!$C$46+Projects!$D$46),Projects!$B$46*(1-SUMPRODUCT((Curves!$B$4:$AR$4)*(COLUMN(Curves!$B$4:$AR$4)-COLUMN(Curves!$B$4)+1&lt;=AG$3-Projects!$C$46+1))),0)</f>
        <v>6814437.99853</v>
      </c>
      <c r="AH351" s="13" t="n">
        <f aca="false">IF(AND(Projects!$G$17="Yes",Projects!$F$17="Yes",AH$3&gt;=Projects!$C$17,AH$3&lt;Projects!$C$17+Projects!$D$17),Projects!$B$17*(1-SUMPRODUCT((Curves!$B$4:$AR$4)*(COLUMN(Curves!$B$4:$AR$4)-COLUMN(Curves!$B$4)+1&lt;=AH$3-Projects!$C$17+1))),0)+IF(AND(Projects!$G$18="Yes",Projects!$F$18="Yes",AH$3&gt;=Projects!$C$18,AH$3&lt;Projects!$C$18+Projects!$D$18),Projects!$B$18*(1-SUMPRODUCT((Curves!$B$4:$AR$4)*(COLUMN(Curves!$B$4:$AR$4)-COLUMN(Curves!$B$4)+1&lt;=AH$3-Projects!$C$18+1))),0)+IF(AND(Projects!$G$19="Yes",Projects!$F$19="Yes",AH$3&gt;=Projects!$C$19,AH$3&lt;Projects!$C$19+Projects!$D$19),Projects!$B$19*(1-SUMPRODUCT((Curves!$B$4:$AR$4)*(COLUMN(Curves!$B$4:$AR$4)-COLUMN(Curves!$B$4)+1&lt;=AH$3-Projects!$C$19+1))),0)+IF(AND(Projects!$G$23="Yes",Projects!$F$23="Yes",AH$3&gt;=Projects!$C$23,AH$3&lt;Projects!$C$23+Projects!$D$23),Projects!$B$23*(1-SUMPRODUCT((Curves!$B$4:$AR$4)*(COLUMN(Curves!$B$4:$AR$4)-COLUMN(Curves!$B$4)+1&lt;=AH$3-Projects!$C$23+1))),0)+IF(AND(Projects!$G$28="Yes",Projects!$F$28="Yes",AH$3&gt;=Projects!$C$28,AH$3&lt;Projects!$C$28+Projects!$D$28),Projects!$B$28*(1-SUMPRODUCT((Curves!$B$4:$AR$4)*(COLUMN(Curves!$B$4:$AR$4)-COLUMN(Curves!$B$4)+1&lt;=AH$3-Projects!$C$28+1))),0)+IF(AND(Projects!$G$34="Yes",Projects!$F$34="Yes",AH$3&gt;=Projects!$C$34,AH$3&lt;Projects!$C$34+Projects!$D$34),Projects!$B$34*(1-SUMPRODUCT((Curves!$B$4:$AR$4)*(COLUMN(Curves!$B$4:$AR$4)-COLUMN(Curves!$B$4)+1&lt;=AH$3-Projects!$C$34+1))),0)+IF(AND(Projects!$G$40="Yes",Projects!$F$40="Yes",AH$3&gt;=Projects!$C$40,AH$3&lt;Projects!$C$40+Projects!$D$40),Projects!$B$40*(1-SUMPRODUCT((Curves!$B$4:$AR$4)*(COLUMN(Curves!$B$4:$AR$4)-COLUMN(Curves!$B$4)+1&lt;=AH$3-Projects!$C$40+1))),0)+IF(AND(Projects!$G$46="Yes",Projects!$F$46="Yes",AH$3&gt;=Projects!$C$46,AH$3&lt;Projects!$C$46+Projects!$D$46),Projects!$B$46*(1-SUMPRODUCT((Curves!$B$4:$AR$4)*(COLUMN(Curves!$B$4:$AR$4)-COLUMN(Curves!$B$4)+1&lt;=AH$3-Projects!$C$46+1))),0)</f>
        <v>4702981.341038</v>
      </c>
      <c r="AI351" s="13" t="n">
        <f aca="false">IF(AND(Projects!$G$17="Yes",Projects!$F$17="Yes",AI$3&gt;=Projects!$C$17,AI$3&lt;Projects!$C$17+Projects!$D$17),Projects!$B$17*(1-SUMPRODUCT((Curves!$B$4:$AR$4)*(COLUMN(Curves!$B$4:$AR$4)-COLUMN(Curves!$B$4)+1&lt;=AI$3-Projects!$C$17+1))),0)+IF(AND(Projects!$G$18="Yes",Projects!$F$18="Yes",AI$3&gt;=Projects!$C$18,AI$3&lt;Projects!$C$18+Projects!$D$18),Projects!$B$18*(1-SUMPRODUCT((Curves!$B$4:$AR$4)*(COLUMN(Curves!$B$4:$AR$4)-COLUMN(Curves!$B$4)+1&lt;=AI$3-Projects!$C$18+1))),0)+IF(AND(Projects!$G$19="Yes",Projects!$F$19="Yes",AI$3&gt;=Projects!$C$19,AI$3&lt;Projects!$C$19+Projects!$D$19),Projects!$B$19*(1-SUMPRODUCT((Curves!$B$4:$AR$4)*(COLUMN(Curves!$B$4:$AR$4)-COLUMN(Curves!$B$4)+1&lt;=AI$3-Projects!$C$19+1))),0)+IF(AND(Projects!$G$23="Yes",Projects!$F$23="Yes",AI$3&gt;=Projects!$C$23,AI$3&lt;Projects!$C$23+Projects!$D$23),Projects!$B$23*(1-SUMPRODUCT((Curves!$B$4:$AR$4)*(COLUMN(Curves!$B$4:$AR$4)-COLUMN(Curves!$B$4)+1&lt;=AI$3-Projects!$C$23+1))),0)+IF(AND(Projects!$G$28="Yes",Projects!$F$28="Yes",AI$3&gt;=Projects!$C$28,AI$3&lt;Projects!$C$28+Projects!$D$28),Projects!$B$28*(1-SUMPRODUCT((Curves!$B$4:$AR$4)*(COLUMN(Curves!$B$4:$AR$4)-COLUMN(Curves!$B$4)+1&lt;=AI$3-Projects!$C$28+1))),0)+IF(AND(Projects!$G$34="Yes",Projects!$F$34="Yes",AI$3&gt;=Projects!$C$34,AI$3&lt;Projects!$C$34+Projects!$D$34),Projects!$B$34*(1-SUMPRODUCT((Curves!$B$4:$AR$4)*(COLUMN(Curves!$B$4:$AR$4)-COLUMN(Curves!$B$4)+1&lt;=AI$3-Projects!$C$34+1))),0)+IF(AND(Projects!$G$40="Yes",Projects!$F$40="Yes",AI$3&gt;=Projects!$C$40,AI$3&lt;Projects!$C$40+Projects!$D$40),Projects!$B$40*(1-SUMPRODUCT((Curves!$B$4:$AR$4)*(COLUMN(Curves!$B$4:$AR$4)-COLUMN(Curves!$B$4)+1&lt;=AI$3-Projects!$C$40+1))),0)+IF(AND(Projects!$G$46="Yes",Projects!$F$46="Yes",AI$3&gt;=Projects!$C$46,AI$3&lt;Projects!$C$46+Projects!$D$46),Projects!$B$46*(1-SUMPRODUCT((Curves!$B$4:$AR$4)*(COLUMN(Curves!$B$4:$AR$4)-COLUMN(Curves!$B$4)+1&lt;=AI$3-Projects!$C$46+1))),0)</f>
        <v>2898414.584225</v>
      </c>
      <c r="AJ351" s="13" t="n">
        <f aca="false">IF(AND(Projects!$G$17="Yes",Projects!$F$17="Yes",AJ$3&gt;=Projects!$C$17,AJ$3&lt;Projects!$C$17+Projects!$D$17),Projects!$B$17*(1-SUMPRODUCT((Curves!$B$4:$AR$4)*(COLUMN(Curves!$B$4:$AR$4)-COLUMN(Curves!$B$4)+1&lt;=AJ$3-Projects!$C$17+1))),0)+IF(AND(Projects!$G$18="Yes",Projects!$F$18="Yes",AJ$3&gt;=Projects!$C$18,AJ$3&lt;Projects!$C$18+Projects!$D$18),Projects!$B$18*(1-SUMPRODUCT((Curves!$B$4:$AR$4)*(COLUMN(Curves!$B$4:$AR$4)-COLUMN(Curves!$B$4)+1&lt;=AJ$3-Projects!$C$18+1))),0)+IF(AND(Projects!$G$19="Yes",Projects!$F$19="Yes",AJ$3&gt;=Projects!$C$19,AJ$3&lt;Projects!$C$19+Projects!$D$19),Projects!$B$19*(1-SUMPRODUCT((Curves!$B$4:$AR$4)*(COLUMN(Curves!$B$4:$AR$4)-COLUMN(Curves!$B$4)+1&lt;=AJ$3-Projects!$C$19+1))),0)+IF(AND(Projects!$G$23="Yes",Projects!$F$23="Yes",AJ$3&gt;=Projects!$C$23,AJ$3&lt;Projects!$C$23+Projects!$D$23),Projects!$B$23*(1-SUMPRODUCT((Curves!$B$4:$AR$4)*(COLUMN(Curves!$B$4:$AR$4)-COLUMN(Curves!$B$4)+1&lt;=AJ$3-Projects!$C$23+1))),0)+IF(AND(Projects!$G$28="Yes",Projects!$F$28="Yes",AJ$3&gt;=Projects!$C$28,AJ$3&lt;Projects!$C$28+Projects!$D$28),Projects!$B$28*(1-SUMPRODUCT((Curves!$B$4:$AR$4)*(COLUMN(Curves!$B$4:$AR$4)-COLUMN(Curves!$B$4)+1&lt;=AJ$3-Projects!$C$28+1))),0)+IF(AND(Projects!$G$34="Yes",Projects!$F$34="Yes",AJ$3&gt;=Projects!$C$34,AJ$3&lt;Projects!$C$34+Projects!$D$34),Projects!$B$34*(1-SUMPRODUCT((Curves!$B$4:$AR$4)*(COLUMN(Curves!$B$4:$AR$4)-COLUMN(Curves!$B$4)+1&lt;=AJ$3-Projects!$C$34+1))),0)+IF(AND(Projects!$G$40="Yes",Projects!$F$40="Yes",AJ$3&gt;=Projects!$C$40,AJ$3&lt;Projects!$C$40+Projects!$D$40),Projects!$B$40*(1-SUMPRODUCT((Curves!$B$4:$AR$4)*(COLUMN(Curves!$B$4:$AR$4)-COLUMN(Curves!$B$4)+1&lt;=AJ$3-Projects!$C$40+1))),0)+IF(AND(Projects!$G$46="Yes",Projects!$F$46="Yes",AJ$3&gt;=Projects!$C$46,AJ$3&lt;Projects!$C$46+Projects!$D$46),Projects!$B$46*(1-SUMPRODUCT((Curves!$B$4:$AR$4)*(COLUMN(Curves!$B$4:$AR$4)-COLUMN(Curves!$B$4)+1&lt;=AJ$3-Projects!$C$46+1))),0)</f>
        <v>15995598.558827</v>
      </c>
      <c r="AK351" s="13" t="n">
        <f aca="false">IF(AND(Projects!$G$17="Yes",Projects!$F$17="Yes",AK$3&gt;=Projects!$C$17,AK$3&lt;Projects!$C$17+Projects!$D$17),Projects!$B$17*(1-SUMPRODUCT((Curves!$B$4:$AR$4)*(COLUMN(Curves!$B$4:$AR$4)-COLUMN(Curves!$B$4)+1&lt;=AK$3-Projects!$C$17+1))),0)+IF(AND(Projects!$G$18="Yes",Projects!$F$18="Yes",AK$3&gt;=Projects!$C$18,AK$3&lt;Projects!$C$18+Projects!$D$18),Projects!$B$18*(1-SUMPRODUCT((Curves!$B$4:$AR$4)*(COLUMN(Curves!$B$4:$AR$4)-COLUMN(Curves!$B$4)+1&lt;=AK$3-Projects!$C$18+1))),0)+IF(AND(Projects!$G$19="Yes",Projects!$F$19="Yes",AK$3&gt;=Projects!$C$19,AK$3&lt;Projects!$C$19+Projects!$D$19),Projects!$B$19*(1-SUMPRODUCT((Curves!$B$4:$AR$4)*(COLUMN(Curves!$B$4:$AR$4)-COLUMN(Curves!$B$4)+1&lt;=AK$3-Projects!$C$19+1))),0)+IF(AND(Projects!$G$23="Yes",Projects!$F$23="Yes",AK$3&gt;=Projects!$C$23,AK$3&lt;Projects!$C$23+Projects!$D$23),Projects!$B$23*(1-SUMPRODUCT((Curves!$B$4:$AR$4)*(COLUMN(Curves!$B$4:$AR$4)-COLUMN(Curves!$B$4)+1&lt;=AK$3-Projects!$C$23+1))),0)+IF(AND(Projects!$G$28="Yes",Projects!$F$28="Yes",AK$3&gt;=Projects!$C$28,AK$3&lt;Projects!$C$28+Projects!$D$28),Projects!$B$28*(1-SUMPRODUCT((Curves!$B$4:$AR$4)*(COLUMN(Curves!$B$4:$AR$4)-COLUMN(Curves!$B$4)+1&lt;=AK$3-Projects!$C$28+1))),0)+IF(AND(Projects!$G$34="Yes",Projects!$F$34="Yes",AK$3&gt;=Projects!$C$34,AK$3&lt;Projects!$C$34+Projects!$D$34),Projects!$B$34*(1-SUMPRODUCT((Curves!$B$4:$AR$4)*(COLUMN(Curves!$B$4:$AR$4)-COLUMN(Curves!$B$4)+1&lt;=AK$3-Projects!$C$34+1))),0)+IF(AND(Projects!$G$40="Yes",Projects!$F$40="Yes",AK$3&gt;=Projects!$C$40,AK$3&lt;Projects!$C$40+Projects!$D$40),Projects!$B$40*(1-SUMPRODUCT((Curves!$B$4:$AR$4)*(COLUMN(Curves!$B$4:$AR$4)-COLUMN(Curves!$B$4)+1&lt;=AK$3-Projects!$C$40+1))),0)+IF(AND(Projects!$G$46="Yes",Projects!$F$46="Yes",AK$3&gt;=Projects!$C$46,AK$3&lt;Projects!$C$46+Projects!$D$46),Projects!$B$46*(1-SUMPRODUCT((Curves!$B$4:$AR$4)*(COLUMN(Curves!$B$4:$AR$4)-COLUMN(Curves!$B$4)+1&lt;=AK$3-Projects!$C$46+1))),0)</f>
        <v>14599876.905573</v>
      </c>
      <c r="AL351" s="13" t="n">
        <f aca="false">IF(AND(Projects!$G$17="Yes",Projects!$F$17="Yes",AL$3&gt;=Projects!$C$17,AL$3&lt;Projects!$C$17+Projects!$D$17),Projects!$B$17*(1-SUMPRODUCT((Curves!$B$4:$AR$4)*(COLUMN(Curves!$B$4:$AR$4)-COLUMN(Curves!$B$4)+1&lt;=AL$3-Projects!$C$17+1))),0)+IF(AND(Projects!$G$18="Yes",Projects!$F$18="Yes",AL$3&gt;=Projects!$C$18,AL$3&lt;Projects!$C$18+Projects!$D$18),Projects!$B$18*(1-SUMPRODUCT((Curves!$B$4:$AR$4)*(COLUMN(Curves!$B$4:$AR$4)-COLUMN(Curves!$B$4)+1&lt;=AL$3-Projects!$C$18+1))),0)+IF(AND(Projects!$G$19="Yes",Projects!$F$19="Yes",AL$3&gt;=Projects!$C$19,AL$3&lt;Projects!$C$19+Projects!$D$19),Projects!$B$19*(1-SUMPRODUCT((Curves!$B$4:$AR$4)*(COLUMN(Curves!$B$4:$AR$4)-COLUMN(Curves!$B$4)+1&lt;=AL$3-Projects!$C$19+1))),0)+IF(AND(Projects!$G$23="Yes",Projects!$F$23="Yes",AL$3&gt;=Projects!$C$23,AL$3&lt;Projects!$C$23+Projects!$D$23),Projects!$B$23*(1-SUMPRODUCT((Curves!$B$4:$AR$4)*(COLUMN(Curves!$B$4:$AR$4)-COLUMN(Curves!$B$4)+1&lt;=AL$3-Projects!$C$23+1))),0)+IF(AND(Projects!$G$28="Yes",Projects!$F$28="Yes",AL$3&gt;=Projects!$C$28,AL$3&lt;Projects!$C$28+Projects!$D$28),Projects!$B$28*(1-SUMPRODUCT((Curves!$B$4:$AR$4)*(COLUMN(Curves!$B$4:$AR$4)-COLUMN(Curves!$B$4)+1&lt;=AL$3-Projects!$C$28+1))),0)+IF(AND(Projects!$G$34="Yes",Projects!$F$34="Yes",AL$3&gt;=Projects!$C$34,AL$3&lt;Projects!$C$34+Projects!$D$34),Projects!$B$34*(1-SUMPRODUCT((Curves!$B$4:$AR$4)*(COLUMN(Curves!$B$4:$AR$4)-COLUMN(Curves!$B$4)+1&lt;=AL$3-Projects!$C$34+1))),0)+IF(AND(Projects!$G$40="Yes",Projects!$F$40="Yes",AL$3&gt;=Projects!$C$40,AL$3&lt;Projects!$C$40+Projects!$D$40),Projects!$B$40*(1-SUMPRODUCT((Curves!$B$4:$AR$4)*(COLUMN(Curves!$B$4:$AR$4)-COLUMN(Curves!$B$4)+1&lt;=AL$3-Projects!$C$40+1))),0)+IF(AND(Projects!$G$46="Yes",Projects!$F$46="Yes",AL$3&gt;=Projects!$C$46,AL$3&lt;Projects!$C$46+Projects!$D$46),Projects!$B$46*(1-SUMPRODUCT((Curves!$B$4:$AR$4)*(COLUMN(Curves!$B$4:$AR$4)-COLUMN(Curves!$B$4)+1&lt;=AL$3-Projects!$C$46+1))),0)</f>
        <v>13518600</v>
      </c>
      <c r="AM351" s="13" t="n">
        <f aca="false">IF(AND(Projects!$G$17="Yes",Projects!$F$17="Yes",AM$3&gt;=Projects!$C$17,AM$3&lt;Projects!$C$17+Projects!$D$17),Projects!$B$17*(1-SUMPRODUCT((Curves!$B$4:$AR$4)*(COLUMN(Curves!$B$4:$AR$4)-COLUMN(Curves!$B$4)+1&lt;=AM$3-Projects!$C$17+1))),0)+IF(AND(Projects!$G$18="Yes",Projects!$F$18="Yes",AM$3&gt;=Projects!$C$18,AM$3&lt;Projects!$C$18+Projects!$D$18),Projects!$B$18*(1-SUMPRODUCT((Curves!$B$4:$AR$4)*(COLUMN(Curves!$B$4:$AR$4)-COLUMN(Curves!$B$4)+1&lt;=AM$3-Projects!$C$18+1))),0)+IF(AND(Projects!$G$19="Yes",Projects!$F$19="Yes",AM$3&gt;=Projects!$C$19,AM$3&lt;Projects!$C$19+Projects!$D$19),Projects!$B$19*(1-SUMPRODUCT((Curves!$B$4:$AR$4)*(COLUMN(Curves!$B$4:$AR$4)-COLUMN(Curves!$B$4)+1&lt;=AM$3-Projects!$C$19+1))),0)+IF(AND(Projects!$G$23="Yes",Projects!$F$23="Yes",AM$3&gt;=Projects!$C$23,AM$3&lt;Projects!$C$23+Projects!$D$23),Projects!$B$23*(1-SUMPRODUCT((Curves!$B$4:$AR$4)*(COLUMN(Curves!$B$4:$AR$4)-COLUMN(Curves!$B$4)+1&lt;=AM$3-Projects!$C$23+1))),0)+IF(AND(Projects!$G$28="Yes",Projects!$F$28="Yes",AM$3&gt;=Projects!$C$28,AM$3&lt;Projects!$C$28+Projects!$D$28),Projects!$B$28*(1-SUMPRODUCT((Curves!$B$4:$AR$4)*(COLUMN(Curves!$B$4:$AR$4)-COLUMN(Curves!$B$4)+1&lt;=AM$3-Projects!$C$28+1))),0)+IF(AND(Projects!$G$34="Yes",Projects!$F$34="Yes",AM$3&gt;=Projects!$C$34,AM$3&lt;Projects!$C$34+Projects!$D$34),Projects!$B$34*(1-SUMPRODUCT((Curves!$B$4:$AR$4)*(COLUMN(Curves!$B$4:$AR$4)-COLUMN(Curves!$B$4)+1&lt;=AM$3-Projects!$C$34+1))),0)+IF(AND(Projects!$G$40="Yes",Projects!$F$40="Yes",AM$3&gt;=Projects!$C$40,AM$3&lt;Projects!$C$40+Projects!$D$40),Projects!$B$40*(1-SUMPRODUCT((Curves!$B$4:$AR$4)*(COLUMN(Curves!$B$4:$AR$4)-COLUMN(Curves!$B$4)+1&lt;=AM$3-Projects!$C$40+1))),0)+IF(AND(Projects!$G$46="Yes",Projects!$F$46="Yes",AM$3&gt;=Projects!$C$46,AM$3&lt;Projects!$C$46+Projects!$D$46),Projects!$B$46*(1-SUMPRODUCT((Curves!$B$4:$AR$4)*(COLUMN(Curves!$B$4:$AR$4)-COLUMN(Curves!$B$4)+1&lt;=AM$3-Projects!$C$46+1))),0)</f>
        <v>12822420</v>
      </c>
      <c r="AN351" s="13" t="n">
        <f aca="false">IF(AND(Projects!$G$17="Yes",Projects!$F$17="Yes",AN$3&gt;=Projects!$C$17,AN$3&lt;Projects!$C$17+Projects!$D$17),Projects!$B$17*(1-SUMPRODUCT((Curves!$B$4:$AR$4)*(COLUMN(Curves!$B$4:$AR$4)-COLUMN(Curves!$B$4)+1&lt;=AN$3-Projects!$C$17+1))),0)+IF(AND(Projects!$G$18="Yes",Projects!$F$18="Yes",AN$3&gt;=Projects!$C$18,AN$3&lt;Projects!$C$18+Projects!$D$18),Projects!$B$18*(1-SUMPRODUCT((Curves!$B$4:$AR$4)*(COLUMN(Curves!$B$4:$AR$4)-COLUMN(Curves!$B$4)+1&lt;=AN$3-Projects!$C$18+1))),0)+IF(AND(Projects!$G$19="Yes",Projects!$F$19="Yes",AN$3&gt;=Projects!$C$19,AN$3&lt;Projects!$C$19+Projects!$D$19),Projects!$B$19*(1-SUMPRODUCT((Curves!$B$4:$AR$4)*(COLUMN(Curves!$B$4:$AR$4)-COLUMN(Curves!$B$4)+1&lt;=AN$3-Projects!$C$19+1))),0)+IF(AND(Projects!$G$23="Yes",Projects!$F$23="Yes",AN$3&gt;=Projects!$C$23,AN$3&lt;Projects!$C$23+Projects!$D$23),Projects!$B$23*(1-SUMPRODUCT((Curves!$B$4:$AR$4)*(COLUMN(Curves!$B$4:$AR$4)-COLUMN(Curves!$B$4)+1&lt;=AN$3-Projects!$C$23+1))),0)+IF(AND(Projects!$G$28="Yes",Projects!$F$28="Yes",AN$3&gt;=Projects!$C$28,AN$3&lt;Projects!$C$28+Projects!$D$28),Projects!$B$28*(1-SUMPRODUCT((Curves!$B$4:$AR$4)*(COLUMN(Curves!$B$4:$AR$4)-COLUMN(Curves!$B$4)+1&lt;=AN$3-Projects!$C$28+1))),0)+IF(AND(Projects!$G$34="Yes",Projects!$F$34="Yes",AN$3&gt;=Projects!$C$34,AN$3&lt;Projects!$C$34+Projects!$D$34),Projects!$B$34*(1-SUMPRODUCT((Curves!$B$4:$AR$4)*(COLUMN(Curves!$B$4:$AR$4)-COLUMN(Curves!$B$4)+1&lt;=AN$3-Projects!$C$34+1))),0)+IF(AND(Projects!$G$40="Yes",Projects!$F$40="Yes",AN$3&gt;=Projects!$C$40,AN$3&lt;Projects!$C$40+Projects!$D$40),Projects!$B$40*(1-SUMPRODUCT((Curves!$B$4:$AR$4)*(COLUMN(Curves!$B$4:$AR$4)-COLUMN(Curves!$B$4)+1&lt;=AN$3-Projects!$C$40+1))),0)+IF(AND(Projects!$G$46="Yes",Projects!$F$46="Yes",AN$3&gt;=Projects!$C$46,AN$3&lt;Projects!$C$46+Projects!$D$46),Projects!$B$46*(1-SUMPRODUCT((Curves!$B$4:$AR$4)*(COLUMN(Curves!$B$4:$AR$4)-COLUMN(Curves!$B$4)+1&lt;=AN$3-Projects!$C$46+1))),0)</f>
        <v>12024150</v>
      </c>
      <c r="AO351" s="13" t="n">
        <f aca="false">IF(AND(Projects!$G$17="Yes",Projects!$F$17="Yes",AO$3&gt;=Projects!$C$17,AO$3&lt;Projects!$C$17+Projects!$D$17),Projects!$B$17*(1-SUMPRODUCT((Curves!$B$4:$AR$4)*(COLUMN(Curves!$B$4:$AR$4)-COLUMN(Curves!$B$4)+1&lt;=AO$3-Projects!$C$17+1))),0)+IF(AND(Projects!$G$18="Yes",Projects!$F$18="Yes",AO$3&gt;=Projects!$C$18,AO$3&lt;Projects!$C$18+Projects!$D$18),Projects!$B$18*(1-SUMPRODUCT((Curves!$B$4:$AR$4)*(COLUMN(Curves!$B$4:$AR$4)-COLUMN(Curves!$B$4)+1&lt;=AO$3-Projects!$C$18+1))),0)+IF(AND(Projects!$G$19="Yes",Projects!$F$19="Yes",AO$3&gt;=Projects!$C$19,AO$3&lt;Projects!$C$19+Projects!$D$19),Projects!$B$19*(1-SUMPRODUCT((Curves!$B$4:$AR$4)*(COLUMN(Curves!$B$4:$AR$4)-COLUMN(Curves!$B$4)+1&lt;=AO$3-Projects!$C$19+1))),0)+IF(AND(Projects!$G$23="Yes",Projects!$F$23="Yes",AO$3&gt;=Projects!$C$23,AO$3&lt;Projects!$C$23+Projects!$D$23),Projects!$B$23*(1-SUMPRODUCT((Curves!$B$4:$AR$4)*(COLUMN(Curves!$B$4:$AR$4)-COLUMN(Curves!$B$4)+1&lt;=AO$3-Projects!$C$23+1))),0)+IF(AND(Projects!$G$28="Yes",Projects!$F$28="Yes",AO$3&gt;=Projects!$C$28,AO$3&lt;Projects!$C$28+Projects!$D$28),Projects!$B$28*(1-SUMPRODUCT((Curves!$B$4:$AR$4)*(COLUMN(Curves!$B$4:$AR$4)-COLUMN(Curves!$B$4)+1&lt;=AO$3-Projects!$C$28+1))),0)+IF(AND(Projects!$G$34="Yes",Projects!$F$34="Yes",AO$3&gt;=Projects!$C$34,AO$3&lt;Projects!$C$34+Projects!$D$34),Projects!$B$34*(1-SUMPRODUCT((Curves!$B$4:$AR$4)*(COLUMN(Curves!$B$4:$AR$4)-COLUMN(Curves!$B$4)+1&lt;=AO$3-Projects!$C$34+1))),0)+IF(AND(Projects!$G$40="Yes",Projects!$F$40="Yes",AO$3&gt;=Projects!$C$40,AO$3&lt;Projects!$C$40+Projects!$D$40),Projects!$B$40*(1-SUMPRODUCT((Curves!$B$4:$AR$4)*(COLUMN(Curves!$B$4:$AR$4)-COLUMN(Curves!$B$4)+1&lt;=AO$3-Projects!$C$40+1))),0)+IF(AND(Projects!$G$46="Yes",Projects!$F$46="Yes",AO$3&gt;=Projects!$C$46,AO$3&lt;Projects!$C$46+Projects!$D$46),Projects!$B$46*(1-SUMPRODUCT((Curves!$B$4:$AR$4)*(COLUMN(Curves!$B$4:$AR$4)-COLUMN(Curves!$B$4)+1&lt;=AO$3-Projects!$C$46+1))),0)</f>
        <v>11131320</v>
      </c>
      <c r="AP351" s="13" t="n">
        <f aca="false">IF(AND(Projects!$G$17="Yes",Projects!$F$17="Yes",AP$3&gt;=Projects!$C$17,AP$3&lt;Projects!$C$17+Projects!$D$17),Projects!$B$17*(1-SUMPRODUCT((Curves!$B$4:$AR$4)*(COLUMN(Curves!$B$4:$AR$4)-COLUMN(Curves!$B$4)+1&lt;=AP$3-Projects!$C$17+1))),0)+IF(AND(Projects!$G$18="Yes",Projects!$F$18="Yes",AP$3&gt;=Projects!$C$18,AP$3&lt;Projects!$C$18+Projects!$D$18),Projects!$B$18*(1-SUMPRODUCT((Curves!$B$4:$AR$4)*(COLUMN(Curves!$B$4:$AR$4)-COLUMN(Curves!$B$4)+1&lt;=AP$3-Projects!$C$18+1))),0)+IF(AND(Projects!$G$19="Yes",Projects!$F$19="Yes",AP$3&gt;=Projects!$C$19,AP$3&lt;Projects!$C$19+Projects!$D$19),Projects!$B$19*(1-SUMPRODUCT((Curves!$B$4:$AR$4)*(COLUMN(Curves!$B$4:$AR$4)-COLUMN(Curves!$B$4)+1&lt;=AP$3-Projects!$C$19+1))),0)+IF(AND(Projects!$G$23="Yes",Projects!$F$23="Yes",AP$3&gt;=Projects!$C$23,AP$3&lt;Projects!$C$23+Projects!$D$23),Projects!$B$23*(1-SUMPRODUCT((Curves!$B$4:$AR$4)*(COLUMN(Curves!$B$4:$AR$4)-COLUMN(Curves!$B$4)+1&lt;=AP$3-Projects!$C$23+1))),0)+IF(AND(Projects!$G$28="Yes",Projects!$F$28="Yes",AP$3&gt;=Projects!$C$28,AP$3&lt;Projects!$C$28+Projects!$D$28),Projects!$B$28*(1-SUMPRODUCT((Curves!$B$4:$AR$4)*(COLUMN(Curves!$B$4:$AR$4)-COLUMN(Curves!$B$4)+1&lt;=AP$3-Projects!$C$28+1))),0)+IF(AND(Projects!$G$34="Yes",Projects!$F$34="Yes",AP$3&gt;=Projects!$C$34,AP$3&lt;Projects!$C$34+Projects!$D$34),Projects!$B$34*(1-SUMPRODUCT((Curves!$B$4:$AR$4)*(COLUMN(Curves!$B$4:$AR$4)-COLUMN(Curves!$B$4)+1&lt;=AP$3-Projects!$C$34+1))),0)+IF(AND(Projects!$G$40="Yes",Projects!$F$40="Yes",AP$3&gt;=Projects!$C$40,AP$3&lt;Projects!$C$40+Projects!$D$40),Projects!$B$40*(1-SUMPRODUCT((Curves!$B$4:$AR$4)*(COLUMN(Curves!$B$4:$AR$4)-COLUMN(Curves!$B$4)+1&lt;=AP$3-Projects!$C$40+1))),0)+IF(AND(Projects!$G$46="Yes",Projects!$F$46="Yes",AP$3&gt;=Projects!$C$46,AP$3&lt;Projects!$C$46+Projects!$D$46),Projects!$B$46*(1-SUMPRODUCT((Curves!$B$4:$AR$4)*(COLUMN(Curves!$B$4:$AR$4)-COLUMN(Curves!$B$4)+1&lt;=AP$3-Projects!$C$46+1))),0)</f>
        <v>27679959</v>
      </c>
      <c r="AQ351" s="13" t="n">
        <f aca="false">IF(AND(Projects!$G$17="Yes",Projects!$F$17="Yes",AQ$3&gt;=Projects!$C$17,AQ$3&lt;Projects!$C$17+Projects!$D$17),Projects!$B$17*(1-SUMPRODUCT((Curves!$B$4:$AR$4)*(COLUMN(Curves!$B$4:$AR$4)-COLUMN(Curves!$B$4)+1&lt;=AQ$3-Projects!$C$17+1))),0)+IF(AND(Projects!$G$18="Yes",Projects!$F$18="Yes",AQ$3&gt;=Projects!$C$18,AQ$3&lt;Projects!$C$18+Projects!$D$18),Projects!$B$18*(1-SUMPRODUCT((Curves!$B$4:$AR$4)*(COLUMN(Curves!$B$4:$AR$4)-COLUMN(Curves!$B$4)+1&lt;=AQ$3-Projects!$C$18+1))),0)+IF(AND(Projects!$G$19="Yes",Projects!$F$19="Yes",AQ$3&gt;=Projects!$C$19,AQ$3&lt;Projects!$C$19+Projects!$D$19),Projects!$B$19*(1-SUMPRODUCT((Curves!$B$4:$AR$4)*(COLUMN(Curves!$B$4:$AR$4)-COLUMN(Curves!$B$4)+1&lt;=AQ$3-Projects!$C$19+1))),0)+IF(AND(Projects!$G$23="Yes",Projects!$F$23="Yes",AQ$3&gt;=Projects!$C$23,AQ$3&lt;Projects!$C$23+Projects!$D$23),Projects!$B$23*(1-SUMPRODUCT((Curves!$B$4:$AR$4)*(COLUMN(Curves!$B$4:$AR$4)-COLUMN(Curves!$B$4)+1&lt;=AQ$3-Projects!$C$23+1))),0)+IF(AND(Projects!$G$28="Yes",Projects!$F$28="Yes",AQ$3&gt;=Projects!$C$28,AQ$3&lt;Projects!$C$28+Projects!$D$28),Projects!$B$28*(1-SUMPRODUCT((Curves!$B$4:$AR$4)*(COLUMN(Curves!$B$4:$AR$4)-COLUMN(Curves!$B$4)+1&lt;=AQ$3-Projects!$C$28+1))),0)+IF(AND(Projects!$G$34="Yes",Projects!$F$34="Yes",AQ$3&gt;=Projects!$C$34,AQ$3&lt;Projects!$C$34+Projects!$D$34),Projects!$B$34*(1-SUMPRODUCT((Curves!$B$4:$AR$4)*(COLUMN(Curves!$B$4:$AR$4)-COLUMN(Curves!$B$4)+1&lt;=AQ$3-Projects!$C$34+1))),0)+IF(AND(Projects!$G$40="Yes",Projects!$F$40="Yes",AQ$3&gt;=Projects!$C$40,AQ$3&lt;Projects!$C$40+Projects!$D$40),Projects!$B$40*(1-SUMPRODUCT((Curves!$B$4:$AR$4)*(COLUMN(Curves!$B$4:$AR$4)-COLUMN(Curves!$B$4)+1&lt;=AQ$3-Projects!$C$40+1))),0)+IF(AND(Projects!$G$46="Yes",Projects!$F$46="Yes",AQ$3&gt;=Projects!$C$46,AQ$3&lt;Projects!$C$46+Projects!$D$46),Projects!$B$46*(1-SUMPRODUCT((Curves!$B$4:$AR$4)*(COLUMN(Curves!$B$4:$AR$4)-COLUMN(Curves!$B$4)+1&lt;=AQ$3-Projects!$C$46+1))),0)</f>
        <v>26053701</v>
      </c>
      <c r="AR351" s="13" t="n">
        <f aca="false">IF(AND(Projects!$G$17="Yes",Projects!$F$17="Yes",AR$3&gt;=Projects!$C$17,AR$3&lt;Projects!$C$17+Projects!$D$17),Projects!$B$17*(1-SUMPRODUCT((Curves!$B$4:$AR$4)*(COLUMN(Curves!$B$4:$AR$4)-COLUMN(Curves!$B$4)+1&lt;=AR$3-Projects!$C$17+1))),0)+IF(AND(Projects!$G$18="Yes",Projects!$F$18="Yes",AR$3&gt;=Projects!$C$18,AR$3&lt;Projects!$C$18+Projects!$D$18),Projects!$B$18*(1-SUMPRODUCT((Curves!$B$4:$AR$4)*(COLUMN(Curves!$B$4:$AR$4)-COLUMN(Curves!$B$4)+1&lt;=AR$3-Projects!$C$18+1))),0)+IF(AND(Projects!$G$19="Yes",Projects!$F$19="Yes",AR$3&gt;=Projects!$C$19,AR$3&lt;Projects!$C$19+Projects!$D$19),Projects!$B$19*(1-SUMPRODUCT((Curves!$B$4:$AR$4)*(COLUMN(Curves!$B$4:$AR$4)-COLUMN(Curves!$B$4)+1&lt;=AR$3-Projects!$C$19+1))),0)+IF(AND(Projects!$G$23="Yes",Projects!$F$23="Yes",AR$3&gt;=Projects!$C$23,AR$3&lt;Projects!$C$23+Projects!$D$23),Projects!$B$23*(1-SUMPRODUCT((Curves!$B$4:$AR$4)*(COLUMN(Curves!$B$4:$AR$4)-COLUMN(Curves!$B$4)+1&lt;=AR$3-Projects!$C$23+1))),0)+IF(AND(Projects!$G$28="Yes",Projects!$F$28="Yes",AR$3&gt;=Projects!$C$28,AR$3&lt;Projects!$C$28+Projects!$D$28),Projects!$B$28*(1-SUMPRODUCT((Curves!$B$4:$AR$4)*(COLUMN(Curves!$B$4:$AR$4)-COLUMN(Curves!$B$4)+1&lt;=AR$3-Projects!$C$28+1))),0)+IF(AND(Projects!$G$34="Yes",Projects!$F$34="Yes",AR$3&gt;=Projects!$C$34,AR$3&lt;Projects!$C$34+Projects!$D$34),Projects!$B$34*(1-SUMPRODUCT((Curves!$B$4:$AR$4)*(COLUMN(Curves!$B$4:$AR$4)-COLUMN(Curves!$B$4)+1&lt;=AR$3-Projects!$C$34+1))),0)+IF(AND(Projects!$G$40="Yes",Projects!$F$40="Yes",AR$3&gt;=Projects!$C$40,AR$3&lt;Projects!$C$40+Projects!$D$40),Projects!$B$40*(1-SUMPRODUCT((Curves!$B$4:$AR$4)*(COLUMN(Curves!$B$4:$AR$4)-COLUMN(Curves!$B$4)+1&lt;=AR$3-Projects!$C$40+1))),0)+IF(AND(Projects!$G$46="Yes",Projects!$F$46="Yes",AR$3&gt;=Projects!$C$46,AR$3&lt;Projects!$C$46+Projects!$D$46),Projects!$B$46*(1-SUMPRODUCT((Curves!$B$4:$AR$4)*(COLUMN(Curves!$B$4:$AR$4)-COLUMN(Curves!$B$4)+1&lt;=AR$3-Projects!$C$46+1))),0)</f>
        <v>24267045</v>
      </c>
      <c r="AS351" s="13" t="n">
        <f aca="false">IF(AND(Projects!$G$17="Yes",Projects!$F$17="Yes",AS$3&gt;=Projects!$C$17,AS$3&lt;Projects!$C$17+Projects!$D$17),Projects!$B$17*(1-SUMPRODUCT((Curves!$B$4:$AR$4)*(COLUMN(Curves!$B$4:$AR$4)-COLUMN(Curves!$B$4)+1&lt;=AS$3-Projects!$C$17+1))),0)+IF(AND(Projects!$G$18="Yes",Projects!$F$18="Yes",AS$3&gt;=Projects!$C$18,AS$3&lt;Projects!$C$18+Projects!$D$18),Projects!$B$18*(1-SUMPRODUCT((Curves!$B$4:$AR$4)*(COLUMN(Curves!$B$4:$AR$4)-COLUMN(Curves!$B$4)+1&lt;=AS$3-Projects!$C$18+1))),0)+IF(AND(Projects!$G$19="Yes",Projects!$F$19="Yes",AS$3&gt;=Projects!$C$19,AS$3&lt;Projects!$C$19+Projects!$D$19),Projects!$B$19*(1-SUMPRODUCT((Curves!$B$4:$AR$4)*(COLUMN(Curves!$B$4:$AR$4)-COLUMN(Curves!$B$4)+1&lt;=AS$3-Projects!$C$19+1))),0)+IF(AND(Projects!$G$23="Yes",Projects!$F$23="Yes",AS$3&gt;=Projects!$C$23,AS$3&lt;Projects!$C$23+Projects!$D$23),Projects!$B$23*(1-SUMPRODUCT((Curves!$B$4:$AR$4)*(COLUMN(Curves!$B$4:$AR$4)-COLUMN(Curves!$B$4)+1&lt;=AS$3-Projects!$C$23+1))),0)+IF(AND(Projects!$G$28="Yes",Projects!$F$28="Yes",AS$3&gt;=Projects!$C$28,AS$3&lt;Projects!$C$28+Projects!$D$28),Projects!$B$28*(1-SUMPRODUCT((Curves!$B$4:$AR$4)*(COLUMN(Curves!$B$4:$AR$4)-COLUMN(Curves!$B$4)+1&lt;=AS$3-Projects!$C$28+1))),0)+IF(AND(Projects!$G$34="Yes",Projects!$F$34="Yes",AS$3&gt;=Projects!$C$34,AS$3&lt;Projects!$C$34+Projects!$D$34),Projects!$B$34*(1-SUMPRODUCT((Curves!$B$4:$AR$4)*(COLUMN(Curves!$B$4:$AR$4)-COLUMN(Curves!$B$4)+1&lt;=AS$3-Projects!$C$34+1))),0)+IF(AND(Projects!$G$40="Yes",Projects!$F$40="Yes",AS$3&gt;=Projects!$C$40,AS$3&lt;Projects!$C$40+Projects!$D$40),Projects!$B$40*(1-SUMPRODUCT((Curves!$B$4:$AR$4)*(COLUMN(Curves!$B$4:$AR$4)-COLUMN(Curves!$B$4)+1&lt;=AS$3-Projects!$C$40+1))),0)+IF(AND(Projects!$G$46="Yes",Projects!$F$46="Yes",AS$3&gt;=Projects!$C$46,AS$3&lt;Projects!$C$46+Projects!$D$46),Projects!$B$46*(1-SUMPRODUCT((Curves!$B$4:$AR$4)*(COLUMN(Curves!$B$4:$AR$4)-COLUMN(Curves!$B$4)+1&lt;=AS$3-Projects!$C$46+1))),0)</f>
        <v>22342179</v>
      </c>
      <c r="AT351" s="13" t="n">
        <f aca="false">IF(AND(Projects!$G$17="Yes",Projects!$F$17="Yes",AT$3&gt;=Projects!$C$17,AT$3&lt;Projects!$C$17+Projects!$D$17),Projects!$B$17*(1-SUMPRODUCT((Curves!$B$4:$AR$4)*(COLUMN(Curves!$B$4:$AR$4)-COLUMN(Curves!$B$4)+1&lt;=AT$3-Projects!$C$17+1))),0)+IF(AND(Projects!$G$18="Yes",Projects!$F$18="Yes",AT$3&gt;=Projects!$C$18,AT$3&lt;Projects!$C$18+Projects!$D$18),Projects!$B$18*(1-SUMPRODUCT((Curves!$B$4:$AR$4)*(COLUMN(Curves!$B$4:$AR$4)-COLUMN(Curves!$B$4)+1&lt;=AT$3-Projects!$C$18+1))),0)+IF(AND(Projects!$G$19="Yes",Projects!$F$19="Yes",AT$3&gt;=Projects!$C$19,AT$3&lt;Projects!$C$19+Projects!$D$19),Projects!$B$19*(1-SUMPRODUCT((Curves!$B$4:$AR$4)*(COLUMN(Curves!$B$4:$AR$4)-COLUMN(Curves!$B$4)+1&lt;=AT$3-Projects!$C$19+1))),0)+IF(AND(Projects!$G$23="Yes",Projects!$F$23="Yes",AT$3&gt;=Projects!$C$23,AT$3&lt;Projects!$C$23+Projects!$D$23),Projects!$B$23*(1-SUMPRODUCT((Curves!$B$4:$AR$4)*(COLUMN(Curves!$B$4:$AR$4)-COLUMN(Curves!$B$4)+1&lt;=AT$3-Projects!$C$23+1))),0)+IF(AND(Projects!$G$28="Yes",Projects!$F$28="Yes",AT$3&gt;=Projects!$C$28,AT$3&lt;Projects!$C$28+Projects!$D$28),Projects!$B$28*(1-SUMPRODUCT((Curves!$B$4:$AR$4)*(COLUMN(Curves!$B$4:$AR$4)-COLUMN(Curves!$B$4)+1&lt;=AT$3-Projects!$C$28+1))),0)+IF(AND(Projects!$G$34="Yes",Projects!$F$34="Yes",AT$3&gt;=Projects!$C$34,AT$3&lt;Projects!$C$34+Projects!$D$34),Projects!$B$34*(1-SUMPRODUCT((Curves!$B$4:$AR$4)*(COLUMN(Curves!$B$4:$AR$4)-COLUMN(Curves!$B$4)+1&lt;=AT$3-Projects!$C$34+1))),0)+IF(AND(Projects!$G$40="Yes",Projects!$F$40="Yes",AT$3&gt;=Projects!$C$40,AT$3&lt;Projects!$C$40+Projects!$D$40),Projects!$B$40*(1-SUMPRODUCT((Curves!$B$4:$AR$4)*(COLUMN(Curves!$B$4:$AR$4)-COLUMN(Curves!$B$4)+1&lt;=AT$3-Projects!$C$40+1))),0)+IF(AND(Projects!$G$46="Yes",Projects!$F$46="Yes",AT$3&gt;=Projects!$C$46,AT$3&lt;Projects!$C$46+Projects!$D$46),Projects!$B$46*(1-SUMPRODUCT((Curves!$B$4:$AR$4)*(COLUMN(Curves!$B$4:$AR$4)-COLUMN(Curves!$B$4)+1&lt;=AT$3-Projects!$C$46+1))),0)</f>
        <v>20308275</v>
      </c>
      <c r="AU351" s="13" t="n">
        <f aca="false">IF(AND(Projects!$G$17="Yes",Projects!$F$17="Yes",AU$3&gt;=Projects!$C$17,AU$3&lt;Projects!$C$17+Projects!$D$17),Projects!$B$17*(1-SUMPRODUCT((Curves!$B$4:$AR$4)*(COLUMN(Curves!$B$4:$AR$4)-COLUMN(Curves!$B$4)+1&lt;=AU$3-Projects!$C$17+1))),0)+IF(AND(Projects!$G$18="Yes",Projects!$F$18="Yes",AU$3&gt;=Projects!$C$18,AU$3&lt;Projects!$C$18+Projects!$D$18),Projects!$B$18*(1-SUMPRODUCT((Curves!$B$4:$AR$4)*(COLUMN(Curves!$B$4:$AR$4)-COLUMN(Curves!$B$4)+1&lt;=AU$3-Projects!$C$18+1))),0)+IF(AND(Projects!$G$19="Yes",Projects!$F$19="Yes",AU$3&gt;=Projects!$C$19,AU$3&lt;Projects!$C$19+Projects!$D$19),Projects!$B$19*(1-SUMPRODUCT((Curves!$B$4:$AR$4)*(COLUMN(Curves!$B$4:$AR$4)-COLUMN(Curves!$B$4)+1&lt;=AU$3-Projects!$C$19+1))),0)+IF(AND(Projects!$G$23="Yes",Projects!$F$23="Yes",AU$3&gt;=Projects!$C$23,AU$3&lt;Projects!$C$23+Projects!$D$23),Projects!$B$23*(1-SUMPRODUCT((Curves!$B$4:$AR$4)*(COLUMN(Curves!$B$4:$AR$4)-COLUMN(Curves!$B$4)+1&lt;=AU$3-Projects!$C$23+1))),0)+IF(AND(Projects!$G$28="Yes",Projects!$F$28="Yes",AU$3&gt;=Projects!$C$28,AU$3&lt;Projects!$C$28+Projects!$D$28),Projects!$B$28*(1-SUMPRODUCT((Curves!$B$4:$AR$4)*(COLUMN(Curves!$B$4:$AR$4)-COLUMN(Curves!$B$4)+1&lt;=AU$3-Projects!$C$28+1))),0)+IF(AND(Projects!$G$34="Yes",Projects!$F$34="Yes",AU$3&gt;=Projects!$C$34,AU$3&lt;Projects!$C$34+Projects!$D$34),Projects!$B$34*(1-SUMPRODUCT((Curves!$B$4:$AR$4)*(COLUMN(Curves!$B$4:$AR$4)-COLUMN(Curves!$B$4)+1&lt;=AU$3-Projects!$C$34+1))),0)+IF(AND(Projects!$G$40="Yes",Projects!$F$40="Yes",AU$3&gt;=Projects!$C$40,AU$3&lt;Projects!$C$40+Projects!$D$40),Projects!$B$40*(1-SUMPRODUCT((Curves!$B$4:$AR$4)*(COLUMN(Curves!$B$4:$AR$4)-COLUMN(Curves!$B$4)+1&lt;=AU$3-Projects!$C$40+1))),0)+IF(AND(Projects!$G$46="Yes",Projects!$F$46="Yes",AU$3&gt;=Projects!$C$46,AU$3&lt;Projects!$C$46+Projects!$D$46),Projects!$B$46*(1-SUMPRODUCT((Curves!$B$4:$AR$4)*(COLUMN(Curves!$B$4:$AR$4)-COLUMN(Curves!$B$4)+1&lt;=AU$3-Projects!$C$46+1))),0)</f>
        <v>18200319</v>
      </c>
      <c r="AV351" s="13" t="n">
        <f aca="false">IF(AND(Projects!$G$17="Yes",Projects!$F$17="Yes",AV$3&gt;=Projects!$C$17,AV$3&lt;Projects!$C$17+Projects!$D$17),Projects!$B$17*(1-SUMPRODUCT((Curves!$B$4:$AR$4)*(COLUMN(Curves!$B$4:$AR$4)-COLUMN(Curves!$B$4)+1&lt;=AV$3-Projects!$C$17+1))),0)+IF(AND(Projects!$G$18="Yes",Projects!$F$18="Yes",AV$3&gt;=Projects!$C$18,AV$3&lt;Projects!$C$18+Projects!$D$18),Projects!$B$18*(1-SUMPRODUCT((Curves!$B$4:$AR$4)*(COLUMN(Curves!$B$4:$AR$4)-COLUMN(Curves!$B$4)+1&lt;=AV$3-Projects!$C$18+1))),0)+IF(AND(Projects!$G$19="Yes",Projects!$F$19="Yes",AV$3&gt;=Projects!$C$19,AV$3&lt;Projects!$C$19+Projects!$D$19),Projects!$B$19*(1-SUMPRODUCT((Curves!$B$4:$AR$4)*(COLUMN(Curves!$B$4:$AR$4)-COLUMN(Curves!$B$4)+1&lt;=AV$3-Projects!$C$19+1))),0)+IF(AND(Projects!$G$23="Yes",Projects!$F$23="Yes",AV$3&gt;=Projects!$C$23,AV$3&lt;Projects!$C$23+Projects!$D$23),Projects!$B$23*(1-SUMPRODUCT((Curves!$B$4:$AR$4)*(COLUMN(Curves!$B$4:$AR$4)-COLUMN(Curves!$B$4)+1&lt;=AV$3-Projects!$C$23+1))),0)+IF(AND(Projects!$G$28="Yes",Projects!$F$28="Yes",AV$3&gt;=Projects!$C$28,AV$3&lt;Projects!$C$28+Projects!$D$28),Projects!$B$28*(1-SUMPRODUCT((Curves!$B$4:$AR$4)*(COLUMN(Curves!$B$4:$AR$4)-COLUMN(Curves!$B$4)+1&lt;=AV$3-Projects!$C$28+1))),0)+IF(AND(Projects!$G$34="Yes",Projects!$F$34="Yes",AV$3&gt;=Projects!$C$34,AV$3&lt;Projects!$C$34+Projects!$D$34),Projects!$B$34*(1-SUMPRODUCT((Curves!$B$4:$AR$4)*(COLUMN(Curves!$B$4:$AR$4)-COLUMN(Curves!$B$4)+1&lt;=AV$3-Projects!$C$34+1))),0)+IF(AND(Projects!$G$40="Yes",Projects!$F$40="Yes",AV$3&gt;=Projects!$C$40,AV$3&lt;Projects!$C$40+Projects!$D$40),Projects!$B$40*(1-SUMPRODUCT((Curves!$B$4:$AR$4)*(COLUMN(Curves!$B$4:$AR$4)-COLUMN(Curves!$B$4)+1&lt;=AV$3-Projects!$C$40+1))),0)+IF(AND(Projects!$G$46="Yes",Projects!$F$46="Yes",AV$3&gt;=Projects!$C$46,AV$3&lt;Projects!$C$46+Projects!$D$46),Projects!$B$46*(1-SUMPRODUCT((Curves!$B$4:$AR$4)*(COLUMN(Curves!$B$4:$AR$4)-COLUMN(Curves!$B$4)+1&lt;=AV$3-Projects!$C$46+1))),0)</f>
        <v>16057398</v>
      </c>
      <c r="AW351" s="13" t="n">
        <f aca="false">IF(AND(Projects!$G$17="Yes",Projects!$F$17="Yes",AW$3&gt;=Projects!$C$17,AW$3&lt;Projects!$C$17+Projects!$D$17),Projects!$B$17*(1-SUMPRODUCT((Curves!$B$4:$AR$4)*(COLUMN(Curves!$B$4:$AR$4)-COLUMN(Curves!$B$4)+1&lt;=AW$3-Projects!$C$17+1))),0)+IF(AND(Projects!$G$18="Yes",Projects!$F$18="Yes",AW$3&gt;=Projects!$C$18,AW$3&lt;Projects!$C$18+Projects!$D$18),Projects!$B$18*(1-SUMPRODUCT((Curves!$B$4:$AR$4)*(COLUMN(Curves!$B$4:$AR$4)-COLUMN(Curves!$B$4)+1&lt;=AW$3-Projects!$C$18+1))),0)+IF(AND(Projects!$G$19="Yes",Projects!$F$19="Yes",AW$3&gt;=Projects!$C$19,AW$3&lt;Projects!$C$19+Projects!$D$19),Projects!$B$19*(1-SUMPRODUCT((Curves!$B$4:$AR$4)*(COLUMN(Curves!$B$4:$AR$4)-COLUMN(Curves!$B$4)+1&lt;=AW$3-Projects!$C$19+1))),0)+IF(AND(Projects!$G$23="Yes",Projects!$F$23="Yes",AW$3&gt;=Projects!$C$23,AW$3&lt;Projects!$C$23+Projects!$D$23),Projects!$B$23*(1-SUMPRODUCT((Curves!$B$4:$AR$4)*(COLUMN(Curves!$B$4:$AR$4)-COLUMN(Curves!$B$4)+1&lt;=AW$3-Projects!$C$23+1))),0)+IF(AND(Projects!$G$28="Yes",Projects!$F$28="Yes",AW$3&gt;=Projects!$C$28,AW$3&lt;Projects!$C$28+Projects!$D$28),Projects!$B$28*(1-SUMPRODUCT((Curves!$B$4:$AR$4)*(COLUMN(Curves!$B$4:$AR$4)-COLUMN(Curves!$B$4)+1&lt;=AW$3-Projects!$C$28+1))),0)+IF(AND(Projects!$G$34="Yes",Projects!$F$34="Yes",AW$3&gt;=Projects!$C$34,AW$3&lt;Projects!$C$34+Projects!$D$34),Projects!$B$34*(1-SUMPRODUCT((Curves!$B$4:$AR$4)*(COLUMN(Curves!$B$4:$AR$4)-COLUMN(Curves!$B$4)+1&lt;=AW$3-Projects!$C$34+1))),0)+IF(AND(Projects!$G$40="Yes",Projects!$F$40="Yes",AW$3&gt;=Projects!$C$40,AW$3&lt;Projects!$C$40+Projects!$D$40),Projects!$B$40*(1-SUMPRODUCT((Curves!$B$4:$AR$4)*(COLUMN(Curves!$B$4:$AR$4)-COLUMN(Curves!$B$4)+1&lt;=AW$3-Projects!$C$40+1))),0)+IF(AND(Projects!$G$46="Yes",Projects!$F$46="Yes",AW$3&gt;=Projects!$C$46,AW$3&lt;Projects!$C$46+Projects!$D$46),Projects!$B$46*(1-SUMPRODUCT((Curves!$B$4:$AR$4)*(COLUMN(Curves!$B$4:$AR$4)-COLUMN(Curves!$B$4)+1&lt;=AW$3-Projects!$C$46+1))),0)</f>
        <v>13920696</v>
      </c>
      <c r="AX351" s="13" t="n">
        <f aca="false">IF(AND(Projects!$G$17="Yes",Projects!$F$17="Yes",AX$3&gt;=Projects!$C$17,AX$3&lt;Projects!$C$17+Projects!$D$17),Projects!$B$17*(1-SUMPRODUCT((Curves!$B$4:$AR$4)*(COLUMN(Curves!$B$4:$AR$4)-COLUMN(Curves!$B$4)+1&lt;=AX$3-Projects!$C$17+1))),0)+IF(AND(Projects!$G$18="Yes",Projects!$F$18="Yes",AX$3&gt;=Projects!$C$18,AX$3&lt;Projects!$C$18+Projects!$D$18),Projects!$B$18*(1-SUMPRODUCT((Curves!$B$4:$AR$4)*(COLUMN(Curves!$B$4:$AR$4)-COLUMN(Curves!$B$4)+1&lt;=AX$3-Projects!$C$18+1))),0)+IF(AND(Projects!$G$19="Yes",Projects!$F$19="Yes",AX$3&gt;=Projects!$C$19,AX$3&lt;Projects!$C$19+Projects!$D$19),Projects!$B$19*(1-SUMPRODUCT((Curves!$B$4:$AR$4)*(COLUMN(Curves!$B$4:$AR$4)-COLUMN(Curves!$B$4)+1&lt;=AX$3-Projects!$C$19+1))),0)+IF(AND(Projects!$G$23="Yes",Projects!$F$23="Yes",AX$3&gt;=Projects!$C$23,AX$3&lt;Projects!$C$23+Projects!$D$23),Projects!$B$23*(1-SUMPRODUCT((Curves!$B$4:$AR$4)*(COLUMN(Curves!$B$4:$AR$4)-COLUMN(Curves!$B$4)+1&lt;=AX$3-Projects!$C$23+1))),0)+IF(AND(Projects!$G$28="Yes",Projects!$F$28="Yes",AX$3&gt;=Projects!$C$28,AX$3&lt;Projects!$C$28+Projects!$D$28),Projects!$B$28*(1-SUMPRODUCT((Curves!$B$4:$AR$4)*(COLUMN(Curves!$B$4:$AR$4)-COLUMN(Curves!$B$4)+1&lt;=AX$3-Projects!$C$28+1))),0)+IF(AND(Projects!$G$34="Yes",Projects!$F$34="Yes",AX$3&gt;=Projects!$C$34,AX$3&lt;Projects!$C$34+Projects!$D$34),Projects!$B$34*(1-SUMPRODUCT((Curves!$B$4:$AR$4)*(COLUMN(Curves!$B$4:$AR$4)-COLUMN(Curves!$B$4)+1&lt;=AX$3-Projects!$C$34+1))),0)+IF(AND(Projects!$G$40="Yes",Projects!$F$40="Yes",AX$3&gt;=Projects!$C$40,AX$3&lt;Projects!$C$40+Projects!$D$40),Projects!$B$40*(1-SUMPRODUCT((Curves!$B$4:$AR$4)*(COLUMN(Curves!$B$4:$AR$4)-COLUMN(Curves!$B$4)+1&lt;=AX$3-Projects!$C$40+1))),0)+IF(AND(Projects!$G$46="Yes",Projects!$F$46="Yes",AX$3&gt;=Projects!$C$46,AX$3&lt;Projects!$C$46+Projects!$D$46),Projects!$B$46*(1-SUMPRODUCT((Curves!$B$4:$AR$4)*(COLUMN(Curves!$B$4:$AR$4)-COLUMN(Curves!$B$4)+1&lt;=AX$3-Projects!$C$46+1))),0)</f>
        <v>11831250</v>
      </c>
      <c r="AY351" s="13" t="n">
        <f aca="false">IF(AND(Projects!$G$17="Yes",Projects!$F$17="Yes",AY$3&gt;=Projects!$C$17,AY$3&lt;Projects!$C$17+Projects!$D$17),Projects!$B$17*(1-SUMPRODUCT((Curves!$B$4:$AR$4)*(COLUMN(Curves!$B$4:$AR$4)-COLUMN(Curves!$B$4)+1&lt;=AY$3-Projects!$C$17+1))),0)+IF(AND(Projects!$G$18="Yes",Projects!$F$18="Yes",AY$3&gt;=Projects!$C$18,AY$3&lt;Projects!$C$18+Projects!$D$18),Projects!$B$18*(1-SUMPRODUCT((Curves!$B$4:$AR$4)*(COLUMN(Curves!$B$4:$AR$4)-COLUMN(Curves!$B$4)+1&lt;=AY$3-Projects!$C$18+1))),0)+IF(AND(Projects!$G$19="Yes",Projects!$F$19="Yes",AY$3&gt;=Projects!$C$19,AY$3&lt;Projects!$C$19+Projects!$D$19),Projects!$B$19*(1-SUMPRODUCT((Curves!$B$4:$AR$4)*(COLUMN(Curves!$B$4:$AR$4)-COLUMN(Curves!$B$4)+1&lt;=AY$3-Projects!$C$19+1))),0)+IF(AND(Projects!$G$23="Yes",Projects!$F$23="Yes",AY$3&gt;=Projects!$C$23,AY$3&lt;Projects!$C$23+Projects!$D$23),Projects!$B$23*(1-SUMPRODUCT((Curves!$B$4:$AR$4)*(COLUMN(Curves!$B$4:$AR$4)-COLUMN(Curves!$B$4)+1&lt;=AY$3-Projects!$C$23+1))),0)+IF(AND(Projects!$G$28="Yes",Projects!$F$28="Yes",AY$3&gt;=Projects!$C$28,AY$3&lt;Projects!$C$28+Projects!$D$28),Projects!$B$28*(1-SUMPRODUCT((Curves!$B$4:$AR$4)*(COLUMN(Curves!$B$4:$AR$4)-COLUMN(Curves!$B$4)+1&lt;=AY$3-Projects!$C$28+1))),0)+IF(AND(Projects!$G$34="Yes",Projects!$F$34="Yes",AY$3&gt;=Projects!$C$34,AY$3&lt;Projects!$C$34+Projects!$D$34),Projects!$B$34*(1-SUMPRODUCT((Curves!$B$4:$AR$4)*(COLUMN(Curves!$B$4:$AR$4)-COLUMN(Curves!$B$4)+1&lt;=AY$3-Projects!$C$34+1))),0)+IF(AND(Projects!$G$40="Yes",Projects!$F$40="Yes",AY$3&gt;=Projects!$C$40,AY$3&lt;Projects!$C$40+Projects!$D$40),Projects!$B$40*(1-SUMPRODUCT((Curves!$B$4:$AR$4)*(COLUMN(Curves!$B$4:$AR$4)-COLUMN(Curves!$B$4)+1&lt;=AY$3-Projects!$C$40+1))),0)+IF(AND(Projects!$G$46="Yes",Projects!$F$46="Yes",AY$3&gt;=Projects!$C$46,AY$3&lt;Projects!$C$46+Projects!$D$46),Projects!$B$46*(1-SUMPRODUCT((Curves!$B$4:$AR$4)*(COLUMN(Curves!$B$4:$AR$4)-COLUMN(Curves!$B$4)+1&lt;=AY$3-Projects!$C$46+1))),0)</f>
        <v>9827730</v>
      </c>
      <c r="AZ351" s="13" t="n">
        <f aca="false">IF(AND(Projects!$G$17="Yes",Projects!$F$17="Yes",AZ$3&gt;=Projects!$C$17,AZ$3&lt;Projects!$C$17+Projects!$D$17),Projects!$B$17*(1-SUMPRODUCT((Curves!$B$4:$AR$4)*(COLUMN(Curves!$B$4:$AR$4)-COLUMN(Curves!$B$4)+1&lt;=AZ$3-Projects!$C$17+1))),0)+IF(AND(Projects!$G$18="Yes",Projects!$F$18="Yes",AZ$3&gt;=Projects!$C$18,AZ$3&lt;Projects!$C$18+Projects!$D$18),Projects!$B$18*(1-SUMPRODUCT((Curves!$B$4:$AR$4)*(COLUMN(Curves!$B$4:$AR$4)-COLUMN(Curves!$B$4)+1&lt;=AZ$3-Projects!$C$18+1))),0)+IF(AND(Projects!$G$19="Yes",Projects!$F$19="Yes",AZ$3&gt;=Projects!$C$19,AZ$3&lt;Projects!$C$19+Projects!$D$19),Projects!$B$19*(1-SUMPRODUCT((Curves!$B$4:$AR$4)*(COLUMN(Curves!$B$4:$AR$4)-COLUMN(Curves!$B$4)+1&lt;=AZ$3-Projects!$C$19+1))),0)+IF(AND(Projects!$G$23="Yes",Projects!$F$23="Yes",AZ$3&gt;=Projects!$C$23,AZ$3&lt;Projects!$C$23+Projects!$D$23),Projects!$B$23*(1-SUMPRODUCT((Curves!$B$4:$AR$4)*(COLUMN(Curves!$B$4:$AR$4)-COLUMN(Curves!$B$4)+1&lt;=AZ$3-Projects!$C$23+1))),0)+IF(AND(Projects!$G$28="Yes",Projects!$F$28="Yes",AZ$3&gt;=Projects!$C$28,AZ$3&lt;Projects!$C$28+Projects!$D$28),Projects!$B$28*(1-SUMPRODUCT((Curves!$B$4:$AR$4)*(COLUMN(Curves!$B$4:$AR$4)-COLUMN(Curves!$B$4)+1&lt;=AZ$3-Projects!$C$28+1))),0)+IF(AND(Projects!$G$34="Yes",Projects!$F$34="Yes",AZ$3&gt;=Projects!$C$34,AZ$3&lt;Projects!$C$34+Projects!$D$34),Projects!$B$34*(1-SUMPRODUCT((Curves!$B$4:$AR$4)*(COLUMN(Curves!$B$4:$AR$4)-COLUMN(Curves!$B$4)+1&lt;=AZ$3-Projects!$C$34+1))),0)+IF(AND(Projects!$G$40="Yes",Projects!$F$40="Yes",AZ$3&gt;=Projects!$C$40,AZ$3&lt;Projects!$C$40+Projects!$D$40),Projects!$B$40*(1-SUMPRODUCT((Curves!$B$4:$AR$4)*(COLUMN(Curves!$B$4:$AR$4)-COLUMN(Curves!$B$4)+1&lt;=AZ$3-Projects!$C$40+1))),0)+IF(AND(Projects!$G$46="Yes",Projects!$F$46="Yes",AZ$3&gt;=Projects!$C$46,AZ$3&lt;Projects!$C$46+Projects!$D$46),Projects!$B$46*(1-SUMPRODUCT((Curves!$B$4:$AR$4)*(COLUMN(Curves!$B$4:$AR$4)-COLUMN(Curves!$B$4)+1&lt;=AZ$3-Projects!$C$46+1))),0)</f>
        <v>7944324</v>
      </c>
      <c r="BA351" s="13" t="n">
        <f aca="false">IF(AND(Projects!$G$17="Yes",Projects!$F$17="Yes",BA$3&gt;=Projects!$C$17,BA$3&lt;Projects!$C$17+Projects!$D$17),Projects!$B$17*(1-SUMPRODUCT((Curves!$B$4:$AR$4)*(COLUMN(Curves!$B$4:$AR$4)-COLUMN(Curves!$B$4)+1&lt;=BA$3-Projects!$C$17+1))),0)+IF(AND(Projects!$G$18="Yes",Projects!$F$18="Yes",BA$3&gt;=Projects!$C$18,BA$3&lt;Projects!$C$18+Projects!$D$18),Projects!$B$18*(1-SUMPRODUCT((Curves!$B$4:$AR$4)*(COLUMN(Curves!$B$4:$AR$4)-COLUMN(Curves!$B$4)+1&lt;=BA$3-Projects!$C$18+1))),0)+IF(AND(Projects!$G$19="Yes",Projects!$F$19="Yes",BA$3&gt;=Projects!$C$19,BA$3&lt;Projects!$C$19+Projects!$D$19),Projects!$B$19*(1-SUMPRODUCT((Curves!$B$4:$AR$4)*(COLUMN(Curves!$B$4:$AR$4)-COLUMN(Curves!$B$4)+1&lt;=BA$3-Projects!$C$19+1))),0)+IF(AND(Projects!$G$23="Yes",Projects!$F$23="Yes",BA$3&gt;=Projects!$C$23,BA$3&lt;Projects!$C$23+Projects!$D$23),Projects!$B$23*(1-SUMPRODUCT((Curves!$B$4:$AR$4)*(COLUMN(Curves!$B$4:$AR$4)-COLUMN(Curves!$B$4)+1&lt;=BA$3-Projects!$C$23+1))),0)+IF(AND(Projects!$G$28="Yes",Projects!$F$28="Yes",BA$3&gt;=Projects!$C$28,BA$3&lt;Projects!$C$28+Projects!$D$28),Projects!$B$28*(1-SUMPRODUCT((Curves!$B$4:$AR$4)*(COLUMN(Curves!$B$4:$AR$4)-COLUMN(Curves!$B$4)+1&lt;=BA$3-Projects!$C$28+1))),0)+IF(AND(Projects!$G$34="Yes",Projects!$F$34="Yes",BA$3&gt;=Projects!$C$34,BA$3&lt;Projects!$C$34+Projects!$D$34),Projects!$B$34*(1-SUMPRODUCT((Curves!$B$4:$AR$4)*(COLUMN(Curves!$B$4:$AR$4)-COLUMN(Curves!$B$4)+1&lt;=BA$3-Projects!$C$34+1))),0)+IF(AND(Projects!$G$40="Yes",Projects!$F$40="Yes",BA$3&gt;=Projects!$C$40,BA$3&lt;Projects!$C$40+Projects!$D$40),Projects!$B$40*(1-SUMPRODUCT((Curves!$B$4:$AR$4)*(COLUMN(Curves!$B$4:$AR$4)-COLUMN(Curves!$B$4)+1&lt;=BA$3-Projects!$C$40+1))),0)+IF(AND(Projects!$G$46="Yes",Projects!$F$46="Yes",BA$3&gt;=Projects!$C$46,BA$3&lt;Projects!$C$46+Projects!$D$46),Projects!$B$46*(1-SUMPRODUCT((Curves!$B$4:$AR$4)*(COLUMN(Curves!$B$4:$AR$4)-COLUMN(Curves!$B$4)+1&lt;=BA$3-Projects!$C$46+1))),0)</f>
        <v>6209037</v>
      </c>
      <c r="BB351" s="13" t="n">
        <f aca="false">IF(AND(Projects!$G$17="Yes",Projects!$F$17="Yes",BB$3&gt;=Projects!$C$17,BB$3&lt;Projects!$C$17+Projects!$D$17),Projects!$B$17*(1-SUMPRODUCT((Curves!$B$4:$AR$4)*(COLUMN(Curves!$B$4:$AR$4)-COLUMN(Curves!$B$4)+1&lt;=BB$3-Projects!$C$17+1))),0)+IF(AND(Projects!$G$18="Yes",Projects!$F$18="Yes",BB$3&gt;=Projects!$C$18,BB$3&lt;Projects!$C$18+Projects!$D$18),Projects!$B$18*(1-SUMPRODUCT((Curves!$B$4:$AR$4)*(COLUMN(Curves!$B$4:$AR$4)-COLUMN(Curves!$B$4)+1&lt;=BB$3-Projects!$C$18+1))),0)+IF(AND(Projects!$G$19="Yes",Projects!$F$19="Yes",BB$3&gt;=Projects!$C$19,BB$3&lt;Projects!$C$19+Projects!$D$19),Projects!$B$19*(1-SUMPRODUCT((Curves!$B$4:$AR$4)*(COLUMN(Curves!$B$4:$AR$4)-COLUMN(Curves!$B$4)+1&lt;=BB$3-Projects!$C$19+1))),0)+IF(AND(Projects!$G$23="Yes",Projects!$F$23="Yes",BB$3&gt;=Projects!$C$23,BB$3&lt;Projects!$C$23+Projects!$D$23),Projects!$B$23*(1-SUMPRODUCT((Curves!$B$4:$AR$4)*(COLUMN(Curves!$B$4:$AR$4)-COLUMN(Curves!$B$4)+1&lt;=BB$3-Projects!$C$23+1))),0)+IF(AND(Projects!$G$28="Yes",Projects!$F$28="Yes",BB$3&gt;=Projects!$C$28,BB$3&lt;Projects!$C$28+Projects!$D$28),Projects!$B$28*(1-SUMPRODUCT((Curves!$B$4:$AR$4)*(COLUMN(Curves!$B$4:$AR$4)-COLUMN(Curves!$B$4)+1&lt;=BB$3-Projects!$C$28+1))),0)+IF(AND(Projects!$G$34="Yes",Projects!$F$34="Yes",BB$3&gt;=Projects!$C$34,BB$3&lt;Projects!$C$34+Projects!$D$34),Projects!$B$34*(1-SUMPRODUCT((Curves!$B$4:$AR$4)*(COLUMN(Curves!$B$4:$AR$4)-COLUMN(Curves!$B$4)+1&lt;=BB$3-Projects!$C$34+1))),0)+IF(AND(Projects!$G$40="Yes",Projects!$F$40="Yes",BB$3&gt;=Projects!$C$40,BB$3&lt;Projects!$C$40+Projects!$D$40),Projects!$B$40*(1-SUMPRODUCT((Curves!$B$4:$AR$4)*(COLUMN(Curves!$B$4:$AR$4)-COLUMN(Curves!$B$4)+1&lt;=BB$3-Projects!$C$40+1))),0)+IF(AND(Projects!$G$46="Yes",Projects!$F$46="Yes",BB$3&gt;=Projects!$C$46,BB$3&lt;Projects!$C$46+Projects!$D$46),Projects!$B$46*(1-SUMPRODUCT((Curves!$B$4:$AR$4)*(COLUMN(Curves!$B$4:$AR$4)-COLUMN(Curves!$B$4)+1&lt;=BB$3-Projects!$C$46+1))),0)</f>
        <v>19244661</v>
      </c>
      <c r="BC351" s="13" t="n">
        <f aca="false">IF(AND(Projects!$G$17="Yes",Projects!$F$17="Yes",BC$3&gt;=Projects!$C$17,BC$3&lt;Projects!$C$17+Projects!$D$17),Projects!$B$17*(1-SUMPRODUCT((Curves!$B$4:$AR$4)*(COLUMN(Curves!$B$4:$AR$4)-COLUMN(Curves!$B$4)+1&lt;=BC$3-Projects!$C$17+1))),0)+IF(AND(Projects!$G$18="Yes",Projects!$F$18="Yes",BC$3&gt;=Projects!$C$18,BC$3&lt;Projects!$C$18+Projects!$D$18),Projects!$B$18*(1-SUMPRODUCT((Curves!$B$4:$AR$4)*(COLUMN(Curves!$B$4:$AR$4)-COLUMN(Curves!$B$4)+1&lt;=BC$3-Projects!$C$18+1))),0)+IF(AND(Projects!$G$19="Yes",Projects!$F$19="Yes",BC$3&gt;=Projects!$C$19,BC$3&lt;Projects!$C$19+Projects!$D$19),Projects!$B$19*(1-SUMPRODUCT((Curves!$B$4:$AR$4)*(COLUMN(Curves!$B$4:$AR$4)-COLUMN(Curves!$B$4)+1&lt;=BC$3-Projects!$C$19+1))),0)+IF(AND(Projects!$G$23="Yes",Projects!$F$23="Yes",BC$3&gt;=Projects!$C$23,BC$3&lt;Projects!$C$23+Projects!$D$23),Projects!$B$23*(1-SUMPRODUCT((Curves!$B$4:$AR$4)*(COLUMN(Curves!$B$4:$AR$4)-COLUMN(Curves!$B$4)+1&lt;=BC$3-Projects!$C$23+1))),0)+IF(AND(Projects!$G$28="Yes",Projects!$F$28="Yes",BC$3&gt;=Projects!$C$28,BC$3&lt;Projects!$C$28+Projects!$D$28),Projects!$B$28*(1-SUMPRODUCT((Curves!$B$4:$AR$4)*(COLUMN(Curves!$B$4:$AR$4)-COLUMN(Curves!$B$4)+1&lt;=BC$3-Projects!$C$28+1))),0)+IF(AND(Projects!$G$34="Yes",Projects!$F$34="Yes",BC$3&gt;=Projects!$C$34,BC$3&lt;Projects!$C$34+Projects!$D$34),Projects!$B$34*(1-SUMPRODUCT((Curves!$B$4:$AR$4)*(COLUMN(Curves!$B$4:$AR$4)-COLUMN(Curves!$B$4)+1&lt;=BC$3-Projects!$C$34+1))),0)+IF(AND(Projects!$G$40="Yes",Projects!$F$40="Yes",BC$3&gt;=Projects!$C$40,BC$3&lt;Projects!$C$40+Projects!$D$40),Projects!$B$40*(1-SUMPRODUCT((Curves!$B$4:$AR$4)*(COLUMN(Curves!$B$4:$AR$4)-COLUMN(Curves!$B$4)+1&lt;=BC$3-Projects!$C$40+1))),0)+IF(AND(Projects!$G$46="Yes",Projects!$F$46="Yes",BC$3&gt;=Projects!$C$46,BC$3&lt;Projects!$C$46+Projects!$D$46),Projects!$B$46*(1-SUMPRODUCT((Curves!$B$4:$AR$4)*(COLUMN(Curves!$B$4:$AR$4)-COLUMN(Curves!$B$4)+1&lt;=BC$3-Projects!$C$46+1))),0)</f>
        <v>17681850</v>
      </c>
      <c r="BD351" s="13" t="n">
        <f aca="false">IF(AND(Projects!$G$17="Yes",Projects!$F$17="Yes",BD$3&gt;=Projects!$C$17,BD$3&lt;Projects!$C$17+Projects!$D$17),Projects!$B$17*(1-SUMPRODUCT((Curves!$B$4:$AR$4)*(COLUMN(Curves!$B$4:$AR$4)-COLUMN(Curves!$B$4)+1&lt;=BD$3-Projects!$C$17+1))),0)+IF(AND(Projects!$G$18="Yes",Projects!$F$18="Yes",BD$3&gt;=Projects!$C$18,BD$3&lt;Projects!$C$18+Projects!$D$18),Projects!$B$18*(1-SUMPRODUCT((Curves!$B$4:$AR$4)*(COLUMN(Curves!$B$4:$AR$4)-COLUMN(Curves!$B$4)+1&lt;=BD$3-Projects!$C$18+1))),0)+IF(AND(Projects!$G$19="Yes",Projects!$F$19="Yes",BD$3&gt;=Projects!$C$19,BD$3&lt;Projects!$C$19+Projects!$D$19),Projects!$B$19*(1-SUMPRODUCT((Curves!$B$4:$AR$4)*(COLUMN(Curves!$B$4:$AR$4)-COLUMN(Curves!$B$4)+1&lt;=BD$3-Projects!$C$19+1))),0)+IF(AND(Projects!$G$23="Yes",Projects!$F$23="Yes",BD$3&gt;=Projects!$C$23,BD$3&lt;Projects!$C$23+Projects!$D$23),Projects!$B$23*(1-SUMPRODUCT((Curves!$B$4:$AR$4)*(COLUMN(Curves!$B$4:$AR$4)-COLUMN(Curves!$B$4)+1&lt;=BD$3-Projects!$C$23+1))),0)+IF(AND(Projects!$G$28="Yes",Projects!$F$28="Yes",BD$3&gt;=Projects!$C$28,BD$3&lt;Projects!$C$28+Projects!$D$28),Projects!$B$28*(1-SUMPRODUCT((Curves!$B$4:$AR$4)*(COLUMN(Curves!$B$4:$AR$4)-COLUMN(Curves!$B$4)+1&lt;=BD$3-Projects!$C$28+1))),0)+IF(AND(Projects!$G$34="Yes",Projects!$F$34="Yes",BD$3&gt;=Projects!$C$34,BD$3&lt;Projects!$C$34+Projects!$D$34),Projects!$B$34*(1-SUMPRODUCT((Curves!$B$4:$AR$4)*(COLUMN(Curves!$B$4:$AR$4)-COLUMN(Curves!$B$4)+1&lt;=BD$3-Projects!$C$34+1))),0)+IF(AND(Projects!$G$40="Yes",Projects!$F$40="Yes",BD$3&gt;=Projects!$C$40,BD$3&lt;Projects!$C$40+Projects!$D$40),Projects!$B$40*(1-SUMPRODUCT((Curves!$B$4:$AR$4)*(COLUMN(Curves!$B$4:$AR$4)-COLUMN(Curves!$B$4)+1&lt;=BD$3-Projects!$C$40+1))),0)+IF(AND(Projects!$G$46="Yes",Projects!$F$46="Yes",BD$3&gt;=Projects!$C$46,BD$3&lt;Projects!$C$46+Projects!$D$46),Projects!$B$46*(1-SUMPRODUCT((Curves!$B$4:$AR$4)*(COLUMN(Curves!$B$4:$AR$4)-COLUMN(Curves!$B$4)+1&lt;=BD$3-Projects!$C$46+1))),0)</f>
        <v>16131696</v>
      </c>
      <c r="BE351" s="13" t="n">
        <f aca="false">IF(AND(Projects!$G$17="Yes",Projects!$F$17="Yes",BE$3&gt;=Projects!$C$17,BE$3&lt;Projects!$C$17+Projects!$D$17),Projects!$B$17*(1-SUMPRODUCT((Curves!$B$4:$AR$4)*(COLUMN(Curves!$B$4:$AR$4)-COLUMN(Curves!$B$4)+1&lt;=BE$3-Projects!$C$17+1))),0)+IF(AND(Projects!$G$18="Yes",Projects!$F$18="Yes",BE$3&gt;=Projects!$C$18,BE$3&lt;Projects!$C$18+Projects!$D$18),Projects!$B$18*(1-SUMPRODUCT((Curves!$B$4:$AR$4)*(COLUMN(Curves!$B$4:$AR$4)-COLUMN(Curves!$B$4)+1&lt;=BE$3-Projects!$C$18+1))),0)+IF(AND(Projects!$G$19="Yes",Projects!$F$19="Yes",BE$3&gt;=Projects!$C$19,BE$3&lt;Projects!$C$19+Projects!$D$19),Projects!$B$19*(1-SUMPRODUCT((Curves!$B$4:$AR$4)*(COLUMN(Curves!$B$4:$AR$4)-COLUMN(Curves!$B$4)+1&lt;=BE$3-Projects!$C$19+1))),0)+IF(AND(Projects!$G$23="Yes",Projects!$F$23="Yes",BE$3&gt;=Projects!$C$23,BE$3&lt;Projects!$C$23+Projects!$D$23),Projects!$B$23*(1-SUMPRODUCT((Curves!$B$4:$AR$4)*(COLUMN(Curves!$B$4:$AR$4)-COLUMN(Curves!$B$4)+1&lt;=BE$3-Projects!$C$23+1))),0)+IF(AND(Projects!$G$28="Yes",Projects!$F$28="Yes",BE$3&gt;=Projects!$C$28,BE$3&lt;Projects!$C$28+Projects!$D$28),Projects!$B$28*(1-SUMPRODUCT((Curves!$B$4:$AR$4)*(COLUMN(Curves!$B$4:$AR$4)-COLUMN(Curves!$B$4)+1&lt;=BE$3-Projects!$C$28+1))),0)+IF(AND(Projects!$G$34="Yes",Projects!$F$34="Yes",BE$3&gt;=Projects!$C$34,BE$3&lt;Projects!$C$34+Projects!$D$34),Projects!$B$34*(1-SUMPRODUCT((Curves!$B$4:$AR$4)*(COLUMN(Curves!$B$4:$AR$4)-COLUMN(Curves!$B$4)+1&lt;=BE$3-Projects!$C$34+1))),0)+IF(AND(Projects!$G$40="Yes",Projects!$F$40="Yes",BE$3&gt;=Projects!$C$40,BE$3&lt;Projects!$C$40+Projects!$D$40),Projects!$B$40*(1-SUMPRODUCT((Curves!$B$4:$AR$4)*(COLUMN(Curves!$B$4:$AR$4)-COLUMN(Curves!$B$4)+1&lt;=BE$3-Projects!$C$40+1))),0)+IF(AND(Projects!$G$46="Yes",Projects!$F$46="Yes",BE$3&gt;=Projects!$C$46,BE$3&lt;Projects!$C$46+Projects!$D$46),Projects!$B$46*(1-SUMPRODUCT((Curves!$B$4:$AR$4)*(COLUMN(Curves!$B$4:$AR$4)-COLUMN(Curves!$B$4)+1&lt;=BE$3-Projects!$C$46+1))),0)</f>
        <v>14600100</v>
      </c>
      <c r="BF351" s="13" t="n">
        <f aca="false">IF(AND(Projects!$G$17="Yes",Projects!$F$17="Yes",BF$3&gt;=Projects!$C$17,BF$3&lt;Projects!$C$17+Projects!$D$17),Projects!$B$17*(1-SUMPRODUCT((Curves!$B$4:$AR$4)*(COLUMN(Curves!$B$4:$AR$4)-COLUMN(Curves!$B$4)+1&lt;=BF$3-Projects!$C$17+1))),0)+IF(AND(Projects!$G$18="Yes",Projects!$F$18="Yes",BF$3&gt;=Projects!$C$18,BF$3&lt;Projects!$C$18+Projects!$D$18),Projects!$B$18*(1-SUMPRODUCT((Curves!$B$4:$AR$4)*(COLUMN(Curves!$B$4:$AR$4)-COLUMN(Curves!$B$4)+1&lt;=BF$3-Projects!$C$18+1))),0)+IF(AND(Projects!$G$19="Yes",Projects!$F$19="Yes",BF$3&gt;=Projects!$C$19,BF$3&lt;Projects!$C$19+Projects!$D$19),Projects!$B$19*(1-SUMPRODUCT((Curves!$B$4:$AR$4)*(COLUMN(Curves!$B$4:$AR$4)-COLUMN(Curves!$B$4)+1&lt;=BF$3-Projects!$C$19+1))),0)+IF(AND(Projects!$G$23="Yes",Projects!$F$23="Yes",BF$3&gt;=Projects!$C$23,BF$3&lt;Projects!$C$23+Projects!$D$23),Projects!$B$23*(1-SUMPRODUCT((Curves!$B$4:$AR$4)*(COLUMN(Curves!$B$4:$AR$4)-COLUMN(Curves!$B$4)+1&lt;=BF$3-Projects!$C$23+1))),0)+IF(AND(Projects!$G$28="Yes",Projects!$F$28="Yes",BF$3&gt;=Projects!$C$28,BF$3&lt;Projects!$C$28+Projects!$D$28),Projects!$B$28*(1-SUMPRODUCT((Curves!$B$4:$AR$4)*(COLUMN(Curves!$B$4:$AR$4)-COLUMN(Curves!$B$4)+1&lt;=BF$3-Projects!$C$28+1))),0)+IF(AND(Projects!$G$34="Yes",Projects!$F$34="Yes",BF$3&gt;=Projects!$C$34,BF$3&lt;Projects!$C$34+Projects!$D$34),Projects!$B$34*(1-SUMPRODUCT((Curves!$B$4:$AR$4)*(COLUMN(Curves!$B$4:$AR$4)-COLUMN(Curves!$B$4)+1&lt;=BF$3-Projects!$C$34+1))),0)+IF(AND(Projects!$G$40="Yes",Projects!$F$40="Yes",BF$3&gt;=Projects!$C$40,BF$3&lt;Projects!$C$40+Projects!$D$40),Projects!$B$40*(1-SUMPRODUCT((Curves!$B$4:$AR$4)*(COLUMN(Curves!$B$4:$AR$4)-COLUMN(Curves!$B$4)+1&lt;=BF$3-Projects!$C$40+1))),0)+IF(AND(Projects!$G$46="Yes",Projects!$F$46="Yes",BF$3&gt;=Projects!$C$46,BF$3&lt;Projects!$C$46+Projects!$D$46),Projects!$B$46*(1-SUMPRODUCT((Curves!$B$4:$AR$4)*(COLUMN(Curves!$B$4:$AR$4)-COLUMN(Curves!$B$4)+1&lt;=BF$3-Projects!$C$46+1))),0)</f>
        <v>13091154</v>
      </c>
      <c r="BG351" s="13" t="n">
        <f aca="false">IF(AND(Projects!$G$17="Yes",Projects!$F$17="Yes",BG$3&gt;=Projects!$C$17,BG$3&lt;Projects!$C$17+Projects!$D$17),Projects!$B$17*(1-SUMPRODUCT((Curves!$B$4:$AR$4)*(COLUMN(Curves!$B$4:$AR$4)-COLUMN(Curves!$B$4)+1&lt;=BG$3-Projects!$C$17+1))),0)+IF(AND(Projects!$G$18="Yes",Projects!$F$18="Yes",BG$3&gt;=Projects!$C$18,BG$3&lt;Projects!$C$18+Projects!$D$18),Projects!$B$18*(1-SUMPRODUCT((Curves!$B$4:$AR$4)*(COLUMN(Curves!$B$4:$AR$4)-COLUMN(Curves!$B$4)+1&lt;=BG$3-Projects!$C$18+1))),0)+IF(AND(Projects!$G$19="Yes",Projects!$F$19="Yes",BG$3&gt;=Projects!$C$19,BG$3&lt;Projects!$C$19+Projects!$D$19),Projects!$B$19*(1-SUMPRODUCT((Curves!$B$4:$AR$4)*(COLUMN(Curves!$B$4:$AR$4)-COLUMN(Curves!$B$4)+1&lt;=BG$3-Projects!$C$19+1))),0)+IF(AND(Projects!$G$23="Yes",Projects!$F$23="Yes",BG$3&gt;=Projects!$C$23,BG$3&lt;Projects!$C$23+Projects!$D$23),Projects!$B$23*(1-SUMPRODUCT((Curves!$B$4:$AR$4)*(COLUMN(Curves!$B$4:$AR$4)-COLUMN(Curves!$B$4)+1&lt;=BG$3-Projects!$C$23+1))),0)+IF(AND(Projects!$G$28="Yes",Projects!$F$28="Yes",BG$3&gt;=Projects!$C$28,BG$3&lt;Projects!$C$28+Projects!$D$28),Projects!$B$28*(1-SUMPRODUCT((Curves!$B$4:$AR$4)*(COLUMN(Curves!$B$4:$AR$4)-COLUMN(Curves!$B$4)+1&lt;=BG$3-Projects!$C$28+1))),0)+IF(AND(Projects!$G$34="Yes",Projects!$F$34="Yes",BG$3&gt;=Projects!$C$34,BG$3&lt;Projects!$C$34+Projects!$D$34),Projects!$B$34*(1-SUMPRODUCT((Curves!$B$4:$AR$4)*(COLUMN(Curves!$B$4:$AR$4)-COLUMN(Curves!$B$4)+1&lt;=BG$3-Projects!$C$34+1))),0)+IF(AND(Projects!$G$40="Yes",Projects!$F$40="Yes",BG$3&gt;=Projects!$C$40,BG$3&lt;Projects!$C$40+Projects!$D$40),Projects!$B$40*(1-SUMPRODUCT((Curves!$B$4:$AR$4)*(COLUMN(Curves!$B$4:$AR$4)-COLUMN(Curves!$B$4)+1&lt;=BG$3-Projects!$C$40+1))),0)+IF(AND(Projects!$G$46="Yes",Projects!$F$46="Yes",BG$3&gt;=Projects!$C$46,BG$3&lt;Projects!$C$46+Projects!$D$46),Projects!$B$46*(1-SUMPRODUCT((Curves!$B$4:$AR$4)*(COLUMN(Curves!$B$4:$AR$4)-COLUMN(Curves!$B$4)+1&lt;=BG$3-Projects!$C$46+1))),0)</f>
        <v>11608626</v>
      </c>
      <c r="BH351" s="13" t="n">
        <f aca="false">IF(AND(Projects!$G$17="Yes",Projects!$F$17="Yes",BH$3&gt;=Projects!$C$17,BH$3&lt;Projects!$C$17+Projects!$D$17),Projects!$B$17*(1-SUMPRODUCT((Curves!$B$4:$AR$4)*(COLUMN(Curves!$B$4:$AR$4)-COLUMN(Curves!$B$4)+1&lt;=BH$3-Projects!$C$17+1))),0)+IF(AND(Projects!$G$18="Yes",Projects!$F$18="Yes",BH$3&gt;=Projects!$C$18,BH$3&lt;Projects!$C$18+Projects!$D$18),Projects!$B$18*(1-SUMPRODUCT((Curves!$B$4:$AR$4)*(COLUMN(Curves!$B$4:$AR$4)-COLUMN(Curves!$B$4)+1&lt;=BH$3-Projects!$C$18+1))),0)+IF(AND(Projects!$G$19="Yes",Projects!$F$19="Yes",BH$3&gt;=Projects!$C$19,BH$3&lt;Projects!$C$19+Projects!$D$19),Projects!$B$19*(1-SUMPRODUCT((Curves!$B$4:$AR$4)*(COLUMN(Curves!$B$4:$AR$4)-COLUMN(Curves!$B$4)+1&lt;=BH$3-Projects!$C$19+1))),0)+IF(AND(Projects!$G$23="Yes",Projects!$F$23="Yes",BH$3&gt;=Projects!$C$23,BH$3&lt;Projects!$C$23+Projects!$D$23),Projects!$B$23*(1-SUMPRODUCT((Curves!$B$4:$AR$4)*(COLUMN(Curves!$B$4:$AR$4)-COLUMN(Curves!$B$4)+1&lt;=BH$3-Projects!$C$23+1))),0)+IF(AND(Projects!$G$28="Yes",Projects!$F$28="Yes",BH$3&gt;=Projects!$C$28,BH$3&lt;Projects!$C$28+Projects!$D$28),Projects!$B$28*(1-SUMPRODUCT((Curves!$B$4:$AR$4)*(COLUMN(Curves!$B$4:$AR$4)-COLUMN(Curves!$B$4)+1&lt;=BH$3-Projects!$C$28+1))),0)+IF(AND(Projects!$G$34="Yes",Projects!$F$34="Yes",BH$3&gt;=Projects!$C$34,BH$3&lt;Projects!$C$34+Projects!$D$34),Projects!$B$34*(1-SUMPRODUCT((Curves!$B$4:$AR$4)*(COLUMN(Curves!$B$4:$AR$4)-COLUMN(Curves!$B$4)+1&lt;=BH$3-Projects!$C$34+1))),0)+IF(AND(Projects!$G$40="Yes",Projects!$F$40="Yes",BH$3&gt;=Projects!$C$40,BH$3&lt;Projects!$C$40+Projects!$D$40),Projects!$B$40*(1-SUMPRODUCT((Curves!$B$4:$AR$4)*(COLUMN(Curves!$B$4:$AR$4)-COLUMN(Curves!$B$4)+1&lt;=BH$3-Projects!$C$40+1))),0)+IF(AND(Projects!$G$46="Yes",Projects!$F$46="Yes",BH$3&gt;=Projects!$C$46,BH$3&lt;Projects!$C$46+Projects!$D$46),Projects!$B$46*(1-SUMPRODUCT((Curves!$B$4:$AR$4)*(COLUMN(Curves!$B$4:$AR$4)-COLUMN(Curves!$B$4)+1&lt;=BH$3-Projects!$C$46+1))),0)</f>
        <v>24759510</v>
      </c>
      <c r="BI351" s="13" t="n">
        <f aca="false">IF(AND(Projects!$G$17="Yes",Projects!$F$17="Yes",BI$3&gt;=Projects!$C$17,BI$3&lt;Projects!$C$17+Projects!$D$17),Projects!$B$17*(1-SUMPRODUCT((Curves!$B$4:$AR$4)*(COLUMN(Curves!$B$4:$AR$4)-COLUMN(Curves!$B$4)+1&lt;=BI$3-Projects!$C$17+1))),0)+IF(AND(Projects!$G$18="Yes",Projects!$F$18="Yes",BI$3&gt;=Projects!$C$18,BI$3&lt;Projects!$C$18+Projects!$D$18),Projects!$B$18*(1-SUMPRODUCT((Curves!$B$4:$AR$4)*(COLUMN(Curves!$B$4:$AR$4)-COLUMN(Curves!$B$4)+1&lt;=BI$3-Projects!$C$18+1))),0)+IF(AND(Projects!$G$19="Yes",Projects!$F$19="Yes",BI$3&gt;=Projects!$C$19,BI$3&lt;Projects!$C$19+Projects!$D$19),Projects!$B$19*(1-SUMPRODUCT((Curves!$B$4:$AR$4)*(COLUMN(Curves!$B$4:$AR$4)-COLUMN(Curves!$B$4)+1&lt;=BI$3-Projects!$C$19+1))),0)+IF(AND(Projects!$G$23="Yes",Projects!$F$23="Yes",BI$3&gt;=Projects!$C$23,BI$3&lt;Projects!$C$23+Projects!$D$23),Projects!$B$23*(1-SUMPRODUCT((Curves!$B$4:$AR$4)*(COLUMN(Curves!$B$4:$AR$4)-COLUMN(Curves!$B$4)+1&lt;=BI$3-Projects!$C$23+1))),0)+IF(AND(Projects!$G$28="Yes",Projects!$F$28="Yes",BI$3&gt;=Projects!$C$28,BI$3&lt;Projects!$C$28+Projects!$D$28),Projects!$B$28*(1-SUMPRODUCT((Curves!$B$4:$AR$4)*(COLUMN(Curves!$B$4:$AR$4)-COLUMN(Curves!$B$4)+1&lt;=BI$3-Projects!$C$28+1))),0)+IF(AND(Projects!$G$34="Yes",Projects!$F$34="Yes",BI$3&gt;=Projects!$C$34,BI$3&lt;Projects!$C$34+Projects!$D$34),Projects!$B$34*(1-SUMPRODUCT((Curves!$B$4:$AR$4)*(COLUMN(Curves!$B$4:$AR$4)-COLUMN(Curves!$B$4)+1&lt;=BI$3-Projects!$C$34+1))),0)+IF(AND(Projects!$G$40="Yes",Projects!$F$40="Yes",BI$3&gt;=Projects!$C$40,BI$3&lt;Projects!$C$40+Projects!$D$40),Projects!$B$40*(1-SUMPRODUCT((Curves!$B$4:$AR$4)*(COLUMN(Curves!$B$4:$AR$4)-COLUMN(Curves!$B$4)+1&lt;=BI$3-Projects!$C$40+1))),0)+IF(AND(Projects!$G$46="Yes",Projects!$F$46="Yes",BI$3&gt;=Projects!$C$46,BI$3&lt;Projects!$C$46+Projects!$D$46),Projects!$B$46*(1-SUMPRODUCT((Curves!$B$4:$AR$4)*(COLUMN(Curves!$B$4:$AR$4)-COLUMN(Curves!$B$4)+1&lt;=BI$3-Projects!$C$46+1))),0)</f>
        <v>23231535</v>
      </c>
      <c r="BJ351" s="13" t="n">
        <f aca="false">IF(AND(Projects!$G$17="Yes",Projects!$F$17="Yes",BJ$3&gt;=Projects!$C$17,BJ$3&lt;Projects!$C$17+Projects!$D$17),Projects!$B$17*(1-SUMPRODUCT((Curves!$B$4:$AR$4)*(COLUMN(Curves!$B$4:$AR$4)-COLUMN(Curves!$B$4)+1&lt;=BJ$3-Projects!$C$17+1))),0)+IF(AND(Projects!$G$18="Yes",Projects!$F$18="Yes",BJ$3&gt;=Projects!$C$18,BJ$3&lt;Projects!$C$18+Projects!$D$18),Projects!$B$18*(1-SUMPRODUCT((Curves!$B$4:$AR$4)*(COLUMN(Curves!$B$4:$AR$4)-COLUMN(Curves!$B$4)+1&lt;=BJ$3-Projects!$C$18+1))),0)+IF(AND(Projects!$G$19="Yes",Projects!$F$19="Yes",BJ$3&gt;=Projects!$C$19,BJ$3&lt;Projects!$C$19+Projects!$D$19),Projects!$B$19*(1-SUMPRODUCT((Curves!$B$4:$AR$4)*(COLUMN(Curves!$B$4:$AR$4)-COLUMN(Curves!$B$4)+1&lt;=BJ$3-Projects!$C$19+1))),0)+IF(AND(Projects!$G$23="Yes",Projects!$F$23="Yes",BJ$3&gt;=Projects!$C$23,BJ$3&lt;Projects!$C$23+Projects!$D$23),Projects!$B$23*(1-SUMPRODUCT((Curves!$B$4:$AR$4)*(COLUMN(Curves!$B$4:$AR$4)-COLUMN(Curves!$B$4)+1&lt;=BJ$3-Projects!$C$23+1))),0)+IF(AND(Projects!$G$28="Yes",Projects!$F$28="Yes",BJ$3&gt;=Projects!$C$28,BJ$3&lt;Projects!$C$28+Projects!$D$28),Projects!$B$28*(1-SUMPRODUCT((Curves!$B$4:$AR$4)*(COLUMN(Curves!$B$4:$AR$4)-COLUMN(Curves!$B$4)+1&lt;=BJ$3-Projects!$C$28+1))),0)+IF(AND(Projects!$G$34="Yes",Projects!$F$34="Yes",BJ$3&gt;=Projects!$C$34,BJ$3&lt;Projects!$C$34+Projects!$D$34),Projects!$B$34*(1-SUMPRODUCT((Curves!$B$4:$AR$4)*(COLUMN(Curves!$B$4:$AR$4)-COLUMN(Curves!$B$4)+1&lt;=BJ$3-Projects!$C$34+1))),0)+IF(AND(Projects!$G$40="Yes",Projects!$F$40="Yes",BJ$3&gt;=Projects!$C$40,BJ$3&lt;Projects!$C$40+Projects!$D$40),Projects!$B$40*(1-SUMPRODUCT((Curves!$B$4:$AR$4)*(COLUMN(Curves!$B$4:$AR$4)-COLUMN(Curves!$B$4)+1&lt;=BJ$3-Projects!$C$40+1))),0)+IF(AND(Projects!$G$46="Yes",Projects!$F$46="Yes",BJ$3&gt;=Projects!$C$46,BJ$3&lt;Projects!$C$46+Projects!$D$46),Projects!$B$46*(1-SUMPRODUCT((Curves!$B$4:$AR$4)*(COLUMN(Curves!$B$4:$AR$4)-COLUMN(Curves!$B$4)+1&lt;=BJ$3-Projects!$C$46+1))),0)</f>
        <v>21563325</v>
      </c>
      <c r="BK351" s="13" t="n">
        <f aca="false">IF(AND(Projects!$G$17="Yes",Projects!$F$17="Yes",BK$3&gt;=Projects!$C$17,BK$3&lt;Projects!$C$17+Projects!$D$17),Projects!$B$17*(1-SUMPRODUCT((Curves!$B$4:$AR$4)*(COLUMN(Curves!$B$4:$AR$4)-COLUMN(Curves!$B$4)+1&lt;=BK$3-Projects!$C$17+1))),0)+IF(AND(Projects!$G$18="Yes",Projects!$F$18="Yes",BK$3&gt;=Projects!$C$18,BK$3&lt;Projects!$C$18+Projects!$D$18),Projects!$B$18*(1-SUMPRODUCT((Curves!$B$4:$AR$4)*(COLUMN(Curves!$B$4:$AR$4)-COLUMN(Curves!$B$4)+1&lt;=BK$3-Projects!$C$18+1))),0)+IF(AND(Projects!$G$19="Yes",Projects!$F$19="Yes",BK$3&gt;=Projects!$C$19,BK$3&lt;Projects!$C$19+Projects!$D$19),Projects!$B$19*(1-SUMPRODUCT((Curves!$B$4:$AR$4)*(COLUMN(Curves!$B$4:$AR$4)-COLUMN(Curves!$B$4)+1&lt;=BK$3-Projects!$C$19+1))),0)+IF(AND(Projects!$G$23="Yes",Projects!$F$23="Yes",BK$3&gt;=Projects!$C$23,BK$3&lt;Projects!$C$23+Projects!$D$23),Projects!$B$23*(1-SUMPRODUCT((Curves!$B$4:$AR$4)*(COLUMN(Curves!$B$4:$AR$4)-COLUMN(Curves!$B$4)+1&lt;=BK$3-Projects!$C$23+1))),0)+IF(AND(Projects!$G$28="Yes",Projects!$F$28="Yes",BK$3&gt;=Projects!$C$28,BK$3&lt;Projects!$C$28+Projects!$D$28),Projects!$B$28*(1-SUMPRODUCT((Curves!$B$4:$AR$4)*(COLUMN(Curves!$B$4:$AR$4)-COLUMN(Curves!$B$4)+1&lt;=BK$3-Projects!$C$28+1))),0)+IF(AND(Projects!$G$34="Yes",Projects!$F$34="Yes",BK$3&gt;=Projects!$C$34,BK$3&lt;Projects!$C$34+Projects!$D$34),Projects!$B$34*(1-SUMPRODUCT((Curves!$B$4:$AR$4)*(COLUMN(Curves!$B$4:$AR$4)-COLUMN(Curves!$B$4)+1&lt;=BK$3-Projects!$C$34+1))),0)+IF(AND(Projects!$G$40="Yes",Projects!$F$40="Yes",BK$3&gt;=Projects!$C$40,BK$3&lt;Projects!$C$40+Projects!$D$40),Projects!$B$40*(1-SUMPRODUCT((Curves!$B$4:$AR$4)*(COLUMN(Curves!$B$4:$AR$4)-COLUMN(Curves!$B$4)+1&lt;=BK$3-Projects!$C$40+1))),0)+IF(AND(Projects!$G$46="Yes",Projects!$F$46="Yes",BK$3&gt;=Projects!$C$46,BK$3&lt;Projects!$C$46+Projects!$D$46),Projects!$B$46*(1-SUMPRODUCT((Curves!$B$4:$AR$4)*(COLUMN(Curves!$B$4:$AR$4)-COLUMN(Curves!$B$4)+1&lt;=BK$3-Projects!$C$46+1))),0)</f>
        <v>19777695</v>
      </c>
      <c r="BL351" s="13" t="n">
        <f aca="false">IF(AND(Projects!$G$17="Yes",Projects!$F$17="Yes",BL$3&gt;=Projects!$C$17,BL$3&lt;Projects!$C$17+Projects!$D$17),Projects!$B$17*(1-SUMPRODUCT((Curves!$B$4:$AR$4)*(COLUMN(Curves!$B$4:$AR$4)-COLUMN(Curves!$B$4)+1&lt;=BL$3-Projects!$C$17+1))),0)+IF(AND(Projects!$G$18="Yes",Projects!$F$18="Yes",BL$3&gt;=Projects!$C$18,BL$3&lt;Projects!$C$18+Projects!$D$18),Projects!$B$18*(1-SUMPRODUCT((Curves!$B$4:$AR$4)*(COLUMN(Curves!$B$4:$AR$4)-COLUMN(Curves!$B$4)+1&lt;=BL$3-Projects!$C$18+1))),0)+IF(AND(Projects!$G$19="Yes",Projects!$F$19="Yes",BL$3&gt;=Projects!$C$19,BL$3&lt;Projects!$C$19+Projects!$D$19),Projects!$B$19*(1-SUMPRODUCT((Curves!$B$4:$AR$4)*(COLUMN(Curves!$B$4:$AR$4)-COLUMN(Curves!$B$4)+1&lt;=BL$3-Projects!$C$19+1))),0)+IF(AND(Projects!$G$23="Yes",Projects!$F$23="Yes",BL$3&gt;=Projects!$C$23,BL$3&lt;Projects!$C$23+Projects!$D$23),Projects!$B$23*(1-SUMPRODUCT((Curves!$B$4:$AR$4)*(COLUMN(Curves!$B$4:$AR$4)-COLUMN(Curves!$B$4)+1&lt;=BL$3-Projects!$C$23+1))),0)+IF(AND(Projects!$G$28="Yes",Projects!$F$28="Yes",BL$3&gt;=Projects!$C$28,BL$3&lt;Projects!$C$28+Projects!$D$28),Projects!$B$28*(1-SUMPRODUCT((Curves!$B$4:$AR$4)*(COLUMN(Curves!$B$4:$AR$4)-COLUMN(Curves!$B$4)+1&lt;=BL$3-Projects!$C$28+1))),0)+IF(AND(Projects!$G$34="Yes",Projects!$F$34="Yes",BL$3&gt;=Projects!$C$34,BL$3&lt;Projects!$C$34+Projects!$D$34),Projects!$B$34*(1-SUMPRODUCT((Curves!$B$4:$AR$4)*(COLUMN(Curves!$B$4:$AR$4)-COLUMN(Curves!$B$4)+1&lt;=BL$3-Projects!$C$34+1))),0)+IF(AND(Projects!$G$40="Yes",Projects!$F$40="Yes",BL$3&gt;=Projects!$C$40,BL$3&lt;Projects!$C$40+Projects!$D$40),Projects!$B$40*(1-SUMPRODUCT((Curves!$B$4:$AR$4)*(COLUMN(Curves!$B$4:$AR$4)-COLUMN(Curves!$B$4)+1&lt;=BL$3-Projects!$C$40+1))),0)+IF(AND(Projects!$G$46="Yes",Projects!$F$46="Yes",BL$3&gt;=Projects!$C$46,BL$3&lt;Projects!$C$46+Projects!$D$46),Projects!$B$46*(1-SUMPRODUCT((Curves!$B$4:$AR$4)*(COLUMN(Curves!$B$4:$AR$4)-COLUMN(Curves!$B$4)+1&lt;=BL$3-Projects!$C$46+1))),0)</f>
        <v>17903445</v>
      </c>
      <c r="BM351" s="13" t="n">
        <f aca="false">IF(AND(Projects!$G$17="Yes",Projects!$F$17="Yes",BM$3&gt;=Projects!$C$17,BM$3&lt;Projects!$C$17+Projects!$D$17),Projects!$B$17*(1-SUMPRODUCT((Curves!$B$4:$AR$4)*(COLUMN(Curves!$B$4:$AR$4)-COLUMN(Curves!$B$4)+1&lt;=BM$3-Projects!$C$17+1))),0)+IF(AND(Projects!$G$18="Yes",Projects!$F$18="Yes",BM$3&gt;=Projects!$C$18,BM$3&lt;Projects!$C$18+Projects!$D$18),Projects!$B$18*(1-SUMPRODUCT((Curves!$B$4:$AR$4)*(COLUMN(Curves!$B$4:$AR$4)-COLUMN(Curves!$B$4)+1&lt;=BM$3-Projects!$C$18+1))),0)+IF(AND(Projects!$G$19="Yes",Projects!$F$19="Yes",BM$3&gt;=Projects!$C$19,BM$3&lt;Projects!$C$19+Projects!$D$19),Projects!$B$19*(1-SUMPRODUCT((Curves!$B$4:$AR$4)*(COLUMN(Curves!$B$4:$AR$4)-COLUMN(Curves!$B$4)+1&lt;=BM$3-Projects!$C$19+1))),0)+IF(AND(Projects!$G$23="Yes",Projects!$F$23="Yes",BM$3&gt;=Projects!$C$23,BM$3&lt;Projects!$C$23+Projects!$D$23),Projects!$B$23*(1-SUMPRODUCT((Curves!$B$4:$AR$4)*(COLUMN(Curves!$B$4:$AR$4)-COLUMN(Curves!$B$4)+1&lt;=BM$3-Projects!$C$23+1))),0)+IF(AND(Projects!$G$28="Yes",Projects!$F$28="Yes",BM$3&gt;=Projects!$C$28,BM$3&lt;Projects!$C$28+Projects!$D$28),Projects!$B$28*(1-SUMPRODUCT((Curves!$B$4:$AR$4)*(COLUMN(Curves!$B$4:$AR$4)-COLUMN(Curves!$B$4)+1&lt;=BM$3-Projects!$C$28+1))),0)+IF(AND(Projects!$G$34="Yes",Projects!$F$34="Yes",BM$3&gt;=Projects!$C$34,BM$3&lt;Projects!$C$34+Projects!$D$34),Projects!$B$34*(1-SUMPRODUCT((Curves!$B$4:$AR$4)*(COLUMN(Curves!$B$4:$AR$4)-COLUMN(Curves!$B$4)+1&lt;=BM$3-Projects!$C$34+1))),0)+IF(AND(Projects!$G$40="Yes",Projects!$F$40="Yes",BM$3&gt;=Projects!$C$40,BM$3&lt;Projects!$C$40+Projects!$D$40),Projects!$B$40*(1-SUMPRODUCT((Curves!$B$4:$AR$4)*(COLUMN(Curves!$B$4:$AR$4)-COLUMN(Curves!$B$4)+1&lt;=BM$3-Projects!$C$40+1))),0)+IF(AND(Projects!$G$46="Yes",Projects!$F$46="Yes",BM$3&gt;=Projects!$C$46,BM$3&lt;Projects!$C$46+Projects!$D$46),Projects!$B$46*(1-SUMPRODUCT((Curves!$B$4:$AR$4)*(COLUMN(Curves!$B$4:$AR$4)-COLUMN(Curves!$B$4)+1&lt;=BM$3-Projects!$C$46+1))),0)</f>
        <v>15974055</v>
      </c>
      <c r="BN351" s="13" t="n">
        <f aca="false">IF(AND(Projects!$G$17="Yes",Projects!$F$17="Yes",BN$3&gt;=Projects!$C$17,BN$3&lt;Projects!$C$17+Projects!$D$17),Projects!$B$17*(1-SUMPRODUCT((Curves!$B$4:$AR$4)*(COLUMN(Curves!$B$4:$AR$4)-COLUMN(Curves!$B$4)+1&lt;=BN$3-Projects!$C$17+1))),0)+IF(AND(Projects!$G$18="Yes",Projects!$F$18="Yes",BN$3&gt;=Projects!$C$18,BN$3&lt;Projects!$C$18+Projects!$D$18),Projects!$B$18*(1-SUMPRODUCT((Curves!$B$4:$AR$4)*(COLUMN(Curves!$B$4:$AR$4)-COLUMN(Curves!$B$4)+1&lt;=BN$3-Projects!$C$18+1))),0)+IF(AND(Projects!$G$19="Yes",Projects!$F$19="Yes",BN$3&gt;=Projects!$C$19,BN$3&lt;Projects!$C$19+Projects!$D$19),Projects!$B$19*(1-SUMPRODUCT((Curves!$B$4:$AR$4)*(COLUMN(Curves!$B$4:$AR$4)-COLUMN(Curves!$B$4)+1&lt;=BN$3-Projects!$C$19+1))),0)+IF(AND(Projects!$G$23="Yes",Projects!$F$23="Yes",BN$3&gt;=Projects!$C$23,BN$3&lt;Projects!$C$23+Projects!$D$23),Projects!$B$23*(1-SUMPRODUCT((Curves!$B$4:$AR$4)*(COLUMN(Curves!$B$4:$AR$4)-COLUMN(Curves!$B$4)+1&lt;=BN$3-Projects!$C$23+1))),0)+IF(AND(Projects!$G$28="Yes",Projects!$F$28="Yes",BN$3&gt;=Projects!$C$28,BN$3&lt;Projects!$C$28+Projects!$D$28),Projects!$B$28*(1-SUMPRODUCT((Curves!$B$4:$AR$4)*(COLUMN(Curves!$B$4:$AR$4)-COLUMN(Curves!$B$4)+1&lt;=BN$3-Projects!$C$28+1))),0)+IF(AND(Projects!$G$34="Yes",Projects!$F$34="Yes",BN$3&gt;=Projects!$C$34,BN$3&lt;Projects!$C$34+Projects!$D$34),Projects!$B$34*(1-SUMPRODUCT((Curves!$B$4:$AR$4)*(COLUMN(Curves!$B$4:$AR$4)-COLUMN(Curves!$B$4)+1&lt;=BN$3-Projects!$C$34+1))),0)+IF(AND(Projects!$G$40="Yes",Projects!$F$40="Yes",BN$3&gt;=Projects!$C$40,BN$3&lt;Projects!$C$40+Projects!$D$40),Projects!$B$40*(1-SUMPRODUCT((Curves!$B$4:$AR$4)*(COLUMN(Curves!$B$4:$AR$4)-COLUMN(Curves!$B$4)+1&lt;=BN$3-Projects!$C$40+1))),0)+IF(AND(Projects!$G$46="Yes",Projects!$F$46="Yes",BN$3&gt;=Projects!$C$46,BN$3&lt;Projects!$C$46+Projects!$D$46),Projects!$B$46*(1-SUMPRODUCT((Curves!$B$4:$AR$4)*(COLUMN(Curves!$B$4:$AR$4)-COLUMN(Curves!$B$4)+1&lt;=BN$3-Projects!$C$46+1))),0)</f>
        <v>14025945</v>
      </c>
      <c r="BO351" s="13" t="n">
        <f aca="false">IF(AND(Projects!$G$17="Yes",Projects!$F$17="Yes",BO$3&gt;=Projects!$C$17,BO$3&lt;Projects!$C$17+Projects!$D$17),Projects!$B$17*(1-SUMPRODUCT((Curves!$B$4:$AR$4)*(COLUMN(Curves!$B$4:$AR$4)-COLUMN(Curves!$B$4)+1&lt;=BO$3-Projects!$C$17+1))),0)+IF(AND(Projects!$G$18="Yes",Projects!$F$18="Yes",BO$3&gt;=Projects!$C$18,BO$3&lt;Projects!$C$18+Projects!$D$18),Projects!$B$18*(1-SUMPRODUCT((Curves!$B$4:$AR$4)*(COLUMN(Curves!$B$4:$AR$4)-COLUMN(Curves!$B$4)+1&lt;=BO$3-Projects!$C$18+1))),0)+IF(AND(Projects!$G$19="Yes",Projects!$F$19="Yes",BO$3&gt;=Projects!$C$19,BO$3&lt;Projects!$C$19+Projects!$D$19),Projects!$B$19*(1-SUMPRODUCT((Curves!$B$4:$AR$4)*(COLUMN(Curves!$B$4:$AR$4)-COLUMN(Curves!$B$4)+1&lt;=BO$3-Projects!$C$19+1))),0)+IF(AND(Projects!$G$23="Yes",Projects!$F$23="Yes",BO$3&gt;=Projects!$C$23,BO$3&lt;Projects!$C$23+Projects!$D$23),Projects!$B$23*(1-SUMPRODUCT((Curves!$B$4:$AR$4)*(COLUMN(Curves!$B$4:$AR$4)-COLUMN(Curves!$B$4)+1&lt;=BO$3-Projects!$C$23+1))),0)+IF(AND(Projects!$G$28="Yes",Projects!$F$28="Yes",BO$3&gt;=Projects!$C$28,BO$3&lt;Projects!$C$28+Projects!$D$28),Projects!$B$28*(1-SUMPRODUCT((Curves!$B$4:$AR$4)*(COLUMN(Curves!$B$4:$AR$4)-COLUMN(Curves!$B$4)+1&lt;=BO$3-Projects!$C$28+1))),0)+IF(AND(Projects!$G$34="Yes",Projects!$F$34="Yes",BO$3&gt;=Projects!$C$34,BO$3&lt;Projects!$C$34+Projects!$D$34),Projects!$B$34*(1-SUMPRODUCT((Curves!$B$4:$AR$4)*(COLUMN(Curves!$B$4:$AR$4)-COLUMN(Curves!$B$4)+1&lt;=BO$3-Projects!$C$34+1))),0)+IF(AND(Projects!$G$40="Yes",Projects!$F$40="Yes",BO$3&gt;=Projects!$C$40,BO$3&lt;Projects!$C$40+Projects!$D$40),Projects!$B$40*(1-SUMPRODUCT((Curves!$B$4:$AR$4)*(COLUMN(Curves!$B$4:$AR$4)-COLUMN(Curves!$B$4)+1&lt;=BO$3-Projects!$C$40+1))),0)+IF(AND(Projects!$G$46="Yes",Projects!$F$46="Yes",BO$3&gt;=Projects!$C$46,BO$3&lt;Projects!$C$46+Projects!$D$46),Projects!$B$46*(1-SUMPRODUCT((Curves!$B$4:$AR$4)*(COLUMN(Curves!$B$4:$AR$4)-COLUMN(Curves!$B$4)+1&lt;=BO$3-Projects!$C$46+1))),0)</f>
        <v>12096555</v>
      </c>
      <c r="BP351" s="13" t="n">
        <f aca="false">IF(AND(Projects!$G$17="Yes",Projects!$F$17="Yes",BP$3&gt;=Projects!$C$17,BP$3&lt;Projects!$C$17+Projects!$D$17),Projects!$B$17*(1-SUMPRODUCT((Curves!$B$4:$AR$4)*(COLUMN(Curves!$B$4:$AR$4)-COLUMN(Curves!$B$4)+1&lt;=BP$3-Projects!$C$17+1))),0)+IF(AND(Projects!$G$18="Yes",Projects!$F$18="Yes",BP$3&gt;=Projects!$C$18,BP$3&lt;Projects!$C$18+Projects!$D$18),Projects!$B$18*(1-SUMPRODUCT((Curves!$B$4:$AR$4)*(COLUMN(Curves!$B$4:$AR$4)-COLUMN(Curves!$B$4)+1&lt;=BP$3-Projects!$C$18+1))),0)+IF(AND(Projects!$G$19="Yes",Projects!$F$19="Yes",BP$3&gt;=Projects!$C$19,BP$3&lt;Projects!$C$19+Projects!$D$19),Projects!$B$19*(1-SUMPRODUCT((Curves!$B$4:$AR$4)*(COLUMN(Curves!$B$4:$AR$4)-COLUMN(Curves!$B$4)+1&lt;=BP$3-Projects!$C$19+1))),0)+IF(AND(Projects!$G$23="Yes",Projects!$F$23="Yes",BP$3&gt;=Projects!$C$23,BP$3&lt;Projects!$C$23+Projects!$D$23),Projects!$B$23*(1-SUMPRODUCT((Curves!$B$4:$AR$4)*(COLUMN(Curves!$B$4:$AR$4)-COLUMN(Curves!$B$4)+1&lt;=BP$3-Projects!$C$23+1))),0)+IF(AND(Projects!$G$28="Yes",Projects!$F$28="Yes",BP$3&gt;=Projects!$C$28,BP$3&lt;Projects!$C$28+Projects!$D$28),Projects!$B$28*(1-SUMPRODUCT((Curves!$B$4:$AR$4)*(COLUMN(Curves!$B$4:$AR$4)-COLUMN(Curves!$B$4)+1&lt;=BP$3-Projects!$C$28+1))),0)+IF(AND(Projects!$G$34="Yes",Projects!$F$34="Yes",BP$3&gt;=Projects!$C$34,BP$3&lt;Projects!$C$34+Projects!$D$34),Projects!$B$34*(1-SUMPRODUCT((Curves!$B$4:$AR$4)*(COLUMN(Curves!$B$4:$AR$4)-COLUMN(Curves!$B$4)+1&lt;=BP$3-Projects!$C$34+1))),0)+IF(AND(Projects!$G$40="Yes",Projects!$F$40="Yes",BP$3&gt;=Projects!$C$40,BP$3&lt;Projects!$C$40+Projects!$D$40),Projects!$B$40*(1-SUMPRODUCT((Curves!$B$4:$AR$4)*(COLUMN(Curves!$B$4:$AR$4)-COLUMN(Curves!$B$4)+1&lt;=BP$3-Projects!$C$40+1))),0)+IF(AND(Projects!$G$46="Yes",Projects!$F$46="Yes",BP$3&gt;=Projects!$C$46,BP$3&lt;Projects!$C$46+Projects!$D$46),Projects!$B$46*(1-SUMPRODUCT((Curves!$B$4:$AR$4)*(COLUMN(Curves!$B$4:$AR$4)-COLUMN(Curves!$B$4)+1&lt;=BP$3-Projects!$C$46+1))),0)</f>
        <v>10222305</v>
      </c>
      <c r="BQ351" s="13" t="n">
        <f aca="false">IF(AND(Projects!$G$17="Yes",Projects!$F$17="Yes",BQ$3&gt;=Projects!$C$17,BQ$3&lt;Projects!$C$17+Projects!$D$17),Projects!$B$17*(1-SUMPRODUCT((Curves!$B$4:$AR$4)*(COLUMN(Curves!$B$4:$AR$4)-COLUMN(Curves!$B$4)+1&lt;=BQ$3-Projects!$C$17+1))),0)+IF(AND(Projects!$G$18="Yes",Projects!$F$18="Yes",BQ$3&gt;=Projects!$C$18,BQ$3&lt;Projects!$C$18+Projects!$D$18),Projects!$B$18*(1-SUMPRODUCT((Curves!$B$4:$AR$4)*(COLUMN(Curves!$B$4:$AR$4)-COLUMN(Curves!$B$4)+1&lt;=BQ$3-Projects!$C$18+1))),0)+IF(AND(Projects!$G$19="Yes",Projects!$F$19="Yes",BQ$3&gt;=Projects!$C$19,BQ$3&lt;Projects!$C$19+Projects!$D$19),Projects!$B$19*(1-SUMPRODUCT((Curves!$B$4:$AR$4)*(COLUMN(Curves!$B$4:$AR$4)-COLUMN(Curves!$B$4)+1&lt;=BQ$3-Projects!$C$19+1))),0)+IF(AND(Projects!$G$23="Yes",Projects!$F$23="Yes",BQ$3&gt;=Projects!$C$23,BQ$3&lt;Projects!$C$23+Projects!$D$23),Projects!$B$23*(1-SUMPRODUCT((Curves!$B$4:$AR$4)*(COLUMN(Curves!$B$4:$AR$4)-COLUMN(Curves!$B$4)+1&lt;=BQ$3-Projects!$C$23+1))),0)+IF(AND(Projects!$G$28="Yes",Projects!$F$28="Yes",BQ$3&gt;=Projects!$C$28,BQ$3&lt;Projects!$C$28+Projects!$D$28),Projects!$B$28*(1-SUMPRODUCT((Curves!$B$4:$AR$4)*(COLUMN(Curves!$B$4:$AR$4)-COLUMN(Curves!$B$4)+1&lt;=BQ$3-Projects!$C$28+1))),0)+IF(AND(Projects!$G$34="Yes",Projects!$F$34="Yes",BQ$3&gt;=Projects!$C$34,BQ$3&lt;Projects!$C$34+Projects!$D$34),Projects!$B$34*(1-SUMPRODUCT((Curves!$B$4:$AR$4)*(COLUMN(Curves!$B$4:$AR$4)-COLUMN(Curves!$B$4)+1&lt;=BQ$3-Projects!$C$34+1))),0)+IF(AND(Projects!$G$40="Yes",Projects!$F$40="Yes",BQ$3&gt;=Projects!$C$40,BQ$3&lt;Projects!$C$40+Projects!$D$40),Projects!$B$40*(1-SUMPRODUCT((Curves!$B$4:$AR$4)*(COLUMN(Curves!$B$4:$AR$4)-COLUMN(Curves!$B$4)+1&lt;=BQ$3-Projects!$C$40+1))),0)+IF(AND(Projects!$G$46="Yes",Projects!$F$46="Yes",BQ$3&gt;=Projects!$C$46,BQ$3&lt;Projects!$C$46+Projects!$D$46),Projects!$B$46*(1-SUMPRODUCT((Curves!$B$4:$AR$4)*(COLUMN(Curves!$B$4:$AR$4)-COLUMN(Curves!$B$4)+1&lt;=BQ$3-Projects!$C$46+1))),0)</f>
        <v>8436675</v>
      </c>
      <c r="BR351" s="13" t="n">
        <f aca="false">IF(AND(Projects!$G$17="Yes",Projects!$F$17="Yes",BR$3&gt;=Projects!$C$17,BR$3&lt;Projects!$C$17+Projects!$D$17),Projects!$B$17*(1-SUMPRODUCT((Curves!$B$4:$AR$4)*(COLUMN(Curves!$B$4:$AR$4)-COLUMN(Curves!$B$4)+1&lt;=BR$3-Projects!$C$17+1))),0)+IF(AND(Projects!$G$18="Yes",Projects!$F$18="Yes",BR$3&gt;=Projects!$C$18,BR$3&lt;Projects!$C$18+Projects!$D$18),Projects!$B$18*(1-SUMPRODUCT((Curves!$B$4:$AR$4)*(COLUMN(Curves!$B$4:$AR$4)-COLUMN(Curves!$B$4)+1&lt;=BR$3-Projects!$C$18+1))),0)+IF(AND(Projects!$G$19="Yes",Projects!$F$19="Yes",BR$3&gt;=Projects!$C$19,BR$3&lt;Projects!$C$19+Projects!$D$19),Projects!$B$19*(1-SUMPRODUCT((Curves!$B$4:$AR$4)*(COLUMN(Curves!$B$4:$AR$4)-COLUMN(Curves!$B$4)+1&lt;=BR$3-Projects!$C$19+1))),0)+IF(AND(Projects!$G$23="Yes",Projects!$F$23="Yes",BR$3&gt;=Projects!$C$23,BR$3&lt;Projects!$C$23+Projects!$D$23),Projects!$B$23*(1-SUMPRODUCT((Curves!$B$4:$AR$4)*(COLUMN(Curves!$B$4:$AR$4)-COLUMN(Curves!$B$4)+1&lt;=BR$3-Projects!$C$23+1))),0)+IF(AND(Projects!$G$28="Yes",Projects!$F$28="Yes",BR$3&gt;=Projects!$C$28,BR$3&lt;Projects!$C$28+Projects!$D$28),Projects!$B$28*(1-SUMPRODUCT((Curves!$B$4:$AR$4)*(COLUMN(Curves!$B$4:$AR$4)-COLUMN(Curves!$B$4)+1&lt;=BR$3-Projects!$C$28+1))),0)+IF(AND(Projects!$G$34="Yes",Projects!$F$34="Yes",BR$3&gt;=Projects!$C$34,BR$3&lt;Projects!$C$34+Projects!$D$34),Projects!$B$34*(1-SUMPRODUCT((Curves!$B$4:$AR$4)*(COLUMN(Curves!$B$4:$AR$4)-COLUMN(Curves!$B$4)+1&lt;=BR$3-Projects!$C$34+1))),0)+IF(AND(Projects!$G$40="Yes",Projects!$F$40="Yes",BR$3&gt;=Projects!$C$40,BR$3&lt;Projects!$C$40+Projects!$D$40),Projects!$B$40*(1-SUMPRODUCT((Curves!$B$4:$AR$4)*(COLUMN(Curves!$B$4:$AR$4)-COLUMN(Curves!$B$4)+1&lt;=BR$3-Projects!$C$40+1))),0)+IF(AND(Projects!$G$46="Yes",Projects!$F$46="Yes",BR$3&gt;=Projects!$C$46,BR$3&lt;Projects!$C$46+Projects!$D$46),Projects!$B$46*(1-SUMPRODUCT((Curves!$B$4:$AR$4)*(COLUMN(Curves!$B$4:$AR$4)-COLUMN(Curves!$B$4)+1&lt;=BR$3-Projects!$C$46+1))),0)</f>
        <v>6768465</v>
      </c>
      <c r="BS351" s="13" t="n">
        <f aca="false">IF(AND(Projects!$G$17="Yes",Projects!$F$17="Yes",BS$3&gt;=Projects!$C$17,BS$3&lt;Projects!$C$17+Projects!$D$17),Projects!$B$17*(1-SUMPRODUCT((Curves!$B$4:$AR$4)*(COLUMN(Curves!$B$4:$AR$4)-COLUMN(Curves!$B$4)+1&lt;=BS$3-Projects!$C$17+1))),0)+IF(AND(Projects!$G$18="Yes",Projects!$F$18="Yes",BS$3&gt;=Projects!$C$18,BS$3&lt;Projects!$C$18+Projects!$D$18),Projects!$B$18*(1-SUMPRODUCT((Curves!$B$4:$AR$4)*(COLUMN(Curves!$B$4:$AR$4)-COLUMN(Curves!$B$4)+1&lt;=BS$3-Projects!$C$18+1))),0)+IF(AND(Projects!$G$19="Yes",Projects!$F$19="Yes",BS$3&gt;=Projects!$C$19,BS$3&lt;Projects!$C$19+Projects!$D$19),Projects!$B$19*(1-SUMPRODUCT((Curves!$B$4:$AR$4)*(COLUMN(Curves!$B$4:$AR$4)-COLUMN(Curves!$B$4)+1&lt;=BS$3-Projects!$C$19+1))),0)+IF(AND(Projects!$G$23="Yes",Projects!$F$23="Yes",BS$3&gt;=Projects!$C$23,BS$3&lt;Projects!$C$23+Projects!$D$23),Projects!$B$23*(1-SUMPRODUCT((Curves!$B$4:$AR$4)*(COLUMN(Curves!$B$4:$AR$4)-COLUMN(Curves!$B$4)+1&lt;=BS$3-Projects!$C$23+1))),0)+IF(AND(Projects!$G$28="Yes",Projects!$F$28="Yes",BS$3&gt;=Projects!$C$28,BS$3&lt;Projects!$C$28+Projects!$D$28),Projects!$B$28*(1-SUMPRODUCT((Curves!$B$4:$AR$4)*(COLUMN(Curves!$B$4:$AR$4)-COLUMN(Curves!$B$4)+1&lt;=BS$3-Projects!$C$28+1))),0)+IF(AND(Projects!$G$34="Yes",Projects!$F$34="Yes",BS$3&gt;=Projects!$C$34,BS$3&lt;Projects!$C$34+Projects!$D$34),Projects!$B$34*(1-SUMPRODUCT((Curves!$B$4:$AR$4)*(COLUMN(Curves!$B$4:$AR$4)-COLUMN(Curves!$B$4)+1&lt;=BS$3-Projects!$C$34+1))),0)+IF(AND(Projects!$G$40="Yes",Projects!$F$40="Yes",BS$3&gt;=Projects!$C$40,BS$3&lt;Projects!$C$40+Projects!$D$40),Projects!$B$40*(1-SUMPRODUCT((Curves!$B$4:$AR$4)*(COLUMN(Curves!$B$4:$AR$4)-COLUMN(Curves!$B$4)+1&lt;=BS$3-Projects!$C$40+1))),0)+IF(AND(Projects!$G$46="Yes",Projects!$F$46="Yes",BS$3&gt;=Projects!$C$46,BS$3&lt;Projects!$C$46+Projects!$D$46),Projects!$B$46*(1-SUMPRODUCT((Curves!$B$4:$AR$4)*(COLUMN(Curves!$B$4:$AR$4)-COLUMN(Curves!$B$4)+1&lt;=BS$3-Projects!$C$46+1))),0)</f>
        <v>5240490</v>
      </c>
      <c r="BT351" s="13" t="n">
        <f aca="false">IF(AND(Projects!$G$17="Yes",Projects!$F$17="Yes",BT$3&gt;=Projects!$C$17,BT$3&lt;Projects!$C$17+Projects!$D$17),Projects!$B$17*(1-SUMPRODUCT((Curves!$B$4:$AR$4)*(COLUMN(Curves!$B$4:$AR$4)-COLUMN(Curves!$B$4)+1&lt;=BT$3-Projects!$C$17+1))),0)+IF(AND(Projects!$G$18="Yes",Projects!$F$18="Yes",BT$3&gt;=Projects!$C$18,BT$3&lt;Projects!$C$18+Projects!$D$18),Projects!$B$18*(1-SUMPRODUCT((Curves!$B$4:$AR$4)*(COLUMN(Curves!$B$4:$AR$4)-COLUMN(Curves!$B$4)+1&lt;=BT$3-Projects!$C$18+1))),0)+IF(AND(Projects!$G$19="Yes",Projects!$F$19="Yes",BT$3&gt;=Projects!$C$19,BT$3&lt;Projects!$C$19+Projects!$D$19),Projects!$B$19*(1-SUMPRODUCT((Curves!$B$4:$AR$4)*(COLUMN(Curves!$B$4:$AR$4)-COLUMN(Curves!$B$4)+1&lt;=BT$3-Projects!$C$19+1))),0)+IF(AND(Projects!$G$23="Yes",Projects!$F$23="Yes",BT$3&gt;=Projects!$C$23,BT$3&lt;Projects!$C$23+Projects!$D$23),Projects!$B$23*(1-SUMPRODUCT((Curves!$B$4:$AR$4)*(COLUMN(Curves!$B$4:$AR$4)-COLUMN(Curves!$B$4)+1&lt;=BT$3-Projects!$C$23+1))),0)+IF(AND(Projects!$G$28="Yes",Projects!$F$28="Yes",BT$3&gt;=Projects!$C$28,BT$3&lt;Projects!$C$28+Projects!$D$28),Projects!$B$28*(1-SUMPRODUCT((Curves!$B$4:$AR$4)*(COLUMN(Curves!$B$4:$AR$4)-COLUMN(Curves!$B$4)+1&lt;=BT$3-Projects!$C$28+1))),0)+IF(AND(Projects!$G$34="Yes",Projects!$F$34="Yes",BT$3&gt;=Projects!$C$34,BT$3&lt;Projects!$C$34+Projects!$D$34),Projects!$B$34*(1-SUMPRODUCT((Curves!$B$4:$AR$4)*(COLUMN(Curves!$B$4:$AR$4)-COLUMN(Curves!$B$4)+1&lt;=BT$3-Projects!$C$34+1))),0)+IF(AND(Projects!$G$40="Yes",Projects!$F$40="Yes",BT$3&gt;=Projects!$C$40,BT$3&lt;Projects!$C$40+Projects!$D$40),Projects!$B$40*(1-SUMPRODUCT((Curves!$B$4:$AR$4)*(COLUMN(Curves!$B$4:$AR$4)-COLUMN(Curves!$B$4)+1&lt;=BT$3-Projects!$C$40+1))),0)+IF(AND(Projects!$G$46="Yes",Projects!$F$46="Yes",BT$3&gt;=Projects!$C$46,BT$3&lt;Projects!$C$46+Projects!$D$46),Projects!$B$46*(1-SUMPRODUCT((Curves!$B$4:$AR$4)*(COLUMN(Curves!$B$4:$AR$4)-COLUMN(Curves!$B$4)+1&lt;=BT$3-Projects!$C$46+1))),0)</f>
        <v>3868680</v>
      </c>
      <c r="BU351" s="13" t="n">
        <f aca="false">IF(AND(Projects!$G$17="Yes",Projects!$F$17="Yes",BU$3&gt;=Projects!$C$17,BU$3&lt;Projects!$C$17+Projects!$D$17),Projects!$B$17*(1-SUMPRODUCT((Curves!$B$4:$AR$4)*(COLUMN(Curves!$B$4:$AR$4)-COLUMN(Curves!$B$4)+1&lt;=BU$3-Projects!$C$17+1))),0)+IF(AND(Projects!$G$18="Yes",Projects!$F$18="Yes",BU$3&gt;=Projects!$C$18,BU$3&lt;Projects!$C$18+Projects!$D$18),Projects!$B$18*(1-SUMPRODUCT((Curves!$B$4:$AR$4)*(COLUMN(Curves!$B$4:$AR$4)-COLUMN(Curves!$B$4)+1&lt;=BU$3-Projects!$C$18+1))),0)+IF(AND(Projects!$G$19="Yes",Projects!$F$19="Yes",BU$3&gt;=Projects!$C$19,BU$3&lt;Projects!$C$19+Projects!$D$19),Projects!$B$19*(1-SUMPRODUCT((Curves!$B$4:$AR$4)*(COLUMN(Curves!$B$4:$AR$4)-COLUMN(Curves!$B$4)+1&lt;=BU$3-Projects!$C$19+1))),0)+IF(AND(Projects!$G$23="Yes",Projects!$F$23="Yes",BU$3&gt;=Projects!$C$23,BU$3&lt;Projects!$C$23+Projects!$D$23),Projects!$B$23*(1-SUMPRODUCT((Curves!$B$4:$AR$4)*(COLUMN(Curves!$B$4:$AR$4)-COLUMN(Curves!$B$4)+1&lt;=BU$3-Projects!$C$23+1))),0)+IF(AND(Projects!$G$28="Yes",Projects!$F$28="Yes",BU$3&gt;=Projects!$C$28,BU$3&lt;Projects!$C$28+Projects!$D$28),Projects!$B$28*(1-SUMPRODUCT((Curves!$B$4:$AR$4)*(COLUMN(Curves!$B$4:$AR$4)-COLUMN(Curves!$B$4)+1&lt;=BU$3-Projects!$C$28+1))),0)+IF(AND(Projects!$G$34="Yes",Projects!$F$34="Yes",BU$3&gt;=Projects!$C$34,BU$3&lt;Projects!$C$34+Projects!$D$34),Projects!$B$34*(1-SUMPRODUCT((Curves!$B$4:$AR$4)*(COLUMN(Curves!$B$4:$AR$4)-COLUMN(Curves!$B$4)+1&lt;=BU$3-Projects!$C$34+1))),0)+IF(AND(Projects!$G$40="Yes",Projects!$F$40="Yes",BU$3&gt;=Projects!$C$40,BU$3&lt;Projects!$C$40+Projects!$D$40),Projects!$B$40*(1-SUMPRODUCT((Curves!$B$4:$AR$4)*(COLUMN(Curves!$B$4:$AR$4)-COLUMN(Curves!$B$4)+1&lt;=BU$3-Projects!$C$40+1))),0)+IF(AND(Projects!$G$46="Yes",Projects!$F$46="Yes",BU$3&gt;=Projects!$C$46,BU$3&lt;Projects!$C$46+Projects!$D$46),Projects!$B$46*(1-SUMPRODUCT((Curves!$B$4:$AR$4)*(COLUMN(Curves!$B$4:$AR$4)-COLUMN(Curves!$B$4)+1&lt;=BU$3-Projects!$C$46+1))),0)</f>
        <v>2975850</v>
      </c>
      <c r="BV351" s="13" t="n">
        <f aca="false">IF(AND(Projects!$G$17="Yes",Projects!$F$17="Yes",BV$3&gt;=Projects!$C$17,BV$3&lt;Projects!$C$17+Projects!$D$17),Projects!$B$17*(1-SUMPRODUCT((Curves!$B$4:$AR$4)*(COLUMN(Curves!$B$4:$AR$4)-COLUMN(Curves!$B$4)+1&lt;=BV$3-Projects!$C$17+1))),0)+IF(AND(Projects!$G$18="Yes",Projects!$F$18="Yes",BV$3&gt;=Projects!$C$18,BV$3&lt;Projects!$C$18+Projects!$D$18),Projects!$B$18*(1-SUMPRODUCT((Curves!$B$4:$AR$4)*(COLUMN(Curves!$B$4:$AR$4)-COLUMN(Curves!$B$4)+1&lt;=BV$3-Projects!$C$18+1))),0)+IF(AND(Projects!$G$19="Yes",Projects!$F$19="Yes",BV$3&gt;=Projects!$C$19,BV$3&lt;Projects!$C$19+Projects!$D$19),Projects!$B$19*(1-SUMPRODUCT((Curves!$B$4:$AR$4)*(COLUMN(Curves!$B$4:$AR$4)-COLUMN(Curves!$B$4)+1&lt;=BV$3-Projects!$C$19+1))),0)+IF(AND(Projects!$G$23="Yes",Projects!$F$23="Yes",BV$3&gt;=Projects!$C$23,BV$3&lt;Projects!$C$23+Projects!$D$23),Projects!$B$23*(1-SUMPRODUCT((Curves!$B$4:$AR$4)*(COLUMN(Curves!$B$4:$AR$4)-COLUMN(Curves!$B$4)+1&lt;=BV$3-Projects!$C$23+1))),0)+IF(AND(Projects!$G$28="Yes",Projects!$F$28="Yes",BV$3&gt;=Projects!$C$28,BV$3&lt;Projects!$C$28+Projects!$D$28),Projects!$B$28*(1-SUMPRODUCT((Curves!$B$4:$AR$4)*(COLUMN(Curves!$B$4:$AR$4)-COLUMN(Curves!$B$4)+1&lt;=BV$3-Projects!$C$28+1))),0)+IF(AND(Projects!$G$34="Yes",Projects!$F$34="Yes",BV$3&gt;=Projects!$C$34,BV$3&lt;Projects!$C$34+Projects!$D$34),Projects!$B$34*(1-SUMPRODUCT((Curves!$B$4:$AR$4)*(COLUMN(Curves!$B$4:$AR$4)-COLUMN(Curves!$B$4)+1&lt;=BV$3-Projects!$C$34+1))),0)+IF(AND(Projects!$G$40="Yes",Projects!$F$40="Yes",BV$3&gt;=Projects!$C$40,BV$3&lt;Projects!$C$40+Projects!$D$40),Projects!$B$40*(1-SUMPRODUCT((Curves!$B$4:$AR$4)*(COLUMN(Curves!$B$4:$AR$4)-COLUMN(Curves!$B$4)+1&lt;=BV$3-Projects!$C$40+1))),0)+IF(AND(Projects!$G$46="Yes",Projects!$F$46="Yes",BV$3&gt;=Projects!$C$46,BV$3&lt;Projects!$C$46+Projects!$D$46),Projects!$B$46*(1-SUMPRODUCT((Curves!$B$4:$AR$4)*(COLUMN(Curves!$B$4:$AR$4)-COLUMN(Curves!$B$4)+1&lt;=BV$3-Projects!$C$46+1))),0)</f>
        <v>2177580</v>
      </c>
      <c r="BW351" s="13" t="n">
        <f aca="false">IF(AND(Projects!$G$17="Yes",Projects!$F$17="Yes",BW$3&gt;=Projects!$C$17,BW$3&lt;Projects!$C$17+Projects!$D$17),Projects!$B$17*(1-SUMPRODUCT((Curves!$B$4:$AR$4)*(COLUMN(Curves!$B$4:$AR$4)-COLUMN(Curves!$B$4)+1&lt;=BW$3-Projects!$C$17+1))),0)+IF(AND(Projects!$G$18="Yes",Projects!$F$18="Yes",BW$3&gt;=Projects!$C$18,BW$3&lt;Projects!$C$18+Projects!$D$18),Projects!$B$18*(1-SUMPRODUCT((Curves!$B$4:$AR$4)*(COLUMN(Curves!$B$4:$AR$4)-COLUMN(Curves!$B$4)+1&lt;=BW$3-Projects!$C$18+1))),0)+IF(AND(Projects!$G$19="Yes",Projects!$F$19="Yes",BW$3&gt;=Projects!$C$19,BW$3&lt;Projects!$C$19+Projects!$D$19),Projects!$B$19*(1-SUMPRODUCT((Curves!$B$4:$AR$4)*(COLUMN(Curves!$B$4:$AR$4)-COLUMN(Curves!$B$4)+1&lt;=BW$3-Projects!$C$19+1))),0)+IF(AND(Projects!$G$23="Yes",Projects!$F$23="Yes",BW$3&gt;=Projects!$C$23,BW$3&lt;Projects!$C$23+Projects!$D$23),Projects!$B$23*(1-SUMPRODUCT((Curves!$B$4:$AR$4)*(COLUMN(Curves!$B$4:$AR$4)-COLUMN(Curves!$B$4)+1&lt;=BW$3-Projects!$C$23+1))),0)+IF(AND(Projects!$G$28="Yes",Projects!$F$28="Yes",BW$3&gt;=Projects!$C$28,BW$3&lt;Projects!$C$28+Projects!$D$28),Projects!$B$28*(1-SUMPRODUCT((Curves!$B$4:$AR$4)*(COLUMN(Curves!$B$4:$AR$4)-COLUMN(Curves!$B$4)+1&lt;=BW$3-Projects!$C$28+1))),0)+IF(AND(Projects!$G$34="Yes",Projects!$F$34="Yes",BW$3&gt;=Projects!$C$34,BW$3&lt;Projects!$C$34+Projects!$D$34),Projects!$B$34*(1-SUMPRODUCT((Curves!$B$4:$AR$4)*(COLUMN(Curves!$B$4:$AR$4)-COLUMN(Curves!$B$4)+1&lt;=BW$3-Projects!$C$34+1))),0)+IF(AND(Projects!$G$40="Yes",Projects!$F$40="Yes",BW$3&gt;=Projects!$C$40,BW$3&lt;Projects!$C$40+Projects!$D$40),Projects!$B$40*(1-SUMPRODUCT((Curves!$B$4:$AR$4)*(COLUMN(Curves!$B$4:$AR$4)-COLUMN(Curves!$B$4)+1&lt;=BW$3-Projects!$C$40+1))),0)+IF(AND(Projects!$G$46="Yes",Projects!$F$46="Yes",BW$3&gt;=Projects!$C$46,BW$3&lt;Projects!$C$46+Projects!$D$46),Projects!$B$46*(1-SUMPRODUCT((Curves!$B$4:$AR$4)*(COLUMN(Curves!$B$4:$AR$4)-COLUMN(Curves!$B$4)+1&lt;=BW$3-Projects!$C$46+1))),0)</f>
        <v>1481400</v>
      </c>
      <c r="BX351" s="13" t="n">
        <f aca="false">IF(AND(Projects!$G$17="Yes",Projects!$F$17="Yes",BX$3&gt;=Projects!$C$17,BX$3&lt;Projects!$C$17+Projects!$D$17),Projects!$B$17*(1-SUMPRODUCT((Curves!$B$4:$AR$4)*(COLUMN(Curves!$B$4:$AR$4)-COLUMN(Curves!$B$4)+1&lt;=BX$3-Projects!$C$17+1))),0)+IF(AND(Projects!$G$18="Yes",Projects!$F$18="Yes",BX$3&gt;=Projects!$C$18,BX$3&lt;Projects!$C$18+Projects!$D$18),Projects!$B$18*(1-SUMPRODUCT((Curves!$B$4:$AR$4)*(COLUMN(Curves!$B$4:$AR$4)-COLUMN(Curves!$B$4)+1&lt;=BX$3-Projects!$C$18+1))),0)+IF(AND(Projects!$G$19="Yes",Projects!$F$19="Yes",BX$3&gt;=Projects!$C$19,BX$3&lt;Projects!$C$19+Projects!$D$19),Projects!$B$19*(1-SUMPRODUCT((Curves!$B$4:$AR$4)*(COLUMN(Curves!$B$4:$AR$4)-COLUMN(Curves!$B$4)+1&lt;=BX$3-Projects!$C$19+1))),0)+IF(AND(Projects!$G$23="Yes",Projects!$F$23="Yes",BX$3&gt;=Projects!$C$23,BX$3&lt;Projects!$C$23+Projects!$D$23),Projects!$B$23*(1-SUMPRODUCT((Curves!$B$4:$AR$4)*(COLUMN(Curves!$B$4:$AR$4)-COLUMN(Curves!$B$4)+1&lt;=BX$3-Projects!$C$23+1))),0)+IF(AND(Projects!$G$28="Yes",Projects!$F$28="Yes",BX$3&gt;=Projects!$C$28,BX$3&lt;Projects!$C$28+Projects!$D$28),Projects!$B$28*(1-SUMPRODUCT((Curves!$B$4:$AR$4)*(COLUMN(Curves!$B$4:$AR$4)-COLUMN(Curves!$B$4)+1&lt;=BX$3-Projects!$C$28+1))),0)+IF(AND(Projects!$G$34="Yes",Projects!$F$34="Yes",BX$3&gt;=Projects!$C$34,BX$3&lt;Projects!$C$34+Projects!$D$34),Projects!$B$34*(1-SUMPRODUCT((Curves!$B$4:$AR$4)*(COLUMN(Curves!$B$4:$AR$4)-COLUMN(Curves!$B$4)+1&lt;=BX$3-Projects!$C$34+1))),0)+IF(AND(Projects!$G$40="Yes",Projects!$F$40="Yes",BX$3&gt;=Projects!$C$40,BX$3&lt;Projects!$C$40+Projects!$D$40),Projects!$B$40*(1-SUMPRODUCT((Curves!$B$4:$AR$4)*(COLUMN(Curves!$B$4:$AR$4)-COLUMN(Curves!$B$4)+1&lt;=BX$3-Projects!$C$40+1))),0)+IF(AND(Projects!$G$46="Yes",Projects!$F$46="Yes",BX$3&gt;=Projects!$C$46,BX$3&lt;Projects!$C$46+Projects!$D$46),Projects!$B$46*(1-SUMPRODUCT((Curves!$B$4:$AR$4)*(COLUMN(Curves!$B$4:$AR$4)-COLUMN(Curves!$B$4)+1&lt;=BX$3-Projects!$C$46+1))),0)</f>
        <v>889169.999999999</v>
      </c>
      <c r="BY351" s="13" t="n">
        <f aca="false">IF(AND(Projects!$G$17="Yes",Projects!$F$17="Yes",BY$3&gt;=Projects!$C$17,BY$3&lt;Projects!$C$17+Projects!$D$17),Projects!$B$17*(1-SUMPRODUCT((Curves!$B$4:$AR$4)*(COLUMN(Curves!$B$4:$AR$4)-COLUMN(Curves!$B$4)+1&lt;=BY$3-Projects!$C$17+1))),0)+IF(AND(Projects!$G$18="Yes",Projects!$F$18="Yes",BY$3&gt;=Projects!$C$18,BY$3&lt;Projects!$C$18+Projects!$D$18),Projects!$B$18*(1-SUMPRODUCT((Curves!$B$4:$AR$4)*(COLUMN(Curves!$B$4:$AR$4)-COLUMN(Curves!$B$4)+1&lt;=BY$3-Projects!$C$18+1))),0)+IF(AND(Projects!$G$19="Yes",Projects!$F$19="Yes",BY$3&gt;=Projects!$C$19,BY$3&lt;Projects!$C$19+Projects!$D$19),Projects!$B$19*(1-SUMPRODUCT((Curves!$B$4:$AR$4)*(COLUMN(Curves!$B$4:$AR$4)-COLUMN(Curves!$B$4)+1&lt;=BY$3-Projects!$C$19+1))),0)+IF(AND(Projects!$G$23="Yes",Projects!$F$23="Yes",BY$3&gt;=Projects!$C$23,BY$3&lt;Projects!$C$23+Projects!$D$23),Projects!$B$23*(1-SUMPRODUCT((Curves!$B$4:$AR$4)*(COLUMN(Curves!$B$4:$AR$4)-COLUMN(Curves!$B$4)+1&lt;=BY$3-Projects!$C$23+1))),0)+IF(AND(Projects!$G$28="Yes",Projects!$F$28="Yes",BY$3&gt;=Projects!$C$28,BY$3&lt;Projects!$C$28+Projects!$D$28),Projects!$B$28*(1-SUMPRODUCT((Curves!$B$4:$AR$4)*(COLUMN(Curves!$B$4:$AR$4)-COLUMN(Curves!$B$4)+1&lt;=BY$3-Projects!$C$28+1))),0)+IF(AND(Projects!$G$34="Yes",Projects!$F$34="Yes",BY$3&gt;=Projects!$C$34,BY$3&lt;Projects!$C$34+Projects!$D$34),Projects!$B$34*(1-SUMPRODUCT((Curves!$B$4:$AR$4)*(COLUMN(Curves!$B$4:$AR$4)-COLUMN(Curves!$B$4)+1&lt;=BY$3-Projects!$C$34+1))),0)+IF(AND(Projects!$G$40="Yes",Projects!$F$40="Yes",BY$3&gt;=Projects!$C$40,BY$3&lt;Projects!$C$40+Projects!$D$40),Projects!$B$40*(1-SUMPRODUCT((Curves!$B$4:$AR$4)*(COLUMN(Curves!$B$4:$AR$4)-COLUMN(Curves!$B$4)+1&lt;=BY$3-Projects!$C$40+1))),0)+IF(AND(Projects!$G$46="Yes",Projects!$F$46="Yes",BY$3&gt;=Projects!$C$46,BY$3&lt;Projects!$C$46+Projects!$D$46),Projects!$B$46*(1-SUMPRODUCT((Curves!$B$4:$AR$4)*(COLUMN(Curves!$B$4:$AR$4)-COLUMN(Curves!$B$4)+1&lt;=BY$3-Projects!$C$46+1))),0)</f>
        <v>397755</v>
      </c>
      <c r="BZ351" s="13" t="n">
        <f aca="false">IF(AND(Projects!$G$17="Yes",Projects!$F$17="Yes",BZ$3&gt;=Projects!$C$17,BZ$3&lt;Projects!$C$17+Projects!$D$17),Projects!$B$17*(1-SUMPRODUCT((Curves!$B$4:$AR$4)*(COLUMN(Curves!$B$4:$AR$4)-COLUMN(Curves!$B$4)+1&lt;=BZ$3-Projects!$C$17+1))),0)+IF(AND(Projects!$G$18="Yes",Projects!$F$18="Yes",BZ$3&gt;=Projects!$C$18,BZ$3&lt;Projects!$C$18+Projects!$D$18),Projects!$B$18*(1-SUMPRODUCT((Curves!$B$4:$AR$4)*(COLUMN(Curves!$B$4:$AR$4)-COLUMN(Curves!$B$4)+1&lt;=BZ$3-Projects!$C$18+1))),0)+IF(AND(Projects!$G$19="Yes",Projects!$F$19="Yes",BZ$3&gt;=Projects!$C$19,BZ$3&lt;Projects!$C$19+Projects!$D$19),Projects!$B$19*(1-SUMPRODUCT((Curves!$B$4:$AR$4)*(COLUMN(Curves!$B$4:$AR$4)-COLUMN(Curves!$B$4)+1&lt;=BZ$3-Projects!$C$19+1))),0)+IF(AND(Projects!$G$23="Yes",Projects!$F$23="Yes",BZ$3&gt;=Projects!$C$23,BZ$3&lt;Projects!$C$23+Projects!$D$23),Projects!$B$23*(1-SUMPRODUCT((Curves!$B$4:$AR$4)*(COLUMN(Curves!$B$4:$AR$4)-COLUMN(Curves!$B$4)+1&lt;=BZ$3-Projects!$C$23+1))),0)+IF(AND(Projects!$G$28="Yes",Projects!$F$28="Yes",BZ$3&gt;=Projects!$C$28,BZ$3&lt;Projects!$C$28+Projects!$D$28),Projects!$B$28*(1-SUMPRODUCT((Curves!$B$4:$AR$4)*(COLUMN(Curves!$B$4:$AR$4)-COLUMN(Curves!$B$4)+1&lt;=BZ$3-Projects!$C$28+1))),0)+IF(AND(Projects!$G$34="Yes",Projects!$F$34="Yes",BZ$3&gt;=Projects!$C$34,BZ$3&lt;Projects!$C$34+Projects!$D$34),Projects!$B$34*(1-SUMPRODUCT((Curves!$B$4:$AR$4)*(COLUMN(Curves!$B$4:$AR$4)-COLUMN(Curves!$B$4)+1&lt;=BZ$3-Projects!$C$34+1))),0)+IF(AND(Projects!$G$40="Yes",Projects!$F$40="Yes",BZ$3&gt;=Projects!$C$40,BZ$3&lt;Projects!$C$40+Projects!$D$40),Projects!$B$40*(1-SUMPRODUCT((Curves!$B$4:$AR$4)*(COLUMN(Curves!$B$4:$AR$4)-COLUMN(Curves!$B$4)+1&lt;=BZ$3-Projects!$C$40+1))),0)+IF(AND(Projects!$G$46="Yes",Projects!$F$46="Yes",BZ$3&gt;=Projects!$C$46,BZ$3&lt;Projects!$C$46+Projects!$D$46),Projects!$B$46*(1-SUMPRODUCT((Curves!$B$4:$AR$4)*(COLUMN(Curves!$B$4:$AR$4)-COLUMN(Curves!$B$4)+1&lt;=BZ$3-Projects!$C$46+1))),0)</f>
        <v>0</v>
      </c>
      <c r="CA351" s="13" t="n">
        <f aca="false">IF(AND(Projects!$G$17="Yes",Projects!$F$17="Yes",CA$3&gt;=Projects!$C$17,CA$3&lt;Projects!$C$17+Projects!$D$17),Projects!$B$17*(1-SUMPRODUCT((Curves!$B$4:$AR$4)*(COLUMN(Curves!$B$4:$AR$4)-COLUMN(Curves!$B$4)+1&lt;=CA$3-Projects!$C$17+1))),0)+IF(AND(Projects!$G$18="Yes",Projects!$F$18="Yes",CA$3&gt;=Projects!$C$18,CA$3&lt;Projects!$C$18+Projects!$D$18),Projects!$B$18*(1-SUMPRODUCT((Curves!$B$4:$AR$4)*(COLUMN(Curves!$B$4:$AR$4)-COLUMN(Curves!$B$4)+1&lt;=CA$3-Projects!$C$18+1))),0)+IF(AND(Projects!$G$19="Yes",Projects!$F$19="Yes",CA$3&gt;=Projects!$C$19,CA$3&lt;Projects!$C$19+Projects!$D$19),Projects!$B$19*(1-SUMPRODUCT((Curves!$B$4:$AR$4)*(COLUMN(Curves!$B$4:$AR$4)-COLUMN(Curves!$B$4)+1&lt;=CA$3-Projects!$C$19+1))),0)+IF(AND(Projects!$G$23="Yes",Projects!$F$23="Yes",CA$3&gt;=Projects!$C$23,CA$3&lt;Projects!$C$23+Projects!$D$23),Projects!$B$23*(1-SUMPRODUCT((Curves!$B$4:$AR$4)*(COLUMN(Curves!$B$4:$AR$4)-COLUMN(Curves!$B$4)+1&lt;=CA$3-Projects!$C$23+1))),0)+IF(AND(Projects!$G$28="Yes",Projects!$F$28="Yes",CA$3&gt;=Projects!$C$28,CA$3&lt;Projects!$C$28+Projects!$D$28),Projects!$B$28*(1-SUMPRODUCT((Curves!$B$4:$AR$4)*(COLUMN(Curves!$B$4:$AR$4)-COLUMN(Curves!$B$4)+1&lt;=CA$3-Projects!$C$28+1))),0)+IF(AND(Projects!$G$34="Yes",Projects!$F$34="Yes",CA$3&gt;=Projects!$C$34,CA$3&lt;Projects!$C$34+Projects!$D$34),Projects!$B$34*(1-SUMPRODUCT((Curves!$B$4:$AR$4)*(COLUMN(Curves!$B$4:$AR$4)-COLUMN(Curves!$B$4)+1&lt;=CA$3-Projects!$C$34+1))),0)+IF(AND(Projects!$G$40="Yes",Projects!$F$40="Yes",CA$3&gt;=Projects!$C$40,CA$3&lt;Projects!$C$40+Projects!$D$40),Projects!$B$40*(1-SUMPRODUCT((Curves!$B$4:$AR$4)*(COLUMN(Curves!$B$4:$AR$4)-COLUMN(Curves!$B$4)+1&lt;=CA$3-Projects!$C$40+1))),0)+IF(AND(Projects!$G$46="Yes",Projects!$F$46="Yes",CA$3&gt;=Projects!$C$46,CA$3&lt;Projects!$C$46+Projects!$D$46),Projects!$B$46*(1-SUMPRODUCT((Curves!$B$4:$AR$4)*(COLUMN(Curves!$B$4:$AR$4)-COLUMN(Curves!$B$4)+1&lt;=CA$3-Projects!$C$46+1))),0)</f>
        <v>0</v>
      </c>
      <c r="CB351" s="13" t="n">
        <f aca="false">IF(AND(Projects!$G$17="Yes",Projects!$F$17="Yes",CB$3&gt;=Projects!$C$17,CB$3&lt;Projects!$C$17+Projects!$D$17),Projects!$B$17*(1-SUMPRODUCT((Curves!$B$4:$AR$4)*(COLUMN(Curves!$B$4:$AR$4)-COLUMN(Curves!$B$4)+1&lt;=CB$3-Projects!$C$17+1))),0)+IF(AND(Projects!$G$18="Yes",Projects!$F$18="Yes",CB$3&gt;=Projects!$C$18,CB$3&lt;Projects!$C$18+Projects!$D$18),Projects!$B$18*(1-SUMPRODUCT((Curves!$B$4:$AR$4)*(COLUMN(Curves!$B$4:$AR$4)-COLUMN(Curves!$B$4)+1&lt;=CB$3-Projects!$C$18+1))),0)+IF(AND(Projects!$G$19="Yes",Projects!$F$19="Yes",CB$3&gt;=Projects!$C$19,CB$3&lt;Projects!$C$19+Projects!$D$19),Projects!$B$19*(1-SUMPRODUCT((Curves!$B$4:$AR$4)*(COLUMN(Curves!$B$4:$AR$4)-COLUMN(Curves!$B$4)+1&lt;=CB$3-Projects!$C$19+1))),0)+IF(AND(Projects!$G$23="Yes",Projects!$F$23="Yes",CB$3&gt;=Projects!$C$23,CB$3&lt;Projects!$C$23+Projects!$D$23),Projects!$B$23*(1-SUMPRODUCT((Curves!$B$4:$AR$4)*(COLUMN(Curves!$B$4:$AR$4)-COLUMN(Curves!$B$4)+1&lt;=CB$3-Projects!$C$23+1))),0)+IF(AND(Projects!$G$28="Yes",Projects!$F$28="Yes",CB$3&gt;=Projects!$C$28,CB$3&lt;Projects!$C$28+Projects!$D$28),Projects!$B$28*(1-SUMPRODUCT((Curves!$B$4:$AR$4)*(COLUMN(Curves!$B$4:$AR$4)-COLUMN(Curves!$B$4)+1&lt;=CB$3-Projects!$C$28+1))),0)+IF(AND(Projects!$G$34="Yes",Projects!$F$34="Yes",CB$3&gt;=Projects!$C$34,CB$3&lt;Projects!$C$34+Projects!$D$34),Projects!$B$34*(1-SUMPRODUCT((Curves!$B$4:$AR$4)*(COLUMN(Curves!$B$4:$AR$4)-COLUMN(Curves!$B$4)+1&lt;=CB$3-Projects!$C$34+1))),0)+IF(AND(Projects!$G$40="Yes",Projects!$F$40="Yes",CB$3&gt;=Projects!$C$40,CB$3&lt;Projects!$C$40+Projects!$D$40),Projects!$B$40*(1-SUMPRODUCT((Curves!$B$4:$AR$4)*(COLUMN(Curves!$B$4:$AR$4)-COLUMN(Curves!$B$4)+1&lt;=CB$3-Projects!$C$40+1))),0)+IF(AND(Projects!$G$46="Yes",Projects!$F$46="Yes",CB$3&gt;=Projects!$C$46,CB$3&lt;Projects!$C$46+Projects!$D$46),Projects!$B$46*(1-SUMPRODUCT((Curves!$B$4:$AR$4)*(COLUMN(Curves!$B$4:$AR$4)-COLUMN(Curves!$B$4)+1&lt;=CB$3-Projects!$C$46+1))),0)</f>
        <v>0</v>
      </c>
      <c r="CC351" s="13" t="n">
        <f aca="false">IF(AND(Projects!$G$17="Yes",Projects!$F$17="Yes",CC$3&gt;=Projects!$C$17,CC$3&lt;Projects!$C$17+Projects!$D$17),Projects!$B$17*(1-SUMPRODUCT((Curves!$B$4:$AR$4)*(COLUMN(Curves!$B$4:$AR$4)-COLUMN(Curves!$B$4)+1&lt;=CC$3-Projects!$C$17+1))),0)+IF(AND(Projects!$G$18="Yes",Projects!$F$18="Yes",CC$3&gt;=Projects!$C$18,CC$3&lt;Projects!$C$18+Projects!$D$18),Projects!$B$18*(1-SUMPRODUCT((Curves!$B$4:$AR$4)*(COLUMN(Curves!$B$4:$AR$4)-COLUMN(Curves!$B$4)+1&lt;=CC$3-Projects!$C$18+1))),0)+IF(AND(Projects!$G$19="Yes",Projects!$F$19="Yes",CC$3&gt;=Projects!$C$19,CC$3&lt;Projects!$C$19+Projects!$D$19),Projects!$B$19*(1-SUMPRODUCT((Curves!$B$4:$AR$4)*(COLUMN(Curves!$B$4:$AR$4)-COLUMN(Curves!$B$4)+1&lt;=CC$3-Projects!$C$19+1))),0)+IF(AND(Projects!$G$23="Yes",Projects!$F$23="Yes",CC$3&gt;=Projects!$C$23,CC$3&lt;Projects!$C$23+Projects!$D$23),Projects!$B$23*(1-SUMPRODUCT((Curves!$B$4:$AR$4)*(COLUMN(Curves!$B$4:$AR$4)-COLUMN(Curves!$B$4)+1&lt;=CC$3-Projects!$C$23+1))),0)+IF(AND(Projects!$G$28="Yes",Projects!$F$28="Yes",CC$3&gt;=Projects!$C$28,CC$3&lt;Projects!$C$28+Projects!$D$28),Projects!$B$28*(1-SUMPRODUCT((Curves!$B$4:$AR$4)*(COLUMN(Curves!$B$4:$AR$4)-COLUMN(Curves!$B$4)+1&lt;=CC$3-Projects!$C$28+1))),0)+IF(AND(Projects!$G$34="Yes",Projects!$F$34="Yes",CC$3&gt;=Projects!$C$34,CC$3&lt;Projects!$C$34+Projects!$D$34),Projects!$B$34*(1-SUMPRODUCT((Curves!$B$4:$AR$4)*(COLUMN(Curves!$B$4:$AR$4)-COLUMN(Curves!$B$4)+1&lt;=CC$3-Projects!$C$34+1))),0)+IF(AND(Projects!$G$40="Yes",Projects!$F$40="Yes",CC$3&gt;=Projects!$C$40,CC$3&lt;Projects!$C$40+Projects!$D$40),Projects!$B$40*(1-SUMPRODUCT((Curves!$B$4:$AR$4)*(COLUMN(Curves!$B$4:$AR$4)-COLUMN(Curves!$B$4)+1&lt;=CC$3-Projects!$C$40+1))),0)+IF(AND(Projects!$G$46="Yes",Projects!$F$46="Yes",CC$3&gt;=Projects!$C$46,CC$3&lt;Projects!$C$46+Projects!$D$46),Projects!$B$46*(1-SUMPRODUCT((Curves!$B$4:$AR$4)*(COLUMN(Curves!$B$4:$AR$4)-COLUMN(Curves!$B$4)+1&lt;=CC$3-Projects!$C$46+1))),0)</f>
        <v>0</v>
      </c>
      <c r="CD351" s="13" t="n">
        <f aca="false">IF(AND(Projects!$G$17="Yes",Projects!$F$17="Yes",CD$3&gt;=Projects!$C$17,CD$3&lt;Projects!$C$17+Projects!$D$17),Projects!$B$17*(1-SUMPRODUCT((Curves!$B$4:$AR$4)*(COLUMN(Curves!$B$4:$AR$4)-COLUMN(Curves!$B$4)+1&lt;=CD$3-Projects!$C$17+1))),0)+IF(AND(Projects!$G$18="Yes",Projects!$F$18="Yes",CD$3&gt;=Projects!$C$18,CD$3&lt;Projects!$C$18+Projects!$D$18),Projects!$B$18*(1-SUMPRODUCT((Curves!$B$4:$AR$4)*(COLUMN(Curves!$B$4:$AR$4)-COLUMN(Curves!$B$4)+1&lt;=CD$3-Projects!$C$18+1))),0)+IF(AND(Projects!$G$19="Yes",Projects!$F$19="Yes",CD$3&gt;=Projects!$C$19,CD$3&lt;Projects!$C$19+Projects!$D$19),Projects!$B$19*(1-SUMPRODUCT((Curves!$B$4:$AR$4)*(COLUMN(Curves!$B$4:$AR$4)-COLUMN(Curves!$B$4)+1&lt;=CD$3-Projects!$C$19+1))),0)+IF(AND(Projects!$G$23="Yes",Projects!$F$23="Yes",CD$3&gt;=Projects!$C$23,CD$3&lt;Projects!$C$23+Projects!$D$23),Projects!$B$23*(1-SUMPRODUCT((Curves!$B$4:$AR$4)*(COLUMN(Curves!$B$4:$AR$4)-COLUMN(Curves!$B$4)+1&lt;=CD$3-Projects!$C$23+1))),0)+IF(AND(Projects!$G$28="Yes",Projects!$F$28="Yes",CD$3&gt;=Projects!$C$28,CD$3&lt;Projects!$C$28+Projects!$D$28),Projects!$B$28*(1-SUMPRODUCT((Curves!$B$4:$AR$4)*(COLUMN(Curves!$B$4:$AR$4)-COLUMN(Curves!$B$4)+1&lt;=CD$3-Projects!$C$28+1))),0)+IF(AND(Projects!$G$34="Yes",Projects!$F$34="Yes",CD$3&gt;=Projects!$C$34,CD$3&lt;Projects!$C$34+Projects!$D$34),Projects!$B$34*(1-SUMPRODUCT((Curves!$B$4:$AR$4)*(COLUMN(Curves!$B$4:$AR$4)-COLUMN(Curves!$B$4)+1&lt;=CD$3-Projects!$C$34+1))),0)+IF(AND(Projects!$G$40="Yes",Projects!$F$40="Yes",CD$3&gt;=Projects!$C$40,CD$3&lt;Projects!$C$40+Projects!$D$40),Projects!$B$40*(1-SUMPRODUCT((Curves!$B$4:$AR$4)*(COLUMN(Curves!$B$4:$AR$4)-COLUMN(Curves!$B$4)+1&lt;=CD$3-Projects!$C$40+1))),0)+IF(AND(Projects!$G$46="Yes",Projects!$F$46="Yes",CD$3&gt;=Projects!$C$46,CD$3&lt;Projects!$C$46+Projects!$D$46),Projects!$B$46*(1-SUMPRODUCT((Curves!$B$4:$AR$4)*(COLUMN(Curves!$B$4:$AR$4)-COLUMN(Curves!$B$4)+1&lt;=CD$3-Projects!$C$46+1))),0)</f>
        <v>0</v>
      </c>
      <c r="CE351" s="13" t="n">
        <f aca="false">IF(AND(Projects!$G$17="Yes",Projects!$F$17="Yes",CE$3&gt;=Projects!$C$17,CE$3&lt;Projects!$C$17+Projects!$D$17),Projects!$B$17*(1-SUMPRODUCT((Curves!$B$4:$AR$4)*(COLUMN(Curves!$B$4:$AR$4)-COLUMN(Curves!$B$4)+1&lt;=CE$3-Projects!$C$17+1))),0)+IF(AND(Projects!$G$18="Yes",Projects!$F$18="Yes",CE$3&gt;=Projects!$C$18,CE$3&lt;Projects!$C$18+Projects!$D$18),Projects!$B$18*(1-SUMPRODUCT((Curves!$B$4:$AR$4)*(COLUMN(Curves!$B$4:$AR$4)-COLUMN(Curves!$B$4)+1&lt;=CE$3-Projects!$C$18+1))),0)+IF(AND(Projects!$G$19="Yes",Projects!$F$19="Yes",CE$3&gt;=Projects!$C$19,CE$3&lt;Projects!$C$19+Projects!$D$19),Projects!$B$19*(1-SUMPRODUCT((Curves!$B$4:$AR$4)*(COLUMN(Curves!$B$4:$AR$4)-COLUMN(Curves!$B$4)+1&lt;=CE$3-Projects!$C$19+1))),0)+IF(AND(Projects!$G$23="Yes",Projects!$F$23="Yes",CE$3&gt;=Projects!$C$23,CE$3&lt;Projects!$C$23+Projects!$D$23),Projects!$B$23*(1-SUMPRODUCT((Curves!$B$4:$AR$4)*(COLUMN(Curves!$B$4:$AR$4)-COLUMN(Curves!$B$4)+1&lt;=CE$3-Projects!$C$23+1))),0)+IF(AND(Projects!$G$28="Yes",Projects!$F$28="Yes",CE$3&gt;=Projects!$C$28,CE$3&lt;Projects!$C$28+Projects!$D$28),Projects!$B$28*(1-SUMPRODUCT((Curves!$B$4:$AR$4)*(COLUMN(Curves!$B$4:$AR$4)-COLUMN(Curves!$B$4)+1&lt;=CE$3-Projects!$C$28+1))),0)+IF(AND(Projects!$G$34="Yes",Projects!$F$34="Yes",CE$3&gt;=Projects!$C$34,CE$3&lt;Projects!$C$34+Projects!$D$34),Projects!$B$34*(1-SUMPRODUCT((Curves!$B$4:$AR$4)*(COLUMN(Curves!$B$4:$AR$4)-COLUMN(Curves!$B$4)+1&lt;=CE$3-Projects!$C$34+1))),0)+IF(AND(Projects!$G$40="Yes",Projects!$F$40="Yes",CE$3&gt;=Projects!$C$40,CE$3&lt;Projects!$C$40+Projects!$D$40),Projects!$B$40*(1-SUMPRODUCT((Curves!$B$4:$AR$4)*(COLUMN(Curves!$B$4:$AR$4)-COLUMN(Curves!$B$4)+1&lt;=CE$3-Projects!$C$40+1))),0)+IF(AND(Projects!$G$46="Yes",Projects!$F$46="Yes",CE$3&gt;=Projects!$C$46,CE$3&lt;Projects!$C$46+Projects!$D$46),Projects!$B$46*(1-SUMPRODUCT((Curves!$B$4:$AR$4)*(COLUMN(Curves!$B$4:$AR$4)-COLUMN(Curves!$B$4)+1&lt;=CE$3-Projects!$C$46+1))),0)</f>
        <v>0</v>
      </c>
      <c r="CF351" s="13" t="n">
        <f aca="false">IF(AND(Projects!$G$17="Yes",Projects!$F$17="Yes",CF$3&gt;=Projects!$C$17,CF$3&lt;Projects!$C$17+Projects!$D$17),Projects!$B$17*(1-SUMPRODUCT((Curves!$B$4:$AR$4)*(COLUMN(Curves!$B$4:$AR$4)-COLUMN(Curves!$B$4)+1&lt;=CF$3-Projects!$C$17+1))),0)+IF(AND(Projects!$G$18="Yes",Projects!$F$18="Yes",CF$3&gt;=Projects!$C$18,CF$3&lt;Projects!$C$18+Projects!$D$18),Projects!$B$18*(1-SUMPRODUCT((Curves!$B$4:$AR$4)*(COLUMN(Curves!$B$4:$AR$4)-COLUMN(Curves!$B$4)+1&lt;=CF$3-Projects!$C$18+1))),0)+IF(AND(Projects!$G$19="Yes",Projects!$F$19="Yes",CF$3&gt;=Projects!$C$19,CF$3&lt;Projects!$C$19+Projects!$D$19),Projects!$B$19*(1-SUMPRODUCT((Curves!$B$4:$AR$4)*(COLUMN(Curves!$B$4:$AR$4)-COLUMN(Curves!$B$4)+1&lt;=CF$3-Projects!$C$19+1))),0)+IF(AND(Projects!$G$23="Yes",Projects!$F$23="Yes",CF$3&gt;=Projects!$C$23,CF$3&lt;Projects!$C$23+Projects!$D$23),Projects!$B$23*(1-SUMPRODUCT((Curves!$B$4:$AR$4)*(COLUMN(Curves!$B$4:$AR$4)-COLUMN(Curves!$B$4)+1&lt;=CF$3-Projects!$C$23+1))),0)+IF(AND(Projects!$G$28="Yes",Projects!$F$28="Yes",CF$3&gt;=Projects!$C$28,CF$3&lt;Projects!$C$28+Projects!$D$28),Projects!$B$28*(1-SUMPRODUCT((Curves!$B$4:$AR$4)*(COLUMN(Curves!$B$4:$AR$4)-COLUMN(Curves!$B$4)+1&lt;=CF$3-Projects!$C$28+1))),0)+IF(AND(Projects!$G$34="Yes",Projects!$F$34="Yes",CF$3&gt;=Projects!$C$34,CF$3&lt;Projects!$C$34+Projects!$D$34),Projects!$B$34*(1-SUMPRODUCT((Curves!$B$4:$AR$4)*(COLUMN(Curves!$B$4:$AR$4)-COLUMN(Curves!$B$4)+1&lt;=CF$3-Projects!$C$34+1))),0)+IF(AND(Projects!$G$40="Yes",Projects!$F$40="Yes",CF$3&gt;=Projects!$C$40,CF$3&lt;Projects!$C$40+Projects!$D$40),Projects!$B$40*(1-SUMPRODUCT((Curves!$B$4:$AR$4)*(COLUMN(Curves!$B$4:$AR$4)-COLUMN(Curves!$B$4)+1&lt;=CF$3-Projects!$C$40+1))),0)+IF(AND(Projects!$G$46="Yes",Projects!$F$46="Yes",CF$3&gt;=Projects!$C$46,CF$3&lt;Projects!$C$46+Projects!$D$46),Projects!$B$46*(1-SUMPRODUCT((Curves!$B$4:$AR$4)*(COLUMN(Curves!$B$4:$AR$4)-COLUMN(Curves!$B$4)+1&lt;=CF$3-Projects!$C$46+1))),0)</f>
        <v>0</v>
      </c>
      <c r="CG351" s="13" t="n">
        <f aca="false">IF(AND(Projects!$G$17="Yes",Projects!$F$17="Yes",CG$3&gt;=Projects!$C$17,CG$3&lt;Projects!$C$17+Projects!$D$17),Projects!$B$17*(1-SUMPRODUCT((Curves!$B$4:$AR$4)*(COLUMN(Curves!$B$4:$AR$4)-COLUMN(Curves!$B$4)+1&lt;=CG$3-Projects!$C$17+1))),0)+IF(AND(Projects!$G$18="Yes",Projects!$F$18="Yes",CG$3&gt;=Projects!$C$18,CG$3&lt;Projects!$C$18+Projects!$D$18),Projects!$B$18*(1-SUMPRODUCT((Curves!$B$4:$AR$4)*(COLUMN(Curves!$B$4:$AR$4)-COLUMN(Curves!$B$4)+1&lt;=CG$3-Projects!$C$18+1))),0)+IF(AND(Projects!$G$19="Yes",Projects!$F$19="Yes",CG$3&gt;=Projects!$C$19,CG$3&lt;Projects!$C$19+Projects!$D$19),Projects!$B$19*(1-SUMPRODUCT((Curves!$B$4:$AR$4)*(COLUMN(Curves!$B$4:$AR$4)-COLUMN(Curves!$B$4)+1&lt;=CG$3-Projects!$C$19+1))),0)+IF(AND(Projects!$G$23="Yes",Projects!$F$23="Yes",CG$3&gt;=Projects!$C$23,CG$3&lt;Projects!$C$23+Projects!$D$23),Projects!$B$23*(1-SUMPRODUCT((Curves!$B$4:$AR$4)*(COLUMN(Curves!$B$4:$AR$4)-COLUMN(Curves!$B$4)+1&lt;=CG$3-Projects!$C$23+1))),0)+IF(AND(Projects!$G$28="Yes",Projects!$F$28="Yes",CG$3&gt;=Projects!$C$28,CG$3&lt;Projects!$C$28+Projects!$D$28),Projects!$B$28*(1-SUMPRODUCT((Curves!$B$4:$AR$4)*(COLUMN(Curves!$B$4:$AR$4)-COLUMN(Curves!$B$4)+1&lt;=CG$3-Projects!$C$28+1))),0)+IF(AND(Projects!$G$34="Yes",Projects!$F$34="Yes",CG$3&gt;=Projects!$C$34,CG$3&lt;Projects!$C$34+Projects!$D$34),Projects!$B$34*(1-SUMPRODUCT((Curves!$B$4:$AR$4)*(COLUMN(Curves!$B$4:$AR$4)-COLUMN(Curves!$B$4)+1&lt;=CG$3-Projects!$C$34+1))),0)+IF(AND(Projects!$G$40="Yes",Projects!$F$40="Yes",CG$3&gt;=Projects!$C$40,CG$3&lt;Projects!$C$40+Projects!$D$40),Projects!$B$40*(1-SUMPRODUCT((Curves!$B$4:$AR$4)*(COLUMN(Curves!$B$4:$AR$4)-COLUMN(Curves!$B$4)+1&lt;=CG$3-Projects!$C$40+1))),0)+IF(AND(Projects!$G$46="Yes",Projects!$F$46="Yes",CG$3&gt;=Projects!$C$46,CG$3&lt;Projects!$C$46+Projects!$D$46),Projects!$B$46*(1-SUMPRODUCT((Curves!$B$4:$AR$4)*(COLUMN(Curves!$B$4:$AR$4)-COLUMN(Curves!$B$4)+1&lt;=CG$3-Projects!$C$46+1))),0)</f>
        <v>0</v>
      </c>
      <c r="CH351" s="13" t="n">
        <f aca="false">IF(AND(Projects!$G$17="Yes",Projects!$F$17="Yes",CH$3&gt;=Projects!$C$17,CH$3&lt;Projects!$C$17+Projects!$D$17),Projects!$B$17*(1-SUMPRODUCT((Curves!$B$4:$AR$4)*(COLUMN(Curves!$B$4:$AR$4)-COLUMN(Curves!$B$4)+1&lt;=CH$3-Projects!$C$17+1))),0)+IF(AND(Projects!$G$18="Yes",Projects!$F$18="Yes",CH$3&gt;=Projects!$C$18,CH$3&lt;Projects!$C$18+Projects!$D$18),Projects!$B$18*(1-SUMPRODUCT((Curves!$B$4:$AR$4)*(COLUMN(Curves!$B$4:$AR$4)-COLUMN(Curves!$B$4)+1&lt;=CH$3-Projects!$C$18+1))),0)+IF(AND(Projects!$G$19="Yes",Projects!$F$19="Yes",CH$3&gt;=Projects!$C$19,CH$3&lt;Projects!$C$19+Projects!$D$19),Projects!$B$19*(1-SUMPRODUCT((Curves!$B$4:$AR$4)*(COLUMN(Curves!$B$4:$AR$4)-COLUMN(Curves!$B$4)+1&lt;=CH$3-Projects!$C$19+1))),0)+IF(AND(Projects!$G$23="Yes",Projects!$F$23="Yes",CH$3&gt;=Projects!$C$23,CH$3&lt;Projects!$C$23+Projects!$D$23),Projects!$B$23*(1-SUMPRODUCT((Curves!$B$4:$AR$4)*(COLUMN(Curves!$B$4:$AR$4)-COLUMN(Curves!$B$4)+1&lt;=CH$3-Projects!$C$23+1))),0)+IF(AND(Projects!$G$28="Yes",Projects!$F$28="Yes",CH$3&gt;=Projects!$C$28,CH$3&lt;Projects!$C$28+Projects!$D$28),Projects!$B$28*(1-SUMPRODUCT((Curves!$B$4:$AR$4)*(COLUMN(Curves!$B$4:$AR$4)-COLUMN(Curves!$B$4)+1&lt;=CH$3-Projects!$C$28+1))),0)+IF(AND(Projects!$G$34="Yes",Projects!$F$34="Yes",CH$3&gt;=Projects!$C$34,CH$3&lt;Projects!$C$34+Projects!$D$34),Projects!$B$34*(1-SUMPRODUCT((Curves!$B$4:$AR$4)*(COLUMN(Curves!$B$4:$AR$4)-COLUMN(Curves!$B$4)+1&lt;=CH$3-Projects!$C$34+1))),0)+IF(AND(Projects!$G$40="Yes",Projects!$F$40="Yes",CH$3&gt;=Projects!$C$40,CH$3&lt;Projects!$C$40+Projects!$D$40),Projects!$B$40*(1-SUMPRODUCT((Curves!$B$4:$AR$4)*(COLUMN(Curves!$B$4:$AR$4)-COLUMN(Curves!$B$4)+1&lt;=CH$3-Projects!$C$40+1))),0)+IF(AND(Projects!$G$46="Yes",Projects!$F$46="Yes",CH$3&gt;=Projects!$C$46,CH$3&lt;Projects!$C$46+Projects!$D$46),Projects!$B$46*(1-SUMPRODUCT((Curves!$B$4:$AR$4)*(COLUMN(Curves!$B$4:$AR$4)-COLUMN(Curves!$B$4)+1&lt;=CH$3-Projects!$C$46+1))),0)</f>
        <v>0</v>
      </c>
      <c r="CI351" s="13" t="n">
        <f aca="false">IF(AND(Projects!$G$17="Yes",Projects!$F$17="Yes",CI$3&gt;=Projects!$C$17,CI$3&lt;Projects!$C$17+Projects!$D$17),Projects!$B$17*(1-SUMPRODUCT((Curves!$B$4:$AR$4)*(COLUMN(Curves!$B$4:$AR$4)-COLUMN(Curves!$B$4)+1&lt;=CI$3-Projects!$C$17+1))),0)+IF(AND(Projects!$G$18="Yes",Projects!$F$18="Yes",CI$3&gt;=Projects!$C$18,CI$3&lt;Projects!$C$18+Projects!$D$18),Projects!$B$18*(1-SUMPRODUCT((Curves!$B$4:$AR$4)*(COLUMN(Curves!$B$4:$AR$4)-COLUMN(Curves!$B$4)+1&lt;=CI$3-Projects!$C$18+1))),0)+IF(AND(Projects!$G$19="Yes",Projects!$F$19="Yes",CI$3&gt;=Projects!$C$19,CI$3&lt;Projects!$C$19+Projects!$D$19),Projects!$B$19*(1-SUMPRODUCT((Curves!$B$4:$AR$4)*(COLUMN(Curves!$B$4:$AR$4)-COLUMN(Curves!$B$4)+1&lt;=CI$3-Projects!$C$19+1))),0)+IF(AND(Projects!$G$23="Yes",Projects!$F$23="Yes",CI$3&gt;=Projects!$C$23,CI$3&lt;Projects!$C$23+Projects!$D$23),Projects!$B$23*(1-SUMPRODUCT((Curves!$B$4:$AR$4)*(COLUMN(Curves!$B$4:$AR$4)-COLUMN(Curves!$B$4)+1&lt;=CI$3-Projects!$C$23+1))),0)+IF(AND(Projects!$G$28="Yes",Projects!$F$28="Yes",CI$3&gt;=Projects!$C$28,CI$3&lt;Projects!$C$28+Projects!$D$28),Projects!$B$28*(1-SUMPRODUCT((Curves!$B$4:$AR$4)*(COLUMN(Curves!$B$4:$AR$4)-COLUMN(Curves!$B$4)+1&lt;=CI$3-Projects!$C$28+1))),0)+IF(AND(Projects!$G$34="Yes",Projects!$F$34="Yes",CI$3&gt;=Projects!$C$34,CI$3&lt;Projects!$C$34+Projects!$D$34),Projects!$B$34*(1-SUMPRODUCT((Curves!$B$4:$AR$4)*(COLUMN(Curves!$B$4:$AR$4)-COLUMN(Curves!$B$4)+1&lt;=CI$3-Projects!$C$34+1))),0)+IF(AND(Projects!$G$40="Yes",Projects!$F$40="Yes",CI$3&gt;=Projects!$C$40,CI$3&lt;Projects!$C$40+Projects!$D$40),Projects!$B$40*(1-SUMPRODUCT((Curves!$B$4:$AR$4)*(COLUMN(Curves!$B$4:$AR$4)-COLUMN(Curves!$B$4)+1&lt;=CI$3-Projects!$C$40+1))),0)+IF(AND(Projects!$G$46="Yes",Projects!$F$46="Yes",CI$3&gt;=Projects!$C$46,CI$3&lt;Projects!$C$46+Projects!$D$46),Projects!$B$46*(1-SUMPRODUCT((Curves!$B$4:$AR$4)*(COLUMN(Curves!$B$4:$AR$4)-COLUMN(Curves!$B$4)+1&lt;=CI$3-Projects!$C$46+1))),0)</f>
        <v>0</v>
      </c>
      <c r="CJ351" s="13" t="n">
        <f aca="false">IF(AND(Projects!$G$17="Yes",Projects!$F$17="Yes",CJ$3&gt;=Projects!$C$17,CJ$3&lt;Projects!$C$17+Projects!$D$17),Projects!$B$17*(1-SUMPRODUCT((Curves!$B$4:$AR$4)*(COLUMN(Curves!$B$4:$AR$4)-COLUMN(Curves!$B$4)+1&lt;=CJ$3-Projects!$C$17+1))),0)+IF(AND(Projects!$G$18="Yes",Projects!$F$18="Yes",CJ$3&gt;=Projects!$C$18,CJ$3&lt;Projects!$C$18+Projects!$D$18),Projects!$B$18*(1-SUMPRODUCT((Curves!$B$4:$AR$4)*(COLUMN(Curves!$B$4:$AR$4)-COLUMN(Curves!$B$4)+1&lt;=CJ$3-Projects!$C$18+1))),0)+IF(AND(Projects!$G$19="Yes",Projects!$F$19="Yes",CJ$3&gt;=Projects!$C$19,CJ$3&lt;Projects!$C$19+Projects!$D$19),Projects!$B$19*(1-SUMPRODUCT((Curves!$B$4:$AR$4)*(COLUMN(Curves!$B$4:$AR$4)-COLUMN(Curves!$B$4)+1&lt;=CJ$3-Projects!$C$19+1))),0)+IF(AND(Projects!$G$23="Yes",Projects!$F$23="Yes",CJ$3&gt;=Projects!$C$23,CJ$3&lt;Projects!$C$23+Projects!$D$23),Projects!$B$23*(1-SUMPRODUCT((Curves!$B$4:$AR$4)*(COLUMN(Curves!$B$4:$AR$4)-COLUMN(Curves!$B$4)+1&lt;=CJ$3-Projects!$C$23+1))),0)+IF(AND(Projects!$G$28="Yes",Projects!$F$28="Yes",CJ$3&gt;=Projects!$C$28,CJ$3&lt;Projects!$C$28+Projects!$D$28),Projects!$B$28*(1-SUMPRODUCT((Curves!$B$4:$AR$4)*(COLUMN(Curves!$B$4:$AR$4)-COLUMN(Curves!$B$4)+1&lt;=CJ$3-Projects!$C$28+1))),0)+IF(AND(Projects!$G$34="Yes",Projects!$F$34="Yes",CJ$3&gt;=Projects!$C$34,CJ$3&lt;Projects!$C$34+Projects!$D$34),Projects!$B$34*(1-SUMPRODUCT((Curves!$B$4:$AR$4)*(COLUMN(Curves!$B$4:$AR$4)-COLUMN(Curves!$B$4)+1&lt;=CJ$3-Projects!$C$34+1))),0)+IF(AND(Projects!$G$40="Yes",Projects!$F$40="Yes",CJ$3&gt;=Projects!$C$40,CJ$3&lt;Projects!$C$40+Projects!$D$40),Projects!$B$40*(1-SUMPRODUCT((Curves!$B$4:$AR$4)*(COLUMN(Curves!$B$4:$AR$4)-COLUMN(Curves!$B$4)+1&lt;=CJ$3-Projects!$C$40+1))),0)+IF(AND(Projects!$G$46="Yes",Projects!$F$46="Yes",CJ$3&gt;=Projects!$C$46,CJ$3&lt;Projects!$C$46+Projects!$D$46),Projects!$B$46*(1-SUMPRODUCT((Curves!$B$4:$AR$4)*(COLUMN(Curves!$B$4:$AR$4)-COLUMN(Curves!$B$4)+1&lt;=CJ$3-Projects!$C$46+1))),0)</f>
        <v>0</v>
      </c>
      <c r="CK351" s="13" t="n">
        <f aca="false">IF(AND(Projects!$G$17="Yes",Projects!$F$17="Yes",CK$3&gt;=Projects!$C$17,CK$3&lt;Projects!$C$17+Projects!$D$17),Projects!$B$17*(1-SUMPRODUCT((Curves!$B$4:$AR$4)*(COLUMN(Curves!$B$4:$AR$4)-COLUMN(Curves!$B$4)+1&lt;=CK$3-Projects!$C$17+1))),0)+IF(AND(Projects!$G$18="Yes",Projects!$F$18="Yes",CK$3&gt;=Projects!$C$18,CK$3&lt;Projects!$C$18+Projects!$D$18),Projects!$B$18*(1-SUMPRODUCT((Curves!$B$4:$AR$4)*(COLUMN(Curves!$B$4:$AR$4)-COLUMN(Curves!$B$4)+1&lt;=CK$3-Projects!$C$18+1))),0)+IF(AND(Projects!$G$19="Yes",Projects!$F$19="Yes",CK$3&gt;=Projects!$C$19,CK$3&lt;Projects!$C$19+Projects!$D$19),Projects!$B$19*(1-SUMPRODUCT((Curves!$B$4:$AR$4)*(COLUMN(Curves!$B$4:$AR$4)-COLUMN(Curves!$B$4)+1&lt;=CK$3-Projects!$C$19+1))),0)+IF(AND(Projects!$G$23="Yes",Projects!$F$23="Yes",CK$3&gt;=Projects!$C$23,CK$3&lt;Projects!$C$23+Projects!$D$23),Projects!$B$23*(1-SUMPRODUCT((Curves!$B$4:$AR$4)*(COLUMN(Curves!$B$4:$AR$4)-COLUMN(Curves!$B$4)+1&lt;=CK$3-Projects!$C$23+1))),0)+IF(AND(Projects!$G$28="Yes",Projects!$F$28="Yes",CK$3&gt;=Projects!$C$28,CK$3&lt;Projects!$C$28+Projects!$D$28),Projects!$B$28*(1-SUMPRODUCT((Curves!$B$4:$AR$4)*(COLUMN(Curves!$B$4:$AR$4)-COLUMN(Curves!$B$4)+1&lt;=CK$3-Projects!$C$28+1))),0)+IF(AND(Projects!$G$34="Yes",Projects!$F$34="Yes",CK$3&gt;=Projects!$C$34,CK$3&lt;Projects!$C$34+Projects!$D$34),Projects!$B$34*(1-SUMPRODUCT((Curves!$B$4:$AR$4)*(COLUMN(Curves!$B$4:$AR$4)-COLUMN(Curves!$B$4)+1&lt;=CK$3-Projects!$C$34+1))),0)+IF(AND(Projects!$G$40="Yes",Projects!$F$40="Yes",CK$3&gt;=Projects!$C$40,CK$3&lt;Projects!$C$40+Projects!$D$40),Projects!$B$40*(1-SUMPRODUCT((Curves!$B$4:$AR$4)*(COLUMN(Curves!$B$4:$AR$4)-COLUMN(Curves!$B$4)+1&lt;=CK$3-Projects!$C$40+1))),0)+IF(AND(Projects!$G$46="Yes",Projects!$F$46="Yes",CK$3&gt;=Projects!$C$46,CK$3&lt;Projects!$C$46+Projects!$D$46),Projects!$B$46*(1-SUMPRODUCT((Curves!$B$4:$AR$4)*(COLUMN(Curves!$B$4:$AR$4)-COLUMN(Curves!$B$4)+1&lt;=CK$3-Projects!$C$46+1))),0)</f>
        <v>0</v>
      </c>
      <c r="CL351" s="13" t="n">
        <f aca="false">IF(AND(Projects!$G$17="Yes",Projects!$F$17="Yes",CL$3&gt;=Projects!$C$17,CL$3&lt;Projects!$C$17+Projects!$D$17),Projects!$B$17*(1-SUMPRODUCT((Curves!$B$4:$AR$4)*(COLUMN(Curves!$B$4:$AR$4)-COLUMN(Curves!$B$4)+1&lt;=CL$3-Projects!$C$17+1))),0)+IF(AND(Projects!$G$18="Yes",Projects!$F$18="Yes",CL$3&gt;=Projects!$C$18,CL$3&lt;Projects!$C$18+Projects!$D$18),Projects!$B$18*(1-SUMPRODUCT((Curves!$B$4:$AR$4)*(COLUMN(Curves!$B$4:$AR$4)-COLUMN(Curves!$B$4)+1&lt;=CL$3-Projects!$C$18+1))),0)+IF(AND(Projects!$G$19="Yes",Projects!$F$19="Yes",CL$3&gt;=Projects!$C$19,CL$3&lt;Projects!$C$19+Projects!$D$19),Projects!$B$19*(1-SUMPRODUCT((Curves!$B$4:$AR$4)*(COLUMN(Curves!$B$4:$AR$4)-COLUMN(Curves!$B$4)+1&lt;=CL$3-Projects!$C$19+1))),0)+IF(AND(Projects!$G$23="Yes",Projects!$F$23="Yes",CL$3&gt;=Projects!$C$23,CL$3&lt;Projects!$C$23+Projects!$D$23),Projects!$B$23*(1-SUMPRODUCT((Curves!$B$4:$AR$4)*(COLUMN(Curves!$B$4:$AR$4)-COLUMN(Curves!$B$4)+1&lt;=CL$3-Projects!$C$23+1))),0)+IF(AND(Projects!$G$28="Yes",Projects!$F$28="Yes",CL$3&gt;=Projects!$C$28,CL$3&lt;Projects!$C$28+Projects!$D$28),Projects!$B$28*(1-SUMPRODUCT((Curves!$B$4:$AR$4)*(COLUMN(Curves!$B$4:$AR$4)-COLUMN(Curves!$B$4)+1&lt;=CL$3-Projects!$C$28+1))),0)+IF(AND(Projects!$G$34="Yes",Projects!$F$34="Yes",CL$3&gt;=Projects!$C$34,CL$3&lt;Projects!$C$34+Projects!$D$34),Projects!$B$34*(1-SUMPRODUCT((Curves!$B$4:$AR$4)*(COLUMN(Curves!$B$4:$AR$4)-COLUMN(Curves!$B$4)+1&lt;=CL$3-Projects!$C$34+1))),0)+IF(AND(Projects!$G$40="Yes",Projects!$F$40="Yes",CL$3&gt;=Projects!$C$40,CL$3&lt;Projects!$C$40+Projects!$D$40),Projects!$B$40*(1-SUMPRODUCT((Curves!$B$4:$AR$4)*(COLUMN(Curves!$B$4:$AR$4)-COLUMN(Curves!$B$4)+1&lt;=CL$3-Projects!$C$40+1))),0)+IF(AND(Projects!$G$46="Yes",Projects!$F$46="Yes",CL$3&gt;=Projects!$C$46,CL$3&lt;Projects!$C$46+Projects!$D$46),Projects!$B$46*(1-SUMPRODUCT((Curves!$B$4:$AR$4)*(COLUMN(Curves!$B$4:$AR$4)-COLUMN(Curves!$B$4)+1&lt;=CL$3-Projects!$C$46+1))),0)</f>
        <v>0</v>
      </c>
      <c r="CM351" s="13" t="n">
        <f aca="false">IF(AND(Projects!$G$17="Yes",Projects!$F$17="Yes",CM$3&gt;=Projects!$C$17,CM$3&lt;Projects!$C$17+Projects!$D$17),Projects!$B$17*(1-SUMPRODUCT((Curves!$B$4:$AR$4)*(COLUMN(Curves!$B$4:$AR$4)-COLUMN(Curves!$B$4)+1&lt;=CM$3-Projects!$C$17+1))),0)+IF(AND(Projects!$G$18="Yes",Projects!$F$18="Yes",CM$3&gt;=Projects!$C$18,CM$3&lt;Projects!$C$18+Projects!$D$18),Projects!$B$18*(1-SUMPRODUCT((Curves!$B$4:$AR$4)*(COLUMN(Curves!$B$4:$AR$4)-COLUMN(Curves!$B$4)+1&lt;=CM$3-Projects!$C$18+1))),0)+IF(AND(Projects!$G$19="Yes",Projects!$F$19="Yes",CM$3&gt;=Projects!$C$19,CM$3&lt;Projects!$C$19+Projects!$D$19),Projects!$B$19*(1-SUMPRODUCT((Curves!$B$4:$AR$4)*(COLUMN(Curves!$B$4:$AR$4)-COLUMN(Curves!$B$4)+1&lt;=CM$3-Projects!$C$19+1))),0)+IF(AND(Projects!$G$23="Yes",Projects!$F$23="Yes",CM$3&gt;=Projects!$C$23,CM$3&lt;Projects!$C$23+Projects!$D$23),Projects!$B$23*(1-SUMPRODUCT((Curves!$B$4:$AR$4)*(COLUMN(Curves!$B$4:$AR$4)-COLUMN(Curves!$B$4)+1&lt;=CM$3-Projects!$C$23+1))),0)+IF(AND(Projects!$G$28="Yes",Projects!$F$28="Yes",CM$3&gt;=Projects!$C$28,CM$3&lt;Projects!$C$28+Projects!$D$28),Projects!$B$28*(1-SUMPRODUCT((Curves!$B$4:$AR$4)*(COLUMN(Curves!$B$4:$AR$4)-COLUMN(Curves!$B$4)+1&lt;=CM$3-Projects!$C$28+1))),0)+IF(AND(Projects!$G$34="Yes",Projects!$F$34="Yes",CM$3&gt;=Projects!$C$34,CM$3&lt;Projects!$C$34+Projects!$D$34),Projects!$B$34*(1-SUMPRODUCT((Curves!$B$4:$AR$4)*(COLUMN(Curves!$B$4:$AR$4)-COLUMN(Curves!$B$4)+1&lt;=CM$3-Projects!$C$34+1))),0)+IF(AND(Projects!$G$40="Yes",Projects!$F$40="Yes",CM$3&gt;=Projects!$C$40,CM$3&lt;Projects!$C$40+Projects!$D$40),Projects!$B$40*(1-SUMPRODUCT((Curves!$B$4:$AR$4)*(COLUMN(Curves!$B$4:$AR$4)-COLUMN(Curves!$B$4)+1&lt;=CM$3-Projects!$C$40+1))),0)+IF(AND(Projects!$G$46="Yes",Projects!$F$46="Yes",CM$3&gt;=Projects!$C$46,CM$3&lt;Projects!$C$46+Projects!$D$46),Projects!$B$46*(1-SUMPRODUCT((Curves!$B$4:$AR$4)*(COLUMN(Curves!$B$4:$AR$4)-COLUMN(Curves!$B$4)+1&lt;=CM$3-Projects!$C$46+1))),0)</f>
        <v>0</v>
      </c>
      <c r="CN351" s="13" t="n">
        <f aca="false">IF(AND(Projects!$G$17="Yes",Projects!$F$17="Yes",CN$3&gt;=Projects!$C$17,CN$3&lt;Projects!$C$17+Projects!$D$17),Projects!$B$17*(1-SUMPRODUCT((Curves!$B$4:$AR$4)*(COLUMN(Curves!$B$4:$AR$4)-COLUMN(Curves!$B$4)+1&lt;=CN$3-Projects!$C$17+1))),0)+IF(AND(Projects!$G$18="Yes",Projects!$F$18="Yes",CN$3&gt;=Projects!$C$18,CN$3&lt;Projects!$C$18+Projects!$D$18),Projects!$B$18*(1-SUMPRODUCT((Curves!$B$4:$AR$4)*(COLUMN(Curves!$B$4:$AR$4)-COLUMN(Curves!$B$4)+1&lt;=CN$3-Projects!$C$18+1))),0)+IF(AND(Projects!$G$19="Yes",Projects!$F$19="Yes",CN$3&gt;=Projects!$C$19,CN$3&lt;Projects!$C$19+Projects!$D$19),Projects!$B$19*(1-SUMPRODUCT((Curves!$B$4:$AR$4)*(COLUMN(Curves!$B$4:$AR$4)-COLUMN(Curves!$B$4)+1&lt;=CN$3-Projects!$C$19+1))),0)+IF(AND(Projects!$G$23="Yes",Projects!$F$23="Yes",CN$3&gt;=Projects!$C$23,CN$3&lt;Projects!$C$23+Projects!$D$23),Projects!$B$23*(1-SUMPRODUCT((Curves!$B$4:$AR$4)*(COLUMN(Curves!$B$4:$AR$4)-COLUMN(Curves!$B$4)+1&lt;=CN$3-Projects!$C$23+1))),0)+IF(AND(Projects!$G$28="Yes",Projects!$F$28="Yes",CN$3&gt;=Projects!$C$28,CN$3&lt;Projects!$C$28+Projects!$D$28),Projects!$B$28*(1-SUMPRODUCT((Curves!$B$4:$AR$4)*(COLUMN(Curves!$B$4:$AR$4)-COLUMN(Curves!$B$4)+1&lt;=CN$3-Projects!$C$28+1))),0)+IF(AND(Projects!$G$34="Yes",Projects!$F$34="Yes",CN$3&gt;=Projects!$C$34,CN$3&lt;Projects!$C$34+Projects!$D$34),Projects!$B$34*(1-SUMPRODUCT((Curves!$B$4:$AR$4)*(COLUMN(Curves!$B$4:$AR$4)-COLUMN(Curves!$B$4)+1&lt;=CN$3-Projects!$C$34+1))),0)+IF(AND(Projects!$G$40="Yes",Projects!$F$40="Yes",CN$3&gt;=Projects!$C$40,CN$3&lt;Projects!$C$40+Projects!$D$40),Projects!$B$40*(1-SUMPRODUCT((Curves!$B$4:$AR$4)*(COLUMN(Curves!$B$4:$AR$4)-COLUMN(Curves!$B$4)+1&lt;=CN$3-Projects!$C$40+1))),0)+IF(AND(Projects!$G$46="Yes",Projects!$F$46="Yes",CN$3&gt;=Projects!$C$46,CN$3&lt;Projects!$C$46+Projects!$D$46),Projects!$B$46*(1-SUMPRODUCT((Curves!$B$4:$AR$4)*(COLUMN(Curves!$B$4:$AR$4)-COLUMN(Curves!$B$4)+1&lt;=CN$3-Projects!$C$46+1))),0)</f>
        <v>0</v>
      </c>
      <c r="CO351" s="13" t="n">
        <f aca="false">IF(AND(Projects!$G$17="Yes",Projects!$F$17="Yes",CO$3&gt;=Projects!$C$17,CO$3&lt;Projects!$C$17+Projects!$D$17),Projects!$B$17*(1-SUMPRODUCT((Curves!$B$4:$AR$4)*(COLUMN(Curves!$B$4:$AR$4)-COLUMN(Curves!$B$4)+1&lt;=CO$3-Projects!$C$17+1))),0)+IF(AND(Projects!$G$18="Yes",Projects!$F$18="Yes",CO$3&gt;=Projects!$C$18,CO$3&lt;Projects!$C$18+Projects!$D$18),Projects!$B$18*(1-SUMPRODUCT((Curves!$B$4:$AR$4)*(COLUMN(Curves!$B$4:$AR$4)-COLUMN(Curves!$B$4)+1&lt;=CO$3-Projects!$C$18+1))),0)+IF(AND(Projects!$G$19="Yes",Projects!$F$19="Yes",CO$3&gt;=Projects!$C$19,CO$3&lt;Projects!$C$19+Projects!$D$19),Projects!$B$19*(1-SUMPRODUCT((Curves!$B$4:$AR$4)*(COLUMN(Curves!$B$4:$AR$4)-COLUMN(Curves!$B$4)+1&lt;=CO$3-Projects!$C$19+1))),0)+IF(AND(Projects!$G$23="Yes",Projects!$F$23="Yes",CO$3&gt;=Projects!$C$23,CO$3&lt;Projects!$C$23+Projects!$D$23),Projects!$B$23*(1-SUMPRODUCT((Curves!$B$4:$AR$4)*(COLUMN(Curves!$B$4:$AR$4)-COLUMN(Curves!$B$4)+1&lt;=CO$3-Projects!$C$23+1))),0)+IF(AND(Projects!$G$28="Yes",Projects!$F$28="Yes",CO$3&gt;=Projects!$C$28,CO$3&lt;Projects!$C$28+Projects!$D$28),Projects!$B$28*(1-SUMPRODUCT((Curves!$B$4:$AR$4)*(COLUMN(Curves!$B$4:$AR$4)-COLUMN(Curves!$B$4)+1&lt;=CO$3-Projects!$C$28+1))),0)+IF(AND(Projects!$G$34="Yes",Projects!$F$34="Yes",CO$3&gt;=Projects!$C$34,CO$3&lt;Projects!$C$34+Projects!$D$34),Projects!$B$34*(1-SUMPRODUCT((Curves!$B$4:$AR$4)*(COLUMN(Curves!$B$4:$AR$4)-COLUMN(Curves!$B$4)+1&lt;=CO$3-Projects!$C$34+1))),0)+IF(AND(Projects!$G$40="Yes",Projects!$F$40="Yes",CO$3&gt;=Projects!$C$40,CO$3&lt;Projects!$C$40+Projects!$D$40),Projects!$B$40*(1-SUMPRODUCT((Curves!$B$4:$AR$4)*(COLUMN(Curves!$B$4:$AR$4)-COLUMN(Curves!$B$4)+1&lt;=CO$3-Projects!$C$40+1))),0)+IF(AND(Projects!$G$46="Yes",Projects!$F$46="Yes",CO$3&gt;=Projects!$C$46,CO$3&lt;Projects!$C$46+Projects!$D$46),Projects!$B$46*(1-SUMPRODUCT((Curves!$B$4:$AR$4)*(COLUMN(Curves!$B$4:$AR$4)-COLUMN(Curves!$B$4)+1&lt;=CO$3-Projects!$C$46+1))),0)</f>
        <v>0</v>
      </c>
      <c r="CP351" s="13" t="n">
        <f aca="false">IF(AND(Projects!$G$17="Yes",Projects!$F$17="Yes",CP$3&gt;=Projects!$C$17,CP$3&lt;Projects!$C$17+Projects!$D$17),Projects!$B$17*(1-SUMPRODUCT((Curves!$B$4:$AR$4)*(COLUMN(Curves!$B$4:$AR$4)-COLUMN(Curves!$B$4)+1&lt;=CP$3-Projects!$C$17+1))),0)+IF(AND(Projects!$G$18="Yes",Projects!$F$18="Yes",CP$3&gt;=Projects!$C$18,CP$3&lt;Projects!$C$18+Projects!$D$18),Projects!$B$18*(1-SUMPRODUCT((Curves!$B$4:$AR$4)*(COLUMN(Curves!$B$4:$AR$4)-COLUMN(Curves!$B$4)+1&lt;=CP$3-Projects!$C$18+1))),0)+IF(AND(Projects!$G$19="Yes",Projects!$F$19="Yes",CP$3&gt;=Projects!$C$19,CP$3&lt;Projects!$C$19+Projects!$D$19),Projects!$B$19*(1-SUMPRODUCT((Curves!$B$4:$AR$4)*(COLUMN(Curves!$B$4:$AR$4)-COLUMN(Curves!$B$4)+1&lt;=CP$3-Projects!$C$19+1))),0)+IF(AND(Projects!$G$23="Yes",Projects!$F$23="Yes",CP$3&gt;=Projects!$C$23,CP$3&lt;Projects!$C$23+Projects!$D$23),Projects!$B$23*(1-SUMPRODUCT((Curves!$B$4:$AR$4)*(COLUMN(Curves!$B$4:$AR$4)-COLUMN(Curves!$B$4)+1&lt;=CP$3-Projects!$C$23+1))),0)+IF(AND(Projects!$G$28="Yes",Projects!$F$28="Yes",CP$3&gt;=Projects!$C$28,CP$3&lt;Projects!$C$28+Projects!$D$28),Projects!$B$28*(1-SUMPRODUCT((Curves!$B$4:$AR$4)*(COLUMN(Curves!$B$4:$AR$4)-COLUMN(Curves!$B$4)+1&lt;=CP$3-Projects!$C$28+1))),0)+IF(AND(Projects!$G$34="Yes",Projects!$F$34="Yes",CP$3&gt;=Projects!$C$34,CP$3&lt;Projects!$C$34+Projects!$D$34),Projects!$B$34*(1-SUMPRODUCT((Curves!$B$4:$AR$4)*(COLUMN(Curves!$B$4:$AR$4)-COLUMN(Curves!$B$4)+1&lt;=CP$3-Projects!$C$34+1))),0)+IF(AND(Projects!$G$40="Yes",Projects!$F$40="Yes",CP$3&gt;=Projects!$C$40,CP$3&lt;Projects!$C$40+Projects!$D$40),Projects!$B$40*(1-SUMPRODUCT((Curves!$B$4:$AR$4)*(COLUMN(Curves!$B$4:$AR$4)-COLUMN(Curves!$B$4)+1&lt;=CP$3-Projects!$C$40+1))),0)+IF(AND(Projects!$G$46="Yes",Projects!$F$46="Yes",CP$3&gt;=Projects!$C$46,CP$3&lt;Projects!$C$46+Projects!$D$46),Projects!$B$46*(1-SUMPRODUCT((Curves!$B$4:$AR$4)*(COLUMN(Curves!$B$4:$AR$4)-COLUMN(Curves!$B$4)+1&lt;=CP$3-Projects!$C$46+1))),0)</f>
        <v>0</v>
      </c>
      <c r="CQ351" s="13" t="n">
        <f aca="false">IF(AND(Projects!$G$17="Yes",Projects!$F$17="Yes",CQ$3&gt;=Projects!$C$17,CQ$3&lt;Projects!$C$17+Projects!$D$17),Projects!$B$17*(1-SUMPRODUCT((Curves!$B$4:$AR$4)*(COLUMN(Curves!$B$4:$AR$4)-COLUMN(Curves!$B$4)+1&lt;=CQ$3-Projects!$C$17+1))),0)+IF(AND(Projects!$G$18="Yes",Projects!$F$18="Yes",CQ$3&gt;=Projects!$C$18,CQ$3&lt;Projects!$C$18+Projects!$D$18),Projects!$B$18*(1-SUMPRODUCT((Curves!$B$4:$AR$4)*(COLUMN(Curves!$B$4:$AR$4)-COLUMN(Curves!$B$4)+1&lt;=CQ$3-Projects!$C$18+1))),0)+IF(AND(Projects!$G$19="Yes",Projects!$F$19="Yes",CQ$3&gt;=Projects!$C$19,CQ$3&lt;Projects!$C$19+Projects!$D$19),Projects!$B$19*(1-SUMPRODUCT((Curves!$B$4:$AR$4)*(COLUMN(Curves!$B$4:$AR$4)-COLUMN(Curves!$B$4)+1&lt;=CQ$3-Projects!$C$19+1))),0)+IF(AND(Projects!$G$23="Yes",Projects!$F$23="Yes",CQ$3&gt;=Projects!$C$23,CQ$3&lt;Projects!$C$23+Projects!$D$23),Projects!$B$23*(1-SUMPRODUCT((Curves!$B$4:$AR$4)*(COLUMN(Curves!$B$4:$AR$4)-COLUMN(Curves!$B$4)+1&lt;=CQ$3-Projects!$C$23+1))),0)+IF(AND(Projects!$G$28="Yes",Projects!$F$28="Yes",CQ$3&gt;=Projects!$C$28,CQ$3&lt;Projects!$C$28+Projects!$D$28),Projects!$B$28*(1-SUMPRODUCT((Curves!$B$4:$AR$4)*(COLUMN(Curves!$B$4:$AR$4)-COLUMN(Curves!$B$4)+1&lt;=CQ$3-Projects!$C$28+1))),0)+IF(AND(Projects!$G$34="Yes",Projects!$F$34="Yes",CQ$3&gt;=Projects!$C$34,CQ$3&lt;Projects!$C$34+Projects!$D$34),Projects!$B$34*(1-SUMPRODUCT((Curves!$B$4:$AR$4)*(COLUMN(Curves!$B$4:$AR$4)-COLUMN(Curves!$B$4)+1&lt;=CQ$3-Projects!$C$34+1))),0)+IF(AND(Projects!$G$40="Yes",Projects!$F$40="Yes",CQ$3&gt;=Projects!$C$40,CQ$3&lt;Projects!$C$40+Projects!$D$40),Projects!$B$40*(1-SUMPRODUCT((Curves!$B$4:$AR$4)*(COLUMN(Curves!$B$4:$AR$4)-COLUMN(Curves!$B$4)+1&lt;=CQ$3-Projects!$C$40+1))),0)+IF(AND(Projects!$G$46="Yes",Projects!$F$46="Yes",CQ$3&gt;=Projects!$C$46,CQ$3&lt;Projects!$C$46+Projects!$D$46),Projects!$B$46*(1-SUMPRODUCT((Curves!$B$4:$AR$4)*(COLUMN(Curves!$B$4:$AR$4)-COLUMN(Curves!$B$4)+1&lt;=CQ$3-Projects!$C$46+1))),0)</f>
        <v>0</v>
      </c>
      <c r="CR351" s="13" t="n">
        <f aca="false">IF(AND(Projects!$G$17="Yes",Projects!$F$17="Yes",CR$3&gt;=Projects!$C$17,CR$3&lt;Projects!$C$17+Projects!$D$17),Projects!$B$17*(1-SUMPRODUCT((Curves!$B$4:$AR$4)*(COLUMN(Curves!$B$4:$AR$4)-COLUMN(Curves!$B$4)+1&lt;=CR$3-Projects!$C$17+1))),0)+IF(AND(Projects!$G$18="Yes",Projects!$F$18="Yes",CR$3&gt;=Projects!$C$18,CR$3&lt;Projects!$C$18+Projects!$D$18),Projects!$B$18*(1-SUMPRODUCT((Curves!$B$4:$AR$4)*(COLUMN(Curves!$B$4:$AR$4)-COLUMN(Curves!$B$4)+1&lt;=CR$3-Projects!$C$18+1))),0)+IF(AND(Projects!$G$19="Yes",Projects!$F$19="Yes",CR$3&gt;=Projects!$C$19,CR$3&lt;Projects!$C$19+Projects!$D$19),Projects!$B$19*(1-SUMPRODUCT((Curves!$B$4:$AR$4)*(COLUMN(Curves!$B$4:$AR$4)-COLUMN(Curves!$B$4)+1&lt;=CR$3-Projects!$C$19+1))),0)+IF(AND(Projects!$G$23="Yes",Projects!$F$23="Yes",CR$3&gt;=Projects!$C$23,CR$3&lt;Projects!$C$23+Projects!$D$23),Projects!$B$23*(1-SUMPRODUCT((Curves!$B$4:$AR$4)*(COLUMN(Curves!$B$4:$AR$4)-COLUMN(Curves!$B$4)+1&lt;=CR$3-Projects!$C$23+1))),0)+IF(AND(Projects!$G$28="Yes",Projects!$F$28="Yes",CR$3&gt;=Projects!$C$28,CR$3&lt;Projects!$C$28+Projects!$D$28),Projects!$B$28*(1-SUMPRODUCT((Curves!$B$4:$AR$4)*(COLUMN(Curves!$B$4:$AR$4)-COLUMN(Curves!$B$4)+1&lt;=CR$3-Projects!$C$28+1))),0)+IF(AND(Projects!$G$34="Yes",Projects!$F$34="Yes",CR$3&gt;=Projects!$C$34,CR$3&lt;Projects!$C$34+Projects!$D$34),Projects!$B$34*(1-SUMPRODUCT((Curves!$B$4:$AR$4)*(COLUMN(Curves!$B$4:$AR$4)-COLUMN(Curves!$B$4)+1&lt;=CR$3-Projects!$C$34+1))),0)+IF(AND(Projects!$G$40="Yes",Projects!$F$40="Yes",CR$3&gt;=Projects!$C$40,CR$3&lt;Projects!$C$40+Projects!$D$40),Projects!$B$40*(1-SUMPRODUCT((Curves!$B$4:$AR$4)*(COLUMN(Curves!$B$4:$AR$4)-COLUMN(Curves!$B$4)+1&lt;=CR$3-Projects!$C$40+1))),0)+IF(AND(Projects!$G$46="Yes",Projects!$F$46="Yes",CR$3&gt;=Projects!$C$46,CR$3&lt;Projects!$C$46+Projects!$D$46),Projects!$B$46*(1-SUMPRODUCT((Curves!$B$4:$AR$4)*(COLUMN(Curves!$B$4:$AR$4)-COLUMN(Curves!$B$4)+1&lt;=CR$3-Projects!$C$46+1))),0)</f>
        <v>0</v>
      </c>
      <c r="CS351" s="13" t="n">
        <f aca="false">IF(AND(Projects!$G$17="Yes",Projects!$F$17="Yes",CS$3&gt;=Projects!$C$17,CS$3&lt;Projects!$C$17+Projects!$D$17),Projects!$B$17*(1-SUMPRODUCT((Curves!$B$4:$AR$4)*(COLUMN(Curves!$B$4:$AR$4)-COLUMN(Curves!$B$4)+1&lt;=CS$3-Projects!$C$17+1))),0)+IF(AND(Projects!$G$18="Yes",Projects!$F$18="Yes",CS$3&gt;=Projects!$C$18,CS$3&lt;Projects!$C$18+Projects!$D$18),Projects!$B$18*(1-SUMPRODUCT((Curves!$B$4:$AR$4)*(COLUMN(Curves!$B$4:$AR$4)-COLUMN(Curves!$B$4)+1&lt;=CS$3-Projects!$C$18+1))),0)+IF(AND(Projects!$G$19="Yes",Projects!$F$19="Yes",CS$3&gt;=Projects!$C$19,CS$3&lt;Projects!$C$19+Projects!$D$19),Projects!$B$19*(1-SUMPRODUCT((Curves!$B$4:$AR$4)*(COLUMN(Curves!$B$4:$AR$4)-COLUMN(Curves!$B$4)+1&lt;=CS$3-Projects!$C$19+1))),0)+IF(AND(Projects!$G$23="Yes",Projects!$F$23="Yes",CS$3&gt;=Projects!$C$23,CS$3&lt;Projects!$C$23+Projects!$D$23),Projects!$B$23*(1-SUMPRODUCT((Curves!$B$4:$AR$4)*(COLUMN(Curves!$B$4:$AR$4)-COLUMN(Curves!$B$4)+1&lt;=CS$3-Projects!$C$23+1))),0)+IF(AND(Projects!$G$28="Yes",Projects!$F$28="Yes",CS$3&gt;=Projects!$C$28,CS$3&lt;Projects!$C$28+Projects!$D$28),Projects!$B$28*(1-SUMPRODUCT((Curves!$B$4:$AR$4)*(COLUMN(Curves!$B$4:$AR$4)-COLUMN(Curves!$B$4)+1&lt;=CS$3-Projects!$C$28+1))),0)+IF(AND(Projects!$G$34="Yes",Projects!$F$34="Yes",CS$3&gt;=Projects!$C$34,CS$3&lt;Projects!$C$34+Projects!$D$34),Projects!$B$34*(1-SUMPRODUCT((Curves!$B$4:$AR$4)*(COLUMN(Curves!$B$4:$AR$4)-COLUMN(Curves!$B$4)+1&lt;=CS$3-Projects!$C$34+1))),0)+IF(AND(Projects!$G$40="Yes",Projects!$F$40="Yes",CS$3&gt;=Projects!$C$40,CS$3&lt;Projects!$C$40+Projects!$D$40),Projects!$B$40*(1-SUMPRODUCT((Curves!$B$4:$AR$4)*(COLUMN(Curves!$B$4:$AR$4)-COLUMN(Curves!$B$4)+1&lt;=CS$3-Projects!$C$40+1))),0)+IF(AND(Projects!$G$46="Yes",Projects!$F$46="Yes",CS$3&gt;=Projects!$C$46,CS$3&lt;Projects!$C$46+Projects!$D$46),Projects!$B$46*(1-SUMPRODUCT((Curves!$B$4:$AR$4)*(COLUMN(Curves!$B$4:$AR$4)-COLUMN(Curves!$B$4)+1&lt;=CS$3-Projects!$C$46+1))),0)</f>
        <v>0</v>
      </c>
      <c r="CT351" s="13" t="n">
        <f aca="false">IF(AND(Projects!$G$17="Yes",Projects!$F$17="Yes",CT$3&gt;=Projects!$C$17,CT$3&lt;Projects!$C$17+Projects!$D$17),Projects!$B$17*(1-SUMPRODUCT((Curves!$B$4:$AR$4)*(COLUMN(Curves!$B$4:$AR$4)-COLUMN(Curves!$B$4)+1&lt;=CT$3-Projects!$C$17+1))),0)+IF(AND(Projects!$G$18="Yes",Projects!$F$18="Yes",CT$3&gt;=Projects!$C$18,CT$3&lt;Projects!$C$18+Projects!$D$18),Projects!$B$18*(1-SUMPRODUCT((Curves!$B$4:$AR$4)*(COLUMN(Curves!$B$4:$AR$4)-COLUMN(Curves!$B$4)+1&lt;=CT$3-Projects!$C$18+1))),0)+IF(AND(Projects!$G$19="Yes",Projects!$F$19="Yes",CT$3&gt;=Projects!$C$19,CT$3&lt;Projects!$C$19+Projects!$D$19),Projects!$B$19*(1-SUMPRODUCT((Curves!$B$4:$AR$4)*(COLUMN(Curves!$B$4:$AR$4)-COLUMN(Curves!$B$4)+1&lt;=CT$3-Projects!$C$19+1))),0)+IF(AND(Projects!$G$23="Yes",Projects!$F$23="Yes",CT$3&gt;=Projects!$C$23,CT$3&lt;Projects!$C$23+Projects!$D$23),Projects!$B$23*(1-SUMPRODUCT((Curves!$B$4:$AR$4)*(COLUMN(Curves!$B$4:$AR$4)-COLUMN(Curves!$B$4)+1&lt;=CT$3-Projects!$C$23+1))),0)+IF(AND(Projects!$G$28="Yes",Projects!$F$28="Yes",CT$3&gt;=Projects!$C$28,CT$3&lt;Projects!$C$28+Projects!$D$28),Projects!$B$28*(1-SUMPRODUCT((Curves!$B$4:$AR$4)*(COLUMN(Curves!$B$4:$AR$4)-COLUMN(Curves!$B$4)+1&lt;=CT$3-Projects!$C$28+1))),0)+IF(AND(Projects!$G$34="Yes",Projects!$F$34="Yes",CT$3&gt;=Projects!$C$34,CT$3&lt;Projects!$C$34+Projects!$D$34),Projects!$B$34*(1-SUMPRODUCT((Curves!$B$4:$AR$4)*(COLUMN(Curves!$B$4:$AR$4)-COLUMN(Curves!$B$4)+1&lt;=CT$3-Projects!$C$34+1))),0)+IF(AND(Projects!$G$40="Yes",Projects!$F$40="Yes",CT$3&gt;=Projects!$C$40,CT$3&lt;Projects!$C$40+Projects!$D$40),Projects!$B$40*(1-SUMPRODUCT((Curves!$B$4:$AR$4)*(COLUMN(Curves!$B$4:$AR$4)-COLUMN(Curves!$B$4)+1&lt;=CT$3-Projects!$C$40+1))),0)+IF(AND(Projects!$G$46="Yes",Projects!$F$46="Yes",CT$3&gt;=Projects!$C$46,CT$3&lt;Projects!$C$46+Projects!$D$46),Projects!$B$46*(1-SUMPRODUCT((Curves!$B$4:$AR$4)*(COLUMN(Curves!$B$4:$AR$4)-COLUMN(Curves!$B$4)+1&lt;=CT$3-Projects!$C$46+1))),0)</f>
        <v>0</v>
      </c>
      <c r="CU351" s="13" t="n">
        <f aca="false">IF(AND(Projects!$G$17="Yes",Projects!$F$17="Yes",CU$3&gt;=Projects!$C$17,CU$3&lt;Projects!$C$17+Projects!$D$17),Projects!$B$17*(1-SUMPRODUCT((Curves!$B$4:$AR$4)*(COLUMN(Curves!$B$4:$AR$4)-COLUMN(Curves!$B$4)+1&lt;=CU$3-Projects!$C$17+1))),0)+IF(AND(Projects!$G$18="Yes",Projects!$F$18="Yes",CU$3&gt;=Projects!$C$18,CU$3&lt;Projects!$C$18+Projects!$D$18),Projects!$B$18*(1-SUMPRODUCT((Curves!$B$4:$AR$4)*(COLUMN(Curves!$B$4:$AR$4)-COLUMN(Curves!$B$4)+1&lt;=CU$3-Projects!$C$18+1))),0)+IF(AND(Projects!$G$19="Yes",Projects!$F$19="Yes",CU$3&gt;=Projects!$C$19,CU$3&lt;Projects!$C$19+Projects!$D$19),Projects!$B$19*(1-SUMPRODUCT((Curves!$B$4:$AR$4)*(COLUMN(Curves!$B$4:$AR$4)-COLUMN(Curves!$B$4)+1&lt;=CU$3-Projects!$C$19+1))),0)+IF(AND(Projects!$G$23="Yes",Projects!$F$23="Yes",CU$3&gt;=Projects!$C$23,CU$3&lt;Projects!$C$23+Projects!$D$23),Projects!$B$23*(1-SUMPRODUCT((Curves!$B$4:$AR$4)*(COLUMN(Curves!$B$4:$AR$4)-COLUMN(Curves!$B$4)+1&lt;=CU$3-Projects!$C$23+1))),0)+IF(AND(Projects!$G$28="Yes",Projects!$F$28="Yes",CU$3&gt;=Projects!$C$28,CU$3&lt;Projects!$C$28+Projects!$D$28),Projects!$B$28*(1-SUMPRODUCT((Curves!$B$4:$AR$4)*(COLUMN(Curves!$B$4:$AR$4)-COLUMN(Curves!$B$4)+1&lt;=CU$3-Projects!$C$28+1))),0)+IF(AND(Projects!$G$34="Yes",Projects!$F$34="Yes",CU$3&gt;=Projects!$C$34,CU$3&lt;Projects!$C$34+Projects!$D$34),Projects!$B$34*(1-SUMPRODUCT((Curves!$B$4:$AR$4)*(COLUMN(Curves!$B$4:$AR$4)-COLUMN(Curves!$B$4)+1&lt;=CU$3-Projects!$C$34+1))),0)+IF(AND(Projects!$G$40="Yes",Projects!$F$40="Yes",CU$3&gt;=Projects!$C$40,CU$3&lt;Projects!$C$40+Projects!$D$40),Projects!$B$40*(1-SUMPRODUCT((Curves!$B$4:$AR$4)*(COLUMN(Curves!$B$4:$AR$4)-COLUMN(Curves!$B$4)+1&lt;=CU$3-Projects!$C$40+1))),0)+IF(AND(Projects!$G$46="Yes",Projects!$F$46="Yes",CU$3&gt;=Projects!$C$46,CU$3&lt;Projects!$C$46+Projects!$D$46),Projects!$B$46*(1-SUMPRODUCT((Curves!$B$4:$AR$4)*(COLUMN(Curves!$B$4:$AR$4)-COLUMN(Curves!$B$4)+1&lt;=CU$3-Projects!$C$46+1))),0)</f>
        <v>0</v>
      </c>
      <c r="CV351" s="13" t="n">
        <f aca="false">IF(AND(Projects!$G$17="Yes",Projects!$F$17="Yes",CV$3&gt;=Projects!$C$17,CV$3&lt;Projects!$C$17+Projects!$D$17),Projects!$B$17*(1-SUMPRODUCT((Curves!$B$4:$AR$4)*(COLUMN(Curves!$B$4:$AR$4)-COLUMN(Curves!$B$4)+1&lt;=CV$3-Projects!$C$17+1))),0)+IF(AND(Projects!$G$18="Yes",Projects!$F$18="Yes",CV$3&gt;=Projects!$C$18,CV$3&lt;Projects!$C$18+Projects!$D$18),Projects!$B$18*(1-SUMPRODUCT((Curves!$B$4:$AR$4)*(COLUMN(Curves!$B$4:$AR$4)-COLUMN(Curves!$B$4)+1&lt;=CV$3-Projects!$C$18+1))),0)+IF(AND(Projects!$G$19="Yes",Projects!$F$19="Yes",CV$3&gt;=Projects!$C$19,CV$3&lt;Projects!$C$19+Projects!$D$19),Projects!$B$19*(1-SUMPRODUCT((Curves!$B$4:$AR$4)*(COLUMN(Curves!$B$4:$AR$4)-COLUMN(Curves!$B$4)+1&lt;=CV$3-Projects!$C$19+1))),0)+IF(AND(Projects!$G$23="Yes",Projects!$F$23="Yes",CV$3&gt;=Projects!$C$23,CV$3&lt;Projects!$C$23+Projects!$D$23),Projects!$B$23*(1-SUMPRODUCT((Curves!$B$4:$AR$4)*(COLUMN(Curves!$B$4:$AR$4)-COLUMN(Curves!$B$4)+1&lt;=CV$3-Projects!$C$23+1))),0)+IF(AND(Projects!$G$28="Yes",Projects!$F$28="Yes",CV$3&gt;=Projects!$C$28,CV$3&lt;Projects!$C$28+Projects!$D$28),Projects!$B$28*(1-SUMPRODUCT((Curves!$B$4:$AR$4)*(COLUMN(Curves!$B$4:$AR$4)-COLUMN(Curves!$B$4)+1&lt;=CV$3-Projects!$C$28+1))),0)+IF(AND(Projects!$G$34="Yes",Projects!$F$34="Yes",CV$3&gt;=Projects!$C$34,CV$3&lt;Projects!$C$34+Projects!$D$34),Projects!$B$34*(1-SUMPRODUCT((Curves!$B$4:$AR$4)*(COLUMN(Curves!$B$4:$AR$4)-COLUMN(Curves!$B$4)+1&lt;=CV$3-Projects!$C$34+1))),0)+IF(AND(Projects!$G$40="Yes",Projects!$F$40="Yes",CV$3&gt;=Projects!$C$40,CV$3&lt;Projects!$C$40+Projects!$D$40),Projects!$B$40*(1-SUMPRODUCT((Curves!$B$4:$AR$4)*(COLUMN(Curves!$B$4:$AR$4)-COLUMN(Curves!$B$4)+1&lt;=CV$3-Projects!$C$40+1))),0)+IF(AND(Projects!$G$46="Yes",Projects!$F$46="Yes",CV$3&gt;=Projects!$C$46,CV$3&lt;Projects!$C$46+Projects!$D$46),Projects!$B$46*(1-SUMPRODUCT((Curves!$B$4:$AR$4)*(COLUMN(Curves!$B$4:$AR$4)-COLUMN(Curves!$B$4)+1&lt;=CV$3-Projects!$C$46+1))),0)</f>
        <v>0</v>
      </c>
      <c r="CW351" s="13" t="n">
        <f aca="false">IF(AND(Projects!$G$17="Yes",Projects!$F$17="Yes",CW$3&gt;=Projects!$C$17,CW$3&lt;Projects!$C$17+Projects!$D$17),Projects!$B$17*(1-SUMPRODUCT((Curves!$B$4:$AR$4)*(COLUMN(Curves!$B$4:$AR$4)-COLUMN(Curves!$B$4)+1&lt;=CW$3-Projects!$C$17+1))),0)+IF(AND(Projects!$G$18="Yes",Projects!$F$18="Yes",CW$3&gt;=Projects!$C$18,CW$3&lt;Projects!$C$18+Projects!$D$18),Projects!$B$18*(1-SUMPRODUCT((Curves!$B$4:$AR$4)*(COLUMN(Curves!$B$4:$AR$4)-COLUMN(Curves!$B$4)+1&lt;=CW$3-Projects!$C$18+1))),0)+IF(AND(Projects!$G$19="Yes",Projects!$F$19="Yes",CW$3&gt;=Projects!$C$19,CW$3&lt;Projects!$C$19+Projects!$D$19),Projects!$B$19*(1-SUMPRODUCT((Curves!$B$4:$AR$4)*(COLUMN(Curves!$B$4:$AR$4)-COLUMN(Curves!$B$4)+1&lt;=CW$3-Projects!$C$19+1))),0)+IF(AND(Projects!$G$23="Yes",Projects!$F$23="Yes",CW$3&gt;=Projects!$C$23,CW$3&lt;Projects!$C$23+Projects!$D$23),Projects!$B$23*(1-SUMPRODUCT((Curves!$B$4:$AR$4)*(COLUMN(Curves!$B$4:$AR$4)-COLUMN(Curves!$B$4)+1&lt;=CW$3-Projects!$C$23+1))),0)+IF(AND(Projects!$G$28="Yes",Projects!$F$28="Yes",CW$3&gt;=Projects!$C$28,CW$3&lt;Projects!$C$28+Projects!$D$28),Projects!$B$28*(1-SUMPRODUCT((Curves!$B$4:$AR$4)*(COLUMN(Curves!$B$4:$AR$4)-COLUMN(Curves!$B$4)+1&lt;=CW$3-Projects!$C$28+1))),0)+IF(AND(Projects!$G$34="Yes",Projects!$F$34="Yes",CW$3&gt;=Projects!$C$34,CW$3&lt;Projects!$C$34+Projects!$D$34),Projects!$B$34*(1-SUMPRODUCT((Curves!$B$4:$AR$4)*(COLUMN(Curves!$B$4:$AR$4)-COLUMN(Curves!$B$4)+1&lt;=CW$3-Projects!$C$34+1))),0)+IF(AND(Projects!$G$40="Yes",Projects!$F$40="Yes",CW$3&gt;=Projects!$C$40,CW$3&lt;Projects!$C$40+Projects!$D$40),Projects!$B$40*(1-SUMPRODUCT((Curves!$B$4:$AR$4)*(COLUMN(Curves!$B$4:$AR$4)-COLUMN(Curves!$B$4)+1&lt;=CW$3-Projects!$C$40+1))),0)+IF(AND(Projects!$G$46="Yes",Projects!$F$46="Yes",CW$3&gt;=Projects!$C$46,CW$3&lt;Projects!$C$46+Projects!$D$46),Projects!$B$46*(1-SUMPRODUCT((Curves!$B$4:$AR$4)*(COLUMN(Curves!$B$4:$AR$4)-COLUMN(Curves!$B$4)+1&lt;=CW$3-Projects!$C$46+1))),0)</f>
        <v>0</v>
      </c>
      <c r="CX351" s="13" t="n">
        <f aca="false">IF(AND(Projects!$G$17="Yes",Projects!$F$17="Yes",CX$3&gt;=Projects!$C$17,CX$3&lt;Projects!$C$17+Projects!$D$17),Projects!$B$17*(1-SUMPRODUCT((Curves!$B$4:$AR$4)*(COLUMN(Curves!$B$4:$AR$4)-COLUMN(Curves!$B$4)+1&lt;=CX$3-Projects!$C$17+1))),0)+IF(AND(Projects!$G$18="Yes",Projects!$F$18="Yes",CX$3&gt;=Projects!$C$18,CX$3&lt;Projects!$C$18+Projects!$D$18),Projects!$B$18*(1-SUMPRODUCT((Curves!$B$4:$AR$4)*(COLUMN(Curves!$B$4:$AR$4)-COLUMN(Curves!$B$4)+1&lt;=CX$3-Projects!$C$18+1))),0)+IF(AND(Projects!$G$19="Yes",Projects!$F$19="Yes",CX$3&gt;=Projects!$C$19,CX$3&lt;Projects!$C$19+Projects!$D$19),Projects!$B$19*(1-SUMPRODUCT((Curves!$B$4:$AR$4)*(COLUMN(Curves!$B$4:$AR$4)-COLUMN(Curves!$B$4)+1&lt;=CX$3-Projects!$C$19+1))),0)+IF(AND(Projects!$G$23="Yes",Projects!$F$23="Yes",CX$3&gt;=Projects!$C$23,CX$3&lt;Projects!$C$23+Projects!$D$23),Projects!$B$23*(1-SUMPRODUCT((Curves!$B$4:$AR$4)*(COLUMN(Curves!$B$4:$AR$4)-COLUMN(Curves!$B$4)+1&lt;=CX$3-Projects!$C$23+1))),0)+IF(AND(Projects!$G$28="Yes",Projects!$F$28="Yes",CX$3&gt;=Projects!$C$28,CX$3&lt;Projects!$C$28+Projects!$D$28),Projects!$B$28*(1-SUMPRODUCT((Curves!$B$4:$AR$4)*(COLUMN(Curves!$B$4:$AR$4)-COLUMN(Curves!$B$4)+1&lt;=CX$3-Projects!$C$28+1))),0)+IF(AND(Projects!$G$34="Yes",Projects!$F$34="Yes",CX$3&gt;=Projects!$C$34,CX$3&lt;Projects!$C$34+Projects!$D$34),Projects!$B$34*(1-SUMPRODUCT((Curves!$B$4:$AR$4)*(COLUMN(Curves!$B$4:$AR$4)-COLUMN(Curves!$B$4)+1&lt;=CX$3-Projects!$C$34+1))),0)+IF(AND(Projects!$G$40="Yes",Projects!$F$40="Yes",CX$3&gt;=Projects!$C$40,CX$3&lt;Projects!$C$40+Projects!$D$40),Projects!$B$40*(1-SUMPRODUCT((Curves!$B$4:$AR$4)*(COLUMN(Curves!$B$4:$AR$4)-COLUMN(Curves!$B$4)+1&lt;=CX$3-Projects!$C$40+1))),0)+IF(AND(Projects!$G$46="Yes",Projects!$F$46="Yes",CX$3&gt;=Projects!$C$46,CX$3&lt;Projects!$C$46+Projects!$D$46),Projects!$B$46*(1-SUMPRODUCT((Curves!$B$4:$AR$4)*(COLUMN(Curves!$B$4:$AR$4)-COLUMN(Curves!$B$4)+1&lt;=CX$3-Projects!$C$46+1))),0)</f>
        <v>0</v>
      </c>
      <c r="CY351" s="13" t="n">
        <f aca="false">IF(AND(Projects!$G$17="Yes",Projects!$F$17="Yes",CY$3&gt;=Projects!$C$17,CY$3&lt;Projects!$C$17+Projects!$D$17),Projects!$B$17*(1-SUMPRODUCT((Curves!$B$4:$AR$4)*(COLUMN(Curves!$B$4:$AR$4)-COLUMN(Curves!$B$4)+1&lt;=CY$3-Projects!$C$17+1))),0)+IF(AND(Projects!$G$18="Yes",Projects!$F$18="Yes",CY$3&gt;=Projects!$C$18,CY$3&lt;Projects!$C$18+Projects!$D$18),Projects!$B$18*(1-SUMPRODUCT((Curves!$B$4:$AR$4)*(COLUMN(Curves!$B$4:$AR$4)-COLUMN(Curves!$B$4)+1&lt;=CY$3-Projects!$C$18+1))),0)+IF(AND(Projects!$G$19="Yes",Projects!$F$19="Yes",CY$3&gt;=Projects!$C$19,CY$3&lt;Projects!$C$19+Projects!$D$19),Projects!$B$19*(1-SUMPRODUCT((Curves!$B$4:$AR$4)*(COLUMN(Curves!$B$4:$AR$4)-COLUMN(Curves!$B$4)+1&lt;=CY$3-Projects!$C$19+1))),0)+IF(AND(Projects!$G$23="Yes",Projects!$F$23="Yes",CY$3&gt;=Projects!$C$23,CY$3&lt;Projects!$C$23+Projects!$D$23),Projects!$B$23*(1-SUMPRODUCT((Curves!$B$4:$AR$4)*(COLUMN(Curves!$B$4:$AR$4)-COLUMN(Curves!$B$4)+1&lt;=CY$3-Projects!$C$23+1))),0)+IF(AND(Projects!$G$28="Yes",Projects!$F$28="Yes",CY$3&gt;=Projects!$C$28,CY$3&lt;Projects!$C$28+Projects!$D$28),Projects!$B$28*(1-SUMPRODUCT((Curves!$B$4:$AR$4)*(COLUMN(Curves!$B$4:$AR$4)-COLUMN(Curves!$B$4)+1&lt;=CY$3-Projects!$C$28+1))),0)+IF(AND(Projects!$G$34="Yes",Projects!$F$34="Yes",CY$3&gt;=Projects!$C$34,CY$3&lt;Projects!$C$34+Projects!$D$34),Projects!$B$34*(1-SUMPRODUCT((Curves!$B$4:$AR$4)*(COLUMN(Curves!$B$4:$AR$4)-COLUMN(Curves!$B$4)+1&lt;=CY$3-Projects!$C$34+1))),0)+IF(AND(Projects!$G$40="Yes",Projects!$F$40="Yes",CY$3&gt;=Projects!$C$40,CY$3&lt;Projects!$C$40+Projects!$D$40),Projects!$B$40*(1-SUMPRODUCT((Curves!$B$4:$AR$4)*(COLUMN(Curves!$B$4:$AR$4)-COLUMN(Curves!$B$4)+1&lt;=CY$3-Projects!$C$40+1))),0)+IF(AND(Projects!$G$46="Yes",Projects!$F$46="Yes",CY$3&gt;=Projects!$C$46,CY$3&lt;Projects!$C$46+Projects!$D$46),Projects!$B$46*(1-SUMPRODUCT((Curves!$B$4:$AR$4)*(COLUMN(Curves!$B$4:$AR$4)-COLUMN(Curves!$B$4)+1&lt;=CY$3-Projects!$C$46+1))),0)</f>
        <v>0</v>
      </c>
      <c r="CZ351" s="13" t="n">
        <f aca="false">IF(AND(Projects!$G$17="Yes",Projects!$F$17="Yes",CZ$3&gt;=Projects!$C$17,CZ$3&lt;Projects!$C$17+Projects!$D$17),Projects!$B$17*(1-SUMPRODUCT((Curves!$B$4:$AR$4)*(COLUMN(Curves!$B$4:$AR$4)-COLUMN(Curves!$B$4)+1&lt;=CZ$3-Projects!$C$17+1))),0)+IF(AND(Projects!$G$18="Yes",Projects!$F$18="Yes",CZ$3&gt;=Projects!$C$18,CZ$3&lt;Projects!$C$18+Projects!$D$18),Projects!$B$18*(1-SUMPRODUCT((Curves!$B$4:$AR$4)*(COLUMN(Curves!$B$4:$AR$4)-COLUMN(Curves!$B$4)+1&lt;=CZ$3-Projects!$C$18+1))),0)+IF(AND(Projects!$G$19="Yes",Projects!$F$19="Yes",CZ$3&gt;=Projects!$C$19,CZ$3&lt;Projects!$C$19+Projects!$D$19),Projects!$B$19*(1-SUMPRODUCT((Curves!$B$4:$AR$4)*(COLUMN(Curves!$B$4:$AR$4)-COLUMN(Curves!$B$4)+1&lt;=CZ$3-Projects!$C$19+1))),0)+IF(AND(Projects!$G$23="Yes",Projects!$F$23="Yes",CZ$3&gt;=Projects!$C$23,CZ$3&lt;Projects!$C$23+Projects!$D$23),Projects!$B$23*(1-SUMPRODUCT((Curves!$B$4:$AR$4)*(COLUMN(Curves!$B$4:$AR$4)-COLUMN(Curves!$B$4)+1&lt;=CZ$3-Projects!$C$23+1))),0)+IF(AND(Projects!$G$28="Yes",Projects!$F$28="Yes",CZ$3&gt;=Projects!$C$28,CZ$3&lt;Projects!$C$28+Projects!$D$28),Projects!$B$28*(1-SUMPRODUCT((Curves!$B$4:$AR$4)*(COLUMN(Curves!$B$4:$AR$4)-COLUMN(Curves!$B$4)+1&lt;=CZ$3-Projects!$C$28+1))),0)+IF(AND(Projects!$G$34="Yes",Projects!$F$34="Yes",CZ$3&gt;=Projects!$C$34,CZ$3&lt;Projects!$C$34+Projects!$D$34),Projects!$B$34*(1-SUMPRODUCT((Curves!$B$4:$AR$4)*(COLUMN(Curves!$B$4:$AR$4)-COLUMN(Curves!$B$4)+1&lt;=CZ$3-Projects!$C$34+1))),0)+IF(AND(Projects!$G$40="Yes",Projects!$F$40="Yes",CZ$3&gt;=Projects!$C$40,CZ$3&lt;Projects!$C$40+Projects!$D$40),Projects!$B$40*(1-SUMPRODUCT((Curves!$B$4:$AR$4)*(COLUMN(Curves!$B$4:$AR$4)-COLUMN(Curves!$B$4)+1&lt;=CZ$3-Projects!$C$40+1))),0)+IF(AND(Projects!$G$46="Yes",Projects!$F$46="Yes",CZ$3&gt;=Projects!$C$46,CZ$3&lt;Projects!$C$46+Projects!$D$46),Projects!$B$46*(1-SUMPRODUCT((Curves!$B$4:$AR$4)*(COLUMN(Curves!$B$4:$AR$4)-COLUMN(Curves!$B$4)+1&lt;=CZ$3-Projects!$C$46+1))),0)</f>
        <v>0</v>
      </c>
      <c r="DA351" s="13" t="n">
        <f aca="false">IF(AND(Projects!$G$17="Yes",Projects!$F$17="Yes",DA$3&gt;=Projects!$C$17,DA$3&lt;Projects!$C$17+Projects!$D$17),Projects!$B$17*(1-SUMPRODUCT((Curves!$B$4:$AR$4)*(COLUMN(Curves!$B$4:$AR$4)-COLUMN(Curves!$B$4)+1&lt;=DA$3-Projects!$C$17+1))),0)+IF(AND(Projects!$G$18="Yes",Projects!$F$18="Yes",DA$3&gt;=Projects!$C$18,DA$3&lt;Projects!$C$18+Projects!$D$18),Projects!$B$18*(1-SUMPRODUCT((Curves!$B$4:$AR$4)*(COLUMN(Curves!$B$4:$AR$4)-COLUMN(Curves!$B$4)+1&lt;=DA$3-Projects!$C$18+1))),0)+IF(AND(Projects!$G$19="Yes",Projects!$F$19="Yes",DA$3&gt;=Projects!$C$19,DA$3&lt;Projects!$C$19+Projects!$D$19),Projects!$B$19*(1-SUMPRODUCT((Curves!$B$4:$AR$4)*(COLUMN(Curves!$B$4:$AR$4)-COLUMN(Curves!$B$4)+1&lt;=DA$3-Projects!$C$19+1))),0)+IF(AND(Projects!$G$23="Yes",Projects!$F$23="Yes",DA$3&gt;=Projects!$C$23,DA$3&lt;Projects!$C$23+Projects!$D$23),Projects!$B$23*(1-SUMPRODUCT((Curves!$B$4:$AR$4)*(COLUMN(Curves!$B$4:$AR$4)-COLUMN(Curves!$B$4)+1&lt;=DA$3-Projects!$C$23+1))),0)+IF(AND(Projects!$G$28="Yes",Projects!$F$28="Yes",DA$3&gt;=Projects!$C$28,DA$3&lt;Projects!$C$28+Projects!$D$28),Projects!$B$28*(1-SUMPRODUCT((Curves!$B$4:$AR$4)*(COLUMN(Curves!$B$4:$AR$4)-COLUMN(Curves!$B$4)+1&lt;=DA$3-Projects!$C$28+1))),0)+IF(AND(Projects!$G$34="Yes",Projects!$F$34="Yes",DA$3&gt;=Projects!$C$34,DA$3&lt;Projects!$C$34+Projects!$D$34),Projects!$B$34*(1-SUMPRODUCT((Curves!$B$4:$AR$4)*(COLUMN(Curves!$B$4:$AR$4)-COLUMN(Curves!$B$4)+1&lt;=DA$3-Projects!$C$34+1))),0)+IF(AND(Projects!$G$40="Yes",Projects!$F$40="Yes",DA$3&gt;=Projects!$C$40,DA$3&lt;Projects!$C$40+Projects!$D$40),Projects!$B$40*(1-SUMPRODUCT((Curves!$B$4:$AR$4)*(COLUMN(Curves!$B$4:$AR$4)-COLUMN(Curves!$B$4)+1&lt;=DA$3-Projects!$C$40+1))),0)+IF(AND(Projects!$G$46="Yes",Projects!$F$46="Yes",DA$3&gt;=Projects!$C$46,DA$3&lt;Projects!$C$46+Projects!$D$46),Projects!$B$46*(1-SUMPRODUCT((Curves!$B$4:$AR$4)*(COLUMN(Curves!$B$4:$AR$4)-COLUMN(Curves!$B$4)+1&lt;=DA$3-Projects!$C$46+1))),0)</f>
        <v>0</v>
      </c>
      <c r="DB351" s="13" t="n">
        <f aca="false">IF(AND(Projects!$G$17="Yes",Projects!$F$17="Yes",DB$3&gt;=Projects!$C$17,DB$3&lt;Projects!$C$17+Projects!$D$17),Projects!$B$17*(1-SUMPRODUCT((Curves!$B$4:$AR$4)*(COLUMN(Curves!$B$4:$AR$4)-COLUMN(Curves!$B$4)+1&lt;=DB$3-Projects!$C$17+1))),0)+IF(AND(Projects!$G$18="Yes",Projects!$F$18="Yes",DB$3&gt;=Projects!$C$18,DB$3&lt;Projects!$C$18+Projects!$D$18),Projects!$B$18*(1-SUMPRODUCT((Curves!$B$4:$AR$4)*(COLUMN(Curves!$B$4:$AR$4)-COLUMN(Curves!$B$4)+1&lt;=DB$3-Projects!$C$18+1))),0)+IF(AND(Projects!$G$19="Yes",Projects!$F$19="Yes",DB$3&gt;=Projects!$C$19,DB$3&lt;Projects!$C$19+Projects!$D$19),Projects!$B$19*(1-SUMPRODUCT((Curves!$B$4:$AR$4)*(COLUMN(Curves!$B$4:$AR$4)-COLUMN(Curves!$B$4)+1&lt;=DB$3-Projects!$C$19+1))),0)+IF(AND(Projects!$G$23="Yes",Projects!$F$23="Yes",DB$3&gt;=Projects!$C$23,DB$3&lt;Projects!$C$23+Projects!$D$23),Projects!$B$23*(1-SUMPRODUCT((Curves!$B$4:$AR$4)*(COLUMN(Curves!$B$4:$AR$4)-COLUMN(Curves!$B$4)+1&lt;=DB$3-Projects!$C$23+1))),0)+IF(AND(Projects!$G$28="Yes",Projects!$F$28="Yes",DB$3&gt;=Projects!$C$28,DB$3&lt;Projects!$C$28+Projects!$D$28),Projects!$B$28*(1-SUMPRODUCT((Curves!$B$4:$AR$4)*(COLUMN(Curves!$B$4:$AR$4)-COLUMN(Curves!$B$4)+1&lt;=DB$3-Projects!$C$28+1))),0)+IF(AND(Projects!$G$34="Yes",Projects!$F$34="Yes",DB$3&gt;=Projects!$C$34,DB$3&lt;Projects!$C$34+Projects!$D$34),Projects!$B$34*(1-SUMPRODUCT((Curves!$B$4:$AR$4)*(COLUMN(Curves!$B$4:$AR$4)-COLUMN(Curves!$B$4)+1&lt;=DB$3-Projects!$C$34+1))),0)+IF(AND(Projects!$G$40="Yes",Projects!$F$40="Yes",DB$3&gt;=Projects!$C$40,DB$3&lt;Projects!$C$40+Projects!$D$40),Projects!$B$40*(1-SUMPRODUCT((Curves!$B$4:$AR$4)*(COLUMN(Curves!$B$4:$AR$4)-COLUMN(Curves!$B$4)+1&lt;=DB$3-Projects!$C$40+1))),0)+IF(AND(Projects!$G$46="Yes",Projects!$F$46="Yes",DB$3&gt;=Projects!$C$46,DB$3&lt;Projects!$C$46+Projects!$D$46),Projects!$B$46*(1-SUMPRODUCT((Curves!$B$4:$AR$4)*(COLUMN(Curves!$B$4:$AR$4)-COLUMN(Curves!$B$4)+1&lt;=DB$3-Projects!$C$46+1))),0)</f>
        <v>0</v>
      </c>
      <c r="DC351" s="13" t="n">
        <f aca="false">IF(AND(Projects!$G$17="Yes",Projects!$F$17="Yes",DC$3&gt;=Projects!$C$17,DC$3&lt;Projects!$C$17+Projects!$D$17),Projects!$B$17*(1-SUMPRODUCT((Curves!$B$4:$AR$4)*(COLUMN(Curves!$B$4:$AR$4)-COLUMN(Curves!$B$4)+1&lt;=DC$3-Projects!$C$17+1))),0)+IF(AND(Projects!$G$18="Yes",Projects!$F$18="Yes",DC$3&gt;=Projects!$C$18,DC$3&lt;Projects!$C$18+Projects!$D$18),Projects!$B$18*(1-SUMPRODUCT((Curves!$B$4:$AR$4)*(COLUMN(Curves!$B$4:$AR$4)-COLUMN(Curves!$B$4)+1&lt;=DC$3-Projects!$C$18+1))),0)+IF(AND(Projects!$G$19="Yes",Projects!$F$19="Yes",DC$3&gt;=Projects!$C$19,DC$3&lt;Projects!$C$19+Projects!$D$19),Projects!$B$19*(1-SUMPRODUCT((Curves!$B$4:$AR$4)*(COLUMN(Curves!$B$4:$AR$4)-COLUMN(Curves!$B$4)+1&lt;=DC$3-Projects!$C$19+1))),0)+IF(AND(Projects!$G$23="Yes",Projects!$F$23="Yes",DC$3&gt;=Projects!$C$23,DC$3&lt;Projects!$C$23+Projects!$D$23),Projects!$B$23*(1-SUMPRODUCT((Curves!$B$4:$AR$4)*(COLUMN(Curves!$B$4:$AR$4)-COLUMN(Curves!$B$4)+1&lt;=DC$3-Projects!$C$23+1))),0)+IF(AND(Projects!$G$28="Yes",Projects!$F$28="Yes",DC$3&gt;=Projects!$C$28,DC$3&lt;Projects!$C$28+Projects!$D$28),Projects!$B$28*(1-SUMPRODUCT((Curves!$B$4:$AR$4)*(COLUMN(Curves!$B$4:$AR$4)-COLUMN(Curves!$B$4)+1&lt;=DC$3-Projects!$C$28+1))),0)+IF(AND(Projects!$G$34="Yes",Projects!$F$34="Yes",DC$3&gt;=Projects!$C$34,DC$3&lt;Projects!$C$34+Projects!$D$34),Projects!$B$34*(1-SUMPRODUCT((Curves!$B$4:$AR$4)*(COLUMN(Curves!$B$4:$AR$4)-COLUMN(Curves!$B$4)+1&lt;=DC$3-Projects!$C$34+1))),0)+IF(AND(Projects!$G$40="Yes",Projects!$F$40="Yes",DC$3&gt;=Projects!$C$40,DC$3&lt;Projects!$C$40+Projects!$D$40),Projects!$B$40*(1-SUMPRODUCT((Curves!$B$4:$AR$4)*(COLUMN(Curves!$B$4:$AR$4)-COLUMN(Curves!$B$4)+1&lt;=DC$3-Projects!$C$40+1))),0)+IF(AND(Projects!$G$46="Yes",Projects!$F$46="Yes",DC$3&gt;=Projects!$C$46,DC$3&lt;Projects!$C$46+Projects!$D$46),Projects!$B$46*(1-SUMPRODUCT((Curves!$B$4:$AR$4)*(COLUMN(Curves!$B$4:$AR$4)-COLUMN(Curves!$B$4)+1&lt;=DC$3-Projects!$C$46+1))),0)</f>
        <v>0</v>
      </c>
      <c r="DD351" s="13" t="n">
        <f aca="false">IF(AND(Projects!$G$17="Yes",Projects!$F$17="Yes",DD$3&gt;=Projects!$C$17,DD$3&lt;Projects!$C$17+Projects!$D$17),Projects!$B$17*(1-SUMPRODUCT((Curves!$B$4:$AR$4)*(COLUMN(Curves!$B$4:$AR$4)-COLUMN(Curves!$B$4)+1&lt;=DD$3-Projects!$C$17+1))),0)+IF(AND(Projects!$G$18="Yes",Projects!$F$18="Yes",DD$3&gt;=Projects!$C$18,DD$3&lt;Projects!$C$18+Projects!$D$18),Projects!$B$18*(1-SUMPRODUCT((Curves!$B$4:$AR$4)*(COLUMN(Curves!$B$4:$AR$4)-COLUMN(Curves!$B$4)+1&lt;=DD$3-Projects!$C$18+1))),0)+IF(AND(Projects!$G$19="Yes",Projects!$F$19="Yes",DD$3&gt;=Projects!$C$19,DD$3&lt;Projects!$C$19+Projects!$D$19),Projects!$B$19*(1-SUMPRODUCT((Curves!$B$4:$AR$4)*(COLUMN(Curves!$B$4:$AR$4)-COLUMN(Curves!$B$4)+1&lt;=DD$3-Projects!$C$19+1))),0)+IF(AND(Projects!$G$23="Yes",Projects!$F$23="Yes",DD$3&gt;=Projects!$C$23,DD$3&lt;Projects!$C$23+Projects!$D$23),Projects!$B$23*(1-SUMPRODUCT((Curves!$B$4:$AR$4)*(COLUMN(Curves!$B$4:$AR$4)-COLUMN(Curves!$B$4)+1&lt;=DD$3-Projects!$C$23+1))),0)+IF(AND(Projects!$G$28="Yes",Projects!$F$28="Yes",DD$3&gt;=Projects!$C$28,DD$3&lt;Projects!$C$28+Projects!$D$28),Projects!$B$28*(1-SUMPRODUCT((Curves!$B$4:$AR$4)*(COLUMN(Curves!$B$4:$AR$4)-COLUMN(Curves!$B$4)+1&lt;=DD$3-Projects!$C$28+1))),0)+IF(AND(Projects!$G$34="Yes",Projects!$F$34="Yes",DD$3&gt;=Projects!$C$34,DD$3&lt;Projects!$C$34+Projects!$D$34),Projects!$B$34*(1-SUMPRODUCT((Curves!$B$4:$AR$4)*(COLUMN(Curves!$B$4:$AR$4)-COLUMN(Curves!$B$4)+1&lt;=DD$3-Projects!$C$34+1))),0)+IF(AND(Projects!$G$40="Yes",Projects!$F$40="Yes",DD$3&gt;=Projects!$C$40,DD$3&lt;Projects!$C$40+Projects!$D$40),Projects!$B$40*(1-SUMPRODUCT((Curves!$B$4:$AR$4)*(COLUMN(Curves!$B$4:$AR$4)-COLUMN(Curves!$B$4)+1&lt;=DD$3-Projects!$C$40+1))),0)+IF(AND(Projects!$G$46="Yes",Projects!$F$46="Yes",DD$3&gt;=Projects!$C$46,DD$3&lt;Projects!$C$46+Projects!$D$46),Projects!$B$46*(1-SUMPRODUCT((Curves!$B$4:$AR$4)*(COLUMN(Curves!$B$4:$AR$4)-COLUMN(Curves!$B$4)+1&lt;=DD$3-Projects!$C$46+1))),0)</f>
        <v>0</v>
      </c>
      <c r="DE351" s="13" t="n">
        <f aca="false">IF(AND(Projects!$G$17="Yes",Projects!$F$17="Yes",DE$3&gt;=Projects!$C$17,DE$3&lt;Projects!$C$17+Projects!$D$17),Projects!$B$17*(1-SUMPRODUCT((Curves!$B$4:$AR$4)*(COLUMN(Curves!$B$4:$AR$4)-COLUMN(Curves!$B$4)+1&lt;=DE$3-Projects!$C$17+1))),0)+IF(AND(Projects!$G$18="Yes",Projects!$F$18="Yes",DE$3&gt;=Projects!$C$18,DE$3&lt;Projects!$C$18+Projects!$D$18),Projects!$B$18*(1-SUMPRODUCT((Curves!$B$4:$AR$4)*(COLUMN(Curves!$B$4:$AR$4)-COLUMN(Curves!$B$4)+1&lt;=DE$3-Projects!$C$18+1))),0)+IF(AND(Projects!$G$19="Yes",Projects!$F$19="Yes",DE$3&gt;=Projects!$C$19,DE$3&lt;Projects!$C$19+Projects!$D$19),Projects!$B$19*(1-SUMPRODUCT((Curves!$B$4:$AR$4)*(COLUMN(Curves!$B$4:$AR$4)-COLUMN(Curves!$B$4)+1&lt;=DE$3-Projects!$C$19+1))),0)+IF(AND(Projects!$G$23="Yes",Projects!$F$23="Yes",DE$3&gt;=Projects!$C$23,DE$3&lt;Projects!$C$23+Projects!$D$23),Projects!$B$23*(1-SUMPRODUCT((Curves!$B$4:$AR$4)*(COLUMN(Curves!$B$4:$AR$4)-COLUMN(Curves!$B$4)+1&lt;=DE$3-Projects!$C$23+1))),0)+IF(AND(Projects!$G$28="Yes",Projects!$F$28="Yes",DE$3&gt;=Projects!$C$28,DE$3&lt;Projects!$C$28+Projects!$D$28),Projects!$B$28*(1-SUMPRODUCT((Curves!$B$4:$AR$4)*(COLUMN(Curves!$B$4:$AR$4)-COLUMN(Curves!$B$4)+1&lt;=DE$3-Projects!$C$28+1))),0)+IF(AND(Projects!$G$34="Yes",Projects!$F$34="Yes",DE$3&gt;=Projects!$C$34,DE$3&lt;Projects!$C$34+Projects!$D$34),Projects!$B$34*(1-SUMPRODUCT((Curves!$B$4:$AR$4)*(COLUMN(Curves!$B$4:$AR$4)-COLUMN(Curves!$B$4)+1&lt;=DE$3-Projects!$C$34+1))),0)+IF(AND(Projects!$G$40="Yes",Projects!$F$40="Yes",DE$3&gt;=Projects!$C$40,DE$3&lt;Projects!$C$40+Projects!$D$40),Projects!$B$40*(1-SUMPRODUCT((Curves!$B$4:$AR$4)*(COLUMN(Curves!$B$4:$AR$4)-COLUMN(Curves!$B$4)+1&lt;=DE$3-Projects!$C$40+1))),0)+IF(AND(Projects!$G$46="Yes",Projects!$F$46="Yes",DE$3&gt;=Projects!$C$46,DE$3&lt;Projects!$C$46+Projects!$D$46),Projects!$B$46*(1-SUMPRODUCT((Curves!$B$4:$AR$4)*(COLUMN(Curves!$B$4:$AR$4)-COLUMN(Curves!$B$4)+1&lt;=DE$3-Projects!$C$46+1))),0)</f>
        <v>0</v>
      </c>
    </row>
    <row r="352" customFormat="false" ht="15" hidden="false" customHeight="true" outlineLevel="0" collapsed="false">
      <c r="A352" s="44" t="s">
        <v>178</v>
      </c>
      <c r="B352" s="39"/>
      <c r="C352" s="39"/>
      <c r="D352" s="39"/>
      <c r="E352" s="39"/>
      <c r="F352" s="39"/>
      <c r="G352" s="39"/>
      <c r="H352" s="39"/>
      <c r="I352" s="39"/>
      <c r="J352" s="39"/>
      <c r="K352" s="39"/>
      <c r="L352" s="39"/>
      <c r="M352" s="39"/>
      <c r="N352" s="39"/>
      <c r="O352" s="39"/>
      <c r="P352" s="39"/>
      <c r="Q352" s="39"/>
      <c r="R352" s="39"/>
      <c r="S352" s="39"/>
      <c r="T352" s="39"/>
      <c r="U352" s="39"/>
      <c r="V352" s="39"/>
      <c r="W352" s="39"/>
      <c r="X352" s="39"/>
      <c r="Y352" s="39"/>
      <c r="Z352" s="39"/>
      <c r="AA352" s="39"/>
      <c r="AB352" s="39"/>
      <c r="AC352" s="39"/>
      <c r="AD352" s="39"/>
      <c r="AE352" s="39"/>
      <c r="AF352" s="39"/>
      <c r="AG352" s="39"/>
      <c r="AH352" s="39"/>
      <c r="AI352" s="39"/>
      <c r="AJ352" s="39"/>
      <c r="AK352" s="39"/>
      <c r="AL352" s="39"/>
      <c r="AM352" s="39"/>
      <c r="AN352" s="39"/>
      <c r="AO352" s="39"/>
      <c r="AP352" s="39"/>
      <c r="AQ352" s="39"/>
      <c r="AR352" s="39"/>
      <c r="AS352" s="39"/>
      <c r="AT352" s="39"/>
      <c r="AU352" s="39"/>
      <c r="AV352" s="39"/>
      <c r="AW352" s="39"/>
      <c r="AX352" s="39"/>
      <c r="AY352" s="39"/>
      <c r="AZ352" s="39"/>
      <c r="BA352" s="39"/>
      <c r="BB352" s="39"/>
      <c r="BC352" s="39"/>
      <c r="BD352" s="39"/>
      <c r="BE352" s="39"/>
      <c r="BF352" s="39"/>
      <c r="BG352" s="39"/>
      <c r="BH352" s="39"/>
      <c r="BI352" s="39"/>
      <c r="BJ352" s="39"/>
      <c r="BK352" s="39"/>
      <c r="BL352" s="39"/>
      <c r="BM352" s="39"/>
      <c r="BN352" s="39"/>
      <c r="BO352" s="39"/>
      <c r="BP352" s="39"/>
      <c r="BQ352" s="39"/>
      <c r="BR352" s="39"/>
      <c r="BS352" s="39"/>
      <c r="BT352" s="39"/>
      <c r="BU352" s="39"/>
      <c r="BV352" s="39"/>
      <c r="BW352" s="39"/>
      <c r="BX352" s="39"/>
      <c r="BY352" s="39"/>
      <c r="BZ352" s="39"/>
      <c r="CA352" s="39"/>
      <c r="CB352" s="39"/>
      <c r="CC352" s="39"/>
      <c r="CD352" s="39"/>
      <c r="CE352" s="39"/>
      <c r="CF352" s="39"/>
      <c r="CG352" s="39"/>
      <c r="CH352" s="39"/>
      <c r="CI352" s="39"/>
      <c r="CJ352" s="39"/>
      <c r="CK352" s="39"/>
      <c r="CL352" s="39"/>
      <c r="CM352" s="39"/>
      <c r="CN352" s="39"/>
      <c r="CO352" s="39"/>
      <c r="CP352" s="39"/>
      <c r="CQ352" s="39"/>
      <c r="CR352" s="39"/>
      <c r="CS352" s="39"/>
      <c r="CT352" s="39"/>
      <c r="CU352" s="39"/>
      <c r="CV352" s="39"/>
      <c r="CW352" s="39"/>
      <c r="CX352" s="39"/>
      <c r="CY352" s="39"/>
      <c r="CZ352" s="39"/>
      <c r="DA352" s="39"/>
      <c r="DB352" s="39"/>
      <c r="DC352" s="39"/>
      <c r="DD352" s="39"/>
      <c r="DE352" s="39"/>
    </row>
    <row r="353" customFormat="false" ht="15" hidden="false" customHeight="true" outlineLevel="0" collapsed="false">
      <c r="A353" s="65"/>
      <c r="B353" s="66"/>
      <c r="C353" s="66"/>
      <c r="D353" s="66"/>
      <c r="E353" s="66"/>
      <c r="F353" s="66"/>
      <c r="G353" s="66"/>
      <c r="H353" s="66"/>
      <c r="I353" s="66"/>
      <c r="J353" s="66"/>
      <c r="K353" s="66"/>
      <c r="L353" s="66"/>
      <c r="M353" s="66"/>
      <c r="N353" s="66"/>
      <c r="O353" s="66"/>
      <c r="P353" s="66"/>
      <c r="Q353" s="66"/>
      <c r="R353" s="66"/>
      <c r="S353" s="66"/>
      <c r="T353" s="66"/>
      <c r="U353" s="66"/>
      <c r="V353" s="66"/>
      <c r="W353" s="66"/>
      <c r="X353" s="66"/>
      <c r="Y353" s="66"/>
      <c r="Z353" s="66"/>
      <c r="AA353" s="66"/>
      <c r="AB353" s="66"/>
      <c r="AC353" s="66"/>
      <c r="AD353" s="66"/>
      <c r="AE353" s="66"/>
      <c r="AF353" s="66"/>
      <c r="AG353" s="66"/>
      <c r="AH353" s="66"/>
      <c r="AI353" s="66"/>
      <c r="AJ353" s="66"/>
      <c r="AK353" s="66"/>
      <c r="AL353" s="66"/>
      <c r="AM353" s="66"/>
      <c r="AN353" s="66"/>
      <c r="AO353" s="66"/>
      <c r="AP353" s="66"/>
      <c r="AQ353" s="66"/>
      <c r="AR353" s="66"/>
      <c r="AS353" s="66"/>
      <c r="AT353" s="66"/>
      <c r="AU353" s="66"/>
      <c r="AV353" s="66"/>
      <c r="AW353" s="66"/>
      <c r="AX353" s="66"/>
      <c r="AY353" s="66"/>
      <c r="AZ353" s="66"/>
      <c r="BA353" s="66"/>
      <c r="BB353" s="66"/>
      <c r="BC353" s="66"/>
      <c r="BD353" s="66"/>
      <c r="BE353" s="66"/>
      <c r="BF353" s="66"/>
      <c r="BG353" s="66"/>
      <c r="BH353" s="66"/>
      <c r="BI353" s="66"/>
      <c r="BJ353" s="66"/>
      <c r="BK353" s="66"/>
      <c r="BL353" s="66"/>
      <c r="BM353" s="66"/>
      <c r="BN353" s="66"/>
      <c r="BO353" s="66"/>
      <c r="BP353" s="66"/>
      <c r="BQ353" s="66"/>
      <c r="BR353" s="66"/>
      <c r="BS353" s="66"/>
      <c r="BT353" s="66"/>
      <c r="BU353" s="66"/>
      <c r="BV353" s="66"/>
      <c r="BW353" s="66"/>
      <c r="BX353" s="66"/>
      <c r="BY353" s="66"/>
      <c r="BZ353" s="66"/>
      <c r="CA353" s="66"/>
      <c r="CB353" s="66"/>
      <c r="CC353" s="66"/>
      <c r="CD353" s="66"/>
      <c r="CE353" s="66"/>
      <c r="CF353" s="66"/>
      <c r="CG353" s="66"/>
      <c r="CH353" s="66"/>
      <c r="CI353" s="66"/>
      <c r="CJ353" s="66"/>
      <c r="CK353" s="66"/>
      <c r="CL353" s="66"/>
      <c r="CM353" s="66"/>
      <c r="CN353" s="66"/>
      <c r="CO353" s="66"/>
      <c r="CP353" s="66"/>
      <c r="CQ353" s="66"/>
      <c r="CR353" s="66"/>
      <c r="CS353" s="66"/>
      <c r="CT353" s="66"/>
      <c r="CU353" s="66"/>
      <c r="CV353" s="66"/>
      <c r="CW353" s="66"/>
      <c r="CX353" s="66"/>
      <c r="CY353" s="66"/>
      <c r="CZ353" s="66"/>
      <c r="DA353" s="66"/>
      <c r="DB353" s="66"/>
      <c r="DC353" s="66"/>
      <c r="DD353" s="66"/>
      <c r="DE353" s="66"/>
    </row>
    <row r="354" customFormat="false" ht="15" hidden="false" customHeight="true" outlineLevel="0" collapsed="false">
      <c r="A354" s="23" t="s">
        <v>179</v>
      </c>
      <c r="B354" s="34"/>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34"/>
      <c r="AA354" s="34"/>
      <c r="AB354" s="34"/>
      <c r="AC354" s="34"/>
      <c r="AD354" s="34"/>
      <c r="AE354" s="34"/>
      <c r="AF354" s="34"/>
      <c r="AG354" s="34"/>
      <c r="AH354" s="34"/>
      <c r="AI354" s="34"/>
      <c r="AJ354" s="34"/>
      <c r="AK354" s="34"/>
      <c r="AL354" s="34"/>
      <c r="AM354" s="34"/>
      <c r="AN354" s="34"/>
      <c r="AO354" s="34"/>
      <c r="AP354" s="34"/>
      <c r="AQ354" s="34"/>
      <c r="AR354" s="34"/>
      <c r="AS354" s="34"/>
      <c r="AT354" s="34"/>
      <c r="AU354" s="34"/>
      <c r="AV354" s="34"/>
      <c r="AW354" s="34"/>
      <c r="AX354" s="34"/>
      <c r="AY354" s="34"/>
      <c r="AZ354" s="34"/>
      <c r="BA354" s="34"/>
      <c r="BB354" s="34"/>
      <c r="BC354" s="34"/>
      <c r="BD354" s="34"/>
      <c r="BE354" s="34"/>
      <c r="BF354" s="34"/>
      <c r="BG354" s="34"/>
      <c r="BH354" s="34"/>
      <c r="BI354" s="34"/>
      <c r="BJ354" s="34"/>
      <c r="BK354" s="34"/>
      <c r="BL354" s="34"/>
      <c r="BM354" s="34"/>
      <c r="BN354" s="34"/>
      <c r="BO354" s="34"/>
      <c r="BP354" s="34"/>
      <c r="BQ354" s="34"/>
      <c r="BR354" s="34"/>
      <c r="BS354" s="34"/>
      <c r="BT354" s="34"/>
      <c r="BU354" s="34"/>
      <c r="BV354" s="34"/>
      <c r="BW354" s="34"/>
      <c r="BX354" s="34"/>
      <c r="BY354" s="34"/>
      <c r="BZ354" s="34"/>
      <c r="CA354" s="34"/>
      <c r="CB354" s="34"/>
      <c r="CC354" s="34"/>
      <c r="CD354" s="34"/>
      <c r="CE354" s="34"/>
      <c r="CF354" s="34"/>
      <c r="CG354" s="34"/>
      <c r="CH354" s="34"/>
      <c r="CI354" s="34"/>
      <c r="CJ354" s="34"/>
      <c r="CK354" s="34"/>
      <c r="CL354" s="34"/>
      <c r="CM354" s="34"/>
      <c r="CN354" s="34"/>
      <c r="CO354" s="34"/>
      <c r="CP354" s="34"/>
      <c r="CQ354" s="34"/>
      <c r="CR354" s="34"/>
      <c r="CS354" s="34"/>
      <c r="CT354" s="34"/>
      <c r="CU354" s="34"/>
      <c r="CV354" s="34"/>
      <c r="CW354" s="34"/>
      <c r="CX354" s="34"/>
      <c r="CY354" s="34"/>
      <c r="CZ354" s="34"/>
      <c r="DA354" s="34"/>
      <c r="DB354" s="34"/>
      <c r="DC354" s="34"/>
      <c r="DD354" s="34"/>
      <c r="DE354" s="34"/>
    </row>
    <row r="355" customFormat="false" ht="15" hidden="false" customHeight="true" outlineLevel="0" collapsed="false">
      <c r="A355" s="22" t="s">
        <v>180</v>
      </c>
      <c r="B355" s="13"/>
      <c r="C355" s="13"/>
      <c r="D355" s="13"/>
      <c r="E355" s="13"/>
      <c r="F355" s="13"/>
      <c r="G355" s="13"/>
      <c r="H355" s="13"/>
      <c r="I355" s="13"/>
      <c r="J355" s="13" t="n">
        <f aca="false">Assumptions!B29</f>
        <v>1287106</v>
      </c>
      <c r="K355" s="13" t="n">
        <f aca="false">J363</f>
        <v>1113428.48890737</v>
      </c>
      <c r="L355" s="13" t="n">
        <f aca="false">K363</f>
        <v>1608936.51416871</v>
      </c>
      <c r="M355" s="13" t="n">
        <f aca="false">L363</f>
        <v>2053661.92886452</v>
      </c>
      <c r="N355" s="13" t="n">
        <f aca="false">M363</f>
        <v>2168054.84711936</v>
      </c>
      <c r="O355" s="13" t="n">
        <f aca="false">N363</f>
        <v>1143817.67352964</v>
      </c>
      <c r="P355" s="13" t="n">
        <f aca="false">O363</f>
        <v>1424378.16243575</v>
      </c>
      <c r="Q355" s="13" t="n">
        <f aca="false">P363</f>
        <v>1739781.35069781</v>
      </c>
      <c r="R355" s="13" t="n">
        <f aca="false">Q363</f>
        <v>1983166.71522368</v>
      </c>
      <c r="S355" s="13" t="n">
        <f aca="false">R363</f>
        <v>1497633.13073708</v>
      </c>
      <c r="T355" s="13" t="n">
        <f aca="false">S363</f>
        <v>1561572.750026</v>
      </c>
      <c r="U355" s="13" t="n">
        <f aca="false">T363</f>
        <v>1662810.86299778</v>
      </c>
      <c r="V355" s="13" t="n">
        <f aca="false">U363</f>
        <v>1953527.99398282</v>
      </c>
      <c r="W355" s="13" t="n">
        <f aca="false">V363</f>
        <v>2581953.05901466</v>
      </c>
      <c r="X355" s="13" t="n">
        <f aca="false">W363</f>
        <v>3259430.10754649</v>
      </c>
      <c r="Y355" s="13" t="n">
        <f aca="false">X363</f>
        <v>3720641.44183539</v>
      </c>
      <c r="Z355" s="13" t="n">
        <f aca="false">Y363</f>
        <v>4415467.61553319</v>
      </c>
      <c r="AA355" s="13" t="n">
        <f aca="false">Z363</f>
        <v>5007331.72706562</v>
      </c>
      <c r="AB355" s="13" t="n">
        <f aca="false">AA363</f>
        <v>5819979.16304536</v>
      </c>
      <c r="AC355" s="13" t="n">
        <f aca="false">AB363</f>
        <v>6659329.38945921</v>
      </c>
      <c r="AD355" s="13" t="n">
        <f aca="false">AC363</f>
        <v>7303766.1611928</v>
      </c>
      <c r="AE355" s="13" t="n">
        <f aca="false">AD363</f>
        <v>7763329.96818283</v>
      </c>
      <c r="AF355" s="13" t="n">
        <f aca="false">AE363</f>
        <v>8238414.10262944</v>
      </c>
      <c r="AG355" s="13" t="n">
        <f aca="false">AF363</f>
        <v>8257588.28839791</v>
      </c>
      <c r="AH355" s="13" t="n">
        <f aca="false">AG363</f>
        <v>9099130.33419041</v>
      </c>
      <c r="AI355" s="13" t="n">
        <f aca="false">AH363</f>
        <v>9857888.55290159</v>
      </c>
      <c r="AJ355" s="13" t="n">
        <f aca="false">AI363</f>
        <v>10584099.0296509</v>
      </c>
      <c r="AK355" s="13" t="n">
        <f aca="false">AJ363</f>
        <v>11561633.8831781</v>
      </c>
      <c r="AL355" s="13" t="n">
        <f aca="false">AK363</f>
        <v>12353902.7304353</v>
      </c>
      <c r="AM355" s="13" t="n">
        <f aca="false">AL363</f>
        <v>13099510.6490967</v>
      </c>
      <c r="AN355" s="13" t="n">
        <f aca="false">AM363</f>
        <v>13889663.339886</v>
      </c>
      <c r="AO355" s="13" t="n">
        <f aca="false">AN363</f>
        <v>14828796.7064075</v>
      </c>
      <c r="AP355" s="13" t="n">
        <f aca="false">AO363</f>
        <v>15485410.9228534</v>
      </c>
      <c r="AQ355" s="13" t="n">
        <f aca="false">AP363</f>
        <v>16186972.1842994</v>
      </c>
      <c r="AR355" s="13" t="n">
        <f aca="false">AQ363</f>
        <v>16601810.0183121</v>
      </c>
      <c r="AS355" s="13" t="n">
        <f aca="false">AR363</f>
        <v>17471681.2501081</v>
      </c>
      <c r="AT355" s="13" t="n">
        <f aca="false">AS363</f>
        <v>18379052.481904</v>
      </c>
      <c r="AU355" s="13" t="n">
        <f aca="false">AT363</f>
        <v>19573209.2644601</v>
      </c>
      <c r="AV355" s="13" t="n">
        <f aca="false">AU363</f>
        <v>20834445.2101858</v>
      </c>
      <c r="AW355" s="13" t="n">
        <f aca="false">AV363</f>
        <v>21659652.4216132</v>
      </c>
      <c r="AX355" s="13" t="n">
        <f aca="false">AW363</f>
        <v>22315906.6308388</v>
      </c>
      <c r="AY355" s="13" t="n">
        <f aca="false">AX363</f>
        <v>23019660.8400644</v>
      </c>
      <c r="AZ355" s="13" t="n">
        <f aca="false">AY363</f>
        <v>23747757.5449604</v>
      </c>
      <c r="BA355" s="13" t="n">
        <f aca="false">AZ363</f>
        <v>24583963.3541407</v>
      </c>
      <c r="BB355" s="13" t="n">
        <f aca="false">BA363</f>
        <v>25368623.0099296</v>
      </c>
      <c r="BC355" s="13" t="n">
        <f aca="false">BB363</f>
        <v>26154223.3462779</v>
      </c>
      <c r="BD355" s="13" t="n">
        <f aca="false">BC363</f>
        <v>26704032.6095466</v>
      </c>
      <c r="BE355" s="13" t="n">
        <f aca="false">BD363</f>
        <v>27517640.5439403</v>
      </c>
      <c r="BF355" s="13" t="n">
        <f aca="false">BE363</f>
        <v>28329222.0263063</v>
      </c>
      <c r="BG355" s="13" t="n">
        <f aca="false">BF363</f>
        <v>29177603.1541447</v>
      </c>
      <c r="BH355" s="13" t="n">
        <f aca="false">BG363</f>
        <v>29988292.8110946</v>
      </c>
      <c r="BI355" s="13" t="n">
        <f aca="false">BH363</f>
        <v>31034188.6100222</v>
      </c>
      <c r="BJ355" s="13" t="n">
        <f aca="false">BI363</f>
        <v>31877698.4199326</v>
      </c>
      <c r="BK355" s="13" t="n">
        <f aca="false">BJ363</f>
        <v>32467932.6724141</v>
      </c>
      <c r="BL355" s="13" t="n">
        <f aca="false">BK363</f>
        <v>32881007.0938137</v>
      </c>
      <c r="BM355" s="13" t="n">
        <f aca="false">BL363</f>
        <v>33304081.5152132</v>
      </c>
      <c r="BN355" s="13" t="n">
        <f aca="false">BM363</f>
        <v>33740101.8711455</v>
      </c>
      <c r="BO355" s="13" t="n">
        <f aca="false">BN363</f>
        <v>34317631.9778441</v>
      </c>
      <c r="BP355" s="13" t="n">
        <f aca="false">BO363</f>
        <v>34770485.425163</v>
      </c>
      <c r="BQ355" s="13" t="n">
        <f aca="false">BP363</f>
        <v>35091238.0082855</v>
      </c>
      <c r="BR355" s="13" t="n">
        <f aca="false">BQ363</f>
        <v>35437608.8706275</v>
      </c>
      <c r="BS355" s="13" t="n">
        <f aca="false">BR363</f>
        <v>35831005.2268377</v>
      </c>
      <c r="BT355" s="13" t="n">
        <f aca="false">BS363</f>
        <v>36308965.8315215</v>
      </c>
      <c r="BU355" s="13" t="n">
        <f aca="false">BT363</f>
        <v>36738060.6685114</v>
      </c>
      <c r="BV355" s="13" t="n">
        <f aca="false">BU363</f>
        <v>37068566.0095614</v>
      </c>
      <c r="BW355" s="13" t="n">
        <f aca="false">BV363</f>
        <v>37327854.880326</v>
      </c>
      <c r="BX355" s="13" t="n">
        <f aca="false">BW363</f>
        <v>37537990.0706156</v>
      </c>
      <c r="BY355" s="13" t="n">
        <f aca="false">BX363</f>
        <v>37635932.9808195</v>
      </c>
      <c r="BZ355" s="13" t="n">
        <f aca="false">BY363</f>
        <v>37645358.8061288</v>
      </c>
      <c r="CA355" s="13" t="n">
        <f aca="false">BZ363</f>
        <v>37604991.4574739</v>
      </c>
      <c r="CB355" s="13" t="n">
        <f aca="false">CA363</f>
        <v>37356949.633819</v>
      </c>
      <c r="CC355" s="13" t="n">
        <f aca="false">CB363</f>
        <v>36928321.3101641</v>
      </c>
      <c r="CD355" s="13" t="n">
        <f aca="false">CC363</f>
        <v>36499692.9865092</v>
      </c>
      <c r="CE355" s="13" t="n">
        <f aca="false">CD363</f>
        <v>36071064.6628542</v>
      </c>
      <c r="CF355" s="13" t="n">
        <f aca="false">CE363</f>
        <v>35642436.3391993</v>
      </c>
      <c r="CG355" s="13" t="n">
        <f aca="false">CF363</f>
        <v>35213808.0155444</v>
      </c>
      <c r="CH355" s="13" t="n">
        <f aca="false">CG363</f>
        <v>34785179.6918895</v>
      </c>
      <c r="CI355" s="13" t="n">
        <f aca="false">CH363</f>
        <v>34356551.3682346</v>
      </c>
      <c r="CJ355" s="13" t="n">
        <f aca="false">CI363</f>
        <v>33927923.0445797</v>
      </c>
      <c r="CK355" s="13" t="n">
        <f aca="false">CJ363</f>
        <v>33499294.7209248</v>
      </c>
      <c r="CL355" s="13" t="n">
        <f aca="false">CK363</f>
        <v>33062093.8307968</v>
      </c>
      <c r="CM355" s="13" t="n">
        <f aca="false">CL363</f>
        <v>32624892.9406688</v>
      </c>
      <c r="CN355" s="13" t="n">
        <f aca="false">CM363</f>
        <v>32187692.0505407</v>
      </c>
      <c r="CO355" s="13" t="n">
        <f aca="false">CN363</f>
        <v>31750491.1604127</v>
      </c>
      <c r="CP355" s="13" t="n">
        <f aca="false">CO363</f>
        <v>31313290.2702847</v>
      </c>
      <c r="CQ355" s="13" t="n">
        <f aca="false">CP363</f>
        <v>30876089.3801567</v>
      </c>
      <c r="CR355" s="13" t="n">
        <f aca="false">CQ363</f>
        <v>30438888.4900287</v>
      </c>
      <c r="CS355" s="13" t="n">
        <f aca="false">CR363</f>
        <v>30001687.5999007</v>
      </c>
      <c r="CT355" s="13" t="n">
        <f aca="false">CS363</f>
        <v>29564486.7097727</v>
      </c>
      <c r="CU355" s="13" t="n">
        <f aca="false">CT363</f>
        <v>29179065.9792561</v>
      </c>
      <c r="CV355" s="13" t="n">
        <f aca="false">CU363</f>
        <v>28793645.2487396</v>
      </c>
      <c r="CW355" s="13" t="n">
        <f aca="false">CV363</f>
        <v>28408224.518223</v>
      </c>
      <c r="CX355" s="13" t="n">
        <f aca="false">CW363</f>
        <v>28015095.3730961</v>
      </c>
      <c r="CY355" s="13" t="n">
        <f aca="false">CX363</f>
        <v>27621966.2279692</v>
      </c>
      <c r="CZ355" s="13" t="n">
        <f aca="false">CY363</f>
        <v>27228837.0828424</v>
      </c>
      <c r="DA355" s="13" t="n">
        <f aca="false">CZ363</f>
        <v>26835707.9377155</v>
      </c>
      <c r="DB355" s="13" t="n">
        <f aca="false">DA363</f>
        <v>26442578.7925886</v>
      </c>
      <c r="DC355" s="13" t="n">
        <f aca="false">DB363</f>
        <v>26049449.6474617</v>
      </c>
      <c r="DD355" s="13" t="n">
        <f aca="false">DC363</f>
        <v>25656320.5023348</v>
      </c>
      <c r="DE355" s="13" t="n">
        <f aca="false">DD363</f>
        <v>25263191.3572079</v>
      </c>
    </row>
    <row r="356" customFormat="false" ht="15" hidden="false" customHeight="true" outlineLevel="0" collapsed="false">
      <c r="A356" s="22" t="s">
        <v>181</v>
      </c>
      <c r="B356" s="13"/>
      <c r="C356" s="13"/>
      <c r="D356" s="13"/>
      <c r="E356" s="13"/>
      <c r="F356" s="13"/>
      <c r="G356" s="13"/>
      <c r="H356" s="13"/>
      <c r="I356" s="13"/>
      <c r="J356" s="13" t="n">
        <f aca="false">J237</f>
        <v>298241.093396964</v>
      </c>
      <c r="K356" s="13" t="n">
        <f aca="false">K237</f>
        <v>376129.454718767</v>
      </c>
      <c r="L356" s="13" t="n">
        <f aca="false">L237</f>
        <v>214936.69311604</v>
      </c>
      <c r="M356" s="13" t="n">
        <f aca="false">M237</f>
        <v>-261759.45356445</v>
      </c>
      <c r="N356" s="13" t="n">
        <f aca="false">N237</f>
        <v>428723.753005433</v>
      </c>
      <c r="O356" s="13" t="n">
        <f aca="false">O237</f>
        <v>224783.374278049</v>
      </c>
      <c r="P356" s="13" t="n">
        <f aca="false">P237</f>
        <v>365330.63615305</v>
      </c>
      <c r="Q356" s="13" t="n">
        <f aca="false">Q237</f>
        <v>-398285.822488093</v>
      </c>
      <c r="R356" s="13" t="n">
        <f aca="false">R237</f>
        <v>120008.948031266</v>
      </c>
      <c r="S356" s="13" t="n">
        <f aca="false">S237</f>
        <v>231072.211220825</v>
      </c>
      <c r="T356" s="13" t="n">
        <f aca="false">T237</f>
        <v>290624.872734083</v>
      </c>
      <c r="U356" s="13" t="n">
        <f aca="false">U237</f>
        <v>512668.878780882</v>
      </c>
      <c r="V356" s="13" t="n">
        <f aca="false">V237</f>
        <v>637354.89128088</v>
      </c>
      <c r="W356" s="13" t="n">
        <f aca="false">W237</f>
        <v>525668.591280883</v>
      </c>
      <c r="X356" s="13" t="n">
        <f aca="false">X237</f>
        <v>819546.536139797</v>
      </c>
      <c r="Y356" s="13" t="n">
        <f aca="false">Y237</f>
        <v>595219.889689796</v>
      </c>
      <c r="Z356" s="13" t="n">
        <f aca="false">Z237</f>
        <v>786682.136524412</v>
      </c>
      <c r="AA356" s="13" t="n">
        <f aca="false">AA237</f>
        <v>825536.174500936</v>
      </c>
      <c r="AB356" s="13" t="n">
        <f aca="false">AB237</f>
        <v>749188.506246588</v>
      </c>
      <c r="AC356" s="13" t="n">
        <f aca="false">AC237</f>
        <v>470309.815582878</v>
      </c>
      <c r="AD356" s="13" t="n">
        <f aca="false">AD237</f>
        <v>538259.725582878</v>
      </c>
      <c r="AE356" s="13" t="n">
        <f aca="false">AE237</f>
        <v>-46021.9665042404</v>
      </c>
      <c r="AF356" s="13" t="n">
        <f aca="false">AF237</f>
        <v>856471.190566139</v>
      </c>
      <c r="AG356" s="13" t="n">
        <f aca="false">AG237</f>
        <v>874920.178817663</v>
      </c>
      <c r="AH356" s="13" t="n">
        <f aca="false">AH237</f>
        <v>801578.755855763</v>
      </c>
      <c r="AI356" s="13" t="n">
        <f aca="false">AI237</f>
        <v>885705.135855764</v>
      </c>
      <c r="AJ356" s="13" t="n">
        <f aca="false">AJ237</f>
        <v>764139.222864053</v>
      </c>
      <c r="AK356" s="13" t="n">
        <f aca="false">AK237</f>
        <v>780407.705898127</v>
      </c>
      <c r="AL356" s="13" t="n">
        <f aca="false">AL237</f>
        <v>788674.517410534</v>
      </c>
      <c r="AM356" s="13" t="n">
        <f aca="false">AM237</f>
        <v>757976.406010678</v>
      </c>
      <c r="AN356" s="13" t="n">
        <f aca="false">AN237</f>
        <v>732287.606010677</v>
      </c>
      <c r="AO356" s="13" t="n">
        <f aca="false">AO237</f>
        <v>778212.023935198</v>
      </c>
      <c r="AP356" s="13" t="n">
        <f aca="false">AP237</f>
        <v>567573.776151947</v>
      </c>
      <c r="AQ356" s="13" t="n">
        <f aca="false">AQ237</f>
        <v>905286.656785198</v>
      </c>
      <c r="AR356" s="13" t="n">
        <f aca="false">AR237</f>
        <v>951036.656785198</v>
      </c>
      <c r="AS356" s="13" t="n">
        <f aca="false">AS237</f>
        <v>988536.656785198</v>
      </c>
      <c r="AT356" s="13" t="n">
        <f aca="false">AT237</f>
        <v>1294364.08181294</v>
      </c>
      <c r="AU356" s="13" t="n">
        <f aca="false">AU237</f>
        <v>787893.333513483</v>
      </c>
      <c r="AV356" s="13" t="n">
        <f aca="false">AV237</f>
        <v>716679.065369066</v>
      </c>
      <c r="AW356" s="13" t="n">
        <f aca="false">AW237</f>
        <v>727342.466269066</v>
      </c>
      <c r="AX356" s="13" t="n">
        <f aca="false">AX237</f>
        <v>774842.466269066</v>
      </c>
      <c r="AY356" s="13" t="n">
        <f aca="false">AY237</f>
        <v>804602.556939354</v>
      </c>
      <c r="AZ356" s="13" t="n">
        <f aca="false">AZ237</f>
        <v>785398.178723753</v>
      </c>
      <c r="BA356" s="13" t="n">
        <f aca="false">BA237</f>
        <v>751007.742832341</v>
      </c>
      <c r="BB356" s="13" t="n">
        <f aca="false">BB237</f>
        <v>504181.950239034</v>
      </c>
      <c r="BC356" s="13" t="n">
        <f aca="false">BC237</f>
        <v>800041.123464821</v>
      </c>
      <c r="BD356" s="13" t="n">
        <f aca="false">BD237</f>
        <v>816976.253937138</v>
      </c>
      <c r="BE356" s="13" t="n">
        <f aca="false">BE237</f>
        <v>797794.084409454</v>
      </c>
      <c r="BF356" s="13" t="n">
        <f aca="false">BF237</f>
        <v>796670.56488177</v>
      </c>
      <c r="BG356" s="13" t="n">
        <f aca="false">BG237</f>
        <v>814057.976493309</v>
      </c>
      <c r="BH356" s="13" t="n">
        <f aca="false">BH237</f>
        <v>778730.091571117</v>
      </c>
      <c r="BI356" s="13" t="n">
        <f aca="false">BI237</f>
        <v>548337.559639003</v>
      </c>
      <c r="BJ356" s="13" t="n">
        <f aca="false">BJ237</f>
        <v>462920.76998153</v>
      </c>
      <c r="BK356" s="13" t="n">
        <f aca="false">BK237</f>
        <v>466347.43889953</v>
      </c>
      <c r="BL356" s="13" t="n">
        <f aca="false">BL237</f>
        <v>476347.43889953</v>
      </c>
      <c r="BM356" s="13" t="n">
        <f aca="false">BM237</f>
        <v>494710.968432282</v>
      </c>
      <c r="BN356" s="13" t="n">
        <f aca="false">BN237</f>
        <v>413196.391698565</v>
      </c>
      <c r="BO356" s="13" t="n">
        <f aca="false">BO237</f>
        <v>315607.707318965</v>
      </c>
      <c r="BP356" s="13" t="n">
        <f aca="false">BP237</f>
        <v>364093.343122524</v>
      </c>
      <c r="BQ356" s="13" t="n">
        <f aca="false">BQ237</f>
        <v>389711.622341961</v>
      </c>
      <c r="BR356" s="13" t="n">
        <f aca="false">BR237</f>
        <v>441251.778710178</v>
      </c>
      <c r="BS356" s="13" t="n">
        <f aca="false">BS237</f>
        <v>341617.797183763</v>
      </c>
      <c r="BT356" s="13" t="n">
        <f aca="false">BT237</f>
        <v>250314.201989935</v>
      </c>
      <c r="BU356" s="13" t="n">
        <f aca="false">BU237</f>
        <v>183327.343550059</v>
      </c>
      <c r="BV356" s="13" t="n">
        <f aca="false">BV237</f>
        <v>108499.143264557</v>
      </c>
      <c r="BW356" s="13" t="n">
        <f aca="false">BW237</f>
        <v>16907.6352895803</v>
      </c>
      <c r="BX356" s="13" t="n">
        <f aca="false">BX237</f>
        <v>-63682.0072960588</v>
      </c>
      <c r="BY356" s="13" t="n">
        <f aca="false">BY237</f>
        <v>-155810.822190712</v>
      </c>
      <c r="BZ356" s="13" t="n">
        <f aca="false">BZ237</f>
        <v>-248041.823654909</v>
      </c>
      <c r="CA356" s="13" t="n">
        <f aca="false">CA237</f>
        <v>-428628.323654909</v>
      </c>
      <c r="CB356" s="13" t="n">
        <f aca="false">CB237</f>
        <v>-428628.323654909</v>
      </c>
      <c r="CC356" s="13" t="n">
        <f aca="false">CC237</f>
        <v>-428628.323654909</v>
      </c>
      <c r="CD356" s="13" t="n">
        <f aca="false">CD237</f>
        <v>-428628.323654909</v>
      </c>
      <c r="CE356" s="13" t="n">
        <f aca="false">CE237</f>
        <v>-428628.323654909</v>
      </c>
      <c r="CF356" s="13" t="n">
        <f aca="false">CF237</f>
        <v>-428628.323654909</v>
      </c>
      <c r="CG356" s="13" t="n">
        <f aca="false">CG237</f>
        <v>-428628.323654909</v>
      </c>
      <c r="CH356" s="13" t="n">
        <f aca="false">CH237</f>
        <v>-428628.323654909</v>
      </c>
      <c r="CI356" s="13" t="n">
        <f aca="false">CI237</f>
        <v>-428628.323654909</v>
      </c>
      <c r="CJ356" s="13" t="n">
        <f aca="false">CJ237</f>
        <v>-428628.323654909</v>
      </c>
      <c r="CK356" s="13" t="n">
        <f aca="false">CK237</f>
        <v>-437200.890128007</v>
      </c>
      <c r="CL356" s="13" t="n">
        <f aca="false">CL237</f>
        <v>-437200.890128007</v>
      </c>
      <c r="CM356" s="13" t="n">
        <f aca="false">CM237</f>
        <v>-437200.890128007</v>
      </c>
      <c r="CN356" s="13" t="n">
        <f aca="false">CN237</f>
        <v>-437200.890128007</v>
      </c>
      <c r="CO356" s="13" t="n">
        <f aca="false">CO237</f>
        <v>-437200.890128007</v>
      </c>
      <c r="CP356" s="13" t="n">
        <f aca="false">CP237</f>
        <v>-437200.890128007</v>
      </c>
      <c r="CQ356" s="13" t="n">
        <f aca="false">CQ237</f>
        <v>-437200.890128007</v>
      </c>
      <c r="CR356" s="13" t="n">
        <f aca="false">CR237</f>
        <v>-437200.890128007</v>
      </c>
      <c r="CS356" s="13" t="n">
        <f aca="false">CS237</f>
        <v>-437200.890128007</v>
      </c>
      <c r="CT356" s="13" t="n">
        <f aca="false">CT237</f>
        <v>-385420.730516558</v>
      </c>
      <c r="CU356" s="13" t="n">
        <f aca="false">CU237</f>
        <v>-385420.730516558</v>
      </c>
      <c r="CV356" s="13" t="n">
        <f aca="false">CV237</f>
        <v>-385420.730516558</v>
      </c>
      <c r="CW356" s="13" t="n">
        <f aca="false">CW237</f>
        <v>-393129.145126889</v>
      </c>
      <c r="CX356" s="13" t="n">
        <f aca="false">CX237</f>
        <v>-393129.145126889</v>
      </c>
      <c r="CY356" s="13" t="n">
        <f aca="false">CY237</f>
        <v>-393129.145126889</v>
      </c>
      <c r="CZ356" s="13" t="n">
        <f aca="false">CZ237</f>
        <v>-393129.145126889</v>
      </c>
      <c r="DA356" s="13" t="n">
        <f aca="false">DA237</f>
        <v>-393129.145126889</v>
      </c>
      <c r="DB356" s="13" t="n">
        <f aca="false">DB237</f>
        <v>-393129.145126889</v>
      </c>
      <c r="DC356" s="13" t="n">
        <f aca="false">DC237</f>
        <v>-393129.145126889</v>
      </c>
      <c r="DD356" s="13" t="n">
        <f aca="false">DD237</f>
        <v>-393129.145126889</v>
      </c>
      <c r="DE356" s="13" t="n">
        <f aca="false">DE237</f>
        <v>-393129.145126889</v>
      </c>
    </row>
    <row r="357" customFormat="false" ht="15" hidden="false" customHeight="true" outlineLevel="0" collapsed="false">
      <c r="A357" s="22" t="s">
        <v>182</v>
      </c>
      <c r="B357" s="13"/>
      <c r="C357" s="13"/>
      <c r="D357" s="13"/>
      <c r="E357" s="13"/>
      <c r="F357" s="13"/>
      <c r="G357" s="13"/>
      <c r="H357" s="13"/>
      <c r="I357" s="13"/>
      <c r="J357" s="13" t="n">
        <v>8872832</v>
      </c>
      <c r="K357" s="13"/>
      <c r="L357" s="13"/>
      <c r="M357" s="13"/>
      <c r="N357" s="13"/>
      <c r="O357" s="13"/>
      <c r="P357" s="13"/>
      <c r="Q357" s="13"/>
      <c r="R357" s="13"/>
      <c r="S357" s="13"/>
      <c r="T357" s="13"/>
      <c r="U357" s="13"/>
      <c r="V357" s="13"/>
      <c r="W357" s="13"/>
      <c r="X357" s="13"/>
      <c r="Y357" s="13"/>
      <c r="Z357" s="13"/>
      <c r="AA357" s="13"/>
      <c r="AB357" s="13"/>
      <c r="AC357" s="13"/>
      <c r="AD357" s="13"/>
      <c r="AE357" s="13"/>
      <c r="AF357" s="13"/>
      <c r="AG357" s="13"/>
      <c r="AH357" s="13"/>
      <c r="AI357" s="13"/>
      <c r="AJ357" s="13"/>
      <c r="AK357" s="13"/>
      <c r="AL357" s="13"/>
      <c r="AM357" s="13"/>
      <c r="AN357" s="13"/>
      <c r="AO357" s="13"/>
      <c r="AP357" s="13"/>
      <c r="AQ357" s="13"/>
      <c r="AR357" s="13"/>
      <c r="AS357" s="13"/>
      <c r="AT357" s="13"/>
      <c r="AU357" s="13"/>
      <c r="AV357" s="13"/>
      <c r="AW357" s="13"/>
      <c r="AX357" s="13"/>
      <c r="AY357" s="13"/>
      <c r="AZ357" s="13"/>
      <c r="BA357" s="13"/>
      <c r="BB357" s="13"/>
      <c r="BC357" s="13"/>
      <c r="BD357" s="13"/>
      <c r="BE357" s="13"/>
      <c r="BF357" s="13"/>
      <c r="BG357" s="13"/>
      <c r="BH357" s="13"/>
      <c r="BI357" s="13"/>
      <c r="BJ357" s="13"/>
      <c r="BK357" s="13"/>
      <c r="BL357" s="13"/>
      <c r="BM357" s="13"/>
      <c r="BN357" s="13"/>
      <c r="BO357" s="13"/>
      <c r="BP357" s="13"/>
      <c r="BQ357" s="13"/>
      <c r="BR357" s="13"/>
      <c r="BS357" s="13"/>
      <c r="BT357" s="13"/>
      <c r="BU357" s="13"/>
      <c r="BV357" s="13"/>
      <c r="BW357" s="13"/>
      <c r="BX357" s="13"/>
      <c r="BY357" s="13"/>
      <c r="BZ357" s="13"/>
      <c r="CA357" s="13"/>
      <c r="CB357" s="13"/>
      <c r="CC357" s="13"/>
      <c r="CD357" s="13"/>
      <c r="CE357" s="13"/>
      <c r="CF357" s="13"/>
      <c r="CG357" s="13"/>
      <c r="CH357" s="13"/>
      <c r="CI357" s="13"/>
      <c r="CJ357" s="13"/>
      <c r="CK357" s="13"/>
      <c r="CL357" s="13"/>
      <c r="CM357" s="13"/>
      <c r="CN357" s="13"/>
      <c r="CO357" s="13"/>
      <c r="CP357" s="13"/>
      <c r="CQ357" s="13"/>
      <c r="CR357" s="13"/>
      <c r="CS357" s="13"/>
      <c r="CT357" s="13"/>
      <c r="CU357" s="13"/>
      <c r="CV357" s="13"/>
      <c r="CW357" s="13"/>
      <c r="CX357" s="13"/>
      <c r="CY357" s="13"/>
      <c r="CZ357" s="13"/>
      <c r="DA357" s="13"/>
      <c r="DB357" s="13"/>
      <c r="DC357" s="13"/>
      <c r="DD357" s="13"/>
      <c r="DE357" s="13"/>
    </row>
    <row r="358" customFormat="false" ht="15" hidden="false" customHeight="true" outlineLevel="0" collapsed="false">
      <c r="A358" s="22" t="s">
        <v>183</v>
      </c>
      <c r="B358" s="13"/>
      <c r="C358" s="13"/>
      <c r="D358" s="13"/>
      <c r="E358" s="13"/>
      <c r="F358" s="13"/>
      <c r="G358" s="13"/>
      <c r="H358" s="13"/>
      <c r="I358" s="13"/>
      <c r="J358" s="13" t="n">
        <f aca="false">-8606048+'Bonding Program'!$H$8</f>
        <v>-8606048</v>
      </c>
      <c r="K358" s="13" t="n">
        <f aca="false">IF(K$3='Bonding Program'!$H$9,-'Bonding Program'!$H$7,0)</f>
        <v>0</v>
      </c>
      <c r="L358" s="13" t="n">
        <f aca="false">IF(L$3='Bonding Program'!$H$9,-'Bonding Program'!$H$7,0)</f>
        <v>0</v>
      </c>
      <c r="M358" s="13" t="n">
        <f aca="false">IF(M$3='Bonding Program'!$H$9,-'Bonding Program'!$H$7,0)</f>
        <v>0</v>
      </c>
      <c r="N358" s="13" t="n">
        <f aca="false">IF(N$3='Bonding Program'!$H$9,-'Bonding Program'!$H$7,0)</f>
        <v>-692876.895125</v>
      </c>
      <c r="O358" s="13" t="n">
        <f aca="false">IF(O$3='Bonding Program'!$H$9,-'Bonding Program'!$H$7,0)</f>
        <v>0</v>
      </c>
      <c r="P358" s="13" t="n">
        <f aca="false">IF(P$3='Bonding Program'!$H$9,-'Bonding Program'!$H$7,0)</f>
        <v>0</v>
      </c>
      <c r="Q358" s="13" t="n">
        <f aca="false">IF(Q$3='Bonding Program'!$H$9,-'Bonding Program'!$H$7,0)</f>
        <v>0</v>
      </c>
      <c r="R358" s="13" t="n">
        <f aca="false">IF(R$3='Bonding Program'!$H$9,-'Bonding Program'!$H$7,0)</f>
        <v>0</v>
      </c>
      <c r="S358" s="13" t="n">
        <f aca="false">IF(S$3='Bonding Program'!$H$9,-'Bonding Program'!$H$7,0)</f>
        <v>0</v>
      </c>
      <c r="T358" s="13" t="n">
        <f aca="false">IF(T$3='Bonding Program'!$H$9,-'Bonding Program'!$H$7,0)</f>
        <v>0</v>
      </c>
      <c r="U358" s="13" t="n">
        <f aca="false">IF(U$3='Bonding Program'!$H$9,-'Bonding Program'!$H$7,0)</f>
        <v>0</v>
      </c>
      <c r="V358" s="13" t="n">
        <f aca="false">IF(V$3='Bonding Program'!$H$9,-'Bonding Program'!$H$7,0)</f>
        <v>0</v>
      </c>
      <c r="W358" s="13" t="n">
        <f aca="false">IF(W$3='Bonding Program'!$H$9,-'Bonding Program'!$H$7,0)</f>
        <v>0</v>
      </c>
      <c r="X358" s="13" t="n">
        <f aca="false">IF(X$3='Bonding Program'!$H$9,-'Bonding Program'!$H$7,0)</f>
        <v>0</v>
      </c>
      <c r="Y358" s="13" t="n">
        <f aca="false">IF(Y$3='Bonding Program'!$H$9,-'Bonding Program'!$H$7,0)</f>
        <v>0</v>
      </c>
      <c r="Z358" s="13" t="n">
        <f aca="false">IF(Z$3='Bonding Program'!$H$9,-'Bonding Program'!$H$7,0)</f>
        <v>0</v>
      </c>
      <c r="AA358" s="13" t="n">
        <f aca="false">IF(AA$3='Bonding Program'!$H$9,-'Bonding Program'!$H$7,0)</f>
        <v>0</v>
      </c>
      <c r="AB358" s="13" t="n">
        <f aca="false">IF(AB$3='Bonding Program'!$H$9,-'Bonding Program'!$H$7,0)</f>
        <v>0</v>
      </c>
      <c r="AC358" s="13" t="n">
        <f aca="false">IF(AC$3='Bonding Program'!$H$9,-'Bonding Program'!$H$7,0)</f>
        <v>0</v>
      </c>
      <c r="AD358" s="13" t="n">
        <f aca="false">IF(AD$3='Bonding Program'!$H$9,-'Bonding Program'!$H$7,0)</f>
        <v>0</v>
      </c>
      <c r="AE358" s="13" t="n">
        <f aca="false">IF(AE$3='Bonding Program'!$H$9,-'Bonding Program'!$H$7,0)</f>
        <v>0</v>
      </c>
      <c r="AF358" s="13" t="n">
        <f aca="false">IF(AF$3='Bonding Program'!$H$9,-'Bonding Program'!$H$7,0)</f>
        <v>0</v>
      </c>
      <c r="AG358" s="13" t="n">
        <f aca="false">IF(AG$3='Bonding Program'!$H$9,-'Bonding Program'!$H$7,0)</f>
        <v>0</v>
      </c>
      <c r="AH358" s="13" t="n">
        <f aca="false">IF(AH$3='Bonding Program'!$H$9,-'Bonding Program'!$H$7,0)</f>
        <v>0</v>
      </c>
      <c r="AI358" s="13" t="n">
        <f aca="false">IF(AI$3='Bonding Program'!$H$9,-'Bonding Program'!$H$7,0)</f>
        <v>0</v>
      </c>
      <c r="AJ358" s="13" t="n">
        <f aca="false">IF(AJ$3='Bonding Program'!$H$9,-'Bonding Program'!$H$7,0)</f>
        <v>0</v>
      </c>
      <c r="AK358" s="13" t="n">
        <f aca="false">IF(AK$3='Bonding Program'!$H$9,-'Bonding Program'!$H$7,0)</f>
        <v>0</v>
      </c>
      <c r="AL358" s="13" t="n">
        <f aca="false">IF(AL$3='Bonding Program'!$H$9,-'Bonding Program'!$H$7,0)</f>
        <v>0</v>
      </c>
      <c r="AM358" s="13" t="n">
        <f aca="false">IF(AM$3='Bonding Program'!$H$9,-'Bonding Program'!$H$7,0)</f>
        <v>0</v>
      </c>
      <c r="AN358" s="13" t="n">
        <f aca="false">IF(AN$3='Bonding Program'!$H$9,-'Bonding Program'!$H$7,0)</f>
        <v>0</v>
      </c>
      <c r="AO358" s="13" t="n">
        <f aca="false">IF(AO$3='Bonding Program'!$H$9,-'Bonding Program'!$H$7,0)</f>
        <v>0</v>
      </c>
      <c r="AP358" s="13" t="n">
        <f aca="false">IF(AP$3='Bonding Program'!$H$9,-'Bonding Program'!$H$7,0)</f>
        <v>0</v>
      </c>
      <c r="AQ358" s="13" t="n">
        <f aca="false">IF(AQ$3='Bonding Program'!$H$9,-'Bonding Program'!$H$7,0)</f>
        <v>0</v>
      </c>
      <c r="AR358" s="13" t="n">
        <f aca="false">IF(AR$3='Bonding Program'!$H$9,-'Bonding Program'!$H$7,0)</f>
        <v>0</v>
      </c>
      <c r="AS358" s="13" t="n">
        <f aca="false">IF(AS$3='Bonding Program'!$H$9,-'Bonding Program'!$H$7,0)</f>
        <v>0</v>
      </c>
      <c r="AT358" s="13" t="n">
        <f aca="false">IF(AT$3='Bonding Program'!$H$9,-'Bonding Program'!$H$7,0)</f>
        <v>0</v>
      </c>
      <c r="AU358" s="13" t="n">
        <f aca="false">IF(AU$3='Bonding Program'!$H$9,-'Bonding Program'!$H$7,0)</f>
        <v>0</v>
      </c>
      <c r="AV358" s="13" t="n">
        <f aca="false">IF(AV$3='Bonding Program'!$H$9,-'Bonding Program'!$H$7,0)</f>
        <v>0</v>
      </c>
      <c r="AW358" s="13" t="n">
        <f aca="false">IF(AW$3='Bonding Program'!$H$9,-'Bonding Program'!$H$7,0)</f>
        <v>0</v>
      </c>
      <c r="AX358" s="13" t="n">
        <f aca="false">IF(AX$3='Bonding Program'!$H$9,-'Bonding Program'!$H$7,0)</f>
        <v>0</v>
      </c>
      <c r="AY358" s="13" t="n">
        <f aca="false">IF(AY$3='Bonding Program'!$H$9,-'Bonding Program'!$H$7,0)</f>
        <v>0</v>
      </c>
      <c r="AZ358" s="13" t="n">
        <f aca="false">IF(AZ$3='Bonding Program'!$H$9,-'Bonding Program'!$H$7,0)</f>
        <v>0</v>
      </c>
      <c r="BA358" s="13" t="n">
        <f aca="false">IF(BA$3='Bonding Program'!$H$9,-'Bonding Program'!$H$7,0)</f>
        <v>0</v>
      </c>
      <c r="BB358" s="13" t="n">
        <f aca="false">IF(BB$3='Bonding Program'!$H$9,-'Bonding Program'!$H$7,0)</f>
        <v>0</v>
      </c>
      <c r="BC358" s="13" t="n">
        <f aca="false">IF(BC$3='Bonding Program'!$H$9,-'Bonding Program'!$H$7,0)</f>
        <v>0</v>
      </c>
      <c r="BD358" s="13" t="n">
        <f aca="false">IF(BD$3='Bonding Program'!$H$9,-'Bonding Program'!$H$7,0)</f>
        <v>0</v>
      </c>
      <c r="BE358" s="13" t="n">
        <f aca="false">IF(BE$3='Bonding Program'!$H$9,-'Bonding Program'!$H$7,0)</f>
        <v>0</v>
      </c>
      <c r="BF358" s="13" t="n">
        <f aca="false">IF(BF$3='Bonding Program'!$H$9,-'Bonding Program'!$H$7,0)</f>
        <v>0</v>
      </c>
      <c r="BG358" s="13" t="n">
        <f aca="false">IF(BG$3='Bonding Program'!$H$9,-'Bonding Program'!$H$7,0)</f>
        <v>0</v>
      </c>
      <c r="BH358" s="13" t="n">
        <f aca="false">IF(BH$3='Bonding Program'!$H$9,-'Bonding Program'!$H$7,0)</f>
        <v>0</v>
      </c>
      <c r="BI358" s="13" t="n">
        <f aca="false">IF(BI$3='Bonding Program'!$H$9,-'Bonding Program'!$H$7,0)</f>
        <v>0</v>
      </c>
      <c r="BJ358" s="13" t="n">
        <f aca="false">IF(BJ$3='Bonding Program'!$H$9,-'Bonding Program'!$H$7,0)</f>
        <v>0</v>
      </c>
      <c r="BK358" s="13" t="n">
        <f aca="false">IF(BK$3='Bonding Program'!$H$9,-'Bonding Program'!$H$7,0)</f>
        <v>0</v>
      </c>
      <c r="BL358" s="13" t="n">
        <f aca="false">IF(BL$3='Bonding Program'!$H$9,-'Bonding Program'!$H$7,0)</f>
        <v>0</v>
      </c>
      <c r="BM358" s="13" t="n">
        <f aca="false">IF(BM$3='Bonding Program'!$H$9,-'Bonding Program'!$H$7,0)</f>
        <v>0</v>
      </c>
      <c r="BN358" s="13" t="n">
        <f aca="false">IF(BN$3='Bonding Program'!$H$9,-'Bonding Program'!$H$7,0)</f>
        <v>0</v>
      </c>
      <c r="BO358" s="13" t="n">
        <f aca="false">IF(BO$3='Bonding Program'!$H$9,-'Bonding Program'!$H$7,0)</f>
        <v>0</v>
      </c>
      <c r="BP358" s="13" t="n">
        <f aca="false">IF(BP$3='Bonding Program'!$H$9,-'Bonding Program'!$H$7,0)</f>
        <v>0</v>
      </c>
      <c r="BQ358" s="13" t="n">
        <f aca="false">IF(BQ$3='Bonding Program'!$H$9,-'Bonding Program'!$H$7,0)</f>
        <v>0</v>
      </c>
      <c r="BR358" s="13" t="n">
        <f aca="false">IF(BR$3='Bonding Program'!$H$9,-'Bonding Program'!$H$7,0)</f>
        <v>0</v>
      </c>
      <c r="BS358" s="13" t="n">
        <f aca="false">IF(BS$3='Bonding Program'!$H$9,-'Bonding Program'!$H$7,0)</f>
        <v>0</v>
      </c>
      <c r="BT358" s="13" t="n">
        <f aca="false">IF(BT$3='Bonding Program'!$H$9,-'Bonding Program'!$H$7,0)</f>
        <v>0</v>
      </c>
      <c r="BU358" s="13" t="n">
        <f aca="false">IF(BU$3='Bonding Program'!$H$9,-'Bonding Program'!$H$7,0)</f>
        <v>0</v>
      </c>
      <c r="BV358" s="13" t="n">
        <f aca="false">IF(BV$3='Bonding Program'!$H$9,-'Bonding Program'!$H$7,0)</f>
        <v>0</v>
      </c>
      <c r="BW358" s="13" t="n">
        <f aca="false">IF(BW$3='Bonding Program'!$H$9,-'Bonding Program'!$H$7,0)</f>
        <v>0</v>
      </c>
      <c r="BX358" s="13" t="n">
        <f aca="false">IF(BX$3='Bonding Program'!$H$9,-'Bonding Program'!$H$7,0)</f>
        <v>0</v>
      </c>
      <c r="BY358" s="13" t="n">
        <f aca="false">IF(BY$3='Bonding Program'!$H$9,-'Bonding Program'!$H$7,0)</f>
        <v>0</v>
      </c>
      <c r="BZ358" s="13" t="n">
        <f aca="false">IF(BZ$3='Bonding Program'!$H$9,-'Bonding Program'!$H$7,0)</f>
        <v>0</v>
      </c>
      <c r="CA358" s="13" t="n">
        <f aca="false">IF(CA$3='Bonding Program'!$H$9,-'Bonding Program'!$H$7,0)</f>
        <v>0</v>
      </c>
      <c r="CB358" s="13" t="n">
        <f aca="false">IF(CB$3='Bonding Program'!$H$9,-'Bonding Program'!$H$7,0)</f>
        <v>0</v>
      </c>
      <c r="CC358" s="13" t="n">
        <f aca="false">IF(CC$3='Bonding Program'!$H$9,-'Bonding Program'!$H$7,0)</f>
        <v>0</v>
      </c>
      <c r="CD358" s="13" t="n">
        <f aca="false">IF(CD$3='Bonding Program'!$H$9,-'Bonding Program'!$H$7,0)</f>
        <v>0</v>
      </c>
      <c r="CE358" s="13" t="n">
        <f aca="false">IF(CE$3='Bonding Program'!$H$9,-'Bonding Program'!$H$7,0)</f>
        <v>0</v>
      </c>
      <c r="CF358" s="13" t="n">
        <f aca="false">IF(CF$3='Bonding Program'!$H$9,-'Bonding Program'!$H$7,0)</f>
        <v>0</v>
      </c>
      <c r="CG358" s="13" t="n">
        <f aca="false">IF(CG$3='Bonding Program'!$H$9,-'Bonding Program'!$H$7,0)</f>
        <v>0</v>
      </c>
      <c r="CH358" s="13" t="n">
        <f aca="false">IF(CH$3='Bonding Program'!$H$9,-'Bonding Program'!$H$7,0)</f>
        <v>0</v>
      </c>
      <c r="CI358" s="13" t="n">
        <f aca="false">IF(CI$3='Bonding Program'!$H$9,-'Bonding Program'!$H$7,0)</f>
        <v>0</v>
      </c>
      <c r="CJ358" s="13" t="n">
        <f aca="false">IF(CJ$3='Bonding Program'!$H$9,-'Bonding Program'!$H$7,0)</f>
        <v>0</v>
      </c>
      <c r="CK358" s="13" t="n">
        <f aca="false">IF(CK$3='Bonding Program'!$H$9,-'Bonding Program'!$H$7,0)</f>
        <v>0</v>
      </c>
      <c r="CL358" s="13" t="n">
        <f aca="false">IF(CL$3='Bonding Program'!$H$9,-'Bonding Program'!$H$7,0)</f>
        <v>0</v>
      </c>
      <c r="CM358" s="13" t="n">
        <f aca="false">IF(CM$3='Bonding Program'!$H$9,-'Bonding Program'!$H$7,0)</f>
        <v>0</v>
      </c>
      <c r="CN358" s="13" t="n">
        <f aca="false">IF(CN$3='Bonding Program'!$H$9,-'Bonding Program'!$H$7,0)</f>
        <v>0</v>
      </c>
      <c r="CO358" s="13" t="n">
        <f aca="false">IF(CO$3='Bonding Program'!$H$9,-'Bonding Program'!$H$7,0)</f>
        <v>0</v>
      </c>
      <c r="CP358" s="13" t="n">
        <f aca="false">IF(CP$3='Bonding Program'!$H$9,-'Bonding Program'!$H$7,0)</f>
        <v>0</v>
      </c>
      <c r="CQ358" s="13" t="n">
        <f aca="false">IF(CQ$3='Bonding Program'!$H$9,-'Bonding Program'!$H$7,0)</f>
        <v>0</v>
      </c>
      <c r="CR358" s="13" t="n">
        <f aca="false">IF(CR$3='Bonding Program'!$H$9,-'Bonding Program'!$H$7,0)</f>
        <v>0</v>
      </c>
      <c r="CS358" s="13" t="n">
        <f aca="false">IF(CS$3='Bonding Program'!$H$9,-'Bonding Program'!$H$7,0)</f>
        <v>0</v>
      </c>
      <c r="CT358" s="13" t="n">
        <f aca="false">IF(CT$3='Bonding Program'!$H$9,-'Bonding Program'!$H$7,0)</f>
        <v>0</v>
      </c>
      <c r="CU358" s="13" t="n">
        <f aca="false">IF(CU$3='Bonding Program'!$H$9,-'Bonding Program'!$H$7,0)</f>
        <v>0</v>
      </c>
      <c r="CV358" s="13" t="n">
        <f aca="false">IF(CV$3='Bonding Program'!$H$9,-'Bonding Program'!$H$7,0)</f>
        <v>0</v>
      </c>
      <c r="CW358" s="13" t="n">
        <f aca="false">IF(CW$3='Bonding Program'!$H$9,-'Bonding Program'!$H$7,0)</f>
        <v>0</v>
      </c>
      <c r="CX358" s="13" t="n">
        <f aca="false">IF(CX$3='Bonding Program'!$H$9,-'Bonding Program'!$H$7,0)</f>
        <v>0</v>
      </c>
      <c r="CY358" s="13" t="n">
        <f aca="false">IF(CY$3='Bonding Program'!$H$9,-'Bonding Program'!$H$7,0)</f>
        <v>0</v>
      </c>
      <c r="CZ358" s="13" t="n">
        <f aca="false">IF(CZ$3='Bonding Program'!$H$9,-'Bonding Program'!$H$7,0)</f>
        <v>0</v>
      </c>
      <c r="DA358" s="13" t="n">
        <f aca="false">IF(DA$3='Bonding Program'!$H$9,-'Bonding Program'!$H$7,0)</f>
        <v>0</v>
      </c>
      <c r="DB358" s="13" t="n">
        <f aca="false">IF(DB$3='Bonding Program'!$H$9,-'Bonding Program'!$H$7,0)</f>
        <v>0</v>
      </c>
      <c r="DC358" s="13" t="n">
        <f aca="false">IF(DC$3='Bonding Program'!$H$9,-'Bonding Program'!$H$7,0)</f>
        <v>0</v>
      </c>
      <c r="DD358" s="13" t="n">
        <f aca="false">IF(DD$3='Bonding Program'!$H$9,-'Bonding Program'!$H$7,0)</f>
        <v>0</v>
      </c>
      <c r="DE358" s="13" t="n">
        <f aca="false">IF(DE$3='Bonding Program'!$H$9,-'Bonding Program'!$H$7,0)</f>
        <v>0</v>
      </c>
    </row>
    <row r="359" customFormat="false" ht="15" hidden="false" customHeight="true" outlineLevel="0" collapsed="false">
      <c r="A359" s="22" t="s">
        <v>184</v>
      </c>
      <c r="B359" s="13"/>
      <c r="C359" s="13"/>
      <c r="D359" s="13"/>
      <c r="E359" s="13"/>
      <c r="F359" s="13"/>
      <c r="G359" s="13"/>
      <c r="H359" s="13"/>
      <c r="I359" s="13"/>
      <c r="J359" s="13" t="n">
        <f aca="false">-J199</f>
        <v>-702607.028396964</v>
      </c>
      <c r="K359" s="13" t="n">
        <f aca="false">J199-K199-J197-IF(J$3&lt;6,0,-SUMPRODUCT('Deal Terms'!$E$4:$E$47*('Deal Terms'!$G$4:$G$47=0),J$13:J$56+J$60:J$103))</f>
        <v>157384.158678197</v>
      </c>
      <c r="L359" s="13" t="n">
        <f aca="false">K199-L199-K197-IF(K$3&lt;6,0,-SUMPRODUCT('Deal Terms'!$E$4:$E$47*('Deal Terms'!$G$4:$G$47=0),K$13:K$56+K$60:K$103))</f>
        <v>184550.951602727</v>
      </c>
      <c r="M359" s="13" t="n">
        <f aca="false">L199-M199-L197-IF(L$3&lt;6,0,-SUMPRODUCT('Deal Terms'!$E$4:$E$47*('Deal Terms'!$G$4:$G$47=0),L$13:L$56+L$60:L$103))</f>
        <v>409857.52668049</v>
      </c>
      <c r="N359" s="13" t="n">
        <f aca="false">M199-N199-M197-IF(M$3&lt;6,0,-SUMPRODUCT('Deal Terms'!$E$4:$E$47*('Deal Terms'!$G$4:$G$47=0),M$13:M$56+M$60:M$103))</f>
        <v>-717764.999903215</v>
      </c>
      <c r="O359" s="13" t="n">
        <f aca="false">N199-O199-N197-IF(N$3&lt;6,0,-SUMPRODUCT('Deal Terms'!$E$4:$E$47*('Deal Terms'!$G$4:$G$47=0),N$13:N$56+N$60:N$103))</f>
        <v>97836.9635190503</v>
      </c>
      <c r="P359" s="13" t="n">
        <f aca="false">O199-P199-O197-IF(O$3&lt;6,0,-SUMPRODUCT('Deal Terms'!$E$4:$E$47*('Deal Terms'!$G$4:$G$47=0),O$13:O$56+O$60:O$103))</f>
        <v>-6497.72000000067</v>
      </c>
      <c r="Q359" s="13" t="n">
        <f aca="false">P199-Q199-P197-IF(P$3&lt;6,0,-SUMPRODUCT('Deal Terms'!$E$4:$E$47*('Deal Terms'!$G$4:$G$47=0),P$13:P$56+P$60:P$103))</f>
        <v>691156.606607809</v>
      </c>
      <c r="R359" s="13" t="n">
        <f aca="false">Q199-R199-Q197-IF(Q$3&lt;6,0,-SUMPRODUCT('Deal Terms'!$E$4:$E$47*('Deal Terms'!$G$4:$G$47=0),Q$13:Q$56+Q$60:Q$103))</f>
        <v>-553613.300519358</v>
      </c>
      <c r="S359" s="13" t="n">
        <f aca="false">R199-S199-R197-IF(R$3&lt;6,0,-SUMPRODUCT('Deal Terms'!$E$4:$E$47*('Deal Terms'!$G$4:$G$47=0),R$13:R$56+R$60:R$103))</f>
        <v>-141605.435689558</v>
      </c>
      <c r="T359" s="13" t="n">
        <f aca="false">S199-T199-S197-IF(S$3&lt;6,0,-SUMPRODUCT('Deal Terms'!$E$4:$E$47*('Deal Terms'!$G$4:$G$47=0),S$13:S$56+S$60:S$103))</f>
        <v>-123177.521513258</v>
      </c>
      <c r="U359" s="13" t="n">
        <f aca="false">T199-U199-T197-IF(T$3&lt;6,0,-SUMPRODUCT('Deal Terms'!$E$4:$E$47*('Deal Terms'!$G$4:$G$47=0),T$13:T$56+T$60:T$103))</f>
        <v>-241980.086046799</v>
      </c>
      <c r="V359" s="13" t="n">
        <f aca="false">U199-V199-U197-IF(U$3&lt;6,0,-SUMPRODUCT('Deal Terms'!$E$4:$E$47*('Deal Terms'!$G$4:$G$47=0),U$13:U$56+U$60:U$103))</f>
        <v>-81881.0599999987</v>
      </c>
      <c r="W359" s="13" t="n">
        <f aca="false">V199-W199-V197-IF(V$3&lt;6,0,-SUMPRODUCT('Deal Terms'!$E$4:$E$47*('Deal Terms'!$G$4:$G$47=0),V$13:V$56+V$60:V$103))</f>
        <v>115119.269999999</v>
      </c>
      <c r="X359" s="13" t="n">
        <f aca="false">W199-X199-W197-IF(W$3&lt;6,0,-SUMPRODUCT('Deal Terms'!$E$4:$E$47*('Deal Terms'!$G$4:$G$47=0),W$13:W$56+W$60:W$103))</f>
        <v>-288092.624858914</v>
      </c>
      <c r="Y359" s="13" t="n">
        <f aca="false">X199-Y199-X197-IF(X$3&lt;6,0,-SUMPRODUCT('Deal Terms'!$E$4:$E$47*('Deal Terms'!$G$4:$G$47=0),X$13:X$56+X$60:X$103))</f>
        <v>161760.82</v>
      </c>
      <c r="Z359" s="13" t="n">
        <f aca="false">Y199-Z199-Y197-IF(Y$3&lt;6,0,-SUMPRODUCT('Deal Terms'!$E$4:$E$47*('Deal Terms'!$G$4:$G$47=0),Y$13:Y$56+Y$60:Y$103))</f>
        <v>-126346.18</v>
      </c>
      <c r="AA359" s="13" t="n">
        <f aca="false">Z199-AA199-Z197-IF(Z$3&lt;6,0,-SUMPRODUCT('Deal Terms'!$E$4:$E$47*('Deal Terms'!$G$4:$G$47=0),Z$13:Z$56+Z$60:Z$103))</f>
        <v>-29238.6533611398</v>
      </c>
      <c r="AB359" s="13" t="n">
        <f aca="false">AA199-AB199-AA197-IF(AA$3&lt;6,0,-SUMPRODUCT('Deal Terms'!$E$4:$E$47*('Deal Terms'!$G$4:$G$47=0),AA$13:AA$56+AA$60:AA$103))</f>
        <v>77979.8221005015</v>
      </c>
      <c r="AC359" s="13" t="n">
        <f aca="false">AB199-AC199-AB197-IF(AB$3&lt;6,0,-SUMPRODUCT('Deal Terms'!$E$4:$E$47*('Deal Terms'!$G$4:$G$47=0),AB$13:AB$56+AB$60:AB$103))</f>
        <v>228725.469243556</v>
      </c>
      <c r="AD359" s="13" t="n">
        <f aca="false">AC199-AD199-AC197-IF(AC$3&lt;6,0,-SUMPRODUCT('Deal Terms'!$E$4:$E$47*('Deal Terms'!$G$4:$G$47=0),AC$13:AC$56+AC$60:AC$103))</f>
        <v>-22949.9100000002</v>
      </c>
      <c r="AE359" s="13" t="n">
        <f aca="false">AD199-AE199-AD197-IF(AD$3&lt;6,0,-SUMPRODUCT('Deal Terms'!$E$4:$E$47*('Deal Terms'!$G$4:$G$47=0),AD$13:AD$56+AD$60:AD$103))</f>
        <v>584281.692087119</v>
      </c>
      <c r="AF359" s="13" t="n">
        <f aca="false">AE199-AF199-AE197-IF(AE$3&lt;6,0,-SUMPRODUCT('Deal Terms'!$E$4:$E$47*('Deal Terms'!$G$4:$G$47=0),AE$13:AE$56+AE$60:AE$103))</f>
        <v>-902493.157070379</v>
      </c>
      <c r="AG359" s="13" t="n">
        <f aca="false">AF199-AG199-AF197-IF(AF$3&lt;6,0,-SUMPRODUCT('Deal Terms'!$E$4:$E$47*('Deal Terms'!$G$4:$G$47=0),AF$13:AF$56+AF$60:AF$103))</f>
        <v>-18448.988251524</v>
      </c>
      <c r="AH359" s="13" t="n">
        <f aca="false">AG199-AH199-AG197-IF(AG$3&lt;6,0,-SUMPRODUCT('Deal Terms'!$E$4:$E$47*('Deal Terms'!$G$4:$G$47=0),AG$13:AG$56+AG$60:AG$103))</f>
        <v>28341.4229619</v>
      </c>
      <c r="AI359" s="13" t="n">
        <f aca="false">AH199-AI199-AH197-IF(AH$3&lt;6,0,-SUMPRODUCT('Deal Terms'!$E$4:$E$47*('Deal Terms'!$G$4:$G$47=0),AH$13:AH$56+AH$60:AH$103))</f>
        <v>-84126.3800000008</v>
      </c>
      <c r="AJ359" s="13" t="n">
        <f aca="false">AI199-AJ199-AI197-IF(AI$3&lt;6,0,-SUMPRODUCT('Deal Terms'!$E$4:$E$47*('Deal Terms'!$G$4:$G$47=0),AI$13:AI$56+AI$60:AI$103))</f>
        <v>77965.25549171</v>
      </c>
      <c r="AK359" s="13" t="n">
        <f aca="false">AJ199-AK199-AJ197-IF(AJ$3&lt;6,0,-SUMPRODUCT('Deal Terms'!$E$4:$E$47*('Deal Terms'!$G$4:$G$47=0),AJ$13:AJ$56+AJ$60:AJ$103))</f>
        <v>14481.5169659269</v>
      </c>
      <c r="AL359" s="13" t="n">
        <f aca="false">AK199-AL199-AK197-IF(AK$3&lt;6,0,-SUMPRODUCT('Deal Terms'!$E$4:$E$47*('Deal Terms'!$G$4:$G$47=0),AK$13:AK$56+AK$60:AK$103))</f>
        <v>-79369.3603804503</v>
      </c>
      <c r="AM359" s="13" t="n">
        <f aca="false">AL199-AM199-AL197-IF(AL$3&lt;6,0,-SUMPRODUCT('Deal Terms'!$E$4:$E$47*('Deal Terms'!$G$4:$G$47=0),AL$13:AL$56+AL$60:AL$103))</f>
        <v>101800.660267899</v>
      </c>
      <c r="AN359" s="13" t="n">
        <f aca="false">AM199-AN199-AM197-IF(AM$3&lt;6,0,-SUMPRODUCT('Deal Terms'!$E$4:$E$47*('Deal Terms'!$G$4:$G$47=0),AM$13:AM$56+AM$60:AM$103))</f>
        <v>18188.8000000007</v>
      </c>
      <c r="AO359" s="13" t="n">
        <f aca="false">AN199-AO199-AN197-IF(AN$3&lt;6,0,-SUMPRODUCT('Deal Terms'!$E$4:$E$47*('Deal Terms'!$G$4:$G$47=0),AN$13:AN$56+AN$60:AN$103))</f>
        <v>-50364.6400000006</v>
      </c>
      <c r="AP359" s="13" t="n">
        <f aca="false">AO199-AP199-AO197-IF(AO$3&lt;6,0,-SUMPRODUCT('Deal Terms'!$E$4:$E$47*('Deal Terms'!$G$4:$G$47=0),AO$13:AO$56+AO$60:AO$103))</f>
        <v>210638.247783251</v>
      </c>
      <c r="AQ359" s="13" t="n">
        <f aca="false">AP199-AQ199-AP197-IF(AP$3&lt;6,0,-SUMPRODUCT('Deal Terms'!$E$4:$E$47*('Deal Terms'!$G$4:$G$47=0),AP$13:AP$56+AP$60:AP$103))</f>
        <v>-409283.397783251</v>
      </c>
      <c r="AR359" s="13" t="n">
        <f aca="false">AQ199-AR199-AQ197-IF(AQ$3&lt;6,0,-SUMPRODUCT('Deal Terms'!$E$4:$E$47*('Deal Terms'!$G$4:$G$47=0),AQ$13:AQ$56+AQ$60:AQ$103))</f>
        <v>0</v>
      </c>
      <c r="AS359" s="13" t="n">
        <f aca="false">AR199-AS199-AR197-IF(AR$3&lt;6,0,-SUMPRODUCT('Deal Terms'!$E$4:$E$47*('Deal Terms'!$G$4:$G$47=0),AR$13:AR$56+AR$60:AR$103))</f>
        <v>0</v>
      </c>
      <c r="AT359" s="13" t="n">
        <f aca="false">AS199-AT199-AS197-IF(AS$3&lt;6,0,-SUMPRODUCT('Deal Terms'!$E$4:$E$47*('Deal Terms'!$G$4:$G$47=0),AS$13:AS$56+AS$60:AS$103))</f>
        <v>-380837.4853535</v>
      </c>
      <c r="AU359" s="13" t="n">
        <f aca="false">AT199-AU199-AT197-IF(AT$3&lt;6,0,-SUMPRODUCT('Deal Terms'!$E$4:$E$47*('Deal Terms'!$G$4:$G$47=0),AT$13:AT$56+AT$60:AT$103))</f>
        <v>402764.441167878</v>
      </c>
      <c r="AV359" s="13" t="n">
        <f aca="false">AU199-AV199-AU197-IF(AU$3&lt;6,0,-SUMPRODUCT('Deal Terms'!$E$4:$E$47*('Deal Terms'!$G$4:$G$47=0),AU$13:AU$56+AU$60:AU$103))</f>
        <v>179616.403101753</v>
      </c>
      <c r="AW359" s="13" t="n">
        <f aca="false">AV199-AW199-AV197-IF(AV$3&lt;6,0,-SUMPRODUCT('Deal Terms'!$E$4:$E$47*('Deal Terms'!$G$4:$G$47=0),AV$13:AV$56+AV$60:AV$103))</f>
        <v>0</v>
      </c>
      <c r="AX359" s="13" t="n">
        <f aca="false">AW199-AX199-AW197-IF(AW$3&lt;6,0,-SUMPRODUCT('Deal Terms'!$E$4:$E$47*('Deal Terms'!$G$4:$G$47=0),AW$13:AW$56+AW$60:AW$103))</f>
        <v>0</v>
      </c>
      <c r="AY359" s="13" t="n">
        <f aca="false">AX199-AY199-AX197-IF(AX$3&lt;6,0,-SUMPRODUCT('Deal Terms'!$E$4:$E$47*('Deal Terms'!$G$4:$G$47=0),AX$13:AX$56+AX$60:AX$103))</f>
        <v>-108351.9</v>
      </c>
      <c r="AZ359" s="13" t="n">
        <f aca="false">AY199-AZ199-AY197-IF(AY$3&lt;6,0,-SUMPRODUCT('Deal Terms'!$E$4:$E$47*('Deal Terms'!$G$4:$G$47=0),AY$13:AY$56+AY$60:AY$103))</f>
        <v>18058.6500000004</v>
      </c>
      <c r="BA359" s="13" t="n">
        <f aca="false">AZ199-BA199-AZ197-IF(AZ$3&lt;6,0,-SUMPRODUCT('Deal Terms'!$E$4:$E$47*('Deal Terms'!$G$4:$G$47=0),AZ$13:AZ$56+AZ$60:AZ$103))</f>
        <v>18058.6500000004</v>
      </c>
      <c r="BB359" s="13" t="n">
        <f aca="false">BA199-BB199-BA197-IF(BA$3&lt;6,0,-SUMPRODUCT('Deal Terms'!$E$4:$E$47*('Deal Terms'!$G$4:$G$47=0),BA$13:BA$56+BA$60:BA$103))</f>
        <v>265825.123152709</v>
      </c>
      <c r="BC359" s="13" t="n">
        <f aca="false">BB199-BC199-BB197-IF(BB$3&lt;6,0,-SUMPRODUCT('Deal Terms'!$E$4:$E$47*('Deal Terms'!$G$4:$G$47=0),BB$13:BB$56+BB$60:BB$103))</f>
        <v>-265825.123152709</v>
      </c>
      <c r="BD359" s="13" t="n">
        <f aca="false">BC199-BD199-BC197-IF(BC$3&lt;6,0,-SUMPRODUCT('Deal Terms'!$E$4:$E$47*('Deal Terms'!$G$4:$G$47=0),BC$13:BC$56+BC$60:BC$103))</f>
        <v>-18058.6500000004</v>
      </c>
      <c r="BE359" s="13" t="n">
        <f aca="false">BD199-BE199-BD197-IF(BD$3&lt;6,0,-SUMPRODUCT('Deal Terms'!$E$4:$E$47*('Deal Terms'!$G$4:$G$47=0),BD$13:BD$56+BD$60:BD$103))</f>
        <v>-18058.6500000004</v>
      </c>
      <c r="BF359" s="13" t="n">
        <f aca="false">BE199-BF199-BE197-IF(BE$3&lt;6,0,-SUMPRODUCT('Deal Terms'!$E$4:$E$47*('Deal Terms'!$G$4:$G$47=0),BE$13:BE$56+BE$60:BE$103))</f>
        <v>36117.3000000007</v>
      </c>
      <c r="BG359" s="13" t="n">
        <f aca="false">BF199-BG199-BF197-IF(BF$3&lt;6,0,-SUMPRODUCT('Deal Terms'!$E$4:$E$47*('Deal Terms'!$G$4:$G$47=0),BF$13:BF$56+BF$60:BF$103))</f>
        <v>-18058.6500000004</v>
      </c>
      <c r="BH359" s="13" t="n">
        <f aca="false">BG199-BH199-BG197-IF(BG$3&lt;6,0,-SUMPRODUCT('Deal Terms'!$E$4:$E$47*('Deal Terms'!$G$4:$G$47=0),BG$13:BG$56+BG$60:BG$103))</f>
        <v>-1169.80190289137</v>
      </c>
      <c r="BI359" s="13" t="n">
        <f aca="false">BH199-BI199-BH197-IF(BH$3&lt;6,0,-SUMPRODUCT('Deal Terms'!$E$4:$E$47*('Deal Terms'!$G$4:$G$47=0),BH$13:BH$56+BH$60:BH$103))</f>
        <v>267181.342771438</v>
      </c>
      <c r="BJ359" s="13" t="n">
        <f aca="false">BI199-BJ199-BI197-IF(BI$3&lt;6,0,-SUMPRODUCT('Deal Terms'!$E$4:$E$47*('Deal Terms'!$G$4:$G$47=0),BI$13:BI$56+BI$60:BI$103))</f>
        <v>180586.5</v>
      </c>
      <c r="BK359" s="13" t="n">
        <f aca="false">BJ199-BK199-BJ197-IF(BJ$3&lt;6,0,-SUMPRODUCT('Deal Terms'!$E$4:$E$47*('Deal Terms'!$G$4:$G$47=0),BJ$13:BJ$56+BJ$60:BJ$103))</f>
        <v>0</v>
      </c>
      <c r="BL359" s="13" t="n">
        <f aca="false">BK199-BL199-BK197-IF(BK$3&lt;6,0,-SUMPRODUCT('Deal Terms'!$E$4:$E$47*('Deal Terms'!$G$4:$G$47=0),BK$13:BK$56+BK$60:BK$103))</f>
        <v>0</v>
      </c>
      <c r="BM359" s="13" t="n">
        <f aca="false">BL199-BM199-BL197-IF(BL$3&lt;6,0,-SUMPRODUCT('Deal Terms'!$E$4:$E$47*('Deal Terms'!$G$4:$G$47=0),BL$13:BL$56+BL$60:BL$103))</f>
        <v>-108351.9</v>
      </c>
      <c r="BN359" s="13" t="n">
        <f aca="false">BM199-BN199-BM197-IF(BM$3&lt;6,0,-SUMPRODUCT('Deal Terms'!$E$4:$E$47*('Deal Terms'!$G$4:$G$47=0),BM$13:BM$56+BM$60:BM$103))</f>
        <v>126410.550000001</v>
      </c>
      <c r="BO359" s="13" t="n">
        <f aca="false">BN199-BO199-BN197-IF(BN$3&lt;6,0,-SUMPRODUCT('Deal Terms'!$E$4:$E$47*('Deal Terms'!$G$4:$G$47=0),BN$13:BN$56+BN$60:BN$103))</f>
        <v>180586.5</v>
      </c>
      <c r="BP359" s="13" t="n">
        <f aca="false">BO199-BP199-BO197-IF(BO$3&lt;6,0,-SUMPRODUCT('Deal Terms'!$E$4:$E$47*('Deal Terms'!$G$4:$G$47=0),BO$13:BO$56+BO$60:BO$103))</f>
        <v>0</v>
      </c>
      <c r="BQ359" s="13" t="n">
        <f aca="false">BP199-BQ199-BP197-IF(BP$3&lt;6,0,-SUMPRODUCT('Deal Terms'!$E$4:$E$47*('Deal Terms'!$G$4:$G$47=0),BP$13:BP$56+BP$60:BP$103))</f>
        <v>0</v>
      </c>
      <c r="BR359" s="13" t="n">
        <f aca="false">BQ199-BR199-BQ197-IF(BQ$3&lt;6,0,-SUMPRODUCT('Deal Terms'!$E$4:$E$47*('Deal Terms'!$G$4:$G$47=0),BQ$13:BQ$56+BQ$60:BQ$103))</f>
        <v>-90293.25</v>
      </c>
      <c r="BS359" s="13" t="n">
        <f aca="false">BR199-BS199-BR197-IF(BR$3&lt;6,0,-SUMPRODUCT('Deal Terms'!$E$4:$E$47*('Deal Terms'!$G$4:$G$47=0),BR$13:BR$56+BR$60:BR$103))</f>
        <v>72234.6000000006</v>
      </c>
      <c r="BT359" s="13" t="n">
        <f aca="false">BS199-BT199-BS197-IF(BS$3&lt;6,0,-SUMPRODUCT('Deal Terms'!$E$4:$E$47*('Deal Terms'!$G$4:$G$47=0),BS$13:BS$56+BS$60:BS$103))</f>
        <v>126410.55</v>
      </c>
      <c r="BU359" s="13" t="n">
        <f aca="false">BT199-BU199-BT197-IF(BT$3&lt;6,0,-SUMPRODUCT('Deal Terms'!$E$4:$E$47*('Deal Terms'!$G$4:$G$47=0),BT$13:BT$56+BT$60:BT$103))</f>
        <v>90293.25</v>
      </c>
      <c r="BV359" s="13" t="n">
        <f aca="false">BU199-BV199-BU197-IF(BU$3&lt;6,0,-SUMPRODUCT('Deal Terms'!$E$4:$E$47*('Deal Terms'!$G$4:$G$47=0),BU$13:BU$56+BU$60:BU$103))</f>
        <v>72234.5999999996</v>
      </c>
      <c r="BW359" s="13" t="n">
        <f aca="false">BV199-BW199-BV197-IF(BV$3&lt;6,0,-SUMPRODUCT('Deal Terms'!$E$4:$E$47*('Deal Terms'!$G$4:$G$47=0),BV$13:BV$56+BV$60:BV$103))</f>
        <v>126410.55</v>
      </c>
      <c r="BX359" s="13" t="n">
        <f aca="false">BW199-BX199-BW197-IF(BW$3&lt;6,0,-SUMPRODUCT('Deal Terms'!$E$4:$E$47*('Deal Terms'!$G$4:$G$47=0),BW$13:BW$56+BW$60:BW$103))</f>
        <v>90293.25</v>
      </c>
      <c r="BY359" s="13" t="n">
        <f aca="false">BX199-BY199-BX197-IF(BX$3&lt;6,0,-SUMPRODUCT('Deal Terms'!$E$4:$E$47*('Deal Terms'!$G$4:$G$47=0),BX$13:BX$56+BX$60:BX$103))</f>
        <v>72234.5999999999</v>
      </c>
      <c r="BZ359" s="13" t="n">
        <f aca="false">BY199-BZ199-BY197-IF(BY$3&lt;6,0,-SUMPRODUCT('Deal Terms'!$E$4:$E$47*('Deal Terms'!$G$4:$G$47=0),BY$13:BY$56+BY$60:BY$103))</f>
        <v>126410.55</v>
      </c>
      <c r="CA359" s="13" t="n">
        <f aca="false">BZ199-CA199-BZ197-IF(BZ$3&lt;6,0,-SUMPRODUCT('Deal Terms'!$E$4:$E$47*('Deal Terms'!$G$4:$G$47=0),BZ$13:BZ$56+BZ$60:BZ$103))</f>
        <v>180586.5</v>
      </c>
      <c r="CB359" s="13" t="n">
        <f aca="false">CA199-CB199-CA197-IF(CA$3&lt;6,0,-SUMPRODUCT('Deal Terms'!$E$4:$E$47*('Deal Terms'!$G$4:$G$47=0),CA$13:CA$56+CA$60:CA$103))</f>
        <v>0</v>
      </c>
      <c r="CC359" s="13" t="n">
        <f aca="false">CB199-CC199-CB197-IF(CB$3&lt;6,0,-SUMPRODUCT('Deal Terms'!$E$4:$E$47*('Deal Terms'!$G$4:$G$47=0),CB$13:CB$56+CB$60:CB$103))</f>
        <v>0</v>
      </c>
      <c r="CD359" s="13" t="n">
        <f aca="false">CC199-CD199-CC197-IF(CC$3&lt;6,0,-SUMPRODUCT('Deal Terms'!$E$4:$E$47*('Deal Terms'!$G$4:$G$47=0),CC$13:CC$56+CC$60:CC$103))</f>
        <v>0</v>
      </c>
      <c r="CE359" s="13" t="n">
        <f aca="false">CD199-CE199-CD197-IF(CD$3&lt;6,0,-SUMPRODUCT('Deal Terms'!$E$4:$E$47*('Deal Terms'!$G$4:$G$47=0),CD$13:CD$56+CD$60:CD$103))</f>
        <v>0</v>
      </c>
      <c r="CF359" s="13" t="n">
        <f aca="false">CE199-CF199-CE197-IF(CE$3&lt;6,0,-SUMPRODUCT('Deal Terms'!$E$4:$E$47*('Deal Terms'!$G$4:$G$47=0),CE$13:CE$56+CE$60:CE$103))</f>
        <v>0</v>
      </c>
      <c r="CG359" s="13" t="n">
        <f aca="false">CF199-CG199-CF197-IF(CF$3&lt;6,0,-SUMPRODUCT('Deal Terms'!$E$4:$E$47*('Deal Terms'!$G$4:$G$47=0),CF$13:CF$56+CF$60:CF$103))</f>
        <v>0</v>
      </c>
      <c r="CH359" s="13" t="n">
        <f aca="false">CG199-CH199-CG197-IF(CG$3&lt;6,0,-SUMPRODUCT('Deal Terms'!$E$4:$E$47*('Deal Terms'!$G$4:$G$47=0),CG$13:CG$56+CG$60:CG$103))</f>
        <v>0</v>
      </c>
      <c r="CI359" s="13" t="n">
        <f aca="false">CH199-CI199-CH197-IF(CH$3&lt;6,0,-SUMPRODUCT('Deal Terms'!$E$4:$E$47*('Deal Terms'!$G$4:$G$47=0),CH$13:CH$56+CH$60:CH$103))</f>
        <v>0</v>
      </c>
      <c r="CJ359" s="13" t="n">
        <f aca="false">CI199-CJ199-CI197-IF(CI$3&lt;6,0,-SUMPRODUCT('Deal Terms'!$E$4:$E$47*('Deal Terms'!$G$4:$G$47=0),CI$13:CI$56+CI$60:CI$103))</f>
        <v>0</v>
      </c>
      <c r="CK359" s="13" t="n">
        <f aca="false">CJ199-CK199-CJ197-IF(CJ$3&lt;6,0,-SUMPRODUCT('Deal Terms'!$E$4:$E$47*('Deal Terms'!$G$4:$G$47=0),CJ$13:CJ$56+CJ$60:CJ$103))</f>
        <v>0</v>
      </c>
      <c r="CL359" s="13" t="n">
        <f aca="false">CK199-CL199-CK197-IF(CK$3&lt;6,0,-SUMPRODUCT('Deal Terms'!$E$4:$E$47*('Deal Terms'!$G$4:$G$47=0),CK$13:CK$56+CK$60:CK$103))</f>
        <v>0</v>
      </c>
      <c r="CM359" s="13" t="n">
        <f aca="false">CL199-CM199-CL197-IF(CL$3&lt;6,0,-SUMPRODUCT('Deal Terms'!$E$4:$E$47*('Deal Terms'!$G$4:$G$47=0),CL$13:CL$56+CL$60:CL$103))</f>
        <v>0</v>
      </c>
      <c r="CN359" s="13" t="n">
        <f aca="false">CM199-CN199-CM197-IF(CM$3&lt;6,0,-SUMPRODUCT('Deal Terms'!$E$4:$E$47*('Deal Terms'!$G$4:$G$47=0),CM$13:CM$56+CM$60:CM$103))</f>
        <v>0</v>
      </c>
      <c r="CO359" s="13" t="n">
        <f aca="false">CN199-CO199-CN197-IF(CN$3&lt;6,0,-SUMPRODUCT('Deal Terms'!$E$4:$E$47*('Deal Terms'!$G$4:$G$47=0),CN$13:CN$56+CN$60:CN$103))</f>
        <v>0</v>
      </c>
      <c r="CP359" s="13" t="n">
        <f aca="false">CO199-CP199-CO197-IF(CO$3&lt;6,0,-SUMPRODUCT('Deal Terms'!$E$4:$E$47*('Deal Terms'!$G$4:$G$47=0),CO$13:CO$56+CO$60:CO$103))</f>
        <v>0</v>
      </c>
      <c r="CQ359" s="13" t="n">
        <f aca="false">CP199-CQ199-CP197-IF(CP$3&lt;6,0,-SUMPRODUCT('Deal Terms'!$E$4:$E$47*('Deal Terms'!$G$4:$G$47=0),CP$13:CP$56+CP$60:CP$103))</f>
        <v>0</v>
      </c>
      <c r="CR359" s="13" t="n">
        <f aca="false">CQ199-CR199-CQ197-IF(CQ$3&lt;6,0,-SUMPRODUCT('Deal Terms'!$E$4:$E$47*('Deal Terms'!$G$4:$G$47=0),CQ$13:CQ$56+CQ$60:CQ$103))</f>
        <v>0</v>
      </c>
      <c r="CS359" s="13" t="n">
        <f aca="false">CR199-CS199-CR197-IF(CR$3&lt;6,0,-SUMPRODUCT('Deal Terms'!$E$4:$E$47*('Deal Terms'!$G$4:$G$47=0),CR$13:CR$56+CR$60:CR$103))</f>
        <v>0</v>
      </c>
      <c r="CT359" s="13" t="n">
        <f aca="false">CS199-CT199-CS197-IF(CS$3&lt;6,0,-SUMPRODUCT('Deal Terms'!$E$4:$E$47*('Deal Terms'!$G$4:$G$47=0),CS$13:CS$56+CS$60:CS$103))</f>
        <v>0</v>
      </c>
      <c r="CU359" s="13" t="n">
        <f aca="false">CT199-CU199-CT197-IF(CT$3&lt;6,0,-SUMPRODUCT('Deal Terms'!$E$4:$E$47*('Deal Terms'!$G$4:$G$47=0),CT$13:CT$56+CT$60:CT$103))</f>
        <v>0</v>
      </c>
      <c r="CV359" s="13" t="n">
        <f aca="false">CU199-CV199-CU197-IF(CU$3&lt;6,0,-SUMPRODUCT('Deal Terms'!$E$4:$E$47*('Deal Terms'!$G$4:$G$47=0),CU$13:CU$56+CU$60:CU$103))</f>
        <v>0</v>
      </c>
      <c r="CW359" s="13" t="n">
        <f aca="false">CV199-CW199-CV197-IF(CV$3&lt;6,0,-SUMPRODUCT('Deal Terms'!$E$4:$E$47*('Deal Terms'!$G$4:$G$47=0),CV$13:CV$56+CV$60:CV$103))</f>
        <v>0</v>
      </c>
      <c r="CX359" s="13" t="n">
        <f aca="false">CW199-CX199-CW197-IF(CW$3&lt;6,0,-SUMPRODUCT('Deal Terms'!$E$4:$E$47*('Deal Terms'!$G$4:$G$47=0),CW$13:CW$56+CW$60:CW$103))</f>
        <v>0</v>
      </c>
      <c r="CY359" s="13" t="n">
        <f aca="false">CX199-CY199-CX197-IF(CX$3&lt;6,0,-SUMPRODUCT('Deal Terms'!$E$4:$E$47*('Deal Terms'!$G$4:$G$47=0),CX$13:CX$56+CX$60:CX$103))</f>
        <v>0</v>
      </c>
      <c r="CZ359" s="13" t="n">
        <f aca="false">CY199-CZ199-CY197-IF(CY$3&lt;6,0,-SUMPRODUCT('Deal Terms'!$E$4:$E$47*('Deal Terms'!$G$4:$G$47=0),CY$13:CY$56+CY$60:CY$103))</f>
        <v>0</v>
      </c>
      <c r="DA359" s="13" t="n">
        <f aca="false">CZ199-DA199-CZ197-IF(CZ$3&lt;6,0,-SUMPRODUCT('Deal Terms'!$E$4:$E$47*('Deal Terms'!$G$4:$G$47=0),CZ$13:CZ$56+CZ$60:CZ$103))</f>
        <v>0</v>
      </c>
      <c r="DB359" s="13" t="n">
        <f aca="false">DA199-DB199-DA197-IF(DA$3&lt;6,0,-SUMPRODUCT('Deal Terms'!$E$4:$E$47*('Deal Terms'!$G$4:$G$47=0),DA$13:DA$56+DA$60:DA$103))</f>
        <v>0</v>
      </c>
      <c r="DC359" s="13" t="n">
        <f aca="false">DB199-DC199-DB197-IF(DB$3&lt;6,0,-SUMPRODUCT('Deal Terms'!$E$4:$E$47*('Deal Terms'!$G$4:$G$47=0),DB$13:DB$56+DB$60:DB$103))</f>
        <v>0</v>
      </c>
      <c r="DD359" s="13" t="n">
        <f aca="false">DC199-DD199-DC197-IF(DC$3&lt;6,0,-SUMPRODUCT('Deal Terms'!$E$4:$E$47*('Deal Terms'!$G$4:$G$47=0),DC$13:DC$56+DC$60:DC$103))</f>
        <v>0</v>
      </c>
      <c r="DE359" s="13" t="n">
        <f aca="false">DD199-DE199-DD197-IF(DD$3&lt;6,0,-SUMPRODUCT('Deal Terms'!$E$4:$E$47*('Deal Terms'!$G$4:$G$47=0),DD$13:DD$56+DD$60:DD$103))</f>
        <v>0</v>
      </c>
    </row>
    <row r="360" customFormat="false" ht="15" hidden="false" customHeight="true" outlineLevel="0" collapsed="false">
      <c r="A360" s="22" t="s">
        <v>185</v>
      </c>
      <c r="B360" s="13"/>
      <c r="C360" s="13"/>
      <c r="D360" s="13"/>
      <c r="E360" s="13"/>
      <c r="F360" s="13"/>
      <c r="G360" s="13"/>
      <c r="H360" s="13"/>
      <c r="I360" s="13"/>
      <c r="J360" s="13" t="n">
        <v>0</v>
      </c>
      <c r="K360" s="13"/>
      <c r="L360" s="13"/>
      <c r="M360" s="13"/>
      <c r="N360" s="13"/>
      <c r="O360" s="13"/>
      <c r="P360" s="13"/>
      <c r="Q360" s="13"/>
      <c r="R360" s="13"/>
      <c r="S360" s="13"/>
      <c r="T360" s="13"/>
      <c r="U360" s="13"/>
      <c r="V360" s="13"/>
      <c r="W360" s="13"/>
      <c r="X360" s="13"/>
      <c r="Y360" s="13"/>
      <c r="Z360" s="13"/>
      <c r="AA360" s="13"/>
      <c r="AB360" s="13"/>
      <c r="AC360" s="13"/>
      <c r="AD360" s="13"/>
      <c r="AE360" s="13"/>
      <c r="AF360" s="13"/>
      <c r="AG360" s="13"/>
      <c r="AH360" s="13"/>
      <c r="AI360" s="13"/>
      <c r="AJ360" s="13"/>
      <c r="AK360" s="13"/>
      <c r="AL360" s="13"/>
      <c r="AM360" s="13"/>
      <c r="AN360" s="13"/>
      <c r="AO360" s="13"/>
      <c r="AP360" s="13"/>
      <c r="AQ360" s="13"/>
      <c r="AR360" s="13"/>
      <c r="AS360" s="13"/>
      <c r="AT360" s="13"/>
      <c r="AU360" s="13"/>
      <c r="AV360" s="13"/>
      <c r="AW360" s="13"/>
      <c r="AX360" s="13"/>
      <c r="AY360" s="13"/>
      <c r="AZ360" s="13"/>
      <c r="BA360" s="13"/>
      <c r="BB360" s="13"/>
      <c r="BC360" s="13"/>
      <c r="BD360" s="13"/>
      <c r="BE360" s="13"/>
      <c r="BF360" s="13"/>
      <c r="BG360" s="13"/>
      <c r="BH360" s="13"/>
      <c r="BI360" s="13"/>
      <c r="BJ360" s="13"/>
      <c r="BK360" s="13"/>
      <c r="BL360" s="13"/>
      <c r="BM360" s="13"/>
      <c r="BN360" s="13"/>
      <c r="BO360" s="13"/>
      <c r="BP360" s="13"/>
      <c r="BQ360" s="13"/>
      <c r="BR360" s="13"/>
      <c r="BS360" s="13"/>
      <c r="BT360" s="13"/>
      <c r="BU360" s="13"/>
      <c r="BV360" s="13"/>
      <c r="BW360" s="13"/>
      <c r="BX360" s="13"/>
      <c r="BY360" s="13"/>
      <c r="BZ360" s="13"/>
      <c r="CA360" s="13"/>
      <c r="CB360" s="13"/>
      <c r="CC360" s="13"/>
      <c r="CD360" s="13"/>
      <c r="CE360" s="13"/>
      <c r="CF360" s="13"/>
      <c r="CG360" s="13"/>
      <c r="CH360" s="13"/>
      <c r="CI360" s="13"/>
      <c r="CJ360" s="13"/>
      <c r="CK360" s="13"/>
      <c r="CL360" s="13"/>
      <c r="CM360" s="13"/>
      <c r="CN360" s="13"/>
      <c r="CO360" s="13"/>
      <c r="CP360" s="13"/>
      <c r="CQ360" s="13"/>
      <c r="CR360" s="13"/>
      <c r="CS360" s="13"/>
      <c r="CT360" s="13"/>
      <c r="CU360" s="13"/>
      <c r="CV360" s="13"/>
      <c r="CW360" s="13"/>
      <c r="CX360" s="13"/>
      <c r="CY360" s="13"/>
      <c r="CZ360" s="13"/>
      <c r="DA360" s="13"/>
      <c r="DB360" s="13"/>
      <c r="DC360" s="13"/>
      <c r="DD360" s="13"/>
      <c r="DE360" s="13"/>
    </row>
    <row r="361" customFormat="false" ht="15" hidden="false" customHeight="true" outlineLevel="0" collapsed="false">
      <c r="A361" s="22" t="s">
        <v>186</v>
      </c>
      <c r="B361" s="13"/>
      <c r="C361" s="13"/>
      <c r="D361" s="13"/>
      <c r="E361" s="13"/>
      <c r="F361" s="13"/>
      <c r="G361" s="13"/>
      <c r="H361" s="13"/>
      <c r="I361" s="13"/>
      <c r="J361" s="13" t="n">
        <f aca="false">-0.05*(J10+J11)</f>
        <v>-36095.5760926295</v>
      </c>
      <c r="K361" s="13" t="n">
        <f aca="false">-0.05*(K10+K11)</f>
        <v>-38005.5881356239</v>
      </c>
      <c r="L361" s="13" t="n">
        <f aca="false">-0.05*(L10+L11)</f>
        <v>-31952.7880229579</v>
      </c>
      <c r="M361" s="13" t="n">
        <f aca="false">-0.05*(M10+M11)</f>
        <v>-33705.1548612026</v>
      </c>
      <c r="N361" s="13" t="n">
        <f aca="false">-0.05*(N10+N11)</f>
        <v>-42319.0315669383</v>
      </c>
      <c r="O361" s="13" t="n">
        <f aca="false">-0.05*(O10+O11)</f>
        <v>-42059.8488909858</v>
      </c>
      <c r="P361" s="13" t="n">
        <f aca="false">-0.05*(P10+P11)</f>
        <v>-43429.7278909858</v>
      </c>
      <c r="Q361" s="13" t="n">
        <f aca="false">-0.05*(Q10+Q11)</f>
        <v>-49485.4195938466</v>
      </c>
      <c r="R361" s="13" t="n">
        <f aca="false">-0.05*(R10+R11)</f>
        <v>-51929.2319985091</v>
      </c>
      <c r="S361" s="13" t="n">
        <f aca="false">-0.05*(S10+S11)</f>
        <v>-55954.6397423466</v>
      </c>
      <c r="T361" s="13" t="n">
        <f aca="false">-0.05*(T10+T11)</f>
        <v>-66209.2382490441</v>
      </c>
      <c r="U361" s="13" t="n">
        <f aca="false">-0.05*(U10+U11)</f>
        <v>-60787.1897490441</v>
      </c>
      <c r="V361" s="13" t="n">
        <f aca="false">-0.05*(V10+V11)</f>
        <v>-64501.5582490441</v>
      </c>
      <c r="W361" s="13" t="n">
        <f aca="false">-0.05*(W10+W11)</f>
        <v>-55548.6797490441</v>
      </c>
      <c r="X361" s="13" t="n">
        <f aca="false">-0.05*(X10+X11)</f>
        <v>-70242.5769919898</v>
      </c>
      <c r="Y361" s="13" t="n">
        <f aca="false">-0.05*(Y10+Y11)</f>
        <v>-62154.5359919898</v>
      </c>
      <c r="Z361" s="13" t="n">
        <f aca="false">-0.05*(Z10+Z11)</f>
        <v>-68471.8449919898</v>
      </c>
      <c r="AA361" s="13" t="n">
        <f aca="false">-0.05*(AA10+AA11)</f>
        <v>-69933.7776600468</v>
      </c>
      <c r="AB361" s="13" t="n">
        <f aca="false">-0.05*(AB10+AB11)</f>
        <v>-66034.7865550217</v>
      </c>
      <c r="AC361" s="13" t="n">
        <f aca="false">-0.05*(AC10+AC11)</f>
        <v>-54598.513092844</v>
      </c>
      <c r="AD361" s="13" t="n">
        <f aca="false">-0.05*(AD10+AD11)</f>
        <v>-55746.0085928439</v>
      </c>
      <c r="AE361" s="13" t="n">
        <f aca="false">-0.05*(AE10+AE11)</f>
        <v>-63175.5911362713</v>
      </c>
      <c r="AF361" s="13" t="n">
        <f aca="false">-0.05*(AF10+AF11)</f>
        <v>-71656.5818420069</v>
      </c>
      <c r="AG361" s="13" t="n">
        <f aca="false">-0.05*(AG10+AG11)</f>
        <v>-72579.0312545831</v>
      </c>
      <c r="AH361" s="13" t="n">
        <f aca="false">-0.05*(AH10+AH11)</f>
        <v>-71161.9601064882</v>
      </c>
      <c r="AI361" s="13" t="n">
        <f aca="false">-0.05*(AI10+AI11)</f>
        <v>-75368.2791064882</v>
      </c>
      <c r="AJ361" s="13" t="n">
        <f aca="false">-0.05*(AJ10+AJ11)</f>
        <v>-84761.2724895382</v>
      </c>
      <c r="AK361" s="13" t="n">
        <f aca="false">-0.05*(AK10+AK11)</f>
        <v>-70745.9404836064</v>
      </c>
      <c r="AL361" s="13" t="n">
        <f aca="false">-0.05*(AL10+AL11)</f>
        <v>-74714.4085026289</v>
      </c>
      <c r="AM361" s="13" t="n">
        <f aca="false">-0.05*(AM10+AM11)</f>
        <v>-69624.3754892339</v>
      </c>
      <c r="AN361" s="13" t="n">
        <f aca="false">-0.05*(AN10+AN11)</f>
        <v>-68714.9354892339</v>
      </c>
      <c r="AO361" s="13" t="n">
        <f aca="false">-0.05*(AO10+AO11)</f>
        <v>-71233.1674892339</v>
      </c>
      <c r="AP361" s="13" t="n">
        <f aca="false">-0.05*(AP10+AP11)</f>
        <v>-76650.7624892339</v>
      </c>
      <c r="AQ361" s="13" t="n">
        <f aca="false">-0.05*(AQ10+AQ11)</f>
        <v>-81165.4249892339</v>
      </c>
      <c r="AR361" s="13" t="n">
        <f aca="false">-0.05*(AR10+AR11)</f>
        <v>-81165.4249892339</v>
      </c>
      <c r="AS361" s="13" t="n">
        <f aca="false">-0.05*(AS10+AS11)</f>
        <v>-81165.4249892339</v>
      </c>
      <c r="AT361" s="13" t="n">
        <f aca="false">-0.05*(AT10+AT11)</f>
        <v>-100207.299256909</v>
      </c>
      <c r="AU361" s="13" t="n">
        <f aca="false">-0.05*(AU10+AU11)</f>
        <v>-80069.077198515</v>
      </c>
      <c r="AV361" s="13" t="n">
        <f aca="false">-0.05*(AV10+AV11)</f>
        <v>-71088.2570434273</v>
      </c>
      <c r="AW361" s="13" t="n">
        <f aca="false">-0.05*(AW10+AW11)</f>
        <v>-71088.2570434273</v>
      </c>
      <c r="AX361" s="13" t="n">
        <f aca="false">-0.05*(AX10+AX11)</f>
        <v>-71088.2570434273</v>
      </c>
      <c r="AY361" s="13" t="n">
        <f aca="false">-0.05*(AY10+AY11)</f>
        <v>-76505.8520434273</v>
      </c>
      <c r="AZ361" s="13" t="n">
        <f aca="false">-0.05*(AZ10+AZ11)</f>
        <v>-75602.9195434273</v>
      </c>
      <c r="BA361" s="13" t="n">
        <f aca="false">-0.05*(BA10+BA11)</f>
        <v>-74699.9870434273</v>
      </c>
      <c r="BB361" s="13" t="n">
        <f aca="false">-0.05*(BB10+BB11)</f>
        <v>-74699.9870434273</v>
      </c>
      <c r="BC361" s="13" t="n">
        <f aca="false">-0.05*(BC10+BC11)</f>
        <v>-74699.9870434273</v>
      </c>
      <c r="BD361" s="13" t="n">
        <f aca="false">-0.05*(BD10+BD11)</f>
        <v>-75602.9195434273</v>
      </c>
      <c r="BE361" s="13" t="n">
        <f aca="false">-0.05*(BE10+BE11)</f>
        <v>-76505.8520434273</v>
      </c>
      <c r="BF361" s="13" t="n">
        <f aca="false">-0.05*(BF10+BF11)</f>
        <v>-74699.9870434273</v>
      </c>
      <c r="BG361" s="13" t="n">
        <f aca="false">-0.05*(BG10+BG11)</f>
        <v>-75602.9195434273</v>
      </c>
      <c r="BH361" s="13" t="n">
        <f aca="false">-0.05*(BH10+BH11)</f>
        <v>-88952.6657962073</v>
      </c>
      <c r="BI361" s="13" t="n">
        <f aca="false">-0.05*(BI10+BI11)</f>
        <v>-62302.3425</v>
      </c>
      <c r="BJ361" s="13" t="n">
        <f aca="false">-0.05*(BJ10+BJ11)</f>
        <v>-53273.0175</v>
      </c>
      <c r="BK361" s="13" t="n">
        <f aca="false">-0.05*(BK10+BK11)</f>
        <v>-53273.0175</v>
      </c>
      <c r="BL361" s="13" t="n">
        <f aca="false">-0.05*(BL10+BL11)</f>
        <v>-53273.0175</v>
      </c>
      <c r="BM361" s="13" t="n">
        <f aca="false">-0.05*(BM10+BM11)</f>
        <v>-58690.6125</v>
      </c>
      <c r="BN361" s="13" t="n">
        <f aca="false">-0.05*(BN10+BN11)</f>
        <v>-52370.085</v>
      </c>
      <c r="BO361" s="13" t="n">
        <f aca="false">-0.05*(BO10+BO11)</f>
        <v>-43340.76</v>
      </c>
      <c r="BP361" s="13" t="n">
        <f aca="false">-0.05*(BP10+BP11)</f>
        <v>-43340.76</v>
      </c>
      <c r="BQ361" s="13" t="n">
        <f aca="false">-0.05*(BQ10+BQ11)</f>
        <v>-43340.76</v>
      </c>
      <c r="BR361" s="13" t="n">
        <f aca="false">-0.05*(BR10+BR11)</f>
        <v>-47855.4225</v>
      </c>
      <c r="BS361" s="13" t="n">
        <f aca="false">-0.05*(BS10+BS11)</f>
        <v>-44243.6925</v>
      </c>
      <c r="BT361" s="13" t="n">
        <f aca="false">-0.05*(BT10+BT11)</f>
        <v>-37923.165</v>
      </c>
      <c r="BU361" s="13" t="n">
        <f aca="false">-0.05*(BU10+BU11)</f>
        <v>-33408.5025</v>
      </c>
      <c r="BV361" s="13" t="n">
        <f aca="false">-0.05*(BV10+BV11)</f>
        <v>-29796.7725</v>
      </c>
      <c r="BW361" s="13" t="n">
        <f aca="false">-0.05*(BW10+BW11)</f>
        <v>-23476.245</v>
      </c>
      <c r="BX361" s="13" t="n">
        <f aca="false">-0.05*(BX10+BX11)</f>
        <v>-18961.5825</v>
      </c>
      <c r="BY361" s="13" t="n">
        <f aca="false">-0.05*(BY10+BY11)</f>
        <v>-15349.8525</v>
      </c>
      <c r="BZ361" s="13" t="n">
        <f aca="false">-0.05*(BZ10+BZ11)</f>
        <v>-9029.325</v>
      </c>
      <c r="CA361" s="13" t="n">
        <f aca="false">-0.05*(CA10+CA11)</f>
        <v>-0</v>
      </c>
      <c r="CB361" s="13" t="n">
        <f aca="false">-0.05*(CB10+CB11)</f>
        <v>-0</v>
      </c>
      <c r="CC361" s="13" t="n">
        <f aca="false">-0.05*(CC10+CC11)</f>
        <v>-0</v>
      </c>
      <c r="CD361" s="13" t="n">
        <f aca="false">-0.05*(CD10+CD11)</f>
        <v>-0</v>
      </c>
      <c r="CE361" s="13" t="n">
        <f aca="false">-0.05*(CE10+CE11)</f>
        <v>-0</v>
      </c>
      <c r="CF361" s="13" t="n">
        <f aca="false">-0.05*(CF10+CF11)</f>
        <v>-0</v>
      </c>
      <c r="CG361" s="13" t="n">
        <f aca="false">-0.05*(CG10+CG11)</f>
        <v>-0</v>
      </c>
      <c r="CH361" s="13" t="n">
        <f aca="false">-0.05*(CH10+CH11)</f>
        <v>-0</v>
      </c>
      <c r="CI361" s="13" t="n">
        <f aca="false">-0.05*(CI10+CI11)</f>
        <v>-0</v>
      </c>
      <c r="CJ361" s="13" t="n">
        <f aca="false">-0.05*(CJ10+CJ11)</f>
        <v>-0</v>
      </c>
      <c r="CK361" s="13" t="n">
        <f aca="false">-0.05*(CK10+CK11)</f>
        <v>-0</v>
      </c>
      <c r="CL361" s="13" t="n">
        <f aca="false">-0.05*(CL10+CL11)</f>
        <v>-0</v>
      </c>
      <c r="CM361" s="13" t="n">
        <f aca="false">-0.05*(CM10+CM11)</f>
        <v>-0</v>
      </c>
      <c r="CN361" s="13" t="n">
        <f aca="false">-0.05*(CN10+CN11)</f>
        <v>-0</v>
      </c>
      <c r="CO361" s="13" t="n">
        <f aca="false">-0.05*(CO10+CO11)</f>
        <v>-0</v>
      </c>
      <c r="CP361" s="13" t="n">
        <f aca="false">-0.05*(CP10+CP11)</f>
        <v>-0</v>
      </c>
      <c r="CQ361" s="13" t="n">
        <f aca="false">-0.05*(CQ10+CQ11)</f>
        <v>-0</v>
      </c>
      <c r="CR361" s="13" t="n">
        <f aca="false">-0.05*(CR10+CR11)</f>
        <v>-0</v>
      </c>
      <c r="CS361" s="13" t="n">
        <f aca="false">-0.05*(CS10+CS11)</f>
        <v>-0</v>
      </c>
      <c r="CT361" s="13" t="n">
        <f aca="false">-0.05*(CT10+CT11)</f>
        <v>-0</v>
      </c>
      <c r="CU361" s="13" t="n">
        <f aca="false">-0.05*(CU10+CU11)</f>
        <v>-0</v>
      </c>
      <c r="CV361" s="13" t="n">
        <f aca="false">-0.05*(CV10+CV11)</f>
        <v>-0</v>
      </c>
      <c r="CW361" s="13" t="n">
        <f aca="false">-0.05*(CW10+CW11)</f>
        <v>-0</v>
      </c>
      <c r="CX361" s="13" t="n">
        <f aca="false">-0.05*(CX10+CX11)</f>
        <v>-0</v>
      </c>
      <c r="CY361" s="13" t="n">
        <f aca="false">-0.05*(CY10+CY11)</f>
        <v>-0</v>
      </c>
      <c r="CZ361" s="13" t="n">
        <f aca="false">-0.05*(CZ10+CZ11)</f>
        <v>-0</v>
      </c>
      <c r="DA361" s="13" t="n">
        <f aca="false">-0.05*(DA10+DA11)</f>
        <v>-0</v>
      </c>
      <c r="DB361" s="13" t="n">
        <f aca="false">-0.05*(DB10+DB11)</f>
        <v>-0</v>
      </c>
      <c r="DC361" s="13" t="n">
        <f aca="false">-0.05*(DC10+DC11)</f>
        <v>-0</v>
      </c>
      <c r="DD361" s="13" t="n">
        <f aca="false">-0.05*(DD10+DD11)</f>
        <v>-0</v>
      </c>
      <c r="DE361" s="13" t="n">
        <f aca="false">-0.05*(DE10+DE11)</f>
        <v>-0</v>
      </c>
    </row>
    <row r="362" customFormat="false" ht="15" hidden="false" customHeight="true" outlineLevel="0" collapsed="false">
      <c r="A362" s="22" t="s">
        <v>187</v>
      </c>
      <c r="B362" s="13"/>
      <c r="C362" s="13"/>
      <c r="D362" s="13"/>
      <c r="E362" s="13"/>
      <c r="F362" s="13"/>
      <c r="G362" s="13"/>
      <c r="H362" s="13"/>
      <c r="I362" s="13"/>
      <c r="J362" s="13" t="n">
        <f aca="false">SUMIFS(Retention!$E$2:$E$44,Retention!$F$2:$F$44,J$3)</f>
        <v>0</v>
      </c>
      <c r="K362" s="13" t="n">
        <f aca="false">SUMIFS(Retention!$E$2:$E$44,Retention!$F$2:$F$44,K$3)</f>
        <v>0</v>
      </c>
      <c r="L362" s="13" t="n">
        <f aca="false">SUMIFS(Retention!$E$2:$E$44,Retention!$F$2:$F$44,L$3)</f>
        <v>77190.558</v>
      </c>
      <c r="M362" s="13" t="n">
        <f aca="false">SUMIFS(Retention!$E$2:$E$44,Retention!$F$2:$F$44,M$3)</f>
        <v>0</v>
      </c>
      <c r="N362" s="13" t="n">
        <f aca="false">SUMIFS(Retention!$E$2:$E$44,Retention!$F$2:$F$44,N$3)</f>
        <v>0</v>
      </c>
      <c r="O362" s="13" t="n">
        <f aca="false">SUMIFS(Retention!$E$2:$E$44,Retention!$F$2:$F$44,O$3)</f>
        <v>0</v>
      </c>
      <c r="P362" s="13" t="n">
        <f aca="false">SUMIFS(Retention!$E$2:$E$44,Retention!$F$2:$F$44,P$3)</f>
        <v>0</v>
      </c>
      <c r="Q362" s="13" t="n">
        <f aca="false">SUMIFS(Retention!$E$2:$E$44,Retention!$F$2:$F$44,Q$3)</f>
        <v>0</v>
      </c>
      <c r="R362" s="13" t="n">
        <f aca="false">SUMIFS(Retention!$E$2:$E$44,Retention!$F$2:$F$44,R$3)</f>
        <v>0</v>
      </c>
      <c r="S362" s="13" t="n">
        <f aca="false">SUMIFS(Retention!$E$2:$E$44,Retention!$F$2:$F$44,S$3)</f>
        <v>30427.4835</v>
      </c>
      <c r="T362" s="13" t="n">
        <f aca="false">SUMIFS(Retention!$E$2:$E$44,Retention!$F$2:$F$44,T$3)</f>
        <v>0</v>
      </c>
      <c r="U362" s="13" t="n">
        <f aca="false">SUMIFS(Retention!$E$2:$E$44,Retention!$F$2:$F$44,U$3)</f>
        <v>80815.528</v>
      </c>
      <c r="V362" s="13" t="n">
        <f aca="false">SUMIFS(Retention!$E$2:$E$44,Retention!$F$2:$F$44,V$3)</f>
        <v>137452.792</v>
      </c>
      <c r="W362" s="13" t="n">
        <f aca="false">SUMIFS(Retention!$E$2:$E$44,Retention!$F$2:$F$44,W$3)</f>
        <v>92237.867</v>
      </c>
      <c r="X362" s="13" t="n">
        <f aca="false">SUMIFS(Retention!$E$2:$E$44,Retention!$F$2:$F$44,X$3)</f>
        <v>0</v>
      </c>
      <c r="Y362" s="13" t="n">
        <f aca="false">SUMIFS(Retention!$E$2:$E$44,Retention!$F$2:$F$44,Y$3)</f>
        <v>0</v>
      </c>
      <c r="Z362" s="13" t="n">
        <f aca="false">SUMIFS(Retention!$E$2:$E$44,Retention!$F$2:$F$44,Z$3)</f>
        <v>0</v>
      </c>
      <c r="AA362" s="13" t="n">
        <f aca="false">SUMIFS(Retention!$E$2:$E$44,Retention!$F$2:$F$44,AA$3)</f>
        <v>86283.6925</v>
      </c>
      <c r="AB362" s="13" t="n">
        <f aca="false">SUMIFS(Retention!$E$2:$E$44,Retention!$F$2:$F$44,AB$3)</f>
        <v>78216.6846217775</v>
      </c>
      <c r="AC362" s="13" t="n">
        <f aca="false">SUMIFS(Retention!$E$2:$E$44,Retention!$F$2:$F$44,AC$3)</f>
        <v>0</v>
      </c>
      <c r="AD362" s="13" t="n">
        <f aca="false">SUMIFS(Retention!$E$2:$E$44,Retention!$F$2:$F$44,AD$3)</f>
        <v>0</v>
      </c>
      <c r="AE362" s="13" t="n">
        <f aca="false">SUMIFS(Retention!$E$2:$E$44,Retention!$F$2:$F$44,AE$3)</f>
        <v>0</v>
      </c>
      <c r="AF362" s="13" t="n">
        <f aca="false">SUMIFS(Retention!$E$2:$E$44,Retention!$F$2:$F$44,AF$3)</f>
        <v>136852.734114713</v>
      </c>
      <c r="AG362" s="13" t="n">
        <f aca="false">SUMIFS(Retention!$E$2:$E$44,Retention!$F$2:$F$44,AG$3)</f>
        <v>57649.88648095</v>
      </c>
      <c r="AH362" s="13" t="n">
        <f aca="false">SUMIFS(Retention!$E$2:$E$44,Retention!$F$2:$F$44,AH$3)</f>
        <v>0</v>
      </c>
      <c r="AI362" s="13" t="n">
        <f aca="false">SUMIFS(Retention!$E$2:$E$44,Retention!$F$2:$F$44,AI$3)</f>
        <v>0</v>
      </c>
      <c r="AJ362" s="13" t="n">
        <f aca="false">SUMIFS(Retention!$E$2:$E$44,Retention!$F$2:$F$44,AJ$3)</f>
        <v>220191.647661</v>
      </c>
      <c r="AK362" s="13" t="n">
        <f aca="false">SUMIFS(Retention!$E$2:$E$44,Retention!$F$2:$F$44,AK$3)</f>
        <v>68125.56487675</v>
      </c>
      <c r="AL362" s="13" t="n">
        <f aca="false">SUMIFS(Retention!$E$2:$E$44,Retention!$F$2:$F$44,AL$3)</f>
        <v>111017.17013395</v>
      </c>
      <c r="AM362" s="13" t="n">
        <f aca="false">SUMIFS(Retention!$E$2:$E$44,Retention!$F$2:$F$44,AM$3)</f>
        <v>0</v>
      </c>
      <c r="AN362" s="13" t="n">
        <f aca="false">SUMIFS(Retention!$E$2:$E$44,Retention!$F$2:$F$44,AN$3)</f>
        <v>257371.896</v>
      </c>
      <c r="AO362" s="13" t="n">
        <f aca="false">SUMIFS(Retention!$E$2:$E$44,Retention!$F$2:$F$44,AO$3)</f>
        <v>0</v>
      </c>
      <c r="AP362" s="13" t="n">
        <f aca="false">SUMIFS(Retention!$E$2:$E$44,Retention!$F$2:$F$44,AP$3)</f>
        <v>0</v>
      </c>
      <c r="AQ362" s="13" t="n">
        <f aca="false">SUMIFS(Retention!$E$2:$E$44,Retention!$F$2:$F$44,AQ$3)</f>
        <v>0</v>
      </c>
      <c r="AR362" s="13" t="n">
        <f aca="false">SUMIFS(Retention!$E$2:$E$44,Retention!$F$2:$F$44,AR$3)</f>
        <v>0</v>
      </c>
      <c r="AS362" s="13" t="n">
        <f aca="false">SUMIFS(Retention!$E$2:$E$44,Retention!$F$2:$F$44,AS$3)</f>
        <v>0</v>
      </c>
      <c r="AT362" s="13" t="n">
        <f aca="false">SUMIFS(Retention!$E$2:$E$44,Retention!$F$2:$F$44,AT$3)</f>
        <v>380837.4853535</v>
      </c>
      <c r="AU362" s="13" t="n">
        <f aca="false">SUMIFS(Retention!$E$2:$E$44,Retention!$F$2:$F$44,AU$3)</f>
        <v>150647.248242839</v>
      </c>
      <c r="AV362" s="13" t="n">
        <f aca="false">SUMIFS(Retention!$E$2:$E$44,Retention!$F$2:$F$44,AV$3)</f>
        <v>0</v>
      </c>
      <c r="AW362" s="13" t="n">
        <f aca="false">SUMIFS(Retention!$E$2:$E$44,Retention!$F$2:$F$44,AW$3)</f>
        <v>0</v>
      </c>
      <c r="AX362" s="13" t="n">
        <f aca="false">SUMIFS(Retention!$E$2:$E$44,Retention!$F$2:$F$44,AX$3)</f>
        <v>0</v>
      </c>
      <c r="AY362" s="13" t="n">
        <f aca="false">SUMIFS(Retention!$E$2:$E$44,Retention!$F$2:$F$44,AY$3)</f>
        <v>108351.9</v>
      </c>
      <c r="AZ362" s="13" t="n">
        <f aca="false">SUMIFS(Retention!$E$2:$E$44,Retention!$F$2:$F$44,AZ$3)</f>
        <v>108351.9</v>
      </c>
      <c r="BA362" s="13" t="n">
        <f aca="false">SUMIFS(Retention!$E$2:$E$44,Retention!$F$2:$F$44,BA$3)</f>
        <v>90293.25</v>
      </c>
      <c r="BB362" s="13" t="n">
        <f aca="false">SUMIFS(Retention!$E$2:$E$44,Retention!$F$2:$F$44,BB$3)</f>
        <v>90293.25</v>
      </c>
      <c r="BC362" s="13" t="n">
        <f aca="false">SUMIFS(Retention!$E$2:$E$44,Retention!$F$2:$F$44,BC$3)</f>
        <v>90293.25</v>
      </c>
      <c r="BD362" s="13" t="n">
        <f aca="false">SUMIFS(Retention!$E$2:$E$44,Retention!$F$2:$F$44,BD$3)</f>
        <v>90293.25</v>
      </c>
      <c r="BE362" s="13" t="n">
        <f aca="false">SUMIFS(Retention!$E$2:$E$44,Retention!$F$2:$F$44,BE$3)</f>
        <v>108351.9</v>
      </c>
      <c r="BF362" s="13" t="n">
        <f aca="false">SUMIFS(Retention!$E$2:$E$44,Retention!$F$2:$F$44,BF$3)</f>
        <v>90293.25</v>
      </c>
      <c r="BG362" s="13" t="n">
        <f aca="false">SUMIFS(Retention!$E$2:$E$44,Retention!$F$2:$F$44,BG$3)</f>
        <v>90293.25</v>
      </c>
      <c r="BH362" s="13" t="n">
        <f aca="false">SUMIFS(Retention!$E$2:$E$44,Retention!$F$2:$F$44,BH$3)</f>
        <v>357288.1750556</v>
      </c>
      <c r="BI362" s="13" t="n">
        <f aca="false">SUMIFS(Retention!$E$2:$E$44,Retention!$F$2:$F$44,BI$3)</f>
        <v>90293.25</v>
      </c>
      <c r="BJ362" s="13" t="n">
        <f aca="false">SUMIFS(Retention!$E$2:$E$44,Retention!$F$2:$F$44,BJ$3)</f>
        <v>0</v>
      </c>
      <c r="BK362" s="13" t="n">
        <f aca="false">SUMIFS(Retention!$E$2:$E$44,Retention!$F$2:$F$44,BK$3)</f>
        <v>0</v>
      </c>
      <c r="BL362" s="13" t="n">
        <f aca="false">SUMIFS(Retention!$E$2:$E$44,Retention!$F$2:$F$44,BL$3)</f>
        <v>0</v>
      </c>
      <c r="BM362" s="13" t="n">
        <f aca="false">SUMIFS(Retention!$E$2:$E$44,Retention!$F$2:$F$44,BM$3)</f>
        <v>108351.9</v>
      </c>
      <c r="BN362" s="13" t="n">
        <f aca="false">SUMIFS(Retention!$E$2:$E$44,Retention!$F$2:$F$44,BN$3)</f>
        <v>90293.25</v>
      </c>
      <c r="BO362" s="13" t="n">
        <f aca="false">SUMIFS(Retention!$E$2:$E$44,Retention!$F$2:$F$44,BO$3)</f>
        <v>0</v>
      </c>
      <c r="BP362" s="13" t="n">
        <f aca="false">SUMIFS(Retention!$E$2:$E$44,Retention!$F$2:$F$44,BP$3)</f>
        <v>0</v>
      </c>
      <c r="BQ362" s="13" t="n">
        <f aca="false">SUMIFS(Retention!$E$2:$E$44,Retention!$F$2:$F$44,BQ$3)</f>
        <v>0</v>
      </c>
      <c r="BR362" s="13" t="n">
        <f aca="false">SUMIFS(Retention!$E$2:$E$44,Retention!$F$2:$F$44,BR$3)</f>
        <v>90293.25</v>
      </c>
      <c r="BS362" s="13" t="n">
        <f aca="false">SUMIFS(Retention!$E$2:$E$44,Retention!$F$2:$F$44,BS$3)</f>
        <v>108351.9</v>
      </c>
      <c r="BT362" s="13" t="n">
        <f aca="false">SUMIFS(Retention!$E$2:$E$44,Retention!$F$2:$F$44,BT$3)</f>
        <v>90293.25</v>
      </c>
      <c r="BU362" s="13" t="n">
        <f aca="false">SUMIFS(Retention!$E$2:$E$44,Retention!$F$2:$F$44,BU$3)</f>
        <v>90293.25</v>
      </c>
      <c r="BV362" s="13" t="n">
        <f aca="false">SUMIFS(Retention!$E$2:$E$44,Retention!$F$2:$F$44,BV$3)</f>
        <v>108351.9</v>
      </c>
      <c r="BW362" s="13" t="n">
        <f aca="false">SUMIFS(Retention!$E$2:$E$44,Retention!$F$2:$F$44,BW$3)</f>
        <v>90293.25</v>
      </c>
      <c r="BX362" s="13" t="n">
        <f aca="false">SUMIFS(Retention!$E$2:$E$44,Retention!$F$2:$F$44,BX$3)</f>
        <v>90293.25</v>
      </c>
      <c r="BY362" s="13" t="n">
        <f aca="false">SUMIFS(Retention!$E$2:$E$44,Retention!$F$2:$F$44,BY$3)</f>
        <v>108351.9</v>
      </c>
      <c r="BZ362" s="13" t="n">
        <f aca="false">SUMIFS(Retention!$E$2:$E$44,Retention!$F$2:$F$44,BZ$3)</f>
        <v>90293.25</v>
      </c>
      <c r="CA362" s="13" t="n">
        <f aca="false">SUMIFS(Retention!$E$2:$E$44,Retention!$F$2:$F$44,CA$3)</f>
        <v>0</v>
      </c>
      <c r="CB362" s="13" t="n">
        <f aca="false">SUMIFS(Retention!$E$2:$E$44,Retention!$F$2:$F$44,CB$3)</f>
        <v>0</v>
      </c>
      <c r="CC362" s="13" t="n">
        <f aca="false">SUMIFS(Retention!$E$2:$E$44,Retention!$F$2:$F$44,CC$3)</f>
        <v>0</v>
      </c>
      <c r="CD362" s="13" t="n">
        <f aca="false">SUMIFS(Retention!$E$2:$E$44,Retention!$F$2:$F$44,CD$3)</f>
        <v>0</v>
      </c>
      <c r="CE362" s="13" t="n">
        <f aca="false">SUMIFS(Retention!$E$2:$E$44,Retention!$F$2:$F$44,CE$3)</f>
        <v>0</v>
      </c>
      <c r="CF362" s="13" t="n">
        <f aca="false">SUMIFS(Retention!$E$2:$E$44,Retention!$F$2:$F$44,CF$3)</f>
        <v>0</v>
      </c>
      <c r="CG362" s="13" t="n">
        <f aca="false">SUMIFS(Retention!$E$2:$E$44,Retention!$F$2:$F$44,CG$3)</f>
        <v>0</v>
      </c>
      <c r="CH362" s="13" t="n">
        <f aca="false">SUMIFS(Retention!$E$2:$E$44,Retention!$F$2:$F$44,CH$3)</f>
        <v>0</v>
      </c>
      <c r="CI362" s="13" t="n">
        <f aca="false">SUMIFS(Retention!$E$2:$E$44,Retention!$F$2:$F$44,CI$3)</f>
        <v>0</v>
      </c>
      <c r="CJ362" s="13" t="n">
        <f aca="false">SUMIFS(Retention!$E$2:$E$44,Retention!$F$2:$F$44,CJ$3)</f>
        <v>0</v>
      </c>
      <c r="CK362" s="13" t="n">
        <f aca="false">SUMIFS(Retention!$E$2:$E$44,Retention!$F$2:$F$44,CK$3)</f>
        <v>0</v>
      </c>
      <c r="CL362" s="13" t="n">
        <f aca="false">SUMIFS(Retention!$E$2:$E$44,Retention!$F$2:$F$44,CL$3)</f>
        <v>0</v>
      </c>
      <c r="CM362" s="13" t="n">
        <f aca="false">SUMIFS(Retention!$E$2:$E$44,Retention!$F$2:$F$44,CM$3)</f>
        <v>0</v>
      </c>
      <c r="CN362" s="13" t="n">
        <f aca="false">SUMIFS(Retention!$E$2:$E$44,Retention!$F$2:$F$44,CN$3)</f>
        <v>0</v>
      </c>
      <c r="CO362" s="13" t="n">
        <f aca="false">SUMIFS(Retention!$E$2:$E$44,Retention!$F$2:$F$44,CO$3)</f>
        <v>0</v>
      </c>
      <c r="CP362" s="13" t="n">
        <f aca="false">SUMIFS(Retention!$E$2:$E$44,Retention!$F$2:$F$44,CP$3)</f>
        <v>0</v>
      </c>
      <c r="CQ362" s="13" t="n">
        <f aca="false">SUMIFS(Retention!$E$2:$E$44,Retention!$F$2:$F$44,CQ$3)</f>
        <v>0</v>
      </c>
      <c r="CR362" s="13" t="n">
        <f aca="false">SUMIFS(Retention!$E$2:$E$44,Retention!$F$2:$F$44,CR$3)</f>
        <v>0</v>
      </c>
      <c r="CS362" s="13" t="n">
        <f aca="false">SUMIFS(Retention!$E$2:$E$44,Retention!$F$2:$F$44,CS$3)</f>
        <v>0</v>
      </c>
      <c r="CT362" s="13" t="n">
        <f aca="false">SUMIFS(Retention!$E$2:$E$44,Retention!$F$2:$F$44,CT$3)</f>
        <v>0</v>
      </c>
      <c r="CU362" s="13" t="n">
        <f aca="false">SUMIFS(Retention!$E$2:$E$44,Retention!$F$2:$F$44,CU$3)</f>
        <v>0</v>
      </c>
      <c r="CV362" s="13" t="n">
        <f aca="false">SUMIFS(Retention!$E$2:$E$44,Retention!$F$2:$F$44,CV$3)</f>
        <v>0</v>
      </c>
      <c r="CW362" s="13" t="n">
        <f aca="false">SUMIFS(Retention!$E$2:$E$44,Retention!$F$2:$F$44,CW$3)</f>
        <v>0</v>
      </c>
      <c r="CX362" s="13" t="n">
        <f aca="false">SUMIFS(Retention!$E$2:$E$44,Retention!$F$2:$F$44,CX$3)</f>
        <v>0</v>
      </c>
      <c r="CY362" s="13" t="n">
        <f aca="false">SUMIFS(Retention!$E$2:$E$44,Retention!$F$2:$F$44,CY$3)</f>
        <v>0</v>
      </c>
      <c r="CZ362" s="13" t="n">
        <f aca="false">SUMIFS(Retention!$E$2:$E$44,Retention!$F$2:$F$44,CZ$3)</f>
        <v>0</v>
      </c>
      <c r="DA362" s="13" t="n">
        <f aca="false">SUMIFS(Retention!$E$2:$E$44,Retention!$F$2:$F$44,DA$3)</f>
        <v>0</v>
      </c>
      <c r="DB362" s="13" t="n">
        <f aca="false">SUMIFS(Retention!$E$2:$E$44,Retention!$F$2:$F$44,DB$3)</f>
        <v>0</v>
      </c>
      <c r="DC362" s="13" t="n">
        <f aca="false">SUMIFS(Retention!$E$2:$E$44,Retention!$F$2:$F$44,DC$3)</f>
        <v>0</v>
      </c>
      <c r="DD362" s="13" t="n">
        <f aca="false">SUMIFS(Retention!$E$2:$E$44,Retention!$F$2:$F$44,DD$3)</f>
        <v>0</v>
      </c>
      <c r="DE362" s="13" t="n">
        <f aca="false">SUMIFS(Retention!$E$2:$E$44,Retention!$F$2:$F$44,DE$3)</f>
        <v>0</v>
      </c>
    </row>
    <row r="363" customFormat="false" ht="15" hidden="false" customHeight="true" outlineLevel="0" collapsed="false">
      <c r="A363" s="67" t="s">
        <v>188</v>
      </c>
      <c r="B363" s="68"/>
      <c r="C363" s="68"/>
      <c r="D363" s="68"/>
      <c r="E363" s="68"/>
      <c r="F363" s="68"/>
      <c r="G363" s="68"/>
      <c r="H363" s="68"/>
      <c r="I363" s="68"/>
      <c r="J363" s="68" t="n">
        <f aca="false">SUM(J355:J362)</f>
        <v>1113428.48890737</v>
      </c>
      <c r="K363" s="68" t="n">
        <f aca="false">SUM(K355:K362)</f>
        <v>1608936.51416871</v>
      </c>
      <c r="L363" s="68" t="n">
        <f aca="false">SUM(L355:L362)</f>
        <v>2053661.92886452</v>
      </c>
      <c r="M363" s="68" t="n">
        <f aca="false">SUM(M355:M362)</f>
        <v>2168054.84711936</v>
      </c>
      <c r="N363" s="68" t="n">
        <f aca="false">SUM(N355:N362)</f>
        <v>1143817.67352964</v>
      </c>
      <c r="O363" s="68" t="n">
        <f aca="false">SUM(O355:O362)</f>
        <v>1424378.16243575</v>
      </c>
      <c r="P363" s="68" t="n">
        <f aca="false">SUM(P355:P362)</f>
        <v>1739781.35069781</v>
      </c>
      <c r="Q363" s="68" t="n">
        <f aca="false">SUM(Q355:Q362)</f>
        <v>1983166.71522368</v>
      </c>
      <c r="R363" s="68" t="n">
        <f aca="false">SUM(R355:R362)</f>
        <v>1497633.13073708</v>
      </c>
      <c r="S363" s="68" t="n">
        <f aca="false">SUM(S355:S362)</f>
        <v>1561572.750026</v>
      </c>
      <c r="T363" s="68" t="n">
        <f aca="false">SUM(T355:T362)</f>
        <v>1662810.86299778</v>
      </c>
      <c r="U363" s="68" t="n">
        <f aca="false">SUM(U355:U362)</f>
        <v>1953527.99398282</v>
      </c>
      <c r="V363" s="68" t="n">
        <f aca="false">SUM(V355:V362)</f>
        <v>2581953.05901466</v>
      </c>
      <c r="W363" s="68" t="n">
        <f aca="false">SUM(W355:W362)</f>
        <v>3259430.10754649</v>
      </c>
      <c r="X363" s="68" t="n">
        <f aca="false">SUM(X355:X362)</f>
        <v>3720641.44183539</v>
      </c>
      <c r="Y363" s="68" t="n">
        <f aca="false">SUM(Y355:Y362)</f>
        <v>4415467.61553319</v>
      </c>
      <c r="Z363" s="68" t="n">
        <f aca="false">SUM(Z355:Z362)</f>
        <v>5007331.72706562</v>
      </c>
      <c r="AA363" s="68" t="n">
        <f aca="false">SUM(AA355:AA362)</f>
        <v>5819979.16304536</v>
      </c>
      <c r="AB363" s="68" t="n">
        <f aca="false">SUM(AB355:AB362)</f>
        <v>6659329.38945921</v>
      </c>
      <c r="AC363" s="68" t="n">
        <f aca="false">SUM(AC355:AC362)</f>
        <v>7303766.1611928</v>
      </c>
      <c r="AD363" s="68" t="n">
        <f aca="false">SUM(AD355:AD362)</f>
        <v>7763329.96818283</v>
      </c>
      <c r="AE363" s="68" t="n">
        <f aca="false">SUM(AE355:AE362)</f>
        <v>8238414.10262944</v>
      </c>
      <c r="AF363" s="68" t="n">
        <f aca="false">SUM(AF355:AF362)</f>
        <v>8257588.28839791</v>
      </c>
      <c r="AG363" s="68" t="n">
        <f aca="false">SUM(AG355:AG362)</f>
        <v>9099130.33419041</v>
      </c>
      <c r="AH363" s="68" t="n">
        <f aca="false">SUM(AH355:AH362)</f>
        <v>9857888.55290159</v>
      </c>
      <c r="AI363" s="68" t="n">
        <f aca="false">SUM(AI355:AI362)</f>
        <v>10584099.0296509</v>
      </c>
      <c r="AJ363" s="68" t="n">
        <f aca="false">SUM(AJ355:AJ362)</f>
        <v>11561633.8831781</v>
      </c>
      <c r="AK363" s="68" t="n">
        <f aca="false">SUM(AK355:AK362)</f>
        <v>12353902.7304353</v>
      </c>
      <c r="AL363" s="68" t="n">
        <f aca="false">SUM(AL355:AL362)</f>
        <v>13099510.6490967</v>
      </c>
      <c r="AM363" s="68" t="n">
        <f aca="false">SUM(AM355:AM362)</f>
        <v>13889663.339886</v>
      </c>
      <c r="AN363" s="68" t="n">
        <f aca="false">SUM(AN355:AN362)</f>
        <v>14828796.7064075</v>
      </c>
      <c r="AO363" s="68" t="n">
        <f aca="false">SUM(AO355:AO362)</f>
        <v>15485410.9228534</v>
      </c>
      <c r="AP363" s="68" t="n">
        <f aca="false">SUM(AP355:AP362)</f>
        <v>16186972.1842994</v>
      </c>
      <c r="AQ363" s="68" t="n">
        <f aca="false">SUM(AQ355:AQ362)</f>
        <v>16601810.0183121</v>
      </c>
      <c r="AR363" s="68" t="n">
        <f aca="false">SUM(AR355:AR362)</f>
        <v>17471681.2501081</v>
      </c>
      <c r="AS363" s="68" t="n">
        <f aca="false">SUM(AS355:AS362)</f>
        <v>18379052.481904</v>
      </c>
      <c r="AT363" s="68" t="n">
        <f aca="false">SUM(AT355:AT362)</f>
        <v>19573209.2644601</v>
      </c>
      <c r="AU363" s="68" t="n">
        <f aca="false">SUM(AU355:AU362)</f>
        <v>20834445.2101858</v>
      </c>
      <c r="AV363" s="68" t="n">
        <f aca="false">SUM(AV355:AV362)</f>
        <v>21659652.4216132</v>
      </c>
      <c r="AW363" s="68" t="n">
        <f aca="false">SUM(AW355:AW362)</f>
        <v>22315906.6308388</v>
      </c>
      <c r="AX363" s="68" t="n">
        <f aca="false">SUM(AX355:AX362)</f>
        <v>23019660.8400644</v>
      </c>
      <c r="AY363" s="68" t="n">
        <f aca="false">SUM(AY355:AY362)</f>
        <v>23747757.5449604</v>
      </c>
      <c r="AZ363" s="68" t="n">
        <f aca="false">SUM(AZ355:AZ362)</f>
        <v>24583963.3541407</v>
      </c>
      <c r="BA363" s="68" t="n">
        <f aca="false">SUM(BA355:BA362)</f>
        <v>25368623.0099296</v>
      </c>
      <c r="BB363" s="68" t="n">
        <f aca="false">SUM(BB355:BB362)</f>
        <v>26154223.3462779</v>
      </c>
      <c r="BC363" s="68" t="n">
        <f aca="false">SUM(BC355:BC362)</f>
        <v>26704032.6095466</v>
      </c>
      <c r="BD363" s="68" t="n">
        <f aca="false">SUM(BD355:BD362)</f>
        <v>27517640.5439403</v>
      </c>
      <c r="BE363" s="68" t="n">
        <f aca="false">SUM(BE355:BE362)</f>
        <v>28329222.0263063</v>
      </c>
      <c r="BF363" s="68" t="n">
        <f aca="false">SUM(BF355:BF362)</f>
        <v>29177603.1541447</v>
      </c>
      <c r="BG363" s="68" t="n">
        <f aca="false">SUM(BG355:BG362)</f>
        <v>29988292.8110946</v>
      </c>
      <c r="BH363" s="68" t="n">
        <f aca="false">SUM(BH355:BH362)</f>
        <v>31034188.6100222</v>
      </c>
      <c r="BI363" s="68" t="n">
        <f aca="false">SUM(BI355:BI362)</f>
        <v>31877698.4199326</v>
      </c>
      <c r="BJ363" s="68" t="n">
        <f aca="false">SUM(BJ355:BJ362)</f>
        <v>32467932.6724141</v>
      </c>
      <c r="BK363" s="68" t="n">
        <f aca="false">SUM(BK355:BK362)</f>
        <v>32881007.0938137</v>
      </c>
      <c r="BL363" s="68" t="n">
        <f aca="false">SUM(BL355:BL362)</f>
        <v>33304081.5152132</v>
      </c>
      <c r="BM363" s="68" t="n">
        <f aca="false">SUM(BM355:BM362)</f>
        <v>33740101.8711455</v>
      </c>
      <c r="BN363" s="68" t="n">
        <f aca="false">SUM(BN355:BN362)</f>
        <v>34317631.9778441</v>
      </c>
      <c r="BO363" s="68" t="n">
        <f aca="false">SUM(BO355:BO362)</f>
        <v>34770485.425163</v>
      </c>
      <c r="BP363" s="68" t="n">
        <f aca="false">SUM(BP355:BP362)</f>
        <v>35091238.0082855</v>
      </c>
      <c r="BQ363" s="68" t="n">
        <f aca="false">SUM(BQ355:BQ362)</f>
        <v>35437608.8706275</v>
      </c>
      <c r="BR363" s="68" t="n">
        <f aca="false">SUM(BR355:BR362)</f>
        <v>35831005.2268377</v>
      </c>
      <c r="BS363" s="68" t="n">
        <f aca="false">SUM(BS355:BS362)</f>
        <v>36308965.8315215</v>
      </c>
      <c r="BT363" s="68" t="n">
        <f aca="false">SUM(BT355:BT362)</f>
        <v>36738060.6685114</v>
      </c>
      <c r="BU363" s="68" t="n">
        <f aca="false">SUM(BU355:BU362)</f>
        <v>37068566.0095614</v>
      </c>
      <c r="BV363" s="68" t="n">
        <f aca="false">SUM(BV355:BV362)</f>
        <v>37327854.880326</v>
      </c>
      <c r="BW363" s="68" t="n">
        <f aca="false">SUM(BW355:BW362)</f>
        <v>37537990.0706156</v>
      </c>
      <c r="BX363" s="68" t="n">
        <f aca="false">SUM(BX355:BX362)</f>
        <v>37635932.9808195</v>
      </c>
      <c r="BY363" s="68" t="n">
        <f aca="false">SUM(BY355:BY362)</f>
        <v>37645358.8061288</v>
      </c>
      <c r="BZ363" s="68" t="n">
        <f aca="false">SUM(BZ355:BZ362)</f>
        <v>37604991.4574739</v>
      </c>
      <c r="CA363" s="68" t="n">
        <f aca="false">SUM(CA355:CA362)</f>
        <v>37356949.633819</v>
      </c>
      <c r="CB363" s="68" t="n">
        <f aca="false">SUM(CB355:CB362)</f>
        <v>36928321.3101641</v>
      </c>
      <c r="CC363" s="68" t="n">
        <f aca="false">SUM(CC355:CC362)</f>
        <v>36499692.9865092</v>
      </c>
      <c r="CD363" s="68" t="n">
        <f aca="false">SUM(CD355:CD362)</f>
        <v>36071064.6628542</v>
      </c>
      <c r="CE363" s="68" t="n">
        <f aca="false">SUM(CE355:CE362)</f>
        <v>35642436.3391993</v>
      </c>
      <c r="CF363" s="68" t="n">
        <f aca="false">SUM(CF355:CF362)</f>
        <v>35213808.0155444</v>
      </c>
      <c r="CG363" s="68" t="n">
        <f aca="false">SUM(CG355:CG362)</f>
        <v>34785179.6918895</v>
      </c>
      <c r="CH363" s="68" t="n">
        <f aca="false">SUM(CH355:CH362)</f>
        <v>34356551.3682346</v>
      </c>
      <c r="CI363" s="68" t="n">
        <f aca="false">SUM(CI355:CI362)</f>
        <v>33927923.0445797</v>
      </c>
      <c r="CJ363" s="68" t="n">
        <f aca="false">SUM(CJ355:CJ362)</f>
        <v>33499294.7209248</v>
      </c>
      <c r="CK363" s="68" t="n">
        <f aca="false">SUM(CK355:CK362)</f>
        <v>33062093.8307968</v>
      </c>
      <c r="CL363" s="68" t="n">
        <f aca="false">SUM(CL355:CL362)</f>
        <v>32624892.9406688</v>
      </c>
      <c r="CM363" s="68" t="n">
        <f aca="false">SUM(CM355:CM362)</f>
        <v>32187692.0505407</v>
      </c>
      <c r="CN363" s="68" t="n">
        <f aca="false">SUM(CN355:CN362)</f>
        <v>31750491.1604127</v>
      </c>
      <c r="CO363" s="68" t="n">
        <f aca="false">SUM(CO355:CO362)</f>
        <v>31313290.2702847</v>
      </c>
      <c r="CP363" s="68" t="n">
        <f aca="false">SUM(CP355:CP362)</f>
        <v>30876089.3801567</v>
      </c>
      <c r="CQ363" s="68" t="n">
        <f aca="false">SUM(CQ355:CQ362)</f>
        <v>30438888.4900287</v>
      </c>
      <c r="CR363" s="68" t="n">
        <f aca="false">SUM(CR355:CR362)</f>
        <v>30001687.5999007</v>
      </c>
      <c r="CS363" s="68" t="n">
        <f aca="false">SUM(CS355:CS362)</f>
        <v>29564486.7097727</v>
      </c>
      <c r="CT363" s="68" t="n">
        <f aca="false">SUM(CT355:CT362)</f>
        <v>29179065.9792561</v>
      </c>
      <c r="CU363" s="68" t="n">
        <f aca="false">SUM(CU355:CU362)</f>
        <v>28793645.2487396</v>
      </c>
      <c r="CV363" s="68" t="n">
        <f aca="false">SUM(CV355:CV362)</f>
        <v>28408224.518223</v>
      </c>
      <c r="CW363" s="68" t="n">
        <f aca="false">SUM(CW355:CW362)</f>
        <v>28015095.3730961</v>
      </c>
      <c r="CX363" s="68" t="n">
        <f aca="false">SUM(CX355:CX362)</f>
        <v>27621966.2279692</v>
      </c>
      <c r="CY363" s="68" t="n">
        <f aca="false">SUM(CY355:CY362)</f>
        <v>27228837.0828424</v>
      </c>
      <c r="CZ363" s="68" t="n">
        <f aca="false">SUM(CZ355:CZ362)</f>
        <v>26835707.9377155</v>
      </c>
      <c r="DA363" s="68" t="n">
        <f aca="false">SUM(DA355:DA362)</f>
        <v>26442578.7925886</v>
      </c>
      <c r="DB363" s="68" t="n">
        <f aca="false">SUM(DB355:DB362)</f>
        <v>26049449.6474617</v>
      </c>
      <c r="DC363" s="68" t="n">
        <f aca="false">SUM(DC355:DC362)</f>
        <v>25656320.5023348</v>
      </c>
      <c r="DD363" s="68" t="n">
        <f aca="false">SUM(DD355:DD362)</f>
        <v>25263191.3572079</v>
      </c>
      <c r="DE363" s="68" t="n">
        <f aca="false">SUM(DE355:DE362)</f>
        <v>24870062.212081</v>
      </c>
    </row>
    <row r="364" customFormat="false" ht="15" hidden="false" customHeight="true" outlineLevel="0" collapsed="false">
      <c r="A364" s="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c r="AC364" s="13"/>
      <c r="AD364" s="13"/>
      <c r="AE364" s="13"/>
      <c r="AF364" s="13"/>
      <c r="AG364" s="13"/>
      <c r="AH364" s="13"/>
      <c r="AI364" s="13"/>
      <c r="AJ364" s="13"/>
      <c r="AK364" s="13"/>
      <c r="AL364" s="13"/>
      <c r="AM364" s="13"/>
      <c r="AN364" s="13"/>
      <c r="AO364" s="13"/>
      <c r="AP364" s="13"/>
      <c r="AQ364" s="13"/>
      <c r="AR364" s="13"/>
      <c r="AS364" s="13"/>
      <c r="AT364" s="13"/>
      <c r="AU364" s="13"/>
      <c r="AV364" s="13"/>
      <c r="AW364" s="13"/>
      <c r="AX364" s="13"/>
      <c r="AY364" s="13"/>
      <c r="AZ364" s="13"/>
      <c r="BA364" s="13"/>
      <c r="BB364" s="13"/>
      <c r="BC364" s="13"/>
      <c r="BD364" s="13"/>
      <c r="BE364" s="13"/>
      <c r="BF364" s="13"/>
      <c r="BG364" s="13"/>
      <c r="BH364" s="13"/>
      <c r="BI364" s="13"/>
      <c r="BJ364" s="13"/>
      <c r="BK364" s="13"/>
      <c r="BL364" s="13"/>
      <c r="BM364" s="13"/>
      <c r="BN364" s="13"/>
      <c r="BO364" s="13"/>
      <c r="BP364" s="13"/>
      <c r="BQ364" s="13"/>
      <c r="BR364" s="13"/>
      <c r="BS364" s="13"/>
      <c r="BT364" s="13"/>
      <c r="BU364" s="13"/>
      <c r="BV364" s="13"/>
      <c r="BW364" s="13"/>
      <c r="BX364" s="13"/>
      <c r="BY364" s="13"/>
      <c r="BZ364" s="13"/>
      <c r="CA364" s="13"/>
      <c r="CB364" s="13"/>
      <c r="CC364" s="13"/>
      <c r="CD364" s="13"/>
      <c r="CE364" s="13"/>
      <c r="CF364" s="13"/>
      <c r="CG364" s="13"/>
      <c r="CH364" s="13"/>
      <c r="CI364" s="13"/>
      <c r="CJ364" s="13"/>
      <c r="CK364" s="13"/>
      <c r="CL364" s="13"/>
      <c r="CM364" s="13"/>
      <c r="CN364" s="13"/>
      <c r="CO364" s="13"/>
      <c r="CP364" s="13"/>
      <c r="CQ364" s="13"/>
      <c r="CR364" s="13"/>
      <c r="CS364" s="13"/>
      <c r="CT364" s="13"/>
      <c r="CU364" s="13"/>
      <c r="CV364" s="13"/>
      <c r="CW364" s="13"/>
      <c r="CX364" s="13"/>
      <c r="CY364" s="13"/>
      <c r="CZ364" s="13"/>
      <c r="DA364" s="13"/>
      <c r="DB364" s="13"/>
      <c r="DC364" s="13"/>
      <c r="DD364" s="13"/>
      <c r="DE364" s="13"/>
    </row>
    <row r="365" customFormat="false" ht="15" hidden="false" customHeight="true" outlineLevel="0" collapsed="false">
      <c r="A365" s="23" t="s">
        <v>189</v>
      </c>
      <c r="B365" s="34"/>
      <c r="C365" s="34"/>
      <c r="D365" s="34"/>
      <c r="E365" s="34"/>
      <c r="F365" s="34"/>
      <c r="G365" s="34"/>
      <c r="H365" s="34"/>
      <c r="I365" s="34"/>
      <c r="J365" s="34"/>
      <c r="K365" s="34"/>
      <c r="L365" s="34"/>
      <c r="M365" s="34"/>
      <c r="N365" s="34"/>
      <c r="O365" s="34"/>
      <c r="P365" s="34"/>
      <c r="Q365" s="34"/>
      <c r="R365" s="34"/>
      <c r="S365" s="34"/>
      <c r="T365" s="34"/>
      <c r="U365" s="34"/>
      <c r="V365" s="34"/>
      <c r="W365" s="34"/>
      <c r="X365" s="34"/>
      <c r="Y365" s="34"/>
      <c r="Z365" s="34"/>
      <c r="AA365" s="34"/>
      <c r="AB365" s="34"/>
      <c r="AC365" s="34"/>
      <c r="AD365" s="34"/>
      <c r="AE365" s="34"/>
      <c r="AF365" s="34"/>
      <c r="AG365" s="34"/>
      <c r="AH365" s="34"/>
      <c r="AI365" s="34"/>
      <c r="AJ365" s="34"/>
      <c r="AK365" s="34"/>
      <c r="AL365" s="34"/>
      <c r="AM365" s="34"/>
      <c r="AN365" s="34"/>
      <c r="AO365" s="34"/>
      <c r="AP365" s="34"/>
      <c r="AQ365" s="34"/>
      <c r="AR365" s="34"/>
      <c r="AS365" s="34"/>
      <c r="AT365" s="34"/>
      <c r="AU365" s="34"/>
      <c r="AV365" s="34"/>
      <c r="AW365" s="34"/>
      <c r="AX365" s="34"/>
      <c r="AY365" s="34"/>
      <c r="AZ365" s="34"/>
      <c r="BA365" s="34"/>
      <c r="BB365" s="34"/>
      <c r="BC365" s="34"/>
      <c r="BD365" s="34"/>
      <c r="BE365" s="34"/>
      <c r="BF365" s="34"/>
      <c r="BG365" s="34"/>
      <c r="BH365" s="34"/>
      <c r="BI365" s="34"/>
      <c r="BJ365" s="34"/>
      <c r="BK365" s="34"/>
      <c r="BL365" s="34"/>
      <c r="BM365" s="34"/>
      <c r="BN365" s="34"/>
      <c r="BO365" s="34"/>
      <c r="BP365" s="34"/>
      <c r="BQ365" s="34"/>
      <c r="BR365" s="34"/>
      <c r="BS365" s="34"/>
      <c r="BT365" s="34"/>
      <c r="BU365" s="34"/>
      <c r="BV365" s="34"/>
      <c r="BW365" s="34"/>
      <c r="BX365" s="34"/>
      <c r="BY365" s="34"/>
      <c r="BZ365" s="34"/>
      <c r="CA365" s="34"/>
      <c r="CB365" s="34"/>
      <c r="CC365" s="34"/>
      <c r="CD365" s="34"/>
      <c r="CE365" s="34"/>
      <c r="CF365" s="34"/>
      <c r="CG365" s="34"/>
      <c r="CH365" s="34"/>
      <c r="CI365" s="34"/>
      <c r="CJ365" s="34"/>
      <c r="CK365" s="34"/>
      <c r="CL365" s="34"/>
      <c r="CM365" s="34"/>
      <c r="CN365" s="34"/>
      <c r="CO365" s="34"/>
      <c r="CP365" s="34"/>
      <c r="CQ365" s="34"/>
      <c r="CR365" s="34"/>
      <c r="CS365" s="34"/>
      <c r="CT365" s="34"/>
      <c r="CU365" s="34"/>
      <c r="CV365" s="34"/>
      <c r="CW365" s="34"/>
      <c r="CX365" s="34"/>
      <c r="CY365" s="34"/>
      <c r="CZ365" s="34"/>
      <c r="DA365" s="34"/>
      <c r="DB365" s="34"/>
      <c r="DC365" s="34"/>
      <c r="DD365" s="34"/>
      <c r="DE365" s="34"/>
    </row>
    <row r="366" customFormat="false" ht="15" hidden="false" customHeight="true" outlineLevel="0" collapsed="false">
      <c r="A366" s="22" t="s">
        <v>190</v>
      </c>
      <c r="B366" s="13"/>
      <c r="C366" s="13"/>
      <c r="D366" s="13"/>
      <c r="E366" s="13"/>
      <c r="F366" s="13"/>
      <c r="G366" s="13"/>
      <c r="H366" s="13"/>
      <c r="I366" s="13"/>
      <c r="J366" s="13" t="n">
        <f aca="false">Assumptions!B30</f>
        <v>658190</v>
      </c>
      <c r="K366" s="13" t="n">
        <f aca="false">J371</f>
        <v>512855.116666667</v>
      </c>
      <c r="L366" s="13" t="n">
        <f aca="false">K371</f>
        <v>367520.233333333</v>
      </c>
      <c r="M366" s="13" t="n">
        <f aca="false">L371</f>
        <v>212810.35</v>
      </c>
      <c r="N366" s="13" t="n">
        <f aca="false">M371</f>
        <v>61600.4666666667</v>
      </c>
      <c r="O366" s="13" t="n">
        <f aca="false">N371</f>
        <v>-131905.159523809</v>
      </c>
      <c r="P366" s="13" t="n">
        <f aca="false">O371</f>
        <v>-266006.122857143</v>
      </c>
      <c r="Q366" s="13" t="n">
        <f aca="false">P371</f>
        <v>-497815.996190476</v>
      </c>
      <c r="R366" s="13" t="n">
        <f aca="false">Q371</f>
        <v>-710085.961790476</v>
      </c>
      <c r="S366" s="13" t="n">
        <f aca="false">R371</f>
        <v>-928606.127390476</v>
      </c>
      <c r="T366" s="13" t="n">
        <f aca="false">S371</f>
        <v>-1147126.29299048</v>
      </c>
      <c r="U366" s="13" t="n">
        <f aca="false">T371</f>
        <v>-1391152.70859048</v>
      </c>
      <c r="V366" s="13" t="n">
        <f aca="false">U371</f>
        <v>-1638079.12419048</v>
      </c>
      <c r="W366" s="13" t="n">
        <f aca="false">V371</f>
        <v>-1885005.53979048</v>
      </c>
      <c r="X366" s="13" t="n">
        <f aca="false">W371</f>
        <v>-2115359.69299048</v>
      </c>
      <c r="Y366" s="13" t="n">
        <f aca="false">X371</f>
        <v>-2329680.38379048</v>
      </c>
      <c r="Z366" s="13" t="n">
        <f aca="false">Y371</f>
        <v>-2470053.81219048</v>
      </c>
      <c r="AA366" s="13" t="n">
        <f aca="false">Z371</f>
        <v>-2664852.26419048</v>
      </c>
      <c r="AB366" s="13" t="n">
        <f aca="false">AA371</f>
        <v>-3094114.21419048</v>
      </c>
      <c r="AC366" s="13" t="n">
        <f aca="false">AB371</f>
        <v>-3200464.67419048</v>
      </c>
      <c r="AD366" s="13" t="n">
        <f aca="false">AC371</f>
        <v>-3352317.81331048</v>
      </c>
      <c r="AE366" s="13" t="n">
        <f aca="false">AD371</f>
        <v>-3488634.45643048</v>
      </c>
      <c r="AF366" s="13" t="n">
        <f aca="false">AE371</f>
        <v>-3532021.02782907</v>
      </c>
      <c r="AG366" s="13" t="n">
        <f aca="false">AF371</f>
        <v>-3538010.07594907</v>
      </c>
      <c r="AH366" s="13" t="n">
        <f aca="false">AG371</f>
        <v>-3540809.96056907</v>
      </c>
      <c r="AI366" s="13" t="n">
        <f aca="false">AH371</f>
        <v>-3522951.30018907</v>
      </c>
      <c r="AJ366" s="13" t="n">
        <f aca="false">AI371</f>
        <v>-3563717.86980908</v>
      </c>
      <c r="AK366" s="13" t="n">
        <f aca="false">AJ371</f>
        <v>-3604054.27342908</v>
      </c>
      <c r="AL366" s="13" t="n">
        <f aca="false">AK371</f>
        <v>-3643960.52204908</v>
      </c>
      <c r="AM366" s="13" t="n">
        <f aca="false">AL371</f>
        <v>-3683436.61016908</v>
      </c>
      <c r="AN366" s="13" t="n">
        <f aca="false">AM371</f>
        <v>-3972482.54328908</v>
      </c>
      <c r="AO366" s="13" t="n">
        <f aca="false">AN371</f>
        <v>-3996856.52790908</v>
      </c>
      <c r="AP366" s="13" t="n">
        <f aca="false">AO371</f>
        <v>-4038779.58703148</v>
      </c>
      <c r="AQ366" s="13" t="n">
        <f aca="false">AP371</f>
        <v>-4094514.27365387</v>
      </c>
      <c r="AR366" s="13" t="n">
        <f aca="false">AQ371</f>
        <v>-4164060.58777627</v>
      </c>
      <c r="AS366" s="13" t="n">
        <f aca="false">AR371</f>
        <v>-4247418.53489867</v>
      </c>
      <c r="AT366" s="13" t="n">
        <f aca="false">AS371</f>
        <v>-4352400.87752107</v>
      </c>
      <c r="AU366" s="13" t="n">
        <f aca="false">AT371</f>
        <v>-4469939.24514347</v>
      </c>
      <c r="AV366" s="13" t="n">
        <f aca="false">AU371</f>
        <v>-4600033.64276587</v>
      </c>
      <c r="AW366" s="13" t="n">
        <f aca="false">AV371</f>
        <v>-4742684.06038827</v>
      </c>
      <c r="AX366" s="13" t="n">
        <f aca="false">AW371</f>
        <v>-4898375.08951068</v>
      </c>
      <c r="AY366" s="13" t="n">
        <f aca="false">AX371</f>
        <v>-5013188.11713307</v>
      </c>
      <c r="AZ366" s="13" t="n">
        <f aca="false">AY371</f>
        <v>-5390948.21975547</v>
      </c>
      <c r="BA366" s="13" t="n">
        <f aca="false">AZ371</f>
        <v>-5544501.68487787</v>
      </c>
      <c r="BB366" s="13" t="n">
        <f aca="false">BA371</f>
        <v>-5702297.51205272</v>
      </c>
      <c r="BC366" s="13" t="n">
        <f aca="false">BB371</f>
        <v>-5860523.50522757</v>
      </c>
      <c r="BD366" s="13" t="n">
        <f aca="false">BC371</f>
        <v>-6019179.65340242</v>
      </c>
      <c r="BE366" s="13" t="n">
        <f aca="false">BD371</f>
        <v>-6178265.96207727</v>
      </c>
      <c r="BF366" s="13" t="n">
        <f aca="false">BE371</f>
        <v>-6337782.43125211</v>
      </c>
      <c r="BG366" s="13" t="n">
        <f aca="false">BF371</f>
        <v>-6497729.06092696</v>
      </c>
      <c r="BH366" s="13" t="n">
        <f aca="false">BG371</f>
        <v>-6658105.85110181</v>
      </c>
      <c r="BI366" s="13" t="n">
        <f aca="false">BH371</f>
        <v>-6818912.80177666</v>
      </c>
      <c r="BJ366" s="13" t="n">
        <f aca="false">BI371</f>
        <v>-6980149.91295151</v>
      </c>
      <c r="BK366" s="13" t="n">
        <f aca="false">BJ371</f>
        <v>-7141817.18462635</v>
      </c>
      <c r="BL366" s="13" t="n">
        <f aca="false">BK371</f>
        <v>-7553914.6168012</v>
      </c>
      <c r="BM366" s="13" t="n">
        <f aca="false">BL371</f>
        <v>-7716442.20397605</v>
      </c>
      <c r="BN366" s="13" t="n">
        <f aca="false">BM371</f>
        <v>-7859787.9027344</v>
      </c>
      <c r="BO366" s="13" t="n">
        <f aca="false">BN371</f>
        <v>-8003563.76199274</v>
      </c>
      <c r="BP366" s="13" t="n">
        <f aca="false">BO371</f>
        <v>-8093943.49175109</v>
      </c>
      <c r="BQ366" s="13" t="n">
        <f aca="false">BP371</f>
        <v>-8297254.21650943</v>
      </c>
      <c r="BR366" s="13" t="n">
        <f aca="false">BQ371</f>
        <v>-8500564.94126778</v>
      </c>
      <c r="BS366" s="13" t="n">
        <f aca="false">BR371</f>
        <v>-8650625.31602612</v>
      </c>
      <c r="BT366" s="13" t="n">
        <f aca="false">BS371</f>
        <v>-8853936.04078447</v>
      </c>
      <c r="BU366" s="13" t="n">
        <f aca="false">BT371</f>
        <v>-9057246.76554281</v>
      </c>
      <c r="BV366" s="13" t="n">
        <f aca="false">BU371</f>
        <v>-9192795.49030116</v>
      </c>
      <c r="BW366" s="13" t="n">
        <f aca="false">BV371</f>
        <v>-9396106.2150595</v>
      </c>
      <c r="BX366" s="13" t="n">
        <f aca="false">BW371</f>
        <v>-9599416.93981785</v>
      </c>
      <c r="BY366" s="13" t="n">
        <f aca="false">BX371</f>
        <v>-9734965.66457619</v>
      </c>
      <c r="BZ366" s="13" t="n">
        <f aca="false">BY371</f>
        <v>-9942242.60382971</v>
      </c>
      <c r="CA366" s="13" t="n">
        <f aca="false">BZ371</f>
        <v>-10149519.5430832</v>
      </c>
      <c r="CB366" s="13" t="n">
        <f aca="false">CA371</f>
        <v>-10289034.4823367</v>
      </c>
      <c r="CC366" s="13" t="n">
        <f aca="false">CB371</f>
        <v>-10496311.4215902</v>
      </c>
      <c r="CD366" s="13" t="n">
        <f aca="false">CC371</f>
        <v>-10703588.3608438</v>
      </c>
      <c r="CE366" s="13" t="n">
        <f aca="false">CD371</f>
        <v>-10834366.3000973</v>
      </c>
      <c r="CF366" s="13" t="n">
        <f aca="false">CE371</f>
        <v>-11041643.2393508</v>
      </c>
      <c r="CG366" s="13" t="n">
        <f aca="false">CF371</f>
        <v>-11248920.1786043</v>
      </c>
      <c r="CH366" s="13" t="n">
        <f aca="false">CG371</f>
        <v>-11379698.1178578</v>
      </c>
      <c r="CI366" s="13" t="n">
        <f aca="false">CH371</f>
        <v>-11586975.0571113</v>
      </c>
      <c r="CJ366" s="13" t="n">
        <f aca="false">CI371</f>
        <v>-11794251.9963648</v>
      </c>
      <c r="CK366" s="13" t="n">
        <f aca="false">CJ371</f>
        <v>-11918421.9090119</v>
      </c>
      <c r="CL366" s="13" t="n">
        <f aca="false">CK371</f>
        <v>-11971883.3870505</v>
      </c>
      <c r="CM366" s="13" t="n">
        <f aca="false">CL371</f>
        <v>-12025344.865089</v>
      </c>
      <c r="CN366" s="13" t="n">
        <f aca="false">CM371</f>
        <v>-12078806.3431276</v>
      </c>
      <c r="CO366" s="13" t="n">
        <f aca="false">CN371</f>
        <v>-12132267.8211662</v>
      </c>
      <c r="CP366" s="13" t="n">
        <f aca="false">CO371</f>
        <v>-12185729.2992048</v>
      </c>
      <c r="CQ366" s="13" t="n">
        <f aca="false">CP371</f>
        <v>-12239190.7772434</v>
      </c>
      <c r="CR366" s="13" t="n">
        <f aca="false">CQ371</f>
        <v>-12292652.2552819</v>
      </c>
      <c r="CS366" s="13" t="n">
        <f aca="false">CR371</f>
        <v>-12346113.7333205</v>
      </c>
      <c r="CT366" s="13" t="n">
        <f aca="false">CS371</f>
        <v>-12399575.2113591</v>
      </c>
      <c r="CU366" s="13" t="n">
        <f aca="false">CT371</f>
        <v>-12444014.7207164</v>
      </c>
      <c r="CV366" s="13" t="n">
        <f aca="false">CU371</f>
        <v>-12488454.2300736</v>
      </c>
      <c r="CW366" s="13" t="n">
        <f aca="false">CV371</f>
        <v>-12532893.7394309</v>
      </c>
      <c r="CX366" s="13" t="n">
        <f aca="false">CW371</f>
        <v>-12525571.1079117</v>
      </c>
      <c r="CY366" s="13" t="n">
        <f aca="false">CX371</f>
        <v>-12500801.6274561</v>
      </c>
      <c r="CZ366" s="13" t="n">
        <f aca="false">CY371</f>
        <v>-12476032.1470005</v>
      </c>
      <c r="DA366" s="13" t="n">
        <f aca="false">CZ371</f>
        <v>-12451262.6665449</v>
      </c>
      <c r="DB366" s="13" t="n">
        <f aca="false">DA371</f>
        <v>-12426493.1860893</v>
      </c>
      <c r="DC366" s="13" t="n">
        <f aca="false">DB371</f>
        <v>-12401723.7056337</v>
      </c>
      <c r="DD366" s="13" t="n">
        <f aca="false">DC371</f>
        <v>-12376954.2251781</v>
      </c>
      <c r="DE366" s="13" t="n">
        <f aca="false">DD371</f>
        <v>-12352184.7447225</v>
      </c>
    </row>
    <row r="367" customFormat="false" ht="15" hidden="false" customHeight="true" outlineLevel="0" collapsed="false">
      <c r="A367" s="22" t="s">
        <v>191</v>
      </c>
      <c r="B367" s="13"/>
      <c r="C367" s="13"/>
      <c r="D367" s="13"/>
      <c r="E367" s="13"/>
      <c r="F367" s="13"/>
      <c r="G367" s="13"/>
      <c r="H367" s="13"/>
      <c r="I367" s="13"/>
      <c r="J367" s="13" t="n">
        <f aca="false">J293</f>
        <v>-145334.883333333</v>
      </c>
      <c r="K367" s="13" t="n">
        <f aca="false">K293</f>
        <v>-145334.883333333</v>
      </c>
      <c r="L367" s="13" t="n">
        <f aca="false">L293</f>
        <v>-154709.883333333</v>
      </c>
      <c r="M367" s="13" t="n">
        <f aca="false">M293</f>
        <v>-151209.883333333</v>
      </c>
      <c r="N367" s="13" t="n">
        <f aca="false">N293</f>
        <v>-81505.6261904762</v>
      </c>
      <c r="O367" s="13" t="n">
        <f aca="false">O293</f>
        <v>-22100.9633333333</v>
      </c>
      <c r="P367" s="13" t="n">
        <f aca="false">P293</f>
        <v>-119809.873333333</v>
      </c>
      <c r="Q367" s="13" t="n">
        <f aca="false">Q293</f>
        <v>-100269.9656</v>
      </c>
      <c r="R367" s="13" t="n">
        <f aca="false">R293</f>
        <v>-106520.1656</v>
      </c>
      <c r="S367" s="13" t="n">
        <f aca="false">S293</f>
        <v>-106520.1656</v>
      </c>
      <c r="T367" s="13" t="n">
        <f aca="false">T293</f>
        <v>-132026.4156</v>
      </c>
      <c r="U367" s="13" t="n">
        <f aca="false">U293</f>
        <v>-134926.4156</v>
      </c>
      <c r="V367" s="13" t="n">
        <f aca="false">V293</f>
        <v>-134926.4156</v>
      </c>
      <c r="W367" s="13" t="n">
        <f aca="false">W293</f>
        <v>-118354.1532</v>
      </c>
      <c r="X367" s="13" t="n">
        <f aca="false">X293</f>
        <v>-102320.6908</v>
      </c>
      <c r="Y367" s="13" t="n">
        <f aca="false">Y293</f>
        <v>-28373.4284</v>
      </c>
      <c r="Z367" s="13" t="n">
        <f aca="false">Z293</f>
        <v>-82798.452</v>
      </c>
      <c r="AA367" s="13" t="n">
        <f aca="false">AA293</f>
        <v>-67261.95</v>
      </c>
      <c r="AB367" s="13" t="n">
        <f aca="false">AB293</f>
        <v>5649.53999999998</v>
      </c>
      <c r="AC367" s="13" t="n">
        <f aca="false">AC293</f>
        <v>-39853.13912</v>
      </c>
      <c r="AD367" s="13" t="n">
        <f aca="false">AD293</f>
        <v>-24316.64312</v>
      </c>
      <c r="AE367" s="13" t="n">
        <f aca="false">AE293</f>
        <v>48594.85888</v>
      </c>
      <c r="AF367" s="13" t="n">
        <f aca="false">AF293</f>
        <v>-5989.04812000002</v>
      </c>
      <c r="AG367" s="13" t="n">
        <f aca="false">AG293</f>
        <v>-2799.88462</v>
      </c>
      <c r="AH367" s="13" t="n">
        <f aca="false">AH293</f>
        <v>17858.66038</v>
      </c>
      <c r="AI367" s="13" t="n">
        <f aca="false">AI293</f>
        <v>-40766.56962</v>
      </c>
      <c r="AJ367" s="13" t="n">
        <f aca="false">AJ293</f>
        <v>-40336.40362</v>
      </c>
      <c r="AK367" s="13" t="n">
        <f aca="false">AK293</f>
        <v>-39906.24862</v>
      </c>
      <c r="AL367" s="13" t="n">
        <f aca="false">AL293</f>
        <v>-39476.08812</v>
      </c>
      <c r="AM367" s="13" t="n">
        <f aca="false">AM293</f>
        <v>-39045.93312</v>
      </c>
      <c r="AN367" s="13" t="n">
        <f aca="false">AN293</f>
        <v>-24373.98462</v>
      </c>
      <c r="AO367" s="13" t="n">
        <f aca="false">AO293</f>
        <v>-41923.0591224</v>
      </c>
      <c r="AP367" s="13" t="n">
        <f aca="false">AP293</f>
        <v>-55734.6866224</v>
      </c>
      <c r="AQ367" s="13" t="n">
        <f aca="false">AQ293</f>
        <v>-69546.3141224</v>
      </c>
      <c r="AR367" s="13" t="n">
        <f aca="false">AR293</f>
        <v>-83357.9471224</v>
      </c>
      <c r="AS367" s="13" t="n">
        <f aca="false">AS293</f>
        <v>-104982.3426224</v>
      </c>
      <c r="AT367" s="13" t="n">
        <f aca="false">AT293</f>
        <v>-117538.3676224</v>
      </c>
      <c r="AU367" s="13" t="n">
        <f aca="false">AU293</f>
        <v>-130094.3976224</v>
      </c>
      <c r="AV367" s="13" t="n">
        <f aca="false">AV293</f>
        <v>-142650.4176224</v>
      </c>
      <c r="AW367" s="13" t="n">
        <f aca="false">AW293</f>
        <v>-155691.0291224</v>
      </c>
      <c r="AX367" s="13" t="n">
        <f aca="false">AX293</f>
        <v>-114813.0276224</v>
      </c>
      <c r="AY367" s="13" t="n">
        <f aca="false">AY293</f>
        <v>-127760.1026224</v>
      </c>
      <c r="AZ367" s="13" t="n">
        <f aca="false">AZ293</f>
        <v>-153553.4651224</v>
      </c>
      <c r="BA367" s="13" t="n">
        <f aca="false">BA293</f>
        <v>-157795.827174848</v>
      </c>
      <c r="BB367" s="13" t="n">
        <f aca="false">BB293</f>
        <v>-158225.993174848</v>
      </c>
      <c r="BC367" s="13" t="n">
        <f aca="false">BC293</f>
        <v>-158656.148174848</v>
      </c>
      <c r="BD367" s="13" t="n">
        <f aca="false">BD293</f>
        <v>-159086.308674848</v>
      </c>
      <c r="BE367" s="13" t="n">
        <f aca="false">BE293</f>
        <v>-159516.469174848</v>
      </c>
      <c r="BF367" s="13" t="n">
        <f aca="false">BF293</f>
        <v>-159946.629674848</v>
      </c>
      <c r="BG367" s="13" t="n">
        <f aca="false">BG293</f>
        <v>-160376.790174848</v>
      </c>
      <c r="BH367" s="13" t="n">
        <f aca="false">BH293</f>
        <v>-160806.950674848</v>
      </c>
      <c r="BI367" s="13" t="n">
        <f aca="false">BI293</f>
        <v>-161237.111174848</v>
      </c>
      <c r="BJ367" s="13" t="n">
        <f aca="false">BJ293</f>
        <v>-161667.271674848</v>
      </c>
      <c r="BK367" s="13" t="n">
        <f aca="false">BK293</f>
        <v>-162097.432174848</v>
      </c>
      <c r="BL367" s="13" t="n">
        <f aca="false">BL293</f>
        <v>-162527.587174848</v>
      </c>
      <c r="BM367" s="13" t="n">
        <f aca="false">BM293</f>
        <v>-143345.698758345</v>
      </c>
      <c r="BN367" s="13" t="n">
        <f aca="false">BN293</f>
        <v>-143775.859258345</v>
      </c>
      <c r="BO367" s="13" t="n">
        <f aca="false">BO293</f>
        <v>-90379.729758345</v>
      </c>
      <c r="BP367" s="13" t="n">
        <f aca="false">BP293</f>
        <v>-203310.724758345</v>
      </c>
      <c r="BQ367" s="13" t="n">
        <f aca="false">BQ293</f>
        <v>-203310.724758345</v>
      </c>
      <c r="BR367" s="13" t="n">
        <f aca="false">BR293</f>
        <v>-150060.374758345</v>
      </c>
      <c r="BS367" s="13" t="n">
        <f aca="false">BS293</f>
        <v>-203310.724758345</v>
      </c>
      <c r="BT367" s="13" t="n">
        <f aca="false">BT293</f>
        <v>-203310.724758345</v>
      </c>
      <c r="BU367" s="13" t="n">
        <f aca="false">BU293</f>
        <v>-135548.724758345</v>
      </c>
      <c r="BV367" s="13" t="n">
        <f aca="false">BV293</f>
        <v>-203310.724758345</v>
      </c>
      <c r="BW367" s="13" t="n">
        <f aca="false">BW293</f>
        <v>-203310.724758345</v>
      </c>
      <c r="BX367" s="13" t="n">
        <f aca="false">BX293</f>
        <v>-135548.724758345</v>
      </c>
      <c r="BY367" s="13" t="n">
        <f aca="false">BY293</f>
        <v>-207276.939253512</v>
      </c>
      <c r="BZ367" s="13" t="n">
        <f aca="false">BZ293</f>
        <v>-207276.939253512</v>
      </c>
      <c r="CA367" s="13" t="n">
        <f aca="false">CA293</f>
        <v>-139514.939253512</v>
      </c>
      <c r="CB367" s="13" t="n">
        <f aca="false">CB293</f>
        <v>-207276.939253512</v>
      </c>
      <c r="CC367" s="13" t="n">
        <f aca="false">CC293</f>
        <v>-207276.939253512</v>
      </c>
      <c r="CD367" s="13" t="n">
        <f aca="false">CD293</f>
        <v>-130777.939253512</v>
      </c>
      <c r="CE367" s="13" t="n">
        <f aca="false">CE293</f>
        <v>-207276.939253512</v>
      </c>
      <c r="CF367" s="13" t="n">
        <f aca="false">CF293</f>
        <v>-207276.939253512</v>
      </c>
      <c r="CG367" s="13" t="n">
        <f aca="false">CG293</f>
        <v>-130777.939253512</v>
      </c>
      <c r="CH367" s="13" t="n">
        <f aca="false">CH293</f>
        <v>-207276.939253512</v>
      </c>
      <c r="CI367" s="13" t="n">
        <f aca="false">CI293</f>
        <v>-207276.939253512</v>
      </c>
      <c r="CJ367" s="13" t="n">
        <f aca="false">CJ293</f>
        <v>-124169.912647033</v>
      </c>
      <c r="CK367" s="13" t="n">
        <f aca="false">CK293</f>
        <v>-53461.4780385821</v>
      </c>
      <c r="CL367" s="13" t="n">
        <f aca="false">CL293</f>
        <v>-53461.4780385821</v>
      </c>
      <c r="CM367" s="13" t="n">
        <f aca="false">CM293</f>
        <v>-53461.4780385821</v>
      </c>
      <c r="CN367" s="13" t="n">
        <f aca="false">CN293</f>
        <v>-53461.4780385821</v>
      </c>
      <c r="CO367" s="13" t="n">
        <f aca="false">CO293</f>
        <v>-53461.4780385821</v>
      </c>
      <c r="CP367" s="13" t="n">
        <f aca="false">CP293</f>
        <v>-53461.4780385821</v>
      </c>
      <c r="CQ367" s="13" t="n">
        <f aca="false">CQ293</f>
        <v>-53461.4780385821</v>
      </c>
      <c r="CR367" s="13" t="n">
        <f aca="false">CR293</f>
        <v>-53461.4780385821</v>
      </c>
      <c r="CS367" s="13" t="n">
        <f aca="false">CS293</f>
        <v>-53461.4780385821</v>
      </c>
      <c r="CT367" s="13" t="n">
        <f aca="false">CT293</f>
        <v>-44439.5093572534</v>
      </c>
      <c r="CU367" s="13" t="n">
        <f aca="false">CU293</f>
        <v>-44439.5093572534</v>
      </c>
      <c r="CV367" s="13" t="n">
        <f aca="false">CV293</f>
        <v>-44439.5093572534</v>
      </c>
      <c r="CW367" s="13" t="n">
        <f aca="false">CW293</f>
        <v>7322.63151919434</v>
      </c>
      <c r="CX367" s="13" t="n">
        <f aca="false">CX293</f>
        <v>24769.4804556015</v>
      </c>
      <c r="CY367" s="13" t="n">
        <f aca="false">CY293</f>
        <v>24769.4804556015</v>
      </c>
      <c r="CZ367" s="13" t="n">
        <f aca="false">CZ293</f>
        <v>24769.4804556015</v>
      </c>
      <c r="DA367" s="13" t="n">
        <f aca="false">DA293</f>
        <v>24769.4804556015</v>
      </c>
      <c r="DB367" s="13" t="n">
        <f aca="false">DB293</f>
        <v>24769.4804556015</v>
      </c>
      <c r="DC367" s="13" t="n">
        <f aca="false">DC293</f>
        <v>24769.4804556015</v>
      </c>
      <c r="DD367" s="13" t="n">
        <f aca="false">DD293</f>
        <v>24769.4804556015</v>
      </c>
      <c r="DE367" s="13" t="n">
        <f aca="false">DE293</f>
        <v>24769.4804556015</v>
      </c>
    </row>
    <row r="368" customFormat="false" ht="15" hidden="false" customHeight="true" outlineLevel="0" collapsed="false">
      <c r="A368" s="22" t="s">
        <v>192</v>
      </c>
      <c r="B368" s="13"/>
      <c r="C368" s="13"/>
      <c r="D368" s="13"/>
      <c r="E368" s="13"/>
      <c r="F368" s="13"/>
      <c r="G368" s="13"/>
      <c r="H368" s="13"/>
      <c r="I368" s="13"/>
      <c r="J368" s="13" t="n">
        <f aca="false">J310</f>
        <v>0</v>
      </c>
      <c r="K368" s="13" t="n">
        <f aca="false">K310</f>
        <v>0</v>
      </c>
      <c r="L368" s="13" t="n">
        <f aca="false">L310</f>
        <v>0</v>
      </c>
      <c r="M368" s="13" t="n">
        <f aca="false">M310</f>
        <v>0</v>
      </c>
      <c r="N368" s="13" t="n">
        <f aca="false">N310</f>
        <v>-112000</v>
      </c>
      <c r="O368" s="13" t="n">
        <f aca="false">O310</f>
        <v>-112000</v>
      </c>
      <c r="P368" s="13" t="n">
        <f aca="false">P310</f>
        <v>-112000</v>
      </c>
      <c r="Q368" s="13" t="n">
        <f aca="false">Q310</f>
        <v>-112000</v>
      </c>
      <c r="R368" s="13" t="n">
        <f aca="false">R310</f>
        <v>-112000</v>
      </c>
      <c r="S368" s="13" t="n">
        <f aca="false">S310</f>
        <v>-112000</v>
      </c>
      <c r="T368" s="13" t="n">
        <f aca="false">T310</f>
        <v>-112000</v>
      </c>
      <c r="U368" s="13" t="n">
        <f aca="false">U310</f>
        <v>-112000</v>
      </c>
      <c r="V368" s="13" t="n">
        <f aca="false">V310</f>
        <v>-112000</v>
      </c>
      <c r="W368" s="13" t="n">
        <f aca="false">W310</f>
        <v>-112000</v>
      </c>
      <c r="X368" s="13" t="n">
        <f aca="false">X310</f>
        <v>-112000</v>
      </c>
      <c r="Y368" s="13" t="n">
        <f aca="false">Y310</f>
        <v>-112000</v>
      </c>
      <c r="Z368" s="13" t="n">
        <f aca="false">Z310</f>
        <v>-112000</v>
      </c>
      <c r="AA368" s="13" t="n">
        <f aca="false">AA310</f>
        <v>-112000</v>
      </c>
      <c r="AB368" s="13" t="n">
        <f aca="false">AB310</f>
        <v>-112000</v>
      </c>
      <c r="AC368" s="13" t="n">
        <f aca="false">AC310</f>
        <v>-112000</v>
      </c>
      <c r="AD368" s="13" t="n">
        <f aca="false">AD310</f>
        <v>-112000</v>
      </c>
      <c r="AE368" s="13" t="n">
        <f aca="false">AE310</f>
        <v>-91981.4302785977</v>
      </c>
      <c r="AF368" s="13" t="n">
        <f aca="false">AF310</f>
        <v>0</v>
      </c>
      <c r="AG368" s="13" t="n">
        <f aca="false">AG310</f>
        <v>0</v>
      </c>
      <c r="AH368" s="13" t="n">
        <f aca="false">AH310</f>
        <v>0</v>
      </c>
      <c r="AI368" s="13" t="n">
        <f aca="false">AI310</f>
        <v>0</v>
      </c>
      <c r="AJ368" s="13" t="n">
        <f aca="false">AJ310</f>
        <v>0</v>
      </c>
      <c r="AK368" s="13" t="n">
        <f aca="false">AK310</f>
        <v>0</v>
      </c>
      <c r="AL368" s="13" t="n">
        <f aca="false">AL310</f>
        <v>0</v>
      </c>
      <c r="AM368" s="13" t="n">
        <f aca="false">AM310</f>
        <v>0</v>
      </c>
      <c r="AN368" s="13" t="n">
        <f aca="false">AN310</f>
        <v>0</v>
      </c>
      <c r="AO368" s="13" t="n">
        <f aca="false">AO310</f>
        <v>0</v>
      </c>
      <c r="AP368" s="13" t="n">
        <f aca="false">AP310</f>
        <v>0</v>
      </c>
      <c r="AQ368" s="13" t="n">
        <f aca="false">AQ310</f>
        <v>0</v>
      </c>
      <c r="AR368" s="13" t="n">
        <f aca="false">AR310</f>
        <v>0</v>
      </c>
      <c r="AS368" s="13" t="n">
        <f aca="false">AS310</f>
        <v>0</v>
      </c>
      <c r="AT368" s="13" t="n">
        <f aca="false">AT310</f>
        <v>0</v>
      </c>
      <c r="AU368" s="13" t="n">
        <f aca="false">AU310</f>
        <v>0</v>
      </c>
      <c r="AV368" s="13" t="n">
        <f aca="false">AV310</f>
        <v>0</v>
      </c>
      <c r="AW368" s="13" t="n">
        <f aca="false">AW310</f>
        <v>0</v>
      </c>
      <c r="AX368" s="13" t="n">
        <f aca="false">AX310</f>
        <v>0</v>
      </c>
      <c r="AY368" s="13" t="n">
        <f aca="false">AY310</f>
        <v>0</v>
      </c>
      <c r="AZ368" s="13" t="n">
        <f aca="false">AZ310</f>
        <v>0</v>
      </c>
      <c r="BA368" s="13" t="n">
        <f aca="false">BA310</f>
        <v>0</v>
      </c>
      <c r="BB368" s="13" t="n">
        <f aca="false">BB310</f>
        <v>0</v>
      </c>
      <c r="BC368" s="13" t="n">
        <f aca="false">BC310</f>
        <v>0</v>
      </c>
      <c r="BD368" s="13" t="n">
        <f aca="false">BD310</f>
        <v>0</v>
      </c>
      <c r="BE368" s="13" t="n">
        <f aca="false">BE310</f>
        <v>0</v>
      </c>
      <c r="BF368" s="13" t="n">
        <f aca="false">BF310</f>
        <v>0</v>
      </c>
      <c r="BG368" s="13" t="n">
        <f aca="false">BG310</f>
        <v>0</v>
      </c>
      <c r="BH368" s="13" t="n">
        <f aca="false">BH310</f>
        <v>0</v>
      </c>
      <c r="BI368" s="13" t="n">
        <f aca="false">BI310</f>
        <v>0</v>
      </c>
      <c r="BJ368" s="13" t="n">
        <f aca="false">BJ310</f>
        <v>0</v>
      </c>
      <c r="BK368" s="13" t="n">
        <f aca="false">BK310</f>
        <v>0</v>
      </c>
      <c r="BL368" s="13" t="n">
        <f aca="false">BL310</f>
        <v>0</v>
      </c>
      <c r="BM368" s="13" t="n">
        <f aca="false">BM310</f>
        <v>0</v>
      </c>
      <c r="BN368" s="13" t="n">
        <f aca="false">BN310</f>
        <v>0</v>
      </c>
      <c r="BO368" s="13" t="n">
        <f aca="false">BO310</f>
        <v>0</v>
      </c>
      <c r="BP368" s="13" t="n">
        <f aca="false">BP310</f>
        <v>0</v>
      </c>
      <c r="BQ368" s="13" t="n">
        <f aca="false">BQ310</f>
        <v>0</v>
      </c>
      <c r="BR368" s="13" t="n">
        <f aca="false">BR310</f>
        <v>0</v>
      </c>
      <c r="BS368" s="13" t="n">
        <f aca="false">BS310</f>
        <v>0</v>
      </c>
      <c r="BT368" s="13" t="n">
        <f aca="false">BT310</f>
        <v>0</v>
      </c>
      <c r="BU368" s="13" t="n">
        <f aca="false">BU310</f>
        <v>0</v>
      </c>
      <c r="BV368" s="13" t="n">
        <f aca="false">BV310</f>
        <v>0</v>
      </c>
      <c r="BW368" s="13" t="n">
        <f aca="false">BW310</f>
        <v>0</v>
      </c>
      <c r="BX368" s="13" t="n">
        <f aca="false">BX310</f>
        <v>0</v>
      </c>
      <c r="BY368" s="13" t="n">
        <f aca="false">BY310</f>
        <v>0</v>
      </c>
      <c r="BZ368" s="13" t="n">
        <f aca="false">BZ310</f>
        <v>0</v>
      </c>
      <c r="CA368" s="13" t="n">
        <f aca="false">CA310</f>
        <v>0</v>
      </c>
      <c r="CB368" s="13" t="n">
        <f aca="false">CB310</f>
        <v>0</v>
      </c>
      <c r="CC368" s="13" t="n">
        <f aca="false">CC310</f>
        <v>0</v>
      </c>
      <c r="CD368" s="13" t="n">
        <f aca="false">CD310</f>
        <v>0</v>
      </c>
      <c r="CE368" s="13" t="n">
        <f aca="false">CE310</f>
        <v>0</v>
      </c>
      <c r="CF368" s="13" t="n">
        <f aca="false">CF310</f>
        <v>0</v>
      </c>
      <c r="CG368" s="13" t="n">
        <f aca="false">CG310</f>
        <v>0</v>
      </c>
      <c r="CH368" s="13" t="n">
        <f aca="false">CH310</f>
        <v>0</v>
      </c>
      <c r="CI368" s="13" t="n">
        <f aca="false">CI310</f>
        <v>0</v>
      </c>
      <c r="CJ368" s="13" t="n">
        <f aca="false">CJ310</f>
        <v>0</v>
      </c>
      <c r="CK368" s="13" t="n">
        <f aca="false">CK310</f>
        <v>0</v>
      </c>
      <c r="CL368" s="13" t="n">
        <f aca="false">CL310</f>
        <v>0</v>
      </c>
      <c r="CM368" s="13" t="n">
        <f aca="false">CM310</f>
        <v>0</v>
      </c>
      <c r="CN368" s="13" t="n">
        <f aca="false">CN310</f>
        <v>0</v>
      </c>
      <c r="CO368" s="13" t="n">
        <f aca="false">CO310</f>
        <v>0</v>
      </c>
      <c r="CP368" s="13" t="n">
        <f aca="false">CP310</f>
        <v>0</v>
      </c>
      <c r="CQ368" s="13" t="n">
        <f aca="false">CQ310</f>
        <v>0</v>
      </c>
      <c r="CR368" s="13" t="n">
        <f aca="false">CR310</f>
        <v>0</v>
      </c>
      <c r="CS368" s="13" t="n">
        <f aca="false">CS310</f>
        <v>0</v>
      </c>
      <c r="CT368" s="13" t="n">
        <f aca="false">CT310</f>
        <v>0</v>
      </c>
      <c r="CU368" s="13" t="n">
        <f aca="false">CU310</f>
        <v>0</v>
      </c>
      <c r="CV368" s="13" t="n">
        <f aca="false">CV310</f>
        <v>0</v>
      </c>
      <c r="CW368" s="13" t="n">
        <f aca="false">CW310</f>
        <v>0</v>
      </c>
      <c r="CX368" s="13" t="n">
        <f aca="false">CX310</f>
        <v>0</v>
      </c>
      <c r="CY368" s="13" t="n">
        <f aca="false">CY310</f>
        <v>0</v>
      </c>
      <c r="CZ368" s="13" t="n">
        <f aca="false">CZ310</f>
        <v>0</v>
      </c>
      <c r="DA368" s="13" t="n">
        <f aca="false">DA310</f>
        <v>0</v>
      </c>
      <c r="DB368" s="13" t="n">
        <f aca="false">DB310</f>
        <v>0</v>
      </c>
      <c r="DC368" s="13" t="n">
        <f aca="false">DC310</f>
        <v>0</v>
      </c>
      <c r="DD368" s="13" t="n">
        <f aca="false">DD310</f>
        <v>0</v>
      </c>
      <c r="DE368" s="13" t="n">
        <f aca="false">DE310</f>
        <v>0</v>
      </c>
    </row>
    <row r="369" customFormat="false" ht="15" hidden="false" customHeight="true" outlineLevel="0" collapsed="false">
      <c r="A369" s="22" t="s">
        <v>193</v>
      </c>
      <c r="B369" s="13"/>
      <c r="C369" s="13"/>
      <c r="D369" s="13"/>
      <c r="E369" s="13"/>
      <c r="F369" s="13"/>
      <c r="G369" s="13"/>
      <c r="H369" s="13"/>
      <c r="I369" s="13"/>
      <c r="J369" s="13" t="n">
        <f aca="false">J316</f>
        <v>0</v>
      </c>
      <c r="K369" s="13" t="n">
        <f aca="false">K316</f>
        <v>0</v>
      </c>
      <c r="L369" s="13" t="n">
        <f aca="false">L316</f>
        <v>0</v>
      </c>
      <c r="M369" s="13" t="n">
        <f aca="false">M316</f>
        <v>0</v>
      </c>
      <c r="N369" s="13" t="n">
        <f aca="false">N316</f>
        <v>0</v>
      </c>
      <c r="O369" s="13" t="n">
        <f aca="false">O316</f>
        <v>0</v>
      </c>
      <c r="P369" s="13" t="n">
        <f aca="false">P316</f>
        <v>0</v>
      </c>
      <c r="Q369" s="13" t="n">
        <f aca="false">Q316</f>
        <v>0</v>
      </c>
      <c r="R369" s="13" t="n">
        <f aca="false">R316</f>
        <v>0</v>
      </c>
      <c r="S369" s="13" t="n">
        <f aca="false">S316</f>
        <v>0</v>
      </c>
      <c r="T369" s="13" t="n">
        <f aca="false">T316</f>
        <v>0</v>
      </c>
      <c r="U369" s="13" t="n">
        <f aca="false">U316</f>
        <v>0</v>
      </c>
      <c r="V369" s="13" t="n">
        <f aca="false">V316</f>
        <v>0</v>
      </c>
      <c r="W369" s="13" t="n">
        <f aca="false">W316</f>
        <v>0</v>
      </c>
      <c r="X369" s="13" t="n">
        <f aca="false">X316</f>
        <v>0</v>
      </c>
      <c r="Y369" s="13" t="n">
        <f aca="false">Y316</f>
        <v>0</v>
      </c>
      <c r="Z369" s="13" t="n">
        <f aca="false">Z316</f>
        <v>0</v>
      </c>
      <c r="AA369" s="13" t="n">
        <f aca="false">AA316</f>
        <v>-250000</v>
      </c>
      <c r="AB369" s="13" t="n">
        <f aca="false">AB316</f>
        <v>0</v>
      </c>
      <c r="AC369" s="13" t="n">
        <f aca="false">AC316</f>
        <v>0</v>
      </c>
      <c r="AD369" s="13" t="n">
        <f aca="false">AD316</f>
        <v>0</v>
      </c>
      <c r="AE369" s="13" t="n">
        <f aca="false">AE316</f>
        <v>0</v>
      </c>
      <c r="AF369" s="13" t="n">
        <f aca="false">AF316</f>
        <v>0</v>
      </c>
      <c r="AG369" s="13" t="n">
        <f aca="false">AG316</f>
        <v>0</v>
      </c>
      <c r="AH369" s="13" t="n">
        <f aca="false">AH316</f>
        <v>0</v>
      </c>
      <c r="AI369" s="13" t="n">
        <f aca="false">AI316</f>
        <v>0</v>
      </c>
      <c r="AJ369" s="13" t="n">
        <f aca="false">AJ316</f>
        <v>0</v>
      </c>
      <c r="AK369" s="13" t="n">
        <f aca="false">AK316</f>
        <v>0</v>
      </c>
      <c r="AL369" s="13" t="n">
        <f aca="false">AL316</f>
        <v>0</v>
      </c>
      <c r="AM369" s="13" t="n">
        <f aca="false">AM316</f>
        <v>-250000</v>
      </c>
      <c r="AN369" s="13" t="n">
        <f aca="false">AN316</f>
        <v>0</v>
      </c>
      <c r="AO369" s="13" t="n">
        <f aca="false">AO316</f>
        <v>0</v>
      </c>
      <c r="AP369" s="13" t="n">
        <f aca="false">AP316</f>
        <v>0</v>
      </c>
      <c r="AQ369" s="13" t="n">
        <f aca="false">AQ316</f>
        <v>0</v>
      </c>
      <c r="AR369" s="13" t="n">
        <f aca="false">AR316</f>
        <v>0</v>
      </c>
      <c r="AS369" s="13" t="n">
        <f aca="false">AS316</f>
        <v>0</v>
      </c>
      <c r="AT369" s="13" t="n">
        <f aca="false">AT316</f>
        <v>0</v>
      </c>
      <c r="AU369" s="13" t="n">
        <f aca="false">AU316</f>
        <v>0</v>
      </c>
      <c r="AV369" s="13" t="n">
        <f aca="false">AV316</f>
        <v>0</v>
      </c>
      <c r="AW369" s="13" t="n">
        <f aca="false">AW316</f>
        <v>0</v>
      </c>
      <c r="AX369" s="13" t="n">
        <f aca="false">AX316</f>
        <v>0</v>
      </c>
      <c r="AY369" s="13" t="n">
        <f aca="false">AY316</f>
        <v>-250000</v>
      </c>
      <c r="AZ369" s="13" t="n">
        <f aca="false">AZ316</f>
        <v>0</v>
      </c>
      <c r="BA369" s="13" t="n">
        <f aca="false">BA316</f>
        <v>0</v>
      </c>
      <c r="BB369" s="13" t="n">
        <f aca="false">BB316</f>
        <v>0</v>
      </c>
      <c r="BC369" s="13" t="n">
        <f aca="false">BC316</f>
        <v>0</v>
      </c>
      <c r="BD369" s="13" t="n">
        <f aca="false">BD316</f>
        <v>0</v>
      </c>
      <c r="BE369" s="13" t="n">
        <f aca="false">BE316</f>
        <v>0</v>
      </c>
      <c r="BF369" s="13" t="n">
        <f aca="false">BF316</f>
        <v>0</v>
      </c>
      <c r="BG369" s="13" t="n">
        <f aca="false">BG316</f>
        <v>0</v>
      </c>
      <c r="BH369" s="13" t="n">
        <f aca="false">BH316</f>
        <v>0</v>
      </c>
      <c r="BI369" s="13" t="n">
        <f aca="false">BI316</f>
        <v>0</v>
      </c>
      <c r="BJ369" s="13" t="n">
        <f aca="false">BJ316</f>
        <v>0</v>
      </c>
      <c r="BK369" s="13" t="n">
        <f aca="false">BK316</f>
        <v>-250000</v>
      </c>
      <c r="BL369" s="13" t="n">
        <f aca="false">BL316</f>
        <v>0</v>
      </c>
      <c r="BM369" s="13" t="n">
        <f aca="false">BM316</f>
        <v>0</v>
      </c>
      <c r="BN369" s="13" t="n">
        <f aca="false">BN316</f>
        <v>0</v>
      </c>
      <c r="BO369" s="13" t="n">
        <f aca="false">BO316</f>
        <v>0</v>
      </c>
      <c r="BP369" s="13" t="n">
        <f aca="false">BP316</f>
        <v>0</v>
      </c>
      <c r="BQ369" s="13" t="n">
        <f aca="false">BQ316</f>
        <v>0</v>
      </c>
      <c r="BR369" s="13" t="n">
        <f aca="false">BR316</f>
        <v>0</v>
      </c>
      <c r="BS369" s="13" t="n">
        <f aca="false">BS316</f>
        <v>0</v>
      </c>
      <c r="BT369" s="13" t="n">
        <f aca="false">BT316</f>
        <v>0</v>
      </c>
      <c r="BU369" s="13" t="n">
        <f aca="false">BU316</f>
        <v>0</v>
      </c>
      <c r="BV369" s="13" t="n">
        <f aca="false">BV316</f>
        <v>0</v>
      </c>
      <c r="BW369" s="13" t="n">
        <f aca="false">BW316</f>
        <v>0</v>
      </c>
      <c r="BX369" s="13" t="n">
        <f aca="false">BX316</f>
        <v>0</v>
      </c>
      <c r="BY369" s="13" t="n">
        <f aca="false">BY316</f>
        <v>0</v>
      </c>
      <c r="BZ369" s="13" t="n">
        <f aca="false">BZ316</f>
        <v>0</v>
      </c>
      <c r="CA369" s="13" t="n">
        <f aca="false">CA316</f>
        <v>0</v>
      </c>
      <c r="CB369" s="13" t="n">
        <f aca="false">CB316</f>
        <v>0</v>
      </c>
      <c r="CC369" s="13" t="n">
        <f aca="false">CC316</f>
        <v>0</v>
      </c>
      <c r="CD369" s="13" t="n">
        <f aca="false">CD316</f>
        <v>0</v>
      </c>
      <c r="CE369" s="13" t="n">
        <f aca="false">CE316</f>
        <v>0</v>
      </c>
      <c r="CF369" s="13" t="n">
        <f aca="false">CF316</f>
        <v>0</v>
      </c>
      <c r="CG369" s="13" t="n">
        <f aca="false">CG316</f>
        <v>0</v>
      </c>
      <c r="CH369" s="13" t="n">
        <f aca="false">CH316</f>
        <v>0</v>
      </c>
      <c r="CI369" s="13" t="n">
        <f aca="false">CI316</f>
        <v>0</v>
      </c>
      <c r="CJ369" s="13" t="n">
        <f aca="false">CJ316</f>
        <v>0</v>
      </c>
      <c r="CK369" s="13" t="n">
        <f aca="false">CK316</f>
        <v>0</v>
      </c>
      <c r="CL369" s="13" t="n">
        <f aca="false">CL316</f>
        <v>0</v>
      </c>
      <c r="CM369" s="13" t="n">
        <f aca="false">CM316</f>
        <v>0</v>
      </c>
      <c r="CN369" s="13" t="n">
        <f aca="false">CN316</f>
        <v>0</v>
      </c>
      <c r="CO369" s="13" t="n">
        <f aca="false">CO316</f>
        <v>0</v>
      </c>
      <c r="CP369" s="13" t="n">
        <f aca="false">CP316</f>
        <v>0</v>
      </c>
      <c r="CQ369" s="13" t="n">
        <f aca="false">CQ316</f>
        <v>0</v>
      </c>
      <c r="CR369" s="13" t="n">
        <f aca="false">CR316</f>
        <v>0</v>
      </c>
      <c r="CS369" s="13" t="n">
        <f aca="false">CS316</f>
        <v>0</v>
      </c>
      <c r="CT369" s="13" t="n">
        <f aca="false">CT316</f>
        <v>0</v>
      </c>
      <c r="CU369" s="13" t="n">
        <f aca="false">CU316</f>
        <v>0</v>
      </c>
      <c r="CV369" s="13" t="n">
        <f aca="false">CV316</f>
        <v>0</v>
      </c>
      <c r="CW369" s="13" t="n">
        <f aca="false">CW316</f>
        <v>0</v>
      </c>
      <c r="CX369" s="13" t="n">
        <f aca="false">CX316</f>
        <v>0</v>
      </c>
      <c r="CY369" s="13" t="n">
        <f aca="false">CY316</f>
        <v>0</v>
      </c>
      <c r="CZ369" s="13" t="n">
        <f aca="false">CZ316</f>
        <v>0</v>
      </c>
      <c r="DA369" s="13" t="n">
        <f aca="false">DA316</f>
        <v>0</v>
      </c>
      <c r="DB369" s="13" t="n">
        <f aca="false">DB316</f>
        <v>0</v>
      </c>
      <c r="DC369" s="13" t="n">
        <f aca="false">DC316</f>
        <v>0</v>
      </c>
      <c r="DD369" s="13" t="n">
        <f aca="false">DD316</f>
        <v>0</v>
      </c>
      <c r="DE369" s="13" t="n">
        <f aca="false">DE316</f>
        <v>0</v>
      </c>
    </row>
    <row r="370" customFormat="false" ht="15" hidden="false" customHeight="true" outlineLevel="0" collapsed="false">
      <c r="A370" s="22" t="s">
        <v>194</v>
      </c>
      <c r="B370" s="13"/>
      <c r="C370" s="13"/>
      <c r="D370" s="13"/>
      <c r="E370" s="13"/>
      <c r="F370" s="13"/>
      <c r="G370" s="13"/>
      <c r="H370" s="13"/>
      <c r="I370" s="13"/>
      <c r="J370" s="13" t="n">
        <v>0</v>
      </c>
      <c r="K370" s="13" t="n">
        <v>0</v>
      </c>
      <c r="L370" s="13" t="n">
        <v>0</v>
      </c>
      <c r="M370" s="13" t="n">
        <v>0</v>
      </c>
      <c r="N370" s="13" t="n">
        <v>0</v>
      </c>
      <c r="O370" s="13" t="n">
        <v>0</v>
      </c>
      <c r="P370" s="13" t="n">
        <v>0</v>
      </c>
      <c r="Q370" s="13" t="n">
        <v>0</v>
      </c>
      <c r="R370" s="13" t="n">
        <v>0</v>
      </c>
      <c r="S370" s="13" t="n">
        <v>0</v>
      </c>
      <c r="T370" s="13" t="n">
        <v>0</v>
      </c>
      <c r="U370" s="13" t="n">
        <v>0</v>
      </c>
      <c r="V370" s="13" t="n">
        <v>0</v>
      </c>
      <c r="W370" s="13" t="n">
        <v>0</v>
      </c>
      <c r="X370" s="13" t="n">
        <v>0</v>
      </c>
      <c r="Y370" s="13" t="n">
        <v>0</v>
      </c>
      <c r="Z370" s="13" t="n">
        <v>0</v>
      </c>
      <c r="AA370" s="13" t="n">
        <v>0</v>
      </c>
      <c r="AB370" s="13" t="n">
        <v>0</v>
      </c>
      <c r="AC370" s="13" t="n">
        <v>0</v>
      </c>
      <c r="AD370" s="13" t="n">
        <v>0</v>
      </c>
      <c r="AE370" s="13" t="n">
        <v>0</v>
      </c>
      <c r="AF370" s="13" t="n">
        <v>0</v>
      </c>
      <c r="AG370" s="13" t="n">
        <v>0</v>
      </c>
      <c r="AH370" s="13" t="n">
        <v>0</v>
      </c>
      <c r="AI370" s="13" t="n">
        <v>0</v>
      </c>
      <c r="AJ370" s="13" t="n">
        <v>0</v>
      </c>
      <c r="AK370" s="13" t="n">
        <v>0</v>
      </c>
      <c r="AL370" s="13" t="n">
        <v>0</v>
      </c>
      <c r="AM370" s="13" t="n">
        <v>0</v>
      </c>
      <c r="AN370" s="13" t="n">
        <v>0</v>
      </c>
      <c r="AO370" s="13" t="n">
        <v>0</v>
      </c>
      <c r="AP370" s="13" t="n">
        <v>0</v>
      </c>
      <c r="AQ370" s="13" t="n">
        <v>0</v>
      </c>
      <c r="AR370" s="13" t="n">
        <v>0</v>
      </c>
      <c r="AS370" s="13" t="n">
        <v>0</v>
      </c>
      <c r="AT370" s="13" t="n">
        <v>0</v>
      </c>
      <c r="AU370" s="13" t="n">
        <v>0</v>
      </c>
      <c r="AV370" s="13" t="n">
        <v>0</v>
      </c>
      <c r="AW370" s="13" t="n">
        <v>0</v>
      </c>
      <c r="AX370" s="13" t="n">
        <v>0</v>
      </c>
      <c r="AY370" s="13" t="n">
        <v>0</v>
      </c>
      <c r="AZ370" s="13" t="n">
        <v>0</v>
      </c>
      <c r="BA370" s="13" t="n">
        <v>0</v>
      </c>
      <c r="BB370" s="13" t="n">
        <v>0</v>
      </c>
      <c r="BC370" s="13" t="n">
        <v>0</v>
      </c>
      <c r="BD370" s="13" t="n">
        <v>0</v>
      </c>
      <c r="BE370" s="13" t="n">
        <v>0</v>
      </c>
      <c r="BF370" s="13" t="n">
        <v>0</v>
      </c>
      <c r="BG370" s="13" t="n">
        <v>0</v>
      </c>
      <c r="BH370" s="13" t="n">
        <v>0</v>
      </c>
      <c r="BI370" s="13" t="n">
        <v>0</v>
      </c>
      <c r="BJ370" s="13" t="n">
        <v>0</v>
      </c>
      <c r="BK370" s="13" t="n">
        <v>0</v>
      </c>
      <c r="BL370" s="13" t="n">
        <v>0</v>
      </c>
      <c r="BM370" s="13" t="n">
        <v>0</v>
      </c>
      <c r="BN370" s="13" t="n">
        <v>0</v>
      </c>
      <c r="BO370" s="13" t="n">
        <v>0</v>
      </c>
      <c r="BP370" s="13" t="n">
        <v>0</v>
      </c>
      <c r="BQ370" s="13" t="n">
        <v>0</v>
      </c>
      <c r="BR370" s="13" t="n">
        <v>0</v>
      </c>
      <c r="BS370" s="13" t="n">
        <v>0</v>
      </c>
      <c r="BT370" s="13" t="n">
        <v>0</v>
      </c>
      <c r="BU370" s="13" t="n">
        <v>0</v>
      </c>
      <c r="BV370" s="13" t="n">
        <v>0</v>
      </c>
      <c r="BW370" s="13" t="n">
        <v>0</v>
      </c>
      <c r="BX370" s="13" t="n">
        <v>0</v>
      </c>
      <c r="BY370" s="13" t="n">
        <v>0</v>
      </c>
      <c r="BZ370" s="13" t="n">
        <v>0</v>
      </c>
      <c r="CA370" s="13" t="n">
        <v>0</v>
      </c>
      <c r="CB370" s="13" t="n">
        <v>0</v>
      </c>
      <c r="CC370" s="13" t="n">
        <v>0</v>
      </c>
      <c r="CD370" s="13" t="n">
        <v>0</v>
      </c>
      <c r="CE370" s="13" t="n">
        <v>0</v>
      </c>
      <c r="CF370" s="13" t="n">
        <v>0</v>
      </c>
      <c r="CG370" s="13" t="n">
        <v>0</v>
      </c>
      <c r="CH370" s="13" t="n">
        <v>0</v>
      </c>
      <c r="CI370" s="13" t="n">
        <v>0</v>
      </c>
      <c r="CJ370" s="13" t="n">
        <v>0</v>
      </c>
      <c r="CK370" s="13" t="n">
        <v>0</v>
      </c>
      <c r="CL370" s="13" t="n">
        <v>0</v>
      </c>
      <c r="CM370" s="13" t="n">
        <v>0</v>
      </c>
      <c r="CN370" s="13" t="n">
        <v>0</v>
      </c>
      <c r="CO370" s="13" t="n">
        <v>0</v>
      </c>
      <c r="CP370" s="13" t="n">
        <v>0</v>
      </c>
      <c r="CQ370" s="13" t="n">
        <v>0</v>
      </c>
      <c r="CR370" s="13" t="n">
        <v>0</v>
      </c>
      <c r="CS370" s="13" t="n">
        <v>0</v>
      </c>
      <c r="CT370" s="13"/>
      <c r="CU370" s="13"/>
      <c r="CV370" s="13"/>
      <c r="CW370" s="13"/>
      <c r="CX370" s="13"/>
      <c r="CY370" s="13"/>
      <c r="CZ370" s="13"/>
      <c r="DA370" s="13"/>
      <c r="DB370" s="13"/>
      <c r="DC370" s="13"/>
      <c r="DD370" s="13"/>
      <c r="DE370" s="13"/>
    </row>
    <row r="371" customFormat="false" ht="15" hidden="false" customHeight="true" outlineLevel="0" collapsed="false">
      <c r="A371" s="67" t="s">
        <v>195</v>
      </c>
      <c r="B371" s="68"/>
      <c r="C371" s="68"/>
      <c r="D371" s="68"/>
      <c r="E371" s="68"/>
      <c r="F371" s="68"/>
      <c r="G371" s="68"/>
      <c r="H371" s="68"/>
      <c r="I371" s="68"/>
      <c r="J371" s="68" t="n">
        <f aca="false">J366+J367+J368+J369+J370</f>
        <v>512855.116666667</v>
      </c>
      <c r="K371" s="68" t="n">
        <f aca="false">K366+K367+K368+K369+K370</f>
        <v>367520.233333333</v>
      </c>
      <c r="L371" s="68" t="n">
        <f aca="false">L366+L367+L368+L369+L370</f>
        <v>212810.35</v>
      </c>
      <c r="M371" s="68" t="n">
        <f aca="false">M366+M367+M368+M369+M370</f>
        <v>61600.4666666667</v>
      </c>
      <c r="N371" s="68" t="n">
        <f aca="false">N366+N367+N368+N369+N370</f>
        <v>-131905.159523809</v>
      </c>
      <c r="O371" s="68" t="n">
        <f aca="false">O366+O367+O368+O369+O370</f>
        <v>-266006.122857143</v>
      </c>
      <c r="P371" s="68" t="n">
        <f aca="false">P366+P367+P368+P369+P370</f>
        <v>-497815.996190476</v>
      </c>
      <c r="Q371" s="68" t="n">
        <f aca="false">Q366+Q367+Q368+Q369+Q370</f>
        <v>-710085.961790476</v>
      </c>
      <c r="R371" s="68" t="n">
        <f aca="false">R366+R367+R368+R369+R370</f>
        <v>-928606.127390476</v>
      </c>
      <c r="S371" s="68" t="n">
        <f aca="false">S366+S367+S368+S369+S370</f>
        <v>-1147126.29299048</v>
      </c>
      <c r="T371" s="68" t="n">
        <f aca="false">T366+T367+T368+T369+T370</f>
        <v>-1391152.70859048</v>
      </c>
      <c r="U371" s="68" t="n">
        <f aca="false">U366+U367+U368+U369+U370</f>
        <v>-1638079.12419048</v>
      </c>
      <c r="V371" s="68" t="n">
        <f aca="false">V366+V367+V368+V369+V370</f>
        <v>-1885005.53979048</v>
      </c>
      <c r="W371" s="68" t="n">
        <f aca="false">W366+W367+W368+W369+W370</f>
        <v>-2115359.69299048</v>
      </c>
      <c r="X371" s="68" t="n">
        <f aca="false">X366+X367+X368+X369+X370</f>
        <v>-2329680.38379048</v>
      </c>
      <c r="Y371" s="68" t="n">
        <f aca="false">Y366+Y367+Y368+Y369+Y370</f>
        <v>-2470053.81219048</v>
      </c>
      <c r="Z371" s="68" t="n">
        <f aca="false">Z366+Z367+Z368+Z369+Z370</f>
        <v>-2664852.26419048</v>
      </c>
      <c r="AA371" s="68" t="n">
        <f aca="false">AA366+AA367+AA368+AA369+AA370</f>
        <v>-3094114.21419048</v>
      </c>
      <c r="AB371" s="68" t="n">
        <f aca="false">AB366+AB367+AB368+AB369+AB370</f>
        <v>-3200464.67419048</v>
      </c>
      <c r="AC371" s="68" t="n">
        <f aca="false">AC366+AC367+AC368+AC369+AC370</f>
        <v>-3352317.81331048</v>
      </c>
      <c r="AD371" s="68" t="n">
        <f aca="false">AD366+AD367+AD368+AD369+AD370</f>
        <v>-3488634.45643048</v>
      </c>
      <c r="AE371" s="68" t="n">
        <f aca="false">AE366+AE367+AE368+AE369+AE370</f>
        <v>-3532021.02782907</v>
      </c>
      <c r="AF371" s="68" t="n">
        <f aca="false">AF366+AF367+AF368+AF369+AF370</f>
        <v>-3538010.07594907</v>
      </c>
      <c r="AG371" s="68" t="n">
        <f aca="false">AG366+AG367+AG368+AG369+AG370</f>
        <v>-3540809.96056907</v>
      </c>
      <c r="AH371" s="68" t="n">
        <f aca="false">AH366+AH367+AH368+AH369+AH370</f>
        <v>-3522951.30018907</v>
      </c>
      <c r="AI371" s="68" t="n">
        <f aca="false">AI366+AI367+AI368+AI369+AI370</f>
        <v>-3563717.86980908</v>
      </c>
      <c r="AJ371" s="68" t="n">
        <f aca="false">AJ366+AJ367+AJ368+AJ369+AJ370</f>
        <v>-3604054.27342908</v>
      </c>
      <c r="AK371" s="68" t="n">
        <f aca="false">AK366+AK367+AK368+AK369+AK370</f>
        <v>-3643960.52204908</v>
      </c>
      <c r="AL371" s="68" t="n">
        <f aca="false">AL366+AL367+AL368+AL369+AL370</f>
        <v>-3683436.61016908</v>
      </c>
      <c r="AM371" s="68" t="n">
        <f aca="false">AM366+AM367+AM368+AM369+AM370</f>
        <v>-3972482.54328908</v>
      </c>
      <c r="AN371" s="68" t="n">
        <f aca="false">AN366+AN367+AN368+AN369+AN370</f>
        <v>-3996856.52790908</v>
      </c>
      <c r="AO371" s="68" t="n">
        <f aca="false">AO366+AO367+AO368+AO369+AO370</f>
        <v>-4038779.58703148</v>
      </c>
      <c r="AP371" s="68" t="n">
        <f aca="false">AP366+AP367+AP368+AP369+AP370</f>
        <v>-4094514.27365387</v>
      </c>
      <c r="AQ371" s="68" t="n">
        <f aca="false">AQ366+AQ367+AQ368+AQ369+AQ370</f>
        <v>-4164060.58777627</v>
      </c>
      <c r="AR371" s="68" t="n">
        <f aca="false">AR366+AR367+AR368+AR369+AR370</f>
        <v>-4247418.53489867</v>
      </c>
      <c r="AS371" s="68" t="n">
        <f aca="false">AS366+AS367+AS368+AS369+AS370</f>
        <v>-4352400.87752107</v>
      </c>
      <c r="AT371" s="68" t="n">
        <f aca="false">AT366+AT367+AT368+AT369+AT370</f>
        <v>-4469939.24514347</v>
      </c>
      <c r="AU371" s="68" t="n">
        <f aca="false">AU366+AU367+AU368+AU369+AU370</f>
        <v>-4600033.64276587</v>
      </c>
      <c r="AV371" s="68" t="n">
        <f aca="false">AV366+AV367+AV368+AV369+AV370</f>
        <v>-4742684.06038827</v>
      </c>
      <c r="AW371" s="68" t="n">
        <f aca="false">AW366+AW367+AW368+AW369+AW370</f>
        <v>-4898375.08951068</v>
      </c>
      <c r="AX371" s="68" t="n">
        <f aca="false">AX366+AX367+AX368+AX369+AX370</f>
        <v>-5013188.11713307</v>
      </c>
      <c r="AY371" s="68" t="n">
        <f aca="false">AY366+AY367+AY368+AY369+AY370</f>
        <v>-5390948.21975547</v>
      </c>
      <c r="AZ371" s="68" t="n">
        <f aca="false">AZ366+AZ367+AZ368+AZ369+AZ370</f>
        <v>-5544501.68487787</v>
      </c>
      <c r="BA371" s="68" t="n">
        <f aca="false">BA366+BA367+BA368+BA369+BA370</f>
        <v>-5702297.51205272</v>
      </c>
      <c r="BB371" s="68" t="n">
        <f aca="false">BB366+BB367+BB368+BB369+BB370</f>
        <v>-5860523.50522757</v>
      </c>
      <c r="BC371" s="68" t="n">
        <f aca="false">BC366+BC367+BC368+BC369+BC370</f>
        <v>-6019179.65340242</v>
      </c>
      <c r="BD371" s="68" t="n">
        <f aca="false">BD366+BD367+BD368+BD369+BD370</f>
        <v>-6178265.96207727</v>
      </c>
      <c r="BE371" s="68" t="n">
        <f aca="false">BE366+BE367+BE368+BE369+BE370</f>
        <v>-6337782.43125211</v>
      </c>
      <c r="BF371" s="68" t="n">
        <f aca="false">BF366+BF367+BF368+BF369+BF370</f>
        <v>-6497729.06092696</v>
      </c>
      <c r="BG371" s="68" t="n">
        <f aca="false">BG366+BG367+BG368+BG369+BG370</f>
        <v>-6658105.85110181</v>
      </c>
      <c r="BH371" s="68" t="n">
        <f aca="false">BH366+BH367+BH368+BH369+BH370</f>
        <v>-6818912.80177666</v>
      </c>
      <c r="BI371" s="68" t="n">
        <f aca="false">BI366+BI367+BI368+BI369+BI370</f>
        <v>-6980149.91295151</v>
      </c>
      <c r="BJ371" s="68" t="n">
        <f aca="false">BJ366+BJ367+BJ368+BJ369+BJ370</f>
        <v>-7141817.18462635</v>
      </c>
      <c r="BK371" s="68" t="n">
        <f aca="false">BK366+BK367+BK368+BK369+BK370</f>
        <v>-7553914.6168012</v>
      </c>
      <c r="BL371" s="68" t="n">
        <f aca="false">BL366+BL367+BL368+BL369+BL370</f>
        <v>-7716442.20397605</v>
      </c>
      <c r="BM371" s="68" t="n">
        <f aca="false">BM366+BM367+BM368+BM369+BM370</f>
        <v>-7859787.9027344</v>
      </c>
      <c r="BN371" s="68" t="n">
        <f aca="false">BN366+BN367+BN368+BN369+BN370</f>
        <v>-8003563.76199274</v>
      </c>
      <c r="BO371" s="68" t="n">
        <f aca="false">BO366+BO367+BO368+BO369+BO370</f>
        <v>-8093943.49175109</v>
      </c>
      <c r="BP371" s="68" t="n">
        <f aca="false">BP366+BP367+BP368+BP369+BP370</f>
        <v>-8297254.21650943</v>
      </c>
      <c r="BQ371" s="68" t="n">
        <f aca="false">BQ366+BQ367+BQ368+BQ369+BQ370</f>
        <v>-8500564.94126778</v>
      </c>
      <c r="BR371" s="68" t="n">
        <f aca="false">BR366+BR367+BR368+BR369+BR370</f>
        <v>-8650625.31602612</v>
      </c>
      <c r="BS371" s="68" t="n">
        <f aca="false">BS366+BS367+BS368+BS369+BS370</f>
        <v>-8853936.04078447</v>
      </c>
      <c r="BT371" s="68" t="n">
        <f aca="false">BT366+BT367+BT368+BT369+BT370</f>
        <v>-9057246.76554281</v>
      </c>
      <c r="BU371" s="68" t="n">
        <f aca="false">BU366+BU367+BU368+BU369+BU370</f>
        <v>-9192795.49030116</v>
      </c>
      <c r="BV371" s="68" t="n">
        <f aca="false">BV366+BV367+BV368+BV369+BV370</f>
        <v>-9396106.2150595</v>
      </c>
      <c r="BW371" s="68" t="n">
        <f aca="false">BW366+BW367+BW368+BW369+BW370</f>
        <v>-9599416.93981785</v>
      </c>
      <c r="BX371" s="68" t="n">
        <f aca="false">BX366+BX367+BX368+BX369+BX370</f>
        <v>-9734965.66457619</v>
      </c>
      <c r="BY371" s="68" t="n">
        <f aca="false">BY366+BY367+BY368+BY369+BY370</f>
        <v>-9942242.60382971</v>
      </c>
      <c r="BZ371" s="68" t="n">
        <f aca="false">BZ366+BZ367+BZ368+BZ369+BZ370</f>
        <v>-10149519.5430832</v>
      </c>
      <c r="CA371" s="68" t="n">
        <f aca="false">CA366+CA367+CA368+CA369+CA370</f>
        <v>-10289034.4823367</v>
      </c>
      <c r="CB371" s="68" t="n">
        <f aca="false">CB366+CB367+CB368+CB369+CB370</f>
        <v>-10496311.4215902</v>
      </c>
      <c r="CC371" s="68" t="n">
        <f aca="false">CC366+CC367+CC368+CC369+CC370</f>
        <v>-10703588.3608438</v>
      </c>
      <c r="CD371" s="68" t="n">
        <f aca="false">CD366+CD367+CD368+CD369+CD370</f>
        <v>-10834366.3000973</v>
      </c>
      <c r="CE371" s="68" t="n">
        <f aca="false">CE366+CE367+CE368+CE369+CE370</f>
        <v>-11041643.2393508</v>
      </c>
      <c r="CF371" s="68" t="n">
        <f aca="false">CF366+CF367+CF368+CF369+CF370</f>
        <v>-11248920.1786043</v>
      </c>
      <c r="CG371" s="68" t="n">
        <f aca="false">CG366+CG367+CG368+CG369+CG370</f>
        <v>-11379698.1178578</v>
      </c>
      <c r="CH371" s="68" t="n">
        <f aca="false">CH366+CH367+CH368+CH369+CH370</f>
        <v>-11586975.0571113</v>
      </c>
      <c r="CI371" s="68" t="n">
        <f aca="false">CI366+CI367+CI368+CI369+CI370</f>
        <v>-11794251.9963648</v>
      </c>
      <c r="CJ371" s="68" t="n">
        <f aca="false">CJ366+CJ367+CJ368+CJ369+CJ370</f>
        <v>-11918421.9090119</v>
      </c>
      <c r="CK371" s="68" t="n">
        <f aca="false">CK366+CK367+CK368+CK369+CK370</f>
        <v>-11971883.3870505</v>
      </c>
      <c r="CL371" s="68" t="n">
        <f aca="false">CL366+CL367+CL368+CL369+CL370</f>
        <v>-12025344.865089</v>
      </c>
      <c r="CM371" s="68" t="n">
        <f aca="false">CM366+CM367+CM368+CM369+CM370</f>
        <v>-12078806.3431276</v>
      </c>
      <c r="CN371" s="68" t="n">
        <f aca="false">CN366+CN367+CN368+CN369+CN370</f>
        <v>-12132267.8211662</v>
      </c>
      <c r="CO371" s="68" t="n">
        <f aca="false">CO366+CO367+CO368+CO369+CO370</f>
        <v>-12185729.2992048</v>
      </c>
      <c r="CP371" s="68" t="n">
        <f aca="false">CP366+CP367+CP368+CP369+CP370</f>
        <v>-12239190.7772434</v>
      </c>
      <c r="CQ371" s="68" t="n">
        <f aca="false">CQ366+CQ367+CQ368+CQ369+CQ370</f>
        <v>-12292652.2552819</v>
      </c>
      <c r="CR371" s="68" t="n">
        <f aca="false">CR366+CR367+CR368+CR369+CR370</f>
        <v>-12346113.7333205</v>
      </c>
      <c r="CS371" s="68" t="n">
        <f aca="false">CS366+CS367+CS368+CS369+CS370</f>
        <v>-12399575.2113591</v>
      </c>
      <c r="CT371" s="68" t="n">
        <f aca="false">CT366+CT367+CT368+CT369+CT370</f>
        <v>-12444014.7207164</v>
      </c>
      <c r="CU371" s="68" t="n">
        <f aca="false">CU366+CU367+CU368+CU369+CU370</f>
        <v>-12488454.2300736</v>
      </c>
      <c r="CV371" s="68" t="n">
        <f aca="false">CV366+CV367+CV368+CV369+CV370</f>
        <v>-12532893.7394309</v>
      </c>
      <c r="CW371" s="68" t="n">
        <f aca="false">CW366+CW367+CW368+CW369+CW370</f>
        <v>-12525571.1079117</v>
      </c>
      <c r="CX371" s="68" t="n">
        <f aca="false">CX366+CX367+CX368+CX369+CX370</f>
        <v>-12500801.6274561</v>
      </c>
      <c r="CY371" s="68" t="n">
        <f aca="false">CY366+CY367+CY368+CY369+CY370</f>
        <v>-12476032.1470005</v>
      </c>
      <c r="CZ371" s="68" t="n">
        <f aca="false">CZ366+CZ367+CZ368+CZ369+CZ370</f>
        <v>-12451262.6665449</v>
      </c>
      <c r="DA371" s="68" t="n">
        <f aca="false">DA366+DA367+DA368+DA369+DA370</f>
        <v>-12426493.1860893</v>
      </c>
      <c r="DB371" s="68" t="n">
        <f aca="false">DB366+DB367+DB368+DB369+DB370</f>
        <v>-12401723.7056337</v>
      </c>
      <c r="DC371" s="68" t="n">
        <f aca="false">DC366+DC367+DC368+DC369+DC370</f>
        <v>-12376954.2251781</v>
      </c>
      <c r="DD371" s="68" t="n">
        <f aca="false">DD366+DD367+DD368+DD369+DD370</f>
        <v>-12352184.7447225</v>
      </c>
      <c r="DE371" s="68" t="n">
        <f aca="false">DE366+DE367+DE368+DE369+DE370</f>
        <v>-12327415.2642669</v>
      </c>
    </row>
    <row r="372" customFormat="false" ht="15" hidden="false" customHeight="true" outlineLevel="0" collapsed="false">
      <c r="A372" s="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B372" s="13"/>
      <c r="AC372" s="13"/>
      <c r="AD372" s="13"/>
      <c r="AE372" s="13"/>
      <c r="AF372" s="13"/>
      <c r="AG372" s="13"/>
      <c r="AH372" s="13"/>
      <c r="AI372" s="13"/>
      <c r="AJ372" s="13"/>
      <c r="AK372" s="13"/>
      <c r="AL372" s="13"/>
      <c r="AM372" s="13"/>
      <c r="AN372" s="13"/>
      <c r="AO372" s="13"/>
      <c r="AP372" s="13"/>
      <c r="AQ372" s="13"/>
      <c r="AR372" s="13"/>
      <c r="AS372" s="13"/>
      <c r="AT372" s="13"/>
      <c r="AU372" s="13"/>
      <c r="AV372" s="13"/>
      <c r="AW372" s="13"/>
      <c r="AX372" s="13"/>
      <c r="AY372" s="13"/>
      <c r="AZ372" s="13"/>
      <c r="BA372" s="13"/>
      <c r="BB372" s="13"/>
      <c r="BC372" s="13"/>
      <c r="BD372" s="13"/>
      <c r="BE372" s="13"/>
      <c r="BF372" s="13"/>
      <c r="BG372" s="13"/>
      <c r="BH372" s="13"/>
      <c r="BI372" s="13"/>
      <c r="BJ372" s="13"/>
      <c r="BK372" s="13"/>
      <c r="BL372" s="13"/>
      <c r="BM372" s="13"/>
      <c r="BN372" s="13"/>
      <c r="BO372" s="13"/>
      <c r="BP372" s="13"/>
      <c r="BQ372" s="13"/>
      <c r="BR372" s="13"/>
      <c r="BS372" s="13"/>
      <c r="BT372" s="13"/>
      <c r="BU372" s="13"/>
      <c r="BV372" s="13"/>
      <c r="BW372" s="13"/>
      <c r="BX372" s="13"/>
      <c r="BY372" s="13"/>
      <c r="BZ372" s="13"/>
      <c r="CA372" s="13"/>
      <c r="CB372" s="13"/>
      <c r="CC372" s="13"/>
      <c r="CD372" s="13"/>
      <c r="CE372" s="13"/>
      <c r="CF372" s="13"/>
      <c r="CG372" s="13"/>
      <c r="CH372" s="13"/>
      <c r="CI372" s="13"/>
      <c r="CJ372" s="13"/>
      <c r="CK372" s="13"/>
      <c r="CL372" s="13"/>
      <c r="CM372" s="13"/>
      <c r="CN372" s="13"/>
      <c r="CO372" s="13"/>
      <c r="CP372" s="13"/>
      <c r="CQ372" s="13"/>
      <c r="CR372" s="13"/>
      <c r="CS372" s="13"/>
      <c r="CT372" s="13"/>
      <c r="CU372" s="13"/>
      <c r="CV372" s="13"/>
      <c r="CW372" s="13"/>
      <c r="CX372" s="13"/>
      <c r="CY372" s="13"/>
      <c r="CZ372" s="13"/>
      <c r="DA372" s="13"/>
      <c r="DB372" s="13"/>
      <c r="DC372" s="13"/>
      <c r="DD372" s="13"/>
      <c r="DE372" s="13"/>
    </row>
    <row r="373" customFormat="false" ht="15" hidden="false" customHeight="true" outlineLevel="0" collapsed="false">
      <c r="A373" s="23" t="s">
        <v>196</v>
      </c>
      <c r="B373" s="34"/>
      <c r="C373" s="34"/>
      <c r="D373" s="34"/>
      <c r="E373" s="34"/>
      <c r="F373" s="34"/>
      <c r="G373" s="34"/>
      <c r="H373" s="34"/>
      <c r="I373" s="34"/>
      <c r="J373" s="34"/>
      <c r="K373" s="34"/>
      <c r="L373" s="34"/>
      <c r="M373" s="34"/>
      <c r="N373" s="34"/>
      <c r="O373" s="34"/>
      <c r="P373" s="34"/>
      <c r="Q373" s="34"/>
      <c r="R373" s="34"/>
      <c r="S373" s="34"/>
      <c r="T373" s="34"/>
      <c r="U373" s="34"/>
      <c r="V373" s="34"/>
      <c r="W373" s="34"/>
      <c r="X373" s="34"/>
      <c r="Y373" s="34"/>
      <c r="Z373" s="34"/>
      <c r="AA373" s="34"/>
      <c r="AB373" s="34"/>
      <c r="AC373" s="34"/>
      <c r="AD373" s="34"/>
      <c r="AE373" s="34"/>
      <c r="AF373" s="34"/>
      <c r="AG373" s="34"/>
      <c r="AH373" s="34"/>
      <c r="AI373" s="34"/>
      <c r="AJ373" s="34"/>
      <c r="AK373" s="34"/>
      <c r="AL373" s="34"/>
      <c r="AM373" s="34"/>
      <c r="AN373" s="34"/>
      <c r="AO373" s="34"/>
      <c r="AP373" s="34"/>
      <c r="AQ373" s="34"/>
      <c r="AR373" s="34"/>
      <c r="AS373" s="34"/>
      <c r="AT373" s="34"/>
      <c r="AU373" s="34"/>
      <c r="AV373" s="34"/>
      <c r="AW373" s="34"/>
      <c r="AX373" s="34"/>
      <c r="AY373" s="34"/>
      <c r="AZ373" s="34"/>
      <c r="BA373" s="34"/>
      <c r="BB373" s="34"/>
      <c r="BC373" s="34"/>
      <c r="BD373" s="34"/>
      <c r="BE373" s="34"/>
      <c r="BF373" s="34"/>
      <c r="BG373" s="34"/>
      <c r="BH373" s="34"/>
      <c r="BI373" s="34"/>
      <c r="BJ373" s="34"/>
      <c r="BK373" s="34"/>
      <c r="BL373" s="34"/>
      <c r="BM373" s="34"/>
      <c r="BN373" s="34"/>
      <c r="BO373" s="34"/>
      <c r="BP373" s="34"/>
      <c r="BQ373" s="34"/>
      <c r="BR373" s="34"/>
      <c r="BS373" s="34"/>
      <c r="BT373" s="34"/>
      <c r="BU373" s="34"/>
      <c r="BV373" s="34"/>
      <c r="BW373" s="34"/>
      <c r="BX373" s="34"/>
      <c r="BY373" s="34"/>
      <c r="BZ373" s="34"/>
      <c r="CA373" s="34"/>
      <c r="CB373" s="34"/>
      <c r="CC373" s="34"/>
      <c r="CD373" s="34"/>
      <c r="CE373" s="34"/>
      <c r="CF373" s="34"/>
      <c r="CG373" s="34"/>
      <c r="CH373" s="34"/>
      <c r="CI373" s="34"/>
      <c r="CJ373" s="34"/>
      <c r="CK373" s="34"/>
      <c r="CL373" s="34"/>
      <c r="CM373" s="34"/>
      <c r="CN373" s="34"/>
      <c r="CO373" s="34"/>
      <c r="CP373" s="34"/>
      <c r="CQ373" s="34"/>
      <c r="CR373" s="34"/>
      <c r="CS373" s="34"/>
      <c r="CT373" s="34"/>
      <c r="CU373" s="34"/>
      <c r="CV373" s="34"/>
      <c r="CW373" s="34"/>
      <c r="CX373" s="34"/>
      <c r="CY373" s="34"/>
      <c r="CZ373" s="34"/>
      <c r="DA373" s="34"/>
      <c r="DB373" s="34"/>
      <c r="DC373" s="34"/>
      <c r="DD373" s="34"/>
      <c r="DE373" s="34"/>
    </row>
    <row r="374" customFormat="false" ht="15" hidden="false" customHeight="true" outlineLevel="0" collapsed="false">
      <c r="A374" s="22" t="s">
        <v>197</v>
      </c>
      <c r="B374" s="13"/>
      <c r="C374" s="13"/>
      <c r="D374" s="13"/>
      <c r="E374" s="13"/>
      <c r="F374" s="13"/>
      <c r="G374" s="13"/>
      <c r="H374" s="13"/>
      <c r="I374" s="13"/>
      <c r="J374" s="13" t="n">
        <f aca="false">J355+J366</f>
        <v>1945296</v>
      </c>
      <c r="K374" s="13" t="n">
        <f aca="false">K355+K366</f>
        <v>1626283.60557404</v>
      </c>
      <c r="L374" s="13" t="n">
        <f aca="false">L355+L366</f>
        <v>1976456.74750204</v>
      </c>
      <c r="M374" s="13" t="n">
        <f aca="false">M355+M366</f>
        <v>2266472.27886452</v>
      </c>
      <c r="N374" s="13" t="n">
        <f aca="false">N355+N366</f>
        <v>2229655.31378602</v>
      </c>
      <c r="O374" s="13" t="n">
        <f aca="false">O355+O366</f>
        <v>1011912.51400583</v>
      </c>
      <c r="P374" s="13" t="n">
        <f aca="false">P355+P366</f>
        <v>1158372.03957861</v>
      </c>
      <c r="Q374" s="13" t="n">
        <f aca="false">Q355+Q366</f>
        <v>1241965.35450734</v>
      </c>
      <c r="R374" s="13" t="n">
        <f aca="false">R355+R366</f>
        <v>1273080.75343321</v>
      </c>
      <c r="S374" s="13" t="n">
        <f aca="false">S355+S366</f>
        <v>569027.003346605</v>
      </c>
      <c r="T374" s="13" t="n">
        <f aca="false">T355+T366</f>
        <v>414446.457035525</v>
      </c>
      <c r="U374" s="13" t="n">
        <f aca="false">U355+U366</f>
        <v>271658.154407305</v>
      </c>
      <c r="V374" s="13" t="n">
        <f aca="false">V355+V366</f>
        <v>315448.869792343</v>
      </c>
      <c r="W374" s="13" t="n">
        <f aca="false">W355+W366</f>
        <v>696947.51922418</v>
      </c>
      <c r="X374" s="13" t="n">
        <f aca="false">X355+X366</f>
        <v>1144070.41455602</v>
      </c>
      <c r="Y374" s="13" t="n">
        <f aca="false">Y355+Y366</f>
        <v>1390961.05804491</v>
      </c>
      <c r="Z374" s="13" t="n">
        <f aca="false">Z355+Z366</f>
        <v>1945413.80334272</v>
      </c>
      <c r="AA374" s="13" t="n">
        <f aca="false">AA355+AA366</f>
        <v>2342479.46287514</v>
      </c>
      <c r="AB374" s="13" t="n">
        <f aca="false">AB355+AB366</f>
        <v>2725864.94885489</v>
      </c>
      <c r="AC374" s="13" t="n">
        <f aca="false">AC355+AC366</f>
        <v>3458864.71526873</v>
      </c>
      <c r="AD374" s="13" t="n">
        <f aca="false">AD355+AD366</f>
        <v>3951448.34788232</v>
      </c>
      <c r="AE374" s="13" t="n">
        <f aca="false">AE355+AE366</f>
        <v>4274695.51175236</v>
      </c>
      <c r="AF374" s="13" t="n">
        <f aca="false">AF355+AF366</f>
        <v>4706393.07480037</v>
      </c>
      <c r="AG374" s="13" t="n">
        <f aca="false">AG355+AG366</f>
        <v>4719578.21244883</v>
      </c>
      <c r="AH374" s="13" t="n">
        <f aca="false">AH355+AH366</f>
        <v>5558320.37362134</v>
      </c>
      <c r="AI374" s="13" t="n">
        <f aca="false">AI355+AI366</f>
        <v>6334937.25271251</v>
      </c>
      <c r="AJ374" s="13" t="n">
        <f aca="false">AJ355+AJ366</f>
        <v>7020381.15984179</v>
      </c>
      <c r="AK374" s="13" t="n">
        <f aca="false">AK355+AK366</f>
        <v>7957579.60974901</v>
      </c>
      <c r="AL374" s="13" t="n">
        <f aca="false">AL355+AL366</f>
        <v>8709942.20838621</v>
      </c>
      <c r="AM374" s="13" t="n">
        <f aca="false">AM355+AM366</f>
        <v>9416074.03892762</v>
      </c>
      <c r="AN374" s="13" t="n">
        <f aca="false">AN355+AN366</f>
        <v>9917180.79659696</v>
      </c>
      <c r="AO374" s="13" t="n">
        <f aca="false">AO355+AO366</f>
        <v>10831940.1784984</v>
      </c>
      <c r="AP374" s="13" t="n">
        <f aca="false">AP355+AP366</f>
        <v>11446631.335822</v>
      </c>
      <c r="AQ374" s="13" t="n">
        <f aca="false">AQ355+AQ366</f>
        <v>12092457.9106455</v>
      </c>
      <c r="AR374" s="13" t="n">
        <f aca="false">AR355+AR366</f>
        <v>12437749.4305358</v>
      </c>
      <c r="AS374" s="13" t="n">
        <f aca="false">AS355+AS366</f>
        <v>13224262.7152094</v>
      </c>
      <c r="AT374" s="13" t="n">
        <f aca="false">AT355+AT366</f>
        <v>14026651.604383</v>
      </c>
      <c r="AU374" s="13" t="n">
        <f aca="false">AU355+AU366</f>
        <v>15103270.0193166</v>
      </c>
      <c r="AV374" s="13" t="n">
        <f aca="false">AV355+AV366</f>
        <v>16234411.5674199</v>
      </c>
      <c r="AW374" s="13" t="n">
        <f aca="false">AW355+AW366</f>
        <v>16916968.3612249</v>
      </c>
      <c r="AX374" s="13" t="n">
        <f aca="false">AX355+AX366</f>
        <v>17417531.5413281</v>
      </c>
      <c r="AY374" s="13" t="n">
        <f aca="false">AY355+AY366</f>
        <v>18006472.7229314</v>
      </c>
      <c r="AZ374" s="13" t="n">
        <f aca="false">AZ355+AZ366</f>
        <v>18356809.3252049</v>
      </c>
      <c r="BA374" s="13" t="n">
        <f aca="false">BA355+BA366</f>
        <v>19039461.6692628</v>
      </c>
      <c r="BB374" s="13" t="n">
        <f aca="false">BB355+BB366</f>
        <v>19666325.4978769</v>
      </c>
      <c r="BC374" s="13" t="n">
        <f aca="false">BC355+BC366</f>
        <v>20293699.8410503</v>
      </c>
      <c r="BD374" s="13" t="n">
        <f aca="false">BD355+BD366</f>
        <v>20684852.9561442</v>
      </c>
      <c r="BE374" s="13" t="n">
        <f aca="false">BE355+BE366</f>
        <v>21339374.581863</v>
      </c>
      <c r="BF374" s="13" t="n">
        <f aca="false">BF355+BF366</f>
        <v>21991439.5950542</v>
      </c>
      <c r="BG374" s="13" t="n">
        <f aca="false">BG355+BG366</f>
        <v>22679874.0932177</v>
      </c>
      <c r="BH374" s="13" t="n">
        <f aca="false">BH355+BH366</f>
        <v>23330186.9599927</v>
      </c>
      <c r="BI374" s="13" t="n">
        <f aca="false">BI355+BI366</f>
        <v>24215275.8082455</v>
      </c>
      <c r="BJ374" s="13" t="n">
        <f aca="false">BJ355+BJ366</f>
        <v>24897548.5069811</v>
      </c>
      <c r="BK374" s="13" t="n">
        <f aca="false">BK355+BK366</f>
        <v>25326115.4877878</v>
      </c>
      <c r="BL374" s="13" t="n">
        <f aca="false">BL355+BL366</f>
        <v>25327092.4770125</v>
      </c>
      <c r="BM374" s="13" t="n">
        <f aca="false">BM355+BM366</f>
        <v>25587639.3112372</v>
      </c>
      <c r="BN374" s="13" t="n">
        <f aca="false">BN355+BN366</f>
        <v>25880313.9684111</v>
      </c>
      <c r="BO374" s="13" t="n">
        <f aca="false">BO355+BO366</f>
        <v>26314068.2158513</v>
      </c>
      <c r="BP374" s="13" t="n">
        <f aca="false">BP355+BP366</f>
        <v>26676541.9334119</v>
      </c>
      <c r="BQ374" s="13" t="n">
        <f aca="false">BQ355+BQ366</f>
        <v>26793983.7917761</v>
      </c>
      <c r="BR374" s="13" t="n">
        <f aca="false">BR355+BR366</f>
        <v>26937043.9293597</v>
      </c>
      <c r="BS374" s="13" t="n">
        <f aca="false">BS355+BS366</f>
        <v>27180379.9108116</v>
      </c>
      <c r="BT374" s="13" t="n">
        <f aca="false">BT355+BT366</f>
        <v>27455029.790737</v>
      </c>
      <c r="BU374" s="13" t="n">
        <f aca="false">BU355+BU366</f>
        <v>27680813.9029686</v>
      </c>
      <c r="BV374" s="13" t="n">
        <f aca="false">BV355+BV366</f>
        <v>27875770.5192603</v>
      </c>
      <c r="BW374" s="13" t="n">
        <f aca="false">BW355+BW366</f>
        <v>27931748.6652665</v>
      </c>
      <c r="BX374" s="13" t="n">
        <f aca="false">BX355+BX366</f>
        <v>27938573.1307977</v>
      </c>
      <c r="BY374" s="13" t="n">
        <f aca="false">BY355+BY366</f>
        <v>27900967.3162433</v>
      </c>
      <c r="BZ374" s="13" t="n">
        <f aca="false">BZ355+BZ366</f>
        <v>27703116.2022991</v>
      </c>
      <c r="CA374" s="13" t="n">
        <f aca="false">CA355+CA366</f>
        <v>27455471.9143907</v>
      </c>
      <c r="CB374" s="13" t="n">
        <f aca="false">CB355+CB366</f>
        <v>27067915.1514822</v>
      </c>
      <c r="CC374" s="13" t="n">
        <f aca="false">CC355+CC366</f>
        <v>26432009.8885738</v>
      </c>
      <c r="CD374" s="13" t="n">
        <f aca="false">CD355+CD366</f>
        <v>25796104.6256654</v>
      </c>
      <c r="CE374" s="13" t="n">
        <f aca="false">CE355+CE366</f>
        <v>25236698.362757</v>
      </c>
      <c r="CF374" s="13" t="n">
        <f aca="false">CF355+CF366</f>
        <v>24600793.0998485</v>
      </c>
      <c r="CG374" s="13" t="n">
        <f aca="false">CG355+CG366</f>
        <v>23964887.8369401</v>
      </c>
      <c r="CH374" s="13" t="n">
        <f aca="false">CH355+CH366</f>
        <v>23405481.5740317</v>
      </c>
      <c r="CI374" s="13" t="n">
        <f aca="false">CI355+CI366</f>
        <v>22769576.3111233</v>
      </c>
      <c r="CJ374" s="13" t="n">
        <f aca="false">CJ355+CJ366</f>
        <v>22133671.0482148</v>
      </c>
      <c r="CK374" s="13" t="n">
        <f aca="false">CK355+CK366</f>
        <v>21580872.8119129</v>
      </c>
      <c r="CL374" s="13" t="n">
        <f aca="false">CL355+CL366</f>
        <v>21090210.4437463</v>
      </c>
      <c r="CM374" s="13" t="n">
        <f aca="false">CM355+CM366</f>
        <v>20599548.0755797</v>
      </c>
      <c r="CN374" s="13" t="n">
        <f aca="false">CN355+CN366</f>
        <v>20108885.7074131</v>
      </c>
      <c r="CO374" s="13" t="n">
        <f aca="false">CO355+CO366</f>
        <v>19618223.3392465</v>
      </c>
      <c r="CP374" s="13" t="n">
        <f aca="false">CP355+CP366</f>
        <v>19127560.9710799</v>
      </c>
      <c r="CQ374" s="13" t="n">
        <f aca="false">CQ355+CQ366</f>
        <v>18636898.6029134</v>
      </c>
      <c r="CR374" s="13" t="n">
        <f aca="false">CR355+CR366</f>
        <v>18146236.2347468</v>
      </c>
      <c r="CS374" s="13" t="n">
        <f aca="false">CS355+CS366</f>
        <v>17655573.8665802</v>
      </c>
      <c r="CT374" s="13" t="n">
        <f aca="false">CT355+CT366</f>
        <v>17164911.4984136</v>
      </c>
      <c r="CU374" s="13" t="n">
        <f aca="false">CU355+CU366</f>
        <v>16735051.2585398</v>
      </c>
      <c r="CV374" s="13" t="n">
        <f aca="false">CV355+CV366</f>
        <v>16305191.018666</v>
      </c>
      <c r="CW374" s="13" t="n">
        <f aca="false">CW355+CW366</f>
        <v>15875330.7787921</v>
      </c>
      <c r="CX374" s="13" t="n">
        <f aca="false">CX355+CX366</f>
        <v>15489524.2651845</v>
      </c>
      <c r="CY374" s="13" t="n">
        <f aca="false">CY355+CY366</f>
        <v>15121164.6005132</v>
      </c>
      <c r="CZ374" s="13" t="n">
        <f aca="false">CZ355+CZ366</f>
        <v>14752804.9358419</v>
      </c>
      <c r="DA374" s="13" t="n">
        <f aca="false">DA355+DA366</f>
        <v>14384445.2711706</v>
      </c>
      <c r="DB374" s="13" t="n">
        <f aca="false">DB355+DB366</f>
        <v>14016085.6064993</v>
      </c>
      <c r="DC374" s="13" t="n">
        <f aca="false">DC355+DC366</f>
        <v>13647725.941828</v>
      </c>
      <c r="DD374" s="13" t="n">
        <f aca="false">DD355+DD366</f>
        <v>13279366.2771567</v>
      </c>
      <c r="DE374" s="13" t="n">
        <f aca="false">DE355+DE366</f>
        <v>12911006.6124854</v>
      </c>
    </row>
    <row r="375" customFormat="false" ht="15" hidden="false" customHeight="true" outlineLevel="0" collapsed="false">
      <c r="A375" s="22" t="s">
        <v>198</v>
      </c>
      <c r="B375" s="13"/>
      <c r="C375" s="13"/>
      <c r="D375" s="13"/>
      <c r="E375" s="13"/>
      <c r="F375" s="13"/>
      <c r="G375" s="13"/>
      <c r="H375" s="13"/>
      <c r="I375" s="13"/>
      <c r="J375" s="13" t="n">
        <v>0</v>
      </c>
      <c r="K375" s="13" t="n">
        <v>0</v>
      </c>
      <c r="L375" s="13" t="n">
        <v>0</v>
      </c>
      <c r="M375" s="13" t="n">
        <v>0</v>
      </c>
      <c r="N375" s="13" t="n">
        <v>0</v>
      </c>
      <c r="O375" s="13" t="n">
        <v>0</v>
      </c>
      <c r="P375" s="13" t="n">
        <f aca="false">IF((B302+C302+D302+E302+F302+G302+H302+I302+J302+K302+L302+M302)&gt;0,-(B302+C302+D302+E302+F302+G302+H302+I302+J302+K302+L302+M302)*0.503,0)</f>
        <v>-206038.210732122</v>
      </c>
      <c r="Q375" s="13" t="n">
        <v>0</v>
      </c>
      <c r="R375" s="13" t="n">
        <v>0</v>
      </c>
      <c r="S375" s="13" t="n">
        <v>0</v>
      </c>
      <c r="T375" s="13" t="n">
        <v>0</v>
      </c>
      <c r="U375" s="13" t="n">
        <v>0</v>
      </c>
      <c r="V375" s="13" t="n">
        <v>0</v>
      </c>
      <c r="W375" s="13" t="n">
        <v>0</v>
      </c>
      <c r="X375" s="13" t="n">
        <v>0</v>
      </c>
      <c r="Y375" s="13" t="n">
        <v>0</v>
      </c>
      <c r="Z375" s="13" t="n">
        <v>0</v>
      </c>
      <c r="AA375" s="13" t="n">
        <v>0</v>
      </c>
      <c r="AB375" s="13" t="n">
        <f aca="false">IF((N302+O302+P302+Q302+R302+S302+T302+U302+V302+W302+X302+Y302)&gt;0,-(N302+O302+P302+Q302+R302+S302+T302+U302+V302+W302+X302+Y302)*0.503,0)</f>
        <v>-1592026.4280686</v>
      </c>
      <c r="AC375" s="13" t="n">
        <v>0</v>
      </c>
      <c r="AD375" s="13" t="n">
        <v>0</v>
      </c>
      <c r="AE375" s="13" t="n">
        <v>0</v>
      </c>
      <c r="AF375" s="13" t="n">
        <v>0</v>
      </c>
      <c r="AG375" s="13" t="n">
        <v>0</v>
      </c>
      <c r="AH375" s="13" t="n">
        <v>0</v>
      </c>
      <c r="AI375" s="13" t="n">
        <v>0</v>
      </c>
      <c r="AJ375" s="13" t="n">
        <v>0</v>
      </c>
      <c r="AK375" s="13" t="n">
        <v>0</v>
      </c>
      <c r="AL375" s="13" t="n">
        <v>0</v>
      </c>
      <c r="AM375" s="13" t="n">
        <v>0</v>
      </c>
      <c r="AN375" s="13" t="n">
        <f aca="false">IF((Z302+AA302+AB302+AC302+AD302+AE302+AF302+AG302+AH302+AI302+AJ302+AK302)&gt;0,-(Z302+AA302+AB302+AC302+AD302+AE302+AF302+AG302+AH302+AI302+AJ302+AK302)*0.503,0)</f>
        <v>-4031671.40501211</v>
      </c>
      <c r="AO375" s="13" t="n">
        <v>0</v>
      </c>
      <c r="AP375" s="13" t="n">
        <v>0</v>
      </c>
      <c r="AQ375" s="13" t="n">
        <v>0</v>
      </c>
      <c r="AR375" s="13" t="n">
        <v>0</v>
      </c>
      <c r="AS375" s="13" t="n">
        <v>0</v>
      </c>
      <c r="AT375" s="13" t="n">
        <v>0</v>
      </c>
      <c r="AU375" s="13" t="n">
        <v>0</v>
      </c>
      <c r="AV375" s="13" t="n">
        <v>0</v>
      </c>
      <c r="AW375" s="13" t="n">
        <v>0</v>
      </c>
      <c r="AX375" s="13" t="n">
        <v>0</v>
      </c>
      <c r="AY375" s="13" t="n">
        <v>0</v>
      </c>
      <c r="AZ375" s="13" t="n">
        <f aca="false">IF((AL302+AM302+AN302+AO302+AP302+AQ302+AR302+AS302+AT302+AU302+AV302+AW302)&gt;0,-(AL302+AM302+AN302+AO302+AP302+AQ302+AR302+AS302+AT302+AU302+AV302+AW302)*0.503,0)</f>
        <v>-4522698.68572693</v>
      </c>
      <c r="BA375" s="13" t="n">
        <v>0</v>
      </c>
      <c r="BB375" s="13" t="n">
        <v>0</v>
      </c>
      <c r="BC375" s="13" t="n">
        <v>0</v>
      </c>
      <c r="BD375" s="13" t="n">
        <v>0</v>
      </c>
      <c r="BE375" s="13" t="n">
        <v>0</v>
      </c>
      <c r="BF375" s="13" t="n">
        <v>0</v>
      </c>
      <c r="BG375" s="13" t="n">
        <v>0</v>
      </c>
      <c r="BH375" s="13" t="n">
        <v>0</v>
      </c>
      <c r="BI375" s="13" t="n">
        <v>0</v>
      </c>
      <c r="BJ375" s="13" t="n">
        <v>0</v>
      </c>
      <c r="BK375" s="13" t="n">
        <v>0</v>
      </c>
      <c r="BL375" s="13" t="n">
        <f aca="false">IF((AX302+AY302+AZ302+BA302+BB302+BC302+BD302+BE302+BF302+BG302+BH302+BI302)&gt;0,-(AX302+AY302+AZ302+BA302+BB302+BC302+BD302+BE302+BF302+BG302+BH302+BI302)*0.503,0)</f>
        <v>-3591855.46015754</v>
      </c>
      <c r="BM375" s="13" t="n">
        <v>0</v>
      </c>
      <c r="BN375" s="13" t="n">
        <v>0</v>
      </c>
      <c r="BO375" s="13" t="n">
        <v>0</v>
      </c>
      <c r="BP375" s="13" t="n">
        <v>0</v>
      </c>
      <c r="BQ375" s="13" t="n">
        <v>0</v>
      </c>
      <c r="BR375" s="13" t="n">
        <v>0</v>
      </c>
      <c r="BS375" s="13" t="n">
        <v>0</v>
      </c>
      <c r="BT375" s="13" t="n">
        <v>0</v>
      </c>
      <c r="BU375" s="13" t="n">
        <v>0</v>
      </c>
      <c r="BV375" s="13" t="n">
        <v>0</v>
      </c>
      <c r="BW375" s="13" t="n">
        <v>0</v>
      </c>
      <c r="BX375" s="13" t="n">
        <f aca="false">IF((BJ302+BK302+BL302+BM302+BN302+BO302+BP302+BQ302+BR302+BS302+BT302+BU302)&gt;0,-(BJ302+BK302+BL302+BM302+BN302+BO302+BP302+BQ302+BR302+BS302+BT302+BU302)*0.503,0)</f>
        <v>-1326311.01606393</v>
      </c>
      <c r="BY375" s="13" t="n">
        <v>0</v>
      </c>
      <c r="BZ375" s="13" t="n">
        <v>0</v>
      </c>
      <c r="CA375" s="13" t="n">
        <v>0</v>
      </c>
      <c r="CB375" s="13" t="n">
        <v>0</v>
      </c>
      <c r="CC375" s="13" t="n">
        <v>0</v>
      </c>
      <c r="CD375" s="13" t="n">
        <v>0</v>
      </c>
      <c r="CE375" s="13" t="n">
        <v>0</v>
      </c>
      <c r="CF375" s="13" t="n">
        <v>0</v>
      </c>
      <c r="CG375" s="13" t="n">
        <v>0</v>
      </c>
      <c r="CH375" s="13" t="n">
        <v>0</v>
      </c>
      <c r="CI375" s="13" t="n">
        <v>0</v>
      </c>
      <c r="CJ375" s="13" t="n">
        <f aca="false">IF((BV302+BW302+BX302+BY302+BZ302+CA302+CB302+CC302+CD302+CE302+CF302+CG302)&gt;0,-(BV302+BW302+BX302+BY302+BZ302+CA302+CB302+CC302+CD302+CE302+CF302+CG302)*0.503,0)</f>
        <v>0</v>
      </c>
      <c r="CK375" s="13" t="n">
        <v>0</v>
      </c>
      <c r="CL375" s="13" t="n">
        <v>0</v>
      </c>
      <c r="CM375" s="13" t="n">
        <v>0</v>
      </c>
      <c r="CN375" s="13" t="n">
        <v>0</v>
      </c>
      <c r="CO375" s="13" t="n">
        <v>0</v>
      </c>
      <c r="CP375" s="13" t="n">
        <v>0</v>
      </c>
      <c r="CQ375" s="13" t="n">
        <v>0</v>
      </c>
      <c r="CR375" s="13" t="n">
        <v>0</v>
      </c>
      <c r="CS375" s="13" t="n">
        <v>0</v>
      </c>
      <c r="CT375" s="13" t="n">
        <v>0</v>
      </c>
      <c r="CU375" s="13" t="n">
        <v>0</v>
      </c>
      <c r="CV375" s="13" t="n">
        <v>0</v>
      </c>
      <c r="CW375" s="13" t="n">
        <v>0</v>
      </c>
      <c r="CX375" s="13" t="n">
        <v>0</v>
      </c>
      <c r="CY375" s="13" t="n">
        <v>0</v>
      </c>
      <c r="CZ375" s="13" t="n">
        <v>0</v>
      </c>
      <c r="DA375" s="13" t="n">
        <v>0</v>
      </c>
      <c r="DB375" s="13" t="n">
        <v>0</v>
      </c>
      <c r="DC375" s="13" t="n">
        <v>0</v>
      </c>
      <c r="DD375" s="13" t="n">
        <v>0</v>
      </c>
      <c r="DE375" s="13" t="n">
        <v>0</v>
      </c>
    </row>
    <row r="376" customFormat="false" ht="15" hidden="false" customHeight="true" outlineLevel="0" collapsed="false">
      <c r="A376" s="67" t="s">
        <v>199</v>
      </c>
      <c r="B376" s="68"/>
      <c r="C376" s="68"/>
      <c r="D376" s="68"/>
      <c r="E376" s="68"/>
      <c r="F376" s="68"/>
      <c r="G376" s="68"/>
      <c r="H376" s="68"/>
      <c r="I376" s="68"/>
      <c r="J376" s="68" t="n">
        <f aca="false">J363+J371+J375</f>
        <v>1626283.60557404</v>
      </c>
      <c r="K376" s="68" t="n">
        <f aca="false">K363+K371+K375</f>
        <v>1976456.74750204</v>
      </c>
      <c r="L376" s="68" t="n">
        <f aca="false">L363+L371+L375</f>
        <v>2266472.27886452</v>
      </c>
      <c r="M376" s="68" t="n">
        <f aca="false">M363+M371+M375</f>
        <v>2229655.31378602</v>
      </c>
      <c r="N376" s="68" t="n">
        <f aca="false">N363+N371+N375</f>
        <v>1011912.51400583</v>
      </c>
      <c r="O376" s="68" t="n">
        <f aca="false">O363+O371+O375</f>
        <v>1158372.03957861</v>
      </c>
      <c r="P376" s="68" t="n">
        <f aca="false">P363+P371+P375</f>
        <v>1035927.14377521</v>
      </c>
      <c r="Q376" s="68" t="n">
        <f aca="false">Q363+Q371+Q375</f>
        <v>1273080.75343321</v>
      </c>
      <c r="R376" s="68" t="n">
        <f aca="false">R363+R371+R375</f>
        <v>569027.003346605</v>
      </c>
      <c r="S376" s="68" t="n">
        <f aca="false">S363+S371+S375</f>
        <v>414446.457035525</v>
      </c>
      <c r="T376" s="68" t="n">
        <f aca="false">T363+T371+T375</f>
        <v>271658.154407305</v>
      </c>
      <c r="U376" s="68" t="n">
        <f aca="false">U363+U371+U375</f>
        <v>315448.869792343</v>
      </c>
      <c r="V376" s="68" t="n">
        <f aca="false">V363+V371+V375</f>
        <v>696947.51922418</v>
      </c>
      <c r="W376" s="68" t="n">
        <f aca="false">W363+W371+W375</f>
        <v>1144070.41455602</v>
      </c>
      <c r="X376" s="68" t="n">
        <f aca="false">X363+X371+X375</f>
        <v>1390961.05804491</v>
      </c>
      <c r="Y376" s="68" t="n">
        <f aca="false">Y363+Y371+Y375</f>
        <v>1945413.80334272</v>
      </c>
      <c r="Z376" s="68" t="n">
        <f aca="false">Z363+Z371+Z375</f>
        <v>2342479.46287514</v>
      </c>
      <c r="AA376" s="68" t="n">
        <f aca="false">AA363+AA371+AA375</f>
        <v>2725864.94885489</v>
      </c>
      <c r="AB376" s="68" t="n">
        <f aca="false">AB363+AB371+AB375</f>
        <v>1866838.28720013</v>
      </c>
      <c r="AC376" s="68" t="n">
        <f aca="false">AC363+AC371+AC375</f>
        <v>3951448.34788232</v>
      </c>
      <c r="AD376" s="68" t="n">
        <f aca="false">AD363+AD371+AD375</f>
        <v>4274695.51175236</v>
      </c>
      <c r="AE376" s="68" t="n">
        <f aca="false">AE363+AE371+AE375</f>
        <v>4706393.07480037</v>
      </c>
      <c r="AF376" s="68" t="n">
        <f aca="false">AF363+AF371+AF375</f>
        <v>4719578.21244883</v>
      </c>
      <c r="AG376" s="68" t="n">
        <f aca="false">AG363+AG371+AG375</f>
        <v>5558320.37362134</v>
      </c>
      <c r="AH376" s="68" t="n">
        <f aca="false">AH363+AH371+AH375</f>
        <v>6334937.25271251</v>
      </c>
      <c r="AI376" s="68" t="n">
        <f aca="false">AI363+AI371+AI375</f>
        <v>7020381.15984179</v>
      </c>
      <c r="AJ376" s="68" t="n">
        <f aca="false">AJ363+AJ371+AJ375</f>
        <v>7957579.60974901</v>
      </c>
      <c r="AK376" s="68" t="n">
        <f aca="false">AK363+AK371+AK375</f>
        <v>8709942.20838621</v>
      </c>
      <c r="AL376" s="68" t="n">
        <f aca="false">AL363+AL371+AL375</f>
        <v>9416074.03892762</v>
      </c>
      <c r="AM376" s="68" t="n">
        <f aca="false">AM363+AM371+AM375</f>
        <v>9917180.79659696</v>
      </c>
      <c r="AN376" s="68" t="n">
        <f aca="false">AN363+AN371+AN375</f>
        <v>6800268.77348629</v>
      </c>
      <c r="AO376" s="68" t="n">
        <f aca="false">AO363+AO371+AO375</f>
        <v>11446631.335822</v>
      </c>
      <c r="AP376" s="68" t="n">
        <f aca="false">AP363+AP371+AP375</f>
        <v>12092457.9106455</v>
      </c>
      <c r="AQ376" s="68" t="n">
        <f aca="false">AQ363+AQ371+AQ375</f>
        <v>12437749.4305358</v>
      </c>
      <c r="AR376" s="68" t="n">
        <f aca="false">AR363+AR371+AR375</f>
        <v>13224262.7152094</v>
      </c>
      <c r="AS376" s="68" t="n">
        <f aca="false">AS363+AS371+AS375</f>
        <v>14026651.604383</v>
      </c>
      <c r="AT376" s="68" t="n">
        <f aca="false">AT363+AT371+AT375</f>
        <v>15103270.0193166</v>
      </c>
      <c r="AU376" s="68" t="n">
        <f aca="false">AU363+AU371+AU375</f>
        <v>16234411.5674199</v>
      </c>
      <c r="AV376" s="68" t="n">
        <f aca="false">AV363+AV371+AV375</f>
        <v>16916968.3612249</v>
      </c>
      <c r="AW376" s="68" t="n">
        <f aca="false">AW363+AW371+AW375</f>
        <v>17417531.5413281</v>
      </c>
      <c r="AX376" s="68" t="n">
        <f aca="false">AX363+AX371+AX375</f>
        <v>18006472.7229314</v>
      </c>
      <c r="AY376" s="68" t="n">
        <f aca="false">AY363+AY371+AY375</f>
        <v>18356809.3252049</v>
      </c>
      <c r="AZ376" s="68" t="n">
        <f aca="false">AZ363+AZ371+AZ375</f>
        <v>14516762.9835359</v>
      </c>
      <c r="BA376" s="68" t="n">
        <f aca="false">BA363+BA371+BA375</f>
        <v>19666325.4978769</v>
      </c>
      <c r="BB376" s="68" t="n">
        <f aca="false">BB363+BB371+BB375</f>
        <v>20293699.8410503</v>
      </c>
      <c r="BC376" s="68" t="n">
        <f aca="false">BC363+BC371+BC375</f>
        <v>20684852.9561442</v>
      </c>
      <c r="BD376" s="68" t="n">
        <f aca="false">BD363+BD371+BD375</f>
        <v>21339374.581863</v>
      </c>
      <c r="BE376" s="68" t="n">
        <f aca="false">BE363+BE371+BE375</f>
        <v>21991439.5950542</v>
      </c>
      <c r="BF376" s="68" t="n">
        <f aca="false">BF363+BF371+BF375</f>
        <v>22679874.0932177</v>
      </c>
      <c r="BG376" s="68" t="n">
        <f aca="false">BG363+BG371+BG375</f>
        <v>23330186.9599927</v>
      </c>
      <c r="BH376" s="68" t="n">
        <f aca="false">BH363+BH371+BH375</f>
        <v>24215275.8082455</v>
      </c>
      <c r="BI376" s="68" t="n">
        <f aca="false">BI363+BI371+BI375</f>
        <v>24897548.5069811</v>
      </c>
      <c r="BJ376" s="68" t="n">
        <f aca="false">BJ363+BJ371+BJ375</f>
        <v>25326115.4877878</v>
      </c>
      <c r="BK376" s="68" t="n">
        <f aca="false">BK363+BK371+BK375</f>
        <v>25327092.4770125</v>
      </c>
      <c r="BL376" s="68" t="n">
        <f aca="false">BL363+BL371+BL375</f>
        <v>21995783.8510796</v>
      </c>
      <c r="BM376" s="68" t="n">
        <f aca="false">BM363+BM371+BM375</f>
        <v>25880313.9684111</v>
      </c>
      <c r="BN376" s="68" t="n">
        <f aca="false">BN363+BN371+BN375</f>
        <v>26314068.2158513</v>
      </c>
      <c r="BO376" s="68" t="n">
        <f aca="false">BO363+BO371+BO375</f>
        <v>26676541.9334119</v>
      </c>
      <c r="BP376" s="68" t="n">
        <f aca="false">BP363+BP371+BP375</f>
        <v>26793983.7917761</v>
      </c>
      <c r="BQ376" s="68" t="n">
        <f aca="false">BQ363+BQ371+BQ375</f>
        <v>26937043.9293597</v>
      </c>
      <c r="BR376" s="68" t="n">
        <f aca="false">BR363+BR371+BR375</f>
        <v>27180379.9108116</v>
      </c>
      <c r="BS376" s="68" t="n">
        <f aca="false">BS363+BS371+BS375</f>
        <v>27455029.790737</v>
      </c>
      <c r="BT376" s="68" t="n">
        <f aca="false">BT363+BT371+BT375</f>
        <v>27680813.9029686</v>
      </c>
      <c r="BU376" s="68" t="n">
        <f aca="false">BU363+BU371+BU375</f>
        <v>27875770.5192603</v>
      </c>
      <c r="BV376" s="68" t="n">
        <f aca="false">BV363+BV371+BV375</f>
        <v>27931748.6652665</v>
      </c>
      <c r="BW376" s="68" t="n">
        <f aca="false">BW363+BW371+BW375</f>
        <v>27938573.1307977</v>
      </c>
      <c r="BX376" s="68" t="n">
        <f aca="false">BX363+BX371+BX375</f>
        <v>26574656.3001794</v>
      </c>
      <c r="BY376" s="68" t="n">
        <f aca="false">BY363+BY371+BY375</f>
        <v>27703116.2022991</v>
      </c>
      <c r="BZ376" s="68" t="n">
        <f aca="false">BZ363+BZ371+BZ375</f>
        <v>27455471.9143907</v>
      </c>
      <c r="CA376" s="68" t="n">
        <f aca="false">CA363+CA371+CA375</f>
        <v>27067915.1514822</v>
      </c>
      <c r="CB376" s="68" t="n">
        <f aca="false">CB363+CB371+CB375</f>
        <v>26432009.8885738</v>
      </c>
      <c r="CC376" s="68" t="n">
        <f aca="false">CC363+CC371+CC375</f>
        <v>25796104.6256654</v>
      </c>
      <c r="CD376" s="68" t="n">
        <f aca="false">CD363+CD371+CD375</f>
        <v>25236698.362757</v>
      </c>
      <c r="CE376" s="68" t="n">
        <f aca="false">CE363+CE371+CE375</f>
        <v>24600793.0998485</v>
      </c>
      <c r="CF376" s="68" t="n">
        <f aca="false">CF363+CF371+CF375</f>
        <v>23964887.8369401</v>
      </c>
      <c r="CG376" s="68" t="n">
        <f aca="false">CG363+CG371+CG375</f>
        <v>23405481.5740317</v>
      </c>
      <c r="CH376" s="68" t="n">
        <f aca="false">CH363+CH371+CH375</f>
        <v>22769576.3111233</v>
      </c>
      <c r="CI376" s="68" t="n">
        <f aca="false">CI363+CI371+CI375</f>
        <v>22133671.0482148</v>
      </c>
      <c r="CJ376" s="68" t="n">
        <f aca="false">CJ363+CJ371+CJ375</f>
        <v>21580872.8119129</v>
      </c>
      <c r="CK376" s="68" t="n">
        <f aca="false">CK363+CK371+CK375</f>
        <v>21090210.4437463</v>
      </c>
      <c r="CL376" s="68" t="n">
        <f aca="false">CL363+CL371+CL375</f>
        <v>20599548.0755797</v>
      </c>
      <c r="CM376" s="68" t="n">
        <f aca="false">CM363+CM371+CM375</f>
        <v>20108885.7074131</v>
      </c>
      <c r="CN376" s="68" t="n">
        <f aca="false">CN363+CN371+CN375</f>
        <v>19618223.3392465</v>
      </c>
      <c r="CO376" s="68" t="n">
        <f aca="false">CO363+CO371+CO375</f>
        <v>19127560.9710799</v>
      </c>
      <c r="CP376" s="68" t="n">
        <f aca="false">CP363+CP371+CP375</f>
        <v>18636898.6029134</v>
      </c>
      <c r="CQ376" s="68" t="n">
        <f aca="false">CQ363+CQ371+CQ375</f>
        <v>18146236.2347468</v>
      </c>
      <c r="CR376" s="68" t="n">
        <f aca="false">CR363+CR371+CR375</f>
        <v>17655573.8665802</v>
      </c>
      <c r="CS376" s="68" t="n">
        <f aca="false">CS363+CS371+CS375</f>
        <v>17164911.4984136</v>
      </c>
      <c r="CT376" s="68" t="n">
        <f aca="false">CT363+CT371+CT375</f>
        <v>16735051.2585398</v>
      </c>
      <c r="CU376" s="68" t="n">
        <f aca="false">CU363+CU371+CU375</f>
        <v>16305191.018666</v>
      </c>
      <c r="CV376" s="68" t="n">
        <f aca="false">CV363+CV371+CV375</f>
        <v>15875330.7787921</v>
      </c>
      <c r="CW376" s="68" t="n">
        <f aca="false">CW363+CW371+CW375</f>
        <v>15489524.2651845</v>
      </c>
      <c r="CX376" s="68" t="n">
        <f aca="false">CX363+CX371+CX375</f>
        <v>15121164.6005132</v>
      </c>
      <c r="CY376" s="68" t="n">
        <f aca="false">CY363+CY371+CY375</f>
        <v>14752804.9358419</v>
      </c>
      <c r="CZ376" s="68" t="n">
        <f aca="false">CZ363+CZ371+CZ375</f>
        <v>14384445.2711706</v>
      </c>
      <c r="DA376" s="68" t="n">
        <f aca="false">DA363+DA371+DA375</f>
        <v>14016085.6064993</v>
      </c>
      <c r="DB376" s="68" t="n">
        <f aca="false">DB363+DB371+DB375</f>
        <v>13647725.941828</v>
      </c>
      <c r="DC376" s="68" t="n">
        <f aca="false">DC363+DC371+DC375</f>
        <v>13279366.2771567</v>
      </c>
      <c r="DD376" s="68" t="n">
        <f aca="false">DD363+DD371+DD375</f>
        <v>12911006.6124854</v>
      </c>
      <c r="DE376" s="68" t="n">
        <f aca="false">DE363+DE371+DE375</f>
        <v>12542646.9478141</v>
      </c>
    </row>
    <row r="377" customFormat="false" ht="15" hidden="false" customHeight="true" outlineLevel="0" collapsed="false">
      <c r="A377" s="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c r="AC377" s="13"/>
      <c r="AD377" s="13"/>
      <c r="AE377" s="13"/>
      <c r="AF377" s="13"/>
      <c r="AG377" s="13"/>
      <c r="AH377" s="13"/>
      <c r="AI377" s="13"/>
      <c r="AJ377" s="13"/>
      <c r="AK377" s="13"/>
      <c r="AL377" s="13"/>
      <c r="AM377" s="13"/>
      <c r="AN377" s="13"/>
      <c r="AO377" s="13"/>
      <c r="AP377" s="13"/>
      <c r="AQ377" s="13"/>
      <c r="AR377" s="13"/>
      <c r="AS377" s="13"/>
      <c r="AT377" s="13"/>
      <c r="AU377" s="13"/>
      <c r="AV377" s="13"/>
      <c r="AW377" s="13"/>
      <c r="AX377" s="13"/>
      <c r="AY377" s="13"/>
      <c r="AZ377" s="13"/>
      <c r="BA377" s="13"/>
      <c r="BB377" s="13"/>
      <c r="BC377" s="13"/>
      <c r="BD377" s="13"/>
      <c r="BE377" s="13"/>
      <c r="BF377" s="13"/>
      <c r="BG377" s="13"/>
      <c r="BH377" s="13"/>
      <c r="BI377" s="13"/>
      <c r="BJ377" s="13"/>
      <c r="BK377" s="13"/>
      <c r="BL377" s="13"/>
      <c r="BM377" s="13"/>
      <c r="BN377" s="13"/>
      <c r="BO377" s="13"/>
      <c r="BP377" s="13"/>
      <c r="BQ377" s="13"/>
      <c r="BR377" s="13"/>
      <c r="BS377" s="13"/>
      <c r="BT377" s="13"/>
      <c r="BU377" s="13"/>
      <c r="BV377" s="13"/>
      <c r="BW377" s="13"/>
      <c r="BX377" s="13"/>
      <c r="BY377" s="13"/>
      <c r="BZ377" s="13"/>
      <c r="CA377" s="13"/>
      <c r="CB377" s="13"/>
      <c r="CC377" s="13"/>
      <c r="CD377" s="13"/>
      <c r="CE377" s="13"/>
      <c r="CF377" s="13"/>
      <c r="CG377" s="13"/>
      <c r="CH377" s="13"/>
      <c r="CI377" s="13"/>
      <c r="CJ377" s="13"/>
      <c r="CK377" s="13"/>
      <c r="CL377" s="13"/>
      <c r="CM377" s="13"/>
      <c r="CN377" s="13"/>
      <c r="CO377" s="13"/>
      <c r="CP377" s="13"/>
      <c r="CQ377" s="13"/>
      <c r="CR377" s="13"/>
      <c r="CS377" s="13"/>
      <c r="CT377" s="13"/>
      <c r="CU377" s="13"/>
      <c r="CV377" s="13"/>
      <c r="CW377" s="13"/>
      <c r="CX377" s="13"/>
      <c r="CY377" s="13"/>
      <c r="CZ377" s="13"/>
      <c r="DA377" s="13"/>
      <c r="DB377" s="13"/>
      <c r="DC377" s="13"/>
      <c r="DD377" s="13"/>
      <c r="DE377" s="13"/>
    </row>
    <row r="378" customFormat="false" ht="15" hidden="false" customHeight="true" outlineLevel="0" collapsed="false">
      <c r="A378" s="2" t="s">
        <v>200</v>
      </c>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c r="AC378" s="13"/>
      <c r="AD378" s="13"/>
      <c r="AE378" s="13"/>
      <c r="AF378" s="13"/>
      <c r="AG378" s="13"/>
      <c r="AH378" s="13"/>
      <c r="AI378" s="13"/>
      <c r="AJ378" s="13"/>
      <c r="AK378" s="13"/>
      <c r="AL378" s="13"/>
      <c r="AM378" s="13"/>
      <c r="AN378" s="13"/>
      <c r="AO378" s="13"/>
      <c r="AP378" s="13"/>
      <c r="AQ378" s="13"/>
      <c r="AR378" s="13"/>
      <c r="AS378" s="13"/>
      <c r="AT378" s="13"/>
      <c r="AU378" s="13"/>
      <c r="AV378" s="13"/>
      <c r="AW378" s="13"/>
      <c r="AX378" s="13"/>
      <c r="AY378" s="13"/>
      <c r="AZ378" s="13"/>
      <c r="BA378" s="13"/>
      <c r="BB378" s="13"/>
      <c r="BC378" s="13"/>
      <c r="BD378" s="13"/>
      <c r="BE378" s="13"/>
      <c r="BF378" s="13"/>
      <c r="BG378" s="13"/>
      <c r="BH378" s="13"/>
      <c r="BI378" s="13"/>
      <c r="BJ378" s="13"/>
      <c r="BK378" s="13"/>
      <c r="BL378" s="13"/>
      <c r="BM378" s="13"/>
      <c r="BN378" s="13"/>
      <c r="BO378" s="13"/>
      <c r="BP378" s="13"/>
      <c r="BQ378" s="13"/>
      <c r="BR378" s="13"/>
      <c r="BS378" s="13"/>
      <c r="BT378" s="13"/>
      <c r="BU378" s="13"/>
      <c r="BV378" s="13"/>
      <c r="BW378" s="13"/>
      <c r="BX378" s="13"/>
      <c r="BY378" s="13"/>
      <c r="BZ378" s="13"/>
      <c r="CA378" s="13"/>
      <c r="CB378" s="13"/>
      <c r="CC378" s="13"/>
      <c r="CD378" s="13"/>
      <c r="CE378" s="13"/>
      <c r="CF378" s="13"/>
      <c r="CG378" s="13"/>
      <c r="CH378" s="13"/>
      <c r="CI378" s="13"/>
      <c r="CJ378" s="13"/>
      <c r="CK378" s="13"/>
      <c r="CL378" s="13"/>
      <c r="CM378" s="13"/>
      <c r="CN378" s="13"/>
      <c r="CO378" s="13"/>
      <c r="CP378" s="13"/>
      <c r="CQ378" s="13"/>
      <c r="CR378" s="13"/>
      <c r="CS378" s="13"/>
      <c r="CT378" s="13"/>
      <c r="CU378" s="13"/>
      <c r="CV378" s="13"/>
      <c r="CW378" s="13"/>
      <c r="CX378" s="13"/>
      <c r="CY378" s="13"/>
      <c r="CZ378" s="13"/>
      <c r="DA378" s="13"/>
      <c r="DB378" s="13"/>
      <c r="DC378" s="13"/>
      <c r="DD378" s="13"/>
      <c r="DE378" s="13"/>
    </row>
    <row r="379" customFormat="false" ht="15" hidden="false" customHeight="true" outlineLevel="0" collapsed="false">
      <c r="A379" s="69" t="s">
        <v>201</v>
      </c>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c r="AD379" s="13"/>
      <c r="AE379" s="13"/>
      <c r="AF379" s="13"/>
      <c r="AG379" s="13"/>
      <c r="AH379" s="13"/>
      <c r="AI379" s="13"/>
      <c r="AJ379" s="13"/>
      <c r="AK379" s="13"/>
      <c r="AL379" s="13"/>
      <c r="AM379" s="13"/>
      <c r="AN379" s="13"/>
      <c r="AO379" s="13"/>
      <c r="AP379" s="13"/>
      <c r="AQ379" s="13"/>
      <c r="AR379" s="13"/>
      <c r="AS379" s="13"/>
      <c r="AT379" s="13"/>
      <c r="AU379" s="13"/>
      <c r="AV379" s="13"/>
      <c r="AW379" s="13"/>
      <c r="AX379" s="13"/>
      <c r="AY379" s="13"/>
      <c r="AZ379" s="13"/>
      <c r="BA379" s="13"/>
      <c r="BB379" s="13"/>
      <c r="BC379" s="13"/>
      <c r="BD379" s="13"/>
      <c r="BE379" s="13"/>
      <c r="BF379" s="13"/>
      <c r="BG379" s="13"/>
      <c r="BH379" s="13"/>
      <c r="BI379" s="13"/>
      <c r="BJ379" s="13"/>
      <c r="BK379" s="13"/>
      <c r="BL379" s="13"/>
      <c r="BM379" s="13"/>
      <c r="BN379" s="13"/>
      <c r="BO379" s="13"/>
      <c r="BP379" s="13"/>
      <c r="BQ379" s="13"/>
      <c r="BR379" s="13"/>
      <c r="BS379" s="13"/>
      <c r="BT379" s="13"/>
      <c r="BU379" s="13"/>
      <c r="BV379" s="13"/>
      <c r="BW379" s="13"/>
      <c r="BX379" s="13"/>
      <c r="BY379" s="13"/>
      <c r="BZ379" s="13"/>
      <c r="CA379" s="13"/>
      <c r="CB379" s="13"/>
      <c r="CC379" s="13"/>
      <c r="CD379" s="13"/>
      <c r="CE379" s="13"/>
      <c r="CF379" s="13"/>
      <c r="CG379" s="13"/>
      <c r="CH379" s="13"/>
      <c r="CI379" s="13"/>
      <c r="CJ379" s="13"/>
      <c r="CK379" s="13"/>
      <c r="CL379" s="13"/>
      <c r="CM379" s="13"/>
      <c r="CN379" s="13"/>
      <c r="CO379" s="13"/>
      <c r="CP379" s="13"/>
      <c r="CQ379" s="13"/>
      <c r="CR379" s="13"/>
      <c r="CS379" s="13"/>
      <c r="CT379" s="13"/>
      <c r="CU379" s="13"/>
      <c r="CV379" s="13"/>
      <c r="CW379" s="13"/>
      <c r="CX379" s="13"/>
      <c r="CY379" s="13"/>
      <c r="CZ379" s="13"/>
      <c r="DA379" s="13"/>
      <c r="DB379" s="13"/>
      <c r="DC379" s="13"/>
      <c r="DD379" s="13"/>
      <c r="DE379" s="13"/>
    </row>
    <row r="380" customFormat="false" ht="15" hidden="false" customHeight="true" outlineLevel="0" collapsed="false">
      <c r="A380" s="70" t="s">
        <v>202</v>
      </c>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c r="AC380" s="13"/>
      <c r="AD380" s="13"/>
      <c r="AE380" s="13"/>
      <c r="AF380" s="13"/>
      <c r="AG380" s="13"/>
      <c r="AH380" s="13"/>
      <c r="AI380" s="13"/>
      <c r="AJ380" s="13"/>
      <c r="AK380" s="13"/>
      <c r="AL380" s="13"/>
      <c r="AM380" s="13"/>
      <c r="AN380" s="13"/>
      <c r="AO380" s="13"/>
      <c r="AP380" s="13"/>
      <c r="AQ380" s="13"/>
      <c r="AR380" s="13"/>
      <c r="AS380" s="13"/>
      <c r="AT380" s="13"/>
      <c r="AU380" s="13"/>
      <c r="AV380" s="13"/>
      <c r="AW380" s="13"/>
      <c r="AX380" s="13"/>
      <c r="AY380" s="13"/>
      <c r="AZ380" s="13"/>
      <c r="BA380" s="13"/>
      <c r="BB380" s="13"/>
      <c r="BC380" s="13"/>
      <c r="BD380" s="13"/>
      <c r="BE380" s="13"/>
      <c r="BF380" s="13"/>
      <c r="BG380" s="13"/>
      <c r="BH380" s="13"/>
      <c r="BI380" s="13"/>
      <c r="BJ380" s="13"/>
      <c r="BK380" s="13"/>
      <c r="BL380" s="13"/>
      <c r="BM380" s="13"/>
      <c r="BN380" s="13"/>
      <c r="BO380" s="13"/>
      <c r="BP380" s="13"/>
      <c r="BQ380" s="13"/>
      <c r="BR380" s="13"/>
      <c r="BS380" s="13"/>
      <c r="BT380" s="13"/>
      <c r="BU380" s="13"/>
      <c r="BV380" s="13"/>
      <c r="BW380" s="13"/>
      <c r="BX380" s="13"/>
      <c r="BY380" s="13"/>
      <c r="BZ380" s="13"/>
      <c r="CA380" s="13"/>
      <c r="CB380" s="13"/>
      <c r="CC380" s="13"/>
      <c r="CD380" s="13"/>
      <c r="CE380" s="13"/>
      <c r="CF380" s="13"/>
      <c r="CG380" s="13"/>
      <c r="CH380" s="13"/>
      <c r="CI380" s="13"/>
      <c r="CJ380" s="13"/>
      <c r="CK380" s="13"/>
      <c r="CL380" s="13"/>
      <c r="CM380" s="13"/>
      <c r="CN380" s="13"/>
      <c r="CO380" s="13"/>
      <c r="CP380" s="13"/>
      <c r="CQ380" s="13"/>
      <c r="CR380" s="13"/>
      <c r="CS380" s="13"/>
      <c r="CT380" s="13"/>
      <c r="CU380" s="13"/>
      <c r="CV380" s="13"/>
      <c r="CW380" s="13"/>
      <c r="CX380" s="13"/>
      <c r="CY380" s="13"/>
      <c r="CZ380" s="13"/>
      <c r="DA380" s="13"/>
      <c r="DB380" s="13"/>
      <c r="DC380" s="13"/>
      <c r="DD380" s="13"/>
      <c r="DE380" s="13"/>
    </row>
    <row r="381" customFormat="false" ht="15" hidden="false" customHeight="true" outlineLevel="0" collapsed="false">
      <c r="A381" s="70" t="s">
        <v>203</v>
      </c>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B381" s="13"/>
      <c r="AC381" s="13"/>
      <c r="AD381" s="13"/>
      <c r="AE381" s="13"/>
      <c r="AF381" s="13"/>
      <c r="AG381" s="13"/>
      <c r="AH381" s="13"/>
      <c r="AI381" s="13"/>
      <c r="AJ381" s="13"/>
      <c r="AK381" s="13"/>
      <c r="AL381" s="13"/>
      <c r="AM381" s="13"/>
      <c r="AN381" s="13"/>
      <c r="AO381" s="13"/>
      <c r="AP381" s="13"/>
      <c r="AQ381" s="13"/>
      <c r="AR381" s="13"/>
      <c r="AS381" s="13"/>
      <c r="AT381" s="13"/>
      <c r="AU381" s="13"/>
      <c r="AV381" s="13"/>
      <c r="AW381" s="13"/>
      <c r="AX381" s="13"/>
      <c r="AY381" s="13"/>
      <c r="AZ381" s="13"/>
      <c r="BA381" s="13"/>
      <c r="BB381" s="13"/>
      <c r="BC381" s="13"/>
      <c r="BD381" s="13"/>
      <c r="BE381" s="13"/>
      <c r="BF381" s="13"/>
      <c r="BG381" s="13"/>
      <c r="BH381" s="13"/>
      <c r="BI381" s="13"/>
      <c r="BJ381" s="13"/>
      <c r="BK381" s="13"/>
      <c r="BL381" s="13"/>
      <c r="BM381" s="13"/>
      <c r="BN381" s="13"/>
      <c r="BO381" s="13"/>
      <c r="BP381" s="13"/>
      <c r="BQ381" s="13"/>
      <c r="BR381" s="13"/>
      <c r="BS381" s="13"/>
      <c r="BT381" s="13"/>
      <c r="BU381" s="13"/>
      <c r="BV381" s="13"/>
      <c r="BW381" s="13"/>
      <c r="BX381" s="13"/>
      <c r="BY381" s="13"/>
      <c r="BZ381" s="13"/>
      <c r="CA381" s="13"/>
      <c r="CB381" s="13"/>
      <c r="CC381" s="13"/>
      <c r="CD381" s="13"/>
      <c r="CE381" s="13"/>
      <c r="CF381" s="13"/>
      <c r="CG381" s="13"/>
      <c r="CH381" s="13"/>
      <c r="CI381" s="13"/>
      <c r="CJ381" s="13"/>
      <c r="CK381" s="13"/>
      <c r="CL381" s="13"/>
      <c r="CM381" s="13"/>
      <c r="CN381" s="13"/>
      <c r="CO381" s="13"/>
      <c r="CP381" s="13"/>
      <c r="CQ381" s="13"/>
      <c r="CR381" s="13"/>
      <c r="CS381" s="13"/>
      <c r="CT381" s="13"/>
      <c r="CU381" s="13"/>
      <c r="CV381" s="13"/>
      <c r="CW381" s="13"/>
      <c r="CX381" s="13"/>
      <c r="CY381" s="13"/>
      <c r="CZ381" s="13"/>
      <c r="DA381" s="13"/>
      <c r="DB381" s="13"/>
      <c r="DC381" s="13"/>
      <c r="DD381" s="13"/>
      <c r="DE381" s="13"/>
    </row>
    <row r="382" customFormat="false" ht="15" hidden="false" customHeight="true" outlineLevel="0" collapsed="false">
      <c r="A382" s="70" t="s">
        <v>204</v>
      </c>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c r="AC382" s="13"/>
      <c r="AD382" s="13"/>
      <c r="AE382" s="13"/>
      <c r="AF382" s="13"/>
      <c r="AG382" s="13"/>
      <c r="AH382" s="13"/>
      <c r="AI382" s="13"/>
      <c r="AJ382" s="13"/>
      <c r="AK382" s="13"/>
      <c r="AL382" s="13"/>
      <c r="AM382" s="13"/>
      <c r="AN382" s="13"/>
      <c r="AO382" s="13"/>
      <c r="AP382" s="13"/>
      <c r="AQ382" s="13"/>
      <c r="AR382" s="13"/>
      <c r="AS382" s="13"/>
      <c r="AT382" s="13"/>
      <c r="AU382" s="13"/>
      <c r="AV382" s="13"/>
      <c r="AW382" s="13"/>
      <c r="AX382" s="13"/>
      <c r="AY382" s="13"/>
      <c r="AZ382" s="13"/>
      <c r="BA382" s="13"/>
      <c r="BB382" s="13"/>
      <c r="BC382" s="13"/>
      <c r="BD382" s="13"/>
      <c r="BE382" s="13"/>
      <c r="BF382" s="13"/>
      <c r="BG382" s="13"/>
      <c r="BH382" s="13"/>
      <c r="BI382" s="13"/>
      <c r="BJ382" s="13"/>
      <c r="BK382" s="13"/>
      <c r="BL382" s="13"/>
      <c r="BM382" s="13"/>
      <c r="BN382" s="13"/>
      <c r="BO382" s="13"/>
      <c r="BP382" s="13"/>
      <c r="BQ382" s="13"/>
      <c r="BR382" s="13"/>
      <c r="BS382" s="13"/>
      <c r="BT382" s="13"/>
      <c r="BU382" s="13"/>
      <c r="BV382" s="13"/>
      <c r="BW382" s="13"/>
      <c r="BX382" s="13"/>
      <c r="BY382" s="13"/>
      <c r="BZ382" s="13"/>
      <c r="CA382" s="13"/>
      <c r="CB382" s="13"/>
      <c r="CC382" s="13"/>
      <c r="CD382" s="13"/>
      <c r="CE382" s="13"/>
      <c r="CF382" s="13"/>
      <c r="CG382" s="13"/>
      <c r="CH382" s="13"/>
      <c r="CI382" s="13"/>
      <c r="CJ382" s="13"/>
      <c r="CK382" s="13"/>
      <c r="CL382" s="13"/>
      <c r="CM382" s="13"/>
      <c r="CN382" s="13"/>
      <c r="CO382" s="13"/>
      <c r="CP382" s="13"/>
      <c r="CQ382" s="13"/>
      <c r="CR382" s="13"/>
      <c r="CS382" s="13"/>
      <c r="CT382" s="13"/>
      <c r="CU382" s="13"/>
      <c r="CV382" s="13"/>
      <c r="CW382" s="13"/>
      <c r="CX382" s="13"/>
      <c r="CY382" s="13"/>
      <c r="CZ382" s="13"/>
      <c r="DA382" s="13"/>
      <c r="DB382" s="13"/>
      <c r="DC382" s="13"/>
      <c r="DD382" s="13"/>
      <c r="DE382" s="13"/>
    </row>
    <row r="383" customFormat="false" ht="15" hidden="false" customHeight="true" outlineLevel="0" collapsed="false">
      <c r="B383" s="71"/>
      <c r="C383" s="71"/>
      <c r="D383" s="71"/>
      <c r="E383" s="71"/>
      <c r="F383" s="71"/>
      <c r="G383" s="71"/>
      <c r="H383" s="71"/>
      <c r="I383" s="71"/>
      <c r="J383" s="71"/>
      <c r="K383" s="71"/>
      <c r="L383" s="71"/>
      <c r="M383" s="71"/>
      <c r="N383" s="71"/>
      <c r="O383" s="71"/>
      <c r="P383" s="71"/>
      <c r="Q383" s="71"/>
      <c r="R383" s="71"/>
      <c r="S383" s="71"/>
      <c r="T383" s="71"/>
      <c r="U383" s="71"/>
      <c r="V383" s="71"/>
      <c r="W383" s="71"/>
      <c r="X383" s="71"/>
      <c r="Y383" s="71"/>
      <c r="Z383" s="71"/>
      <c r="AA383" s="71"/>
      <c r="AB383" s="71"/>
      <c r="AC383" s="71"/>
      <c r="AD383" s="71"/>
      <c r="AE383" s="71"/>
      <c r="AF383" s="71"/>
      <c r="AG383" s="71"/>
      <c r="AH383" s="71"/>
      <c r="AI383" s="71"/>
      <c r="AJ383" s="71"/>
      <c r="AK383" s="71"/>
      <c r="AL383" s="71"/>
      <c r="AM383" s="71"/>
      <c r="AN383" s="71"/>
      <c r="AO383" s="71"/>
      <c r="AP383" s="71"/>
      <c r="AQ383" s="71"/>
      <c r="AR383" s="71"/>
      <c r="AS383" s="71"/>
      <c r="AT383" s="71"/>
      <c r="AU383" s="71"/>
      <c r="AV383" s="71"/>
      <c r="AW383" s="71"/>
      <c r="AX383" s="71"/>
      <c r="AY383" s="71"/>
      <c r="AZ383" s="71"/>
      <c r="BA383" s="71"/>
      <c r="BB383" s="71"/>
      <c r="BC383" s="71"/>
      <c r="BD383" s="71"/>
      <c r="BE383" s="71"/>
      <c r="BF383" s="71"/>
      <c r="BG383" s="71"/>
      <c r="BH383" s="71"/>
      <c r="BI383" s="71"/>
      <c r="BJ383" s="71"/>
      <c r="BK383" s="71"/>
      <c r="BL383" s="71"/>
      <c r="BM383" s="71"/>
      <c r="BN383" s="71"/>
      <c r="BO383" s="71"/>
      <c r="BP383" s="71"/>
      <c r="BQ383" s="71"/>
      <c r="BR383" s="71"/>
      <c r="BS383" s="71"/>
      <c r="BT383" s="71"/>
      <c r="BU383" s="71"/>
      <c r="BV383" s="71"/>
      <c r="BW383" s="71"/>
      <c r="BX383" s="71"/>
      <c r="BY383" s="71"/>
      <c r="BZ383" s="71"/>
      <c r="CA383" s="71"/>
      <c r="CB383" s="71"/>
      <c r="CC383" s="71"/>
      <c r="CD383" s="71"/>
      <c r="CE383" s="71"/>
      <c r="CF383" s="71"/>
      <c r="CG383" s="71"/>
      <c r="CH383" s="71"/>
      <c r="CI383" s="71"/>
      <c r="CJ383" s="71"/>
      <c r="CK383" s="71"/>
      <c r="CL383" s="71"/>
      <c r="CM383" s="71"/>
      <c r="CN383" s="71"/>
      <c r="CO383" s="71"/>
      <c r="CP383" s="71"/>
      <c r="CQ383" s="71"/>
      <c r="CR383" s="71"/>
      <c r="CS383" s="71"/>
      <c r="CT383" s="71"/>
      <c r="CU383" s="71"/>
      <c r="CV383" s="71"/>
      <c r="CW383" s="71"/>
      <c r="CX383" s="71"/>
      <c r="CY383" s="71"/>
      <c r="CZ383" s="71"/>
      <c r="DA383" s="71"/>
      <c r="DB383" s="71"/>
      <c r="DC383" s="71"/>
      <c r="DD383" s="71"/>
      <c r="DE383" s="71"/>
    </row>
    <row r="384" customFormat="false" ht="15" hidden="false" customHeight="true" outlineLevel="0" collapsed="false">
      <c r="B384" s="71"/>
      <c r="C384" s="71"/>
      <c r="D384" s="71"/>
      <c r="E384" s="71"/>
      <c r="F384" s="71"/>
      <c r="G384" s="71"/>
      <c r="H384" s="71"/>
      <c r="I384" s="71"/>
      <c r="J384" s="71"/>
      <c r="K384" s="71"/>
      <c r="L384" s="71"/>
      <c r="M384" s="71"/>
      <c r="N384" s="71"/>
      <c r="O384" s="71"/>
      <c r="P384" s="71"/>
      <c r="Q384" s="71"/>
      <c r="R384" s="71"/>
      <c r="S384" s="71"/>
      <c r="T384" s="71"/>
      <c r="U384" s="71"/>
      <c r="V384" s="71"/>
      <c r="W384" s="71"/>
      <c r="X384" s="71"/>
      <c r="Y384" s="71"/>
      <c r="Z384" s="71"/>
      <c r="AA384" s="71"/>
      <c r="AB384" s="71"/>
      <c r="AC384" s="71"/>
      <c r="AD384" s="71"/>
      <c r="AE384" s="71"/>
      <c r="AF384" s="71"/>
      <c r="AG384" s="71"/>
      <c r="AH384" s="71"/>
      <c r="AI384" s="71"/>
      <c r="AJ384" s="71"/>
      <c r="AK384" s="71"/>
      <c r="AL384" s="71"/>
      <c r="AM384" s="71"/>
      <c r="AN384" s="71"/>
      <c r="AO384" s="71"/>
      <c r="AP384" s="71"/>
      <c r="AQ384" s="71"/>
      <c r="AR384" s="71"/>
      <c r="AS384" s="71"/>
      <c r="AT384" s="71"/>
      <c r="AU384" s="71"/>
      <c r="AV384" s="71"/>
      <c r="AW384" s="71"/>
      <c r="AX384" s="71"/>
      <c r="AY384" s="71"/>
      <c r="AZ384" s="71"/>
      <c r="BA384" s="71"/>
      <c r="BB384" s="71"/>
      <c r="BC384" s="71"/>
      <c r="BD384" s="71"/>
      <c r="BE384" s="71"/>
      <c r="BF384" s="71"/>
      <c r="BG384" s="71"/>
      <c r="BH384" s="71"/>
      <c r="BI384" s="71"/>
      <c r="BJ384" s="71"/>
      <c r="BK384" s="71"/>
      <c r="BL384" s="71"/>
      <c r="BM384" s="71"/>
      <c r="BN384" s="71"/>
      <c r="BO384" s="71"/>
      <c r="BP384" s="71"/>
      <c r="BQ384" s="71"/>
      <c r="BR384" s="71"/>
      <c r="BS384" s="71"/>
      <c r="BT384" s="71"/>
      <c r="BU384" s="71"/>
      <c r="BV384" s="71"/>
      <c r="BW384" s="71"/>
      <c r="BX384" s="71"/>
      <c r="BY384" s="71"/>
      <c r="BZ384" s="71"/>
      <c r="CA384" s="71"/>
      <c r="CB384" s="71"/>
      <c r="CC384" s="71"/>
      <c r="CD384" s="71"/>
      <c r="CE384" s="71"/>
      <c r="CF384" s="71"/>
      <c r="CG384" s="71"/>
      <c r="CH384" s="71"/>
      <c r="CI384" s="71"/>
      <c r="CJ384" s="71"/>
      <c r="CK384" s="71"/>
      <c r="CL384" s="71"/>
      <c r="CM384" s="71"/>
      <c r="CN384" s="71"/>
      <c r="CO384" s="71"/>
      <c r="CP384" s="71"/>
      <c r="CQ384" s="71"/>
      <c r="CR384" s="71"/>
      <c r="CS384" s="71"/>
      <c r="CT384" s="71"/>
      <c r="CU384" s="71"/>
      <c r="CV384" s="71"/>
      <c r="CW384" s="71"/>
      <c r="CX384" s="71"/>
      <c r="CY384" s="71"/>
      <c r="CZ384" s="71"/>
      <c r="DA384" s="71"/>
      <c r="DB384" s="71"/>
      <c r="DC384" s="71"/>
      <c r="DD384" s="71"/>
      <c r="DE384" s="71"/>
    </row>
    <row r="385" customFormat="false" ht="15" hidden="false" customHeight="true" outlineLevel="0" collapsed="false">
      <c r="A385" s="44" t="s">
        <v>205</v>
      </c>
      <c r="B385" s="39"/>
      <c r="C385" s="39"/>
      <c r="D385" s="39"/>
      <c r="E385" s="39"/>
      <c r="F385" s="39"/>
      <c r="G385" s="39"/>
      <c r="H385" s="39"/>
      <c r="I385" s="39"/>
      <c r="J385" s="39"/>
      <c r="K385" s="39"/>
      <c r="L385" s="39"/>
      <c r="M385" s="39"/>
      <c r="N385" s="39"/>
      <c r="O385" s="39"/>
      <c r="P385" s="39"/>
      <c r="Q385" s="39"/>
      <c r="R385" s="39"/>
      <c r="S385" s="39"/>
      <c r="T385" s="39"/>
      <c r="U385" s="39"/>
      <c r="V385" s="39"/>
      <c r="W385" s="39"/>
      <c r="X385" s="39"/>
      <c r="Y385" s="39"/>
      <c r="Z385" s="39"/>
      <c r="AA385" s="39"/>
      <c r="AB385" s="39"/>
      <c r="AC385" s="39"/>
      <c r="AD385" s="39"/>
      <c r="AE385" s="39"/>
      <c r="AF385" s="39"/>
      <c r="AG385" s="39"/>
      <c r="AH385" s="39"/>
      <c r="AI385" s="39"/>
      <c r="AJ385" s="39"/>
      <c r="AK385" s="39"/>
      <c r="AL385" s="39"/>
      <c r="AM385" s="39"/>
      <c r="AN385" s="39"/>
      <c r="AO385" s="39"/>
      <c r="AP385" s="39"/>
      <c r="AQ385" s="39"/>
      <c r="AR385" s="39"/>
      <c r="AS385" s="39"/>
      <c r="AT385" s="39"/>
      <c r="AU385" s="39"/>
      <c r="AV385" s="39"/>
      <c r="AW385" s="39"/>
      <c r="AX385" s="39"/>
      <c r="AY385" s="39"/>
      <c r="AZ385" s="39"/>
      <c r="BA385" s="39"/>
      <c r="BB385" s="39"/>
      <c r="BC385" s="39"/>
      <c r="BD385" s="39"/>
      <c r="BE385" s="39"/>
      <c r="BF385" s="39"/>
      <c r="BG385" s="39"/>
      <c r="BH385" s="39"/>
      <c r="BI385" s="39"/>
      <c r="BJ385" s="39"/>
      <c r="BK385" s="39"/>
      <c r="BL385" s="39"/>
      <c r="BM385" s="39"/>
      <c r="BN385" s="39"/>
      <c r="BO385" s="39"/>
      <c r="BP385" s="39"/>
      <c r="BQ385" s="39"/>
      <c r="BR385" s="39"/>
      <c r="BS385" s="39"/>
      <c r="BT385" s="39"/>
      <c r="BU385" s="39"/>
      <c r="BV385" s="39"/>
      <c r="BW385" s="39"/>
      <c r="BX385" s="39"/>
      <c r="BY385" s="39"/>
      <c r="BZ385" s="39"/>
      <c r="CA385" s="39"/>
      <c r="CB385" s="39"/>
      <c r="CC385" s="39"/>
      <c r="CD385" s="39"/>
      <c r="CE385" s="39"/>
      <c r="CF385" s="39"/>
      <c r="CG385" s="39"/>
      <c r="CH385" s="39"/>
      <c r="CI385" s="39"/>
      <c r="CJ385" s="39"/>
      <c r="CK385" s="39"/>
      <c r="CL385" s="39"/>
      <c r="CM385" s="39"/>
      <c r="CN385" s="39"/>
      <c r="CO385" s="39"/>
      <c r="CP385" s="39"/>
      <c r="CQ385" s="39"/>
      <c r="CR385" s="39"/>
      <c r="CS385" s="39"/>
      <c r="CT385" s="39"/>
      <c r="CU385" s="39"/>
      <c r="CV385" s="39"/>
      <c r="CW385" s="39"/>
      <c r="CX385" s="39"/>
      <c r="CY385" s="39"/>
      <c r="CZ385" s="39"/>
      <c r="DA385" s="39"/>
      <c r="DB385" s="39"/>
      <c r="DC385" s="39"/>
      <c r="DD385" s="39"/>
      <c r="DE385" s="39"/>
    </row>
    <row r="386" customFormat="false" ht="15" hidden="false" customHeight="true" outlineLevel="0" collapsed="false">
      <c r="A386" s="70" t="s">
        <v>206</v>
      </c>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c r="AD386" s="13"/>
      <c r="AE386" s="13"/>
      <c r="AF386" s="13"/>
      <c r="AG386" s="13"/>
      <c r="AH386" s="13"/>
      <c r="AI386" s="13"/>
      <c r="AJ386" s="13"/>
      <c r="AK386" s="13"/>
      <c r="AL386" s="13"/>
      <c r="AM386" s="13"/>
      <c r="AN386" s="13"/>
      <c r="AO386" s="13"/>
      <c r="AP386" s="13"/>
      <c r="AQ386" s="13"/>
      <c r="AR386" s="13"/>
      <c r="AS386" s="13"/>
      <c r="AT386" s="13"/>
      <c r="AU386" s="13"/>
      <c r="AV386" s="13"/>
      <c r="AW386" s="13"/>
      <c r="AX386" s="13"/>
      <c r="AY386" s="13"/>
      <c r="AZ386" s="13"/>
      <c r="BA386" s="13"/>
      <c r="BB386" s="13"/>
      <c r="BC386" s="13"/>
      <c r="BD386" s="13"/>
      <c r="BE386" s="13"/>
      <c r="BF386" s="13"/>
      <c r="BG386" s="13"/>
      <c r="BH386" s="13"/>
      <c r="BI386" s="13"/>
      <c r="BJ386" s="13"/>
      <c r="BK386" s="13"/>
      <c r="BL386" s="13"/>
      <c r="BM386" s="13"/>
      <c r="BN386" s="13"/>
      <c r="BO386" s="13"/>
      <c r="BP386" s="13"/>
      <c r="BQ386" s="13"/>
      <c r="BR386" s="13"/>
      <c r="BS386" s="13"/>
      <c r="BT386" s="13"/>
      <c r="BU386" s="13"/>
      <c r="BV386" s="13"/>
      <c r="BW386" s="13"/>
      <c r="BX386" s="13"/>
      <c r="BY386" s="13"/>
      <c r="BZ386" s="13"/>
      <c r="CA386" s="13"/>
      <c r="CB386" s="13"/>
      <c r="CC386" s="13"/>
      <c r="CD386" s="13"/>
      <c r="CE386" s="13"/>
      <c r="CF386" s="13"/>
      <c r="CG386" s="13"/>
      <c r="CH386" s="13"/>
      <c r="CI386" s="13"/>
      <c r="CJ386" s="13"/>
      <c r="CK386" s="13"/>
      <c r="CL386" s="13"/>
      <c r="CM386" s="13"/>
      <c r="CN386" s="13"/>
      <c r="CO386" s="13"/>
      <c r="CP386" s="13"/>
      <c r="CQ386" s="13"/>
      <c r="CR386" s="13"/>
      <c r="CS386" s="13"/>
      <c r="CT386" s="13"/>
      <c r="CU386" s="13"/>
      <c r="CV386" s="13"/>
      <c r="CW386" s="13"/>
      <c r="CX386" s="13"/>
      <c r="CY386" s="13"/>
      <c r="CZ386" s="13"/>
      <c r="DA386" s="13"/>
      <c r="DB386" s="13"/>
      <c r="DC386" s="13"/>
      <c r="DD386" s="13"/>
      <c r="DE386" s="13"/>
    </row>
    <row r="387" customFormat="false" ht="15" hidden="false" customHeight="true" outlineLevel="0" collapsed="false">
      <c r="A387" s="70" t="s">
        <v>207</v>
      </c>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c r="AD387" s="13"/>
      <c r="AE387" s="13"/>
      <c r="AF387" s="13"/>
      <c r="AG387" s="13"/>
      <c r="AH387" s="13"/>
      <c r="AI387" s="13"/>
      <c r="AJ387" s="13"/>
      <c r="AK387" s="13"/>
      <c r="AL387" s="13"/>
      <c r="AM387" s="13"/>
      <c r="AN387" s="13"/>
      <c r="AO387" s="13"/>
      <c r="AP387" s="13"/>
      <c r="AQ387" s="13"/>
      <c r="AR387" s="13"/>
      <c r="AS387" s="13"/>
      <c r="AT387" s="13"/>
      <c r="AU387" s="13"/>
      <c r="AV387" s="13"/>
      <c r="AW387" s="13"/>
      <c r="AX387" s="13"/>
      <c r="AY387" s="13"/>
      <c r="AZ387" s="13"/>
      <c r="BA387" s="13"/>
      <c r="BB387" s="13"/>
      <c r="BC387" s="13"/>
      <c r="BD387" s="13"/>
      <c r="BE387" s="13"/>
      <c r="BF387" s="13"/>
      <c r="BG387" s="13"/>
      <c r="BH387" s="13"/>
      <c r="BI387" s="13"/>
      <c r="BJ387" s="13"/>
      <c r="BK387" s="13"/>
      <c r="BL387" s="13"/>
      <c r="BM387" s="13"/>
      <c r="BN387" s="13"/>
      <c r="BO387" s="13"/>
      <c r="BP387" s="13"/>
      <c r="BQ387" s="13"/>
      <c r="BR387" s="13"/>
      <c r="BS387" s="13"/>
      <c r="BT387" s="13"/>
      <c r="BU387" s="13"/>
      <c r="BV387" s="13"/>
      <c r="BW387" s="13"/>
      <c r="BX387" s="13"/>
      <c r="BY387" s="13"/>
      <c r="BZ387" s="13"/>
      <c r="CA387" s="13"/>
      <c r="CB387" s="13"/>
      <c r="CC387" s="13"/>
      <c r="CD387" s="13"/>
      <c r="CE387" s="13"/>
      <c r="CF387" s="13"/>
      <c r="CG387" s="13"/>
      <c r="CH387" s="13"/>
      <c r="CI387" s="13"/>
      <c r="CJ387" s="13"/>
      <c r="CK387" s="13"/>
      <c r="CL387" s="13"/>
      <c r="CM387" s="13"/>
      <c r="CN387" s="13"/>
      <c r="CO387" s="13"/>
      <c r="CP387" s="13"/>
      <c r="CQ387" s="13"/>
      <c r="CR387" s="13"/>
      <c r="CS387" s="13"/>
      <c r="CT387" s="13"/>
      <c r="CU387" s="13"/>
      <c r="CV387" s="13"/>
      <c r="CW387" s="13"/>
      <c r="CX387" s="13"/>
      <c r="CY387" s="13"/>
      <c r="CZ387" s="13"/>
      <c r="DA387" s="13"/>
      <c r="DB387" s="13"/>
      <c r="DC387" s="13"/>
      <c r="DD387" s="13"/>
      <c r="DE387" s="13"/>
    </row>
    <row r="388" customFormat="false" ht="15" hidden="false" customHeight="true" outlineLevel="0" collapsed="false">
      <c r="A388" s="72"/>
      <c r="B388" s="71"/>
      <c r="C388" s="71"/>
      <c r="D388" s="71"/>
      <c r="E388" s="71"/>
      <c r="F388" s="71"/>
      <c r="G388" s="71"/>
      <c r="H388" s="71"/>
      <c r="I388" s="71"/>
      <c r="J388" s="71"/>
      <c r="K388" s="71"/>
      <c r="L388" s="71"/>
      <c r="M388" s="71"/>
      <c r="N388" s="71"/>
      <c r="O388" s="71"/>
      <c r="P388" s="71"/>
      <c r="Q388" s="71"/>
      <c r="R388" s="71"/>
      <c r="S388" s="71"/>
      <c r="T388" s="71"/>
      <c r="U388" s="71"/>
      <c r="V388" s="71"/>
      <c r="W388" s="71"/>
      <c r="X388" s="71"/>
      <c r="Y388" s="71"/>
      <c r="Z388" s="71"/>
      <c r="AA388" s="71"/>
      <c r="AB388" s="71"/>
      <c r="AC388" s="71"/>
      <c r="AD388" s="71"/>
      <c r="AE388" s="71"/>
      <c r="AF388" s="71"/>
      <c r="AG388" s="71"/>
      <c r="AH388" s="71"/>
      <c r="AI388" s="71"/>
      <c r="AJ388" s="71"/>
      <c r="AK388" s="71"/>
      <c r="AL388" s="71"/>
      <c r="AM388" s="71"/>
      <c r="AN388" s="71"/>
      <c r="AO388" s="71"/>
      <c r="AP388" s="71"/>
      <c r="AQ388" s="71"/>
      <c r="AR388" s="71"/>
      <c r="AS388" s="71"/>
      <c r="AT388" s="71"/>
      <c r="AU388" s="71"/>
      <c r="AV388" s="71"/>
      <c r="AW388" s="71"/>
      <c r="AX388" s="71"/>
      <c r="AY388" s="71"/>
      <c r="AZ388" s="71"/>
      <c r="BA388" s="71"/>
      <c r="BB388" s="71"/>
      <c r="BC388" s="71"/>
      <c r="BD388" s="71"/>
      <c r="BE388" s="71"/>
      <c r="BF388" s="71"/>
      <c r="BG388" s="71"/>
      <c r="BH388" s="71"/>
      <c r="BI388" s="71"/>
      <c r="BJ388" s="71"/>
      <c r="BK388" s="71"/>
      <c r="BL388" s="71"/>
      <c r="BM388" s="71"/>
      <c r="BN388" s="71"/>
      <c r="BO388" s="71"/>
      <c r="BP388" s="71"/>
      <c r="BQ388" s="71"/>
      <c r="BR388" s="71"/>
      <c r="BS388" s="71"/>
      <c r="BT388" s="71"/>
      <c r="BU388" s="71"/>
      <c r="BV388" s="71"/>
      <c r="BW388" s="71"/>
      <c r="BX388" s="71"/>
      <c r="BY388" s="71"/>
      <c r="BZ388" s="71"/>
      <c r="CA388" s="71"/>
      <c r="CB388" s="71"/>
      <c r="CC388" s="71"/>
      <c r="CD388" s="71"/>
      <c r="CE388" s="71"/>
      <c r="CF388" s="71"/>
      <c r="CG388" s="71"/>
      <c r="CH388" s="71"/>
      <c r="CI388" s="71"/>
      <c r="CJ388" s="71"/>
      <c r="CK388" s="71"/>
      <c r="CL388" s="71"/>
      <c r="CM388" s="71"/>
      <c r="CN388" s="71"/>
      <c r="CO388" s="71"/>
      <c r="CP388" s="71"/>
      <c r="CQ388" s="71"/>
      <c r="CR388" s="71"/>
      <c r="CS388" s="71"/>
      <c r="CT388" s="71"/>
      <c r="CU388" s="71"/>
      <c r="CV388" s="71"/>
      <c r="CW388" s="71"/>
      <c r="CX388" s="71"/>
      <c r="CY388" s="71"/>
      <c r="CZ388" s="71"/>
      <c r="DA388" s="71"/>
      <c r="DB388" s="71"/>
      <c r="DC388" s="71"/>
      <c r="DD388" s="71"/>
      <c r="DE388" s="71"/>
    </row>
    <row r="389" customFormat="false" ht="15" hidden="false" customHeight="true" outlineLevel="0" collapsed="false">
      <c r="A389" s="23" t="s">
        <v>208</v>
      </c>
      <c r="B389" s="34"/>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c r="AA389" s="34"/>
      <c r="AB389" s="34"/>
      <c r="AC389" s="34"/>
      <c r="AD389" s="34"/>
      <c r="AE389" s="34"/>
      <c r="AF389" s="34"/>
      <c r="AG389" s="34"/>
      <c r="AH389" s="34"/>
      <c r="AI389" s="34"/>
      <c r="AJ389" s="34"/>
      <c r="AK389" s="34"/>
      <c r="AL389" s="34"/>
      <c r="AM389" s="34"/>
      <c r="AN389" s="34"/>
      <c r="AO389" s="34"/>
      <c r="AP389" s="34"/>
      <c r="AQ389" s="34"/>
      <c r="AR389" s="34"/>
      <c r="AS389" s="34"/>
      <c r="AT389" s="34"/>
      <c r="AU389" s="34"/>
      <c r="AV389" s="34"/>
      <c r="AW389" s="34"/>
      <c r="AX389" s="34"/>
      <c r="AY389" s="34"/>
      <c r="AZ389" s="34"/>
      <c r="BA389" s="34"/>
      <c r="BB389" s="34"/>
      <c r="BC389" s="34"/>
      <c r="BD389" s="34"/>
      <c r="BE389" s="34"/>
      <c r="BF389" s="34"/>
      <c r="BG389" s="34"/>
      <c r="BH389" s="34"/>
      <c r="BI389" s="34"/>
      <c r="BJ389" s="34"/>
      <c r="BK389" s="34"/>
      <c r="BL389" s="34"/>
      <c r="BM389" s="34"/>
      <c r="BN389" s="34"/>
      <c r="BO389" s="34"/>
      <c r="BP389" s="34"/>
      <c r="BQ389" s="34"/>
      <c r="BR389" s="34"/>
      <c r="BS389" s="34"/>
      <c r="BT389" s="34"/>
      <c r="BU389" s="34"/>
      <c r="BV389" s="34"/>
      <c r="BW389" s="34"/>
      <c r="BX389" s="34"/>
      <c r="BY389" s="34"/>
      <c r="BZ389" s="34"/>
      <c r="CA389" s="34"/>
      <c r="CB389" s="34"/>
      <c r="CC389" s="34"/>
      <c r="CD389" s="34"/>
      <c r="CE389" s="34"/>
      <c r="CF389" s="34"/>
      <c r="CG389" s="34"/>
      <c r="CH389" s="34"/>
      <c r="CI389" s="34"/>
      <c r="CJ389" s="34"/>
      <c r="CK389" s="34"/>
      <c r="CL389" s="34"/>
      <c r="CM389" s="34"/>
      <c r="CN389" s="34"/>
      <c r="CO389" s="34"/>
      <c r="CP389" s="34"/>
      <c r="CQ389" s="34"/>
      <c r="CR389" s="34"/>
      <c r="CS389" s="34"/>
      <c r="CT389" s="34"/>
      <c r="CU389" s="34"/>
      <c r="CV389" s="34"/>
      <c r="CW389" s="34"/>
      <c r="CX389" s="34"/>
      <c r="CY389" s="34"/>
      <c r="CZ389" s="34"/>
      <c r="DA389" s="34"/>
      <c r="DB389" s="34"/>
      <c r="DC389" s="34"/>
      <c r="DD389" s="34"/>
      <c r="DE389" s="34"/>
    </row>
    <row r="390" customFormat="false" ht="15" hidden="false" customHeight="true" outlineLevel="0" collapsed="false">
      <c r="A390" s="22" t="s">
        <v>209</v>
      </c>
      <c r="B390" s="73" t="n">
        <v>680024</v>
      </c>
      <c r="C390" s="73" t="n">
        <v>115848</v>
      </c>
      <c r="D390" s="73" t="n">
        <v>633520</v>
      </c>
      <c r="E390" s="73" t="n">
        <v>394004</v>
      </c>
      <c r="F390" s="73" t="n">
        <v>501967</v>
      </c>
      <c r="G390" s="73" t="n">
        <v>306139</v>
      </c>
      <c r="H390" s="73" t="n">
        <v>283340</v>
      </c>
      <c r="I390" s="13" t="n">
        <v>1287106</v>
      </c>
      <c r="J390" s="13"/>
      <c r="K390" s="13"/>
      <c r="L390" s="13"/>
      <c r="M390" s="13"/>
      <c r="N390" s="13"/>
      <c r="O390" s="13"/>
      <c r="P390" s="13"/>
      <c r="Q390" s="13"/>
      <c r="R390" s="13"/>
      <c r="S390" s="13"/>
      <c r="T390" s="13"/>
      <c r="U390" s="13"/>
      <c r="V390" s="13"/>
      <c r="W390" s="13"/>
      <c r="X390" s="13"/>
      <c r="Y390" s="13"/>
      <c r="Z390" s="13"/>
      <c r="AA390" s="13"/>
      <c r="AB390" s="13"/>
      <c r="AC390" s="13"/>
      <c r="AD390" s="13"/>
      <c r="AE390" s="13"/>
      <c r="AF390" s="13"/>
      <c r="AG390" s="13"/>
      <c r="AH390" s="13"/>
      <c r="AI390" s="13"/>
      <c r="AJ390" s="13"/>
      <c r="AK390" s="13"/>
      <c r="AL390" s="13"/>
      <c r="AM390" s="13"/>
      <c r="AN390" s="13"/>
      <c r="AO390" s="13"/>
      <c r="AP390" s="13"/>
      <c r="AQ390" s="13"/>
      <c r="AR390" s="13"/>
      <c r="AS390" s="13"/>
      <c r="AT390" s="13"/>
      <c r="AU390" s="13"/>
      <c r="AV390" s="13"/>
      <c r="AW390" s="13"/>
      <c r="AX390" s="13"/>
      <c r="AY390" s="13"/>
      <c r="AZ390" s="13"/>
      <c r="BA390" s="13"/>
      <c r="BB390" s="13"/>
      <c r="BC390" s="13"/>
      <c r="BD390" s="13"/>
      <c r="BE390" s="13"/>
      <c r="BF390" s="13"/>
      <c r="BG390" s="13"/>
      <c r="BH390" s="13"/>
      <c r="BI390" s="13"/>
      <c r="BJ390" s="13"/>
      <c r="BK390" s="13"/>
      <c r="BL390" s="13"/>
      <c r="BM390" s="13"/>
      <c r="BN390" s="13"/>
      <c r="BO390" s="13"/>
      <c r="BP390" s="13"/>
      <c r="BQ390" s="13"/>
      <c r="BR390" s="13"/>
      <c r="BS390" s="13"/>
      <c r="BT390" s="13"/>
      <c r="BU390" s="13"/>
      <c r="BV390" s="13"/>
      <c r="BW390" s="13"/>
      <c r="BX390" s="13"/>
      <c r="BY390" s="13"/>
      <c r="BZ390" s="13"/>
      <c r="CA390" s="13"/>
      <c r="CB390" s="13"/>
      <c r="CC390" s="13"/>
      <c r="CD390" s="13"/>
      <c r="CE390" s="13"/>
      <c r="CF390" s="13"/>
      <c r="CG390" s="13"/>
      <c r="CH390" s="13"/>
      <c r="CI390" s="13"/>
      <c r="CJ390" s="13"/>
      <c r="CK390" s="13"/>
      <c r="CL390" s="13"/>
      <c r="CM390" s="13"/>
      <c r="CN390" s="13"/>
      <c r="CO390" s="13"/>
      <c r="CP390" s="13"/>
      <c r="CQ390" s="13"/>
      <c r="CR390" s="13"/>
      <c r="CS390" s="13"/>
      <c r="CT390" s="13"/>
      <c r="CU390" s="13"/>
      <c r="CV390" s="13"/>
      <c r="CW390" s="13"/>
      <c r="CX390" s="13"/>
      <c r="CY390" s="13"/>
      <c r="CZ390" s="13"/>
      <c r="DA390" s="13"/>
      <c r="DB390" s="13"/>
      <c r="DC390" s="13"/>
      <c r="DD390" s="13"/>
      <c r="DE390" s="13"/>
    </row>
    <row r="391" customFormat="false" ht="15" hidden="false" customHeight="true" outlineLevel="0" collapsed="false">
      <c r="A391" s="22" t="s">
        <v>210</v>
      </c>
      <c r="B391" s="73" t="n">
        <v>340025.08</v>
      </c>
      <c r="C391" s="73" t="n">
        <v>-261834.01</v>
      </c>
      <c r="D391" s="73" t="n">
        <v>193556.06</v>
      </c>
      <c r="E391" s="73" t="n">
        <v>189693.03</v>
      </c>
      <c r="F391" s="73" t="n">
        <v>158202.61</v>
      </c>
      <c r="G391" s="73" t="n">
        <v>93567.49</v>
      </c>
      <c r="H391" s="73" t="n">
        <v>-24341.08</v>
      </c>
      <c r="I391" s="13" t="n">
        <v>539859.24</v>
      </c>
      <c r="J391" s="13"/>
      <c r="K391" s="13"/>
      <c r="L391" s="13"/>
      <c r="M391" s="13"/>
      <c r="N391" s="13"/>
      <c r="O391" s="13"/>
      <c r="P391" s="13"/>
      <c r="Q391" s="13"/>
      <c r="R391" s="13"/>
      <c r="S391" s="13"/>
      <c r="T391" s="13"/>
      <c r="U391" s="13"/>
      <c r="V391" s="13"/>
      <c r="W391" s="13"/>
      <c r="X391" s="13"/>
      <c r="Y391" s="13"/>
      <c r="Z391" s="13"/>
      <c r="AA391" s="13"/>
      <c r="AB391" s="13"/>
      <c r="AC391" s="13"/>
      <c r="AD391" s="13"/>
      <c r="AE391" s="13"/>
      <c r="AF391" s="13"/>
      <c r="AG391" s="13"/>
      <c r="AH391" s="13"/>
      <c r="AI391" s="13"/>
      <c r="AJ391" s="13"/>
      <c r="AK391" s="13"/>
      <c r="AL391" s="13"/>
      <c r="AM391" s="13"/>
      <c r="AN391" s="13"/>
      <c r="AO391" s="13"/>
      <c r="AP391" s="13"/>
      <c r="AQ391" s="13"/>
      <c r="AR391" s="13"/>
      <c r="AS391" s="13"/>
      <c r="AT391" s="13"/>
      <c r="AU391" s="13"/>
      <c r="AV391" s="13"/>
      <c r="AW391" s="13"/>
      <c r="AX391" s="13"/>
      <c r="AY391" s="13"/>
      <c r="AZ391" s="13"/>
      <c r="BA391" s="13"/>
      <c r="BB391" s="13"/>
      <c r="BC391" s="13"/>
      <c r="BD391" s="13"/>
      <c r="BE391" s="13"/>
      <c r="BF391" s="13"/>
      <c r="BG391" s="13"/>
      <c r="BH391" s="13"/>
      <c r="BI391" s="13"/>
      <c r="BJ391" s="13"/>
      <c r="BK391" s="13"/>
      <c r="BL391" s="13"/>
      <c r="BM391" s="13"/>
      <c r="BN391" s="13"/>
      <c r="BO391" s="13"/>
      <c r="BP391" s="13"/>
      <c r="BQ391" s="13"/>
      <c r="BR391" s="13"/>
      <c r="BS391" s="13"/>
      <c r="BT391" s="13"/>
      <c r="BU391" s="13"/>
      <c r="BV391" s="13"/>
      <c r="BW391" s="13"/>
      <c r="BX391" s="13"/>
      <c r="BY391" s="13"/>
      <c r="BZ391" s="13"/>
      <c r="CA391" s="13"/>
      <c r="CB391" s="13"/>
      <c r="CC391" s="13"/>
      <c r="CD391" s="13"/>
      <c r="CE391" s="13"/>
      <c r="CF391" s="13"/>
      <c r="CG391" s="13"/>
      <c r="CH391" s="13"/>
      <c r="CI391" s="13"/>
      <c r="CJ391" s="13"/>
      <c r="CK391" s="13"/>
      <c r="CL391" s="13"/>
      <c r="CM391" s="13"/>
      <c r="CN391" s="13"/>
      <c r="CO391" s="13"/>
      <c r="CP391" s="13"/>
      <c r="CQ391" s="13"/>
      <c r="CR391" s="13"/>
      <c r="CS391" s="13"/>
      <c r="CT391" s="13"/>
      <c r="CU391" s="13"/>
      <c r="CV391" s="13"/>
      <c r="CW391" s="13"/>
      <c r="CX391" s="13"/>
      <c r="CY391" s="13"/>
      <c r="CZ391" s="13"/>
      <c r="DA391" s="13"/>
      <c r="DB391" s="13"/>
      <c r="DC391" s="13"/>
      <c r="DD391" s="13"/>
      <c r="DE391" s="13"/>
    </row>
    <row r="392" customFormat="false" ht="15" hidden="false" customHeight="true" outlineLevel="0" collapsed="false">
      <c r="A392" s="22" t="s">
        <v>211</v>
      </c>
      <c r="B392" s="73" t="n">
        <v>250140</v>
      </c>
      <c r="C392" s="73" t="n">
        <v>142.7</v>
      </c>
      <c r="D392" s="73" t="n">
        <v>142.7</v>
      </c>
      <c r="E392" s="73" t="n">
        <v>142.7</v>
      </c>
      <c r="F392" s="73" t="n">
        <v>142.7</v>
      </c>
      <c r="G392" s="73" t="n">
        <v>142.7</v>
      </c>
      <c r="H392" s="73" t="n">
        <v>142.7</v>
      </c>
      <c r="I392" s="13" t="n">
        <v>142.7</v>
      </c>
      <c r="J392" s="13"/>
      <c r="K392" s="13"/>
      <c r="L392" s="13"/>
      <c r="M392" s="13"/>
      <c r="N392" s="13"/>
      <c r="O392" s="13"/>
      <c r="P392" s="13"/>
      <c r="Q392" s="13"/>
      <c r="R392" s="13"/>
      <c r="S392" s="13"/>
      <c r="T392" s="13"/>
      <c r="U392" s="13"/>
      <c r="V392" s="13"/>
      <c r="W392" s="13"/>
      <c r="X392" s="13"/>
      <c r="Y392" s="13"/>
      <c r="Z392" s="13"/>
      <c r="AA392" s="13"/>
      <c r="AB392" s="13"/>
      <c r="AC392" s="13"/>
      <c r="AD392" s="13"/>
      <c r="AE392" s="13"/>
      <c r="AF392" s="13"/>
      <c r="AG392" s="13"/>
      <c r="AH392" s="13"/>
      <c r="AI392" s="13"/>
      <c r="AJ392" s="13"/>
      <c r="AK392" s="13"/>
      <c r="AL392" s="13"/>
      <c r="AM392" s="13"/>
      <c r="AN392" s="13"/>
      <c r="AO392" s="13"/>
      <c r="AP392" s="13"/>
      <c r="AQ392" s="13"/>
      <c r="AR392" s="13"/>
      <c r="AS392" s="13"/>
      <c r="AT392" s="13"/>
      <c r="AU392" s="13"/>
      <c r="AV392" s="13"/>
      <c r="AW392" s="13"/>
      <c r="AX392" s="13"/>
      <c r="AY392" s="13"/>
      <c r="AZ392" s="13"/>
      <c r="BA392" s="13"/>
      <c r="BB392" s="13"/>
      <c r="BC392" s="13"/>
      <c r="BD392" s="13"/>
      <c r="BE392" s="13"/>
      <c r="BF392" s="13"/>
      <c r="BG392" s="13"/>
      <c r="BH392" s="13"/>
      <c r="BI392" s="13"/>
      <c r="BJ392" s="13"/>
      <c r="BK392" s="13"/>
      <c r="BL392" s="13"/>
      <c r="BM392" s="13"/>
      <c r="BN392" s="13"/>
      <c r="BO392" s="13"/>
      <c r="BP392" s="13"/>
      <c r="BQ392" s="13"/>
      <c r="BR392" s="13"/>
      <c r="BS392" s="13"/>
      <c r="BT392" s="13"/>
      <c r="BU392" s="13"/>
      <c r="BV392" s="13"/>
      <c r="BW392" s="13"/>
      <c r="BX392" s="13"/>
      <c r="BY392" s="13"/>
      <c r="BZ392" s="13"/>
      <c r="CA392" s="13"/>
      <c r="CB392" s="13"/>
      <c r="CC392" s="13"/>
      <c r="CD392" s="13"/>
      <c r="CE392" s="13"/>
      <c r="CF392" s="13"/>
      <c r="CG392" s="13"/>
      <c r="CH392" s="13"/>
      <c r="CI392" s="13"/>
      <c r="CJ392" s="13"/>
      <c r="CK392" s="13"/>
      <c r="CL392" s="13"/>
      <c r="CM392" s="13"/>
      <c r="CN392" s="13"/>
      <c r="CO392" s="13"/>
      <c r="CP392" s="13"/>
      <c r="CQ392" s="13"/>
      <c r="CR392" s="13"/>
      <c r="CS392" s="13"/>
      <c r="CT392" s="13"/>
      <c r="CU392" s="13"/>
      <c r="CV392" s="13"/>
      <c r="CW392" s="13"/>
      <c r="CX392" s="13"/>
      <c r="CY392" s="13"/>
      <c r="CZ392" s="13"/>
      <c r="DA392" s="13"/>
      <c r="DB392" s="13"/>
      <c r="DC392" s="13"/>
      <c r="DD392" s="13"/>
      <c r="DE392" s="13"/>
    </row>
    <row r="393" customFormat="false" ht="15" hidden="false" customHeight="true" outlineLevel="0" collapsed="false">
      <c r="A393" s="22" t="s">
        <v>212</v>
      </c>
      <c r="B393" s="73" t="n">
        <v>89759.22</v>
      </c>
      <c r="C393" s="73" t="n">
        <v>377339.45</v>
      </c>
      <c r="D393" s="73" t="n">
        <v>439621.63</v>
      </c>
      <c r="E393" s="73" t="n">
        <v>203968.72</v>
      </c>
      <c r="F393" s="73" t="n">
        <v>343421.93</v>
      </c>
      <c r="G393" s="73" t="n">
        <v>212228.57</v>
      </c>
      <c r="H393" s="73" t="n">
        <v>307338.39</v>
      </c>
      <c r="I393" s="13" t="n">
        <v>746904.15</v>
      </c>
      <c r="J393" s="13"/>
      <c r="K393" s="13"/>
      <c r="L393" s="13"/>
      <c r="M393" s="13"/>
      <c r="N393" s="13"/>
      <c r="O393" s="13"/>
      <c r="P393" s="13"/>
      <c r="Q393" s="13"/>
      <c r="R393" s="13"/>
      <c r="S393" s="13"/>
      <c r="T393" s="13"/>
      <c r="U393" s="13"/>
      <c r="V393" s="13"/>
      <c r="W393" s="13"/>
      <c r="X393" s="13"/>
      <c r="Y393" s="13"/>
      <c r="Z393" s="13"/>
      <c r="AA393" s="13"/>
      <c r="AB393" s="13"/>
      <c r="AC393" s="13"/>
      <c r="AD393" s="13"/>
      <c r="AE393" s="13"/>
      <c r="AF393" s="13"/>
      <c r="AG393" s="13"/>
      <c r="AH393" s="13"/>
      <c r="AI393" s="13"/>
      <c r="AJ393" s="13"/>
      <c r="AK393" s="13"/>
      <c r="AL393" s="13"/>
      <c r="AM393" s="13"/>
      <c r="AN393" s="13"/>
      <c r="AO393" s="13"/>
      <c r="AP393" s="13"/>
      <c r="AQ393" s="13"/>
      <c r="AR393" s="13"/>
      <c r="AS393" s="13"/>
      <c r="AT393" s="13"/>
      <c r="AU393" s="13"/>
      <c r="AV393" s="13"/>
      <c r="AW393" s="13"/>
      <c r="AX393" s="13"/>
      <c r="AY393" s="13"/>
      <c r="AZ393" s="13"/>
      <c r="BA393" s="13"/>
      <c r="BB393" s="13"/>
      <c r="BC393" s="13"/>
      <c r="BD393" s="13"/>
      <c r="BE393" s="13"/>
      <c r="BF393" s="13"/>
      <c r="BG393" s="13"/>
      <c r="BH393" s="13"/>
      <c r="BI393" s="13"/>
      <c r="BJ393" s="13"/>
      <c r="BK393" s="13"/>
      <c r="BL393" s="13"/>
      <c r="BM393" s="13"/>
      <c r="BN393" s="13"/>
      <c r="BO393" s="13"/>
      <c r="BP393" s="13"/>
      <c r="BQ393" s="13"/>
      <c r="BR393" s="13"/>
      <c r="BS393" s="13"/>
      <c r="BT393" s="13"/>
      <c r="BU393" s="13"/>
      <c r="BV393" s="13"/>
      <c r="BW393" s="13"/>
      <c r="BX393" s="13"/>
      <c r="BY393" s="13"/>
      <c r="BZ393" s="13"/>
      <c r="CA393" s="13"/>
      <c r="CB393" s="13"/>
      <c r="CC393" s="13"/>
      <c r="CD393" s="13"/>
      <c r="CE393" s="13"/>
      <c r="CF393" s="13"/>
      <c r="CG393" s="13"/>
      <c r="CH393" s="13"/>
      <c r="CI393" s="13"/>
      <c r="CJ393" s="13"/>
      <c r="CK393" s="13"/>
      <c r="CL393" s="13"/>
      <c r="CM393" s="13"/>
      <c r="CN393" s="13"/>
      <c r="CO393" s="13"/>
      <c r="CP393" s="13"/>
      <c r="CQ393" s="13"/>
      <c r="CR393" s="13"/>
      <c r="CS393" s="13"/>
      <c r="CT393" s="13"/>
      <c r="CU393" s="13"/>
      <c r="CV393" s="13"/>
      <c r="CW393" s="13"/>
      <c r="CX393" s="13"/>
      <c r="CY393" s="13"/>
      <c r="CZ393" s="13"/>
      <c r="DA393" s="13"/>
      <c r="DB393" s="13"/>
      <c r="DC393" s="13"/>
      <c r="DD393" s="13"/>
      <c r="DE393" s="13"/>
    </row>
    <row r="394" customFormat="false" ht="15" hidden="false" customHeight="true" outlineLevel="0" collapsed="false">
      <c r="A394" s="22" t="s">
        <v>213</v>
      </c>
      <c r="B394" s="73" t="n">
        <v>100</v>
      </c>
      <c r="C394" s="73" t="n">
        <v>200</v>
      </c>
      <c r="D394" s="73" t="n">
        <v>200</v>
      </c>
      <c r="E394" s="73" t="n">
        <v>200</v>
      </c>
      <c r="F394" s="73" t="n">
        <v>200</v>
      </c>
      <c r="G394" s="73" t="n">
        <v>200</v>
      </c>
      <c r="H394" s="73" t="n">
        <v>200</v>
      </c>
      <c r="I394" s="13" t="n">
        <v>200</v>
      </c>
      <c r="J394" s="13"/>
      <c r="K394" s="13"/>
      <c r="L394" s="13"/>
      <c r="M394" s="13"/>
      <c r="N394" s="13"/>
      <c r="O394" s="13"/>
      <c r="P394" s="13"/>
      <c r="Q394" s="13"/>
      <c r="R394" s="13"/>
      <c r="S394" s="13"/>
      <c r="T394" s="13"/>
      <c r="U394" s="13"/>
      <c r="V394" s="13"/>
      <c r="W394" s="13"/>
      <c r="X394" s="13"/>
      <c r="Y394" s="13"/>
      <c r="Z394" s="13"/>
      <c r="AA394" s="13"/>
      <c r="AB394" s="13"/>
      <c r="AC394" s="13"/>
      <c r="AD394" s="13"/>
      <c r="AE394" s="13"/>
      <c r="AF394" s="13"/>
      <c r="AG394" s="13"/>
      <c r="AH394" s="13"/>
      <c r="AI394" s="13"/>
      <c r="AJ394" s="13"/>
      <c r="AK394" s="13"/>
      <c r="AL394" s="13"/>
      <c r="AM394" s="13"/>
      <c r="AN394" s="13"/>
      <c r="AO394" s="13"/>
      <c r="AP394" s="13"/>
      <c r="AQ394" s="13"/>
      <c r="AR394" s="13"/>
      <c r="AS394" s="13"/>
      <c r="AT394" s="13"/>
      <c r="AU394" s="13"/>
      <c r="AV394" s="13"/>
      <c r="AW394" s="13"/>
      <c r="AX394" s="13"/>
      <c r="AY394" s="13"/>
      <c r="AZ394" s="13"/>
      <c r="BA394" s="13"/>
      <c r="BB394" s="13"/>
      <c r="BC394" s="13"/>
      <c r="BD394" s="13"/>
      <c r="BE394" s="13"/>
      <c r="BF394" s="13"/>
      <c r="BG394" s="13"/>
      <c r="BH394" s="13"/>
      <c r="BI394" s="13"/>
      <c r="BJ394" s="13"/>
      <c r="BK394" s="13"/>
      <c r="BL394" s="13"/>
      <c r="BM394" s="13"/>
      <c r="BN394" s="13"/>
      <c r="BO394" s="13"/>
      <c r="BP394" s="13"/>
      <c r="BQ394" s="13"/>
      <c r="BR394" s="13"/>
      <c r="BS394" s="13"/>
      <c r="BT394" s="13"/>
      <c r="BU394" s="13"/>
      <c r="BV394" s="13"/>
      <c r="BW394" s="13"/>
      <c r="BX394" s="13"/>
      <c r="BY394" s="13"/>
      <c r="BZ394" s="13"/>
      <c r="CA394" s="13"/>
      <c r="CB394" s="13"/>
      <c r="CC394" s="13"/>
      <c r="CD394" s="13"/>
      <c r="CE394" s="13"/>
      <c r="CF394" s="13"/>
      <c r="CG394" s="13"/>
      <c r="CH394" s="13"/>
      <c r="CI394" s="13"/>
      <c r="CJ394" s="13"/>
      <c r="CK394" s="13"/>
      <c r="CL394" s="13"/>
      <c r="CM394" s="13"/>
      <c r="CN394" s="13"/>
      <c r="CO394" s="13"/>
      <c r="CP394" s="13"/>
      <c r="CQ394" s="13"/>
      <c r="CR394" s="13"/>
      <c r="CS394" s="13"/>
      <c r="CT394" s="13"/>
      <c r="CU394" s="13"/>
      <c r="CV394" s="13"/>
      <c r="CW394" s="13"/>
      <c r="CX394" s="13"/>
      <c r="CY394" s="13"/>
      <c r="CZ394" s="13"/>
      <c r="DA394" s="13"/>
      <c r="DB394" s="13"/>
      <c r="DC394" s="13"/>
      <c r="DD394" s="13"/>
      <c r="DE394" s="13"/>
    </row>
    <row r="395" customFormat="false" ht="15" hidden="false" customHeight="true" outlineLevel="0" collapsed="false">
      <c r="A395" s="22" t="s">
        <v>214</v>
      </c>
      <c r="B395" s="74" t="n">
        <f aca="false">IF(B390="","",ROUND(SUM(B391:B394)-B390,0))</f>
        <v>0</v>
      </c>
      <c r="C395" s="74" t="n">
        <f aca="false">IF(C390="","",ROUND(SUM(C391:C394)-C390,0))</f>
        <v>0</v>
      </c>
      <c r="D395" s="74" t="n">
        <f aca="false">IF(D390="","",ROUND(SUM(D391:D394)-D390,0))</f>
        <v>0</v>
      </c>
      <c r="E395" s="74" t="n">
        <f aca="false">IF(E390="","",ROUND(SUM(E391:E394)-E390,0))</f>
        <v>0</v>
      </c>
      <c r="F395" s="74" t="n">
        <f aca="false">IF(F390="","",ROUND(SUM(F391:F394)-F390,0))</f>
        <v>0</v>
      </c>
      <c r="G395" s="74" t="n">
        <f aca="false">IF(G390="","",ROUND(SUM(G391:G394)-G390,0))</f>
        <v>-0</v>
      </c>
      <c r="H395" s="74" t="n">
        <f aca="false">IF(H390="","",ROUND(SUM(H391:H394)-H390,0))</f>
        <v>0</v>
      </c>
      <c r="I395" s="74" t="n">
        <f aca="false">IF(I390="","",ROUND(SUM(I391:I394)-I390,0))</f>
        <v>0</v>
      </c>
      <c r="J395" s="74" t="str">
        <f aca="false">IF(J390="","",ROUND(SUM(J391:J394)-J390,0))</f>
        <v/>
      </c>
      <c r="K395" s="74" t="str">
        <f aca="false">IF(K390="","",ROUND(SUM(K391:K394)-K390,0))</f>
        <v/>
      </c>
      <c r="L395" s="74" t="str">
        <f aca="false">IF(L390="","",ROUND(SUM(L391:L394)-L390,0))</f>
        <v/>
      </c>
      <c r="M395" s="74" t="str">
        <f aca="false">IF(M390="","",ROUND(SUM(M391:M394)-M390,0))</f>
        <v/>
      </c>
      <c r="N395" s="74" t="str">
        <f aca="false">IF(N390="","",ROUND(SUM(N391:N394)-N390,0))</f>
        <v/>
      </c>
      <c r="O395" s="74" t="str">
        <f aca="false">IF(O390="","",ROUND(SUM(O391:O394)-O390,0))</f>
        <v/>
      </c>
      <c r="P395" s="74" t="str">
        <f aca="false">IF(P390="","",ROUND(SUM(P391:P394)-P390,0))</f>
        <v/>
      </c>
      <c r="Q395" s="74" t="str">
        <f aca="false">IF(Q390="","",ROUND(SUM(Q391:Q394)-Q390,0))</f>
        <v/>
      </c>
      <c r="R395" s="74" t="str">
        <f aca="false">IF(R390="","",ROUND(SUM(R391:R394)-R390,0))</f>
        <v/>
      </c>
      <c r="S395" s="74" t="str">
        <f aca="false">IF(S390="","",ROUND(SUM(S391:S394)-S390,0))</f>
        <v/>
      </c>
      <c r="T395" s="74" t="str">
        <f aca="false">IF(T390="","",ROUND(SUM(T391:T394)-T390,0))</f>
        <v/>
      </c>
      <c r="U395" s="74" t="str">
        <f aca="false">IF(U390="","",ROUND(SUM(U391:U394)-U390,0))</f>
        <v/>
      </c>
      <c r="V395" s="74" t="str">
        <f aca="false">IF(V390="","",ROUND(SUM(V391:V394)-V390,0))</f>
        <v/>
      </c>
      <c r="W395" s="74" t="str">
        <f aca="false">IF(W390="","",ROUND(SUM(W391:W394)-W390,0))</f>
        <v/>
      </c>
      <c r="X395" s="74" t="str">
        <f aca="false">IF(X390="","",ROUND(SUM(X391:X394)-X390,0))</f>
        <v/>
      </c>
      <c r="Y395" s="74" t="str">
        <f aca="false">IF(Y390="","",ROUND(SUM(Y391:Y394)-Y390,0))</f>
        <v/>
      </c>
      <c r="Z395" s="74" t="str">
        <f aca="false">IF(Z390="","",ROUND(SUM(Z391:Z394)-Z390,0))</f>
        <v/>
      </c>
      <c r="AA395" s="74" t="str">
        <f aca="false">IF(AA390="","",ROUND(SUM(AA391:AA394)-AA390,0))</f>
        <v/>
      </c>
      <c r="AB395" s="74" t="str">
        <f aca="false">IF(AB390="","",ROUND(SUM(AB391:AB394)-AB390,0))</f>
        <v/>
      </c>
      <c r="AC395" s="74" t="str">
        <f aca="false">IF(AC390="","",ROUND(SUM(AC391:AC394)-AC390,0))</f>
        <v/>
      </c>
      <c r="AD395" s="74" t="str">
        <f aca="false">IF(AD390="","",ROUND(SUM(AD391:AD394)-AD390,0))</f>
        <v/>
      </c>
      <c r="AE395" s="74" t="str">
        <f aca="false">IF(AE390="","",ROUND(SUM(AE391:AE394)-AE390,0))</f>
        <v/>
      </c>
      <c r="AF395" s="74" t="str">
        <f aca="false">IF(AF390="","",ROUND(SUM(AF391:AF394)-AF390,0))</f>
        <v/>
      </c>
      <c r="AG395" s="74" t="str">
        <f aca="false">IF(AG390="","",ROUND(SUM(AG391:AG394)-AG390,0))</f>
        <v/>
      </c>
      <c r="AH395" s="74" t="str">
        <f aca="false">IF(AH390="","",ROUND(SUM(AH391:AH394)-AH390,0))</f>
        <v/>
      </c>
      <c r="AI395" s="74" t="str">
        <f aca="false">IF(AI390="","",ROUND(SUM(AI391:AI394)-AI390,0))</f>
        <v/>
      </c>
      <c r="AJ395" s="74" t="str">
        <f aca="false">IF(AJ390="","",ROUND(SUM(AJ391:AJ394)-AJ390,0))</f>
        <v/>
      </c>
      <c r="AK395" s="74" t="str">
        <f aca="false">IF(AK390="","",ROUND(SUM(AK391:AK394)-AK390,0))</f>
        <v/>
      </c>
      <c r="AL395" s="74" t="str">
        <f aca="false">IF(AL390="","",ROUND(SUM(AL391:AL394)-AL390,0))</f>
        <v/>
      </c>
      <c r="AM395" s="74" t="str">
        <f aca="false">IF(AM390="","",ROUND(SUM(AM391:AM394)-AM390,0))</f>
        <v/>
      </c>
      <c r="AN395" s="74" t="str">
        <f aca="false">IF(AN390="","",ROUND(SUM(AN391:AN394)-AN390,0))</f>
        <v/>
      </c>
      <c r="AO395" s="74" t="str">
        <f aca="false">IF(AO390="","",ROUND(SUM(AO391:AO394)-AO390,0))</f>
        <v/>
      </c>
      <c r="AP395" s="74" t="str">
        <f aca="false">IF(AP390="","",ROUND(SUM(AP391:AP394)-AP390,0))</f>
        <v/>
      </c>
      <c r="AQ395" s="74" t="str">
        <f aca="false">IF(AQ390="","",ROUND(SUM(AQ391:AQ394)-AQ390,0))</f>
        <v/>
      </c>
      <c r="AR395" s="74" t="str">
        <f aca="false">IF(AR390="","",ROUND(SUM(AR391:AR394)-AR390,0))</f>
        <v/>
      </c>
      <c r="AS395" s="74" t="str">
        <f aca="false">IF(AS390="","",ROUND(SUM(AS391:AS394)-AS390,0))</f>
        <v/>
      </c>
      <c r="AT395" s="74" t="str">
        <f aca="false">IF(AT390="","",ROUND(SUM(AT391:AT394)-AT390,0))</f>
        <v/>
      </c>
      <c r="AU395" s="74" t="str">
        <f aca="false">IF(AU390="","",ROUND(SUM(AU391:AU394)-AU390,0))</f>
        <v/>
      </c>
      <c r="AV395" s="74" t="str">
        <f aca="false">IF(AV390="","",ROUND(SUM(AV391:AV394)-AV390,0))</f>
        <v/>
      </c>
      <c r="AW395" s="74" t="str">
        <f aca="false">IF(AW390="","",ROUND(SUM(AW391:AW394)-AW390,0))</f>
        <v/>
      </c>
      <c r="AX395" s="74" t="str">
        <f aca="false">IF(AX390="","",ROUND(SUM(AX391:AX394)-AX390,0))</f>
        <v/>
      </c>
      <c r="AY395" s="74" t="str">
        <f aca="false">IF(AY390="","",ROUND(SUM(AY391:AY394)-AY390,0))</f>
        <v/>
      </c>
      <c r="AZ395" s="74" t="str">
        <f aca="false">IF(AZ390="","",ROUND(SUM(AZ391:AZ394)-AZ390,0))</f>
        <v/>
      </c>
      <c r="BA395" s="74" t="str">
        <f aca="false">IF(BA390="","",ROUND(SUM(BA391:BA394)-BA390,0))</f>
        <v/>
      </c>
      <c r="BB395" s="74" t="str">
        <f aca="false">IF(BB390="","",ROUND(SUM(BB391:BB394)-BB390,0))</f>
        <v/>
      </c>
      <c r="BC395" s="74" t="str">
        <f aca="false">IF(BC390="","",ROUND(SUM(BC391:BC394)-BC390,0))</f>
        <v/>
      </c>
      <c r="BD395" s="74" t="str">
        <f aca="false">IF(BD390="","",ROUND(SUM(BD391:BD394)-BD390,0))</f>
        <v/>
      </c>
      <c r="BE395" s="74" t="str">
        <f aca="false">IF(BE390="","",ROUND(SUM(BE391:BE394)-BE390,0))</f>
        <v/>
      </c>
      <c r="BF395" s="74" t="str">
        <f aca="false">IF(BF390="","",ROUND(SUM(BF391:BF394)-BF390,0))</f>
        <v/>
      </c>
      <c r="BG395" s="74" t="str">
        <f aca="false">IF(BG390="","",ROUND(SUM(BG391:BG394)-BG390,0))</f>
        <v/>
      </c>
      <c r="BH395" s="74" t="str">
        <f aca="false">IF(BH390="","",ROUND(SUM(BH391:BH394)-BH390,0))</f>
        <v/>
      </c>
      <c r="BI395" s="74" t="str">
        <f aca="false">IF(BI390="","",ROUND(SUM(BI391:BI394)-BI390,0))</f>
        <v/>
      </c>
      <c r="BJ395" s="74" t="str">
        <f aca="false">IF(BJ390="","",ROUND(SUM(BJ391:BJ394)-BJ390,0))</f>
        <v/>
      </c>
      <c r="BK395" s="74" t="str">
        <f aca="false">IF(BK390="","",ROUND(SUM(BK391:BK394)-BK390,0))</f>
        <v/>
      </c>
      <c r="BL395" s="74" t="str">
        <f aca="false">IF(BL390="","",ROUND(SUM(BL391:BL394)-BL390,0))</f>
        <v/>
      </c>
      <c r="BM395" s="74" t="str">
        <f aca="false">IF(BM390="","",ROUND(SUM(BM391:BM394)-BM390,0))</f>
        <v/>
      </c>
      <c r="BN395" s="74" t="str">
        <f aca="false">IF(BN390="","",ROUND(SUM(BN391:BN394)-BN390,0))</f>
        <v/>
      </c>
      <c r="BO395" s="74" t="str">
        <f aca="false">IF(BO390="","",ROUND(SUM(BO391:BO394)-BO390,0))</f>
        <v/>
      </c>
      <c r="BP395" s="74" t="str">
        <f aca="false">IF(BP390="","",ROUND(SUM(BP391:BP394)-BP390,0))</f>
        <v/>
      </c>
      <c r="BQ395" s="74" t="str">
        <f aca="false">IF(BQ390="","",ROUND(SUM(BQ391:BQ394)-BQ390,0))</f>
        <v/>
      </c>
      <c r="BR395" s="74" t="str">
        <f aca="false">IF(BR390="","",ROUND(SUM(BR391:BR394)-BR390,0))</f>
        <v/>
      </c>
      <c r="BS395" s="74" t="str">
        <f aca="false">IF(BS390="","",ROUND(SUM(BS391:BS394)-BS390,0))</f>
        <v/>
      </c>
      <c r="BT395" s="74" t="str">
        <f aca="false">IF(BT390="","",ROUND(SUM(BT391:BT394)-BT390,0))</f>
        <v/>
      </c>
      <c r="BU395" s="74" t="str">
        <f aca="false">IF(BU390="","",ROUND(SUM(BU391:BU394)-BU390,0))</f>
        <v/>
      </c>
      <c r="BV395" s="74" t="str">
        <f aca="false">IF(BV390="","",ROUND(SUM(BV391:BV394)-BV390,0))</f>
        <v/>
      </c>
      <c r="BW395" s="74" t="str">
        <f aca="false">IF(BW390="","",ROUND(SUM(BW391:BW394)-BW390,0))</f>
        <v/>
      </c>
      <c r="BX395" s="74" t="str">
        <f aca="false">IF(BX390="","",ROUND(SUM(BX391:BX394)-BX390,0))</f>
        <v/>
      </c>
      <c r="BY395" s="74" t="str">
        <f aca="false">IF(BY390="","",ROUND(SUM(BY391:BY394)-BY390,0))</f>
        <v/>
      </c>
      <c r="BZ395" s="74" t="str">
        <f aca="false">IF(BZ390="","",ROUND(SUM(BZ391:BZ394)-BZ390,0))</f>
        <v/>
      </c>
      <c r="CA395" s="74" t="str">
        <f aca="false">IF(CA390="","",ROUND(SUM(CA391:CA394)-CA390,0))</f>
        <v/>
      </c>
      <c r="CB395" s="74" t="str">
        <f aca="false">IF(CB390="","",ROUND(SUM(CB391:CB394)-CB390,0))</f>
        <v/>
      </c>
      <c r="CC395" s="74" t="str">
        <f aca="false">IF(CC390="","",ROUND(SUM(CC391:CC394)-CC390,0))</f>
        <v/>
      </c>
      <c r="CD395" s="74" t="str">
        <f aca="false">IF(CD390="","",ROUND(SUM(CD391:CD394)-CD390,0))</f>
        <v/>
      </c>
      <c r="CE395" s="74" t="str">
        <f aca="false">IF(CE390="","",ROUND(SUM(CE391:CE394)-CE390,0))</f>
        <v/>
      </c>
      <c r="CF395" s="74" t="str">
        <f aca="false">IF(CF390="","",ROUND(SUM(CF391:CF394)-CF390,0))</f>
        <v/>
      </c>
      <c r="CG395" s="74" t="str">
        <f aca="false">IF(CG390="","",ROUND(SUM(CG391:CG394)-CG390,0))</f>
        <v/>
      </c>
      <c r="CH395" s="74" t="str">
        <f aca="false">IF(CH390="","",ROUND(SUM(CH391:CH394)-CH390,0))</f>
        <v/>
      </c>
      <c r="CI395" s="74" t="str">
        <f aca="false">IF(CI390="","",ROUND(SUM(CI391:CI394)-CI390,0))</f>
        <v/>
      </c>
      <c r="CJ395" s="74" t="str">
        <f aca="false">IF(CJ390="","",ROUND(SUM(CJ391:CJ394)-CJ390,0))</f>
        <v/>
      </c>
      <c r="CK395" s="74" t="str">
        <f aca="false">IF(CK390="","",ROUND(SUM(CK391:CK394)-CK390,0))</f>
        <v/>
      </c>
      <c r="CL395" s="74" t="str">
        <f aca="false">IF(CL390="","",ROUND(SUM(CL391:CL394)-CL390,0))</f>
        <v/>
      </c>
      <c r="CM395" s="74" t="str">
        <f aca="false">IF(CM390="","",ROUND(SUM(CM391:CM394)-CM390,0))</f>
        <v/>
      </c>
      <c r="CN395" s="74" t="str">
        <f aca="false">IF(CN390="","",ROUND(SUM(CN391:CN394)-CN390,0))</f>
        <v/>
      </c>
      <c r="CO395" s="74" t="str">
        <f aca="false">IF(CO390="","",ROUND(SUM(CO391:CO394)-CO390,0))</f>
        <v/>
      </c>
      <c r="CP395" s="74" t="str">
        <f aca="false">IF(CP390="","",ROUND(SUM(CP391:CP394)-CP390,0))</f>
        <v/>
      </c>
      <c r="CQ395" s="74" t="str">
        <f aca="false">IF(CQ390="","",ROUND(SUM(CQ391:CQ394)-CQ390,0))</f>
        <v/>
      </c>
      <c r="CR395" s="74" t="str">
        <f aca="false">IF(CR390="","",ROUND(SUM(CR391:CR394)-CR390,0))</f>
        <v/>
      </c>
      <c r="CS395" s="74" t="str">
        <f aca="false">IF(CS390="","",ROUND(SUM(CS391:CS394)-CS390,0))</f>
        <v/>
      </c>
      <c r="CT395" s="74" t="str">
        <f aca="false">IF(CT390="","",ROUND(SUM(CT391:CT394)-CT390,0))</f>
        <v/>
      </c>
      <c r="CU395" s="74" t="str">
        <f aca="false">IF(CU390="","",ROUND(SUM(CU391:CU394)-CU390,0))</f>
        <v/>
      </c>
      <c r="CV395" s="74" t="str">
        <f aca="false">IF(CV390="","",ROUND(SUM(CV391:CV394)-CV390,0))</f>
        <v/>
      </c>
      <c r="CW395" s="74" t="str">
        <f aca="false">IF(CW390="","",ROUND(SUM(CW391:CW394)-CW390,0))</f>
        <v/>
      </c>
      <c r="CX395" s="74" t="str">
        <f aca="false">IF(CX390="","",ROUND(SUM(CX391:CX394)-CX390,0))</f>
        <v/>
      </c>
      <c r="CY395" s="74" t="str">
        <f aca="false">IF(CY390="","",ROUND(SUM(CY391:CY394)-CY390,0))</f>
        <v/>
      </c>
      <c r="CZ395" s="74" t="str">
        <f aca="false">IF(CZ390="","",ROUND(SUM(CZ391:CZ394)-CZ390,0))</f>
        <v/>
      </c>
      <c r="DA395" s="74" t="str">
        <f aca="false">IF(DA390="","",ROUND(SUM(DA391:DA394)-DA390,0))</f>
        <v/>
      </c>
      <c r="DB395" s="74" t="str">
        <f aca="false">IF(DB390="","",ROUND(SUM(DB391:DB394)-DB390,0))</f>
        <v/>
      </c>
      <c r="DC395" s="74" t="str">
        <f aca="false">IF(DC390="","",ROUND(SUM(DC391:DC394)-DC390,0))</f>
        <v/>
      </c>
      <c r="DD395" s="74" t="str">
        <f aca="false">IF(DD390="","",ROUND(SUM(DD391:DD394)-DD390,0))</f>
        <v/>
      </c>
      <c r="DE395" s="74" t="str">
        <f aca="false">IF(DE390="","",ROUND(SUM(DE391:DE394)-DE390,0))</f>
        <v/>
      </c>
    </row>
    <row r="396" customFormat="false" ht="15" hidden="false" customHeight="true" outlineLevel="0" collapsed="false">
      <c r="A396" s="22" t="s">
        <v>215</v>
      </c>
      <c r="B396" s="73" t="n">
        <v>378187</v>
      </c>
      <c r="C396" s="73" t="n">
        <v>110882</v>
      </c>
      <c r="D396" s="73" t="n">
        <v>171148</v>
      </c>
      <c r="E396" s="73" t="n">
        <v>368691</v>
      </c>
      <c r="F396" s="73" t="n">
        <v>343251</v>
      </c>
      <c r="G396" s="73" t="n">
        <v>665368</v>
      </c>
      <c r="H396" s="73" t="n">
        <v>122223</v>
      </c>
      <c r="I396" s="13" t="n">
        <v>658190</v>
      </c>
      <c r="J396" s="13"/>
      <c r="K396" s="13"/>
      <c r="L396" s="13"/>
      <c r="M396" s="13"/>
      <c r="N396" s="13"/>
      <c r="O396" s="13"/>
      <c r="P396" s="13"/>
      <c r="Q396" s="13"/>
      <c r="R396" s="13"/>
      <c r="S396" s="13"/>
      <c r="T396" s="13"/>
      <c r="U396" s="13"/>
      <c r="V396" s="13"/>
      <c r="W396" s="13"/>
      <c r="X396" s="13"/>
      <c r="Y396" s="13"/>
      <c r="Z396" s="13"/>
      <c r="AA396" s="13"/>
      <c r="AB396" s="13"/>
      <c r="AC396" s="13"/>
      <c r="AD396" s="13"/>
      <c r="AE396" s="13"/>
      <c r="AF396" s="13"/>
      <c r="AG396" s="13"/>
      <c r="AH396" s="13"/>
      <c r="AI396" s="13"/>
      <c r="AJ396" s="13"/>
      <c r="AK396" s="13"/>
      <c r="AL396" s="13"/>
      <c r="AM396" s="13"/>
      <c r="AN396" s="13"/>
      <c r="AO396" s="13"/>
      <c r="AP396" s="13"/>
      <c r="AQ396" s="13"/>
      <c r="AR396" s="13"/>
      <c r="AS396" s="13"/>
      <c r="AT396" s="13"/>
      <c r="AU396" s="13"/>
      <c r="AV396" s="13"/>
      <c r="AW396" s="13"/>
      <c r="AX396" s="13"/>
      <c r="AY396" s="13"/>
      <c r="AZ396" s="13"/>
      <c r="BA396" s="13"/>
      <c r="BB396" s="13"/>
      <c r="BC396" s="13"/>
      <c r="BD396" s="13"/>
      <c r="BE396" s="13"/>
      <c r="BF396" s="13"/>
      <c r="BG396" s="13"/>
      <c r="BH396" s="13"/>
      <c r="BI396" s="13"/>
      <c r="BJ396" s="13"/>
      <c r="BK396" s="13"/>
      <c r="BL396" s="13"/>
      <c r="BM396" s="13"/>
      <c r="BN396" s="13"/>
      <c r="BO396" s="13"/>
      <c r="BP396" s="13"/>
      <c r="BQ396" s="13"/>
      <c r="BR396" s="13"/>
      <c r="BS396" s="13"/>
      <c r="BT396" s="13"/>
      <c r="BU396" s="13"/>
      <c r="BV396" s="13"/>
      <c r="BW396" s="13"/>
      <c r="BX396" s="13"/>
      <c r="BY396" s="13"/>
      <c r="BZ396" s="13"/>
      <c r="CA396" s="13"/>
      <c r="CB396" s="13"/>
      <c r="CC396" s="13"/>
      <c r="CD396" s="13"/>
      <c r="CE396" s="13"/>
      <c r="CF396" s="13"/>
      <c r="CG396" s="13"/>
      <c r="CH396" s="13"/>
      <c r="CI396" s="13"/>
      <c r="CJ396" s="13"/>
      <c r="CK396" s="13"/>
      <c r="CL396" s="13"/>
      <c r="CM396" s="13"/>
      <c r="CN396" s="13"/>
      <c r="CO396" s="13"/>
      <c r="CP396" s="13"/>
      <c r="CQ396" s="13"/>
      <c r="CR396" s="13"/>
      <c r="CS396" s="13"/>
      <c r="CT396" s="13"/>
      <c r="CU396" s="13"/>
      <c r="CV396" s="13"/>
      <c r="CW396" s="13"/>
      <c r="CX396" s="13"/>
      <c r="CY396" s="13"/>
      <c r="CZ396" s="13"/>
      <c r="DA396" s="13"/>
      <c r="DB396" s="13"/>
      <c r="DC396" s="13"/>
      <c r="DD396" s="13"/>
      <c r="DE396" s="13"/>
    </row>
    <row r="397" customFormat="false" ht="15" hidden="false" customHeight="true" outlineLevel="0" collapsed="false">
      <c r="A397" s="22" t="s">
        <v>216</v>
      </c>
      <c r="B397" s="73" t="n">
        <v>369156.23</v>
      </c>
      <c r="C397" s="73" t="n">
        <v>110746.48</v>
      </c>
      <c r="D397" s="73" t="n">
        <v>171012.63</v>
      </c>
      <c r="E397" s="73" t="n">
        <v>368555.41</v>
      </c>
      <c r="F397" s="73" t="n">
        <v>343114.99</v>
      </c>
      <c r="G397" s="73" t="n">
        <v>665232.34</v>
      </c>
      <c r="H397" s="73" t="n">
        <v>122087.33</v>
      </c>
      <c r="I397" s="13" t="n">
        <v>658065.75</v>
      </c>
      <c r="J397" s="13"/>
      <c r="K397" s="13"/>
      <c r="L397" s="13"/>
      <c r="M397" s="13"/>
      <c r="N397" s="13"/>
      <c r="O397" s="13"/>
      <c r="P397" s="13"/>
      <c r="Q397" s="13"/>
      <c r="R397" s="13"/>
      <c r="S397" s="13"/>
      <c r="T397" s="13"/>
      <c r="U397" s="13"/>
      <c r="V397" s="13"/>
      <c r="W397" s="13"/>
      <c r="X397" s="13"/>
      <c r="Y397" s="13"/>
      <c r="Z397" s="13"/>
      <c r="AA397" s="13"/>
      <c r="AB397" s="13"/>
      <c r="AC397" s="13"/>
      <c r="AD397" s="13"/>
      <c r="AE397" s="13"/>
      <c r="AF397" s="13"/>
      <c r="AG397" s="13"/>
      <c r="AH397" s="13"/>
      <c r="AI397" s="13"/>
      <c r="AJ397" s="13"/>
      <c r="AK397" s="13"/>
      <c r="AL397" s="13"/>
      <c r="AM397" s="13"/>
      <c r="AN397" s="13"/>
      <c r="AO397" s="13"/>
      <c r="AP397" s="13"/>
      <c r="AQ397" s="13"/>
      <c r="AR397" s="13"/>
      <c r="AS397" s="13"/>
      <c r="AT397" s="13"/>
      <c r="AU397" s="13"/>
      <c r="AV397" s="13"/>
      <c r="AW397" s="13"/>
      <c r="AX397" s="13"/>
      <c r="AY397" s="13"/>
      <c r="AZ397" s="13"/>
      <c r="BA397" s="13"/>
      <c r="BB397" s="13"/>
      <c r="BC397" s="13"/>
      <c r="BD397" s="13"/>
      <c r="BE397" s="13"/>
      <c r="BF397" s="13"/>
      <c r="BG397" s="13"/>
      <c r="BH397" s="13"/>
      <c r="BI397" s="13"/>
      <c r="BJ397" s="13"/>
      <c r="BK397" s="13"/>
      <c r="BL397" s="13"/>
      <c r="BM397" s="13"/>
      <c r="BN397" s="13"/>
      <c r="BO397" s="13"/>
      <c r="BP397" s="13"/>
      <c r="BQ397" s="13"/>
      <c r="BR397" s="13"/>
      <c r="BS397" s="13"/>
      <c r="BT397" s="13"/>
      <c r="BU397" s="13"/>
      <c r="BV397" s="13"/>
      <c r="BW397" s="13"/>
      <c r="BX397" s="13"/>
      <c r="BY397" s="13"/>
      <c r="BZ397" s="13"/>
      <c r="CA397" s="13"/>
      <c r="CB397" s="13"/>
      <c r="CC397" s="13"/>
      <c r="CD397" s="13"/>
      <c r="CE397" s="13"/>
      <c r="CF397" s="13"/>
      <c r="CG397" s="13"/>
      <c r="CH397" s="13"/>
      <c r="CI397" s="13"/>
      <c r="CJ397" s="13"/>
      <c r="CK397" s="13"/>
      <c r="CL397" s="13"/>
      <c r="CM397" s="13"/>
      <c r="CN397" s="13"/>
      <c r="CO397" s="13"/>
      <c r="CP397" s="13"/>
      <c r="CQ397" s="13"/>
      <c r="CR397" s="13"/>
      <c r="CS397" s="13"/>
      <c r="CT397" s="13"/>
      <c r="CU397" s="13"/>
      <c r="CV397" s="13"/>
      <c r="CW397" s="13"/>
      <c r="CX397" s="13"/>
      <c r="CY397" s="13"/>
      <c r="CZ397" s="13"/>
      <c r="DA397" s="13"/>
      <c r="DB397" s="13"/>
      <c r="DC397" s="13"/>
      <c r="DD397" s="13"/>
      <c r="DE397" s="13"/>
    </row>
    <row r="398" customFormat="false" ht="15" hidden="false" customHeight="true" outlineLevel="0" collapsed="false">
      <c r="A398" s="22" t="s">
        <v>217</v>
      </c>
      <c r="B398" s="73" t="n">
        <v>23.76</v>
      </c>
      <c r="C398" s="73" t="n">
        <v>23.76</v>
      </c>
      <c r="D398" s="73" t="n">
        <v>23.76</v>
      </c>
      <c r="E398" s="73" t="n">
        <v>23.76</v>
      </c>
      <c r="F398" s="73" t="n">
        <v>23.76</v>
      </c>
      <c r="G398" s="73" t="n">
        <v>23.76</v>
      </c>
      <c r="H398" s="73" t="n">
        <v>23.76</v>
      </c>
      <c r="I398" s="13" t="n">
        <v>23.76</v>
      </c>
      <c r="J398" s="13"/>
      <c r="K398" s="13"/>
      <c r="L398" s="13"/>
      <c r="M398" s="13"/>
      <c r="N398" s="13"/>
      <c r="O398" s="13"/>
      <c r="P398" s="13"/>
      <c r="Q398" s="13"/>
      <c r="R398" s="13"/>
      <c r="S398" s="13"/>
      <c r="T398" s="13"/>
      <c r="U398" s="13"/>
      <c r="V398" s="13"/>
      <c r="W398" s="13"/>
      <c r="X398" s="13"/>
      <c r="Y398" s="13"/>
      <c r="Z398" s="13"/>
      <c r="AA398" s="13"/>
      <c r="AB398" s="13"/>
      <c r="AC398" s="13"/>
      <c r="AD398" s="13"/>
      <c r="AE398" s="13"/>
      <c r="AF398" s="13"/>
      <c r="AG398" s="13"/>
      <c r="AH398" s="13"/>
      <c r="AI398" s="13"/>
      <c r="AJ398" s="13"/>
      <c r="AK398" s="13"/>
      <c r="AL398" s="13"/>
      <c r="AM398" s="13"/>
      <c r="AN398" s="13"/>
      <c r="AO398" s="13"/>
      <c r="AP398" s="13"/>
      <c r="AQ398" s="13"/>
      <c r="AR398" s="13"/>
      <c r="AS398" s="13"/>
      <c r="AT398" s="13"/>
      <c r="AU398" s="13"/>
      <c r="AV398" s="13"/>
      <c r="AW398" s="13"/>
      <c r="AX398" s="13"/>
      <c r="AY398" s="13"/>
      <c r="AZ398" s="13"/>
      <c r="BA398" s="13"/>
      <c r="BB398" s="13"/>
      <c r="BC398" s="13"/>
      <c r="BD398" s="13"/>
      <c r="BE398" s="13"/>
      <c r="BF398" s="13"/>
      <c r="BG398" s="13"/>
      <c r="BH398" s="13"/>
      <c r="BI398" s="13"/>
      <c r="BJ398" s="13"/>
      <c r="BK398" s="13"/>
      <c r="BL398" s="13"/>
      <c r="BM398" s="13"/>
      <c r="BN398" s="13"/>
      <c r="BO398" s="13"/>
      <c r="BP398" s="13"/>
      <c r="BQ398" s="13"/>
      <c r="BR398" s="13"/>
      <c r="BS398" s="13"/>
      <c r="BT398" s="13"/>
      <c r="BU398" s="13"/>
      <c r="BV398" s="13"/>
      <c r="BW398" s="13"/>
      <c r="BX398" s="13"/>
      <c r="BY398" s="13"/>
      <c r="BZ398" s="13"/>
      <c r="CA398" s="13"/>
      <c r="CB398" s="13"/>
      <c r="CC398" s="13"/>
      <c r="CD398" s="13"/>
      <c r="CE398" s="13"/>
      <c r="CF398" s="13"/>
      <c r="CG398" s="13"/>
      <c r="CH398" s="13"/>
      <c r="CI398" s="13"/>
      <c r="CJ398" s="13"/>
      <c r="CK398" s="13"/>
      <c r="CL398" s="13"/>
      <c r="CM398" s="13"/>
      <c r="CN398" s="13"/>
      <c r="CO398" s="13"/>
      <c r="CP398" s="13"/>
      <c r="CQ398" s="13"/>
      <c r="CR398" s="13"/>
      <c r="CS398" s="13"/>
      <c r="CT398" s="13"/>
      <c r="CU398" s="13"/>
      <c r="CV398" s="13"/>
      <c r="CW398" s="13"/>
      <c r="CX398" s="13"/>
      <c r="CY398" s="13"/>
      <c r="CZ398" s="13"/>
      <c r="DA398" s="13"/>
      <c r="DB398" s="13"/>
      <c r="DC398" s="13"/>
      <c r="DD398" s="13"/>
      <c r="DE398" s="13"/>
    </row>
    <row r="399" customFormat="false" ht="15" hidden="false" customHeight="true" outlineLevel="0" collapsed="false">
      <c r="A399" s="22" t="s">
        <v>218</v>
      </c>
      <c r="B399" s="73" t="n">
        <v>9006.61</v>
      </c>
      <c r="C399" s="73" t="n">
        <v>112</v>
      </c>
      <c r="D399" s="73" t="n">
        <v>112</v>
      </c>
      <c r="E399" s="73" t="n">
        <v>112</v>
      </c>
      <c r="F399" s="73" t="n">
        <v>112</v>
      </c>
      <c r="G399" s="73" t="n">
        <v>112</v>
      </c>
      <c r="H399" s="73" t="n">
        <v>112</v>
      </c>
      <c r="I399" s="13" t="n">
        <v>100.49</v>
      </c>
      <c r="J399" s="13"/>
      <c r="K399" s="13"/>
      <c r="L399" s="13"/>
      <c r="M399" s="13"/>
      <c r="N399" s="13"/>
      <c r="O399" s="13"/>
      <c r="P399" s="13"/>
      <c r="Q399" s="13"/>
      <c r="R399" s="13"/>
      <c r="S399" s="13"/>
      <c r="T399" s="13"/>
      <c r="U399" s="13"/>
      <c r="V399" s="13"/>
      <c r="W399" s="13"/>
      <c r="X399" s="13"/>
      <c r="Y399" s="13"/>
      <c r="Z399" s="13"/>
      <c r="AA399" s="13"/>
      <c r="AB399" s="13"/>
      <c r="AC399" s="13"/>
      <c r="AD399" s="13"/>
      <c r="AE399" s="13"/>
      <c r="AF399" s="13"/>
      <c r="AG399" s="13"/>
      <c r="AH399" s="13"/>
      <c r="AI399" s="13"/>
      <c r="AJ399" s="13"/>
      <c r="AK399" s="13"/>
      <c r="AL399" s="13"/>
      <c r="AM399" s="13"/>
      <c r="AN399" s="13"/>
      <c r="AO399" s="13"/>
      <c r="AP399" s="13"/>
      <c r="AQ399" s="13"/>
      <c r="AR399" s="13"/>
      <c r="AS399" s="13"/>
      <c r="AT399" s="13"/>
      <c r="AU399" s="13"/>
      <c r="AV399" s="13"/>
      <c r="AW399" s="13"/>
      <c r="AX399" s="13"/>
      <c r="AY399" s="13"/>
      <c r="AZ399" s="13"/>
      <c r="BA399" s="13"/>
      <c r="BB399" s="13"/>
      <c r="BC399" s="13"/>
      <c r="BD399" s="13"/>
      <c r="BE399" s="13"/>
      <c r="BF399" s="13"/>
      <c r="BG399" s="13"/>
      <c r="BH399" s="13"/>
      <c r="BI399" s="13"/>
      <c r="BJ399" s="13"/>
      <c r="BK399" s="13"/>
      <c r="BL399" s="13"/>
      <c r="BM399" s="13"/>
      <c r="BN399" s="13"/>
      <c r="BO399" s="13"/>
      <c r="BP399" s="13"/>
      <c r="BQ399" s="13"/>
      <c r="BR399" s="13"/>
      <c r="BS399" s="13"/>
      <c r="BT399" s="13"/>
      <c r="BU399" s="13"/>
      <c r="BV399" s="13"/>
      <c r="BW399" s="13"/>
      <c r="BX399" s="13"/>
      <c r="BY399" s="13"/>
      <c r="BZ399" s="13"/>
      <c r="CA399" s="13"/>
      <c r="CB399" s="13"/>
      <c r="CC399" s="13"/>
      <c r="CD399" s="13"/>
      <c r="CE399" s="13"/>
      <c r="CF399" s="13"/>
      <c r="CG399" s="13"/>
      <c r="CH399" s="13"/>
      <c r="CI399" s="13"/>
      <c r="CJ399" s="13"/>
      <c r="CK399" s="13"/>
      <c r="CL399" s="13"/>
      <c r="CM399" s="13"/>
      <c r="CN399" s="13"/>
      <c r="CO399" s="13"/>
      <c r="CP399" s="13"/>
      <c r="CQ399" s="13"/>
      <c r="CR399" s="13"/>
      <c r="CS399" s="13"/>
      <c r="CT399" s="13"/>
      <c r="CU399" s="13"/>
      <c r="CV399" s="13"/>
      <c r="CW399" s="13"/>
      <c r="CX399" s="13"/>
      <c r="CY399" s="13"/>
      <c r="CZ399" s="13"/>
      <c r="DA399" s="13"/>
      <c r="DB399" s="13"/>
      <c r="DC399" s="13"/>
      <c r="DD399" s="13"/>
      <c r="DE399" s="13"/>
    </row>
    <row r="400" customFormat="false" ht="15" hidden="false" customHeight="true" outlineLevel="0" collapsed="false">
      <c r="A400" s="22" t="s">
        <v>219</v>
      </c>
      <c r="B400" s="74" t="n">
        <f aca="false">IF(B396="","",ROUND(SUM(B397:B399)-B396,0))</f>
        <v>-0</v>
      </c>
      <c r="C400" s="74" t="n">
        <f aca="false">IF(C396="","",ROUND(SUM(C397:C399)-C396,0))</f>
        <v>0</v>
      </c>
      <c r="D400" s="74" t="n">
        <f aca="false">IF(D396="","",ROUND(SUM(D397:D399)-D396,0))</f>
        <v>0</v>
      </c>
      <c r="E400" s="74" t="n">
        <f aca="false">IF(E396="","",ROUND(SUM(E397:E399)-E396,0))</f>
        <v>0</v>
      </c>
      <c r="F400" s="74" t="n">
        <f aca="false">IF(F396="","",ROUND(SUM(F397:F399)-F396,0))</f>
        <v>-0</v>
      </c>
      <c r="G400" s="74" t="n">
        <f aca="false">IF(G396="","",ROUND(SUM(G397:G399)-G396,0))</f>
        <v>0</v>
      </c>
      <c r="H400" s="74" t="n">
        <f aca="false">IF(H396="","",ROUND(SUM(H397:H399)-H396,0))</f>
        <v>0</v>
      </c>
      <c r="I400" s="74" t="n">
        <f aca="false">IF(I396="","",ROUND(SUM(I397:I399)-I396,0))</f>
        <v>0</v>
      </c>
      <c r="J400" s="74" t="str">
        <f aca="false">IF(J396="","",ROUND(SUM(J397:J399)-J396,0))</f>
        <v/>
      </c>
      <c r="K400" s="74" t="str">
        <f aca="false">IF(K396="","",ROUND(SUM(K397:K399)-K396,0))</f>
        <v/>
      </c>
      <c r="L400" s="74" t="str">
        <f aca="false">IF(L396="","",ROUND(SUM(L397:L399)-L396,0))</f>
        <v/>
      </c>
      <c r="M400" s="74" t="str">
        <f aca="false">IF(M396="","",ROUND(SUM(M397:M399)-M396,0))</f>
        <v/>
      </c>
      <c r="N400" s="74" t="str">
        <f aca="false">IF(N396="","",ROUND(SUM(N397:N399)-N396,0))</f>
        <v/>
      </c>
      <c r="O400" s="74" t="str">
        <f aca="false">IF(O396="","",ROUND(SUM(O397:O399)-O396,0))</f>
        <v/>
      </c>
      <c r="P400" s="74" t="str">
        <f aca="false">IF(P396="","",ROUND(SUM(P397:P399)-P396,0))</f>
        <v/>
      </c>
      <c r="Q400" s="74" t="str">
        <f aca="false">IF(Q396="","",ROUND(SUM(Q397:Q399)-Q396,0))</f>
        <v/>
      </c>
      <c r="R400" s="74" t="str">
        <f aca="false">IF(R396="","",ROUND(SUM(R397:R399)-R396,0))</f>
        <v/>
      </c>
      <c r="S400" s="74" t="str">
        <f aca="false">IF(S396="","",ROUND(SUM(S397:S399)-S396,0))</f>
        <v/>
      </c>
      <c r="T400" s="74" t="str">
        <f aca="false">IF(T396="","",ROUND(SUM(T397:T399)-T396,0))</f>
        <v/>
      </c>
      <c r="U400" s="74" t="str">
        <f aca="false">IF(U396="","",ROUND(SUM(U397:U399)-U396,0))</f>
        <v/>
      </c>
      <c r="V400" s="74" t="str">
        <f aca="false">IF(V396="","",ROUND(SUM(V397:V399)-V396,0))</f>
        <v/>
      </c>
      <c r="W400" s="74" t="str">
        <f aca="false">IF(W396="","",ROUND(SUM(W397:W399)-W396,0))</f>
        <v/>
      </c>
      <c r="X400" s="74" t="str">
        <f aca="false">IF(X396="","",ROUND(SUM(X397:X399)-X396,0))</f>
        <v/>
      </c>
      <c r="Y400" s="74" t="str">
        <f aca="false">IF(Y396="","",ROUND(SUM(Y397:Y399)-Y396,0))</f>
        <v/>
      </c>
      <c r="Z400" s="74" t="str">
        <f aca="false">IF(Z396="","",ROUND(SUM(Z397:Z399)-Z396,0))</f>
        <v/>
      </c>
      <c r="AA400" s="74" t="str">
        <f aca="false">IF(AA396="","",ROUND(SUM(AA397:AA399)-AA396,0))</f>
        <v/>
      </c>
      <c r="AB400" s="74" t="str">
        <f aca="false">IF(AB396="","",ROUND(SUM(AB397:AB399)-AB396,0))</f>
        <v/>
      </c>
      <c r="AC400" s="74" t="str">
        <f aca="false">IF(AC396="","",ROUND(SUM(AC397:AC399)-AC396,0))</f>
        <v/>
      </c>
      <c r="AD400" s="74" t="str">
        <f aca="false">IF(AD396="","",ROUND(SUM(AD397:AD399)-AD396,0))</f>
        <v/>
      </c>
      <c r="AE400" s="74" t="str">
        <f aca="false">IF(AE396="","",ROUND(SUM(AE397:AE399)-AE396,0))</f>
        <v/>
      </c>
      <c r="AF400" s="74" t="str">
        <f aca="false">IF(AF396="","",ROUND(SUM(AF397:AF399)-AF396,0))</f>
        <v/>
      </c>
      <c r="AG400" s="74" t="str">
        <f aca="false">IF(AG396="","",ROUND(SUM(AG397:AG399)-AG396,0))</f>
        <v/>
      </c>
      <c r="AH400" s="74" t="str">
        <f aca="false">IF(AH396="","",ROUND(SUM(AH397:AH399)-AH396,0))</f>
        <v/>
      </c>
      <c r="AI400" s="74" t="str">
        <f aca="false">IF(AI396="","",ROUND(SUM(AI397:AI399)-AI396,0))</f>
        <v/>
      </c>
      <c r="AJ400" s="74" t="str">
        <f aca="false">IF(AJ396="","",ROUND(SUM(AJ397:AJ399)-AJ396,0))</f>
        <v/>
      </c>
      <c r="AK400" s="74" t="str">
        <f aca="false">IF(AK396="","",ROUND(SUM(AK397:AK399)-AK396,0))</f>
        <v/>
      </c>
      <c r="AL400" s="74" t="str">
        <f aca="false">IF(AL396="","",ROUND(SUM(AL397:AL399)-AL396,0))</f>
        <v/>
      </c>
      <c r="AM400" s="74" t="str">
        <f aca="false">IF(AM396="","",ROUND(SUM(AM397:AM399)-AM396,0))</f>
        <v/>
      </c>
      <c r="AN400" s="74" t="str">
        <f aca="false">IF(AN396="","",ROUND(SUM(AN397:AN399)-AN396,0))</f>
        <v/>
      </c>
      <c r="AO400" s="74" t="str">
        <f aca="false">IF(AO396="","",ROUND(SUM(AO397:AO399)-AO396,0))</f>
        <v/>
      </c>
      <c r="AP400" s="74" t="str">
        <f aca="false">IF(AP396="","",ROUND(SUM(AP397:AP399)-AP396,0))</f>
        <v/>
      </c>
      <c r="AQ400" s="74" t="str">
        <f aca="false">IF(AQ396="","",ROUND(SUM(AQ397:AQ399)-AQ396,0))</f>
        <v/>
      </c>
      <c r="AR400" s="74" t="str">
        <f aca="false">IF(AR396="","",ROUND(SUM(AR397:AR399)-AR396,0))</f>
        <v/>
      </c>
      <c r="AS400" s="74" t="str">
        <f aca="false">IF(AS396="","",ROUND(SUM(AS397:AS399)-AS396,0))</f>
        <v/>
      </c>
      <c r="AT400" s="74" t="str">
        <f aca="false">IF(AT396="","",ROUND(SUM(AT397:AT399)-AT396,0))</f>
        <v/>
      </c>
      <c r="AU400" s="74" t="str">
        <f aca="false">IF(AU396="","",ROUND(SUM(AU397:AU399)-AU396,0))</f>
        <v/>
      </c>
      <c r="AV400" s="74" t="str">
        <f aca="false">IF(AV396="","",ROUND(SUM(AV397:AV399)-AV396,0))</f>
        <v/>
      </c>
      <c r="AW400" s="74" t="str">
        <f aca="false">IF(AW396="","",ROUND(SUM(AW397:AW399)-AW396,0))</f>
        <v/>
      </c>
      <c r="AX400" s="74" t="str">
        <f aca="false">IF(AX396="","",ROUND(SUM(AX397:AX399)-AX396,0))</f>
        <v/>
      </c>
      <c r="AY400" s="74" t="str">
        <f aca="false">IF(AY396="","",ROUND(SUM(AY397:AY399)-AY396,0))</f>
        <v/>
      </c>
      <c r="AZ400" s="74" t="str">
        <f aca="false">IF(AZ396="","",ROUND(SUM(AZ397:AZ399)-AZ396,0))</f>
        <v/>
      </c>
      <c r="BA400" s="74" t="str">
        <f aca="false">IF(BA396="","",ROUND(SUM(BA397:BA399)-BA396,0))</f>
        <v/>
      </c>
      <c r="BB400" s="74" t="str">
        <f aca="false">IF(BB396="","",ROUND(SUM(BB397:BB399)-BB396,0))</f>
        <v/>
      </c>
      <c r="BC400" s="74" t="str">
        <f aca="false">IF(BC396="","",ROUND(SUM(BC397:BC399)-BC396,0))</f>
        <v/>
      </c>
      <c r="BD400" s="74" t="str">
        <f aca="false">IF(BD396="","",ROUND(SUM(BD397:BD399)-BD396,0))</f>
        <v/>
      </c>
      <c r="BE400" s="74" t="str">
        <f aca="false">IF(BE396="","",ROUND(SUM(BE397:BE399)-BE396,0))</f>
        <v/>
      </c>
      <c r="BF400" s="74" t="str">
        <f aca="false">IF(BF396="","",ROUND(SUM(BF397:BF399)-BF396,0))</f>
        <v/>
      </c>
      <c r="BG400" s="74" t="str">
        <f aca="false">IF(BG396="","",ROUND(SUM(BG397:BG399)-BG396,0))</f>
        <v/>
      </c>
      <c r="BH400" s="74" t="str">
        <f aca="false">IF(BH396="","",ROUND(SUM(BH397:BH399)-BH396,0))</f>
        <v/>
      </c>
      <c r="BI400" s="74" t="str">
        <f aca="false">IF(BI396="","",ROUND(SUM(BI397:BI399)-BI396,0))</f>
        <v/>
      </c>
      <c r="BJ400" s="74" t="str">
        <f aca="false">IF(BJ396="","",ROUND(SUM(BJ397:BJ399)-BJ396,0))</f>
        <v/>
      </c>
      <c r="BK400" s="74" t="str">
        <f aca="false">IF(BK396="","",ROUND(SUM(BK397:BK399)-BK396,0))</f>
        <v/>
      </c>
      <c r="BL400" s="74" t="str">
        <f aca="false">IF(BL396="","",ROUND(SUM(BL397:BL399)-BL396,0))</f>
        <v/>
      </c>
      <c r="BM400" s="74" t="str">
        <f aca="false">IF(BM396="","",ROUND(SUM(BM397:BM399)-BM396,0))</f>
        <v/>
      </c>
      <c r="BN400" s="74" t="str">
        <f aca="false">IF(BN396="","",ROUND(SUM(BN397:BN399)-BN396,0))</f>
        <v/>
      </c>
      <c r="BO400" s="74" t="str">
        <f aca="false">IF(BO396="","",ROUND(SUM(BO397:BO399)-BO396,0))</f>
        <v/>
      </c>
      <c r="BP400" s="74" t="str">
        <f aca="false">IF(BP396="","",ROUND(SUM(BP397:BP399)-BP396,0))</f>
        <v/>
      </c>
      <c r="BQ400" s="74" t="str">
        <f aca="false">IF(BQ396="","",ROUND(SUM(BQ397:BQ399)-BQ396,0))</f>
        <v/>
      </c>
      <c r="BR400" s="74" t="str">
        <f aca="false">IF(BR396="","",ROUND(SUM(BR397:BR399)-BR396,0))</f>
        <v/>
      </c>
      <c r="BS400" s="74" t="str">
        <f aca="false">IF(BS396="","",ROUND(SUM(BS397:BS399)-BS396,0))</f>
        <v/>
      </c>
      <c r="BT400" s="74" t="str">
        <f aca="false">IF(BT396="","",ROUND(SUM(BT397:BT399)-BT396,0))</f>
        <v/>
      </c>
      <c r="BU400" s="74" t="str">
        <f aca="false">IF(BU396="","",ROUND(SUM(BU397:BU399)-BU396,0))</f>
        <v/>
      </c>
      <c r="BV400" s="74" t="str">
        <f aca="false">IF(BV396="","",ROUND(SUM(BV397:BV399)-BV396,0))</f>
        <v/>
      </c>
      <c r="BW400" s="74" t="str">
        <f aca="false">IF(BW396="","",ROUND(SUM(BW397:BW399)-BW396,0))</f>
        <v/>
      </c>
      <c r="BX400" s="74" t="str">
        <f aca="false">IF(BX396="","",ROUND(SUM(BX397:BX399)-BX396,0))</f>
        <v/>
      </c>
      <c r="BY400" s="74" t="str">
        <f aca="false">IF(BY396="","",ROUND(SUM(BY397:BY399)-BY396,0))</f>
        <v/>
      </c>
      <c r="BZ400" s="74" t="str">
        <f aca="false">IF(BZ396="","",ROUND(SUM(BZ397:BZ399)-BZ396,0))</f>
        <v/>
      </c>
      <c r="CA400" s="74" t="str">
        <f aca="false">IF(CA396="","",ROUND(SUM(CA397:CA399)-CA396,0))</f>
        <v/>
      </c>
      <c r="CB400" s="74" t="str">
        <f aca="false">IF(CB396="","",ROUND(SUM(CB397:CB399)-CB396,0))</f>
        <v/>
      </c>
      <c r="CC400" s="74" t="str">
        <f aca="false">IF(CC396="","",ROUND(SUM(CC397:CC399)-CC396,0))</f>
        <v/>
      </c>
      <c r="CD400" s="74" t="str">
        <f aca="false">IF(CD396="","",ROUND(SUM(CD397:CD399)-CD396,0))</f>
        <v/>
      </c>
      <c r="CE400" s="74" t="str">
        <f aca="false">IF(CE396="","",ROUND(SUM(CE397:CE399)-CE396,0))</f>
        <v/>
      </c>
      <c r="CF400" s="74" t="str">
        <f aca="false">IF(CF396="","",ROUND(SUM(CF397:CF399)-CF396,0))</f>
        <v/>
      </c>
      <c r="CG400" s="74" t="str">
        <f aca="false">IF(CG396="","",ROUND(SUM(CG397:CG399)-CG396,0))</f>
        <v/>
      </c>
      <c r="CH400" s="74" t="str">
        <f aca="false">IF(CH396="","",ROUND(SUM(CH397:CH399)-CH396,0))</f>
        <v/>
      </c>
      <c r="CI400" s="74" t="str">
        <f aca="false">IF(CI396="","",ROUND(SUM(CI397:CI399)-CI396,0))</f>
        <v/>
      </c>
      <c r="CJ400" s="74" t="str">
        <f aca="false">IF(CJ396="","",ROUND(SUM(CJ397:CJ399)-CJ396,0))</f>
        <v/>
      </c>
      <c r="CK400" s="74" t="str">
        <f aca="false">IF(CK396="","",ROUND(SUM(CK397:CK399)-CK396,0))</f>
        <v/>
      </c>
      <c r="CL400" s="74" t="str">
        <f aca="false">IF(CL396="","",ROUND(SUM(CL397:CL399)-CL396,0))</f>
        <v/>
      </c>
      <c r="CM400" s="74" t="str">
        <f aca="false">IF(CM396="","",ROUND(SUM(CM397:CM399)-CM396,0))</f>
        <v/>
      </c>
      <c r="CN400" s="74" t="str">
        <f aca="false">IF(CN396="","",ROUND(SUM(CN397:CN399)-CN396,0))</f>
        <v/>
      </c>
      <c r="CO400" s="74" t="str">
        <f aca="false">IF(CO396="","",ROUND(SUM(CO397:CO399)-CO396,0))</f>
        <v/>
      </c>
      <c r="CP400" s="74" t="str">
        <f aca="false">IF(CP396="","",ROUND(SUM(CP397:CP399)-CP396,0))</f>
        <v/>
      </c>
      <c r="CQ400" s="74" t="str">
        <f aca="false">IF(CQ396="","",ROUND(SUM(CQ397:CQ399)-CQ396,0))</f>
        <v/>
      </c>
      <c r="CR400" s="74" t="str">
        <f aca="false">IF(CR396="","",ROUND(SUM(CR397:CR399)-CR396,0))</f>
        <v/>
      </c>
      <c r="CS400" s="74" t="str">
        <f aca="false">IF(CS396="","",ROUND(SUM(CS397:CS399)-CS396,0))</f>
        <v/>
      </c>
      <c r="CT400" s="74" t="str">
        <f aca="false">IF(CT396="","",ROUND(SUM(CT397:CT399)-CT396,0))</f>
        <v/>
      </c>
      <c r="CU400" s="74" t="str">
        <f aca="false">IF(CU396="","",ROUND(SUM(CU397:CU399)-CU396,0))</f>
        <v/>
      </c>
      <c r="CV400" s="74" t="str">
        <f aca="false">IF(CV396="","",ROUND(SUM(CV397:CV399)-CV396,0))</f>
        <v/>
      </c>
      <c r="CW400" s="74" t="str">
        <f aca="false">IF(CW396="","",ROUND(SUM(CW397:CW399)-CW396,0))</f>
        <v/>
      </c>
      <c r="CX400" s="74" t="str">
        <f aca="false">IF(CX396="","",ROUND(SUM(CX397:CX399)-CX396,0))</f>
        <v/>
      </c>
      <c r="CY400" s="74" t="str">
        <f aca="false">IF(CY396="","",ROUND(SUM(CY397:CY399)-CY396,0))</f>
        <v/>
      </c>
      <c r="CZ400" s="74" t="str">
        <f aca="false">IF(CZ396="","",ROUND(SUM(CZ397:CZ399)-CZ396,0))</f>
        <v/>
      </c>
      <c r="DA400" s="74" t="str">
        <f aca="false">IF(DA396="","",ROUND(SUM(DA397:DA399)-DA396,0))</f>
        <v/>
      </c>
      <c r="DB400" s="74" t="str">
        <f aca="false">IF(DB396="","",ROUND(SUM(DB397:DB399)-DB396,0))</f>
        <v/>
      </c>
      <c r="DC400" s="74" t="str">
        <f aca="false">IF(DC396="","",ROUND(SUM(DC397:DC399)-DC396,0))</f>
        <v/>
      </c>
      <c r="DD400" s="74" t="str">
        <f aca="false">IF(DD396="","",ROUND(SUM(DD397:DD399)-DD396,0))</f>
        <v/>
      </c>
      <c r="DE400" s="74" t="str">
        <f aca="false">IF(DE396="","",ROUND(SUM(DE397:DE399)-DE396,0))</f>
        <v/>
      </c>
    </row>
    <row r="401" customFormat="false" ht="15" hidden="false" customHeight="true" outlineLevel="0" collapsed="false">
      <c r="A401" s="67" t="s">
        <v>220</v>
      </c>
      <c r="B401" s="68" t="n">
        <f aca="false">IF(B390="","",B390+B396)</f>
        <v>1058211</v>
      </c>
      <c r="C401" s="68" t="n">
        <f aca="false">IF(C390="","",C390+C396)</f>
        <v>226730</v>
      </c>
      <c r="D401" s="68" t="n">
        <f aca="false">IF(D390="","",D390+D396)</f>
        <v>804668</v>
      </c>
      <c r="E401" s="68" t="n">
        <f aca="false">IF(E390="","",E390+E396)</f>
        <v>762695</v>
      </c>
      <c r="F401" s="68" t="n">
        <f aca="false">IF(F390="","",F390+F396)</f>
        <v>845218</v>
      </c>
      <c r="G401" s="68" t="n">
        <f aca="false">IF(G390="","",G390+G396)</f>
        <v>971507</v>
      </c>
      <c r="H401" s="68" t="n">
        <f aca="false">IF(H390="","",H390+H396)</f>
        <v>405563</v>
      </c>
      <c r="I401" s="68" t="n">
        <f aca="false">IF(I390="","",I390+I396)</f>
        <v>1945296</v>
      </c>
      <c r="J401" s="68" t="str">
        <f aca="false">IF(J390="","",J390+J396)</f>
        <v/>
      </c>
      <c r="K401" s="68" t="str">
        <f aca="false">IF(K390="","",K390+K396)</f>
        <v/>
      </c>
      <c r="L401" s="68" t="str">
        <f aca="false">IF(L390="","",L390+L396)</f>
        <v/>
      </c>
      <c r="M401" s="68" t="str">
        <f aca="false">IF(M390="","",M390+M396)</f>
        <v/>
      </c>
      <c r="N401" s="68" t="str">
        <f aca="false">IF(N390="","",N390+N396)</f>
        <v/>
      </c>
      <c r="O401" s="68" t="str">
        <f aca="false">IF(O390="","",O390+O396)</f>
        <v/>
      </c>
      <c r="P401" s="68" t="str">
        <f aca="false">IF(P390="","",P390+P396)</f>
        <v/>
      </c>
      <c r="Q401" s="68" t="str">
        <f aca="false">IF(Q390="","",Q390+Q396)</f>
        <v/>
      </c>
      <c r="R401" s="68" t="str">
        <f aca="false">IF(R390="","",R390+R396)</f>
        <v/>
      </c>
      <c r="S401" s="68" t="str">
        <f aca="false">IF(S390="","",S390+S396)</f>
        <v/>
      </c>
      <c r="T401" s="68" t="str">
        <f aca="false">IF(T390="","",T390+T396)</f>
        <v/>
      </c>
      <c r="U401" s="68" t="str">
        <f aca="false">IF(U390="","",U390+U396)</f>
        <v/>
      </c>
      <c r="V401" s="68" t="str">
        <f aca="false">IF(V390="","",V390+V396)</f>
        <v/>
      </c>
      <c r="W401" s="68" t="str">
        <f aca="false">IF(W390="","",W390+W396)</f>
        <v/>
      </c>
      <c r="X401" s="68" t="str">
        <f aca="false">IF(X390="","",X390+X396)</f>
        <v/>
      </c>
      <c r="Y401" s="68" t="str">
        <f aca="false">IF(Y390="","",Y390+Y396)</f>
        <v/>
      </c>
      <c r="Z401" s="68" t="str">
        <f aca="false">IF(Z390="","",Z390+Z396)</f>
        <v/>
      </c>
      <c r="AA401" s="68" t="str">
        <f aca="false">IF(AA390="","",AA390+AA396)</f>
        <v/>
      </c>
      <c r="AB401" s="68" t="str">
        <f aca="false">IF(AB390="","",AB390+AB396)</f>
        <v/>
      </c>
      <c r="AC401" s="68" t="str">
        <f aca="false">IF(AC390="","",AC390+AC396)</f>
        <v/>
      </c>
      <c r="AD401" s="68" t="str">
        <f aca="false">IF(AD390="","",AD390+AD396)</f>
        <v/>
      </c>
      <c r="AE401" s="68" t="str">
        <f aca="false">IF(AE390="","",AE390+AE396)</f>
        <v/>
      </c>
      <c r="AF401" s="68" t="str">
        <f aca="false">IF(AF390="","",AF390+AF396)</f>
        <v/>
      </c>
      <c r="AG401" s="68" t="str">
        <f aca="false">IF(AG390="","",AG390+AG396)</f>
        <v/>
      </c>
      <c r="AH401" s="68" t="str">
        <f aca="false">IF(AH390="","",AH390+AH396)</f>
        <v/>
      </c>
      <c r="AI401" s="68" t="str">
        <f aca="false">IF(AI390="","",AI390+AI396)</f>
        <v/>
      </c>
      <c r="AJ401" s="68" t="str">
        <f aca="false">IF(AJ390="","",AJ390+AJ396)</f>
        <v/>
      </c>
      <c r="AK401" s="68" t="str">
        <f aca="false">IF(AK390="","",AK390+AK396)</f>
        <v/>
      </c>
      <c r="AL401" s="68" t="str">
        <f aca="false">IF(AL390="","",AL390+AL396)</f>
        <v/>
      </c>
      <c r="AM401" s="68" t="str">
        <f aca="false">IF(AM390="","",AM390+AM396)</f>
        <v/>
      </c>
      <c r="AN401" s="68" t="str">
        <f aca="false">IF(AN390="","",AN390+AN396)</f>
        <v/>
      </c>
      <c r="AO401" s="68" t="str">
        <f aca="false">IF(AO390="","",AO390+AO396)</f>
        <v/>
      </c>
      <c r="AP401" s="68" t="str">
        <f aca="false">IF(AP390="","",AP390+AP396)</f>
        <v/>
      </c>
      <c r="AQ401" s="68" t="str">
        <f aca="false">IF(AQ390="","",AQ390+AQ396)</f>
        <v/>
      </c>
      <c r="AR401" s="68" t="str">
        <f aca="false">IF(AR390="","",AR390+AR396)</f>
        <v/>
      </c>
      <c r="AS401" s="68" t="str">
        <f aca="false">IF(AS390="","",AS390+AS396)</f>
        <v/>
      </c>
      <c r="AT401" s="68" t="str">
        <f aca="false">IF(AT390="","",AT390+AT396)</f>
        <v/>
      </c>
      <c r="AU401" s="68" t="str">
        <f aca="false">IF(AU390="","",AU390+AU396)</f>
        <v/>
      </c>
      <c r="AV401" s="68" t="str">
        <f aca="false">IF(AV390="","",AV390+AV396)</f>
        <v/>
      </c>
      <c r="AW401" s="68" t="str">
        <f aca="false">IF(AW390="","",AW390+AW396)</f>
        <v/>
      </c>
      <c r="AX401" s="68" t="str">
        <f aca="false">IF(AX390="","",AX390+AX396)</f>
        <v/>
      </c>
      <c r="AY401" s="68" t="str">
        <f aca="false">IF(AY390="","",AY390+AY396)</f>
        <v/>
      </c>
      <c r="AZ401" s="68" t="str">
        <f aca="false">IF(AZ390="","",AZ390+AZ396)</f>
        <v/>
      </c>
      <c r="BA401" s="68" t="str">
        <f aca="false">IF(BA390="","",BA390+BA396)</f>
        <v/>
      </c>
      <c r="BB401" s="68" t="str">
        <f aca="false">IF(BB390="","",BB390+BB396)</f>
        <v/>
      </c>
      <c r="BC401" s="68" t="str">
        <f aca="false">IF(BC390="","",BC390+BC396)</f>
        <v/>
      </c>
      <c r="BD401" s="68" t="str">
        <f aca="false">IF(BD390="","",BD390+BD396)</f>
        <v/>
      </c>
      <c r="BE401" s="68" t="str">
        <f aca="false">IF(BE390="","",BE390+BE396)</f>
        <v/>
      </c>
      <c r="BF401" s="68" t="str">
        <f aca="false">IF(BF390="","",BF390+BF396)</f>
        <v/>
      </c>
      <c r="BG401" s="68" t="str">
        <f aca="false">IF(BG390="","",BG390+BG396)</f>
        <v/>
      </c>
      <c r="BH401" s="68" t="str">
        <f aca="false">IF(BH390="","",BH390+BH396)</f>
        <v/>
      </c>
      <c r="BI401" s="68" t="str">
        <f aca="false">IF(BI390="","",BI390+BI396)</f>
        <v/>
      </c>
      <c r="BJ401" s="68" t="str">
        <f aca="false">IF(BJ390="","",BJ390+BJ396)</f>
        <v/>
      </c>
      <c r="BK401" s="68" t="str">
        <f aca="false">IF(BK390="","",BK390+BK396)</f>
        <v/>
      </c>
      <c r="BL401" s="68" t="str">
        <f aca="false">IF(BL390="","",BL390+BL396)</f>
        <v/>
      </c>
      <c r="BM401" s="68" t="str">
        <f aca="false">IF(BM390="","",BM390+BM396)</f>
        <v/>
      </c>
      <c r="BN401" s="68" t="str">
        <f aca="false">IF(BN390="","",BN390+BN396)</f>
        <v/>
      </c>
      <c r="BO401" s="68" t="str">
        <f aca="false">IF(BO390="","",BO390+BO396)</f>
        <v/>
      </c>
      <c r="BP401" s="68" t="str">
        <f aca="false">IF(BP390="","",BP390+BP396)</f>
        <v/>
      </c>
      <c r="BQ401" s="68" t="str">
        <f aca="false">IF(BQ390="","",BQ390+BQ396)</f>
        <v/>
      </c>
      <c r="BR401" s="68" t="str">
        <f aca="false">IF(BR390="","",BR390+BR396)</f>
        <v/>
      </c>
      <c r="BS401" s="68" t="str">
        <f aca="false">IF(BS390="","",BS390+BS396)</f>
        <v/>
      </c>
      <c r="BT401" s="68" t="str">
        <f aca="false">IF(BT390="","",BT390+BT396)</f>
        <v/>
      </c>
      <c r="BU401" s="68" t="str">
        <f aca="false">IF(BU390="","",BU390+BU396)</f>
        <v/>
      </c>
      <c r="BV401" s="68" t="str">
        <f aca="false">IF(BV390="","",BV390+BV396)</f>
        <v/>
      </c>
      <c r="BW401" s="68" t="str">
        <f aca="false">IF(BW390="","",BW390+BW396)</f>
        <v/>
      </c>
      <c r="BX401" s="68" t="str">
        <f aca="false">IF(BX390="","",BX390+BX396)</f>
        <v/>
      </c>
      <c r="BY401" s="68" t="str">
        <f aca="false">IF(BY390="","",BY390+BY396)</f>
        <v/>
      </c>
      <c r="BZ401" s="68" t="str">
        <f aca="false">IF(BZ390="","",BZ390+BZ396)</f>
        <v/>
      </c>
      <c r="CA401" s="68" t="str">
        <f aca="false">IF(CA390="","",CA390+CA396)</f>
        <v/>
      </c>
      <c r="CB401" s="68" t="str">
        <f aca="false">IF(CB390="","",CB390+CB396)</f>
        <v/>
      </c>
      <c r="CC401" s="68" t="str">
        <f aca="false">IF(CC390="","",CC390+CC396)</f>
        <v/>
      </c>
      <c r="CD401" s="68" t="str">
        <f aca="false">IF(CD390="","",CD390+CD396)</f>
        <v/>
      </c>
      <c r="CE401" s="68" t="str">
        <f aca="false">IF(CE390="","",CE390+CE396)</f>
        <v/>
      </c>
      <c r="CF401" s="68" t="str">
        <f aca="false">IF(CF390="","",CF390+CF396)</f>
        <v/>
      </c>
      <c r="CG401" s="68" t="str">
        <f aca="false">IF(CG390="","",CG390+CG396)</f>
        <v/>
      </c>
      <c r="CH401" s="68" t="str">
        <f aca="false">IF(CH390="","",CH390+CH396)</f>
        <v/>
      </c>
      <c r="CI401" s="68" t="str">
        <f aca="false">IF(CI390="","",CI390+CI396)</f>
        <v/>
      </c>
      <c r="CJ401" s="68" t="str">
        <f aca="false">IF(CJ390="","",CJ390+CJ396)</f>
        <v/>
      </c>
      <c r="CK401" s="68" t="str">
        <f aca="false">IF(CK390="","",CK390+CK396)</f>
        <v/>
      </c>
      <c r="CL401" s="68" t="str">
        <f aca="false">IF(CL390="","",CL390+CL396)</f>
        <v/>
      </c>
      <c r="CM401" s="68" t="str">
        <f aca="false">IF(CM390="","",CM390+CM396)</f>
        <v/>
      </c>
      <c r="CN401" s="68" t="str">
        <f aca="false">IF(CN390="","",CN390+CN396)</f>
        <v/>
      </c>
      <c r="CO401" s="68" t="str">
        <f aca="false">IF(CO390="","",CO390+CO396)</f>
        <v/>
      </c>
      <c r="CP401" s="68" t="str">
        <f aca="false">IF(CP390="","",CP390+CP396)</f>
        <v/>
      </c>
      <c r="CQ401" s="68" t="str">
        <f aca="false">IF(CQ390="","",CQ390+CQ396)</f>
        <v/>
      </c>
      <c r="CR401" s="68" t="str">
        <f aca="false">IF(CR390="","",CR390+CR396)</f>
        <v/>
      </c>
      <c r="CS401" s="68" t="str">
        <f aca="false">IF(CS390="","",CS390+CS396)</f>
        <v/>
      </c>
      <c r="CT401" s="68" t="str">
        <f aca="false">IF(CT390="","",CT390+CT396)</f>
        <v/>
      </c>
      <c r="CU401" s="68" t="str">
        <f aca="false">IF(CU390="","",CU390+CU396)</f>
        <v/>
      </c>
      <c r="CV401" s="68" t="str">
        <f aca="false">IF(CV390="","",CV390+CV396)</f>
        <v/>
      </c>
      <c r="CW401" s="68" t="str">
        <f aca="false">IF(CW390="","",CW390+CW396)</f>
        <v/>
      </c>
      <c r="CX401" s="68" t="str">
        <f aca="false">IF(CX390="","",CX390+CX396)</f>
        <v/>
      </c>
      <c r="CY401" s="68" t="str">
        <f aca="false">IF(CY390="","",CY390+CY396)</f>
        <v/>
      </c>
      <c r="CZ401" s="68" t="str">
        <f aca="false">IF(CZ390="","",CZ390+CZ396)</f>
        <v/>
      </c>
      <c r="DA401" s="68" t="str">
        <f aca="false">IF(DA390="","",DA390+DA396)</f>
        <v/>
      </c>
      <c r="DB401" s="68" t="str">
        <f aca="false">IF(DB390="","",DB390+DB396)</f>
        <v/>
      </c>
      <c r="DC401" s="68" t="str">
        <f aca="false">IF(DC390="","",DC390+DC396)</f>
        <v/>
      </c>
      <c r="DD401" s="68" t="str">
        <f aca="false">IF(DD390="","",DD390+DD396)</f>
        <v/>
      </c>
      <c r="DE401" s="68" t="str">
        <f aca="false">IF(DE390="","",DE390+DE396)</f>
        <v/>
      </c>
    </row>
    <row r="402" customFormat="false" ht="15" hidden="false" customHeight="true" outlineLevel="0" collapsed="false">
      <c r="A402" s="72"/>
      <c r="B402" s="71"/>
      <c r="C402" s="71"/>
      <c r="D402" s="71"/>
      <c r="E402" s="71"/>
      <c r="F402" s="71"/>
      <c r="G402" s="71"/>
      <c r="H402" s="71"/>
      <c r="I402" s="71"/>
      <c r="J402" s="71"/>
      <c r="K402" s="71"/>
      <c r="L402" s="71"/>
      <c r="M402" s="71"/>
      <c r="N402" s="71"/>
      <c r="O402" s="71"/>
      <c r="P402" s="71"/>
      <c r="Q402" s="71"/>
      <c r="R402" s="71"/>
      <c r="S402" s="71"/>
      <c r="T402" s="71"/>
      <c r="U402" s="71"/>
      <c r="V402" s="71"/>
      <c r="W402" s="71"/>
      <c r="X402" s="71"/>
      <c r="Y402" s="71"/>
      <c r="Z402" s="71"/>
      <c r="AA402" s="71"/>
      <c r="AB402" s="71"/>
      <c r="AC402" s="71"/>
      <c r="AD402" s="71"/>
      <c r="AE402" s="71"/>
      <c r="AF402" s="71"/>
      <c r="AG402" s="71"/>
      <c r="AH402" s="71"/>
      <c r="AI402" s="71"/>
      <c r="AJ402" s="71"/>
      <c r="AK402" s="71"/>
      <c r="AL402" s="71"/>
      <c r="AM402" s="71"/>
      <c r="AN402" s="71"/>
      <c r="AO402" s="71"/>
      <c r="AP402" s="71"/>
      <c r="AQ402" s="71"/>
      <c r="AR402" s="71"/>
      <c r="AS402" s="71"/>
      <c r="AT402" s="71"/>
      <c r="AU402" s="71"/>
      <c r="AV402" s="71"/>
      <c r="AW402" s="71"/>
      <c r="AX402" s="71"/>
      <c r="AY402" s="71"/>
      <c r="AZ402" s="71"/>
      <c r="BA402" s="71"/>
      <c r="BB402" s="71"/>
      <c r="BC402" s="71"/>
      <c r="BD402" s="71"/>
      <c r="BE402" s="71"/>
      <c r="BF402" s="71"/>
      <c r="BG402" s="71"/>
      <c r="BH402" s="71"/>
      <c r="BI402" s="71"/>
      <c r="BJ402" s="71"/>
      <c r="BK402" s="71"/>
      <c r="BL402" s="71"/>
      <c r="BM402" s="71"/>
      <c r="BN402" s="71"/>
      <c r="BO402" s="71"/>
      <c r="BP402" s="71"/>
      <c r="BQ402" s="71"/>
      <c r="BR402" s="71"/>
      <c r="BS402" s="71"/>
      <c r="BT402" s="71"/>
      <c r="BU402" s="71"/>
      <c r="BV402" s="71"/>
      <c r="BW402" s="71"/>
      <c r="BX402" s="71"/>
      <c r="BY402" s="71"/>
      <c r="BZ402" s="71"/>
      <c r="CA402" s="71"/>
      <c r="CB402" s="71"/>
      <c r="CC402" s="71"/>
      <c r="CD402" s="71"/>
      <c r="CE402" s="71"/>
      <c r="CF402" s="71"/>
      <c r="CG402" s="71"/>
      <c r="CH402" s="71"/>
      <c r="CI402" s="71"/>
      <c r="CJ402" s="71"/>
      <c r="CK402" s="71"/>
      <c r="CL402" s="71"/>
      <c r="CM402" s="71"/>
      <c r="CN402" s="71"/>
      <c r="CO402" s="71"/>
      <c r="CP402" s="71"/>
      <c r="CQ402" s="71"/>
      <c r="CR402" s="71"/>
      <c r="CS402" s="71"/>
      <c r="CT402" s="71"/>
      <c r="CU402" s="71"/>
      <c r="CV402" s="71"/>
      <c r="CW402" s="71"/>
      <c r="CX402" s="71"/>
      <c r="CY402" s="71"/>
      <c r="CZ402" s="71"/>
      <c r="DA402" s="71"/>
      <c r="DB402" s="71"/>
      <c r="DC402" s="71"/>
      <c r="DD402" s="71"/>
      <c r="DE402" s="71"/>
    </row>
    <row r="403" customFormat="false" ht="15" hidden="false" customHeight="true" outlineLevel="0" collapsed="false">
      <c r="A403" s="23" t="s">
        <v>221</v>
      </c>
      <c r="B403" s="34"/>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c r="AA403" s="34"/>
      <c r="AB403" s="34"/>
      <c r="AC403" s="34"/>
      <c r="AD403" s="34"/>
      <c r="AE403" s="34"/>
      <c r="AF403" s="34"/>
      <c r="AG403" s="34"/>
      <c r="AH403" s="34"/>
      <c r="AI403" s="34"/>
      <c r="AJ403" s="34"/>
      <c r="AK403" s="34"/>
      <c r="AL403" s="34"/>
      <c r="AM403" s="34"/>
      <c r="AN403" s="34"/>
      <c r="AO403" s="34"/>
      <c r="AP403" s="34"/>
      <c r="AQ403" s="34"/>
      <c r="AR403" s="34"/>
      <c r="AS403" s="34"/>
      <c r="AT403" s="34"/>
      <c r="AU403" s="34"/>
      <c r="AV403" s="34"/>
      <c r="AW403" s="34"/>
      <c r="AX403" s="34"/>
      <c r="AY403" s="34"/>
      <c r="AZ403" s="34"/>
      <c r="BA403" s="34"/>
      <c r="BB403" s="34"/>
      <c r="BC403" s="34"/>
      <c r="BD403" s="34"/>
      <c r="BE403" s="34"/>
      <c r="BF403" s="34"/>
      <c r="BG403" s="34"/>
      <c r="BH403" s="34"/>
      <c r="BI403" s="34"/>
      <c r="BJ403" s="34"/>
      <c r="BK403" s="34"/>
      <c r="BL403" s="34"/>
      <c r="BM403" s="34"/>
      <c r="BN403" s="34"/>
      <c r="BO403" s="34"/>
      <c r="BP403" s="34"/>
      <c r="BQ403" s="34"/>
      <c r="BR403" s="34"/>
      <c r="BS403" s="34"/>
      <c r="BT403" s="34"/>
      <c r="BU403" s="34"/>
      <c r="BV403" s="34"/>
      <c r="BW403" s="34"/>
      <c r="BX403" s="34"/>
      <c r="BY403" s="34"/>
      <c r="BZ403" s="34"/>
      <c r="CA403" s="34"/>
      <c r="CB403" s="34"/>
      <c r="CC403" s="34"/>
      <c r="CD403" s="34"/>
      <c r="CE403" s="34"/>
      <c r="CF403" s="34"/>
      <c r="CG403" s="34"/>
      <c r="CH403" s="34"/>
      <c r="CI403" s="34"/>
      <c r="CJ403" s="34"/>
      <c r="CK403" s="34"/>
      <c r="CL403" s="34"/>
      <c r="CM403" s="34"/>
      <c r="CN403" s="34"/>
      <c r="CO403" s="34"/>
      <c r="CP403" s="34"/>
      <c r="CQ403" s="34"/>
      <c r="CR403" s="34"/>
      <c r="CS403" s="34"/>
      <c r="CT403" s="34"/>
      <c r="CU403" s="34"/>
      <c r="CV403" s="34"/>
      <c r="CW403" s="34"/>
      <c r="CX403" s="34"/>
      <c r="CY403" s="34"/>
      <c r="CZ403" s="34"/>
      <c r="DA403" s="34"/>
      <c r="DB403" s="34"/>
      <c r="DC403" s="34"/>
      <c r="DD403" s="34"/>
      <c r="DE403" s="34"/>
    </row>
    <row r="404" customFormat="false" ht="15" hidden="false" customHeight="true" outlineLevel="0" collapsed="false">
      <c r="A404" s="22" t="s">
        <v>222</v>
      </c>
      <c r="B404" s="13" t="n">
        <f aca="false">IF(B390="","",B390)</f>
        <v>680024</v>
      </c>
      <c r="C404" s="13" t="n">
        <f aca="false">IF(C390="","",C390)</f>
        <v>115848</v>
      </c>
      <c r="D404" s="13" t="n">
        <f aca="false">IF(D390="","",D390)</f>
        <v>633520</v>
      </c>
      <c r="E404" s="13" t="n">
        <f aca="false">IF(E390="","",E390)</f>
        <v>394004</v>
      </c>
      <c r="F404" s="13" t="n">
        <f aca="false">IF(F390="","",F390)</f>
        <v>501967</v>
      </c>
      <c r="G404" s="13" t="n">
        <f aca="false">IF(G390="","",G390)</f>
        <v>306139</v>
      </c>
      <c r="H404" s="13" t="n">
        <f aca="false">IF(H390="","",H390)</f>
        <v>283340</v>
      </c>
      <c r="I404" s="13" t="n">
        <f aca="false">IF(I390="","",I390)</f>
        <v>1287106</v>
      </c>
      <c r="J404" s="13" t="str">
        <f aca="false">IF(J390="","",J390)</f>
        <v/>
      </c>
      <c r="K404" s="13" t="str">
        <f aca="false">IF(K390="","",K390)</f>
        <v/>
      </c>
      <c r="L404" s="13" t="str">
        <f aca="false">IF(L390="","",L390)</f>
        <v/>
      </c>
      <c r="M404" s="13" t="str">
        <f aca="false">IF(M390="","",M390)</f>
        <v/>
      </c>
      <c r="N404" s="13" t="str">
        <f aca="false">IF(N390="","",N390)</f>
        <v/>
      </c>
      <c r="O404" s="13" t="str">
        <f aca="false">IF(O390="","",O390)</f>
        <v/>
      </c>
      <c r="P404" s="13" t="str">
        <f aca="false">IF(P390="","",P390)</f>
        <v/>
      </c>
      <c r="Q404" s="13" t="str">
        <f aca="false">IF(Q390="","",Q390)</f>
        <v/>
      </c>
      <c r="R404" s="13" t="str">
        <f aca="false">IF(R390="","",R390)</f>
        <v/>
      </c>
      <c r="S404" s="13" t="str">
        <f aca="false">IF(S390="","",S390)</f>
        <v/>
      </c>
      <c r="T404" s="13" t="str">
        <f aca="false">IF(T390="","",T390)</f>
        <v/>
      </c>
      <c r="U404" s="13" t="str">
        <f aca="false">IF(U390="","",U390)</f>
        <v/>
      </c>
      <c r="V404" s="13" t="str">
        <f aca="false">IF(V390="","",V390)</f>
        <v/>
      </c>
      <c r="W404" s="13" t="str">
        <f aca="false">IF(W390="","",W390)</f>
        <v/>
      </c>
      <c r="X404" s="13" t="str">
        <f aca="false">IF(X390="","",X390)</f>
        <v/>
      </c>
      <c r="Y404" s="13" t="str">
        <f aca="false">IF(Y390="","",Y390)</f>
        <v/>
      </c>
      <c r="Z404" s="13" t="str">
        <f aca="false">IF(Z390="","",Z390)</f>
        <v/>
      </c>
      <c r="AA404" s="13" t="str">
        <f aca="false">IF(AA390="","",AA390)</f>
        <v/>
      </c>
      <c r="AB404" s="13" t="str">
        <f aca="false">IF(AB390="","",AB390)</f>
        <v/>
      </c>
      <c r="AC404" s="13" t="str">
        <f aca="false">IF(AC390="","",AC390)</f>
        <v/>
      </c>
      <c r="AD404" s="13" t="str">
        <f aca="false">IF(AD390="","",AD390)</f>
        <v/>
      </c>
      <c r="AE404" s="13" t="str">
        <f aca="false">IF(AE390="","",AE390)</f>
        <v/>
      </c>
      <c r="AF404" s="13" t="str">
        <f aca="false">IF(AF390="","",AF390)</f>
        <v/>
      </c>
      <c r="AG404" s="13" t="str">
        <f aca="false">IF(AG390="","",AG390)</f>
        <v/>
      </c>
      <c r="AH404" s="13" t="str">
        <f aca="false">IF(AH390="","",AH390)</f>
        <v/>
      </c>
      <c r="AI404" s="13" t="str">
        <f aca="false">IF(AI390="","",AI390)</f>
        <v/>
      </c>
      <c r="AJ404" s="13" t="str">
        <f aca="false">IF(AJ390="","",AJ390)</f>
        <v/>
      </c>
      <c r="AK404" s="13" t="str">
        <f aca="false">IF(AK390="","",AK390)</f>
        <v/>
      </c>
      <c r="AL404" s="13" t="str">
        <f aca="false">IF(AL390="","",AL390)</f>
        <v/>
      </c>
      <c r="AM404" s="13" t="str">
        <f aca="false">IF(AM390="","",AM390)</f>
        <v/>
      </c>
      <c r="AN404" s="13" t="str">
        <f aca="false">IF(AN390="","",AN390)</f>
        <v/>
      </c>
      <c r="AO404" s="13" t="str">
        <f aca="false">IF(AO390="","",AO390)</f>
        <v/>
      </c>
      <c r="AP404" s="13" t="str">
        <f aca="false">IF(AP390="","",AP390)</f>
        <v/>
      </c>
      <c r="AQ404" s="13" t="str">
        <f aca="false">IF(AQ390="","",AQ390)</f>
        <v/>
      </c>
      <c r="AR404" s="13" t="str">
        <f aca="false">IF(AR390="","",AR390)</f>
        <v/>
      </c>
      <c r="AS404" s="13" t="str">
        <f aca="false">IF(AS390="","",AS390)</f>
        <v/>
      </c>
      <c r="AT404" s="13" t="str">
        <f aca="false">IF(AT390="","",AT390)</f>
        <v/>
      </c>
      <c r="AU404" s="13" t="str">
        <f aca="false">IF(AU390="","",AU390)</f>
        <v/>
      </c>
      <c r="AV404" s="13" t="str">
        <f aca="false">IF(AV390="","",AV390)</f>
        <v/>
      </c>
      <c r="AW404" s="13" t="str">
        <f aca="false">IF(AW390="","",AW390)</f>
        <v/>
      </c>
      <c r="AX404" s="13" t="str">
        <f aca="false">IF(AX390="","",AX390)</f>
        <v/>
      </c>
      <c r="AY404" s="13" t="str">
        <f aca="false">IF(AY390="","",AY390)</f>
        <v/>
      </c>
      <c r="AZ404" s="13" t="str">
        <f aca="false">IF(AZ390="","",AZ390)</f>
        <v/>
      </c>
      <c r="BA404" s="13" t="str">
        <f aca="false">IF(BA390="","",BA390)</f>
        <v/>
      </c>
      <c r="BB404" s="13" t="str">
        <f aca="false">IF(BB390="","",BB390)</f>
        <v/>
      </c>
      <c r="BC404" s="13" t="str">
        <f aca="false">IF(BC390="","",BC390)</f>
        <v/>
      </c>
      <c r="BD404" s="13" t="str">
        <f aca="false">IF(BD390="","",BD390)</f>
        <v/>
      </c>
      <c r="BE404" s="13" t="str">
        <f aca="false">IF(BE390="","",BE390)</f>
        <v/>
      </c>
      <c r="BF404" s="13" t="str">
        <f aca="false">IF(BF390="","",BF390)</f>
        <v/>
      </c>
      <c r="BG404" s="13" t="str">
        <f aca="false">IF(BG390="","",BG390)</f>
        <v/>
      </c>
      <c r="BH404" s="13" t="str">
        <f aca="false">IF(BH390="","",BH390)</f>
        <v/>
      </c>
      <c r="BI404" s="13" t="str">
        <f aca="false">IF(BI390="","",BI390)</f>
        <v/>
      </c>
      <c r="BJ404" s="13" t="str">
        <f aca="false">IF(BJ390="","",BJ390)</f>
        <v/>
      </c>
      <c r="BK404" s="13" t="str">
        <f aca="false">IF(BK390="","",BK390)</f>
        <v/>
      </c>
      <c r="BL404" s="13" t="str">
        <f aca="false">IF(BL390="","",BL390)</f>
        <v/>
      </c>
      <c r="BM404" s="13" t="str">
        <f aca="false">IF(BM390="","",BM390)</f>
        <v/>
      </c>
      <c r="BN404" s="13" t="str">
        <f aca="false">IF(BN390="","",BN390)</f>
        <v/>
      </c>
      <c r="BO404" s="13" t="str">
        <f aca="false">IF(BO390="","",BO390)</f>
        <v/>
      </c>
      <c r="BP404" s="13" t="str">
        <f aca="false">IF(BP390="","",BP390)</f>
        <v/>
      </c>
      <c r="BQ404" s="13" t="str">
        <f aca="false">IF(BQ390="","",BQ390)</f>
        <v/>
      </c>
      <c r="BR404" s="13" t="str">
        <f aca="false">IF(BR390="","",BR390)</f>
        <v/>
      </c>
      <c r="BS404" s="13" t="str">
        <f aca="false">IF(BS390="","",BS390)</f>
        <v/>
      </c>
      <c r="BT404" s="13" t="str">
        <f aca="false">IF(BT390="","",BT390)</f>
        <v/>
      </c>
      <c r="BU404" s="13" t="str">
        <f aca="false">IF(BU390="","",BU390)</f>
        <v/>
      </c>
      <c r="BV404" s="13" t="str">
        <f aca="false">IF(BV390="","",BV390)</f>
        <v/>
      </c>
      <c r="BW404" s="13" t="str">
        <f aca="false">IF(BW390="","",BW390)</f>
        <v/>
      </c>
      <c r="BX404" s="13" t="str">
        <f aca="false">IF(BX390="","",BX390)</f>
        <v/>
      </c>
      <c r="BY404" s="13" t="str">
        <f aca="false">IF(BY390="","",BY390)</f>
        <v/>
      </c>
      <c r="BZ404" s="13" t="str">
        <f aca="false">IF(BZ390="","",BZ390)</f>
        <v/>
      </c>
      <c r="CA404" s="13" t="str">
        <f aca="false">IF(CA390="","",CA390)</f>
        <v/>
      </c>
      <c r="CB404" s="13" t="str">
        <f aca="false">IF(CB390="","",CB390)</f>
        <v/>
      </c>
      <c r="CC404" s="13" t="str">
        <f aca="false">IF(CC390="","",CC390)</f>
        <v/>
      </c>
      <c r="CD404" s="13" t="str">
        <f aca="false">IF(CD390="","",CD390)</f>
        <v/>
      </c>
      <c r="CE404" s="13" t="str">
        <f aca="false">IF(CE390="","",CE390)</f>
        <v/>
      </c>
      <c r="CF404" s="13" t="str">
        <f aca="false">IF(CF390="","",CF390)</f>
        <v/>
      </c>
      <c r="CG404" s="13" t="str">
        <f aca="false">IF(CG390="","",CG390)</f>
        <v/>
      </c>
      <c r="CH404" s="13" t="str">
        <f aca="false">IF(CH390="","",CH390)</f>
        <v/>
      </c>
      <c r="CI404" s="13" t="str">
        <f aca="false">IF(CI390="","",CI390)</f>
        <v/>
      </c>
      <c r="CJ404" s="13" t="str">
        <f aca="false">IF(CJ390="","",CJ390)</f>
        <v/>
      </c>
      <c r="CK404" s="13" t="str">
        <f aca="false">IF(CK390="","",CK390)</f>
        <v/>
      </c>
      <c r="CL404" s="13" t="str">
        <f aca="false">IF(CL390="","",CL390)</f>
        <v/>
      </c>
      <c r="CM404" s="13" t="str">
        <f aca="false">IF(CM390="","",CM390)</f>
        <v/>
      </c>
      <c r="CN404" s="13" t="str">
        <f aca="false">IF(CN390="","",CN390)</f>
        <v/>
      </c>
      <c r="CO404" s="13" t="str">
        <f aca="false">IF(CO390="","",CO390)</f>
        <v/>
      </c>
      <c r="CP404" s="13" t="str">
        <f aca="false">IF(CP390="","",CP390)</f>
        <v/>
      </c>
      <c r="CQ404" s="13" t="str">
        <f aca="false">IF(CQ390="","",CQ390)</f>
        <v/>
      </c>
      <c r="CR404" s="13" t="str">
        <f aca="false">IF(CR390="","",CR390)</f>
        <v/>
      </c>
      <c r="CS404" s="13" t="str">
        <f aca="false">IF(CS390="","",CS390)</f>
        <v/>
      </c>
      <c r="CT404" s="13" t="str">
        <f aca="false">IF(CT390="","",CT390)</f>
        <v/>
      </c>
      <c r="CU404" s="13" t="str">
        <f aca="false">IF(CU390="","",CU390)</f>
        <v/>
      </c>
      <c r="CV404" s="13" t="str">
        <f aca="false">IF(CV390="","",CV390)</f>
        <v/>
      </c>
      <c r="CW404" s="13" t="str">
        <f aca="false">IF(CW390="","",CW390)</f>
        <v/>
      </c>
      <c r="CX404" s="13" t="str">
        <f aca="false">IF(CX390="","",CX390)</f>
        <v/>
      </c>
      <c r="CY404" s="13" t="str">
        <f aca="false">IF(CY390="","",CY390)</f>
        <v/>
      </c>
      <c r="CZ404" s="13" t="str">
        <f aca="false">IF(CZ390="","",CZ390)</f>
        <v/>
      </c>
      <c r="DA404" s="13" t="str">
        <f aca="false">IF(DA390="","",DA390)</f>
        <v/>
      </c>
      <c r="DB404" s="13" t="str">
        <f aca="false">IF(DB390="","",DB390)</f>
        <v/>
      </c>
      <c r="DC404" s="13" t="str">
        <f aca="false">IF(DC390="","",DC390)</f>
        <v/>
      </c>
      <c r="DD404" s="13" t="str">
        <f aca="false">IF(DD390="","",DD390)</f>
        <v/>
      </c>
      <c r="DE404" s="13" t="str">
        <f aca="false">IF(DE390="","",DE390)</f>
        <v/>
      </c>
    </row>
    <row r="405" customFormat="false" ht="15" hidden="false" customHeight="true" outlineLevel="0" collapsed="false">
      <c r="A405" s="22" t="s">
        <v>223</v>
      </c>
      <c r="B405" s="13" t="str">
        <f aca="false">IF(B$4="Actuals",IF(C$4="Actuals","",C355),B363)</f>
        <v/>
      </c>
      <c r="C405" s="13" t="str">
        <f aca="false">IF(C$4="Actuals",IF(D$4="Actuals","",D355),C363)</f>
        <v/>
      </c>
      <c r="D405" s="13" t="str">
        <f aca="false">IF(D$4="Actuals",IF(E$4="Actuals","",E355),D363)</f>
        <v/>
      </c>
      <c r="E405" s="13" t="str">
        <f aca="false">IF(E$4="Actuals",IF(F$4="Actuals","",F355),E363)</f>
        <v/>
      </c>
      <c r="F405" s="13" t="str">
        <f aca="false">IF(F$4="Actuals",IF(G$4="Actuals","",G355),F363)</f>
        <v/>
      </c>
      <c r="G405" s="13" t="str">
        <f aca="false">IF(G$4="Actuals",IF(H$4="Actuals","",H355),G363)</f>
        <v/>
      </c>
      <c r="H405" s="13" t="str">
        <f aca="false">IF(H$4="Actuals",IF(I$4="Actuals","",I355),H363)</f>
        <v/>
      </c>
      <c r="I405" s="13" t="n">
        <f aca="false">IF(I$4="Actuals",IF(J$4="Actuals","",J355),I363)</f>
        <v>1287106</v>
      </c>
      <c r="J405" s="13" t="n">
        <f aca="false">IF(J$4="Actuals",IF(K$4="Actuals","",K355),J363)</f>
        <v>1113428.48890737</v>
      </c>
      <c r="K405" s="13" t="n">
        <f aca="false">IF(K$4="Actuals",IF(L$4="Actuals","",L355),K363)</f>
        <v>1608936.51416871</v>
      </c>
      <c r="L405" s="13" t="n">
        <f aca="false">IF(L$4="Actuals",IF(M$4="Actuals","",M355),L363)</f>
        <v>2053661.92886452</v>
      </c>
      <c r="M405" s="13" t="n">
        <f aca="false">IF(M$4="Actuals",IF(N$4="Actuals","",N355),M363)</f>
        <v>2168054.84711936</v>
      </c>
      <c r="N405" s="13" t="n">
        <f aca="false">IF(N$4="Actuals",IF(O$4="Actuals","",O355),N363)</f>
        <v>1143817.67352964</v>
      </c>
      <c r="O405" s="13" t="n">
        <f aca="false">IF(O$4="Actuals",IF(P$4="Actuals","",P355),O363)</f>
        <v>1424378.16243575</v>
      </c>
      <c r="P405" s="13" t="n">
        <f aca="false">IF(P$4="Actuals",IF(Q$4="Actuals","",Q355),P363)</f>
        <v>1739781.35069781</v>
      </c>
      <c r="Q405" s="13" t="n">
        <f aca="false">IF(Q$4="Actuals",IF(R$4="Actuals","",R355),Q363)</f>
        <v>1983166.71522368</v>
      </c>
      <c r="R405" s="13" t="n">
        <f aca="false">IF(R$4="Actuals",IF(S$4="Actuals","",S355),R363)</f>
        <v>1497633.13073708</v>
      </c>
      <c r="S405" s="13" t="n">
        <f aca="false">IF(S$4="Actuals",IF(T$4="Actuals","",T355),S363)</f>
        <v>1561572.750026</v>
      </c>
      <c r="T405" s="13" t="n">
        <f aca="false">IF(T$4="Actuals",IF(U$4="Actuals","",U355),T363)</f>
        <v>1662810.86299778</v>
      </c>
      <c r="U405" s="13" t="n">
        <f aca="false">IF(U$4="Actuals",IF(V$4="Actuals","",V355),U363)</f>
        <v>1953527.99398282</v>
      </c>
      <c r="V405" s="13" t="n">
        <f aca="false">IF(V$4="Actuals",IF(W$4="Actuals","",W355),V363)</f>
        <v>2581953.05901466</v>
      </c>
      <c r="W405" s="13" t="n">
        <f aca="false">IF(W$4="Actuals",IF(X$4="Actuals","",X355),W363)</f>
        <v>3259430.10754649</v>
      </c>
      <c r="X405" s="13" t="n">
        <f aca="false">IF(X$4="Actuals",IF(Y$4="Actuals","",Y355),X363)</f>
        <v>3720641.44183539</v>
      </c>
      <c r="Y405" s="13" t="n">
        <f aca="false">IF(Y$4="Actuals",IF(Z$4="Actuals","",Z355),Y363)</f>
        <v>4415467.61553319</v>
      </c>
      <c r="Z405" s="13" t="n">
        <f aca="false">IF(Z$4="Actuals",IF(AA$4="Actuals","",AA355),Z363)</f>
        <v>5007331.72706562</v>
      </c>
      <c r="AA405" s="13" t="n">
        <f aca="false">IF(AA$4="Actuals",IF(AB$4="Actuals","",AB355),AA363)</f>
        <v>5819979.16304536</v>
      </c>
      <c r="AB405" s="13" t="n">
        <f aca="false">IF(AB$4="Actuals",IF(AC$4="Actuals","",AC355),AB363)</f>
        <v>6659329.38945921</v>
      </c>
      <c r="AC405" s="13" t="n">
        <f aca="false">IF(AC$4="Actuals",IF(AD$4="Actuals","",AD355),AC363)</f>
        <v>7303766.1611928</v>
      </c>
      <c r="AD405" s="13" t="n">
        <f aca="false">IF(AD$4="Actuals",IF(AE$4="Actuals","",AE355),AD363)</f>
        <v>7763329.96818283</v>
      </c>
      <c r="AE405" s="13" t="n">
        <f aca="false">IF(AE$4="Actuals",IF(AF$4="Actuals","",AF355),AE363)</f>
        <v>8238414.10262944</v>
      </c>
      <c r="AF405" s="13" t="n">
        <f aca="false">IF(AF$4="Actuals",IF(AG$4="Actuals","",AG355),AF363)</f>
        <v>8257588.28839791</v>
      </c>
      <c r="AG405" s="13" t="n">
        <f aca="false">IF(AG$4="Actuals",IF(AH$4="Actuals","",AH355),AG363)</f>
        <v>9099130.33419041</v>
      </c>
      <c r="AH405" s="13" t="n">
        <f aca="false">IF(AH$4="Actuals",IF(AI$4="Actuals","",AI355),AH363)</f>
        <v>9857888.55290159</v>
      </c>
      <c r="AI405" s="13" t="n">
        <f aca="false">IF(AI$4="Actuals",IF(AJ$4="Actuals","",AJ355),AI363)</f>
        <v>10584099.0296509</v>
      </c>
      <c r="AJ405" s="13" t="n">
        <f aca="false">IF(AJ$4="Actuals",IF(AK$4="Actuals","",AK355),AJ363)</f>
        <v>11561633.8831781</v>
      </c>
      <c r="AK405" s="13" t="n">
        <f aca="false">IF(AK$4="Actuals",IF(AL$4="Actuals","",AL355),AK363)</f>
        <v>12353902.7304353</v>
      </c>
      <c r="AL405" s="13" t="n">
        <f aca="false">IF(AL$4="Actuals",IF(AM$4="Actuals","",AM355),AL363)</f>
        <v>13099510.6490967</v>
      </c>
      <c r="AM405" s="13" t="n">
        <f aca="false">IF(AM$4="Actuals",IF(AN$4="Actuals","",AN355),AM363)</f>
        <v>13889663.339886</v>
      </c>
      <c r="AN405" s="13" t="n">
        <f aca="false">IF(AN$4="Actuals",IF(AO$4="Actuals","",AO355),AN363)</f>
        <v>14828796.7064075</v>
      </c>
      <c r="AO405" s="13" t="n">
        <f aca="false">IF(AO$4="Actuals",IF(AP$4="Actuals","",AP355),AO363)</f>
        <v>15485410.9228534</v>
      </c>
      <c r="AP405" s="13" t="n">
        <f aca="false">IF(AP$4="Actuals",IF(AQ$4="Actuals","",AQ355),AP363)</f>
        <v>16186972.1842994</v>
      </c>
      <c r="AQ405" s="13" t="n">
        <f aca="false">IF(AQ$4="Actuals",IF(AR$4="Actuals","",AR355),AQ363)</f>
        <v>16601810.0183121</v>
      </c>
      <c r="AR405" s="13" t="n">
        <f aca="false">IF(AR$4="Actuals",IF(AS$4="Actuals","",AS355),AR363)</f>
        <v>17471681.2501081</v>
      </c>
      <c r="AS405" s="13" t="n">
        <f aca="false">IF(AS$4="Actuals",IF(AT$4="Actuals","",AT355),AS363)</f>
        <v>18379052.481904</v>
      </c>
      <c r="AT405" s="13" t="n">
        <f aca="false">IF(AT$4="Actuals",IF(AU$4="Actuals","",AU355),AT363)</f>
        <v>19573209.2644601</v>
      </c>
      <c r="AU405" s="13" t="n">
        <f aca="false">IF(AU$4="Actuals",IF(AV$4="Actuals","",AV355),AU363)</f>
        <v>20834445.2101858</v>
      </c>
      <c r="AV405" s="13" t="n">
        <f aca="false">IF(AV$4="Actuals",IF(AW$4="Actuals","",AW355),AV363)</f>
        <v>21659652.4216132</v>
      </c>
      <c r="AW405" s="13" t="n">
        <f aca="false">IF(AW$4="Actuals",IF(AX$4="Actuals","",AX355),AW363)</f>
        <v>22315906.6308388</v>
      </c>
      <c r="AX405" s="13" t="n">
        <f aca="false">IF(AX$4="Actuals",IF(AY$4="Actuals","",AY355),AX363)</f>
        <v>23019660.8400644</v>
      </c>
      <c r="AY405" s="13" t="n">
        <f aca="false">IF(AY$4="Actuals",IF(AZ$4="Actuals","",AZ355),AY363)</f>
        <v>23747757.5449604</v>
      </c>
      <c r="AZ405" s="13" t="n">
        <f aca="false">IF(AZ$4="Actuals",IF(BA$4="Actuals","",BA355),AZ363)</f>
        <v>24583963.3541407</v>
      </c>
      <c r="BA405" s="13" t="n">
        <f aca="false">IF(BA$4="Actuals",IF(BB$4="Actuals","",BB355),BA363)</f>
        <v>25368623.0099296</v>
      </c>
      <c r="BB405" s="13" t="n">
        <f aca="false">IF(BB$4="Actuals",IF(BC$4="Actuals","",BC355),BB363)</f>
        <v>26154223.3462779</v>
      </c>
      <c r="BC405" s="13" t="n">
        <f aca="false">IF(BC$4="Actuals",IF(BD$4="Actuals","",BD355),BC363)</f>
        <v>26704032.6095466</v>
      </c>
      <c r="BD405" s="13" t="n">
        <f aca="false">IF(BD$4="Actuals",IF(BE$4="Actuals","",BE355),BD363)</f>
        <v>27517640.5439403</v>
      </c>
      <c r="BE405" s="13" t="n">
        <f aca="false">IF(BE$4="Actuals",IF(BF$4="Actuals","",BF355),BE363)</f>
        <v>28329222.0263063</v>
      </c>
      <c r="BF405" s="13" t="n">
        <f aca="false">IF(BF$4="Actuals",IF(BG$4="Actuals","",BG355),BF363)</f>
        <v>29177603.1541447</v>
      </c>
      <c r="BG405" s="13" t="n">
        <f aca="false">IF(BG$4="Actuals",IF(BH$4="Actuals","",BH355),BG363)</f>
        <v>29988292.8110946</v>
      </c>
      <c r="BH405" s="13" t="n">
        <f aca="false">IF(BH$4="Actuals",IF(BI$4="Actuals","",BI355),BH363)</f>
        <v>31034188.6100222</v>
      </c>
      <c r="BI405" s="13" t="n">
        <f aca="false">IF(BI$4="Actuals",IF(BJ$4="Actuals","",BJ355),BI363)</f>
        <v>31877698.4199326</v>
      </c>
      <c r="BJ405" s="13" t="n">
        <f aca="false">IF(BJ$4="Actuals",IF(BK$4="Actuals","",BK355),BJ363)</f>
        <v>32467932.6724141</v>
      </c>
      <c r="BK405" s="13" t="n">
        <f aca="false">IF(BK$4="Actuals",IF(BL$4="Actuals","",BL355),BK363)</f>
        <v>32881007.0938137</v>
      </c>
      <c r="BL405" s="13" t="n">
        <f aca="false">IF(BL$4="Actuals",IF(BM$4="Actuals","",BM355),BL363)</f>
        <v>33304081.5152132</v>
      </c>
      <c r="BM405" s="13" t="n">
        <f aca="false">IF(BM$4="Actuals",IF(BN$4="Actuals","",BN355),BM363)</f>
        <v>33740101.8711455</v>
      </c>
      <c r="BN405" s="13" t="n">
        <f aca="false">IF(BN$4="Actuals",IF(BO$4="Actuals","",BO355),BN363)</f>
        <v>34317631.9778441</v>
      </c>
      <c r="BO405" s="13" t="n">
        <f aca="false">IF(BO$4="Actuals",IF(BP$4="Actuals","",BP355),BO363)</f>
        <v>34770485.425163</v>
      </c>
      <c r="BP405" s="13" t="n">
        <f aca="false">IF(BP$4="Actuals",IF(BQ$4="Actuals","",BQ355),BP363)</f>
        <v>35091238.0082855</v>
      </c>
      <c r="BQ405" s="13" t="n">
        <f aca="false">IF(BQ$4="Actuals",IF(BR$4="Actuals","",BR355),BQ363)</f>
        <v>35437608.8706275</v>
      </c>
      <c r="BR405" s="13" t="n">
        <f aca="false">IF(BR$4="Actuals",IF(BS$4="Actuals","",BS355),BR363)</f>
        <v>35831005.2268377</v>
      </c>
      <c r="BS405" s="13" t="n">
        <f aca="false">IF(BS$4="Actuals",IF(BT$4="Actuals","",BT355),BS363)</f>
        <v>36308965.8315215</v>
      </c>
      <c r="BT405" s="13" t="n">
        <f aca="false">IF(BT$4="Actuals",IF(BU$4="Actuals","",BU355),BT363)</f>
        <v>36738060.6685114</v>
      </c>
      <c r="BU405" s="13" t="n">
        <f aca="false">IF(BU$4="Actuals",IF(BV$4="Actuals","",BV355),BU363)</f>
        <v>37068566.0095614</v>
      </c>
      <c r="BV405" s="13" t="n">
        <f aca="false">IF(BV$4="Actuals",IF(BW$4="Actuals","",BW355),BV363)</f>
        <v>37327854.880326</v>
      </c>
      <c r="BW405" s="13" t="n">
        <f aca="false">IF(BW$4="Actuals",IF(BX$4="Actuals","",BX355),BW363)</f>
        <v>37537990.0706156</v>
      </c>
      <c r="BX405" s="13" t="n">
        <f aca="false">IF(BX$4="Actuals",IF(BY$4="Actuals","",BY355),BX363)</f>
        <v>37635932.9808195</v>
      </c>
      <c r="BY405" s="13" t="n">
        <f aca="false">IF(BY$4="Actuals",IF(BZ$4="Actuals","",BZ355),BY363)</f>
        <v>37645358.8061288</v>
      </c>
      <c r="BZ405" s="13" t="n">
        <f aca="false">IF(BZ$4="Actuals",IF(CA$4="Actuals","",CA355),BZ363)</f>
        <v>37604991.4574739</v>
      </c>
      <c r="CA405" s="13" t="n">
        <f aca="false">IF(CA$4="Actuals",IF(CB$4="Actuals","",CB355),CA363)</f>
        <v>37356949.633819</v>
      </c>
      <c r="CB405" s="13" t="n">
        <f aca="false">IF(CB$4="Actuals",IF(CC$4="Actuals","",CC355),CB363)</f>
        <v>36928321.3101641</v>
      </c>
      <c r="CC405" s="13" t="n">
        <f aca="false">IF(CC$4="Actuals",IF(CD$4="Actuals","",CD355),CC363)</f>
        <v>36499692.9865092</v>
      </c>
      <c r="CD405" s="13" t="n">
        <f aca="false">IF(CD$4="Actuals",IF(CE$4="Actuals","",CE355),CD363)</f>
        <v>36071064.6628542</v>
      </c>
      <c r="CE405" s="13" t="n">
        <f aca="false">IF(CE$4="Actuals",IF(CF$4="Actuals","",CF355),CE363)</f>
        <v>35642436.3391993</v>
      </c>
      <c r="CF405" s="13" t="n">
        <f aca="false">IF(CF$4="Actuals",IF(CG$4="Actuals","",CG355),CF363)</f>
        <v>35213808.0155444</v>
      </c>
      <c r="CG405" s="13" t="n">
        <f aca="false">IF(CG$4="Actuals",IF(CH$4="Actuals","",CH355),CG363)</f>
        <v>34785179.6918895</v>
      </c>
      <c r="CH405" s="13" t="n">
        <f aca="false">IF(CH$4="Actuals",IF(CI$4="Actuals","",CI355),CH363)</f>
        <v>34356551.3682346</v>
      </c>
      <c r="CI405" s="13" t="n">
        <f aca="false">IF(CI$4="Actuals",IF(CJ$4="Actuals","",CJ355),CI363)</f>
        <v>33927923.0445797</v>
      </c>
      <c r="CJ405" s="13" t="n">
        <f aca="false">IF(CJ$4="Actuals",IF(CK$4="Actuals","",CK355),CJ363)</f>
        <v>33499294.7209248</v>
      </c>
      <c r="CK405" s="13" t="n">
        <f aca="false">IF(CK$4="Actuals",IF(CL$4="Actuals","",CL355),CK363)</f>
        <v>33062093.8307968</v>
      </c>
      <c r="CL405" s="13" t="n">
        <f aca="false">IF(CL$4="Actuals",IF(CM$4="Actuals","",CM355),CL363)</f>
        <v>32624892.9406688</v>
      </c>
      <c r="CM405" s="13" t="n">
        <f aca="false">IF(CM$4="Actuals",IF(CN$4="Actuals","",CN355),CM363)</f>
        <v>32187692.0505407</v>
      </c>
      <c r="CN405" s="13" t="n">
        <f aca="false">IF(CN$4="Actuals",IF(CO$4="Actuals","",CO355),CN363)</f>
        <v>31750491.1604127</v>
      </c>
      <c r="CO405" s="13" t="n">
        <f aca="false">IF(CO$4="Actuals",IF(CP$4="Actuals","",CP355),CO363)</f>
        <v>31313290.2702847</v>
      </c>
      <c r="CP405" s="13" t="n">
        <f aca="false">IF(CP$4="Actuals",IF(CQ$4="Actuals","",CQ355),CP363)</f>
        <v>30876089.3801567</v>
      </c>
      <c r="CQ405" s="13" t="n">
        <f aca="false">IF(CQ$4="Actuals",IF(CR$4="Actuals","",CR355),CQ363)</f>
        <v>30438888.4900287</v>
      </c>
      <c r="CR405" s="13" t="n">
        <f aca="false">IF(CR$4="Actuals",IF(CS$4="Actuals","",CS355),CR363)</f>
        <v>30001687.5999007</v>
      </c>
      <c r="CS405" s="13" t="n">
        <f aca="false">IF(CS$4="Actuals",IF(CT$4="Actuals","",CT355),CS363)</f>
        <v>29564486.7097727</v>
      </c>
      <c r="CT405" s="13" t="n">
        <f aca="false">IF(CT$4="Actuals",IF(CU$4="Actuals","",CU355),CT363)</f>
        <v>29179065.9792561</v>
      </c>
      <c r="CU405" s="13" t="n">
        <f aca="false">IF(CU$4="Actuals",IF(CV$4="Actuals","",CV355),CU363)</f>
        <v>28793645.2487396</v>
      </c>
      <c r="CV405" s="13" t="n">
        <f aca="false">IF(CV$4="Actuals",IF(CW$4="Actuals","",CW355),CV363)</f>
        <v>28408224.518223</v>
      </c>
      <c r="CW405" s="13" t="n">
        <f aca="false">IF(CW$4="Actuals",IF(CX$4="Actuals","",CX355),CW363)</f>
        <v>28015095.3730961</v>
      </c>
      <c r="CX405" s="13" t="n">
        <f aca="false">IF(CX$4="Actuals",IF(CY$4="Actuals","",CY355),CX363)</f>
        <v>27621966.2279692</v>
      </c>
      <c r="CY405" s="13" t="n">
        <f aca="false">IF(CY$4="Actuals",IF(CZ$4="Actuals","",CZ355),CY363)</f>
        <v>27228837.0828424</v>
      </c>
      <c r="CZ405" s="13" t="n">
        <f aca="false">IF(CZ$4="Actuals",IF(DA$4="Actuals","",DA355),CZ363)</f>
        <v>26835707.9377155</v>
      </c>
      <c r="DA405" s="13" t="n">
        <f aca="false">IF(DA$4="Actuals",IF(DB$4="Actuals","",DB355),DA363)</f>
        <v>26442578.7925886</v>
      </c>
      <c r="DB405" s="13" t="n">
        <f aca="false">IF(DB$4="Actuals",IF(DC$4="Actuals","",DC355),DB363)</f>
        <v>26049449.6474617</v>
      </c>
      <c r="DC405" s="13" t="n">
        <f aca="false">IF(DC$4="Actuals",IF(DD$4="Actuals","",DD355),DC363)</f>
        <v>25656320.5023348</v>
      </c>
      <c r="DD405" s="13" t="n">
        <f aca="false">IF(DD$4="Actuals",IF(DE$4="Actuals","",DE355),DD363)</f>
        <v>25263191.3572079</v>
      </c>
      <c r="DE405" s="13" t="n">
        <f aca="false">IF(DE$4="Actuals",IF(DF$4="Actuals","",DF355),DE363)</f>
        <v>24870062.212081</v>
      </c>
    </row>
    <row r="406" customFormat="false" ht="15" hidden="false" customHeight="true" outlineLevel="0" collapsed="false">
      <c r="A406" s="22" t="s">
        <v>224</v>
      </c>
      <c r="B406" s="13" t="str">
        <f aca="false">IF(OR(B404="",B405=""),"",B405-B404)</f>
        <v/>
      </c>
      <c r="C406" s="13" t="str">
        <f aca="false">IF(OR(C404="",C405=""),"",C405-C404)</f>
        <v/>
      </c>
      <c r="D406" s="13" t="str">
        <f aca="false">IF(OR(D404="",D405=""),"",D405-D404)</f>
        <v/>
      </c>
      <c r="E406" s="13" t="str">
        <f aca="false">IF(OR(E404="",E405=""),"",E405-E404)</f>
        <v/>
      </c>
      <c r="F406" s="13" t="str">
        <f aca="false">IF(OR(F404="",F405=""),"",F405-F404)</f>
        <v/>
      </c>
      <c r="G406" s="13" t="str">
        <f aca="false">IF(OR(G404="",G405=""),"",G405-G404)</f>
        <v/>
      </c>
      <c r="H406" s="13" t="str">
        <f aca="false">IF(OR(H404="",H405=""),"",H405-H404)</f>
        <v/>
      </c>
      <c r="I406" s="13" t="n">
        <f aca="false">IF(OR(I404="",I405=""),"",I405-I404)</f>
        <v>0</v>
      </c>
      <c r="J406" s="13" t="str">
        <f aca="false">IF(OR(J404="",J405=""),"",J405-J404)</f>
        <v/>
      </c>
      <c r="K406" s="13" t="str">
        <f aca="false">IF(OR(K404="",K405=""),"",K405-K404)</f>
        <v/>
      </c>
      <c r="L406" s="13" t="str">
        <f aca="false">IF(OR(L404="",L405=""),"",L405-L404)</f>
        <v/>
      </c>
      <c r="M406" s="13" t="str">
        <f aca="false">IF(OR(M404="",M405=""),"",M405-M404)</f>
        <v/>
      </c>
      <c r="N406" s="13" t="str">
        <f aca="false">IF(OR(N404="",N405=""),"",N405-N404)</f>
        <v/>
      </c>
      <c r="O406" s="13" t="str">
        <f aca="false">IF(OR(O404="",O405=""),"",O405-O404)</f>
        <v/>
      </c>
      <c r="P406" s="13" t="str">
        <f aca="false">IF(OR(P404="",P405=""),"",P405-P404)</f>
        <v/>
      </c>
      <c r="Q406" s="13" t="str">
        <f aca="false">IF(OR(Q404="",Q405=""),"",Q405-Q404)</f>
        <v/>
      </c>
      <c r="R406" s="13" t="str">
        <f aca="false">IF(OR(R404="",R405=""),"",R405-R404)</f>
        <v/>
      </c>
      <c r="S406" s="13" t="str">
        <f aca="false">IF(OR(S404="",S405=""),"",S405-S404)</f>
        <v/>
      </c>
      <c r="T406" s="13" t="str">
        <f aca="false">IF(OR(T404="",T405=""),"",T405-T404)</f>
        <v/>
      </c>
      <c r="U406" s="13" t="str">
        <f aca="false">IF(OR(U404="",U405=""),"",U405-U404)</f>
        <v/>
      </c>
      <c r="V406" s="13" t="str">
        <f aca="false">IF(OR(V404="",V405=""),"",V405-V404)</f>
        <v/>
      </c>
      <c r="W406" s="13" t="str">
        <f aca="false">IF(OR(W404="",W405=""),"",W405-W404)</f>
        <v/>
      </c>
      <c r="X406" s="13" t="str">
        <f aca="false">IF(OR(X404="",X405=""),"",X405-X404)</f>
        <v/>
      </c>
      <c r="Y406" s="13" t="str">
        <f aca="false">IF(OR(Y404="",Y405=""),"",Y405-Y404)</f>
        <v/>
      </c>
      <c r="Z406" s="13" t="str">
        <f aca="false">IF(OR(Z404="",Z405=""),"",Z405-Z404)</f>
        <v/>
      </c>
      <c r="AA406" s="13" t="str">
        <f aca="false">IF(OR(AA404="",AA405=""),"",AA405-AA404)</f>
        <v/>
      </c>
      <c r="AB406" s="13" t="str">
        <f aca="false">IF(OR(AB404="",AB405=""),"",AB405-AB404)</f>
        <v/>
      </c>
      <c r="AC406" s="13" t="str">
        <f aca="false">IF(OR(AC404="",AC405=""),"",AC405-AC404)</f>
        <v/>
      </c>
      <c r="AD406" s="13" t="str">
        <f aca="false">IF(OR(AD404="",AD405=""),"",AD405-AD404)</f>
        <v/>
      </c>
      <c r="AE406" s="13" t="str">
        <f aca="false">IF(OR(AE404="",AE405=""),"",AE405-AE404)</f>
        <v/>
      </c>
      <c r="AF406" s="13" t="str">
        <f aca="false">IF(OR(AF404="",AF405=""),"",AF405-AF404)</f>
        <v/>
      </c>
      <c r="AG406" s="13" t="str">
        <f aca="false">IF(OR(AG404="",AG405=""),"",AG405-AG404)</f>
        <v/>
      </c>
      <c r="AH406" s="13" t="str">
        <f aca="false">IF(OR(AH404="",AH405=""),"",AH405-AH404)</f>
        <v/>
      </c>
      <c r="AI406" s="13" t="str">
        <f aca="false">IF(OR(AI404="",AI405=""),"",AI405-AI404)</f>
        <v/>
      </c>
      <c r="AJ406" s="13" t="str">
        <f aca="false">IF(OR(AJ404="",AJ405=""),"",AJ405-AJ404)</f>
        <v/>
      </c>
      <c r="AK406" s="13" t="str">
        <f aca="false">IF(OR(AK404="",AK405=""),"",AK405-AK404)</f>
        <v/>
      </c>
      <c r="AL406" s="13" t="str">
        <f aca="false">IF(OR(AL404="",AL405=""),"",AL405-AL404)</f>
        <v/>
      </c>
      <c r="AM406" s="13" t="str">
        <f aca="false">IF(OR(AM404="",AM405=""),"",AM405-AM404)</f>
        <v/>
      </c>
      <c r="AN406" s="13" t="str">
        <f aca="false">IF(OR(AN404="",AN405=""),"",AN405-AN404)</f>
        <v/>
      </c>
      <c r="AO406" s="13" t="str">
        <f aca="false">IF(OR(AO404="",AO405=""),"",AO405-AO404)</f>
        <v/>
      </c>
      <c r="AP406" s="13" t="str">
        <f aca="false">IF(OR(AP404="",AP405=""),"",AP405-AP404)</f>
        <v/>
      </c>
      <c r="AQ406" s="13" t="str">
        <f aca="false">IF(OR(AQ404="",AQ405=""),"",AQ405-AQ404)</f>
        <v/>
      </c>
      <c r="AR406" s="13" t="str">
        <f aca="false">IF(OR(AR404="",AR405=""),"",AR405-AR404)</f>
        <v/>
      </c>
      <c r="AS406" s="13" t="str">
        <f aca="false">IF(OR(AS404="",AS405=""),"",AS405-AS404)</f>
        <v/>
      </c>
      <c r="AT406" s="13" t="str">
        <f aca="false">IF(OR(AT404="",AT405=""),"",AT405-AT404)</f>
        <v/>
      </c>
      <c r="AU406" s="13" t="str">
        <f aca="false">IF(OR(AU404="",AU405=""),"",AU405-AU404)</f>
        <v/>
      </c>
      <c r="AV406" s="13" t="str">
        <f aca="false">IF(OR(AV404="",AV405=""),"",AV405-AV404)</f>
        <v/>
      </c>
      <c r="AW406" s="13" t="str">
        <f aca="false">IF(OR(AW404="",AW405=""),"",AW405-AW404)</f>
        <v/>
      </c>
      <c r="AX406" s="13" t="str">
        <f aca="false">IF(OR(AX404="",AX405=""),"",AX405-AX404)</f>
        <v/>
      </c>
      <c r="AY406" s="13" t="str">
        <f aca="false">IF(OR(AY404="",AY405=""),"",AY405-AY404)</f>
        <v/>
      </c>
      <c r="AZ406" s="13" t="str">
        <f aca="false">IF(OR(AZ404="",AZ405=""),"",AZ405-AZ404)</f>
        <v/>
      </c>
      <c r="BA406" s="13" t="str">
        <f aca="false">IF(OR(BA404="",BA405=""),"",BA405-BA404)</f>
        <v/>
      </c>
      <c r="BB406" s="13" t="str">
        <f aca="false">IF(OR(BB404="",BB405=""),"",BB405-BB404)</f>
        <v/>
      </c>
      <c r="BC406" s="13" t="str">
        <f aca="false">IF(OR(BC404="",BC405=""),"",BC405-BC404)</f>
        <v/>
      </c>
      <c r="BD406" s="13" t="str">
        <f aca="false">IF(OR(BD404="",BD405=""),"",BD405-BD404)</f>
        <v/>
      </c>
      <c r="BE406" s="13" t="str">
        <f aca="false">IF(OR(BE404="",BE405=""),"",BE405-BE404)</f>
        <v/>
      </c>
      <c r="BF406" s="13" t="str">
        <f aca="false">IF(OR(BF404="",BF405=""),"",BF405-BF404)</f>
        <v/>
      </c>
      <c r="BG406" s="13" t="str">
        <f aca="false">IF(OR(BG404="",BG405=""),"",BG405-BG404)</f>
        <v/>
      </c>
      <c r="BH406" s="13" t="str">
        <f aca="false">IF(OR(BH404="",BH405=""),"",BH405-BH404)</f>
        <v/>
      </c>
      <c r="BI406" s="13" t="str">
        <f aca="false">IF(OR(BI404="",BI405=""),"",BI405-BI404)</f>
        <v/>
      </c>
      <c r="BJ406" s="13" t="str">
        <f aca="false">IF(OR(BJ404="",BJ405=""),"",BJ405-BJ404)</f>
        <v/>
      </c>
      <c r="BK406" s="13" t="str">
        <f aca="false">IF(OR(BK404="",BK405=""),"",BK405-BK404)</f>
        <v/>
      </c>
      <c r="BL406" s="13" t="str">
        <f aca="false">IF(OR(BL404="",BL405=""),"",BL405-BL404)</f>
        <v/>
      </c>
      <c r="BM406" s="13" t="str">
        <f aca="false">IF(OR(BM404="",BM405=""),"",BM405-BM404)</f>
        <v/>
      </c>
      <c r="BN406" s="13" t="str">
        <f aca="false">IF(OR(BN404="",BN405=""),"",BN405-BN404)</f>
        <v/>
      </c>
      <c r="BO406" s="13" t="str">
        <f aca="false">IF(OR(BO404="",BO405=""),"",BO405-BO404)</f>
        <v/>
      </c>
      <c r="BP406" s="13" t="str">
        <f aca="false">IF(OR(BP404="",BP405=""),"",BP405-BP404)</f>
        <v/>
      </c>
      <c r="BQ406" s="13" t="str">
        <f aca="false">IF(OR(BQ404="",BQ405=""),"",BQ405-BQ404)</f>
        <v/>
      </c>
      <c r="BR406" s="13" t="str">
        <f aca="false">IF(OR(BR404="",BR405=""),"",BR405-BR404)</f>
        <v/>
      </c>
      <c r="BS406" s="13" t="str">
        <f aca="false">IF(OR(BS404="",BS405=""),"",BS405-BS404)</f>
        <v/>
      </c>
      <c r="BT406" s="13" t="str">
        <f aca="false">IF(OR(BT404="",BT405=""),"",BT405-BT404)</f>
        <v/>
      </c>
      <c r="BU406" s="13" t="str">
        <f aca="false">IF(OR(BU404="",BU405=""),"",BU405-BU404)</f>
        <v/>
      </c>
      <c r="BV406" s="13" t="str">
        <f aca="false">IF(OR(BV404="",BV405=""),"",BV405-BV404)</f>
        <v/>
      </c>
      <c r="BW406" s="13" t="str">
        <f aca="false">IF(OR(BW404="",BW405=""),"",BW405-BW404)</f>
        <v/>
      </c>
      <c r="BX406" s="13" t="str">
        <f aca="false">IF(OR(BX404="",BX405=""),"",BX405-BX404)</f>
        <v/>
      </c>
      <c r="BY406" s="13" t="str">
        <f aca="false">IF(OR(BY404="",BY405=""),"",BY405-BY404)</f>
        <v/>
      </c>
      <c r="BZ406" s="13" t="str">
        <f aca="false">IF(OR(BZ404="",BZ405=""),"",BZ405-BZ404)</f>
        <v/>
      </c>
      <c r="CA406" s="13" t="str">
        <f aca="false">IF(OR(CA404="",CA405=""),"",CA405-CA404)</f>
        <v/>
      </c>
      <c r="CB406" s="13" t="str">
        <f aca="false">IF(OR(CB404="",CB405=""),"",CB405-CB404)</f>
        <v/>
      </c>
      <c r="CC406" s="13" t="str">
        <f aca="false">IF(OR(CC404="",CC405=""),"",CC405-CC404)</f>
        <v/>
      </c>
      <c r="CD406" s="13" t="str">
        <f aca="false">IF(OR(CD404="",CD405=""),"",CD405-CD404)</f>
        <v/>
      </c>
      <c r="CE406" s="13" t="str">
        <f aca="false">IF(OR(CE404="",CE405=""),"",CE405-CE404)</f>
        <v/>
      </c>
      <c r="CF406" s="13" t="str">
        <f aca="false">IF(OR(CF404="",CF405=""),"",CF405-CF404)</f>
        <v/>
      </c>
      <c r="CG406" s="13" t="str">
        <f aca="false">IF(OR(CG404="",CG405=""),"",CG405-CG404)</f>
        <v/>
      </c>
      <c r="CH406" s="13" t="str">
        <f aca="false">IF(OR(CH404="",CH405=""),"",CH405-CH404)</f>
        <v/>
      </c>
      <c r="CI406" s="13" t="str">
        <f aca="false">IF(OR(CI404="",CI405=""),"",CI405-CI404)</f>
        <v/>
      </c>
      <c r="CJ406" s="13" t="str">
        <f aca="false">IF(OR(CJ404="",CJ405=""),"",CJ405-CJ404)</f>
        <v/>
      </c>
      <c r="CK406" s="13" t="str">
        <f aca="false">IF(OR(CK404="",CK405=""),"",CK405-CK404)</f>
        <v/>
      </c>
      <c r="CL406" s="13" t="str">
        <f aca="false">IF(OR(CL404="",CL405=""),"",CL405-CL404)</f>
        <v/>
      </c>
      <c r="CM406" s="13" t="str">
        <f aca="false">IF(OR(CM404="",CM405=""),"",CM405-CM404)</f>
        <v/>
      </c>
      <c r="CN406" s="13" t="str">
        <f aca="false">IF(OR(CN404="",CN405=""),"",CN405-CN404)</f>
        <v/>
      </c>
      <c r="CO406" s="13" t="str">
        <f aca="false">IF(OR(CO404="",CO405=""),"",CO405-CO404)</f>
        <v/>
      </c>
      <c r="CP406" s="13" t="str">
        <f aca="false">IF(OR(CP404="",CP405=""),"",CP405-CP404)</f>
        <v/>
      </c>
      <c r="CQ406" s="13" t="str">
        <f aca="false">IF(OR(CQ404="",CQ405=""),"",CQ405-CQ404)</f>
        <v/>
      </c>
      <c r="CR406" s="13" t="str">
        <f aca="false">IF(OR(CR404="",CR405=""),"",CR405-CR404)</f>
        <v/>
      </c>
      <c r="CS406" s="13" t="str">
        <f aca="false">IF(OR(CS404="",CS405=""),"",CS405-CS404)</f>
        <v/>
      </c>
      <c r="CT406" s="13" t="str">
        <f aca="false">IF(OR(CT404="",CT405=""),"",CT405-CT404)</f>
        <v/>
      </c>
      <c r="CU406" s="13" t="str">
        <f aca="false">IF(OR(CU404="",CU405=""),"",CU405-CU404)</f>
        <v/>
      </c>
      <c r="CV406" s="13" t="str">
        <f aca="false">IF(OR(CV404="",CV405=""),"",CV405-CV404)</f>
        <v/>
      </c>
      <c r="CW406" s="13" t="str">
        <f aca="false">IF(OR(CW404="",CW405=""),"",CW405-CW404)</f>
        <v/>
      </c>
      <c r="CX406" s="13" t="str">
        <f aca="false">IF(OR(CX404="",CX405=""),"",CX405-CX404)</f>
        <v/>
      </c>
      <c r="CY406" s="13" t="str">
        <f aca="false">IF(OR(CY404="",CY405=""),"",CY405-CY404)</f>
        <v/>
      </c>
      <c r="CZ406" s="13" t="str">
        <f aca="false">IF(OR(CZ404="",CZ405=""),"",CZ405-CZ404)</f>
        <v/>
      </c>
      <c r="DA406" s="13" t="str">
        <f aca="false">IF(OR(DA404="",DA405=""),"",DA405-DA404)</f>
        <v/>
      </c>
      <c r="DB406" s="13" t="str">
        <f aca="false">IF(OR(DB404="",DB405=""),"",DB405-DB404)</f>
        <v/>
      </c>
      <c r="DC406" s="13" t="str">
        <f aca="false">IF(OR(DC404="",DC405=""),"",DC405-DC404)</f>
        <v/>
      </c>
      <c r="DD406" s="13" t="str">
        <f aca="false">IF(OR(DD404="",DD405=""),"",DD405-DD404)</f>
        <v/>
      </c>
      <c r="DE406" s="13" t="str">
        <f aca="false">IF(OR(DE404="",DE405=""),"",DE405-DE404)</f>
        <v/>
      </c>
    </row>
    <row r="407" customFormat="false" ht="15" hidden="false" customHeight="true" outlineLevel="0" collapsed="false">
      <c r="A407" s="22" t="s">
        <v>225</v>
      </c>
      <c r="B407" s="21" t="str">
        <f aca="false">IF(B406="","",IF(ABS(B406)&lt;1,"OK","CHECK"))</f>
        <v/>
      </c>
      <c r="C407" s="21" t="str">
        <f aca="false">IF(C406="","",IF(ABS(C406)&lt;1,"OK","CHECK"))</f>
        <v/>
      </c>
      <c r="D407" s="21" t="str">
        <f aca="false">IF(D406="","",IF(ABS(D406)&lt;1,"OK","CHECK"))</f>
        <v/>
      </c>
      <c r="E407" s="21" t="str">
        <f aca="false">IF(E406="","",IF(ABS(E406)&lt;1,"OK","CHECK"))</f>
        <v/>
      </c>
      <c r="F407" s="21" t="str">
        <f aca="false">IF(F406="","",IF(ABS(F406)&lt;1,"OK","CHECK"))</f>
        <v/>
      </c>
      <c r="G407" s="21" t="str">
        <f aca="false">IF(G406="","",IF(ABS(G406)&lt;1,"OK","CHECK"))</f>
        <v/>
      </c>
      <c r="H407" s="21" t="str">
        <f aca="false">IF(H406="","",IF(ABS(H406)&lt;1,"OK","CHECK"))</f>
        <v/>
      </c>
      <c r="I407" s="21" t="str">
        <f aca="false">IF(I406="","",IF(ABS(I406)&lt;1,"OK","CHECK"))</f>
        <v>OK</v>
      </c>
      <c r="J407" s="21" t="str">
        <f aca="false">IF(J406="","",IF(ABS(J406)&lt;1,"OK","CHECK"))</f>
        <v/>
      </c>
      <c r="K407" s="21" t="str">
        <f aca="false">IF(K406="","",IF(ABS(K406)&lt;1,"OK","CHECK"))</f>
        <v/>
      </c>
      <c r="L407" s="21" t="str">
        <f aca="false">IF(L406="","",IF(ABS(L406)&lt;1,"OK","CHECK"))</f>
        <v/>
      </c>
      <c r="M407" s="21" t="str">
        <f aca="false">IF(M406="","",IF(ABS(M406)&lt;1,"OK","CHECK"))</f>
        <v/>
      </c>
      <c r="N407" s="21" t="str">
        <f aca="false">IF(N406="","",IF(ABS(N406)&lt;1,"OK","CHECK"))</f>
        <v/>
      </c>
      <c r="O407" s="21" t="str">
        <f aca="false">IF(O406="","",IF(ABS(O406)&lt;1,"OK","CHECK"))</f>
        <v/>
      </c>
      <c r="P407" s="21" t="str">
        <f aca="false">IF(P406="","",IF(ABS(P406)&lt;1,"OK","CHECK"))</f>
        <v/>
      </c>
      <c r="Q407" s="21" t="str">
        <f aca="false">IF(Q406="","",IF(ABS(Q406)&lt;1,"OK","CHECK"))</f>
        <v/>
      </c>
      <c r="R407" s="21" t="str">
        <f aca="false">IF(R406="","",IF(ABS(R406)&lt;1,"OK","CHECK"))</f>
        <v/>
      </c>
      <c r="S407" s="21" t="str">
        <f aca="false">IF(S406="","",IF(ABS(S406)&lt;1,"OK","CHECK"))</f>
        <v/>
      </c>
      <c r="T407" s="21" t="str">
        <f aca="false">IF(T406="","",IF(ABS(T406)&lt;1,"OK","CHECK"))</f>
        <v/>
      </c>
      <c r="U407" s="21" t="str">
        <f aca="false">IF(U406="","",IF(ABS(U406)&lt;1,"OK","CHECK"))</f>
        <v/>
      </c>
      <c r="V407" s="21" t="str">
        <f aca="false">IF(V406="","",IF(ABS(V406)&lt;1,"OK","CHECK"))</f>
        <v/>
      </c>
      <c r="W407" s="21" t="str">
        <f aca="false">IF(W406="","",IF(ABS(W406)&lt;1,"OK","CHECK"))</f>
        <v/>
      </c>
      <c r="X407" s="21" t="str">
        <f aca="false">IF(X406="","",IF(ABS(X406)&lt;1,"OK","CHECK"))</f>
        <v/>
      </c>
      <c r="Y407" s="21" t="str">
        <f aca="false">IF(Y406="","",IF(ABS(Y406)&lt;1,"OK","CHECK"))</f>
        <v/>
      </c>
      <c r="Z407" s="21" t="str">
        <f aca="false">IF(Z406="","",IF(ABS(Z406)&lt;1,"OK","CHECK"))</f>
        <v/>
      </c>
      <c r="AA407" s="21" t="str">
        <f aca="false">IF(AA406="","",IF(ABS(AA406)&lt;1,"OK","CHECK"))</f>
        <v/>
      </c>
      <c r="AB407" s="21" t="str">
        <f aca="false">IF(AB406="","",IF(ABS(AB406)&lt;1,"OK","CHECK"))</f>
        <v/>
      </c>
      <c r="AC407" s="21" t="str">
        <f aca="false">IF(AC406="","",IF(ABS(AC406)&lt;1,"OK","CHECK"))</f>
        <v/>
      </c>
      <c r="AD407" s="21" t="str">
        <f aca="false">IF(AD406="","",IF(ABS(AD406)&lt;1,"OK","CHECK"))</f>
        <v/>
      </c>
      <c r="AE407" s="21" t="str">
        <f aca="false">IF(AE406="","",IF(ABS(AE406)&lt;1,"OK","CHECK"))</f>
        <v/>
      </c>
      <c r="AF407" s="21" t="str">
        <f aca="false">IF(AF406="","",IF(ABS(AF406)&lt;1,"OK","CHECK"))</f>
        <v/>
      </c>
      <c r="AG407" s="21" t="str">
        <f aca="false">IF(AG406="","",IF(ABS(AG406)&lt;1,"OK","CHECK"))</f>
        <v/>
      </c>
      <c r="AH407" s="21" t="str">
        <f aca="false">IF(AH406="","",IF(ABS(AH406)&lt;1,"OK","CHECK"))</f>
        <v/>
      </c>
      <c r="AI407" s="21" t="str">
        <f aca="false">IF(AI406="","",IF(ABS(AI406)&lt;1,"OK","CHECK"))</f>
        <v/>
      </c>
      <c r="AJ407" s="21" t="str">
        <f aca="false">IF(AJ406="","",IF(ABS(AJ406)&lt;1,"OK","CHECK"))</f>
        <v/>
      </c>
      <c r="AK407" s="21" t="str">
        <f aca="false">IF(AK406="","",IF(ABS(AK406)&lt;1,"OK","CHECK"))</f>
        <v/>
      </c>
      <c r="AL407" s="21" t="str">
        <f aca="false">IF(AL406="","",IF(ABS(AL406)&lt;1,"OK","CHECK"))</f>
        <v/>
      </c>
      <c r="AM407" s="21" t="str">
        <f aca="false">IF(AM406="","",IF(ABS(AM406)&lt;1,"OK","CHECK"))</f>
        <v/>
      </c>
      <c r="AN407" s="21" t="str">
        <f aca="false">IF(AN406="","",IF(ABS(AN406)&lt;1,"OK","CHECK"))</f>
        <v/>
      </c>
      <c r="AO407" s="21" t="str">
        <f aca="false">IF(AO406="","",IF(ABS(AO406)&lt;1,"OK","CHECK"))</f>
        <v/>
      </c>
      <c r="AP407" s="21" t="str">
        <f aca="false">IF(AP406="","",IF(ABS(AP406)&lt;1,"OK","CHECK"))</f>
        <v/>
      </c>
      <c r="AQ407" s="21" t="str">
        <f aca="false">IF(AQ406="","",IF(ABS(AQ406)&lt;1,"OK","CHECK"))</f>
        <v/>
      </c>
      <c r="AR407" s="21" t="str">
        <f aca="false">IF(AR406="","",IF(ABS(AR406)&lt;1,"OK","CHECK"))</f>
        <v/>
      </c>
      <c r="AS407" s="21" t="str">
        <f aca="false">IF(AS406="","",IF(ABS(AS406)&lt;1,"OK","CHECK"))</f>
        <v/>
      </c>
      <c r="AT407" s="21" t="str">
        <f aca="false">IF(AT406="","",IF(ABS(AT406)&lt;1,"OK","CHECK"))</f>
        <v/>
      </c>
      <c r="AU407" s="21" t="str">
        <f aca="false">IF(AU406="","",IF(ABS(AU406)&lt;1,"OK","CHECK"))</f>
        <v/>
      </c>
      <c r="AV407" s="21" t="str">
        <f aca="false">IF(AV406="","",IF(ABS(AV406)&lt;1,"OK","CHECK"))</f>
        <v/>
      </c>
      <c r="AW407" s="21" t="str">
        <f aca="false">IF(AW406="","",IF(ABS(AW406)&lt;1,"OK","CHECK"))</f>
        <v/>
      </c>
      <c r="AX407" s="21" t="str">
        <f aca="false">IF(AX406="","",IF(ABS(AX406)&lt;1,"OK","CHECK"))</f>
        <v/>
      </c>
      <c r="AY407" s="21" t="str">
        <f aca="false">IF(AY406="","",IF(ABS(AY406)&lt;1,"OK","CHECK"))</f>
        <v/>
      </c>
      <c r="AZ407" s="21" t="str">
        <f aca="false">IF(AZ406="","",IF(ABS(AZ406)&lt;1,"OK","CHECK"))</f>
        <v/>
      </c>
      <c r="BA407" s="21" t="str">
        <f aca="false">IF(BA406="","",IF(ABS(BA406)&lt;1,"OK","CHECK"))</f>
        <v/>
      </c>
      <c r="BB407" s="21" t="str">
        <f aca="false">IF(BB406="","",IF(ABS(BB406)&lt;1,"OK","CHECK"))</f>
        <v/>
      </c>
      <c r="BC407" s="21" t="str">
        <f aca="false">IF(BC406="","",IF(ABS(BC406)&lt;1,"OK","CHECK"))</f>
        <v/>
      </c>
      <c r="BD407" s="21" t="str">
        <f aca="false">IF(BD406="","",IF(ABS(BD406)&lt;1,"OK","CHECK"))</f>
        <v/>
      </c>
      <c r="BE407" s="21" t="str">
        <f aca="false">IF(BE406="","",IF(ABS(BE406)&lt;1,"OK","CHECK"))</f>
        <v/>
      </c>
      <c r="BF407" s="21" t="str">
        <f aca="false">IF(BF406="","",IF(ABS(BF406)&lt;1,"OK","CHECK"))</f>
        <v/>
      </c>
      <c r="BG407" s="21" t="str">
        <f aca="false">IF(BG406="","",IF(ABS(BG406)&lt;1,"OK","CHECK"))</f>
        <v/>
      </c>
      <c r="BH407" s="21" t="str">
        <f aca="false">IF(BH406="","",IF(ABS(BH406)&lt;1,"OK","CHECK"))</f>
        <v/>
      </c>
      <c r="BI407" s="21" t="str">
        <f aca="false">IF(BI406="","",IF(ABS(BI406)&lt;1,"OK","CHECK"))</f>
        <v/>
      </c>
      <c r="BJ407" s="21" t="str">
        <f aca="false">IF(BJ406="","",IF(ABS(BJ406)&lt;1,"OK","CHECK"))</f>
        <v/>
      </c>
      <c r="BK407" s="21" t="str">
        <f aca="false">IF(BK406="","",IF(ABS(BK406)&lt;1,"OK","CHECK"))</f>
        <v/>
      </c>
      <c r="BL407" s="21" t="str">
        <f aca="false">IF(BL406="","",IF(ABS(BL406)&lt;1,"OK","CHECK"))</f>
        <v/>
      </c>
      <c r="BM407" s="21" t="str">
        <f aca="false">IF(BM406="","",IF(ABS(BM406)&lt;1,"OK","CHECK"))</f>
        <v/>
      </c>
      <c r="BN407" s="21" t="str">
        <f aca="false">IF(BN406="","",IF(ABS(BN406)&lt;1,"OK","CHECK"))</f>
        <v/>
      </c>
      <c r="BO407" s="21" t="str">
        <f aca="false">IF(BO406="","",IF(ABS(BO406)&lt;1,"OK","CHECK"))</f>
        <v/>
      </c>
      <c r="BP407" s="21" t="str">
        <f aca="false">IF(BP406="","",IF(ABS(BP406)&lt;1,"OK","CHECK"))</f>
        <v/>
      </c>
      <c r="BQ407" s="21" t="str">
        <f aca="false">IF(BQ406="","",IF(ABS(BQ406)&lt;1,"OK","CHECK"))</f>
        <v/>
      </c>
      <c r="BR407" s="21" t="str">
        <f aca="false">IF(BR406="","",IF(ABS(BR406)&lt;1,"OK","CHECK"))</f>
        <v/>
      </c>
      <c r="BS407" s="21" t="str">
        <f aca="false">IF(BS406="","",IF(ABS(BS406)&lt;1,"OK","CHECK"))</f>
        <v/>
      </c>
      <c r="BT407" s="21" t="str">
        <f aca="false">IF(BT406="","",IF(ABS(BT406)&lt;1,"OK","CHECK"))</f>
        <v/>
      </c>
      <c r="BU407" s="21" t="str">
        <f aca="false">IF(BU406="","",IF(ABS(BU406)&lt;1,"OK","CHECK"))</f>
        <v/>
      </c>
      <c r="BV407" s="21" t="str">
        <f aca="false">IF(BV406="","",IF(ABS(BV406)&lt;1,"OK","CHECK"))</f>
        <v/>
      </c>
      <c r="BW407" s="21" t="str">
        <f aca="false">IF(BW406="","",IF(ABS(BW406)&lt;1,"OK","CHECK"))</f>
        <v/>
      </c>
      <c r="BX407" s="21" t="str">
        <f aca="false">IF(BX406="","",IF(ABS(BX406)&lt;1,"OK","CHECK"))</f>
        <v/>
      </c>
      <c r="BY407" s="21" t="str">
        <f aca="false">IF(BY406="","",IF(ABS(BY406)&lt;1,"OK","CHECK"))</f>
        <v/>
      </c>
      <c r="BZ407" s="21" t="str">
        <f aca="false">IF(BZ406="","",IF(ABS(BZ406)&lt;1,"OK","CHECK"))</f>
        <v/>
      </c>
      <c r="CA407" s="21" t="str">
        <f aca="false">IF(CA406="","",IF(ABS(CA406)&lt;1,"OK","CHECK"))</f>
        <v/>
      </c>
      <c r="CB407" s="21" t="str">
        <f aca="false">IF(CB406="","",IF(ABS(CB406)&lt;1,"OK","CHECK"))</f>
        <v/>
      </c>
      <c r="CC407" s="21" t="str">
        <f aca="false">IF(CC406="","",IF(ABS(CC406)&lt;1,"OK","CHECK"))</f>
        <v/>
      </c>
      <c r="CD407" s="21" t="str">
        <f aca="false">IF(CD406="","",IF(ABS(CD406)&lt;1,"OK","CHECK"))</f>
        <v/>
      </c>
      <c r="CE407" s="21" t="str">
        <f aca="false">IF(CE406="","",IF(ABS(CE406)&lt;1,"OK","CHECK"))</f>
        <v/>
      </c>
      <c r="CF407" s="21" t="str">
        <f aca="false">IF(CF406="","",IF(ABS(CF406)&lt;1,"OK","CHECK"))</f>
        <v/>
      </c>
      <c r="CG407" s="21" t="str">
        <f aca="false">IF(CG406="","",IF(ABS(CG406)&lt;1,"OK","CHECK"))</f>
        <v/>
      </c>
      <c r="CH407" s="21" t="str">
        <f aca="false">IF(CH406="","",IF(ABS(CH406)&lt;1,"OK","CHECK"))</f>
        <v/>
      </c>
      <c r="CI407" s="21" t="str">
        <f aca="false">IF(CI406="","",IF(ABS(CI406)&lt;1,"OK","CHECK"))</f>
        <v/>
      </c>
      <c r="CJ407" s="21" t="str">
        <f aca="false">IF(CJ406="","",IF(ABS(CJ406)&lt;1,"OK","CHECK"))</f>
        <v/>
      </c>
      <c r="CK407" s="21" t="str">
        <f aca="false">IF(CK406="","",IF(ABS(CK406)&lt;1,"OK","CHECK"))</f>
        <v/>
      </c>
      <c r="CL407" s="21" t="str">
        <f aca="false">IF(CL406="","",IF(ABS(CL406)&lt;1,"OK","CHECK"))</f>
        <v/>
      </c>
      <c r="CM407" s="21" t="str">
        <f aca="false">IF(CM406="","",IF(ABS(CM406)&lt;1,"OK","CHECK"))</f>
        <v/>
      </c>
      <c r="CN407" s="21" t="str">
        <f aca="false">IF(CN406="","",IF(ABS(CN406)&lt;1,"OK","CHECK"))</f>
        <v/>
      </c>
      <c r="CO407" s="21" t="str">
        <f aca="false">IF(CO406="","",IF(ABS(CO406)&lt;1,"OK","CHECK"))</f>
        <v/>
      </c>
      <c r="CP407" s="21" t="str">
        <f aca="false">IF(CP406="","",IF(ABS(CP406)&lt;1,"OK","CHECK"))</f>
        <v/>
      </c>
      <c r="CQ407" s="21" t="str">
        <f aca="false">IF(CQ406="","",IF(ABS(CQ406)&lt;1,"OK","CHECK"))</f>
        <v/>
      </c>
      <c r="CR407" s="21" t="str">
        <f aca="false">IF(CR406="","",IF(ABS(CR406)&lt;1,"OK","CHECK"))</f>
        <v/>
      </c>
      <c r="CS407" s="21" t="str">
        <f aca="false">IF(CS406="","",IF(ABS(CS406)&lt;1,"OK","CHECK"))</f>
        <v/>
      </c>
      <c r="CT407" s="21" t="str">
        <f aca="false">IF(CT406="","",IF(ABS(CT406)&lt;1,"OK","CHECK"))</f>
        <v/>
      </c>
      <c r="CU407" s="21" t="str">
        <f aca="false">IF(CU406="","",IF(ABS(CU406)&lt;1,"OK","CHECK"))</f>
        <v/>
      </c>
      <c r="CV407" s="21" t="str">
        <f aca="false">IF(CV406="","",IF(ABS(CV406)&lt;1,"OK","CHECK"))</f>
        <v/>
      </c>
      <c r="CW407" s="21" t="str">
        <f aca="false">IF(CW406="","",IF(ABS(CW406)&lt;1,"OK","CHECK"))</f>
        <v/>
      </c>
      <c r="CX407" s="21" t="str">
        <f aca="false">IF(CX406="","",IF(ABS(CX406)&lt;1,"OK","CHECK"))</f>
        <v/>
      </c>
      <c r="CY407" s="21" t="str">
        <f aca="false">IF(CY406="","",IF(ABS(CY406)&lt;1,"OK","CHECK"))</f>
        <v/>
      </c>
      <c r="CZ407" s="21" t="str">
        <f aca="false">IF(CZ406="","",IF(ABS(CZ406)&lt;1,"OK","CHECK"))</f>
        <v/>
      </c>
      <c r="DA407" s="21" t="str">
        <f aca="false">IF(DA406="","",IF(ABS(DA406)&lt;1,"OK","CHECK"))</f>
        <v/>
      </c>
      <c r="DB407" s="21" t="str">
        <f aca="false">IF(DB406="","",IF(ABS(DB406)&lt;1,"OK","CHECK"))</f>
        <v/>
      </c>
      <c r="DC407" s="21" t="str">
        <f aca="false">IF(DC406="","",IF(ABS(DC406)&lt;1,"OK","CHECK"))</f>
        <v/>
      </c>
      <c r="DD407" s="21" t="str">
        <f aca="false">IF(DD406="","",IF(ABS(DD406)&lt;1,"OK","CHECK"))</f>
        <v/>
      </c>
      <c r="DE407" s="21" t="str">
        <f aca="false">IF(DE406="","",IF(ABS(DE406)&lt;1,"OK","CHECK"))</f>
        <v/>
      </c>
    </row>
    <row r="408" customFormat="false" ht="15" hidden="false" customHeight="true" outlineLevel="0" collapsed="false">
      <c r="A408" s="22" t="s">
        <v>226</v>
      </c>
      <c r="B408" s="13"/>
      <c r="C408" s="13"/>
      <c r="D408" s="13"/>
      <c r="E408" s="13"/>
      <c r="F408" s="13"/>
      <c r="G408" s="13"/>
      <c r="H408" s="73" t="n">
        <v>778701</v>
      </c>
      <c r="I408" s="73" t="n">
        <v>2671750</v>
      </c>
      <c r="J408" s="13" t="n">
        <v>1113428</v>
      </c>
      <c r="K408" s="13"/>
      <c r="L408" s="13"/>
      <c r="M408" s="13"/>
      <c r="N408" s="13"/>
      <c r="O408" s="13"/>
      <c r="P408" s="13"/>
      <c r="Q408" s="13"/>
      <c r="R408" s="13"/>
      <c r="S408" s="13"/>
      <c r="T408" s="13"/>
      <c r="U408" s="13"/>
      <c r="V408" s="13"/>
      <c r="W408" s="13"/>
      <c r="X408" s="13"/>
      <c r="Y408" s="13"/>
      <c r="Z408" s="13"/>
      <c r="AA408" s="13"/>
      <c r="AB408" s="13"/>
      <c r="AC408" s="13"/>
      <c r="AD408" s="13"/>
      <c r="AE408" s="13"/>
      <c r="AF408" s="13"/>
      <c r="AG408" s="13"/>
      <c r="AH408" s="13"/>
      <c r="AI408" s="13"/>
      <c r="AJ408" s="13"/>
      <c r="AK408" s="13"/>
      <c r="AL408" s="13"/>
      <c r="AM408" s="13"/>
      <c r="AN408" s="13"/>
      <c r="AO408" s="13"/>
      <c r="AP408" s="13"/>
      <c r="AQ408" s="13"/>
      <c r="AR408" s="13"/>
      <c r="AS408" s="13"/>
      <c r="AT408" s="13"/>
      <c r="AU408" s="13"/>
      <c r="AV408" s="13"/>
      <c r="AW408" s="13"/>
      <c r="AX408" s="13"/>
      <c r="AY408" s="13"/>
      <c r="AZ408" s="13"/>
      <c r="BA408" s="13"/>
      <c r="BB408" s="13"/>
      <c r="BC408" s="13"/>
      <c r="BD408" s="13"/>
      <c r="BE408" s="13"/>
      <c r="BF408" s="13"/>
      <c r="BG408" s="13"/>
      <c r="BH408" s="13"/>
      <c r="BI408" s="13"/>
      <c r="BJ408" s="13"/>
      <c r="BK408" s="13"/>
      <c r="BL408" s="13"/>
      <c r="BM408" s="13"/>
      <c r="BN408" s="13"/>
      <c r="BO408" s="13"/>
      <c r="BP408" s="13"/>
      <c r="BQ408" s="13"/>
      <c r="BR408" s="13"/>
      <c r="BS408" s="13"/>
      <c r="BT408" s="13"/>
      <c r="BU408" s="13"/>
      <c r="BV408" s="13"/>
      <c r="BW408" s="13"/>
      <c r="BX408" s="13"/>
      <c r="BY408" s="13"/>
      <c r="BZ408" s="13"/>
      <c r="CA408" s="13"/>
      <c r="CB408" s="13"/>
      <c r="CC408" s="13"/>
      <c r="CD408" s="13"/>
      <c r="CE408" s="13"/>
      <c r="CF408" s="13"/>
      <c r="CG408" s="13"/>
      <c r="CH408" s="13"/>
      <c r="CI408" s="13"/>
      <c r="CJ408" s="13"/>
      <c r="CK408" s="13"/>
      <c r="CL408" s="13"/>
      <c r="CM408" s="13"/>
      <c r="CN408" s="13"/>
      <c r="CO408" s="13"/>
      <c r="CP408" s="13"/>
      <c r="CQ408" s="13"/>
      <c r="CR408" s="13"/>
      <c r="CS408" s="13"/>
      <c r="CT408" s="13"/>
      <c r="CU408" s="13"/>
      <c r="CV408" s="13"/>
      <c r="CW408" s="13"/>
      <c r="CX408" s="13"/>
      <c r="CY408" s="13"/>
      <c r="CZ408" s="13"/>
      <c r="DA408" s="13"/>
      <c r="DB408" s="13"/>
      <c r="DC408" s="13"/>
      <c r="DD408" s="13"/>
      <c r="DE408" s="13"/>
    </row>
    <row r="409" customFormat="false" ht="15" hidden="false" customHeight="true" outlineLevel="0" collapsed="false">
      <c r="A409" s="22" t="s">
        <v>227</v>
      </c>
      <c r="B409" s="13" t="str">
        <f aca="false">IF(OR(B404="",B408=""),"",B408-B404)</f>
        <v/>
      </c>
      <c r="C409" s="13" t="str">
        <f aca="false">IF(OR(C404="",C408=""),"",C408-C404)</f>
        <v/>
      </c>
      <c r="D409" s="13" t="str">
        <f aca="false">IF(OR(D404="",D408=""),"",D408-D404)</f>
        <v/>
      </c>
      <c r="E409" s="13" t="str">
        <f aca="false">IF(OR(E404="",E408=""),"",E408-E404)</f>
        <v/>
      </c>
      <c r="F409" s="13" t="str">
        <f aca="false">IF(OR(F404="",F408=""),"",F408-F404)</f>
        <v/>
      </c>
      <c r="G409" s="13" t="str">
        <f aca="false">IF(OR(G404="",G408=""),"",G408-G404)</f>
        <v/>
      </c>
      <c r="H409" s="13" t="n">
        <f aca="false">IF(OR(H404="",H408=""),"",H408-H404)</f>
        <v>495361</v>
      </c>
      <c r="I409" s="13" t="n">
        <f aca="false">IF(OR(I404="",I408=""),"",I408-I404)</f>
        <v>1384644</v>
      </c>
      <c r="J409" s="13" t="str">
        <f aca="false">IF(OR(J404="",J408=""),"",J408-J404)</f>
        <v/>
      </c>
      <c r="K409" s="13" t="str">
        <f aca="false">IF(OR(K404="",K408=""),"",K408-K404)</f>
        <v/>
      </c>
      <c r="L409" s="13" t="str">
        <f aca="false">IF(OR(L404="",L408=""),"",L408-L404)</f>
        <v/>
      </c>
      <c r="M409" s="13" t="str">
        <f aca="false">IF(OR(M404="",M408=""),"",M408-M404)</f>
        <v/>
      </c>
      <c r="N409" s="13" t="str">
        <f aca="false">IF(OR(N404="",N408=""),"",N408-N404)</f>
        <v/>
      </c>
      <c r="O409" s="13" t="str">
        <f aca="false">IF(OR(O404="",O408=""),"",O408-O404)</f>
        <v/>
      </c>
      <c r="P409" s="13" t="str">
        <f aca="false">IF(OR(P404="",P408=""),"",P408-P404)</f>
        <v/>
      </c>
      <c r="Q409" s="13" t="str">
        <f aca="false">IF(OR(Q404="",Q408=""),"",Q408-Q404)</f>
        <v/>
      </c>
      <c r="R409" s="13" t="str">
        <f aca="false">IF(OR(R404="",R408=""),"",R408-R404)</f>
        <v/>
      </c>
      <c r="S409" s="13" t="str">
        <f aca="false">IF(OR(S404="",S408=""),"",S408-S404)</f>
        <v/>
      </c>
      <c r="T409" s="13" t="str">
        <f aca="false">IF(OR(T404="",T408=""),"",T408-T404)</f>
        <v/>
      </c>
      <c r="U409" s="13" t="str">
        <f aca="false">IF(OR(U404="",U408=""),"",U408-U404)</f>
        <v/>
      </c>
      <c r="V409" s="13" t="str">
        <f aca="false">IF(OR(V404="",V408=""),"",V408-V404)</f>
        <v/>
      </c>
      <c r="W409" s="13" t="str">
        <f aca="false">IF(OR(W404="",W408=""),"",W408-W404)</f>
        <v/>
      </c>
      <c r="X409" s="13" t="str">
        <f aca="false">IF(OR(X404="",X408=""),"",X408-X404)</f>
        <v/>
      </c>
      <c r="Y409" s="13" t="str">
        <f aca="false">IF(OR(Y404="",Y408=""),"",Y408-Y404)</f>
        <v/>
      </c>
      <c r="Z409" s="13" t="str">
        <f aca="false">IF(OR(Z404="",Z408=""),"",Z408-Z404)</f>
        <v/>
      </c>
      <c r="AA409" s="13" t="str">
        <f aca="false">IF(OR(AA404="",AA408=""),"",AA408-AA404)</f>
        <v/>
      </c>
      <c r="AB409" s="13" t="str">
        <f aca="false">IF(OR(AB404="",AB408=""),"",AB408-AB404)</f>
        <v/>
      </c>
      <c r="AC409" s="13" t="str">
        <f aca="false">IF(OR(AC404="",AC408=""),"",AC408-AC404)</f>
        <v/>
      </c>
      <c r="AD409" s="13" t="str">
        <f aca="false">IF(OR(AD404="",AD408=""),"",AD408-AD404)</f>
        <v/>
      </c>
      <c r="AE409" s="13" t="str">
        <f aca="false">IF(OR(AE404="",AE408=""),"",AE408-AE404)</f>
        <v/>
      </c>
      <c r="AF409" s="13" t="str">
        <f aca="false">IF(OR(AF404="",AF408=""),"",AF408-AF404)</f>
        <v/>
      </c>
      <c r="AG409" s="13" t="str">
        <f aca="false">IF(OR(AG404="",AG408=""),"",AG408-AG404)</f>
        <v/>
      </c>
      <c r="AH409" s="13" t="str">
        <f aca="false">IF(OR(AH404="",AH408=""),"",AH408-AH404)</f>
        <v/>
      </c>
      <c r="AI409" s="13" t="str">
        <f aca="false">IF(OR(AI404="",AI408=""),"",AI408-AI404)</f>
        <v/>
      </c>
      <c r="AJ409" s="13" t="str">
        <f aca="false">IF(OR(AJ404="",AJ408=""),"",AJ408-AJ404)</f>
        <v/>
      </c>
      <c r="AK409" s="13" t="str">
        <f aca="false">IF(OR(AK404="",AK408=""),"",AK408-AK404)</f>
        <v/>
      </c>
      <c r="AL409" s="13" t="str">
        <f aca="false">IF(OR(AL404="",AL408=""),"",AL408-AL404)</f>
        <v/>
      </c>
      <c r="AM409" s="13" t="str">
        <f aca="false">IF(OR(AM404="",AM408=""),"",AM408-AM404)</f>
        <v/>
      </c>
      <c r="AN409" s="13" t="str">
        <f aca="false">IF(OR(AN404="",AN408=""),"",AN408-AN404)</f>
        <v/>
      </c>
      <c r="AO409" s="13" t="str">
        <f aca="false">IF(OR(AO404="",AO408=""),"",AO408-AO404)</f>
        <v/>
      </c>
      <c r="AP409" s="13" t="str">
        <f aca="false">IF(OR(AP404="",AP408=""),"",AP408-AP404)</f>
        <v/>
      </c>
      <c r="AQ409" s="13" t="str">
        <f aca="false">IF(OR(AQ404="",AQ408=""),"",AQ408-AQ404)</f>
        <v/>
      </c>
      <c r="AR409" s="13" t="str">
        <f aca="false">IF(OR(AR404="",AR408=""),"",AR408-AR404)</f>
        <v/>
      </c>
      <c r="AS409" s="13" t="str">
        <f aca="false">IF(OR(AS404="",AS408=""),"",AS408-AS404)</f>
        <v/>
      </c>
      <c r="AT409" s="13" t="str">
        <f aca="false">IF(OR(AT404="",AT408=""),"",AT408-AT404)</f>
        <v/>
      </c>
      <c r="AU409" s="13" t="str">
        <f aca="false">IF(OR(AU404="",AU408=""),"",AU408-AU404)</f>
        <v/>
      </c>
      <c r="AV409" s="13" t="str">
        <f aca="false">IF(OR(AV404="",AV408=""),"",AV408-AV404)</f>
        <v/>
      </c>
      <c r="AW409" s="13" t="str">
        <f aca="false">IF(OR(AW404="",AW408=""),"",AW408-AW404)</f>
        <v/>
      </c>
      <c r="AX409" s="13" t="str">
        <f aca="false">IF(OR(AX404="",AX408=""),"",AX408-AX404)</f>
        <v/>
      </c>
      <c r="AY409" s="13" t="str">
        <f aca="false">IF(OR(AY404="",AY408=""),"",AY408-AY404)</f>
        <v/>
      </c>
      <c r="AZ409" s="13" t="str">
        <f aca="false">IF(OR(AZ404="",AZ408=""),"",AZ408-AZ404)</f>
        <v/>
      </c>
      <c r="BA409" s="13" t="str">
        <f aca="false">IF(OR(BA404="",BA408=""),"",BA408-BA404)</f>
        <v/>
      </c>
      <c r="BB409" s="13" t="str">
        <f aca="false">IF(OR(BB404="",BB408=""),"",BB408-BB404)</f>
        <v/>
      </c>
      <c r="BC409" s="13" t="str">
        <f aca="false">IF(OR(BC404="",BC408=""),"",BC408-BC404)</f>
        <v/>
      </c>
      <c r="BD409" s="13" t="str">
        <f aca="false">IF(OR(BD404="",BD408=""),"",BD408-BD404)</f>
        <v/>
      </c>
      <c r="BE409" s="13" t="str">
        <f aca="false">IF(OR(BE404="",BE408=""),"",BE408-BE404)</f>
        <v/>
      </c>
      <c r="BF409" s="13" t="str">
        <f aca="false">IF(OR(BF404="",BF408=""),"",BF408-BF404)</f>
        <v/>
      </c>
      <c r="BG409" s="13" t="str">
        <f aca="false">IF(OR(BG404="",BG408=""),"",BG408-BG404)</f>
        <v/>
      </c>
      <c r="BH409" s="13" t="str">
        <f aca="false">IF(OR(BH404="",BH408=""),"",BH408-BH404)</f>
        <v/>
      </c>
      <c r="BI409" s="13" t="str">
        <f aca="false">IF(OR(BI404="",BI408=""),"",BI408-BI404)</f>
        <v/>
      </c>
      <c r="BJ409" s="13" t="str">
        <f aca="false">IF(OR(BJ404="",BJ408=""),"",BJ408-BJ404)</f>
        <v/>
      </c>
      <c r="BK409" s="13" t="str">
        <f aca="false">IF(OR(BK404="",BK408=""),"",BK408-BK404)</f>
        <v/>
      </c>
      <c r="BL409" s="13" t="str">
        <f aca="false">IF(OR(BL404="",BL408=""),"",BL408-BL404)</f>
        <v/>
      </c>
      <c r="BM409" s="13" t="str">
        <f aca="false">IF(OR(BM404="",BM408=""),"",BM408-BM404)</f>
        <v/>
      </c>
      <c r="BN409" s="13" t="str">
        <f aca="false">IF(OR(BN404="",BN408=""),"",BN408-BN404)</f>
        <v/>
      </c>
      <c r="BO409" s="13" t="str">
        <f aca="false">IF(OR(BO404="",BO408=""),"",BO408-BO404)</f>
        <v/>
      </c>
      <c r="BP409" s="13" t="str">
        <f aca="false">IF(OR(BP404="",BP408=""),"",BP408-BP404)</f>
        <v/>
      </c>
      <c r="BQ409" s="13" t="str">
        <f aca="false">IF(OR(BQ404="",BQ408=""),"",BQ408-BQ404)</f>
        <v/>
      </c>
      <c r="BR409" s="13" t="str">
        <f aca="false">IF(OR(BR404="",BR408=""),"",BR408-BR404)</f>
        <v/>
      </c>
      <c r="BS409" s="13" t="str">
        <f aca="false">IF(OR(BS404="",BS408=""),"",BS408-BS404)</f>
        <v/>
      </c>
      <c r="BT409" s="13" t="str">
        <f aca="false">IF(OR(BT404="",BT408=""),"",BT408-BT404)</f>
        <v/>
      </c>
      <c r="BU409" s="13" t="str">
        <f aca="false">IF(OR(BU404="",BU408=""),"",BU408-BU404)</f>
        <v/>
      </c>
      <c r="BV409" s="13" t="str">
        <f aca="false">IF(OR(BV404="",BV408=""),"",BV408-BV404)</f>
        <v/>
      </c>
      <c r="BW409" s="13" t="str">
        <f aca="false">IF(OR(BW404="",BW408=""),"",BW408-BW404)</f>
        <v/>
      </c>
      <c r="BX409" s="13" t="str">
        <f aca="false">IF(OR(BX404="",BX408=""),"",BX408-BX404)</f>
        <v/>
      </c>
      <c r="BY409" s="13" t="str">
        <f aca="false">IF(OR(BY404="",BY408=""),"",BY408-BY404)</f>
        <v/>
      </c>
      <c r="BZ409" s="13" t="str">
        <f aca="false">IF(OR(BZ404="",BZ408=""),"",BZ408-BZ404)</f>
        <v/>
      </c>
      <c r="CA409" s="13" t="str">
        <f aca="false">IF(OR(CA404="",CA408=""),"",CA408-CA404)</f>
        <v/>
      </c>
      <c r="CB409" s="13" t="str">
        <f aca="false">IF(OR(CB404="",CB408=""),"",CB408-CB404)</f>
        <v/>
      </c>
      <c r="CC409" s="13" t="str">
        <f aca="false">IF(OR(CC404="",CC408=""),"",CC408-CC404)</f>
        <v/>
      </c>
      <c r="CD409" s="13" t="str">
        <f aca="false">IF(OR(CD404="",CD408=""),"",CD408-CD404)</f>
        <v/>
      </c>
      <c r="CE409" s="13" t="str">
        <f aca="false">IF(OR(CE404="",CE408=""),"",CE408-CE404)</f>
        <v/>
      </c>
      <c r="CF409" s="13" t="str">
        <f aca="false">IF(OR(CF404="",CF408=""),"",CF408-CF404)</f>
        <v/>
      </c>
      <c r="CG409" s="13" t="str">
        <f aca="false">IF(OR(CG404="",CG408=""),"",CG408-CG404)</f>
        <v/>
      </c>
      <c r="CH409" s="13" t="str">
        <f aca="false">IF(OR(CH404="",CH408=""),"",CH408-CH404)</f>
        <v/>
      </c>
      <c r="CI409" s="13" t="str">
        <f aca="false">IF(OR(CI404="",CI408=""),"",CI408-CI404)</f>
        <v/>
      </c>
      <c r="CJ409" s="13" t="str">
        <f aca="false">IF(OR(CJ404="",CJ408=""),"",CJ408-CJ404)</f>
        <v/>
      </c>
      <c r="CK409" s="13" t="str">
        <f aca="false">IF(OR(CK404="",CK408=""),"",CK408-CK404)</f>
        <v/>
      </c>
      <c r="CL409" s="13" t="str">
        <f aca="false">IF(OR(CL404="",CL408=""),"",CL408-CL404)</f>
        <v/>
      </c>
      <c r="CM409" s="13" t="str">
        <f aca="false">IF(OR(CM404="",CM408=""),"",CM408-CM404)</f>
        <v/>
      </c>
      <c r="CN409" s="13" t="str">
        <f aca="false">IF(OR(CN404="",CN408=""),"",CN408-CN404)</f>
        <v/>
      </c>
      <c r="CO409" s="13" t="str">
        <f aca="false">IF(OR(CO404="",CO408=""),"",CO408-CO404)</f>
        <v/>
      </c>
      <c r="CP409" s="13" t="str">
        <f aca="false">IF(OR(CP404="",CP408=""),"",CP408-CP404)</f>
        <v/>
      </c>
      <c r="CQ409" s="13" t="str">
        <f aca="false">IF(OR(CQ404="",CQ408=""),"",CQ408-CQ404)</f>
        <v/>
      </c>
      <c r="CR409" s="13" t="str">
        <f aca="false">IF(OR(CR404="",CR408=""),"",CR408-CR404)</f>
        <v/>
      </c>
      <c r="CS409" s="13" t="str">
        <f aca="false">IF(OR(CS404="",CS408=""),"",CS408-CS404)</f>
        <v/>
      </c>
      <c r="CT409" s="13" t="str">
        <f aca="false">IF(OR(CT404="",CT408=""),"",CT408-CT404)</f>
        <v/>
      </c>
      <c r="CU409" s="13" t="str">
        <f aca="false">IF(OR(CU404="",CU408=""),"",CU408-CU404)</f>
        <v/>
      </c>
      <c r="CV409" s="13" t="str">
        <f aca="false">IF(OR(CV404="",CV408=""),"",CV408-CV404)</f>
        <v/>
      </c>
      <c r="CW409" s="13" t="str">
        <f aca="false">IF(OR(CW404="",CW408=""),"",CW408-CW404)</f>
        <v/>
      </c>
      <c r="CX409" s="13" t="str">
        <f aca="false">IF(OR(CX404="",CX408=""),"",CX408-CX404)</f>
        <v/>
      </c>
      <c r="CY409" s="13" t="str">
        <f aca="false">IF(OR(CY404="",CY408=""),"",CY408-CY404)</f>
        <v/>
      </c>
      <c r="CZ409" s="13" t="str">
        <f aca="false">IF(OR(CZ404="",CZ408=""),"",CZ408-CZ404)</f>
        <v/>
      </c>
      <c r="DA409" s="13" t="str">
        <f aca="false">IF(OR(DA404="",DA408=""),"",DA408-DA404)</f>
        <v/>
      </c>
      <c r="DB409" s="13" t="str">
        <f aca="false">IF(OR(DB404="",DB408=""),"",DB408-DB404)</f>
        <v/>
      </c>
      <c r="DC409" s="13" t="str">
        <f aca="false">IF(OR(DC404="",DC408=""),"",DC408-DC404)</f>
        <v/>
      </c>
      <c r="DD409" s="13" t="str">
        <f aca="false">IF(OR(DD404="",DD408=""),"",DD408-DD404)</f>
        <v/>
      </c>
      <c r="DE409" s="13" t="str">
        <f aca="false">IF(OR(DE404="",DE408=""),"",DE408-DE404)</f>
        <v/>
      </c>
    </row>
    <row r="411" customFormat="false" ht="15" hidden="false" customHeight="true" outlineLevel="0" collapsed="false">
      <c r="A411" s="23" t="s">
        <v>228</v>
      </c>
      <c r="B411" s="34"/>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c r="AA411" s="34"/>
      <c r="AB411" s="34"/>
      <c r="AC411" s="34"/>
      <c r="AD411" s="34"/>
      <c r="AE411" s="34"/>
      <c r="AF411" s="34"/>
      <c r="AG411" s="34"/>
      <c r="AH411" s="34"/>
      <c r="AI411" s="34"/>
      <c r="AJ411" s="34"/>
      <c r="AK411" s="34"/>
      <c r="AL411" s="34"/>
      <c r="AM411" s="34"/>
      <c r="AN411" s="34"/>
      <c r="AO411" s="34"/>
      <c r="AP411" s="34"/>
      <c r="AQ411" s="34"/>
      <c r="AR411" s="34"/>
      <c r="AS411" s="34"/>
      <c r="AT411" s="34"/>
      <c r="AU411" s="34"/>
      <c r="AV411" s="34"/>
      <c r="AW411" s="34"/>
      <c r="AX411" s="34"/>
      <c r="AY411" s="34"/>
      <c r="AZ411" s="34"/>
      <c r="BA411" s="34"/>
      <c r="BB411" s="34"/>
      <c r="BC411" s="34"/>
      <c r="BD411" s="34"/>
      <c r="BE411" s="34"/>
      <c r="BF411" s="34"/>
      <c r="BG411" s="34"/>
      <c r="BH411" s="34"/>
      <c r="BI411" s="34"/>
      <c r="BJ411" s="34"/>
      <c r="BK411" s="34"/>
      <c r="BL411" s="34"/>
      <c r="BM411" s="34"/>
      <c r="BN411" s="34"/>
      <c r="BO411" s="34"/>
      <c r="BP411" s="34"/>
      <c r="BQ411" s="34"/>
      <c r="BR411" s="34"/>
      <c r="BS411" s="34"/>
      <c r="BT411" s="34"/>
      <c r="BU411" s="34"/>
      <c r="BV411" s="34"/>
      <c r="BW411" s="34"/>
      <c r="BX411" s="34"/>
      <c r="BY411" s="34"/>
      <c r="BZ411" s="34"/>
      <c r="CA411" s="34"/>
      <c r="CB411" s="34"/>
      <c r="CC411" s="34"/>
      <c r="CD411" s="34"/>
      <c r="CE411" s="34"/>
      <c r="CF411" s="34"/>
      <c r="CG411" s="34"/>
      <c r="CH411" s="34"/>
      <c r="CI411" s="34"/>
      <c r="CJ411" s="34"/>
      <c r="CK411" s="34"/>
      <c r="CL411" s="34"/>
      <c r="CM411" s="34"/>
      <c r="CN411" s="34"/>
      <c r="CO411" s="34"/>
      <c r="CP411" s="34"/>
      <c r="CQ411" s="34"/>
      <c r="CR411" s="34"/>
      <c r="CS411" s="34"/>
      <c r="CT411" s="34"/>
      <c r="CU411" s="34"/>
      <c r="CV411" s="34"/>
      <c r="CW411" s="34"/>
      <c r="CX411" s="34"/>
      <c r="CY411" s="34"/>
      <c r="CZ411" s="34"/>
      <c r="DA411" s="34"/>
      <c r="DB411" s="34"/>
      <c r="DC411" s="34"/>
      <c r="DD411" s="34"/>
      <c r="DE411" s="34"/>
    </row>
    <row r="412" customFormat="false" ht="15" hidden="false" customHeight="true" outlineLevel="0" collapsed="false">
      <c r="A412" s="22" t="s">
        <v>222</v>
      </c>
      <c r="B412" s="13" t="n">
        <f aca="false">IF(B396="","",B396)</f>
        <v>378187</v>
      </c>
      <c r="C412" s="13" t="n">
        <f aca="false">IF(C396="","",C396)</f>
        <v>110882</v>
      </c>
      <c r="D412" s="13" t="n">
        <f aca="false">IF(D396="","",D396)</f>
        <v>171148</v>
      </c>
      <c r="E412" s="13" t="n">
        <f aca="false">IF(E396="","",E396)</f>
        <v>368691</v>
      </c>
      <c r="F412" s="13" t="n">
        <f aca="false">IF(F396="","",F396)</f>
        <v>343251</v>
      </c>
      <c r="G412" s="13" t="n">
        <f aca="false">IF(G396="","",G396)</f>
        <v>665368</v>
      </c>
      <c r="H412" s="13" t="n">
        <f aca="false">IF(H396="","",H396)</f>
        <v>122223</v>
      </c>
      <c r="I412" s="13" t="n">
        <f aca="false">IF(I396="","",I396)</f>
        <v>658190</v>
      </c>
      <c r="J412" s="13" t="str">
        <f aca="false">IF(J396="","",J396)</f>
        <v/>
      </c>
      <c r="K412" s="13" t="str">
        <f aca="false">IF(K396="","",K396)</f>
        <v/>
      </c>
      <c r="L412" s="13" t="str">
        <f aca="false">IF(L396="","",L396)</f>
        <v/>
      </c>
      <c r="M412" s="13" t="str">
        <f aca="false">IF(M396="","",M396)</f>
        <v/>
      </c>
      <c r="N412" s="13" t="str">
        <f aca="false">IF(N396="","",N396)</f>
        <v/>
      </c>
      <c r="O412" s="13" t="str">
        <f aca="false">IF(O396="","",O396)</f>
        <v/>
      </c>
      <c r="P412" s="13" t="str">
        <f aca="false">IF(P396="","",P396)</f>
        <v/>
      </c>
      <c r="Q412" s="13" t="str">
        <f aca="false">IF(Q396="","",Q396)</f>
        <v/>
      </c>
      <c r="R412" s="13" t="str">
        <f aca="false">IF(R396="","",R396)</f>
        <v/>
      </c>
      <c r="S412" s="13" t="str">
        <f aca="false">IF(S396="","",S396)</f>
        <v/>
      </c>
      <c r="T412" s="13" t="str">
        <f aca="false">IF(T396="","",T396)</f>
        <v/>
      </c>
      <c r="U412" s="13" t="str">
        <f aca="false">IF(U396="","",U396)</f>
        <v/>
      </c>
      <c r="V412" s="13" t="str">
        <f aca="false">IF(V396="","",V396)</f>
        <v/>
      </c>
      <c r="W412" s="13" t="str">
        <f aca="false">IF(W396="","",W396)</f>
        <v/>
      </c>
      <c r="X412" s="13" t="str">
        <f aca="false">IF(X396="","",X396)</f>
        <v/>
      </c>
      <c r="Y412" s="13" t="str">
        <f aca="false">IF(Y396="","",Y396)</f>
        <v/>
      </c>
      <c r="Z412" s="13" t="str">
        <f aca="false">IF(Z396="","",Z396)</f>
        <v/>
      </c>
      <c r="AA412" s="13" t="str">
        <f aca="false">IF(AA396="","",AA396)</f>
        <v/>
      </c>
      <c r="AB412" s="13" t="str">
        <f aca="false">IF(AB396="","",AB396)</f>
        <v/>
      </c>
      <c r="AC412" s="13" t="str">
        <f aca="false">IF(AC396="","",AC396)</f>
        <v/>
      </c>
      <c r="AD412" s="13" t="str">
        <f aca="false">IF(AD396="","",AD396)</f>
        <v/>
      </c>
      <c r="AE412" s="13" t="str">
        <f aca="false">IF(AE396="","",AE396)</f>
        <v/>
      </c>
      <c r="AF412" s="13" t="str">
        <f aca="false">IF(AF396="","",AF396)</f>
        <v/>
      </c>
      <c r="AG412" s="13" t="str">
        <f aca="false">IF(AG396="","",AG396)</f>
        <v/>
      </c>
      <c r="AH412" s="13" t="str">
        <f aca="false">IF(AH396="","",AH396)</f>
        <v/>
      </c>
      <c r="AI412" s="13" t="str">
        <f aca="false">IF(AI396="","",AI396)</f>
        <v/>
      </c>
      <c r="AJ412" s="13" t="str">
        <f aca="false">IF(AJ396="","",AJ396)</f>
        <v/>
      </c>
      <c r="AK412" s="13" t="str">
        <f aca="false">IF(AK396="","",AK396)</f>
        <v/>
      </c>
      <c r="AL412" s="13" t="str">
        <f aca="false">IF(AL396="","",AL396)</f>
        <v/>
      </c>
      <c r="AM412" s="13" t="str">
        <f aca="false">IF(AM396="","",AM396)</f>
        <v/>
      </c>
      <c r="AN412" s="13" t="str">
        <f aca="false">IF(AN396="","",AN396)</f>
        <v/>
      </c>
      <c r="AO412" s="13" t="str">
        <f aca="false">IF(AO396="","",AO396)</f>
        <v/>
      </c>
      <c r="AP412" s="13" t="str">
        <f aca="false">IF(AP396="","",AP396)</f>
        <v/>
      </c>
      <c r="AQ412" s="13" t="str">
        <f aca="false">IF(AQ396="","",AQ396)</f>
        <v/>
      </c>
      <c r="AR412" s="13" t="str">
        <f aca="false">IF(AR396="","",AR396)</f>
        <v/>
      </c>
      <c r="AS412" s="13" t="str">
        <f aca="false">IF(AS396="","",AS396)</f>
        <v/>
      </c>
      <c r="AT412" s="13" t="str">
        <f aca="false">IF(AT396="","",AT396)</f>
        <v/>
      </c>
      <c r="AU412" s="13" t="str">
        <f aca="false">IF(AU396="","",AU396)</f>
        <v/>
      </c>
      <c r="AV412" s="13" t="str">
        <f aca="false">IF(AV396="","",AV396)</f>
        <v/>
      </c>
      <c r="AW412" s="13" t="str">
        <f aca="false">IF(AW396="","",AW396)</f>
        <v/>
      </c>
      <c r="AX412" s="13" t="str">
        <f aca="false">IF(AX396="","",AX396)</f>
        <v/>
      </c>
      <c r="AY412" s="13" t="str">
        <f aca="false">IF(AY396="","",AY396)</f>
        <v/>
      </c>
      <c r="AZ412" s="13" t="str">
        <f aca="false">IF(AZ396="","",AZ396)</f>
        <v/>
      </c>
      <c r="BA412" s="13" t="str">
        <f aca="false">IF(BA396="","",BA396)</f>
        <v/>
      </c>
      <c r="BB412" s="13" t="str">
        <f aca="false">IF(BB396="","",BB396)</f>
        <v/>
      </c>
      <c r="BC412" s="13" t="str">
        <f aca="false">IF(BC396="","",BC396)</f>
        <v/>
      </c>
      <c r="BD412" s="13" t="str">
        <f aca="false">IF(BD396="","",BD396)</f>
        <v/>
      </c>
      <c r="BE412" s="13" t="str">
        <f aca="false">IF(BE396="","",BE396)</f>
        <v/>
      </c>
      <c r="BF412" s="13" t="str">
        <f aca="false">IF(BF396="","",BF396)</f>
        <v/>
      </c>
      <c r="BG412" s="13" t="str">
        <f aca="false">IF(BG396="","",BG396)</f>
        <v/>
      </c>
      <c r="BH412" s="13" t="str">
        <f aca="false">IF(BH396="","",BH396)</f>
        <v/>
      </c>
      <c r="BI412" s="13" t="str">
        <f aca="false">IF(BI396="","",BI396)</f>
        <v/>
      </c>
      <c r="BJ412" s="13" t="str">
        <f aca="false">IF(BJ396="","",BJ396)</f>
        <v/>
      </c>
      <c r="BK412" s="13" t="str">
        <f aca="false">IF(BK396="","",BK396)</f>
        <v/>
      </c>
      <c r="BL412" s="13" t="str">
        <f aca="false">IF(BL396="","",BL396)</f>
        <v/>
      </c>
      <c r="BM412" s="13" t="str">
        <f aca="false">IF(BM396="","",BM396)</f>
        <v/>
      </c>
      <c r="BN412" s="13" t="str">
        <f aca="false">IF(BN396="","",BN396)</f>
        <v/>
      </c>
      <c r="BO412" s="13" t="str">
        <f aca="false">IF(BO396="","",BO396)</f>
        <v/>
      </c>
      <c r="BP412" s="13" t="str">
        <f aca="false">IF(BP396="","",BP396)</f>
        <v/>
      </c>
      <c r="BQ412" s="13" t="str">
        <f aca="false">IF(BQ396="","",BQ396)</f>
        <v/>
      </c>
      <c r="BR412" s="13" t="str">
        <f aca="false">IF(BR396="","",BR396)</f>
        <v/>
      </c>
      <c r="BS412" s="13" t="str">
        <f aca="false">IF(BS396="","",BS396)</f>
        <v/>
      </c>
      <c r="BT412" s="13" t="str">
        <f aca="false">IF(BT396="","",BT396)</f>
        <v/>
      </c>
      <c r="BU412" s="13" t="str">
        <f aca="false">IF(BU396="","",BU396)</f>
        <v/>
      </c>
      <c r="BV412" s="13" t="str">
        <f aca="false">IF(BV396="","",BV396)</f>
        <v/>
      </c>
      <c r="BW412" s="13" t="str">
        <f aca="false">IF(BW396="","",BW396)</f>
        <v/>
      </c>
      <c r="BX412" s="13" t="str">
        <f aca="false">IF(BX396="","",BX396)</f>
        <v/>
      </c>
      <c r="BY412" s="13" t="str">
        <f aca="false">IF(BY396="","",BY396)</f>
        <v/>
      </c>
      <c r="BZ412" s="13" t="str">
        <f aca="false">IF(BZ396="","",BZ396)</f>
        <v/>
      </c>
      <c r="CA412" s="13" t="str">
        <f aca="false">IF(CA396="","",CA396)</f>
        <v/>
      </c>
      <c r="CB412" s="13" t="str">
        <f aca="false">IF(CB396="","",CB396)</f>
        <v/>
      </c>
      <c r="CC412" s="13" t="str">
        <f aca="false">IF(CC396="","",CC396)</f>
        <v/>
      </c>
      <c r="CD412" s="13" t="str">
        <f aca="false">IF(CD396="","",CD396)</f>
        <v/>
      </c>
      <c r="CE412" s="13" t="str">
        <f aca="false">IF(CE396="","",CE396)</f>
        <v/>
      </c>
      <c r="CF412" s="13" t="str">
        <f aca="false">IF(CF396="","",CF396)</f>
        <v/>
      </c>
      <c r="CG412" s="13" t="str">
        <f aca="false">IF(CG396="","",CG396)</f>
        <v/>
      </c>
      <c r="CH412" s="13" t="str">
        <f aca="false">IF(CH396="","",CH396)</f>
        <v/>
      </c>
      <c r="CI412" s="13" t="str">
        <f aca="false">IF(CI396="","",CI396)</f>
        <v/>
      </c>
      <c r="CJ412" s="13" t="str">
        <f aca="false">IF(CJ396="","",CJ396)</f>
        <v/>
      </c>
      <c r="CK412" s="13" t="str">
        <f aca="false">IF(CK396="","",CK396)</f>
        <v/>
      </c>
      <c r="CL412" s="13" t="str">
        <f aca="false">IF(CL396="","",CL396)</f>
        <v/>
      </c>
      <c r="CM412" s="13" t="str">
        <f aca="false">IF(CM396="","",CM396)</f>
        <v/>
      </c>
      <c r="CN412" s="13" t="str">
        <f aca="false">IF(CN396="","",CN396)</f>
        <v/>
      </c>
      <c r="CO412" s="13" t="str">
        <f aca="false">IF(CO396="","",CO396)</f>
        <v/>
      </c>
      <c r="CP412" s="13" t="str">
        <f aca="false">IF(CP396="","",CP396)</f>
        <v/>
      </c>
      <c r="CQ412" s="13" t="str">
        <f aca="false">IF(CQ396="","",CQ396)</f>
        <v/>
      </c>
      <c r="CR412" s="13" t="str">
        <f aca="false">IF(CR396="","",CR396)</f>
        <v/>
      </c>
      <c r="CS412" s="13" t="str">
        <f aca="false">IF(CS396="","",CS396)</f>
        <v/>
      </c>
      <c r="CT412" s="13" t="str">
        <f aca="false">IF(CT396="","",CT396)</f>
        <v/>
      </c>
      <c r="CU412" s="13" t="str">
        <f aca="false">IF(CU396="","",CU396)</f>
        <v/>
      </c>
      <c r="CV412" s="13" t="str">
        <f aca="false">IF(CV396="","",CV396)</f>
        <v/>
      </c>
      <c r="CW412" s="13" t="str">
        <f aca="false">IF(CW396="","",CW396)</f>
        <v/>
      </c>
      <c r="CX412" s="13" t="str">
        <f aca="false">IF(CX396="","",CX396)</f>
        <v/>
      </c>
      <c r="CY412" s="13" t="str">
        <f aca="false">IF(CY396="","",CY396)</f>
        <v/>
      </c>
      <c r="CZ412" s="13" t="str">
        <f aca="false">IF(CZ396="","",CZ396)</f>
        <v/>
      </c>
      <c r="DA412" s="13" t="str">
        <f aca="false">IF(DA396="","",DA396)</f>
        <v/>
      </c>
      <c r="DB412" s="13" t="str">
        <f aca="false">IF(DB396="","",DB396)</f>
        <v/>
      </c>
      <c r="DC412" s="13" t="str">
        <f aca="false">IF(DC396="","",DC396)</f>
        <v/>
      </c>
      <c r="DD412" s="13" t="str">
        <f aca="false">IF(DD396="","",DD396)</f>
        <v/>
      </c>
      <c r="DE412" s="13" t="str">
        <f aca="false">IF(DE396="","",DE396)</f>
        <v/>
      </c>
    </row>
    <row r="413" customFormat="false" ht="15" hidden="false" customHeight="true" outlineLevel="0" collapsed="false">
      <c r="A413" s="22" t="s">
        <v>223</v>
      </c>
      <c r="B413" s="13" t="str">
        <f aca="false">IF(B$4="Actuals",IF(C$4="Actuals","",C366),B371)</f>
        <v/>
      </c>
      <c r="C413" s="13" t="str">
        <f aca="false">IF(C$4="Actuals",IF(D$4="Actuals","",D366),C371)</f>
        <v/>
      </c>
      <c r="D413" s="13" t="str">
        <f aca="false">IF(D$4="Actuals",IF(E$4="Actuals","",E366),D371)</f>
        <v/>
      </c>
      <c r="E413" s="13" t="str">
        <f aca="false">IF(E$4="Actuals",IF(F$4="Actuals","",F366),E371)</f>
        <v/>
      </c>
      <c r="F413" s="13" t="str">
        <f aca="false">IF(F$4="Actuals",IF(G$4="Actuals","",G366),F371)</f>
        <v/>
      </c>
      <c r="G413" s="13" t="str">
        <f aca="false">IF(G$4="Actuals",IF(H$4="Actuals","",H366),G371)</f>
        <v/>
      </c>
      <c r="H413" s="13" t="str">
        <f aca="false">IF(H$4="Actuals",IF(I$4="Actuals","",I366),H371)</f>
        <v/>
      </c>
      <c r="I413" s="13" t="n">
        <f aca="false">IF(I$4="Actuals",IF(J$4="Actuals","",J366),I371)</f>
        <v>658190</v>
      </c>
      <c r="J413" s="13" t="n">
        <f aca="false">IF(J$4="Actuals",IF(K$4="Actuals","",K366),J371)</f>
        <v>512855.116666667</v>
      </c>
      <c r="K413" s="13" t="n">
        <f aca="false">IF(K$4="Actuals",IF(L$4="Actuals","",L366),K371)</f>
        <v>367520.233333333</v>
      </c>
      <c r="L413" s="13" t="n">
        <f aca="false">IF(L$4="Actuals",IF(M$4="Actuals","",M366),L371)</f>
        <v>212810.35</v>
      </c>
      <c r="M413" s="13" t="n">
        <f aca="false">IF(M$4="Actuals",IF(N$4="Actuals","",N366),M371)</f>
        <v>61600.4666666667</v>
      </c>
      <c r="N413" s="13" t="n">
        <f aca="false">IF(N$4="Actuals",IF(O$4="Actuals","",O366),N371)</f>
        <v>-131905.159523809</v>
      </c>
      <c r="O413" s="13" t="n">
        <f aca="false">IF(O$4="Actuals",IF(P$4="Actuals","",P366),O371)</f>
        <v>-266006.122857143</v>
      </c>
      <c r="P413" s="13" t="n">
        <f aca="false">IF(P$4="Actuals",IF(Q$4="Actuals","",Q366),P371)</f>
        <v>-497815.996190476</v>
      </c>
      <c r="Q413" s="13" t="n">
        <f aca="false">IF(Q$4="Actuals",IF(R$4="Actuals","",R366),Q371)</f>
        <v>-710085.961790476</v>
      </c>
      <c r="R413" s="13" t="n">
        <f aca="false">IF(R$4="Actuals",IF(S$4="Actuals","",S366),R371)</f>
        <v>-928606.127390476</v>
      </c>
      <c r="S413" s="13" t="n">
        <f aca="false">IF(S$4="Actuals",IF(T$4="Actuals","",T366),S371)</f>
        <v>-1147126.29299048</v>
      </c>
      <c r="T413" s="13" t="n">
        <f aca="false">IF(T$4="Actuals",IF(U$4="Actuals","",U366),T371)</f>
        <v>-1391152.70859048</v>
      </c>
      <c r="U413" s="13" t="n">
        <f aca="false">IF(U$4="Actuals",IF(V$4="Actuals","",V366),U371)</f>
        <v>-1638079.12419048</v>
      </c>
      <c r="V413" s="13" t="n">
        <f aca="false">IF(V$4="Actuals",IF(W$4="Actuals","",W366),V371)</f>
        <v>-1885005.53979048</v>
      </c>
      <c r="W413" s="13" t="n">
        <f aca="false">IF(W$4="Actuals",IF(X$4="Actuals","",X366),W371)</f>
        <v>-2115359.69299048</v>
      </c>
      <c r="X413" s="13" t="n">
        <f aca="false">IF(X$4="Actuals",IF(Y$4="Actuals","",Y366),X371)</f>
        <v>-2329680.38379048</v>
      </c>
      <c r="Y413" s="13" t="n">
        <f aca="false">IF(Y$4="Actuals",IF(Z$4="Actuals","",Z366),Y371)</f>
        <v>-2470053.81219048</v>
      </c>
      <c r="Z413" s="13" t="n">
        <f aca="false">IF(Z$4="Actuals",IF(AA$4="Actuals","",AA366),Z371)</f>
        <v>-2664852.26419048</v>
      </c>
      <c r="AA413" s="13" t="n">
        <f aca="false">IF(AA$4="Actuals",IF(AB$4="Actuals","",AB366),AA371)</f>
        <v>-3094114.21419048</v>
      </c>
      <c r="AB413" s="13" t="n">
        <f aca="false">IF(AB$4="Actuals",IF(AC$4="Actuals","",AC366),AB371)</f>
        <v>-3200464.67419048</v>
      </c>
      <c r="AC413" s="13" t="n">
        <f aca="false">IF(AC$4="Actuals",IF(AD$4="Actuals","",AD366),AC371)</f>
        <v>-3352317.81331048</v>
      </c>
      <c r="AD413" s="13" t="n">
        <f aca="false">IF(AD$4="Actuals",IF(AE$4="Actuals","",AE366),AD371)</f>
        <v>-3488634.45643048</v>
      </c>
      <c r="AE413" s="13" t="n">
        <f aca="false">IF(AE$4="Actuals",IF(AF$4="Actuals","",AF366),AE371)</f>
        <v>-3532021.02782907</v>
      </c>
      <c r="AF413" s="13" t="n">
        <f aca="false">IF(AF$4="Actuals",IF(AG$4="Actuals","",AG366),AF371)</f>
        <v>-3538010.07594907</v>
      </c>
      <c r="AG413" s="13" t="n">
        <f aca="false">IF(AG$4="Actuals",IF(AH$4="Actuals","",AH366),AG371)</f>
        <v>-3540809.96056907</v>
      </c>
      <c r="AH413" s="13" t="n">
        <f aca="false">IF(AH$4="Actuals",IF(AI$4="Actuals","",AI366),AH371)</f>
        <v>-3522951.30018907</v>
      </c>
      <c r="AI413" s="13" t="n">
        <f aca="false">IF(AI$4="Actuals",IF(AJ$4="Actuals","",AJ366),AI371)</f>
        <v>-3563717.86980908</v>
      </c>
      <c r="AJ413" s="13" t="n">
        <f aca="false">IF(AJ$4="Actuals",IF(AK$4="Actuals","",AK366),AJ371)</f>
        <v>-3604054.27342908</v>
      </c>
      <c r="AK413" s="13" t="n">
        <f aca="false">IF(AK$4="Actuals",IF(AL$4="Actuals","",AL366),AK371)</f>
        <v>-3643960.52204908</v>
      </c>
      <c r="AL413" s="13" t="n">
        <f aca="false">IF(AL$4="Actuals",IF(AM$4="Actuals","",AM366),AL371)</f>
        <v>-3683436.61016908</v>
      </c>
      <c r="AM413" s="13" t="n">
        <f aca="false">IF(AM$4="Actuals",IF(AN$4="Actuals","",AN366),AM371)</f>
        <v>-3972482.54328908</v>
      </c>
      <c r="AN413" s="13" t="n">
        <f aca="false">IF(AN$4="Actuals",IF(AO$4="Actuals","",AO366),AN371)</f>
        <v>-3996856.52790908</v>
      </c>
      <c r="AO413" s="13" t="n">
        <f aca="false">IF(AO$4="Actuals",IF(AP$4="Actuals","",AP366),AO371)</f>
        <v>-4038779.58703148</v>
      </c>
      <c r="AP413" s="13" t="n">
        <f aca="false">IF(AP$4="Actuals",IF(AQ$4="Actuals","",AQ366),AP371)</f>
        <v>-4094514.27365387</v>
      </c>
      <c r="AQ413" s="13" t="n">
        <f aca="false">IF(AQ$4="Actuals",IF(AR$4="Actuals","",AR366),AQ371)</f>
        <v>-4164060.58777627</v>
      </c>
      <c r="AR413" s="13" t="n">
        <f aca="false">IF(AR$4="Actuals",IF(AS$4="Actuals","",AS366),AR371)</f>
        <v>-4247418.53489867</v>
      </c>
      <c r="AS413" s="13" t="n">
        <f aca="false">IF(AS$4="Actuals",IF(AT$4="Actuals","",AT366),AS371)</f>
        <v>-4352400.87752107</v>
      </c>
      <c r="AT413" s="13" t="n">
        <f aca="false">IF(AT$4="Actuals",IF(AU$4="Actuals","",AU366),AT371)</f>
        <v>-4469939.24514347</v>
      </c>
      <c r="AU413" s="13" t="n">
        <f aca="false">IF(AU$4="Actuals",IF(AV$4="Actuals","",AV366),AU371)</f>
        <v>-4600033.64276587</v>
      </c>
      <c r="AV413" s="13" t="n">
        <f aca="false">IF(AV$4="Actuals",IF(AW$4="Actuals","",AW366),AV371)</f>
        <v>-4742684.06038827</v>
      </c>
      <c r="AW413" s="13" t="n">
        <f aca="false">IF(AW$4="Actuals",IF(AX$4="Actuals","",AX366),AW371)</f>
        <v>-4898375.08951068</v>
      </c>
      <c r="AX413" s="13" t="n">
        <f aca="false">IF(AX$4="Actuals",IF(AY$4="Actuals","",AY366),AX371)</f>
        <v>-5013188.11713307</v>
      </c>
      <c r="AY413" s="13" t="n">
        <f aca="false">IF(AY$4="Actuals",IF(AZ$4="Actuals","",AZ366),AY371)</f>
        <v>-5390948.21975547</v>
      </c>
      <c r="AZ413" s="13" t="n">
        <f aca="false">IF(AZ$4="Actuals",IF(BA$4="Actuals","",BA366),AZ371)</f>
        <v>-5544501.68487787</v>
      </c>
      <c r="BA413" s="13" t="n">
        <f aca="false">IF(BA$4="Actuals",IF(BB$4="Actuals","",BB366),BA371)</f>
        <v>-5702297.51205272</v>
      </c>
      <c r="BB413" s="13" t="n">
        <f aca="false">IF(BB$4="Actuals",IF(BC$4="Actuals","",BC366),BB371)</f>
        <v>-5860523.50522757</v>
      </c>
      <c r="BC413" s="13" t="n">
        <f aca="false">IF(BC$4="Actuals",IF(BD$4="Actuals","",BD366),BC371)</f>
        <v>-6019179.65340242</v>
      </c>
      <c r="BD413" s="13" t="n">
        <f aca="false">IF(BD$4="Actuals",IF(BE$4="Actuals","",BE366),BD371)</f>
        <v>-6178265.96207727</v>
      </c>
      <c r="BE413" s="13" t="n">
        <f aca="false">IF(BE$4="Actuals",IF(BF$4="Actuals","",BF366),BE371)</f>
        <v>-6337782.43125211</v>
      </c>
      <c r="BF413" s="13" t="n">
        <f aca="false">IF(BF$4="Actuals",IF(BG$4="Actuals","",BG366),BF371)</f>
        <v>-6497729.06092696</v>
      </c>
      <c r="BG413" s="13" t="n">
        <f aca="false">IF(BG$4="Actuals",IF(BH$4="Actuals","",BH366),BG371)</f>
        <v>-6658105.85110181</v>
      </c>
      <c r="BH413" s="13" t="n">
        <f aca="false">IF(BH$4="Actuals",IF(BI$4="Actuals","",BI366),BH371)</f>
        <v>-6818912.80177666</v>
      </c>
      <c r="BI413" s="13" t="n">
        <f aca="false">IF(BI$4="Actuals",IF(BJ$4="Actuals","",BJ366),BI371)</f>
        <v>-6980149.91295151</v>
      </c>
      <c r="BJ413" s="13" t="n">
        <f aca="false">IF(BJ$4="Actuals",IF(BK$4="Actuals","",BK366),BJ371)</f>
        <v>-7141817.18462635</v>
      </c>
      <c r="BK413" s="13" t="n">
        <f aca="false">IF(BK$4="Actuals",IF(BL$4="Actuals","",BL366),BK371)</f>
        <v>-7553914.6168012</v>
      </c>
      <c r="BL413" s="13" t="n">
        <f aca="false">IF(BL$4="Actuals",IF(BM$4="Actuals","",BM366),BL371)</f>
        <v>-7716442.20397605</v>
      </c>
      <c r="BM413" s="13" t="n">
        <f aca="false">IF(BM$4="Actuals",IF(BN$4="Actuals","",BN366),BM371)</f>
        <v>-7859787.9027344</v>
      </c>
      <c r="BN413" s="13" t="n">
        <f aca="false">IF(BN$4="Actuals",IF(BO$4="Actuals","",BO366),BN371)</f>
        <v>-8003563.76199274</v>
      </c>
      <c r="BO413" s="13" t="n">
        <f aca="false">IF(BO$4="Actuals",IF(BP$4="Actuals","",BP366),BO371)</f>
        <v>-8093943.49175109</v>
      </c>
      <c r="BP413" s="13" t="n">
        <f aca="false">IF(BP$4="Actuals",IF(BQ$4="Actuals","",BQ366),BP371)</f>
        <v>-8297254.21650943</v>
      </c>
      <c r="BQ413" s="13" t="n">
        <f aca="false">IF(BQ$4="Actuals",IF(BR$4="Actuals","",BR366),BQ371)</f>
        <v>-8500564.94126778</v>
      </c>
      <c r="BR413" s="13" t="n">
        <f aca="false">IF(BR$4="Actuals",IF(BS$4="Actuals","",BS366),BR371)</f>
        <v>-8650625.31602612</v>
      </c>
      <c r="BS413" s="13" t="n">
        <f aca="false">IF(BS$4="Actuals",IF(BT$4="Actuals","",BT366),BS371)</f>
        <v>-8853936.04078447</v>
      </c>
      <c r="BT413" s="13" t="n">
        <f aca="false">IF(BT$4="Actuals",IF(BU$4="Actuals","",BU366),BT371)</f>
        <v>-9057246.76554281</v>
      </c>
      <c r="BU413" s="13" t="n">
        <f aca="false">IF(BU$4="Actuals",IF(BV$4="Actuals","",BV366),BU371)</f>
        <v>-9192795.49030116</v>
      </c>
      <c r="BV413" s="13" t="n">
        <f aca="false">IF(BV$4="Actuals",IF(BW$4="Actuals","",BW366),BV371)</f>
        <v>-9396106.2150595</v>
      </c>
      <c r="BW413" s="13" t="n">
        <f aca="false">IF(BW$4="Actuals",IF(BX$4="Actuals","",BX366),BW371)</f>
        <v>-9599416.93981785</v>
      </c>
      <c r="BX413" s="13" t="n">
        <f aca="false">IF(BX$4="Actuals",IF(BY$4="Actuals","",BY366),BX371)</f>
        <v>-9734965.66457619</v>
      </c>
      <c r="BY413" s="13" t="n">
        <f aca="false">IF(BY$4="Actuals",IF(BZ$4="Actuals","",BZ366),BY371)</f>
        <v>-9942242.60382971</v>
      </c>
      <c r="BZ413" s="13" t="n">
        <f aca="false">IF(BZ$4="Actuals",IF(CA$4="Actuals","",CA366),BZ371)</f>
        <v>-10149519.5430832</v>
      </c>
      <c r="CA413" s="13" t="n">
        <f aca="false">IF(CA$4="Actuals",IF(CB$4="Actuals","",CB366),CA371)</f>
        <v>-10289034.4823367</v>
      </c>
      <c r="CB413" s="13" t="n">
        <f aca="false">IF(CB$4="Actuals",IF(CC$4="Actuals","",CC366),CB371)</f>
        <v>-10496311.4215902</v>
      </c>
      <c r="CC413" s="13" t="n">
        <f aca="false">IF(CC$4="Actuals",IF(CD$4="Actuals","",CD366),CC371)</f>
        <v>-10703588.3608438</v>
      </c>
      <c r="CD413" s="13" t="n">
        <f aca="false">IF(CD$4="Actuals",IF(CE$4="Actuals","",CE366),CD371)</f>
        <v>-10834366.3000973</v>
      </c>
      <c r="CE413" s="13" t="n">
        <f aca="false">IF(CE$4="Actuals",IF(CF$4="Actuals","",CF366),CE371)</f>
        <v>-11041643.2393508</v>
      </c>
      <c r="CF413" s="13" t="n">
        <f aca="false">IF(CF$4="Actuals",IF(CG$4="Actuals","",CG366),CF371)</f>
        <v>-11248920.1786043</v>
      </c>
      <c r="CG413" s="13" t="n">
        <f aca="false">IF(CG$4="Actuals",IF(CH$4="Actuals","",CH366),CG371)</f>
        <v>-11379698.1178578</v>
      </c>
      <c r="CH413" s="13" t="n">
        <f aca="false">IF(CH$4="Actuals",IF(CI$4="Actuals","",CI366),CH371)</f>
        <v>-11586975.0571113</v>
      </c>
      <c r="CI413" s="13" t="n">
        <f aca="false">IF(CI$4="Actuals",IF(CJ$4="Actuals","",CJ366),CI371)</f>
        <v>-11794251.9963648</v>
      </c>
      <c r="CJ413" s="13" t="n">
        <f aca="false">IF(CJ$4="Actuals",IF(CK$4="Actuals","",CK366),CJ371)</f>
        <v>-11918421.9090119</v>
      </c>
      <c r="CK413" s="13" t="n">
        <f aca="false">IF(CK$4="Actuals",IF(CL$4="Actuals","",CL366),CK371)</f>
        <v>-11971883.3870505</v>
      </c>
      <c r="CL413" s="13" t="n">
        <f aca="false">IF(CL$4="Actuals",IF(CM$4="Actuals","",CM366),CL371)</f>
        <v>-12025344.865089</v>
      </c>
      <c r="CM413" s="13" t="n">
        <f aca="false">IF(CM$4="Actuals",IF(CN$4="Actuals","",CN366),CM371)</f>
        <v>-12078806.3431276</v>
      </c>
      <c r="CN413" s="13" t="n">
        <f aca="false">IF(CN$4="Actuals",IF(CO$4="Actuals","",CO366),CN371)</f>
        <v>-12132267.8211662</v>
      </c>
      <c r="CO413" s="13" t="n">
        <f aca="false">IF(CO$4="Actuals",IF(CP$4="Actuals","",CP366),CO371)</f>
        <v>-12185729.2992048</v>
      </c>
      <c r="CP413" s="13" t="n">
        <f aca="false">IF(CP$4="Actuals",IF(CQ$4="Actuals","",CQ366),CP371)</f>
        <v>-12239190.7772434</v>
      </c>
      <c r="CQ413" s="13" t="n">
        <f aca="false">IF(CQ$4="Actuals",IF(CR$4="Actuals","",CR366),CQ371)</f>
        <v>-12292652.2552819</v>
      </c>
      <c r="CR413" s="13" t="n">
        <f aca="false">IF(CR$4="Actuals",IF(CS$4="Actuals","",CS366),CR371)</f>
        <v>-12346113.7333205</v>
      </c>
      <c r="CS413" s="13" t="n">
        <f aca="false">IF(CS$4="Actuals",IF(CT$4="Actuals","",CT366),CS371)</f>
        <v>-12399575.2113591</v>
      </c>
      <c r="CT413" s="13" t="n">
        <f aca="false">IF(CT$4="Actuals",IF(CU$4="Actuals","",CU366),CT371)</f>
        <v>-12444014.7207164</v>
      </c>
      <c r="CU413" s="13" t="n">
        <f aca="false">IF(CU$4="Actuals",IF(CV$4="Actuals","",CV366),CU371)</f>
        <v>-12488454.2300736</v>
      </c>
      <c r="CV413" s="13" t="n">
        <f aca="false">IF(CV$4="Actuals",IF(CW$4="Actuals","",CW366),CV371)</f>
        <v>-12532893.7394309</v>
      </c>
      <c r="CW413" s="13" t="n">
        <f aca="false">IF(CW$4="Actuals",IF(CX$4="Actuals","",CX366),CW371)</f>
        <v>-12525571.1079117</v>
      </c>
      <c r="CX413" s="13" t="n">
        <f aca="false">IF(CX$4="Actuals",IF(CY$4="Actuals","",CY366),CX371)</f>
        <v>-12500801.6274561</v>
      </c>
      <c r="CY413" s="13" t="n">
        <f aca="false">IF(CY$4="Actuals",IF(CZ$4="Actuals","",CZ366),CY371)</f>
        <v>-12476032.1470005</v>
      </c>
      <c r="CZ413" s="13" t="n">
        <f aca="false">IF(CZ$4="Actuals",IF(DA$4="Actuals","",DA366),CZ371)</f>
        <v>-12451262.6665449</v>
      </c>
      <c r="DA413" s="13" t="n">
        <f aca="false">IF(DA$4="Actuals",IF(DB$4="Actuals","",DB366),DA371)</f>
        <v>-12426493.1860893</v>
      </c>
      <c r="DB413" s="13" t="n">
        <f aca="false">IF(DB$4="Actuals",IF(DC$4="Actuals","",DC366),DB371)</f>
        <v>-12401723.7056337</v>
      </c>
      <c r="DC413" s="13" t="n">
        <f aca="false">IF(DC$4="Actuals",IF(DD$4="Actuals","",DD366),DC371)</f>
        <v>-12376954.2251781</v>
      </c>
      <c r="DD413" s="13" t="n">
        <f aca="false">IF(DD$4="Actuals",IF(DE$4="Actuals","",DE366),DD371)</f>
        <v>-12352184.7447225</v>
      </c>
      <c r="DE413" s="13" t="n">
        <f aca="false">IF(DE$4="Actuals",IF(DF$4="Actuals","",DF366),DE371)</f>
        <v>-12327415.2642669</v>
      </c>
    </row>
    <row r="414" customFormat="false" ht="15" hidden="false" customHeight="true" outlineLevel="0" collapsed="false">
      <c r="A414" s="22" t="s">
        <v>224</v>
      </c>
      <c r="B414" s="13" t="str">
        <f aca="false">IF(OR(B412="",B413=""),"",B413-B412)</f>
        <v/>
      </c>
      <c r="C414" s="13" t="str">
        <f aca="false">IF(OR(C412="",C413=""),"",C413-C412)</f>
        <v/>
      </c>
      <c r="D414" s="13" t="str">
        <f aca="false">IF(OR(D412="",D413=""),"",D413-D412)</f>
        <v/>
      </c>
      <c r="E414" s="13" t="str">
        <f aca="false">IF(OR(E412="",E413=""),"",E413-E412)</f>
        <v/>
      </c>
      <c r="F414" s="13" t="str">
        <f aca="false">IF(OR(F412="",F413=""),"",F413-F412)</f>
        <v/>
      </c>
      <c r="G414" s="13" t="str">
        <f aca="false">IF(OR(G412="",G413=""),"",G413-G412)</f>
        <v/>
      </c>
      <c r="H414" s="13" t="str">
        <f aca="false">IF(OR(H412="",H413=""),"",H413-H412)</f>
        <v/>
      </c>
      <c r="I414" s="13" t="n">
        <f aca="false">IF(OR(I412="",I413=""),"",I413-I412)</f>
        <v>0</v>
      </c>
      <c r="J414" s="13" t="str">
        <f aca="false">IF(OR(J412="",J413=""),"",J413-J412)</f>
        <v/>
      </c>
      <c r="K414" s="13" t="str">
        <f aca="false">IF(OR(K412="",K413=""),"",K413-K412)</f>
        <v/>
      </c>
      <c r="L414" s="13" t="str">
        <f aca="false">IF(OR(L412="",L413=""),"",L413-L412)</f>
        <v/>
      </c>
      <c r="M414" s="13" t="str">
        <f aca="false">IF(OR(M412="",M413=""),"",M413-M412)</f>
        <v/>
      </c>
      <c r="N414" s="13" t="str">
        <f aca="false">IF(OR(N412="",N413=""),"",N413-N412)</f>
        <v/>
      </c>
      <c r="O414" s="13" t="str">
        <f aca="false">IF(OR(O412="",O413=""),"",O413-O412)</f>
        <v/>
      </c>
      <c r="P414" s="13" t="str">
        <f aca="false">IF(OR(P412="",P413=""),"",P413-P412)</f>
        <v/>
      </c>
      <c r="Q414" s="13" t="str">
        <f aca="false">IF(OR(Q412="",Q413=""),"",Q413-Q412)</f>
        <v/>
      </c>
      <c r="R414" s="13" t="str">
        <f aca="false">IF(OR(R412="",R413=""),"",R413-R412)</f>
        <v/>
      </c>
      <c r="S414" s="13" t="str">
        <f aca="false">IF(OR(S412="",S413=""),"",S413-S412)</f>
        <v/>
      </c>
      <c r="T414" s="13" t="str">
        <f aca="false">IF(OR(T412="",T413=""),"",T413-T412)</f>
        <v/>
      </c>
      <c r="U414" s="13" t="str">
        <f aca="false">IF(OR(U412="",U413=""),"",U413-U412)</f>
        <v/>
      </c>
      <c r="V414" s="13" t="str">
        <f aca="false">IF(OR(V412="",V413=""),"",V413-V412)</f>
        <v/>
      </c>
      <c r="W414" s="13" t="str">
        <f aca="false">IF(OR(W412="",W413=""),"",W413-W412)</f>
        <v/>
      </c>
      <c r="X414" s="13" t="str">
        <f aca="false">IF(OR(X412="",X413=""),"",X413-X412)</f>
        <v/>
      </c>
      <c r="Y414" s="13" t="str">
        <f aca="false">IF(OR(Y412="",Y413=""),"",Y413-Y412)</f>
        <v/>
      </c>
      <c r="Z414" s="13" t="str">
        <f aca="false">IF(OR(Z412="",Z413=""),"",Z413-Z412)</f>
        <v/>
      </c>
      <c r="AA414" s="13" t="str">
        <f aca="false">IF(OR(AA412="",AA413=""),"",AA413-AA412)</f>
        <v/>
      </c>
      <c r="AB414" s="13" t="str">
        <f aca="false">IF(OR(AB412="",AB413=""),"",AB413-AB412)</f>
        <v/>
      </c>
      <c r="AC414" s="13" t="str">
        <f aca="false">IF(OR(AC412="",AC413=""),"",AC413-AC412)</f>
        <v/>
      </c>
      <c r="AD414" s="13" t="str">
        <f aca="false">IF(OR(AD412="",AD413=""),"",AD413-AD412)</f>
        <v/>
      </c>
      <c r="AE414" s="13" t="str">
        <f aca="false">IF(OR(AE412="",AE413=""),"",AE413-AE412)</f>
        <v/>
      </c>
      <c r="AF414" s="13" t="str">
        <f aca="false">IF(OR(AF412="",AF413=""),"",AF413-AF412)</f>
        <v/>
      </c>
      <c r="AG414" s="13" t="str">
        <f aca="false">IF(OR(AG412="",AG413=""),"",AG413-AG412)</f>
        <v/>
      </c>
      <c r="AH414" s="13" t="str">
        <f aca="false">IF(OR(AH412="",AH413=""),"",AH413-AH412)</f>
        <v/>
      </c>
      <c r="AI414" s="13" t="str">
        <f aca="false">IF(OR(AI412="",AI413=""),"",AI413-AI412)</f>
        <v/>
      </c>
      <c r="AJ414" s="13" t="str">
        <f aca="false">IF(OR(AJ412="",AJ413=""),"",AJ413-AJ412)</f>
        <v/>
      </c>
      <c r="AK414" s="13" t="str">
        <f aca="false">IF(OR(AK412="",AK413=""),"",AK413-AK412)</f>
        <v/>
      </c>
      <c r="AL414" s="13" t="str">
        <f aca="false">IF(OR(AL412="",AL413=""),"",AL413-AL412)</f>
        <v/>
      </c>
      <c r="AM414" s="13" t="str">
        <f aca="false">IF(OR(AM412="",AM413=""),"",AM413-AM412)</f>
        <v/>
      </c>
      <c r="AN414" s="13" t="str">
        <f aca="false">IF(OR(AN412="",AN413=""),"",AN413-AN412)</f>
        <v/>
      </c>
      <c r="AO414" s="13" t="str">
        <f aca="false">IF(OR(AO412="",AO413=""),"",AO413-AO412)</f>
        <v/>
      </c>
      <c r="AP414" s="13" t="str">
        <f aca="false">IF(OR(AP412="",AP413=""),"",AP413-AP412)</f>
        <v/>
      </c>
      <c r="AQ414" s="13" t="str">
        <f aca="false">IF(OR(AQ412="",AQ413=""),"",AQ413-AQ412)</f>
        <v/>
      </c>
      <c r="AR414" s="13" t="str">
        <f aca="false">IF(OR(AR412="",AR413=""),"",AR413-AR412)</f>
        <v/>
      </c>
      <c r="AS414" s="13" t="str">
        <f aca="false">IF(OR(AS412="",AS413=""),"",AS413-AS412)</f>
        <v/>
      </c>
      <c r="AT414" s="13" t="str">
        <f aca="false">IF(OR(AT412="",AT413=""),"",AT413-AT412)</f>
        <v/>
      </c>
      <c r="AU414" s="13" t="str">
        <f aca="false">IF(OR(AU412="",AU413=""),"",AU413-AU412)</f>
        <v/>
      </c>
      <c r="AV414" s="13" t="str">
        <f aca="false">IF(OR(AV412="",AV413=""),"",AV413-AV412)</f>
        <v/>
      </c>
      <c r="AW414" s="13" t="str">
        <f aca="false">IF(OR(AW412="",AW413=""),"",AW413-AW412)</f>
        <v/>
      </c>
      <c r="AX414" s="13" t="str">
        <f aca="false">IF(OR(AX412="",AX413=""),"",AX413-AX412)</f>
        <v/>
      </c>
      <c r="AY414" s="13" t="str">
        <f aca="false">IF(OR(AY412="",AY413=""),"",AY413-AY412)</f>
        <v/>
      </c>
      <c r="AZ414" s="13" t="str">
        <f aca="false">IF(OR(AZ412="",AZ413=""),"",AZ413-AZ412)</f>
        <v/>
      </c>
      <c r="BA414" s="13" t="str">
        <f aca="false">IF(OR(BA412="",BA413=""),"",BA413-BA412)</f>
        <v/>
      </c>
      <c r="BB414" s="13" t="str">
        <f aca="false">IF(OR(BB412="",BB413=""),"",BB413-BB412)</f>
        <v/>
      </c>
      <c r="BC414" s="13" t="str">
        <f aca="false">IF(OR(BC412="",BC413=""),"",BC413-BC412)</f>
        <v/>
      </c>
      <c r="BD414" s="13" t="str">
        <f aca="false">IF(OR(BD412="",BD413=""),"",BD413-BD412)</f>
        <v/>
      </c>
      <c r="BE414" s="13" t="str">
        <f aca="false">IF(OR(BE412="",BE413=""),"",BE413-BE412)</f>
        <v/>
      </c>
      <c r="BF414" s="13" t="str">
        <f aca="false">IF(OR(BF412="",BF413=""),"",BF413-BF412)</f>
        <v/>
      </c>
      <c r="BG414" s="13" t="str">
        <f aca="false">IF(OR(BG412="",BG413=""),"",BG413-BG412)</f>
        <v/>
      </c>
      <c r="BH414" s="13" t="str">
        <f aca="false">IF(OR(BH412="",BH413=""),"",BH413-BH412)</f>
        <v/>
      </c>
      <c r="BI414" s="13" t="str">
        <f aca="false">IF(OR(BI412="",BI413=""),"",BI413-BI412)</f>
        <v/>
      </c>
      <c r="BJ414" s="13" t="str">
        <f aca="false">IF(OR(BJ412="",BJ413=""),"",BJ413-BJ412)</f>
        <v/>
      </c>
      <c r="BK414" s="13" t="str">
        <f aca="false">IF(OR(BK412="",BK413=""),"",BK413-BK412)</f>
        <v/>
      </c>
      <c r="BL414" s="13" t="str">
        <f aca="false">IF(OR(BL412="",BL413=""),"",BL413-BL412)</f>
        <v/>
      </c>
      <c r="BM414" s="13" t="str">
        <f aca="false">IF(OR(BM412="",BM413=""),"",BM413-BM412)</f>
        <v/>
      </c>
      <c r="BN414" s="13" t="str">
        <f aca="false">IF(OR(BN412="",BN413=""),"",BN413-BN412)</f>
        <v/>
      </c>
      <c r="BO414" s="13" t="str">
        <f aca="false">IF(OR(BO412="",BO413=""),"",BO413-BO412)</f>
        <v/>
      </c>
      <c r="BP414" s="13" t="str">
        <f aca="false">IF(OR(BP412="",BP413=""),"",BP413-BP412)</f>
        <v/>
      </c>
      <c r="BQ414" s="13" t="str">
        <f aca="false">IF(OR(BQ412="",BQ413=""),"",BQ413-BQ412)</f>
        <v/>
      </c>
      <c r="BR414" s="13" t="str">
        <f aca="false">IF(OR(BR412="",BR413=""),"",BR413-BR412)</f>
        <v/>
      </c>
      <c r="BS414" s="13" t="str">
        <f aca="false">IF(OR(BS412="",BS413=""),"",BS413-BS412)</f>
        <v/>
      </c>
      <c r="BT414" s="13" t="str">
        <f aca="false">IF(OR(BT412="",BT413=""),"",BT413-BT412)</f>
        <v/>
      </c>
      <c r="BU414" s="13" t="str">
        <f aca="false">IF(OR(BU412="",BU413=""),"",BU413-BU412)</f>
        <v/>
      </c>
      <c r="BV414" s="13" t="str">
        <f aca="false">IF(OR(BV412="",BV413=""),"",BV413-BV412)</f>
        <v/>
      </c>
      <c r="BW414" s="13" t="str">
        <f aca="false">IF(OR(BW412="",BW413=""),"",BW413-BW412)</f>
        <v/>
      </c>
      <c r="BX414" s="13" t="str">
        <f aca="false">IF(OR(BX412="",BX413=""),"",BX413-BX412)</f>
        <v/>
      </c>
      <c r="BY414" s="13" t="str">
        <f aca="false">IF(OR(BY412="",BY413=""),"",BY413-BY412)</f>
        <v/>
      </c>
      <c r="BZ414" s="13" t="str">
        <f aca="false">IF(OR(BZ412="",BZ413=""),"",BZ413-BZ412)</f>
        <v/>
      </c>
      <c r="CA414" s="13" t="str">
        <f aca="false">IF(OR(CA412="",CA413=""),"",CA413-CA412)</f>
        <v/>
      </c>
      <c r="CB414" s="13" t="str">
        <f aca="false">IF(OR(CB412="",CB413=""),"",CB413-CB412)</f>
        <v/>
      </c>
      <c r="CC414" s="13" t="str">
        <f aca="false">IF(OR(CC412="",CC413=""),"",CC413-CC412)</f>
        <v/>
      </c>
      <c r="CD414" s="13" t="str">
        <f aca="false">IF(OR(CD412="",CD413=""),"",CD413-CD412)</f>
        <v/>
      </c>
      <c r="CE414" s="13" t="str">
        <f aca="false">IF(OR(CE412="",CE413=""),"",CE413-CE412)</f>
        <v/>
      </c>
      <c r="CF414" s="13" t="str">
        <f aca="false">IF(OR(CF412="",CF413=""),"",CF413-CF412)</f>
        <v/>
      </c>
      <c r="CG414" s="13" t="str">
        <f aca="false">IF(OR(CG412="",CG413=""),"",CG413-CG412)</f>
        <v/>
      </c>
      <c r="CH414" s="13" t="str">
        <f aca="false">IF(OR(CH412="",CH413=""),"",CH413-CH412)</f>
        <v/>
      </c>
      <c r="CI414" s="13" t="str">
        <f aca="false">IF(OR(CI412="",CI413=""),"",CI413-CI412)</f>
        <v/>
      </c>
      <c r="CJ414" s="13" t="str">
        <f aca="false">IF(OR(CJ412="",CJ413=""),"",CJ413-CJ412)</f>
        <v/>
      </c>
      <c r="CK414" s="13" t="str">
        <f aca="false">IF(OR(CK412="",CK413=""),"",CK413-CK412)</f>
        <v/>
      </c>
      <c r="CL414" s="13" t="str">
        <f aca="false">IF(OR(CL412="",CL413=""),"",CL413-CL412)</f>
        <v/>
      </c>
      <c r="CM414" s="13" t="str">
        <f aca="false">IF(OR(CM412="",CM413=""),"",CM413-CM412)</f>
        <v/>
      </c>
      <c r="CN414" s="13" t="str">
        <f aca="false">IF(OR(CN412="",CN413=""),"",CN413-CN412)</f>
        <v/>
      </c>
      <c r="CO414" s="13" t="str">
        <f aca="false">IF(OR(CO412="",CO413=""),"",CO413-CO412)</f>
        <v/>
      </c>
      <c r="CP414" s="13" t="str">
        <f aca="false">IF(OR(CP412="",CP413=""),"",CP413-CP412)</f>
        <v/>
      </c>
      <c r="CQ414" s="13" t="str">
        <f aca="false">IF(OR(CQ412="",CQ413=""),"",CQ413-CQ412)</f>
        <v/>
      </c>
      <c r="CR414" s="13" t="str">
        <f aca="false">IF(OR(CR412="",CR413=""),"",CR413-CR412)</f>
        <v/>
      </c>
      <c r="CS414" s="13" t="str">
        <f aca="false">IF(OR(CS412="",CS413=""),"",CS413-CS412)</f>
        <v/>
      </c>
      <c r="CT414" s="13" t="str">
        <f aca="false">IF(OR(CT412="",CT413=""),"",CT413-CT412)</f>
        <v/>
      </c>
      <c r="CU414" s="13" t="str">
        <f aca="false">IF(OR(CU412="",CU413=""),"",CU413-CU412)</f>
        <v/>
      </c>
      <c r="CV414" s="13" t="str">
        <f aca="false">IF(OR(CV412="",CV413=""),"",CV413-CV412)</f>
        <v/>
      </c>
      <c r="CW414" s="13" t="str">
        <f aca="false">IF(OR(CW412="",CW413=""),"",CW413-CW412)</f>
        <v/>
      </c>
      <c r="CX414" s="13" t="str">
        <f aca="false">IF(OR(CX412="",CX413=""),"",CX413-CX412)</f>
        <v/>
      </c>
      <c r="CY414" s="13" t="str">
        <f aca="false">IF(OR(CY412="",CY413=""),"",CY413-CY412)</f>
        <v/>
      </c>
      <c r="CZ414" s="13" t="str">
        <f aca="false">IF(OR(CZ412="",CZ413=""),"",CZ413-CZ412)</f>
        <v/>
      </c>
      <c r="DA414" s="13" t="str">
        <f aca="false">IF(OR(DA412="",DA413=""),"",DA413-DA412)</f>
        <v/>
      </c>
      <c r="DB414" s="13" t="str">
        <f aca="false">IF(OR(DB412="",DB413=""),"",DB413-DB412)</f>
        <v/>
      </c>
      <c r="DC414" s="13" t="str">
        <f aca="false">IF(OR(DC412="",DC413=""),"",DC413-DC412)</f>
        <v/>
      </c>
      <c r="DD414" s="13" t="str">
        <f aca="false">IF(OR(DD412="",DD413=""),"",DD413-DD412)</f>
        <v/>
      </c>
      <c r="DE414" s="13" t="str">
        <f aca="false">IF(OR(DE412="",DE413=""),"",DE413-DE412)</f>
        <v/>
      </c>
    </row>
    <row r="415" customFormat="false" ht="15" hidden="false" customHeight="true" outlineLevel="0" collapsed="false">
      <c r="A415" s="22" t="s">
        <v>225</v>
      </c>
      <c r="B415" s="21" t="str">
        <f aca="false">IF(B414="","",IF(ABS(B414)&lt;1,"OK","CHECK"))</f>
        <v/>
      </c>
      <c r="C415" s="21" t="str">
        <f aca="false">IF(C414="","",IF(ABS(C414)&lt;1,"OK","CHECK"))</f>
        <v/>
      </c>
      <c r="D415" s="21" t="str">
        <f aca="false">IF(D414="","",IF(ABS(D414)&lt;1,"OK","CHECK"))</f>
        <v/>
      </c>
      <c r="E415" s="21" t="str">
        <f aca="false">IF(E414="","",IF(ABS(E414)&lt;1,"OK","CHECK"))</f>
        <v/>
      </c>
      <c r="F415" s="21" t="str">
        <f aca="false">IF(F414="","",IF(ABS(F414)&lt;1,"OK","CHECK"))</f>
        <v/>
      </c>
      <c r="G415" s="21" t="str">
        <f aca="false">IF(G414="","",IF(ABS(G414)&lt;1,"OK","CHECK"))</f>
        <v/>
      </c>
      <c r="H415" s="21" t="str">
        <f aca="false">IF(H414="","",IF(ABS(H414)&lt;1,"OK","CHECK"))</f>
        <v/>
      </c>
      <c r="I415" s="21" t="str">
        <f aca="false">IF(I414="","",IF(ABS(I414)&lt;1,"OK","CHECK"))</f>
        <v>OK</v>
      </c>
      <c r="J415" s="21" t="str">
        <f aca="false">IF(J414="","",IF(ABS(J414)&lt;1,"OK","CHECK"))</f>
        <v/>
      </c>
      <c r="K415" s="21" t="str">
        <f aca="false">IF(K414="","",IF(ABS(K414)&lt;1,"OK","CHECK"))</f>
        <v/>
      </c>
      <c r="L415" s="21" t="str">
        <f aca="false">IF(L414="","",IF(ABS(L414)&lt;1,"OK","CHECK"))</f>
        <v/>
      </c>
      <c r="M415" s="21" t="str">
        <f aca="false">IF(M414="","",IF(ABS(M414)&lt;1,"OK","CHECK"))</f>
        <v/>
      </c>
      <c r="N415" s="21" t="str">
        <f aca="false">IF(N414="","",IF(ABS(N414)&lt;1,"OK","CHECK"))</f>
        <v/>
      </c>
      <c r="O415" s="21" t="str">
        <f aca="false">IF(O414="","",IF(ABS(O414)&lt;1,"OK","CHECK"))</f>
        <v/>
      </c>
      <c r="P415" s="21" t="str">
        <f aca="false">IF(P414="","",IF(ABS(P414)&lt;1,"OK","CHECK"))</f>
        <v/>
      </c>
      <c r="Q415" s="21" t="str">
        <f aca="false">IF(Q414="","",IF(ABS(Q414)&lt;1,"OK","CHECK"))</f>
        <v/>
      </c>
      <c r="R415" s="21" t="str">
        <f aca="false">IF(R414="","",IF(ABS(R414)&lt;1,"OK","CHECK"))</f>
        <v/>
      </c>
      <c r="S415" s="21" t="str">
        <f aca="false">IF(S414="","",IF(ABS(S414)&lt;1,"OK","CHECK"))</f>
        <v/>
      </c>
      <c r="T415" s="21" t="str">
        <f aca="false">IF(T414="","",IF(ABS(T414)&lt;1,"OK","CHECK"))</f>
        <v/>
      </c>
      <c r="U415" s="21" t="str">
        <f aca="false">IF(U414="","",IF(ABS(U414)&lt;1,"OK","CHECK"))</f>
        <v/>
      </c>
      <c r="V415" s="21" t="str">
        <f aca="false">IF(V414="","",IF(ABS(V414)&lt;1,"OK","CHECK"))</f>
        <v/>
      </c>
      <c r="W415" s="21" t="str">
        <f aca="false">IF(W414="","",IF(ABS(W414)&lt;1,"OK","CHECK"))</f>
        <v/>
      </c>
      <c r="X415" s="21" t="str">
        <f aca="false">IF(X414="","",IF(ABS(X414)&lt;1,"OK","CHECK"))</f>
        <v/>
      </c>
      <c r="Y415" s="21" t="str">
        <f aca="false">IF(Y414="","",IF(ABS(Y414)&lt;1,"OK","CHECK"))</f>
        <v/>
      </c>
      <c r="Z415" s="21" t="str">
        <f aca="false">IF(Z414="","",IF(ABS(Z414)&lt;1,"OK","CHECK"))</f>
        <v/>
      </c>
      <c r="AA415" s="21" t="str">
        <f aca="false">IF(AA414="","",IF(ABS(AA414)&lt;1,"OK","CHECK"))</f>
        <v/>
      </c>
      <c r="AB415" s="21" t="str">
        <f aca="false">IF(AB414="","",IF(ABS(AB414)&lt;1,"OK","CHECK"))</f>
        <v/>
      </c>
      <c r="AC415" s="21" t="str">
        <f aca="false">IF(AC414="","",IF(ABS(AC414)&lt;1,"OK","CHECK"))</f>
        <v/>
      </c>
      <c r="AD415" s="21" t="str">
        <f aca="false">IF(AD414="","",IF(ABS(AD414)&lt;1,"OK","CHECK"))</f>
        <v/>
      </c>
      <c r="AE415" s="21" t="str">
        <f aca="false">IF(AE414="","",IF(ABS(AE414)&lt;1,"OK","CHECK"))</f>
        <v/>
      </c>
      <c r="AF415" s="21" t="str">
        <f aca="false">IF(AF414="","",IF(ABS(AF414)&lt;1,"OK","CHECK"))</f>
        <v/>
      </c>
      <c r="AG415" s="21" t="str">
        <f aca="false">IF(AG414="","",IF(ABS(AG414)&lt;1,"OK","CHECK"))</f>
        <v/>
      </c>
      <c r="AH415" s="21" t="str">
        <f aca="false">IF(AH414="","",IF(ABS(AH414)&lt;1,"OK","CHECK"))</f>
        <v/>
      </c>
      <c r="AI415" s="21" t="str">
        <f aca="false">IF(AI414="","",IF(ABS(AI414)&lt;1,"OK","CHECK"))</f>
        <v/>
      </c>
      <c r="AJ415" s="21" t="str">
        <f aca="false">IF(AJ414="","",IF(ABS(AJ414)&lt;1,"OK","CHECK"))</f>
        <v/>
      </c>
      <c r="AK415" s="21" t="str">
        <f aca="false">IF(AK414="","",IF(ABS(AK414)&lt;1,"OK","CHECK"))</f>
        <v/>
      </c>
      <c r="AL415" s="21" t="str">
        <f aca="false">IF(AL414="","",IF(ABS(AL414)&lt;1,"OK","CHECK"))</f>
        <v/>
      </c>
      <c r="AM415" s="21" t="str">
        <f aca="false">IF(AM414="","",IF(ABS(AM414)&lt;1,"OK","CHECK"))</f>
        <v/>
      </c>
      <c r="AN415" s="21" t="str">
        <f aca="false">IF(AN414="","",IF(ABS(AN414)&lt;1,"OK","CHECK"))</f>
        <v/>
      </c>
      <c r="AO415" s="21" t="str">
        <f aca="false">IF(AO414="","",IF(ABS(AO414)&lt;1,"OK","CHECK"))</f>
        <v/>
      </c>
      <c r="AP415" s="21" t="str">
        <f aca="false">IF(AP414="","",IF(ABS(AP414)&lt;1,"OK","CHECK"))</f>
        <v/>
      </c>
      <c r="AQ415" s="21" t="str">
        <f aca="false">IF(AQ414="","",IF(ABS(AQ414)&lt;1,"OK","CHECK"))</f>
        <v/>
      </c>
      <c r="AR415" s="21" t="str">
        <f aca="false">IF(AR414="","",IF(ABS(AR414)&lt;1,"OK","CHECK"))</f>
        <v/>
      </c>
      <c r="AS415" s="21" t="str">
        <f aca="false">IF(AS414="","",IF(ABS(AS414)&lt;1,"OK","CHECK"))</f>
        <v/>
      </c>
      <c r="AT415" s="21" t="str">
        <f aca="false">IF(AT414="","",IF(ABS(AT414)&lt;1,"OK","CHECK"))</f>
        <v/>
      </c>
      <c r="AU415" s="21" t="str">
        <f aca="false">IF(AU414="","",IF(ABS(AU414)&lt;1,"OK","CHECK"))</f>
        <v/>
      </c>
      <c r="AV415" s="21" t="str">
        <f aca="false">IF(AV414="","",IF(ABS(AV414)&lt;1,"OK","CHECK"))</f>
        <v/>
      </c>
      <c r="AW415" s="21" t="str">
        <f aca="false">IF(AW414="","",IF(ABS(AW414)&lt;1,"OK","CHECK"))</f>
        <v/>
      </c>
      <c r="AX415" s="21" t="str">
        <f aca="false">IF(AX414="","",IF(ABS(AX414)&lt;1,"OK","CHECK"))</f>
        <v/>
      </c>
      <c r="AY415" s="21" t="str">
        <f aca="false">IF(AY414="","",IF(ABS(AY414)&lt;1,"OK","CHECK"))</f>
        <v/>
      </c>
      <c r="AZ415" s="21" t="str">
        <f aca="false">IF(AZ414="","",IF(ABS(AZ414)&lt;1,"OK","CHECK"))</f>
        <v/>
      </c>
      <c r="BA415" s="21" t="str">
        <f aca="false">IF(BA414="","",IF(ABS(BA414)&lt;1,"OK","CHECK"))</f>
        <v/>
      </c>
      <c r="BB415" s="21" t="str">
        <f aca="false">IF(BB414="","",IF(ABS(BB414)&lt;1,"OK","CHECK"))</f>
        <v/>
      </c>
      <c r="BC415" s="21" t="str">
        <f aca="false">IF(BC414="","",IF(ABS(BC414)&lt;1,"OK","CHECK"))</f>
        <v/>
      </c>
      <c r="BD415" s="21" t="str">
        <f aca="false">IF(BD414="","",IF(ABS(BD414)&lt;1,"OK","CHECK"))</f>
        <v/>
      </c>
      <c r="BE415" s="21" t="str">
        <f aca="false">IF(BE414="","",IF(ABS(BE414)&lt;1,"OK","CHECK"))</f>
        <v/>
      </c>
      <c r="BF415" s="21" t="str">
        <f aca="false">IF(BF414="","",IF(ABS(BF414)&lt;1,"OK","CHECK"))</f>
        <v/>
      </c>
      <c r="BG415" s="21" t="str">
        <f aca="false">IF(BG414="","",IF(ABS(BG414)&lt;1,"OK","CHECK"))</f>
        <v/>
      </c>
      <c r="BH415" s="21" t="str">
        <f aca="false">IF(BH414="","",IF(ABS(BH414)&lt;1,"OK","CHECK"))</f>
        <v/>
      </c>
      <c r="BI415" s="21" t="str">
        <f aca="false">IF(BI414="","",IF(ABS(BI414)&lt;1,"OK","CHECK"))</f>
        <v/>
      </c>
      <c r="BJ415" s="21" t="str">
        <f aca="false">IF(BJ414="","",IF(ABS(BJ414)&lt;1,"OK","CHECK"))</f>
        <v/>
      </c>
      <c r="BK415" s="21" t="str">
        <f aca="false">IF(BK414="","",IF(ABS(BK414)&lt;1,"OK","CHECK"))</f>
        <v/>
      </c>
      <c r="BL415" s="21" t="str">
        <f aca="false">IF(BL414="","",IF(ABS(BL414)&lt;1,"OK","CHECK"))</f>
        <v/>
      </c>
      <c r="BM415" s="21" t="str">
        <f aca="false">IF(BM414="","",IF(ABS(BM414)&lt;1,"OK","CHECK"))</f>
        <v/>
      </c>
      <c r="BN415" s="21" t="str">
        <f aca="false">IF(BN414="","",IF(ABS(BN414)&lt;1,"OK","CHECK"))</f>
        <v/>
      </c>
      <c r="BO415" s="21" t="str">
        <f aca="false">IF(BO414="","",IF(ABS(BO414)&lt;1,"OK","CHECK"))</f>
        <v/>
      </c>
      <c r="BP415" s="21" t="str">
        <f aca="false">IF(BP414="","",IF(ABS(BP414)&lt;1,"OK","CHECK"))</f>
        <v/>
      </c>
      <c r="BQ415" s="21" t="str">
        <f aca="false">IF(BQ414="","",IF(ABS(BQ414)&lt;1,"OK","CHECK"))</f>
        <v/>
      </c>
      <c r="BR415" s="21" t="str">
        <f aca="false">IF(BR414="","",IF(ABS(BR414)&lt;1,"OK","CHECK"))</f>
        <v/>
      </c>
      <c r="BS415" s="21" t="str">
        <f aca="false">IF(BS414="","",IF(ABS(BS414)&lt;1,"OK","CHECK"))</f>
        <v/>
      </c>
      <c r="BT415" s="21" t="str">
        <f aca="false">IF(BT414="","",IF(ABS(BT414)&lt;1,"OK","CHECK"))</f>
        <v/>
      </c>
      <c r="BU415" s="21" t="str">
        <f aca="false">IF(BU414="","",IF(ABS(BU414)&lt;1,"OK","CHECK"))</f>
        <v/>
      </c>
      <c r="BV415" s="21" t="str">
        <f aca="false">IF(BV414="","",IF(ABS(BV414)&lt;1,"OK","CHECK"))</f>
        <v/>
      </c>
      <c r="BW415" s="21" t="str">
        <f aca="false">IF(BW414="","",IF(ABS(BW414)&lt;1,"OK","CHECK"))</f>
        <v/>
      </c>
      <c r="BX415" s="21" t="str">
        <f aca="false">IF(BX414="","",IF(ABS(BX414)&lt;1,"OK","CHECK"))</f>
        <v/>
      </c>
      <c r="BY415" s="21" t="str">
        <f aca="false">IF(BY414="","",IF(ABS(BY414)&lt;1,"OK","CHECK"))</f>
        <v/>
      </c>
      <c r="BZ415" s="21" t="str">
        <f aca="false">IF(BZ414="","",IF(ABS(BZ414)&lt;1,"OK","CHECK"))</f>
        <v/>
      </c>
      <c r="CA415" s="21" t="str">
        <f aca="false">IF(CA414="","",IF(ABS(CA414)&lt;1,"OK","CHECK"))</f>
        <v/>
      </c>
      <c r="CB415" s="21" t="str">
        <f aca="false">IF(CB414="","",IF(ABS(CB414)&lt;1,"OK","CHECK"))</f>
        <v/>
      </c>
      <c r="CC415" s="21" t="str">
        <f aca="false">IF(CC414="","",IF(ABS(CC414)&lt;1,"OK","CHECK"))</f>
        <v/>
      </c>
      <c r="CD415" s="21" t="str">
        <f aca="false">IF(CD414="","",IF(ABS(CD414)&lt;1,"OK","CHECK"))</f>
        <v/>
      </c>
      <c r="CE415" s="21" t="str">
        <f aca="false">IF(CE414="","",IF(ABS(CE414)&lt;1,"OK","CHECK"))</f>
        <v/>
      </c>
      <c r="CF415" s="21" t="str">
        <f aca="false">IF(CF414="","",IF(ABS(CF414)&lt;1,"OK","CHECK"))</f>
        <v/>
      </c>
      <c r="CG415" s="21" t="str">
        <f aca="false">IF(CG414="","",IF(ABS(CG414)&lt;1,"OK","CHECK"))</f>
        <v/>
      </c>
      <c r="CH415" s="21" t="str">
        <f aca="false">IF(CH414="","",IF(ABS(CH414)&lt;1,"OK","CHECK"))</f>
        <v/>
      </c>
      <c r="CI415" s="21" t="str">
        <f aca="false">IF(CI414="","",IF(ABS(CI414)&lt;1,"OK","CHECK"))</f>
        <v/>
      </c>
      <c r="CJ415" s="21" t="str">
        <f aca="false">IF(CJ414="","",IF(ABS(CJ414)&lt;1,"OK","CHECK"))</f>
        <v/>
      </c>
      <c r="CK415" s="21" t="str">
        <f aca="false">IF(CK414="","",IF(ABS(CK414)&lt;1,"OK","CHECK"))</f>
        <v/>
      </c>
      <c r="CL415" s="21" t="str">
        <f aca="false">IF(CL414="","",IF(ABS(CL414)&lt;1,"OK","CHECK"))</f>
        <v/>
      </c>
      <c r="CM415" s="21" t="str">
        <f aca="false">IF(CM414="","",IF(ABS(CM414)&lt;1,"OK","CHECK"))</f>
        <v/>
      </c>
      <c r="CN415" s="21" t="str">
        <f aca="false">IF(CN414="","",IF(ABS(CN414)&lt;1,"OK","CHECK"))</f>
        <v/>
      </c>
      <c r="CO415" s="21" t="str">
        <f aca="false">IF(CO414="","",IF(ABS(CO414)&lt;1,"OK","CHECK"))</f>
        <v/>
      </c>
      <c r="CP415" s="21" t="str">
        <f aca="false">IF(CP414="","",IF(ABS(CP414)&lt;1,"OK","CHECK"))</f>
        <v/>
      </c>
      <c r="CQ415" s="21" t="str">
        <f aca="false">IF(CQ414="","",IF(ABS(CQ414)&lt;1,"OK","CHECK"))</f>
        <v/>
      </c>
      <c r="CR415" s="21" t="str">
        <f aca="false">IF(CR414="","",IF(ABS(CR414)&lt;1,"OK","CHECK"))</f>
        <v/>
      </c>
      <c r="CS415" s="21" t="str">
        <f aca="false">IF(CS414="","",IF(ABS(CS414)&lt;1,"OK","CHECK"))</f>
        <v/>
      </c>
      <c r="CT415" s="21" t="str">
        <f aca="false">IF(CT414="","",IF(ABS(CT414)&lt;1,"OK","CHECK"))</f>
        <v/>
      </c>
      <c r="CU415" s="21" t="str">
        <f aca="false">IF(CU414="","",IF(ABS(CU414)&lt;1,"OK","CHECK"))</f>
        <v/>
      </c>
      <c r="CV415" s="21" t="str">
        <f aca="false">IF(CV414="","",IF(ABS(CV414)&lt;1,"OK","CHECK"))</f>
        <v/>
      </c>
      <c r="CW415" s="21" t="str">
        <f aca="false">IF(CW414="","",IF(ABS(CW414)&lt;1,"OK","CHECK"))</f>
        <v/>
      </c>
      <c r="CX415" s="21" t="str">
        <f aca="false">IF(CX414="","",IF(ABS(CX414)&lt;1,"OK","CHECK"))</f>
        <v/>
      </c>
      <c r="CY415" s="21" t="str">
        <f aca="false">IF(CY414="","",IF(ABS(CY414)&lt;1,"OK","CHECK"))</f>
        <v/>
      </c>
      <c r="CZ415" s="21" t="str">
        <f aca="false">IF(CZ414="","",IF(ABS(CZ414)&lt;1,"OK","CHECK"))</f>
        <v/>
      </c>
      <c r="DA415" s="21" t="str">
        <f aca="false">IF(DA414="","",IF(ABS(DA414)&lt;1,"OK","CHECK"))</f>
        <v/>
      </c>
      <c r="DB415" s="21" t="str">
        <f aca="false">IF(DB414="","",IF(ABS(DB414)&lt;1,"OK","CHECK"))</f>
        <v/>
      </c>
      <c r="DC415" s="21" t="str">
        <f aca="false">IF(DC414="","",IF(ABS(DC414)&lt;1,"OK","CHECK"))</f>
        <v/>
      </c>
      <c r="DD415" s="21" t="str">
        <f aca="false">IF(DD414="","",IF(ABS(DD414)&lt;1,"OK","CHECK"))</f>
        <v/>
      </c>
      <c r="DE415" s="21" t="str">
        <f aca="false">IF(DE414="","",IF(ABS(DE414)&lt;1,"OK","CHECK"))</f>
        <v/>
      </c>
    </row>
    <row r="416" customFormat="false" ht="15" hidden="false" customHeight="true" outlineLevel="0" collapsed="false">
      <c r="A416" s="22" t="s">
        <v>226</v>
      </c>
      <c r="B416" s="13"/>
      <c r="C416" s="13"/>
      <c r="D416" s="13"/>
      <c r="E416" s="13"/>
      <c r="F416" s="13"/>
      <c r="G416" s="13"/>
      <c r="H416" s="73" t="n">
        <v>133317</v>
      </c>
      <c r="I416" s="73" t="n">
        <v>-22279</v>
      </c>
      <c r="J416" s="13" t="n">
        <v>512855</v>
      </c>
      <c r="K416" s="13"/>
      <c r="L416" s="13"/>
      <c r="M416" s="13"/>
      <c r="N416" s="13"/>
      <c r="O416" s="13"/>
      <c r="P416" s="13"/>
      <c r="Q416" s="13"/>
      <c r="R416" s="13"/>
      <c r="S416" s="13"/>
      <c r="T416" s="13"/>
      <c r="U416" s="13"/>
      <c r="V416" s="13"/>
      <c r="W416" s="13"/>
      <c r="X416" s="13"/>
      <c r="Y416" s="13"/>
      <c r="Z416" s="13"/>
      <c r="AA416" s="13"/>
      <c r="AB416" s="13"/>
      <c r="AC416" s="13"/>
      <c r="AD416" s="13"/>
      <c r="AE416" s="13"/>
      <c r="AF416" s="13"/>
      <c r="AG416" s="13"/>
      <c r="AH416" s="13"/>
      <c r="AI416" s="13"/>
      <c r="AJ416" s="13"/>
      <c r="AK416" s="13"/>
      <c r="AL416" s="13"/>
      <c r="AM416" s="13"/>
      <c r="AN416" s="13"/>
      <c r="AO416" s="13"/>
      <c r="AP416" s="13"/>
      <c r="AQ416" s="13"/>
      <c r="AR416" s="13"/>
      <c r="AS416" s="13"/>
      <c r="AT416" s="13"/>
      <c r="AU416" s="13"/>
      <c r="AV416" s="13"/>
      <c r="AW416" s="13"/>
      <c r="AX416" s="13"/>
      <c r="AY416" s="13"/>
      <c r="AZ416" s="13"/>
      <c r="BA416" s="13"/>
      <c r="BB416" s="13"/>
      <c r="BC416" s="13"/>
      <c r="BD416" s="13"/>
      <c r="BE416" s="13"/>
      <c r="BF416" s="13"/>
      <c r="BG416" s="13"/>
      <c r="BH416" s="13"/>
      <c r="BI416" s="13"/>
      <c r="BJ416" s="13"/>
      <c r="BK416" s="13"/>
      <c r="BL416" s="13"/>
      <c r="BM416" s="13"/>
      <c r="BN416" s="13"/>
      <c r="BO416" s="13"/>
      <c r="BP416" s="13"/>
      <c r="BQ416" s="13"/>
      <c r="BR416" s="13"/>
      <c r="BS416" s="13"/>
      <c r="BT416" s="13"/>
      <c r="BU416" s="13"/>
      <c r="BV416" s="13"/>
      <c r="BW416" s="13"/>
      <c r="BX416" s="13"/>
      <c r="BY416" s="13"/>
      <c r="BZ416" s="13"/>
      <c r="CA416" s="13"/>
      <c r="CB416" s="13"/>
      <c r="CC416" s="13"/>
      <c r="CD416" s="13"/>
      <c r="CE416" s="13"/>
      <c r="CF416" s="13"/>
      <c r="CG416" s="13"/>
      <c r="CH416" s="13"/>
      <c r="CI416" s="13"/>
      <c r="CJ416" s="13"/>
      <c r="CK416" s="13"/>
      <c r="CL416" s="13"/>
      <c r="CM416" s="13"/>
      <c r="CN416" s="13"/>
      <c r="CO416" s="13"/>
      <c r="CP416" s="13"/>
      <c r="CQ416" s="13"/>
      <c r="CR416" s="13"/>
      <c r="CS416" s="13"/>
      <c r="CT416" s="13"/>
      <c r="CU416" s="13"/>
      <c r="CV416" s="13"/>
      <c r="CW416" s="13"/>
      <c r="CX416" s="13"/>
      <c r="CY416" s="13"/>
      <c r="CZ416" s="13"/>
      <c r="DA416" s="13"/>
      <c r="DB416" s="13"/>
      <c r="DC416" s="13"/>
      <c r="DD416" s="13"/>
      <c r="DE416" s="13"/>
    </row>
    <row r="417" customFormat="false" ht="15" hidden="false" customHeight="true" outlineLevel="0" collapsed="false">
      <c r="A417" s="22" t="s">
        <v>227</v>
      </c>
      <c r="B417" s="13" t="str">
        <f aca="false">IF(OR(B412="",B416=""),"",B416-B412)</f>
        <v/>
      </c>
      <c r="C417" s="13" t="str">
        <f aca="false">IF(OR(C412="",C416=""),"",C416-C412)</f>
        <v/>
      </c>
      <c r="D417" s="13" t="str">
        <f aca="false">IF(OR(D412="",D416=""),"",D416-D412)</f>
        <v/>
      </c>
      <c r="E417" s="13" t="str">
        <f aca="false">IF(OR(E412="",E416=""),"",E416-E412)</f>
        <v/>
      </c>
      <c r="F417" s="13" t="str">
        <f aca="false">IF(OR(F412="",F416=""),"",F416-F412)</f>
        <v/>
      </c>
      <c r="G417" s="13" t="str">
        <f aca="false">IF(OR(G412="",G416=""),"",G416-G412)</f>
        <v/>
      </c>
      <c r="H417" s="13" t="n">
        <f aca="false">IF(OR(H412="",H416=""),"",H416-H412)</f>
        <v>11094</v>
      </c>
      <c r="I417" s="13" t="n">
        <f aca="false">IF(OR(I412="",I416=""),"",I416-I412)</f>
        <v>-680469</v>
      </c>
      <c r="J417" s="13" t="str">
        <f aca="false">IF(OR(J412="",J416=""),"",J416-J412)</f>
        <v/>
      </c>
      <c r="K417" s="13" t="str">
        <f aca="false">IF(OR(K412="",K416=""),"",K416-K412)</f>
        <v/>
      </c>
      <c r="L417" s="13" t="str">
        <f aca="false">IF(OR(L412="",L416=""),"",L416-L412)</f>
        <v/>
      </c>
      <c r="M417" s="13" t="str">
        <f aca="false">IF(OR(M412="",M416=""),"",M416-M412)</f>
        <v/>
      </c>
      <c r="N417" s="13" t="str">
        <f aca="false">IF(OR(N412="",N416=""),"",N416-N412)</f>
        <v/>
      </c>
      <c r="O417" s="13" t="str">
        <f aca="false">IF(OR(O412="",O416=""),"",O416-O412)</f>
        <v/>
      </c>
      <c r="P417" s="13" t="str">
        <f aca="false">IF(OR(P412="",P416=""),"",P416-P412)</f>
        <v/>
      </c>
      <c r="Q417" s="13" t="str">
        <f aca="false">IF(OR(Q412="",Q416=""),"",Q416-Q412)</f>
        <v/>
      </c>
      <c r="R417" s="13" t="str">
        <f aca="false">IF(OR(R412="",R416=""),"",R416-R412)</f>
        <v/>
      </c>
      <c r="S417" s="13" t="str">
        <f aca="false">IF(OR(S412="",S416=""),"",S416-S412)</f>
        <v/>
      </c>
      <c r="T417" s="13" t="str">
        <f aca="false">IF(OR(T412="",T416=""),"",T416-T412)</f>
        <v/>
      </c>
      <c r="U417" s="13" t="str">
        <f aca="false">IF(OR(U412="",U416=""),"",U416-U412)</f>
        <v/>
      </c>
      <c r="V417" s="13" t="str">
        <f aca="false">IF(OR(V412="",V416=""),"",V416-V412)</f>
        <v/>
      </c>
      <c r="W417" s="13" t="str">
        <f aca="false">IF(OR(W412="",W416=""),"",W416-W412)</f>
        <v/>
      </c>
      <c r="X417" s="13" t="str">
        <f aca="false">IF(OR(X412="",X416=""),"",X416-X412)</f>
        <v/>
      </c>
      <c r="Y417" s="13" t="str">
        <f aca="false">IF(OR(Y412="",Y416=""),"",Y416-Y412)</f>
        <v/>
      </c>
      <c r="Z417" s="13" t="str">
        <f aca="false">IF(OR(Z412="",Z416=""),"",Z416-Z412)</f>
        <v/>
      </c>
      <c r="AA417" s="13" t="str">
        <f aca="false">IF(OR(AA412="",AA416=""),"",AA416-AA412)</f>
        <v/>
      </c>
      <c r="AB417" s="13" t="str">
        <f aca="false">IF(OR(AB412="",AB416=""),"",AB416-AB412)</f>
        <v/>
      </c>
      <c r="AC417" s="13" t="str">
        <f aca="false">IF(OR(AC412="",AC416=""),"",AC416-AC412)</f>
        <v/>
      </c>
      <c r="AD417" s="13" t="str">
        <f aca="false">IF(OR(AD412="",AD416=""),"",AD416-AD412)</f>
        <v/>
      </c>
      <c r="AE417" s="13" t="str">
        <f aca="false">IF(OR(AE412="",AE416=""),"",AE416-AE412)</f>
        <v/>
      </c>
      <c r="AF417" s="13" t="str">
        <f aca="false">IF(OR(AF412="",AF416=""),"",AF416-AF412)</f>
        <v/>
      </c>
      <c r="AG417" s="13" t="str">
        <f aca="false">IF(OR(AG412="",AG416=""),"",AG416-AG412)</f>
        <v/>
      </c>
      <c r="AH417" s="13" t="str">
        <f aca="false">IF(OR(AH412="",AH416=""),"",AH416-AH412)</f>
        <v/>
      </c>
      <c r="AI417" s="13" t="str">
        <f aca="false">IF(OR(AI412="",AI416=""),"",AI416-AI412)</f>
        <v/>
      </c>
      <c r="AJ417" s="13" t="str">
        <f aca="false">IF(OR(AJ412="",AJ416=""),"",AJ416-AJ412)</f>
        <v/>
      </c>
      <c r="AK417" s="13" t="str">
        <f aca="false">IF(OR(AK412="",AK416=""),"",AK416-AK412)</f>
        <v/>
      </c>
      <c r="AL417" s="13" t="str">
        <f aca="false">IF(OR(AL412="",AL416=""),"",AL416-AL412)</f>
        <v/>
      </c>
      <c r="AM417" s="13" t="str">
        <f aca="false">IF(OR(AM412="",AM416=""),"",AM416-AM412)</f>
        <v/>
      </c>
      <c r="AN417" s="13" t="str">
        <f aca="false">IF(OR(AN412="",AN416=""),"",AN416-AN412)</f>
        <v/>
      </c>
      <c r="AO417" s="13" t="str">
        <f aca="false">IF(OR(AO412="",AO416=""),"",AO416-AO412)</f>
        <v/>
      </c>
      <c r="AP417" s="13" t="str">
        <f aca="false">IF(OR(AP412="",AP416=""),"",AP416-AP412)</f>
        <v/>
      </c>
      <c r="AQ417" s="13" t="str">
        <f aca="false">IF(OR(AQ412="",AQ416=""),"",AQ416-AQ412)</f>
        <v/>
      </c>
      <c r="AR417" s="13" t="str">
        <f aca="false">IF(OR(AR412="",AR416=""),"",AR416-AR412)</f>
        <v/>
      </c>
      <c r="AS417" s="13" t="str">
        <f aca="false">IF(OR(AS412="",AS416=""),"",AS416-AS412)</f>
        <v/>
      </c>
      <c r="AT417" s="13" t="str">
        <f aca="false">IF(OR(AT412="",AT416=""),"",AT416-AT412)</f>
        <v/>
      </c>
      <c r="AU417" s="13" t="str">
        <f aca="false">IF(OR(AU412="",AU416=""),"",AU416-AU412)</f>
        <v/>
      </c>
      <c r="AV417" s="13" t="str">
        <f aca="false">IF(OR(AV412="",AV416=""),"",AV416-AV412)</f>
        <v/>
      </c>
      <c r="AW417" s="13" t="str">
        <f aca="false">IF(OR(AW412="",AW416=""),"",AW416-AW412)</f>
        <v/>
      </c>
      <c r="AX417" s="13" t="str">
        <f aca="false">IF(OR(AX412="",AX416=""),"",AX416-AX412)</f>
        <v/>
      </c>
      <c r="AY417" s="13" t="str">
        <f aca="false">IF(OR(AY412="",AY416=""),"",AY416-AY412)</f>
        <v/>
      </c>
      <c r="AZ417" s="13" t="str">
        <f aca="false">IF(OR(AZ412="",AZ416=""),"",AZ416-AZ412)</f>
        <v/>
      </c>
      <c r="BA417" s="13" t="str">
        <f aca="false">IF(OR(BA412="",BA416=""),"",BA416-BA412)</f>
        <v/>
      </c>
      <c r="BB417" s="13" t="str">
        <f aca="false">IF(OR(BB412="",BB416=""),"",BB416-BB412)</f>
        <v/>
      </c>
      <c r="BC417" s="13" t="str">
        <f aca="false">IF(OR(BC412="",BC416=""),"",BC416-BC412)</f>
        <v/>
      </c>
      <c r="BD417" s="13" t="str">
        <f aca="false">IF(OR(BD412="",BD416=""),"",BD416-BD412)</f>
        <v/>
      </c>
      <c r="BE417" s="13" t="str">
        <f aca="false">IF(OR(BE412="",BE416=""),"",BE416-BE412)</f>
        <v/>
      </c>
      <c r="BF417" s="13" t="str">
        <f aca="false">IF(OR(BF412="",BF416=""),"",BF416-BF412)</f>
        <v/>
      </c>
      <c r="BG417" s="13" t="str">
        <f aca="false">IF(OR(BG412="",BG416=""),"",BG416-BG412)</f>
        <v/>
      </c>
      <c r="BH417" s="13" t="str">
        <f aca="false">IF(OR(BH412="",BH416=""),"",BH416-BH412)</f>
        <v/>
      </c>
      <c r="BI417" s="13" t="str">
        <f aca="false">IF(OR(BI412="",BI416=""),"",BI416-BI412)</f>
        <v/>
      </c>
      <c r="BJ417" s="13" t="str">
        <f aca="false">IF(OR(BJ412="",BJ416=""),"",BJ416-BJ412)</f>
        <v/>
      </c>
      <c r="BK417" s="13" t="str">
        <f aca="false">IF(OR(BK412="",BK416=""),"",BK416-BK412)</f>
        <v/>
      </c>
      <c r="BL417" s="13" t="str">
        <f aca="false">IF(OR(BL412="",BL416=""),"",BL416-BL412)</f>
        <v/>
      </c>
      <c r="BM417" s="13" t="str">
        <f aca="false">IF(OR(BM412="",BM416=""),"",BM416-BM412)</f>
        <v/>
      </c>
      <c r="BN417" s="13" t="str">
        <f aca="false">IF(OR(BN412="",BN416=""),"",BN416-BN412)</f>
        <v/>
      </c>
      <c r="BO417" s="13" t="str">
        <f aca="false">IF(OR(BO412="",BO416=""),"",BO416-BO412)</f>
        <v/>
      </c>
      <c r="BP417" s="13" t="str">
        <f aca="false">IF(OR(BP412="",BP416=""),"",BP416-BP412)</f>
        <v/>
      </c>
      <c r="BQ417" s="13" t="str">
        <f aca="false">IF(OR(BQ412="",BQ416=""),"",BQ416-BQ412)</f>
        <v/>
      </c>
      <c r="BR417" s="13" t="str">
        <f aca="false">IF(OR(BR412="",BR416=""),"",BR416-BR412)</f>
        <v/>
      </c>
      <c r="BS417" s="13" t="str">
        <f aca="false">IF(OR(BS412="",BS416=""),"",BS416-BS412)</f>
        <v/>
      </c>
      <c r="BT417" s="13" t="str">
        <f aca="false">IF(OR(BT412="",BT416=""),"",BT416-BT412)</f>
        <v/>
      </c>
      <c r="BU417" s="13" t="str">
        <f aca="false">IF(OR(BU412="",BU416=""),"",BU416-BU412)</f>
        <v/>
      </c>
      <c r="BV417" s="13" t="str">
        <f aca="false">IF(OR(BV412="",BV416=""),"",BV416-BV412)</f>
        <v/>
      </c>
      <c r="BW417" s="13" t="str">
        <f aca="false">IF(OR(BW412="",BW416=""),"",BW416-BW412)</f>
        <v/>
      </c>
      <c r="BX417" s="13" t="str">
        <f aca="false">IF(OR(BX412="",BX416=""),"",BX416-BX412)</f>
        <v/>
      </c>
      <c r="BY417" s="13" t="str">
        <f aca="false">IF(OR(BY412="",BY416=""),"",BY416-BY412)</f>
        <v/>
      </c>
      <c r="BZ417" s="13" t="str">
        <f aca="false">IF(OR(BZ412="",BZ416=""),"",BZ416-BZ412)</f>
        <v/>
      </c>
      <c r="CA417" s="13" t="str">
        <f aca="false">IF(OR(CA412="",CA416=""),"",CA416-CA412)</f>
        <v/>
      </c>
      <c r="CB417" s="13" t="str">
        <f aca="false">IF(OR(CB412="",CB416=""),"",CB416-CB412)</f>
        <v/>
      </c>
      <c r="CC417" s="13" t="str">
        <f aca="false">IF(OR(CC412="",CC416=""),"",CC416-CC412)</f>
        <v/>
      </c>
      <c r="CD417" s="13" t="str">
        <f aca="false">IF(OR(CD412="",CD416=""),"",CD416-CD412)</f>
        <v/>
      </c>
      <c r="CE417" s="13" t="str">
        <f aca="false">IF(OR(CE412="",CE416=""),"",CE416-CE412)</f>
        <v/>
      </c>
      <c r="CF417" s="13" t="str">
        <f aca="false">IF(OR(CF412="",CF416=""),"",CF416-CF412)</f>
        <v/>
      </c>
      <c r="CG417" s="13" t="str">
        <f aca="false">IF(OR(CG412="",CG416=""),"",CG416-CG412)</f>
        <v/>
      </c>
      <c r="CH417" s="13" t="str">
        <f aca="false">IF(OR(CH412="",CH416=""),"",CH416-CH412)</f>
        <v/>
      </c>
      <c r="CI417" s="13" t="str">
        <f aca="false">IF(OR(CI412="",CI416=""),"",CI416-CI412)</f>
        <v/>
      </c>
      <c r="CJ417" s="13" t="str">
        <f aca="false">IF(OR(CJ412="",CJ416=""),"",CJ416-CJ412)</f>
        <v/>
      </c>
      <c r="CK417" s="13" t="str">
        <f aca="false">IF(OR(CK412="",CK416=""),"",CK416-CK412)</f>
        <v/>
      </c>
      <c r="CL417" s="13" t="str">
        <f aca="false">IF(OR(CL412="",CL416=""),"",CL416-CL412)</f>
        <v/>
      </c>
      <c r="CM417" s="13" t="str">
        <f aca="false">IF(OR(CM412="",CM416=""),"",CM416-CM412)</f>
        <v/>
      </c>
      <c r="CN417" s="13" t="str">
        <f aca="false">IF(OR(CN412="",CN416=""),"",CN416-CN412)</f>
        <v/>
      </c>
      <c r="CO417" s="13" t="str">
        <f aca="false">IF(OR(CO412="",CO416=""),"",CO416-CO412)</f>
        <v/>
      </c>
      <c r="CP417" s="13" t="str">
        <f aca="false">IF(OR(CP412="",CP416=""),"",CP416-CP412)</f>
        <v/>
      </c>
      <c r="CQ417" s="13" t="str">
        <f aca="false">IF(OR(CQ412="",CQ416=""),"",CQ416-CQ412)</f>
        <v/>
      </c>
      <c r="CR417" s="13" t="str">
        <f aca="false">IF(OR(CR412="",CR416=""),"",CR416-CR412)</f>
        <v/>
      </c>
      <c r="CS417" s="13" t="str">
        <f aca="false">IF(OR(CS412="",CS416=""),"",CS416-CS412)</f>
        <v/>
      </c>
      <c r="CT417" s="13" t="str">
        <f aca="false">IF(OR(CT412="",CT416=""),"",CT416-CT412)</f>
        <v/>
      </c>
      <c r="CU417" s="13" t="str">
        <f aca="false">IF(OR(CU412="",CU416=""),"",CU416-CU412)</f>
        <v/>
      </c>
      <c r="CV417" s="13" t="str">
        <f aca="false">IF(OR(CV412="",CV416=""),"",CV416-CV412)</f>
        <v/>
      </c>
      <c r="CW417" s="13" t="str">
        <f aca="false">IF(OR(CW412="",CW416=""),"",CW416-CW412)</f>
        <v/>
      </c>
      <c r="CX417" s="13" t="str">
        <f aca="false">IF(OR(CX412="",CX416=""),"",CX416-CX412)</f>
        <v/>
      </c>
      <c r="CY417" s="13" t="str">
        <f aca="false">IF(OR(CY412="",CY416=""),"",CY416-CY412)</f>
        <v/>
      </c>
      <c r="CZ417" s="13" t="str">
        <f aca="false">IF(OR(CZ412="",CZ416=""),"",CZ416-CZ412)</f>
        <v/>
      </c>
      <c r="DA417" s="13" t="str">
        <f aca="false">IF(OR(DA412="",DA416=""),"",DA416-DA412)</f>
        <v/>
      </c>
      <c r="DB417" s="13" t="str">
        <f aca="false">IF(OR(DB412="",DB416=""),"",DB416-DB412)</f>
        <v/>
      </c>
      <c r="DC417" s="13" t="str">
        <f aca="false">IF(OR(DC412="",DC416=""),"",DC416-DC412)</f>
        <v/>
      </c>
      <c r="DD417" s="13" t="str">
        <f aca="false">IF(OR(DD412="",DD416=""),"",DD416-DD412)</f>
        <v/>
      </c>
      <c r="DE417" s="13" t="str">
        <f aca="false">IF(OR(DE412="",DE416=""),"",DE416-DE412)</f>
        <v/>
      </c>
    </row>
    <row r="419" customFormat="false" ht="15" hidden="false" customHeight="true" outlineLevel="0" collapsed="false">
      <c r="A419" s="23" t="s">
        <v>229</v>
      </c>
      <c r="B419" s="34"/>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c r="AA419" s="34"/>
      <c r="AB419" s="34"/>
      <c r="AC419" s="34"/>
      <c r="AD419" s="34"/>
      <c r="AE419" s="34"/>
      <c r="AF419" s="34"/>
      <c r="AG419" s="34"/>
      <c r="AH419" s="34"/>
      <c r="AI419" s="34"/>
      <c r="AJ419" s="34"/>
      <c r="AK419" s="34"/>
      <c r="AL419" s="34"/>
      <c r="AM419" s="34"/>
      <c r="AN419" s="34"/>
      <c r="AO419" s="34"/>
      <c r="AP419" s="34"/>
      <c r="AQ419" s="34"/>
      <c r="AR419" s="34"/>
      <c r="AS419" s="34"/>
      <c r="AT419" s="34"/>
      <c r="AU419" s="34"/>
      <c r="AV419" s="34"/>
      <c r="AW419" s="34"/>
      <c r="AX419" s="34"/>
      <c r="AY419" s="34"/>
      <c r="AZ419" s="34"/>
      <c r="BA419" s="34"/>
      <c r="BB419" s="34"/>
      <c r="BC419" s="34"/>
      <c r="BD419" s="34"/>
      <c r="BE419" s="34"/>
      <c r="BF419" s="34"/>
      <c r="BG419" s="34"/>
      <c r="BH419" s="34"/>
      <c r="BI419" s="34"/>
      <c r="BJ419" s="34"/>
      <c r="BK419" s="34"/>
      <c r="BL419" s="34"/>
      <c r="BM419" s="34"/>
      <c r="BN419" s="34"/>
      <c r="BO419" s="34"/>
      <c r="BP419" s="34"/>
      <c r="BQ419" s="34"/>
      <c r="BR419" s="34"/>
      <c r="BS419" s="34"/>
      <c r="BT419" s="34"/>
      <c r="BU419" s="34"/>
      <c r="BV419" s="34"/>
      <c r="BW419" s="34"/>
      <c r="BX419" s="34"/>
      <c r="BY419" s="34"/>
      <c r="BZ419" s="34"/>
      <c r="CA419" s="34"/>
      <c r="CB419" s="34"/>
      <c r="CC419" s="34"/>
      <c r="CD419" s="34"/>
      <c r="CE419" s="34"/>
      <c r="CF419" s="34"/>
      <c r="CG419" s="34"/>
      <c r="CH419" s="34"/>
      <c r="CI419" s="34"/>
      <c r="CJ419" s="34"/>
      <c r="CK419" s="34"/>
      <c r="CL419" s="34"/>
      <c r="CM419" s="34"/>
      <c r="CN419" s="34"/>
      <c r="CO419" s="34"/>
      <c r="CP419" s="34"/>
      <c r="CQ419" s="34"/>
      <c r="CR419" s="34"/>
      <c r="CS419" s="34"/>
      <c r="CT419" s="34"/>
      <c r="CU419" s="34"/>
      <c r="CV419" s="34"/>
      <c r="CW419" s="34"/>
      <c r="CX419" s="34"/>
      <c r="CY419" s="34"/>
      <c r="CZ419" s="34"/>
      <c r="DA419" s="34"/>
      <c r="DB419" s="34"/>
      <c r="DC419" s="34"/>
      <c r="DD419" s="34"/>
      <c r="DE419" s="34"/>
    </row>
    <row r="420" customFormat="false" ht="15" hidden="false" customHeight="true" outlineLevel="0" collapsed="false">
      <c r="A420" s="22" t="s">
        <v>222</v>
      </c>
      <c r="B420" s="13" t="n">
        <f aca="false">IF(B401="","",B401)</f>
        <v>1058211</v>
      </c>
      <c r="C420" s="13" t="n">
        <f aca="false">IF(C401="","",C401)</f>
        <v>226730</v>
      </c>
      <c r="D420" s="13" t="n">
        <f aca="false">IF(D401="","",D401)</f>
        <v>804668</v>
      </c>
      <c r="E420" s="13" t="n">
        <f aca="false">IF(E401="","",E401)</f>
        <v>762695</v>
      </c>
      <c r="F420" s="13" t="n">
        <f aca="false">IF(F401="","",F401)</f>
        <v>845218</v>
      </c>
      <c r="G420" s="13" t="n">
        <f aca="false">IF(G401="","",G401)</f>
        <v>971507</v>
      </c>
      <c r="H420" s="13" t="n">
        <f aca="false">IF(H401="","",H401)</f>
        <v>405563</v>
      </c>
      <c r="I420" s="13" t="n">
        <f aca="false">IF(I401="","",I401)</f>
        <v>1945296</v>
      </c>
      <c r="J420" s="13" t="str">
        <f aca="false">IF(J401="","",J401)</f>
        <v/>
      </c>
      <c r="K420" s="13" t="str">
        <f aca="false">IF(K401="","",K401)</f>
        <v/>
      </c>
      <c r="L420" s="13" t="str">
        <f aca="false">IF(L401="","",L401)</f>
        <v/>
      </c>
      <c r="M420" s="13" t="str">
        <f aca="false">IF(M401="","",M401)</f>
        <v/>
      </c>
      <c r="N420" s="13" t="str">
        <f aca="false">IF(N401="","",N401)</f>
        <v/>
      </c>
      <c r="O420" s="13" t="str">
        <f aca="false">IF(O401="","",O401)</f>
        <v/>
      </c>
      <c r="P420" s="13" t="str">
        <f aca="false">IF(P401="","",P401)</f>
        <v/>
      </c>
      <c r="Q420" s="13" t="str">
        <f aca="false">IF(Q401="","",Q401)</f>
        <v/>
      </c>
      <c r="R420" s="13" t="str">
        <f aca="false">IF(R401="","",R401)</f>
        <v/>
      </c>
      <c r="S420" s="13" t="str">
        <f aca="false">IF(S401="","",S401)</f>
        <v/>
      </c>
      <c r="T420" s="13" t="str">
        <f aca="false">IF(T401="","",T401)</f>
        <v/>
      </c>
      <c r="U420" s="13" t="str">
        <f aca="false">IF(U401="","",U401)</f>
        <v/>
      </c>
      <c r="V420" s="13" t="str">
        <f aca="false">IF(V401="","",V401)</f>
        <v/>
      </c>
      <c r="W420" s="13" t="str">
        <f aca="false">IF(W401="","",W401)</f>
        <v/>
      </c>
      <c r="X420" s="13" t="str">
        <f aca="false">IF(X401="","",X401)</f>
        <v/>
      </c>
      <c r="Y420" s="13" t="str">
        <f aca="false">IF(Y401="","",Y401)</f>
        <v/>
      </c>
      <c r="Z420" s="13" t="str">
        <f aca="false">IF(Z401="","",Z401)</f>
        <v/>
      </c>
      <c r="AA420" s="13" t="str">
        <f aca="false">IF(AA401="","",AA401)</f>
        <v/>
      </c>
      <c r="AB420" s="13" t="str">
        <f aca="false">IF(AB401="","",AB401)</f>
        <v/>
      </c>
      <c r="AC420" s="13" t="str">
        <f aca="false">IF(AC401="","",AC401)</f>
        <v/>
      </c>
      <c r="AD420" s="13" t="str">
        <f aca="false">IF(AD401="","",AD401)</f>
        <v/>
      </c>
      <c r="AE420" s="13" t="str">
        <f aca="false">IF(AE401="","",AE401)</f>
        <v/>
      </c>
      <c r="AF420" s="13" t="str">
        <f aca="false">IF(AF401="","",AF401)</f>
        <v/>
      </c>
      <c r="AG420" s="13" t="str">
        <f aca="false">IF(AG401="","",AG401)</f>
        <v/>
      </c>
      <c r="AH420" s="13" t="str">
        <f aca="false">IF(AH401="","",AH401)</f>
        <v/>
      </c>
      <c r="AI420" s="13" t="str">
        <f aca="false">IF(AI401="","",AI401)</f>
        <v/>
      </c>
      <c r="AJ420" s="13" t="str">
        <f aca="false">IF(AJ401="","",AJ401)</f>
        <v/>
      </c>
      <c r="AK420" s="13" t="str">
        <f aca="false">IF(AK401="","",AK401)</f>
        <v/>
      </c>
      <c r="AL420" s="13" t="str">
        <f aca="false">IF(AL401="","",AL401)</f>
        <v/>
      </c>
      <c r="AM420" s="13" t="str">
        <f aca="false">IF(AM401="","",AM401)</f>
        <v/>
      </c>
      <c r="AN420" s="13" t="str">
        <f aca="false">IF(AN401="","",AN401)</f>
        <v/>
      </c>
      <c r="AO420" s="13" t="str">
        <f aca="false">IF(AO401="","",AO401)</f>
        <v/>
      </c>
      <c r="AP420" s="13" t="str">
        <f aca="false">IF(AP401="","",AP401)</f>
        <v/>
      </c>
      <c r="AQ420" s="13" t="str">
        <f aca="false">IF(AQ401="","",AQ401)</f>
        <v/>
      </c>
      <c r="AR420" s="13" t="str">
        <f aca="false">IF(AR401="","",AR401)</f>
        <v/>
      </c>
      <c r="AS420" s="13" t="str">
        <f aca="false">IF(AS401="","",AS401)</f>
        <v/>
      </c>
      <c r="AT420" s="13" t="str">
        <f aca="false">IF(AT401="","",AT401)</f>
        <v/>
      </c>
      <c r="AU420" s="13" t="str">
        <f aca="false">IF(AU401="","",AU401)</f>
        <v/>
      </c>
      <c r="AV420" s="13" t="str">
        <f aca="false">IF(AV401="","",AV401)</f>
        <v/>
      </c>
      <c r="AW420" s="13" t="str">
        <f aca="false">IF(AW401="","",AW401)</f>
        <v/>
      </c>
      <c r="AX420" s="13" t="str">
        <f aca="false">IF(AX401="","",AX401)</f>
        <v/>
      </c>
      <c r="AY420" s="13" t="str">
        <f aca="false">IF(AY401="","",AY401)</f>
        <v/>
      </c>
      <c r="AZ420" s="13" t="str">
        <f aca="false">IF(AZ401="","",AZ401)</f>
        <v/>
      </c>
      <c r="BA420" s="13" t="str">
        <f aca="false">IF(BA401="","",BA401)</f>
        <v/>
      </c>
      <c r="BB420" s="13" t="str">
        <f aca="false">IF(BB401="","",BB401)</f>
        <v/>
      </c>
      <c r="BC420" s="13" t="str">
        <f aca="false">IF(BC401="","",BC401)</f>
        <v/>
      </c>
      <c r="BD420" s="13" t="str">
        <f aca="false">IF(BD401="","",BD401)</f>
        <v/>
      </c>
      <c r="BE420" s="13" t="str">
        <f aca="false">IF(BE401="","",BE401)</f>
        <v/>
      </c>
      <c r="BF420" s="13" t="str">
        <f aca="false">IF(BF401="","",BF401)</f>
        <v/>
      </c>
      <c r="BG420" s="13" t="str">
        <f aca="false">IF(BG401="","",BG401)</f>
        <v/>
      </c>
      <c r="BH420" s="13" t="str">
        <f aca="false">IF(BH401="","",BH401)</f>
        <v/>
      </c>
      <c r="BI420" s="13" t="str">
        <f aca="false">IF(BI401="","",BI401)</f>
        <v/>
      </c>
      <c r="BJ420" s="13" t="str">
        <f aca="false">IF(BJ401="","",BJ401)</f>
        <v/>
      </c>
      <c r="BK420" s="13" t="str">
        <f aca="false">IF(BK401="","",BK401)</f>
        <v/>
      </c>
      <c r="BL420" s="13" t="str">
        <f aca="false">IF(BL401="","",BL401)</f>
        <v/>
      </c>
      <c r="BM420" s="13" t="str">
        <f aca="false">IF(BM401="","",BM401)</f>
        <v/>
      </c>
      <c r="BN420" s="13" t="str">
        <f aca="false">IF(BN401="","",BN401)</f>
        <v/>
      </c>
      <c r="BO420" s="13" t="str">
        <f aca="false">IF(BO401="","",BO401)</f>
        <v/>
      </c>
      <c r="BP420" s="13" t="str">
        <f aca="false">IF(BP401="","",BP401)</f>
        <v/>
      </c>
      <c r="BQ420" s="13" t="str">
        <f aca="false">IF(BQ401="","",BQ401)</f>
        <v/>
      </c>
      <c r="BR420" s="13" t="str">
        <f aca="false">IF(BR401="","",BR401)</f>
        <v/>
      </c>
      <c r="BS420" s="13" t="str">
        <f aca="false">IF(BS401="","",BS401)</f>
        <v/>
      </c>
      <c r="BT420" s="13" t="str">
        <f aca="false">IF(BT401="","",BT401)</f>
        <v/>
      </c>
      <c r="BU420" s="13" t="str">
        <f aca="false">IF(BU401="","",BU401)</f>
        <v/>
      </c>
      <c r="BV420" s="13" t="str">
        <f aca="false">IF(BV401="","",BV401)</f>
        <v/>
      </c>
      <c r="BW420" s="13" t="str">
        <f aca="false">IF(BW401="","",BW401)</f>
        <v/>
      </c>
      <c r="BX420" s="13" t="str">
        <f aca="false">IF(BX401="","",BX401)</f>
        <v/>
      </c>
      <c r="BY420" s="13" t="str">
        <f aca="false">IF(BY401="","",BY401)</f>
        <v/>
      </c>
      <c r="BZ420" s="13" t="str">
        <f aca="false">IF(BZ401="","",BZ401)</f>
        <v/>
      </c>
      <c r="CA420" s="13" t="str">
        <f aca="false">IF(CA401="","",CA401)</f>
        <v/>
      </c>
      <c r="CB420" s="13" t="str">
        <f aca="false">IF(CB401="","",CB401)</f>
        <v/>
      </c>
      <c r="CC420" s="13" t="str">
        <f aca="false">IF(CC401="","",CC401)</f>
        <v/>
      </c>
      <c r="CD420" s="13" t="str">
        <f aca="false">IF(CD401="","",CD401)</f>
        <v/>
      </c>
      <c r="CE420" s="13" t="str">
        <f aca="false">IF(CE401="","",CE401)</f>
        <v/>
      </c>
      <c r="CF420" s="13" t="str">
        <f aca="false">IF(CF401="","",CF401)</f>
        <v/>
      </c>
      <c r="CG420" s="13" t="str">
        <f aca="false">IF(CG401="","",CG401)</f>
        <v/>
      </c>
      <c r="CH420" s="13" t="str">
        <f aca="false">IF(CH401="","",CH401)</f>
        <v/>
      </c>
      <c r="CI420" s="13" t="str">
        <f aca="false">IF(CI401="","",CI401)</f>
        <v/>
      </c>
      <c r="CJ420" s="13" t="str">
        <f aca="false">IF(CJ401="","",CJ401)</f>
        <v/>
      </c>
      <c r="CK420" s="13" t="str">
        <f aca="false">IF(CK401="","",CK401)</f>
        <v/>
      </c>
      <c r="CL420" s="13" t="str">
        <f aca="false">IF(CL401="","",CL401)</f>
        <v/>
      </c>
      <c r="CM420" s="13" t="str">
        <f aca="false">IF(CM401="","",CM401)</f>
        <v/>
      </c>
      <c r="CN420" s="13" t="str">
        <f aca="false">IF(CN401="","",CN401)</f>
        <v/>
      </c>
      <c r="CO420" s="13" t="str">
        <f aca="false">IF(CO401="","",CO401)</f>
        <v/>
      </c>
      <c r="CP420" s="13" t="str">
        <f aca="false">IF(CP401="","",CP401)</f>
        <v/>
      </c>
      <c r="CQ420" s="13" t="str">
        <f aca="false">IF(CQ401="","",CQ401)</f>
        <v/>
      </c>
      <c r="CR420" s="13" t="str">
        <f aca="false">IF(CR401="","",CR401)</f>
        <v/>
      </c>
      <c r="CS420" s="13" t="str">
        <f aca="false">IF(CS401="","",CS401)</f>
        <v/>
      </c>
      <c r="CT420" s="13" t="str">
        <f aca="false">IF(CT401="","",CT401)</f>
        <v/>
      </c>
      <c r="CU420" s="13" t="str">
        <f aca="false">IF(CU401="","",CU401)</f>
        <v/>
      </c>
      <c r="CV420" s="13" t="str">
        <f aca="false">IF(CV401="","",CV401)</f>
        <v/>
      </c>
      <c r="CW420" s="13" t="str">
        <f aca="false">IF(CW401="","",CW401)</f>
        <v/>
      </c>
      <c r="CX420" s="13" t="str">
        <f aca="false">IF(CX401="","",CX401)</f>
        <v/>
      </c>
      <c r="CY420" s="13" t="str">
        <f aca="false">IF(CY401="","",CY401)</f>
        <v/>
      </c>
      <c r="CZ420" s="13" t="str">
        <f aca="false">IF(CZ401="","",CZ401)</f>
        <v/>
      </c>
      <c r="DA420" s="13" t="str">
        <f aca="false">IF(DA401="","",DA401)</f>
        <v/>
      </c>
      <c r="DB420" s="13" t="str">
        <f aca="false">IF(DB401="","",DB401)</f>
        <v/>
      </c>
      <c r="DC420" s="13" t="str">
        <f aca="false">IF(DC401="","",DC401)</f>
        <v/>
      </c>
      <c r="DD420" s="13" t="str">
        <f aca="false">IF(DD401="","",DD401)</f>
        <v/>
      </c>
      <c r="DE420" s="13" t="str">
        <f aca="false">IF(DE401="","",DE401)</f>
        <v/>
      </c>
    </row>
    <row r="421" customFormat="false" ht="15" hidden="false" customHeight="true" outlineLevel="0" collapsed="false">
      <c r="A421" s="22" t="s">
        <v>223</v>
      </c>
      <c r="B421" s="13" t="str">
        <f aca="false">IF(B$4="Actuals",IF(C$4="Actuals","",C374),B376)</f>
        <v/>
      </c>
      <c r="C421" s="13" t="str">
        <f aca="false">IF(C$4="Actuals",IF(D$4="Actuals","",D374),C376)</f>
        <v/>
      </c>
      <c r="D421" s="13" t="str">
        <f aca="false">IF(D$4="Actuals",IF(E$4="Actuals","",E374),D376)</f>
        <v/>
      </c>
      <c r="E421" s="13" t="str">
        <f aca="false">IF(E$4="Actuals",IF(F$4="Actuals","",F374),E376)</f>
        <v/>
      </c>
      <c r="F421" s="13" t="str">
        <f aca="false">IF(F$4="Actuals",IF(G$4="Actuals","",G374),F376)</f>
        <v/>
      </c>
      <c r="G421" s="13" t="str">
        <f aca="false">IF(G$4="Actuals",IF(H$4="Actuals","",H374),G376)</f>
        <v/>
      </c>
      <c r="H421" s="13" t="str">
        <f aca="false">IF(H$4="Actuals",IF(I$4="Actuals","",I374),H376)</f>
        <v/>
      </c>
      <c r="I421" s="13" t="n">
        <f aca="false">IF(I$4="Actuals",IF(J$4="Actuals","",J374),I376)</f>
        <v>1945296</v>
      </c>
      <c r="J421" s="13" t="n">
        <f aca="false">IF(J$4="Actuals",IF(K$4="Actuals","",K374),J376)</f>
        <v>1626283.60557404</v>
      </c>
      <c r="K421" s="13" t="n">
        <f aca="false">IF(K$4="Actuals",IF(L$4="Actuals","",L374),K376)</f>
        <v>1976456.74750204</v>
      </c>
      <c r="L421" s="13" t="n">
        <f aca="false">IF(L$4="Actuals",IF(M$4="Actuals","",M374),L376)</f>
        <v>2266472.27886452</v>
      </c>
      <c r="M421" s="13" t="n">
        <f aca="false">IF(M$4="Actuals",IF(N$4="Actuals","",N374),M376)</f>
        <v>2229655.31378602</v>
      </c>
      <c r="N421" s="13" t="n">
        <f aca="false">IF(N$4="Actuals",IF(O$4="Actuals","",O374),N376)</f>
        <v>1011912.51400583</v>
      </c>
      <c r="O421" s="13" t="n">
        <f aca="false">IF(O$4="Actuals",IF(P$4="Actuals","",P374),O376)</f>
        <v>1158372.03957861</v>
      </c>
      <c r="P421" s="13" t="n">
        <f aca="false">IF(P$4="Actuals",IF(Q$4="Actuals","",Q374),P376)</f>
        <v>1035927.14377521</v>
      </c>
      <c r="Q421" s="13" t="n">
        <f aca="false">IF(Q$4="Actuals",IF(R$4="Actuals","",R374),Q376)</f>
        <v>1273080.75343321</v>
      </c>
      <c r="R421" s="13" t="n">
        <f aca="false">IF(R$4="Actuals",IF(S$4="Actuals","",S374),R376)</f>
        <v>569027.003346605</v>
      </c>
      <c r="S421" s="13" t="n">
        <f aca="false">IF(S$4="Actuals",IF(T$4="Actuals","",T374),S376)</f>
        <v>414446.457035525</v>
      </c>
      <c r="T421" s="13" t="n">
        <f aca="false">IF(T$4="Actuals",IF(U$4="Actuals","",U374),T376)</f>
        <v>271658.154407305</v>
      </c>
      <c r="U421" s="13" t="n">
        <f aca="false">IF(U$4="Actuals",IF(V$4="Actuals","",V374),U376)</f>
        <v>315448.869792343</v>
      </c>
      <c r="V421" s="13" t="n">
        <f aca="false">IF(V$4="Actuals",IF(W$4="Actuals","",W374),V376)</f>
        <v>696947.51922418</v>
      </c>
      <c r="W421" s="13" t="n">
        <f aca="false">IF(W$4="Actuals",IF(X$4="Actuals","",X374),W376)</f>
        <v>1144070.41455602</v>
      </c>
      <c r="X421" s="13" t="n">
        <f aca="false">IF(X$4="Actuals",IF(Y$4="Actuals","",Y374),X376)</f>
        <v>1390961.05804491</v>
      </c>
      <c r="Y421" s="13" t="n">
        <f aca="false">IF(Y$4="Actuals",IF(Z$4="Actuals","",Z374),Y376)</f>
        <v>1945413.80334272</v>
      </c>
      <c r="Z421" s="13" t="n">
        <f aca="false">IF(Z$4="Actuals",IF(AA$4="Actuals","",AA374),Z376)</f>
        <v>2342479.46287514</v>
      </c>
      <c r="AA421" s="13" t="n">
        <f aca="false">IF(AA$4="Actuals",IF(AB$4="Actuals","",AB374),AA376)</f>
        <v>2725864.94885489</v>
      </c>
      <c r="AB421" s="13" t="n">
        <f aca="false">IF(AB$4="Actuals",IF(AC$4="Actuals","",AC374),AB376)</f>
        <v>1866838.28720013</v>
      </c>
      <c r="AC421" s="13" t="n">
        <f aca="false">IF(AC$4="Actuals",IF(AD$4="Actuals","",AD374),AC376)</f>
        <v>3951448.34788232</v>
      </c>
      <c r="AD421" s="13" t="n">
        <f aca="false">IF(AD$4="Actuals",IF(AE$4="Actuals","",AE374),AD376)</f>
        <v>4274695.51175236</v>
      </c>
      <c r="AE421" s="13" t="n">
        <f aca="false">IF(AE$4="Actuals",IF(AF$4="Actuals","",AF374),AE376)</f>
        <v>4706393.07480037</v>
      </c>
      <c r="AF421" s="13" t="n">
        <f aca="false">IF(AF$4="Actuals",IF(AG$4="Actuals","",AG374),AF376)</f>
        <v>4719578.21244883</v>
      </c>
      <c r="AG421" s="13" t="n">
        <f aca="false">IF(AG$4="Actuals",IF(AH$4="Actuals","",AH374),AG376)</f>
        <v>5558320.37362134</v>
      </c>
      <c r="AH421" s="13" t="n">
        <f aca="false">IF(AH$4="Actuals",IF(AI$4="Actuals","",AI374),AH376)</f>
        <v>6334937.25271251</v>
      </c>
      <c r="AI421" s="13" t="n">
        <f aca="false">IF(AI$4="Actuals",IF(AJ$4="Actuals","",AJ374),AI376)</f>
        <v>7020381.15984179</v>
      </c>
      <c r="AJ421" s="13" t="n">
        <f aca="false">IF(AJ$4="Actuals",IF(AK$4="Actuals","",AK374),AJ376)</f>
        <v>7957579.60974901</v>
      </c>
      <c r="AK421" s="13" t="n">
        <f aca="false">IF(AK$4="Actuals",IF(AL$4="Actuals","",AL374),AK376)</f>
        <v>8709942.20838621</v>
      </c>
      <c r="AL421" s="13" t="n">
        <f aca="false">IF(AL$4="Actuals",IF(AM$4="Actuals","",AM374),AL376)</f>
        <v>9416074.03892762</v>
      </c>
      <c r="AM421" s="13" t="n">
        <f aca="false">IF(AM$4="Actuals",IF(AN$4="Actuals","",AN374),AM376)</f>
        <v>9917180.79659696</v>
      </c>
      <c r="AN421" s="13" t="n">
        <f aca="false">IF(AN$4="Actuals",IF(AO$4="Actuals","",AO374),AN376)</f>
        <v>6800268.77348629</v>
      </c>
      <c r="AO421" s="13" t="n">
        <f aca="false">IF(AO$4="Actuals",IF(AP$4="Actuals","",AP374),AO376)</f>
        <v>11446631.335822</v>
      </c>
      <c r="AP421" s="13" t="n">
        <f aca="false">IF(AP$4="Actuals",IF(AQ$4="Actuals","",AQ374),AP376)</f>
        <v>12092457.9106455</v>
      </c>
      <c r="AQ421" s="13" t="n">
        <f aca="false">IF(AQ$4="Actuals",IF(AR$4="Actuals","",AR374),AQ376)</f>
        <v>12437749.4305358</v>
      </c>
      <c r="AR421" s="13" t="n">
        <f aca="false">IF(AR$4="Actuals",IF(AS$4="Actuals","",AS374),AR376)</f>
        <v>13224262.7152094</v>
      </c>
      <c r="AS421" s="13" t="n">
        <f aca="false">IF(AS$4="Actuals",IF(AT$4="Actuals","",AT374),AS376)</f>
        <v>14026651.604383</v>
      </c>
      <c r="AT421" s="13" t="n">
        <f aca="false">IF(AT$4="Actuals",IF(AU$4="Actuals","",AU374),AT376)</f>
        <v>15103270.0193166</v>
      </c>
      <c r="AU421" s="13" t="n">
        <f aca="false">IF(AU$4="Actuals",IF(AV$4="Actuals","",AV374),AU376)</f>
        <v>16234411.5674199</v>
      </c>
      <c r="AV421" s="13" t="n">
        <f aca="false">IF(AV$4="Actuals",IF(AW$4="Actuals","",AW374),AV376)</f>
        <v>16916968.3612249</v>
      </c>
      <c r="AW421" s="13" t="n">
        <f aca="false">IF(AW$4="Actuals",IF(AX$4="Actuals","",AX374),AW376)</f>
        <v>17417531.5413281</v>
      </c>
      <c r="AX421" s="13" t="n">
        <f aca="false">IF(AX$4="Actuals",IF(AY$4="Actuals","",AY374),AX376)</f>
        <v>18006472.7229314</v>
      </c>
      <c r="AY421" s="13" t="n">
        <f aca="false">IF(AY$4="Actuals",IF(AZ$4="Actuals","",AZ374),AY376)</f>
        <v>18356809.3252049</v>
      </c>
      <c r="AZ421" s="13" t="n">
        <f aca="false">IF(AZ$4="Actuals",IF(BA$4="Actuals","",BA374),AZ376)</f>
        <v>14516762.9835359</v>
      </c>
      <c r="BA421" s="13" t="n">
        <f aca="false">IF(BA$4="Actuals",IF(BB$4="Actuals","",BB374),BA376)</f>
        <v>19666325.4978769</v>
      </c>
      <c r="BB421" s="13" t="n">
        <f aca="false">IF(BB$4="Actuals",IF(BC$4="Actuals","",BC374),BB376)</f>
        <v>20293699.8410503</v>
      </c>
      <c r="BC421" s="13" t="n">
        <f aca="false">IF(BC$4="Actuals",IF(BD$4="Actuals","",BD374),BC376)</f>
        <v>20684852.9561442</v>
      </c>
      <c r="BD421" s="13" t="n">
        <f aca="false">IF(BD$4="Actuals",IF(BE$4="Actuals","",BE374),BD376)</f>
        <v>21339374.581863</v>
      </c>
      <c r="BE421" s="13" t="n">
        <f aca="false">IF(BE$4="Actuals",IF(BF$4="Actuals","",BF374),BE376)</f>
        <v>21991439.5950542</v>
      </c>
      <c r="BF421" s="13" t="n">
        <f aca="false">IF(BF$4="Actuals",IF(BG$4="Actuals","",BG374),BF376)</f>
        <v>22679874.0932177</v>
      </c>
      <c r="BG421" s="13" t="n">
        <f aca="false">IF(BG$4="Actuals",IF(BH$4="Actuals","",BH374),BG376)</f>
        <v>23330186.9599927</v>
      </c>
      <c r="BH421" s="13" t="n">
        <f aca="false">IF(BH$4="Actuals",IF(BI$4="Actuals","",BI374),BH376)</f>
        <v>24215275.8082455</v>
      </c>
      <c r="BI421" s="13" t="n">
        <f aca="false">IF(BI$4="Actuals",IF(BJ$4="Actuals","",BJ374),BI376)</f>
        <v>24897548.5069811</v>
      </c>
      <c r="BJ421" s="13" t="n">
        <f aca="false">IF(BJ$4="Actuals",IF(BK$4="Actuals","",BK374),BJ376)</f>
        <v>25326115.4877878</v>
      </c>
      <c r="BK421" s="13" t="n">
        <f aca="false">IF(BK$4="Actuals",IF(BL$4="Actuals","",BL374),BK376)</f>
        <v>25327092.4770125</v>
      </c>
      <c r="BL421" s="13" t="n">
        <f aca="false">IF(BL$4="Actuals",IF(BM$4="Actuals","",BM374),BL376)</f>
        <v>21995783.8510796</v>
      </c>
      <c r="BM421" s="13" t="n">
        <f aca="false">IF(BM$4="Actuals",IF(BN$4="Actuals","",BN374),BM376)</f>
        <v>25880313.9684111</v>
      </c>
      <c r="BN421" s="13" t="n">
        <f aca="false">IF(BN$4="Actuals",IF(BO$4="Actuals","",BO374),BN376)</f>
        <v>26314068.2158513</v>
      </c>
      <c r="BO421" s="13" t="n">
        <f aca="false">IF(BO$4="Actuals",IF(BP$4="Actuals","",BP374),BO376)</f>
        <v>26676541.9334119</v>
      </c>
      <c r="BP421" s="13" t="n">
        <f aca="false">IF(BP$4="Actuals",IF(BQ$4="Actuals","",BQ374),BP376)</f>
        <v>26793983.7917761</v>
      </c>
      <c r="BQ421" s="13" t="n">
        <f aca="false">IF(BQ$4="Actuals",IF(BR$4="Actuals","",BR374),BQ376)</f>
        <v>26937043.9293597</v>
      </c>
      <c r="BR421" s="13" t="n">
        <f aca="false">IF(BR$4="Actuals",IF(BS$4="Actuals","",BS374),BR376)</f>
        <v>27180379.9108116</v>
      </c>
      <c r="BS421" s="13" t="n">
        <f aca="false">IF(BS$4="Actuals",IF(BT$4="Actuals","",BT374),BS376)</f>
        <v>27455029.790737</v>
      </c>
      <c r="BT421" s="13" t="n">
        <f aca="false">IF(BT$4="Actuals",IF(BU$4="Actuals","",BU374),BT376)</f>
        <v>27680813.9029686</v>
      </c>
      <c r="BU421" s="13" t="n">
        <f aca="false">IF(BU$4="Actuals",IF(BV$4="Actuals","",BV374),BU376)</f>
        <v>27875770.5192603</v>
      </c>
      <c r="BV421" s="13" t="n">
        <f aca="false">IF(BV$4="Actuals",IF(BW$4="Actuals","",BW374),BV376)</f>
        <v>27931748.6652665</v>
      </c>
      <c r="BW421" s="13" t="n">
        <f aca="false">IF(BW$4="Actuals",IF(BX$4="Actuals","",BX374),BW376)</f>
        <v>27938573.1307977</v>
      </c>
      <c r="BX421" s="13" t="n">
        <f aca="false">IF(BX$4="Actuals",IF(BY$4="Actuals","",BY374),BX376)</f>
        <v>26574656.3001794</v>
      </c>
      <c r="BY421" s="13" t="n">
        <f aca="false">IF(BY$4="Actuals",IF(BZ$4="Actuals","",BZ374),BY376)</f>
        <v>27703116.2022991</v>
      </c>
      <c r="BZ421" s="13" t="n">
        <f aca="false">IF(BZ$4="Actuals",IF(CA$4="Actuals","",CA374),BZ376)</f>
        <v>27455471.9143907</v>
      </c>
      <c r="CA421" s="13" t="n">
        <f aca="false">IF(CA$4="Actuals",IF(CB$4="Actuals","",CB374),CA376)</f>
        <v>27067915.1514822</v>
      </c>
      <c r="CB421" s="13" t="n">
        <f aca="false">IF(CB$4="Actuals",IF(CC$4="Actuals","",CC374),CB376)</f>
        <v>26432009.8885738</v>
      </c>
      <c r="CC421" s="13" t="n">
        <f aca="false">IF(CC$4="Actuals",IF(CD$4="Actuals","",CD374),CC376)</f>
        <v>25796104.6256654</v>
      </c>
      <c r="CD421" s="13" t="n">
        <f aca="false">IF(CD$4="Actuals",IF(CE$4="Actuals","",CE374),CD376)</f>
        <v>25236698.362757</v>
      </c>
      <c r="CE421" s="13" t="n">
        <f aca="false">IF(CE$4="Actuals",IF(CF$4="Actuals","",CF374),CE376)</f>
        <v>24600793.0998485</v>
      </c>
      <c r="CF421" s="13" t="n">
        <f aca="false">IF(CF$4="Actuals",IF(CG$4="Actuals","",CG374),CF376)</f>
        <v>23964887.8369401</v>
      </c>
      <c r="CG421" s="13" t="n">
        <f aca="false">IF(CG$4="Actuals",IF(CH$4="Actuals","",CH374),CG376)</f>
        <v>23405481.5740317</v>
      </c>
      <c r="CH421" s="13" t="n">
        <f aca="false">IF(CH$4="Actuals",IF(CI$4="Actuals","",CI374),CH376)</f>
        <v>22769576.3111233</v>
      </c>
      <c r="CI421" s="13" t="n">
        <f aca="false">IF(CI$4="Actuals",IF(CJ$4="Actuals","",CJ374),CI376)</f>
        <v>22133671.0482148</v>
      </c>
      <c r="CJ421" s="13" t="n">
        <f aca="false">IF(CJ$4="Actuals",IF(CK$4="Actuals","",CK374),CJ376)</f>
        <v>21580872.8119129</v>
      </c>
      <c r="CK421" s="13" t="n">
        <f aca="false">IF(CK$4="Actuals",IF(CL$4="Actuals","",CL374),CK376)</f>
        <v>21090210.4437463</v>
      </c>
      <c r="CL421" s="13" t="n">
        <f aca="false">IF(CL$4="Actuals",IF(CM$4="Actuals","",CM374),CL376)</f>
        <v>20599548.0755797</v>
      </c>
      <c r="CM421" s="13" t="n">
        <f aca="false">IF(CM$4="Actuals",IF(CN$4="Actuals","",CN374),CM376)</f>
        <v>20108885.7074131</v>
      </c>
      <c r="CN421" s="13" t="n">
        <f aca="false">IF(CN$4="Actuals",IF(CO$4="Actuals","",CO374),CN376)</f>
        <v>19618223.3392465</v>
      </c>
      <c r="CO421" s="13" t="n">
        <f aca="false">IF(CO$4="Actuals",IF(CP$4="Actuals","",CP374),CO376)</f>
        <v>19127560.9710799</v>
      </c>
      <c r="CP421" s="13" t="n">
        <f aca="false">IF(CP$4="Actuals",IF(CQ$4="Actuals","",CQ374),CP376)</f>
        <v>18636898.6029134</v>
      </c>
      <c r="CQ421" s="13" t="n">
        <f aca="false">IF(CQ$4="Actuals",IF(CR$4="Actuals","",CR374),CQ376)</f>
        <v>18146236.2347468</v>
      </c>
      <c r="CR421" s="13" t="n">
        <f aca="false">IF(CR$4="Actuals",IF(CS$4="Actuals","",CS374),CR376)</f>
        <v>17655573.8665802</v>
      </c>
      <c r="CS421" s="13" t="n">
        <f aca="false">IF(CS$4="Actuals",IF(CT$4="Actuals","",CT374),CS376)</f>
        <v>17164911.4984136</v>
      </c>
      <c r="CT421" s="13" t="n">
        <f aca="false">IF(CT$4="Actuals",IF(CU$4="Actuals","",CU374),CT376)</f>
        <v>16735051.2585398</v>
      </c>
      <c r="CU421" s="13" t="n">
        <f aca="false">IF(CU$4="Actuals",IF(CV$4="Actuals","",CV374),CU376)</f>
        <v>16305191.018666</v>
      </c>
      <c r="CV421" s="13" t="n">
        <f aca="false">IF(CV$4="Actuals",IF(CW$4="Actuals","",CW374),CV376)</f>
        <v>15875330.7787921</v>
      </c>
      <c r="CW421" s="13" t="n">
        <f aca="false">IF(CW$4="Actuals",IF(CX$4="Actuals","",CX374),CW376)</f>
        <v>15489524.2651845</v>
      </c>
      <c r="CX421" s="13" t="n">
        <f aca="false">IF(CX$4="Actuals",IF(CY$4="Actuals","",CY374),CX376)</f>
        <v>15121164.6005132</v>
      </c>
      <c r="CY421" s="13" t="n">
        <f aca="false">IF(CY$4="Actuals",IF(CZ$4="Actuals","",CZ374),CY376)</f>
        <v>14752804.9358419</v>
      </c>
      <c r="CZ421" s="13" t="n">
        <f aca="false">IF(CZ$4="Actuals",IF(DA$4="Actuals","",DA374),CZ376)</f>
        <v>14384445.2711706</v>
      </c>
      <c r="DA421" s="13" t="n">
        <f aca="false">IF(DA$4="Actuals",IF(DB$4="Actuals","",DB374),DA376)</f>
        <v>14016085.6064993</v>
      </c>
      <c r="DB421" s="13" t="n">
        <f aca="false">IF(DB$4="Actuals",IF(DC$4="Actuals","",DC374),DB376)</f>
        <v>13647725.941828</v>
      </c>
      <c r="DC421" s="13" t="n">
        <f aca="false">IF(DC$4="Actuals",IF(DD$4="Actuals","",DD374),DC376)</f>
        <v>13279366.2771567</v>
      </c>
      <c r="DD421" s="13" t="n">
        <f aca="false">IF(DD$4="Actuals",IF(DE$4="Actuals","",DE374),DD376)</f>
        <v>12911006.6124854</v>
      </c>
      <c r="DE421" s="13" t="n">
        <f aca="false">IF(DE$4="Actuals",IF(DF$4="Actuals","",DF374),DE376)</f>
        <v>12542646.9478141</v>
      </c>
    </row>
    <row r="422" customFormat="false" ht="15" hidden="false" customHeight="true" outlineLevel="0" collapsed="false">
      <c r="A422" s="22" t="s">
        <v>224</v>
      </c>
      <c r="B422" s="13" t="str">
        <f aca="false">IF(OR(B420="",B421=""),"",B421-B420)</f>
        <v/>
      </c>
      <c r="C422" s="13" t="str">
        <f aca="false">IF(OR(C420="",C421=""),"",C421-C420)</f>
        <v/>
      </c>
      <c r="D422" s="13" t="str">
        <f aca="false">IF(OR(D420="",D421=""),"",D421-D420)</f>
        <v/>
      </c>
      <c r="E422" s="13" t="str">
        <f aca="false">IF(OR(E420="",E421=""),"",E421-E420)</f>
        <v/>
      </c>
      <c r="F422" s="13" t="str">
        <f aca="false">IF(OR(F420="",F421=""),"",F421-F420)</f>
        <v/>
      </c>
      <c r="G422" s="13" t="str">
        <f aca="false">IF(OR(G420="",G421=""),"",G421-G420)</f>
        <v/>
      </c>
      <c r="H422" s="13" t="str">
        <f aca="false">IF(OR(H420="",H421=""),"",H421-H420)</f>
        <v/>
      </c>
      <c r="I422" s="13" t="n">
        <f aca="false">IF(OR(I420="",I421=""),"",I421-I420)</f>
        <v>0</v>
      </c>
      <c r="J422" s="13" t="str">
        <f aca="false">IF(OR(J420="",J421=""),"",J421-J420)</f>
        <v/>
      </c>
      <c r="K422" s="13" t="str">
        <f aca="false">IF(OR(K420="",K421=""),"",K421-K420)</f>
        <v/>
      </c>
      <c r="L422" s="13" t="str">
        <f aca="false">IF(OR(L420="",L421=""),"",L421-L420)</f>
        <v/>
      </c>
      <c r="M422" s="13" t="str">
        <f aca="false">IF(OR(M420="",M421=""),"",M421-M420)</f>
        <v/>
      </c>
      <c r="N422" s="13" t="str">
        <f aca="false">IF(OR(N420="",N421=""),"",N421-N420)</f>
        <v/>
      </c>
      <c r="O422" s="13" t="str">
        <f aca="false">IF(OR(O420="",O421=""),"",O421-O420)</f>
        <v/>
      </c>
      <c r="P422" s="13" t="str">
        <f aca="false">IF(OR(P420="",P421=""),"",P421-P420)</f>
        <v/>
      </c>
      <c r="Q422" s="13" t="str">
        <f aca="false">IF(OR(Q420="",Q421=""),"",Q421-Q420)</f>
        <v/>
      </c>
      <c r="R422" s="13" t="str">
        <f aca="false">IF(OR(R420="",R421=""),"",R421-R420)</f>
        <v/>
      </c>
      <c r="S422" s="13" t="str">
        <f aca="false">IF(OR(S420="",S421=""),"",S421-S420)</f>
        <v/>
      </c>
      <c r="T422" s="13" t="str">
        <f aca="false">IF(OR(T420="",T421=""),"",T421-T420)</f>
        <v/>
      </c>
      <c r="U422" s="13" t="str">
        <f aca="false">IF(OR(U420="",U421=""),"",U421-U420)</f>
        <v/>
      </c>
      <c r="V422" s="13" t="str">
        <f aca="false">IF(OR(V420="",V421=""),"",V421-V420)</f>
        <v/>
      </c>
      <c r="W422" s="13" t="str">
        <f aca="false">IF(OR(W420="",W421=""),"",W421-W420)</f>
        <v/>
      </c>
      <c r="X422" s="13" t="str">
        <f aca="false">IF(OR(X420="",X421=""),"",X421-X420)</f>
        <v/>
      </c>
      <c r="Y422" s="13" t="str">
        <f aca="false">IF(OR(Y420="",Y421=""),"",Y421-Y420)</f>
        <v/>
      </c>
      <c r="Z422" s="13" t="str">
        <f aca="false">IF(OR(Z420="",Z421=""),"",Z421-Z420)</f>
        <v/>
      </c>
      <c r="AA422" s="13" t="str">
        <f aca="false">IF(OR(AA420="",AA421=""),"",AA421-AA420)</f>
        <v/>
      </c>
      <c r="AB422" s="13" t="str">
        <f aca="false">IF(OR(AB420="",AB421=""),"",AB421-AB420)</f>
        <v/>
      </c>
      <c r="AC422" s="13" t="str">
        <f aca="false">IF(OR(AC420="",AC421=""),"",AC421-AC420)</f>
        <v/>
      </c>
      <c r="AD422" s="13" t="str">
        <f aca="false">IF(OR(AD420="",AD421=""),"",AD421-AD420)</f>
        <v/>
      </c>
      <c r="AE422" s="13" t="str">
        <f aca="false">IF(OR(AE420="",AE421=""),"",AE421-AE420)</f>
        <v/>
      </c>
      <c r="AF422" s="13" t="str">
        <f aca="false">IF(OR(AF420="",AF421=""),"",AF421-AF420)</f>
        <v/>
      </c>
      <c r="AG422" s="13" t="str">
        <f aca="false">IF(OR(AG420="",AG421=""),"",AG421-AG420)</f>
        <v/>
      </c>
      <c r="AH422" s="13" t="str">
        <f aca="false">IF(OR(AH420="",AH421=""),"",AH421-AH420)</f>
        <v/>
      </c>
      <c r="AI422" s="13" t="str">
        <f aca="false">IF(OR(AI420="",AI421=""),"",AI421-AI420)</f>
        <v/>
      </c>
      <c r="AJ422" s="13" t="str">
        <f aca="false">IF(OR(AJ420="",AJ421=""),"",AJ421-AJ420)</f>
        <v/>
      </c>
      <c r="AK422" s="13" t="str">
        <f aca="false">IF(OR(AK420="",AK421=""),"",AK421-AK420)</f>
        <v/>
      </c>
      <c r="AL422" s="13" t="str">
        <f aca="false">IF(OR(AL420="",AL421=""),"",AL421-AL420)</f>
        <v/>
      </c>
      <c r="AM422" s="13" t="str">
        <f aca="false">IF(OR(AM420="",AM421=""),"",AM421-AM420)</f>
        <v/>
      </c>
      <c r="AN422" s="13" t="str">
        <f aca="false">IF(OR(AN420="",AN421=""),"",AN421-AN420)</f>
        <v/>
      </c>
      <c r="AO422" s="13" t="str">
        <f aca="false">IF(OR(AO420="",AO421=""),"",AO421-AO420)</f>
        <v/>
      </c>
      <c r="AP422" s="13" t="str">
        <f aca="false">IF(OR(AP420="",AP421=""),"",AP421-AP420)</f>
        <v/>
      </c>
      <c r="AQ422" s="13" t="str">
        <f aca="false">IF(OR(AQ420="",AQ421=""),"",AQ421-AQ420)</f>
        <v/>
      </c>
      <c r="AR422" s="13" t="str">
        <f aca="false">IF(OR(AR420="",AR421=""),"",AR421-AR420)</f>
        <v/>
      </c>
      <c r="AS422" s="13" t="str">
        <f aca="false">IF(OR(AS420="",AS421=""),"",AS421-AS420)</f>
        <v/>
      </c>
      <c r="AT422" s="13" t="str">
        <f aca="false">IF(OR(AT420="",AT421=""),"",AT421-AT420)</f>
        <v/>
      </c>
      <c r="AU422" s="13" t="str">
        <f aca="false">IF(OR(AU420="",AU421=""),"",AU421-AU420)</f>
        <v/>
      </c>
      <c r="AV422" s="13" t="str">
        <f aca="false">IF(OR(AV420="",AV421=""),"",AV421-AV420)</f>
        <v/>
      </c>
      <c r="AW422" s="13" t="str">
        <f aca="false">IF(OR(AW420="",AW421=""),"",AW421-AW420)</f>
        <v/>
      </c>
      <c r="AX422" s="13" t="str">
        <f aca="false">IF(OR(AX420="",AX421=""),"",AX421-AX420)</f>
        <v/>
      </c>
      <c r="AY422" s="13" t="str">
        <f aca="false">IF(OR(AY420="",AY421=""),"",AY421-AY420)</f>
        <v/>
      </c>
      <c r="AZ422" s="13" t="str">
        <f aca="false">IF(OR(AZ420="",AZ421=""),"",AZ421-AZ420)</f>
        <v/>
      </c>
      <c r="BA422" s="13" t="str">
        <f aca="false">IF(OR(BA420="",BA421=""),"",BA421-BA420)</f>
        <v/>
      </c>
      <c r="BB422" s="13" t="str">
        <f aca="false">IF(OR(BB420="",BB421=""),"",BB421-BB420)</f>
        <v/>
      </c>
      <c r="BC422" s="13" t="str">
        <f aca="false">IF(OR(BC420="",BC421=""),"",BC421-BC420)</f>
        <v/>
      </c>
      <c r="BD422" s="13" t="str">
        <f aca="false">IF(OR(BD420="",BD421=""),"",BD421-BD420)</f>
        <v/>
      </c>
      <c r="BE422" s="13" t="str">
        <f aca="false">IF(OR(BE420="",BE421=""),"",BE421-BE420)</f>
        <v/>
      </c>
      <c r="BF422" s="13" t="str">
        <f aca="false">IF(OR(BF420="",BF421=""),"",BF421-BF420)</f>
        <v/>
      </c>
      <c r="BG422" s="13" t="str">
        <f aca="false">IF(OR(BG420="",BG421=""),"",BG421-BG420)</f>
        <v/>
      </c>
      <c r="BH422" s="13" t="str">
        <f aca="false">IF(OR(BH420="",BH421=""),"",BH421-BH420)</f>
        <v/>
      </c>
      <c r="BI422" s="13" t="str">
        <f aca="false">IF(OR(BI420="",BI421=""),"",BI421-BI420)</f>
        <v/>
      </c>
      <c r="BJ422" s="13" t="str">
        <f aca="false">IF(OR(BJ420="",BJ421=""),"",BJ421-BJ420)</f>
        <v/>
      </c>
      <c r="BK422" s="13" t="str">
        <f aca="false">IF(OR(BK420="",BK421=""),"",BK421-BK420)</f>
        <v/>
      </c>
      <c r="BL422" s="13" t="str">
        <f aca="false">IF(OR(BL420="",BL421=""),"",BL421-BL420)</f>
        <v/>
      </c>
      <c r="BM422" s="13" t="str">
        <f aca="false">IF(OR(BM420="",BM421=""),"",BM421-BM420)</f>
        <v/>
      </c>
      <c r="BN422" s="13" t="str">
        <f aca="false">IF(OR(BN420="",BN421=""),"",BN421-BN420)</f>
        <v/>
      </c>
      <c r="BO422" s="13" t="str">
        <f aca="false">IF(OR(BO420="",BO421=""),"",BO421-BO420)</f>
        <v/>
      </c>
      <c r="BP422" s="13" t="str">
        <f aca="false">IF(OR(BP420="",BP421=""),"",BP421-BP420)</f>
        <v/>
      </c>
      <c r="BQ422" s="13" t="str">
        <f aca="false">IF(OR(BQ420="",BQ421=""),"",BQ421-BQ420)</f>
        <v/>
      </c>
      <c r="BR422" s="13" t="str">
        <f aca="false">IF(OR(BR420="",BR421=""),"",BR421-BR420)</f>
        <v/>
      </c>
      <c r="BS422" s="13" t="str">
        <f aca="false">IF(OR(BS420="",BS421=""),"",BS421-BS420)</f>
        <v/>
      </c>
      <c r="BT422" s="13" t="str">
        <f aca="false">IF(OR(BT420="",BT421=""),"",BT421-BT420)</f>
        <v/>
      </c>
      <c r="BU422" s="13" t="str">
        <f aca="false">IF(OR(BU420="",BU421=""),"",BU421-BU420)</f>
        <v/>
      </c>
      <c r="BV422" s="13" t="str">
        <f aca="false">IF(OR(BV420="",BV421=""),"",BV421-BV420)</f>
        <v/>
      </c>
      <c r="BW422" s="13" t="str">
        <f aca="false">IF(OR(BW420="",BW421=""),"",BW421-BW420)</f>
        <v/>
      </c>
      <c r="BX422" s="13" t="str">
        <f aca="false">IF(OR(BX420="",BX421=""),"",BX421-BX420)</f>
        <v/>
      </c>
      <c r="BY422" s="13" t="str">
        <f aca="false">IF(OR(BY420="",BY421=""),"",BY421-BY420)</f>
        <v/>
      </c>
      <c r="BZ422" s="13" t="str">
        <f aca="false">IF(OR(BZ420="",BZ421=""),"",BZ421-BZ420)</f>
        <v/>
      </c>
      <c r="CA422" s="13" t="str">
        <f aca="false">IF(OR(CA420="",CA421=""),"",CA421-CA420)</f>
        <v/>
      </c>
      <c r="CB422" s="13" t="str">
        <f aca="false">IF(OR(CB420="",CB421=""),"",CB421-CB420)</f>
        <v/>
      </c>
      <c r="CC422" s="13" t="str">
        <f aca="false">IF(OR(CC420="",CC421=""),"",CC421-CC420)</f>
        <v/>
      </c>
      <c r="CD422" s="13" t="str">
        <f aca="false">IF(OR(CD420="",CD421=""),"",CD421-CD420)</f>
        <v/>
      </c>
      <c r="CE422" s="13" t="str">
        <f aca="false">IF(OR(CE420="",CE421=""),"",CE421-CE420)</f>
        <v/>
      </c>
      <c r="CF422" s="13" t="str">
        <f aca="false">IF(OR(CF420="",CF421=""),"",CF421-CF420)</f>
        <v/>
      </c>
      <c r="CG422" s="13" t="str">
        <f aca="false">IF(OR(CG420="",CG421=""),"",CG421-CG420)</f>
        <v/>
      </c>
      <c r="CH422" s="13" t="str">
        <f aca="false">IF(OR(CH420="",CH421=""),"",CH421-CH420)</f>
        <v/>
      </c>
      <c r="CI422" s="13" t="str">
        <f aca="false">IF(OR(CI420="",CI421=""),"",CI421-CI420)</f>
        <v/>
      </c>
      <c r="CJ422" s="13" t="str">
        <f aca="false">IF(OR(CJ420="",CJ421=""),"",CJ421-CJ420)</f>
        <v/>
      </c>
      <c r="CK422" s="13" t="str">
        <f aca="false">IF(OR(CK420="",CK421=""),"",CK421-CK420)</f>
        <v/>
      </c>
      <c r="CL422" s="13" t="str">
        <f aca="false">IF(OR(CL420="",CL421=""),"",CL421-CL420)</f>
        <v/>
      </c>
      <c r="CM422" s="13" t="str">
        <f aca="false">IF(OR(CM420="",CM421=""),"",CM421-CM420)</f>
        <v/>
      </c>
      <c r="CN422" s="13" t="str">
        <f aca="false">IF(OR(CN420="",CN421=""),"",CN421-CN420)</f>
        <v/>
      </c>
      <c r="CO422" s="13" t="str">
        <f aca="false">IF(OR(CO420="",CO421=""),"",CO421-CO420)</f>
        <v/>
      </c>
      <c r="CP422" s="13" t="str">
        <f aca="false">IF(OR(CP420="",CP421=""),"",CP421-CP420)</f>
        <v/>
      </c>
      <c r="CQ422" s="13" t="str">
        <f aca="false">IF(OR(CQ420="",CQ421=""),"",CQ421-CQ420)</f>
        <v/>
      </c>
      <c r="CR422" s="13" t="str">
        <f aca="false">IF(OR(CR420="",CR421=""),"",CR421-CR420)</f>
        <v/>
      </c>
      <c r="CS422" s="13" t="str">
        <f aca="false">IF(OR(CS420="",CS421=""),"",CS421-CS420)</f>
        <v/>
      </c>
      <c r="CT422" s="13" t="str">
        <f aca="false">IF(OR(CT420="",CT421=""),"",CT421-CT420)</f>
        <v/>
      </c>
      <c r="CU422" s="13" t="str">
        <f aca="false">IF(OR(CU420="",CU421=""),"",CU421-CU420)</f>
        <v/>
      </c>
      <c r="CV422" s="13" t="str">
        <f aca="false">IF(OR(CV420="",CV421=""),"",CV421-CV420)</f>
        <v/>
      </c>
      <c r="CW422" s="13" t="str">
        <f aca="false">IF(OR(CW420="",CW421=""),"",CW421-CW420)</f>
        <v/>
      </c>
      <c r="CX422" s="13" t="str">
        <f aca="false">IF(OR(CX420="",CX421=""),"",CX421-CX420)</f>
        <v/>
      </c>
      <c r="CY422" s="13" t="str">
        <f aca="false">IF(OR(CY420="",CY421=""),"",CY421-CY420)</f>
        <v/>
      </c>
      <c r="CZ422" s="13" t="str">
        <f aca="false">IF(OR(CZ420="",CZ421=""),"",CZ421-CZ420)</f>
        <v/>
      </c>
      <c r="DA422" s="13" t="str">
        <f aca="false">IF(OR(DA420="",DA421=""),"",DA421-DA420)</f>
        <v/>
      </c>
      <c r="DB422" s="13" t="str">
        <f aca="false">IF(OR(DB420="",DB421=""),"",DB421-DB420)</f>
        <v/>
      </c>
      <c r="DC422" s="13" t="str">
        <f aca="false">IF(OR(DC420="",DC421=""),"",DC421-DC420)</f>
        <v/>
      </c>
      <c r="DD422" s="13" t="str">
        <f aca="false">IF(OR(DD420="",DD421=""),"",DD421-DD420)</f>
        <v/>
      </c>
      <c r="DE422" s="13" t="str">
        <f aca="false">IF(OR(DE420="",DE421=""),"",DE421-DE420)</f>
        <v/>
      </c>
    </row>
    <row r="423" customFormat="false" ht="15" hidden="false" customHeight="true" outlineLevel="0" collapsed="false">
      <c r="A423" s="22" t="s">
        <v>225</v>
      </c>
      <c r="B423" s="21" t="str">
        <f aca="false">IF(B422="","",IF(ABS(B422)&lt;1,"OK","CHECK"))</f>
        <v/>
      </c>
      <c r="C423" s="21" t="str">
        <f aca="false">IF(C422="","",IF(ABS(C422)&lt;1,"OK","CHECK"))</f>
        <v/>
      </c>
      <c r="D423" s="21" t="str">
        <f aca="false">IF(D422="","",IF(ABS(D422)&lt;1,"OK","CHECK"))</f>
        <v/>
      </c>
      <c r="E423" s="21" t="str">
        <f aca="false">IF(E422="","",IF(ABS(E422)&lt;1,"OK","CHECK"))</f>
        <v/>
      </c>
      <c r="F423" s="21" t="str">
        <f aca="false">IF(F422="","",IF(ABS(F422)&lt;1,"OK","CHECK"))</f>
        <v/>
      </c>
      <c r="G423" s="21" t="str">
        <f aca="false">IF(G422="","",IF(ABS(G422)&lt;1,"OK","CHECK"))</f>
        <v/>
      </c>
      <c r="H423" s="21" t="str">
        <f aca="false">IF(H422="","",IF(ABS(H422)&lt;1,"OK","CHECK"))</f>
        <v/>
      </c>
      <c r="I423" s="21" t="str">
        <f aca="false">IF(I422="","",IF(ABS(I422)&lt;1,"OK","CHECK"))</f>
        <v>OK</v>
      </c>
      <c r="J423" s="21" t="str">
        <f aca="false">IF(J422="","",IF(ABS(J422)&lt;1,"OK","CHECK"))</f>
        <v/>
      </c>
      <c r="K423" s="21" t="str">
        <f aca="false">IF(K422="","",IF(ABS(K422)&lt;1,"OK","CHECK"))</f>
        <v/>
      </c>
      <c r="L423" s="21" t="str">
        <f aca="false">IF(L422="","",IF(ABS(L422)&lt;1,"OK","CHECK"))</f>
        <v/>
      </c>
      <c r="M423" s="21" t="str">
        <f aca="false">IF(M422="","",IF(ABS(M422)&lt;1,"OK","CHECK"))</f>
        <v/>
      </c>
      <c r="N423" s="21" t="str">
        <f aca="false">IF(N422="","",IF(ABS(N422)&lt;1,"OK","CHECK"))</f>
        <v/>
      </c>
      <c r="O423" s="21" t="str">
        <f aca="false">IF(O422="","",IF(ABS(O422)&lt;1,"OK","CHECK"))</f>
        <v/>
      </c>
      <c r="P423" s="21" t="str">
        <f aca="false">IF(P422="","",IF(ABS(P422)&lt;1,"OK","CHECK"))</f>
        <v/>
      </c>
      <c r="Q423" s="21" t="str">
        <f aca="false">IF(Q422="","",IF(ABS(Q422)&lt;1,"OK","CHECK"))</f>
        <v/>
      </c>
      <c r="R423" s="21" t="str">
        <f aca="false">IF(R422="","",IF(ABS(R422)&lt;1,"OK","CHECK"))</f>
        <v/>
      </c>
      <c r="S423" s="21" t="str">
        <f aca="false">IF(S422="","",IF(ABS(S422)&lt;1,"OK","CHECK"))</f>
        <v/>
      </c>
      <c r="T423" s="21" t="str">
        <f aca="false">IF(T422="","",IF(ABS(T422)&lt;1,"OK","CHECK"))</f>
        <v/>
      </c>
      <c r="U423" s="21" t="str">
        <f aca="false">IF(U422="","",IF(ABS(U422)&lt;1,"OK","CHECK"))</f>
        <v/>
      </c>
      <c r="V423" s="21" t="str">
        <f aca="false">IF(V422="","",IF(ABS(V422)&lt;1,"OK","CHECK"))</f>
        <v/>
      </c>
      <c r="W423" s="21" t="str">
        <f aca="false">IF(W422="","",IF(ABS(W422)&lt;1,"OK","CHECK"))</f>
        <v/>
      </c>
      <c r="X423" s="21" t="str">
        <f aca="false">IF(X422="","",IF(ABS(X422)&lt;1,"OK","CHECK"))</f>
        <v/>
      </c>
      <c r="Y423" s="21" t="str">
        <f aca="false">IF(Y422="","",IF(ABS(Y422)&lt;1,"OK","CHECK"))</f>
        <v/>
      </c>
      <c r="Z423" s="21" t="str">
        <f aca="false">IF(Z422="","",IF(ABS(Z422)&lt;1,"OK","CHECK"))</f>
        <v/>
      </c>
      <c r="AA423" s="21" t="str">
        <f aca="false">IF(AA422="","",IF(ABS(AA422)&lt;1,"OK","CHECK"))</f>
        <v/>
      </c>
      <c r="AB423" s="21" t="str">
        <f aca="false">IF(AB422="","",IF(ABS(AB422)&lt;1,"OK","CHECK"))</f>
        <v/>
      </c>
      <c r="AC423" s="21" t="str">
        <f aca="false">IF(AC422="","",IF(ABS(AC422)&lt;1,"OK","CHECK"))</f>
        <v/>
      </c>
      <c r="AD423" s="21" t="str">
        <f aca="false">IF(AD422="","",IF(ABS(AD422)&lt;1,"OK","CHECK"))</f>
        <v/>
      </c>
      <c r="AE423" s="21" t="str">
        <f aca="false">IF(AE422="","",IF(ABS(AE422)&lt;1,"OK","CHECK"))</f>
        <v/>
      </c>
      <c r="AF423" s="21" t="str">
        <f aca="false">IF(AF422="","",IF(ABS(AF422)&lt;1,"OK","CHECK"))</f>
        <v/>
      </c>
      <c r="AG423" s="21" t="str">
        <f aca="false">IF(AG422="","",IF(ABS(AG422)&lt;1,"OK","CHECK"))</f>
        <v/>
      </c>
      <c r="AH423" s="21" t="str">
        <f aca="false">IF(AH422="","",IF(ABS(AH422)&lt;1,"OK","CHECK"))</f>
        <v/>
      </c>
      <c r="AI423" s="21" t="str">
        <f aca="false">IF(AI422="","",IF(ABS(AI422)&lt;1,"OK","CHECK"))</f>
        <v/>
      </c>
      <c r="AJ423" s="21" t="str">
        <f aca="false">IF(AJ422="","",IF(ABS(AJ422)&lt;1,"OK","CHECK"))</f>
        <v/>
      </c>
      <c r="AK423" s="21" t="str">
        <f aca="false">IF(AK422="","",IF(ABS(AK422)&lt;1,"OK","CHECK"))</f>
        <v/>
      </c>
      <c r="AL423" s="21" t="str">
        <f aca="false">IF(AL422="","",IF(ABS(AL422)&lt;1,"OK","CHECK"))</f>
        <v/>
      </c>
      <c r="AM423" s="21" t="str">
        <f aca="false">IF(AM422="","",IF(ABS(AM422)&lt;1,"OK","CHECK"))</f>
        <v/>
      </c>
      <c r="AN423" s="21" t="str">
        <f aca="false">IF(AN422="","",IF(ABS(AN422)&lt;1,"OK","CHECK"))</f>
        <v/>
      </c>
      <c r="AO423" s="21" t="str">
        <f aca="false">IF(AO422="","",IF(ABS(AO422)&lt;1,"OK","CHECK"))</f>
        <v/>
      </c>
      <c r="AP423" s="21" t="str">
        <f aca="false">IF(AP422="","",IF(ABS(AP422)&lt;1,"OK","CHECK"))</f>
        <v/>
      </c>
      <c r="AQ423" s="21" t="str">
        <f aca="false">IF(AQ422="","",IF(ABS(AQ422)&lt;1,"OK","CHECK"))</f>
        <v/>
      </c>
      <c r="AR423" s="21" t="str">
        <f aca="false">IF(AR422="","",IF(ABS(AR422)&lt;1,"OK","CHECK"))</f>
        <v/>
      </c>
      <c r="AS423" s="21" t="str">
        <f aca="false">IF(AS422="","",IF(ABS(AS422)&lt;1,"OK","CHECK"))</f>
        <v/>
      </c>
      <c r="AT423" s="21" t="str">
        <f aca="false">IF(AT422="","",IF(ABS(AT422)&lt;1,"OK","CHECK"))</f>
        <v/>
      </c>
      <c r="AU423" s="21" t="str">
        <f aca="false">IF(AU422="","",IF(ABS(AU422)&lt;1,"OK","CHECK"))</f>
        <v/>
      </c>
      <c r="AV423" s="21" t="str">
        <f aca="false">IF(AV422="","",IF(ABS(AV422)&lt;1,"OK","CHECK"))</f>
        <v/>
      </c>
      <c r="AW423" s="21" t="str">
        <f aca="false">IF(AW422="","",IF(ABS(AW422)&lt;1,"OK","CHECK"))</f>
        <v/>
      </c>
      <c r="AX423" s="21" t="str">
        <f aca="false">IF(AX422="","",IF(ABS(AX422)&lt;1,"OK","CHECK"))</f>
        <v/>
      </c>
      <c r="AY423" s="21" t="str">
        <f aca="false">IF(AY422="","",IF(ABS(AY422)&lt;1,"OK","CHECK"))</f>
        <v/>
      </c>
      <c r="AZ423" s="21" t="str">
        <f aca="false">IF(AZ422="","",IF(ABS(AZ422)&lt;1,"OK","CHECK"))</f>
        <v/>
      </c>
      <c r="BA423" s="21" t="str">
        <f aca="false">IF(BA422="","",IF(ABS(BA422)&lt;1,"OK","CHECK"))</f>
        <v/>
      </c>
      <c r="BB423" s="21" t="str">
        <f aca="false">IF(BB422="","",IF(ABS(BB422)&lt;1,"OK","CHECK"))</f>
        <v/>
      </c>
      <c r="BC423" s="21" t="str">
        <f aca="false">IF(BC422="","",IF(ABS(BC422)&lt;1,"OK","CHECK"))</f>
        <v/>
      </c>
      <c r="BD423" s="21" t="str">
        <f aca="false">IF(BD422="","",IF(ABS(BD422)&lt;1,"OK","CHECK"))</f>
        <v/>
      </c>
      <c r="BE423" s="21" t="str">
        <f aca="false">IF(BE422="","",IF(ABS(BE422)&lt;1,"OK","CHECK"))</f>
        <v/>
      </c>
      <c r="BF423" s="21" t="str">
        <f aca="false">IF(BF422="","",IF(ABS(BF422)&lt;1,"OK","CHECK"))</f>
        <v/>
      </c>
      <c r="BG423" s="21" t="str">
        <f aca="false">IF(BG422="","",IF(ABS(BG422)&lt;1,"OK","CHECK"))</f>
        <v/>
      </c>
      <c r="BH423" s="21" t="str">
        <f aca="false">IF(BH422="","",IF(ABS(BH422)&lt;1,"OK","CHECK"))</f>
        <v/>
      </c>
      <c r="BI423" s="21" t="str">
        <f aca="false">IF(BI422="","",IF(ABS(BI422)&lt;1,"OK","CHECK"))</f>
        <v/>
      </c>
      <c r="BJ423" s="21" t="str">
        <f aca="false">IF(BJ422="","",IF(ABS(BJ422)&lt;1,"OK","CHECK"))</f>
        <v/>
      </c>
      <c r="BK423" s="21" t="str">
        <f aca="false">IF(BK422="","",IF(ABS(BK422)&lt;1,"OK","CHECK"))</f>
        <v/>
      </c>
      <c r="BL423" s="21" t="str">
        <f aca="false">IF(BL422="","",IF(ABS(BL422)&lt;1,"OK","CHECK"))</f>
        <v/>
      </c>
      <c r="BM423" s="21" t="str">
        <f aca="false">IF(BM422="","",IF(ABS(BM422)&lt;1,"OK","CHECK"))</f>
        <v/>
      </c>
      <c r="BN423" s="21" t="str">
        <f aca="false">IF(BN422="","",IF(ABS(BN422)&lt;1,"OK","CHECK"))</f>
        <v/>
      </c>
      <c r="BO423" s="21" t="str">
        <f aca="false">IF(BO422="","",IF(ABS(BO422)&lt;1,"OK","CHECK"))</f>
        <v/>
      </c>
      <c r="BP423" s="21" t="str">
        <f aca="false">IF(BP422="","",IF(ABS(BP422)&lt;1,"OK","CHECK"))</f>
        <v/>
      </c>
      <c r="BQ423" s="21" t="str">
        <f aca="false">IF(BQ422="","",IF(ABS(BQ422)&lt;1,"OK","CHECK"))</f>
        <v/>
      </c>
      <c r="BR423" s="21" t="str">
        <f aca="false">IF(BR422="","",IF(ABS(BR422)&lt;1,"OK","CHECK"))</f>
        <v/>
      </c>
      <c r="BS423" s="21" t="str">
        <f aca="false">IF(BS422="","",IF(ABS(BS422)&lt;1,"OK","CHECK"))</f>
        <v/>
      </c>
      <c r="BT423" s="21" t="str">
        <f aca="false">IF(BT422="","",IF(ABS(BT422)&lt;1,"OK","CHECK"))</f>
        <v/>
      </c>
      <c r="BU423" s="21" t="str">
        <f aca="false">IF(BU422="","",IF(ABS(BU422)&lt;1,"OK","CHECK"))</f>
        <v/>
      </c>
      <c r="BV423" s="21" t="str">
        <f aca="false">IF(BV422="","",IF(ABS(BV422)&lt;1,"OK","CHECK"))</f>
        <v/>
      </c>
      <c r="BW423" s="21" t="str">
        <f aca="false">IF(BW422="","",IF(ABS(BW422)&lt;1,"OK","CHECK"))</f>
        <v/>
      </c>
      <c r="BX423" s="21" t="str">
        <f aca="false">IF(BX422="","",IF(ABS(BX422)&lt;1,"OK","CHECK"))</f>
        <v/>
      </c>
      <c r="BY423" s="21" t="str">
        <f aca="false">IF(BY422="","",IF(ABS(BY422)&lt;1,"OK","CHECK"))</f>
        <v/>
      </c>
      <c r="BZ423" s="21" t="str">
        <f aca="false">IF(BZ422="","",IF(ABS(BZ422)&lt;1,"OK","CHECK"))</f>
        <v/>
      </c>
      <c r="CA423" s="21" t="str">
        <f aca="false">IF(CA422="","",IF(ABS(CA422)&lt;1,"OK","CHECK"))</f>
        <v/>
      </c>
      <c r="CB423" s="21" t="str">
        <f aca="false">IF(CB422="","",IF(ABS(CB422)&lt;1,"OK","CHECK"))</f>
        <v/>
      </c>
      <c r="CC423" s="21" t="str">
        <f aca="false">IF(CC422="","",IF(ABS(CC422)&lt;1,"OK","CHECK"))</f>
        <v/>
      </c>
      <c r="CD423" s="21" t="str">
        <f aca="false">IF(CD422="","",IF(ABS(CD422)&lt;1,"OK","CHECK"))</f>
        <v/>
      </c>
      <c r="CE423" s="21" t="str">
        <f aca="false">IF(CE422="","",IF(ABS(CE422)&lt;1,"OK","CHECK"))</f>
        <v/>
      </c>
      <c r="CF423" s="21" t="str">
        <f aca="false">IF(CF422="","",IF(ABS(CF422)&lt;1,"OK","CHECK"))</f>
        <v/>
      </c>
      <c r="CG423" s="21" t="str">
        <f aca="false">IF(CG422="","",IF(ABS(CG422)&lt;1,"OK","CHECK"))</f>
        <v/>
      </c>
      <c r="CH423" s="21" t="str">
        <f aca="false">IF(CH422="","",IF(ABS(CH422)&lt;1,"OK","CHECK"))</f>
        <v/>
      </c>
      <c r="CI423" s="21" t="str">
        <f aca="false">IF(CI422="","",IF(ABS(CI422)&lt;1,"OK","CHECK"))</f>
        <v/>
      </c>
      <c r="CJ423" s="21" t="str">
        <f aca="false">IF(CJ422="","",IF(ABS(CJ422)&lt;1,"OK","CHECK"))</f>
        <v/>
      </c>
      <c r="CK423" s="21" t="str">
        <f aca="false">IF(CK422="","",IF(ABS(CK422)&lt;1,"OK","CHECK"))</f>
        <v/>
      </c>
      <c r="CL423" s="21" t="str">
        <f aca="false">IF(CL422="","",IF(ABS(CL422)&lt;1,"OK","CHECK"))</f>
        <v/>
      </c>
      <c r="CM423" s="21" t="str">
        <f aca="false">IF(CM422="","",IF(ABS(CM422)&lt;1,"OK","CHECK"))</f>
        <v/>
      </c>
      <c r="CN423" s="21" t="str">
        <f aca="false">IF(CN422="","",IF(ABS(CN422)&lt;1,"OK","CHECK"))</f>
        <v/>
      </c>
      <c r="CO423" s="21" t="str">
        <f aca="false">IF(CO422="","",IF(ABS(CO422)&lt;1,"OK","CHECK"))</f>
        <v/>
      </c>
      <c r="CP423" s="21" t="str">
        <f aca="false">IF(CP422="","",IF(ABS(CP422)&lt;1,"OK","CHECK"))</f>
        <v/>
      </c>
      <c r="CQ423" s="21" t="str">
        <f aca="false">IF(CQ422="","",IF(ABS(CQ422)&lt;1,"OK","CHECK"))</f>
        <v/>
      </c>
      <c r="CR423" s="21" t="str">
        <f aca="false">IF(CR422="","",IF(ABS(CR422)&lt;1,"OK","CHECK"))</f>
        <v/>
      </c>
      <c r="CS423" s="21" t="str">
        <f aca="false">IF(CS422="","",IF(ABS(CS422)&lt;1,"OK","CHECK"))</f>
        <v/>
      </c>
      <c r="CT423" s="21" t="str">
        <f aca="false">IF(CT422="","",IF(ABS(CT422)&lt;1,"OK","CHECK"))</f>
        <v/>
      </c>
      <c r="CU423" s="21" t="str">
        <f aca="false">IF(CU422="","",IF(ABS(CU422)&lt;1,"OK","CHECK"))</f>
        <v/>
      </c>
      <c r="CV423" s="21" t="str">
        <f aca="false">IF(CV422="","",IF(ABS(CV422)&lt;1,"OK","CHECK"))</f>
        <v/>
      </c>
      <c r="CW423" s="21" t="str">
        <f aca="false">IF(CW422="","",IF(ABS(CW422)&lt;1,"OK","CHECK"))</f>
        <v/>
      </c>
      <c r="CX423" s="21" t="str">
        <f aca="false">IF(CX422="","",IF(ABS(CX422)&lt;1,"OK","CHECK"))</f>
        <v/>
      </c>
      <c r="CY423" s="21" t="str">
        <f aca="false">IF(CY422="","",IF(ABS(CY422)&lt;1,"OK","CHECK"))</f>
        <v/>
      </c>
      <c r="CZ423" s="21" t="str">
        <f aca="false">IF(CZ422="","",IF(ABS(CZ422)&lt;1,"OK","CHECK"))</f>
        <v/>
      </c>
      <c r="DA423" s="21" t="str">
        <f aca="false">IF(DA422="","",IF(ABS(DA422)&lt;1,"OK","CHECK"))</f>
        <v/>
      </c>
      <c r="DB423" s="21" t="str">
        <f aca="false">IF(DB422="","",IF(ABS(DB422)&lt;1,"OK","CHECK"))</f>
        <v/>
      </c>
      <c r="DC423" s="21" t="str">
        <f aca="false">IF(DC422="","",IF(ABS(DC422)&lt;1,"OK","CHECK"))</f>
        <v/>
      </c>
      <c r="DD423" s="21" t="str">
        <f aca="false">IF(DD422="","",IF(ABS(DD422)&lt;1,"OK","CHECK"))</f>
        <v/>
      </c>
      <c r="DE423" s="21" t="str">
        <f aca="false">IF(DE422="","",IF(ABS(DE422)&lt;1,"OK","CHECK"))</f>
        <v/>
      </c>
    </row>
    <row r="424" customFormat="false" ht="15" hidden="false" customHeight="true" outlineLevel="0" collapsed="false">
      <c r="A424" s="22" t="s">
        <v>226</v>
      </c>
      <c r="B424" s="13"/>
      <c r="C424" s="13"/>
      <c r="D424" s="13"/>
      <c r="E424" s="13"/>
      <c r="F424" s="13"/>
      <c r="G424" s="13"/>
      <c r="H424" s="73" t="n">
        <v>912018</v>
      </c>
      <c r="I424" s="73" t="n">
        <v>2649471</v>
      </c>
      <c r="J424" s="13" t="n">
        <v>1626284</v>
      </c>
      <c r="K424" s="13"/>
      <c r="L424" s="13"/>
      <c r="M424" s="13"/>
      <c r="N424" s="13"/>
      <c r="O424" s="13"/>
      <c r="P424" s="13"/>
      <c r="Q424" s="13"/>
      <c r="R424" s="13"/>
      <c r="S424" s="13"/>
      <c r="T424" s="13"/>
      <c r="U424" s="13"/>
      <c r="V424" s="13"/>
      <c r="W424" s="13"/>
      <c r="X424" s="13"/>
      <c r="Y424" s="13"/>
      <c r="Z424" s="13"/>
      <c r="AA424" s="13"/>
      <c r="AB424" s="13"/>
      <c r="AC424" s="13"/>
      <c r="AD424" s="13"/>
      <c r="AE424" s="13"/>
      <c r="AF424" s="13"/>
      <c r="AG424" s="13"/>
      <c r="AH424" s="13"/>
      <c r="AI424" s="13"/>
      <c r="AJ424" s="13"/>
      <c r="AK424" s="13"/>
      <c r="AL424" s="13"/>
      <c r="AM424" s="13"/>
      <c r="AN424" s="13"/>
      <c r="AO424" s="13"/>
      <c r="AP424" s="13"/>
      <c r="AQ424" s="13"/>
      <c r="AR424" s="13"/>
      <c r="AS424" s="13"/>
      <c r="AT424" s="13"/>
      <c r="AU424" s="13"/>
      <c r="AV424" s="13"/>
      <c r="AW424" s="13"/>
      <c r="AX424" s="13"/>
      <c r="AY424" s="13"/>
      <c r="AZ424" s="13"/>
      <c r="BA424" s="13"/>
      <c r="BB424" s="13"/>
      <c r="BC424" s="13"/>
      <c r="BD424" s="13"/>
      <c r="BE424" s="13"/>
      <c r="BF424" s="13"/>
      <c r="BG424" s="13"/>
      <c r="BH424" s="13"/>
      <c r="BI424" s="13"/>
      <c r="BJ424" s="13"/>
      <c r="BK424" s="13"/>
      <c r="BL424" s="13"/>
      <c r="BM424" s="13"/>
      <c r="BN424" s="13"/>
      <c r="BO424" s="13"/>
      <c r="BP424" s="13"/>
      <c r="BQ424" s="13"/>
      <c r="BR424" s="13"/>
      <c r="BS424" s="13"/>
      <c r="BT424" s="13"/>
      <c r="BU424" s="13"/>
      <c r="BV424" s="13"/>
      <c r="BW424" s="13"/>
      <c r="BX424" s="13"/>
      <c r="BY424" s="13"/>
      <c r="BZ424" s="13"/>
      <c r="CA424" s="13"/>
      <c r="CB424" s="13"/>
      <c r="CC424" s="13"/>
      <c r="CD424" s="13"/>
      <c r="CE424" s="13"/>
      <c r="CF424" s="13"/>
      <c r="CG424" s="13"/>
      <c r="CH424" s="13"/>
      <c r="CI424" s="13"/>
      <c r="CJ424" s="13"/>
      <c r="CK424" s="13"/>
      <c r="CL424" s="13"/>
      <c r="CM424" s="13"/>
      <c r="CN424" s="13"/>
      <c r="CO424" s="13"/>
      <c r="CP424" s="13"/>
      <c r="CQ424" s="13"/>
      <c r="CR424" s="13"/>
      <c r="CS424" s="13"/>
      <c r="CT424" s="13"/>
      <c r="CU424" s="13"/>
      <c r="CV424" s="13"/>
      <c r="CW424" s="13"/>
      <c r="CX424" s="13"/>
      <c r="CY424" s="13"/>
      <c r="CZ424" s="13"/>
      <c r="DA424" s="13"/>
      <c r="DB424" s="13"/>
      <c r="DC424" s="13"/>
      <c r="DD424" s="13"/>
      <c r="DE424" s="13"/>
    </row>
    <row r="425" customFormat="false" ht="15" hidden="false" customHeight="true" outlineLevel="0" collapsed="false">
      <c r="A425" s="22" t="s">
        <v>227</v>
      </c>
      <c r="B425" s="13" t="str">
        <f aca="false">IF(OR(B420="",B424=""),"",B424-B420)</f>
        <v/>
      </c>
      <c r="C425" s="13" t="str">
        <f aca="false">IF(OR(C420="",C424=""),"",C424-C420)</f>
        <v/>
      </c>
      <c r="D425" s="13" t="str">
        <f aca="false">IF(OR(D420="",D424=""),"",D424-D420)</f>
        <v/>
      </c>
      <c r="E425" s="13" t="str">
        <f aca="false">IF(OR(E420="",E424=""),"",E424-E420)</f>
        <v/>
      </c>
      <c r="F425" s="13" t="str">
        <f aca="false">IF(OR(F420="",F424=""),"",F424-F420)</f>
        <v/>
      </c>
      <c r="G425" s="13" t="str">
        <f aca="false">IF(OR(G420="",G424=""),"",G424-G420)</f>
        <v/>
      </c>
      <c r="H425" s="13" t="n">
        <f aca="false">IF(OR(H420="",H424=""),"",H424-H420)</f>
        <v>506455</v>
      </c>
      <c r="I425" s="13" t="n">
        <f aca="false">IF(OR(I420="",I424=""),"",I424-I420)</f>
        <v>704175</v>
      </c>
      <c r="J425" s="13" t="str">
        <f aca="false">IF(OR(J420="",J424=""),"",J424-J420)</f>
        <v/>
      </c>
      <c r="K425" s="13" t="str">
        <f aca="false">IF(OR(K420="",K424=""),"",K424-K420)</f>
        <v/>
      </c>
      <c r="L425" s="13" t="str">
        <f aca="false">IF(OR(L420="",L424=""),"",L424-L420)</f>
        <v/>
      </c>
      <c r="M425" s="13" t="str">
        <f aca="false">IF(OR(M420="",M424=""),"",M424-M420)</f>
        <v/>
      </c>
      <c r="N425" s="13" t="str">
        <f aca="false">IF(OR(N420="",N424=""),"",N424-N420)</f>
        <v/>
      </c>
      <c r="O425" s="13" t="str">
        <f aca="false">IF(OR(O420="",O424=""),"",O424-O420)</f>
        <v/>
      </c>
      <c r="P425" s="13" t="str">
        <f aca="false">IF(OR(P420="",P424=""),"",P424-P420)</f>
        <v/>
      </c>
      <c r="Q425" s="13" t="str">
        <f aca="false">IF(OR(Q420="",Q424=""),"",Q424-Q420)</f>
        <v/>
      </c>
      <c r="R425" s="13" t="str">
        <f aca="false">IF(OR(R420="",R424=""),"",R424-R420)</f>
        <v/>
      </c>
      <c r="S425" s="13" t="str">
        <f aca="false">IF(OR(S420="",S424=""),"",S424-S420)</f>
        <v/>
      </c>
      <c r="T425" s="13" t="str">
        <f aca="false">IF(OR(T420="",T424=""),"",T424-T420)</f>
        <v/>
      </c>
      <c r="U425" s="13" t="str">
        <f aca="false">IF(OR(U420="",U424=""),"",U424-U420)</f>
        <v/>
      </c>
      <c r="V425" s="13" t="str">
        <f aca="false">IF(OR(V420="",V424=""),"",V424-V420)</f>
        <v/>
      </c>
      <c r="W425" s="13" t="str">
        <f aca="false">IF(OR(W420="",W424=""),"",W424-W420)</f>
        <v/>
      </c>
      <c r="X425" s="13" t="str">
        <f aca="false">IF(OR(X420="",X424=""),"",X424-X420)</f>
        <v/>
      </c>
      <c r="Y425" s="13" t="str">
        <f aca="false">IF(OR(Y420="",Y424=""),"",Y424-Y420)</f>
        <v/>
      </c>
      <c r="Z425" s="13" t="str">
        <f aca="false">IF(OR(Z420="",Z424=""),"",Z424-Z420)</f>
        <v/>
      </c>
      <c r="AA425" s="13" t="str">
        <f aca="false">IF(OR(AA420="",AA424=""),"",AA424-AA420)</f>
        <v/>
      </c>
      <c r="AB425" s="13" t="str">
        <f aca="false">IF(OR(AB420="",AB424=""),"",AB424-AB420)</f>
        <v/>
      </c>
      <c r="AC425" s="13" t="str">
        <f aca="false">IF(OR(AC420="",AC424=""),"",AC424-AC420)</f>
        <v/>
      </c>
      <c r="AD425" s="13" t="str">
        <f aca="false">IF(OR(AD420="",AD424=""),"",AD424-AD420)</f>
        <v/>
      </c>
      <c r="AE425" s="13" t="str">
        <f aca="false">IF(OR(AE420="",AE424=""),"",AE424-AE420)</f>
        <v/>
      </c>
      <c r="AF425" s="13" t="str">
        <f aca="false">IF(OR(AF420="",AF424=""),"",AF424-AF420)</f>
        <v/>
      </c>
      <c r="AG425" s="13" t="str">
        <f aca="false">IF(OR(AG420="",AG424=""),"",AG424-AG420)</f>
        <v/>
      </c>
      <c r="AH425" s="13" t="str">
        <f aca="false">IF(OR(AH420="",AH424=""),"",AH424-AH420)</f>
        <v/>
      </c>
      <c r="AI425" s="13" t="str">
        <f aca="false">IF(OR(AI420="",AI424=""),"",AI424-AI420)</f>
        <v/>
      </c>
      <c r="AJ425" s="13" t="str">
        <f aca="false">IF(OR(AJ420="",AJ424=""),"",AJ424-AJ420)</f>
        <v/>
      </c>
      <c r="AK425" s="13" t="str">
        <f aca="false">IF(OR(AK420="",AK424=""),"",AK424-AK420)</f>
        <v/>
      </c>
      <c r="AL425" s="13" t="str">
        <f aca="false">IF(OR(AL420="",AL424=""),"",AL424-AL420)</f>
        <v/>
      </c>
      <c r="AM425" s="13" t="str">
        <f aca="false">IF(OR(AM420="",AM424=""),"",AM424-AM420)</f>
        <v/>
      </c>
      <c r="AN425" s="13" t="str">
        <f aca="false">IF(OR(AN420="",AN424=""),"",AN424-AN420)</f>
        <v/>
      </c>
      <c r="AO425" s="13" t="str">
        <f aca="false">IF(OR(AO420="",AO424=""),"",AO424-AO420)</f>
        <v/>
      </c>
      <c r="AP425" s="13" t="str">
        <f aca="false">IF(OR(AP420="",AP424=""),"",AP424-AP420)</f>
        <v/>
      </c>
      <c r="AQ425" s="13" t="str">
        <f aca="false">IF(OR(AQ420="",AQ424=""),"",AQ424-AQ420)</f>
        <v/>
      </c>
      <c r="AR425" s="13" t="str">
        <f aca="false">IF(OR(AR420="",AR424=""),"",AR424-AR420)</f>
        <v/>
      </c>
      <c r="AS425" s="13" t="str">
        <f aca="false">IF(OR(AS420="",AS424=""),"",AS424-AS420)</f>
        <v/>
      </c>
      <c r="AT425" s="13" t="str">
        <f aca="false">IF(OR(AT420="",AT424=""),"",AT424-AT420)</f>
        <v/>
      </c>
      <c r="AU425" s="13" t="str">
        <f aca="false">IF(OR(AU420="",AU424=""),"",AU424-AU420)</f>
        <v/>
      </c>
      <c r="AV425" s="13" t="str">
        <f aca="false">IF(OR(AV420="",AV424=""),"",AV424-AV420)</f>
        <v/>
      </c>
      <c r="AW425" s="13" t="str">
        <f aca="false">IF(OR(AW420="",AW424=""),"",AW424-AW420)</f>
        <v/>
      </c>
      <c r="AX425" s="13" t="str">
        <f aca="false">IF(OR(AX420="",AX424=""),"",AX424-AX420)</f>
        <v/>
      </c>
      <c r="AY425" s="13" t="str">
        <f aca="false">IF(OR(AY420="",AY424=""),"",AY424-AY420)</f>
        <v/>
      </c>
      <c r="AZ425" s="13" t="str">
        <f aca="false">IF(OR(AZ420="",AZ424=""),"",AZ424-AZ420)</f>
        <v/>
      </c>
      <c r="BA425" s="13" t="str">
        <f aca="false">IF(OR(BA420="",BA424=""),"",BA424-BA420)</f>
        <v/>
      </c>
      <c r="BB425" s="13" t="str">
        <f aca="false">IF(OR(BB420="",BB424=""),"",BB424-BB420)</f>
        <v/>
      </c>
      <c r="BC425" s="13" t="str">
        <f aca="false">IF(OR(BC420="",BC424=""),"",BC424-BC420)</f>
        <v/>
      </c>
      <c r="BD425" s="13" t="str">
        <f aca="false">IF(OR(BD420="",BD424=""),"",BD424-BD420)</f>
        <v/>
      </c>
      <c r="BE425" s="13" t="str">
        <f aca="false">IF(OR(BE420="",BE424=""),"",BE424-BE420)</f>
        <v/>
      </c>
      <c r="BF425" s="13" t="str">
        <f aca="false">IF(OR(BF420="",BF424=""),"",BF424-BF420)</f>
        <v/>
      </c>
      <c r="BG425" s="13" t="str">
        <f aca="false">IF(OR(BG420="",BG424=""),"",BG424-BG420)</f>
        <v/>
      </c>
      <c r="BH425" s="13" t="str">
        <f aca="false">IF(OR(BH420="",BH424=""),"",BH424-BH420)</f>
        <v/>
      </c>
      <c r="BI425" s="13" t="str">
        <f aca="false">IF(OR(BI420="",BI424=""),"",BI424-BI420)</f>
        <v/>
      </c>
      <c r="BJ425" s="13" t="str">
        <f aca="false">IF(OR(BJ420="",BJ424=""),"",BJ424-BJ420)</f>
        <v/>
      </c>
      <c r="BK425" s="13" t="str">
        <f aca="false">IF(OR(BK420="",BK424=""),"",BK424-BK420)</f>
        <v/>
      </c>
      <c r="BL425" s="13" t="str">
        <f aca="false">IF(OR(BL420="",BL424=""),"",BL424-BL420)</f>
        <v/>
      </c>
      <c r="BM425" s="13" t="str">
        <f aca="false">IF(OR(BM420="",BM424=""),"",BM424-BM420)</f>
        <v/>
      </c>
      <c r="BN425" s="13" t="str">
        <f aca="false">IF(OR(BN420="",BN424=""),"",BN424-BN420)</f>
        <v/>
      </c>
      <c r="BO425" s="13" t="str">
        <f aca="false">IF(OR(BO420="",BO424=""),"",BO424-BO420)</f>
        <v/>
      </c>
      <c r="BP425" s="13" t="str">
        <f aca="false">IF(OR(BP420="",BP424=""),"",BP424-BP420)</f>
        <v/>
      </c>
      <c r="BQ425" s="13" t="str">
        <f aca="false">IF(OR(BQ420="",BQ424=""),"",BQ424-BQ420)</f>
        <v/>
      </c>
      <c r="BR425" s="13" t="str">
        <f aca="false">IF(OR(BR420="",BR424=""),"",BR424-BR420)</f>
        <v/>
      </c>
      <c r="BS425" s="13" t="str">
        <f aca="false">IF(OR(BS420="",BS424=""),"",BS424-BS420)</f>
        <v/>
      </c>
      <c r="BT425" s="13" t="str">
        <f aca="false">IF(OR(BT420="",BT424=""),"",BT424-BT420)</f>
        <v/>
      </c>
      <c r="BU425" s="13" t="str">
        <f aca="false">IF(OR(BU420="",BU424=""),"",BU424-BU420)</f>
        <v/>
      </c>
      <c r="BV425" s="13" t="str">
        <f aca="false">IF(OR(BV420="",BV424=""),"",BV424-BV420)</f>
        <v/>
      </c>
      <c r="BW425" s="13" t="str">
        <f aca="false">IF(OR(BW420="",BW424=""),"",BW424-BW420)</f>
        <v/>
      </c>
      <c r="BX425" s="13" t="str">
        <f aca="false">IF(OR(BX420="",BX424=""),"",BX424-BX420)</f>
        <v/>
      </c>
      <c r="BY425" s="13" t="str">
        <f aca="false">IF(OR(BY420="",BY424=""),"",BY424-BY420)</f>
        <v/>
      </c>
      <c r="BZ425" s="13" t="str">
        <f aca="false">IF(OR(BZ420="",BZ424=""),"",BZ424-BZ420)</f>
        <v/>
      </c>
      <c r="CA425" s="13" t="str">
        <f aca="false">IF(OR(CA420="",CA424=""),"",CA424-CA420)</f>
        <v/>
      </c>
      <c r="CB425" s="13" t="str">
        <f aca="false">IF(OR(CB420="",CB424=""),"",CB424-CB420)</f>
        <v/>
      </c>
      <c r="CC425" s="13" t="str">
        <f aca="false">IF(OR(CC420="",CC424=""),"",CC424-CC420)</f>
        <v/>
      </c>
      <c r="CD425" s="13" t="str">
        <f aca="false">IF(OR(CD420="",CD424=""),"",CD424-CD420)</f>
        <v/>
      </c>
      <c r="CE425" s="13" t="str">
        <f aca="false">IF(OR(CE420="",CE424=""),"",CE424-CE420)</f>
        <v/>
      </c>
      <c r="CF425" s="13" t="str">
        <f aca="false">IF(OR(CF420="",CF424=""),"",CF424-CF420)</f>
        <v/>
      </c>
      <c r="CG425" s="13" t="str">
        <f aca="false">IF(OR(CG420="",CG424=""),"",CG424-CG420)</f>
        <v/>
      </c>
      <c r="CH425" s="13" t="str">
        <f aca="false">IF(OR(CH420="",CH424=""),"",CH424-CH420)</f>
        <v/>
      </c>
      <c r="CI425" s="13" t="str">
        <f aca="false">IF(OR(CI420="",CI424=""),"",CI424-CI420)</f>
        <v/>
      </c>
      <c r="CJ425" s="13" t="str">
        <f aca="false">IF(OR(CJ420="",CJ424=""),"",CJ424-CJ420)</f>
        <v/>
      </c>
      <c r="CK425" s="13" t="str">
        <f aca="false">IF(OR(CK420="",CK424=""),"",CK424-CK420)</f>
        <v/>
      </c>
      <c r="CL425" s="13" t="str">
        <f aca="false">IF(OR(CL420="",CL424=""),"",CL424-CL420)</f>
        <v/>
      </c>
      <c r="CM425" s="13" t="str">
        <f aca="false">IF(OR(CM420="",CM424=""),"",CM424-CM420)</f>
        <v/>
      </c>
      <c r="CN425" s="13" t="str">
        <f aca="false">IF(OR(CN420="",CN424=""),"",CN424-CN420)</f>
        <v/>
      </c>
      <c r="CO425" s="13" t="str">
        <f aca="false">IF(OR(CO420="",CO424=""),"",CO424-CO420)</f>
        <v/>
      </c>
      <c r="CP425" s="13" t="str">
        <f aca="false">IF(OR(CP420="",CP424=""),"",CP424-CP420)</f>
        <v/>
      </c>
      <c r="CQ425" s="13" t="str">
        <f aca="false">IF(OR(CQ420="",CQ424=""),"",CQ424-CQ420)</f>
        <v/>
      </c>
      <c r="CR425" s="13" t="str">
        <f aca="false">IF(OR(CR420="",CR424=""),"",CR424-CR420)</f>
        <v/>
      </c>
      <c r="CS425" s="13" t="str">
        <f aca="false">IF(OR(CS420="",CS424=""),"",CS424-CS420)</f>
        <v/>
      </c>
      <c r="CT425" s="13" t="str">
        <f aca="false">IF(OR(CT420="",CT424=""),"",CT424-CT420)</f>
        <v/>
      </c>
      <c r="CU425" s="13" t="str">
        <f aca="false">IF(OR(CU420="",CU424=""),"",CU424-CU420)</f>
        <v/>
      </c>
      <c r="CV425" s="13" t="str">
        <f aca="false">IF(OR(CV420="",CV424=""),"",CV424-CV420)</f>
        <v/>
      </c>
      <c r="CW425" s="13" t="str">
        <f aca="false">IF(OR(CW420="",CW424=""),"",CW424-CW420)</f>
        <v/>
      </c>
      <c r="CX425" s="13" t="str">
        <f aca="false">IF(OR(CX420="",CX424=""),"",CX424-CX420)</f>
        <v/>
      </c>
      <c r="CY425" s="13" t="str">
        <f aca="false">IF(OR(CY420="",CY424=""),"",CY424-CY420)</f>
        <v/>
      </c>
      <c r="CZ425" s="13" t="str">
        <f aca="false">IF(OR(CZ420="",CZ424=""),"",CZ424-CZ420)</f>
        <v/>
      </c>
      <c r="DA425" s="13" t="str">
        <f aca="false">IF(OR(DA420="",DA424=""),"",DA424-DA420)</f>
        <v/>
      </c>
      <c r="DB425" s="13" t="str">
        <f aca="false">IF(OR(DB420="",DB424=""),"",DB424-DB420)</f>
        <v/>
      </c>
      <c r="DC425" s="13" t="str">
        <f aca="false">IF(OR(DC420="",DC424=""),"",DC424-DC420)</f>
        <v/>
      </c>
      <c r="DD425" s="13" t="str">
        <f aca="false">IF(OR(DD420="",DD424=""),"",DD424-DD420)</f>
        <v/>
      </c>
      <c r="DE425" s="13" t="str">
        <f aca="false">IF(OR(DE420="",DE424=""),"",DE424-DE420)</f>
        <v/>
      </c>
    </row>
    <row r="427" customFormat="false" ht="15" hidden="false" customHeight="true" outlineLevel="0" collapsed="false">
      <c r="A427" s="23" t="s">
        <v>230</v>
      </c>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c r="AA427" s="34"/>
      <c r="AB427" s="34"/>
      <c r="AC427" s="34"/>
      <c r="AD427" s="34"/>
      <c r="AE427" s="34"/>
      <c r="AF427" s="34"/>
      <c r="AG427" s="34"/>
      <c r="AH427" s="34"/>
      <c r="AI427" s="34"/>
      <c r="AJ427" s="34"/>
      <c r="AK427" s="34"/>
      <c r="AL427" s="34"/>
      <c r="AM427" s="34"/>
      <c r="AN427" s="34"/>
      <c r="AO427" s="34"/>
      <c r="AP427" s="34"/>
      <c r="AQ427" s="34"/>
      <c r="AR427" s="34"/>
      <c r="AS427" s="34"/>
      <c r="AT427" s="34"/>
      <c r="AU427" s="34"/>
      <c r="AV427" s="34"/>
      <c r="AW427" s="34"/>
      <c r="AX427" s="34"/>
      <c r="AY427" s="34"/>
      <c r="AZ427" s="34"/>
      <c r="BA427" s="34"/>
      <c r="BB427" s="34"/>
      <c r="BC427" s="34"/>
      <c r="BD427" s="34"/>
      <c r="BE427" s="34"/>
      <c r="BF427" s="34"/>
      <c r="BG427" s="34"/>
      <c r="BH427" s="34"/>
      <c r="BI427" s="34"/>
      <c r="BJ427" s="34"/>
      <c r="BK427" s="34"/>
      <c r="BL427" s="34"/>
      <c r="BM427" s="34"/>
      <c r="BN427" s="34"/>
      <c r="BO427" s="34"/>
      <c r="BP427" s="34"/>
      <c r="BQ427" s="34"/>
      <c r="BR427" s="34"/>
      <c r="BS427" s="34"/>
      <c r="BT427" s="34"/>
      <c r="BU427" s="34"/>
      <c r="BV427" s="34"/>
      <c r="BW427" s="34"/>
      <c r="BX427" s="34"/>
      <c r="BY427" s="34"/>
      <c r="BZ427" s="34"/>
      <c r="CA427" s="34"/>
      <c r="CB427" s="34"/>
      <c r="CC427" s="34"/>
      <c r="CD427" s="34"/>
      <c r="CE427" s="34"/>
      <c r="CF427" s="34"/>
      <c r="CG427" s="34"/>
      <c r="CH427" s="34"/>
      <c r="CI427" s="34"/>
      <c r="CJ427" s="34"/>
      <c r="CK427" s="34"/>
      <c r="CL427" s="34"/>
      <c r="CM427" s="34"/>
      <c r="CN427" s="34"/>
      <c r="CO427" s="34"/>
      <c r="CP427" s="34"/>
      <c r="CQ427" s="34"/>
      <c r="CR427" s="34"/>
      <c r="CS427" s="34"/>
      <c r="CT427" s="34"/>
      <c r="CU427" s="34"/>
      <c r="CV427" s="34"/>
      <c r="CW427" s="34"/>
      <c r="CX427" s="34"/>
      <c r="CY427" s="34"/>
      <c r="CZ427" s="34"/>
      <c r="DA427" s="34"/>
      <c r="DB427" s="34"/>
      <c r="DC427" s="34"/>
      <c r="DD427" s="34"/>
      <c r="DE427" s="34"/>
    </row>
    <row r="428" customFormat="false" ht="15" hidden="false" customHeight="true" outlineLevel="0" collapsed="false">
      <c r="A428" s="70" t="s">
        <v>231</v>
      </c>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c r="AB428" s="13"/>
      <c r="AC428" s="13"/>
      <c r="AD428" s="13"/>
      <c r="AE428" s="13"/>
      <c r="AF428" s="13"/>
      <c r="AG428" s="13"/>
      <c r="AH428" s="13"/>
      <c r="AI428" s="13"/>
      <c r="AJ428" s="13"/>
      <c r="AK428" s="13"/>
      <c r="AL428" s="13"/>
      <c r="AM428" s="13"/>
      <c r="AN428" s="13"/>
      <c r="AO428" s="13"/>
      <c r="AP428" s="13"/>
      <c r="AQ428" s="13"/>
      <c r="AR428" s="13"/>
      <c r="AS428" s="13"/>
      <c r="AT428" s="13"/>
      <c r="AU428" s="13"/>
      <c r="AV428" s="13"/>
      <c r="AW428" s="13"/>
      <c r="AX428" s="13"/>
      <c r="AY428" s="13"/>
      <c r="AZ428" s="13"/>
      <c r="BA428" s="13"/>
      <c r="BB428" s="13"/>
      <c r="BC428" s="13"/>
      <c r="BD428" s="13"/>
      <c r="BE428" s="13"/>
      <c r="BF428" s="13"/>
      <c r="BG428" s="13"/>
      <c r="BH428" s="13"/>
      <c r="BI428" s="13"/>
      <c r="BJ428" s="13"/>
      <c r="BK428" s="13"/>
      <c r="BL428" s="13"/>
      <c r="BM428" s="13"/>
      <c r="BN428" s="13"/>
      <c r="BO428" s="13"/>
      <c r="BP428" s="13"/>
      <c r="BQ428" s="13"/>
      <c r="BR428" s="13"/>
      <c r="BS428" s="13"/>
      <c r="BT428" s="13"/>
      <c r="BU428" s="13"/>
      <c r="BV428" s="13"/>
      <c r="BW428" s="13"/>
      <c r="BX428" s="13"/>
      <c r="BY428" s="13"/>
      <c r="BZ428" s="13"/>
      <c r="CA428" s="13"/>
      <c r="CB428" s="13"/>
      <c r="CC428" s="13"/>
      <c r="CD428" s="13"/>
      <c r="CE428" s="13"/>
      <c r="CF428" s="13"/>
      <c r="CG428" s="13"/>
      <c r="CH428" s="13"/>
      <c r="CI428" s="13"/>
      <c r="CJ428" s="13"/>
      <c r="CK428" s="13"/>
      <c r="CL428" s="13"/>
      <c r="CM428" s="13"/>
      <c r="CN428" s="13"/>
      <c r="CO428" s="13"/>
      <c r="CP428" s="13"/>
      <c r="CQ428" s="13"/>
      <c r="CR428" s="13"/>
      <c r="CS428" s="13"/>
      <c r="CT428" s="13"/>
      <c r="CU428" s="13"/>
      <c r="CV428" s="13"/>
      <c r="CW428" s="13"/>
      <c r="CX428" s="13"/>
      <c r="CY428" s="13"/>
      <c r="CZ428" s="13"/>
      <c r="DA428" s="13"/>
      <c r="DB428" s="13"/>
      <c r="DC428" s="13"/>
      <c r="DD428" s="13"/>
      <c r="DE428" s="13"/>
    </row>
    <row r="429" customFormat="false" ht="15" hidden="false" customHeight="true" outlineLevel="0" collapsed="false">
      <c r="A429" s="22" t="s">
        <v>232</v>
      </c>
      <c r="B429" s="73" t="n">
        <v>489587</v>
      </c>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c r="AB429" s="13"/>
      <c r="AC429" s="13"/>
      <c r="AD429" s="13"/>
      <c r="AE429" s="13"/>
      <c r="AF429" s="13"/>
      <c r="AG429" s="13"/>
      <c r="AH429" s="13"/>
      <c r="AI429" s="13"/>
      <c r="AJ429" s="13"/>
      <c r="AK429" s="13"/>
      <c r="AL429" s="13"/>
      <c r="AM429" s="13"/>
      <c r="AN429" s="13"/>
      <c r="AO429" s="13"/>
      <c r="AP429" s="13"/>
      <c r="AQ429" s="13"/>
      <c r="AR429" s="13"/>
      <c r="AS429" s="13"/>
      <c r="AT429" s="13"/>
      <c r="AU429" s="13"/>
      <c r="AV429" s="13"/>
      <c r="AW429" s="13"/>
      <c r="AX429" s="13"/>
      <c r="AY429" s="13"/>
      <c r="AZ429" s="13"/>
      <c r="BA429" s="13"/>
      <c r="BB429" s="13"/>
      <c r="BC429" s="13"/>
      <c r="BD429" s="13"/>
      <c r="BE429" s="13"/>
      <c r="BF429" s="13"/>
      <c r="BG429" s="13"/>
      <c r="BH429" s="13"/>
      <c r="BI429" s="13"/>
      <c r="BJ429" s="13"/>
      <c r="BK429" s="13"/>
      <c r="BL429" s="13"/>
      <c r="BM429" s="13"/>
      <c r="BN429" s="13"/>
      <c r="BO429" s="13"/>
      <c r="BP429" s="13"/>
      <c r="BQ429" s="13"/>
      <c r="BR429" s="13"/>
      <c r="BS429" s="13"/>
      <c r="BT429" s="13"/>
      <c r="BU429" s="13"/>
      <c r="BV429" s="13"/>
      <c r="BW429" s="13"/>
      <c r="BX429" s="13"/>
      <c r="BY429" s="13"/>
      <c r="BZ429" s="13"/>
      <c r="CA429" s="13"/>
      <c r="CB429" s="13"/>
      <c r="CC429" s="13"/>
      <c r="CD429" s="13"/>
      <c r="CE429" s="13"/>
      <c r="CF429" s="13"/>
      <c r="CG429" s="13"/>
      <c r="CH429" s="13"/>
      <c r="CI429" s="13"/>
      <c r="CJ429" s="13"/>
      <c r="CK429" s="13"/>
      <c r="CL429" s="13"/>
      <c r="CM429" s="13"/>
      <c r="CN429" s="13"/>
      <c r="CO429" s="13"/>
      <c r="CP429" s="13"/>
      <c r="CQ429" s="13"/>
      <c r="CR429" s="13"/>
      <c r="CS429" s="13"/>
      <c r="CT429" s="13"/>
      <c r="CU429" s="13"/>
      <c r="CV429" s="13"/>
      <c r="CW429" s="13"/>
      <c r="CX429" s="13"/>
      <c r="CY429" s="13"/>
      <c r="CZ429" s="13"/>
      <c r="DA429" s="13"/>
      <c r="DB429" s="13"/>
      <c r="DC429" s="13"/>
      <c r="DD429" s="13"/>
      <c r="DE429" s="13"/>
    </row>
    <row r="430" customFormat="false" ht="15" hidden="false" customHeight="true" outlineLevel="0" collapsed="false">
      <c r="A430" s="22" t="s">
        <v>233</v>
      </c>
      <c r="B430" s="73" t="n">
        <v>3526180</v>
      </c>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c r="AB430" s="13"/>
      <c r="AC430" s="13"/>
      <c r="AD430" s="13"/>
      <c r="AE430" s="13"/>
      <c r="AF430" s="13"/>
      <c r="AG430" s="13"/>
      <c r="AH430" s="13"/>
      <c r="AI430" s="13"/>
      <c r="AJ430" s="13"/>
      <c r="AK430" s="13"/>
      <c r="AL430" s="13"/>
      <c r="AM430" s="13"/>
      <c r="AN430" s="13"/>
      <c r="AO430" s="13"/>
      <c r="AP430" s="13"/>
      <c r="AQ430" s="13"/>
      <c r="AR430" s="13"/>
      <c r="AS430" s="13"/>
      <c r="AT430" s="13"/>
      <c r="AU430" s="13"/>
      <c r="AV430" s="13"/>
      <c r="AW430" s="13"/>
      <c r="AX430" s="13"/>
      <c r="AY430" s="13"/>
      <c r="AZ430" s="13"/>
      <c r="BA430" s="13"/>
      <c r="BB430" s="13"/>
      <c r="BC430" s="13"/>
      <c r="BD430" s="13"/>
      <c r="BE430" s="13"/>
      <c r="BF430" s="13"/>
      <c r="BG430" s="13"/>
      <c r="BH430" s="13"/>
      <c r="BI430" s="13"/>
      <c r="BJ430" s="13"/>
      <c r="BK430" s="13"/>
      <c r="BL430" s="13"/>
      <c r="BM430" s="13"/>
      <c r="BN430" s="13"/>
      <c r="BO430" s="13"/>
      <c r="BP430" s="13"/>
      <c r="BQ430" s="13"/>
      <c r="BR430" s="13"/>
      <c r="BS430" s="13"/>
      <c r="BT430" s="13"/>
      <c r="BU430" s="13"/>
      <c r="BV430" s="13"/>
      <c r="BW430" s="13"/>
      <c r="BX430" s="13"/>
      <c r="BY430" s="13"/>
      <c r="BZ430" s="13"/>
      <c r="CA430" s="13"/>
      <c r="CB430" s="13"/>
      <c r="CC430" s="13"/>
      <c r="CD430" s="13"/>
      <c r="CE430" s="13"/>
      <c r="CF430" s="13"/>
      <c r="CG430" s="13"/>
      <c r="CH430" s="13"/>
      <c r="CI430" s="13"/>
      <c r="CJ430" s="13"/>
      <c r="CK430" s="13"/>
      <c r="CL430" s="13"/>
      <c r="CM430" s="13"/>
      <c r="CN430" s="13"/>
      <c r="CO430" s="13"/>
      <c r="CP430" s="13"/>
      <c r="CQ430" s="13"/>
      <c r="CR430" s="13"/>
      <c r="CS430" s="13"/>
      <c r="CT430" s="13"/>
      <c r="CU430" s="13"/>
      <c r="CV430" s="13"/>
      <c r="CW430" s="13"/>
      <c r="CX430" s="13"/>
      <c r="CY430" s="13"/>
      <c r="CZ430" s="13"/>
      <c r="DA430" s="13"/>
      <c r="DB430" s="13"/>
      <c r="DC430" s="13"/>
      <c r="DD430" s="13"/>
      <c r="DE430" s="13"/>
    </row>
    <row r="431" customFormat="false" ht="15" hidden="false" customHeight="true" outlineLevel="0" collapsed="false">
      <c r="A431" s="22" t="s">
        <v>234</v>
      </c>
      <c r="B431" s="73" t="n">
        <v>4378580</v>
      </c>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c r="AB431" s="13"/>
      <c r="AC431" s="13"/>
      <c r="AD431" s="13"/>
      <c r="AE431" s="13"/>
      <c r="AF431" s="13"/>
      <c r="AG431" s="13"/>
      <c r="AH431" s="13"/>
      <c r="AI431" s="13"/>
      <c r="AJ431" s="13"/>
      <c r="AK431" s="13"/>
      <c r="AL431" s="13"/>
      <c r="AM431" s="13"/>
      <c r="AN431" s="13"/>
      <c r="AO431" s="13"/>
      <c r="AP431" s="13"/>
      <c r="AQ431" s="13"/>
      <c r="AR431" s="13"/>
      <c r="AS431" s="13"/>
      <c r="AT431" s="13"/>
      <c r="AU431" s="13"/>
      <c r="AV431" s="13"/>
      <c r="AW431" s="13"/>
      <c r="AX431" s="13"/>
      <c r="AY431" s="13"/>
      <c r="AZ431" s="13"/>
      <c r="BA431" s="13"/>
      <c r="BB431" s="13"/>
      <c r="BC431" s="13"/>
      <c r="BD431" s="13"/>
      <c r="BE431" s="13"/>
      <c r="BF431" s="13"/>
      <c r="BG431" s="13"/>
      <c r="BH431" s="13"/>
      <c r="BI431" s="13"/>
      <c r="BJ431" s="13"/>
      <c r="BK431" s="13"/>
      <c r="BL431" s="13"/>
      <c r="BM431" s="13"/>
      <c r="BN431" s="13"/>
      <c r="BO431" s="13"/>
      <c r="BP431" s="13"/>
      <c r="BQ431" s="13"/>
      <c r="BR431" s="13"/>
      <c r="BS431" s="13"/>
      <c r="BT431" s="13"/>
      <c r="BU431" s="13"/>
      <c r="BV431" s="13"/>
      <c r="BW431" s="13"/>
      <c r="BX431" s="13"/>
      <c r="BY431" s="13"/>
      <c r="BZ431" s="13"/>
      <c r="CA431" s="13"/>
      <c r="CB431" s="13"/>
      <c r="CC431" s="13"/>
      <c r="CD431" s="13"/>
      <c r="CE431" s="13"/>
      <c r="CF431" s="13"/>
      <c r="CG431" s="13"/>
      <c r="CH431" s="13"/>
      <c r="CI431" s="13"/>
      <c r="CJ431" s="13"/>
      <c r="CK431" s="13"/>
      <c r="CL431" s="13"/>
      <c r="CM431" s="13"/>
      <c r="CN431" s="13"/>
      <c r="CO431" s="13"/>
      <c r="CP431" s="13"/>
      <c r="CQ431" s="13"/>
      <c r="CR431" s="13"/>
      <c r="CS431" s="13"/>
      <c r="CT431" s="13"/>
      <c r="CU431" s="13"/>
      <c r="CV431" s="13"/>
      <c r="CW431" s="13"/>
      <c r="CX431" s="13"/>
      <c r="CY431" s="13"/>
      <c r="CZ431" s="13"/>
      <c r="DA431" s="13"/>
      <c r="DB431" s="13"/>
      <c r="DC431" s="13"/>
      <c r="DD431" s="13"/>
      <c r="DE431" s="13"/>
    </row>
    <row r="432" customFormat="false" ht="15" hidden="false" customHeight="true" outlineLevel="0" collapsed="false">
      <c r="A432" s="22" t="s">
        <v>235</v>
      </c>
      <c r="B432" s="73" t="n">
        <v>146586</v>
      </c>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c r="AB432" s="13"/>
      <c r="AC432" s="13"/>
      <c r="AD432" s="13"/>
      <c r="AE432" s="13"/>
      <c r="AF432" s="13"/>
      <c r="AG432" s="13"/>
      <c r="AH432" s="13"/>
      <c r="AI432" s="13"/>
      <c r="AJ432" s="13"/>
      <c r="AK432" s="13"/>
      <c r="AL432" s="13"/>
      <c r="AM432" s="13"/>
      <c r="AN432" s="13"/>
      <c r="AO432" s="13"/>
      <c r="AP432" s="13"/>
      <c r="AQ432" s="13"/>
      <c r="AR432" s="13"/>
      <c r="AS432" s="13"/>
      <c r="AT432" s="13"/>
      <c r="AU432" s="13"/>
      <c r="AV432" s="13"/>
      <c r="AW432" s="13"/>
      <c r="AX432" s="13"/>
      <c r="AY432" s="13"/>
      <c r="AZ432" s="13"/>
      <c r="BA432" s="13"/>
      <c r="BB432" s="13"/>
      <c r="BC432" s="13"/>
      <c r="BD432" s="13"/>
      <c r="BE432" s="13"/>
      <c r="BF432" s="13"/>
      <c r="BG432" s="13"/>
      <c r="BH432" s="13"/>
      <c r="BI432" s="13"/>
      <c r="BJ432" s="13"/>
      <c r="BK432" s="13"/>
      <c r="BL432" s="13"/>
      <c r="BM432" s="13"/>
      <c r="BN432" s="13"/>
      <c r="BO432" s="13"/>
      <c r="BP432" s="13"/>
      <c r="BQ432" s="13"/>
      <c r="BR432" s="13"/>
      <c r="BS432" s="13"/>
      <c r="BT432" s="13"/>
      <c r="BU432" s="13"/>
      <c r="BV432" s="13"/>
      <c r="BW432" s="13"/>
      <c r="BX432" s="13"/>
      <c r="BY432" s="13"/>
      <c r="BZ432" s="13"/>
      <c r="CA432" s="13"/>
      <c r="CB432" s="13"/>
      <c r="CC432" s="13"/>
      <c r="CD432" s="13"/>
      <c r="CE432" s="13"/>
      <c r="CF432" s="13"/>
      <c r="CG432" s="13"/>
      <c r="CH432" s="13"/>
      <c r="CI432" s="13"/>
      <c r="CJ432" s="13"/>
      <c r="CK432" s="13"/>
      <c r="CL432" s="13"/>
      <c r="CM432" s="13"/>
      <c r="CN432" s="13"/>
      <c r="CO432" s="13"/>
      <c r="CP432" s="13"/>
      <c r="CQ432" s="13"/>
      <c r="CR432" s="13"/>
      <c r="CS432" s="13"/>
      <c r="CT432" s="13"/>
      <c r="CU432" s="13"/>
      <c r="CV432" s="13"/>
      <c r="CW432" s="13"/>
      <c r="CX432" s="13"/>
      <c r="CY432" s="13"/>
      <c r="CZ432" s="13"/>
      <c r="DA432" s="13"/>
      <c r="DB432" s="13"/>
      <c r="DC432" s="13"/>
      <c r="DD432" s="13"/>
      <c r="DE432" s="13"/>
    </row>
    <row r="433" customFormat="false" ht="15" hidden="false" customHeight="true" outlineLevel="0" collapsed="false">
      <c r="A433" s="22" t="s">
        <v>236</v>
      </c>
      <c r="B433" s="73" t="n">
        <v>1237504</v>
      </c>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c r="AB433" s="13"/>
      <c r="AC433" s="13"/>
      <c r="AD433" s="13"/>
      <c r="AE433" s="13"/>
      <c r="AF433" s="13"/>
      <c r="AG433" s="13"/>
      <c r="AH433" s="13"/>
      <c r="AI433" s="13"/>
      <c r="AJ433" s="13"/>
      <c r="AK433" s="13"/>
      <c r="AL433" s="13"/>
      <c r="AM433" s="13"/>
      <c r="AN433" s="13"/>
      <c r="AO433" s="13"/>
      <c r="AP433" s="13"/>
      <c r="AQ433" s="13"/>
      <c r="AR433" s="13"/>
      <c r="AS433" s="13"/>
      <c r="AT433" s="13"/>
      <c r="AU433" s="13"/>
      <c r="AV433" s="13"/>
      <c r="AW433" s="13"/>
      <c r="AX433" s="13"/>
      <c r="AY433" s="13"/>
      <c r="AZ433" s="13"/>
      <c r="BA433" s="13"/>
      <c r="BB433" s="13"/>
      <c r="BC433" s="13"/>
      <c r="BD433" s="13"/>
      <c r="BE433" s="13"/>
      <c r="BF433" s="13"/>
      <c r="BG433" s="13"/>
      <c r="BH433" s="13"/>
      <c r="BI433" s="13"/>
      <c r="BJ433" s="13"/>
      <c r="BK433" s="13"/>
      <c r="BL433" s="13"/>
      <c r="BM433" s="13"/>
      <c r="BN433" s="13"/>
      <c r="BO433" s="13"/>
      <c r="BP433" s="13"/>
      <c r="BQ433" s="13"/>
      <c r="BR433" s="13"/>
      <c r="BS433" s="13"/>
      <c r="BT433" s="13"/>
      <c r="BU433" s="13"/>
      <c r="BV433" s="13"/>
      <c r="BW433" s="13"/>
      <c r="BX433" s="13"/>
      <c r="BY433" s="13"/>
      <c r="BZ433" s="13"/>
      <c r="CA433" s="13"/>
      <c r="CB433" s="13"/>
      <c r="CC433" s="13"/>
      <c r="CD433" s="13"/>
      <c r="CE433" s="13"/>
      <c r="CF433" s="13"/>
      <c r="CG433" s="13"/>
      <c r="CH433" s="13"/>
      <c r="CI433" s="13"/>
      <c r="CJ433" s="13"/>
      <c r="CK433" s="13"/>
      <c r="CL433" s="13"/>
      <c r="CM433" s="13"/>
      <c r="CN433" s="13"/>
      <c r="CO433" s="13"/>
      <c r="CP433" s="13"/>
      <c r="CQ433" s="13"/>
      <c r="CR433" s="13"/>
      <c r="CS433" s="13"/>
      <c r="CT433" s="13"/>
      <c r="CU433" s="13"/>
      <c r="CV433" s="13"/>
      <c r="CW433" s="13"/>
      <c r="CX433" s="13"/>
      <c r="CY433" s="13"/>
      <c r="CZ433" s="13"/>
      <c r="DA433" s="13"/>
      <c r="DB433" s="13"/>
      <c r="DC433" s="13"/>
      <c r="DD433" s="13"/>
      <c r="DE433" s="13"/>
    </row>
    <row r="434" customFormat="false" ht="15" hidden="false" customHeight="true" outlineLevel="0" collapsed="false">
      <c r="A434" s="22" t="s">
        <v>237</v>
      </c>
      <c r="B434" s="73" t="n">
        <v>2347037</v>
      </c>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c r="AB434" s="13"/>
      <c r="AC434" s="13"/>
      <c r="AD434" s="13"/>
      <c r="AE434" s="13"/>
      <c r="AF434" s="13"/>
      <c r="AG434" s="13"/>
      <c r="AH434" s="13"/>
      <c r="AI434" s="13"/>
      <c r="AJ434" s="13"/>
      <c r="AK434" s="13"/>
      <c r="AL434" s="13"/>
      <c r="AM434" s="13"/>
      <c r="AN434" s="13"/>
      <c r="AO434" s="13"/>
      <c r="AP434" s="13"/>
      <c r="AQ434" s="13"/>
      <c r="AR434" s="13"/>
      <c r="AS434" s="13"/>
      <c r="AT434" s="13"/>
      <c r="AU434" s="13"/>
      <c r="AV434" s="13"/>
      <c r="AW434" s="13"/>
      <c r="AX434" s="13"/>
      <c r="AY434" s="13"/>
      <c r="AZ434" s="13"/>
      <c r="BA434" s="13"/>
      <c r="BB434" s="13"/>
      <c r="BC434" s="13"/>
      <c r="BD434" s="13"/>
      <c r="BE434" s="13"/>
      <c r="BF434" s="13"/>
      <c r="BG434" s="13"/>
      <c r="BH434" s="13"/>
      <c r="BI434" s="13"/>
      <c r="BJ434" s="13"/>
      <c r="BK434" s="13"/>
      <c r="BL434" s="13"/>
      <c r="BM434" s="13"/>
      <c r="BN434" s="13"/>
      <c r="BO434" s="13"/>
      <c r="BP434" s="13"/>
      <c r="BQ434" s="13"/>
      <c r="BR434" s="13"/>
      <c r="BS434" s="13"/>
      <c r="BT434" s="13"/>
      <c r="BU434" s="13"/>
      <c r="BV434" s="13"/>
      <c r="BW434" s="13"/>
      <c r="BX434" s="13"/>
      <c r="BY434" s="13"/>
      <c r="BZ434" s="13"/>
      <c r="CA434" s="13"/>
      <c r="CB434" s="13"/>
      <c r="CC434" s="13"/>
      <c r="CD434" s="13"/>
      <c r="CE434" s="13"/>
      <c r="CF434" s="13"/>
      <c r="CG434" s="13"/>
      <c r="CH434" s="13"/>
      <c r="CI434" s="13"/>
      <c r="CJ434" s="13"/>
      <c r="CK434" s="13"/>
      <c r="CL434" s="13"/>
      <c r="CM434" s="13"/>
      <c r="CN434" s="13"/>
      <c r="CO434" s="13"/>
      <c r="CP434" s="13"/>
      <c r="CQ434" s="13"/>
      <c r="CR434" s="13"/>
      <c r="CS434" s="13"/>
      <c r="CT434" s="13"/>
      <c r="CU434" s="13"/>
      <c r="CV434" s="13"/>
      <c r="CW434" s="13"/>
      <c r="CX434" s="13"/>
      <c r="CY434" s="13"/>
      <c r="CZ434" s="13"/>
      <c r="DA434" s="13"/>
      <c r="DB434" s="13"/>
      <c r="DC434" s="13"/>
      <c r="DD434" s="13"/>
      <c r="DE434" s="13"/>
    </row>
    <row r="435" customFormat="false" ht="15" hidden="false" customHeight="true" outlineLevel="0" collapsed="false">
      <c r="A435" s="22" t="s">
        <v>238</v>
      </c>
      <c r="B435" s="73" t="n">
        <v>299000</v>
      </c>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c r="AD435" s="13"/>
      <c r="AE435" s="13"/>
      <c r="AF435" s="13"/>
      <c r="AG435" s="13"/>
      <c r="AH435" s="13"/>
      <c r="AI435" s="13"/>
      <c r="AJ435" s="13"/>
      <c r="AK435" s="13"/>
      <c r="AL435" s="13"/>
      <c r="AM435" s="13"/>
      <c r="AN435" s="13"/>
      <c r="AO435" s="13"/>
      <c r="AP435" s="13"/>
      <c r="AQ435" s="13"/>
      <c r="AR435" s="13"/>
      <c r="AS435" s="13"/>
      <c r="AT435" s="13"/>
      <c r="AU435" s="13"/>
      <c r="AV435" s="13"/>
      <c r="AW435" s="13"/>
      <c r="AX435" s="13"/>
      <c r="AY435" s="13"/>
      <c r="AZ435" s="13"/>
      <c r="BA435" s="13"/>
      <c r="BB435" s="13"/>
      <c r="BC435" s="13"/>
      <c r="BD435" s="13"/>
      <c r="BE435" s="13"/>
      <c r="BF435" s="13"/>
      <c r="BG435" s="13"/>
      <c r="BH435" s="13"/>
      <c r="BI435" s="13"/>
      <c r="BJ435" s="13"/>
      <c r="BK435" s="13"/>
      <c r="BL435" s="13"/>
      <c r="BM435" s="13"/>
      <c r="BN435" s="13"/>
      <c r="BO435" s="13"/>
      <c r="BP435" s="13"/>
      <c r="BQ435" s="13"/>
      <c r="BR435" s="13"/>
      <c r="BS435" s="13"/>
      <c r="BT435" s="13"/>
      <c r="BU435" s="13"/>
      <c r="BV435" s="13"/>
      <c r="BW435" s="13"/>
      <c r="BX435" s="13"/>
      <c r="BY435" s="13"/>
      <c r="BZ435" s="13"/>
      <c r="CA435" s="13"/>
      <c r="CB435" s="13"/>
      <c r="CC435" s="13"/>
      <c r="CD435" s="13"/>
      <c r="CE435" s="13"/>
      <c r="CF435" s="13"/>
      <c r="CG435" s="13"/>
      <c r="CH435" s="13"/>
      <c r="CI435" s="13"/>
      <c r="CJ435" s="13"/>
      <c r="CK435" s="13"/>
      <c r="CL435" s="13"/>
      <c r="CM435" s="13"/>
      <c r="CN435" s="13"/>
      <c r="CO435" s="13"/>
      <c r="CP435" s="13"/>
      <c r="CQ435" s="13"/>
      <c r="CR435" s="13"/>
      <c r="CS435" s="13"/>
      <c r="CT435" s="13"/>
      <c r="CU435" s="13"/>
      <c r="CV435" s="13"/>
      <c r="CW435" s="13"/>
      <c r="CX435" s="13"/>
      <c r="CY435" s="13"/>
      <c r="CZ435" s="13"/>
      <c r="DA435" s="13"/>
      <c r="DB435" s="13"/>
      <c r="DC435" s="13"/>
      <c r="DD435" s="13"/>
      <c r="DE435" s="13"/>
    </row>
    <row r="437" customFormat="false" ht="15" hidden="false" customHeight="true" outlineLevel="0" collapsed="false">
      <c r="A437" s="70" t="s">
        <v>239</v>
      </c>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c r="AD437" s="13"/>
      <c r="AE437" s="13"/>
      <c r="AF437" s="13"/>
      <c r="AG437" s="13"/>
      <c r="AH437" s="13"/>
      <c r="AI437" s="13"/>
      <c r="AJ437" s="13"/>
      <c r="AK437" s="13"/>
      <c r="AL437" s="13"/>
      <c r="AM437" s="13"/>
      <c r="AN437" s="13"/>
      <c r="AO437" s="13"/>
      <c r="AP437" s="13"/>
      <c r="AQ437" s="13"/>
      <c r="AR437" s="13"/>
      <c r="AS437" s="13"/>
      <c r="AT437" s="13"/>
      <c r="AU437" s="13"/>
      <c r="AV437" s="13"/>
      <c r="AW437" s="13"/>
      <c r="AX437" s="13"/>
      <c r="AY437" s="13"/>
      <c r="AZ437" s="13"/>
      <c r="BA437" s="13"/>
      <c r="BB437" s="13"/>
      <c r="BC437" s="13"/>
      <c r="BD437" s="13"/>
      <c r="BE437" s="13"/>
      <c r="BF437" s="13"/>
      <c r="BG437" s="13"/>
      <c r="BH437" s="13"/>
      <c r="BI437" s="13"/>
      <c r="BJ437" s="13"/>
      <c r="BK437" s="13"/>
      <c r="BL437" s="13"/>
      <c r="BM437" s="13"/>
      <c r="BN437" s="13"/>
      <c r="BO437" s="13"/>
      <c r="BP437" s="13"/>
      <c r="BQ437" s="13"/>
      <c r="BR437" s="13"/>
      <c r="BS437" s="13"/>
      <c r="BT437" s="13"/>
      <c r="BU437" s="13"/>
      <c r="BV437" s="13"/>
      <c r="BW437" s="13"/>
      <c r="BX437" s="13"/>
      <c r="BY437" s="13"/>
      <c r="BZ437" s="13"/>
      <c r="CA437" s="13"/>
      <c r="CB437" s="13"/>
      <c r="CC437" s="13"/>
      <c r="CD437" s="13"/>
      <c r="CE437" s="13"/>
      <c r="CF437" s="13"/>
      <c r="CG437" s="13"/>
      <c r="CH437" s="13"/>
      <c r="CI437" s="13"/>
      <c r="CJ437" s="13"/>
      <c r="CK437" s="13"/>
      <c r="CL437" s="13"/>
      <c r="CM437" s="13"/>
      <c r="CN437" s="13"/>
      <c r="CO437" s="13"/>
      <c r="CP437" s="13"/>
      <c r="CQ437" s="13"/>
      <c r="CR437" s="13"/>
      <c r="CS437" s="13"/>
      <c r="CT437" s="13"/>
      <c r="CU437" s="13"/>
      <c r="CV437" s="13"/>
      <c r="CW437" s="13"/>
      <c r="CX437" s="13"/>
      <c r="CY437" s="13"/>
      <c r="CZ437" s="13"/>
      <c r="DA437" s="13"/>
      <c r="DB437" s="13"/>
      <c r="DC437" s="13"/>
      <c r="DD437" s="13"/>
      <c r="DE437" s="13"/>
    </row>
    <row r="438" customFormat="false" ht="15" hidden="false" customHeight="true" outlineLevel="0" collapsed="false">
      <c r="A438" s="22" t="s">
        <v>240</v>
      </c>
      <c r="B438" s="73" t="n">
        <v>2921863</v>
      </c>
      <c r="C438" s="73" t="n">
        <v>3816651</v>
      </c>
      <c r="D438" s="73" t="n">
        <v>3367521</v>
      </c>
      <c r="E438" s="73" t="n">
        <v>4913957</v>
      </c>
      <c r="F438" s="73" t="n">
        <v>5548038</v>
      </c>
      <c r="G438" s="73" t="n">
        <v>8605828</v>
      </c>
      <c r="H438" s="73" t="n">
        <v>9463439</v>
      </c>
      <c r="I438" s="13" t="n">
        <v>8872832</v>
      </c>
      <c r="J438" s="13"/>
      <c r="K438" s="13"/>
      <c r="L438" s="13"/>
      <c r="M438" s="13"/>
      <c r="N438" s="13"/>
      <c r="O438" s="13"/>
      <c r="P438" s="13"/>
      <c r="Q438" s="13"/>
      <c r="R438" s="13"/>
      <c r="S438" s="13"/>
      <c r="T438" s="13"/>
      <c r="U438" s="13"/>
      <c r="V438" s="13"/>
      <c r="W438" s="13"/>
      <c r="X438" s="13"/>
      <c r="Y438" s="13"/>
      <c r="Z438" s="13"/>
      <c r="AA438" s="13"/>
      <c r="AB438" s="13"/>
      <c r="AC438" s="13"/>
      <c r="AD438" s="13"/>
      <c r="AE438" s="13"/>
      <c r="AF438" s="13"/>
      <c r="AG438" s="13"/>
      <c r="AH438" s="13"/>
      <c r="AI438" s="13"/>
      <c r="AJ438" s="13"/>
      <c r="AK438" s="13"/>
      <c r="AL438" s="13"/>
      <c r="AM438" s="13"/>
      <c r="AN438" s="13"/>
      <c r="AO438" s="13"/>
      <c r="AP438" s="13"/>
      <c r="AQ438" s="13"/>
      <c r="AR438" s="13"/>
      <c r="AS438" s="13"/>
      <c r="AT438" s="13"/>
      <c r="AU438" s="13"/>
      <c r="AV438" s="13"/>
      <c r="AW438" s="13"/>
      <c r="AX438" s="13"/>
      <c r="AY438" s="13"/>
      <c r="AZ438" s="13"/>
      <c r="BA438" s="13"/>
      <c r="BB438" s="13"/>
      <c r="BC438" s="13"/>
      <c r="BD438" s="13"/>
      <c r="BE438" s="13"/>
      <c r="BF438" s="13"/>
      <c r="BG438" s="13"/>
      <c r="BH438" s="13"/>
      <c r="BI438" s="13"/>
      <c r="BJ438" s="13"/>
      <c r="BK438" s="13"/>
      <c r="BL438" s="13"/>
      <c r="BM438" s="13"/>
      <c r="BN438" s="13"/>
      <c r="BO438" s="13"/>
      <c r="BP438" s="13"/>
      <c r="BQ438" s="13"/>
      <c r="BR438" s="13"/>
      <c r="BS438" s="13"/>
      <c r="BT438" s="13"/>
      <c r="BU438" s="13"/>
      <c r="BV438" s="13"/>
      <c r="BW438" s="13"/>
      <c r="BX438" s="13"/>
      <c r="BY438" s="13"/>
      <c r="BZ438" s="13"/>
      <c r="CA438" s="13"/>
      <c r="CB438" s="13"/>
      <c r="CC438" s="13"/>
      <c r="CD438" s="13"/>
      <c r="CE438" s="13"/>
      <c r="CF438" s="13"/>
      <c r="CG438" s="13"/>
      <c r="CH438" s="13"/>
      <c r="CI438" s="13"/>
      <c r="CJ438" s="13"/>
      <c r="CK438" s="13"/>
      <c r="CL438" s="13"/>
      <c r="CM438" s="13"/>
      <c r="CN438" s="13"/>
      <c r="CO438" s="13"/>
      <c r="CP438" s="13"/>
      <c r="CQ438" s="13"/>
      <c r="CR438" s="13"/>
      <c r="CS438" s="13"/>
      <c r="CT438" s="13"/>
      <c r="CU438" s="13"/>
      <c r="CV438" s="13"/>
      <c r="CW438" s="13"/>
      <c r="CX438" s="13"/>
      <c r="CY438" s="13"/>
      <c r="CZ438" s="13"/>
      <c r="DA438" s="13"/>
      <c r="DB438" s="13"/>
      <c r="DC438" s="13"/>
      <c r="DD438" s="13"/>
      <c r="DE438" s="13"/>
    </row>
    <row r="439" customFormat="false" ht="15" hidden="false" customHeight="true" outlineLevel="0" collapsed="false">
      <c r="A439" s="22" t="s">
        <v>241</v>
      </c>
      <c r="B439" s="73" t="n">
        <v>417159</v>
      </c>
      <c r="C439" s="73" t="n">
        <v>552746</v>
      </c>
      <c r="D439" s="73" t="n">
        <v>682719</v>
      </c>
      <c r="E439" s="73" t="n">
        <v>863823</v>
      </c>
      <c r="F439" s="73" t="n">
        <v>1075205</v>
      </c>
      <c r="G439" s="73" t="n">
        <v>1343596</v>
      </c>
      <c r="H439" s="73" t="n">
        <v>1609222</v>
      </c>
      <c r="I439" s="13" t="n">
        <v>1872897</v>
      </c>
      <c r="J439" s="13"/>
      <c r="K439" s="13"/>
      <c r="L439" s="13"/>
      <c r="M439" s="13"/>
      <c r="N439" s="13"/>
      <c r="O439" s="13"/>
      <c r="P439" s="13"/>
      <c r="Q439" s="13"/>
      <c r="R439" s="13"/>
      <c r="S439" s="13"/>
      <c r="T439" s="13"/>
      <c r="U439" s="13"/>
      <c r="V439" s="13"/>
      <c r="W439" s="13"/>
      <c r="X439" s="13"/>
      <c r="Y439" s="13"/>
      <c r="Z439" s="13"/>
      <c r="AA439" s="13"/>
      <c r="AB439" s="13"/>
      <c r="AC439" s="13"/>
      <c r="AD439" s="13"/>
      <c r="AE439" s="13"/>
      <c r="AF439" s="13"/>
      <c r="AG439" s="13"/>
      <c r="AH439" s="13"/>
      <c r="AI439" s="13"/>
      <c r="AJ439" s="13"/>
      <c r="AK439" s="13"/>
      <c r="AL439" s="13"/>
      <c r="AM439" s="13"/>
      <c r="AN439" s="13"/>
      <c r="AO439" s="13"/>
      <c r="AP439" s="13"/>
      <c r="AQ439" s="13"/>
      <c r="AR439" s="13"/>
      <c r="AS439" s="13"/>
      <c r="AT439" s="13"/>
      <c r="AU439" s="13"/>
      <c r="AV439" s="13"/>
      <c r="AW439" s="13"/>
      <c r="AX439" s="13"/>
      <c r="AY439" s="13"/>
      <c r="AZ439" s="13"/>
      <c r="BA439" s="13"/>
      <c r="BB439" s="13"/>
      <c r="BC439" s="13"/>
      <c r="BD439" s="13"/>
      <c r="BE439" s="13"/>
      <c r="BF439" s="13"/>
      <c r="BG439" s="13"/>
      <c r="BH439" s="13"/>
      <c r="BI439" s="13"/>
      <c r="BJ439" s="13"/>
      <c r="BK439" s="13"/>
      <c r="BL439" s="13"/>
      <c r="BM439" s="13"/>
      <c r="BN439" s="13"/>
      <c r="BO439" s="13"/>
      <c r="BP439" s="13"/>
      <c r="BQ439" s="13"/>
      <c r="BR439" s="13"/>
      <c r="BS439" s="13"/>
      <c r="BT439" s="13"/>
      <c r="BU439" s="13"/>
      <c r="BV439" s="13"/>
      <c r="BW439" s="13"/>
      <c r="BX439" s="13"/>
      <c r="BY439" s="13"/>
      <c r="BZ439" s="13"/>
      <c r="CA439" s="13"/>
      <c r="CB439" s="13"/>
      <c r="CC439" s="13"/>
      <c r="CD439" s="13"/>
      <c r="CE439" s="13"/>
      <c r="CF439" s="13"/>
      <c r="CG439" s="13"/>
      <c r="CH439" s="13"/>
      <c r="CI439" s="13"/>
      <c r="CJ439" s="13"/>
      <c r="CK439" s="13"/>
      <c r="CL439" s="13"/>
      <c r="CM439" s="13"/>
      <c r="CN439" s="13"/>
      <c r="CO439" s="13"/>
      <c r="CP439" s="13"/>
      <c r="CQ439" s="13"/>
      <c r="CR439" s="13"/>
      <c r="CS439" s="13"/>
      <c r="CT439" s="13"/>
      <c r="CU439" s="13"/>
      <c r="CV439" s="13"/>
      <c r="CW439" s="13"/>
      <c r="CX439" s="13"/>
      <c r="CY439" s="13"/>
      <c r="CZ439" s="13"/>
      <c r="DA439" s="13"/>
      <c r="DB439" s="13"/>
      <c r="DC439" s="13"/>
      <c r="DD439" s="13"/>
      <c r="DE439" s="13"/>
    </row>
    <row r="440" customFormat="false" ht="15" hidden="false" customHeight="true" outlineLevel="0" collapsed="false">
      <c r="A440" s="22" t="s">
        <v>242</v>
      </c>
      <c r="B440" s="73" t="n">
        <v>0</v>
      </c>
      <c r="C440" s="73" t="n">
        <v>0</v>
      </c>
      <c r="D440" s="73" t="n">
        <v>0</v>
      </c>
      <c r="E440" s="73" t="n">
        <v>0</v>
      </c>
      <c r="F440" s="73" t="n">
        <v>0</v>
      </c>
      <c r="G440" s="73" t="n">
        <v>0</v>
      </c>
      <c r="H440" s="73" t="n">
        <v>96097</v>
      </c>
      <c r="I440" s="13" t="n">
        <v>0</v>
      </c>
      <c r="J440" s="13"/>
      <c r="K440" s="13"/>
      <c r="L440" s="13"/>
      <c r="M440" s="13"/>
      <c r="N440" s="13"/>
      <c r="O440" s="13"/>
      <c r="P440" s="13"/>
      <c r="Q440" s="13"/>
      <c r="R440" s="13"/>
      <c r="S440" s="13"/>
      <c r="T440" s="13"/>
      <c r="U440" s="13"/>
      <c r="V440" s="13"/>
      <c r="W440" s="13"/>
      <c r="X440" s="13"/>
      <c r="Y440" s="13"/>
      <c r="Z440" s="13"/>
      <c r="AA440" s="13"/>
      <c r="AB440" s="13"/>
      <c r="AC440" s="13"/>
      <c r="AD440" s="13"/>
      <c r="AE440" s="13"/>
      <c r="AF440" s="13"/>
      <c r="AG440" s="13"/>
      <c r="AH440" s="13"/>
      <c r="AI440" s="13"/>
      <c r="AJ440" s="13"/>
      <c r="AK440" s="13"/>
      <c r="AL440" s="13"/>
      <c r="AM440" s="13"/>
      <c r="AN440" s="13"/>
      <c r="AO440" s="13"/>
      <c r="AP440" s="13"/>
      <c r="AQ440" s="13"/>
      <c r="AR440" s="13"/>
      <c r="AS440" s="13"/>
      <c r="AT440" s="13"/>
      <c r="AU440" s="13"/>
      <c r="AV440" s="13"/>
      <c r="AW440" s="13"/>
      <c r="AX440" s="13"/>
      <c r="AY440" s="13"/>
      <c r="AZ440" s="13"/>
      <c r="BA440" s="13"/>
      <c r="BB440" s="13"/>
      <c r="BC440" s="13"/>
      <c r="BD440" s="13"/>
      <c r="BE440" s="13"/>
      <c r="BF440" s="13"/>
      <c r="BG440" s="13"/>
      <c r="BH440" s="13"/>
      <c r="BI440" s="13"/>
      <c r="BJ440" s="13"/>
      <c r="BK440" s="13"/>
      <c r="BL440" s="13"/>
      <c r="BM440" s="13"/>
      <c r="BN440" s="13"/>
      <c r="BO440" s="13"/>
      <c r="BP440" s="13"/>
      <c r="BQ440" s="13"/>
      <c r="BR440" s="13"/>
      <c r="BS440" s="13"/>
      <c r="BT440" s="13"/>
      <c r="BU440" s="13"/>
      <c r="BV440" s="13"/>
      <c r="BW440" s="13"/>
      <c r="BX440" s="13"/>
      <c r="BY440" s="13"/>
      <c r="BZ440" s="13"/>
      <c r="CA440" s="13"/>
      <c r="CB440" s="13"/>
      <c r="CC440" s="13"/>
      <c r="CD440" s="13"/>
      <c r="CE440" s="13"/>
      <c r="CF440" s="13"/>
      <c r="CG440" s="13"/>
      <c r="CH440" s="13"/>
      <c r="CI440" s="13"/>
      <c r="CJ440" s="13"/>
      <c r="CK440" s="13"/>
      <c r="CL440" s="13"/>
      <c r="CM440" s="13"/>
      <c r="CN440" s="13"/>
      <c r="CO440" s="13"/>
      <c r="CP440" s="13"/>
      <c r="CQ440" s="13"/>
      <c r="CR440" s="13"/>
      <c r="CS440" s="13"/>
      <c r="CT440" s="13"/>
      <c r="CU440" s="13"/>
      <c r="CV440" s="13"/>
      <c r="CW440" s="13"/>
      <c r="CX440" s="13"/>
      <c r="CY440" s="13"/>
      <c r="CZ440" s="13"/>
      <c r="DA440" s="13"/>
      <c r="DB440" s="13"/>
      <c r="DC440" s="13"/>
      <c r="DD440" s="13"/>
      <c r="DE440" s="13"/>
    </row>
    <row r="441" customFormat="false" ht="15" hidden="false" customHeight="true" outlineLevel="0" collapsed="false">
      <c r="A441" s="22" t="s">
        <v>243</v>
      </c>
      <c r="B441" s="73" t="n">
        <v>4052636</v>
      </c>
      <c r="C441" s="73" t="n">
        <v>4295889</v>
      </c>
      <c r="D441" s="73" t="n">
        <v>4394933</v>
      </c>
      <c r="E441" s="73" t="n">
        <v>5359073</v>
      </c>
      <c r="F441" s="73" t="n">
        <v>6161063</v>
      </c>
      <c r="G441" s="73" t="n">
        <v>8892451</v>
      </c>
      <c r="H441" s="73" t="n">
        <v>8434511</v>
      </c>
      <c r="I441" s="13" t="n">
        <v>8606048</v>
      </c>
      <c r="J441" s="13"/>
      <c r="K441" s="13"/>
      <c r="L441" s="13"/>
      <c r="M441" s="13"/>
      <c r="N441" s="13"/>
      <c r="O441" s="13"/>
      <c r="P441" s="13"/>
      <c r="Q441" s="13"/>
      <c r="R441" s="13"/>
      <c r="S441" s="13"/>
      <c r="T441" s="13"/>
      <c r="U441" s="13"/>
      <c r="V441" s="13"/>
      <c r="W441" s="13"/>
      <c r="X441" s="13"/>
      <c r="Y441" s="13"/>
      <c r="Z441" s="13"/>
      <c r="AA441" s="13"/>
      <c r="AB441" s="13"/>
      <c r="AC441" s="13"/>
      <c r="AD441" s="13"/>
      <c r="AE441" s="13"/>
      <c r="AF441" s="13"/>
      <c r="AG441" s="13"/>
      <c r="AH441" s="13"/>
      <c r="AI441" s="13"/>
      <c r="AJ441" s="13"/>
      <c r="AK441" s="13"/>
      <c r="AL441" s="13"/>
      <c r="AM441" s="13"/>
      <c r="AN441" s="13"/>
      <c r="AO441" s="13"/>
      <c r="AP441" s="13"/>
      <c r="AQ441" s="13"/>
      <c r="AR441" s="13"/>
      <c r="AS441" s="13"/>
      <c r="AT441" s="13"/>
      <c r="AU441" s="13"/>
      <c r="AV441" s="13"/>
      <c r="AW441" s="13"/>
      <c r="AX441" s="13"/>
      <c r="AY441" s="13"/>
      <c r="AZ441" s="13"/>
      <c r="BA441" s="13"/>
      <c r="BB441" s="13"/>
      <c r="BC441" s="13"/>
      <c r="BD441" s="13"/>
      <c r="BE441" s="13"/>
      <c r="BF441" s="13"/>
      <c r="BG441" s="13"/>
      <c r="BH441" s="13"/>
      <c r="BI441" s="13"/>
      <c r="BJ441" s="13"/>
      <c r="BK441" s="13"/>
      <c r="BL441" s="13"/>
      <c r="BM441" s="13"/>
      <c r="BN441" s="13"/>
      <c r="BO441" s="13"/>
      <c r="BP441" s="13"/>
      <c r="BQ441" s="13"/>
      <c r="BR441" s="13"/>
      <c r="BS441" s="13"/>
      <c r="BT441" s="13"/>
      <c r="BU441" s="13"/>
      <c r="BV441" s="13"/>
      <c r="BW441" s="13"/>
      <c r="BX441" s="13"/>
      <c r="BY441" s="13"/>
      <c r="BZ441" s="13"/>
      <c r="CA441" s="13"/>
      <c r="CB441" s="13"/>
      <c r="CC441" s="13"/>
      <c r="CD441" s="13"/>
      <c r="CE441" s="13"/>
      <c r="CF441" s="13"/>
      <c r="CG441" s="13"/>
      <c r="CH441" s="13"/>
      <c r="CI441" s="13"/>
      <c r="CJ441" s="13"/>
      <c r="CK441" s="13"/>
      <c r="CL441" s="13"/>
      <c r="CM441" s="13"/>
      <c r="CN441" s="13"/>
      <c r="CO441" s="13"/>
      <c r="CP441" s="13"/>
      <c r="CQ441" s="13"/>
      <c r="CR441" s="13"/>
      <c r="CS441" s="13"/>
      <c r="CT441" s="13"/>
      <c r="CU441" s="13"/>
      <c r="CV441" s="13"/>
      <c r="CW441" s="13"/>
      <c r="CX441" s="13"/>
      <c r="CY441" s="13"/>
      <c r="CZ441" s="13"/>
      <c r="DA441" s="13"/>
      <c r="DB441" s="13"/>
      <c r="DC441" s="13"/>
      <c r="DD441" s="13"/>
      <c r="DE441" s="13"/>
    </row>
    <row r="442" customFormat="false" ht="15" hidden="false" customHeight="true" outlineLevel="0" collapsed="false">
      <c r="A442" s="22" t="s">
        <v>244</v>
      </c>
      <c r="B442" s="73" t="n">
        <v>246844</v>
      </c>
      <c r="C442" s="73" t="n">
        <v>362001</v>
      </c>
      <c r="D442" s="73" t="n">
        <v>458628</v>
      </c>
      <c r="E442" s="73" t="n">
        <v>625437</v>
      </c>
      <c r="F442" s="73" t="n">
        <v>812294</v>
      </c>
      <c r="G442" s="73" t="n">
        <v>1055651</v>
      </c>
      <c r="H442" s="73" t="n">
        <v>1280305</v>
      </c>
      <c r="I442" s="13" t="n">
        <v>1515221</v>
      </c>
      <c r="J442" s="13"/>
      <c r="K442" s="13"/>
      <c r="L442" s="13"/>
      <c r="M442" s="13"/>
      <c r="N442" s="13"/>
      <c r="O442" s="13"/>
      <c r="P442" s="13"/>
      <c r="Q442" s="13"/>
      <c r="R442" s="13"/>
      <c r="S442" s="13"/>
      <c r="T442" s="13"/>
      <c r="U442" s="13"/>
      <c r="V442" s="13"/>
      <c r="W442" s="13"/>
      <c r="X442" s="13"/>
      <c r="Y442" s="13"/>
      <c r="Z442" s="13"/>
      <c r="AA442" s="13"/>
      <c r="AB442" s="13"/>
      <c r="AC442" s="13"/>
      <c r="AD442" s="13"/>
      <c r="AE442" s="13"/>
      <c r="AF442" s="13"/>
      <c r="AG442" s="13"/>
      <c r="AH442" s="13"/>
      <c r="AI442" s="13"/>
      <c r="AJ442" s="13"/>
      <c r="AK442" s="13"/>
      <c r="AL442" s="13"/>
      <c r="AM442" s="13"/>
      <c r="AN442" s="13"/>
      <c r="AO442" s="13"/>
      <c r="AP442" s="13"/>
      <c r="AQ442" s="13"/>
      <c r="AR442" s="13"/>
      <c r="AS442" s="13"/>
      <c r="AT442" s="13"/>
      <c r="AU442" s="13"/>
      <c r="AV442" s="13"/>
      <c r="AW442" s="13"/>
      <c r="AX442" s="13"/>
      <c r="AY442" s="13"/>
      <c r="AZ442" s="13"/>
      <c r="BA442" s="13"/>
      <c r="BB442" s="13"/>
      <c r="BC442" s="13"/>
      <c r="BD442" s="13"/>
      <c r="BE442" s="13"/>
      <c r="BF442" s="13"/>
      <c r="BG442" s="13"/>
      <c r="BH442" s="13"/>
      <c r="BI442" s="13"/>
      <c r="BJ442" s="13"/>
      <c r="BK442" s="13"/>
      <c r="BL442" s="13"/>
      <c r="BM442" s="13"/>
      <c r="BN442" s="13"/>
      <c r="BO442" s="13"/>
      <c r="BP442" s="13"/>
      <c r="BQ442" s="13"/>
      <c r="BR442" s="13"/>
      <c r="BS442" s="13"/>
      <c r="BT442" s="13"/>
      <c r="BU442" s="13"/>
      <c r="BV442" s="13"/>
      <c r="BW442" s="13"/>
      <c r="BX442" s="13"/>
      <c r="BY442" s="13"/>
      <c r="BZ442" s="13"/>
      <c r="CA442" s="13"/>
      <c r="CB442" s="13"/>
      <c r="CC442" s="13"/>
      <c r="CD442" s="13"/>
      <c r="CE442" s="13"/>
      <c r="CF442" s="13"/>
      <c r="CG442" s="13"/>
      <c r="CH442" s="13"/>
      <c r="CI442" s="13"/>
      <c r="CJ442" s="13"/>
      <c r="CK442" s="13"/>
      <c r="CL442" s="13"/>
      <c r="CM442" s="13"/>
      <c r="CN442" s="13"/>
      <c r="CO442" s="13"/>
      <c r="CP442" s="13"/>
      <c r="CQ442" s="13"/>
      <c r="CR442" s="13"/>
      <c r="CS442" s="13"/>
      <c r="CT442" s="13"/>
      <c r="CU442" s="13"/>
      <c r="CV442" s="13"/>
      <c r="CW442" s="13"/>
      <c r="CX442" s="13"/>
      <c r="CY442" s="13"/>
      <c r="CZ442" s="13"/>
      <c r="DA442" s="13"/>
      <c r="DB442" s="13"/>
      <c r="DC442" s="13"/>
      <c r="DD442" s="13"/>
      <c r="DE442" s="13"/>
    </row>
    <row r="444" customFormat="false" ht="15" hidden="false" customHeight="true" outlineLevel="0" collapsed="false">
      <c r="A444" s="70" t="s">
        <v>245</v>
      </c>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c r="AD444" s="13"/>
      <c r="AE444" s="13"/>
      <c r="AF444" s="13"/>
      <c r="AG444" s="13"/>
      <c r="AH444" s="13"/>
      <c r="AI444" s="13"/>
      <c r="AJ444" s="13"/>
      <c r="AK444" s="13"/>
      <c r="AL444" s="13"/>
      <c r="AM444" s="13"/>
      <c r="AN444" s="13"/>
      <c r="AO444" s="13"/>
      <c r="AP444" s="13"/>
      <c r="AQ444" s="13"/>
      <c r="AR444" s="13"/>
      <c r="AS444" s="13"/>
      <c r="AT444" s="13"/>
      <c r="AU444" s="13"/>
      <c r="AV444" s="13"/>
      <c r="AW444" s="13"/>
      <c r="AX444" s="13"/>
      <c r="AY444" s="13"/>
      <c r="AZ444" s="13"/>
      <c r="BA444" s="13"/>
      <c r="BB444" s="13"/>
      <c r="BC444" s="13"/>
      <c r="BD444" s="13"/>
      <c r="BE444" s="13"/>
      <c r="BF444" s="13"/>
      <c r="BG444" s="13"/>
      <c r="BH444" s="13"/>
      <c r="BI444" s="13"/>
      <c r="BJ444" s="13"/>
      <c r="BK444" s="13"/>
      <c r="BL444" s="13"/>
      <c r="BM444" s="13"/>
      <c r="BN444" s="13"/>
      <c r="BO444" s="13"/>
      <c r="BP444" s="13"/>
      <c r="BQ444" s="13"/>
      <c r="BR444" s="13"/>
      <c r="BS444" s="13"/>
      <c r="BT444" s="13"/>
      <c r="BU444" s="13"/>
      <c r="BV444" s="13"/>
      <c r="BW444" s="13"/>
      <c r="BX444" s="13"/>
      <c r="BY444" s="13"/>
      <c r="BZ444" s="13"/>
      <c r="CA444" s="13"/>
      <c r="CB444" s="13"/>
      <c r="CC444" s="13"/>
      <c r="CD444" s="13"/>
      <c r="CE444" s="13"/>
      <c r="CF444" s="13"/>
      <c r="CG444" s="13"/>
      <c r="CH444" s="13"/>
      <c r="CI444" s="13"/>
      <c r="CJ444" s="13"/>
      <c r="CK444" s="13"/>
      <c r="CL444" s="13"/>
      <c r="CM444" s="13"/>
      <c r="CN444" s="13"/>
      <c r="CO444" s="13"/>
      <c r="CP444" s="13"/>
      <c r="CQ444" s="13"/>
      <c r="CR444" s="13"/>
      <c r="CS444" s="13"/>
      <c r="CT444" s="13"/>
      <c r="CU444" s="13"/>
      <c r="CV444" s="13"/>
      <c r="CW444" s="13"/>
      <c r="CX444" s="13"/>
      <c r="CY444" s="13"/>
      <c r="CZ444" s="13"/>
      <c r="DA444" s="13"/>
      <c r="DB444" s="13"/>
      <c r="DC444" s="13"/>
      <c r="DD444" s="13"/>
      <c r="DE444" s="13"/>
    </row>
    <row r="445" customFormat="false" ht="15" hidden="false" customHeight="true" outlineLevel="0" collapsed="false">
      <c r="A445" s="22" t="s">
        <v>246</v>
      </c>
      <c r="B445" s="13" t="n">
        <f aca="false">IF(B390="","",$B$429)</f>
        <v>489587</v>
      </c>
      <c r="C445" s="13" t="n">
        <f aca="false">IF(C390="","",B390)</f>
        <v>680024</v>
      </c>
      <c r="D445" s="13" t="n">
        <f aca="false">IF(D390="","",C390)</f>
        <v>115848</v>
      </c>
      <c r="E445" s="13" t="n">
        <f aca="false">IF(E390="","",D390)</f>
        <v>633520</v>
      </c>
      <c r="F445" s="13" t="n">
        <f aca="false">IF(F390="","",E390)</f>
        <v>394004</v>
      </c>
      <c r="G445" s="13" t="n">
        <f aca="false">IF(G390="","",F390)</f>
        <v>501967</v>
      </c>
      <c r="H445" s="13" t="n">
        <f aca="false">IF(H390="","",G390)</f>
        <v>306139</v>
      </c>
      <c r="I445" s="13" t="n">
        <f aca="false">IF(I390="","",H390)</f>
        <v>283340</v>
      </c>
      <c r="J445" s="13" t="str">
        <f aca="false">IF(J390="","",I390)</f>
        <v/>
      </c>
      <c r="K445" s="13" t="str">
        <f aca="false">IF(K390="","",J390)</f>
        <v/>
      </c>
      <c r="L445" s="13" t="str">
        <f aca="false">IF(L390="","",K390)</f>
        <v/>
      </c>
      <c r="M445" s="13" t="str">
        <f aca="false">IF(M390="","",L390)</f>
        <v/>
      </c>
      <c r="N445" s="13" t="str">
        <f aca="false">IF(N390="","",M390)</f>
        <v/>
      </c>
      <c r="O445" s="13" t="str">
        <f aca="false">IF(O390="","",N390)</f>
        <v/>
      </c>
      <c r="P445" s="13" t="str">
        <f aca="false">IF(P390="","",O390)</f>
        <v/>
      </c>
      <c r="Q445" s="13" t="str">
        <f aca="false">IF(Q390="","",P390)</f>
        <v/>
      </c>
      <c r="R445" s="13" t="str">
        <f aca="false">IF(R390="","",Q390)</f>
        <v/>
      </c>
      <c r="S445" s="13" t="str">
        <f aca="false">IF(S390="","",R390)</f>
        <v/>
      </c>
      <c r="T445" s="13" t="str">
        <f aca="false">IF(T390="","",S390)</f>
        <v/>
      </c>
      <c r="U445" s="13" t="str">
        <f aca="false">IF(U390="","",T390)</f>
        <v/>
      </c>
      <c r="V445" s="13" t="str">
        <f aca="false">IF(V390="","",U390)</f>
        <v/>
      </c>
      <c r="W445" s="13" t="str">
        <f aca="false">IF(W390="","",V390)</f>
        <v/>
      </c>
      <c r="X445" s="13" t="str">
        <f aca="false">IF(X390="","",W390)</f>
        <v/>
      </c>
      <c r="Y445" s="13" t="str">
        <f aca="false">IF(Y390="","",X390)</f>
        <v/>
      </c>
      <c r="Z445" s="13" t="str">
        <f aca="false">IF(Z390="","",Y390)</f>
        <v/>
      </c>
      <c r="AA445" s="13" t="str">
        <f aca="false">IF(AA390="","",Z390)</f>
        <v/>
      </c>
      <c r="AB445" s="13" t="str">
        <f aca="false">IF(AB390="","",AA390)</f>
        <v/>
      </c>
      <c r="AC445" s="13" t="str">
        <f aca="false">IF(AC390="","",AB390)</f>
        <v/>
      </c>
      <c r="AD445" s="13" t="str">
        <f aca="false">IF(AD390="","",AC390)</f>
        <v/>
      </c>
      <c r="AE445" s="13" t="str">
        <f aca="false">IF(AE390="","",AD390)</f>
        <v/>
      </c>
      <c r="AF445" s="13" t="str">
        <f aca="false">IF(AF390="","",AE390)</f>
        <v/>
      </c>
      <c r="AG445" s="13" t="str">
        <f aca="false">IF(AG390="","",AF390)</f>
        <v/>
      </c>
      <c r="AH445" s="13" t="str">
        <f aca="false">IF(AH390="","",AG390)</f>
        <v/>
      </c>
      <c r="AI445" s="13" t="str">
        <f aca="false">IF(AI390="","",AH390)</f>
        <v/>
      </c>
      <c r="AJ445" s="13" t="str">
        <f aca="false">IF(AJ390="","",AI390)</f>
        <v/>
      </c>
      <c r="AK445" s="13" t="str">
        <f aca="false">IF(AK390="","",AJ390)</f>
        <v/>
      </c>
      <c r="AL445" s="13" t="str">
        <f aca="false">IF(AL390="","",AK390)</f>
        <v/>
      </c>
      <c r="AM445" s="13" t="str">
        <f aca="false">IF(AM390="","",AL390)</f>
        <v/>
      </c>
      <c r="AN445" s="13" t="str">
        <f aca="false">IF(AN390="","",AM390)</f>
        <v/>
      </c>
      <c r="AO445" s="13" t="str">
        <f aca="false">IF(AO390="","",AN390)</f>
        <v/>
      </c>
      <c r="AP445" s="13" t="str">
        <f aca="false">IF(AP390="","",AO390)</f>
        <v/>
      </c>
      <c r="AQ445" s="13" t="str">
        <f aca="false">IF(AQ390="","",AP390)</f>
        <v/>
      </c>
      <c r="AR445" s="13" t="str">
        <f aca="false">IF(AR390="","",AQ390)</f>
        <v/>
      </c>
      <c r="AS445" s="13" t="str">
        <f aca="false">IF(AS390="","",AR390)</f>
        <v/>
      </c>
      <c r="AT445" s="13" t="str">
        <f aca="false">IF(AT390="","",AS390)</f>
        <v/>
      </c>
      <c r="AU445" s="13" t="str">
        <f aca="false">IF(AU390="","",AT390)</f>
        <v/>
      </c>
      <c r="AV445" s="13" t="str">
        <f aca="false">IF(AV390="","",AU390)</f>
        <v/>
      </c>
      <c r="AW445" s="13" t="str">
        <f aca="false">IF(AW390="","",AV390)</f>
        <v/>
      </c>
      <c r="AX445" s="13" t="str">
        <f aca="false">IF(AX390="","",AW390)</f>
        <v/>
      </c>
      <c r="AY445" s="13" t="str">
        <f aca="false">IF(AY390="","",AX390)</f>
        <v/>
      </c>
      <c r="AZ445" s="13" t="str">
        <f aca="false">IF(AZ390="","",AY390)</f>
        <v/>
      </c>
      <c r="BA445" s="13" t="str">
        <f aca="false">IF(BA390="","",AZ390)</f>
        <v/>
      </c>
      <c r="BB445" s="13" t="str">
        <f aca="false">IF(BB390="","",BA390)</f>
        <v/>
      </c>
      <c r="BC445" s="13" t="str">
        <f aca="false">IF(BC390="","",BB390)</f>
        <v/>
      </c>
      <c r="BD445" s="13" t="str">
        <f aca="false">IF(BD390="","",BC390)</f>
        <v/>
      </c>
      <c r="BE445" s="13" t="str">
        <f aca="false">IF(BE390="","",BD390)</f>
        <v/>
      </c>
      <c r="BF445" s="13" t="str">
        <f aca="false">IF(BF390="","",BE390)</f>
        <v/>
      </c>
      <c r="BG445" s="13" t="str">
        <f aca="false">IF(BG390="","",BF390)</f>
        <v/>
      </c>
      <c r="BH445" s="13" t="str">
        <f aca="false">IF(BH390="","",BG390)</f>
        <v/>
      </c>
      <c r="BI445" s="13" t="str">
        <f aca="false">IF(BI390="","",BH390)</f>
        <v/>
      </c>
      <c r="BJ445" s="13" t="str">
        <f aca="false">IF(BJ390="","",BI390)</f>
        <v/>
      </c>
      <c r="BK445" s="13" t="str">
        <f aca="false">IF(BK390="","",BJ390)</f>
        <v/>
      </c>
      <c r="BL445" s="13" t="str">
        <f aca="false">IF(BL390="","",BK390)</f>
        <v/>
      </c>
      <c r="BM445" s="13" t="str">
        <f aca="false">IF(BM390="","",BL390)</f>
        <v/>
      </c>
      <c r="BN445" s="13" t="str">
        <f aca="false">IF(BN390="","",BM390)</f>
        <v/>
      </c>
      <c r="BO445" s="13" t="str">
        <f aca="false">IF(BO390="","",BN390)</f>
        <v/>
      </c>
      <c r="BP445" s="13" t="str">
        <f aca="false">IF(BP390="","",BO390)</f>
        <v/>
      </c>
      <c r="BQ445" s="13" t="str">
        <f aca="false">IF(BQ390="","",BP390)</f>
        <v/>
      </c>
      <c r="BR445" s="13" t="str">
        <f aca="false">IF(BR390="","",BQ390)</f>
        <v/>
      </c>
      <c r="BS445" s="13" t="str">
        <f aca="false">IF(BS390="","",BR390)</f>
        <v/>
      </c>
      <c r="BT445" s="13" t="str">
        <f aca="false">IF(BT390="","",BS390)</f>
        <v/>
      </c>
      <c r="BU445" s="13" t="str">
        <f aca="false">IF(BU390="","",BT390)</f>
        <v/>
      </c>
      <c r="BV445" s="13" t="str">
        <f aca="false">IF(BV390="","",BU390)</f>
        <v/>
      </c>
      <c r="BW445" s="13" t="str">
        <f aca="false">IF(BW390="","",BV390)</f>
        <v/>
      </c>
      <c r="BX445" s="13" t="str">
        <f aca="false">IF(BX390="","",BW390)</f>
        <v/>
      </c>
      <c r="BY445" s="13" t="str">
        <f aca="false">IF(BY390="","",BX390)</f>
        <v/>
      </c>
      <c r="BZ445" s="13" t="str">
        <f aca="false">IF(BZ390="","",BY390)</f>
        <v/>
      </c>
      <c r="CA445" s="13" t="str">
        <f aca="false">IF(CA390="","",BZ390)</f>
        <v/>
      </c>
      <c r="CB445" s="13" t="str">
        <f aca="false">IF(CB390="","",CA390)</f>
        <v/>
      </c>
      <c r="CC445" s="13" t="str">
        <f aca="false">IF(CC390="","",CB390)</f>
        <v/>
      </c>
      <c r="CD445" s="13" t="str">
        <f aca="false">IF(CD390="","",CC390)</f>
        <v/>
      </c>
      <c r="CE445" s="13" t="str">
        <f aca="false">IF(CE390="","",CD390)</f>
        <v/>
      </c>
      <c r="CF445" s="13" t="str">
        <f aca="false">IF(CF390="","",CE390)</f>
        <v/>
      </c>
      <c r="CG445" s="13" t="str">
        <f aca="false">IF(CG390="","",CF390)</f>
        <v/>
      </c>
      <c r="CH445" s="13" t="str">
        <f aca="false">IF(CH390="","",CG390)</f>
        <v/>
      </c>
      <c r="CI445" s="13" t="str">
        <f aca="false">IF(CI390="","",CH390)</f>
        <v/>
      </c>
      <c r="CJ445" s="13" t="str">
        <f aca="false">IF(CJ390="","",CI390)</f>
        <v/>
      </c>
      <c r="CK445" s="13" t="str">
        <f aca="false">IF(CK390="","",CJ390)</f>
        <v/>
      </c>
      <c r="CL445" s="13" t="str">
        <f aca="false">IF(CL390="","",CK390)</f>
        <v/>
      </c>
      <c r="CM445" s="13" t="str">
        <f aca="false">IF(CM390="","",CL390)</f>
        <v/>
      </c>
      <c r="CN445" s="13" t="str">
        <f aca="false">IF(CN390="","",CM390)</f>
        <v/>
      </c>
      <c r="CO445" s="13" t="str">
        <f aca="false">IF(CO390="","",CN390)</f>
        <v/>
      </c>
      <c r="CP445" s="13" t="str">
        <f aca="false">IF(CP390="","",CO390)</f>
        <v/>
      </c>
      <c r="CQ445" s="13" t="str">
        <f aca="false">IF(CQ390="","",CP390)</f>
        <v/>
      </c>
      <c r="CR445" s="13" t="str">
        <f aca="false">IF(CR390="","",CQ390)</f>
        <v/>
      </c>
      <c r="CS445" s="13" t="str">
        <f aca="false">IF(CS390="","",CR390)</f>
        <v/>
      </c>
      <c r="CT445" s="13" t="str">
        <f aca="false">IF(CT390="","",CS390)</f>
        <v/>
      </c>
      <c r="CU445" s="13" t="str">
        <f aca="false">IF(CU390="","",CT390)</f>
        <v/>
      </c>
      <c r="CV445" s="13" t="str">
        <f aca="false">IF(CV390="","",CU390)</f>
        <v/>
      </c>
      <c r="CW445" s="13" t="str">
        <f aca="false">IF(CW390="","",CV390)</f>
        <v/>
      </c>
      <c r="CX445" s="13" t="str">
        <f aca="false">IF(CX390="","",CW390)</f>
        <v/>
      </c>
      <c r="CY445" s="13" t="str">
        <f aca="false">IF(CY390="","",CX390)</f>
        <v/>
      </c>
      <c r="CZ445" s="13" t="str">
        <f aca="false">IF(CZ390="","",CY390)</f>
        <v/>
      </c>
      <c r="DA445" s="13" t="str">
        <f aca="false">IF(DA390="","",CZ390)</f>
        <v/>
      </c>
      <c r="DB445" s="13" t="str">
        <f aca="false">IF(DB390="","",DA390)</f>
        <v/>
      </c>
      <c r="DC445" s="13" t="str">
        <f aca="false">IF(DC390="","",DB390)</f>
        <v/>
      </c>
      <c r="DD445" s="13" t="str">
        <f aca="false">IF(DD390="","",DC390)</f>
        <v/>
      </c>
      <c r="DE445" s="13" t="str">
        <f aca="false">IF(DE390="","",DD390)</f>
        <v/>
      </c>
    </row>
    <row r="446" customFormat="false" ht="15" hidden="false" customHeight="true" outlineLevel="0" collapsed="false">
      <c r="A446" s="22" t="s">
        <v>247</v>
      </c>
      <c r="B446" s="13" t="n">
        <f aca="false">IF(B$4="Actuals",B237,"")</f>
        <v>-41844.6399999999</v>
      </c>
      <c r="C446" s="13" t="n">
        <f aca="false">IF(C$4="Actuals",C237,"")</f>
        <v>-311309.31</v>
      </c>
      <c r="D446" s="13" t="n">
        <f aca="false">IF(D$4="Actuals",D237,"")</f>
        <v>242246.78</v>
      </c>
      <c r="E446" s="13" t="n">
        <f aca="false">IF(E$4="Actuals",E237,"")</f>
        <v>373926.69</v>
      </c>
      <c r="F446" s="13" t="n">
        <f aca="false">IF(F$4="Actuals",F237,"")</f>
        <v>27621.8500000002</v>
      </c>
      <c r="G446" s="13" t="n">
        <f aca="false">IF(G$4="Actuals",G237,"")</f>
        <v>317897.24</v>
      </c>
      <c r="H446" s="13" t="n">
        <f aca="false">IF(H$4="Actuals",H237,"")</f>
        <v>1445137.94</v>
      </c>
      <c r="I446" s="13" t="n">
        <f aca="false">IF(I$4="Actuals",I237,"")</f>
        <v>-517304.675125</v>
      </c>
      <c r="J446" s="13" t="str">
        <f aca="false">IF(J$4="Actuals",J237,"")</f>
        <v/>
      </c>
      <c r="K446" s="13" t="str">
        <f aca="false">IF(K$4="Actuals",K237,"")</f>
        <v/>
      </c>
      <c r="L446" s="13" t="str">
        <f aca="false">IF(L$4="Actuals",L237,"")</f>
        <v/>
      </c>
      <c r="M446" s="13" t="str">
        <f aca="false">IF(M$4="Actuals",M237,"")</f>
        <v/>
      </c>
      <c r="N446" s="13" t="str">
        <f aca="false">IF(N$4="Actuals",N237,"")</f>
        <v/>
      </c>
      <c r="O446" s="13" t="str">
        <f aca="false">IF(O$4="Actuals",O237,"")</f>
        <v/>
      </c>
      <c r="P446" s="13" t="str">
        <f aca="false">IF(P$4="Actuals",P237,"")</f>
        <v/>
      </c>
      <c r="Q446" s="13" t="str">
        <f aca="false">IF(Q$4="Actuals",Q237,"")</f>
        <v/>
      </c>
      <c r="R446" s="13" t="str">
        <f aca="false">IF(R$4="Actuals",R237,"")</f>
        <v/>
      </c>
      <c r="S446" s="13" t="str">
        <f aca="false">IF(S$4="Actuals",S237,"")</f>
        <v/>
      </c>
      <c r="T446" s="13" t="str">
        <f aca="false">IF(T$4="Actuals",T237,"")</f>
        <v/>
      </c>
      <c r="U446" s="13" t="str">
        <f aca="false">IF(U$4="Actuals",U237,"")</f>
        <v/>
      </c>
      <c r="V446" s="13" t="str">
        <f aca="false">IF(V$4="Actuals",V237,"")</f>
        <v/>
      </c>
      <c r="W446" s="13" t="str">
        <f aca="false">IF(W$4="Actuals",W237,"")</f>
        <v/>
      </c>
      <c r="X446" s="13" t="str">
        <f aca="false">IF(X$4="Actuals",X237,"")</f>
        <v/>
      </c>
      <c r="Y446" s="13" t="str">
        <f aca="false">IF(Y$4="Actuals",Y237,"")</f>
        <v/>
      </c>
      <c r="Z446" s="13" t="str">
        <f aca="false">IF(Z$4="Actuals",Z237,"")</f>
        <v/>
      </c>
      <c r="AA446" s="13" t="str">
        <f aca="false">IF(AA$4="Actuals",AA237,"")</f>
        <v/>
      </c>
      <c r="AB446" s="13" t="str">
        <f aca="false">IF(AB$4="Actuals",AB237,"")</f>
        <v/>
      </c>
      <c r="AC446" s="13" t="str">
        <f aca="false">IF(AC$4="Actuals",AC237,"")</f>
        <v/>
      </c>
      <c r="AD446" s="13" t="str">
        <f aca="false">IF(AD$4="Actuals",AD237,"")</f>
        <v/>
      </c>
      <c r="AE446" s="13" t="str">
        <f aca="false">IF(AE$4="Actuals",AE237,"")</f>
        <v/>
      </c>
      <c r="AF446" s="13" t="str">
        <f aca="false">IF(AF$4="Actuals",AF237,"")</f>
        <v/>
      </c>
      <c r="AG446" s="13" t="str">
        <f aca="false">IF(AG$4="Actuals",AG237,"")</f>
        <v/>
      </c>
      <c r="AH446" s="13" t="str">
        <f aca="false">IF(AH$4="Actuals",AH237,"")</f>
        <v/>
      </c>
      <c r="AI446" s="13" t="str">
        <f aca="false">IF(AI$4="Actuals",AI237,"")</f>
        <v/>
      </c>
      <c r="AJ446" s="13" t="str">
        <f aca="false">IF(AJ$4="Actuals",AJ237,"")</f>
        <v/>
      </c>
      <c r="AK446" s="13" t="str">
        <f aca="false">IF(AK$4="Actuals",AK237,"")</f>
        <v/>
      </c>
      <c r="AL446" s="13" t="str">
        <f aca="false">IF(AL$4="Actuals",AL237,"")</f>
        <v/>
      </c>
      <c r="AM446" s="13" t="str">
        <f aca="false">IF(AM$4="Actuals",AM237,"")</f>
        <v/>
      </c>
      <c r="AN446" s="13" t="str">
        <f aca="false">IF(AN$4="Actuals",AN237,"")</f>
        <v/>
      </c>
      <c r="AO446" s="13" t="str">
        <f aca="false">IF(AO$4="Actuals",AO237,"")</f>
        <v/>
      </c>
      <c r="AP446" s="13" t="str">
        <f aca="false">IF(AP$4="Actuals",AP237,"")</f>
        <v/>
      </c>
      <c r="AQ446" s="13" t="str">
        <f aca="false">IF(AQ$4="Actuals",AQ237,"")</f>
        <v/>
      </c>
      <c r="AR446" s="13" t="str">
        <f aca="false">IF(AR$4="Actuals",AR237,"")</f>
        <v/>
      </c>
      <c r="AS446" s="13" t="str">
        <f aca="false">IF(AS$4="Actuals",AS237,"")</f>
        <v/>
      </c>
      <c r="AT446" s="13" t="str">
        <f aca="false">IF(AT$4="Actuals",AT237,"")</f>
        <v/>
      </c>
      <c r="AU446" s="13" t="str">
        <f aca="false">IF(AU$4="Actuals",AU237,"")</f>
        <v/>
      </c>
      <c r="AV446" s="13" t="str">
        <f aca="false">IF(AV$4="Actuals",AV237,"")</f>
        <v/>
      </c>
      <c r="AW446" s="13" t="str">
        <f aca="false">IF(AW$4="Actuals",AW237,"")</f>
        <v/>
      </c>
      <c r="AX446" s="13" t="str">
        <f aca="false">IF(AX$4="Actuals",AX237,"")</f>
        <v/>
      </c>
      <c r="AY446" s="13" t="str">
        <f aca="false">IF(AY$4="Actuals",AY237,"")</f>
        <v/>
      </c>
      <c r="AZ446" s="13" t="str">
        <f aca="false">IF(AZ$4="Actuals",AZ237,"")</f>
        <v/>
      </c>
      <c r="BA446" s="13" t="str">
        <f aca="false">IF(BA$4="Actuals",BA237,"")</f>
        <v/>
      </c>
      <c r="BB446" s="13" t="str">
        <f aca="false">IF(BB$4="Actuals",BB237,"")</f>
        <v/>
      </c>
      <c r="BC446" s="13" t="str">
        <f aca="false">IF(BC$4="Actuals",BC237,"")</f>
        <v/>
      </c>
      <c r="BD446" s="13" t="str">
        <f aca="false">IF(BD$4="Actuals",BD237,"")</f>
        <v/>
      </c>
      <c r="BE446" s="13" t="str">
        <f aca="false">IF(BE$4="Actuals",BE237,"")</f>
        <v/>
      </c>
      <c r="BF446" s="13" t="str">
        <f aca="false">IF(BF$4="Actuals",BF237,"")</f>
        <v/>
      </c>
      <c r="BG446" s="13" t="str">
        <f aca="false">IF(BG$4="Actuals",BG237,"")</f>
        <v/>
      </c>
      <c r="BH446" s="13" t="str">
        <f aca="false">IF(BH$4="Actuals",BH237,"")</f>
        <v/>
      </c>
      <c r="BI446" s="13" t="str">
        <f aca="false">IF(BI$4="Actuals",BI237,"")</f>
        <v/>
      </c>
      <c r="BJ446" s="13" t="str">
        <f aca="false">IF(BJ$4="Actuals",BJ237,"")</f>
        <v/>
      </c>
      <c r="BK446" s="13" t="str">
        <f aca="false">IF(BK$4="Actuals",BK237,"")</f>
        <v/>
      </c>
      <c r="BL446" s="13" t="str">
        <f aca="false">IF(BL$4="Actuals",BL237,"")</f>
        <v/>
      </c>
      <c r="BM446" s="13" t="str">
        <f aca="false">IF(BM$4="Actuals",BM237,"")</f>
        <v/>
      </c>
      <c r="BN446" s="13" t="str">
        <f aca="false">IF(BN$4="Actuals",BN237,"")</f>
        <v/>
      </c>
      <c r="BO446" s="13" t="str">
        <f aca="false">IF(BO$4="Actuals",BO237,"")</f>
        <v/>
      </c>
      <c r="BP446" s="13" t="str">
        <f aca="false">IF(BP$4="Actuals",BP237,"")</f>
        <v/>
      </c>
      <c r="BQ446" s="13" t="str">
        <f aca="false">IF(BQ$4="Actuals",BQ237,"")</f>
        <v/>
      </c>
      <c r="BR446" s="13" t="str">
        <f aca="false">IF(BR$4="Actuals",BR237,"")</f>
        <v/>
      </c>
      <c r="BS446" s="13" t="str">
        <f aca="false">IF(BS$4="Actuals",BS237,"")</f>
        <v/>
      </c>
      <c r="BT446" s="13" t="str">
        <f aca="false">IF(BT$4="Actuals",BT237,"")</f>
        <v/>
      </c>
      <c r="BU446" s="13" t="str">
        <f aca="false">IF(BU$4="Actuals",BU237,"")</f>
        <v/>
      </c>
      <c r="BV446" s="13" t="str">
        <f aca="false">IF(BV$4="Actuals",BV237,"")</f>
        <v/>
      </c>
      <c r="BW446" s="13" t="str">
        <f aca="false">IF(BW$4="Actuals",BW237,"")</f>
        <v/>
      </c>
      <c r="BX446" s="13" t="str">
        <f aca="false">IF(BX$4="Actuals",BX237,"")</f>
        <v/>
      </c>
      <c r="BY446" s="13" t="str">
        <f aca="false">IF(BY$4="Actuals",BY237,"")</f>
        <v/>
      </c>
      <c r="BZ446" s="13" t="str">
        <f aca="false">IF(BZ$4="Actuals",BZ237,"")</f>
        <v/>
      </c>
      <c r="CA446" s="13" t="str">
        <f aca="false">IF(CA$4="Actuals",CA237,"")</f>
        <v/>
      </c>
      <c r="CB446" s="13" t="str">
        <f aca="false">IF(CB$4="Actuals",CB237,"")</f>
        <v/>
      </c>
      <c r="CC446" s="13" t="str">
        <f aca="false">IF(CC$4="Actuals",CC237,"")</f>
        <v/>
      </c>
      <c r="CD446" s="13" t="str">
        <f aca="false">IF(CD$4="Actuals",CD237,"")</f>
        <v/>
      </c>
      <c r="CE446" s="13" t="str">
        <f aca="false">IF(CE$4="Actuals",CE237,"")</f>
        <v/>
      </c>
      <c r="CF446" s="13" t="str">
        <f aca="false">IF(CF$4="Actuals",CF237,"")</f>
        <v/>
      </c>
      <c r="CG446" s="13" t="str">
        <f aca="false">IF(CG$4="Actuals",CG237,"")</f>
        <v/>
      </c>
      <c r="CH446" s="13" t="str">
        <f aca="false">IF(CH$4="Actuals",CH237,"")</f>
        <v/>
      </c>
      <c r="CI446" s="13" t="str">
        <f aca="false">IF(CI$4="Actuals",CI237,"")</f>
        <v/>
      </c>
      <c r="CJ446" s="13" t="str">
        <f aca="false">IF(CJ$4="Actuals",CJ237,"")</f>
        <v/>
      </c>
      <c r="CK446" s="13" t="str">
        <f aca="false">IF(CK$4="Actuals",CK237,"")</f>
        <v/>
      </c>
      <c r="CL446" s="13" t="str">
        <f aca="false">IF(CL$4="Actuals",CL237,"")</f>
        <v/>
      </c>
      <c r="CM446" s="13" t="str">
        <f aca="false">IF(CM$4="Actuals",CM237,"")</f>
        <v/>
      </c>
      <c r="CN446" s="13" t="str">
        <f aca="false">IF(CN$4="Actuals",CN237,"")</f>
        <v/>
      </c>
      <c r="CO446" s="13" t="str">
        <f aca="false">IF(CO$4="Actuals",CO237,"")</f>
        <v/>
      </c>
      <c r="CP446" s="13" t="str">
        <f aca="false">IF(CP$4="Actuals",CP237,"")</f>
        <v/>
      </c>
      <c r="CQ446" s="13" t="str">
        <f aca="false">IF(CQ$4="Actuals",CQ237,"")</f>
        <v/>
      </c>
      <c r="CR446" s="13" t="str">
        <f aca="false">IF(CR$4="Actuals",CR237,"")</f>
        <v/>
      </c>
      <c r="CS446" s="13" t="str">
        <f aca="false">IF(CS$4="Actuals",CS237,"")</f>
        <v/>
      </c>
      <c r="CT446" s="13" t="str">
        <f aca="false">IF(CT$4="Actuals",CT237,"")</f>
        <v/>
      </c>
      <c r="CU446" s="13" t="str">
        <f aca="false">IF(CU$4="Actuals",CU237,"")</f>
        <v/>
      </c>
      <c r="CV446" s="13" t="str">
        <f aca="false">IF(CV$4="Actuals",CV237,"")</f>
        <v/>
      </c>
      <c r="CW446" s="13" t="str">
        <f aca="false">IF(CW$4="Actuals",CW237,"")</f>
        <v/>
      </c>
      <c r="CX446" s="13" t="str">
        <f aca="false">IF(CX$4="Actuals",CX237,"")</f>
        <v/>
      </c>
      <c r="CY446" s="13" t="str">
        <f aca="false">IF(CY$4="Actuals",CY237,"")</f>
        <v/>
      </c>
      <c r="CZ446" s="13" t="str">
        <f aca="false">IF(CZ$4="Actuals",CZ237,"")</f>
        <v/>
      </c>
      <c r="DA446" s="13" t="str">
        <f aca="false">IF(DA$4="Actuals",DA237,"")</f>
        <v/>
      </c>
      <c r="DB446" s="13" t="str">
        <f aca="false">IF(DB$4="Actuals",DB237,"")</f>
        <v/>
      </c>
      <c r="DC446" s="13" t="str">
        <f aca="false">IF(DC$4="Actuals",DC237,"")</f>
        <v/>
      </c>
      <c r="DD446" s="13" t="str">
        <f aca="false">IF(DD$4="Actuals",DD237,"")</f>
        <v/>
      </c>
      <c r="DE446" s="13" t="str">
        <f aca="false">IF(DE$4="Actuals",DE237,"")</f>
        <v/>
      </c>
    </row>
    <row r="447" customFormat="false" ht="15" hidden="false" customHeight="true" outlineLevel="0" collapsed="false">
      <c r="A447" s="22" t="s">
        <v>248</v>
      </c>
      <c r="B447" s="13" t="n">
        <f aca="false">IF(B390="","",-(SUM(B438:B440)-$B$430))</f>
        <v>187158</v>
      </c>
      <c r="C447" s="13" t="n">
        <f aca="false">IF(C390="","",-(SUM(C438:C440)-SUM(B438:B440)))</f>
        <v>-1030375</v>
      </c>
      <c r="D447" s="13" t="n">
        <f aca="false">IF(D390="","",-(SUM(D438:D440)-SUM(C438:C440)))</f>
        <v>319157</v>
      </c>
      <c r="E447" s="13" t="n">
        <f aca="false">IF(E390="","",-(SUM(E438:E440)-SUM(D438:D440)))</f>
        <v>-1727540</v>
      </c>
      <c r="F447" s="13" t="n">
        <f aca="false">IF(F390="","",-(SUM(F438:F440)-SUM(E438:E440)))</f>
        <v>-845463</v>
      </c>
      <c r="G447" s="13" t="n">
        <f aca="false">IF(G390="","",-(SUM(G438:G440)-SUM(F438:F440)))</f>
        <v>-3326181</v>
      </c>
      <c r="H447" s="13" t="n">
        <f aca="false">IF(H390="","",-(SUM(H438:H440)-SUM(G438:G440)))</f>
        <v>-1219334</v>
      </c>
      <c r="I447" s="13" t="n">
        <f aca="false">IF(I390="","",-(SUM(I438:I440)-SUM(H438:H440)))</f>
        <v>423029</v>
      </c>
      <c r="J447" s="13" t="str">
        <f aca="false">IF(J390="","",-(SUM(J438:J440)-SUM(I438:I440)))</f>
        <v/>
      </c>
      <c r="K447" s="13" t="str">
        <f aca="false">IF(K390="","",-(SUM(K438:K440)-SUM(J438:J440)))</f>
        <v/>
      </c>
      <c r="L447" s="13" t="str">
        <f aca="false">IF(L390="","",-(SUM(L438:L440)-SUM(K438:K440)))</f>
        <v/>
      </c>
      <c r="M447" s="13" t="str">
        <f aca="false">IF(M390="","",-(SUM(M438:M440)-SUM(L438:L440)))</f>
        <v/>
      </c>
      <c r="N447" s="13" t="str">
        <f aca="false">IF(N390="","",-(SUM(N438:N440)-SUM(M438:M440)))</f>
        <v/>
      </c>
      <c r="O447" s="13" t="str">
        <f aca="false">IF(O390="","",-(SUM(O438:O440)-SUM(N438:N440)))</f>
        <v/>
      </c>
      <c r="P447" s="13" t="str">
        <f aca="false">IF(P390="","",-(SUM(P438:P440)-SUM(O438:O440)))</f>
        <v/>
      </c>
      <c r="Q447" s="13" t="str">
        <f aca="false">IF(Q390="","",-(SUM(Q438:Q440)-SUM(P438:P440)))</f>
        <v/>
      </c>
      <c r="R447" s="13" t="str">
        <f aca="false">IF(R390="","",-(SUM(R438:R440)-SUM(Q438:Q440)))</f>
        <v/>
      </c>
      <c r="S447" s="13" t="str">
        <f aca="false">IF(S390="","",-(SUM(S438:S440)-SUM(R438:R440)))</f>
        <v/>
      </c>
      <c r="T447" s="13" t="str">
        <f aca="false">IF(T390="","",-(SUM(T438:T440)-SUM(S438:S440)))</f>
        <v/>
      </c>
      <c r="U447" s="13" t="str">
        <f aca="false">IF(U390="","",-(SUM(U438:U440)-SUM(T438:T440)))</f>
        <v/>
      </c>
      <c r="V447" s="13" t="str">
        <f aca="false">IF(V390="","",-(SUM(V438:V440)-SUM(U438:U440)))</f>
        <v/>
      </c>
      <c r="W447" s="13" t="str">
        <f aca="false">IF(W390="","",-(SUM(W438:W440)-SUM(V438:V440)))</f>
        <v/>
      </c>
      <c r="X447" s="13" t="str">
        <f aca="false">IF(X390="","",-(SUM(X438:X440)-SUM(W438:W440)))</f>
        <v/>
      </c>
      <c r="Y447" s="13" t="str">
        <f aca="false">IF(Y390="","",-(SUM(Y438:Y440)-SUM(X438:X440)))</f>
        <v/>
      </c>
      <c r="Z447" s="13" t="str">
        <f aca="false">IF(Z390="","",-(SUM(Z438:Z440)-SUM(Y438:Y440)))</f>
        <v/>
      </c>
      <c r="AA447" s="13" t="str">
        <f aca="false">IF(AA390="","",-(SUM(AA438:AA440)-SUM(Z438:Z440)))</f>
        <v/>
      </c>
      <c r="AB447" s="13" t="str">
        <f aca="false">IF(AB390="","",-(SUM(AB438:AB440)-SUM(AA438:AA440)))</f>
        <v/>
      </c>
      <c r="AC447" s="13" t="str">
        <f aca="false">IF(AC390="","",-(SUM(AC438:AC440)-SUM(AB438:AB440)))</f>
        <v/>
      </c>
      <c r="AD447" s="13" t="str">
        <f aca="false">IF(AD390="","",-(SUM(AD438:AD440)-SUM(AC438:AC440)))</f>
        <v/>
      </c>
      <c r="AE447" s="13" t="str">
        <f aca="false">IF(AE390="","",-(SUM(AE438:AE440)-SUM(AD438:AD440)))</f>
        <v/>
      </c>
      <c r="AF447" s="13" t="str">
        <f aca="false">IF(AF390="","",-(SUM(AF438:AF440)-SUM(AE438:AE440)))</f>
        <v/>
      </c>
      <c r="AG447" s="13" t="str">
        <f aca="false">IF(AG390="","",-(SUM(AG438:AG440)-SUM(AF438:AF440)))</f>
        <v/>
      </c>
      <c r="AH447" s="13" t="str">
        <f aca="false">IF(AH390="","",-(SUM(AH438:AH440)-SUM(AG438:AG440)))</f>
        <v/>
      </c>
      <c r="AI447" s="13" t="str">
        <f aca="false">IF(AI390="","",-(SUM(AI438:AI440)-SUM(AH438:AH440)))</f>
        <v/>
      </c>
      <c r="AJ447" s="13" t="str">
        <f aca="false">IF(AJ390="","",-(SUM(AJ438:AJ440)-SUM(AI438:AI440)))</f>
        <v/>
      </c>
      <c r="AK447" s="13" t="str">
        <f aca="false">IF(AK390="","",-(SUM(AK438:AK440)-SUM(AJ438:AJ440)))</f>
        <v/>
      </c>
      <c r="AL447" s="13" t="str">
        <f aca="false">IF(AL390="","",-(SUM(AL438:AL440)-SUM(AK438:AK440)))</f>
        <v/>
      </c>
      <c r="AM447" s="13" t="str">
        <f aca="false">IF(AM390="","",-(SUM(AM438:AM440)-SUM(AL438:AL440)))</f>
        <v/>
      </c>
      <c r="AN447" s="13" t="str">
        <f aca="false">IF(AN390="","",-(SUM(AN438:AN440)-SUM(AM438:AM440)))</f>
        <v/>
      </c>
      <c r="AO447" s="13" t="str">
        <f aca="false">IF(AO390="","",-(SUM(AO438:AO440)-SUM(AN438:AN440)))</f>
        <v/>
      </c>
      <c r="AP447" s="13" t="str">
        <f aca="false">IF(AP390="","",-(SUM(AP438:AP440)-SUM(AO438:AO440)))</f>
        <v/>
      </c>
      <c r="AQ447" s="13" t="str">
        <f aca="false">IF(AQ390="","",-(SUM(AQ438:AQ440)-SUM(AP438:AP440)))</f>
        <v/>
      </c>
      <c r="AR447" s="13" t="str">
        <f aca="false">IF(AR390="","",-(SUM(AR438:AR440)-SUM(AQ438:AQ440)))</f>
        <v/>
      </c>
      <c r="AS447" s="13" t="str">
        <f aca="false">IF(AS390="","",-(SUM(AS438:AS440)-SUM(AR438:AR440)))</f>
        <v/>
      </c>
      <c r="AT447" s="13" t="str">
        <f aca="false">IF(AT390="","",-(SUM(AT438:AT440)-SUM(AS438:AS440)))</f>
        <v/>
      </c>
      <c r="AU447" s="13" t="str">
        <f aca="false">IF(AU390="","",-(SUM(AU438:AU440)-SUM(AT438:AT440)))</f>
        <v/>
      </c>
      <c r="AV447" s="13" t="str">
        <f aca="false">IF(AV390="","",-(SUM(AV438:AV440)-SUM(AU438:AU440)))</f>
        <v/>
      </c>
      <c r="AW447" s="13" t="str">
        <f aca="false">IF(AW390="","",-(SUM(AW438:AW440)-SUM(AV438:AV440)))</f>
        <v/>
      </c>
      <c r="AX447" s="13" t="str">
        <f aca="false">IF(AX390="","",-(SUM(AX438:AX440)-SUM(AW438:AW440)))</f>
        <v/>
      </c>
      <c r="AY447" s="13" t="str">
        <f aca="false">IF(AY390="","",-(SUM(AY438:AY440)-SUM(AX438:AX440)))</f>
        <v/>
      </c>
      <c r="AZ447" s="13" t="str">
        <f aca="false">IF(AZ390="","",-(SUM(AZ438:AZ440)-SUM(AY438:AY440)))</f>
        <v/>
      </c>
      <c r="BA447" s="13" t="str">
        <f aca="false">IF(BA390="","",-(SUM(BA438:BA440)-SUM(AZ438:AZ440)))</f>
        <v/>
      </c>
      <c r="BB447" s="13" t="str">
        <f aca="false">IF(BB390="","",-(SUM(BB438:BB440)-SUM(BA438:BA440)))</f>
        <v/>
      </c>
      <c r="BC447" s="13" t="str">
        <f aca="false">IF(BC390="","",-(SUM(BC438:BC440)-SUM(BB438:BB440)))</f>
        <v/>
      </c>
      <c r="BD447" s="13" t="str">
        <f aca="false">IF(BD390="","",-(SUM(BD438:BD440)-SUM(BC438:BC440)))</f>
        <v/>
      </c>
      <c r="BE447" s="13" t="str">
        <f aca="false">IF(BE390="","",-(SUM(BE438:BE440)-SUM(BD438:BD440)))</f>
        <v/>
      </c>
      <c r="BF447" s="13" t="str">
        <f aca="false">IF(BF390="","",-(SUM(BF438:BF440)-SUM(BE438:BE440)))</f>
        <v/>
      </c>
      <c r="BG447" s="13" t="str">
        <f aca="false">IF(BG390="","",-(SUM(BG438:BG440)-SUM(BF438:BF440)))</f>
        <v/>
      </c>
      <c r="BH447" s="13" t="str">
        <f aca="false">IF(BH390="","",-(SUM(BH438:BH440)-SUM(BG438:BG440)))</f>
        <v/>
      </c>
      <c r="BI447" s="13" t="str">
        <f aca="false">IF(BI390="","",-(SUM(BI438:BI440)-SUM(BH438:BH440)))</f>
        <v/>
      </c>
      <c r="BJ447" s="13" t="str">
        <f aca="false">IF(BJ390="","",-(SUM(BJ438:BJ440)-SUM(BI438:BI440)))</f>
        <v/>
      </c>
      <c r="BK447" s="13" t="str">
        <f aca="false">IF(BK390="","",-(SUM(BK438:BK440)-SUM(BJ438:BJ440)))</f>
        <v/>
      </c>
      <c r="BL447" s="13" t="str">
        <f aca="false">IF(BL390="","",-(SUM(BL438:BL440)-SUM(BK438:BK440)))</f>
        <v/>
      </c>
      <c r="BM447" s="13" t="str">
        <f aca="false">IF(BM390="","",-(SUM(BM438:BM440)-SUM(BL438:BL440)))</f>
        <v/>
      </c>
      <c r="BN447" s="13" t="str">
        <f aca="false">IF(BN390="","",-(SUM(BN438:BN440)-SUM(BM438:BM440)))</f>
        <v/>
      </c>
      <c r="BO447" s="13" t="str">
        <f aca="false">IF(BO390="","",-(SUM(BO438:BO440)-SUM(BN438:BN440)))</f>
        <v/>
      </c>
      <c r="BP447" s="13" t="str">
        <f aca="false">IF(BP390="","",-(SUM(BP438:BP440)-SUM(BO438:BO440)))</f>
        <v/>
      </c>
      <c r="BQ447" s="13" t="str">
        <f aca="false">IF(BQ390="","",-(SUM(BQ438:BQ440)-SUM(BP438:BP440)))</f>
        <v/>
      </c>
      <c r="BR447" s="13" t="str">
        <f aca="false">IF(BR390="","",-(SUM(BR438:BR440)-SUM(BQ438:BQ440)))</f>
        <v/>
      </c>
      <c r="BS447" s="13" t="str">
        <f aca="false">IF(BS390="","",-(SUM(BS438:BS440)-SUM(BR438:BR440)))</f>
        <v/>
      </c>
      <c r="BT447" s="13" t="str">
        <f aca="false">IF(BT390="","",-(SUM(BT438:BT440)-SUM(BS438:BS440)))</f>
        <v/>
      </c>
      <c r="BU447" s="13" t="str">
        <f aca="false">IF(BU390="","",-(SUM(BU438:BU440)-SUM(BT438:BT440)))</f>
        <v/>
      </c>
      <c r="BV447" s="13" t="str">
        <f aca="false">IF(BV390="","",-(SUM(BV438:BV440)-SUM(BU438:BU440)))</f>
        <v/>
      </c>
      <c r="BW447" s="13" t="str">
        <f aca="false">IF(BW390="","",-(SUM(BW438:BW440)-SUM(BV438:BV440)))</f>
        <v/>
      </c>
      <c r="BX447" s="13" t="str">
        <f aca="false">IF(BX390="","",-(SUM(BX438:BX440)-SUM(BW438:BW440)))</f>
        <v/>
      </c>
      <c r="BY447" s="13" t="str">
        <f aca="false">IF(BY390="","",-(SUM(BY438:BY440)-SUM(BX438:BX440)))</f>
        <v/>
      </c>
      <c r="BZ447" s="13" t="str">
        <f aca="false">IF(BZ390="","",-(SUM(BZ438:BZ440)-SUM(BY438:BY440)))</f>
        <v/>
      </c>
      <c r="CA447" s="13" t="str">
        <f aca="false">IF(CA390="","",-(SUM(CA438:CA440)-SUM(BZ438:BZ440)))</f>
        <v/>
      </c>
      <c r="CB447" s="13" t="str">
        <f aca="false">IF(CB390="","",-(SUM(CB438:CB440)-SUM(CA438:CA440)))</f>
        <v/>
      </c>
      <c r="CC447" s="13" t="str">
        <f aca="false">IF(CC390="","",-(SUM(CC438:CC440)-SUM(CB438:CB440)))</f>
        <v/>
      </c>
      <c r="CD447" s="13" t="str">
        <f aca="false">IF(CD390="","",-(SUM(CD438:CD440)-SUM(CC438:CC440)))</f>
        <v/>
      </c>
      <c r="CE447" s="13" t="str">
        <f aca="false">IF(CE390="","",-(SUM(CE438:CE440)-SUM(CD438:CD440)))</f>
        <v/>
      </c>
      <c r="CF447" s="13" t="str">
        <f aca="false">IF(CF390="","",-(SUM(CF438:CF440)-SUM(CE438:CE440)))</f>
        <v/>
      </c>
      <c r="CG447" s="13" t="str">
        <f aca="false">IF(CG390="","",-(SUM(CG438:CG440)-SUM(CF438:CF440)))</f>
        <v/>
      </c>
      <c r="CH447" s="13" t="str">
        <f aca="false">IF(CH390="","",-(SUM(CH438:CH440)-SUM(CG438:CG440)))</f>
        <v/>
      </c>
      <c r="CI447" s="13" t="str">
        <f aca="false">IF(CI390="","",-(SUM(CI438:CI440)-SUM(CH438:CH440)))</f>
        <v/>
      </c>
      <c r="CJ447" s="13" t="str">
        <f aca="false">IF(CJ390="","",-(SUM(CJ438:CJ440)-SUM(CI438:CI440)))</f>
        <v/>
      </c>
      <c r="CK447" s="13" t="str">
        <f aca="false">IF(CK390="","",-(SUM(CK438:CK440)-SUM(CJ438:CJ440)))</f>
        <v/>
      </c>
      <c r="CL447" s="13" t="str">
        <f aca="false">IF(CL390="","",-(SUM(CL438:CL440)-SUM(CK438:CK440)))</f>
        <v/>
      </c>
      <c r="CM447" s="13" t="str">
        <f aca="false">IF(CM390="","",-(SUM(CM438:CM440)-SUM(CL438:CL440)))</f>
        <v/>
      </c>
      <c r="CN447" s="13" t="str">
        <f aca="false">IF(CN390="","",-(SUM(CN438:CN440)-SUM(CM438:CM440)))</f>
        <v/>
      </c>
      <c r="CO447" s="13" t="str">
        <f aca="false">IF(CO390="","",-(SUM(CO438:CO440)-SUM(CN438:CN440)))</f>
        <v/>
      </c>
      <c r="CP447" s="13" t="str">
        <f aca="false">IF(CP390="","",-(SUM(CP438:CP440)-SUM(CO438:CO440)))</f>
        <v/>
      </c>
      <c r="CQ447" s="13" t="str">
        <f aca="false">IF(CQ390="","",-(SUM(CQ438:CQ440)-SUM(CP438:CP440)))</f>
        <v/>
      </c>
      <c r="CR447" s="13" t="str">
        <f aca="false">IF(CR390="","",-(SUM(CR438:CR440)-SUM(CQ438:CQ440)))</f>
        <v/>
      </c>
      <c r="CS447" s="13" t="str">
        <f aca="false">IF(CS390="","",-(SUM(CS438:CS440)-SUM(CR438:CR440)))</f>
        <v/>
      </c>
      <c r="CT447" s="13" t="str">
        <f aca="false">IF(CT390="","",-(SUM(CT438:CT440)-SUM(CS438:CS440)))</f>
        <v/>
      </c>
      <c r="CU447" s="13" t="str">
        <f aca="false">IF(CU390="","",-(SUM(CU438:CU440)-SUM(CT438:CT440)))</f>
        <v/>
      </c>
      <c r="CV447" s="13" t="str">
        <f aca="false">IF(CV390="","",-(SUM(CV438:CV440)-SUM(CU438:CU440)))</f>
        <v/>
      </c>
      <c r="CW447" s="13" t="str">
        <f aca="false">IF(CW390="","",-(SUM(CW438:CW440)-SUM(CV438:CV440)))</f>
        <v/>
      </c>
      <c r="CX447" s="13" t="str">
        <f aca="false">IF(CX390="","",-(SUM(CX438:CX440)-SUM(CW438:CW440)))</f>
        <v/>
      </c>
      <c r="CY447" s="13" t="str">
        <f aca="false">IF(CY390="","",-(SUM(CY438:CY440)-SUM(CX438:CX440)))</f>
        <v/>
      </c>
      <c r="CZ447" s="13" t="str">
        <f aca="false">IF(CZ390="","",-(SUM(CZ438:CZ440)-SUM(CY438:CY440)))</f>
        <v/>
      </c>
      <c r="DA447" s="13" t="str">
        <f aca="false">IF(DA390="","",-(SUM(DA438:DA440)-SUM(CZ438:CZ440)))</f>
        <v/>
      </c>
      <c r="DB447" s="13" t="str">
        <f aca="false">IF(DB390="","",-(SUM(DB438:DB440)-SUM(DA438:DA440)))</f>
        <v/>
      </c>
      <c r="DC447" s="13" t="str">
        <f aca="false">IF(DC390="","",-(SUM(DC438:DC440)-SUM(DB438:DB440)))</f>
        <v/>
      </c>
      <c r="DD447" s="13" t="str">
        <f aca="false">IF(DD390="","",-(SUM(DD438:DD440)-SUM(DC438:DC440)))</f>
        <v/>
      </c>
      <c r="DE447" s="13" t="str">
        <f aca="false">IF(DE390="","",-(SUM(DE438:DE440)-SUM(DD438:DD440)))</f>
        <v/>
      </c>
    </row>
    <row r="448" customFormat="false" ht="15" hidden="false" customHeight="true" outlineLevel="0" collapsed="false">
      <c r="A448" s="22" t="s">
        <v>249</v>
      </c>
      <c r="B448" s="13" t="n">
        <f aca="false">IF(B390="","",SUM(B441:B442)-$B$431)</f>
        <v>-79100</v>
      </c>
      <c r="C448" s="13" t="n">
        <f aca="false">IF(C390="","",SUM(C441:C442)-SUM(B441:B442))</f>
        <v>358410</v>
      </c>
      <c r="D448" s="13" t="n">
        <f aca="false">IF(D390="","",SUM(D441:D442)-SUM(C441:C442))</f>
        <v>195671</v>
      </c>
      <c r="E448" s="13" t="n">
        <f aca="false">IF(E390="","",SUM(E441:E442)-SUM(D441:D442))</f>
        <v>1130949</v>
      </c>
      <c r="F448" s="13" t="n">
        <f aca="false">IF(F390="","",SUM(F441:F442)-SUM(E441:E442))</f>
        <v>988847</v>
      </c>
      <c r="G448" s="13" t="n">
        <f aca="false">IF(G390="","",SUM(G441:G442)-SUM(F441:F442))</f>
        <v>2974745</v>
      </c>
      <c r="H448" s="13" t="n">
        <f aca="false">IF(H390="","",SUM(H441:H442)-SUM(G441:G442))</f>
        <v>-233286</v>
      </c>
      <c r="I448" s="13" t="n">
        <f aca="false">IF(I390="","",SUM(I441:I442)-SUM(H441:H442))</f>
        <v>406453</v>
      </c>
      <c r="J448" s="13" t="str">
        <f aca="false">IF(J390="","",SUM(J441:J442)-SUM(I441:I442))</f>
        <v/>
      </c>
      <c r="K448" s="13" t="str">
        <f aca="false">IF(K390="","",SUM(K441:K442)-SUM(J441:J442))</f>
        <v/>
      </c>
      <c r="L448" s="13" t="str">
        <f aca="false">IF(L390="","",SUM(L441:L442)-SUM(K441:K442))</f>
        <v/>
      </c>
      <c r="M448" s="13" t="str">
        <f aca="false">IF(M390="","",SUM(M441:M442)-SUM(L441:L442))</f>
        <v/>
      </c>
      <c r="N448" s="13" t="str">
        <f aca="false">IF(N390="","",SUM(N441:N442)-SUM(M441:M442))</f>
        <v/>
      </c>
      <c r="O448" s="13" t="str">
        <f aca="false">IF(O390="","",SUM(O441:O442)-SUM(N441:N442))</f>
        <v/>
      </c>
      <c r="P448" s="13" t="str">
        <f aca="false">IF(P390="","",SUM(P441:P442)-SUM(O441:O442))</f>
        <v/>
      </c>
      <c r="Q448" s="13" t="str">
        <f aca="false">IF(Q390="","",SUM(Q441:Q442)-SUM(P441:P442))</f>
        <v/>
      </c>
      <c r="R448" s="13" t="str">
        <f aca="false">IF(R390="","",SUM(R441:R442)-SUM(Q441:Q442))</f>
        <v/>
      </c>
      <c r="S448" s="13" t="str">
        <f aca="false">IF(S390="","",SUM(S441:S442)-SUM(R441:R442))</f>
        <v/>
      </c>
      <c r="T448" s="13" t="str">
        <f aca="false">IF(T390="","",SUM(T441:T442)-SUM(S441:S442))</f>
        <v/>
      </c>
      <c r="U448" s="13" t="str">
        <f aca="false">IF(U390="","",SUM(U441:U442)-SUM(T441:T442))</f>
        <v/>
      </c>
      <c r="V448" s="13" t="str">
        <f aca="false">IF(V390="","",SUM(V441:V442)-SUM(U441:U442))</f>
        <v/>
      </c>
      <c r="W448" s="13" t="str">
        <f aca="false">IF(W390="","",SUM(W441:W442)-SUM(V441:V442))</f>
        <v/>
      </c>
      <c r="X448" s="13" t="str">
        <f aca="false">IF(X390="","",SUM(X441:X442)-SUM(W441:W442))</f>
        <v/>
      </c>
      <c r="Y448" s="13" t="str">
        <f aca="false">IF(Y390="","",SUM(Y441:Y442)-SUM(X441:X442))</f>
        <v/>
      </c>
      <c r="Z448" s="13" t="str">
        <f aca="false">IF(Z390="","",SUM(Z441:Z442)-SUM(Y441:Y442))</f>
        <v/>
      </c>
      <c r="AA448" s="13" t="str">
        <f aca="false">IF(AA390="","",SUM(AA441:AA442)-SUM(Z441:Z442))</f>
        <v/>
      </c>
      <c r="AB448" s="13" t="str">
        <f aca="false">IF(AB390="","",SUM(AB441:AB442)-SUM(AA441:AA442))</f>
        <v/>
      </c>
      <c r="AC448" s="13" t="str">
        <f aca="false">IF(AC390="","",SUM(AC441:AC442)-SUM(AB441:AB442))</f>
        <v/>
      </c>
      <c r="AD448" s="13" t="str">
        <f aca="false">IF(AD390="","",SUM(AD441:AD442)-SUM(AC441:AC442))</f>
        <v/>
      </c>
      <c r="AE448" s="13" t="str">
        <f aca="false">IF(AE390="","",SUM(AE441:AE442)-SUM(AD441:AD442))</f>
        <v/>
      </c>
      <c r="AF448" s="13" t="str">
        <f aca="false">IF(AF390="","",SUM(AF441:AF442)-SUM(AE441:AE442))</f>
        <v/>
      </c>
      <c r="AG448" s="13" t="str">
        <f aca="false">IF(AG390="","",SUM(AG441:AG442)-SUM(AF441:AF442))</f>
        <v/>
      </c>
      <c r="AH448" s="13" t="str">
        <f aca="false">IF(AH390="","",SUM(AH441:AH442)-SUM(AG441:AG442))</f>
        <v/>
      </c>
      <c r="AI448" s="13" t="str">
        <f aca="false">IF(AI390="","",SUM(AI441:AI442)-SUM(AH441:AH442))</f>
        <v/>
      </c>
      <c r="AJ448" s="13" t="str">
        <f aca="false">IF(AJ390="","",SUM(AJ441:AJ442)-SUM(AI441:AI442))</f>
        <v/>
      </c>
      <c r="AK448" s="13" t="str">
        <f aca="false">IF(AK390="","",SUM(AK441:AK442)-SUM(AJ441:AJ442))</f>
        <v/>
      </c>
      <c r="AL448" s="13" t="str">
        <f aca="false">IF(AL390="","",SUM(AL441:AL442)-SUM(AK441:AK442))</f>
        <v/>
      </c>
      <c r="AM448" s="13" t="str">
        <f aca="false">IF(AM390="","",SUM(AM441:AM442)-SUM(AL441:AL442))</f>
        <v/>
      </c>
      <c r="AN448" s="13" t="str">
        <f aca="false">IF(AN390="","",SUM(AN441:AN442)-SUM(AM441:AM442))</f>
        <v/>
      </c>
      <c r="AO448" s="13" t="str">
        <f aca="false">IF(AO390="","",SUM(AO441:AO442)-SUM(AN441:AN442))</f>
        <v/>
      </c>
      <c r="AP448" s="13" t="str">
        <f aca="false">IF(AP390="","",SUM(AP441:AP442)-SUM(AO441:AO442))</f>
        <v/>
      </c>
      <c r="AQ448" s="13" t="str">
        <f aca="false">IF(AQ390="","",SUM(AQ441:AQ442)-SUM(AP441:AP442))</f>
        <v/>
      </c>
      <c r="AR448" s="13" t="str">
        <f aca="false">IF(AR390="","",SUM(AR441:AR442)-SUM(AQ441:AQ442))</f>
        <v/>
      </c>
      <c r="AS448" s="13" t="str">
        <f aca="false">IF(AS390="","",SUM(AS441:AS442)-SUM(AR441:AR442))</f>
        <v/>
      </c>
      <c r="AT448" s="13" t="str">
        <f aca="false">IF(AT390="","",SUM(AT441:AT442)-SUM(AS441:AS442))</f>
        <v/>
      </c>
      <c r="AU448" s="13" t="str">
        <f aca="false">IF(AU390="","",SUM(AU441:AU442)-SUM(AT441:AT442))</f>
        <v/>
      </c>
      <c r="AV448" s="13" t="str">
        <f aca="false">IF(AV390="","",SUM(AV441:AV442)-SUM(AU441:AU442))</f>
        <v/>
      </c>
      <c r="AW448" s="13" t="str">
        <f aca="false">IF(AW390="","",SUM(AW441:AW442)-SUM(AV441:AV442))</f>
        <v/>
      </c>
      <c r="AX448" s="13" t="str">
        <f aca="false">IF(AX390="","",SUM(AX441:AX442)-SUM(AW441:AW442))</f>
        <v/>
      </c>
      <c r="AY448" s="13" t="str">
        <f aca="false">IF(AY390="","",SUM(AY441:AY442)-SUM(AX441:AX442))</f>
        <v/>
      </c>
      <c r="AZ448" s="13" t="str">
        <f aca="false">IF(AZ390="","",SUM(AZ441:AZ442)-SUM(AY441:AY442))</f>
        <v/>
      </c>
      <c r="BA448" s="13" t="str">
        <f aca="false">IF(BA390="","",SUM(BA441:BA442)-SUM(AZ441:AZ442))</f>
        <v/>
      </c>
      <c r="BB448" s="13" t="str">
        <f aca="false">IF(BB390="","",SUM(BB441:BB442)-SUM(BA441:BA442))</f>
        <v/>
      </c>
      <c r="BC448" s="13" t="str">
        <f aca="false">IF(BC390="","",SUM(BC441:BC442)-SUM(BB441:BB442))</f>
        <v/>
      </c>
      <c r="BD448" s="13" t="str">
        <f aca="false">IF(BD390="","",SUM(BD441:BD442)-SUM(BC441:BC442))</f>
        <v/>
      </c>
      <c r="BE448" s="13" t="str">
        <f aca="false">IF(BE390="","",SUM(BE441:BE442)-SUM(BD441:BD442))</f>
        <v/>
      </c>
      <c r="BF448" s="13" t="str">
        <f aca="false">IF(BF390="","",SUM(BF441:BF442)-SUM(BE441:BE442))</f>
        <v/>
      </c>
      <c r="BG448" s="13" t="str">
        <f aca="false">IF(BG390="","",SUM(BG441:BG442)-SUM(BF441:BF442))</f>
        <v/>
      </c>
      <c r="BH448" s="13" t="str">
        <f aca="false">IF(BH390="","",SUM(BH441:BH442)-SUM(BG441:BG442))</f>
        <v/>
      </c>
      <c r="BI448" s="13" t="str">
        <f aca="false">IF(BI390="","",SUM(BI441:BI442)-SUM(BH441:BH442))</f>
        <v/>
      </c>
      <c r="BJ448" s="13" t="str">
        <f aca="false">IF(BJ390="","",SUM(BJ441:BJ442)-SUM(BI441:BI442))</f>
        <v/>
      </c>
      <c r="BK448" s="13" t="str">
        <f aca="false">IF(BK390="","",SUM(BK441:BK442)-SUM(BJ441:BJ442))</f>
        <v/>
      </c>
      <c r="BL448" s="13" t="str">
        <f aca="false">IF(BL390="","",SUM(BL441:BL442)-SUM(BK441:BK442))</f>
        <v/>
      </c>
      <c r="BM448" s="13" t="str">
        <f aca="false">IF(BM390="","",SUM(BM441:BM442)-SUM(BL441:BL442))</f>
        <v/>
      </c>
      <c r="BN448" s="13" t="str">
        <f aca="false">IF(BN390="","",SUM(BN441:BN442)-SUM(BM441:BM442))</f>
        <v/>
      </c>
      <c r="BO448" s="13" t="str">
        <f aca="false">IF(BO390="","",SUM(BO441:BO442)-SUM(BN441:BN442))</f>
        <v/>
      </c>
      <c r="BP448" s="13" t="str">
        <f aca="false">IF(BP390="","",SUM(BP441:BP442)-SUM(BO441:BO442))</f>
        <v/>
      </c>
      <c r="BQ448" s="13" t="str">
        <f aca="false">IF(BQ390="","",SUM(BQ441:BQ442)-SUM(BP441:BP442))</f>
        <v/>
      </c>
      <c r="BR448" s="13" t="str">
        <f aca="false">IF(BR390="","",SUM(BR441:BR442)-SUM(BQ441:BQ442))</f>
        <v/>
      </c>
      <c r="BS448" s="13" t="str">
        <f aca="false">IF(BS390="","",SUM(BS441:BS442)-SUM(BR441:BR442))</f>
        <v/>
      </c>
      <c r="BT448" s="13" t="str">
        <f aca="false">IF(BT390="","",SUM(BT441:BT442)-SUM(BS441:BS442))</f>
        <v/>
      </c>
      <c r="BU448" s="13" t="str">
        <f aca="false">IF(BU390="","",SUM(BU441:BU442)-SUM(BT441:BT442))</f>
        <v/>
      </c>
      <c r="BV448" s="13" t="str">
        <f aca="false">IF(BV390="","",SUM(BV441:BV442)-SUM(BU441:BU442))</f>
        <v/>
      </c>
      <c r="BW448" s="13" t="str">
        <f aca="false">IF(BW390="","",SUM(BW441:BW442)-SUM(BV441:BV442))</f>
        <v/>
      </c>
      <c r="BX448" s="13" t="str">
        <f aca="false">IF(BX390="","",SUM(BX441:BX442)-SUM(BW441:BW442))</f>
        <v/>
      </c>
      <c r="BY448" s="13" t="str">
        <f aca="false">IF(BY390="","",SUM(BY441:BY442)-SUM(BX441:BX442))</f>
        <v/>
      </c>
      <c r="BZ448" s="13" t="str">
        <f aca="false">IF(BZ390="","",SUM(BZ441:BZ442)-SUM(BY441:BY442))</f>
        <v/>
      </c>
      <c r="CA448" s="13" t="str">
        <f aca="false">IF(CA390="","",SUM(CA441:CA442)-SUM(BZ441:BZ442))</f>
        <v/>
      </c>
      <c r="CB448" s="13" t="str">
        <f aca="false">IF(CB390="","",SUM(CB441:CB442)-SUM(CA441:CA442))</f>
        <v/>
      </c>
      <c r="CC448" s="13" t="str">
        <f aca="false">IF(CC390="","",SUM(CC441:CC442)-SUM(CB441:CB442))</f>
        <v/>
      </c>
      <c r="CD448" s="13" t="str">
        <f aca="false">IF(CD390="","",SUM(CD441:CD442)-SUM(CC441:CC442))</f>
        <v/>
      </c>
      <c r="CE448" s="13" t="str">
        <f aca="false">IF(CE390="","",SUM(CE441:CE442)-SUM(CD441:CD442))</f>
        <v/>
      </c>
      <c r="CF448" s="13" t="str">
        <f aca="false">IF(CF390="","",SUM(CF441:CF442)-SUM(CE441:CE442))</f>
        <v/>
      </c>
      <c r="CG448" s="13" t="str">
        <f aca="false">IF(CG390="","",SUM(CG441:CG442)-SUM(CF441:CF442))</f>
        <v/>
      </c>
      <c r="CH448" s="13" t="str">
        <f aca="false">IF(CH390="","",SUM(CH441:CH442)-SUM(CG441:CG442))</f>
        <v/>
      </c>
      <c r="CI448" s="13" t="str">
        <f aca="false">IF(CI390="","",SUM(CI441:CI442)-SUM(CH441:CH442))</f>
        <v/>
      </c>
      <c r="CJ448" s="13" t="str">
        <f aca="false">IF(CJ390="","",SUM(CJ441:CJ442)-SUM(CI441:CI442))</f>
        <v/>
      </c>
      <c r="CK448" s="13" t="str">
        <f aca="false">IF(CK390="","",SUM(CK441:CK442)-SUM(CJ441:CJ442))</f>
        <v/>
      </c>
      <c r="CL448" s="13" t="str">
        <f aca="false">IF(CL390="","",SUM(CL441:CL442)-SUM(CK441:CK442))</f>
        <v/>
      </c>
      <c r="CM448" s="13" t="str">
        <f aca="false">IF(CM390="","",SUM(CM441:CM442)-SUM(CL441:CL442))</f>
        <v/>
      </c>
      <c r="CN448" s="13" t="str">
        <f aca="false">IF(CN390="","",SUM(CN441:CN442)-SUM(CM441:CM442))</f>
        <v/>
      </c>
      <c r="CO448" s="13" t="str">
        <f aca="false">IF(CO390="","",SUM(CO441:CO442)-SUM(CN441:CN442))</f>
        <v/>
      </c>
      <c r="CP448" s="13" t="str">
        <f aca="false">IF(CP390="","",SUM(CP441:CP442)-SUM(CO441:CO442))</f>
        <v/>
      </c>
      <c r="CQ448" s="13" t="str">
        <f aca="false">IF(CQ390="","",SUM(CQ441:CQ442)-SUM(CP441:CP442))</f>
        <v/>
      </c>
      <c r="CR448" s="13" t="str">
        <f aca="false">IF(CR390="","",SUM(CR441:CR442)-SUM(CQ441:CQ442))</f>
        <v/>
      </c>
      <c r="CS448" s="13" t="str">
        <f aca="false">IF(CS390="","",SUM(CS441:CS442)-SUM(CR441:CR442))</f>
        <v/>
      </c>
      <c r="CT448" s="13" t="str">
        <f aca="false">IF(CT390="","",SUM(CT441:CT442)-SUM(CS441:CS442))</f>
        <v/>
      </c>
      <c r="CU448" s="13" t="str">
        <f aca="false">IF(CU390="","",SUM(CU441:CU442)-SUM(CT441:CT442))</f>
        <v/>
      </c>
      <c r="CV448" s="13" t="str">
        <f aca="false">IF(CV390="","",SUM(CV441:CV442)-SUM(CU441:CU442))</f>
        <v/>
      </c>
      <c r="CW448" s="13" t="str">
        <f aca="false">IF(CW390="","",SUM(CW441:CW442)-SUM(CV441:CV442))</f>
        <v/>
      </c>
      <c r="CX448" s="13" t="str">
        <f aca="false">IF(CX390="","",SUM(CX441:CX442)-SUM(CW441:CW442))</f>
        <v/>
      </c>
      <c r="CY448" s="13" t="str">
        <f aca="false">IF(CY390="","",SUM(CY441:CY442)-SUM(CX441:CX442))</f>
        <v/>
      </c>
      <c r="CZ448" s="13" t="str">
        <f aca="false">IF(CZ390="","",SUM(CZ441:CZ442)-SUM(CY441:CY442))</f>
        <v/>
      </c>
      <c r="DA448" s="13" t="str">
        <f aca="false">IF(DA390="","",SUM(DA441:DA442)-SUM(CZ441:CZ442))</f>
        <v/>
      </c>
      <c r="DB448" s="13" t="str">
        <f aca="false">IF(DB390="","",SUM(DB441:DB442)-SUM(DA441:DA442))</f>
        <v/>
      </c>
      <c r="DC448" s="13" t="str">
        <f aca="false">IF(DC390="","",SUM(DC441:DC442)-SUM(DB441:DB442))</f>
        <v/>
      </c>
      <c r="DD448" s="13" t="str">
        <f aca="false">IF(DD390="","",SUM(DD441:DD442)-SUM(DC441:DC442))</f>
        <v/>
      </c>
      <c r="DE448" s="13" t="str">
        <f aca="false">IF(DE390="","",SUM(DE441:DE442)-SUM(DD441:DD442))</f>
        <v/>
      </c>
    </row>
    <row r="449" customFormat="false" ht="15" hidden="false" customHeight="true" outlineLevel="0" collapsed="false">
      <c r="A449" s="22" t="s">
        <v>250</v>
      </c>
      <c r="B449" s="13" t="n">
        <f aca="false">IF(B390="","",B390-B445-B446-B447-B448)</f>
        <v>124223.64</v>
      </c>
      <c r="C449" s="13" t="n">
        <f aca="false">IF(C390="","",C390-C445-C446-C447-C448)</f>
        <v>419098.31</v>
      </c>
      <c r="D449" s="13" t="n">
        <f aca="false">IF(D390="","",D390-D445-D446-D447-D448)</f>
        <v>-239402.78</v>
      </c>
      <c r="E449" s="13" t="n">
        <f aca="false">IF(E390="","",E390-E445-E446-E447-E448)</f>
        <v>-16851.6900000004</v>
      </c>
      <c r="F449" s="13" t="n">
        <f aca="false">IF(F390="","",F390-F445-F446-F447-F448)</f>
        <v>-63042.8500000002</v>
      </c>
      <c r="G449" s="13" t="n">
        <f aca="false">IF(G390="","",G390-G445-G446-G447-G448)</f>
        <v>-162289.24</v>
      </c>
      <c r="H449" s="13" t="n">
        <f aca="false">IF(H390="","",H390-H445-H446-H447-H448)</f>
        <v>-15316.9400000009</v>
      </c>
      <c r="I449" s="13" t="n">
        <f aca="false">IF(I390="","",I390-I445-I446-I447-I448)</f>
        <v>691588.675125</v>
      </c>
      <c r="J449" s="13" t="str">
        <f aca="false">IF(J390="","",J390-J445-J446-J447-J448)</f>
        <v/>
      </c>
      <c r="K449" s="13" t="str">
        <f aca="false">IF(K390="","",K390-K445-K446-K447-K448)</f>
        <v/>
      </c>
      <c r="L449" s="13" t="str">
        <f aca="false">IF(L390="","",L390-L445-L446-L447-L448)</f>
        <v/>
      </c>
      <c r="M449" s="13" t="str">
        <f aca="false">IF(M390="","",M390-M445-M446-M447-M448)</f>
        <v/>
      </c>
      <c r="N449" s="13" t="str">
        <f aca="false">IF(N390="","",N390-N445-N446-N447-N448)</f>
        <v/>
      </c>
      <c r="O449" s="13" t="str">
        <f aca="false">IF(O390="","",O390-O445-O446-O447-O448)</f>
        <v/>
      </c>
      <c r="P449" s="13" t="str">
        <f aca="false">IF(P390="","",P390-P445-P446-P447-P448)</f>
        <v/>
      </c>
      <c r="Q449" s="13" t="str">
        <f aca="false">IF(Q390="","",Q390-Q445-Q446-Q447-Q448)</f>
        <v/>
      </c>
      <c r="R449" s="13" t="str">
        <f aca="false">IF(R390="","",R390-R445-R446-R447-R448)</f>
        <v/>
      </c>
      <c r="S449" s="13" t="str">
        <f aca="false">IF(S390="","",S390-S445-S446-S447-S448)</f>
        <v/>
      </c>
      <c r="T449" s="13" t="str">
        <f aca="false">IF(T390="","",T390-T445-T446-T447-T448)</f>
        <v/>
      </c>
      <c r="U449" s="13" t="str">
        <f aca="false">IF(U390="","",U390-U445-U446-U447-U448)</f>
        <v/>
      </c>
      <c r="V449" s="13" t="str">
        <f aca="false">IF(V390="","",V390-V445-V446-V447-V448)</f>
        <v/>
      </c>
      <c r="W449" s="13" t="str">
        <f aca="false">IF(W390="","",W390-W445-W446-W447-W448)</f>
        <v/>
      </c>
      <c r="X449" s="13" t="str">
        <f aca="false">IF(X390="","",X390-X445-X446-X447-X448)</f>
        <v/>
      </c>
      <c r="Y449" s="13" t="str">
        <f aca="false">IF(Y390="","",Y390-Y445-Y446-Y447-Y448)</f>
        <v/>
      </c>
      <c r="Z449" s="13" t="str">
        <f aca="false">IF(Z390="","",Z390-Z445-Z446-Z447-Z448)</f>
        <v/>
      </c>
      <c r="AA449" s="13" t="str">
        <f aca="false">IF(AA390="","",AA390-AA445-AA446-AA447-AA448)</f>
        <v/>
      </c>
      <c r="AB449" s="13" t="str">
        <f aca="false">IF(AB390="","",AB390-AB445-AB446-AB447-AB448)</f>
        <v/>
      </c>
      <c r="AC449" s="13" t="str">
        <f aca="false">IF(AC390="","",AC390-AC445-AC446-AC447-AC448)</f>
        <v/>
      </c>
      <c r="AD449" s="13" t="str">
        <f aca="false">IF(AD390="","",AD390-AD445-AD446-AD447-AD448)</f>
        <v/>
      </c>
      <c r="AE449" s="13" t="str">
        <f aca="false">IF(AE390="","",AE390-AE445-AE446-AE447-AE448)</f>
        <v/>
      </c>
      <c r="AF449" s="13" t="str">
        <f aca="false">IF(AF390="","",AF390-AF445-AF446-AF447-AF448)</f>
        <v/>
      </c>
      <c r="AG449" s="13" t="str">
        <f aca="false">IF(AG390="","",AG390-AG445-AG446-AG447-AG448)</f>
        <v/>
      </c>
      <c r="AH449" s="13" t="str">
        <f aca="false">IF(AH390="","",AH390-AH445-AH446-AH447-AH448)</f>
        <v/>
      </c>
      <c r="AI449" s="13" t="str">
        <f aca="false">IF(AI390="","",AI390-AI445-AI446-AI447-AI448)</f>
        <v/>
      </c>
      <c r="AJ449" s="13" t="str">
        <f aca="false">IF(AJ390="","",AJ390-AJ445-AJ446-AJ447-AJ448)</f>
        <v/>
      </c>
      <c r="AK449" s="13" t="str">
        <f aca="false">IF(AK390="","",AK390-AK445-AK446-AK447-AK448)</f>
        <v/>
      </c>
      <c r="AL449" s="13" t="str">
        <f aca="false">IF(AL390="","",AL390-AL445-AL446-AL447-AL448)</f>
        <v/>
      </c>
      <c r="AM449" s="13" t="str">
        <f aca="false">IF(AM390="","",AM390-AM445-AM446-AM447-AM448)</f>
        <v/>
      </c>
      <c r="AN449" s="13" t="str">
        <f aca="false">IF(AN390="","",AN390-AN445-AN446-AN447-AN448)</f>
        <v/>
      </c>
      <c r="AO449" s="13" t="str">
        <f aca="false">IF(AO390="","",AO390-AO445-AO446-AO447-AO448)</f>
        <v/>
      </c>
      <c r="AP449" s="13" t="str">
        <f aca="false">IF(AP390="","",AP390-AP445-AP446-AP447-AP448)</f>
        <v/>
      </c>
      <c r="AQ449" s="13" t="str">
        <f aca="false">IF(AQ390="","",AQ390-AQ445-AQ446-AQ447-AQ448)</f>
        <v/>
      </c>
      <c r="AR449" s="13" t="str">
        <f aca="false">IF(AR390="","",AR390-AR445-AR446-AR447-AR448)</f>
        <v/>
      </c>
      <c r="AS449" s="13" t="str">
        <f aca="false">IF(AS390="","",AS390-AS445-AS446-AS447-AS448)</f>
        <v/>
      </c>
      <c r="AT449" s="13" t="str">
        <f aca="false">IF(AT390="","",AT390-AT445-AT446-AT447-AT448)</f>
        <v/>
      </c>
      <c r="AU449" s="13" t="str">
        <f aca="false">IF(AU390="","",AU390-AU445-AU446-AU447-AU448)</f>
        <v/>
      </c>
      <c r="AV449" s="13" t="str">
        <f aca="false">IF(AV390="","",AV390-AV445-AV446-AV447-AV448)</f>
        <v/>
      </c>
      <c r="AW449" s="13" t="str">
        <f aca="false">IF(AW390="","",AW390-AW445-AW446-AW447-AW448)</f>
        <v/>
      </c>
      <c r="AX449" s="13" t="str">
        <f aca="false">IF(AX390="","",AX390-AX445-AX446-AX447-AX448)</f>
        <v/>
      </c>
      <c r="AY449" s="13" t="str">
        <f aca="false">IF(AY390="","",AY390-AY445-AY446-AY447-AY448)</f>
        <v/>
      </c>
      <c r="AZ449" s="13" t="str">
        <f aca="false">IF(AZ390="","",AZ390-AZ445-AZ446-AZ447-AZ448)</f>
        <v/>
      </c>
      <c r="BA449" s="13" t="str">
        <f aca="false">IF(BA390="","",BA390-BA445-BA446-BA447-BA448)</f>
        <v/>
      </c>
      <c r="BB449" s="13" t="str">
        <f aca="false">IF(BB390="","",BB390-BB445-BB446-BB447-BB448)</f>
        <v/>
      </c>
      <c r="BC449" s="13" t="str">
        <f aca="false">IF(BC390="","",BC390-BC445-BC446-BC447-BC448)</f>
        <v/>
      </c>
      <c r="BD449" s="13" t="str">
        <f aca="false">IF(BD390="","",BD390-BD445-BD446-BD447-BD448)</f>
        <v/>
      </c>
      <c r="BE449" s="13" t="str">
        <f aca="false">IF(BE390="","",BE390-BE445-BE446-BE447-BE448)</f>
        <v/>
      </c>
      <c r="BF449" s="13" t="str">
        <f aca="false">IF(BF390="","",BF390-BF445-BF446-BF447-BF448)</f>
        <v/>
      </c>
      <c r="BG449" s="13" t="str">
        <f aca="false">IF(BG390="","",BG390-BG445-BG446-BG447-BG448)</f>
        <v/>
      </c>
      <c r="BH449" s="13" t="str">
        <f aca="false">IF(BH390="","",BH390-BH445-BH446-BH447-BH448)</f>
        <v/>
      </c>
      <c r="BI449" s="13" t="str">
        <f aca="false">IF(BI390="","",BI390-BI445-BI446-BI447-BI448)</f>
        <v/>
      </c>
      <c r="BJ449" s="13" t="str">
        <f aca="false">IF(BJ390="","",BJ390-BJ445-BJ446-BJ447-BJ448)</f>
        <v/>
      </c>
      <c r="BK449" s="13" t="str">
        <f aca="false">IF(BK390="","",BK390-BK445-BK446-BK447-BK448)</f>
        <v/>
      </c>
      <c r="BL449" s="13" t="str">
        <f aca="false">IF(BL390="","",BL390-BL445-BL446-BL447-BL448)</f>
        <v/>
      </c>
      <c r="BM449" s="13" t="str">
        <f aca="false">IF(BM390="","",BM390-BM445-BM446-BM447-BM448)</f>
        <v/>
      </c>
      <c r="BN449" s="13" t="str">
        <f aca="false">IF(BN390="","",BN390-BN445-BN446-BN447-BN448)</f>
        <v/>
      </c>
      <c r="BO449" s="13" t="str">
        <f aca="false">IF(BO390="","",BO390-BO445-BO446-BO447-BO448)</f>
        <v/>
      </c>
      <c r="BP449" s="13" t="str">
        <f aca="false">IF(BP390="","",BP390-BP445-BP446-BP447-BP448)</f>
        <v/>
      </c>
      <c r="BQ449" s="13" t="str">
        <f aca="false">IF(BQ390="","",BQ390-BQ445-BQ446-BQ447-BQ448)</f>
        <v/>
      </c>
      <c r="BR449" s="13" t="str">
        <f aca="false">IF(BR390="","",BR390-BR445-BR446-BR447-BR448)</f>
        <v/>
      </c>
      <c r="BS449" s="13" t="str">
        <f aca="false">IF(BS390="","",BS390-BS445-BS446-BS447-BS448)</f>
        <v/>
      </c>
      <c r="BT449" s="13" t="str">
        <f aca="false">IF(BT390="","",BT390-BT445-BT446-BT447-BT448)</f>
        <v/>
      </c>
      <c r="BU449" s="13" t="str">
        <f aca="false">IF(BU390="","",BU390-BU445-BU446-BU447-BU448)</f>
        <v/>
      </c>
      <c r="BV449" s="13" t="str">
        <f aca="false">IF(BV390="","",BV390-BV445-BV446-BV447-BV448)</f>
        <v/>
      </c>
      <c r="BW449" s="13" t="str">
        <f aca="false">IF(BW390="","",BW390-BW445-BW446-BW447-BW448)</f>
        <v/>
      </c>
      <c r="BX449" s="13" t="str">
        <f aca="false">IF(BX390="","",BX390-BX445-BX446-BX447-BX448)</f>
        <v/>
      </c>
      <c r="BY449" s="13" t="str">
        <f aca="false">IF(BY390="","",BY390-BY445-BY446-BY447-BY448)</f>
        <v/>
      </c>
      <c r="BZ449" s="13" t="str">
        <f aca="false">IF(BZ390="","",BZ390-BZ445-BZ446-BZ447-BZ448)</f>
        <v/>
      </c>
      <c r="CA449" s="13" t="str">
        <f aca="false">IF(CA390="","",CA390-CA445-CA446-CA447-CA448)</f>
        <v/>
      </c>
      <c r="CB449" s="13" t="str">
        <f aca="false">IF(CB390="","",CB390-CB445-CB446-CB447-CB448)</f>
        <v/>
      </c>
      <c r="CC449" s="13" t="str">
        <f aca="false">IF(CC390="","",CC390-CC445-CC446-CC447-CC448)</f>
        <v/>
      </c>
      <c r="CD449" s="13" t="str">
        <f aca="false">IF(CD390="","",CD390-CD445-CD446-CD447-CD448)</f>
        <v/>
      </c>
      <c r="CE449" s="13" t="str">
        <f aca="false">IF(CE390="","",CE390-CE445-CE446-CE447-CE448)</f>
        <v/>
      </c>
      <c r="CF449" s="13" t="str">
        <f aca="false">IF(CF390="","",CF390-CF445-CF446-CF447-CF448)</f>
        <v/>
      </c>
      <c r="CG449" s="13" t="str">
        <f aca="false">IF(CG390="","",CG390-CG445-CG446-CG447-CG448)</f>
        <v/>
      </c>
      <c r="CH449" s="13" t="str">
        <f aca="false">IF(CH390="","",CH390-CH445-CH446-CH447-CH448)</f>
        <v/>
      </c>
      <c r="CI449" s="13" t="str">
        <f aca="false">IF(CI390="","",CI390-CI445-CI446-CI447-CI448)</f>
        <v/>
      </c>
      <c r="CJ449" s="13" t="str">
        <f aca="false">IF(CJ390="","",CJ390-CJ445-CJ446-CJ447-CJ448)</f>
        <v/>
      </c>
      <c r="CK449" s="13" t="str">
        <f aca="false">IF(CK390="","",CK390-CK445-CK446-CK447-CK448)</f>
        <v/>
      </c>
      <c r="CL449" s="13" t="str">
        <f aca="false">IF(CL390="","",CL390-CL445-CL446-CL447-CL448)</f>
        <v/>
      </c>
      <c r="CM449" s="13" t="str">
        <f aca="false">IF(CM390="","",CM390-CM445-CM446-CM447-CM448)</f>
        <v/>
      </c>
      <c r="CN449" s="13" t="str">
        <f aca="false">IF(CN390="","",CN390-CN445-CN446-CN447-CN448)</f>
        <v/>
      </c>
      <c r="CO449" s="13" t="str">
        <f aca="false">IF(CO390="","",CO390-CO445-CO446-CO447-CO448)</f>
        <v/>
      </c>
      <c r="CP449" s="13" t="str">
        <f aca="false">IF(CP390="","",CP390-CP445-CP446-CP447-CP448)</f>
        <v/>
      </c>
      <c r="CQ449" s="13" t="str">
        <f aca="false">IF(CQ390="","",CQ390-CQ445-CQ446-CQ447-CQ448)</f>
        <v/>
      </c>
      <c r="CR449" s="13" t="str">
        <f aca="false">IF(CR390="","",CR390-CR445-CR446-CR447-CR448)</f>
        <v/>
      </c>
      <c r="CS449" s="13" t="str">
        <f aca="false">IF(CS390="","",CS390-CS445-CS446-CS447-CS448)</f>
        <v/>
      </c>
      <c r="CT449" s="13" t="str">
        <f aca="false">IF(CT390="","",CT390-CT445-CT446-CT447-CT448)</f>
        <v/>
      </c>
      <c r="CU449" s="13" t="str">
        <f aca="false">IF(CU390="","",CU390-CU445-CU446-CU447-CU448)</f>
        <v/>
      </c>
      <c r="CV449" s="13" t="str">
        <f aca="false">IF(CV390="","",CV390-CV445-CV446-CV447-CV448)</f>
        <v/>
      </c>
      <c r="CW449" s="13" t="str">
        <f aca="false">IF(CW390="","",CW390-CW445-CW446-CW447-CW448)</f>
        <v/>
      </c>
      <c r="CX449" s="13" t="str">
        <f aca="false">IF(CX390="","",CX390-CX445-CX446-CX447-CX448)</f>
        <v/>
      </c>
      <c r="CY449" s="13" t="str">
        <f aca="false">IF(CY390="","",CY390-CY445-CY446-CY447-CY448)</f>
        <v/>
      </c>
      <c r="CZ449" s="13" t="str">
        <f aca="false">IF(CZ390="","",CZ390-CZ445-CZ446-CZ447-CZ448)</f>
        <v/>
      </c>
      <c r="DA449" s="13" t="str">
        <f aca="false">IF(DA390="","",DA390-DA445-DA446-DA447-DA448)</f>
        <v/>
      </c>
      <c r="DB449" s="13" t="str">
        <f aca="false">IF(DB390="","",DB390-DB445-DB446-DB447-DB448)</f>
        <v/>
      </c>
      <c r="DC449" s="13" t="str">
        <f aca="false">IF(DC390="","",DC390-DC445-DC446-DC447-DC448)</f>
        <v/>
      </c>
      <c r="DD449" s="13" t="str">
        <f aca="false">IF(DD390="","",DD390-DD445-DD446-DD447-DD448)</f>
        <v/>
      </c>
      <c r="DE449" s="13" t="str">
        <f aca="false">IF(DE390="","",DE390-DE445-DE446-DE447-DE448)</f>
        <v/>
      </c>
    </row>
    <row r="450" customFormat="false" ht="15" hidden="false" customHeight="true" outlineLevel="0" collapsed="false">
      <c r="A450" s="67" t="s">
        <v>251</v>
      </c>
      <c r="B450" s="68" t="n">
        <f aca="false">IF(B390="","",B390)</f>
        <v>680024</v>
      </c>
      <c r="C450" s="68" t="n">
        <f aca="false">IF(C390="","",C390)</f>
        <v>115848</v>
      </c>
      <c r="D450" s="68" t="n">
        <f aca="false">IF(D390="","",D390)</f>
        <v>633520</v>
      </c>
      <c r="E450" s="68" t="n">
        <f aca="false">IF(E390="","",E390)</f>
        <v>394004</v>
      </c>
      <c r="F450" s="68" t="n">
        <f aca="false">IF(F390="","",F390)</f>
        <v>501967</v>
      </c>
      <c r="G450" s="68" t="n">
        <f aca="false">IF(G390="","",G390)</f>
        <v>306139</v>
      </c>
      <c r="H450" s="68" t="n">
        <f aca="false">IF(H390="","",H390)</f>
        <v>283340</v>
      </c>
      <c r="I450" s="68" t="n">
        <f aca="false">IF(I390="","",I390)</f>
        <v>1287106</v>
      </c>
      <c r="J450" s="68" t="str">
        <f aca="false">IF(J390="","",J390)</f>
        <v/>
      </c>
      <c r="K450" s="68" t="str">
        <f aca="false">IF(K390="","",K390)</f>
        <v/>
      </c>
      <c r="L450" s="68" t="str">
        <f aca="false">IF(L390="","",L390)</f>
        <v/>
      </c>
      <c r="M450" s="68" t="str">
        <f aca="false">IF(M390="","",M390)</f>
        <v/>
      </c>
      <c r="N450" s="68" t="str">
        <f aca="false">IF(N390="","",N390)</f>
        <v/>
      </c>
      <c r="O450" s="68" t="str">
        <f aca="false">IF(O390="","",O390)</f>
        <v/>
      </c>
      <c r="P450" s="68" t="str">
        <f aca="false">IF(P390="","",P390)</f>
        <v/>
      </c>
      <c r="Q450" s="68" t="str">
        <f aca="false">IF(Q390="","",Q390)</f>
        <v/>
      </c>
      <c r="R450" s="68" t="str">
        <f aca="false">IF(R390="","",R390)</f>
        <v/>
      </c>
      <c r="S450" s="68" t="str">
        <f aca="false">IF(S390="","",S390)</f>
        <v/>
      </c>
      <c r="T450" s="68" t="str">
        <f aca="false">IF(T390="","",T390)</f>
        <v/>
      </c>
      <c r="U450" s="68" t="str">
        <f aca="false">IF(U390="","",U390)</f>
        <v/>
      </c>
      <c r="V450" s="68" t="str">
        <f aca="false">IF(V390="","",V390)</f>
        <v/>
      </c>
      <c r="W450" s="68" t="str">
        <f aca="false">IF(W390="","",W390)</f>
        <v/>
      </c>
      <c r="X450" s="68" t="str">
        <f aca="false">IF(X390="","",X390)</f>
        <v/>
      </c>
      <c r="Y450" s="68" t="str">
        <f aca="false">IF(Y390="","",Y390)</f>
        <v/>
      </c>
      <c r="Z450" s="68" t="str">
        <f aca="false">IF(Z390="","",Z390)</f>
        <v/>
      </c>
      <c r="AA450" s="68" t="str">
        <f aca="false">IF(AA390="","",AA390)</f>
        <v/>
      </c>
      <c r="AB450" s="68" t="str">
        <f aca="false">IF(AB390="","",AB390)</f>
        <v/>
      </c>
      <c r="AC450" s="68" t="str">
        <f aca="false">IF(AC390="","",AC390)</f>
        <v/>
      </c>
      <c r="AD450" s="68" t="str">
        <f aca="false">IF(AD390="","",AD390)</f>
        <v/>
      </c>
      <c r="AE450" s="68" t="str">
        <f aca="false">IF(AE390="","",AE390)</f>
        <v/>
      </c>
      <c r="AF450" s="68" t="str">
        <f aca="false">IF(AF390="","",AF390)</f>
        <v/>
      </c>
      <c r="AG450" s="68" t="str">
        <f aca="false">IF(AG390="","",AG390)</f>
        <v/>
      </c>
      <c r="AH450" s="68" t="str">
        <f aca="false">IF(AH390="","",AH390)</f>
        <v/>
      </c>
      <c r="AI450" s="68" t="str">
        <f aca="false">IF(AI390="","",AI390)</f>
        <v/>
      </c>
      <c r="AJ450" s="68" t="str">
        <f aca="false">IF(AJ390="","",AJ390)</f>
        <v/>
      </c>
      <c r="AK450" s="68" t="str">
        <f aca="false">IF(AK390="","",AK390)</f>
        <v/>
      </c>
      <c r="AL450" s="68" t="str">
        <f aca="false">IF(AL390="","",AL390)</f>
        <v/>
      </c>
      <c r="AM450" s="68" t="str">
        <f aca="false">IF(AM390="","",AM390)</f>
        <v/>
      </c>
      <c r="AN450" s="68" t="str">
        <f aca="false">IF(AN390="","",AN390)</f>
        <v/>
      </c>
      <c r="AO450" s="68" t="str">
        <f aca="false">IF(AO390="","",AO390)</f>
        <v/>
      </c>
      <c r="AP450" s="68" t="str">
        <f aca="false">IF(AP390="","",AP390)</f>
        <v/>
      </c>
      <c r="AQ450" s="68" t="str">
        <f aca="false">IF(AQ390="","",AQ390)</f>
        <v/>
      </c>
      <c r="AR450" s="68" t="str">
        <f aca="false">IF(AR390="","",AR390)</f>
        <v/>
      </c>
      <c r="AS450" s="68" t="str">
        <f aca="false">IF(AS390="","",AS390)</f>
        <v/>
      </c>
      <c r="AT450" s="68" t="str">
        <f aca="false">IF(AT390="","",AT390)</f>
        <v/>
      </c>
      <c r="AU450" s="68" t="str">
        <f aca="false">IF(AU390="","",AU390)</f>
        <v/>
      </c>
      <c r="AV450" s="68" t="str">
        <f aca="false">IF(AV390="","",AV390)</f>
        <v/>
      </c>
      <c r="AW450" s="68" t="str">
        <f aca="false">IF(AW390="","",AW390)</f>
        <v/>
      </c>
      <c r="AX450" s="68" t="str">
        <f aca="false">IF(AX390="","",AX390)</f>
        <v/>
      </c>
      <c r="AY450" s="68" t="str">
        <f aca="false">IF(AY390="","",AY390)</f>
        <v/>
      </c>
      <c r="AZ450" s="68" t="str">
        <f aca="false">IF(AZ390="","",AZ390)</f>
        <v/>
      </c>
      <c r="BA450" s="68" t="str">
        <f aca="false">IF(BA390="","",BA390)</f>
        <v/>
      </c>
      <c r="BB450" s="68" t="str">
        <f aca="false">IF(BB390="","",BB390)</f>
        <v/>
      </c>
      <c r="BC450" s="68" t="str">
        <f aca="false">IF(BC390="","",BC390)</f>
        <v/>
      </c>
      <c r="BD450" s="68" t="str">
        <f aca="false">IF(BD390="","",BD390)</f>
        <v/>
      </c>
      <c r="BE450" s="68" t="str">
        <f aca="false">IF(BE390="","",BE390)</f>
        <v/>
      </c>
      <c r="BF450" s="68" t="str">
        <f aca="false">IF(BF390="","",BF390)</f>
        <v/>
      </c>
      <c r="BG450" s="68" t="str">
        <f aca="false">IF(BG390="","",BG390)</f>
        <v/>
      </c>
      <c r="BH450" s="68" t="str">
        <f aca="false">IF(BH390="","",BH390)</f>
        <v/>
      </c>
      <c r="BI450" s="68" t="str">
        <f aca="false">IF(BI390="","",BI390)</f>
        <v/>
      </c>
      <c r="BJ450" s="68" t="str">
        <f aca="false">IF(BJ390="","",BJ390)</f>
        <v/>
      </c>
      <c r="BK450" s="68" t="str">
        <f aca="false">IF(BK390="","",BK390)</f>
        <v/>
      </c>
      <c r="BL450" s="68" t="str">
        <f aca="false">IF(BL390="","",BL390)</f>
        <v/>
      </c>
      <c r="BM450" s="68" t="str">
        <f aca="false">IF(BM390="","",BM390)</f>
        <v/>
      </c>
      <c r="BN450" s="68" t="str">
        <f aca="false">IF(BN390="","",BN390)</f>
        <v/>
      </c>
      <c r="BO450" s="68" t="str">
        <f aca="false">IF(BO390="","",BO390)</f>
        <v/>
      </c>
      <c r="BP450" s="68" t="str">
        <f aca="false">IF(BP390="","",BP390)</f>
        <v/>
      </c>
      <c r="BQ450" s="68" t="str">
        <f aca="false">IF(BQ390="","",BQ390)</f>
        <v/>
      </c>
      <c r="BR450" s="68" t="str">
        <f aca="false">IF(BR390="","",BR390)</f>
        <v/>
      </c>
      <c r="BS450" s="68" t="str">
        <f aca="false">IF(BS390="","",BS390)</f>
        <v/>
      </c>
      <c r="BT450" s="68" t="str">
        <f aca="false">IF(BT390="","",BT390)</f>
        <v/>
      </c>
      <c r="BU450" s="68" t="str">
        <f aca="false">IF(BU390="","",BU390)</f>
        <v/>
      </c>
      <c r="BV450" s="68" t="str">
        <f aca="false">IF(BV390="","",BV390)</f>
        <v/>
      </c>
      <c r="BW450" s="68" t="str">
        <f aca="false">IF(BW390="","",BW390)</f>
        <v/>
      </c>
      <c r="BX450" s="68" t="str">
        <f aca="false">IF(BX390="","",BX390)</f>
        <v/>
      </c>
      <c r="BY450" s="68" t="str">
        <f aca="false">IF(BY390="","",BY390)</f>
        <v/>
      </c>
      <c r="BZ450" s="68" t="str">
        <f aca="false">IF(BZ390="","",BZ390)</f>
        <v/>
      </c>
      <c r="CA450" s="68" t="str">
        <f aca="false">IF(CA390="","",CA390)</f>
        <v/>
      </c>
      <c r="CB450" s="68" t="str">
        <f aca="false">IF(CB390="","",CB390)</f>
        <v/>
      </c>
      <c r="CC450" s="68" t="str">
        <f aca="false">IF(CC390="","",CC390)</f>
        <v/>
      </c>
      <c r="CD450" s="68" t="str">
        <f aca="false">IF(CD390="","",CD390)</f>
        <v/>
      </c>
      <c r="CE450" s="68" t="str">
        <f aca="false">IF(CE390="","",CE390)</f>
        <v/>
      </c>
      <c r="CF450" s="68" t="str">
        <f aca="false">IF(CF390="","",CF390)</f>
        <v/>
      </c>
      <c r="CG450" s="68" t="str">
        <f aca="false">IF(CG390="","",CG390)</f>
        <v/>
      </c>
      <c r="CH450" s="68" t="str">
        <f aca="false">IF(CH390="","",CH390)</f>
        <v/>
      </c>
      <c r="CI450" s="68" t="str">
        <f aca="false">IF(CI390="","",CI390)</f>
        <v/>
      </c>
      <c r="CJ450" s="68" t="str">
        <f aca="false">IF(CJ390="","",CJ390)</f>
        <v/>
      </c>
      <c r="CK450" s="68" t="str">
        <f aca="false">IF(CK390="","",CK390)</f>
        <v/>
      </c>
      <c r="CL450" s="68" t="str">
        <f aca="false">IF(CL390="","",CL390)</f>
        <v/>
      </c>
      <c r="CM450" s="68" t="str">
        <f aca="false">IF(CM390="","",CM390)</f>
        <v/>
      </c>
      <c r="CN450" s="68" t="str">
        <f aca="false">IF(CN390="","",CN390)</f>
        <v/>
      </c>
      <c r="CO450" s="68" t="str">
        <f aca="false">IF(CO390="","",CO390)</f>
        <v/>
      </c>
      <c r="CP450" s="68" t="str">
        <f aca="false">IF(CP390="","",CP390)</f>
        <v/>
      </c>
      <c r="CQ450" s="68" t="str">
        <f aca="false">IF(CQ390="","",CQ390)</f>
        <v/>
      </c>
      <c r="CR450" s="68" t="str">
        <f aca="false">IF(CR390="","",CR390)</f>
        <v/>
      </c>
      <c r="CS450" s="68" t="str">
        <f aca="false">IF(CS390="","",CS390)</f>
        <v/>
      </c>
      <c r="CT450" s="68" t="str">
        <f aca="false">IF(CT390="","",CT390)</f>
        <v/>
      </c>
      <c r="CU450" s="68" t="str">
        <f aca="false">IF(CU390="","",CU390)</f>
        <v/>
      </c>
      <c r="CV450" s="68" t="str">
        <f aca="false">IF(CV390="","",CV390)</f>
        <v/>
      </c>
      <c r="CW450" s="68" t="str">
        <f aca="false">IF(CW390="","",CW390)</f>
        <v/>
      </c>
      <c r="CX450" s="68" t="str">
        <f aca="false">IF(CX390="","",CX390)</f>
        <v/>
      </c>
      <c r="CY450" s="68" t="str">
        <f aca="false">IF(CY390="","",CY390)</f>
        <v/>
      </c>
      <c r="CZ450" s="68" t="str">
        <f aca="false">IF(CZ390="","",CZ390)</f>
        <v/>
      </c>
      <c r="DA450" s="68" t="str">
        <f aca="false">IF(DA390="","",DA390)</f>
        <v/>
      </c>
      <c r="DB450" s="68" t="str">
        <f aca="false">IF(DB390="","",DB390)</f>
        <v/>
      </c>
      <c r="DC450" s="68" t="str">
        <f aca="false">IF(DC390="","",DC390)</f>
        <v/>
      </c>
      <c r="DD450" s="68" t="str">
        <f aca="false">IF(DD390="","",DD390)</f>
        <v/>
      </c>
      <c r="DE450" s="68" t="str">
        <f aca="false">IF(DE390="","",DE390)</f>
        <v/>
      </c>
    </row>
    <row r="451" customFormat="false" ht="15" hidden="false" customHeight="true" outlineLevel="0" collapsed="false">
      <c r="A451" s="22" t="s">
        <v>252</v>
      </c>
      <c r="B451" s="13" t="n">
        <f aca="false">IF(B390="","",B390-B445-B446)</f>
        <v>232281.64</v>
      </c>
      <c r="C451" s="13" t="n">
        <f aca="false">IF(C390="","",C390-C445-C446)</f>
        <v>-252866.69</v>
      </c>
      <c r="D451" s="13" t="n">
        <f aca="false">IF(D390="","",D390-D445-D446)</f>
        <v>275425.22</v>
      </c>
      <c r="E451" s="13" t="n">
        <f aca="false">IF(E390="","",E390-E445-E446)</f>
        <v>-613442.69</v>
      </c>
      <c r="F451" s="13" t="n">
        <f aca="false">IF(F390="","",F390-F445-F446)</f>
        <v>80341.1499999998</v>
      </c>
      <c r="G451" s="13" t="n">
        <f aca="false">IF(G390="","",G390-G445-G446)</f>
        <v>-513725.24</v>
      </c>
      <c r="H451" s="13" t="n">
        <f aca="false">IF(H390="","",H390-H445-H446)</f>
        <v>-1467936.94</v>
      </c>
      <c r="I451" s="13" t="n">
        <f aca="false">IF(I390="","",I390-I445-I446)</f>
        <v>1521070.675125</v>
      </c>
      <c r="J451" s="13" t="str">
        <f aca="false">IF(J390="","",J390-J445-J446)</f>
        <v/>
      </c>
      <c r="K451" s="13" t="str">
        <f aca="false">IF(K390="","",K390-K445-K446)</f>
        <v/>
      </c>
      <c r="L451" s="13" t="str">
        <f aca="false">IF(L390="","",L390-L445-L446)</f>
        <v/>
      </c>
      <c r="M451" s="13" t="str">
        <f aca="false">IF(M390="","",M390-M445-M446)</f>
        <v/>
      </c>
      <c r="N451" s="13" t="str">
        <f aca="false">IF(N390="","",N390-N445-N446)</f>
        <v/>
      </c>
      <c r="O451" s="13" t="str">
        <f aca="false">IF(O390="","",O390-O445-O446)</f>
        <v/>
      </c>
      <c r="P451" s="13" t="str">
        <f aca="false">IF(P390="","",P390-P445-P446)</f>
        <v/>
      </c>
      <c r="Q451" s="13" t="str">
        <f aca="false">IF(Q390="","",Q390-Q445-Q446)</f>
        <v/>
      </c>
      <c r="R451" s="13" t="str">
        <f aca="false">IF(R390="","",R390-R445-R446)</f>
        <v/>
      </c>
      <c r="S451" s="13" t="str">
        <f aca="false">IF(S390="","",S390-S445-S446)</f>
        <v/>
      </c>
      <c r="T451" s="13" t="str">
        <f aca="false">IF(T390="","",T390-T445-T446)</f>
        <v/>
      </c>
      <c r="U451" s="13" t="str">
        <f aca="false">IF(U390="","",U390-U445-U446)</f>
        <v/>
      </c>
      <c r="V451" s="13" t="str">
        <f aca="false">IF(V390="","",V390-V445-V446)</f>
        <v/>
      </c>
      <c r="W451" s="13" t="str">
        <f aca="false">IF(W390="","",W390-W445-W446)</f>
        <v/>
      </c>
      <c r="X451" s="13" t="str">
        <f aca="false">IF(X390="","",X390-X445-X446)</f>
        <v/>
      </c>
      <c r="Y451" s="13" t="str">
        <f aca="false">IF(Y390="","",Y390-Y445-Y446)</f>
        <v/>
      </c>
      <c r="Z451" s="13" t="str">
        <f aca="false">IF(Z390="","",Z390-Z445-Z446)</f>
        <v/>
      </c>
      <c r="AA451" s="13" t="str">
        <f aca="false">IF(AA390="","",AA390-AA445-AA446)</f>
        <v/>
      </c>
      <c r="AB451" s="13" t="str">
        <f aca="false">IF(AB390="","",AB390-AB445-AB446)</f>
        <v/>
      </c>
      <c r="AC451" s="13" t="str">
        <f aca="false">IF(AC390="","",AC390-AC445-AC446)</f>
        <v/>
      </c>
      <c r="AD451" s="13" t="str">
        <f aca="false">IF(AD390="","",AD390-AD445-AD446)</f>
        <v/>
      </c>
      <c r="AE451" s="13" t="str">
        <f aca="false">IF(AE390="","",AE390-AE445-AE446)</f>
        <v/>
      </c>
      <c r="AF451" s="13" t="str">
        <f aca="false">IF(AF390="","",AF390-AF445-AF446)</f>
        <v/>
      </c>
      <c r="AG451" s="13" t="str">
        <f aca="false">IF(AG390="","",AG390-AG445-AG446)</f>
        <v/>
      </c>
      <c r="AH451" s="13" t="str">
        <f aca="false">IF(AH390="","",AH390-AH445-AH446)</f>
        <v/>
      </c>
      <c r="AI451" s="13" t="str">
        <f aca="false">IF(AI390="","",AI390-AI445-AI446)</f>
        <v/>
      </c>
      <c r="AJ451" s="13" t="str">
        <f aca="false">IF(AJ390="","",AJ390-AJ445-AJ446)</f>
        <v/>
      </c>
      <c r="AK451" s="13" t="str">
        <f aca="false">IF(AK390="","",AK390-AK445-AK446)</f>
        <v/>
      </c>
      <c r="AL451" s="13" t="str">
        <f aca="false">IF(AL390="","",AL390-AL445-AL446)</f>
        <v/>
      </c>
      <c r="AM451" s="13" t="str">
        <f aca="false">IF(AM390="","",AM390-AM445-AM446)</f>
        <v/>
      </c>
      <c r="AN451" s="13" t="str">
        <f aca="false">IF(AN390="","",AN390-AN445-AN446)</f>
        <v/>
      </c>
      <c r="AO451" s="13" t="str">
        <f aca="false">IF(AO390="","",AO390-AO445-AO446)</f>
        <v/>
      </c>
      <c r="AP451" s="13" t="str">
        <f aca="false">IF(AP390="","",AP390-AP445-AP446)</f>
        <v/>
      </c>
      <c r="AQ451" s="13" t="str">
        <f aca="false">IF(AQ390="","",AQ390-AQ445-AQ446)</f>
        <v/>
      </c>
      <c r="AR451" s="13" t="str">
        <f aca="false">IF(AR390="","",AR390-AR445-AR446)</f>
        <v/>
      </c>
      <c r="AS451" s="13" t="str">
        <f aca="false">IF(AS390="","",AS390-AS445-AS446)</f>
        <v/>
      </c>
      <c r="AT451" s="13" t="str">
        <f aca="false">IF(AT390="","",AT390-AT445-AT446)</f>
        <v/>
      </c>
      <c r="AU451" s="13" t="str">
        <f aca="false">IF(AU390="","",AU390-AU445-AU446)</f>
        <v/>
      </c>
      <c r="AV451" s="13" t="str">
        <f aca="false">IF(AV390="","",AV390-AV445-AV446)</f>
        <v/>
      </c>
      <c r="AW451" s="13" t="str">
        <f aca="false">IF(AW390="","",AW390-AW445-AW446)</f>
        <v/>
      </c>
      <c r="AX451" s="13" t="str">
        <f aca="false">IF(AX390="","",AX390-AX445-AX446)</f>
        <v/>
      </c>
      <c r="AY451" s="13" t="str">
        <f aca="false">IF(AY390="","",AY390-AY445-AY446)</f>
        <v/>
      </c>
      <c r="AZ451" s="13" t="str">
        <f aca="false">IF(AZ390="","",AZ390-AZ445-AZ446)</f>
        <v/>
      </c>
      <c r="BA451" s="13" t="str">
        <f aca="false">IF(BA390="","",BA390-BA445-BA446)</f>
        <v/>
      </c>
      <c r="BB451" s="13" t="str">
        <f aca="false">IF(BB390="","",BB390-BB445-BB446)</f>
        <v/>
      </c>
      <c r="BC451" s="13" t="str">
        <f aca="false">IF(BC390="","",BC390-BC445-BC446)</f>
        <v/>
      </c>
      <c r="BD451" s="13" t="str">
        <f aca="false">IF(BD390="","",BD390-BD445-BD446)</f>
        <v/>
      </c>
      <c r="BE451" s="13" t="str">
        <f aca="false">IF(BE390="","",BE390-BE445-BE446)</f>
        <v/>
      </c>
      <c r="BF451" s="13" t="str">
        <f aca="false">IF(BF390="","",BF390-BF445-BF446)</f>
        <v/>
      </c>
      <c r="BG451" s="13" t="str">
        <f aca="false">IF(BG390="","",BG390-BG445-BG446)</f>
        <v/>
      </c>
      <c r="BH451" s="13" t="str">
        <f aca="false">IF(BH390="","",BH390-BH445-BH446)</f>
        <v/>
      </c>
      <c r="BI451" s="13" t="str">
        <f aca="false">IF(BI390="","",BI390-BI445-BI446)</f>
        <v/>
      </c>
      <c r="BJ451" s="13" t="str">
        <f aca="false">IF(BJ390="","",BJ390-BJ445-BJ446)</f>
        <v/>
      </c>
      <c r="BK451" s="13" t="str">
        <f aca="false">IF(BK390="","",BK390-BK445-BK446)</f>
        <v/>
      </c>
      <c r="BL451" s="13" t="str">
        <f aca="false">IF(BL390="","",BL390-BL445-BL446)</f>
        <v/>
      </c>
      <c r="BM451" s="13" t="str">
        <f aca="false">IF(BM390="","",BM390-BM445-BM446)</f>
        <v/>
      </c>
      <c r="BN451" s="13" t="str">
        <f aca="false">IF(BN390="","",BN390-BN445-BN446)</f>
        <v/>
      </c>
      <c r="BO451" s="13" t="str">
        <f aca="false">IF(BO390="","",BO390-BO445-BO446)</f>
        <v/>
      </c>
      <c r="BP451" s="13" t="str">
        <f aca="false">IF(BP390="","",BP390-BP445-BP446)</f>
        <v/>
      </c>
      <c r="BQ451" s="13" t="str">
        <f aca="false">IF(BQ390="","",BQ390-BQ445-BQ446)</f>
        <v/>
      </c>
      <c r="BR451" s="13" t="str">
        <f aca="false">IF(BR390="","",BR390-BR445-BR446)</f>
        <v/>
      </c>
      <c r="BS451" s="13" t="str">
        <f aca="false">IF(BS390="","",BS390-BS445-BS446)</f>
        <v/>
      </c>
      <c r="BT451" s="13" t="str">
        <f aca="false">IF(BT390="","",BT390-BT445-BT446)</f>
        <v/>
      </c>
      <c r="BU451" s="13" t="str">
        <f aca="false">IF(BU390="","",BU390-BU445-BU446)</f>
        <v/>
      </c>
      <c r="BV451" s="13" t="str">
        <f aca="false">IF(BV390="","",BV390-BV445-BV446)</f>
        <v/>
      </c>
      <c r="BW451" s="13" t="str">
        <f aca="false">IF(BW390="","",BW390-BW445-BW446)</f>
        <v/>
      </c>
      <c r="BX451" s="13" t="str">
        <f aca="false">IF(BX390="","",BX390-BX445-BX446)</f>
        <v/>
      </c>
      <c r="BY451" s="13" t="str">
        <f aca="false">IF(BY390="","",BY390-BY445-BY446)</f>
        <v/>
      </c>
      <c r="BZ451" s="13" t="str">
        <f aca="false">IF(BZ390="","",BZ390-BZ445-BZ446)</f>
        <v/>
      </c>
      <c r="CA451" s="13" t="str">
        <f aca="false">IF(CA390="","",CA390-CA445-CA446)</f>
        <v/>
      </c>
      <c r="CB451" s="13" t="str">
        <f aca="false">IF(CB390="","",CB390-CB445-CB446)</f>
        <v/>
      </c>
      <c r="CC451" s="13" t="str">
        <f aca="false">IF(CC390="","",CC390-CC445-CC446)</f>
        <v/>
      </c>
      <c r="CD451" s="13" t="str">
        <f aca="false">IF(CD390="","",CD390-CD445-CD446)</f>
        <v/>
      </c>
      <c r="CE451" s="13" t="str">
        <f aca="false">IF(CE390="","",CE390-CE445-CE446)</f>
        <v/>
      </c>
      <c r="CF451" s="13" t="str">
        <f aca="false">IF(CF390="","",CF390-CF445-CF446)</f>
        <v/>
      </c>
      <c r="CG451" s="13" t="str">
        <f aca="false">IF(CG390="","",CG390-CG445-CG446)</f>
        <v/>
      </c>
      <c r="CH451" s="13" t="str">
        <f aca="false">IF(CH390="","",CH390-CH445-CH446)</f>
        <v/>
      </c>
      <c r="CI451" s="13" t="str">
        <f aca="false">IF(CI390="","",CI390-CI445-CI446)</f>
        <v/>
      </c>
      <c r="CJ451" s="13" t="str">
        <f aca="false">IF(CJ390="","",CJ390-CJ445-CJ446)</f>
        <v/>
      </c>
      <c r="CK451" s="13" t="str">
        <f aca="false">IF(CK390="","",CK390-CK445-CK446)</f>
        <v/>
      </c>
      <c r="CL451" s="13" t="str">
        <f aca="false">IF(CL390="","",CL390-CL445-CL446)</f>
        <v/>
      </c>
      <c r="CM451" s="13" t="str">
        <f aca="false">IF(CM390="","",CM390-CM445-CM446)</f>
        <v/>
      </c>
      <c r="CN451" s="13" t="str">
        <f aca="false">IF(CN390="","",CN390-CN445-CN446)</f>
        <v/>
      </c>
      <c r="CO451" s="13" t="str">
        <f aca="false">IF(CO390="","",CO390-CO445-CO446)</f>
        <v/>
      </c>
      <c r="CP451" s="13" t="str">
        <f aca="false">IF(CP390="","",CP390-CP445-CP446)</f>
        <v/>
      </c>
      <c r="CQ451" s="13" t="str">
        <f aca="false">IF(CQ390="","",CQ390-CQ445-CQ446)</f>
        <v/>
      </c>
      <c r="CR451" s="13" t="str">
        <f aca="false">IF(CR390="","",CR390-CR445-CR446)</f>
        <v/>
      </c>
      <c r="CS451" s="13" t="str">
        <f aca="false">IF(CS390="","",CS390-CS445-CS446)</f>
        <v/>
      </c>
      <c r="CT451" s="13" t="str">
        <f aca="false">IF(CT390="","",CT390-CT445-CT446)</f>
        <v/>
      </c>
      <c r="CU451" s="13" t="str">
        <f aca="false">IF(CU390="","",CU390-CU445-CU446)</f>
        <v/>
      </c>
      <c r="CV451" s="13" t="str">
        <f aca="false">IF(CV390="","",CV390-CV445-CV446)</f>
        <v/>
      </c>
      <c r="CW451" s="13" t="str">
        <f aca="false">IF(CW390="","",CW390-CW445-CW446)</f>
        <v/>
      </c>
      <c r="CX451" s="13" t="str">
        <f aca="false">IF(CX390="","",CX390-CX445-CX446)</f>
        <v/>
      </c>
      <c r="CY451" s="13" t="str">
        <f aca="false">IF(CY390="","",CY390-CY445-CY446)</f>
        <v/>
      </c>
      <c r="CZ451" s="13" t="str">
        <f aca="false">IF(CZ390="","",CZ390-CZ445-CZ446)</f>
        <v/>
      </c>
      <c r="DA451" s="13" t="str">
        <f aca="false">IF(DA390="","",DA390-DA445-DA446)</f>
        <v/>
      </c>
      <c r="DB451" s="13" t="str">
        <f aca="false">IF(DB390="","",DB390-DB445-DB446)</f>
        <v/>
      </c>
      <c r="DC451" s="13" t="str">
        <f aca="false">IF(DC390="","",DC390-DC445-DC446)</f>
        <v/>
      </c>
      <c r="DD451" s="13" t="str">
        <f aca="false">IF(DD390="","",DD390-DD445-DD446)</f>
        <v/>
      </c>
      <c r="DE451" s="13" t="str">
        <f aca="false">IF(DE390="","",DE390-DE445-DE446)</f>
        <v/>
      </c>
    </row>
    <row r="453" customFormat="false" ht="15" hidden="false" customHeight="true" outlineLevel="0" collapsed="false">
      <c r="A453" s="70" t="s">
        <v>253</v>
      </c>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c r="AB453" s="13"/>
      <c r="AC453" s="13"/>
      <c r="AD453" s="13"/>
      <c r="AE453" s="13"/>
      <c r="AF453" s="13"/>
      <c r="AG453" s="13"/>
      <c r="AH453" s="13"/>
      <c r="AI453" s="13"/>
      <c r="AJ453" s="13"/>
      <c r="AK453" s="13"/>
      <c r="AL453" s="13"/>
      <c r="AM453" s="13"/>
      <c r="AN453" s="13"/>
      <c r="AO453" s="13"/>
      <c r="AP453" s="13"/>
      <c r="AQ453" s="13"/>
      <c r="AR453" s="13"/>
      <c r="AS453" s="13"/>
      <c r="AT453" s="13"/>
      <c r="AU453" s="13"/>
      <c r="AV453" s="13"/>
      <c r="AW453" s="13"/>
      <c r="AX453" s="13"/>
      <c r="AY453" s="13"/>
      <c r="AZ453" s="13"/>
      <c r="BA453" s="13"/>
      <c r="BB453" s="13"/>
      <c r="BC453" s="13"/>
      <c r="BD453" s="13"/>
      <c r="BE453" s="13"/>
      <c r="BF453" s="13"/>
      <c r="BG453" s="13"/>
      <c r="BH453" s="13"/>
      <c r="BI453" s="13"/>
      <c r="BJ453" s="13"/>
      <c r="BK453" s="13"/>
      <c r="BL453" s="13"/>
      <c r="BM453" s="13"/>
      <c r="BN453" s="13"/>
      <c r="BO453" s="13"/>
      <c r="BP453" s="13"/>
      <c r="BQ453" s="13"/>
      <c r="BR453" s="13"/>
      <c r="BS453" s="13"/>
      <c r="BT453" s="13"/>
      <c r="BU453" s="13"/>
      <c r="BV453" s="13"/>
      <c r="BW453" s="13"/>
      <c r="BX453" s="13"/>
      <c r="BY453" s="13"/>
      <c r="BZ453" s="13"/>
      <c r="CA453" s="13"/>
      <c r="CB453" s="13"/>
      <c r="CC453" s="13"/>
      <c r="CD453" s="13"/>
      <c r="CE453" s="13"/>
      <c r="CF453" s="13"/>
      <c r="CG453" s="13"/>
      <c r="CH453" s="13"/>
      <c r="CI453" s="13"/>
      <c r="CJ453" s="13"/>
      <c r="CK453" s="13"/>
      <c r="CL453" s="13"/>
      <c r="CM453" s="13"/>
      <c r="CN453" s="13"/>
      <c r="CO453" s="13"/>
      <c r="CP453" s="13"/>
      <c r="CQ453" s="13"/>
      <c r="CR453" s="13"/>
      <c r="CS453" s="13"/>
      <c r="CT453" s="13"/>
      <c r="CU453" s="13"/>
      <c r="CV453" s="13"/>
      <c r="CW453" s="13"/>
      <c r="CX453" s="13"/>
      <c r="CY453" s="13"/>
      <c r="CZ453" s="13"/>
      <c r="DA453" s="13"/>
      <c r="DB453" s="13"/>
      <c r="DC453" s="13"/>
      <c r="DD453" s="13"/>
      <c r="DE453" s="13"/>
    </row>
    <row r="454" customFormat="false" ht="15" hidden="false" customHeight="true" outlineLevel="0" collapsed="false">
      <c r="A454" s="22" t="s">
        <v>254</v>
      </c>
      <c r="B454" s="73" t="n">
        <v>1301264</v>
      </c>
      <c r="C454" s="73" t="n">
        <v>1306764</v>
      </c>
      <c r="D454" s="73" t="n">
        <v>1217660</v>
      </c>
      <c r="E454" s="73" t="n">
        <v>998958</v>
      </c>
      <c r="F454" s="73" t="n">
        <v>989458</v>
      </c>
      <c r="G454" s="73" t="n">
        <v>939458</v>
      </c>
      <c r="H454" s="73" t="n">
        <v>860154</v>
      </c>
      <c r="I454" s="13" t="n">
        <v>1013501</v>
      </c>
      <c r="J454" s="13"/>
      <c r="K454" s="13"/>
      <c r="L454" s="13"/>
      <c r="M454" s="13"/>
      <c r="N454" s="13"/>
      <c r="O454" s="13"/>
      <c r="P454" s="13"/>
      <c r="Q454" s="13"/>
      <c r="R454" s="13"/>
      <c r="S454" s="13"/>
      <c r="T454" s="13"/>
      <c r="U454" s="13"/>
      <c r="V454" s="13"/>
      <c r="W454" s="13"/>
      <c r="X454" s="13"/>
      <c r="Y454" s="13"/>
      <c r="Z454" s="13"/>
      <c r="AA454" s="13"/>
      <c r="AB454" s="13"/>
      <c r="AC454" s="13"/>
      <c r="AD454" s="13"/>
      <c r="AE454" s="13"/>
      <c r="AF454" s="13"/>
      <c r="AG454" s="13"/>
      <c r="AH454" s="13"/>
      <c r="AI454" s="13"/>
      <c r="AJ454" s="13"/>
      <c r="AK454" s="13"/>
      <c r="AL454" s="13"/>
      <c r="AM454" s="13"/>
      <c r="AN454" s="13"/>
      <c r="AO454" s="13"/>
      <c r="AP454" s="13"/>
      <c r="AQ454" s="13"/>
      <c r="AR454" s="13"/>
      <c r="AS454" s="13"/>
      <c r="AT454" s="13"/>
      <c r="AU454" s="13"/>
      <c r="AV454" s="13"/>
      <c r="AW454" s="13"/>
      <c r="AX454" s="13"/>
      <c r="AY454" s="13"/>
      <c r="AZ454" s="13"/>
      <c r="BA454" s="13"/>
      <c r="BB454" s="13"/>
      <c r="BC454" s="13"/>
      <c r="BD454" s="13"/>
      <c r="BE454" s="13"/>
      <c r="BF454" s="13"/>
      <c r="BG454" s="13"/>
      <c r="BH454" s="13"/>
      <c r="BI454" s="13"/>
      <c r="BJ454" s="13"/>
      <c r="BK454" s="13"/>
      <c r="BL454" s="13"/>
      <c r="BM454" s="13"/>
      <c r="BN454" s="13"/>
      <c r="BO454" s="13"/>
      <c r="BP454" s="13"/>
      <c r="BQ454" s="13"/>
      <c r="BR454" s="13"/>
      <c r="BS454" s="13"/>
      <c r="BT454" s="13"/>
      <c r="BU454" s="13"/>
      <c r="BV454" s="13"/>
      <c r="BW454" s="13"/>
      <c r="BX454" s="13"/>
      <c r="BY454" s="13"/>
      <c r="BZ454" s="13"/>
      <c r="CA454" s="13"/>
      <c r="CB454" s="13"/>
      <c r="CC454" s="13"/>
      <c r="CD454" s="13"/>
      <c r="CE454" s="13"/>
      <c r="CF454" s="13"/>
      <c r="CG454" s="13"/>
      <c r="CH454" s="13"/>
      <c r="CI454" s="13"/>
      <c r="CJ454" s="13"/>
      <c r="CK454" s="13"/>
      <c r="CL454" s="13"/>
      <c r="CM454" s="13"/>
      <c r="CN454" s="13"/>
      <c r="CO454" s="13"/>
      <c r="CP454" s="13"/>
      <c r="CQ454" s="13"/>
      <c r="CR454" s="13"/>
      <c r="CS454" s="13"/>
      <c r="CT454" s="13"/>
      <c r="CU454" s="13"/>
      <c r="CV454" s="13"/>
      <c r="CW454" s="13"/>
      <c r="CX454" s="13"/>
      <c r="CY454" s="13"/>
      <c r="CZ454" s="13"/>
      <c r="DA454" s="13"/>
      <c r="DB454" s="13"/>
      <c r="DC454" s="13"/>
      <c r="DD454" s="13"/>
      <c r="DE454" s="13"/>
    </row>
    <row r="455" customFormat="false" ht="15" hidden="false" customHeight="true" outlineLevel="0" collapsed="false">
      <c r="A455" s="22" t="s">
        <v>255</v>
      </c>
      <c r="B455" s="73" t="n">
        <v>3067551</v>
      </c>
      <c r="C455" s="73" t="n">
        <v>3100884</v>
      </c>
      <c r="D455" s="73" t="n">
        <v>3265551</v>
      </c>
      <c r="E455" s="73" t="n">
        <v>3021000</v>
      </c>
      <c r="F455" s="73" t="n">
        <v>3320315</v>
      </c>
      <c r="G455" s="73" t="n">
        <v>4437495</v>
      </c>
      <c r="H455" s="73" t="n">
        <v>4083064</v>
      </c>
      <c r="I455" s="13" t="n">
        <v>2929492</v>
      </c>
      <c r="J455" s="13"/>
      <c r="K455" s="13"/>
      <c r="L455" s="13"/>
      <c r="M455" s="13"/>
      <c r="N455" s="13"/>
      <c r="O455" s="13"/>
      <c r="P455" s="13"/>
      <c r="Q455" s="13"/>
      <c r="R455" s="13"/>
      <c r="S455" s="13"/>
      <c r="T455" s="13"/>
      <c r="U455" s="13"/>
      <c r="V455" s="13"/>
      <c r="W455" s="13"/>
      <c r="X455" s="13"/>
      <c r="Y455" s="13"/>
      <c r="Z455" s="13"/>
      <c r="AA455" s="13"/>
      <c r="AB455" s="13"/>
      <c r="AC455" s="13"/>
      <c r="AD455" s="13"/>
      <c r="AE455" s="13"/>
      <c r="AF455" s="13"/>
      <c r="AG455" s="13"/>
      <c r="AH455" s="13"/>
      <c r="AI455" s="13"/>
      <c r="AJ455" s="13"/>
      <c r="AK455" s="13"/>
      <c r="AL455" s="13"/>
      <c r="AM455" s="13"/>
      <c r="AN455" s="13"/>
      <c r="AO455" s="13"/>
      <c r="AP455" s="13"/>
      <c r="AQ455" s="13"/>
      <c r="AR455" s="13"/>
      <c r="AS455" s="13"/>
      <c r="AT455" s="13"/>
      <c r="AU455" s="13"/>
      <c r="AV455" s="13"/>
      <c r="AW455" s="13"/>
      <c r="AX455" s="13"/>
      <c r="AY455" s="13"/>
      <c r="AZ455" s="13"/>
      <c r="BA455" s="13"/>
      <c r="BB455" s="13"/>
      <c r="BC455" s="13"/>
      <c r="BD455" s="13"/>
      <c r="BE455" s="13"/>
      <c r="BF455" s="13"/>
      <c r="BG455" s="13"/>
      <c r="BH455" s="13"/>
      <c r="BI455" s="13"/>
      <c r="BJ455" s="13"/>
      <c r="BK455" s="13"/>
      <c r="BL455" s="13"/>
      <c r="BM455" s="13"/>
      <c r="BN455" s="13"/>
      <c r="BO455" s="13"/>
      <c r="BP455" s="13"/>
      <c r="BQ455" s="13"/>
      <c r="BR455" s="13"/>
      <c r="BS455" s="13"/>
      <c r="BT455" s="13"/>
      <c r="BU455" s="13"/>
      <c r="BV455" s="13"/>
      <c r="BW455" s="13"/>
      <c r="BX455" s="13"/>
      <c r="BY455" s="13"/>
      <c r="BZ455" s="13"/>
      <c r="CA455" s="13"/>
      <c r="CB455" s="13"/>
      <c r="CC455" s="13"/>
      <c r="CD455" s="13"/>
      <c r="CE455" s="13"/>
      <c r="CF455" s="13"/>
      <c r="CG455" s="13"/>
      <c r="CH455" s="13"/>
      <c r="CI455" s="13"/>
      <c r="CJ455" s="13"/>
      <c r="CK455" s="13"/>
      <c r="CL455" s="13"/>
      <c r="CM455" s="13"/>
      <c r="CN455" s="13"/>
      <c r="CO455" s="13"/>
      <c r="CP455" s="13"/>
      <c r="CQ455" s="13"/>
      <c r="CR455" s="13"/>
      <c r="CS455" s="13"/>
      <c r="CT455" s="13"/>
      <c r="CU455" s="13"/>
      <c r="CV455" s="13"/>
      <c r="CW455" s="13"/>
      <c r="CX455" s="13"/>
      <c r="CY455" s="13"/>
      <c r="CZ455" s="13"/>
      <c r="DA455" s="13"/>
      <c r="DB455" s="13"/>
      <c r="DC455" s="13"/>
      <c r="DD455" s="13"/>
      <c r="DE455" s="13"/>
    </row>
    <row r="456" customFormat="false" ht="15" hidden="false" customHeight="true" outlineLevel="0" collapsed="false">
      <c r="A456" s="22" t="s">
        <v>256</v>
      </c>
      <c r="B456" s="73" t="n">
        <v>299000</v>
      </c>
      <c r="C456" s="73" t="n">
        <v>299000</v>
      </c>
      <c r="D456" s="73" t="n">
        <v>299000</v>
      </c>
      <c r="E456" s="73" t="n">
        <v>299000</v>
      </c>
      <c r="F456" s="73" t="n">
        <v>299000</v>
      </c>
      <c r="G456" s="73" t="n">
        <v>0</v>
      </c>
      <c r="H456" s="73" t="n">
        <v>0</v>
      </c>
      <c r="I456" s="13" t="n">
        <v>0</v>
      </c>
      <c r="J456" s="13"/>
      <c r="K456" s="13"/>
      <c r="L456" s="13"/>
      <c r="M456" s="13"/>
      <c r="N456" s="13"/>
      <c r="O456" s="13"/>
      <c r="P456" s="13"/>
      <c r="Q456" s="13"/>
      <c r="R456" s="13"/>
      <c r="S456" s="13"/>
      <c r="T456" s="13"/>
      <c r="U456" s="13"/>
      <c r="V456" s="13"/>
      <c r="W456" s="13"/>
      <c r="X456" s="13"/>
      <c r="Y456" s="13"/>
      <c r="Z456" s="13"/>
      <c r="AA456" s="13"/>
      <c r="AB456" s="13"/>
      <c r="AC456" s="13"/>
      <c r="AD456" s="13"/>
      <c r="AE456" s="13"/>
      <c r="AF456" s="13"/>
      <c r="AG456" s="13"/>
      <c r="AH456" s="13"/>
      <c r="AI456" s="13"/>
      <c r="AJ456" s="13"/>
      <c r="AK456" s="13"/>
      <c r="AL456" s="13"/>
      <c r="AM456" s="13"/>
      <c r="AN456" s="13"/>
      <c r="AO456" s="13"/>
      <c r="AP456" s="13"/>
      <c r="AQ456" s="13"/>
      <c r="AR456" s="13"/>
      <c r="AS456" s="13"/>
      <c r="AT456" s="13"/>
      <c r="AU456" s="13"/>
      <c r="AV456" s="13"/>
      <c r="AW456" s="13"/>
      <c r="AX456" s="13"/>
      <c r="AY456" s="13"/>
      <c r="AZ456" s="13"/>
      <c r="BA456" s="13"/>
      <c r="BB456" s="13"/>
      <c r="BC456" s="13"/>
      <c r="BD456" s="13"/>
      <c r="BE456" s="13"/>
      <c r="BF456" s="13"/>
      <c r="BG456" s="13"/>
      <c r="BH456" s="13"/>
      <c r="BI456" s="13"/>
      <c r="BJ456" s="13"/>
      <c r="BK456" s="13"/>
      <c r="BL456" s="13"/>
      <c r="BM456" s="13"/>
      <c r="BN456" s="13"/>
      <c r="BO456" s="13"/>
      <c r="BP456" s="13"/>
      <c r="BQ456" s="13"/>
      <c r="BR456" s="13"/>
      <c r="BS456" s="13"/>
      <c r="BT456" s="13"/>
      <c r="BU456" s="13"/>
      <c r="BV456" s="13"/>
      <c r="BW456" s="13"/>
      <c r="BX456" s="13"/>
      <c r="BY456" s="13"/>
      <c r="BZ456" s="13"/>
      <c r="CA456" s="13"/>
      <c r="CB456" s="13"/>
      <c r="CC456" s="13"/>
      <c r="CD456" s="13"/>
      <c r="CE456" s="13"/>
      <c r="CF456" s="13"/>
      <c r="CG456" s="13"/>
      <c r="CH456" s="13"/>
      <c r="CI456" s="13"/>
      <c r="CJ456" s="13"/>
      <c r="CK456" s="13"/>
      <c r="CL456" s="13"/>
      <c r="CM456" s="13"/>
      <c r="CN456" s="13"/>
      <c r="CO456" s="13"/>
      <c r="CP456" s="13"/>
      <c r="CQ456" s="13"/>
      <c r="CR456" s="13"/>
      <c r="CS456" s="13"/>
      <c r="CT456" s="13"/>
      <c r="CU456" s="13"/>
      <c r="CV456" s="13"/>
      <c r="CW456" s="13"/>
      <c r="CX456" s="13"/>
      <c r="CY456" s="13"/>
      <c r="CZ456" s="13"/>
      <c r="DA456" s="13"/>
      <c r="DB456" s="13"/>
      <c r="DC456" s="13"/>
      <c r="DD456" s="13"/>
      <c r="DE456" s="13"/>
    </row>
    <row r="458" customFormat="false" ht="15" hidden="false" customHeight="true" outlineLevel="0" collapsed="false">
      <c r="A458" s="70" t="s">
        <v>257</v>
      </c>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c r="AB458" s="13"/>
      <c r="AC458" s="13"/>
      <c r="AD458" s="13"/>
      <c r="AE458" s="13"/>
      <c r="AF458" s="13"/>
      <c r="AG458" s="13"/>
      <c r="AH458" s="13"/>
      <c r="AI458" s="13"/>
      <c r="AJ458" s="13"/>
      <c r="AK458" s="13"/>
      <c r="AL458" s="13"/>
      <c r="AM458" s="13"/>
      <c r="AN458" s="13"/>
      <c r="AO458" s="13"/>
      <c r="AP458" s="13"/>
      <c r="AQ458" s="13"/>
      <c r="AR458" s="13"/>
      <c r="AS458" s="13"/>
      <c r="AT458" s="13"/>
      <c r="AU458" s="13"/>
      <c r="AV458" s="13"/>
      <c r="AW458" s="13"/>
      <c r="AX458" s="13"/>
      <c r="AY458" s="13"/>
      <c r="AZ458" s="13"/>
      <c r="BA458" s="13"/>
      <c r="BB458" s="13"/>
      <c r="BC458" s="13"/>
      <c r="BD458" s="13"/>
      <c r="BE458" s="13"/>
      <c r="BF458" s="13"/>
      <c r="BG458" s="13"/>
      <c r="BH458" s="13"/>
      <c r="BI458" s="13"/>
      <c r="BJ458" s="13"/>
      <c r="BK458" s="13"/>
      <c r="BL458" s="13"/>
      <c r="BM458" s="13"/>
      <c r="BN458" s="13"/>
      <c r="BO458" s="13"/>
      <c r="BP458" s="13"/>
      <c r="BQ458" s="13"/>
      <c r="BR458" s="13"/>
      <c r="BS458" s="13"/>
      <c r="BT458" s="13"/>
      <c r="BU458" s="13"/>
      <c r="BV458" s="13"/>
      <c r="BW458" s="13"/>
      <c r="BX458" s="13"/>
      <c r="BY458" s="13"/>
      <c r="BZ458" s="13"/>
      <c r="CA458" s="13"/>
      <c r="CB458" s="13"/>
      <c r="CC458" s="13"/>
      <c r="CD458" s="13"/>
      <c r="CE458" s="13"/>
      <c r="CF458" s="13"/>
      <c r="CG458" s="13"/>
      <c r="CH458" s="13"/>
      <c r="CI458" s="13"/>
      <c r="CJ458" s="13"/>
      <c r="CK458" s="13"/>
      <c r="CL458" s="13"/>
      <c r="CM458" s="13"/>
      <c r="CN458" s="13"/>
      <c r="CO458" s="13"/>
      <c r="CP458" s="13"/>
      <c r="CQ458" s="13"/>
      <c r="CR458" s="13"/>
      <c r="CS458" s="13"/>
      <c r="CT458" s="13"/>
      <c r="CU458" s="13"/>
      <c r="CV458" s="13"/>
      <c r="CW458" s="13"/>
      <c r="CX458" s="13"/>
      <c r="CY458" s="13"/>
      <c r="CZ458" s="13"/>
      <c r="DA458" s="13"/>
      <c r="DB458" s="13"/>
      <c r="DC458" s="13"/>
      <c r="DD458" s="13"/>
      <c r="DE458" s="13"/>
    </row>
    <row r="459" customFormat="false" ht="15" hidden="false" customHeight="true" outlineLevel="0" collapsed="false">
      <c r="A459" s="22" t="s">
        <v>246</v>
      </c>
      <c r="B459" s="13" t="n">
        <f aca="false">IF(B396="","",$B$432)</f>
        <v>146586</v>
      </c>
      <c r="C459" s="13" t="n">
        <f aca="false">IF(C396="","",B396)</f>
        <v>378187</v>
      </c>
      <c r="D459" s="13" t="n">
        <f aca="false">IF(D396="","",C396)</f>
        <v>110882</v>
      </c>
      <c r="E459" s="13" t="n">
        <f aca="false">IF(E396="","",D396)</f>
        <v>171148</v>
      </c>
      <c r="F459" s="13" t="n">
        <f aca="false">IF(F396="","",E396)</f>
        <v>368691</v>
      </c>
      <c r="G459" s="13" t="n">
        <f aca="false">IF(G396="","",F396)</f>
        <v>343251</v>
      </c>
      <c r="H459" s="13" t="n">
        <f aca="false">IF(H396="","",G396)</f>
        <v>665368</v>
      </c>
      <c r="I459" s="13" t="n">
        <f aca="false">IF(I396="","",H396)</f>
        <v>122223</v>
      </c>
      <c r="J459" s="13" t="str">
        <f aca="false">IF(J396="","",I396)</f>
        <v/>
      </c>
      <c r="K459" s="13" t="str">
        <f aca="false">IF(K396="","",J396)</f>
        <v/>
      </c>
      <c r="L459" s="13" t="str">
        <f aca="false">IF(L396="","",K396)</f>
        <v/>
      </c>
      <c r="M459" s="13" t="str">
        <f aca="false">IF(M396="","",L396)</f>
        <v/>
      </c>
      <c r="N459" s="13" t="str">
        <f aca="false">IF(N396="","",M396)</f>
        <v/>
      </c>
      <c r="O459" s="13" t="str">
        <f aca="false">IF(O396="","",N396)</f>
        <v/>
      </c>
      <c r="P459" s="13" t="str">
        <f aca="false">IF(P396="","",O396)</f>
        <v/>
      </c>
      <c r="Q459" s="13" t="str">
        <f aca="false">IF(Q396="","",P396)</f>
        <v/>
      </c>
      <c r="R459" s="13" t="str">
        <f aca="false">IF(R396="","",Q396)</f>
        <v/>
      </c>
      <c r="S459" s="13" t="str">
        <f aca="false">IF(S396="","",R396)</f>
        <v/>
      </c>
      <c r="T459" s="13" t="str">
        <f aca="false">IF(T396="","",S396)</f>
        <v/>
      </c>
      <c r="U459" s="13" t="str">
        <f aca="false">IF(U396="","",T396)</f>
        <v/>
      </c>
      <c r="V459" s="13" t="str">
        <f aca="false">IF(V396="","",U396)</f>
        <v/>
      </c>
      <c r="W459" s="13" t="str">
        <f aca="false">IF(W396="","",V396)</f>
        <v/>
      </c>
      <c r="X459" s="13" t="str">
        <f aca="false">IF(X396="","",W396)</f>
        <v/>
      </c>
      <c r="Y459" s="13" t="str">
        <f aca="false">IF(Y396="","",X396)</f>
        <v/>
      </c>
      <c r="Z459" s="13" t="str">
        <f aca="false">IF(Z396="","",Y396)</f>
        <v/>
      </c>
      <c r="AA459" s="13" t="str">
        <f aca="false">IF(AA396="","",Z396)</f>
        <v/>
      </c>
      <c r="AB459" s="13" t="str">
        <f aca="false">IF(AB396="","",AA396)</f>
        <v/>
      </c>
      <c r="AC459" s="13" t="str">
        <f aca="false">IF(AC396="","",AB396)</f>
        <v/>
      </c>
      <c r="AD459" s="13" t="str">
        <f aca="false">IF(AD396="","",AC396)</f>
        <v/>
      </c>
      <c r="AE459" s="13" t="str">
        <f aca="false">IF(AE396="","",AD396)</f>
        <v/>
      </c>
      <c r="AF459" s="13" t="str">
        <f aca="false">IF(AF396="","",AE396)</f>
        <v/>
      </c>
      <c r="AG459" s="13" t="str">
        <f aca="false">IF(AG396="","",AF396)</f>
        <v/>
      </c>
      <c r="AH459" s="13" t="str">
        <f aca="false">IF(AH396="","",AG396)</f>
        <v/>
      </c>
      <c r="AI459" s="13" t="str">
        <f aca="false">IF(AI396="","",AH396)</f>
        <v/>
      </c>
      <c r="AJ459" s="13" t="str">
        <f aca="false">IF(AJ396="","",AI396)</f>
        <v/>
      </c>
      <c r="AK459" s="13" t="str">
        <f aca="false">IF(AK396="","",AJ396)</f>
        <v/>
      </c>
      <c r="AL459" s="13" t="str">
        <f aca="false">IF(AL396="","",AK396)</f>
        <v/>
      </c>
      <c r="AM459" s="13" t="str">
        <f aca="false">IF(AM396="","",AL396)</f>
        <v/>
      </c>
      <c r="AN459" s="13" t="str">
        <f aca="false">IF(AN396="","",AM396)</f>
        <v/>
      </c>
      <c r="AO459" s="13" t="str">
        <f aca="false">IF(AO396="","",AN396)</f>
        <v/>
      </c>
      <c r="AP459" s="13" t="str">
        <f aca="false">IF(AP396="","",AO396)</f>
        <v/>
      </c>
      <c r="AQ459" s="13" t="str">
        <f aca="false">IF(AQ396="","",AP396)</f>
        <v/>
      </c>
      <c r="AR459" s="13" t="str">
        <f aca="false">IF(AR396="","",AQ396)</f>
        <v/>
      </c>
      <c r="AS459" s="13" t="str">
        <f aca="false">IF(AS396="","",AR396)</f>
        <v/>
      </c>
      <c r="AT459" s="13" t="str">
        <f aca="false">IF(AT396="","",AS396)</f>
        <v/>
      </c>
      <c r="AU459" s="13" t="str">
        <f aca="false">IF(AU396="","",AT396)</f>
        <v/>
      </c>
      <c r="AV459" s="13" t="str">
        <f aca="false">IF(AV396="","",AU396)</f>
        <v/>
      </c>
      <c r="AW459" s="13" t="str">
        <f aca="false">IF(AW396="","",AV396)</f>
        <v/>
      </c>
      <c r="AX459" s="13" t="str">
        <f aca="false">IF(AX396="","",AW396)</f>
        <v/>
      </c>
      <c r="AY459" s="13" t="str">
        <f aca="false">IF(AY396="","",AX396)</f>
        <v/>
      </c>
      <c r="AZ459" s="13" t="str">
        <f aca="false">IF(AZ396="","",AY396)</f>
        <v/>
      </c>
      <c r="BA459" s="13" t="str">
        <f aca="false">IF(BA396="","",AZ396)</f>
        <v/>
      </c>
      <c r="BB459" s="13" t="str">
        <f aca="false">IF(BB396="","",BA396)</f>
        <v/>
      </c>
      <c r="BC459" s="13" t="str">
        <f aca="false">IF(BC396="","",BB396)</f>
        <v/>
      </c>
      <c r="BD459" s="13" t="str">
        <f aca="false">IF(BD396="","",BC396)</f>
        <v/>
      </c>
      <c r="BE459" s="13" t="str">
        <f aca="false">IF(BE396="","",BD396)</f>
        <v/>
      </c>
      <c r="BF459" s="13" t="str">
        <f aca="false">IF(BF396="","",BE396)</f>
        <v/>
      </c>
      <c r="BG459" s="13" t="str">
        <f aca="false">IF(BG396="","",BF396)</f>
        <v/>
      </c>
      <c r="BH459" s="13" t="str">
        <f aca="false">IF(BH396="","",BG396)</f>
        <v/>
      </c>
      <c r="BI459" s="13" t="str">
        <f aca="false">IF(BI396="","",BH396)</f>
        <v/>
      </c>
      <c r="BJ459" s="13" t="str">
        <f aca="false">IF(BJ396="","",BI396)</f>
        <v/>
      </c>
      <c r="BK459" s="13" t="str">
        <f aca="false">IF(BK396="","",BJ396)</f>
        <v/>
      </c>
      <c r="BL459" s="13" t="str">
        <f aca="false">IF(BL396="","",BK396)</f>
        <v/>
      </c>
      <c r="BM459" s="13" t="str">
        <f aca="false">IF(BM396="","",BL396)</f>
        <v/>
      </c>
      <c r="BN459" s="13" t="str">
        <f aca="false">IF(BN396="","",BM396)</f>
        <v/>
      </c>
      <c r="BO459" s="13" t="str">
        <f aca="false">IF(BO396="","",BN396)</f>
        <v/>
      </c>
      <c r="BP459" s="13" t="str">
        <f aca="false">IF(BP396="","",BO396)</f>
        <v/>
      </c>
      <c r="BQ459" s="13" t="str">
        <f aca="false">IF(BQ396="","",BP396)</f>
        <v/>
      </c>
      <c r="BR459" s="13" t="str">
        <f aca="false">IF(BR396="","",BQ396)</f>
        <v/>
      </c>
      <c r="BS459" s="13" t="str">
        <f aca="false">IF(BS396="","",BR396)</f>
        <v/>
      </c>
      <c r="BT459" s="13" t="str">
        <f aca="false">IF(BT396="","",BS396)</f>
        <v/>
      </c>
      <c r="BU459" s="13" t="str">
        <f aca="false">IF(BU396="","",BT396)</f>
        <v/>
      </c>
      <c r="BV459" s="13" t="str">
        <f aca="false">IF(BV396="","",BU396)</f>
        <v/>
      </c>
      <c r="BW459" s="13" t="str">
        <f aca="false">IF(BW396="","",BV396)</f>
        <v/>
      </c>
      <c r="BX459" s="13" t="str">
        <f aca="false">IF(BX396="","",BW396)</f>
        <v/>
      </c>
      <c r="BY459" s="13" t="str">
        <f aca="false">IF(BY396="","",BX396)</f>
        <v/>
      </c>
      <c r="BZ459" s="13" t="str">
        <f aca="false">IF(BZ396="","",BY396)</f>
        <v/>
      </c>
      <c r="CA459" s="13" t="str">
        <f aca="false">IF(CA396="","",BZ396)</f>
        <v/>
      </c>
      <c r="CB459" s="13" t="str">
        <f aca="false">IF(CB396="","",CA396)</f>
        <v/>
      </c>
      <c r="CC459" s="13" t="str">
        <f aca="false">IF(CC396="","",CB396)</f>
        <v/>
      </c>
      <c r="CD459" s="13" t="str">
        <f aca="false">IF(CD396="","",CC396)</f>
        <v/>
      </c>
      <c r="CE459" s="13" t="str">
        <f aca="false">IF(CE396="","",CD396)</f>
        <v/>
      </c>
      <c r="CF459" s="13" t="str">
        <f aca="false">IF(CF396="","",CE396)</f>
        <v/>
      </c>
      <c r="CG459" s="13" t="str">
        <f aca="false">IF(CG396="","",CF396)</f>
        <v/>
      </c>
      <c r="CH459" s="13" t="str">
        <f aca="false">IF(CH396="","",CG396)</f>
        <v/>
      </c>
      <c r="CI459" s="13" t="str">
        <f aca="false">IF(CI396="","",CH396)</f>
        <v/>
      </c>
      <c r="CJ459" s="13" t="str">
        <f aca="false">IF(CJ396="","",CI396)</f>
        <v/>
      </c>
      <c r="CK459" s="13" t="str">
        <f aca="false">IF(CK396="","",CJ396)</f>
        <v/>
      </c>
      <c r="CL459" s="13" t="str">
        <f aca="false">IF(CL396="","",CK396)</f>
        <v/>
      </c>
      <c r="CM459" s="13" t="str">
        <f aca="false">IF(CM396="","",CL396)</f>
        <v/>
      </c>
      <c r="CN459" s="13" t="str">
        <f aca="false">IF(CN396="","",CM396)</f>
        <v/>
      </c>
      <c r="CO459" s="13" t="str">
        <f aca="false">IF(CO396="","",CN396)</f>
        <v/>
      </c>
      <c r="CP459" s="13" t="str">
        <f aca="false">IF(CP396="","",CO396)</f>
        <v/>
      </c>
      <c r="CQ459" s="13" t="str">
        <f aca="false">IF(CQ396="","",CP396)</f>
        <v/>
      </c>
      <c r="CR459" s="13" t="str">
        <f aca="false">IF(CR396="","",CQ396)</f>
        <v/>
      </c>
      <c r="CS459" s="13" t="str">
        <f aca="false">IF(CS396="","",CR396)</f>
        <v/>
      </c>
      <c r="CT459" s="13" t="str">
        <f aca="false">IF(CT396="","",CS396)</f>
        <v/>
      </c>
      <c r="CU459" s="13" t="str">
        <f aca="false">IF(CU396="","",CT396)</f>
        <v/>
      </c>
      <c r="CV459" s="13" t="str">
        <f aca="false">IF(CV396="","",CU396)</f>
        <v/>
      </c>
      <c r="CW459" s="13" t="str">
        <f aca="false">IF(CW396="","",CV396)</f>
        <v/>
      </c>
      <c r="CX459" s="13" t="str">
        <f aca="false">IF(CX396="","",CW396)</f>
        <v/>
      </c>
      <c r="CY459" s="13" t="str">
        <f aca="false">IF(CY396="","",CX396)</f>
        <v/>
      </c>
      <c r="CZ459" s="13" t="str">
        <f aca="false">IF(CZ396="","",CY396)</f>
        <v/>
      </c>
      <c r="DA459" s="13" t="str">
        <f aca="false">IF(DA396="","",CZ396)</f>
        <v/>
      </c>
      <c r="DB459" s="13" t="str">
        <f aca="false">IF(DB396="","",DA396)</f>
        <v/>
      </c>
      <c r="DC459" s="13" t="str">
        <f aca="false">IF(DC396="","",DB396)</f>
        <v/>
      </c>
      <c r="DD459" s="13" t="str">
        <f aca="false">IF(DD396="","",DC396)</f>
        <v/>
      </c>
      <c r="DE459" s="13" t="str">
        <f aca="false">IF(DE396="","",DD396)</f>
        <v/>
      </c>
    </row>
    <row r="460" customFormat="false" ht="15" hidden="false" customHeight="true" outlineLevel="0" collapsed="false">
      <c r="A460" s="22" t="s">
        <v>258</v>
      </c>
      <c r="B460" s="13" t="n">
        <f aca="false">IF(B$4="Actuals",B293,"")</f>
        <v>-164713.14</v>
      </c>
      <c r="C460" s="13" t="n">
        <f aca="false">IF(C$4="Actuals",C293,"")</f>
        <v>-158387.42</v>
      </c>
      <c r="D460" s="13" t="n">
        <f aca="false">IF(D$4="Actuals",D293,"")</f>
        <v>-220909.52</v>
      </c>
      <c r="E460" s="13" t="n">
        <f aca="false">IF(E$4="Actuals",E293,"")</f>
        <v>-161790.14</v>
      </c>
      <c r="F460" s="13" t="n">
        <f aca="false">IF(F$4="Actuals",F293,"")</f>
        <v>-215914.94</v>
      </c>
      <c r="G460" s="13" t="n">
        <f aca="false">IF(G$4="Actuals",G293,"")</f>
        <v>-113826.21</v>
      </c>
      <c r="H460" s="13" t="n">
        <f aca="false">IF(H$4="Actuals",H293,"")</f>
        <v>-118383.36</v>
      </c>
      <c r="I460" s="13" t="n">
        <f aca="false">IF(I$4="Actuals",I293,"")</f>
        <v>-3786.68999999997</v>
      </c>
      <c r="J460" s="13" t="str">
        <f aca="false">IF(J$4="Actuals",J293,"")</f>
        <v/>
      </c>
      <c r="K460" s="13" t="str">
        <f aca="false">IF(K$4="Actuals",K293,"")</f>
        <v/>
      </c>
      <c r="L460" s="13" t="str">
        <f aca="false">IF(L$4="Actuals",L293,"")</f>
        <v/>
      </c>
      <c r="M460" s="13" t="str">
        <f aca="false">IF(M$4="Actuals",M293,"")</f>
        <v/>
      </c>
      <c r="N460" s="13" t="str">
        <f aca="false">IF(N$4="Actuals",N293,"")</f>
        <v/>
      </c>
      <c r="O460" s="13" t="str">
        <f aca="false">IF(O$4="Actuals",O293,"")</f>
        <v/>
      </c>
      <c r="P460" s="13" t="str">
        <f aca="false">IF(P$4="Actuals",P293,"")</f>
        <v/>
      </c>
      <c r="Q460" s="13" t="str">
        <f aca="false">IF(Q$4="Actuals",Q293,"")</f>
        <v/>
      </c>
      <c r="R460" s="13" t="str">
        <f aca="false">IF(R$4="Actuals",R293,"")</f>
        <v/>
      </c>
      <c r="S460" s="13" t="str">
        <f aca="false">IF(S$4="Actuals",S293,"")</f>
        <v/>
      </c>
      <c r="T460" s="13" t="str">
        <f aca="false">IF(T$4="Actuals",T293,"")</f>
        <v/>
      </c>
      <c r="U460" s="13" t="str">
        <f aca="false">IF(U$4="Actuals",U293,"")</f>
        <v/>
      </c>
      <c r="V460" s="13" t="str">
        <f aca="false">IF(V$4="Actuals",V293,"")</f>
        <v/>
      </c>
      <c r="W460" s="13" t="str">
        <f aca="false">IF(W$4="Actuals",W293,"")</f>
        <v/>
      </c>
      <c r="X460" s="13" t="str">
        <f aca="false">IF(X$4="Actuals",X293,"")</f>
        <v/>
      </c>
      <c r="Y460" s="13" t="str">
        <f aca="false">IF(Y$4="Actuals",Y293,"")</f>
        <v/>
      </c>
      <c r="Z460" s="13" t="str">
        <f aca="false">IF(Z$4="Actuals",Z293,"")</f>
        <v/>
      </c>
      <c r="AA460" s="13" t="str">
        <f aca="false">IF(AA$4="Actuals",AA293,"")</f>
        <v/>
      </c>
      <c r="AB460" s="13" t="str">
        <f aca="false">IF(AB$4="Actuals",AB293,"")</f>
        <v/>
      </c>
      <c r="AC460" s="13" t="str">
        <f aca="false">IF(AC$4="Actuals",AC293,"")</f>
        <v/>
      </c>
      <c r="AD460" s="13" t="str">
        <f aca="false">IF(AD$4="Actuals",AD293,"")</f>
        <v/>
      </c>
      <c r="AE460" s="13" t="str">
        <f aca="false">IF(AE$4="Actuals",AE293,"")</f>
        <v/>
      </c>
      <c r="AF460" s="13" t="str">
        <f aca="false">IF(AF$4="Actuals",AF293,"")</f>
        <v/>
      </c>
      <c r="AG460" s="13" t="str">
        <f aca="false">IF(AG$4="Actuals",AG293,"")</f>
        <v/>
      </c>
      <c r="AH460" s="13" t="str">
        <f aca="false">IF(AH$4="Actuals",AH293,"")</f>
        <v/>
      </c>
      <c r="AI460" s="13" t="str">
        <f aca="false">IF(AI$4="Actuals",AI293,"")</f>
        <v/>
      </c>
      <c r="AJ460" s="13" t="str">
        <f aca="false">IF(AJ$4="Actuals",AJ293,"")</f>
        <v/>
      </c>
      <c r="AK460" s="13" t="str">
        <f aca="false">IF(AK$4="Actuals",AK293,"")</f>
        <v/>
      </c>
      <c r="AL460" s="13" t="str">
        <f aca="false">IF(AL$4="Actuals",AL293,"")</f>
        <v/>
      </c>
      <c r="AM460" s="13" t="str">
        <f aca="false">IF(AM$4="Actuals",AM293,"")</f>
        <v/>
      </c>
      <c r="AN460" s="13" t="str">
        <f aca="false">IF(AN$4="Actuals",AN293,"")</f>
        <v/>
      </c>
      <c r="AO460" s="13" t="str">
        <f aca="false">IF(AO$4="Actuals",AO293,"")</f>
        <v/>
      </c>
      <c r="AP460" s="13" t="str">
        <f aca="false">IF(AP$4="Actuals",AP293,"")</f>
        <v/>
      </c>
      <c r="AQ460" s="13" t="str">
        <f aca="false">IF(AQ$4="Actuals",AQ293,"")</f>
        <v/>
      </c>
      <c r="AR460" s="13" t="str">
        <f aca="false">IF(AR$4="Actuals",AR293,"")</f>
        <v/>
      </c>
      <c r="AS460" s="13" t="str">
        <f aca="false">IF(AS$4="Actuals",AS293,"")</f>
        <v/>
      </c>
      <c r="AT460" s="13" t="str">
        <f aca="false">IF(AT$4="Actuals",AT293,"")</f>
        <v/>
      </c>
      <c r="AU460" s="13" t="str">
        <f aca="false">IF(AU$4="Actuals",AU293,"")</f>
        <v/>
      </c>
      <c r="AV460" s="13" t="str">
        <f aca="false">IF(AV$4="Actuals",AV293,"")</f>
        <v/>
      </c>
      <c r="AW460" s="13" t="str">
        <f aca="false">IF(AW$4="Actuals",AW293,"")</f>
        <v/>
      </c>
      <c r="AX460" s="13" t="str">
        <f aca="false">IF(AX$4="Actuals",AX293,"")</f>
        <v/>
      </c>
      <c r="AY460" s="13" t="str">
        <f aca="false">IF(AY$4="Actuals",AY293,"")</f>
        <v/>
      </c>
      <c r="AZ460" s="13" t="str">
        <f aca="false">IF(AZ$4="Actuals",AZ293,"")</f>
        <v/>
      </c>
      <c r="BA460" s="13" t="str">
        <f aca="false">IF(BA$4="Actuals",BA293,"")</f>
        <v/>
      </c>
      <c r="BB460" s="13" t="str">
        <f aca="false">IF(BB$4="Actuals",BB293,"")</f>
        <v/>
      </c>
      <c r="BC460" s="13" t="str">
        <f aca="false">IF(BC$4="Actuals",BC293,"")</f>
        <v/>
      </c>
      <c r="BD460" s="13" t="str">
        <f aca="false">IF(BD$4="Actuals",BD293,"")</f>
        <v/>
      </c>
      <c r="BE460" s="13" t="str">
        <f aca="false">IF(BE$4="Actuals",BE293,"")</f>
        <v/>
      </c>
      <c r="BF460" s="13" t="str">
        <f aca="false">IF(BF$4="Actuals",BF293,"")</f>
        <v/>
      </c>
      <c r="BG460" s="13" t="str">
        <f aca="false">IF(BG$4="Actuals",BG293,"")</f>
        <v/>
      </c>
      <c r="BH460" s="13" t="str">
        <f aca="false">IF(BH$4="Actuals",BH293,"")</f>
        <v/>
      </c>
      <c r="BI460" s="13" t="str">
        <f aca="false">IF(BI$4="Actuals",BI293,"")</f>
        <v/>
      </c>
      <c r="BJ460" s="13" t="str">
        <f aca="false">IF(BJ$4="Actuals",BJ293,"")</f>
        <v/>
      </c>
      <c r="BK460" s="13" t="str">
        <f aca="false">IF(BK$4="Actuals",BK293,"")</f>
        <v/>
      </c>
      <c r="BL460" s="13" t="str">
        <f aca="false">IF(BL$4="Actuals",BL293,"")</f>
        <v/>
      </c>
      <c r="BM460" s="13" t="str">
        <f aca="false">IF(BM$4="Actuals",BM293,"")</f>
        <v/>
      </c>
      <c r="BN460" s="13" t="str">
        <f aca="false">IF(BN$4="Actuals",BN293,"")</f>
        <v/>
      </c>
      <c r="BO460" s="13" t="str">
        <f aca="false">IF(BO$4="Actuals",BO293,"")</f>
        <v/>
      </c>
      <c r="BP460" s="13" t="str">
        <f aca="false">IF(BP$4="Actuals",BP293,"")</f>
        <v/>
      </c>
      <c r="BQ460" s="13" t="str">
        <f aca="false">IF(BQ$4="Actuals",BQ293,"")</f>
        <v/>
      </c>
      <c r="BR460" s="13" t="str">
        <f aca="false">IF(BR$4="Actuals",BR293,"")</f>
        <v/>
      </c>
      <c r="BS460" s="13" t="str">
        <f aca="false">IF(BS$4="Actuals",BS293,"")</f>
        <v/>
      </c>
      <c r="BT460" s="13" t="str">
        <f aca="false">IF(BT$4="Actuals",BT293,"")</f>
        <v/>
      </c>
      <c r="BU460" s="13" t="str">
        <f aca="false">IF(BU$4="Actuals",BU293,"")</f>
        <v/>
      </c>
      <c r="BV460" s="13" t="str">
        <f aca="false">IF(BV$4="Actuals",BV293,"")</f>
        <v/>
      </c>
      <c r="BW460" s="13" t="str">
        <f aca="false">IF(BW$4="Actuals",BW293,"")</f>
        <v/>
      </c>
      <c r="BX460" s="13" t="str">
        <f aca="false">IF(BX$4="Actuals",BX293,"")</f>
        <v/>
      </c>
      <c r="BY460" s="13" t="str">
        <f aca="false">IF(BY$4="Actuals",BY293,"")</f>
        <v/>
      </c>
      <c r="BZ460" s="13" t="str">
        <f aca="false">IF(BZ$4="Actuals",BZ293,"")</f>
        <v/>
      </c>
      <c r="CA460" s="13" t="str">
        <f aca="false">IF(CA$4="Actuals",CA293,"")</f>
        <v/>
      </c>
      <c r="CB460" s="13" t="str">
        <f aca="false">IF(CB$4="Actuals",CB293,"")</f>
        <v/>
      </c>
      <c r="CC460" s="13" t="str">
        <f aca="false">IF(CC$4="Actuals",CC293,"")</f>
        <v/>
      </c>
      <c r="CD460" s="13" t="str">
        <f aca="false">IF(CD$4="Actuals",CD293,"")</f>
        <v/>
      </c>
      <c r="CE460" s="13" t="str">
        <f aca="false">IF(CE$4="Actuals",CE293,"")</f>
        <v/>
      </c>
      <c r="CF460" s="13" t="str">
        <f aca="false">IF(CF$4="Actuals",CF293,"")</f>
        <v/>
      </c>
      <c r="CG460" s="13" t="str">
        <f aca="false">IF(CG$4="Actuals",CG293,"")</f>
        <v/>
      </c>
      <c r="CH460" s="13" t="str">
        <f aca="false">IF(CH$4="Actuals",CH293,"")</f>
        <v/>
      </c>
      <c r="CI460" s="13" t="str">
        <f aca="false">IF(CI$4="Actuals",CI293,"")</f>
        <v/>
      </c>
      <c r="CJ460" s="13" t="str">
        <f aca="false">IF(CJ$4="Actuals",CJ293,"")</f>
        <v/>
      </c>
      <c r="CK460" s="13" t="str">
        <f aca="false">IF(CK$4="Actuals",CK293,"")</f>
        <v/>
      </c>
      <c r="CL460" s="13" t="str">
        <f aca="false">IF(CL$4="Actuals",CL293,"")</f>
        <v/>
      </c>
      <c r="CM460" s="13" t="str">
        <f aca="false">IF(CM$4="Actuals",CM293,"")</f>
        <v/>
      </c>
      <c r="CN460" s="13" t="str">
        <f aca="false">IF(CN$4="Actuals",CN293,"")</f>
        <v/>
      </c>
      <c r="CO460" s="13" t="str">
        <f aca="false">IF(CO$4="Actuals",CO293,"")</f>
        <v/>
      </c>
      <c r="CP460" s="13" t="str">
        <f aca="false">IF(CP$4="Actuals",CP293,"")</f>
        <v/>
      </c>
      <c r="CQ460" s="13" t="str">
        <f aca="false">IF(CQ$4="Actuals",CQ293,"")</f>
        <v/>
      </c>
      <c r="CR460" s="13" t="str">
        <f aca="false">IF(CR$4="Actuals",CR293,"")</f>
        <v/>
      </c>
      <c r="CS460" s="13" t="str">
        <f aca="false">IF(CS$4="Actuals",CS293,"")</f>
        <v/>
      </c>
      <c r="CT460" s="13" t="str">
        <f aca="false">IF(CT$4="Actuals",CT293,"")</f>
        <v/>
      </c>
      <c r="CU460" s="13" t="str">
        <f aca="false">IF(CU$4="Actuals",CU293,"")</f>
        <v/>
      </c>
      <c r="CV460" s="13" t="str">
        <f aca="false">IF(CV$4="Actuals",CV293,"")</f>
        <v/>
      </c>
      <c r="CW460" s="13" t="str">
        <f aca="false">IF(CW$4="Actuals",CW293,"")</f>
        <v/>
      </c>
      <c r="CX460" s="13" t="str">
        <f aca="false">IF(CX$4="Actuals",CX293,"")</f>
        <v/>
      </c>
      <c r="CY460" s="13" t="str">
        <f aca="false">IF(CY$4="Actuals",CY293,"")</f>
        <v/>
      </c>
      <c r="CZ460" s="13" t="str">
        <f aca="false">IF(CZ$4="Actuals",CZ293,"")</f>
        <v/>
      </c>
      <c r="DA460" s="13" t="str">
        <f aca="false">IF(DA$4="Actuals",DA293,"")</f>
        <v/>
      </c>
      <c r="DB460" s="13" t="str">
        <f aca="false">IF(DB$4="Actuals",DB293,"")</f>
        <v/>
      </c>
      <c r="DC460" s="13" t="str">
        <f aca="false">IF(DC$4="Actuals",DC293,"")</f>
        <v/>
      </c>
      <c r="DD460" s="13" t="str">
        <f aca="false">IF(DD$4="Actuals",DD293,"")</f>
        <v/>
      </c>
      <c r="DE460" s="13" t="str">
        <f aca="false">IF(DE$4="Actuals",DE293,"")</f>
        <v/>
      </c>
    </row>
    <row r="461" customFormat="false" ht="15" hidden="false" customHeight="true" outlineLevel="0" collapsed="false">
      <c r="A461" s="22" t="s">
        <v>259</v>
      </c>
      <c r="B461" s="13" t="n">
        <f aca="false">IF(B396="","",B455-$B$434)</f>
        <v>720514</v>
      </c>
      <c r="C461" s="13" t="n">
        <f aca="false">IF(C396="","",C455-B455)</f>
        <v>33333</v>
      </c>
      <c r="D461" s="13" t="n">
        <f aca="false">IF(D396="","",D455-C455)</f>
        <v>164667</v>
      </c>
      <c r="E461" s="13" t="n">
        <f aca="false">IF(E396="","",E455-D455)</f>
        <v>-244551</v>
      </c>
      <c r="F461" s="13" t="n">
        <f aca="false">IF(F396="","",F455-E455)</f>
        <v>299315</v>
      </c>
      <c r="G461" s="13" t="n">
        <f aca="false">IF(G396="","",G455-F455)</f>
        <v>1117180</v>
      </c>
      <c r="H461" s="13" t="n">
        <f aca="false">IF(H396="","",H455-G455)</f>
        <v>-354431</v>
      </c>
      <c r="I461" s="13" t="n">
        <f aca="false">IF(I396="","",I455-H455)</f>
        <v>-1153572</v>
      </c>
      <c r="J461" s="13" t="str">
        <f aca="false">IF(J396="","",J455-I455)</f>
        <v/>
      </c>
      <c r="K461" s="13" t="str">
        <f aca="false">IF(K396="","",K455-J455)</f>
        <v/>
      </c>
      <c r="L461" s="13" t="str">
        <f aca="false">IF(L396="","",L455-K455)</f>
        <v/>
      </c>
      <c r="M461" s="13" t="str">
        <f aca="false">IF(M396="","",M455-L455)</f>
        <v/>
      </c>
      <c r="N461" s="13" t="str">
        <f aca="false">IF(N396="","",N455-M455)</f>
        <v/>
      </c>
      <c r="O461" s="13" t="str">
        <f aca="false">IF(O396="","",O455-N455)</f>
        <v/>
      </c>
      <c r="P461" s="13" t="str">
        <f aca="false">IF(P396="","",P455-O455)</f>
        <v/>
      </c>
      <c r="Q461" s="13" t="str">
        <f aca="false">IF(Q396="","",Q455-P455)</f>
        <v/>
      </c>
      <c r="R461" s="13" t="str">
        <f aca="false">IF(R396="","",R455-Q455)</f>
        <v/>
      </c>
      <c r="S461" s="13" t="str">
        <f aca="false">IF(S396="","",S455-R455)</f>
        <v/>
      </c>
      <c r="T461" s="13" t="str">
        <f aca="false">IF(T396="","",T455-S455)</f>
        <v/>
      </c>
      <c r="U461" s="13" t="str">
        <f aca="false">IF(U396="","",U455-T455)</f>
        <v/>
      </c>
      <c r="V461" s="13" t="str">
        <f aca="false">IF(V396="","",V455-U455)</f>
        <v/>
      </c>
      <c r="W461" s="13" t="str">
        <f aca="false">IF(W396="","",W455-V455)</f>
        <v/>
      </c>
      <c r="X461" s="13" t="str">
        <f aca="false">IF(X396="","",X455-W455)</f>
        <v/>
      </c>
      <c r="Y461" s="13" t="str">
        <f aca="false">IF(Y396="","",Y455-X455)</f>
        <v/>
      </c>
      <c r="Z461" s="13" t="str">
        <f aca="false">IF(Z396="","",Z455-Y455)</f>
        <v/>
      </c>
      <c r="AA461" s="13" t="str">
        <f aca="false">IF(AA396="","",AA455-Z455)</f>
        <v/>
      </c>
      <c r="AB461" s="13" t="str">
        <f aca="false">IF(AB396="","",AB455-AA455)</f>
        <v/>
      </c>
      <c r="AC461" s="13" t="str">
        <f aca="false">IF(AC396="","",AC455-AB455)</f>
        <v/>
      </c>
      <c r="AD461" s="13" t="str">
        <f aca="false">IF(AD396="","",AD455-AC455)</f>
        <v/>
      </c>
      <c r="AE461" s="13" t="str">
        <f aca="false">IF(AE396="","",AE455-AD455)</f>
        <v/>
      </c>
      <c r="AF461" s="13" t="str">
        <f aca="false">IF(AF396="","",AF455-AE455)</f>
        <v/>
      </c>
      <c r="AG461" s="13" t="str">
        <f aca="false">IF(AG396="","",AG455-AF455)</f>
        <v/>
      </c>
      <c r="AH461" s="13" t="str">
        <f aca="false">IF(AH396="","",AH455-AG455)</f>
        <v/>
      </c>
      <c r="AI461" s="13" t="str">
        <f aca="false">IF(AI396="","",AI455-AH455)</f>
        <v/>
      </c>
      <c r="AJ461" s="13" t="str">
        <f aca="false">IF(AJ396="","",AJ455-AI455)</f>
        <v/>
      </c>
      <c r="AK461" s="13" t="str">
        <f aca="false">IF(AK396="","",AK455-AJ455)</f>
        <v/>
      </c>
      <c r="AL461" s="13" t="str">
        <f aca="false">IF(AL396="","",AL455-AK455)</f>
        <v/>
      </c>
      <c r="AM461" s="13" t="str">
        <f aca="false">IF(AM396="","",AM455-AL455)</f>
        <v/>
      </c>
      <c r="AN461" s="13" t="str">
        <f aca="false">IF(AN396="","",AN455-AM455)</f>
        <v/>
      </c>
      <c r="AO461" s="13" t="str">
        <f aca="false">IF(AO396="","",AO455-AN455)</f>
        <v/>
      </c>
      <c r="AP461" s="13" t="str">
        <f aca="false">IF(AP396="","",AP455-AO455)</f>
        <v/>
      </c>
      <c r="AQ461" s="13" t="str">
        <f aca="false">IF(AQ396="","",AQ455-AP455)</f>
        <v/>
      </c>
      <c r="AR461" s="13" t="str">
        <f aca="false">IF(AR396="","",AR455-AQ455)</f>
        <v/>
      </c>
      <c r="AS461" s="13" t="str">
        <f aca="false">IF(AS396="","",AS455-AR455)</f>
        <v/>
      </c>
      <c r="AT461" s="13" t="str">
        <f aca="false">IF(AT396="","",AT455-AS455)</f>
        <v/>
      </c>
      <c r="AU461" s="13" t="str">
        <f aca="false">IF(AU396="","",AU455-AT455)</f>
        <v/>
      </c>
      <c r="AV461" s="13" t="str">
        <f aca="false">IF(AV396="","",AV455-AU455)</f>
        <v/>
      </c>
      <c r="AW461" s="13" t="str">
        <f aca="false">IF(AW396="","",AW455-AV455)</f>
        <v/>
      </c>
      <c r="AX461" s="13" t="str">
        <f aca="false">IF(AX396="","",AX455-AW455)</f>
        <v/>
      </c>
      <c r="AY461" s="13" t="str">
        <f aca="false">IF(AY396="","",AY455-AX455)</f>
        <v/>
      </c>
      <c r="AZ461" s="13" t="str">
        <f aca="false">IF(AZ396="","",AZ455-AY455)</f>
        <v/>
      </c>
      <c r="BA461" s="13" t="str">
        <f aca="false">IF(BA396="","",BA455-AZ455)</f>
        <v/>
      </c>
      <c r="BB461" s="13" t="str">
        <f aca="false">IF(BB396="","",BB455-BA455)</f>
        <v/>
      </c>
      <c r="BC461" s="13" t="str">
        <f aca="false">IF(BC396="","",BC455-BB455)</f>
        <v/>
      </c>
      <c r="BD461" s="13" t="str">
        <f aca="false">IF(BD396="","",BD455-BC455)</f>
        <v/>
      </c>
      <c r="BE461" s="13" t="str">
        <f aca="false">IF(BE396="","",BE455-BD455)</f>
        <v/>
      </c>
      <c r="BF461" s="13" t="str">
        <f aca="false">IF(BF396="","",BF455-BE455)</f>
        <v/>
      </c>
      <c r="BG461" s="13" t="str">
        <f aca="false">IF(BG396="","",BG455-BF455)</f>
        <v/>
      </c>
      <c r="BH461" s="13" t="str">
        <f aca="false">IF(BH396="","",BH455-BG455)</f>
        <v/>
      </c>
      <c r="BI461" s="13" t="str">
        <f aca="false">IF(BI396="","",BI455-BH455)</f>
        <v/>
      </c>
      <c r="BJ461" s="13" t="str">
        <f aca="false">IF(BJ396="","",BJ455-BI455)</f>
        <v/>
      </c>
      <c r="BK461" s="13" t="str">
        <f aca="false">IF(BK396="","",BK455-BJ455)</f>
        <v/>
      </c>
      <c r="BL461" s="13" t="str">
        <f aca="false">IF(BL396="","",BL455-BK455)</f>
        <v/>
      </c>
      <c r="BM461" s="13" t="str">
        <f aca="false">IF(BM396="","",BM455-BL455)</f>
        <v/>
      </c>
      <c r="BN461" s="13" t="str">
        <f aca="false">IF(BN396="","",BN455-BM455)</f>
        <v/>
      </c>
      <c r="BO461" s="13" t="str">
        <f aca="false">IF(BO396="","",BO455-BN455)</f>
        <v/>
      </c>
      <c r="BP461" s="13" t="str">
        <f aca="false">IF(BP396="","",BP455-BO455)</f>
        <v/>
      </c>
      <c r="BQ461" s="13" t="str">
        <f aca="false">IF(BQ396="","",BQ455-BP455)</f>
        <v/>
      </c>
      <c r="BR461" s="13" t="str">
        <f aca="false">IF(BR396="","",BR455-BQ455)</f>
        <v/>
      </c>
      <c r="BS461" s="13" t="str">
        <f aca="false">IF(BS396="","",BS455-BR455)</f>
        <v/>
      </c>
      <c r="BT461" s="13" t="str">
        <f aca="false">IF(BT396="","",BT455-BS455)</f>
        <v/>
      </c>
      <c r="BU461" s="13" t="str">
        <f aca="false">IF(BU396="","",BU455-BT455)</f>
        <v/>
      </c>
      <c r="BV461" s="13" t="str">
        <f aca="false">IF(BV396="","",BV455-BU455)</f>
        <v/>
      </c>
      <c r="BW461" s="13" t="str">
        <f aca="false">IF(BW396="","",BW455-BV455)</f>
        <v/>
      </c>
      <c r="BX461" s="13" t="str">
        <f aca="false">IF(BX396="","",BX455-BW455)</f>
        <v/>
      </c>
      <c r="BY461" s="13" t="str">
        <f aca="false">IF(BY396="","",BY455-BX455)</f>
        <v/>
      </c>
      <c r="BZ461" s="13" t="str">
        <f aca="false">IF(BZ396="","",BZ455-BY455)</f>
        <v/>
      </c>
      <c r="CA461" s="13" t="str">
        <f aca="false">IF(CA396="","",CA455-BZ455)</f>
        <v/>
      </c>
      <c r="CB461" s="13" t="str">
        <f aca="false">IF(CB396="","",CB455-CA455)</f>
        <v/>
      </c>
      <c r="CC461" s="13" t="str">
        <f aca="false">IF(CC396="","",CC455-CB455)</f>
        <v/>
      </c>
      <c r="CD461" s="13" t="str">
        <f aca="false">IF(CD396="","",CD455-CC455)</f>
        <v/>
      </c>
      <c r="CE461" s="13" t="str">
        <f aca="false">IF(CE396="","",CE455-CD455)</f>
        <v/>
      </c>
      <c r="CF461" s="13" t="str">
        <f aca="false">IF(CF396="","",CF455-CE455)</f>
        <v/>
      </c>
      <c r="CG461" s="13" t="str">
        <f aca="false">IF(CG396="","",CG455-CF455)</f>
        <v/>
      </c>
      <c r="CH461" s="13" t="str">
        <f aca="false">IF(CH396="","",CH455-CG455)</f>
        <v/>
      </c>
      <c r="CI461" s="13" t="str">
        <f aca="false">IF(CI396="","",CI455-CH455)</f>
        <v/>
      </c>
      <c r="CJ461" s="13" t="str">
        <f aca="false">IF(CJ396="","",CJ455-CI455)</f>
        <v/>
      </c>
      <c r="CK461" s="13" t="str">
        <f aca="false">IF(CK396="","",CK455-CJ455)</f>
        <v/>
      </c>
      <c r="CL461" s="13" t="str">
        <f aca="false">IF(CL396="","",CL455-CK455)</f>
        <v/>
      </c>
      <c r="CM461" s="13" t="str">
        <f aca="false">IF(CM396="","",CM455-CL455)</f>
        <v/>
      </c>
      <c r="CN461" s="13" t="str">
        <f aca="false">IF(CN396="","",CN455-CM455)</f>
        <v/>
      </c>
      <c r="CO461" s="13" t="str">
        <f aca="false">IF(CO396="","",CO455-CN455)</f>
        <v/>
      </c>
      <c r="CP461" s="13" t="str">
        <f aca="false">IF(CP396="","",CP455-CO455)</f>
        <v/>
      </c>
      <c r="CQ461" s="13" t="str">
        <f aca="false">IF(CQ396="","",CQ455-CP455)</f>
        <v/>
      </c>
      <c r="CR461" s="13" t="str">
        <f aca="false">IF(CR396="","",CR455-CQ455)</f>
        <v/>
      </c>
      <c r="CS461" s="13" t="str">
        <f aca="false">IF(CS396="","",CS455-CR455)</f>
        <v/>
      </c>
      <c r="CT461" s="13" t="str">
        <f aca="false">IF(CT396="","",CT455-CS455)</f>
        <v/>
      </c>
      <c r="CU461" s="13" t="str">
        <f aca="false">IF(CU396="","",CU455-CT455)</f>
        <v/>
      </c>
      <c r="CV461" s="13" t="str">
        <f aca="false">IF(CV396="","",CV455-CU455)</f>
        <v/>
      </c>
      <c r="CW461" s="13" t="str">
        <f aca="false">IF(CW396="","",CW455-CV455)</f>
        <v/>
      </c>
      <c r="CX461" s="13" t="str">
        <f aca="false">IF(CX396="","",CX455-CW455)</f>
        <v/>
      </c>
      <c r="CY461" s="13" t="str">
        <f aca="false">IF(CY396="","",CY455-CX455)</f>
        <v/>
      </c>
      <c r="CZ461" s="13" t="str">
        <f aca="false">IF(CZ396="","",CZ455-CY455)</f>
        <v/>
      </c>
      <c r="DA461" s="13" t="str">
        <f aca="false">IF(DA396="","",DA455-CZ455)</f>
        <v/>
      </c>
      <c r="DB461" s="13" t="str">
        <f aca="false">IF(DB396="","",DB455-DA455)</f>
        <v/>
      </c>
      <c r="DC461" s="13" t="str">
        <f aca="false">IF(DC396="","",DC455-DB455)</f>
        <v/>
      </c>
      <c r="DD461" s="13" t="str">
        <f aca="false">IF(DD396="","",DD455-DC455)</f>
        <v/>
      </c>
      <c r="DE461" s="13" t="str">
        <f aca="false">IF(DE396="","",DE455-DD455)</f>
        <v/>
      </c>
    </row>
    <row r="462" customFormat="false" ht="15" hidden="false" customHeight="true" outlineLevel="0" collapsed="false">
      <c r="A462" s="22" t="s">
        <v>260</v>
      </c>
      <c r="B462" s="13" t="n">
        <f aca="false">IF(B396="","",-(B454-$B$433))</f>
        <v>-63760</v>
      </c>
      <c r="C462" s="13" t="n">
        <f aca="false">IF(C396="","",-(C454-B454))</f>
        <v>-5500</v>
      </c>
      <c r="D462" s="13" t="n">
        <f aca="false">IF(D396="","",-(D454-C454))</f>
        <v>89104</v>
      </c>
      <c r="E462" s="13" t="n">
        <f aca="false">IF(E396="","",-(E454-D454))</f>
        <v>218702</v>
      </c>
      <c r="F462" s="13" t="n">
        <f aca="false">IF(F396="","",-(F454-E454))</f>
        <v>9500</v>
      </c>
      <c r="G462" s="13" t="n">
        <f aca="false">IF(G396="","",-(G454-F454))</f>
        <v>50000</v>
      </c>
      <c r="H462" s="13" t="n">
        <f aca="false">IF(H396="","",-(H454-G454))</f>
        <v>79304</v>
      </c>
      <c r="I462" s="13" t="n">
        <f aca="false">IF(I396="","",-(I454-H454))</f>
        <v>-153347</v>
      </c>
      <c r="J462" s="13" t="str">
        <f aca="false">IF(J396="","",-(J454-I454))</f>
        <v/>
      </c>
      <c r="K462" s="13" t="str">
        <f aca="false">IF(K396="","",-(K454-J454))</f>
        <v/>
      </c>
      <c r="L462" s="13" t="str">
        <f aca="false">IF(L396="","",-(L454-K454))</f>
        <v/>
      </c>
      <c r="M462" s="13" t="str">
        <f aca="false">IF(M396="","",-(M454-L454))</f>
        <v/>
      </c>
      <c r="N462" s="13" t="str">
        <f aca="false">IF(N396="","",-(N454-M454))</f>
        <v/>
      </c>
      <c r="O462" s="13" t="str">
        <f aca="false">IF(O396="","",-(O454-N454))</f>
        <v/>
      </c>
      <c r="P462" s="13" t="str">
        <f aca="false">IF(P396="","",-(P454-O454))</f>
        <v/>
      </c>
      <c r="Q462" s="13" t="str">
        <f aca="false">IF(Q396="","",-(Q454-P454))</f>
        <v/>
      </c>
      <c r="R462" s="13" t="str">
        <f aca="false">IF(R396="","",-(R454-Q454))</f>
        <v/>
      </c>
      <c r="S462" s="13" t="str">
        <f aca="false">IF(S396="","",-(S454-R454))</f>
        <v/>
      </c>
      <c r="T462" s="13" t="str">
        <f aca="false">IF(T396="","",-(T454-S454))</f>
        <v/>
      </c>
      <c r="U462" s="13" t="str">
        <f aca="false">IF(U396="","",-(U454-T454))</f>
        <v/>
      </c>
      <c r="V462" s="13" t="str">
        <f aca="false">IF(V396="","",-(V454-U454))</f>
        <v/>
      </c>
      <c r="W462" s="13" t="str">
        <f aca="false">IF(W396="","",-(W454-V454))</f>
        <v/>
      </c>
      <c r="X462" s="13" t="str">
        <f aca="false">IF(X396="","",-(X454-W454))</f>
        <v/>
      </c>
      <c r="Y462" s="13" t="str">
        <f aca="false">IF(Y396="","",-(Y454-X454))</f>
        <v/>
      </c>
      <c r="Z462" s="13" t="str">
        <f aca="false">IF(Z396="","",-(Z454-Y454))</f>
        <v/>
      </c>
      <c r="AA462" s="13" t="str">
        <f aca="false">IF(AA396="","",-(AA454-Z454))</f>
        <v/>
      </c>
      <c r="AB462" s="13" t="str">
        <f aca="false">IF(AB396="","",-(AB454-AA454))</f>
        <v/>
      </c>
      <c r="AC462" s="13" t="str">
        <f aca="false">IF(AC396="","",-(AC454-AB454))</f>
        <v/>
      </c>
      <c r="AD462" s="13" t="str">
        <f aca="false">IF(AD396="","",-(AD454-AC454))</f>
        <v/>
      </c>
      <c r="AE462" s="13" t="str">
        <f aca="false">IF(AE396="","",-(AE454-AD454))</f>
        <v/>
      </c>
      <c r="AF462" s="13" t="str">
        <f aca="false">IF(AF396="","",-(AF454-AE454))</f>
        <v/>
      </c>
      <c r="AG462" s="13" t="str">
        <f aca="false">IF(AG396="","",-(AG454-AF454))</f>
        <v/>
      </c>
      <c r="AH462" s="13" t="str">
        <f aca="false">IF(AH396="","",-(AH454-AG454))</f>
        <v/>
      </c>
      <c r="AI462" s="13" t="str">
        <f aca="false">IF(AI396="","",-(AI454-AH454))</f>
        <v/>
      </c>
      <c r="AJ462" s="13" t="str">
        <f aca="false">IF(AJ396="","",-(AJ454-AI454))</f>
        <v/>
      </c>
      <c r="AK462" s="13" t="str">
        <f aca="false">IF(AK396="","",-(AK454-AJ454))</f>
        <v/>
      </c>
      <c r="AL462" s="13" t="str">
        <f aca="false">IF(AL396="","",-(AL454-AK454))</f>
        <v/>
      </c>
      <c r="AM462" s="13" t="str">
        <f aca="false">IF(AM396="","",-(AM454-AL454))</f>
        <v/>
      </c>
      <c r="AN462" s="13" t="str">
        <f aca="false">IF(AN396="","",-(AN454-AM454))</f>
        <v/>
      </c>
      <c r="AO462" s="13" t="str">
        <f aca="false">IF(AO396="","",-(AO454-AN454))</f>
        <v/>
      </c>
      <c r="AP462" s="13" t="str">
        <f aca="false">IF(AP396="","",-(AP454-AO454))</f>
        <v/>
      </c>
      <c r="AQ462" s="13" t="str">
        <f aca="false">IF(AQ396="","",-(AQ454-AP454))</f>
        <v/>
      </c>
      <c r="AR462" s="13" t="str">
        <f aca="false">IF(AR396="","",-(AR454-AQ454))</f>
        <v/>
      </c>
      <c r="AS462" s="13" t="str">
        <f aca="false">IF(AS396="","",-(AS454-AR454))</f>
        <v/>
      </c>
      <c r="AT462" s="13" t="str">
        <f aca="false">IF(AT396="","",-(AT454-AS454))</f>
        <v/>
      </c>
      <c r="AU462" s="13" t="str">
        <f aca="false">IF(AU396="","",-(AU454-AT454))</f>
        <v/>
      </c>
      <c r="AV462" s="13" t="str">
        <f aca="false">IF(AV396="","",-(AV454-AU454))</f>
        <v/>
      </c>
      <c r="AW462" s="13" t="str">
        <f aca="false">IF(AW396="","",-(AW454-AV454))</f>
        <v/>
      </c>
      <c r="AX462" s="13" t="str">
        <f aca="false">IF(AX396="","",-(AX454-AW454))</f>
        <v/>
      </c>
      <c r="AY462" s="13" t="str">
        <f aca="false">IF(AY396="","",-(AY454-AX454))</f>
        <v/>
      </c>
      <c r="AZ462" s="13" t="str">
        <f aca="false">IF(AZ396="","",-(AZ454-AY454))</f>
        <v/>
      </c>
      <c r="BA462" s="13" t="str">
        <f aca="false">IF(BA396="","",-(BA454-AZ454))</f>
        <v/>
      </c>
      <c r="BB462" s="13" t="str">
        <f aca="false">IF(BB396="","",-(BB454-BA454))</f>
        <v/>
      </c>
      <c r="BC462" s="13" t="str">
        <f aca="false">IF(BC396="","",-(BC454-BB454))</f>
        <v/>
      </c>
      <c r="BD462" s="13" t="str">
        <f aca="false">IF(BD396="","",-(BD454-BC454))</f>
        <v/>
      </c>
      <c r="BE462" s="13" t="str">
        <f aca="false">IF(BE396="","",-(BE454-BD454))</f>
        <v/>
      </c>
      <c r="BF462" s="13" t="str">
        <f aca="false">IF(BF396="","",-(BF454-BE454))</f>
        <v/>
      </c>
      <c r="BG462" s="13" t="str">
        <f aca="false">IF(BG396="","",-(BG454-BF454))</f>
        <v/>
      </c>
      <c r="BH462" s="13" t="str">
        <f aca="false">IF(BH396="","",-(BH454-BG454))</f>
        <v/>
      </c>
      <c r="BI462" s="13" t="str">
        <f aca="false">IF(BI396="","",-(BI454-BH454))</f>
        <v/>
      </c>
      <c r="BJ462" s="13" t="str">
        <f aca="false">IF(BJ396="","",-(BJ454-BI454))</f>
        <v/>
      </c>
      <c r="BK462" s="13" t="str">
        <f aca="false">IF(BK396="","",-(BK454-BJ454))</f>
        <v/>
      </c>
      <c r="BL462" s="13" t="str">
        <f aca="false">IF(BL396="","",-(BL454-BK454))</f>
        <v/>
      </c>
      <c r="BM462" s="13" t="str">
        <f aca="false">IF(BM396="","",-(BM454-BL454))</f>
        <v/>
      </c>
      <c r="BN462" s="13" t="str">
        <f aca="false">IF(BN396="","",-(BN454-BM454))</f>
        <v/>
      </c>
      <c r="BO462" s="13" t="str">
        <f aca="false">IF(BO396="","",-(BO454-BN454))</f>
        <v/>
      </c>
      <c r="BP462" s="13" t="str">
        <f aca="false">IF(BP396="","",-(BP454-BO454))</f>
        <v/>
      </c>
      <c r="BQ462" s="13" t="str">
        <f aca="false">IF(BQ396="","",-(BQ454-BP454))</f>
        <v/>
      </c>
      <c r="BR462" s="13" t="str">
        <f aca="false">IF(BR396="","",-(BR454-BQ454))</f>
        <v/>
      </c>
      <c r="BS462" s="13" t="str">
        <f aca="false">IF(BS396="","",-(BS454-BR454))</f>
        <v/>
      </c>
      <c r="BT462" s="13" t="str">
        <f aca="false">IF(BT396="","",-(BT454-BS454))</f>
        <v/>
      </c>
      <c r="BU462" s="13" t="str">
        <f aca="false">IF(BU396="","",-(BU454-BT454))</f>
        <v/>
      </c>
      <c r="BV462" s="13" t="str">
        <f aca="false">IF(BV396="","",-(BV454-BU454))</f>
        <v/>
      </c>
      <c r="BW462" s="13" t="str">
        <f aca="false">IF(BW396="","",-(BW454-BV454))</f>
        <v/>
      </c>
      <c r="BX462" s="13" t="str">
        <f aca="false">IF(BX396="","",-(BX454-BW454))</f>
        <v/>
      </c>
      <c r="BY462" s="13" t="str">
        <f aca="false">IF(BY396="","",-(BY454-BX454))</f>
        <v/>
      </c>
      <c r="BZ462" s="13" t="str">
        <f aca="false">IF(BZ396="","",-(BZ454-BY454))</f>
        <v/>
      </c>
      <c r="CA462" s="13" t="str">
        <f aca="false">IF(CA396="","",-(CA454-BZ454))</f>
        <v/>
      </c>
      <c r="CB462" s="13" t="str">
        <f aca="false">IF(CB396="","",-(CB454-CA454))</f>
        <v/>
      </c>
      <c r="CC462" s="13" t="str">
        <f aca="false">IF(CC396="","",-(CC454-CB454))</f>
        <v/>
      </c>
      <c r="CD462" s="13" t="str">
        <f aca="false">IF(CD396="","",-(CD454-CC454))</f>
        <v/>
      </c>
      <c r="CE462" s="13" t="str">
        <f aca="false">IF(CE396="","",-(CE454-CD454))</f>
        <v/>
      </c>
      <c r="CF462" s="13" t="str">
        <f aca="false">IF(CF396="","",-(CF454-CE454))</f>
        <v/>
      </c>
      <c r="CG462" s="13" t="str">
        <f aca="false">IF(CG396="","",-(CG454-CF454))</f>
        <v/>
      </c>
      <c r="CH462" s="13" t="str">
        <f aca="false">IF(CH396="","",-(CH454-CG454))</f>
        <v/>
      </c>
      <c r="CI462" s="13" t="str">
        <f aca="false">IF(CI396="","",-(CI454-CH454))</f>
        <v/>
      </c>
      <c r="CJ462" s="13" t="str">
        <f aca="false">IF(CJ396="","",-(CJ454-CI454))</f>
        <v/>
      </c>
      <c r="CK462" s="13" t="str">
        <f aca="false">IF(CK396="","",-(CK454-CJ454))</f>
        <v/>
      </c>
      <c r="CL462" s="13" t="str">
        <f aca="false">IF(CL396="","",-(CL454-CK454))</f>
        <v/>
      </c>
      <c r="CM462" s="13" t="str">
        <f aca="false">IF(CM396="","",-(CM454-CL454))</f>
        <v/>
      </c>
      <c r="CN462" s="13" t="str">
        <f aca="false">IF(CN396="","",-(CN454-CM454))</f>
        <v/>
      </c>
      <c r="CO462" s="13" t="str">
        <f aca="false">IF(CO396="","",-(CO454-CN454))</f>
        <v/>
      </c>
      <c r="CP462" s="13" t="str">
        <f aca="false">IF(CP396="","",-(CP454-CO454))</f>
        <v/>
      </c>
      <c r="CQ462" s="13" t="str">
        <f aca="false">IF(CQ396="","",-(CQ454-CP454))</f>
        <v/>
      </c>
      <c r="CR462" s="13" t="str">
        <f aca="false">IF(CR396="","",-(CR454-CQ454))</f>
        <v/>
      </c>
      <c r="CS462" s="13" t="str">
        <f aca="false">IF(CS396="","",-(CS454-CR454))</f>
        <v/>
      </c>
      <c r="CT462" s="13" t="str">
        <f aca="false">IF(CT396="","",-(CT454-CS454))</f>
        <v/>
      </c>
      <c r="CU462" s="13" t="str">
        <f aca="false">IF(CU396="","",-(CU454-CT454))</f>
        <v/>
      </c>
      <c r="CV462" s="13" t="str">
        <f aca="false">IF(CV396="","",-(CV454-CU454))</f>
        <v/>
      </c>
      <c r="CW462" s="13" t="str">
        <f aca="false">IF(CW396="","",-(CW454-CV454))</f>
        <v/>
      </c>
      <c r="CX462" s="13" t="str">
        <f aca="false">IF(CX396="","",-(CX454-CW454))</f>
        <v/>
      </c>
      <c r="CY462" s="13" t="str">
        <f aca="false">IF(CY396="","",-(CY454-CX454))</f>
        <v/>
      </c>
      <c r="CZ462" s="13" t="str">
        <f aca="false">IF(CZ396="","",-(CZ454-CY454))</f>
        <v/>
      </c>
      <c r="DA462" s="13" t="str">
        <f aca="false">IF(DA396="","",-(DA454-CZ454))</f>
        <v/>
      </c>
      <c r="DB462" s="13" t="str">
        <f aca="false">IF(DB396="","",-(DB454-DA454))</f>
        <v/>
      </c>
      <c r="DC462" s="13" t="str">
        <f aca="false">IF(DC396="","",-(DC454-DB454))</f>
        <v/>
      </c>
      <c r="DD462" s="13" t="str">
        <f aca="false">IF(DD396="","",-(DD454-DC454))</f>
        <v/>
      </c>
      <c r="DE462" s="13" t="str">
        <f aca="false">IF(DE396="","",-(DE454-DD454))</f>
        <v/>
      </c>
    </row>
    <row r="463" customFormat="false" ht="15" hidden="false" customHeight="true" outlineLevel="0" collapsed="false">
      <c r="A463" s="22" t="s">
        <v>261</v>
      </c>
      <c r="B463" s="13" t="n">
        <f aca="false">IF(B396="","",B456-$B$435)</f>
        <v>0</v>
      </c>
      <c r="C463" s="13" t="n">
        <f aca="false">IF(C396="","",C456-B456)</f>
        <v>0</v>
      </c>
      <c r="D463" s="13" t="n">
        <f aca="false">IF(D396="","",D456-C456)</f>
        <v>0</v>
      </c>
      <c r="E463" s="13" t="n">
        <f aca="false">IF(E396="","",E456-D456)</f>
        <v>0</v>
      </c>
      <c r="F463" s="13" t="n">
        <f aca="false">IF(F396="","",F456-E456)</f>
        <v>0</v>
      </c>
      <c r="G463" s="13" t="n">
        <f aca="false">IF(G396="","",G456-F456)</f>
        <v>-299000</v>
      </c>
      <c r="H463" s="13" t="n">
        <f aca="false">IF(H396="","",H456-G456)</f>
        <v>0</v>
      </c>
      <c r="I463" s="13" t="n">
        <f aca="false">IF(I396="","",I456-H456)</f>
        <v>0</v>
      </c>
      <c r="J463" s="13" t="str">
        <f aca="false">IF(J396="","",J456-I456)</f>
        <v/>
      </c>
      <c r="K463" s="13" t="str">
        <f aca="false">IF(K396="","",K456-J456)</f>
        <v/>
      </c>
      <c r="L463" s="13" t="str">
        <f aca="false">IF(L396="","",L456-K456)</f>
        <v/>
      </c>
      <c r="M463" s="13" t="str">
        <f aca="false">IF(M396="","",M456-L456)</f>
        <v/>
      </c>
      <c r="N463" s="13" t="str">
        <f aca="false">IF(N396="","",N456-M456)</f>
        <v/>
      </c>
      <c r="O463" s="13" t="str">
        <f aca="false">IF(O396="","",O456-N456)</f>
        <v/>
      </c>
      <c r="P463" s="13" t="str">
        <f aca="false">IF(P396="","",P456-O456)</f>
        <v/>
      </c>
      <c r="Q463" s="13" t="str">
        <f aca="false">IF(Q396="","",Q456-P456)</f>
        <v/>
      </c>
      <c r="R463" s="13" t="str">
        <f aca="false">IF(R396="","",R456-Q456)</f>
        <v/>
      </c>
      <c r="S463" s="13" t="str">
        <f aca="false">IF(S396="","",S456-R456)</f>
        <v/>
      </c>
      <c r="T463" s="13" t="str">
        <f aca="false">IF(T396="","",T456-S456)</f>
        <v/>
      </c>
      <c r="U463" s="13" t="str">
        <f aca="false">IF(U396="","",U456-T456)</f>
        <v/>
      </c>
      <c r="V463" s="13" t="str">
        <f aca="false">IF(V396="","",V456-U456)</f>
        <v/>
      </c>
      <c r="W463" s="13" t="str">
        <f aca="false">IF(W396="","",W456-V456)</f>
        <v/>
      </c>
      <c r="X463" s="13" t="str">
        <f aca="false">IF(X396="","",X456-W456)</f>
        <v/>
      </c>
      <c r="Y463" s="13" t="str">
        <f aca="false">IF(Y396="","",Y456-X456)</f>
        <v/>
      </c>
      <c r="Z463" s="13" t="str">
        <f aca="false">IF(Z396="","",Z456-Y456)</f>
        <v/>
      </c>
      <c r="AA463" s="13" t="str">
        <f aca="false">IF(AA396="","",AA456-Z456)</f>
        <v/>
      </c>
      <c r="AB463" s="13" t="str">
        <f aca="false">IF(AB396="","",AB456-AA456)</f>
        <v/>
      </c>
      <c r="AC463" s="13" t="str">
        <f aca="false">IF(AC396="","",AC456-AB456)</f>
        <v/>
      </c>
      <c r="AD463" s="13" t="str">
        <f aca="false">IF(AD396="","",AD456-AC456)</f>
        <v/>
      </c>
      <c r="AE463" s="13" t="str">
        <f aca="false">IF(AE396="","",AE456-AD456)</f>
        <v/>
      </c>
      <c r="AF463" s="13" t="str">
        <f aca="false">IF(AF396="","",AF456-AE456)</f>
        <v/>
      </c>
      <c r="AG463" s="13" t="str">
        <f aca="false">IF(AG396="","",AG456-AF456)</f>
        <v/>
      </c>
      <c r="AH463" s="13" t="str">
        <f aca="false">IF(AH396="","",AH456-AG456)</f>
        <v/>
      </c>
      <c r="AI463" s="13" t="str">
        <f aca="false">IF(AI396="","",AI456-AH456)</f>
        <v/>
      </c>
      <c r="AJ463" s="13" t="str">
        <f aca="false">IF(AJ396="","",AJ456-AI456)</f>
        <v/>
      </c>
      <c r="AK463" s="13" t="str">
        <f aca="false">IF(AK396="","",AK456-AJ456)</f>
        <v/>
      </c>
      <c r="AL463" s="13" t="str">
        <f aca="false">IF(AL396="","",AL456-AK456)</f>
        <v/>
      </c>
      <c r="AM463" s="13" t="str">
        <f aca="false">IF(AM396="","",AM456-AL456)</f>
        <v/>
      </c>
      <c r="AN463" s="13" t="str">
        <f aca="false">IF(AN396="","",AN456-AM456)</f>
        <v/>
      </c>
      <c r="AO463" s="13" t="str">
        <f aca="false">IF(AO396="","",AO456-AN456)</f>
        <v/>
      </c>
      <c r="AP463" s="13" t="str">
        <f aca="false">IF(AP396="","",AP456-AO456)</f>
        <v/>
      </c>
      <c r="AQ463" s="13" t="str">
        <f aca="false">IF(AQ396="","",AQ456-AP456)</f>
        <v/>
      </c>
      <c r="AR463" s="13" t="str">
        <f aca="false">IF(AR396="","",AR456-AQ456)</f>
        <v/>
      </c>
      <c r="AS463" s="13" t="str">
        <f aca="false">IF(AS396="","",AS456-AR456)</f>
        <v/>
      </c>
      <c r="AT463" s="13" t="str">
        <f aca="false">IF(AT396="","",AT456-AS456)</f>
        <v/>
      </c>
      <c r="AU463" s="13" t="str">
        <f aca="false">IF(AU396="","",AU456-AT456)</f>
        <v/>
      </c>
      <c r="AV463" s="13" t="str">
        <f aca="false">IF(AV396="","",AV456-AU456)</f>
        <v/>
      </c>
      <c r="AW463" s="13" t="str">
        <f aca="false">IF(AW396="","",AW456-AV456)</f>
        <v/>
      </c>
      <c r="AX463" s="13" t="str">
        <f aca="false">IF(AX396="","",AX456-AW456)</f>
        <v/>
      </c>
      <c r="AY463" s="13" t="str">
        <f aca="false">IF(AY396="","",AY456-AX456)</f>
        <v/>
      </c>
      <c r="AZ463" s="13" t="str">
        <f aca="false">IF(AZ396="","",AZ456-AY456)</f>
        <v/>
      </c>
      <c r="BA463" s="13" t="str">
        <f aca="false">IF(BA396="","",BA456-AZ456)</f>
        <v/>
      </c>
      <c r="BB463" s="13" t="str">
        <f aca="false">IF(BB396="","",BB456-BA456)</f>
        <v/>
      </c>
      <c r="BC463" s="13" t="str">
        <f aca="false">IF(BC396="","",BC456-BB456)</f>
        <v/>
      </c>
      <c r="BD463" s="13" t="str">
        <f aca="false">IF(BD396="","",BD456-BC456)</f>
        <v/>
      </c>
      <c r="BE463" s="13" t="str">
        <f aca="false">IF(BE396="","",BE456-BD456)</f>
        <v/>
      </c>
      <c r="BF463" s="13" t="str">
        <f aca="false">IF(BF396="","",BF456-BE456)</f>
        <v/>
      </c>
      <c r="BG463" s="13" t="str">
        <f aca="false">IF(BG396="","",BG456-BF456)</f>
        <v/>
      </c>
      <c r="BH463" s="13" t="str">
        <f aca="false">IF(BH396="","",BH456-BG456)</f>
        <v/>
      </c>
      <c r="BI463" s="13" t="str">
        <f aca="false">IF(BI396="","",BI456-BH456)</f>
        <v/>
      </c>
      <c r="BJ463" s="13" t="str">
        <f aca="false">IF(BJ396="","",BJ456-BI456)</f>
        <v/>
      </c>
      <c r="BK463" s="13" t="str">
        <f aca="false">IF(BK396="","",BK456-BJ456)</f>
        <v/>
      </c>
      <c r="BL463" s="13" t="str">
        <f aca="false">IF(BL396="","",BL456-BK456)</f>
        <v/>
      </c>
      <c r="BM463" s="13" t="str">
        <f aca="false">IF(BM396="","",BM456-BL456)</f>
        <v/>
      </c>
      <c r="BN463" s="13" t="str">
        <f aca="false">IF(BN396="","",BN456-BM456)</f>
        <v/>
      </c>
      <c r="BO463" s="13" t="str">
        <f aca="false">IF(BO396="","",BO456-BN456)</f>
        <v/>
      </c>
      <c r="BP463" s="13" t="str">
        <f aca="false">IF(BP396="","",BP456-BO456)</f>
        <v/>
      </c>
      <c r="BQ463" s="13" t="str">
        <f aca="false">IF(BQ396="","",BQ456-BP456)</f>
        <v/>
      </c>
      <c r="BR463" s="13" t="str">
        <f aca="false">IF(BR396="","",BR456-BQ456)</f>
        <v/>
      </c>
      <c r="BS463" s="13" t="str">
        <f aca="false">IF(BS396="","",BS456-BR456)</f>
        <v/>
      </c>
      <c r="BT463" s="13" t="str">
        <f aca="false">IF(BT396="","",BT456-BS456)</f>
        <v/>
      </c>
      <c r="BU463" s="13" t="str">
        <f aca="false">IF(BU396="","",BU456-BT456)</f>
        <v/>
      </c>
      <c r="BV463" s="13" t="str">
        <f aca="false">IF(BV396="","",BV456-BU456)</f>
        <v/>
      </c>
      <c r="BW463" s="13" t="str">
        <f aca="false">IF(BW396="","",BW456-BV456)</f>
        <v/>
      </c>
      <c r="BX463" s="13" t="str">
        <f aca="false">IF(BX396="","",BX456-BW456)</f>
        <v/>
      </c>
      <c r="BY463" s="13" t="str">
        <f aca="false">IF(BY396="","",BY456-BX456)</f>
        <v/>
      </c>
      <c r="BZ463" s="13" t="str">
        <f aca="false">IF(BZ396="","",BZ456-BY456)</f>
        <v/>
      </c>
      <c r="CA463" s="13" t="str">
        <f aca="false">IF(CA396="","",CA456-BZ456)</f>
        <v/>
      </c>
      <c r="CB463" s="13" t="str">
        <f aca="false">IF(CB396="","",CB456-CA456)</f>
        <v/>
      </c>
      <c r="CC463" s="13" t="str">
        <f aca="false">IF(CC396="","",CC456-CB456)</f>
        <v/>
      </c>
      <c r="CD463" s="13" t="str">
        <f aca="false">IF(CD396="","",CD456-CC456)</f>
        <v/>
      </c>
      <c r="CE463" s="13" t="str">
        <f aca="false">IF(CE396="","",CE456-CD456)</f>
        <v/>
      </c>
      <c r="CF463" s="13" t="str">
        <f aca="false">IF(CF396="","",CF456-CE456)</f>
        <v/>
      </c>
      <c r="CG463" s="13" t="str">
        <f aca="false">IF(CG396="","",CG456-CF456)</f>
        <v/>
      </c>
      <c r="CH463" s="13" t="str">
        <f aca="false">IF(CH396="","",CH456-CG456)</f>
        <v/>
      </c>
      <c r="CI463" s="13" t="str">
        <f aca="false">IF(CI396="","",CI456-CH456)</f>
        <v/>
      </c>
      <c r="CJ463" s="13" t="str">
        <f aca="false">IF(CJ396="","",CJ456-CI456)</f>
        <v/>
      </c>
      <c r="CK463" s="13" t="str">
        <f aca="false">IF(CK396="","",CK456-CJ456)</f>
        <v/>
      </c>
      <c r="CL463" s="13" t="str">
        <f aca="false">IF(CL396="","",CL456-CK456)</f>
        <v/>
      </c>
      <c r="CM463" s="13" t="str">
        <f aca="false">IF(CM396="","",CM456-CL456)</f>
        <v/>
      </c>
      <c r="CN463" s="13" t="str">
        <f aca="false">IF(CN396="","",CN456-CM456)</f>
        <v/>
      </c>
      <c r="CO463" s="13" t="str">
        <f aca="false">IF(CO396="","",CO456-CN456)</f>
        <v/>
      </c>
      <c r="CP463" s="13" t="str">
        <f aca="false">IF(CP396="","",CP456-CO456)</f>
        <v/>
      </c>
      <c r="CQ463" s="13" t="str">
        <f aca="false">IF(CQ396="","",CQ456-CP456)</f>
        <v/>
      </c>
      <c r="CR463" s="13" t="str">
        <f aca="false">IF(CR396="","",CR456-CQ456)</f>
        <v/>
      </c>
      <c r="CS463" s="13" t="str">
        <f aca="false">IF(CS396="","",CS456-CR456)</f>
        <v/>
      </c>
      <c r="CT463" s="13" t="str">
        <f aca="false">IF(CT396="","",CT456-CS456)</f>
        <v/>
      </c>
      <c r="CU463" s="13" t="str">
        <f aca="false">IF(CU396="","",CU456-CT456)</f>
        <v/>
      </c>
      <c r="CV463" s="13" t="str">
        <f aca="false">IF(CV396="","",CV456-CU456)</f>
        <v/>
      </c>
      <c r="CW463" s="13" t="str">
        <f aca="false">IF(CW396="","",CW456-CV456)</f>
        <v/>
      </c>
      <c r="CX463" s="13" t="str">
        <f aca="false">IF(CX396="","",CX456-CW456)</f>
        <v/>
      </c>
      <c r="CY463" s="13" t="str">
        <f aca="false">IF(CY396="","",CY456-CX456)</f>
        <v/>
      </c>
      <c r="CZ463" s="13" t="str">
        <f aca="false">IF(CZ396="","",CZ456-CY456)</f>
        <v/>
      </c>
      <c r="DA463" s="13" t="str">
        <f aca="false">IF(DA396="","",DA456-CZ456)</f>
        <v/>
      </c>
      <c r="DB463" s="13" t="str">
        <f aca="false">IF(DB396="","",DB456-DA456)</f>
        <v/>
      </c>
      <c r="DC463" s="13" t="str">
        <f aca="false">IF(DC396="","",DC456-DB456)</f>
        <v/>
      </c>
      <c r="DD463" s="13" t="str">
        <f aca="false">IF(DD396="","",DD456-DC456)</f>
        <v/>
      </c>
      <c r="DE463" s="13" t="str">
        <f aca="false">IF(DE396="","",DE456-DD456)</f>
        <v/>
      </c>
    </row>
    <row r="464" customFormat="false" ht="15" hidden="false" customHeight="true" outlineLevel="0" collapsed="false">
      <c r="A464" s="22" t="s">
        <v>262</v>
      </c>
      <c r="B464" s="13" t="n">
        <f aca="false">IF(B396="","",B396-B459-B460-B461-B462-B463)</f>
        <v>-260439.86</v>
      </c>
      <c r="C464" s="13" t="n">
        <f aca="false">IF(C396="","",C396-C459-C460-C461-C462-C463)</f>
        <v>-136750.58</v>
      </c>
      <c r="D464" s="13" t="n">
        <f aca="false">IF(D396="","",D396-D459-D460-D461-D462-D463)</f>
        <v>27404.52</v>
      </c>
      <c r="E464" s="13" t="n">
        <f aca="false">IF(E396="","",E396-E459-E460-E461-E462-E463)</f>
        <v>385182.14</v>
      </c>
      <c r="F464" s="13" t="n">
        <f aca="false">IF(F396="","",F396-F459-F460-F461-F462-F463)</f>
        <v>-118340.06</v>
      </c>
      <c r="G464" s="13" t="n">
        <f aca="false">IF(G396="","",G396-G459-G460-G461-G462-G463)</f>
        <v>-432236.79</v>
      </c>
      <c r="H464" s="13" t="n">
        <f aca="false">IF(H396="","",H396-H459-H460-H461-H462-H463)</f>
        <v>-149634.64</v>
      </c>
      <c r="I464" s="13" t="n">
        <f aca="false">IF(I396="","",I396-I459-I460-I461-I462-I463)</f>
        <v>1846672.69</v>
      </c>
      <c r="J464" s="13" t="str">
        <f aca="false">IF(J396="","",J396-J459-J460-J461-J462-J463)</f>
        <v/>
      </c>
      <c r="K464" s="13" t="str">
        <f aca="false">IF(K396="","",K396-K459-K460-K461-K462-K463)</f>
        <v/>
      </c>
      <c r="L464" s="13" t="str">
        <f aca="false">IF(L396="","",L396-L459-L460-L461-L462-L463)</f>
        <v/>
      </c>
      <c r="M464" s="13" t="str">
        <f aca="false">IF(M396="","",M396-M459-M460-M461-M462-M463)</f>
        <v/>
      </c>
      <c r="N464" s="13" t="str">
        <f aca="false">IF(N396="","",N396-N459-N460-N461-N462-N463)</f>
        <v/>
      </c>
      <c r="O464" s="13" t="str">
        <f aca="false">IF(O396="","",O396-O459-O460-O461-O462-O463)</f>
        <v/>
      </c>
      <c r="P464" s="13" t="str">
        <f aca="false">IF(P396="","",P396-P459-P460-P461-P462-P463)</f>
        <v/>
      </c>
      <c r="Q464" s="13" t="str">
        <f aca="false">IF(Q396="","",Q396-Q459-Q460-Q461-Q462-Q463)</f>
        <v/>
      </c>
      <c r="R464" s="13" t="str">
        <f aca="false">IF(R396="","",R396-R459-R460-R461-R462-R463)</f>
        <v/>
      </c>
      <c r="S464" s="13" t="str">
        <f aca="false">IF(S396="","",S396-S459-S460-S461-S462-S463)</f>
        <v/>
      </c>
      <c r="T464" s="13" t="str">
        <f aca="false">IF(T396="","",T396-T459-T460-T461-T462-T463)</f>
        <v/>
      </c>
      <c r="U464" s="13" t="str">
        <f aca="false">IF(U396="","",U396-U459-U460-U461-U462-U463)</f>
        <v/>
      </c>
      <c r="V464" s="13" t="str">
        <f aca="false">IF(V396="","",V396-V459-V460-V461-V462-V463)</f>
        <v/>
      </c>
      <c r="W464" s="13" t="str">
        <f aca="false">IF(W396="","",W396-W459-W460-W461-W462-W463)</f>
        <v/>
      </c>
      <c r="X464" s="13" t="str">
        <f aca="false">IF(X396="","",X396-X459-X460-X461-X462-X463)</f>
        <v/>
      </c>
      <c r="Y464" s="13" t="str">
        <f aca="false">IF(Y396="","",Y396-Y459-Y460-Y461-Y462-Y463)</f>
        <v/>
      </c>
      <c r="Z464" s="13" t="str">
        <f aca="false">IF(Z396="","",Z396-Z459-Z460-Z461-Z462-Z463)</f>
        <v/>
      </c>
      <c r="AA464" s="13" t="str">
        <f aca="false">IF(AA396="","",AA396-AA459-AA460-AA461-AA462-AA463)</f>
        <v/>
      </c>
      <c r="AB464" s="13" t="str">
        <f aca="false">IF(AB396="","",AB396-AB459-AB460-AB461-AB462-AB463)</f>
        <v/>
      </c>
      <c r="AC464" s="13" t="str">
        <f aca="false">IF(AC396="","",AC396-AC459-AC460-AC461-AC462-AC463)</f>
        <v/>
      </c>
      <c r="AD464" s="13" t="str">
        <f aca="false">IF(AD396="","",AD396-AD459-AD460-AD461-AD462-AD463)</f>
        <v/>
      </c>
      <c r="AE464" s="13" t="str">
        <f aca="false">IF(AE396="","",AE396-AE459-AE460-AE461-AE462-AE463)</f>
        <v/>
      </c>
      <c r="AF464" s="13" t="str">
        <f aca="false">IF(AF396="","",AF396-AF459-AF460-AF461-AF462-AF463)</f>
        <v/>
      </c>
      <c r="AG464" s="13" t="str">
        <f aca="false">IF(AG396="","",AG396-AG459-AG460-AG461-AG462-AG463)</f>
        <v/>
      </c>
      <c r="AH464" s="13" t="str">
        <f aca="false">IF(AH396="","",AH396-AH459-AH460-AH461-AH462-AH463)</f>
        <v/>
      </c>
      <c r="AI464" s="13" t="str">
        <f aca="false">IF(AI396="","",AI396-AI459-AI460-AI461-AI462-AI463)</f>
        <v/>
      </c>
      <c r="AJ464" s="13" t="str">
        <f aca="false">IF(AJ396="","",AJ396-AJ459-AJ460-AJ461-AJ462-AJ463)</f>
        <v/>
      </c>
      <c r="AK464" s="13" t="str">
        <f aca="false">IF(AK396="","",AK396-AK459-AK460-AK461-AK462-AK463)</f>
        <v/>
      </c>
      <c r="AL464" s="13" t="str">
        <f aca="false">IF(AL396="","",AL396-AL459-AL460-AL461-AL462-AL463)</f>
        <v/>
      </c>
      <c r="AM464" s="13" t="str">
        <f aca="false">IF(AM396="","",AM396-AM459-AM460-AM461-AM462-AM463)</f>
        <v/>
      </c>
      <c r="AN464" s="13" t="str">
        <f aca="false">IF(AN396="","",AN396-AN459-AN460-AN461-AN462-AN463)</f>
        <v/>
      </c>
      <c r="AO464" s="13" t="str">
        <f aca="false">IF(AO396="","",AO396-AO459-AO460-AO461-AO462-AO463)</f>
        <v/>
      </c>
      <c r="AP464" s="13" t="str">
        <f aca="false">IF(AP396="","",AP396-AP459-AP460-AP461-AP462-AP463)</f>
        <v/>
      </c>
      <c r="AQ464" s="13" t="str">
        <f aca="false">IF(AQ396="","",AQ396-AQ459-AQ460-AQ461-AQ462-AQ463)</f>
        <v/>
      </c>
      <c r="AR464" s="13" t="str">
        <f aca="false">IF(AR396="","",AR396-AR459-AR460-AR461-AR462-AR463)</f>
        <v/>
      </c>
      <c r="AS464" s="13" t="str">
        <f aca="false">IF(AS396="","",AS396-AS459-AS460-AS461-AS462-AS463)</f>
        <v/>
      </c>
      <c r="AT464" s="13" t="str">
        <f aca="false">IF(AT396="","",AT396-AT459-AT460-AT461-AT462-AT463)</f>
        <v/>
      </c>
      <c r="AU464" s="13" t="str">
        <f aca="false">IF(AU396="","",AU396-AU459-AU460-AU461-AU462-AU463)</f>
        <v/>
      </c>
      <c r="AV464" s="13" t="str">
        <f aca="false">IF(AV396="","",AV396-AV459-AV460-AV461-AV462-AV463)</f>
        <v/>
      </c>
      <c r="AW464" s="13" t="str">
        <f aca="false">IF(AW396="","",AW396-AW459-AW460-AW461-AW462-AW463)</f>
        <v/>
      </c>
      <c r="AX464" s="13" t="str">
        <f aca="false">IF(AX396="","",AX396-AX459-AX460-AX461-AX462-AX463)</f>
        <v/>
      </c>
      <c r="AY464" s="13" t="str">
        <f aca="false">IF(AY396="","",AY396-AY459-AY460-AY461-AY462-AY463)</f>
        <v/>
      </c>
      <c r="AZ464" s="13" t="str">
        <f aca="false">IF(AZ396="","",AZ396-AZ459-AZ460-AZ461-AZ462-AZ463)</f>
        <v/>
      </c>
      <c r="BA464" s="13" t="str">
        <f aca="false">IF(BA396="","",BA396-BA459-BA460-BA461-BA462-BA463)</f>
        <v/>
      </c>
      <c r="BB464" s="13" t="str">
        <f aca="false">IF(BB396="","",BB396-BB459-BB460-BB461-BB462-BB463)</f>
        <v/>
      </c>
      <c r="BC464" s="13" t="str">
        <f aca="false">IF(BC396="","",BC396-BC459-BC460-BC461-BC462-BC463)</f>
        <v/>
      </c>
      <c r="BD464" s="13" t="str">
        <f aca="false">IF(BD396="","",BD396-BD459-BD460-BD461-BD462-BD463)</f>
        <v/>
      </c>
      <c r="BE464" s="13" t="str">
        <f aca="false">IF(BE396="","",BE396-BE459-BE460-BE461-BE462-BE463)</f>
        <v/>
      </c>
      <c r="BF464" s="13" t="str">
        <f aca="false">IF(BF396="","",BF396-BF459-BF460-BF461-BF462-BF463)</f>
        <v/>
      </c>
      <c r="BG464" s="13" t="str">
        <f aca="false">IF(BG396="","",BG396-BG459-BG460-BG461-BG462-BG463)</f>
        <v/>
      </c>
      <c r="BH464" s="13" t="str">
        <f aca="false">IF(BH396="","",BH396-BH459-BH460-BH461-BH462-BH463)</f>
        <v/>
      </c>
      <c r="BI464" s="13" t="str">
        <f aca="false">IF(BI396="","",BI396-BI459-BI460-BI461-BI462-BI463)</f>
        <v/>
      </c>
      <c r="BJ464" s="13" t="str">
        <f aca="false">IF(BJ396="","",BJ396-BJ459-BJ460-BJ461-BJ462-BJ463)</f>
        <v/>
      </c>
      <c r="BK464" s="13" t="str">
        <f aca="false">IF(BK396="","",BK396-BK459-BK460-BK461-BK462-BK463)</f>
        <v/>
      </c>
      <c r="BL464" s="13" t="str">
        <f aca="false">IF(BL396="","",BL396-BL459-BL460-BL461-BL462-BL463)</f>
        <v/>
      </c>
      <c r="BM464" s="13" t="str">
        <f aca="false">IF(BM396="","",BM396-BM459-BM460-BM461-BM462-BM463)</f>
        <v/>
      </c>
      <c r="BN464" s="13" t="str">
        <f aca="false">IF(BN396="","",BN396-BN459-BN460-BN461-BN462-BN463)</f>
        <v/>
      </c>
      <c r="BO464" s="13" t="str">
        <f aca="false">IF(BO396="","",BO396-BO459-BO460-BO461-BO462-BO463)</f>
        <v/>
      </c>
      <c r="BP464" s="13" t="str">
        <f aca="false">IF(BP396="","",BP396-BP459-BP460-BP461-BP462-BP463)</f>
        <v/>
      </c>
      <c r="BQ464" s="13" t="str">
        <f aca="false">IF(BQ396="","",BQ396-BQ459-BQ460-BQ461-BQ462-BQ463)</f>
        <v/>
      </c>
      <c r="BR464" s="13" t="str">
        <f aca="false">IF(BR396="","",BR396-BR459-BR460-BR461-BR462-BR463)</f>
        <v/>
      </c>
      <c r="BS464" s="13" t="str">
        <f aca="false">IF(BS396="","",BS396-BS459-BS460-BS461-BS462-BS463)</f>
        <v/>
      </c>
      <c r="BT464" s="13" t="str">
        <f aca="false">IF(BT396="","",BT396-BT459-BT460-BT461-BT462-BT463)</f>
        <v/>
      </c>
      <c r="BU464" s="13" t="str">
        <f aca="false">IF(BU396="","",BU396-BU459-BU460-BU461-BU462-BU463)</f>
        <v/>
      </c>
      <c r="BV464" s="13" t="str">
        <f aca="false">IF(BV396="","",BV396-BV459-BV460-BV461-BV462-BV463)</f>
        <v/>
      </c>
      <c r="BW464" s="13" t="str">
        <f aca="false">IF(BW396="","",BW396-BW459-BW460-BW461-BW462-BW463)</f>
        <v/>
      </c>
      <c r="BX464" s="13" t="str">
        <f aca="false">IF(BX396="","",BX396-BX459-BX460-BX461-BX462-BX463)</f>
        <v/>
      </c>
      <c r="BY464" s="13" t="str">
        <f aca="false">IF(BY396="","",BY396-BY459-BY460-BY461-BY462-BY463)</f>
        <v/>
      </c>
      <c r="BZ464" s="13" t="str">
        <f aca="false">IF(BZ396="","",BZ396-BZ459-BZ460-BZ461-BZ462-BZ463)</f>
        <v/>
      </c>
      <c r="CA464" s="13" t="str">
        <f aca="false">IF(CA396="","",CA396-CA459-CA460-CA461-CA462-CA463)</f>
        <v/>
      </c>
      <c r="CB464" s="13" t="str">
        <f aca="false">IF(CB396="","",CB396-CB459-CB460-CB461-CB462-CB463)</f>
        <v/>
      </c>
      <c r="CC464" s="13" t="str">
        <f aca="false">IF(CC396="","",CC396-CC459-CC460-CC461-CC462-CC463)</f>
        <v/>
      </c>
      <c r="CD464" s="13" t="str">
        <f aca="false">IF(CD396="","",CD396-CD459-CD460-CD461-CD462-CD463)</f>
        <v/>
      </c>
      <c r="CE464" s="13" t="str">
        <f aca="false">IF(CE396="","",CE396-CE459-CE460-CE461-CE462-CE463)</f>
        <v/>
      </c>
      <c r="CF464" s="13" t="str">
        <f aca="false">IF(CF396="","",CF396-CF459-CF460-CF461-CF462-CF463)</f>
        <v/>
      </c>
      <c r="CG464" s="13" t="str">
        <f aca="false">IF(CG396="","",CG396-CG459-CG460-CG461-CG462-CG463)</f>
        <v/>
      </c>
      <c r="CH464" s="13" t="str">
        <f aca="false">IF(CH396="","",CH396-CH459-CH460-CH461-CH462-CH463)</f>
        <v/>
      </c>
      <c r="CI464" s="13" t="str">
        <f aca="false">IF(CI396="","",CI396-CI459-CI460-CI461-CI462-CI463)</f>
        <v/>
      </c>
      <c r="CJ464" s="13" t="str">
        <f aca="false">IF(CJ396="","",CJ396-CJ459-CJ460-CJ461-CJ462-CJ463)</f>
        <v/>
      </c>
      <c r="CK464" s="13" t="str">
        <f aca="false">IF(CK396="","",CK396-CK459-CK460-CK461-CK462-CK463)</f>
        <v/>
      </c>
      <c r="CL464" s="13" t="str">
        <f aca="false">IF(CL396="","",CL396-CL459-CL460-CL461-CL462-CL463)</f>
        <v/>
      </c>
      <c r="CM464" s="13" t="str">
        <f aca="false">IF(CM396="","",CM396-CM459-CM460-CM461-CM462-CM463)</f>
        <v/>
      </c>
      <c r="CN464" s="13" t="str">
        <f aca="false">IF(CN396="","",CN396-CN459-CN460-CN461-CN462-CN463)</f>
        <v/>
      </c>
      <c r="CO464" s="13" t="str">
        <f aca="false">IF(CO396="","",CO396-CO459-CO460-CO461-CO462-CO463)</f>
        <v/>
      </c>
      <c r="CP464" s="13" t="str">
        <f aca="false">IF(CP396="","",CP396-CP459-CP460-CP461-CP462-CP463)</f>
        <v/>
      </c>
      <c r="CQ464" s="13" t="str">
        <f aca="false">IF(CQ396="","",CQ396-CQ459-CQ460-CQ461-CQ462-CQ463)</f>
        <v/>
      </c>
      <c r="CR464" s="13" t="str">
        <f aca="false">IF(CR396="","",CR396-CR459-CR460-CR461-CR462-CR463)</f>
        <v/>
      </c>
      <c r="CS464" s="13" t="str">
        <f aca="false">IF(CS396="","",CS396-CS459-CS460-CS461-CS462-CS463)</f>
        <v/>
      </c>
      <c r="CT464" s="13" t="str">
        <f aca="false">IF(CT396="","",CT396-CT459-CT460-CT461-CT462-CT463)</f>
        <v/>
      </c>
      <c r="CU464" s="13" t="str">
        <f aca="false">IF(CU396="","",CU396-CU459-CU460-CU461-CU462-CU463)</f>
        <v/>
      </c>
      <c r="CV464" s="13" t="str">
        <f aca="false">IF(CV396="","",CV396-CV459-CV460-CV461-CV462-CV463)</f>
        <v/>
      </c>
      <c r="CW464" s="13" t="str">
        <f aca="false">IF(CW396="","",CW396-CW459-CW460-CW461-CW462-CW463)</f>
        <v/>
      </c>
      <c r="CX464" s="13" t="str">
        <f aca="false">IF(CX396="","",CX396-CX459-CX460-CX461-CX462-CX463)</f>
        <v/>
      </c>
      <c r="CY464" s="13" t="str">
        <f aca="false">IF(CY396="","",CY396-CY459-CY460-CY461-CY462-CY463)</f>
        <v/>
      </c>
      <c r="CZ464" s="13" t="str">
        <f aca="false">IF(CZ396="","",CZ396-CZ459-CZ460-CZ461-CZ462-CZ463)</f>
        <v/>
      </c>
      <c r="DA464" s="13" t="str">
        <f aca="false">IF(DA396="","",DA396-DA459-DA460-DA461-DA462-DA463)</f>
        <v/>
      </c>
      <c r="DB464" s="13" t="str">
        <f aca="false">IF(DB396="","",DB396-DB459-DB460-DB461-DB462-DB463)</f>
        <v/>
      </c>
      <c r="DC464" s="13" t="str">
        <f aca="false">IF(DC396="","",DC396-DC459-DC460-DC461-DC462-DC463)</f>
        <v/>
      </c>
      <c r="DD464" s="13" t="str">
        <f aca="false">IF(DD396="","",DD396-DD459-DD460-DD461-DD462-DD463)</f>
        <v/>
      </c>
      <c r="DE464" s="13" t="str">
        <f aca="false">IF(DE396="","",DE396-DE459-DE460-DE461-DE462-DE463)</f>
        <v/>
      </c>
    </row>
    <row r="465" customFormat="false" ht="15" hidden="false" customHeight="true" outlineLevel="0" collapsed="false">
      <c r="A465" s="67" t="s">
        <v>251</v>
      </c>
      <c r="B465" s="68" t="n">
        <f aca="false">IF(B396="","",B396)</f>
        <v>378187</v>
      </c>
      <c r="C465" s="68" t="n">
        <f aca="false">IF(C396="","",C396)</f>
        <v>110882</v>
      </c>
      <c r="D465" s="68" t="n">
        <f aca="false">IF(D396="","",D396)</f>
        <v>171148</v>
      </c>
      <c r="E465" s="68" t="n">
        <f aca="false">IF(E396="","",E396)</f>
        <v>368691</v>
      </c>
      <c r="F465" s="68" t="n">
        <f aca="false">IF(F396="","",F396)</f>
        <v>343251</v>
      </c>
      <c r="G465" s="68" t="n">
        <f aca="false">IF(G396="","",G396)</f>
        <v>665368</v>
      </c>
      <c r="H465" s="68" t="n">
        <f aca="false">IF(H396="","",H396)</f>
        <v>122223</v>
      </c>
      <c r="I465" s="68" t="n">
        <f aca="false">IF(I396="","",I396)</f>
        <v>658190</v>
      </c>
      <c r="J465" s="68" t="str">
        <f aca="false">IF(J396="","",J396)</f>
        <v/>
      </c>
      <c r="K465" s="68" t="str">
        <f aca="false">IF(K396="","",K396)</f>
        <v/>
      </c>
      <c r="L465" s="68" t="str">
        <f aca="false">IF(L396="","",L396)</f>
        <v/>
      </c>
      <c r="M465" s="68" t="str">
        <f aca="false">IF(M396="","",M396)</f>
        <v/>
      </c>
      <c r="N465" s="68" t="str">
        <f aca="false">IF(N396="","",N396)</f>
        <v/>
      </c>
      <c r="O465" s="68" t="str">
        <f aca="false">IF(O396="","",O396)</f>
        <v/>
      </c>
      <c r="P465" s="68" t="str">
        <f aca="false">IF(P396="","",P396)</f>
        <v/>
      </c>
      <c r="Q465" s="68" t="str">
        <f aca="false">IF(Q396="","",Q396)</f>
        <v/>
      </c>
      <c r="R465" s="68" t="str">
        <f aca="false">IF(R396="","",R396)</f>
        <v/>
      </c>
      <c r="S465" s="68" t="str">
        <f aca="false">IF(S396="","",S396)</f>
        <v/>
      </c>
      <c r="T465" s="68" t="str">
        <f aca="false">IF(T396="","",T396)</f>
        <v/>
      </c>
      <c r="U465" s="68" t="str">
        <f aca="false">IF(U396="","",U396)</f>
        <v/>
      </c>
      <c r="V465" s="68" t="str">
        <f aca="false">IF(V396="","",V396)</f>
        <v/>
      </c>
      <c r="W465" s="68" t="str">
        <f aca="false">IF(W396="","",W396)</f>
        <v/>
      </c>
      <c r="X465" s="68" t="str">
        <f aca="false">IF(X396="","",X396)</f>
        <v/>
      </c>
      <c r="Y465" s="68" t="str">
        <f aca="false">IF(Y396="","",Y396)</f>
        <v/>
      </c>
      <c r="Z465" s="68" t="str">
        <f aca="false">IF(Z396="","",Z396)</f>
        <v/>
      </c>
      <c r="AA465" s="68" t="str">
        <f aca="false">IF(AA396="","",AA396)</f>
        <v/>
      </c>
      <c r="AB465" s="68" t="str">
        <f aca="false">IF(AB396="","",AB396)</f>
        <v/>
      </c>
      <c r="AC465" s="68" t="str">
        <f aca="false">IF(AC396="","",AC396)</f>
        <v/>
      </c>
      <c r="AD465" s="68" t="str">
        <f aca="false">IF(AD396="","",AD396)</f>
        <v/>
      </c>
      <c r="AE465" s="68" t="str">
        <f aca="false">IF(AE396="","",AE396)</f>
        <v/>
      </c>
      <c r="AF465" s="68" t="str">
        <f aca="false">IF(AF396="","",AF396)</f>
        <v/>
      </c>
      <c r="AG465" s="68" t="str">
        <f aca="false">IF(AG396="","",AG396)</f>
        <v/>
      </c>
      <c r="AH465" s="68" t="str">
        <f aca="false">IF(AH396="","",AH396)</f>
        <v/>
      </c>
      <c r="AI465" s="68" t="str">
        <f aca="false">IF(AI396="","",AI396)</f>
        <v/>
      </c>
      <c r="AJ465" s="68" t="str">
        <f aca="false">IF(AJ396="","",AJ396)</f>
        <v/>
      </c>
      <c r="AK465" s="68" t="str">
        <f aca="false">IF(AK396="","",AK396)</f>
        <v/>
      </c>
      <c r="AL465" s="68" t="str">
        <f aca="false">IF(AL396="","",AL396)</f>
        <v/>
      </c>
      <c r="AM465" s="68" t="str">
        <f aca="false">IF(AM396="","",AM396)</f>
        <v/>
      </c>
      <c r="AN465" s="68" t="str">
        <f aca="false">IF(AN396="","",AN396)</f>
        <v/>
      </c>
      <c r="AO465" s="68" t="str">
        <f aca="false">IF(AO396="","",AO396)</f>
        <v/>
      </c>
      <c r="AP465" s="68" t="str">
        <f aca="false">IF(AP396="","",AP396)</f>
        <v/>
      </c>
      <c r="AQ465" s="68" t="str">
        <f aca="false">IF(AQ396="","",AQ396)</f>
        <v/>
      </c>
      <c r="AR465" s="68" t="str">
        <f aca="false">IF(AR396="","",AR396)</f>
        <v/>
      </c>
      <c r="AS465" s="68" t="str">
        <f aca="false">IF(AS396="","",AS396)</f>
        <v/>
      </c>
      <c r="AT465" s="68" t="str">
        <f aca="false">IF(AT396="","",AT396)</f>
        <v/>
      </c>
      <c r="AU465" s="68" t="str">
        <f aca="false">IF(AU396="","",AU396)</f>
        <v/>
      </c>
      <c r="AV465" s="68" t="str">
        <f aca="false">IF(AV396="","",AV396)</f>
        <v/>
      </c>
      <c r="AW465" s="68" t="str">
        <f aca="false">IF(AW396="","",AW396)</f>
        <v/>
      </c>
      <c r="AX465" s="68" t="str">
        <f aca="false">IF(AX396="","",AX396)</f>
        <v/>
      </c>
      <c r="AY465" s="68" t="str">
        <f aca="false">IF(AY396="","",AY396)</f>
        <v/>
      </c>
      <c r="AZ465" s="68" t="str">
        <f aca="false">IF(AZ396="","",AZ396)</f>
        <v/>
      </c>
      <c r="BA465" s="68" t="str">
        <f aca="false">IF(BA396="","",BA396)</f>
        <v/>
      </c>
      <c r="BB465" s="68" t="str">
        <f aca="false">IF(BB396="","",BB396)</f>
        <v/>
      </c>
      <c r="BC465" s="68" t="str">
        <f aca="false">IF(BC396="","",BC396)</f>
        <v/>
      </c>
      <c r="BD465" s="68" t="str">
        <f aca="false">IF(BD396="","",BD396)</f>
        <v/>
      </c>
      <c r="BE465" s="68" t="str">
        <f aca="false">IF(BE396="","",BE396)</f>
        <v/>
      </c>
      <c r="BF465" s="68" t="str">
        <f aca="false">IF(BF396="","",BF396)</f>
        <v/>
      </c>
      <c r="BG465" s="68" t="str">
        <f aca="false">IF(BG396="","",BG396)</f>
        <v/>
      </c>
      <c r="BH465" s="68" t="str">
        <f aca="false">IF(BH396="","",BH396)</f>
        <v/>
      </c>
      <c r="BI465" s="68" t="str">
        <f aca="false">IF(BI396="","",BI396)</f>
        <v/>
      </c>
      <c r="BJ465" s="68" t="str">
        <f aca="false">IF(BJ396="","",BJ396)</f>
        <v/>
      </c>
      <c r="BK465" s="68" t="str">
        <f aca="false">IF(BK396="","",BK396)</f>
        <v/>
      </c>
      <c r="BL465" s="68" t="str">
        <f aca="false">IF(BL396="","",BL396)</f>
        <v/>
      </c>
      <c r="BM465" s="68" t="str">
        <f aca="false">IF(BM396="","",BM396)</f>
        <v/>
      </c>
      <c r="BN465" s="68" t="str">
        <f aca="false">IF(BN396="","",BN396)</f>
        <v/>
      </c>
      <c r="BO465" s="68" t="str">
        <f aca="false">IF(BO396="","",BO396)</f>
        <v/>
      </c>
      <c r="BP465" s="68" t="str">
        <f aca="false">IF(BP396="","",BP396)</f>
        <v/>
      </c>
      <c r="BQ465" s="68" t="str">
        <f aca="false">IF(BQ396="","",BQ396)</f>
        <v/>
      </c>
      <c r="BR465" s="68" t="str">
        <f aca="false">IF(BR396="","",BR396)</f>
        <v/>
      </c>
      <c r="BS465" s="68" t="str">
        <f aca="false">IF(BS396="","",BS396)</f>
        <v/>
      </c>
      <c r="BT465" s="68" t="str">
        <f aca="false">IF(BT396="","",BT396)</f>
        <v/>
      </c>
      <c r="BU465" s="68" t="str">
        <f aca="false">IF(BU396="","",BU396)</f>
        <v/>
      </c>
      <c r="BV465" s="68" t="str">
        <f aca="false">IF(BV396="","",BV396)</f>
        <v/>
      </c>
      <c r="BW465" s="68" t="str">
        <f aca="false">IF(BW396="","",BW396)</f>
        <v/>
      </c>
      <c r="BX465" s="68" t="str">
        <f aca="false">IF(BX396="","",BX396)</f>
        <v/>
      </c>
      <c r="BY465" s="68" t="str">
        <f aca="false">IF(BY396="","",BY396)</f>
        <v/>
      </c>
      <c r="BZ465" s="68" t="str">
        <f aca="false">IF(BZ396="","",BZ396)</f>
        <v/>
      </c>
      <c r="CA465" s="68" t="str">
        <f aca="false">IF(CA396="","",CA396)</f>
        <v/>
      </c>
      <c r="CB465" s="68" t="str">
        <f aca="false">IF(CB396="","",CB396)</f>
        <v/>
      </c>
      <c r="CC465" s="68" t="str">
        <f aca="false">IF(CC396="","",CC396)</f>
        <v/>
      </c>
      <c r="CD465" s="68" t="str">
        <f aca="false">IF(CD396="","",CD396)</f>
        <v/>
      </c>
      <c r="CE465" s="68" t="str">
        <f aca="false">IF(CE396="","",CE396)</f>
        <v/>
      </c>
      <c r="CF465" s="68" t="str">
        <f aca="false">IF(CF396="","",CF396)</f>
        <v/>
      </c>
      <c r="CG465" s="68" t="str">
        <f aca="false">IF(CG396="","",CG396)</f>
        <v/>
      </c>
      <c r="CH465" s="68" t="str">
        <f aca="false">IF(CH396="","",CH396)</f>
        <v/>
      </c>
      <c r="CI465" s="68" t="str">
        <f aca="false">IF(CI396="","",CI396)</f>
        <v/>
      </c>
      <c r="CJ465" s="68" t="str">
        <f aca="false">IF(CJ396="","",CJ396)</f>
        <v/>
      </c>
      <c r="CK465" s="68" t="str">
        <f aca="false">IF(CK396="","",CK396)</f>
        <v/>
      </c>
      <c r="CL465" s="68" t="str">
        <f aca="false">IF(CL396="","",CL396)</f>
        <v/>
      </c>
      <c r="CM465" s="68" t="str">
        <f aca="false">IF(CM396="","",CM396)</f>
        <v/>
      </c>
      <c r="CN465" s="68" t="str">
        <f aca="false">IF(CN396="","",CN396)</f>
        <v/>
      </c>
      <c r="CO465" s="68" t="str">
        <f aca="false">IF(CO396="","",CO396)</f>
        <v/>
      </c>
      <c r="CP465" s="68" t="str">
        <f aca="false">IF(CP396="","",CP396)</f>
        <v/>
      </c>
      <c r="CQ465" s="68" t="str">
        <f aca="false">IF(CQ396="","",CQ396)</f>
        <v/>
      </c>
      <c r="CR465" s="68" t="str">
        <f aca="false">IF(CR396="","",CR396)</f>
        <v/>
      </c>
      <c r="CS465" s="68" t="str">
        <f aca="false">IF(CS396="","",CS396)</f>
        <v/>
      </c>
      <c r="CT465" s="68" t="str">
        <f aca="false">IF(CT396="","",CT396)</f>
        <v/>
      </c>
      <c r="CU465" s="68" t="str">
        <f aca="false">IF(CU396="","",CU396)</f>
        <v/>
      </c>
      <c r="CV465" s="68" t="str">
        <f aca="false">IF(CV396="","",CV396)</f>
        <v/>
      </c>
      <c r="CW465" s="68" t="str">
        <f aca="false">IF(CW396="","",CW396)</f>
        <v/>
      </c>
      <c r="CX465" s="68" t="str">
        <f aca="false">IF(CX396="","",CX396)</f>
        <v/>
      </c>
      <c r="CY465" s="68" t="str">
        <f aca="false">IF(CY396="","",CY396)</f>
        <v/>
      </c>
      <c r="CZ465" s="68" t="str">
        <f aca="false">IF(CZ396="","",CZ396)</f>
        <v/>
      </c>
      <c r="DA465" s="68" t="str">
        <f aca="false">IF(DA396="","",DA396)</f>
        <v/>
      </c>
      <c r="DB465" s="68" t="str">
        <f aca="false">IF(DB396="","",DB396)</f>
        <v/>
      </c>
      <c r="DC465" s="68" t="str">
        <f aca="false">IF(DC396="","",DC396)</f>
        <v/>
      </c>
      <c r="DD465" s="68" t="str">
        <f aca="false">IF(DD396="","",DD396)</f>
        <v/>
      </c>
      <c r="DE465" s="68" t="str">
        <f aca="false">IF(DE396="","",DE396)</f>
        <v/>
      </c>
    </row>
    <row r="467" customFormat="false" ht="15" hidden="false" customHeight="true" outlineLevel="0" collapsed="false">
      <c r="A467" s="75" t="s">
        <v>200</v>
      </c>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c r="AB467" s="13"/>
      <c r="AC467" s="13"/>
      <c r="AD467" s="13"/>
      <c r="AE467" s="13"/>
      <c r="AF467" s="13"/>
      <c r="AG467" s="13"/>
      <c r="AH467" s="13"/>
      <c r="AI467" s="13"/>
      <c r="AJ467" s="13"/>
      <c r="AK467" s="13"/>
      <c r="AL467" s="13"/>
      <c r="AM467" s="13"/>
      <c r="AN467" s="13"/>
      <c r="AO467" s="13"/>
      <c r="AP467" s="13"/>
      <c r="AQ467" s="13"/>
      <c r="AR467" s="13"/>
      <c r="AS467" s="13"/>
      <c r="AT467" s="13"/>
      <c r="AU467" s="13"/>
      <c r="AV467" s="13"/>
      <c r="AW467" s="13"/>
      <c r="AX467" s="13"/>
      <c r="AY467" s="13"/>
      <c r="AZ467" s="13"/>
      <c r="BA467" s="13"/>
      <c r="BB467" s="13"/>
      <c r="BC467" s="13"/>
      <c r="BD467" s="13"/>
      <c r="BE467" s="13"/>
      <c r="BF467" s="13"/>
      <c r="BG467" s="13"/>
      <c r="BH467" s="13"/>
      <c r="BI467" s="13"/>
      <c r="BJ467" s="13"/>
      <c r="BK467" s="13"/>
      <c r="BL467" s="13"/>
      <c r="BM467" s="13"/>
      <c r="BN467" s="13"/>
      <c r="BO467" s="13"/>
      <c r="BP467" s="13"/>
      <c r="BQ467" s="13"/>
      <c r="BR467" s="13"/>
      <c r="BS467" s="13"/>
      <c r="BT467" s="13"/>
      <c r="BU467" s="13"/>
      <c r="BV467" s="13"/>
      <c r="BW467" s="13"/>
      <c r="BX467" s="13"/>
      <c r="BY467" s="13"/>
      <c r="BZ467" s="13"/>
      <c r="CA467" s="13"/>
      <c r="CB467" s="13"/>
      <c r="CC467" s="13"/>
      <c r="CD467" s="13"/>
      <c r="CE467" s="13"/>
      <c r="CF467" s="13"/>
      <c r="CG467" s="13"/>
      <c r="CH467" s="13"/>
      <c r="CI467" s="13"/>
      <c r="CJ467" s="13"/>
      <c r="CK467" s="13"/>
      <c r="CL467" s="13"/>
      <c r="CM467" s="13"/>
      <c r="CN467" s="13"/>
      <c r="CO467" s="13"/>
      <c r="CP467" s="13"/>
      <c r="CQ467" s="13"/>
      <c r="CR467" s="13"/>
      <c r="CS467" s="13"/>
      <c r="CT467" s="13"/>
      <c r="CU467" s="13"/>
      <c r="CV467" s="13"/>
      <c r="CW467" s="13"/>
      <c r="CX467" s="13"/>
      <c r="CY467" s="13"/>
      <c r="CZ467" s="13"/>
      <c r="DA467" s="13"/>
      <c r="DB467" s="13"/>
      <c r="DC467" s="13"/>
      <c r="DD467" s="13"/>
      <c r="DE467" s="13"/>
    </row>
    <row r="468" customFormat="false" ht="15" hidden="false" customHeight="true" outlineLevel="0" collapsed="false">
      <c r="A468" s="70" t="s">
        <v>263</v>
      </c>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c r="AC468" s="13"/>
      <c r="AD468" s="13"/>
      <c r="AE468" s="13"/>
      <c r="AF468" s="13"/>
      <c r="AG468" s="13"/>
      <c r="AH468" s="13"/>
      <c r="AI468" s="13"/>
      <c r="AJ468" s="13"/>
      <c r="AK468" s="13"/>
      <c r="AL468" s="13"/>
      <c r="AM468" s="13"/>
      <c r="AN468" s="13"/>
      <c r="AO468" s="13"/>
      <c r="AP468" s="13"/>
      <c r="AQ468" s="13"/>
      <c r="AR468" s="13"/>
      <c r="AS468" s="13"/>
      <c r="AT468" s="13"/>
      <c r="AU468" s="13"/>
      <c r="AV468" s="13"/>
      <c r="AW468" s="13"/>
      <c r="AX468" s="13"/>
      <c r="AY468" s="13"/>
      <c r="AZ468" s="13"/>
      <c r="BA468" s="13"/>
      <c r="BB468" s="13"/>
      <c r="BC468" s="13"/>
      <c r="BD468" s="13"/>
      <c r="BE468" s="13"/>
      <c r="BF468" s="13"/>
      <c r="BG468" s="13"/>
      <c r="BH468" s="13"/>
      <c r="BI468" s="13"/>
      <c r="BJ468" s="13"/>
      <c r="BK468" s="13"/>
      <c r="BL468" s="13"/>
      <c r="BM468" s="13"/>
      <c r="BN468" s="13"/>
      <c r="BO468" s="13"/>
      <c r="BP468" s="13"/>
      <c r="BQ468" s="13"/>
      <c r="BR468" s="13"/>
      <c r="BS468" s="13"/>
      <c r="BT468" s="13"/>
      <c r="BU468" s="13"/>
      <c r="BV468" s="13"/>
      <c r="BW468" s="13"/>
      <c r="BX468" s="13"/>
      <c r="BY468" s="13"/>
      <c r="BZ468" s="13"/>
      <c r="CA468" s="13"/>
      <c r="CB468" s="13"/>
      <c r="CC468" s="13"/>
      <c r="CD468" s="13"/>
      <c r="CE468" s="13"/>
      <c r="CF468" s="13"/>
      <c r="CG468" s="13"/>
      <c r="CH468" s="13"/>
      <c r="CI468" s="13"/>
      <c r="CJ468" s="13"/>
      <c r="CK468" s="13"/>
      <c r="CL468" s="13"/>
      <c r="CM468" s="13"/>
      <c r="CN468" s="13"/>
      <c r="CO468" s="13"/>
      <c r="CP468" s="13"/>
      <c r="CQ468" s="13"/>
      <c r="CR468" s="13"/>
      <c r="CS468" s="13"/>
      <c r="CT468" s="13"/>
      <c r="CU468" s="13"/>
      <c r="CV468" s="13"/>
      <c r="CW468" s="13"/>
      <c r="CX468" s="13"/>
      <c r="CY468" s="13"/>
      <c r="CZ468" s="13"/>
      <c r="DA468" s="13"/>
      <c r="DB468" s="13"/>
      <c r="DC468" s="13"/>
      <c r="DD468" s="13"/>
      <c r="DE468" s="13"/>
    </row>
    <row r="469" customFormat="false" ht="15" hidden="false" customHeight="true" outlineLevel="0" collapsed="false">
      <c r="A469" s="70" t="s">
        <v>264</v>
      </c>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c r="AB469" s="13"/>
      <c r="AC469" s="13"/>
      <c r="AD469" s="13"/>
      <c r="AE469" s="13"/>
      <c r="AF469" s="13"/>
      <c r="AG469" s="13"/>
      <c r="AH469" s="13"/>
      <c r="AI469" s="13"/>
      <c r="AJ469" s="13"/>
      <c r="AK469" s="13"/>
      <c r="AL469" s="13"/>
      <c r="AM469" s="13"/>
      <c r="AN469" s="13"/>
      <c r="AO469" s="13"/>
      <c r="AP469" s="13"/>
      <c r="AQ469" s="13"/>
      <c r="AR469" s="13"/>
      <c r="AS469" s="13"/>
      <c r="AT469" s="13"/>
      <c r="AU469" s="13"/>
      <c r="AV469" s="13"/>
      <c r="AW469" s="13"/>
      <c r="AX469" s="13"/>
      <c r="AY469" s="13"/>
      <c r="AZ469" s="13"/>
      <c r="BA469" s="13"/>
      <c r="BB469" s="13"/>
      <c r="BC469" s="13"/>
      <c r="BD469" s="13"/>
      <c r="BE469" s="13"/>
      <c r="BF469" s="13"/>
      <c r="BG469" s="13"/>
      <c r="BH469" s="13"/>
      <c r="BI469" s="13"/>
      <c r="BJ469" s="13"/>
      <c r="BK469" s="13"/>
      <c r="BL469" s="13"/>
      <c r="BM469" s="13"/>
      <c r="BN469" s="13"/>
      <c r="BO469" s="13"/>
      <c r="BP469" s="13"/>
      <c r="BQ469" s="13"/>
      <c r="BR469" s="13"/>
      <c r="BS469" s="13"/>
      <c r="BT469" s="13"/>
      <c r="BU469" s="13"/>
      <c r="BV469" s="13"/>
      <c r="BW469" s="13"/>
      <c r="BX469" s="13"/>
      <c r="BY469" s="13"/>
      <c r="BZ469" s="13"/>
      <c r="CA469" s="13"/>
      <c r="CB469" s="13"/>
      <c r="CC469" s="13"/>
      <c r="CD469" s="13"/>
      <c r="CE469" s="13"/>
      <c r="CF469" s="13"/>
      <c r="CG469" s="13"/>
      <c r="CH469" s="13"/>
      <c r="CI469" s="13"/>
      <c r="CJ469" s="13"/>
      <c r="CK469" s="13"/>
      <c r="CL469" s="13"/>
      <c r="CM469" s="13"/>
      <c r="CN469" s="13"/>
      <c r="CO469" s="13"/>
      <c r="CP469" s="13"/>
      <c r="CQ469" s="13"/>
      <c r="CR469" s="13"/>
      <c r="CS469" s="13"/>
      <c r="CT469" s="13"/>
      <c r="CU469" s="13"/>
      <c r="CV469" s="13"/>
      <c r="CW469" s="13"/>
      <c r="CX469" s="13"/>
      <c r="CY469" s="13"/>
      <c r="CZ469" s="13"/>
      <c r="DA469" s="13"/>
      <c r="DB469" s="13"/>
      <c r="DC469" s="13"/>
      <c r="DD469" s="13"/>
      <c r="DE469" s="13"/>
    </row>
    <row r="470" customFormat="false" ht="15" hidden="false" customHeight="true" outlineLevel="0" collapsed="false">
      <c r="A470" s="70" t="s">
        <v>265</v>
      </c>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c r="AB470" s="13"/>
      <c r="AC470" s="13"/>
      <c r="AD470" s="13"/>
      <c r="AE470" s="13"/>
      <c r="AF470" s="13"/>
      <c r="AG470" s="13"/>
      <c r="AH470" s="13"/>
      <c r="AI470" s="13"/>
      <c r="AJ470" s="13"/>
      <c r="AK470" s="13"/>
      <c r="AL470" s="13"/>
      <c r="AM470" s="13"/>
      <c r="AN470" s="13"/>
      <c r="AO470" s="13"/>
      <c r="AP470" s="13"/>
      <c r="AQ470" s="13"/>
      <c r="AR470" s="13"/>
      <c r="AS470" s="13"/>
      <c r="AT470" s="13"/>
      <c r="AU470" s="13"/>
      <c r="AV470" s="13"/>
      <c r="AW470" s="13"/>
      <c r="AX470" s="13"/>
      <c r="AY470" s="13"/>
      <c r="AZ470" s="13"/>
      <c r="BA470" s="13"/>
      <c r="BB470" s="13"/>
      <c r="BC470" s="13"/>
      <c r="BD470" s="13"/>
      <c r="BE470" s="13"/>
      <c r="BF470" s="13"/>
      <c r="BG470" s="13"/>
      <c r="BH470" s="13"/>
      <c r="BI470" s="13"/>
      <c r="BJ470" s="13"/>
      <c r="BK470" s="13"/>
      <c r="BL470" s="13"/>
      <c r="BM470" s="13"/>
      <c r="BN470" s="13"/>
      <c r="BO470" s="13"/>
      <c r="BP470" s="13"/>
      <c r="BQ470" s="13"/>
      <c r="BR470" s="13"/>
      <c r="BS470" s="13"/>
      <c r="BT470" s="13"/>
      <c r="BU470" s="13"/>
      <c r="BV470" s="13"/>
      <c r="BW470" s="13"/>
      <c r="BX470" s="13"/>
      <c r="BY470" s="13"/>
      <c r="BZ470" s="13"/>
      <c r="CA470" s="13"/>
      <c r="CB470" s="13"/>
      <c r="CC470" s="13"/>
      <c r="CD470" s="13"/>
      <c r="CE470" s="13"/>
      <c r="CF470" s="13"/>
      <c r="CG470" s="13"/>
      <c r="CH470" s="13"/>
      <c r="CI470" s="13"/>
      <c r="CJ470" s="13"/>
      <c r="CK470" s="13"/>
      <c r="CL470" s="13"/>
      <c r="CM470" s="13"/>
      <c r="CN470" s="13"/>
      <c r="CO470" s="13"/>
      <c r="CP470" s="13"/>
      <c r="CQ470" s="13"/>
      <c r="CR470" s="13"/>
      <c r="CS470" s="13"/>
      <c r="CT470" s="13"/>
      <c r="CU470" s="13"/>
      <c r="CV470" s="13"/>
      <c r="CW470" s="13"/>
      <c r="CX470" s="13"/>
      <c r="CY470" s="13"/>
      <c r="CZ470" s="13"/>
      <c r="DA470" s="13"/>
      <c r="DB470" s="13"/>
      <c r="DC470" s="13"/>
      <c r="DD470" s="13"/>
      <c r="DE470" s="1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J51"/>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O27" activeCellId="0" sqref="O27"/>
    </sheetView>
  </sheetViews>
  <sheetFormatPr defaultColWidth="8.7109375" defaultRowHeight="13.5" zeroHeight="false" outlineLevelRow="0" outlineLevelCol="0"/>
  <cols>
    <col collapsed="false" customWidth="true" hidden="false" outlineLevel="0" max="1" min="1" style="1" width="38"/>
    <col collapsed="false" customWidth="true" hidden="false" outlineLevel="0" max="9" min="2" style="1" width="14"/>
    <col collapsed="false" customWidth="true" hidden="false" outlineLevel="0" max="10" min="10" style="1" width="13"/>
  </cols>
  <sheetData>
    <row r="1" customFormat="false" ht="17.25" hidden="false" customHeight="true" outlineLevel="0" collapsed="false">
      <c r="A1" s="76" t="s">
        <v>266</v>
      </c>
      <c r="B1" s="76"/>
      <c r="C1" s="76"/>
      <c r="D1" s="76"/>
      <c r="E1" s="76"/>
      <c r="F1" s="3"/>
      <c r="G1" s="3"/>
      <c r="H1" s="3"/>
      <c r="I1" s="3"/>
    </row>
    <row r="2" customFormat="false" ht="15" hidden="false" customHeight="true" outlineLevel="0" collapsed="false">
      <c r="A2" s="15" t="s">
        <v>267</v>
      </c>
      <c r="B2" s="49" t="s">
        <v>268</v>
      </c>
      <c r="C2" s="49" t="s">
        <v>269</v>
      </c>
      <c r="D2" s="49" t="s">
        <v>270</v>
      </c>
      <c r="E2" s="49" t="s">
        <v>271</v>
      </c>
      <c r="F2" s="49" t="s">
        <v>272</v>
      </c>
      <c r="G2" s="49" t="s">
        <v>273</v>
      </c>
      <c r="H2" s="49" t="s">
        <v>274</v>
      </c>
      <c r="I2" s="49" t="s">
        <v>275</v>
      </c>
      <c r="J2" s="49" t="s">
        <v>276</v>
      </c>
    </row>
    <row r="3" customFormat="false" ht="15" hidden="false" customHeight="true" outlineLevel="0" collapsed="false">
      <c r="A3" s="61"/>
      <c r="B3" s="61"/>
      <c r="C3" s="61"/>
      <c r="D3" s="61"/>
      <c r="E3" s="61"/>
      <c r="F3" s="61"/>
      <c r="G3" s="61"/>
      <c r="H3" s="61"/>
      <c r="I3" s="61"/>
      <c r="J3" s="61"/>
    </row>
    <row r="4" customFormat="false" ht="15" hidden="false" customHeight="true" outlineLevel="0" collapsed="false">
      <c r="A4" s="22" t="s">
        <v>277</v>
      </c>
      <c r="B4" s="13" t="n">
        <f aca="false">SUM(Model!B10:M10)</f>
        <v>3703516.02158282</v>
      </c>
      <c r="C4" s="13" t="n">
        <f aca="false">SUM(Model!N10:Y10)</f>
        <v>7558987.35750429</v>
      </c>
      <c r="D4" s="13" t="n">
        <f aca="false">SUM(Model!Z10:AK10)</f>
        <v>9419828.91811911</v>
      </c>
      <c r="E4" s="13" t="n">
        <f aca="false">SUM(Model!AL10:AW10)</f>
        <v>10593013.7797916</v>
      </c>
      <c r="F4" s="13" t="n">
        <f aca="false">SUM(Model!AX10:BI10)</f>
        <v>10296749.1101953</v>
      </c>
      <c r="G4" s="13" t="n">
        <f aca="false">SUM(Model!BJ10:BU10)</f>
        <v>6449531.25</v>
      </c>
      <c r="H4" s="13" t="n">
        <f aca="false">SUM(Model!BV10:CG10)</f>
        <v>1104159.75</v>
      </c>
      <c r="I4" s="13" t="n">
        <f aca="false">SUM(Model!CH10:CS10)</f>
        <v>0</v>
      </c>
      <c r="J4" s="13" t="n">
        <f aca="false">SUM(Model!CT10:DE10)</f>
        <v>0</v>
      </c>
    </row>
    <row r="5" customFormat="false" ht="15" hidden="false" customHeight="true" outlineLevel="0" collapsed="false">
      <c r="A5" s="22" t="s">
        <v>278</v>
      </c>
      <c r="B5" s="13" t="n">
        <f aca="false">SUM(Model!B11:M11)</f>
        <v>2786561.17066546</v>
      </c>
      <c r="C5" s="13" t="n">
        <f aca="false">SUM(Model!N11:Y11)</f>
        <v>5733446.21577108</v>
      </c>
      <c r="D5" s="13" t="n">
        <f aca="false">SUM(Model!Z11:AK11)</f>
        <v>7064842.82811546</v>
      </c>
      <c r="E5" s="13" t="n">
        <f aca="false">SUM(Model!AL11:AW11)</f>
        <v>7944722.51959933</v>
      </c>
      <c r="F5" s="13" t="n">
        <f aca="false">SUM(Model!AX11:BI11)</f>
        <v>7722524.41441435</v>
      </c>
      <c r="G5" s="13" t="n">
        <f aca="false">SUM(Model!BJ11:BU11)</f>
        <v>4837125</v>
      </c>
      <c r="H5" s="13" t="n">
        <f aca="false">SUM(Model!BV11:CG11)</f>
        <v>828115.8</v>
      </c>
      <c r="I5" s="13" t="n">
        <f aca="false">SUM(Model!CH11:CS11)</f>
        <v>0</v>
      </c>
      <c r="J5" s="13" t="n">
        <f aca="false">SUM(Model!CT11:DE11)</f>
        <v>0</v>
      </c>
    </row>
    <row r="6" customFormat="false" ht="15" hidden="false" customHeight="true" outlineLevel="0" collapsed="false">
      <c r="A6" s="22" t="s">
        <v>279</v>
      </c>
      <c r="B6" s="13" t="n">
        <f aca="false">SUM(Model!B57:M57)</f>
        <v>50474848.5016335</v>
      </c>
      <c r="C6" s="13" t="n">
        <f aca="false">SUM(Model!N57:Y57)</f>
        <v>101130176.294598</v>
      </c>
      <c r="D6" s="13" t="n">
        <f aca="false">SUM(Model!Z57:AK57)</f>
        <v>124469887.058013</v>
      </c>
      <c r="E6" s="13" t="n">
        <f aca="false">SUM(Model!AL57:AW57)</f>
        <v>140750647.452316</v>
      </c>
      <c r="F6" s="13" t="n">
        <f aca="false">SUM(Model!AX57:BI57)</f>
        <v>119426255.395542</v>
      </c>
      <c r="G6" s="13" t="n">
        <f aca="false">SUM(Model!BJ57:BU57)</f>
        <v>90289686.75</v>
      </c>
      <c r="H6" s="13" t="n">
        <f aca="false">SUM(Model!BV57:CG57)</f>
        <v>6504546.45</v>
      </c>
      <c r="I6" s="13" t="n">
        <f aca="false">SUM(Model!CH57:CS57)</f>
        <v>0</v>
      </c>
      <c r="J6" s="13" t="n">
        <f aca="false">SUM(Model!CT57:DE57)</f>
        <v>0</v>
      </c>
    </row>
    <row r="7" customFormat="false" ht="15" hidden="false" customHeight="true" outlineLevel="0" collapsed="false">
      <c r="A7" s="29" t="s">
        <v>52</v>
      </c>
      <c r="B7" s="30" t="n">
        <f aca="false">SUM(Model!B58:M58)</f>
        <v>56964925.6938817</v>
      </c>
      <c r="C7" s="30" t="n">
        <f aca="false">SUM(Model!N58:Y58)</f>
        <v>114422609.867874</v>
      </c>
      <c r="D7" s="30" t="n">
        <f aca="false">SUM(Model!Z58:AK58)</f>
        <v>140954558.804248</v>
      </c>
      <c r="E7" s="30" t="n">
        <f aca="false">SUM(Model!AL58:AW58)</f>
        <v>159288383.751707</v>
      </c>
      <c r="F7" s="30" t="n">
        <f aca="false">SUM(Model!AX58:BI58)</f>
        <v>137445528.920152</v>
      </c>
      <c r="G7" s="30" t="n">
        <f aca="false">SUM(Model!BJ58:BU58)</f>
        <v>101576343</v>
      </c>
      <c r="H7" s="30" t="n">
        <f aca="false">SUM(Model!BV58:CG58)</f>
        <v>8436822</v>
      </c>
      <c r="I7" s="30" t="n">
        <f aca="false">SUM(Model!CH58:CS58)</f>
        <v>0</v>
      </c>
      <c r="J7" s="30" t="n">
        <f aca="false">SUM(Model!CT58:DE58)</f>
        <v>0</v>
      </c>
    </row>
    <row r="8" customFormat="false" ht="15" hidden="false" customHeight="true" outlineLevel="0" collapsed="false">
      <c r="A8" s="22" t="s">
        <v>53</v>
      </c>
      <c r="B8" s="13" t="n">
        <f aca="false">SUM(Model!B104:M104)</f>
        <v>-49332865.1604259</v>
      </c>
      <c r="C8" s="13" t="n">
        <f aca="false">SUM(Model!N104:Y104)</f>
        <v>-101447192.154598</v>
      </c>
      <c r="D8" s="13" t="n">
        <f aca="false">SUM(Model!Z104:AK104)</f>
        <v>-124469887.058013</v>
      </c>
      <c r="E8" s="13" t="n">
        <f aca="false">SUM(Model!AL104:AW104)</f>
        <v>-140750647.452316</v>
      </c>
      <c r="F8" s="13" t="n">
        <f aca="false">SUM(Model!AX104:BI104)</f>
        <v>-119426255.395542</v>
      </c>
      <c r="G8" s="13" t="n">
        <f aca="false">SUM(Model!BJ104:BU104)</f>
        <v>-90289686.75</v>
      </c>
      <c r="H8" s="13" t="n">
        <f aca="false">SUM(Model!BV104:CG104)</f>
        <v>-6504546.45</v>
      </c>
      <c r="I8" s="13" t="n">
        <f aca="false">SUM(Model!CH104:CS104)</f>
        <v>0</v>
      </c>
      <c r="J8" s="13" t="n">
        <f aca="false">SUM(Model!CT104:DE104)</f>
        <v>0</v>
      </c>
    </row>
    <row r="9" customFormat="false" ht="15" hidden="false" customHeight="true" outlineLevel="0" collapsed="false">
      <c r="A9" s="22" t="s">
        <v>280</v>
      </c>
      <c r="B9" s="13" t="n">
        <f aca="false">SUM(Model!B150:M150)</f>
        <v>1557253.76231527</v>
      </c>
      <c r="C9" s="13" t="n">
        <f aca="false">SUM(Model!N150:Y150)</f>
        <v>1335117.32512315</v>
      </c>
      <c r="D9" s="13" t="n">
        <f aca="false">SUM(Model!Z150:AK150)</f>
        <v>832827.073891626</v>
      </c>
      <c r="E9" s="13" t="n">
        <f aca="false">SUM(Model!AL150:AW150)</f>
        <v>266009.852216749</v>
      </c>
      <c r="F9" s="13" t="n">
        <f aca="false">SUM(Model!AX150:BI150)</f>
        <v>443349.753694581</v>
      </c>
      <c r="G9" s="13" t="n">
        <f aca="false">SUM(Model!BJ150:BU150)</f>
        <v>0</v>
      </c>
      <c r="H9" s="13" t="n">
        <f aca="false">SUM(Model!BV150:CG150)</f>
        <v>0</v>
      </c>
      <c r="I9" s="13" t="n">
        <f aca="false">SUM(Model!CH150:CS150)</f>
        <v>0</v>
      </c>
      <c r="J9" s="13" t="n">
        <f aca="false">SUM(Model!CT150:DE150)</f>
        <v>0</v>
      </c>
    </row>
    <row r="10" customFormat="false" ht="15" hidden="false" customHeight="true" outlineLevel="0" collapsed="false">
      <c r="A10" s="22" t="s">
        <v>281</v>
      </c>
      <c r="B10" s="13" t="n">
        <f aca="false">SUM(Model!B196:M196)</f>
        <v>-1069700.04530973</v>
      </c>
      <c r="C10" s="13" t="n">
        <f aca="false">SUM(Model!N196:Y196)</f>
        <v>-1601028.19237685</v>
      </c>
      <c r="D10" s="13" t="n">
        <f aca="false">SUM(Model!Z196:AK196)</f>
        <v>-998698.466108374</v>
      </c>
      <c r="E10" s="13" t="n">
        <f aca="false">SUM(Model!AL196:AW196)</f>
        <v>-318990.147783251</v>
      </c>
      <c r="F10" s="13" t="n">
        <f aca="false">SUM(Model!AX196:BI196)</f>
        <v>-531650.246305419</v>
      </c>
      <c r="G10" s="13" t="n">
        <f aca="false">SUM(Model!BJ196:BU196)</f>
        <v>0</v>
      </c>
      <c r="H10" s="13" t="n">
        <f aca="false">SUM(Model!BV196:CG196)</f>
        <v>0</v>
      </c>
      <c r="I10" s="13" t="n">
        <f aca="false">SUM(Model!CH196:CS196)</f>
        <v>0</v>
      </c>
      <c r="J10" s="13" t="n">
        <f aca="false">SUM(Model!CT196:DE196)</f>
        <v>0</v>
      </c>
    </row>
    <row r="11" customFormat="false" ht="15" hidden="false" customHeight="true" outlineLevel="0" collapsed="false">
      <c r="A11" s="22" t="s">
        <v>282</v>
      </c>
      <c r="B11" s="13" t="n">
        <f aca="false">SUM(Model!B197:M197)</f>
        <v>-252618.63</v>
      </c>
      <c r="C11" s="13" t="n">
        <f aca="false">SUM(Model!N197:Y197)</f>
        <v>49081.3899999992</v>
      </c>
      <c r="D11" s="13" t="n">
        <f aca="false">SUM(Model!Z197:AK197)</f>
        <v>0</v>
      </c>
      <c r="E11" s="13" t="n">
        <f aca="false">SUM(Model!AL197:AW197)</f>
        <v>0</v>
      </c>
      <c r="F11" s="13" t="n">
        <f aca="false">SUM(Model!AX197:BI197)</f>
        <v>0</v>
      </c>
      <c r="G11" s="13" t="n">
        <f aca="false">SUM(Model!BJ197:BU197)</f>
        <v>0</v>
      </c>
      <c r="H11" s="13" t="n">
        <f aca="false">SUM(Model!BV197:CG197)</f>
        <v>0</v>
      </c>
      <c r="I11" s="13" t="n">
        <f aca="false">SUM(Model!CH197:CS197)</f>
        <v>0</v>
      </c>
      <c r="J11" s="13" t="n">
        <f aca="false">SUM(Model!CT197:DE197)</f>
        <v>0</v>
      </c>
    </row>
    <row r="12" customFormat="false" ht="15" hidden="false" customHeight="true" outlineLevel="0" collapsed="false">
      <c r="A12" s="22" t="s">
        <v>283</v>
      </c>
      <c r="B12" s="13" t="n">
        <f aca="false">SUM(Model!B198:M198)</f>
        <v>-74091.8856037736</v>
      </c>
      <c r="C12" s="13" t="n">
        <f aca="false">SUM(Model!N198:Y198)</f>
        <v>-1690.5</v>
      </c>
      <c r="D12" s="13" t="n">
        <f aca="false">SUM(Model!Z198:AK198)</f>
        <v>0</v>
      </c>
      <c r="E12" s="13" t="n">
        <f aca="false">SUM(Model!AL198:AW198)</f>
        <v>0</v>
      </c>
      <c r="F12" s="13" t="n">
        <f aca="false">SUM(Model!AX198:BI198)</f>
        <v>0</v>
      </c>
      <c r="G12" s="13" t="n">
        <f aca="false">SUM(Model!BJ198:BU198)</f>
        <v>0</v>
      </c>
      <c r="H12" s="13" t="n">
        <f aca="false">SUM(Model!BV198:CG198)</f>
        <v>0</v>
      </c>
      <c r="I12" s="13" t="n">
        <f aca="false">SUM(Model!CH198:CS198)</f>
        <v>0</v>
      </c>
      <c r="J12" s="13" t="n">
        <f aca="false">SUM(Model!CT198:DE198)</f>
        <v>0</v>
      </c>
    </row>
    <row r="13" customFormat="false" ht="15" hidden="false" customHeight="true" outlineLevel="0" collapsed="false">
      <c r="A13" s="77" t="s">
        <v>61</v>
      </c>
      <c r="B13" s="32" t="n">
        <f aca="false">SUM(Model!B199:M199)</f>
        <v>6235649.97254232</v>
      </c>
      <c r="C13" s="32" t="n">
        <f aca="false">SUM(Model!N199:Y199)</f>
        <v>11421780.4108985</v>
      </c>
      <c r="D13" s="32" t="n">
        <f aca="false">SUM(Model!Z199:AK199)</f>
        <v>15485973.2801262</v>
      </c>
      <c r="E13" s="32" t="n">
        <f aca="false">SUM(Model!AL199:AW199)</f>
        <v>18218746.1516076</v>
      </c>
      <c r="F13" s="32" t="n">
        <f aca="false">SUM(Model!AX199:BI199)</f>
        <v>17487623.2783042</v>
      </c>
      <c r="G13" s="32" t="n">
        <f aca="false">SUM(Model!BJ199:BU199)</f>
        <v>11286656.25</v>
      </c>
      <c r="H13" s="32" t="n">
        <f aca="false">SUM(Model!BV199:CG199)</f>
        <v>1932275.55</v>
      </c>
      <c r="I13" s="32" t="n">
        <f aca="false">SUM(Model!CH199:CS199)</f>
        <v>0</v>
      </c>
      <c r="J13" s="32" t="n">
        <f aca="false">SUM(Model!CT199:DE199)</f>
        <v>0</v>
      </c>
    </row>
    <row r="14" customFormat="false" ht="15" hidden="false" customHeight="true" outlineLevel="0" collapsed="false">
      <c r="A14" s="22" t="s">
        <v>62</v>
      </c>
      <c r="B14" s="78" t="n">
        <f aca="false">IFERROR(B13/B7,0)</f>
        <v>0.109464725821841</v>
      </c>
      <c r="C14" s="78" t="n">
        <f aca="false">IFERROR(C13/C7,0)</f>
        <v>0.0998210093624636</v>
      </c>
      <c r="D14" s="78" t="n">
        <f aca="false">IFERROR(D13/D7,0)</f>
        <v>0.109865004803658</v>
      </c>
      <c r="E14" s="78" t="n">
        <f aca="false">IFERROR(E13/E7,0)</f>
        <v>0.11437586170757</v>
      </c>
      <c r="F14" s="78" t="n">
        <f aca="false">IFERROR(F13/F7,0)</f>
        <v>0.127233118572111</v>
      </c>
      <c r="G14" s="78" t="n">
        <f aca="false">IFERROR(G13/G7,0)</f>
        <v>0.11111500883626</v>
      </c>
      <c r="H14" s="78" t="n">
        <f aca="false">IFERROR(H13/H7,0)</f>
        <v>0.229028839295175</v>
      </c>
      <c r="I14" s="78" t="n">
        <f aca="false">IFERROR(I13/I7,0)</f>
        <v>0</v>
      </c>
      <c r="J14" s="78" t="n">
        <f aca="false">IFERROR(J13/J7,0)</f>
        <v>0</v>
      </c>
    </row>
    <row r="15" customFormat="false" ht="15" hidden="false" customHeight="true" outlineLevel="0" collapsed="false">
      <c r="A15" s="61"/>
      <c r="B15" s="61"/>
      <c r="C15" s="61"/>
      <c r="D15" s="61"/>
      <c r="E15" s="61"/>
      <c r="F15" s="61"/>
      <c r="G15" s="61"/>
      <c r="H15" s="61"/>
      <c r="I15" s="61"/>
      <c r="J15" s="61"/>
    </row>
    <row r="16" customFormat="false" ht="15" hidden="false" customHeight="true" outlineLevel="0" collapsed="false">
      <c r="A16" s="23" t="s">
        <v>63</v>
      </c>
      <c r="B16" s="25"/>
      <c r="C16" s="25"/>
      <c r="D16" s="25"/>
      <c r="E16" s="25"/>
      <c r="F16" s="25"/>
      <c r="G16" s="25"/>
      <c r="H16" s="25"/>
      <c r="I16" s="25"/>
      <c r="J16" s="25"/>
    </row>
    <row r="17" customFormat="false" ht="15" hidden="false" customHeight="true" outlineLevel="0" collapsed="false">
      <c r="A17" s="22" t="s">
        <v>284</v>
      </c>
      <c r="B17" s="13" t="n">
        <f aca="false">SUM(Model!B203:M204)+SUM(Model!B206:M210)</f>
        <v>-3040954.88</v>
      </c>
      <c r="C17" s="13" t="n">
        <f aca="false">SUM(Model!N203:Y204)+SUM(Model!N206:Y210)</f>
        <v>-5824335.18076667</v>
      </c>
      <c r="D17" s="13" t="n">
        <f aca="false">SUM(Model!Z203:AK204)+SUM(Model!Z206:AK210)</f>
        <v>-6170139.049382</v>
      </c>
      <c r="E17" s="13" t="n">
        <f aca="false">SUM(Model!AL203:AW204)+SUM(Model!AL206:AW210)</f>
        <v>-6727536.97406964</v>
      </c>
      <c r="F17" s="13" t="n">
        <f aca="false">SUM(Model!AX203:BI204)+SUM(Model!AX206:BI210)</f>
        <v>-6591792.46460903</v>
      </c>
      <c r="G17" s="13" t="n">
        <f aca="false">SUM(Model!BJ203:BU204)+SUM(Model!BJ206:BU210)</f>
        <v>-5378627.24735085</v>
      </c>
      <c r="H17" s="13" t="n">
        <f aca="false">SUM(Model!BV203:CG204)+SUM(Model!BV206:CG210)</f>
        <v>-4282538.99724179</v>
      </c>
      <c r="I17" s="13" t="n">
        <f aca="false">SUM(Model!CH203:CS204)+SUM(Model!CH206:CS210)</f>
        <v>-4368189.77718662</v>
      </c>
      <c r="J17" s="13" t="n">
        <f aca="false">SUM(Model!CT203:DE204)+SUM(Model!CT206:DE210)</f>
        <v>-3824871.22866291</v>
      </c>
    </row>
    <row r="18" customFormat="false" ht="15" hidden="false" customHeight="true" outlineLevel="0" collapsed="false">
      <c r="A18" s="22" t="s">
        <v>285</v>
      </c>
      <c r="B18" s="13" t="n">
        <f aca="false">SUM(Model!B211:M233)+SUM(Model!B235:M235)</f>
        <v>-1026942.93</v>
      </c>
      <c r="C18" s="13" t="n">
        <f aca="false">SUM(Model!N211:Y233)+SUM(Model!N235:Y235)</f>
        <v>-1031498.4492</v>
      </c>
      <c r="D18" s="13" t="n">
        <f aca="false">SUM(Model!Z211:AK233)+SUM(Model!Z235:AK235)</f>
        <v>-818657.648953231</v>
      </c>
      <c r="E18" s="13" t="n">
        <f aca="false">SUM(Model!AL211:AW233)+SUM(Model!AL235:AW235)</f>
        <v>-873331.18654768</v>
      </c>
      <c r="F18" s="13" t="n">
        <f aca="false">SUM(Model!AX211:BI233)+SUM(Model!AX235:BI235)</f>
        <v>-846025.117970941</v>
      </c>
      <c r="G18" s="13" t="n">
        <f aca="false">SUM(Model!BJ211:BU233)+SUM(Model!BJ235:BU235)</f>
        <v>-961322.543407283</v>
      </c>
      <c r="H18" s="13" t="n">
        <f aca="false">SUM(Model!BV211:CG233)+SUM(Model!BV235:CG235)</f>
        <v>-835787.45581389</v>
      </c>
      <c r="I18" s="13" t="n">
        <f aca="false">SUM(Model!CH211:CS233)+SUM(Model!CH235:CS235)</f>
        <v>-852503.204930168</v>
      </c>
      <c r="J18" s="13" t="n">
        <f aca="false">SUM(Model!CT211:DE233)+SUM(Model!CT235:DE235)</f>
        <v>-869553.269028772</v>
      </c>
    </row>
    <row r="19" customFormat="false" ht="15" hidden="false" customHeight="true" outlineLevel="0" collapsed="false">
      <c r="A19" s="22" t="s">
        <v>286</v>
      </c>
      <c r="B19" s="13" t="n">
        <f aca="false">SUM(Model!B205:M205)</f>
        <v>0</v>
      </c>
      <c r="C19" s="13" t="n">
        <f aca="false">SUM(Model!N205:Y205)</f>
        <v>0</v>
      </c>
      <c r="D19" s="13" t="n">
        <f aca="false">SUM(Model!Z205:AK205)</f>
        <v>0</v>
      </c>
      <c r="E19" s="13" t="n">
        <f aca="false">SUM(Model!AL205:AW205)</f>
        <v>0</v>
      </c>
      <c r="F19" s="13" t="n">
        <f aca="false">SUM(Model!AX205:BI205)</f>
        <v>0</v>
      </c>
      <c r="G19" s="13" t="n">
        <f aca="false">SUM(Model!BJ205:BU205)</f>
        <v>0</v>
      </c>
      <c r="H19" s="13" t="n">
        <f aca="false">SUM(Model!BV205:CG205)</f>
        <v>0</v>
      </c>
      <c r="I19" s="13" t="n">
        <f aca="false">SUM(Model!CH205:CS205)</f>
        <v>0</v>
      </c>
      <c r="J19" s="13" t="n">
        <f aca="false">SUM(Model!CT205:DE205)</f>
        <v>0</v>
      </c>
    </row>
    <row r="20" customFormat="false" ht="15" hidden="false" customHeight="true" outlineLevel="0" collapsed="false">
      <c r="A20" s="22" t="s">
        <v>287</v>
      </c>
      <c r="B20" s="13" t="n">
        <f aca="false">SUM(Model!B234:M234)</f>
        <v>0</v>
      </c>
      <c r="C20" s="13" t="n">
        <f aca="false">SUM(Model!N234:Y234)</f>
        <v>-213230.020825</v>
      </c>
      <c r="D20" s="13" t="n">
        <f aca="false">SUM(Model!Z234:AK234)</f>
        <v>-210000</v>
      </c>
      <c r="E20" s="13" t="n">
        <f aca="false">SUM(Model!AL234:AW234)</f>
        <v>-622014.744151135</v>
      </c>
      <c r="F20" s="13" t="n">
        <f aca="false">SUM(Model!AX234:BI234)</f>
        <v>-1077165.14632406</v>
      </c>
      <c r="G20" s="13" t="n">
        <f aca="false">SUM(Model!BJ234:BU234)</f>
        <v>-347259.657113037</v>
      </c>
      <c r="H20" s="13" t="n">
        <f aca="false">SUM(Model!BV234:CG234)</f>
        <v>-156475.237116228</v>
      </c>
      <c r="I20" s="13" t="n">
        <f aca="false">SUM(Model!CH234:CS234)</f>
        <v>0</v>
      </c>
      <c r="J20" s="13" t="n">
        <f aca="false">SUM(Model!CT234:DE234)</f>
        <v>0</v>
      </c>
    </row>
    <row r="21" customFormat="false" ht="15" hidden="false" customHeight="true" outlineLevel="0" collapsed="false">
      <c r="A21" s="29" t="s">
        <v>97</v>
      </c>
      <c r="B21" s="30" t="n">
        <f aca="false">SUM(Model!B236:M236)</f>
        <v>-4071730.31</v>
      </c>
      <c r="C21" s="30" t="n">
        <f aca="false">SUM(Model!N236:Y236)</f>
        <v>-7069063.65079167</v>
      </c>
      <c r="D21" s="30" t="n">
        <f aca="false">SUM(Model!Z236:AK236)</f>
        <v>-7198796.69833523</v>
      </c>
      <c r="E21" s="30" t="n">
        <f aca="false">SUM(Model!AL236:AW236)</f>
        <v>-8222882.90476846</v>
      </c>
      <c r="F21" s="30" t="n">
        <f aca="false">SUM(Model!AX236:BI236)</f>
        <v>-8514982.72890403</v>
      </c>
      <c r="G21" s="30" t="n">
        <f aca="false">SUM(Model!BJ236:BU236)</f>
        <v>-6687209.44787117</v>
      </c>
      <c r="H21" s="30" t="n">
        <f aca="false">SUM(Model!BV236:CG236)</f>
        <v>-5274801.69017191</v>
      </c>
      <c r="I21" s="30" t="n">
        <f aca="false">SUM(Model!CH236:CS236)</f>
        <v>-5220692.98211679</v>
      </c>
      <c r="J21" s="30" t="n">
        <f aca="false">SUM(Model!CT236:DE236)</f>
        <v>-4694424.49769168</v>
      </c>
    </row>
    <row r="22" customFormat="false" ht="15" hidden="false" customHeight="true" outlineLevel="0" collapsed="false">
      <c r="A22" s="29" t="s">
        <v>98</v>
      </c>
      <c r="B22" s="30" t="n">
        <f aca="false">SUM(Model!B237:M237)</f>
        <v>2163919.66254232</v>
      </c>
      <c r="C22" s="30" t="n">
        <f aca="false">SUM(Model!N237:Y237)</f>
        <v>4352716.76010685</v>
      </c>
      <c r="D22" s="30" t="n">
        <f aca="false">SUM(Model!Z237:AK237)</f>
        <v>8287176.58179096</v>
      </c>
      <c r="E22" s="30" t="n">
        <f aca="false">SUM(Model!AL237:AW237)</f>
        <v>9995863.24683919</v>
      </c>
      <c r="F22" s="30" t="n">
        <f aca="false">SUM(Model!AX237:BI237)</f>
        <v>8972640.54940016</v>
      </c>
      <c r="G22" s="30" t="n">
        <f aca="false">SUM(Model!BJ237:BU237)</f>
        <v>4599446.80212882</v>
      </c>
      <c r="H22" s="30" t="n">
        <f aca="false">SUM(Model!BV237:CG237)</f>
        <v>-3342526.14017191</v>
      </c>
      <c r="I22" s="30" t="n">
        <f aca="false">SUM(Model!CH237:CS237)</f>
        <v>-5220692.98211679</v>
      </c>
      <c r="J22" s="30" t="n">
        <f aca="false">SUM(Model!CT237:DE237)</f>
        <v>-4694424.49769168</v>
      </c>
    </row>
    <row r="23" customFormat="false" ht="15" hidden="false" customHeight="true" outlineLevel="0" collapsed="false">
      <c r="A23" s="22" t="s">
        <v>99</v>
      </c>
      <c r="B23" s="78" t="n">
        <f aca="false">IFERROR(B22/B7,0)</f>
        <v>0.0379868776476739</v>
      </c>
      <c r="C23" s="78" t="n">
        <f aca="false">IFERROR(C22/C7,0)</f>
        <v>0.0380407051118047</v>
      </c>
      <c r="D23" s="78" t="n">
        <f aca="false">IFERROR(D22/D7,0)</f>
        <v>0.0587932497685291</v>
      </c>
      <c r="E23" s="78" t="n">
        <f aca="false">IFERROR(E22/E7,0)</f>
        <v>0.0627532467302849</v>
      </c>
      <c r="F23" s="78" t="n">
        <f aca="false">IFERROR(F22/F7,0)</f>
        <v>0.0652814290860836</v>
      </c>
      <c r="G23" s="78" t="n">
        <f aca="false">IFERROR(G22/G7,0)</f>
        <v>0.0452806890491108</v>
      </c>
      <c r="H23" s="78" t="n">
        <f aca="false">IFERROR(H22/H7,0)</f>
        <v>-0.396183081754232</v>
      </c>
      <c r="I23" s="78" t="n">
        <f aca="false">IFERROR(I22/I7,0)</f>
        <v>0</v>
      </c>
      <c r="J23" s="78" t="n">
        <f aca="false">IFERROR(J22/J7,0)</f>
        <v>0</v>
      </c>
    </row>
    <row r="24" customFormat="false" ht="15" hidden="false" customHeight="true" outlineLevel="0" collapsed="false">
      <c r="A24" s="61"/>
      <c r="B24" s="61"/>
      <c r="C24" s="61"/>
      <c r="D24" s="61"/>
      <c r="E24" s="61"/>
      <c r="F24" s="61"/>
      <c r="G24" s="61"/>
      <c r="H24" s="61"/>
      <c r="I24" s="61"/>
      <c r="J24" s="61"/>
    </row>
    <row r="25" customFormat="false" ht="15" hidden="false" customHeight="true" outlineLevel="0" collapsed="false">
      <c r="A25" s="79" t="s">
        <v>100</v>
      </c>
      <c r="B25" s="80" t="n">
        <f aca="false">Model!E261+Model!F261+Model!G261+Model!H261+Model!I261+Model!J261+Model!K261+Model!L261+Model!M261+Model!B261+Model!C261+Model!D261</f>
        <v>615805.64</v>
      </c>
      <c r="C25" s="80" t="n">
        <f aca="false">Model!N261+Model!O261+Model!P261+Model!Q261+Model!R261+Model!S261+Model!T261+Model!U261+Model!V261+Model!W261+Model!X261+Model!Y261</f>
        <v>1351293.34514286</v>
      </c>
      <c r="D25" s="80" t="n">
        <f aca="false">Model!Z261+Model!AA261+Model!AB261+Model!AC261+Model!AD261+Model!AE261+Model!AF261+Model!AG261+Model!AH261+Model!AI261+Model!AJ261+Model!AK261</f>
        <v>2019553.7145</v>
      </c>
      <c r="E25" s="80" t="n">
        <f aca="false">Model!AL261+Model!AM261+Model!AN261+Model!AO261+Model!AP261+Model!AQ261+Model!AR261+Model!AS261+Model!AT261+Model!AU261+Model!AV261+Model!AW261</f>
        <v>1495059.0065</v>
      </c>
      <c r="F25" s="80" t="n">
        <f aca="false">Model!AX261+Model!AY261+Model!AZ261+Model!BA261+Model!BB261+Model!BC261+Model!BD261+Model!BE261+Model!BF261+Model!BG261+Model!BH261+Model!BI261</f>
        <v>1826812.922</v>
      </c>
      <c r="G25" s="80" t="n">
        <f aca="false">Model!BJ261+Model!BK261+Model!BL261+Model!BM261+Model!BN261+Model!BO261+Model!BP261+Model!BQ261+Model!BR261+Model!BS261+Model!BT261+Model!BU261</f>
        <v>890965.433</v>
      </c>
      <c r="H25" s="80" t="n">
        <f aca="false">Model!BV261+Model!BW261+Model!BX261+Model!BY261+Model!BZ261+Model!CA261+Model!CB261+Model!CC261+Model!CD261+Model!CE261+Model!CF261+Model!CG261</f>
        <v>819993</v>
      </c>
      <c r="I25" s="80" t="n">
        <f aca="false">Model!CH261+Model!CI261+Model!CJ261+Model!CK261+Model!CL261+Model!CM261+Model!CN261+Model!CO261+Model!CP261+Model!CQ261+Model!CR261+Model!CS261</f>
        <v>2310160</v>
      </c>
      <c r="J25" s="80" t="n">
        <f aca="false">Model!CT261+Model!CU261+Model!CV261+Model!CW261+Model!CX261+Model!CY261+Model!CZ261+Model!DA261+Model!DB261+Model!DC261+Model!DD261+Model!DE261</f>
        <v>2772192</v>
      </c>
    </row>
    <row r="26" customFormat="false" ht="15" hidden="false" customHeight="true" outlineLevel="0" collapsed="false">
      <c r="A26" s="22" t="s">
        <v>122</v>
      </c>
      <c r="B26" s="13" t="n">
        <f aca="false">Model!E292+Model!F292+Model!G292+Model!H292+Model!I292+Model!J292+Model!K292+Model!L292+Model!M292+Model!B292+Model!C292+Model!D292</f>
        <v>-2370106.59333333</v>
      </c>
      <c r="C26" s="13" t="n">
        <f aca="false">Model!N292+Model!O292+Model!P292+Model!Q292+Model!R292+Model!S292+Model!T292+Model!U292+Model!V292+Model!W292+Model!X292+Model!Y292</f>
        <v>-2538947.624</v>
      </c>
      <c r="D26" s="13" t="n">
        <f aca="false">Model!Z292+Model!AA292+Model!AB292+Model!AC292+Model!AD292+Model!AE292+Model!AF292+Model!AG292+Model!AH292+Model!AI292+Model!AJ292+Model!AK292</f>
        <v>-2291478.99408</v>
      </c>
      <c r="E26" s="13" t="n">
        <f aca="false">Model!AL292+Model!AM292+Model!AN292+Model!AO292+Model!AP292+Model!AQ292+Model!AR292+Model!AS292+Model!AT292+Model!AU292+Model!AV292+Model!AW292</f>
        <v>-2499473.5739616</v>
      </c>
      <c r="F26" s="13" t="n">
        <f aca="false">Model!AX292+Model!AY292+Model!AZ292+Model!BA292+Model!BB292+Model!BC292+Model!BD292+Model!BE292+Model!BF292+Model!BG292+Model!BH292+Model!BI292</f>
        <v>-3658587.74544083</v>
      </c>
      <c r="G26" s="13" t="n">
        <f aca="false">Model!BJ292+Model!BK292+Model!BL292+Model!BM292+Model!BN292+Model!BO292+Model!BP292+Model!BQ292+Model!BR292+Model!BS292+Model!BT292+Model!BU292</f>
        <v>-2853611.01034965</v>
      </c>
      <c r="H26" s="13" t="n">
        <f aca="false">Model!BV292+Model!BW292+Model!BX292+Model!BY292+Model!BZ292+Model!CA292+Model!CB292+Model!CC292+Model!CD292+Model!CE292+Model!CF292+Model!CG292</f>
        <v>-3006895.62755664</v>
      </c>
      <c r="I26" s="13" t="n">
        <f aca="false">Model!CH292+Model!CI292+Model!CJ292+Model!CK292+Model!CL292+Model!CM292+Model!CN292+Model!CO292+Model!CP292+Model!CQ292+Model!CR292+Model!CS292</f>
        <v>-3330037.09350129</v>
      </c>
      <c r="J26" s="13" t="n">
        <f aca="false">Model!CT292+Model!CU292+Model!CV292+Model!CW292+Model!CX292+Model!CY292+Model!CZ292+Model!DA292+Model!DB292+Model!DC292+Model!DD292+Model!DE292</f>
        <v>-2700032.05290775</v>
      </c>
    </row>
    <row r="27" customFormat="false" ht="15" hidden="false" customHeight="true" outlineLevel="0" collapsed="false">
      <c r="A27" s="36" t="s">
        <v>138</v>
      </c>
      <c r="B27" s="37" t="n">
        <f aca="false">Model!E293+Model!F293+Model!G293+Model!H293+Model!I293+Model!J293+Model!K293+Model!L293+Model!M293+Model!B293+Model!C293+Model!D293</f>
        <v>-1754300.95333333</v>
      </c>
      <c r="C27" s="37" t="n">
        <f aca="false">Model!N293+Model!O293+Model!P293+Model!Q293+Model!R293+Model!S293+Model!T293+Model!U293+Model!V293+Model!W293+Model!X293+Model!Y293</f>
        <v>-1187654.27885714</v>
      </c>
      <c r="D27" s="37" t="n">
        <f aca="false">Model!Z293+Model!AA293+Model!AB293+Model!AC293+Model!AD293+Model!AE293+Model!AF293+Model!AG293+Model!AH293+Model!AI293+Model!AJ293+Model!AK293</f>
        <v>-271925.27958</v>
      </c>
      <c r="E27" s="37" t="n">
        <f aca="false">Model!AL293+Model!AM293+Model!AN293+Model!AO293+Model!AP293+Model!AQ293+Model!AR293+Model!AS293+Model!AT293+Model!AU293+Model!AV293+Model!AW293</f>
        <v>-1004414.5674616</v>
      </c>
      <c r="F27" s="37" t="n">
        <f aca="false">Model!AX293+Model!AY293+Model!AZ293+Model!BA293+Model!BB293+Model!BC293+Model!BD293+Model!BE293+Model!BF293+Model!BG293+Model!BH293+Model!BI293</f>
        <v>-1831774.82344083</v>
      </c>
      <c r="G27" s="37" t="n">
        <f aca="false">Model!BJ293+Model!BK293+Model!BL293+Model!BM293+Model!BN293+Model!BO293+Model!BP293+Model!BQ293+Model!BR293+Model!BS293+Model!BT293+Model!BU293</f>
        <v>-1962645.57734965</v>
      </c>
      <c r="H27" s="37" t="n">
        <f aca="false">Model!BV293+Model!BW293+Model!BX293+Model!BY293+Model!BZ293+Model!CA293+Model!CB293+Model!CC293+Model!CD293+Model!CE293+Model!CF293+Model!CG293</f>
        <v>-2186902.62755664</v>
      </c>
      <c r="I27" s="37" t="n">
        <f aca="false">Model!CH293+Model!CI293+Model!CJ293+Model!CK293+Model!CL293+Model!CM293+Model!CN293+Model!CO293+Model!CP293+Model!CQ293+Model!CR293+Model!CS293</f>
        <v>-1019877.0935013</v>
      </c>
      <c r="J27" s="37" t="n">
        <f aca="false">Model!CT293+Model!CU293+Model!CV293+Model!CW293+Model!CX293+Model!CY293+Model!CZ293+Model!DA293+Model!DB293+Model!DC293+Model!DD293+Model!DE293</f>
        <v>72159.9470922463</v>
      </c>
    </row>
    <row r="28" customFormat="false" ht="15" hidden="false" customHeight="true" outlineLevel="0" collapsed="false">
      <c r="A28" s="3"/>
      <c r="B28" s="13"/>
      <c r="C28" s="13"/>
      <c r="D28" s="13"/>
      <c r="E28" s="13"/>
      <c r="F28" s="13"/>
      <c r="G28" s="13"/>
      <c r="H28" s="13"/>
      <c r="I28" s="81"/>
      <c r="J28" s="81"/>
    </row>
    <row r="29" customFormat="false" ht="15" hidden="false" customHeight="true" outlineLevel="0" collapsed="false">
      <c r="A29" s="36" t="s">
        <v>288</v>
      </c>
      <c r="B29" s="37" t="n">
        <f aca="false">Model!E302+Model!F302+Model!G302+Model!H302+Model!I302+Model!J302+Model!K302+Model!L302+Model!M302+Model!B302+Model!C302+Model!D302</f>
        <v>409618.70920899</v>
      </c>
      <c r="C29" s="37" t="n">
        <f aca="false">Model!N302+Model!O302+Model!P302+Model!Q302+Model!R302+Model!S302+Model!T302+Model!U302+Model!V302+Model!W302+Model!X302+Model!Y302</f>
        <v>3165062.48124971</v>
      </c>
      <c r="D29" s="37" t="n">
        <f aca="false">Model!Z302+Model!AA302+Model!AB302+Model!AC302+Model!AD302+Model!AE302+Model!AF302+Model!AG302+Model!AH302+Model!AI302+Model!AJ302+Model!AK302</f>
        <v>8015251.30221096</v>
      </c>
      <c r="E29" s="37" t="n">
        <f aca="false">Model!AL302+Model!AM302+Model!AN302+Model!AO302+Model!AP302+Model!AQ302+Model!AR302+Model!AS302+Model!AT302+Model!AU302+Model!AV302+Model!AW302</f>
        <v>8991448.67937759</v>
      </c>
      <c r="F29" s="37" t="n">
        <f aca="false">Model!AX302+Model!AY302+Model!AZ302+Model!BA302+Model!BB302+Model!BC302+Model!BD302+Model!BE302+Model!BF302+Model!BG302+Model!BH302+Model!BI302</f>
        <v>7140865.72595933</v>
      </c>
      <c r="G29" s="37" t="n">
        <f aca="false">Model!BJ302+Model!BK302+Model!BL302+Model!BM302+Model!BN302+Model!BO302+Model!BP302+Model!BQ302+Model!BR302+Model!BS302+Model!BT302+Model!BU302</f>
        <v>2636801.22477918</v>
      </c>
      <c r="H29" s="37" t="n">
        <f aca="false">Model!BV302+Model!BW302+Model!BX302+Model!BY302+Model!BZ302+Model!CA302+Model!CB302+Model!CC302+Model!CD302+Model!CE302+Model!CF302+Model!CG302</f>
        <v>-5529428.76772855</v>
      </c>
      <c r="I29" s="37" t="n">
        <f aca="false">Model!CH302+Model!CI302+Model!CJ302+Model!CK302+Model!CL302+Model!CM302+Model!CN302+Model!CO302+Model!CP302+Model!CQ302+Model!CR302+Model!CS302</f>
        <v>-6240570.07561809</v>
      </c>
      <c r="J29" s="37" t="n">
        <f aca="false">Model!CT302+Model!CU302+Model!CV302+Model!CW302+Model!CX302+Model!CY302+Model!CZ302+Model!DA302+Model!DB302+Model!DC302+Model!DD302+Model!DE302</f>
        <v>-4622264.55059943</v>
      </c>
    </row>
    <row r="30" customFormat="false" ht="15" hidden="false" customHeight="true" outlineLevel="0" collapsed="false">
      <c r="A30" s="3"/>
      <c r="B30" s="13"/>
      <c r="C30" s="13"/>
      <c r="D30" s="13"/>
      <c r="E30" s="13"/>
      <c r="F30" s="13"/>
      <c r="G30" s="13"/>
      <c r="H30" s="13"/>
      <c r="I30" s="81"/>
      <c r="J30" s="81"/>
    </row>
    <row r="31" customFormat="false" ht="15" hidden="false" customHeight="true" outlineLevel="0" collapsed="false">
      <c r="A31" s="23" t="s">
        <v>289</v>
      </c>
      <c r="B31" s="25"/>
      <c r="C31" s="25"/>
      <c r="D31" s="25"/>
      <c r="E31" s="25"/>
      <c r="F31" s="25"/>
      <c r="G31" s="25"/>
      <c r="H31" s="25"/>
      <c r="I31" s="25"/>
      <c r="J31" s="25"/>
    </row>
    <row r="32" customFormat="false" ht="15" hidden="false" customHeight="true" outlineLevel="0" collapsed="false">
      <c r="A32" s="22" t="s">
        <v>290</v>
      </c>
      <c r="B32" s="13" t="n">
        <f aca="false">Model!E287+Model!F287+Model!G287+Model!H287+Model!I287+Model!J287+Model!K287+Model!L287+Model!M287+Model!B287+Model!C287+Model!D287</f>
        <v>0</v>
      </c>
      <c r="C32" s="13" t="n">
        <f aca="false">Model!N287+Model!O287+Model!P287+Model!Q287+Model!R287+Model!S287+Model!T287+Model!U287+Model!V287+Model!W287+Model!X287+Model!Y287</f>
        <v>-171223.12</v>
      </c>
      <c r="D32" s="13" t="n">
        <f aca="false">Model!Z287+Model!AA287+Model!AB287+Model!AC287+Model!AD287+Model!AE287+Model!AF287+Model!AG287+Model!AH287+Model!AI287+Model!AJ287+Model!AK287</f>
        <v>-0</v>
      </c>
      <c r="E32" s="13" t="n">
        <f aca="false">Model!AL287+Model!AM287+Model!AN287+Model!AO287+Model!AP287+Model!AQ287+Model!AR287+Model!AS287+Model!AT287+Model!AU287+Model!AV287+Model!AW287</f>
        <v>-0</v>
      </c>
      <c r="F32" s="13" t="n">
        <f aca="false">Model!AX287+Model!AY287+Model!AZ287+Model!BA287+Model!BB287+Model!BC287+Model!BD287+Model!BE287+Model!BF287+Model!BG287+Model!BH287+Model!BI287</f>
        <v>-0</v>
      </c>
      <c r="G32" s="13" t="n">
        <f aca="false">Model!BJ287+Model!BK287+Model!BL287+Model!BM287+Model!BN287+Model!BO287+Model!BP287+Model!BQ287+Model!BR287+Model!BS287+Model!BT287+Model!BU287</f>
        <v>-0</v>
      </c>
      <c r="H32" s="13" t="n">
        <f aca="false">Model!BV287+Model!BW287+Model!BX287+Model!BY287+Model!BZ287+Model!CA287+Model!CB287+Model!CC287+Model!CD287+Model!CE287+Model!CF287+Model!CG287</f>
        <v>-0</v>
      </c>
      <c r="I32" s="13" t="n">
        <f aca="false">Model!CH287+Model!CI287+Model!CJ287+Model!CK287+Model!CL287+Model!CM287+Model!CN287+Model!CO287+Model!CP287+Model!CQ287+Model!CR287+Model!CS287</f>
        <v>-0</v>
      </c>
      <c r="J32" s="13" t="n">
        <f aca="false">Model!CT287+Model!CU287+Model!CV287+Model!CW287+Model!CX287+Model!CY287+Model!CZ287+Model!DA287+Model!DB287+Model!DC287+Model!DD287+Model!DE287</f>
        <v>-0</v>
      </c>
    </row>
    <row r="33" customFormat="false" ht="15" hidden="false" customHeight="true" outlineLevel="0" collapsed="false">
      <c r="A33" s="22" t="s">
        <v>291</v>
      </c>
      <c r="B33" s="13" t="n">
        <f aca="false">Model!E288+Model!F288+Model!G288+Model!H288+Model!I288+Model!J288+Model!K288+Model!L288+Model!M288+Model!B288+Model!C288+Model!D288</f>
        <v>0</v>
      </c>
      <c r="C33" s="13" t="n">
        <f aca="false">Model!N288+Model!O288+Model!P288+Model!Q288+Model!R288+Model!S288+Model!T288+Model!U288+Model!V288+Model!W288+Model!X288+Model!Y288</f>
        <v>-120000</v>
      </c>
      <c r="D33" s="13" t="n">
        <f aca="false">Model!Z288+Model!AA288+Model!AB288+Model!AC288+Model!AD288+Model!AE288+Model!AF288+Model!AG288+Model!AH288+Model!AI288+Model!AJ288+Model!AK288</f>
        <v>-0</v>
      </c>
      <c r="E33" s="13" t="n">
        <f aca="false">Model!AL288+Model!AM288+Model!AN288+Model!AO288+Model!AP288+Model!AQ288+Model!AR288+Model!AS288+Model!AT288+Model!AU288+Model!AV288+Model!AW288</f>
        <v>-0</v>
      </c>
      <c r="F33" s="13" t="n">
        <f aca="false">Model!AX288+Model!AY288+Model!AZ288+Model!BA288+Model!BB288+Model!BC288+Model!BD288+Model!BE288+Model!BF288+Model!BG288+Model!BH288+Model!BI288</f>
        <v>-0</v>
      </c>
      <c r="G33" s="13" t="n">
        <f aca="false">Model!BJ288+Model!BK288+Model!BL288+Model!BM288+Model!BN288+Model!BO288+Model!BP288+Model!BQ288+Model!BR288+Model!BS288+Model!BT288+Model!BU288</f>
        <v>-0</v>
      </c>
      <c r="H33" s="13" t="n">
        <f aca="false">Model!BV288+Model!BW288+Model!BX288+Model!BY288+Model!BZ288+Model!CA288+Model!CB288+Model!CC288+Model!CD288+Model!CE288+Model!CF288+Model!CG288</f>
        <v>-0</v>
      </c>
      <c r="I33" s="13" t="n">
        <f aca="false">Model!CH288+Model!CI288+Model!CJ288+Model!CK288+Model!CL288+Model!CM288+Model!CN288+Model!CO288+Model!CP288+Model!CQ288+Model!CR288+Model!CS288</f>
        <v>-0</v>
      </c>
      <c r="J33" s="13" t="n">
        <f aca="false">Model!CT288+Model!CU288+Model!CV288+Model!CW288+Model!CX288+Model!CY288+Model!CZ288+Model!DA288+Model!DB288+Model!DC288+Model!DD288+Model!DE288</f>
        <v>-0</v>
      </c>
    </row>
    <row r="34" customFormat="false" ht="15" hidden="false" customHeight="true" outlineLevel="0" collapsed="false">
      <c r="A34" s="22" t="s">
        <v>292</v>
      </c>
      <c r="B34" s="13" t="n">
        <f aca="false">Model!E289+Model!F289+Model!G289+Model!H289+Model!I289+Model!J289+Model!K289+Model!L289+Model!M289+Model!B289+Model!C289+Model!D289</f>
        <v>0</v>
      </c>
      <c r="C34" s="13" t="n">
        <f aca="false">Model!N289+Model!O289+Model!P289+Model!Q289+Model!R289+Model!S289+Model!T289+Model!U289+Model!V289+Model!W289+Model!X289+Model!Y289</f>
        <v>-0</v>
      </c>
      <c r="D34" s="13" t="n">
        <f aca="false">Model!Z289+Model!AA289+Model!AB289+Model!AC289+Model!AD289+Model!AE289+Model!AF289+Model!AG289+Model!AH289+Model!AI289+Model!AJ289+Model!AK289</f>
        <v>-0</v>
      </c>
      <c r="E34" s="13" t="n">
        <f aca="false">Model!AL289+Model!AM289+Model!AN289+Model!AO289+Model!AP289+Model!AQ289+Model!AR289+Model!AS289+Model!AT289+Model!AU289+Model!AV289+Model!AW289</f>
        <v>-163365</v>
      </c>
      <c r="F34" s="13" t="n">
        <f aca="false">Model!AX289+Model!AY289+Model!AZ289+Model!BA289+Model!BB289+Model!BC289+Model!BD289+Model!BE289+Model!BF289+Model!BG289+Model!BH289+Model!BI289</f>
        <v>-281718</v>
      </c>
      <c r="G34" s="13" t="n">
        <f aca="false">Model!BJ289+Model!BK289+Model!BL289+Model!BM289+Model!BN289+Model!BO289+Model!BP289+Model!BQ289+Model!BR289+Model!BS289+Model!BT289+Model!BU289</f>
        <v>-132864.65</v>
      </c>
      <c r="H34" s="13" t="n">
        <f aca="false">Model!BV289+Model!BW289+Model!BX289+Model!BY289+Model!BZ289+Model!CA289+Model!CB289+Model!CC289+Model!CD289+Model!CE289+Model!CF289+Model!CG289</f>
        <v>-0</v>
      </c>
      <c r="I34" s="13" t="n">
        <f aca="false">Model!CH289+Model!CI289+Model!CJ289+Model!CK289+Model!CL289+Model!CM289+Model!CN289+Model!CO289+Model!CP289+Model!CQ289+Model!CR289+Model!CS289</f>
        <v>-0</v>
      </c>
      <c r="J34" s="13" t="n">
        <f aca="false">Model!CT289+Model!CU289+Model!CV289+Model!CW289+Model!CX289+Model!CY289+Model!CZ289+Model!DA289+Model!DB289+Model!DC289+Model!DD289+Model!DE289</f>
        <v>-0</v>
      </c>
    </row>
    <row r="35" customFormat="false" ht="15" hidden="false" customHeight="true" outlineLevel="0" collapsed="false">
      <c r="A35" s="22" t="s">
        <v>293</v>
      </c>
      <c r="B35" s="13" t="n">
        <f aca="false">Model!E290+Model!F290+Model!G290+Model!H290+Model!I290+Model!J290+Model!K290+Model!L290+Model!M290+Model!B290+Model!C290+Model!D290</f>
        <v>0</v>
      </c>
      <c r="C35" s="13" t="n">
        <f aca="false">Model!N290+Model!O290+Model!P290+Model!Q290+Model!R290+Model!S290+Model!T290+Model!U290+Model!V290+Model!W290+Model!X290+Model!Y290</f>
        <v>-0</v>
      </c>
      <c r="D35" s="13" t="n">
        <f aca="false">Model!Z290+Model!AA290+Model!AB290+Model!AC290+Model!AD290+Model!AE290+Model!AF290+Model!AG290+Model!AH290+Model!AI290+Model!AJ290+Model!AK290</f>
        <v>-0</v>
      </c>
      <c r="E35" s="13" t="n">
        <f aca="false">Model!AL290+Model!AM290+Model!AN290+Model!AO290+Model!AP290+Model!AQ290+Model!AR290+Model!AS290+Model!AT290+Model!AU290+Model!AV290+Model!AW290</f>
        <v>-0</v>
      </c>
      <c r="F35" s="13" t="n">
        <f aca="false">Model!AX290+Model!AY290+Model!AZ290+Model!BA290+Model!BB290+Model!BC290+Model!BD290+Model!BE290+Model!BF290+Model!BG290+Model!BH290+Model!BI290</f>
        <v>-995239</v>
      </c>
      <c r="G35" s="13" t="n">
        <f aca="false">Model!BJ290+Model!BK290+Model!BL290+Model!BM290+Model!BN290+Model!BO290+Model!BP290+Model!BQ290+Model!BR290+Model!BS290+Model!BT290+Model!BU290</f>
        <v>-292683</v>
      </c>
      <c r="H35" s="13" t="n">
        <f aca="false">Model!BV290+Model!BW290+Model!BX290+Model!BY290+Model!BZ290+Model!CA290+Model!CB290+Model!CC290+Model!CD290+Model!CE290+Model!CF290+Model!CG290</f>
        <v>-312005</v>
      </c>
      <c r="I35" s="13" t="n">
        <f aca="false">Model!CH290+Model!CI290+Model!CJ290+Model!CK290+Model!CL290+Model!CM290+Model!CN290+Model!CO290+Model!CP290+Model!CQ290+Model!CR290+Model!CS290</f>
        <v>-74753.9733935208</v>
      </c>
      <c r="J35" s="13" t="n">
        <f aca="false">Model!CT290+Model!CU290+Model!CV290+Model!CW290+Model!CX290+Model!CY290+Model!CZ290+Model!DA290+Model!DB290+Model!DC290+Model!DD290+Model!DE290</f>
        <v>-0</v>
      </c>
    </row>
    <row r="36" customFormat="false" ht="15" hidden="false" customHeight="true" outlineLevel="0" collapsed="false">
      <c r="A36" s="22" t="s">
        <v>294</v>
      </c>
      <c r="B36" s="13" t="n">
        <f aca="false">Model!E291+Model!F291+Model!G291+Model!H291+Model!I291+Model!J291+Model!K291+Model!L291+Model!M291+Model!B291+Model!C291+Model!D291</f>
        <v>0</v>
      </c>
      <c r="C36" s="13" t="n">
        <f aca="false">Model!N291+Model!O291+Model!P291+Model!Q291+Model!R291+Model!S291+Model!T291+Model!U291+Model!V291+Model!W291+Model!X291+Model!Y291</f>
        <v>-0</v>
      </c>
      <c r="D36" s="13" t="n">
        <f aca="false">Model!Z291+Model!AA291+Model!AB291+Model!AC291+Model!AD291+Model!AE291+Model!AF291+Model!AG291+Model!AH291+Model!AI291+Model!AJ291+Model!AK291</f>
        <v>-0</v>
      </c>
      <c r="E36" s="13" t="n">
        <f aca="false">Model!AL291+Model!AM291+Model!AN291+Model!AO291+Model!AP291+Model!AQ291+Model!AR291+Model!AS291+Model!AT291+Model!AU291+Model!AV291+Model!AW291</f>
        <v>-0</v>
      </c>
      <c r="F36" s="13" t="n">
        <f aca="false">Model!AX291+Model!AY291+Model!AZ291+Model!BA291+Model!BB291+Model!BC291+Model!BD291+Model!BE291+Model!BF291+Model!BG291+Model!BH291+Model!BI291</f>
        <v>-0</v>
      </c>
      <c r="G36" s="13" t="n">
        <f aca="false">Model!BJ291+Model!BK291+Model!BL291+Model!BM291+Model!BN291+Model!BO291+Model!BP291+Model!BQ291+Model!BR291+Model!BS291+Model!BT291+Model!BU291</f>
        <v>-0</v>
      </c>
      <c r="H36" s="13" t="n">
        <f aca="false">Model!BV291+Model!BW291+Model!BX291+Model!BY291+Model!BZ291+Model!CA291+Model!CB291+Model!CC291+Model!CD291+Model!CE291+Model!CF291+Model!CG291</f>
        <v>-219466</v>
      </c>
      <c r="I36" s="13" t="n">
        <f aca="false">Model!CH291+Model!CI291+Model!CJ291+Model!CK291+Model!CL291+Model!CM291+Model!CN291+Model!CO291+Model!CP291+Model!CQ291+Model!CR291+Model!CS291</f>
        <v>-731550</v>
      </c>
      <c r="J36" s="13" t="n">
        <f aca="false">Model!CT291+Model!CU291+Model!CV291+Model!CW291+Model!CX291+Model!CY291+Model!CZ291+Model!DA291+Model!DB291+Model!DC291+Model!DD291+Model!DE291</f>
        <v>-236911.848936407</v>
      </c>
    </row>
    <row r="37" customFormat="false" ht="15" hidden="false" customHeight="true" outlineLevel="0" collapsed="false">
      <c r="A37" s="3"/>
      <c r="B37" s="13"/>
      <c r="C37" s="13"/>
      <c r="D37" s="13"/>
      <c r="E37" s="13"/>
      <c r="F37" s="13"/>
      <c r="G37" s="13"/>
      <c r="H37" s="13"/>
      <c r="I37" s="81"/>
      <c r="J37" s="81"/>
    </row>
    <row r="38" customFormat="false" ht="15" hidden="false" customHeight="true" outlineLevel="0" collapsed="false">
      <c r="A38" s="23" t="s">
        <v>295</v>
      </c>
      <c r="B38" s="25"/>
      <c r="C38" s="25"/>
      <c r="D38" s="25"/>
      <c r="E38" s="25"/>
      <c r="F38" s="25"/>
      <c r="G38" s="25"/>
      <c r="H38" s="25"/>
      <c r="I38" s="25"/>
      <c r="J38" s="25"/>
    </row>
    <row r="39" customFormat="false" ht="15" hidden="false" customHeight="true" outlineLevel="0" collapsed="false">
      <c r="A39" s="22" t="s">
        <v>296</v>
      </c>
      <c r="B39" s="13" t="n">
        <f aca="false">Model!E310+Model!F310+Model!G310+Model!H310+Model!I310+Model!J310+Model!K310+Model!L310+Model!M310+Model!B310+Model!C310+Model!D310</f>
        <v>0</v>
      </c>
      <c r="C39" s="13" t="n">
        <f aca="false">Model!N310+Model!O310+Model!P310+Model!Q310+Model!R310+Model!S310+Model!T310+Model!U310+Model!V310+Model!W310+Model!X310+Model!Y310</f>
        <v>-1344000</v>
      </c>
      <c r="D39" s="13" t="n">
        <f aca="false">Model!Z310+Model!AA310+Model!AB310+Model!AC310+Model!AD310+Model!AE310+Model!AF310+Model!AG310+Model!AH310+Model!AI310+Model!AJ310+Model!AK310</f>
        <v>-651981.430278598</v>
      </c>
      <c r="E39" s="13" t="n">
        <f aca="false">Model!AL310+Model!AM310+Model!AN310+Model!AO310+Model!AP310+Model!AQ310+Model!AR310+Model!AS310+Model!AT310+Model!AU310+Model!AV310+Model!AW310</f>
        <v>0</v>
      </c>
      <c r="F39" s="13" t="n">
        <f aca="false">Model!AX310+Model!AY310+Model!AZ310+Model!BA310+Model!BB310+Model!BC310+Model!BD310+Model!BE310+Model!BF310+Model!BG310+Model!BH310+Model!BI310</f>
        <v>0</v>
      </c>
      <c r="G39" s="13" t="n">
        <f aca="false">Model!BJ310+Model!BK310+Model!BL310+Model!BM310+Model!BN310+Model!BO310+Model!BP310+Model!BQ310+Model!BR310+Model!BS310+Model!BT310+Model!BU310</f>
        <v>0</v>
      </c>
      <c r="H39" s="13" t="n">
        <f aca="false">Model!BV310+Model!BW310+Model!BX310+Model!BY310+Model!BZ310+Model!CA310+Model!CB310+Model!CC310+Model!CD310+Model!CE310+Model!CF310+Model!CG310</f>
        <v>0</v>
      </c>
      <c r="I39" s="13" t="n">
        <f aca="false">Model!CH310+Model!CI310+Model!CJ310+Model!CK310+Model!CL310+Model!CM310+Model!CN310+Model!CO310+Model!CP310+Model!CQ310+Model!CR310+Model!CS310</f>
        <v>0</v>
      </c>
      <c r="J39" s="13" t="n">
        <f aca="false">Model!CT310+Model!CU310+Model!CV310+Model!CW310+Model!CX310+Model!CY310+Model!CZ310+Model!DA310+Model!DB310+Model!DC310+Model!DD310+Model!DE310</f>
        <v>0</v>
      </c>
    </row>
    <row r="40" customFormat="false" ht="15" hidden="false" customHeight="true" outlineLevel="0" collapsed="false">
      <c r="A40" s="22" t="s">
        <v>297</v>
      </c>
      <c r="B40" s="13" t="n">
        <f aca="false">Model!M311</f>
        <v>1804127.58143555</v>
      </c>
      <c r="C40" s="13" t="n">
        <f aca="false">Model!Y311</f>
        <v>633307.759294967</v>
      </c>
      <c r="D40" s="13" t="n">
        <f aca="false">Model!AK311</f>
        <v>0</v>
      </c>
      <c r="E40" s="13" t="n">
        <f aca="false">Model!AW311</f>
        <v>0</v>
      </c>
      <c r="F40" s="13" t="n">
        <f aca="false">Model!BI311</f>
        <v>0</v>
      </c>
      <c r="G40" s="13" t="n">
        <f aca="false">Model!BU311</f>
        <v>0</v>
      </c>
      <c r="H40" s="13" t="n">
        <f aca="false">Model!CG311</f>
        <v>0</v>
      </c>
      <c r="I40" s="13" t="n">
        <f aca="false">Model!CS311</f>
        <v>0</v>
      </c>
      <c r="J40" s="13" t="n">
        <f aca="false">Model!DE311</f>
        <v>0</v>
      </c>
    </row>
    <row r="41" customFormat="false" ht="15" hidden="false" customHeight="true" outlineLevel="0" collapsed="false">
      <c r="A41" s="22" t="s">
        <v>298</v>
      </c>
      <c r="B41" s="13" t="n">
        <f aca="false">Model!E316+Model!F316+Model!G316+Model!H316+Model!I316+Model!J316+Model!K316+Model!L316+Model!M316+Model!B316+Model!C316+Model!D316</f>
        <v>0</v>
      </c>
      <c r="C41" s="13" t="n">
        <f aca="false">Model!N316+Model!O316+Model!P316+Model!Q316+Model!R316+Model!S316+Model!T316+Model!U316+Model!V316+Model!W316+Model!X316+Model!Y316</f>
        <v>0</v>
      </c>
      <c r="D41" s="13" t="n">
        <f aca="false">Model!Z316+Model!AA316+Model!AB316+Model!AC316+Model!AD316+Model!AE316+Model!AF316+Model!AG316+Model!AH316+Model!AI316+Model!AJ316+Model!AK316</f>
        <v>-250000</v>
      </c>
      <c r="E41" s="13" t="n">
        <f aca="false">Model!AL316+Model!AM316+Model!AN316+Model!AO316+Model!AP316+Model!AQ316+Model!AR316+Model!AS316+Model!AT316+Model!AU316+Model!AV316+Model!AW316</f>
        <v>-250000</v>
      </c>
      <c r="F41" s="13" t="n">
        <f aca="false">Model!AX316+Model!AY316+Model!AZ316+Model!BA316+Model!BB316+Model!BC316+Model!BD316+Model!BE316+Model!BF316+Model!BG316+Model!BH316+Model!BI316</f>
        <v>-250000</v>
      </c>
      <c r="G41" s="13" t="n">
        <f aca="false">Model!BJ316+Model!BK316+Model!BL316+Model!BM316+Model!BN316+Model!BO316+Model!BP316+Model!BQ316+Model!BR316+Model!BS316+Model!BT316+Model!BU316</f>
        <v>-250000</v>
      </c>
      <c r="H41" s="13" t="n">
        <f aca="false">Model!BV316+Model!BW316+Model!BX316+Model!BY316+Model!BZ316+Model!CA316+Model!CB316+Model!CC316+Model!CD316+Model!CE316+Model!CF316+Model!CG316</f>
        <v>0</v>
      </c>
      <c r="I41" s="13" t="n">
        <f aca="false">Model!CH316+Model!CI316+Model!CJ316+Model!CK316+Model!CL316+Model!CM316+Model!CN316+Model!CO316+Model!CP316+Model!CQ316+Model!CR316+Model!CS316</f>
        <v>0</v>
      </c>
      <c r="J41" s="13" t="n">
        <f aca="false">Model!CT316+Model!CU316+Model!CV316+Model!CW316+Model!CX316+Model!CY316+Model!CZ316+Model!DA316+Model!DB316+Model!DC316+Model!DD316+Model!DE316</f>
        <v>0</v>
      </c>
    </row>
    <row r="42" customFormat="false" ht="15" hidden="false" customHeight="true" outlineLevel="0" collapsed="false">
      <c r="A42" s="22" t="s">
        <v>299</v>
      </c>
      <c r="B42" s="13" t="n">
        <f aca="false">Model!M317</f>
        <v>1000000</v>
      </c>
      <c r="C42" s="13" t="n">
        <f aca="false">Model!Y317</f>
        <v>1000000</v>
      </c>
      <c r="D42" s="13" t="n">
        <f aca="false">Model!AK317</f>
        <v>750000</v>
      </c>
      <c r="E42" s="13" t="n">
        <f aca="false">Model!AW317</f>
        <v>500000</v>
      </c>
      <c r="F42" s="13" t="n">
        <f aca="false">Model!BI317</f>
        <v>250000</v>
      </c>
      <c r="G42" s="13" t="n">
        <f aca="false">Model!BU317</f>
        <v>0</v>
      </c>
      <c r="H42" s="13" t="n">
        <f aca="false">Model!CG317</f>
        <v>0</v>
      </c>
      <c r="I42" s="13" t="n">
        <f aca="false">Model!CS317</f>
        <v>0</v>
      </c>
      <c r="J42" s="13" t="n">
        <f aca="false">Model!DE317</f>
        <v>0</v>
      </c>
    </row>
    <row r="43" customFormat="false" ht="15" hidden="false" customHeight="true" outlineLevel="0" collapsed="false">
      <c r="A43" s="22" t="s">
        <v>300</v>
      </c>
      <c r="B43" s="13" t="n">
        <f aca="false">Model!E370+Model!F370+Model!G370+Model!H370+Model!I370+Model!J370+Model!K370+Model!L370+Model!M370+Model!B370+Model!C370+Model!D370</f>
        <v>0</v>
      </c>
      <c r="C43" s="13" t="n">
        <f aca="false">Model!N370+Model!O370+Model!P370+Model!Q370+Model!R370+Model!S370+Model!T370+Model!U370+Model!V370+Model!W370+Model!X370+Model!Y370</f>
        <v>0</v>
      </c>
      <c r="D43" s="13" t="n">
        <f aca="false">Model!Z370+Model!AA370+Model!AB370+Model!AC370+Model!AD370+Model!AE370+Model!AF370+Model!AG370+Model!AH370+Model!AI370+Model!AJ370+Model!AK370</f>
        <v>0</v>
      </c>
      <c r="E43" s="13" t="n">
        <f aca="false">Model!AL370+Model!AM370+Model!AN370+Model!AO370+Model!AP370+Model!AQ370+Model!AR370+Model!AS370+Model!AT370+Model!AU370+Model!AV370+Model!AW370</f>
        <v>0</v>
      </c>
      <c r="F43" s="13" t="n">
        <f aca="false">Model!AX370+Model!AY370+Model!AZ370+Model!BA370+Model!BB370+Model!BC370+Model!BD370+Model!BE370+Model!BF370+Model!BG370+Model!BH370+Model!BI370</f>
        <v>0</v>
      </c>
      <c r="G43" s="13" t="n">
        <f aca="false">Model!BJ370+Model!BK370+Model!BL370+Model!BM370+Model!BN370+Model!BO370+Model!BP370+Model!BQ370+Model!BR370+Model!BS370+Model!BT370+Model!BU370</f>
        <v>0</v>
      </c>
      <c r="H43" s="13" t="n">
        <f aca="false">Model!BV370+Model!BW370+Model!BX370+Model!BY370+Model!BZ370+Model!CA370+Model!CB370+Model!CC370+Model!CD370+Model!CE370+Model!CF370+Model!CG370</f>
        <v>0</v>
      </c>
      <c r="I43" s="13" t="n">
        <f aca="false">Model!CH370+Model!CI370+Model!CJ370+Model!CK370+Model!CL370+Model!CM370+Model!CN370+Model!CO370+Model!CP370+Model!CQ370+Model!CR370+Model!CS370</f>
        <v>0</v>
      </c>
      <c r="J43" s="13" t="n">
        <f aca="false">Model!CT370+Model!CU370+Model!CV370+Model!CW370+Model!CX370+Model!CY370+Model!CZ370+Model!DA370+Model!DB370+Model!DC370+Model!DD370+Model!DE370</f>
        <v>0</v>
      </c>
    </row>
    <row r="44" customFormat="false" ht="15" hidden="false" customHeight="true" outlineLevel="0" collapsed="false">
      <c r="A44" s="22" t="s">
        <v>301</v>
      </c>
      <c r="B44" s="13" t="n">
        <f aca="false">Model!M324+Model!M329+Model!M334+Model!M339</f>
        <v>2378399.92018311</v>
      </c>
      <c r="C44" s="13" t="n">
        <f aca="false">Model!Y324+Model!Y329+Model!Y334+Model!Y339</f>
        <v>1714451.09866009</v>
      </c>
      <c r="D44" s="13" t="n">
        <f aca="false">Model!AK324+Model!AK329+Model!AK334+Model!AK339</f>
        <v>1035128.51554915</v>
      </c>
      <c r="E44" s="13" t="n">
        <f aca="false">Model!AW324+Model!AW329+Model!AW334+Model!AW339</f>
        <v>1199352.08415979</v>
      </c>
      <c r="F44" s="13" t="n">
        <f aca="false">Model!BI324+Model!BI329+Model!BI334+Model!BI339</f>
        <v>975331.495449082</v>
      </c>
      <c r="G44" s="13" t="n">
        <f aca="false">Model!BU324+Model!BU329+Model!BU334+Model!BU339</f>
        <v>820735.28594806</v>
      </c>
      <c r="H44" s="13" t="n">
        <f aca="false">Model!CG324+Model!CG329+Model!CG334+Model!CG339</f>
        <v>621470.381107174</v>
      </c>
      <c r="I44" s="13" t="n">
        <f aca="false">Model!CS324+Model!CS329+Model!CS334+Model!CS339</f>
        <v>233637.0833122</v>
      </c>
      <c r="J44" s="13" t="n">
        <f aca="false">Model!DE324+Model!DE329+Model!DE334+Model!DE339</f>
        <v>0</v>
      </c>
    </row>
    <row r="45" customFormat="false" ht="15" hidden="false" customHeight="true" outlineLevel="0" collapsed="false">
      <c r="A45" s="3"/>
      <c r="B45" s="13"/>
      <c r="C45" s="13"/>
      <c r="D45" s="13"/>
      <c r="E45" s="13"/>
      <c r="F45" s="13"/>
      <c r="G45" s="13"/>
      <c r="H45" s="13"/>
      <c r="I45" s="81"/>
      <c r="J45" s="81"/>
    </row>
    <row r="46" customFormat="false" ht="15" hidden="false" customHeight="true" outlineLevel="0" collapsed="false">
      <c r="A46" s="22" t="s">
        <v>302</v>
      </c>
      <c r="B46" s="13" t="n">
        <f aca="false">Model!M350</f>
        <v>93841157.4299332</v>
      </c>
      <c r="C46" s="13" t="n">
        <f aca="false">Model!Y350</f>
        <v>101419054.905732</v>
      </c>
      <c r="D46" s="13" t="n">
        <f aca="false">Model!AK350</f>
        <v>62570340.652485</v>
      </c>
      <c r="E46" s="13" t="n">
        <f aca="false">Model!AW350</f>
        <v>27179280.501624</v>
      </c>
      <c r="F46" s="13" t="n">
        <f aca="false">Model!BI350</f>
        <v>23231535</v>
      </c>
      <c r="G46" s="13" t="n">
        <f aca="false">Model!BU350</f>
        <v>2975850</v>
      </c>
      <c r="H46" s="13" t="n">
        <f aca="false">Model!CG350</f>
        <v>0</v>
      </c>
      <c r="I46" s="13" t="n">
        <f aca="false">Model!CS350</f>
        <v>0</v>
      </c>
      <c r="J46" s="13" t="n">
        <f aca="false">Model!DE350</f>
        <v>0</v>
      </c>
    </row>
    <row r="47" customFormat="false" ht="15" hidden="false" customHeight="true" outlineLevel="0" collapsed="false">
      <c r="A47" s="3"/>
      <c r="B47" s="13"/>
      <c r="C47" s="13"/>
      <c r="D47" s="13"/>
      <c r="E47" s="13"/>
      <c r="F47" s="13"/>
      <c r="G47" s="13"/>
      <c r="H47" s="13"/>
      <c r="I47" s="81"/>
      <c r="J47" s="81"/>
    </row>
    <row r="48" customFormat="false" ht="15" hidden="false" customHeight="true" outlineLevel="0" collapsed="false">
      <c r="A48" s="82" t="s">
        <v>188</v>
      </c>
      <c r="B48" s="83" t="n">
        <f aca="false">Model!M363</f>
        <v>2168054.84711936</v>
      </c>
      <c r="C48" s="83" t="n">
        <f aca="false">Model!Y363</f>
        <v>4415467.61553319</v>
      </c>
      <c r="D48" s="83" t="n">
        <f aca="false">Model!AK363</f>
        <v>12353902.7304353</v>
      </c>
      <c r="E48" s="83" t="n">
        <f aca="false">Model!AW363</f>
        <v>22315906.6308388</v>
      </c>
      <c r="F48" s="83" t="n">
        <f aca="false">Model!BI363</f>
        <v>31877698.4199326</v>
      </c>
      <c r="G48" s="83" t="n">
        <f aca="false">Model!BU363</f>
        <v>37068566.0095614</v>
      </c>
      <c r="H48" s="83" t="n">
        <f aca="false">Model!CG363</f>
        <v>34785179.6918895</v>
      </c>
      <c r="I48" s="83" t="n">
        <f aca="false">Model!CS363</f>
        <v>29564486.7097727</v>
      </c>
      <c r="J48" s="83" t="n">
        <f aca="false">Model!DE363</f>
        <v>24870062.212081</v>
      </c>
    </row>
    <row r="49" customFormat="false" ht="15" hidden="false" customHeight="true" outlineLevel="0" collapsed="false">
      <c r="A49" s="82" t="s">
        <v>195</v>
      </c>
      <c r="B49" s="83" t="n">
        <f aca="false">Model!M371</f>
        <v>61600.4666666667</v>
      </c>
      <c r="C49" s="83" t="n">
        <f aca="false">Model!Y371</f>
        <v>-2470053.81219048</v>
      </c>
      <c r="D49" s="83" t="n">
        <f aca="false">Model!AK371</f>
        <v>-3643960.52204908</v>
      </c>
      <c r="E49" s="83" t="n">
        <f aca="false">Model!AW371</f>
        <v>-4898375.08951068</v>
      </c>
      <c r="F49" s="83" t="n">
        <f aca="false">Model!BI371</f>
        <v>-6980149.91295151</v>
      </c>
      <c r="G49" s="83" t="n">
        <f aca="false">Model!BU371</f>
        <v>-9192795.49030116</v>
      </c>
      <c r="H49" s="83" t="n">
        <f aca="false">Model!CG371</f>
        <v>-11379698.1178578</v>
      </c>
      <c r="I49" s="83" t="n">
        <f aca="false">Model!CS371</f>
        <v>-12399575.2113591</v>
      </c>
      <c r="J49" s="83" t="n">
        <f aca="false">Model!DE371</f>
        <v>-12327415.2642669</v>
      </c>
    </row>
    <row r="50" customFormat="false" ht="15" hidden="false" customHeight="true" outlineLevel="0" collapsed="false">
      <c r="A50" s="82" t="s">
        <v>198</v>
      </c>
      <c r="B50" s="83" t="n">
        <f aca="false">Model!E375+Model!F375+Model!G375+Model!H375+Model!I375+Model!J375+Model!K375+Model!L375+Model!M375+Model!B375+Model!C375+Model!D375</f>
        <v>0</v>
      </c>
      <c r="C50" s="83" t="n">
        <f aca="false">Model!N375+Model!O375+Model!P375+Model!Q375+Model!R375+Model!S375+Model!T375+Model!U375+Model!V375+Model!W375+Model!X375+Model!Y375</f>
        <v>-206038.210732122</v>
      </c>
      <c r="D50" s="83" t="n">
        <f aca="false">Model!Z375+Model!AA375+Model!AB375+Model!AC375+Model!AD375+Model!AE375+Model!AF375+Model!AG375+Model!AH375+Model!AI375+Model!AJ375+Model!AK375</f>
        <v>-1592026.4280686</v>
      </c>
      <c r="E50" s="83" t="n">
        <f aca="false">Model!AL375+Model!AM375+Model!AN375+Model!AO375+Model!AP375+Model!AQ375+Model!AR375+Model!AS375+Model!AT375+Model!AU375+Model!AV375+Model!AW375</f>
        <v>-4031671.40501211</v>
      </c>
      <c r="F50" s="83" t="n">
        <f aca="false">Model!AX375+Model!AY375+Model!AZ375+Model!BA375+Model!BB375+Model!BC375+Model!BD375+Model!BE375+Model!BF375+Model!BG375+Model!BH375+Model!BI375</f>
        <v>-4522698.68572693</v>
      </c>
      <c r="G50" s="83" t="n">
        <f aca="false">Model!BJ375+Model!BK375+Model!BL375+Model!BM375+Model!BN375+Model!BO375+Model!BP375+Model!BQ375+Model!BR375+Model!BS375+Model!BT375+Model!BU375</f>
        <v>-3591855.46015754</v>
      </c>
      <c r="H50" s="83" t="n">
        <f aca="false">Model!BV375+Model!BW375+Model!BX375+Model!BY375+Model!BZ375+Model!CA375+Model!CB375+Model!CC375+Model!CD375+Model!CE375+Model!CF375+Model!CG375</f>
        <v>-1326311.01606393</v>
      </c>
      <c r="I50" s="83" t="n">
        <f aca="false">Model!CH375+Model!CI375+Model!CJ375+Model!CK375+Model!CL375+Model!CM375+Model!CN375+Model!CO375+Model!CP375+Model!CQ375+Model!CR375+Model!CS375</f>
        <v>0</v>
      </c>
      <c r="J50" s="83" t="n">
        <f aca="false">Model!CT375+Model!CU375+Model!CV375+Model!CW375+Model!CX375+Model!CY375+Model!CZ375+Model!DA375+Model!DB375+Model!DC375+Model!DD375+Model!DE375</f>
        <v>0</v>
      </c>
    </row>
    <row r="51" customFormat="false" ht="15" hidden="false" customHeight="true" outlineLevel="0" collapsed="false">
      <c r="A51" s="27" t="s">
        <v>303</v>
      </c>
      <c r="B51" s="84" t="n">
        <f aca="false">Model!M376</f>
        <v>2229655.31378602</v>
      </c>
      <c r="C51" s="84" t="n">
        <f aca="false">Model!Y376</f>
        <v>1945413.80334272</v>
      </c>
      <c r="D51" s="84" t="n">
        <f aca="false">Model!AK376</f>
        <v>8709942.20838621</v>
      </c>
      <c r="E51" s="84" t="n">
        <f aca="false">Model!AW376</f>
        <v>17417531.5413281</v>
      </c>
      <c r="F51" s="84" t="n">
        <f aca="false">Model!BI376</f>
        <v>24897548.5069811</v>
      </c>
      <c r="G51" s="84" t="n">
        <f aca="false">Model!BU376</f>
        <v>27875770.5192603</v>
      </c>
      <c r="H51" s="84" t="n">
        <f aca="false">Model!CG376</f>
        <v>23405481.5740317</v>
      </c>
      <c r="I51" s="84" t="n">
        <f aca="false">Model!CS376</f>
        <v>17164911.4984136</v>
      </c>
      <c r="J51" s="84" t="n">
        <f aca="false">Model!DE376</f>
        <v>12542646.9478141</v>
      </c>
    </row>
  </sheetData>
  <mergeCells count="1">
    <mergeCell ref="A1:E1"/>
  </mergeCells>
  <conditionalFormatting sqref="B3:J48">
    <cfRule type="cellIs" priority="2" operator="lessThan"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AK51"/>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C49" activeCellId="0" sqref="C49"/>
    </sheetView>
  </sheetViews>
  <sheetFormatPr defaultColWidth="8.7109375" defaultRowHeight="13.5" zeroHeight="false" outlineLevelRow="0" outlineLevelCol="0"/>
  <cols>
    <col collapsed="false" customWidth="true" hidden="false" outlineLevel="0" max="1" min="1" style="1" width="38"/>
    <col collapsed="false" customWidth="true" hidden="false" outlineLevel="0" max="37" min="2" style="1" width="13"/>
  </cols>
  <sheetData>
    <row r="1" customFormat="false" ht="17.25" hidden="false" customHeight="true" outlineLevel="0" collapsed="false">
      <c r="A1" s="2" t="s">
        <v>304</v>
      </c>
      <c r="F1" s="3"/>
      <c r="G1" s="3"/>
      <c r="H1" s="3"/>
      <c r="I1" s="3"/>
      <c r="J1" s="3"/>
      <c r="K1" s="3"/>
      <c r="L1" s="3"/>
      <c r="M1" s="3"/>
      <c r="N1" s="3"/>
      <c r="O1" s="3"/>
      <c r="P1" s="3"/>
      <c r="Q1" s="3"/>
      <c r="R1" s="3"/>
      <c r="S1" s="3"/>
      <c r="T1" s="3"/>
      <c r="U1" s="3"/>
      <c r="V1" s="3"/>
      <c r="W1" s="3"/>
      <c r="X1" s="3"/>
      <c r="Y1" s="3"/>
      <c r="Z1" s="3"/>
      <c r="AA1" s="3"/>
      <c r="AB1" s="3"/>
      <c r="AC1" s="3"/>
      <c r="AD1" s="3"/>
    </row>
    <row r="2" customFormat="false" ht="15" hidden="false" customHeight="true" outlineLevel="0" collapsed="false">
      <c r="A2" s="15" t="s">
        <v>267</v>
      </c>
      <c r="B2" s="85" t="s">
        <v>305</v>
      </c>
      <c r="C2" s="86" t="s">
        <v>306</v>
      </c>
      <c r="D2" s="86" t="s">
        <v>307</v>
      </c>
      <c r="E2" s="86" t="s">
        <v>308</v>
      </c>
      <c r="F2" s="86" t="s">
        <v>309</v>
      </c>
      <c r="G2" s="86" t="s">
        <v>310</v>
      </c>
      <c r="H2" s="86" t="s">
        <v>311</v>
      </c>
      <c r="I2" s="86" t="s">
        <v>312</v>
      </c>
      <c r="J2" s="86" t="s">
        <v>313</v>
      </c>
      <c r="K2" s="86" t="s">
        <v>314</v>
      </c>
      <c r="L2" s="86" t="s">
        <v>315</v>
      </c>
      <c r="M2" s="86" t="s">
        <v>316</v>
      </c>
      <c r="N2" s="86" t="s">
        <v>317</v>
      </c>
      <c r="O2" s="86" t="s">
        <v>318</v>
      </c>
      <c r="P2" s="86" t="s">
        <v>319</v>
      </c>
      <c r="Q2" s="86" t="s">
        <v>320</v>
      </c>
      <c r="R2" s="86" t="s">
        <v>321</v>
      </c>
      <c r="S2" s="86" t="s">
        <v>322</v>
      </c>
      <c r="T2" s="86" t="s">
        <v>323</v>
      </c>
      <c r="U2" s="86" t="s">
        <v>324</v>
      </c>
      <c r="V2" s="86" t="s">
        <v>325</v>
      </c>
      <c r="W2" s="86" t="s">
        <v>326</v>
      </c>
      <c r="X2" s="86" t="s">
        <v>327</v>
      </c>
      <c r="Y2" s="86" t="s">
        <v>328</v>
      </c>
      <c r="Z2" s="86" t="s">
        <v>329</v>
      </c>
      <c r="AA2" s="86" t="s">
        <v>330</v>
      </c>
      <c r="AB2" s="86" t="s">
        <v>331</v>
      </c>
      <c r="AC2" s="86" t="s">
        <v>332</v>
      </c>
      <c r="AD2" s="86" t="s">
        <v>333</v>
      </c>
      <c r="AE2" s="86" t="s">
        <v>334</v>
      </c>
      <c r="AF2" s="86" t="s">
        <v>335</v>
      </c>
      <c r="AG2" s="86" t="s">
        <v>336</v>
      </c>
      <c r="AH2" s="86" t="s">
        <v>337</v>
      </c>
      <c r="AI2" s="86" t="s">
        <v>338</v>
      </c>
      <c r="AJ2" s="86" t="s">
        <v>339</v>
      </c>
      <c r="AK2" s="86" t="s">
        <v>340</v>
      </c>
    </row>
    <row r="3" customFormat="false" ht="15" hidden="false" customHeight="true" outlineLevel="0" collapsed="false">
      <c r="A3" s="61"/>
      <c r="B3" s="61"/>
      <c r="C3" s="61"/>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row>
    <row r="4" customFormat="false" ht="15" hidden="false" customHeight="true" outlineLevel="0" collapsed="false">
      <c r="A4" s="22" t="s">
        <v>277</v>
      </c>
      <c r="B4" s="13" t="n">
        <f aca="false">SUM(Model!B10:D10)</f>
        <v>474538.45</v>
      </c>
      <c r="C4" s="13" t="n">
        <f aca="false">SUM(Model!E10:G10)</f>
        <v>854579.17</v>
      </c>
      <c r="D4" s="13" t="n">
        <f aca="false">SUM(Model!H10:J10)</f>
        <v>1218191.92322767</v>
      </c>
      <c r="E4" s="13" t="n">
        <f aca="false">SUM(Model!K10:M10)</f>
        <v>1156206.47835516</v>
      </c>
      <c r="F4" s="13" t="n">
        <f aca="false">SUM(Model!N10:P10)</f>
        <v>1438499.39149683</v>
      </c>
      <c r="G4" s="13" t="n">
        <f aca="false">SUM(Model!Q10:S10)</f>
        <v>1788830.85943008</v>
      </c>
      <c r="H4" s="13" t="n">
        <f aca="false">SUM(Model!T10:V10)</f>
        <v>2183701.70613708</v>
      </c>
      <c r="I4" s="13" t="n">
        <f aca="false">SUM(Model!W10:Y10)</f>
        <v>2147955.40044029</v>
      </c>
      <c r="J4" s="13" t="n">
        <f aca="false">SUM(Model!Z10:AB10)</f>
        <v>2336465.65875989</v>
      </c>
      <c r="K4" s="13" t="n">
        <f aca="false">SUM(Model!AC10:AE10)</f>
        <v>1983090.61582397</v>
      </c>
      <c r="L4" s="13" t="n">
        <f aca="false">SUM(Model!AF10:AH10)</f>
        <v>2461690.76194977</v>
      </c>
      <c r="M4" s="13" t="n">
        <f aca="false">SUM(Model!AI10:AK10)</f>
        <v>2638581.88158547</v>
      </c>
      <c r="N4" s="13" t="n">
        <f aca="false">SUM(Model!AL10:AN10)</f>
        <v>2434904.31909637</v>
      </c>
      <c r="O4" s="13" t="n">
        <f aca="false">SUM(Model!AO10:AQ10)</f>
        <v>2617712.34976087</v>
      </c>
      <c r="P4" s="13" t="n">
        <f aca="false">SUM(Model!AR10:AT10)</f>
        <v>3000442.22186837</v>
      </c>
      <c r="Q4" s="13" t="n">
        <f aca="false">SUM(Model!AU10:AW10)</f>
        <v>2539954.88906596</v>
      </c>
      <c r="R4" s="13" t="n">
        <f aca="false">SUM(Model!AX10:AZ10)</f>
        <v>2550828.4813018</v>
      </c>
      <c r="S4" s="13" t="n">
        <f aca="false">SUM(Model!BA10:BC10)</f>
        <v>2561147.7313018</v>
      </c>
      <c r="T4" s="13" t="n">
        <f aca="false">SUM(Model!BD10:BF10)</f>
        <v>2592105.4813018</v>
      </c>
      <c r="U4" s="13" t="n">
        <f aca="false">SUM(Model!BG10:BI10)</f>
        <v>2592667.41628987</v>
      </c>
      <c r="V4" s="13" t="n">
        <f aca="false">SUM(Model!BJ10:BL10)</f>
        <v>1826507.25</v>
      </c>
      <c r="W4" s="13" t="n">
        <f aca="false">SUM(Model!BM10:BO10)</f>
        <v>1764591.75</v>
      </c>
      <c r="X4" s="13" t="n">
        <f aca="false">SUM(Model!BP10:BR10)</f>
        <v>1537568.25</v>
      </c>
      <c r="Y4" s="13" t="n">
        <f aca="false">SUM(Model!BS10:BU10)</f>
        <v>1320864</v>
      </c>
      <c r="Z4" s="13" t="n">
        <f aca="false">SUM(Model!BV10:BX10)</f>
        <v>825540</v>
      </c>
      <c r="AA4" s="13" t="n">
        <f aca="false">SUM(Model!BY10:CA10)</f>
        <v>278619.75</v>
      </c>
      <c r="AB4" s="13" t="n">
        <f aca="false">SUM(Model!CB10:CD10)</f>
        <v>0</v>
      </c>
      <c r="AC4" s="13" t="n">
        <f aca="false">SUM(Model!CE10:CG10)</f>
        <v>0</v>
      </c>
      <c r="AD4" s="13" t="n">
        <f aca="false">SUM(Model!CH10:CJ10)</f>
        <v>0</v>
      </c>
      <c r="AE4" s="13" t="n">
        <f aca="false">SUM(Model!CK10:CM10)</f>
        <v>0</v>
      </c>
      <c r="AF4" s="13" t="n">
        <f aca="false">SUM(Model!CN10:CP10)</f>
        <v>0</v>
      </c>
      <c r="AG4" s="13" t="n">
        <f aca="false">SUM(Model!CQ10:CS10)</f>
        <v>0</v>
      </c>
      <c r="AH4" s="13" t="n">
        <f aca="false">SUM(Model!CT10:CV10)</f>
        <v>0</v>
      </c>
      <c r="AI4" s="13" t="n">
        <f aca="false">SUM(Model!CW10:CY10)</f>
        <v>0</v>
      </c>
      <c r="AJ4" s="13" t="n">
        <f aca="false">SUM(Model!CZ10:DB10)</f>
        <v>0</v>
      </c>
      <c r="AK4" s="13" t="n">
        <f aca="false">SUM(Model!DC10:DE10)</f>
        <v>0</v>
      </c>
    </row>
    <row r="5" customFormat="false" ht="15" hidden="false" customHeight="true" outlineLevel="0" collapsed="false">
      <c r="A5" s="22" t="s">
        <v>278</v>
      </c>
      <c r="B5" s="13" t="n">
        <f aca="false">SUM(Model!B11:D11)</f>
        <v>319091.99</v>
      </c>
      <c r="C5" s="13" t="n">
        <f aca="false">SUM(Model!E11:G11)</f>
        <v>669542.47</v>
      </c>
      <c r="D5" s="13" t="n">
        <f aca="false">SUM(Model!H11:J11)</f>
        <v>880862.568624924</v>
      </c>
      <c r="E5" s="13" t="n">
        <f aca="false">SUM(Model!K11:M11)</f>
        <v>917064.142040531</v>
      </c>
      <c r="F5" s="13" t="n">
        <f aca="false">SUM(Model!N11:P11)</f>
        <v>1117672.77548137</v>
      </c>
      <c r="G5" s="13" t="n">
        <f aca="false">SUM(Model!Q11:S11)</f>
        <v>1358554.96726397</v>
      </c>
      <c r="H5" s="13" t="n">
        <f aca="false">SUM(Model!T11:V11)</f>
        <v>1646258.01880556</v>
      </c>
      <c r="I5" s="13" t="n">
        <f aca="false">SUM(Model!W11:Y11)</f>
        <v>1610960.45422018</v>
      </c>
      <c r="J5" s="13" t="n">
        <f aca="false">SUM(Model!Z11:AB11)</f>
        <v>1752342.52538128</v>
      </c>
      <c r="K5" s="13" t="n">
        <f aca="false">SUM(Model!AC11:AE11)</f>
        <v>1487311.64061521</v>
      </c>
      <c r="L5" s="13" t="n">
        <f aca="false">SUM(Model!AF11:AH11)</f>
        <v>1846260.70211179</v>
      </c>
      <c r="M5" s="13" t="n">
        <f aca="false">SUM(Model!AI11:AK11)</f>
        <v>1978927.96000718</v>
      </c>
      <c r="N5" s="13" t="n">
        <f aca="false">SUM(Model!AL11:AN11)</f>
        <v>1826170.07052556</v>
      </c>
      <c r="O5" s="13" t="n">
        <f aca="false">SUM(Model!AO11:AQ11)</f>
        <v>1963274.74959316</v>
      </c>
      <c r="P5" s="13" t="n">
        <f aca="false">SUM(Model!AR11:AT11)</f>
        <v>2250320.76283916</v>
      </c>
      <c r="Q5" s="13" t="n">
        <f aca="false">SUM(Model!AU11:AW11)</f>
        <v>1904956.93664143</v>
      </c>
      <c r="R5" s="13" t="n">
        <f aca="false">SUM(Model!AX11:AZ11)</f>
        <v>1913112.09130384</v>
      </c>
      <c r="S5" s="13" t="n">
        <f aca="false">SUM(Model!BA11:BC11)</f>
        <v>1920851.49130384</v>
      </c>
      <c r="T5" s="13" t="n">
        <f aca="false">SUM(Model!BD11:BF11)</f>
        <v>1944069.69130384</v>
      </c>
      <c r="U5" s="13" t="n">
        <f aca="false">SUM(Model!BG11:BI11)</f>
        <v>1944491.14050283</v>
      </c>
      <c r="V5" s="13" t="n">
        <f aca="false">SUM(Model!BJ11:BL11)</f>
        <v>1369873.8</v>
      </c>
      <c r="W5" s="13" t="n">
        <f aca="false">SUM(Model!BM11:BO11)</f>
        <v>1323437.4</v>
      </c>
      <c r="X5" s="13" t="n">
        <f aca="false">SUM(Model!BP11:BR11)</f>
        <v>1153170.6</v>
      </c>
      <c r="Y5" s="13" t="n">
        <f aca="false">SUM(Model!BS11:BU11)</f>
        <v>990643.2</v>
      </c>
      <c r="Z5" s="13" t="n">
        <f aca="false">SUM(Model!BV11:BX11)</f>
        <v>619152</v>
      </c>
      <c r="AA5" s="13" t="n">
        <f aca="false">SUM(Model!BY11:CA11)</f>
        <v>208963.8</v>
      </c>
      <c r="AB5" s="13" t="n">
        <f aca="false">SUM(Model!CB11:CD11)</f>
        <v>0</v>
      </c>
      <c r="AC5" s="13" t="n">
        <f aca="false">SUM(Model!CE11:CG11)</f>
        <v>0</v>
      </c>
      <c r="AD5" s="13" t="n">
        <f aca="false">SUM(Model!CH11:CJ11)</f>
        <v>0</v>
      </c>
      <c r="AE5" s="13" t="n">
        <f aca="false">SUM(Model!CK11:CM11)</f>
        <v>0</v>
      </c>
      <c r="AF5" s="13" t="n">
        <f aca="false">SUM(Model!CN11:CP11)</f>
        <v>0</v>
      </c>
      <c r="AG5" s="13" t="n">
        <f aca="false">SUM(Model!CQ11:CS11)</f>
        <v>0</v>
      </c>
      <c r="AH5" s="13" t="n">
        <f aca="false">SUM(Model!CT11:CV11)</f>
        <v>0</v>
      </c>
      <c r="AI5" s="13" t="n">
        <f aca="false">SUM(Model!CW11:CY11)</f>
        <v>0</v>
      </c>
      <c r="AJ5" s="13" t="n">
        <f aca="false">SUM(Model!CZ11:DB11)</f>
        <v>0</v>
      </c>
      <c r="AK5" s="13" t="n">
        <f aca="false">SUM(Model!DC11:DE11)</f>
        <v>0</v>
      </c>
    </row>
    <row r="6" customFormat="false" ht="15" hidden="false" customHeight="true" outlineLevel="0" collapsed="false">
      <c r="A6" s="22" t="s">
        <v>279</v>
      </c>
      <c r="B6" s="13" t="n">
        <f aca="false">SUM(Model!B57:D57)</f>
        <v>6354898.1</v>
      </c>
      <c r="C6" s="13" t="n">
        <f aca="false">SUM(Model!E57:G57)</f>
        <v>12836560.87</v>
      </c>
      <c r="D6" s="13" t="n">
        <f aca="false">SUM(Model!H57:J57)</f>
        <v>16833452.2461319</v>
      </c>
      <c r="E6" s="13" t="n">
        <f aca="false">SUM(Model!K57:M57)</f>
        <v>14449937.2855016</v>
      </c>
      <c r="F6" s="13" t="n">
        <f aca="false">SUM(Model!N57:P57)</f>
        <v>17700352.3134501</v>
      </c>
      <c r="G6" s="13" t="n">
        <f aca="false">SUM(Model!Q57:S57)</f>
        <v>22341988.4015045</v>
      </c>
      <c r="H6" s="13" t="n">
        <f aca="false">SUM(Model!T57:V57)</f>
        <v>29566536.0060142</v>
      </c>
      <c r="I6" s="13" t="n">
        <f aca="false">SUM(Model!W57:Y57)</f>
        <v>31521299.5736295</v>
      </c>
      <c r="J6" s="13" t="n">
        <f aca="false">SUM(Model!Z57:AB57)</f>
        <v>33260211.7187579</v>
      </c>
      <c r="K6" s="13" t="n">
        <f aca="false">SUM(Model!AC57:AE57)</f>
        <v>29809766.9252276</v>
      </c>
      <c r="L6" s="13" t="n">
        <f aca="false">SUM(Model!AF57:AH57)</f>
        <v>31119909.4448337</v>
      </c>
      <c r="M6" s="13" t="n">
        <f aca="false">SUM(Model!AI57:AK57)</f>
        <v>30279998.9691939</v>
      </c>
      <c r="N6" s="13" t="n">
        <f aca="false">SUM(Model!AL57:AN57)</f>
        <v>31252153.771682</v>
      </c>
      <c r="O6" s="13" t="n">
        <f aca="false">SUM(Model!AO57:AQ57)</f>
        <v>34732167.2130612</v>
      </c>
      <c r="P6" s="13" t="n">
        <f aca="false">SUM(Model!AR57:AT57)</f>
        <v>37473308.9372085</v>
      </c>
      <c r="Q6" s="13" t="n">
        <f aca="false">SUM(Model!AU57:AW57)</f>
        <v>37293017.5303646</v>
      </c>
      <c r="R6" s="13" t="n">
        <f aca="false">SUM(Model!AX57:AZ57)</f>
        <v>34411298.0414744</v>
      </c>
      <c r="S6" s="13" t="n">
        <f aca="false">SUM(Model!BA57:BC57)</f>
        <v>29621657.1266184</v>
      </c>
      <c r="T6" s="13" t="n">
        <f aca="false">SUM(Model!BD57:BF57)</f>
        <v>27578417.7790344</v>
      </c>
      <c r="U6" s="13" t="n">
        <f aca="false">SUM(Model!BG57:BI57)</f>
        <v>27814882.4484153</v>
      </c>
      <c r="V6" s="13" t="n">
        <f aca="false">SUM(Model!BJ57:BL57)</f>
        <v>28622401.95</v>
      </c>
      <c r="W6" s="13" t="n">
        <f aca="false">SUM(Model!BM57:BO57)</f>
        <v>26747099.85</v>
      </c>
      <c r="X6" s="13" t="n">
        <f aca="false">SUM(Model!BP57:BR57)</f>
        <v>21672435.15</v>
      </c>
      <c r="Y6" s="13" t="n">
        <f aca="false">SUM(Model!BS57:BU57)</f>
        <v>13247749.8</v>
      </c>
      <c r="Z6" s="13" t="n">
        <f aca="false">SUM(Model!BV57:BX57)</f>
        <v>5625654</v>
      </c>
      <c r="AA6" s="13" t="n">
        <f aca="false">SUM(Model!BY57:CA57)</f>
        <v>878892.45</v>
      </c>
      <c r="AB6" s="13" t="n">
        <f aca="false">SUM(Model!CB57:CD57)</f>
        <v>0</v>
      </c>
      <c r="AC6" s="13" t="n">
        <f aca="false">SUM(Model!CE57:CG57)</f>
        <v>0</v>
      </c>
      <c r="AD6" s="13" t="n">
        <f aca="false">SUM(Model!CH57:CJ57)</f>
        <v>0</v>
      </c>
      <c r="AE6" s="13" t="n">
        <f aca="false">SUM(Model!CK57:CM57)</f>
        <v>0</v>
      </c>
      <c r="AF6" s="13" t="n">
        <f aca="false">SUM(Model!CN57:CP57)</f>
        <v>0</v>
      </c>
      <c r="AG6" s="13" t="n">
        <f aca="false">SUM(Model!CQ57:CS57)</f>
        <v>0</v>
      </c>
      <c r="AH6" s="13" t="n">
        <f aca="false">SUM(Model!CT57:CV57)</f>
        <v>0</v>
      </c>
      <c r="AI6" s="13" t="n">
        <f aca="false">SUM(Model!CW57:CY57)</f>
        <v>0</v>
      </c>
      <c r="AJ6" s="13" t="n">
        <f aca="false">SUM(Model!CZ57:DB57)</f>
        <v>0</v>
      </c>
      <c r="AK6" s="13" t="n">
        <f aca="false">SUM(Model!DC57:DE57)</f>
        <v>0</v>
      </c>
    </row>
    <row r="7" customFormat="false" ht="15" hidden="false" customHeight="true" outlineLevel="0" collapsed="false">
      <c r="A7" s="87" t="s">
        <v>52</v>
      </c>
      <c r="B7" s="88" t="n">
        <f aca="false">SUM(Model!B58:D58)</f>
        <v>7148528.54</v>
      </c>
      <c r="C7" s="88" t="n">
        <f aca="false">SUM(Model!E58:G58)</f>
        <v>14360682.51</v>
      </c>
      <c r="D7" s="88" t="n">
        <f aca="false">SUM(Model!H58:J58)</f>
        <v>18932506.7379845</v>
      </c>
      <c r="E7" s="88" t="n">
        <f aca="false">SUM(Model!K58:M58)</f>
        <v>16523207.9058973</v>
      </c>
      <c r="F7" s="88" t="n">
        <f aca="false">SUM(Model!N58:P58)</f>
        <v>20256524.4804283</v>
      </c>
      <c r="G7" s="88" t="n">
        <f aca="false">SUM(Model!Q58:S58)</f>
        <v>25489374.2281985</v>
      </c>
      <c r="H7" s="88" t="n">
        <f aca="false">SUM(Model!T58:V58)</f>
        <v>33396495.7309568</v>
      </c>
      <c r="I7" s="88" t="n">
        <f aca="false">SUM(Model!W58:Y58)</f>
        <v>35280215.4282899</v>
      </c>
      <c r="J7" s="88" t="n">
        <f aca="false">SUM(Model!Z58:AB58)</f>
        <v>37349019.9028991</v>
      </c>
      <c r="K7" s="88" t="n">
        <f aca="false">SUM(Model!AC58:AE58)</f>
        <v>33280169.1816668</v>
      </c>
      <c r="L7" s="88" t="n">
        <f aca="false">SUM(Model!AF58:AH58)</f>
        <v>35427860.9088953</v>
      </c>
      <c r="M7" s="88" t="n">
        <f aca="false">SUM(Model!AI58:AK58)</f>
        <v>34897508.8107865</v>
      </c>
      <c r="N7" s="88" t="n">
        <f aca="false">SUM(Model!AL58:AN58)</f>
        <v>35513228.161304</v>
      </c>
      <c r="O7" s="88" t="n">
        <f aca="false">SUM(Model!AO58:AQ58)</f>
        <v>39313154.3124152</v>
      </c>
      <c r="P7" s="88" t="n">
        <f aca="false">SUM(Model!AR58:AT58)</f>
        <v>42724071.921916</v>
      </c>
      <c r="Q7" s="88" t="n">
        <f aca="false">SUM(Model!AU58:AW58)</f>
        <v>41737929.356072</v>
      </c>
      <c r="R7" s="88" t="n">
        <f aca="false">SUM(Model!AX58:AZ58)</f>
        <v>38875238.61408</v>
      </c>
      <c r="S7" s="88" t="n">
        <f aca="false">SUM(Model!BA58:BC58)</f>
        <v>34103656.349224</v>
      </c>
      <c r="T7" s="88" t="n">
        <f aca="false">SUM(Model!BD58:BF58)</f>
        <v>32114592.95164</v>
      </c>
      <c r="U7" s="88" t="n">
        <f aca="false">SUM(Model!BG58:BI58)</f>
        <v>32352041.005208</v>
      </c>
      <c r="V7" s="88" t="n">
        <f aca="false">SUM(Model!BJ58:BL58)</f>
        <v>31818783</v>
      </c>
      <c r="W7" s="88" t="n">
        <f aca="false">SUM(Model!BM58:BO58)</f>
        <v>29835129</v>
      </c>
      <c r="X7" s="88" t="n">
        <f aca="false">SUM(Model!BP58:BR58)</f>
        <v>24363174</v>
      </c>
      <c r="Y7" s="88" t="n">
        <f aca="false">SUM(Model!BS58:BU58)</f>
        <v>15559257</v>
      </c>
      <c r="Z7" s="88" t="n">
        <f aca="false">SUM(Model!BV58:BX58)</f>
        <v>7070346</v>
      </c>
      <c r="AA7" s="88" t="n">
        <f aca="false">SUM(Model!BY58:CA58)</f>
        <v>1366476</v>
      </c>
      <c r="AB7" s="88" t="n">
        <f aca="false">SUM(Model!CB58:CD58)</f>
        <v>0</v>
      </c>
      <c r="AC7" s="88" t="n">
        <f aca="false">SUM(Model!CE58:CG58)</f>
        <v>0</v>
      </c>
      <c r="AD7" s="88" t="n">
        <f aca="false">SUM(Model!CH58:CJ58)</f>
        <v>0</v>
      </c>
      <c r="AE7" s="88" t="n">
        <f aca="false">SUM(Model!CK58:CM58)</f>
        <v>0</v>
      </c>
      <c r="AF7" s="88" t="n">
        <f aca="false">SUM(Model!CN58:CP58)</f>
        <v>0</v>
      </c>
      <c r="AG7" s="88" t="n">
        <f aca="false">SUM(Model!CQ58:CS58)</f>
        <v>0</v>
      </c>
      <c r="AH7" s="88" t="n">
        <f aca="false">SUM(Model!CT58:CV58)</f>
        <v>0</v>
      </c>
      <c r="AI7" s="88" t="n">
        <f aca="false">SUM(Model!CW58:CY58)</f>
        <v>0</v>
      </c>
      <c r="AJ7" s="88" t="n">
        <f aca="false">SUM(Model!CZ58:DB58)</f>
        <v>0</v>
      </c>
      <c r="AK7" s="88" t="n">
        <f aca="false">SUM(Model!DC58:DE58)</f>
        <v>0</v>
      </c>
    </row>
    <row r="8" customFormat="false" ht="15" hidden="false" customHeight="true" outlineLevel="0" collapsed="false">
      <c r="A8" s="22" t="s">
        <v>53</v>
      </c>
      <c r="B8" s="13" t="n">
        <f aca="false">SUM(Model!B104:D104)</f>
        <v>-6386587.93</v>
      </c>
      <c r="C8" s="13" t="n">
        <f aca="false">SUM(Model!E104:G104)</f>
        <v>-12806436.43</v>
      </c>
      <c r="D8" s="13" t="n">
        <f aca="false">SUM(Model!H104:J104)</f>
        <v>-15677242.2895875</v>
      </c>
      <c r="E8" s="13" t="n">
        <f aca="false">SUM(Model!K104:M104)</f>
        <v>-14462598.5108384</v>
      </c>
      <c r="F8" s="13" t="n">
        <f aca="false">SUM(Model!N104:P104)</f>
        <v>-17619810.4634501</v>
      </c>
      <c r="G8" s="13" t="n">
        <f aca="false">SUM(Model!Q104:S104)</f>
        <v>-22511180.8815045</v>
      </c>
      <c r="H8" s="13" t="n">
        <f aca="false">SUM(Model!T104:V104)</f>
        <v>-29800686.5560142</v>
      </c>
      <c r="I8" s="13" t="n">
        <f aca="false">SUM(Model!W104:Y104)</f>
        <v>-31515514.2536295</v>
      </c>
      <c r="J8" s="13" t="n">
        <f aca="false">SUM(Model!Z104:AB104)</f>
        <v>-33260211.7187579</v>
      </c>
      <c r="K8" s="13" t="n">
        <f aca="false">SUM(Model!AC104:AE104)</f>
        <v>-29809766.9252276</v>
      </c>
      <c r="L8" s="13" t="n">
        <f aca="false">SUM(Model!AF104:AH104)</f>
        <v>-31119909.4448337</v>
      </c>
      <c r="M8" s="13" t="n">
        <f aca="false">SUM(Model!AI104:AK104)</f>
        <v>-30279998.9691939</v>
      </c>
      <c r="N8" s="13" t="n">
        <f aca="false">SUM(Model!AL104:AN104)</f>
        <v>-31252153.771682</v>
      </c>
      <c r="O8" s="13" t="n">
        <f aca="false">SUM(Model!AO104:AQ104)</f>
        <v>-34732167.2130612</v>
      </c>
      <c r="P8" s="13" t="n">
        <f aca="false">SUM(Model!AR104:AT104)</f>
        <v>-37473308.9372085</v>
      </c>
      <c r="Q8" s="13" t="n">
        <f aca="false">SUM(Model!AU104:AW104)</f>
        <v>-37293017.5303646</v>
      </c>
      <c r="R8" s="13" t="n">
        <f aca="false">SUM(Model!AX104:AZ104)</f>
        <v>-34411298.0414744</v>
      </c>
      <c r="S8" s="13" t="n">
        <f aca="false">SUM(Model!BA104:BC104)</f>
        <v>-29621657.1266184</v>
      </c>
      <c r="T8" s="13" t="n">
        <f aca="false">SUM(Model!BD104:BF104)</f>
        <v>-27578417.7790344</v>
      </c>
      <c r="U8" s="13" t="n">
        <f aca="false">SUM(Model!BG104:BI104)</f>
        <v>-27814882.4484153</v>
      </c>
      <c r="V8" s="13" t="n">
        <f aca="false">SUM(Model!BJ104:BL104)</f>
        <v>-28622401.95</v>
      </c>
      <c r="W8" s="13" t="n">
        <f aca="false">SUM(Model!BM104:BO104)</f>
        <v>-26747099.85</v>
      </c>
      <c r="X8" s="13" t="n">
        <f aca="false">SUM(Model!BP104:BR104)</f>
        <v>-21672435.15</v>
      </c>
      <c r="Y8" s="13" t="n">
        <f aca="false">SUM(Model!BS104:BU104)</f>
        <v>-13247749.8</v>
      </c>
      <c r="Z8" s="13" t="n">
        <f aca="false">SUM(Model!BV104:BX104)</f>
        <v>-5625654</v>
      </c>
      <c r="AA8" s="13" t="n">
        <f aca="false">SUM(Model!BY104:CA104)</f>
        <v>-878892.45</v>
      </c>
      <c r="AB8" s="13" t="n">
        <f aca="false">SUM(Model!CB104:CD104)</f>
        <v>0</v>
      </c>
      <c r="AC8" s="13" t="n">
        <f aca="false">SUM(Model!CE104:CG104)</f>
        <v>0</v>
      </c>
      <c r="AD8" s="13" t="n">
        <f aca="false">SUM(Model!CH104:CJ104)</f>
        <v>0</v>
      </c>
      <c r="AE8" s="13" t="n">
        <f aca="false">SUM(Model!CK104:CM104)</f>
        <v>0</v>
      </c>
      <c r="AF8" s="13" t="n">
        <f aca="false">SUM(Model!CN104:CP104)</f>
        <v>0</v>
      </c>
      <c r="AG8" s="13" t="n">
        <f aca="false">SUM(Model!CQ104:CS104)</f>
        <v>0</v>
      </c>
      <c r="AH8" s="13" t="n">
        <f aca="false">SUM(Model!CT104:CV104)</f>
        <v>0</v>
      </c>
      <c r="AI8" s="13" t="n">
        <f aca="false">SUM(Model!CW104:CY104)</f>
        <v>0</v>
      </c>
      <c r="AJ8" s="13" t="n">
        <f aca="false">SUM(Model!CZ104:DB104)</f>
        <v>0</v>
      </c>
      <c r="AK8" s="13" t="n">
        <f aca="false">SUM(Model!DC104:DE104)</f>
        <v>0</v>
      </c>
    </row>
    <row r="9" customFormat="false" ht="15" hidden="false" customHeight="true" outlineLevel="0" collapsed="false">
      <c r="A9" s="22" t="s">
        <v>280</v>
      </c>
      <c r="B9" s="13" t="n">
        <f aca="false">SUM(Model!B150:D150)</f>
        <v>0</v>
      </c>
      <c r="C9" s="13" t="n">
        <f aca="false">SUM(Model!E150:G150)</f>
        <v>0</v>
      </c>
      <c r="D9" s="13" t="n">
        <f aca="false">SUM(Model!H150:J150)</f>
        <v>1243016.25</v>
      </c>
      <c r="E9" s="13" t="n">
        <f aca="false">SUM(Model!K150:M150)</f>
        <v>314237.512315271</v>
      </c>
      <c r="F9" s="13" t="n">
        <f aca="false">SUM(Model!N150:P150)</f>
        <v>0</v>
      </c>
      <c r="G9" s="13" t="n">
        <f aca="false">SUM(Model!Q150:S150)</f>
        <v>1062564.08866995</v>
      </c>
      <c r="H9" s="13" t="n">
        <f aca="false">SUM(Model!T150:V150)</f>
        <v>272553.236453202</v>
      </c>
      <c r="I9" s="13" t="n">
        <f aca="false">SUM(Model!W150:Y150)</f>
        <v>0</v>
      </c>
      <c r="J9" s="13" t="n">
        <f aca="false">SUM(Model!Z150:AB150)</f>
        <v>0</v>
      </c>
      <c r="K9" s="13" t="n">
        <f aca="false">SUM(Model!AC150:AE150)</f>
        <v>611152.197044335</v>
      </c>
      <c r="L9" s="13" t="n">
        <f aca="false">SUM(Model!AF150:AH150)</f>
        <v>0</v>
      </c>
      <c r="M9" s="13" t="n">
        <f aca="false">SUM(Model!AI150:AK150)</f>
        <v>221674.876847291</v>
      </c>
      <c r="N9" s="13" t="n">
        <f aca="false">SUM(Model!AL150:AN150)</f>
        <v>0</v>
      </c>
      <c r="O9" s="13" t="n">
        <f aca="false">SUM(Model!AO150:AQ150)</f>
        <v>266009.852216749</v>
      </c>
      <c r="P9" s="13" t="n">
        <f aca="false">SUM(Model!AR150:AT150)</f>
        <v>0</v>
      </c>
      <c r="Q9" s="13" t="n">
        <f aca="false">SUM(Model!AU150:AW150)</f>
        <v>0</v>
      </c>
      <c r="R9" s="13" t="n">
        <f aca="false">SUM(Model!AX150:AZ150)</f>
        <v>0</v>
      </c>
      <c r="S9" s="13" t="n">
        <f aca="false">SUM(Model!BA150:BC150)</f>
        <v>221674.876847291</v>
      </c>
      <c r="T9" s="13" t="n">
        <f aca="false">SUM(Model!BD150:BF150)</f>
        <v>0</v>
      </c>
      <c r="U9" s="13" t="n">
        <f aca="false">SUM(Model!BG150:BI150)</f>
        <v>221674.876847291</v>
      </c>
      <c r="V9" s="13" t="n">
        <f aca="false">SUM(Model!BJ150:BL150)</f>
        <v>0</v>
      </c>
      <c r="W9" s="13" t="n">
        <f aca="false">SUM(Model!BM150:BO150)</f>
        <v>0</v>
      </c>
      <c r="X9" s="13" t="n">
        <f aca="false">SUM(Model!BP150:BR150)</f>
        <v>0</v>
      </c>
      <c r="Y9" s="13" t="n">
        <f aca="false">SUM(Model!BS150:BU150)</f>
        <v>0</v>
      </c>
      <c r="Z9" s="13" t="n">
        <f aca="false">SUM(Model!BV150:BX150)</f>
        <v>0</v>
      </c>
      <c r="AA9" s="13" t="n">
        <f aca="false">SUM(Model!BY150:CA150)</f>
        <v>0</v>
      </c>
      <c r="AB9" s="13" t="n">
        <f aca="false">SUM(Model!CB150:CD150)</f>
        <v>0</v>
      </c>
      <c r="AC9" s="13" t="n">
        <f aca="false">SUM(Model!CE150:CG150)</f>
        <v>0</v>
      </c>
      <c r="AD9" s="13" t="n">
        <f aca="false">SUM(Model!CH150:CJ150)</f>
        <v>0</v>
      </c>
      <c r="AE9" s="13" t="n">
        <f aca="false">SUM(Model!CK150:CM150)</f>
        <v>0</v>
      </c>
      <c r="AF9" s="13" t="n">
        <f aca="false">SUM(Model!CN150:CP150)</f>
        <v>0</v>
      </c>
      <c r="AG9" s="13" t="n">
        <f aca="false">SUM(Model!CQ150:CS150)</f>
        <v>0</v>
      </c>
      <c r="AH9" s="13" t="n">
        <f aca="false">SUM(Model!CT150:CV150)</f>
        <v>0</v>
      </c>
      <c r="AI9" s="13" t="n">
        <f aca="false">SUM(Model!CW150:CY150)</f>
        <v>0</v>
      </c>
      <c r="AJ9" s="13" t="n">
        <f aca="false">SUM(Model!CZ150:DB150)</f>
        <v>0</v>
      </c>
      <c r="AK9" s="13" t="n">
        <f aca="false">SUM(Model!DC150:DE150)</f>
        <v>0</v>
      </c>
    </row>
    <row r="10" customFormat="false" ht="15" hidden="false" customHeight="true" outlineLevel="0" collapsed="false">
      <c r="A10" s="22" t="s">
        <v>281</v>
      </c>
      <c r="B10" s="13" t="n">
        <f aca="false">SUM(Model!B196:D196)</f>
        <v>0</v>
      </c>
      <c r="C10" s="13" t="n">
        <f aca="false">SUM(Model!E196:G196)</f>
        <v>0</v>
      </c>
      <c r="D10" s="13" t="n">
        <f aca="false">SUM(Model!H196:J196)</f>
        <v>-692876.895125</v>
      </c>
      <c r="E10" s="13" t="n">
        <f aca="false">SUM(Model!K196:M196)</f>
        <v>-376823.150184729</v>
      </c>
      <c r="F10" s="13" t="n">
        <f aca="false">SUM(Model!N196:P196)</f>
        <v>0</v>
      </c>
      <c r="G10" s="13" t="n">
        <f aca="false">SUM(Model!Q196:S196)</f>
        <v>-1274191.43633005</v>
      </c>
      <c r="H10" s="13" t="n">
        <f aca="false">SUM(Model!T196:V196)</f>
        <v>-326836.756046798</v>
      </c>
      <c r="I10" s="13" t="n">
        <f aca="false">SUM(Model!W196:Y196)</f>
        <v>0</v>
      </c>
      <c r="J10" s="13" t="n">
        <f aca="false">SUM(Model!Z196:AB196)</f>
        <v>0</v>
      </c>
      <c r="K10" s="13" t="n">
        <f aca="false">SUM(Model!AC196:AE196)</f>
        <v>-732873.342955665</v>
      </c>
      <c r="L10" s="13" t="n">
        <f aca="false">SUM(Model!AF196:AH196)</f>
        <v>0</v>
      </c>
      <c r="M10" s="13" t="n">
        <f aca="false">SUM(Model!AI196:AK196)</f>
        <v>-265825.123152709</v>
      </c>
      <c r="N10" s="13" t="n">
        <f aca="false">SUM(Model!AL196:AN196)</f>
        <v>0</v>
      </c>
      <c r="O10" s="13" t="n">
        <f aca="false">SUM(Model!AO196:AQ196)</f>
        <v>-318990.147783251</v>
      </c>
      <c r="P10" s="13" t="n">
        <f aca="false">SUM(Model!AR196:AT196)</f>
        <v>0</v>
      </c>
      <c r="Q10" s="13" t="n">
        <f aca="false">SUM(Model!AU196:AW196)</f>
        <v>0</v>
      </c>
      <c r="R10" s="13" t="n">
        <f aca="false">SUM(Model!AX196:AZ196)</f>
        <v>0</v>
      </c>
      <c r="S10" s="13" t="n">
        <f aca="false">SUM(Model!BA196:BC196)</f>
        <v>-265825.123152709</v>
      </c>
      <c r="T10" s="13" t="n">
        <f aca="false">SUM(Model!BD196:BF196)</f>
        <v>0</v>
      </c>
      <c r="U10" s="13" t="n">
        <f aca="false">SUM(Model!BG196:BI196)</f>
        <v>-265825.123152709</v>
      </c>
      <c r="V10" s="13" t="n">
        <f aca="false">SUM(Model!BJ196:BL196)</f>
        <v>0</v>
      </c>
      <c r="W10" s="13" t="n">
        <f aca="false">SUM(Model!BM196:BO196)</f>
        <v>0</v>
      </c>
      <c r="X10" s="13" t="n">
        <f aca="false">SUM(Model!BP196:BR196)</f>
        <v>0</v>
      </c>
      <c r="Y10" s="13" t="n">
        <f aca="false">SUM(Model!BS196:BU196)</f>
        <v>0</v>
      </c>
      <c r="Z10" s="13" t="n">
        <f aca="false">SUM(Model!BV196:BX196)</f>
        <v>0</v>
      </c>
      <c r="AA10" s="13" t="n">
        <f aca="false">SUM(Model!BY196:CA196)</f>
        <v>0</v>
      </c>
      <c r="AB10" s="13" t="n">
        <f aca="false">SUM(Model!CB196:CD196)</f>
        <v>0</v>
      </c>
      <c r="AC10" s="13" t="n">
        <f aca="false">SUM(Model!CE196:CG196)</f>
        <v>0</v>
      </c>
      <c r="AD10" s="13" t="n">
        <f aca="false">SUM(Model!CH196:CJ196)</f>
        <v>0</v>
      </c>
      <c r="AE10" s="13" t="n">
        <f aca="false">SUM(Model!CK196:CM196)</f>
        <v>0</v>
      </c>
      <c r="AF10" s="13" t="n">
        <f aca="false">SUM(Model!CN196:CP196)</f>
        <v>0</v>
      </c>
      <c r="AG10" s="13" t="n">
        <f aca="false">SUM(Model!CQ196:CS196)</f>
        <v>0</v>
      </c>
      <c r="AH10" s="13" t="n">
        <f aca="false">SUM(Model!CT196:CV196)</f>
        <v>0</v>
      </c>
      <c r="AI10" s="13" t="n">
        <f aca="false">SUM(Model!CW196:CY196)</f>
        <v>0</v>
      </c>
      <c r="AJ10" s="13" t="n">
        <f aca="false">SUM(Model!CZ196:DB196)</f>
        <v>0</v>
      </c>
      <c r="AK10" s="13" t="n">
        <f aca="false">SUM(Model!DC196:DE196)</f>
        <v>0</v>
      </c>
    </row>
    <row r="11" customFormat="false" ht="15" hidden="false" customHeight="true" outlineLevel="0" collapsed="false">
      <c r="A11" s="22" t="s">
        <v>282</v>
      </c>
      <c r="B11" s="13" t="n">
        <f aca="false">SUM(Model!B197:D197)</f>
        <v>0</v>
      </c>
      <c r="C11" s="13" t="n">
        <f aca="false">SUM(Model!E197:G197)</f>
        <v>0</v>
      </c>
      <c r="D11" s="13" t="n">
        <f aca="false">SUM(Model!H197:J197)</f>
        <v>-225272.52</v>
      </c>
      <c r="E11" s="13" t="n">
        <f aca="false">SUM(Model!K197:M197)</f>
        <v>-27346.1100000002</v>
      </c>
      <c r="F11" s="13" t="n">
        <f aca="false">SUM(Model!N197:P197)</f>
        <v>-30725.5099999993</v>
      </c>
      <c r="G11" s="13" t="n">
        <f aca="false">SUM(Model!Q197:S197)</f>
        <v>64850.5999999996</v>
      </c>
      <c r="H11" s="13" t="n">
        <f aca="false">SUM(Model!T197:V197)</f>
        <v>20741.6199999992</v>
      </c>
      <c r="I11" s="13" t="n">
        <f aca="false">SUM(Model!W197:Y197)</f>
        <v>-5785.3200000003</v>
      </c>
      <c r="J11" s="13" t="n">
        <f aca="false">SUM(Model!Z197:AB197)</f>
        <v>0</v>
      </c>
      <c r="K11" s="13" t="n">
        <f aca="false">SUM(Model!AC197:AE197)</f>
        <v>0</v>
      </c>
      <c r="L11" s="13" t="n">
        <f aca="false">SUM(Model!AF197:AH197)</f>
        <v>0</v>
      </c>
      <c r="M11" s="13" t="n">
        <f aca="false">SUM(Model!AI197:AK197)</f>
        <v>0</v>
      </c>
      <c r="N11" s="13" t="n">
        <f aca="false">SUM(Model!AL197:AN197)</f>
        <v>0</v>
      </c>
      <c r="O11" s="13" t="n">
        <f aca="false">SUM(Model!AO197:AQ197)</f>
        <v>0</v>
      </c>
      <c r="P11" s="13" t="n">
        <f aca="false">SUM(Model!AR197:AT197)</f>
        <v>0</v>
      </c>
      <c r="Q11" s="13" t="n">
        <f aca="false">SUM(Model!AU197:AW197)</f>
        <v>0</v>
      </c>
      <c r="R11" s="13" t="n">
        <f aca="false">SUM(Model!AX197:AZ197)</f>
        <v>0</v>
      </c>
      <c r="S11" s="13" t="n">
        <f aca="false">SUM(Model!BA197:BC197)</f>
        <v>0</v>
      </c>
      <c r="T11" s="13" t="n">
        <f aca="false">SUM(Model!BD197:BF197)</f>
        <v>0</v>
      </c>
      <c r="U11" s="13" t="n">
        <f aca="false">SUM(Model!BG197:BI197)</f>
        <v>0</v>
      </c>
      <c r="V11" s="13" t="n">
        <f aca="false">SUM(Model!BJ197:BL197)</f>
        <v>0</v>
      </c>
      <c r="W11" s="13" t="n">
        <f aca="false">SUM(Model!BM197:BO197)</f>
        <v>0</v>
      </c>
      <c r="X11" s="13" t="n">
        <f aca="false">SUM(Model!BP197:BR197)</f>
        <v>0</v>
      </c>
      <c r="Y11" s="13" t="n">
        <f aca="false">SUM(Model!BS197:BU197)</f>
        <v>0</v>
      </c>
      <c r="Z11" s="13" t="n">
        <f aca="false">SUM(Model!BV197:BX197)</f>
        <v>0</v>
      </c>
      <c r="AA11" s="13" t="n">
        <f aca="false">SUM(Model!BY197:CA197)</f>
        <v>0</v>
      </c>
      <c r="AB11" s="13" t="n">
        <f aca="false">SUM(Model!CB197:CD197)</f>
        <v>0</v>
      </c>
      <c r="AC11" s="13" t="n">
        <f aca="false">SUM(Model!CE197:CG197)</f>
        <v>0</v>
      </c>
      <c r="AD11" s="13" t="n">
        <f aca="false">SUM(Model!CH197:CJ197)</f>
        <v>0</v>
      </c>
      <c r="AE11" s="13" t="n">
        <f aca="false">SUM(Model!CK197:CM197)</f>
        <v>0</v>
      </c>
      <c r="AF11" s="13" t="n">
        <f aca="false">SUM(Model!CN197:CP197)</f>
        <v>0</v>
      </c>
      <c r="AG11" s="13" t="n">
        <f aca="false">SUM(Model!CQ197:CS197)</f>
        <v>0</v>
      </c>
      <c r="AH11" s="13" t="n">
        <f aca="false">SUM(Model!CT197:CV197)</f>
        <v>0</v>
      </c>
      <c r="AI11" s="13" t="n">
        <f aca="false">SUM(Model!CW197:CY197)</f>
        <v>0</v>
      </c>
      <c r="AJ11" s="13" t="n">
        <f aca="false">SUM(Model!CZ197:DB197)</f>
        <v>0</v>
      </c>
      <c r="AK11" s="13" t="n">
        <f aca="false">SUM(Model!DC197:DE197)</f>
        <v>0</v>
      </c>
    </row>
    <row r="12" customFormat="false" ht="15" hidden="false" customHeight="true" outlineLevel="0" collapsed="false">
      <c r="A12" s="22" t="s">
        <v>283</v>
      </c>
      <c r="B12" s="13" t="n">
        <f aca="false">SUM(Model!B198:D198)</f>
        <v>0</v>
      </c>
      <c r="C12" s="13" t="n">
        <f aca="false">SUM(Model!E198:G198)</f>
        <v>0</v>
      </c>
      <c r="D12" s="13" t="n">
        <f aca="false">SUM(Model!H198:J198)</f>
        <v>0</v>
      </c>
      <c r="E12" s="13" t="n">
        <f aca="false">SUM(Model!K198:M198)</f>
        <v>-74091.8856037736</v>
      </c>
      <c r="F12" s="13" t="n">
        <f aca="false">SUM(Model!N198:P198)</f>
        <v>0</v>
      </c>
      <c r="G12" s="13" t="n">
        <f aca="false">SUM(Model!Q198:S198)</f>
        <v>-1690.5</v>
      </c>
      <c r="H12" s="13" t="n">
        <f aca="false">SUM(Model!T198:V198)</f>
        <v>0</v>
      </c>
      <c r="I12" s="13" t="n">
        <f aca="false">SUM(Model!W198:Y198)</f>
        <v>0</v>
      </c>
      <c r="J12" s="13" t="n">
        <f aca="false">SUM(Model!Z198:AB198)</f>
        <v>0</v>
      </c>
      <c r="K12" s="13" t="n">
        <f aca="false">SUM(Model!AC198:AE198)</f>
        <v>0</v>
      </c>
      <c r="L12" s="13" t="n">
        <f aca="false">SUM(Model!AF198:AH198)</f>
        <v>0</v>
      </c>
      <c r="M12" s="13" t="n">
        <f aca="false">SUM(Model!AI198:AK198)</f>
        <v>0</v>
      </c>
      <c r="N12" s="13" t="n">
        <f aca="false">SUM(Model!AL198:AN198)</f>
        <v>0</v>
      </c>
      <c r="O12" s="13" t="n">
        <f aca="false">SUM(Model!AO198:AQ198)</f>
        <v>0</v>
      </c>
      <c r="P12" s="13" t="n">
        <f aca="false">SUM(Model!AR198:AT198)</f>
        <v>0</v>
      </c>
      <c r="Q12" s="13" t="n">
        <f aca="false">SUM(Model!AU198:AW198)</f>
        <v>0</v>
      </c>
      <c r="R12" s="13" t="n">
        <f aca="false">SUM(Model!AX198:AZ198)</f>
        <v>0</v>
      </c>
      <c r="S12" s="13" t="n">
        <f aca="false">SUM(Model!BA198:BC198)</f>
        <v>0</v>
      </c>
      <c r="T12" s="13" t="n">
        <f aca="false">SUM(Model!BD198:BF198)</f>
        <v>0</v>
      </c>
      <c r="U12" s="13" t="n">
        <f aca="false">SUM(Model!BG198:BI198)</f>
        <v>0</v>
      </c>
      <c r="V12" s="13" t="n">
        <f aca="false">SUM(Model!BJ198:BL198)</f>
        <v>0</v>
      </c>
      <c r="W12" s="13" t="n">
        <f aca="false">SUM(Model!BM198:BO198)</f>
        <v>0</v>
      </c>
      <c r="X12" s="13" t="n">
        <f aca="false">SUM(Model!BP198:BR198)</f>
        <v>0</v>
      </c>
      <c r="Y12" s="13" t="n">
        <f aca="false">SUM(Model!BS198:BU198)</f>
        <v>0</v>
      </c>
      <c r="Z12" s="13" t="n">
        <f aca="false">SUM(Model!BV198:BX198)</f>
        <v>0</v>
      </c>
      <c r="AA12" s="13" t="n">
        <f aca="false">SUM(Model!BY198:CA198)</f>
        <v>0</v>
      </c>
      <c r="AB12" s="13" t="n">
        <f aca="false">SUM(Model!CB198:CD198)</f>
        <v>0</v>
      </c>
      <c r="AC12" s="13" t="n">
        <f aca="false">SUM(Model!CE198:CG198)</f>
        <v>0</v>
      </c>
      <c r="AD12" s="13" t="n">
        <f aca="false">SUM(Model!CH198:CJ198)</f>
        <v>0</v>
      </c>
      <c r="AE12" s="13" t="n">
        <f aca="false">SUM(Model!CK198:CM198)</f>
        <v>0</v>
      </c>
      <c r="AF12" s="13" t="n">
        <f aca="false">SUM(Model!CN198:CP198)</f>
        <v>0</v>
      </c>
      <c r="AG12" s="13" t="n">
        <f aca="false">SUM(Model!CQ198:CS198)</f>
        <v>0</v>
      </c>
      <c r="AH12" s="13" t="n">
        <f aca="false">SUM(Model!CT198:CV198)</f>
        <v>0</v>
      </c>
      <c r="AI12" s="13" t="n">
        <f aca="false">SUM(Model!CW198:CY198)</f>
        <v>0</v>
      </c>
      <c r="AJ12" s="13" t="n">
        <f aca="false">SUM(Model!CZ198:DB198)</f>
        <v>0</v>
      </c>
      <c r="AK12" s="13" t="n">
        <f aca="false">SUM(Model!DC198:DE198)</f>
        <v>0</v>
      </c>
    </row>
    <row r="13" customFormat="false" ht="15" hidden="false" customHeight="true" outlineLevel="0" collapsed="false">
      <c r="A13" s="77" t="s">
        <v>61</v>
      </c>
      <c r="B13" s="32" t="n">
        <f aca="false">SUM(Model!B199:D199)</f>
        <v>761940.61</v>
      </c>
      <c r="C13" s="32" t="n">
        <f aca="false">SUM(Model!E199:G199)</f>
        <v>1554246.08</v>
      </c>
      <c r="D13" s="32" t="n">
        <f aca="false">SUM(Model!H199:J199)</f>
        <v>2337115.03327196</v>
      </c>
      <c r="E13" s="32" t="n">
        <f aca="false">SUM(Model!K199:M199)</f>
        <v>1582348.24927036</v>
      </c>
      <c r="F13" s="32" t="n">
        <f aca="false">SUM(Model!N199:P199)</f>
        <v>2605988.5069782</v>
      </c>
      <c r="G13" s="32" t="n">
        <f aca="false">SUM(Model!Q199:S199)</f>
        <v>1767162.010364</v>
      </c>
      <c r="H13" s="32" t="n">
        <f aca="false">SUM(Model!T199:V199)</f>
        <v>3289714.03889584</v>
      </c>
      <c r="I13" s="32" t="n">
        <f aca="false">SUM(Model!W199:Y199)</f>
        <v>3758915.85466048</v>
      </c>
      <c r="J13" s="32" t="n">
        <f aca="false">SUM(Model!Z199:AB199)</f>
        <v>4088808.18414117</v>
      </c>
      <c r="K13" s="32" t="n">
        <f aca="false">SUM(Model!AC199:AE199)</f>
        <v>2737528.91348352</v>
      </c>
      <c r="L13" s="32" t="n">
        <f aca="false">SUM(Model!AF199:AH199)</f>
        <v>4307951.46406156</v>
      </c>
      <c r="M13" s="32" t="n">
        <f aca="false">SUM(Model!AI199:AK199)</f>
        <v>4351684.71843994</v>
      </c>
      <c r="N13" s="32" t="n">
        <f aca="false">SUM(Model!AL199:AN199)</f>
        <v>4261074.38962193</v>
      </c>
      <c r="O13" s="32" t="n">
        <f aca="false">SUM(Model!AO199:AQ199)</f>
        <v>4261996.95157078</v>
      </c>
      <c r="P13" s="32" t="n">
        <f aca="false">SUM(Model!AR199:AT199)</f>
        <v>5250762.98470753</v>
      </c>
      <c r="Q13" s="32" t="n">
        <f aca="false">SUM(Model!AU199:AW199)</f>
        <v>4444911.82570739</v>
      </c>
      <c r="R13" s="32" t="n">
        <f aca="false">SUM(Model!AX199:AZ199)</f>
        <v>4463940.57260564</v>
      </c>
      <c r="S13" s="32" t="n">
        <f aca="false">SUM(Model!BA199:BC199)</f>
        <v>4216174.09945293</v>
      </c>
      <c r="T13" s="32" t="n">
        <f aca="false">SUM(Model!BD199:BF199)</f>
        <v>4536175.17260564</v>
      </c>
      <c r="U13" s="32" t="n">
        <f aca="false">SUM(Model!BG199:BI199)</f>
        <v>4271333.43363998</v>
      </c>
      <c r="V13" s="32" t="n">
        <f aca="false">SUM(Model!BJ199:BL199)</f>
        <v>3196381.05</v>
      </c>
      <c r="W13" s="32" t="n">
        <f aca="false">SUM(Model!BM199:BO199)</f>
        <v>3088029.15</v>
      </c>
      <c r="X13" s="32" t="n">
        <f aca="false">SUM(Model!BP199:BR199)</f>
        <v>2690738.85</v>
      </c>
      <c r="Y13" s="32" t="n">
        <f aca="false">SUM(Model!BS199:BU199)</f>
        <v>2311507.2</v>
      </c>
      <c r="Z13" s="32" t="n">
        <f aca="false">SUM(Model!BV199:BX199)</f>
        <v>1444692</v>
      </c>
      <c r="AA13" s="32" t="n">
        <f aca="false">SUM(Model!BY199:CA199)</f>
        <v>487583.55</v>
      </c>
      <c r="AB13" s="32" t="n">
        <f aca="false">SUM(Model!CB199:CD199)</f>
        <v>0</v>
      </c>
      <c r="AC13" s="32" t="n">
        <f aca="false">SUM(Model!CE199:CG199)</f>
        <v>0</v>
      </c>
      <c r="AD13" s="32" t="n">
        <f aca="false">SUM(Model!CH199:CJ199)</f>
        <v>0</v>
      </c>
      <c r="AE13" s="32" t="n">
        <f aca="false">SUM(Model!CK199:CM199)</f>
        <v>0</v>
      </c>
      <c r="AF13" s="32" t="n">
        <f aca="false">SUM(Model!CN199:CP199)</f>
        <v>0</v>
      </c>
      <c r="AG13" s="32" t="n">
        <f aca="false">SUM(Model!CQ199:CS199)</f>
        <v>0</v>
      </c>
      <c r="AH13" s="32" t="n">
        <f aca="false">SUM(Model!CT199:CV199)</f>
        <v>0</v>
      </c>
      <c r="AI13" s="32" t="n">
        <f aca="false">SUM(Model!CW199:CY199)</f>
        <v>0</v>
      </c>
      <c r="AJ13" s="32" t="n">
        <f aca="false">SUM(Model!CZ199:DB199)</f>
        <v>0</v>
      </c>
      <c r="AK13" s="32" t="n">
        <f aca="false">SUM(Model!DC199:DE199)</f>
        <v>0</v>
      </c>
    </row>
    <row r="14" s="90" customFormat="true" ht="15" hidden="false" customHeight="true" outlineLevel="0" collapsed="false">
      <c r="A14" s="22" t="s">
        <v>62</v>
      </c>
      <c r="B14" s="89" t="n">
        <f aca="false">IFERROR(B13/B7,0)</f>
        <v>0.10658705574672</v>
      </c>
      <c r="C14" s="89" t="n">
        <f aca="false">IFERROR(C13/C7,0)</f>
        <v>0.108229262705147</v>
      </c>
      <c r="D14" s="89" t="n">
        <f aca="false">IFERROR(D13/D7,0)</f>
        <v>0.123444563660606</v>
      </c>
      <c r="E14" s="89" t="n">
        <f aca="false">IFERROR(E13/E7,0)</f>
        <v>0.0957651963397255</v>
      </c>
      <c r="F14" s="89" t="n">
        <f aca="false">IFERROR(F13/F7,0)</f>
        <v>0.128649340092674</v>
      </c>
      <c r="G14" s="89" t="n">
        <f aca="false">IFERROR(G13/G7,0)</f>
        <v>0.0693293603265087</v>
      </c>
      <c r="H14" s="89" t="n">
        <f aca="false">IFERROR(H13/H7,0)</f>
        <v>0.0985047672485725</v>
      </c>
      <c r="I14" s="89" t="n">
        <f aca="false">IFERROR(I13/I7,0)</f>
        <v>0.106544583388409</v>
      </c>
      <c r="J14" s="89" t="n">
        <f aca="false">IFERROR(J13/J7,0)</f>
        <v>0.109475648752534</v>
      </c>
      <c r="K14" s="89" t="n">
        <f aca="false">IFERROR(K13/K7,0)</f>
        <v>0.0822570612108412</v>
      </c>
      <c r="L14" s="89" t="n">
        <f aca="false">IFERROR(L13/L7,0)</f>
        <v>0.121597842871171</v>
      </c>
      <c r="M14" s="89" t="n">
        <f aca="false">IFERROR(M13/M7,0)</f>
        <v>0.124699007657958</v>
      </c>
      <c r="N14" s="89" t="n">
        <f aca="false">IFERROR(N13/N7,0)</f>
        <v>0.119985554967512</v>
      </c>
      <c r="O14" s="89" t="n">
        <f aca="false">IFERROR(O13/O7,0)</f>
        <v>0.108411472600275</v>
      </c>
      <c r="P14" s="89" t="n">
        <f aca="false">IFERROR(P13/P7,0)</f>
        <v>0.122899404211846</v>
      </c>
      <c r="Q14" s="89" t="n">
        <f aca="false">IFERROR(Q13/Q7,0)</f>
        <v>0.106495743662491</v>
      </c>
      <c r="R14" s="89" t="n">
        <f aca="false">IFERROR(R13/R7,0)</f>
        <v>0.114827348506328</v>
      </c>
      <c r="S14" s="89" t="n">
        <f aca="false">IFERROR(S13/S7,0)</f>
        <v>0.123628213241389</v>
      </c>
      <c r="T14" s="89" t="n">
        <f aca="false">IFERROR(T13/T7,0)</f>
        <v>0.141249654929037</v>
      </c>
      <c r="U14" s="89" t="n">
        <f aca="false">IFERROR(U13/U7,0)</f>
        <v>0.132026706845246</v>
      </c>
      <c r="V14" s="89" t="n">
        <f aca="false">IFERROR(V13/V7,0)</f>
        <v>0.100455792102419</v>
      </c>
      <c r="W14" s="89" t="n">
        <f aca="false">IFERROR(W13/W7,0)</f>
        <v>0.1035031271358</v>
      </c>
      <c r="X14" s="89" t="n">
        <f aca="false">IFERROR(X13/X7,0)</f>
        <v>0.110442869635951</v>
      </c>
      <c r="Y14" s="89" t="n">
        <f aca="false">IFERROR(Y13/Y7,0)</f>
        <v>0.148561541209841</v>
      </c>
      <c r="Z14" s="89" t="n">
        <f aca="false">IFERROR(Z13/Z7,0)</f>
        <v>0.204331160030924</v>
      </c>
      <c r="AA14" s="89" t="n">
        <f aca="false">IFERROR(AA13/AA7,0)</f>
        <v>0.356818231714278</v>
      </c>
      <c r="AB14" s="89" t="n">
        <f aca="false">IFERROR(AB13/AB7,0)</f>
        <v>0</v>
      </c>
      <c r="AC14" s="89" t="n">
        <f aca="false">IFERROR(AC13/AC7,0)</f>
        <v>0</v>
      </c>
      <c r="AD14" s="89" t="n">
        <f aca="false">IFERROR(AD13/AD7,0)</f>
        <v>0</v>
      </c>
      <c r="AE14" s="89" t="n">
        <f aca="false">IFERROR(AE13/AE7,0)</f>
        <v>0</v>
      </c>
      <c r="AF14" s="89" t="n">
        <f aca="false">IFERROR(AF13/AF7,0)</f>
        <v>0</v>
      </c>
      <c r="AG14" s="89" t="n">
        <f aca="false">IFERROR(AG13/AG7,0)</f>
        <v>0</v>
      </c>
      <c r="AH14" s="89" t="n">
        <f aca="false">IFERROR(AH13/AH7,0)</f>
        <v>0</v>
      </c>
      <c r="AI14" s="89" t="n">
        <f aca="false">IFERROR(AI13/AI7,0)</f>
        <v>0</v>
      </c>
      <c r="AJ14" s="89" t="n">
        <f aca="false">IFERROR(AJ13/AJ7,0)</f>
        <v>0</v>
      </c>
      <c r="AK14" s="89" t="n">
        <f aca="false">IFERROR(AK13/AK7,0)</f>
        <v>0</v>
      </c>
    </row>
    <row r="15" customFormat="false" ht="15" hidden="false" customHeight="true" outlineLevel="0" collapsed="false">
      <c r="A15" s="61"/>
      <c r="B15" s="61"/>
      <c r="C15" s="61"/>
      <c r="D15" s="61"/>
      <c r="E15" s="61"/>
      <c r="F15" s="61"/>
      <c r="G15" s="61"/>
      <c r="H15" s="61"/>
      <c r="I15" s="61"/>
      <c r="J15" s="61"/>
      <c r="K15" s="61"/>
      <c r="L15" s="61"/>
      <c r="M15" s="61"/>
      <c r="N15" s="61"/>
      <c r="O15" s="61"/>
      <c r="P15" s="61"/>
      <c r="Q15" s="61"/>
      <c r="R15" s="61"/>
      <c r="S15" s="61"/>
      <c r="T15" s="61"/>
      <c r="U15" s="61"/>
      <c r="V15" s="61"/>
      <c r="W15" s="61"/>
      <c r="X15" s="61"/>
      <c r="Y15" s="61"/>
      <c r="Z15" s="61"/>
      <c r="AA15" s="61"/>
      <c r="AB15" s="61"/>
      <c r="AC15" s="61"/>
      <c r="AD15" s="61"/>
      <c r="AE15" s="61"/>
      <c r="AF15" s="61"/>
      <c r="AG15" s="61"/>
      <c r="AH15" s="61"/>
      <c r="AI15" s="61"/>
      <c r="AJ15" s="61"/>
      <c r="AK15" s="61"/>
    </row>
    <row r="16" customFormat="false" ht="15" hidden="false" customHeight="true" outlineLevel="0" collapsed="false">
      <c r="A16" s="23" t="s">
        <v>63</v>
      </c>
      <c r="B16" s="23"/>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row>
    <row r="17" customFormat="false" ht="15" hidden="false" customHeight="true" outlineLevel="0" collapsed="false">
      <c r="A17" s="22" t="s">
        <v>284</v>
      </c>
      <c r="B17" s="13" t="n">
        <f aca="false">SUM(Model!B203:D204)+SUM(Model!B206:D210)</f>
        <v>-637683.26</v>
      </c>
      <c r="C17" s="13" t="n">
        <f aca="false">SUM(Model!E203:G204)+SUM(Model!E206:G210)</f>
        <v>-493512.62</v>
      </c>
      <c r="D17" s="13" t="n">
        <f aca="false">SUM(Model!H203:J204)+SUM(Model!H206:J210)</f>
        <v>-885920.265</v>
      </c>
      <c r="E17" s="13" t="n">
        <f aca="false">SUM(Model!K203:M204)+SUM(Model!K206:M210)</f>
        <v>-1023838.735</v>
      </c>
      <c r="F17" s="13" t="n">
        <f aca="false">SUM(Model!N203:P204)+SUM(Model!N206:P210)</f>
        <v>-1223974.15166667</v>
      </c>
      <c r="G17" s="13" t="n">
        <f aca="false">SUM(Model!Q203:S204)+SUM(Model!Q206:S210)</f>
        <v>-1468894.7597</v>
      </c>
      <c r="H17" s="13" t="n">
        <f aca="false">SUM(Model!T203:V204)+SUM(Model!T206:V210)</f>
        <v>-1565733.1347</v>
      </c>
      <c r="I17" s="13" t="n">
        <f aca="false">SUM(Model!W203:Y204)+SUM(Model!W206:Y210)</f>
        <v>-1565733.1347</v>
      </c>
      <c r="J17" s="13" t="n">
        <f aca="false">SUM(Model!Z203:AB204)+SUM(Model!Z206:AB210)</f>
        <v>-1521450.2597</v>
      </c>
      <c r="K17" s="13" t="n">
        <f aca="false">SUM(Model!AC203:AE204)+SUM(Model!AC206:AE210)</f>
        <v>-1535995.824894</v>
      </c>
      <c r="L17" s="13" t="n">
        <f aca="false">SUM(Model!AF203:AH204)+SUM(Model!AF206:AH210)</f>
        <v>-1535995.824894</v>
      </c>
      <c r="M17" s="13" t="n">
        <f aca="false">SUM(Model!AI203:AK204)+SUM(Model!AI206:AK210)</f>
        <v>-1576697.139894</v>
      </c>
      <c r="N17" s="13" t="n">
        <f aca="false">SUM(Model!AL203:AN204)+SUM(Model!AL206:AN210)</f>
        <v>-1597047.797394</v>
      </c>
      <c r="O17" s="13" t="n">
        <f aca="false">SUM(Model!AO203:AQ204)+SUM(Model!AO206:AQ210)</f>
        <v>-1654809.27049188</v>
      </c>
      <c r="P17" s="13" t="n">
        <f aca="false">SUM(Model!AR203:AT204)+SUM(Model!AR206:AT210)</f>
        <v>-1706450.30479188</v>
      </c>
      <c r="Q17" s="13" t="n">
        <f aca="false">SUM(Model!AU203:AW204)+SUM(Model!AU206:AW210)</f>
        <v>-1769229.60139188</v>
      </c>
      <c r="R17" s="13" t="n">
        <f aca="false">SUM(Model!AX203:AZ204)+SUM(Model!AX206:AZ210)</f>
        <v>-1742902.79959188</v>
      </c>
      <c r="S17" s="13" t="n">
        <f aca="false">SUM(Model!BA203:BC204)+SUM(Model!BA206:BC210)</f>
        <v>-1637297.24228772</v>
      </c>
      <c r="T17" s="13" t="n">
        <f aca="false">SUM(Model!BD203:BF204)+SUM(Model!BD206:BF210)</f>
        <v>-1605796.21136472</v>
      </c>
      <c r="U17" s="13" t="n">
        <f aca="false">SUM(Model!BG203:BI204)+SUM(Model!BG206:BI210)</f>
        <v>-1605796.21136472</v>
      </c>
      <c r="V17" s="13" t="n">
        <f aca="false">SUM(Model!BJ203:BL204)+SUM(Model!BJ206:BL210)</f>
        <v>-1578942.87352872</v>
      </c>
      <c r="W17" s="13" t="n">
        <f aca="false">SUM(Model!BM203:BO204)+SUM(Model!BM206:BO210)</f>
        <v>-1458821.02863961</v>
      </c>
      <c r="X17" s="13" t="n">
        <f aca="false">SUM(Model!BP203:BR204)+SUM(Model!BP206:BR210)</f>
        <v>-1209146.95600597</v>
      </c>
      <c r="Y17" s="13" t="n">
        <f aca="false">SUM(Model!BS203:BU204)+SUM(Model!BS206:BU210)</f>
        <v>-1131716.38917655</v>
      </c>
      <c r="Z17" s="13" t="n">
        <f aca="false">SUM(Model!BV203:BX204)+SUM(Model!BV206:BX210)</f>
        <v>-1054812.56089699</v>
      </c>
      <c r="AA17" s="13" t="n">
        <f aca="false">SUM(Model!BY203:CA204)+SUM(Model!BY206:CA210)</f>
        <v>-1075908.81211493</v>
      </c>
      <c r="AB17" s="13" t="n">
        <f aca="false">SUM(Model!CB203:CD204)+SUM(Model!CB206:CD210)</f>
        <v>-1075908.81211493</v>
      </c>
      <c r="AC17" s="13" t="n">
        <f aca="false">SUM(Model!CE203:CG204)+SUM(Model!CE206:CG210)</f>
        <v>-1075908.81211493</v>
      </c>
      <c r="AD17" s="13" t="n">
        <f aca="false">SUM(Model!CH203:CJ204)+SUM(Model!CH206:CJ210)</f>
        <v>-1075908.81211493</v>
      </c>
      <c r="AE17" s="13" t="n">
        <f aca="false">SUM(Model!CK203:CM204)+SUM(Model!CK206:CM210)</f>
        <v>-1097426.98835723</v>
      </c>
      <c r="AF17" s="13" t="n">
        <f aca="false">SUM(Model!CN203:CP204)+SUM(Model!CN206:CP210)</f>
        <v>-1097426.98835723</v>
      </c>
      <c r="AG17" s="13" t="n">
        <f aca="false">SUM(Model!CQ203:CS204)+SUM(Model!CQ206:CS210)</f>
        <v>-1097426.98835723</v>
      </c>
      <c r="AH17" s="13" t="n">
        <f aca="false">SUM(Model!CT203:CV204)+SUM(Model!CT206:CV210)</f>
        <v>-942086.509522884</v>
      </c>
      <c r="AI17" s="13" t="n">
        <f aca="false">SUM(Model!CW203:CY204)+SUM(Model!CW206:CY210)</f>
        <v>-960928.239713341</v>
      </c>
      <c r="AJ17" s="13" t="n">
        <f aca="false">SUM(Model!CZ203:DB204)+SUM(Model!CZ206:DB210)</f>
        <v>-960928.239713341</v>
      </c>
      <c r="AK17" s="13" t="n">
        <f aca="false">SUM(Model!DC203:DE204)+SUM(Model!DC206:DE210)</f>
        <v>-960928.239713341</v>
      </c>
    </row>
    <row r="18" customFormat="false" ht="15" hidden="false" customHeight="true" outlineLevel="0" collapsed="false">
      <c r="A18" s="22" t="s">
        <v>285</v>
      </c>
      <c r="B18" s="13" t="n">
        <f aca="false">SUM(Model!B211:D233)+SUM(Model!B235:D235)</f>
        <v>-235164.52</v>
      </c>
      <c r="C18" s="13" t="n">
        <f aca="false">SUM(Model!E211:G233)+SUM(Model!E235:G235)</f>
        <v>-340675</v>
      </c>
      <c r="D18" s="13" t="n">
        <f aca="false">SUM(Model!H211:J233)+SUM(Model!H235:J235)</f>
        <v>-221900.59</v>
      </c>
      <c r="E18" s="13" t="n">
        <f aca="false">SUM(Model!K211:M233)+SUM(Model!K235:M235)</f>
        <v>-229202.82</v>
      </c>
      <c r="F18" s="13" t="n">
        <f aca="false">SUM(Model!N211:P233)+SUM(Model!N235:P235)</f>
        <v>-325202.82</v>
      </c>
      <c r="G18" s="13" t="n">
        <f aca="false">SUM(Model!Q211:S233)+SUM(Model!Q235:S235)</f>
        <v>-307181.8764</v>
      </c>
      <c r="H18" s="13" t="n">
        <f aca="false">SUM(Model!T211:V233)+SUM(Model!T235:V235)</f>
        <v>-208931.8764</v>
      </c>
      <c r="I18" s="13" t="n">
        <f aca="false">SUM(Model!W211:Y233)+SUM(Model!W235:Y235)</f>
        <v>-190181.8764</v>
      </c>
      <c r="J18" s="13" t="n">
        <f aca="false">SUM(Model!Z211:AB233)+SUM(Model!Z235:AB235)</f>
        <v>-205951.107169231</v>
      </c>
      <c r="K18" s="13" t="n">
        <f aca="false">SUM(Model!AC211:AE233)+SUM(Model!AC235:AE235)</f>
        <v>-193985.513928</v>
      </c>
      <c r="L18" s="13" t="n">
        <f aca="false">SUM(Model!AF211:AH233)+SUM(Model!AF235:AH235)</f>
        <v>-193985.513928</v>
      </c>
      <c r="M18" s="13" t="n">
        <f aca="false">SUM(Model!AI211:AK233)+SUM(Model!AI235:AK235)</f>
        <v>-224735.513928</v>
      </c>
      <c r="N18" s="13" t="n">
        <f aca="false">SUM(Model!AL211:AN233)+SUM(Model!AL235:AN235)</f>
        <v>-193985.513928</v>
      </c>
      <c r="O18" s="13" t="n">
        <f aca="false">SUM(Model!AO211:AQ233)+SUM(Model!AO235:AQ235)</f>
        <v>-236115.22420656</v>
      </c>
      <c r="P18" s="13" t="n">
        <f aca="false">SUM(Model!AR211:AT233)+SUM(Model!AR235:AT235)</f>
        <v>-197865.22420656</v>
      </c>
      <c r="Q18" s="13" t="n">
        <f aca="false">SUM(Model!AU211:AW233)+SUM(Model!AU235:AW235)</f>
        <v>-245365.22420656</v>
      </c>
      <c r="R18" s="13" t="n">
        <f aca="false">SUM(Model!AX211:AZ233)+SUM(Model!AX235:AZ235)</f>
        <v>-197865.22420656</v>
      </c>
      <c r="S18" s="13" t="n">
        <f aca="false">SUM(Model!BA211:BC233)+SUM(Model!BA235:BC235)</f>
        <v>-244514.836382999</v>
      </c>
      <c r="T18" s="13" t="n">
        <f aca="false">SUM(Model!BD211:BF233)+SUM(Model!BD235:BF235)</f>
        <v>-201822.528690691</v>
      </c>
      <c r="U18" s="13" t="n">
        <f aca="false">SUM(Model!BG211:BI233)+SUM(Model!BG235:BI235)</f>
        <v>-201822.528690691</v>
      </c>
      <c r="V18" s="13" t="n">
        <f aca="false">SUM(Model!BJ211:BL233)+SUM(Model!BJ235:BL235)</f>
        <v>-211822.528690691</v>
      </c>
      <c r="W18" s="13" t="n">
        <f aca="false">SUM(Model!BM211:BO233)+SUM(Model!BM235:BO235)</f>
        <v>-271628.210033736</v>
      </c>
      <c r="X18" s="13" t="n">
        <f aca="false">SUM(Model!BP211:BR233)+SUM(Model!BP235:BR235)</f>
        <v>-237782.056187582</v>
      </c>
      <c r="Y18" s="13" t="n">
        <f aca="false">SUM(Model!BS211:BU233)+SUM(Model!BS235:BU235)</f>
        <v>-240089.748495274</v>
      </c>
      <c r="Z18" s="13" t="n">
        <f aca="false">SUM(Model!BV211:BX233)+SUM(Model!BV235:BX235)</f>
        <v>-205858.979264505</v>
      </c>
      <c r="AA18" s="13" t="n">
        <f aca="false">SUM(Model!BY211:CA233)+SUM(Model!BY235:CA235)</f>
        <v>-209976.158849795</v>
      </c>
      <c r="AB18" s="13" t="n">
        <f aca="false">SUM(Model!CB211:CD233)+SUM(Model!CB235:CD235)</f>
        <v>-209976.158849795</v>
      </c>
      <c r="AC18" s="13" t="n">
        <f aca="false">SUM(Model!CE211:CG233)+SUM(Model!CE235:CG235)</f>
        <v>-209976.158849795</v>
      </c>
      <c r="AD18" s="13" t="n">
        <f aca="false">SUM(Model!CH211:CJ233)+SUM(Model!CH235:CJ235)</f>
        <v>-209976.158849795</v>
      </c>
      <c r="AE18" s="13" t="n">
        <f aca="false">SUM(Model!CK211:CM233)+SUM(Model!CK235:CM235)</f>
        <v>-214175.682026791</v>
      </c>
      <c r="AF18" s="13" t="n">
        <f aca="false">SUM(Model!CN211:CP233)+SUM(Model!CN235:CP235)</f>
        <v>-214175.682026791</v>
      </c>
      <c r="AG18" s="13" t="n">
        <f aca="false">SUM(Model!CQ211:CS233)+SUM(Model!CQ235:CS235)</f>
        <v>-214175.682026791</v>
      </c>
      <c r="AH18" s="13" t="n">
        <f aca="false">SUM(Model!CT211:CV233)+SUM(Model!CT235:CV235)</f>
        <v>-214175.682026791</v>
      </c>
      <c r="AI18" s="13" t="n">
        <f aca="false">SUM(Model!CW211:CY233)+SUM(Model!CW235:CY235)</f>
        <v>-218459.195667327</v>
      </c>
      <c r="AJ18" s="13" t="n">
        <f aca="false">SUM(Model!CZ211:DB233)+SUM(Model!CZ235:DB235)</f>
        <v>-218459.195667327</v>
      </c>
      <c r="AK18" s="13" t="n">
        <f aca="false">SUM(Model!DC211:DE233)+SUM(Model!DC235:DE235)</f>
        <v>-218459.195667327</v>
      </c>
    </row>
    <row r="19" customFormat="false" ht="15" hidden="false" customHeight="true" outlineLevel="0" collapsed="false">
      <c r="A19" s="22" t="s">
        <v>286</v>
      </c>
      <c r="B19" s="13" t="n">
        <f aca="false">SUM(Model!B205:D205)</f>
        <v>0</v>
      </c>
      <c r="C19" s="13" t="n">
        <f aca="false">SUM(Model!E205:G205)</f>
        <v>0</v>
      </c>
      <c r="D19" s="13" t="n">
        <f aca="false">SUM(Model!H205:J205)</f>
        <v>0</v>
      </c>
      <c r="E19" s="13" t="n">
        <f aca="false">SUM(Model!K205:M205)</f>
        <v>0</v>
      </c>
      <c r="F19" s="13" t="n">
        <f aca="false">SUM(Model!N205:P205)</f>
        <v>0</v>
      </c>
      <c r="G19" s="13" t="n">
        <f aca="false">SUM(Model!Q205:S205)</f>
        <v>0</v>
      </c>
      <c r="H19" s="13" t="n">
        <f aca="false">SUM(Model!T205:V205)</f>
        <v>0</v>
      </c>
      <c r="I19" s="13" t="n">
        <f aca="false">SUM(Model!W205:Y205)</f>
        <v>0</v>
      </c>
      <c r="J19" s="13" t="n">
        <f aca="false">SUM(Model!Z205:AB205)</f>
        <v>0</v>
      </c>
      <c r="K19" s="13" t="n">
        <f aca="false">SUM(Model!AC205:AE205)</f>
        <v>0</v>
      </c>
      <c r="L19" s="13" t="n">
        <f aca="false">SUM(Model!AF205:AH205)</f>
        <v>0</v>
      </c>
      <c r="M19" s="13" t="n">
        <f aca="false">SUM(Model!AI205:AK205)</f>
        <v>0</v>
      </c>
      <c r="N19" s="13" t="n">
        <f aca="false">SUM(Model!AL205:AN205)</f>
        <v>0</v>
      </c>
      <c r="O19" s="13" t="n">
        <f aca="false">SUM(Model!AO205:AQ205)</f>
        <v>0</v>
      </c>
      <c r="P19" s="13" t="n">
        <f aca="false">SUM(Model!AR205:AT205)</f>
        <v>0</v>
      </c>
      <c r="Q19" s="13" t="n">
        <f aca="false">SUM(Model!AU205:AW205)</f>
        <v>0</v>
      </c>
      <c r="R19" s="13" t="n">
        <f aca="false">SUM(Model!AX205:AZ205)</f>
        <v>0</v>
      </c>
      <c r="S19" s="13" t="n">
        <f aca="false">SUM(Model!BA205:BC205)</f>
        <v>0</v>
      </c>
      <c r="T19" s="13" t="n">
        <f aca="false">SUM(Model!BD205:BF205)</f>
        <v>0</v>
      </c>
      <c r="U19" s="13" t="n">
        <f aca="false">SUM(Model!BG205:BI205)</f>
        <v>0</v>
      </c>
      <c r="V19" s="13" t="n">
        <f aca="false">SUM(Model!BJ205:BL205)</f>
        <v>0</v>
      </c>
      <c r="W19" s="13" t="n">
        <f aca="false">SUM(Model!BM205:BO205)</f>
        <v>0</v>
      </c>
      <c r="X19" s="13" t="n">
        <f aca="false">SUM(Model!BP205:BR205)</f>
        <v>0</v>
      </c>
      <c r="Y19" s="13" t="n">
        <f aca="false">SUM(Model!BS205:BU205)</f>
        <v>0</v>
      </c>
      <c r="Z19" s="13" t="n">
        <f aca="false">SUM(Model!BV205:BX205)</f>
        <v>0</v>
      </c>
      <c r="AA19" s="13" t="n">
        <f aca="false">SUM(Model!BY205:CA205)</f>
        <v>0</v>
      </c>
      <c r="AB19" s="13" t="n">
        <f aca="false">SUM(Model!CB205:CD205)</f>
        <v>0</v>
      </c>
      <c r="AC19" s="13" t="n">
        <f aca="false">SUM(Model!CE205:CG205)</f>
        <v>0</v>
      </c>
      <c r="AD19" s="13" t="n">
        <f aca="false">SUM(Model!CH205:CJ205)</f>
        <v>0</v>
      </c>
      <c r="AE19" s="13" t="n">
        <f aca="false">SUM(Model!CK205:CM205)</f>
        <v>0</v>
      </c>
      <c r="AF19" s="13" t="n">
        <f aca="false">SUM(Model!CN205:CP205)</f>
        <v>0</v>
      </c>
      <c r="AG19" s="13" t="n">
        <f aca="false">SUM(Model!CQ205:CS205)</f>
        <v>0</v>
      </c>
      <c r="AH19" s="13" t="n">
        <f aca="false">SUM(Model!CT205:CV205)</f>
        <v>0</v>
      </c>
      <c r="AI19" s="13" t="n">
        <f aca="false">SUM(Model!CW205:CY205)</f>
        <v>0</v>
      </c>
      <c r="AJ19" s="13" t="n">
        <f aca="false">SUM(Model!CZ205:DB205)</f>
        <v>0</v>
      </c>
      <c r="AK19" s="13" t="n">
        <f aca="false">SUM(Model!DC205:DE205)</f>
        <v>0</v>
      </c>
    </row>
    <row r="20" customFormat="false" ht="15" hidden="false" customHeight="true" outlineLevel="0" collapsed="false">
      <c r="A20" s="22" t="s">
        <v>287</v>
      </c>
      <c r="B20" s="13" t="n">
        <f aca="false">SUM(Model!B234:D234)</f>
        <v>0</v>
      </c>
      <c r="C20" s="13" t="n">
        <f aca="false">SUM(Model!E234:G234)</f>
        <v>0</v>
      </c>
      <c r="D20" s="13" t="n">
        <f aca="false">SUM(Model!H234:J234)</f>
        <v>0</v>
      </c>
      <c r="E20" s="13" t="n">
        <f aca="false">SUM(Model!K234:M234)</f>
        <v>0</v>
      </c>
      <c r="F20" s="13" t="n">
        <f aca="false">SUM(Model!N234:P234)</f>
        <v>-37973.771875</v>
      </c>
      <c r="G20" s="13" t="n">
        <f aca="false">SUM(Model!Q234:S234)</f>
        <v>-38290.0375</v>
      </c>
      <c r="H20" s="13" t="n">
        <f aca="false">SUM(Model!T234:V234)</f>
        <v>-74400.385</v>
      </c>
      <c r="I20" s="13" t="n">
        <f aca="false">SUM(Model!W234:Y234)</f>
        <v>-62565.82645</v>
      </c>
      <c r="J20" s="13" t="n">
        <f aca="false">SUM(Model!Z234:AB234)</f>
        <v>0</v>
      </c>
      <c r="K20" s="13" t="n">
        <f aca="false">SUM(Model!AC234:AE234)</f>
        <v>-45000</v>
      </c>
      <c r="L20" s="13" t="n">
        <f aca="false">SUM(Model!AF234:AH234)</f>
        <v>-45000</v>
      </c>
      <c r="M20" s="13" t="n">
        <f aca="false">SUM(Model!AI234:AK234)</f>
        <v>-120000</v>
      </c>
      <c r="N20" s="13" t="n">
        <f aca="false">SUM(Model!AL234:AN234)</f>
        <v>-191102.548868042</v>
      </c>
      <c r="O20" s="13" t="n">
        <f aca="false">SUM(Model!AO234:AQ234)</f>
        <v>-120000</v>
      </c>
      <c r="P20" s="13" t="n">
        <f aca="false">SUM(Model!AR234:AT234)</f>
        <v>-112510.060325756</v>
      </c>
      <c r="Q20" s="13" t="n">
        <f aca="false">SUM(Model!AU234:AW234)</f>
        <v>-198402.134957337</v>
      </c>
      <c r="R20" s="13" t="n">
        <f aca="false">SUM(Model!AX234:AZ234)</f>
        <v>-158329.346875026</v>
      </c>
      <c r="S20" s="13" t="n">
        <f aca="false">SUM(Model!BA234:BC234)</f>
        <v>-279131.204246016</v>
      </c>
      <c r="T20" s="13" t="n">
        <f aca="false">SUM(Model!BD234:BF234)</f>
        <v>-317115.529321869</v>
      </c>
      <c r="U20" s="13" t="n">
        <f aca="false">SUM(Model!BG234:BI234)</f>
        <v>-322589.065881146</v>
      </c>
      <c r="V20" s="13" t="n">
        <f aca="false">SUM(Model!BJ234:BL234)</f>
        <v>0</v>
      </c>
      <c r="W20" s="13" t="n">
        <f aca="false">SUM(Model!BM234:BO234)</f>
        <v>-134064.843876839</v>
      </c>
      <c r="X20" s="13" t="n">
        <f aca="false">SUM(Model!BP234:BR234)</f>
        <v>-48753.0936317835</v>
      </c>
      <c r="Y20" s="13" t="n">
        <f aca="false">SUM(Model!BS234:BU234)</f>
        <v>-164441.719604415</v>
      </c>
      <c r="Z20" s="13" t="n">
        <f aca="false">SUM(Model!BV234:BX234)</f>
        <v>-122295.688580424</v>
      </c>
      <c r="AA20" s="13" t="n">
        <f aca="false">SUM(Model!BY234:CA234)</f>
        <v>-34179.5485358033</v>
      </c>
      <c r="AB20" s="13" t="n">
        <f aca="false">SUM(Model!CB234:CD234)</f>
        <v>0</v>
      </c>
      <c r="AC20" s="13" t="n">
        <f aca="false">SUM(Model!CE234:CG234)</f>
        <v>0</v>
      </c>
      <c r="AD20" s="13" t="n">
        <f aca="false">SUM(Model!CH234:CJ234)</f>
        <v>0</v>
      </c>
      <c r="AE20" s="13" t="n">
        <f aca="false">SUM(Model!CK234:CM234)</f>
        <v>0</v>
      </c>
      <c r="AF20" s="13" t="n">
        <f aca="false">SUM(Model!CN234:CP234)</f>
        <v>0</v>
      </c>
      <c r="AG20" s="13" t="n">
        <f aca="false">SUM(Model!CQ234:CS234)</f>
        <v>0</v>
      </c>
      <c r="AH20" s="13" t="n">
        <f aca="false">SUM(Model!CT234:CV234)</f>
        <v>0</v>
      </c>
      <c r="AI20" s="13" t="n">
        <f aca="false">SUM(Model!CW234:CY234)</f>
        <v>0</v>
      </c>
      <c r="AJ20" s="13" t="n">
        <f aca="false">SUM(Model!CZ234:DB234)</f>
        <v>0</v>
      </c>
      <c r="AK20" s="13" t="n">
        <f aca="false">SUM(Model!DC234:DE234)</f>
        <v>0</v>
      </c>
    </row>
    <row r="21" customFormat="false" ht="15" hidden="false" customHeight="true" outlineLevel="0" collapsed="false">
      <c r="A21" s="87" t="s">
        <v>97</v>
      </c>
      <c r="B21" s="88" t="n">
        <f aca="false">SUM(Model!B236:D236)</f>
        <v>-872847.78</v>
      </c>
      <c r="C21" s="88" t="n">
        <f aca="false">SUM(Model!E236:G236)</f>
        <v>-834800.3</v>
      </c>
      <c r="D21" s="88" t="n">
        <f aca="false">SUM(Model!H236:J236)</f>
        <v>-1111040.675</v>
      </c>
      <c r="E21" s="88" t="n">
        <f aca="false">SUM(Model!K236:M236)</f>
        <v>-1253041.555</v>
      </c>
      <c r="F21" s="88" t="n">
        <f aca="false">SUM(Model!N236:P236)</f>
        <v>-1587150.74354167</v>
      </c>
      <c r="G21" s="88" t="n">
        <f aca="false">SUM(Model!Q236:S236)</f>
        <v>-1814366.6736</v>
      </c>
      <c r="H21" s="88" t="n">
        <f aca="false">SUM(Model!T236:V236)</f>
        <v>-1849065.3961</v>
      </c>
      <c r="I21" s="88" t="n">
        <f aca="false">SUM(Model!W236:Y236)</f>
        <v>-1818480.83755</v>
      </c>
      <c r="J21" s="88" t="n">
        <f aca="false">SUM(Model!Z236:AB236)</f>
        <v>-1727401.36686923</v>
      </c>
      <c r="K21" s="88" t="n">
        <f aca="false">SUM(Model!AC236:AE236)</f>
        <v>-1774981.338822</v>
      </c>
      <c r="L21" s="88" t="n">
        <f aca="false">SUM(Model!AF236:AH236)</f>
        <v>-1774981.338822</v>
      </c>
      <c r="M21" s="88" t="n">
        <f aca="false">SUM(Model!AI236:AK236)</f>
        <v>-1921432.653822</v>
      </c>
      <c r="N21" s="88" t="n">
        <f aca="false">SUM(Model!AL236:AN236)</f>
        <v>-1982135.86019004</v>
      </c>
      <c r="O21" s="88" t="n">
        <f aca="false">SUM(Model!AO236:AQ236)</f>
        <v>-2010924.49469844</v>
      </c>
      <c r="P21" s="88" t="n">
        <f aca="false">SUM(Model!AR236:AT236)</f>
        <v>-2016825.5893242</v>
      </c>
      <c r="Q21" s="88" t="n">
        <f aca="false">SUM(Model!AU236:AW236)</f>
        <v>-2212996.96055578</v>
      </c>
      <c r="R21" s="88" t="n">
        <f aca="false">SUM(Model!AX236:AZ236)</f>
        <v>-2099097.37067347</v>
      </c>
      <c r="S21" s="88" t="n">
        <f aca="false">SUM(Model!BA236:BC236)</f>
        <v>-2160943.28291673</v>
      </c>
      <c r="T21" s="88" t="n">
        <f aca="false">SUM(Model!BD236:BF236)</f>
        <v>-2124734.26937728</v>
      </c>
      <c r="U21" s="88" t="n">
        <f aca="false">SUM(Model!BG236:BI236)</f>
        <v>-2130207.80593655</v>
      </c>
      <c r="V21" s="88" t="n">
        <f aca="false">SUM(Model!BJ236:BL236)</f>
        <v>-1790765.40221941</v>
      </c>
      <c r="W21" s="88" t="n">
        <f aca="false">SUM(Model!BM236:BO236)</f>
        <v>-1864514.08255019</v>
      </c>
      <c r="X21" s="88" t="n">
        <f aca="false">SUM(Model!BP236:BR236)</f>
        <v>-1495682.10582534</v>
      </c>
      <c r="Y21" s="88" t="n">
        <f aca="false">SUM(Model!BS236:BU236)</f>
        <v>-1536247.85727624</v>
      </c>
      <c r="Z21" s="88" t="n">
        <f aca="false">SUM(Model!BV236:BX236)</f>
        <v>-1382967.22874192</v>
      </c>
      <c r="AA21" s="88" t="n">
        <f aca="false">SUM(Model!BY236:CA236)</f>
        <v>-1320064.51950053</v>
      </c>
      <c r="AB21" s="88" t="n">
        <f aca="false">SUM(Model!CB236:CD236)</f>
        <v>-1285884.97096473</v>
      </c>
      <c r="AC21" s="88" t="n">
        <f aca="false">SUM(Model!CE236:CG236)</f>
        <v>-1285884.97096473</v>
      </c>
      <c r="AD21" s="88" t="n">
        <f aca="false">SUM(Model!CH236:CJ236)</f>
        <v>-1285884.97096473</v>
      </c>
      <c r="AE21" s="88" t="n">
        <f aca="false">SUM(Model!CK236:CM236)</f>
        <v>-1311602.67038402</v>
      </c>
      <c r="AF21" s="88" t="n">
        <f aca="false">SUM(Model!CN236:CP236)</f>
        <v>-1311602.67038402</v>
      </c>
      <c r="AG21" s="88" t="n">
        <f aca="false">SUM(Model!CQ236:CS236)</f>
        <v>-1311602.67038402</v>
      </c>
      <c r="AH21" s="88" t="n">
        <f aca="false">SUM(Model!CT236:CV236)</f>
        <v>-1156262.19154967</v>
      </c>
      <c r="AI21" s="88" t="n">
        <f aca="false">SUM(Model!CW236:CY236)</f>
        <v>-1179387.43538067</v>
      </c>
      <c r="AJ21" s="88" t="n">
        <f aca="false">SUM(Model!CZ236:DB236)</f>
        <v>-1179387.43538067</v>
      </c>
      <c r="AK21" s="88" t="n">
        <f aca="false">SUM(Model!DC236:DE236)</f>
        <v>-1179387.43538067</v>
      </c>
    </row>
    <row r="22" customFormat="false" ht="15" hidden="false" customHeight="true" outlineLevel="0" collapsed="false">
      <c r="A22" s="87" t="s">
        <v>98</v>
      </c>
      <c r="B22" s="91" t="n">
        <f aca="false">SUM(Model!B237:D237)</f>
        <v>-110907.17</v>
      </c>
      <c r="C22" s="91" t="n">
        <f aca="false">SUM(Model!E237:G237)</f>
        <v>719445.780000001</v>
      </c>
      <c r="D22" s="91" t="n">
        <f aca="false">SUM(Model!H237:J237)</f>
        <v>1226074.35827196</v>
      </c>
      <c r="E22" s="91" t="n">
        <f aca="false">SUM(Model!K237:M237)</f>
        <v>329306.694270358</v>
      </c>
      <c r="F22" s="91" t="n">
        <f aca="false">SUM(Model!N237:P237)</f>
        <v>1018837.76343653</v>
      </c>
      <c r="G22" s="91" t="n">
        <f aca="false">SUM(Model!Q237:S237)</f>
        <v>-47204.6632360021</v>
      </c>
      <c r="H22" s="91" t="n">
        <f aca="false">SUM(Model!T237:V237)</f>
        <v>1440648.64279584</v>
      </c>
      <c r="I22" s="91" t="n">
        <f aca="false">SUM(Model!W237:Y237)</f>
        <v>1940435.01711048</v>
      </c>
      <c r="J22" s="91" t="n">
        <f aca="false">SUM(Model!Z237:AB237)</f>
        <v>2361406.81727194</v>
      </c>
      <c r="K22" s="91" t="n">
        <f aca="false">SUM(Model!AC237:AE237)</f>
        <v>962547.574661516</v>
      </c>
      <c r="L22" s="91" t="n">
        <f aca="false">SUM(Model!AF237:AH237)</f>
        <v>2532970.12523956</v>
      </c>
      <c r="M22" s="91" t="n">
        <f aca="false">SUM(Model!AI237:AK237)</f>
        <v>2430252.06461794</v>
      </c>
      <c r="N22" s="91" t="n">
        <f aca="false">SUM(Model!AL237:AN237)</f>
        <v>2278938.52943189</v>
      </c>
      <c r="O22" s="91" t="n">
        <f aca="false">SUM(Model!AO237:AQ237)</f>
        <v>2251072.45687234</v>
      </c>
      <c r="P22" s="91" t="n">
        <f aca="false">SUM(Model!AR237:AT237)</f>
        <v>3233937.39538334</v>
      </c>
      <c r="Q22" s="91" t="n">
        <f aca="false">SUM(Model!AU237:AW237)</f>
        <v>2231914.86515162</v>
      </c>
      <c r="R22" s="91" t="n">
        <f aca="false">SUM(Model!AX237:AZ237)</f>
        <v>2364843.20193217</v>
      </c>
      <c r="S22" s="91" t="n">
        <f aca="false">SUM(Model!BA237:BC237)</f>
        <v>2055230.8165362</v>
      </c>
      <c r="T22" s="91" t="n">
        <f aca="false">SUM(Model!BD237:BF237)</f>
        <v>2411440.90322836</v>
      </c>
      <c r="U22" s="91" t="n">
        <f aca="false">SUM(Model!BG237:BI237)</f>
        <v>2141125.62770343</v>
      </c>
      <c r="V22" s="91" t="n">
        <f aca="false">SUM(Model!BJ237:BL237)</f>
        <v>1405615.64778059</v>
      </c>
      <c r="W22" s="91" t="n">
        <f aca="false">SUM(Model!BM237:BO237)</f>
        <v>1223515.06744981</v>
      </c>
      <c r="X22" s="91" t="n">
        <f aca="false">SUM(Model!BP237:BR237)</f>
        <v>1195056.74417466</v>
      </c>
      <c r="Y22" s="91" t="n">
        <f aca="false">SUM(Model!BS237:BU237)</f>
        <v>775259.342723758</v>
      </c>
      <c r="Z22" s="91" t="n">
        <f aca="false">SUM(Model!BV237:BX237)</f>
        <v>61724.7712580788</v>
      </c>
      <c r="AA22" s="91" t="n">
        <f aca="false">SUM(Model!BY237:CA237)</f>
        <v>-832480.96950053</v>
      </c>
      <c r="AB22" s="91" t="n">
        <f aca="false">SUM(Model!CB237:CD237)</f>
        <v>-1285884.97096473</v>
      </c>
      <c r="AC22" s="91" t="n">
        <f aca="false">SUM(Model!CE237:CG237)</f>
        <v>-1285884.97096473</v>
      </c>
      <c r="AD22" s="91" t="n">
        <f aca="false">SUM(Model!CH237:CJ237)</f>
        <v>-1285884.97096473</v>
      </c>
      <c r="AE22" s="91" t="n">
        <f aca="false">SUM(Model!CK237:CM237)</f>
        <v>-1311602.67038402</v>
      </c>
      <c r="AF22" s="91" t="n">
        <f aca="false">SUM(Model!CN237:CP237)</f>
        <v>-1311602.67038402</v>
      </c>
      <c r="AG22" s="91" t="n">
        <f aca="false">SUM(Model!CQ237:CS237)</f>
        <v>-1311602.67038402</v>
      </c>
      <c r="AH22" s="91" t="n">
        <f aca="false">SUM(Model!CT237:CV237)</f>
        <v>-1156262.19154967</v>
      </c>
      <c r="AI22" s="91" t="n">
        <f aca="false">SUM(Model!CW237:CY237)</f>
        <v>-1179387.43538067</v>
      </c>
      <c r="AJ22" s="91" t="n">
        <f aca="false">SUM(Model!CZ237:DB237)</f>
        <v>-1179387.43538067</v>
      </c>
      <c r="AK22" s="91" t="n">
        <f aca="false">SUM(Model!DC237:DE237)</f>
        <v>-1179387.43538067</v>
      </c>
    </row>
    <row r="23" customFormat="false" ht="15" hidden="false" customHeight="true" outlineLevel="0" collapsed="false">
      <c r="A23" s="22" t="s">
        <v>99</v>
      </c>
      <c r="B23" s="89" t="n">
        <f aca="false">IFERROR(B22/B7,0)</f>
        <v>-0.0155146852082093</v>
      </c>
      <c r="C23" s="89" t="n">
        <f aca="false">IFERROR(C22/C7,0)</f>
        <v>0.0500982999588646</v>
      </c>
      <c r="D23" s="89" t="n">
        <f aca="false">IFERROR(D22/D7,0)</f>
        <v>0.0647602758176804</v>
      </c>
      <c r="E23" s="89" t="n">
        <f aca="false">IFERROR(E22/E7,0)</f>
        <v>0.0199299492051314</v>
      </c>
      <c r="F23" s="89" t="n">
        <f aca="false">IFERROR(F22/F7,0)</f>
        <v>0.0502967705255128</v>
      </c>
      <c r="G23" s="89" t="n">
        <f aca="false">IFERROR(G22/G7,0)</f>
        <v>-0.00185193495977552</v>
      </c>
      <c r="H23" s="89" t="n">
        <f aca="false">IFERROR(H22/H7,0)</f>
        <v>0.0431377188313934</v>
      </c>
      <c r="I23" s="89" t="n">
        <f aca="false">IFERROR(I22/I7,0)</f>
        <v>0.0550006567010504</v>
      </c>
      <c r="J23" s="89" t="n">
        <f aca="false">IFERROR(J22/J7,0)</f>
        <v>0.0632254025249171</v>
      </c>
      <c r="K23" s="89" t="n">
        <f aca="false">IFERROR(K22/K7,0)</f>
        <v>0.0289225565353123</v>
      </c>
      <c r="L23" s="89" t="n">
        <f aca="false">IFERROR(L22/L7,0)</f>
        <v>0.0714965583655541</v>
      </c>
      <c r="M23" s="89" t="n">
        <f aca="false">IFERROR(M22/M7,0)</f>
        <v>0.0696397005813427</v>
      </c>
      <c r="N23" s="89" t="n">
        <f aca="false">IFERROR(N22/N7,0)</f>
        <v>0.0641715396606799</v>
      </c>
      <c r="O23" s="89" t="n">
        <f aca="false">IFERROR(O22/O7,0)</f>
        <v>0.0572600315656036</v>
      </c>
      <c r="P23" s="89" t="n">
        <f aca="false">IFERROR(P22/P7,0)</f>
        <v>0.075693566879435</v>
      </c>
      <c r="Q23" s="89" t="n">
        <f aca="false">IFERROR(Q22/Q7,0)</f>
        <v>0.0534744990847736</v>
      </c>
      <c r="R23" s="89" t="n">
        <f aca="false">IFERROR(R22/R7,0)</f>
        <v>0.0608316060875743</v>
      </c>
      <c r="S23" s="89" t="n">
        <f aca="false">IFERROR(S22/S7,0)</f>
        <v>0.0602642366405079</v>
      </c>
      <c r="T23" s="89" t="n">
        <f aca="false">IFERROR(T22/T7,0)</f>
        <v>0.0750886335959372</v>
      </c>
      <c r="U23" s="89" t="n">
        <f aca="false">IFERROR(U22/U7,0)</f>
        <v>0.0661820880901688</v>
      </c>
      <c r="V23" s="89" t="n">
        <f aca="false">IFERROR(V22/V7,0)</f>
        <v>0.0441756571199027</v>
      </c>
      <c r="W23" s="89" t="n">
        <f aca="false">IFERROR(W22/W7,0)</f>
        <v>0.0410092098964885</v>
      </c>
      <c r="X23" s="89" t="n">
        <f aca="false">IFERROR(X22/X7,0)</f>
        <v>0.0490517674000384</v>
      </c>
      <c r="Y23" s="89" t="n">
        <f aca="false">IFERROR(Y22/Y7,0)</f>
        <v>0.0498262444488036</v>
      </c>
      <c r="Z23" s="89" t="n">
        <f aca="false">IFERROR(Z22/Z7,0)</f>
        <v>0.00873009202917068</v>
      </c>
      <c r="AA23" s="89" t="n">
        <f aca="false">IFERROR(AA22/AA7,0)</f>
        <v>-0.609217409965876</v>
      </c>
      <c r="AB23" s="89" t="n">
        <f aca="false">IFERROR(AB22/AB7,0)</f>
        <v>0</v>
      </c>
      <c r="AC23" s="89" t="n">
        <f aca="false">IFERROR(AC22/AC7,0)</f>
        <v>0</v>
      </c>
      <c r="AD23" s="89" t="n">
        <f aca="false">IFERROR(AD22/AD7,0)</f>
        <v>0</v>
      </c>
      <c r="AE23" s="89" t="n">
        <f aca="false">IFERROR(AE22/AE7,0)</f>
        <v>0</v>
      </c>
      <c r="AF23" s="89" t="n">
        <f aca="false">IFERROR(AF22/AF7,0)</f>
        <v>0</v>
      </c>
      <c r="AG23" s="89" t="n">
        <f aca="false">IFERROR(AG22/AG7,0)</f>
        <v>0</v>
      </c>
      <c r="AH23" s="89" t="n">
        <f aca="false">IFERROR(AH22/AH7,0)</f>
        <v>0</v>
      </c>
      <c r="AI23" s="89" t="n">
        <f aca="false">IFERROR(AI22/AI7,0)</f>
        <v>0</v>
      </c>
      <c r="AJ23" s="89" t="n">
        <f aca="false">IFERROR(AJ22/AJ7,0)</f>
        <v>0</v>
      </c>
      <c r="AK23" s="89" t="n">
        <f aca="false">IFERROR(AK22/AK7,0)</f>
        <v>0</v>
      </c>
    </row>
    <row r="24" customFormat="false" ht="15" hidden="false" customHeight="true" outlineLevel="0" collapsed="false">
      <c r="A24" s="61"/>
      <c r="B24" s="61"/>
      <c r="C24" s="61"/>
      <c r="D24" s="61"/>
      <c r="E24" s="61"/>
      <c r="F24" s="61"/>
      <c r="G24" s="61"/>
      <c r="H24" s="61"/>
      <c r="I24" s="61"/>
      <c r="J24" s="61"/>
      <c r="K24" s="61"/>
      <c r="L24" s="61"/>
      <c r="M24" s="61"/>
      <c r="N24" s="61"/>
      <c r="O24" s="61"/>
      <c r="P24" s="61"/>
      <c r="Q24" s="61"/>
      <c r="R24" s="61"/>
      <c r="S24" s="61"/>
      <c r="T24" s="61"/>
      <c r="U24" s="61"/>
      <c r="V24" s="61"/>
      <c r="W24" s="61"/>
      <c r="X24" s="61"/>
      <c r="Y24" s="61"/>
      <c r="Z24" s="61"/>
      <c r="AA24" s="61"/>
      <c r="AB24" s="61"/>
      <c r="AC24" s="61"/>
      <c r="AD24" s="61"/>
      <c r="AE24" s="61"/>
      <c r="AF24" s="61"/>
      <c r="AG24" s="61"/>
      <c r="AH24" s="61"/>
      <c r="AI24" s="61"/>
      <c r="AJ24" s="61"/>
      <c r="AK24" s="61"/>
    </row>
    <row r="25" customFormat="false" ht="15" hidden="false" customHeight="true" outlineLevel="0" collapsed="false">
      <c r="A25" s="40" t="s">
        <v>100</v>
      </c>
      <c r="B25" s="13" t="n">
        <f aca="false">Model!B261+Model!C261+Model!D261</f>
        <v>102343.74</v>
      </c>
      <c r="C25" s="13" t="n">
        <f aca="false">Model!E261+Model!F261+Model!G261</f>
        <v>102343.74</v>
      </c>
      <c r="D25" s="13" t="n">
        <f aca="false">Model!H261+Model!I261+Model!J261</f>
        <v>301524.41</v>
      </c>
      <c r="E25" s="13" t="n">
        <f aca="false">Model!K261+Model!L261+Model!M261</f>
        <v>109593.75</v>
      </c>
      <c r="F25" s="13" t="n">
        <f aca="false">Model!N261+Model!O261+Model!P261</f>
        <v>621655.057142857</v>
      </c>
      <c r="G25" s="13" t="n">
        <f aca="false">Model!Q261+Model!R261+Model!S261</f>
        <v>251315.0712</v>
      </c>
      <c r="H25" s="13" t="n">
        <f aca="false">Model!T261+Model!U261+Model!V261</f>
        <v>162746.1212</v>
      </c>
      <c r="I25" s="13" t="n">
        <f aca="false">Model!W261+Model!X261+Model!Y261</f>
        <v>315577.0956</v>
      </c>
      <c r="J25" s="13" t="n">
        <f aca="false">Model!Z261+Model!AA261+Model!AB261</f>
        <v>420214.506</v>
      </c>
      <c r="K25" s="13" t="n">
        <f aca="false">Model!AC261+Model!AD261+Model!AE261</f>
        <v>560042.952</v>
      </c>
      <c r="L25" s="13" t="n">
        <f aca="false">Model!AF261+Model!AG261+Model!AH261</f>
        <v>584687.603</v>
      </c>
      <c r="M25" s="13" t="n">
        <f aca="false">Model!AI261+Model!AJ261+Model!AK261</f>
        <v>454608.6535</v>
      </c>
      <c r="N25" s="13" t="n">
        <f aca="false">Model!AL261+Model!AM261+Model!AN261</f>
        <v>472721.8695</v>
      </c>
      <c r="O25" s="13" t="n">
        <f aca="false">Model!AO261+Model!AP261+Model!AQ261</f>
        <v>419626.173</v>
      </c>
      <c r="P25" s="13" t="n">
        <f aca="false">Model!AR261+Model!AS261+Model!AT261</f>
        <v>362634.5755</v>
      </c>
      <c r="Q25" s="13" t="n">
        <f aca="false">Model!AU261+Model!AV261+Model!AW261</f>
        <v>240076.3885</v>
      </c>
      <c r="R25" s="13" t="n">
        <f aca="false">Model!AX261+Model!AY261+Model!AZ261</f>
        <v>272385.6375</v>
      </c>
      <c r="S25" s="13" t="n">
        <f aca="false">Model!BA261+Model!BB261+Model!BC261</f>
        <v>1057109.869</v>
      </c>
      <c r="T25" s="13" t="n">
        <f aca="false">Model!BD261+Model!BE261+Model!BF261</f>
        <v>250595.43</v>
      </c>
      <c r="U25" s="13" t="n">
        <f aca="false">Model!BG261+Model!BH261+Model!BI261</f>
        <v>246721.9855</v>
      </c>
      <c r="V25" s="13" t="n">
        <f aca="false">Model!BJ261+Model!BK261+Model!BL261</f>
        <v>242850.5465</v>
      </c>
      <c r="W25" s="13" t="n">
        <f aca="false">Model!BM261+Model!BN261+Model!BO261</f>
        <v>363306.8865</v>
      </c>
      <c r="X25" s="13" t="n">
        <f aca="false">Model!BP261+Model!BQ261+Model!BR261</f>
        <v>142406</v>
      </c>
      <c r="Y25" s="13" t="n">
        <f aca="false">Model!BS261+Model!BT261+Model!BU261</f>
        <v>142402</v>
      </c>
      <c r="Z25" s="13" t="n">
        <f aca="false">Model!BV261+Model!BW261+Model!BX261</f>
        <v>142402</v>
      </c>
      <c r="AA25" s="13" t="n">
        <f aca="false">Model!BY261+Model!BZ261+Model!CA261</f>
        <v>215558</v>
      </c>
      <c r="AB25" s="13" t="n">
        <f aca="false">Model!CB261+Model!CC261+Model!CD261</f>
        <v>231017</v>
      </c>
      <c r="AC25" s="13" t="n">
        <f aca="false">Model!CE261+Model!CF261+Model!CG261</f>
        <v>231016</v>
      </c>
      <c r="AD25" s="13" t="n">
        <f aca="false">Model!CH261+Model!CI261+Model!CJ261</f>
        <v>231016</v>
      </c>
      <c r="AE25" s="13" t="n">
        <f aca="false">Model!CK261+Model!CL261+Model!CM261</f>
        <v>693048</v>
      </c>
      <c r="AF25" s="13" t="n">
        <f aca="false">Model!CN261+Model!CO261+Model!CP261</f>
        <v>693048</v>
      </c>
      <c r="AG25" s="13" t="n">
        <f aca="false">Model!CQ261+Model!CR261+Model!CS261</f>
        <v>693048</v>
      </c>
      <c r="AH25" s="13" t="n">
        <f aca="false">Model!CT261+Model!CU261+Model!CV261</f>
        <v>693048</v>
      </c>
      <c r="AI25" s="13" t="n">
        <f aca="false">Model!CW261+Model!CX261+Model!CY261</f>
        <v>693048</v>
      </c>
      <c r="AJ25" s="13" t="n">
        <f aca="false">Model!CZ261+Model!DA261+Model!DB261</f>
        <v>693048</v>
      </c>
      <c r="AK25" s="13" t="n">
        <f aca="false">Model!DC261+Model!DD261+Model!DE261</f>
        <v>693048</v>
      </c>
    </row>
    <row r="26" customFormat="false" ht="15" hidden="false" customHeight="true" outlineLevel="0" collapsed="false">
      <c r="A26" s="22" t="s">
        <v>122</v>
      </c>
      <c r="B26" s="92" t="n">
        <f aca="false">Model!B292+Model!C292+Model!D292</f>
        <v>-646353.82</v>
      </c>
      <c r="C26" s="92" t="n">
        <f aca="false">Model!E292+Model!F292+Model!G292</f>
        <v>-593875.03</v>
      </c>
      <c r="D26" s="92" t="n">
        <f aca="false">Model!H292+Model!I292+Model!J292</f>
        <v>-569029.343333333</v>
      </c>
      <c r="E26" s="92" t="n">
        <f aca="false">Model!K292+Model!L292+Model!M292</f>
        <v>-560848.4</v>
      </c>
      <c r="F26" s="92" t="n">
        <f aca="false">Model!N292+Model!O292+Model!P292</f>
        <v>-845071.52</v>
      </c>
      <c r="G26" s="92" t="n">
        <f aca="false">Model!Q292+Model!R292+Model!S292</f>
        <v>-564625.368</v>
      </c>
      <c r="H26" s="92" t="n">
        <f aca="false">Model!T292+Model!U292+Model!V292</f>
        <v>-564625.368</v>
      </c>
      <c r="I26" s="92" t="n">
        <f aca="false">Model!W292+Model!X292+Model!Y292</f>
        <v>-564625.368</v>
      </c>
      <c r="J26" s="92" t="n">
        <f aca="false">Model!Z292+Model!AA292+Model!AB292</f>
        <v>-564625.368</v>
      </c>
      <c r="K26" s="92" t="n">
        <f aca="false">Model!AC292+Model!AD292+Model!AE292</f>
        <v>-575617.87536</v>
      </c>
      <c r="L26" s="92" t="n">
        <f aca="false">Model!AF292+Model!AG292+Model!AH292</f>
        <v>-575617.87536</v>
      </c>
      <c r="M26" s="92" t="n">
        <f aca="false">Model!AI292+Model!AJ292+Model!AK292</f>
        <v>-575617.87536</v>
      </c>
      <c r="N26" s="92" t="n">
        <f aca="false">Model!AL292+Model!AM292+Model!AN292</f>
        <v>-575617.87536</v>
      </c>
      <c r="O26" s="92" t="n">
        <f aca="false">Model!AO292+Model!AP292+Model!AQ292</f>
        <v>-586830.2328672</v>
      </c>
      <c r="P26" s="92" t="n">
        <f aca="false">Model!AR292+Model!AS292+Model!AT292</f>
        <v>-668513.2328672</v>
      </c>
      <c r="Q26" s="92" t="n">
        <f aca="false">Model!AU292+Model!AV292+Model!AW292</f>
        <v>-668512.2328672</v>
      </c>
      <c r="R26" s="92" t="n">
        <f aca="false">Model!AX292+Model!AY292+Model!AZ292</f>
        <v>-668512.2328672</v>
      </c>
      <c r="S26" s="92" t="n">
        <f aca="false">Model!BA292+Model!BB292+Model!BC292</f>
        <v>-1531787.83752454</v>
      </c>
      <c r="T26" s="92" t="n">
        <f aca="false">Model!BD292+Model!BE292+Model!BF292</f>
        <v>-729144.837524544</v>
      </c>
      <c r="U26" s="92" t="n">
        <f aca="false">Model!BG292+Model!BH292+Model!BI292</f>
        <v>-729142.837524544</v>
      </c>
      <c r="V26" s="92" t="n">
        <f aca="false">Model!BJ292+Model!BK292+Model!BL292</f>
        <v>-729142.837524544</v>
      </c>
      <c r="W26" s="92" t="n">
        <f aca="false">Model!BM292+Model!BN292+Model!BO292</f>
        <v>-740808.174275035</v>
      </c>
      <c r="X26" s="92" t="n">
        <f aca="false">Model!BP292+Model!BQ292+Model!BR292</f>
        <v>-699087.824275035</v>
      </c>
      <c r="Y26" s="92" t="n">
        <f aca="false">Model!BS292+Model!BT292+Model!BU292</f>
        <v>-684572.174275035</v>
      </c>
      <c r="Z26" s="92" t="n">
        <f aca="false">Model!BV292+Model!BW292+Model!BX292</f>
        <v>-684572.174275035</v>
      </c>
      <c r="AA26" s="92" t="n">
        <f aca="false">Model!BY292+Model!BZ292+Model!CA292</f>
        <v>-769626.817760536</v>
      </c>
      <c r="AB26" s="92" t="n">
        <f aca="false">Model!CB292+Model!CC292+Model!CD292</f>
        <v>-776348.817760536</v>
      </c>
      <c r="AC26" s="92" t="n">
        <f aca="false">Model!CE292+Model!CF292+Model!CG292</f>
        <v>-776347.817760536</v>
      </c>
      <c r="AD26" s="92" t="n">
        <f aca="false">Model!CH292+Model!CI292+Model!CJ292</f>
        <v>-769739.791154056</v>
      </c>
      <c r="AE26" s="92" t="n">
        <f aca="false">Model!CK292+Model!CL292+Model!CM292</f>
        <v>-853432.434115746</v>
      </c>
      <c r="AF26" s="92" t="n">
        <f aca="false">Model!CN292+Model!CO292+Model!CP292</f>
        <v>-853432.434115746</v>
      </c>
      <c r="AG26" s="92" t="n">
        <f aca="false">Model!CQ292+Model!CR292+Model!CS292</f>
        <v>-853432.434115746</v>
      </c>
      <c r="AH26" s="92" t="n">
        <f aca="false">Model!CT292+Model!CU292+Model!CV292</f>
        <v>-826366.52807176</v>
      </c>
      <c r="AI26" s="92" t="n">
        <f aca="false">Model!CW292+Model!CX292+Model!CY292</f>
        <v>-636186.407569603</v>
      </c>
      <c r="AJ26" s="92" t="n">
        <f aca="false">Model!CZ292+Model!DA292+Model!DB292</f>
        <v>-618739.558633196</v>
      </c>
      <c r="AK26" s="92" t="n">
        <f aca="false">Model!DC292+Model!DD292+Model!DE292</f>
        <v>-618739.558633196</v>
      </c>
    </row>
    <row r="27" customFormat="false" ht="15" hidden="false" customHeight="true" outlineLevel="0" collapsed="false">
      <c r="A27" s="36" t="s">
        <v>138</v>
      </c>
      <c r="B27" s="37" t="n">
        <f aca="false">Model!B293+Model!C293+Model!D293</f>
        <v>-544010.08</v>
      </c>
      <c r="C27" s="37" t="n">
        <f aca="false">Model!E293+Model!F293+Model!G293</f>
        <v>-491531.29</v>
      </c>
      <c r="D27" s="37" t="n">
        <f aca="false">Model!H293+Model!I293+Model!J293</f>
        <v>-267504.933333333</v>
      </c>
      <c r="E27" s="37" t="n">
        <f aca="false">Model!K293+Model!L293+Model!M293</f>
        <v>-451254.65</v>
      </c>
      <c r="F27" s="37" t="n">
        <f aca="false">Model!N293+Model!O293+Model!P293</f>
        <v>-223416.462857143</v>
      </c>
      <c r="G27" s="37" t="n">
        <f aca="false">Model!Q293+Model!R293+Model!S293</f>
        <v>-313310.2968</v>
      </c>
      <c r="H27" s="37" t="n">
        <f aca="false">Model!T293+Model!U293+Model!V293</f>
        <v>-401879.2468</v>
      </c>
      <c r="I27" s="37" t="n">
        <f aca="false">Model!W293+Model!X293+Model!Y293</f>
        <v>-249048.2724</v>
      </c>
      <c r="J27" s="37" t="n">
        <f aca="false">Model!Z293+Model!AA293+Model!AB293</f>
        <v>-144410.862</v>
      </c>
      <c r="K27" s="37" t="n">
        <f aca="false">Model!AC293+Model!AD293+Model!AE293</f>
        <v>-15574.92336</v>
      </c>
      <c r="L27" s="37" t="n">
        <f aca="false">Model!AF293+Model!AG293+Model!AH293</f>
        <v>9069.72763999997</v>
      </c>
      <c r="M27" s="37" t="n">
        <f aca="false">Model!AI293+Model!AJ293+Model!AK293</f>
        <v>-121009.22186</v>
      </c>
      <c r="N27" s="37" t="n">
        <f aca="false">Model!AL293+Model!AM293+Model!AN293</f>
        <v>-102896.00586</v>
      </c>
      <c r="O27" s="37" t="n">
        <f aca="false">Model!AO293+Model!AP293+Model!AQ293</f>
        <v>-167204.0598672</v>
      </c>
      <c r="P27" s="37" t="n">
        <f aca="false">Model!AR293+Model!AS293+Model!AT293</f>
        <v>-305878.6573672</v>
      </c>
      <c r="Q27" s="37" t="n">
        <f aca="false">Model!AU293+Model!AV293+Model!AW293</f>
        <v>-428435.8443672</v>
      </c>
      <c r="R27" s="37" t="n">
        <f aca="false">Model!AX293+Model!AY293+Model!AZ293</f>
        <v>-396126.5953672</v>
      </c>
      <c r="S27" s="37" t="n">
        <f aca="false">Model!BA293+Model!BB293+Model!BC293</f>
        <v>-474677.968524544</v>
      </c>
      <c r="T27" s="37" t="n">
        <f aca="false">Model!BD293+Model!BE293+Model!BF293</f>
        <v>-478549.407524544</v>
      </c>
      <c r="U27" s="37" t="n">
        <f aca="false">Model!BG293+Model!BH293+Model!BI293</f>
        <v>-482420.852024544</v>
      </c>
      <c r="V27" s="37" t="n">
        <f aca="false">Model!BJ293+Model!BK293+Model!BL293</f>
        <v>-486292.291024544</v>
      </c>
      <c r="W27" s="37" t="n">
        <f aca="false">Model!BM293+Model!BN293+Model!BO293</f>
        <v>-377501.287775035</v>
      </c>
      <c r="X27" s="37" t="n">
        <f aca="false">Model!BP293+Model!BQ293+Model!BR293</f>
        <v>-556681.824275035</v>
      </c>
      <c r="Y27" s="37" t="n">
        <f aca="false">Model!BS293+Model!BT293+Model!BU293</f>
        <v>-542170.174275035</v>
      </c>
      <c r="Z27" s="37" t="n">
        <f aca="false">Model!BV293+Model!BW293+Model!BX293</f>
        <v>-542170.174275035</v>
      </c>
      <c r="AA27" s="37" t="n">
        <f aca="false">Model!BY293+Model!BZ293+Model!CA293</f>
        <v>-554068.817760536</v>
      </c>
      <c r="AB27" s="37" t="n">
        <f aca="false">Model!CB293+Model!CC293+Model!CD293</f>
        <v>-545331.817760536</v>
      </c>
      <c r="AC27" s="37" t="n">
        <f aca="false">Model!CE293+Model!CF293+Model!CG293</f>
        <v>-545331.817760536</v>
      </c>
      <c r="AD27" s="37" t="n">
        <f aca="false">Model!CH293+Model!CI293+Model!CJ293</f>
        <v>-538723.791154056</v>
      </c>
      <c r="AE27" s="37" t="n">
        <f aca="false">Model!CK293+Model!CL293+Model!CM293</f>
        <v>-160384.434115746</v>
      </c>
      <c r="AF27" s="37" t="n">
        <f aca="false">Model!CN293+Model!CO293+Model!CP293</f>
        <v>-160384.434115746</v>
      </c>
      <c r="AG27" s="37" t="n">
        <f aca="false">Model!CQ293+Model!CR293+Model!CS293</f>
        <v>-160384.434115746</v>
      </c>
      <c r="AH27" s="37" t="n">
        <f aca="false">Model!CT293+Model!CU293+Model!CV293</f>
        <v>-133318.52807176</v>
      </c>
      <c r="AI27" s="37" t="n">
        <f aca="false">Model!CW293+Model!CX293+Model!CY293</f>
        <v>56861.5924303974</v>
      </c>
      <c r="AJ27" s="37" t="n">
        <f aca="false">Model!CZ293+Model!DA293+Model!DB293</f>
        <v>74308.4413668046</v>
      </c>
      <c r="AK27" s="37" t="n">
        <f aca="false">Model!DC293+Model!DD293+Model!DE293</f>
        <v>74308.4413668046</v>
      </c>
    </row>
    <row r="28" customFormat="false" ht="15" hidden="false" customHeight="true" outlineLevel="0" collapsed="false">
      <c r="A28" s="3"/>
      <c r="B28" s="48"/>
      <c r="C28" s="48"/>
      <c r="D28" s="48"/>
      <c r="E28" s="48"/>
      <c r="F28" s="48"/>
      <c r="G28" s="48"/>
      <c r="H28" s="48"/>
      <c r="I28" s="48"/>
      <c r="J28" s="48"/>
      <c r="K28" s="48"/>
      <c r="L28" s="48"/>
      <c r="M28" s="48"/>
      <c r="N28" s="48"/>
      <c r="O28" s="48"/>
      <c r="P28" s="48"/>
      <c r="Q28" s="48"/>
      <c r="R28" s="48"/>
      <c r="S28" s="48"/>
      <c r="T28" s="48"/>
      <c r="U28" s="48"/>
      <c r="V28" s="48"/>
      <c r="W28" s="48"/>
      <c r="X28" s="48"/>
      <c r="Y28" s="48"/>
      <c r="Z28" s="48"/>
      <c r="AA28" s="48"/>
      <c r="AB28" s="48"/>
      <c r="AC28" s="48"/>
      <c r="AD28" s="48"/>
      <c r="AE28" s="48"/>
      <c r="AF28" s="48"/>
      <c r="AG28" s="48"/>
      <c r="AH28" s="48"/>
      <c r="AI28" s="48"/>
      <c r="AJ28" s="48"/>
      <c r="AK28" s="48"/>
    </row>
    <row r="29" customFormat="false" ht="15" hidden="false" customHeight="true" outlineLevel="0" collapsed="false">
      <c r="A29" s="36" t="s">
        <v>288</v>
      </c>
      <c r="B29" s="37" t="n">
        <f aca="false">Model!B302+Model!C302+Model!D302</f>
        <v>-654917.25</v>
      </c>
      <c r="C29" s="37" t="n">
        <f aca="false">Model!E302+Model!F302+Model!G302</f>
        <v>227914.490000001</v>
      </c>
      <c r="D29" s="37" t="n">
        <f aca="false">Model!H302+Model!I302+Model!J302</f>
        <v>958569.424938631</v>
      </c>
      <c r="E29" s="37" t="n">
        <f aca="false">Model!K302+Model!L302+Model!M302</f>
        <v>-121947.955729642</v>
      </c>
      <c r="F29" s="37" t="n">
        <f aca="false">Model!N302+Model!O302+Model!P302</f>
        <v>795421.300579388</v>
      </c>
      <c r="G29" s="37" t="n">
        <f aca="false">Model!Q302+Model!R302+Model!S302</f>
        <v>-360514.960036002</v>
      </c>
      <c r="H29" s="37" t="n">
        <f aca="false">Model!T302+Model!U302+Model!V302</f>
        <v>1038769.39599584</v>
      </c>
      <c r="I29" s="37" t="n">
        <f aca="false">Model!W302+Model!X302+Model!Y302</f>
        <v>1691386.74471048</v>
      </c>
      <c r="J29" s="37" t="n">
        <f aca="false">Model!Z302+Model!AA302+Model!AB302</f>
        <v>2216995.95527194</v>
      </c>
      <c r="K29" s="37" t="n">
        <f aca="false">Model!AC302+Model!AD302+Model!AE302</f>
        <v>946972.651301516</v>
      </c>
      <c r="L29" s="37" t="n">
        <f aca="false">Model!AF302+Model!AG302+Model!AH302</f>
        <v>2542039.85287956</v>
      </c>
      <c r="M29" s="37" t="n">
        <f aca="false">Model!AI302+Model!AJ302+Model!AK302</f>
        <v>2309242.84275794</v>
      </c>
      <c r="N29" s="37" t="n">
        <f aca="false">Model!AL302+Model!AM302+Model!AN302</f>
        <v>2176042.52357189</v>
      </c>
      <c r="O29" s="37" t="n">
        <f aca="false">Model!AO302+Model!AP302+Model!AQ302</f>
        <v>2083868.39700514</v>
      </c>
      <c r="P29" s="37" t="n">
        <f aca="false">Model!AR302+Model!AS302+Model!AT302</f>
        <v>2928058.73801614</v>
      </c>
      <c r="Q29" s="37" t="n">
        <f aca="false">Model!AU302+Model!AV302+Model!AW302</f>
        <v>1803479.02078442</v>
      </c>
      <c r="R29" s="37" t="n">
        <f aca="false">Model!AX302+Model!AY302+Model!AZ302</f>
        <v>1968716.60656497</v>
      </c>
      <c r="S29" s="37" t="n">
        <f aca="false">Model!BA302+Model!BB302+Model!BC302</f>
        <v>1580552.84801165</v>
      </c>
      <c r="T29" s="37" t="n">
        <f aca="false">Model!BD302+Model!BE302+Model!BF302</f>
        <v>1932891.49570382</v>
      </c>
      <c r="U29" s="37" t="n">
        <f aca="false">Model!BG302+Model!BH302+Model!BI302</f>
        <v>1658704.77567889</v>
      </c>
      <c r="V29" s="37" t="n">
        <f aca="false">Model!BJ302+Model!BK302+Model!BL302</f>
        <v>919323.356756046</v>
      </c>
      <c r="W29" s="37" t="n">
        <f aca="false">Model!BM302+Model!BN302+Model!BO302</f>
        <v>846013.779674777</v>
      </c>
      <c r="X29" s="37" t="n">
        <f aca="false">Model!BP302+Model!BQ302+Model!BR302</f>
        <v>638374.919899628</v>
      </c>
      <c r="Y29" s="37" t="n">
        <f aca="false">Model!BS302+Model!BT302+Model!BU302</f>
        <v>233089.168448723</v>
      </c>
      <c r="Z29" s="37" t="n">
        <f aca="false">Model!BV302+Model!BW302+Model!BX302</f>
        <v>-480445.403016956</v>
      </c>
      <c r="AA29" s="37" t="n">
        <f aca="false">Model!BY302+Model!BZ302+Model!CA302</f>
        <v>-1386549.78726107</v>
      </c>
      <c r="AB29" s="37" t="n">
        <f aca="false">Model!CB302+Model!CC302+Model!CD302</f>
        <v>-1831216.78872526</v>
      </c>
      <c r="AC29" s="37" t="n">
        <f aca="false">Model!CE302+Model!CF302+Model!CG302</f>
        <v>-1831216.78872526</v>
      </c>
      <c r="AD29" s="37" t="n">
        <f aca="false">Model!CH302+Model!CI302+Model!CJ302</f>
        <v>-1824608.76211878</v>
      </c>
      <c r="AE29" s="37" t="n">
        <f aca="false">Model!CK302+Model!CL302+Model!CM302</f>
        <v>-1471987.10449977</v>
      </c>
      <c r="AF29" s="37" t="n">
        <f aca="false">Model!CN302+Model!CO302+Model!CP302</f>
        <v>-1471987.10449977</v>
      </c>
      <c r="AG29" s="37" t="n">
        <f aca="false">Model!CQ302+Model!CR302+Model!CS302</f>
        <v>-1471987.10449977</v>
      </c>
      <c r="AH29" s="37" t="n">
        <f aca="false">Model!CT302+Model!CU302+Model!CV302</f>
        <v>-1289580.71962143</v>
      </c>
      <c r="AI29" s="37" t="n">
        <f aca="false">Model!CW302+Model!CX302+Model!CY302</f>
        <v>-1122525.84295027</v>
      </c>
      <c r="AJ29" s="37" t="n">
        <f aca="false">Model!CZ302+Model!DA302+Model!DB302</f>
        <v>-1105078.99401386</v>
      </c>
      <c r="AK29" s="37" t="n">
        <f aca="false">Model!DC302+Model!DD302+Model!DE302</f>
        <v>-1105078.99401386</v>
      </c>
    </row>
    <row r="30" customFormat="false" ht="15" hidden="false" customHeight="true" outlineLevel="0" collapsed="false">
      <c r="A30" s="3"/>
      <c r="B30" s="81"/>
      <c r="C30" s="81"/>
      <c r="D30" s="81"/>
      <c r="E30" s="81"/>
      <c r="F30" s="81"/>
      <c r="G30" s="81"/>
      <c r="H30" s="81"/>
      <c r="I30" s="81"/>
      <c r="J30" s="81"/>
      <c r="K30" s="81"/>
      <c r="L30" s="81"/>
      <c r="M30" s="81"/>
      <c r="N30" s="81"/>
      <c r="O30" s="81"/>
      <c r="P30" s="81"/>
      <c r="Q30" s="81"/>
      <c r="R30" s="81"/>
      <c r="S30" s="81"/>
      <c r="T30" s="81"/>
      <c r="U30" s="81"/>
      <c r="V30" s="81"/>
      <c r="W30" s="81"/>
      <c r="X30" s="81"/>
      <c r="Y30" s="81"/>
      <c r="Z30" s="81"/>
      <c r="AA30" s="81"/>
      <c r="AB30" s="81"/>
      <c r="AC30" s="81"/>
      <c r="AD30" s="81"/>
      <c r="AE30" s="81"/>
      <c r="AF30" s="81"/>
      <c r="AG30" s="81"/>
      <c r="AH30" s="81"/>
      <c r="AI30" s="81"/>
      <c r="AJ30" s="81"/>
      <c r="AK30" s="81"/>
    </row>
    <row r="31" customFormat="false" ht="15" hidden="false" customHeight="true" outlineLevel="0" collapsed="false">
      <c r="A31" s="23" t="s">
        <v>289</v>
      </c>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row>
    <row r="32" customFormat="false" ht="15" hidden="false" customHeight="true" outlineLevel="0" collapsed="false">
      <c r="A32" s="22" t="s">
        <v>290</v>
      </c>
      <c r="B32" s="93" t="n">
        <f aca="false">Model!B287+Model!C287+Model!D287</f>
        <v>0</v>
      </c>
      <c r="C32" s="93" t="n">
        <f aca="false">Model!E287+Model!F287+Model!G287</f>
        <v>-0</v>
      </c>
      <c r="D32" s="93" t="n">
        <f aca="false">Model!H287+Model!I287+Model!J287</f>
        <v>-0</v>
      </c>
      <c r="E32" s="93" t="n">
        <f aca="false">Model!K287+Model!L287+Model!M287</f>
        <v>-0</v>
      </c>
      <c r="F32" s="93" t="n">
        <f aca="false">Model!N287+Model!O287+Model!P287</f>
        <v>-171223.12</v>
      </c>
      <c r="G32" s="93" t="n">
        <f aca="false">Model!Q287+Model!R287+Model!S287</f>
        <v>-0</v>
      </c>
      <c r="H32" s="93" t="n">
        <f aca="false">Model!T287+Model!U287+Model!V287</f>
        <v>-0</v>
      </c>
      <c r="I32" s="93" t="n">
        <f aca="false">Model!W287+Model!X287+Model!Y287</f>
        <v>-0</v>
      </c>
      <c r="J32" s="93" t="n">
        <f aca="false">Model!Z287+Model!AA287+Model!AB287</f>
        <v>-0</v>
      </c>
      <c r="K32" s="93" t="n">
        <f aca="false">Model!AC287+Model!AD287+Model!AE287</f>
        <v>-0</v>
      </c>
      <c r="L32" s="93" t="n">
        <f aca="false">Model!AF287+Model!AG287+Model!AH287</f>
        <v>-0</v>
      </c>
      <c r="M32" s="93" t="n">
        <f aca="false">Model!AI287+Model!AJ287+Model!AK287</f>
        <v>-0</v>
      </c>
      <c r="N32" s="93" t="n">
        <f aca="false">Model!AL287+Model!AM287+Model!AN287</f>
        <v>-0</v>
      </c>
      <c r="O32" s="93" t="n">
        <f aca="false">Model!AO287+Model!AP287+Model!AQ287</f>
        <v>-0</v>
      </c>
      <c r="P32" s="93" t="n">
        <f aca="false">Model!AR287+Model!AS287+Model!AT287</f>
        <v>-0</v>
      </c>
      <c r="Q32" s="93" t="n">
        <f aca="false">Model!AU287+Model!AV287+Model!AW287</f>
        <v>-0</v>
      </c>
      <c r="R32" s="93" t="n">
        <f aca="false">Model!AX287+Model!AY287+Model!AZ287</f>
        <v>-0</v>
      </c>
      <c r="S32" s="93" t="n">
        <f aca="false">Model!BA287+Model!BB287+Model!BC287</f>
        <v>-0</v>
      </c>
      <c r="T32" s="93" t="n">
        <f aca="false">Model!BD287+Model!BE287+Model!BF287</f>
        <v>-0</v>
      </c>
      <c r="U32" s="93" t="n">
        <f aca="false">Model!BG287+Model!BH287+Model!BI287</f>
        <v>-0</v>
      </c>
      <c r="V32" s="93" t="n">
        <f aca="false">Model!BJ287+Model!BK287+Model!BL287</f>
        <v>-0</v>
      </c>
      <c r="W32" s="93" t="n">
        <f aca="false">Model!BM287+Model!BN287+Model!BO287</f>
        <v>-0</v>
      </c>
      <c r="X32" s="93" t="n">
        <f aca="false">Model!BP287+Model!BQ287+Model!BR287</f>
        <v>-0</v>
      </c>
      <c r="Y32" s="93" t="n">
        <f aca="false">Model!BS287+Model!BT287+Model!BU287</f>
        <v>-0</v>
      </c>
      <c r="Z32" s="93" t="n">
        <f aca="false">Model!BV287+Model!BW287+Model!BX287</f>
        <v>-0</v>
      </c>
      <c r="AA32" s="93" t="n">
        <f aca="false">Model!BY287+Model!BZ287+Model!CA287</f>
        <v>-0</v>
      </c>
      <c r="AB32" s="93" t="n">
        <f aca="false">Model!CB287+Model!CC287+Model!CD287</f>
        <v>-0</v>
      </c>
      <c r="AC32" s="93" t="n">
        <f aca="false">Model!CE287+Model!CF287+Model!CG287</f>
        <v>-0</v>
      </c>
      <c r="AD32" s="93" t="n">
        <f aca="false">Model!CH287+Model!CI287+Model!CJ287</f>
        <v>-0</v>
      </c>
      <c r="AE32" s="93" t="n">
        <f aca="false">Model!CK287+Model!CL287+Model!CM287</f>
        <v>-0</v>
      </c>
      <c r="AF32" s="93" t="n">
        <f aca="false">Model!CN287+Model!CO287+Model!CP287</f>
        <v>-0</v>
      </c>
      <c r="AG32" s="93" t="n">
        <f aca="false">Model!CQ287+Model!CR287+Model!CS287</f>
        <v>-0</v>
      </c>
      <c r="AH32" s="93" t="n">
        <f aca="false">Model!CT287+Model!CU287+Model!CV287</f>
        <v>-0</v>
      </c>
      <c r="AI32" s="93" t="n">
        <f aca="false">Model!CW287+Model!CX287+Model!CY287</f>
        <v>-0</v>
      </c>
      <c r="AJ32" s="93" t="n">
        <f aca="false">Model!CZ287+Model!DA287+Model!DB287</f>
        <v>-0</v>
      </c>
      <c r="AK32" s="93" t="n">
        <f aca="false">Model!DC287+Model!DD287+Model!DE287</f>
        <v>-0</v>
      </c>
    </row>
    <row r="33" customFormat="false" ht="15" hidden="false" customHeight="true" outlineLevel="0" collapsed="false">
      <c r="A33" s="22" t="s">
        <v>291</v>
      </c>
      <c r="B33" s="93" t="n">
        <f aca="false">Model!B288+Model!C288+Model!D288</f>
        <v>0</v>
      </c>
      <c r="C33" s="93" t="n">
        <f aca="false">Model!E288+Model!F288+Model!G288</f>
        <v>-0</v>
      </c>
      <c r="D33" s="93" t="n">
        <f aca="false">Model!H288+Model!I288+Model!J288</f>
        <v>-0</v>
      </c>
      <c r="E33" s="93" t="n">
        <f aca="false">Model!K288+Model!L288+Model!M288</f>
        <v>-0</v>
      </c>
      <c r="F33" s="93" t="n">
        <f aca="false">Model!N288+Model!O288+Model!P288</f>
        <v>-120000</v>
      </c>
      <c r="G33" s="93" t="n">
        <f aca="false">Model!Q288+Model!R288+Model!S288</f>
        <v>-0</v>
      </c>
      <c r="H33" s="93" t="n">
        <f aca="false">Model!T288+Model!U288+Model!V288</f>
        <v>-0</v>
      </c>
      <c r="I33" s="93" t="n">
        <f aca="false">Model!W288+Model!X288+Model!Y288</f>
        <v>-0</v>
      </c>
      <c r="J33" s="93" t="n">
        <f aca="false">Model!Z288+Model!AA288+Model!AB288</f>
        <v>-0</v>
      </c>
      <c r="K33" s="93" t="n">
        <f aca="false">Model!AC288+Model!AD288+Model!AE288</f>
        <v>-0</v>
      </c>
      <c r="L33" s="93" t="n">
        <f aca="false">Model!AF288+Model!AG288+Model!AH288</f>
        <v>-0</v>
      </c>
      <c r="M33" s="93" t="n">
        <f aca="false">Model!AI288+Model!AJ288+Model!AK288</f>
        <v>-0</v>
      </c>
      <c r="N33" s="93" t="n">
        <f aca="false">Model!AL288+Model!AM288+Model!AN288</f>
        <v>-0</v>
      </c>
      <c r="O33" s="93" t="n">
        <f aca="false">Model!AO288+Model!AP288+Model!AQ288</f>
        <v>-0</v>
      </c>
      <c r="P33" s="93" t="n">
        <f aca="false">Model!AR288+Model!AS288+Model!AT288</f>
        <v>-0</v>
      </c>
      <c r="Q33" s="93" t="n">
        <f aca="false">Model!AU288+Model!AV288+Model!AW288</f>
        <v>-0</v>
      </c>
      <c r="R33" s="93" t="n">
        <f aca="false">Model!AX288+Model!AY288+Model!AZ288</f>
        <v>-0</v>
      </c>
      <c r="S33" s="93" t="n">
        <f aca="false">Model!BA288+Model!BB288+Model!BC288</f>
        <v>-0</v>
      </c>
      <c r="T33" s="93" t="n">
        <f aca="false">Model!BD288+Model!BE288+Model!BF288</f>
        <v>-0</v>
      </c>
      <c r="U33" s="93" t="n">
        <f aca="false">Model!BG288+Model!BH288+Model!BI288</f>
        <v>-0</v>
      </c>
      <c r="V33" s="93" t="n">
        <f aca="false">Model!BJ288+Model!BK288+Model!BL288</f>
        <v>-0</v>
      </c>
      <c r="W33" s="93" t="n">
        <f aca="false">Model!BM288+Model!BN288+Model!BO288</f>
        <v>-0</v>
      </c>
      <c r="X33" s="93" t="n">
        <f aca="false">Model!BP288+Model!BQ288+Model!BR288</f>
        <v>-0</v>
      </c>
      <c r="Y33" s="93" t="n">
        <f aca="false">Model!BS288+Model!BT288+Model!BU288</f>
        <v>-0</v>
      </c>
      <c r="Z33" s="93" t="n">
        <f aca="false">Model!BV288+Model!BW288+Model!BX288</f>
        <v>-0</v>
      </c>
      <c r="AA33" s="93" t="n">
        <f aca="false">Model!BY288+Model!BZ288+Model!CA288</f>
        <v>-0</v>
      </c>
      <c r="AB33" s="93" t="n">
        <f aca="false">Model!CB288+Model!CC288+Model!CD288</f>
        <v>-0</v>
      </c>
      <c r="AC33" s="93" t="n">
        <f aca="false">Model!CE288+Model!CF288+Model!CG288</f>
        <v>-0</v>
      </c>
      <c r="AD33" s="93" t="n">
        <f aca="false">Model!CH288+Model!CI288+Model!CJ288</f>
        <v>-0</v>
      </c>
      <c r="AE33" s="93" t="n">
        <f aca="false">Model!CK288+Model!CL288+Model!CM288</f>
        <v>-0</v>
      </c>
      <c r="AF33" s="93" t="n">
        <f aca="false">Model!CN288+Model!CO288+Model!CP288</f>
        <v>-0</v>
      </c>
      <c r="AG33" s="93" t="n">
        <f aca="false">Model!CQ288+Model!CR288+Model!CS288</f>
        <v>-0</v>
      </c>
      <c r="AH33" s="93" t="n">
        <f aca="false">Model!CT288+Model!CU288+Model!CV288</f>
        <v>-0</v>
      </c>
      <c r="AI33" s="93" t="n">
        <f aca="false">Model!CW288+Model!CX288+Model!CY288</f>
        <v>-0</v>
      </c>
      <c r="AJ33" s="93" t="n">
        <f aca="false">Model!CZ288+Model!DA288+Model!DB288</f>
        <v>-0</v>
      </c>
      <c r="AK33" s="93" t="n">
        <f aca="false">Model!DC288+Model!DD288+Model!DE288</f>
        <v>-0</v>
      </c>
    </row>
    <row r="34" customFormat="false" ht="15" hidden="false" customHeight="true" outlineLevel="0" collapsed="false">
      <c r="A34" s="22" t="s">
        <v>292</v>
      </c>
      <c r="B34" s="93" t="n">
        <f aca="false">Model!B289+Model!C289+Model!D289</f>
        <v>0</v>
      </c>
      <c r="C34" s="93" t="n">
        <f aca="false">Model!E289+Model!F289+Model!G289</f>
        <v>-0</v>
      </c>
      <c r="D34" s="93" t="n">
        <f aca="false">Model!H289+Model!I289+Model!J289</f>
        <v>0</v>
      </c>
      <c r="E34" s="93" t="n">
        <f aca="false">Model!K289+Model!L289+Model!M289</f>
        <v>-0</v>
      </c>
      <c r="F34" s="93" t="n">
        <f aca="false">Model!N289+Model!O289+Model!P289</f>
        <v>-0</v>
      </c>
      <c r="G34" s="93" t="n">
        <f aca="false">Model!Q289+Model!R289+Model!S289</f>
        <v>-0</v>
      </c>
      <c r="H34" s="93" t="n">
        <f aca="false">Model!T289+Model!U289+Model!V289</f>
        <v>-0</v>
      </c>
      <c r="I34" s="93" t="n">
        <f aca="false">Model!W289+Model!X289+Model!Y289</f>
        <v>-0</v>
      </c>
      <c r="J34" s="93" t="n">
        <f aca="false">Model!Z289+Model!AA289+Model!AB289</f>
        <v>-0</v>
      </c>
      <c r="K34" s="93" t="n">
        <f aca="false">Model!AC289+Model!AD289+Model!AE289</f>
        <v>-0</v>
      </c>
      <c r="L34" s="93" t="n">
        <f aca="false">Model!AF289+Model!AG289+Model!AH289</f>
        <v>-0</v>
      </c>
      <c r="M34" s="93" t="n">
        <f aca="false">Model!AI289+Model!AJ289+Model!AK289</f>
        <v>-0</v>
      </c>
      <c r="N34" s="93" t="n">
        <f aca="false">Model!AL289+Model!AM289+Model!AN289</f>
        <v>-0</v>
      </c>
      <c r="O34" s="93" t="n">
        <f aca="false">Model!AO289+Model!AP289+Model!AQ289</f>
        <v>-0</v>
      </c>
      <c r="P34" s="93" t="n">
        <f aca="false">Model!AR289+Model!AS289+Model!AT289</f>
        <v>-81683</v>
      </c>
      <c r="Q34" s="93" t="n">
        <f aca="false">Model!AU289+Model!AV289+Model!AW289</f>
        <v>-81682</v>
      </c>
      <c r="R34" s="93" t="n">
        <f aca="false">Model!AX289+Model!AY289+Model!AZ289</f>
        <v>-81682</v>
      </c>
      <c r="S34" s="93" t="n">
        <f aca="false">Model!BA289+Model!BB289+Model!BC289</f>
        <v>-81682</v>
      </c>
      <c r="T34" s="93" t="n">
        <f aca="false">Model!BD289+Model!BE289+Model!BF289</f>
        <v>-59178</v>
      </c>
      <c r="U34" s="93" t="n">
        <f aca="false">Model!BG289+Model!BH289+Model!BI289</f>
        <v>-59176</v>
      </c>
      <c r="V34" s="93" t="n">
        <f aca="false">Model!BJ289+Model!BK289+Model!BL289</f>
        <v>-59176</v>
      </c>
      <c r="W34" s="93" t="n">
        <f aca="false">Model!BM289+Model!BN289+Model!BO289</f>
        <v>-59176</v>
      </c>
      <c r="X34" s="93" t="n">
        <f aca="false">Model!BP289+Model!BQ289+Model!BR289</f>
        <v>-14512.65</v>
      </c>
      <c r="Y34" s="93" t="n">
        <f aca="false">Model!BS289+Model!BT289+Model!BU289</f>
        <v>-0</v>
      </c>
      <c r="Z34" s="93" t="n">
        <f aca="false">Model!BV289+Model!BW289+Model!BX289</f>
        <v>-0</v>
      </c>
      <c r="AA34" s="93" t="n">
        <f aca="false">Model!BY289+Model!BZ289+Model!CA289</f>
        <v>-0</v>
      </c>
      <c r="AB34" s="93" t="n">
        <f aca="false">Model!CB289+Model!CC289+Model!CD289</f>
        <v>-0</v>
      </c>
      <c r="AC34" s="93" t="n">
        <f aca="false">Model!CE289+Model!CF289+Model!CG289</f>
        <v>-0</v>
      </c>
      <c r="AD34" s="93" t="n">
        <f aca="false">Model!CH289+Model!CI289+Model!CJ289</f>
        <v>-0</v>
      </c>
      <c r="AE34" s="93" t="n">
        <f aca="false">Model!CK289+Model!CL289+Model!CM289</f>
        <v>-0</v>
      </c>
      <c r="AF34" s="93" t="n">
        <f aca="false">Model!CN289+Model!CO289+Model!CP289</f>
        <v>-0</v>
      </c>
      <c r="AG34" s="93" t="n">
        <f aca="false">Model!CQ289+Model!CR289+Model!CS289</f>
        <v>-0</v>
      </c>
      <c r="AH34" s="93" t="n">
        <f aca="false">Model!CT289+Model!CU289+Model!CV289</f>
        <v>-0</v>
      </c>
      <c r="AI34" s="93" t="n">
        <f aca="false">Model!CW289+Model!CX289+Model!CY289</f>
        <v>-0</v>
      </c>
      <c r="AJ34" s="93" t="n">
        <f aca="false">Model!CZ289+Model!DA289+Model!DB289</f>
        <v>-0</v>
      </c>
      <c r="AK34" s="93" t="n">
        <f aca="false">Model!DC289+Model!DD289+Model!DE289</f>
        <v>-0</v>
      </c>
    </row>
    <row r="35" customFormat="false" ht="15" hidden="false" customHeight="true" outlineLevel="0" collapsed="false">
      <c r="A35" s="22" t="s">
        <v>293</v>
      </c>
      <c r="B35" s="93" t="n">
        <f aca="false">Model!B290+Model!C290+Model!D290</f>
        <v>0</v>
      </c>
      <c r="C35" s="93" t="n">
        <f aca="false">Model!E290+Model!F290+Model!G290</f>
        <v>-0</v>
      </c>
      <c r="D35" s="93" t="n">
        <f aca="false">Model!H290+Model!I290+Model!J290</f>
        <v>-0</v>
      </c>
      <c r="E35" s="93" t="n">
        <f aca="false">Model!K290+Model!L290+Model!M290</f>
        <v>-0</v>
      </c>
      <c r="F35" s="93" t="n">
        <f aca="false">Model!N290+Model!O290+Model!P290</f>
        <v>-0</v>
      </c>
      <c r="G35" s="93" t="n">
        <f aca="false">Model!Q290+Model!R290+Model!S290</f>
        <v>-0</v>
      </c>
      <c r="H35" s="93" t="n">
        <f aca="false">Model!T290+Model!U290+Model!V290</f>
        <v>-0</v>
      </c>
      <c r="I35" s="93" t="n">
        <f aca="false">Model!W290+Model!X290+Model!Y290</f>
        <v>-0</v>
      </c>
      <c r="J35" s="93" t="n">
        <f aca="false">Model!Z290+Model!AA290+Model!AB290</f>
        <v>-0</v>
      </c>
      <c r="K35" s="93" t="n">
        <f aca="false">Model!AC290+Model!AD290+Model!AE290</f>
        <v>-0</v>
      </c>
      <c r="L35" s="93" t="n">
        <f aca="false">Model!AF290+Model!AG290+Model!AH290</f>
        <v>-0</v>
      </c>
      <c r="M35" s="93" t="n">
        <f aca="false">Model!AI290+Model!AJ290+Model!AK290</f>
        <v>-0</v>
      </c>
      <c r="N35" s="93" t="n">
        <f aca="false">Model!AL290+Model!AM290+Model!AN290</f>
        <v>-0</v>
      </c>
      <c r="O35" s="93" t="n">
        <f aca="false">Model!AO290+Model!AP290+Model!AQ290</f>
        <v>-0</v>
      </c>
      <c r="P35" s="93" t="n">
        <f aca="false">Model!AR290+Model!AS290+Model!AT290</f>
        <v>-0</v>
      </c>
      <c r="Q35" s="93" t="n">
        <f aca="false">Model!AU290+Model!AV290+Model!AW290</f>
        <v>-0</v>
      </c>
      <c r="R35" s="93" t="n">
        <f aca="false">Model!AX290+Model!AY290+Model!AZ290</f>
        <v>-0</v>
      </c>
      <c r="S35" s="93" t="n">
        <f aca="false">Model!BA290+Model!BB290+Model!BC290</f>
        <v>-851839</v>
      </c>
      <c r="T35" s="93" t="n">
        <f aca="false">Model!BD290+Model!BE290+Model!BF290</f>
        <v>-71700</v>
      </c>
      <c r="U35" s="93" t="n">
        <f aca="false">Model!BG290+Model!BH290+Model!BI290</f>
        <v>-71700</v>
      </c>
      <c r="V35" s="93" t="n">
        <f aca="false">Model!BJ290+Model!BK290+Model!BL290</f>
        <v>-71700</v>
      </c>
      <c r="W35" s="93" t="n">
        <f aca="false">Model!BM290+Model!BN290+Model!BO290</f>
        <v>-71700</v>
      </c>
      <c r="X35" s="93" t="n">
        <f aca="false">Model!BP290+Model!BQ290+Model!BR290</f>
        <v>-74643</v>
      </c>
      <c r="Y35" s="93" t="n">
        <f aca="false">Model!BS290+Model!BT290+Model!BU290</f>
        <v>-74640</v>
      </c>
      <c r="Z35" s="93" t="n">
        <f aca="false">Model!BV290+Model!BW290+Model!BX290</f>
        <v>-74640</v>
      </c>
      <c r="AA35" s="93" t="n">
        <f aca="false">Model!BY290+Model!BZ290+Model!CA290</f>
        <v>-74640</v>
      </c>
      <c r="AB35" s="93" t="n">
        <f aca="false">Model!CB290+Model!CC290+Model!CD290</f>
        <v>-81363</v>
      </c>
      <c r="AC35" s="93" t="n">
        <f aca="false">Model!CE290+Model!CF290+Model!CG290</f>
        <v>-81362</v>
      </c>
      <c r="AD35" s="93" t="n">
        <f aca="false">Model!CH290+Model!CI290+Model!CJ290</f>
        <v>-74753.9733935208</v>
      </c>
      <c r="AE35" s="93" t="n">
        <f aca="false">Model!CK290+Model!CL290+Model!CM290</f>
        <v>-0</v>
      </c>
      <c r="AF35" s="93" t="n">
        <f aca="false">Model!CN290+Model!CO290+Model!CP290</f>
        <v>-0</v>
      </c>
      <c r="AG35" s="93" t="n">
        <f aca="false">Model!CQ290+Model!CR290+Model!CS290</f>
        <v>-0</v>
      </c>
      <c r="AH35" s="93" t="n">
        <f aca="false">Model!CT290+Model!CU290+Model!CV290</f>
        <v>-0</v>
      </c>
      <c r="AI35" s="93" t="n">
        <f aca="false">Model!CW290+Model!CX290+Model!CY290</f>
        <v>-0</v>
      </c>
      <c r="AJ35" s="93" t="n">
        <f aca="false">Model!CZ290+Model!DA290+Model!DB290</f>
        <v>-0</v>
      </c>
      <c r="AK35" s="93" t="n">
        <f aca="false">Model!DC290+Model!DD290+Model!DE290</f>
        <v>-0</v>
      </c>
    </row>
    <row r="36" customFormat="false" ht="15" hidden="false" customHeight="true" outlineLevel="0" collapsed="false">
      <c r="A36" s="22" t="s">
        <v>294</v>
      </c>
      <c r="B36" s="93" t="n">
        <f aca="false">Model!B291+Model!C291+Model!D291</f>
        <v>0</v>
      </c>
      <c r="C36" s="93" t="n">
        <f aca="false">Model!E291+Model!F291+Model!G291</f>
        <v>-0</v>
      </c>
      <c r="D36" s="93" t="n">
        <f aca="false">Model!H291+Model!I291+Model!J291</f>
        <v>-0</v>
      </c>
      <c r="E36" s="93" t="n">
        <f aca="false">Model!K291+Model!L291+Model!M291</f>
        <v>-0</v>
      </c>
      <c r="F36" s="93" t="n">
        <f aca="false">Model!N291+Model!O291+Model!P291</f>
        <v>-0</v>
      </c>
      <c r="G36" s="93" t="n">
        <f aca="false">Model!Q291+Model!R291+Model!S291</f>
        <v>-0</v>
      </c>
      <c r="H36" s="93" t="n">
        <f aca="false">Model!T291+Model!U291+Model!V291</f>
        <v>-0</v>
      </c>
      <c r="I36" s="93" t="n">
        <f aca="false">Model!W291+Model!X291+Model!Y291</f>
        <v>-0</v>
      </c>
      <c r="J36" s="93" t="n">
        <f aca="false">Model!Z291+Model!AA291+Model!AB291</f>
        <v>-0</v>
      </c>
      <c r="K36" s="93" t="n">
        <f aca="false">Model!AC291+Model!AD291+Model!AE291</f>
        <v>-0</v>
      </c>
      <c r="L36" s="93" t="n">
        <f aca="false">Model!AF291+Model!AG291+Model!AH291</f>
        <v>-0</v>
      </c>
      <c r="M36" s="93" t="n">
        <f aca="false">Model!AI291+Model!AJ291+Model!AK291</f>
        <v>-0</v>
      </c>
      <c r="N36" s="93" t="n">
        <f aca="false">Model!AL291+Model!AM291+Model!AN291</f>
        <v>-0</v>
      </c>
      <c r="O36" s="93" t="n">
        <f aca="false">Model!AO291+Model!AP291+Model!AQ291</f>
        <v>-0</v>
      </c>
      <c r="P36" s="93" t="n">
        <f aca="false">Model!AR291+Model!AS291+Model!AT291</f>
        <v>-0</v>
      </c>
      <c r="Q36" s="93" t="n">
        <f aca="false">Model!AU291+Model!AV291+Model!AW291</f>
        <v>-0</v>
      </c>
      <c r="R36" s="93" t="n">
        <f aca="false">Model!AX291+Model!AY291+Model!AZ291</f>
        <v>-0</v>
      </c>
      <c r="S36" s="93" t="n">
        <f aca="false">Model!BA291+Model!BB291+Model!BC291</f>
        <v>-0</v>
      </c>
      <c r="T36" s="93" t="n">
        <f aca="false">Model!BD291+Model!BE291+Model!BF291</f>
        <v>-0</v>
      </c>
      <c r="U36" s="93" t="n">
        <f aca="false">Model!BG291+Model!BH291+Model!BI291</f>
        <v>-0</v>
      </c>
      <c r="V36" s="93" t="n">
        <f aca="false">Model!BJ291+Model!BK291+Model!BL291</f>
        <v>-0</v>
      </c>
      <c r="W36" s="93" t="n">
        <f aca="false">Model!BM291+Model!BN291+Model!BO291</f>
        <v>-0</v>
      </c>
      <c r="X36" s="93" t="n">
        <f aca="false">Model!BP291+Model!BQ291+Model!BR291</f>
        <v>-0</v>
      </c>
      <c r="Y36" s="93" t="n">
        <f aca="false">Model!BS291+Model!BT291+Model!BU291</f>
        <v>-0</v>
      </c>
      <c r="Z36" s="93" t="n">
        <f aca="false">Model!BV291+Model!BW291+Model!BX291</f>
        <v>-0</v>
      </c>
      <c r="AA36" s="93" t="n">
        <f aca="false">Model!BY291+Model!BZ291+Model!CA291</f>
        <v>-73156</v>
      </c>
      <c r="AB36" s="93" t="n">
        <f aca="false">Model!CB291+Model!CC291+Model!CD291</f>
        <v>-73155</v>
      </c>
      <c r="AC36" s="93" t="n">
        <f aca="false">Model!CE291+Model!CF291+Model!CG291</f>
        <v>-73155</v>
      </c>
      <c r="AD36" s="93" t="n">
        <f aca="false">Model!CH291+Model!CI291+Model!CJ291</f>
        <v>-73155</v>
      </c>
      <c r="AE36" s="93" t="n">
        <f aca="false">Model!CK291+Model!CL291+Model!CM291</f>
        <v>-219465</v>
      </c>
      <c r="AF36" s="93" t="n">
        <f aca="false">Model!CN291+Model!CO291+Model!CP291</f>
        <v>-219465</v>
      </c>
      <c r="AG36" s="93" t="n">
        <f aca="false">Model!CQ291+Model!CR291+Model!CS291</f>
        <v>-219465</v>
      </c>
      <c r="AH36" s="93" t="n">
        <f aca="false">Model!CT291+Model!CU291+Model!CV291</f>
        <v>-219465</v>
      </c>
      <c r="AI36" s="93" t="n">
        <f aca="false">Model!CW291+Model!CX291+Model!CY291</f>
        <v>-17446.8489364072</v>
      </c>
      <c r="AJ36" s="93" t="n">
        <f aca="false">Model!CZ291+Model!DA291+Model!DB291</f>
        <v>-0</v>
      </c>
      <c r="AK36" s="93" t="n">
        <f aca="false">Model!DC291+Model!DD291+Model!DE291</f>
        <v>-0</v>
      </c>
    </row>
    <row r="37" customFormat="false" ht="15" hidden="false" customHeight="true" outlineLevel="0" collapsed="false">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row>
    <row r="38" customFormat="false" ht="15" hidden="false" customHeight="true" outlineLevel="0" collapsed="false">
      <c r="A38" s="23" t="s">
        <v>295</v>
      </c>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row>
    <row r="39" customFormat="false" ht="15" hidden="false" customHeight="true" outlineLevel="0" collapsed="false">
      <c r="A39" s="22" t="s">
        <v>296</v>
      </c>
      <c r="B39" s="93" t="n">
        <f aca="false">Model!B310+Model!C310+Model!D310</f>
        <v>0</v>
      </c>
      <c r="C39" s="93" t="n">
        <f aca="false">Model!E310+Model!F310+Model!G310</f>
        <v>0</v>
      </c>
      <c r="D39" s="93" t="n">
        <f aca="false">Model!H310+Model!I310+Model!J310</f>
        <v>0</v>
      </c>
      <c r="E39" s="93" t="n">
        <f aca="false">Model!K310+Model!L310+Model!M310</f>
        <v>0</v>
      </c>
      <c r="F39" s="93" t="n">
        <f aca="false">Model!N310+Model!O310+Model!P310</f>
        <v>-336000</v>
      </c>
      <c r="G39" s="93" t="n">
        <f aca="false">Model!Q310+Model!R310+Model!S310</f>
        <v>-336000</v>
      </c>
      <c r="H39" s="93" t="n">
        <f aca="false">Model!T310+Model!U310+Model!V310</f>
        <v>-336000</v>
      </c>
      <c r="I39" s="93" t="n">
        <f aca="false">Model!W310+Model!X310+Model!Y310</f>
        <v>-336000</v>
      </c>
      <c r="J39" s="93" t="n">
        <f aca="false">Model!Z310+Model!AA310+Model!AB310</f>
        <v>-336000</v>
      </c>
      <c r="K39" s="93" t="n">
        <f aca="false">Model!AC310+Model!AD310+Model!AE310</f>
        <v>-315981.430278598</v>
      </c>
      <c r="L39" s="93" t="n">
        <f aca="false">Model!AF310+Model!AG310+Model!AH310</f>
        <v>0</v>
      </c>
      <c r="M39" s="93" t="n">
        <f aca="false">Model!AI310+Model!AJ310+Model!AK310</f>
        <v>0</v>
      </c>
      <c r="N39" s="93" t="n">
        <f aca="false">Model!AL310+Model!AM310+Model!AN310</f>
        <v>0</v>
      </c>
      <c r="O39" s="93" t="n">
        <f aca="false">Model!AO310+Model!AP310+Model!AQ310</f>
        <v>0</v>
      </c>
      <c r="P39" s="93" t="n">
        <f aca="false">Model!AR310+Model!AS310+Model!AT310</f>
        <v>0</v>
      </c>
      <c r="Q39" s="93" t="n">
        <f aca="false">Model!AU310+Model!AV310+Model!AW310</f>
        <v>0</v>
      </c>
      <c r="R39" s="93" t="n">
        <f aca="false">Model!AX310+Model!AY310+Model!AZ310</f>
        <v>0</v>
      </c>
      <c r="S39" s="93" t="n">
        <f aca="false">Model!BA310+Model!BB310+Model!BC310</f>
        <v>0</v>
      </c>
      <c r="T39" s="93" t="n">
        <f aca="false">Model!BD310+Model!BE310+Model!BF310</f>
        <v>0</v>
      </c>
      <c r="U39" s="93" t="n">
        <f aca="false">Model!BG310+Model!BH310+Model!BI310</f>
        <v>0</v>
      </c>
      <c r="V39" s="93" t="n">
        <f aca="false">Model!BJ310+Model!BK310+Model!BL310</f>
        <v>0</v>
      </c>
      <c r="W39" s="93" t="n">
        <f aca="false">Model!BM310+Model!BN310+Model!BO310</f>
        <v>0</v>
      </c>
      <c r="X39" s="93" t="n">
        <f aca="false">Model!BP310+Model!BQ310+Model!BR310</f>
        <v>0</v>
      </c>
      <c r="Y39" s="93" t="n">
        <f aca="false">Model!BS310+Model!BT310+Model!BU310</f>
        <v>0</v>
      </c>
      <c r="Z39" s="93" t="n">
        <f aca="false">Model!BV310+Model!BW310+Model!BX310</f>
        <v>0</v>
      </c>
      <c r="AA39" s="93" t="n">
        <f aca="false">Model!BY310+Model!BZ310+Model!CA310</f>
        <v>0</v>
      </c>
      <c r="AB39" s="93" t="n">
        <f aca="false">Model!CB310+Model!CC310+Model!CD310</f>
        <v>0</v>
      </c>
      <c r="AC39" s="93" t="n">
        <f aca="false">Model!CE310+Model!CF310+Model!CG310</f>
        <v>0</v>
      </c>
      <c r="AD39" s="93" t="n">
        <f aca="false">Model!CH310+Model!CI310+Model!CJ310</f>
        <v>0</v>
      </c>
      <c r="AE39" s="93" t="n">
        <f aca="false">Model!CK310+Model!CL310+Model!CM310</f>
        <v>0</v>
      </c>
      <c r="AF39" s="93" t="n">
        <f aca="false">Model!CN310+Model!CO310+Model!CP310</f>
        <v>0</v>
      </c>
      <c r="AG39" s="93" t="n">
        <f aca="false">Model!CQ310+Model!CR310+Model!CS310</f>
        <v>0</v>
      </c>
      <c r="AH39" s="93" t="n">
        <f aca="false">Model!CT310+Model!CU310+Model!CV310</f>
        <v>0</v>
      </c>
      <c r="AI39" s="93" t="n">
        <f aca="false">Model!CW310+Model!CX310+Model!CY310</f>
        <v>0</v>
      </c>
      <c r="AJ39" s="93" t="n">
        <f aca="false">Model!CZ310+Model!DA310+Model!DB310</f>
        <v>0</v>
      </c>
      <c r="AK39" s="93" t="n">
        <f aca="false">Model!DC310+Model!DD310+Model!DE310</f>
        <v>0</v>
      </c>
    </row>
    <row r="40" customFormat="false" ht="15" hidden="false" customHeight="true" outlineLevel="0" collapsed="false">
      <c r="A40" s="22" t="s">
        <v>297</v>
      </c>
      <c r="B40" s="93" t="n">
        <f aca="false">Model!D311</f>
        <v>0</v>
      </c>
      <c r="C40" s="93" t="n">
        <f aca="false">Model!G311</f>
        <v>1676065.6875</v>
      </c>
      <c r="D40" s="93" t="n">
        <f aca="false">Model!J311</f>
        <v>1738918.15078125</v>
      </c>
      <c r="E40" s="93" t="n">
        <f aca="false">Model!M311</f>
        <v>1804127.58143555</v>
      </c>
      <c r="F40" s="93" t="n">
        <f aca="false">Model!P311</f>
        <v>1527382.36573938</v>
      </c>
      <c r="G40" s="93" t="n">
        <f aca="false">Model!S311</f>
        <v>1240259.20445461</v>
      </c>
      <c r="H40" s="93" t="n">
        <f aca="false">Model!V311</f>
        <v>942368.924621655</v>
      </c>
      <c r="I40" s="93" t="n">
        <f aca="false">Model!Y311</f>
        <v>633307.759294967</v>
      </c>
      <c r="J40" s="93" t="n">
        <f aca="false">Model!AB311</f>
        <v>312656.800268528</v>
      </c>
      <c r="K40" s="93" t="n">
        <f aca="false">Model!AE311</f>
        <v>0</v>
      </c>
      <c r="L40" s="93" t="n">
        <f aca="false">Model!AH311</f>
        <v>0</v>
      </c>
      <c r="M40" s="93" t="n">
        <f aca="false">Model!AK311</f>
        <v>0</v>
      </c>
      <c r="N40" s="93" t="n">
        <f aca="false">Model!AN311</f>
        <v>0</v>
      </c>
      <c r="O40" s="93" t="n">
        <f aca="false">Model!AQ311</f>
        <v>0</v>
      </c>
      <c r="P40" s="93" t="n">
        <f aca="false">Model!AT311</f>
        <v>0</v>
      </c>
      <c r="Q40" s="93" t="n">
        <f aca="false">Model!AW311</f>
        <v>0</v>
      </c>
      <c r="R40" s="93" t="n">
        <f aca="false">Model!AZ311</f>
        <v>0</v>
      </c>
      <c r="S40" s="93" t="n">
        <f aca="false">Model!BC311</f>
        <v>0</v>
      </c>
      <c r="T40" s="93" t="n">
        <f aca="false">Model!BF311</f>
        <v>0</v>
      </c>
      <c r="U40" s="93" t="n">
        <f aca="false">Model!BI311</f>
        <v>0</v>
      </c>
      <c r="V40" s="93" t="n">
        <f aca="false">Model!BL311</f>
        <v>0</v>
      </c>
      <c r="W40" s="93" t="n">
        <f aca="false">Model!BO311</f>
        <v>0</v>
      </c>
      <c r="X40" s="93" t="n">
        <f aca="false">Model!BR311</f>
        <v>0</v>
      </c>
      <c r="Y40" s="93" t="n">
        <f aca="false">Model!BU311</f>
        <v>0</v>
      </c>
      <c r="Z40" s="93" t="n">
        <f aca="false">Model!BX311</f>
        <v>0</v>
      </c>
      <c r="AA40" s="93" t="n">
        <f aca="false">Model!CA311</f>
        <v>0</v>
      </c>
      <c r="AB40" s="93" t="n">
        <f aca="false">Model!CD311</f>
        <v>0</v>
      </c>
      <c r="AC40" s="93" t="n">
        <f aca="false">Model!CG311</f>
        <v>0</v>
      </c>
      <c r="AD40" s="93" t="n">
        <f aca="false">Model!CJ311</f>
        <v>0</v>
      </c>
      <c r="AE40" s="93" t="n">
        <f aca="false">Model!CM311</f>
        <v>0</v>
      </c>
      <c r="AF40" s="93" t="n">
        <f aca="false">Model!CP311</f>
        <v>0</v>
      </c>
      <c r="AG40" s="93" t="n">
        <f aca="false">Model!CS311</f>
        <v>0</v>
      </c>
      <c r="AH40" s="93" t="n">
        <f aca="false">Model!CV311</f>
        <v>0</v>
      </c>
      <c r="AI40" s="93" t="n">
        <f aca="false">Model!CY311</f>
        <v>0</v>
      </c>
      <c r="AJ40" s="93" t="n">
        <f aca="false">Model!DB311</f>
        <v>0</v>
      </c>
      <c r="AK40" s="93" t="n">
        <f aca="false">Model!DE311</f>
        <v>0</v>
      </c>
    </row>
    <row r="41" customFormat="false" ht="15" hidden="false" customHeight="true" outlineLevel="0" collapsed="false">
      <c r="A41" s="22" t="s">
        <v>298</v>
      </c>
      <c r="B41" s="93" t="n">
        <f aca="false">Model!B316+Model!C316+Model!D316</f>
        <v>0</v>
      </c>
      <c r="C41" s="93" t="n">
        <f aca="false">Model!E316+Model!F316+Model!G316</f>
        <v>0</v>
      </c>
      <c r="D41" s="93" t="n">
        <f aca="false">Model!H316+Model!I316+Model!J316</f>
        <v>0</v>
      </c>
      <c r="E41" s="93" t="n">
        <f aca="false">Model!K316+Model!L316+Model!M316</f>
        <v>0</v>
      </c>
      <c r="F41" s="93" t="n">
        <f aca="false">Model!N316+Model!O316+Model!P316</f>
        <v>0</v>
      </c>
      <c r="G41" s="93" t="n">
        <f aca="false">Model!Q316+Model!R316+Model!S316</f>
        <v>0</v>
      </c>
      <c r="H41" s="93" t="n">
        <f aca="false">Model!T316+Model!U316+Model!V316</f>
        <v>0</v>
      </c>
      <c r="I41" s="93" t="n">
        <f aca="false">Model!W316+Model!X316+Model!Y316</f>
        <v>0</v>
      </c>
      <c r="J41" s="93" t="n">
        <f aca="false">Model!Z316+Model!AA316+Model!AB316</f>
        <v>-250000</v>
      </c>
      <c r="K41" s="93" t="n">
        <f aca="false">Model!AC316+Model!AD316+Model!AE316</f>
        <v>0</v>
      </c>
      <c r="L41" s="93" t="n">
        <f aca="false">Model!AF316+Model!AG316+Model!AH316</f>
        <v>0</v>
      </c>
      <c r="M41" s="93" t="n">
        <f aca="false">Model!AI316+Model!AJ316+Model!AK316</f>
        <v>0</v>
      </c>
      <c r="N41" s="93" t="n">
        <f aca="false">Model!AL316+Model!AM316+Model!AN316</f>
        <v>-250000</v>
      </c>
      <c r="O41" s="93" t="n">
        <f aca="false">Model!AO316+Model!AP316+Model!AQ316</f>
        <v>0</v>
      </c>
      <c r="P41" s="93" t="n">
        <f aca="false">Model!AR316+Model!AS316+Model!AT316</f>
        <v>0</v>
      </c>
      <c r="Q41" s="93" t="n">
        <f aca="false">Model!AU316+Model!AV316+Model!AW316</f>
        <v>0</v>
      </c>
      <c r="R41" s="93" t="n">
        <f aca="false">Model!AX316+Model!AY316+Model!AZ316</f>
        <v>-250000</v>
      </c>
      <c r="S41" s="93" t="n">
        <f aca="false">Model!BA316+Model!BB316+Model!BC316</f>
        <v>0</v>
      </c>
      <c r="T41" s="93" t="n">
        <f aca="false">Model!BD316+Model!BE316+Model!BF316</f>
        <v>0</v>
      </c>
      <c r="U41" s="93" t="n">
        <f aca="false">Model!BG316+Model!BH316+Model!BI316</f>
        <v>0</v>
      </c>
      <c r="V41" s="93" t="n">
        <f aca="false">Model!BJ316+Model!BK316+Model!BL316</f>
        <v>-250000</v>
      </c>
      <c r="W41" s="93" t="n">
        <f aca="false">Model!BM316+Model!BN316+Model!BO316</f>
        <v>0</v>
      </c>
      <c r="X41" s="93" t="n">
        <f aca="false">Model!BP316+Model!BQ316+Model!BR316</f>
        <v>0</v>
      </c>
      <c r="Y41" s="93" t="n">
        <f aca="false">Model!BS316+Model!BT316+Model!BU316</f>
        <v>0</v>
      </c>
      <c r="Z41" s="93" t="n">
        <f aca="false">Model!BV316+Model!BW316+Model!BX316</f>
        <v>0</v>
      </c>
      <c r="AA41" s="93" t="n">
        <f aca="false">Model!BY316+Model!BZ316+Model!CA316</f>
        <v>0</v>
      </c>
      <c r="AB41" s="93" t="n">
        <f aca="false">Model!CB316+Model!CC316+Model!CD316</f>
        <v>0</v>
      </c>
      <c r="AC41" s="93" t="n">
        <f aca="false">Model!CE316+Model!CF316+Model!CG316</f>
        <v>0</v>
      </c>
      <c r="AD41" s="93" t="n">
        <f aca="false">Model!CH316+Model!CI316+Model!CJ316</f>
        <v>0</v>
      </c>
      <c r="AE41" s="93" t="n">
        <f aca="false">Model!CK316+Model!CL316+Model!CM316</f>
        <v>0</v>
      </c>
      <c r="AF41" s="93" t="n">
        <f aca="false">Model!CN316+Model!CO316+Model!CP316</f>
        <v>0</v>
      </c>
      <c r="AG41" s="93" t="n">
        <f aca="false">Model!CQ316+Model!CR316+Model!CS316</f>
        <v>0</v>
      </c>
      <c r="AH41" s="93" t="n">
        <f aca="false">Model!CT316+Model!CU316+Model!CV316</f>
        <v>0</v>
      </c>
      <c r="AI41" s="93" t="n">
        <f aca="false">Model!CW316+Model!CX316+Model!CY316</f>
        <v>0</v>
      </c>
      <c r="AJ41" s="93" t="n">
        <f aca="false">Model!CZ316+Model!DA316+Model!DB316</f>
        <v>0</v>
      </c>
      <c r="AK41" s="93" t="n">
        <f aca="false">Model!DC316+Model!DD316+Model!DE316</f>
        <v>0</v>
      </c>
    </row>
    <row r="42" customFormat="false" ht="15" hidden="false" customHeight="true" outlineLevel="0" collapsed="false">
      <c r="A42" s="22" t="s">
        <v>299</v>
      </c>
      <c r="B42" s="93" t="n">
        <f aca="false">Model!D317</f>
        <v>0</v>
      </c>
      <c r="C42" s="93" t="n">
        <f aca="false">Model!G317</f>
        <v>1000000</v>
      </c>
      <c r="D42" s="93" t="n">
        <f aca="false">Model!J317</f>
        <v>1000000</v>
      </c>
      <c r="E42" s="93" t="n">
        <f aca="false">Model!M317</f>
        <v>1000000</v>
      </c>
      <c r="F42" s="93" t="n">
        <f aca="false">Model!P317</f>
        <v>1000000</v>
      </c>
      <c r="G42" s="93" t="n">
        <f aca="false">Model!S317</f>
        <v>1000000</v>
      </c>
      <c r="H42" s="93" t="n">
        <f aca="false">Model!V317</f>
        <v>1000000</v>
      </c>
      <c r="I42" s="93" t="n">
        <f aca="false">Model!Y317</f>
        <v>1000000</v>
      </c>
      <c r="J42" s="93" t="n">
        <f aca="false">Model!AB317</f>
        <v>750000</v>
      </c>
      <c r="K42" s="93" t="n">
        <f aca="false">Model!AE317</f>
        <v>750000</v>
      </c>
      <c r="L42" s="93" t="n">
        <f aca="false">Model!AH317</f>
        <v>750000</v>
      </c>
      <c r="M42" s="93" t="n">
        <f aca="false">Model!AK317</f>
        <v>750000</v>
      </c>
      <c r="N42" s="93" t="n">
        <f aca="false">Model!AN317</f>
        <v>500000</v>
      </c>
      <c r="O42" s="93" t="n">
        <f aca="false">Model!AQ317</f>
        <v>500000</v>
      </c>
      <c r="P42" s="93" t="n">
        <f aca="false">Model!AT317</f>
        <v>500000</v>
      </c>
      <c r="Q42" s="93" t="n">
        <f aca="false">Model!AW317</f>
        <v>500000</v>
      </c>
      <c r="R42" s="93" t="n">
        <f aca="false">Model!AZ317</f>
        <v>250000</v>
      </c>
      <c r="S42" s="93" t="n">
        <f aca="false">Model!BC317</f>
        <v>250000</v>
      </c>
      <c r="T42" s="93" t="n">
        <f aca="false">Model!BF317</f>
        <v>250000</v>
      </c>
      <c r="U42" s="93" t="n">
        <f aca="false">Model!BI317</f>
        <v>250000</v>
      </c>
      <c r="V42" s="93" t="n">
        <f aca="false">Model!BL317</f>
        <v>0</v>
      </c>
      <c r="W42" s="93" t="n">
        <f aca="false">Model!BO317</f>
        <v>0</v>
      </c>
      <c r="X42" s="93" t="n">
        <f aca="false">Model!BR317</f>
        <v>0</v>
      </c>
      <c r="Y42" s="93" t="n">
        <f aca="false">Model!BU317</f>
        <v>0</v>
      </c>
      <c r="Z42" s="93" t="n">
        <f aca="false">Model!BX317</f>
        <v>0</v>
      </c>
      <c r="AA42" s="93" t="n">
        <f aca="false">Model!CA317</f>
        <v>0</v>
      </c>
      <c r="AB42" s="93" t="n">
        <f aca="false">Model!CD317</f>
        <v>0</v>
      </c>
      <c r="AC42" s="93" t="n">
        <f aca="false">Model!CG317</f>
        <v>0</v>
      </c>
      <c r="AD42" s="93" t="n">
        <f aca="false">Model!CJ317</f>
        <v>0</v>
      </c>
      <c r="AE42" s="93" t="n">
        <f aca="false">Model!CM317</f>
        <v>0</v>
      </c>
      <c r="AF42" s="93" t="n">
        <f aca="false">Model!CP317</f>
        <v>0</v>
      </c>
      <c r="AG42" s="93" t="n">
        <f aca="false">Model!CS317</f>
        <v>0</v>
      </c>
      <c r="AH42" s="93" t="n">
        <f aca="false">Model!CV317</f>
        <v>0</v>
      </c>
      <c r="AI42" s="93" t="n">
        <f aca="false">Model!CY317</f>
        <v>0</v>
      </c>
      <c r="AJ42" s="93" t="n">
        <f aca="false">Model!DB317</f>
        <v>0</v>
      </c>
      <c r="AK42" s="93" t="n">
        <f aca="false">Model!DE317</f>
        <v>0</v>
      </c>
    </row>
    <row r="43" customFormat="false" ht="15" hidden="false" customHeight="true" outlineLevel="0" collapsed="false">
      <c r="A43" s="22" t="s">
        <v>300</v>
      </c>
      <c r="B43" s="93" t="n">
        <f aca="false">Model!B370+Model!C370+Model!D370</f>
        <v>0</v>
      </c>
      <c r="C43" s="93" t="n">
        <f aca="false">Model!E370+Model!F370+Model!G370</f>
        <v>0</v>
      </c>
      <c r="D43" s="93" t="n">
        <f aca="false">Model!H370+Model!I370+Model!J370</f>
        <v>0</v>
      </c>
      <c r="E43" s="93" t="n">
        <f aca="false">Model!K370+Model!L370+Model!M370</f>
        <v>0</v>
      </c>
      <c r="F43" s="93" t="n">
        <f aca="false">Model!N370+Model!O370+Model!P370</f>
        <v>0</v>
      </c>
      <c r="G43" s="93" t="n">
        <f aca="false">Model!Q370+Model!R370+Model!S370</f>
        <v>0</v>
      </c>
      <c r="H43" s="93" t="n">
        <f aca="false">Model!T370+Model!U370+Model!V370</f>
        <v>0</v>
      </c>
      <c r="I43" s="93" t="n">
        <f aca="false">Model!W370+Model!X370+Model!Y370</f>
        <v>0</v>
      </c>
      <c r="J43" s="93" t="n">
        <f aca="false">Model!Z370+Model!AA370+Model!AB370</f>
        <v>0</v>
      </c>
      <c r="K43" s="93" t="n">
        <f aca="false">Model!AC370+Model!AD370+Model!AE370</f>
        <v>0</v>
      </c>
      <c r="L43" s="93" t="n">
        <f aca="false">Model!AF370+Model!AG370+Model!AH370</f>
        <v>0</v>
      </c>
      <c r="M43" s="93" t="n">
        <f aca="false">Model!AI370+Model!AJ370+Model!AK370</f>
        <v>0</v>
      </c>
      <c r="N43" s="93" t="n">
        <f aca="false">Model!AL370+Model!AM370+Model!AN370</f>
        <v>0</v>
      </c>
      <c r="O43" s="93" t="n">
        <f aca="false">Model!AO370+Model!AP370+Model!AQ370</f>
        <v>0</v>
      </c>
      <c r="P43" s="93" t="n">
        <f aca="false">Model!AR370+Model!AS370+Model!AT370</f>
        <v>0</v>
      </c>
      <c r="Q43" s="93" t="n">
        <f aca="false">Model!AU370+Model!AV370+Model!AW370</f>
        <v>0</v>
      </c>
      <c r="R43" s="93" t="n">
        <f aca="false">Model!AX370+Model!AY370+Model!AZ370</f>
        <v>0</v>
      </c>
      <c r="S43" s="93" t="n">
        <f aca="false">Model!BA370+Model!BB370+Model!BC370</f>
        <v>0</v>
      </c>
      <c r="T43" s="93" t="n">
        <f aca="false">Model!BD370+Model!BE370+Model!BF370</f>
        <v>0</v>
      </c>
      <c r="U43" s="93" t="n">
        <f aca="false">Model!BG370+Model!BH370+Model!BI370</f>
        <v>0</v>
      </c>
      <c r="V43" s="93" t="n">
        <f aca="false">Model!BJ370+Model!BK370+Model!BL370</f>
        <v>0</v>
      </c>
      <c r="W43" s="93" t="n">
        <f aca="false">Model!BM370+Model!BN370+Model!BO370</f>
        <v>0</v>
      </c>
      <c r="X43" s="93" t="n">
        <f aca="false">Model!BP370+Model!BQ370+Model!BR370</f>
        <v>0</v>
      </c>
      <c r="Y43" s="93" t="n">
        <f aca="false">Model!BS370+Model!BT370+Model!BU370</f>
        <v>0</v>
      </c>
      <c r="Z43" s="93" t="n">
        <f aca="false">Model!BV370+Model!BW370+Model!BX370</f>
        <v>0</v>
      </c>
      <c r="AA43" s="93" t="n">
        <f aca="false">Model!BY370+Model!BZ370+Model!CA370</f>
        <v>0</v>
      </c>
      <c r="AB43" s="93" t="n">
        <f aca="false">Model!CB370+Model!CC370+Model!CD370</f>
        <v>0</v>
      </c>
      <c r="AC43" s="93" t="n">
        <f aca="false">Model!CE370+Model!CF370+Model!CG370</f>
        <v>0</v>
      </c>
      <c r="AD43" s="93" t="n">
        <f aca="false">Model!CH370+Model!CI370+Model!CJ370</f>
        <v>0</v>
      </c>
      <c r="AE43" s="93" t="n">
        <f aca="false">Model!CK370+Model!CL370+Model!CM370</f>
        <v>0</v>
      </c>
      <c r="AF43" s="93" t="n">
        <f aca="false">Model!CN370+Model!CO370+Model!CP370</f>
        <v>0</v>
      </c>
      <c r="AG43" s="93" t="n">
        <f aca="false">Model!CQ370+Model!CR370+Model!CS370</f>
        <v>0</v>
      </c>
      <c r="AH43" s="93" t="n">
        <f aca="false">Model!CT370+Model!CU370+Model!CV370</f>
        <v>0</v>
      </c>
      <c r="AI43" s="93" t="n">
        <f aca="false">Model!CW370+Model!CX370+Model!CY370</f>
        <v>0</v>
      </c>
      <c r="AJ43" s="93" t="n">
        <f aca="false">Model!CZ370+Model!DA370+Model!DB370</f>
        <v>0</v>
      </c>
      <c r="AK43" s="93" t="n">
        <f aca="false">Model!DC370+Model!DD370+Model!DE370</f>
        <v>0</v>
      </c>
    </row>
    <row r="44" customFormat="false" ht="15" hidden="false" customHeight="true" outlineLevel="0" collapsed="false">
      <c r="A44" s="22" t="s">
        <v>301</v>
      </c>
      <c r="B44" s="93" t="n">
        <f aca="false">Model!D324+Model!D329+Model!D334+Model!D339</f>
        <v>0</v>
      </c>
      <c r="C44" s="93" t="n">
        <f aca="false">Model!G324+Model!G329+Model!G334+Model!G339</f>
        <v>1738378.196875</v>
      </c>
      <c r="D44" s="93" t="n">
        <f aca="false">Model!J324+Model!J329+Model!J334+Model!J339</f>
        <v>2142433.65800781</v>
      </c>
      <c r="E44" s="93" t="n">
        <f aca="false">Model!M324+Model!M329+Model!M334+Model!M339</f>
        <v>2378399.92018311</v>
      </c>
      <c r="F44" s="93" t="n">
        <f aca="false">Model!P324+Model!P329+Model!P334+Model!P339</f>
        <v>2714835.55656497</v>
      </c>
      <c r="G44" s="93" t="n">
        <f aca="false">Model!S324+Model!S329+Model!S334+Model!S339</f>
        <v>1507637.52931116</v>
      </c>
      <c r="H44" s="93" t="n">
        <f aca="false">Model!V324+Model!V329+Model!V334+Model!V339</f>
        <v>1564173.93666033</v>
      </c>
      <c r="I44" s="93" t="n">
        <f aca="false">Model!Y324+Model!Y329+Model!Y334+Model!Y339</f>
        <v>1714451.09866009</v>
      </c>
      <c r="J44" s="93" t="n">
        <f aca="false">Model!AB324+Model!AB329+Model!AB334+Model!AB339</f>
        <v>1778743.01485984</v>
      </c>
      <c r="K44" s="93" t="n">
        <f aca="false">Model!AE324+Model!AE329+Model!AE334+Model!AE339</f>
        <v>961652.271667087</v>
      </c>
      <c r="L44" s="93" t="n">
        <f aca="false">Model!AH324+Model!AH329+Model!AH334+Model!AH339</f>
        <v>997714.231854602</v>
      </c>
      <c r="M44" s="93" t="n">
        <f aca="false">Model!AK324+Model!AK329+Model!AK334+Model!AK339</f>
        <v>1035128.51554915</v>
      </c>
      <c r="N44" s="93" t="n">
        <f aca="false">Model!AN324+Model!AN329+Model!AN334+Model!AN339</f>
        <v>1073945.83488224</v>
      </c>
      <c r="O44" s="93" t="n">
        <f aca="false">Model!AQ324+Model!AQ329+Model!AQ334+Model!AQ339</f>
        <v>1114218.80369033</v>
      </c>
      <c r="P44" s="93" t="n">
        <f aca="false">Model!AT324+Model!AT329+Model!AT334+Model!AT339</f>
        <v>1156002.00882871</v>
      </c>
      <c r="Q44" s="93" t="n">
        <f aca="false">Model!AW324+Model!AW329+Model!AW334+Model!AW339</f>
        <v>1199352.08415979</v>
      </c>
      <c r="R44" s="93" t="n">
        <f aca="false">Model!AZ324+Model!AZ329+Model!AZ334+Model!AZ339</f>
        <v>1244327.78731578</v>
      </c>
      <c r="S44" s="93" t="n">
        <f aca="false">Model!BC324+Model!BC329+Model!BC334+Model!BC339</f>
        <v>1041818.77934013</v>
      </c>
      <c r="T44" s="93" t="n">
        <f aca="false">Model!BF324+Model!BF329+Model!BF334+Model!BF339</f>
        <v>1009186.98356538</v>
      </c>
      <c r="U44" s="93" t="n">
        <f aca="false">Model!BI324+Model!BI329+Model!BI334+Model!BI339</f>
        <v>975331.495449082</v>
      </c>
      <c r="V44" s="93" t="n">
        <f aca="false">Model!BL324+Model!BL329+Model!BL334+Model!BL339</f>
        <v>940206.426528422</v>
      </c>
      <c r="W44" s="93" t="n">
        <f aca="false">Model!BO324+Model!BO329+Model!BO334+Model!BO339</f>
        <v>903764.167523238</v>
      </c>
      <c r="X44" s="93" t="n">
        <f aca="false">Model!BR324+Model!BR329+Model!BR334+Model!BR339</f>
        <v>863012.323805359</v>
      </c>
      <c r="Y44" s="93" t="n">
        <f aca="false">Model!BU324+Model!BU329+Model!BU334+Model!BU339</f>
        <v>820735.28594806</v>
      </c>
      <c r="Z44" s="93" t="n">
        <f aca="false">Model!BX324+Model!BX329+Model!BX334+Model!BX339</f>
        <v>776872.859171113</v>
      </c>
      <c r="AA44" s="93" t="n">
        <f aca="false">Model!CA324+Model!CA329+Model!CA334+Model!CA339</f>
        <v>731365.591390029</v>
      </c>
      <c r="AB44" s="93" t="n">
        <f aca="false">Model!CD324+Model!CD329+Model!CD334+Model!CD339</f>
        <v>677428.801067155</v>
      </c>
      <c r="AC44" s="93" t="n">
        <f aca="false">Model!CG324+Model!CG329+Model!CG334+Model!CG339</f>
        <v>621470.381107174</v>
      </c>
      <c r="AD44" s="93" t="n">
        <f aca="false">Model!CJ324+Model!CJ329+Model!CJ334+Model!CJ339</f>
        <v>570021.547005172</v>
      </c>
      <c r="AE44" s="93" t="n">
        <f aca="false">Model!CM324+Model!CM329+Model!CM334+Model!CM339</f>
        <v>591397.355017866</v>
      </c>
      <c r="AF44" s="93" t="n">
        <f aca="false">Model!CP324+Model!CP329+Model!CP334+Model!CP339</f>
        <v>442013.212831036</v>
      </c>
      <c r="AG44" s="93" t="n">
        <f aca="false">Model!CS324+Model!CS329+Model!CS334+Model!CS339</f>
        <v>233637.0833122</v>
      </c>
      <c r="AH44" s="93" t="n">
        <f aca="false">Model!CV324+Model!CV329+Model!CV334+Model!CV339</f>
        <v>17446.8489364072</v>
      </c>
      <c r="AI44" s="93" t="n">
        <f aca="false">Model!CY324+Model!CY329+Model!CY334+Model!CY339</f>
        <v>0</v>
      </c>
      <c r="AJ44" s="93" t="n">
        <f aca="false">Model!DB324+Model!DB329+Model!DB334+Model!DB339</f>
        <v>0</v>
      </c>
      <c r="AK44" s="93" t="n">
        <f aca="false">Model!DE324+Model!DE329+Model!DE334+Model!DE339</f>
        <v>0</v>
      </c>
    </row>
    <row r="45" customFormat="false" ht="15" hidden="false" customHeight="true" outlineLevel="0" collapsed="false">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row>
    <row r="46" customFormat="false" ht="15" hidden="false" customHeight="true" outlineLevel="0" collapsed="false">
      <c r="A46" s="22" t="s">
        <v>302</v>
      </c>
      <c r="B46" s="93" t="n">
        <f aca="false">Model!D350</f>
        <v>0</v>
      </c>
      <c r="C46" s="93" t="n">
        <f aca="false">Model!G350</f>
        <v>20879271.91</v>
      </c>
      <c r="D46" s="93" t="n">
        <f aca="false">Model!J350</f>
        <v>82574509.2435969</v>
      </c>
      <c r="E46" s="93" t="n">
        <f aca="false">Model!M350</f>
        <v>93841157.4299332</v>
      </c>
      <c r="F46" s="93" t="n">
        <f aca="false">Model!P350</f>
        <v>81571690.8249268</v>
      </c>
      <c r="G46" s="93" t="n">
        <f aca="false">Model!S350</f>
        <v>135930577.982465</v>
      </c>
      <c r="H46" s="93" t="n">
        <f aca="false">Model!V350</f>
        <v>129160029.539487</v>
      </c>
      <c r="I46" s="93" t="n">
        <f aca="false">Model!Y350</f>
        <v>101419054.905732</v>
      </c>
      <c r="J46" s="93" t="n">
        <f aca="false">Model!AB350</f>
        <v>68825770.901435</v>
      </c>
      <c r="K46" s="93" t="n">
        <f aca="false">Model!AE350</f>
        <v>88609446.431479</v>
      </c>
      <c r="L46" s="93" t="n">
        <f aca="false">Model!AH350</f>
        <v>66427956.25085</v>
      </c>
      <c r="M46" s="93" t="n">
        <f aca="false">Model!AK350</f>
        <v>62570340.652485</v>
      </c>
      <c r="N46" s="93" t="n">
        <f aca="false">Model!AN350</f>
        <v>47966431.200826</v>
      </c>
      <c r="O46" s="93" t="n">
        <f aca="false">Model!AQ350</f>
        <v>53035629.712532</v>
      </c>
      <c r="P46" s="93" t="n">
        <f aca="false">Model!AT350</f>
        <v>39084254.790616</v>
      </c>
      <c r="Q46" s="93" t="n">
        <f aca="false">Model!AW350</f>
        <v>27179280.501624</v>
      </c>
      <c r="R46" s="93" t="n">
        <f aca="false">Model!AZ350</f>
        <v>16304865.887544</v>
      </c>
      <c r="S46" s="93" t="n">
        <f aca="false">Model!BC350</f>
        <v>22065854.53832</v>
      </c>
      <c r="T46" s="93" t="n">
        <f aca="false">Model!BF350</f>
        <v>14522644.58668</v>
      </c>
      <c r="U46" s="93" t="n">
        <f aca="false">Model!BI350</f>
        <v>23231535</v>
      </c>
      <c r="V46" s="93" t="n">
        <f aca="false">Model!BL350</f>
        <v>17903445</v>
      </c>
      <c r="W46" s="93" t="n">
        <f aca="false">Model!BO350</f>
        <v>12096555</v>
      </c>
      <c r="X46" s="93" t="n">
        <f aca="false">Model!BR350</f>
        <v>6768465</v>
      </c>
      <c r="Y46" s="93" t="n">
        <f aca="false">Model!BU350</f>
        <v>2975850</v>
      </c>
      <c r="Z46" s="93" t="n">
        <f aca="false">Model!BX350</f>
        <v>889169.999999999</v>
      </c>
      <c r="AA46" s="93" t="n">
        <f aca="false">Model!CA350</f>
        <v>0</v>
      </c>
      <c r="AB46" s="93" t="n">
        <f aca="false">Model!CD350</f>
        <v>0</v>
      </c>
      <c r="AC46" s="93" t="n">
        <f aca="false">Model!CG350</f>
        <v>0</v>
      </c>
      <c r="AD46" s="93" t="n">
        <f aca="false">Model!CJ350</f>
        <v>0</v>
      </c>
      <c r="AE46" s="93" t="n">
        <f aca="false">Model!CM350</f>
        <v>0</v>
      </c>
      <c r="AF46" s="93" t="n">
        <f aca="false">Model!CP350</f>
        <v>0</v>
      </c>
      <c r="AG46" s="93" t="n">
        <f aca="false">Model!CS350</f>
        <v>0</v>
      </c>
      <c r="AH46" s="93" t="n">
        <f aca="false">Model!CV350</f>
        <v>0</v>
      </c>
      <c r="AI46" s="93" t="n">
        <f aca="false">Model!CY350</f>
        <v>0</v>
      </c>
      <c r="AJ46" s="93" t="n">
        <f aca="false">Model!DB350</f>
        <v>0</v>
      </c>
      <c r="AK46" s="93" t="n">
        <f aca="false">Model!DE350</f>
        <v>0</v>
      </c>
    </row>
    <row r="47" customFormat="false" ht="15" hidden="false" customHeight="tru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row>
    <row r="48" customFormat="false" ht="15" hidden="false" customHeight="true" outlineLevel="0" collapsed="false">
      <c r="A48" s="82" t="s">
        <v>188</v>
      </c>
      <c r="B48" s="83" t="n">
        <f aca="false">Model!D363</f>
        <v>0</v>
      </c>
      <c r="C48" s="83" t="n">
        <f aca="false">Model!G363</f>
        <v>0</v>
      </c>
      <c r="D48" s="83" t="n">
        <f aca="false">Model!J363</f>
        <v>1113428.48890737</v>
      </c>
      <c r="E48" s="83" t="n">
        <f aca="false">Model!M363</f>
        <v>2168054.84711936</v>
      </c>
      <c r="F48" s="83" t="n">
        <f aca="false">Model!P363</f>
        <v>1739781.35069781</v>
      </c>
      <c r="G48" s="83" t="n">
        <f aca="false">Model!S363</f>
        <v>1561572.750026</v>
      </c>
      <c r="H48" s="83" t="n">
        <f aca="false">Model!V363</f>
        <v>2581953.05901466</v>
      </c>
      <c r="I48" s="83" t="n">
        <f aca="false">Model!Y363</f>
        <v>4415467.61553319</v>
      </c>
      <c r="J48" s="83" t="n">
        <f aca="false">Model!AB363</f>
        <v>6659329.38945921</v>
      </c>
      <c r="K48" s="83" t="n">
        <f aca="false">Model!AE363</f>
        <v>8238414.10262944</v>
      </c>
      <c r="L48" s="83" t="n">
        <f aca="false">Model!AH363</f>
        <v>9857888.55290159</v>
      </c>
      <c r="M48" s="83" t="n">
        <f aca="false">Model!AK363</f>
        <v>12353902.7304353</v>
      </c>
      <c r="N48" s="83" t="n">
        <f aca="false">Model!AN363</f>
        <v>14828796.7064075</v>
      </c>
      <c r="O48" s="83" t="n">
        <f aca="false">Model!AQ363</f>
        <v>16601810.0183121</v>
      </c>
      <c r="P48" s="83" t="n">
        <f aca="false">Model!AT363</f>
        <v>19573209.2644601</v>
      </c>
      <c r="Q48" s="83" t="n">
        <f aca="false">Model!AW363</f>
        <v>22315906.6308388</v>
      </c>
      <c r="R48" s="83" t="n">
        <f aca="false">Model!AZ363</f>
        <v>24583963.3541407</v>
      </c>
      <c r="S48" s="83" t="n">
        <f aca="false">Model!BC363</f>
        <v>26704032.6095466</v>
      </c>
      <c r="T48" s="83" t="n">
        <f aca="false">Model!BF363</f>
        <v>29177603.1541447</v>
      </c>
      <c r="U48" s="83" t="n">
        <f aca="false">Model!BI363</f>
        <v>31877698.4199326</v>
      </c>
      <c r="V48" s="83" t="n">
        <f aca="false">Model!BL363</f>
        <v>33304081.5152132</v>
      </c>
      <c r="W48" s="83" t="n">
        <f aca="false">Model!BO363</f>
        <v>34770485.425163</v>
      </c>
      <c r="X48" s="83" t="n">
        <f aca="false">Model!BR363</f>
        <v>35831005.2268377</v>
      </c>
      <c r="Y48" s="83" t="n">
        <f aca="false">Model!BU363</f>
        <v>37068566.0095614</v>
      </c>
      <c r="Z48" s="83" t="n">
        <f aca="false">Model!BX363</f>
        <v>37635932.9808195</v>
      </c>
      <c r="AA48" s="83" t="n">
        <f aca="false">Model!CA363</f>
        <v>37356949.633819</v>
      </c>
      <c r="AB48" s="83" t="n">
        <f aca="false">Model!CD363</f>
        <v>36071064.6628542</v>
      </c>
      <c r="AC48" s="83" t="n">
        <f aca="false">Model!CG363</f>
        <v>34785179.6918895</v>
      </c>
      <c r="AD48" s="83" t="n">
        <f aca="false">Model!CJ363</f>
        <v>33499294.7209248</v>
      </c>
      <c r="AE48" s="83" t="n">
        <f aca="false">Model!CM363</f>
        <v>32187692.0505407</v>
      </c>
      <c r="AF48" s="83" t="n">
        <f aca="false">Model!CP363</f>
        <v>30876089.3801567</v>
      </c>
      <c r="AG48" s="83" t="n">
        <f aca="false">Model!CS363</f>
        <v>29564486.7097727</v>
      </c>
      <c r="AH48" s="83" t="n">
        <f aca="false">Model!CV363</f>
        <v>28408224.518223</v>
      </c>
      <c r="AI48" s="83" t="n">
        <f aca="false">Model!CY363</f>
        <v>27228837.0828424</v>
      </c>
      <c r="AJ48" s="83" t="n">
        <f aca="false">Model!DB363</f>
        <v>26049449.6474617</v>
      </c>
      <c r="AK48" s="83" t="n">
        <f aca="false">Model!DE363</f>
        <v>24870062.212081</v>
      </c>
    </row>
    <row r="49" customFormat="false" ht="15" hidden="false" customHeight="true" outlineLevel="0" collapsed="false">
      <c r="A49" s="82" t="s">
        <v>195</v>
      </c>
      <c r="B49" s="83" t="n">
        <f aca="false">Model!D371</f>
        <v>0</v>
      </c>
      <c r="C49" s="83" t="n">
        <f aca="false">Model!G371</f>
        <v>0</v>
      </c>
      <c r="D49" s="83" t="n">
        <f aca="false">Model!J371</f>
        <v>512855.116666667</v>
      </c>
      <c r="E49" s="83" t="n">
        <f aca="false">Model!M371</f>
        <v>61600.4666666667</v>
      </c>
      <c r="F49" s="83" t="n">
        <f aca="false">Model!P371</f>
        <v>-497815.996190476</v>
      </c>
      <c r="G49" s="83" t="n">
        <f aca="false">Model!S371</f>
        <v>-1147126.29299048</v>
      </c>
      <c r="H49" s="83" t="n">
        <f aca="false">Model!V371</f>
        <v>-1885005.53979048</v>
      </c>
      <c r="I49" s="83" t="n">
        <f aca="false">Model!Y371</f>
        <v>-2470053.81219048</v>
      </c>
      <c r="J49" s="83" t="n">
        <f aca="false">Model!AB371</f>
        <v>-3200464.67419048</v>
      </c>
      <c r="K49" s="83" t="n">
        <f aca="false">Model!AE371</f>
        <v>-3532021.02782907</v>
      </c>
      <c r="L49" s="83" t="n">
        <f aca="false">Model!AH371</f>
        <v>-3522951.30018907</v>
      </c>
      <c r="M49" s="83" t="n">
        <f aca="false">Model!AK371</f>
        <v>-3643960.52204908</v>
      </c>
      <c r="N49" s="83" t="n">
        <f aca="false">Model!AN371</f>
        <v>-3996856.52790908</v>
      </c>
      <c r="O49" s="83" t="n">
        <f aca="false">Model!AQ371</f>
        <v>-4164060.58777627</v>
      </c>
      <c r="P49" s="83" t="n">
        <f aca="false">Model!AT371</f>
        <v>-4469939.24514347</v>
      </c>
      <c r="Q49" s="83" t="n">
        <f aca="false">Model!AW371</f>
        <v>-4898375.08951068</v>
      </c>
      <c r="R49" s="83" t="n">
        <f aca="false">Model!AZ371</f>
        <v>-5544501.68487787</v>
      </c>
      <c r="S49" s="83" t="n">
        <f aca="false">Model!BC371</f>
        <v>-6019179.65340242</v>
      </c>
      <c r="T49" s="83" t="n">
        <f aca="false">Model!BF371</f>
        <v>-6497729.06092696</v>
      </c>
      <c r="U49" s="83" t="n">
        <f aca="false">Model!BI371</f>
        <v>-6980149.91295151</v>
      </c>
      <c r="V49" s="83" t="n">
        <f aca="false">Model!BL371</f>
        <v>-7716442.20397605</v>
      </c>
      <c r="W49" s="83" t="n">
        <f aca="false">Model!BO371</f>
        <v>-8093943.49175109</v>
      </c>
      <c r="X49" s="83" t="n">
        <f aca="false">Model!BR371</f>
        <v>-8650625.31602612</v>
      </c>
      <c r="Y49" s="83" t="n">
        <f aca="false">Model!BU371</f>
        <v>-9192795.49030116</v>
      </c>
      <c r="Z49" s="83" t="n">
        <f aca="false">Model!BX371</f>
        <v>-9734965.66457619</v>
      </c>
      <c r="AA49" s="83" t="n">
        <f aca="false">Model!CA371</f>
        <v>-10289034.4823367</v>
      </c>
      <c r="AB49" s="83" t="n">
        <f aca="false">Model!CD371</f>
        <v>-10834366.3000973</v>
      </c>
      <c r="AC49" s="83" t="n">
        <f aca="false">Model!CG371</f>
        <v>-11379698.1178578</v>
      </c>
      <c r="AD49" s="83" t="n">
        <f aca="false">Model!CJ371</f>
        <v>-11918421.9090119</v>
      </c>
      <c r="AE49" s="83" t="n">
        <f aca="false">Model!CM371</f>
        <v>-12078806.3431276</v>
      </c>
      <c r="AF49" s="83" t="n">
        <f aca="false">Model!CP371</f>
        <v>-12239190.7772434</v>
      </c>
      <c r="AG49" s="83" t="n">
        <f aca="false">Model!CS371</f>
        <v>-12399575.2113591</v>
      </c>
      <c r="AH49" s="83" t="n">
        <f aca="false">Model!CV371</f>
        <v>-12532893.7394309</v>
      </c>
      <c r="AI49" s="83" t="n">
        <f aca="false">Model!CY371</f>
        <v>-12476032.1470005</v>
      </c>
      <c r="AJ49" s="83" t="n">
        <f aca="false">Model!DB371</f>
        <v>-12401723.7056337</v>
      </c>
      <c r="AK49" s="83" t="n">
        <f aca="false">Model!DE371</f>
        <v>-12327415.2642669</v>
      </c>
    </row>
    <row r="50" customFormat="false" ht="15" hidden="false" customHeight="true" outlineLevel="0" collapsed="false">
      <c r="A50" s="82" t="s">
        <v>198</v>
      </c>
      <c r="B50" s="83" t="n">
        <f aca="false">Model!B375+Model!C375+Model!D375</f>
        <v>0</v>
      </c>
      <c r="C50" s="83" t="n">
        <f aca="false">Model!E375+Model!F375+Model!G375</f>
        <v>0</v>
      </c>
      <c r="D50" s="83" t="n">
        <f aca="false">Model!H375+Model!I375+Model!J375</f>
        <v>0</v>
      </c>
      <c r="E50" s="83" t="n">
        <f aca="false">Model!K375+Model!L375+Model!M375</f>
        <v>0</v>
      </c>
      <c r="F50" s="83" t="n">
        <f aca="false">Model!N375+Model!O375+Model!P375</f>
        <v>-206038.210732122</v>
      </c>
      <c r="G50" s="83" t="n">
        <f aca="false">Model!Q375+Model!R375+Model!S375</f>
        <v>0</v>
      </c>
      <c r="H50" s="83" t="n">
        <f aca="false">Model!T375+Model!U375+Model!V375</f>
        <v>0</v>
      </c>
      <c r="I50" s="83" t="n">
        <f aca="false">Model!W375+Model!X375+Model!Y375</f>
        <v>0</v>
      </c>
      <c r="J50" s="83" t="n">
        <f aca="false">Model!Z375+Model!AA375+Model!AB375</f>
        <v>-1592026.4280686</v>
      </c>
      <c r="K50" s="83" t="n">
        <f aca="false">Model!AC375+Model!AD375+Model!AE375</f>
        <v>0</v>
      </c>
      <c r="L50" s="83" t="n">
        <f aca="false">Model!AF375+Model!AG375+Model!AH375</f>
        <v>0</v>
      </c>
      <c r="M50" s="83" t="n">
        <f aca="false">Model!AI375+Model!AJ375+Model!AK375</f>
        <v>0</v>
      </c>
      <c r="N50" s="83" t="n">
        <f aca="false">Model!AL375+Model!AM375+Model!AN375</f>
        <v>-4031671.40501211</v>
      </c>
      <c r="O50" s="83" t="n">
        <f aca="false">Model!AO375+Model!AP375+Model!AQ375</f>
        <v>0</v>
      </c>
      <c r="P50" s="83" t="n">
        <f aca="false">Model!AR375+Model!AS375+Model!AT375</f>
        <v>0</v>
      </c>
      <c r="Q50" s="83" t="n">
        <f aca="false">Model!AU375+Model!AV375+Model!AW375</f>
        <v>0</v>
      </c>
      <c r="R50" s="83" t="n">
        <f aca="false">Model!AX375+Model!AY375+Model!AZ375</f>
        <v>-4522698.68572693</v>
      </c>
      <c r="S50" s="83" t="n">
        <f aca="false">Model!BA375+Model!BB375+Model!BC375</f>
        <v>0</v>
      </c>
      <c r="T50" s="83" t="n">
        <f aca="false">Model!BD375+Model!BE375+Model!BF375</f>
        <v>0</v>
      </c>
      <c r="U50" s="83" t="n">
        <f aca="false">Model!BG375+Model!BH375+Model!BI375</f>
        <v>0</v>
      </c>
      <c r="V50" s="83" t="n">
        <f aca="false">Model!BJ375+Model!BK375+Model!BL375</f>
        <v>-3591855.46015754</v>
      </c>
      <c r="W50" s="83" t="n">
        <f aca="false">Model!BM375+Model!BN375+Model!BO375</f>
        <v>0</v>
      </c>
      <c r="X50" s="83" t="n">
        <f aca="false">Model!BP375+Model!BQ375+Model!BR375</f>
        <v>0</v>
      </c>
      <c r="Y50" s="83" t="n">
        <f aca="false">Model!BS375+Model!BT375+Model!BU375</f>
        <v>0</v>
      </c>
      <c r="Z50" s="83" t="n">
        <f aca="false">Model!BV375+Model!BW375+Model!BX375</f>
        <v>-1326311.01606393</v>
      </c>
      <c r="AA50" s="83" t="n">
        <f aca="false">Model!BY375+Model!BZ375+Model!CA375</f>
        <v>0</v>
      </c>
      <c r="AB50" s="83" t="n">
        <f aca="false">Model!CB375+Model!CC375+Model!CD375</f>
        <v>0</v>
      </c>
      <c r="AC50" s="83" t="n">
        <f aca="false">Model!CE375+Model!CF375+Model!CG375</f>
        <v>0</v>
      </c>
      <c r="AD50" s="83" t="n">
        <f aca="false">Model!CH375+Model!CI375+Model!CJ375</f>
        <v>0</v>
      </c>
      <c r="AE50" s="83" t="n">
        <f aca="false">Model!CK375+Model!CL375+Model!CM375</f>
        <v>0</v>
      </c>
      <c r="AF50" s="83" t="n">
        <f aca="false">Model!CN375+Model!CO375+Model!CP375</f>
        <v>0</v>
      </c>
      <c r="AG50" s="83" t="n">
        <f aca="false">Model!CQ375+Model!CR375+Model!CS375</f>
        <v>0</v>
      </c>
      <c r="AH50" s="83" t="n">
        <f aca="false">Model!CT375+Model!CU375+Model!CV375</f>
        <v>0</v>
      </c>
      <c r="AI50" s="83" t="n">
        <f aca="false">Model!CW375+Model!CX375+Model!CY375</f>
        <v>0</v>
      </c>
      <c r="AJ50" s="83" t="n">
        <f aca="false">Model!CZ375+Model!DA375+Model!DB375</f>
        <v>0</v>
      </c>
      <c r="AK50" s="83" t="n">
        <f aca="false">Model!DC375+Model!DD375+Model!DE375</f>
        <v>0</v>
      </c>
    </row>
    <row r="51" customFormat="false" ht="15" hidden="false" customHeight="true" outlineLevel="0" collapsed="false">
      <c r="A51" s="27" t="s">
        <v>303</v>
      </c>
      <c r="B51" s="84" t="n">
        <f aca="false">Model!D376</f>
        <v>0</v>
      </c>
      <c r="C51" s="84" t="n">
        <f aca="false">Model!G376</f>
        <v>0</v>
      </c>
      <c r="D51" s="84" t="n">
        <f aca="false">Model!J376</f>
        <v>1626283.60557404</v>
      </c>
      <c r="E51" s="84" t="n">
        <f aca="false">Model!M376</f>
        <v>2229655.31378602</v>
      </c>
      <c r="F51" s="84" t="n">
        <f aca="false">Model!P376</f>
        <v>1035927.14377521</v>
      </c>
      <c r="G51" s="84" t="n">
        <f aca="false">Model!S376</f>
        <v>414446.457035525</v>
      </c>
      <c r="H51" s="84" t="n">
        <f aca="false">Model!V376</f>
        <v>696947.51922418</v>
      </c>
      <c r="I51" s="84" t="n">
        <f aca="false">Model!Y376</f>
        <v>1945413.80334272</v>
      </c>
      <c r="J51" s="84" t="n">
        <f aca="false">Model!AB376</f>
        <v>1866838.28720013</v>
      </c>
      <c r="K51" s="84" t="n">
        <f aca="false">Model!AE376</f>
        <v>4706393.07480037</v>
      </c>
      <c r="L51" s="84" t="n">
        <f aca="false">Model!AH376</f>
        <v>6334937.25271251</v>
      </c>
      <c r="M51" s="84" t="n">
        <f aca="false">Model!AK376</f>
        <v>8709942.20838621</v>
      </c>
      <c r="N51" s="84" t="n">
        <f aca="false">Model!AN376</f>
        <v>6800268.77348629</v>
      </c>
      <c r="O51" s="84" t="n">
        <f aca="false">Model!AQ376</f>
        <v>12437749.4305358</v>
      </c>
      <c r="P51" s="84" t="n">
        <f aca="false">Model!AT376</f>
        <v>15103270.0193166</v>
      </c>
      <c r="Q51" s="84" t="n">
        <f aca="false">Model!AW376</f>
        <v>17417531.5413281</v>
      </c>
      <c r="R51" s="84" t="n">
        <f aca="false">Model!AZ376</f>
        <v>14516762.9835359</v>
      </c>
      <c r="S51" s="84" t="n">
        <f aca="false">Model!BC376</f>
        <v>20684852.9561442</v>
      </c>
      <c r="T51" s="84" t="n">
        <f aca="false">Model!BF376</f>
        <v>22679874.0932177</v>
      </c>
      <c r="U51" s="84" t="n">
        <f aca="false">Model!BI376</f>
        <v>24897548.5069811</v>
      </c>
      <c r="V51" s="84" t="n">
        <f aca="false">Model!BL376</f>
        <v>21995783.8510796</v>
      </c>
      <c r="W51" s="84" t="n">
        <f aca="false">Model!BO376</f>
        <v>26676541.9334119</v>
      </c>
      <c r="X51" s="84" t="n">
        <f aca="false">Model!BR376</f>
        <v>27180379.9108116</v>
      </c>
      <c r="Y51" s="84" t="n">
        <f aca="false">Model!BU376</f>
        <v>27875770.5192603</v>
      </c>
      <c r="Z51" s="84" t="n">
        <f aca="false">Model!BX376</f>
        <v>26574656.3001794</v>
      </c>
      <c r="AA51" s="84" t="n">
        <f aca="false">Model!CA376</f>
        <v>27067915.1514822</v>
      </c>
      <c r="AB51" s="84" t="n">
        <f aca="false">Model!CD376</f>
        <v>25236698.362757</v>
      </c>
      <c r="AC51" s="84" t="n">
        <f aca="false">Model!CG376</f>
        <v>23405481.5740317</v>
      </c>
      <c r="AD51" s="84" t="n">
        <f aca="false">Model!CJ376</f>
        <v>21580872.8119129</v>
      </c>
      <c r="AE51" s="84" t="n">
        <f aca="false">Model!CM376</f>
        <v>20108885.7074131</v>
      </c>
      <c r="AF51" s="84" t="n">
        <f aca="false">Model!CP376</f>
        <v>18636898.6029134</v>
      </c>
      <c r="AG51" s="84" t="n">
        <f aca="false">Model!CS376</f>
        <v>17164911.4984136</v>
      </c>
      <c r="AH51" s="84" t="n">
        <f aca="false">Model!CV376</f>
        <v>15875330.7787921</v>
      </c>
      <c r="AI51" s="84" t="n">
        <f aca="false">Model!CY376</f>
        <v>14752804.9358419</v>
      </c>
      <c r="AJ51" s="84" t="n">
        <f aca="false">Model!DB376</f>
        <v>13647725.941828</v>
      </c>
      <c r="AK51" s="84" t="n">
        <f aca="false">Model!DE376</f>
        <v>12542646.9478141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CT115"/>
  <sheetViews>
    <sheetView showFormulas="false" showGridLines="true" showRowColHeaders="true" showZeros="true" rightToLeft="false" tabSelected="false" showOutlineSymbols="true" defaultGridColor="true" view="normal" topLeftCell="A36" colorId="64" zoomScale="85" zoomScaleNormal="85" zoomScalePageLayoutView="100" workbookViewId="0">
      <selection pane="topLeft" activeCell="J62" activeCellId="0" sqref="J62"/>
    </sheetView>
  </sheetViews>
  <sheetFormatPr defaultColWidth="8.7109375" defaultRowHeight="13.5" zeroHeight="false" outlineLevelRow="0" outlineLevelCol="0"/>
  <cols>
    <col collapsed="false" customWidth="true" hidden="false" outlineLevel="0" max="1" min="1" style="1" width="38"/>
    <col collapsed="false" customWidth="true" hidden="false" outlineLevel="0" max="99" min="2" style="1" width="13"/>
  </cols>
  <sheetData>
    <row r="1" customFormat="false" ht="17.25" hidden="false" customHeight="true" outlineLevel="0" collapsed="false">
      <c r="A1" s="94" t="s">
        <v>341</v>
      </c>
    </row>
    <row r="2" customFormat="false" ht="15" hidden="false" customHeight="true" outlineLevel="0" collapsed="false">
      <c r="A2" s="72" t="s">
        <v>342</v>
      </c>
      <c r="C2" s="95" t="n">
        <v>46023</v>
      </c>
      <c r="D2" s="95" t="n">
        <v>46054</v>
      </c>
      <c r="E2" s="95" t="n">
        <v>46082</v>
      </c>
      <c r="F2" s="95" t="n">
        <v>46113</v>
      </c>
      <c r="G2" s="95" t="n">
        <v>46143</v>
      </c>
      <c r="H2" s="95" t="n">
        <v>46174</v>
      </c>
      <c r="I2" s="95" t="n">
        <v>46204</v>
      </c>
      <c r="J2" s="95" t="n">
        <v>46235</v>
      </c>
      <c r="K2" s="95" t="n">
        <v>46266</v>
      </c>
      <c r="L2" s="95" t="n">
        <v>46296</v>
      </c>
      <c r="M2" s="95" t="n">
        <v>46327</v>
      </c>
      <c r="N2" s="95" t="n">
        <v>46357</v>
      </c>
      <c r="O2" s="95" t="n">
        <v>46388</v>
      </c>
      <c r="P2" s="95" t="n">
        <v>46419</v>
      </c>
      <c r="Q2" s="95" t="n">
        <v>46447</v>
      </c>
      <c r="R2" s="95" t="n">
        <v>46478</v>
      </c>
      <c r="S2" s="95" t="n">
        <v>46508</v>
      </c>
      <c r="T2" s="95" t="n">
        <v>46539</v>
      </c>
      <c r="U2" s="95" t="n">
        <v>46569</v>
      </c>
      <c r="V2" s="95" t="n">
        <v>46600</v>
      </c>
      <c r="W2" s="95" t="n">
        <v>46631</v>
      </c>
      <c r="X2" s="95" t="n">
        <v>46661</v>
      </c>
      <c r="Y2" s="95" t="n">
        <v>46692</v>
      </c>
      <c r="Z2" s="95" t="n">
        <v>46722</v>
      </c>
      <c r="AA2" s="95" t="n">
        <v>46753</v>
      </c>
      <c r="AB2" s="95" t="n">
        <v>46784</v>
      </c>
      <c r="AC2" s="95" t="n">
        <v>46813</v>
      </c>
      <c r="AD2" s="95" t="n">
        <v>46844</v>
      </c>
      <c r="AE2" s="95" t="n">
        <v>46874</v>
      </c>
      <c r="AF2" s="95" t="n">
        <v>46905</v>
      </c>
      <c r="AG2" s="95" t="n">
        <v>46935</v>
      </c>
      <c r="AH2" s="95" t="n">
        <v>46966</v>
      </c>
      <c r="AI2" s="95" t="n">
        <v>46997</v>
      </c>
      <c r="AJ2" s="95" t="n">
        <v>47027</v>
      </c>
      <c r="AK2" s="95" t="n">
        <v>47058</v>
      </c>
      <c r="AL2" s="95" t="n">
        <v>47088</v>
      </c>
      <c r="AM2" s="95" t="n">
        <v>47119</v>
      </c>
      <c r="AN2" s="95" t="n">
        <v>47150</v>
      </c>
      <c r="AO2" s="95" t="n">
        <v>47178</v>
      </c>
      <c r="AP2" s="95" t="n">
        <v>47209</v>
      </c>
      <c r="AQ2" s="95" t="n">
        <v>47239</v>
      </c>
      <c r="AR2" s="95" t="n">
        <v>47270</v>
      </c>
      <c r="AS2" s="95" t="n">
        <v>47300</v>
      </c>
      <c r="AT2" s="95" t="n">
        <v>47331</v>
      </c>
      <c r="AU2" s="95" t="n">
        <v>47362</v>
      </c>
      <c r="AV2" s="95" t="n">
        <v>47392</v>
      </c>
      <c r="AW2" s="95" t="n">
        <v>47423</v>
      </c>
      <c r="AX2" s="95" t="n">
        <v>47453</v>
      </c>
      <c r="AY2" s="95" t="n">
        <v>47484</v>
      </c>
      <c r="AZ2" s="95" t="n">
        <v>47515</v>
      </c>
      <c r="BA2" s="95" t="n">
        <v>47543</v>
      </c>
      <c r="BB2" s="95" t="n">
        <v>47574</v>
      </c>
      <c r="BC2" s="95" t="n">
        <v>47604</v>
      </c>
      <c r="BD2" s="95" t="n">
        <v>47635</v>
      </c>
      <c r="BE2" s="95" t="n">
        <v>47665</v>
      </c>
      <c r="BF2" s="95" t="n">
        <v>47696</v>
      </c>
      <c r="BG2" s="95" t="n">
        <v>47727</v>
      </c>
      <c r="BH2" s="95" t="n">
        <v>47757</v>
      </c>
      <c r="BI2" s="95" t="n">
        <v>47788</v>
      </c>
      <c r="BJ2" s="95" t="n">
        <v>47818</v>
      </c>
      <c r="BK2" s="95" t="n">
        <v>47849</v>
      </c>
      <c r="BL2" s="95" t="n">
        <v>47880</v>
      </c>
      <c r="BM2" s="95" t="n">
        <v>47908</v>
      </c>
      <c r="BN2" s="95" t="n">
        <v>47939</v>
      </c>
      <c r="BO2" s="95" t="n">
        <v>47969</v>
      </c>
      <c r="BP2" s="95" t="n">
        <v>48000</v>
      </c>
      <c r="BQ2" s="95" t="n">
        <v>48030</v>
      </c>
      <c r="BR2" s="95" t="n">
        <v>48061</v>
      </c>
      <c r="BS2" s="95" t="n">
        <v>48092</v>
      </c>
      <c r="BT2" s="95" t="n">
        <v>48122</v>
      </c>
      <c r="BU2" s="95" t="n">
        <v>48153</v>
      </c>
      <c r="BV2" s="95" t="n">
        <v>48183</v>
      </c>
      <c r="BW2" s="95" t="n">
        <v>48214</v>
      </c>
      <c r="BX2" s="95" t="n">
        <v>48245</v>
      </c>
      <c r="BY2" s="95" t="n">
        <v>48274</v>
      </c>
      <c r="BZ2" s="95" t="n">
        <v>48305</v>
      </c>
      <c r="CA2" s="95" t="n">
        <v>48335</v>
      </c>
      <c r="CB2" s="95" t="n">
        <v>48366</v>
      </c>
      <c r="CC2" s="95" t="n">
        <v>48396</v>
      </c>
      <c r="CD2" s="95" t="n">
        <v>48427</v>
      </c>
      <c r="CE2" s="95" t="n">
        <v>48458</v>
      </c>
      <c r="CF2" s="95" t="n">
        <v>48488</v>
      </c>
      <c r="CG2" s="95" t="n">
        <v>48519</v>
      </c>
      <c r="CH2" s="95" t="n">
        <v>48549</v>
      </c>
      <c r="CI2" s="95" t="n">
        <v>48580</v>
      </c>
      <c r="CJ2" s="95" t="n">
        <v>48611</v>
      </c>
      <c r="CK2" s="95" t="n">
        <v>48639</v>
      </c>
      <c r="CL2" s="95" t="n">
        <v>48670</v>
      </c>
      <c r="CM2" s="95" t="n">
        <v>48700</v>
      </c>
      <c r="CN2" s="95" t="n">
        <v>48731</v>
      </c>
      <c r="CO2" s="95" t="n">
        <v>48761</v>
      </c>
      <c r="CP2" s="95" t="n">
        <v>48792</v>
      </c>
      <c r="CQ2" s="95" t="n">
        <v>48823</v>
      </c>
      <c r="CR2" s="95" t="n">
        <v>48853</v>
      </c>
      <c r="CS2" s="95" t="n">
        <v>48884</v>
      </c>
      <c r="CT2" s="95" t="n">
        <v>48914</v>
      </c>
    </row>
    <row r="3" customFormat="false" ht="15" hidden="false" customHeight="true" outlineLevel="0" collapsed="false">
      <c r="A3" s="96" t="s">
        <v>1</v>
      </c>
      <c r="C3" s="96" t="n">
        <v>-2</v>
      </c>
      <c r="D3" s="96" t="n">
        <v>-1</v>
      </c>
      <c r="E3" s="96" t="n">
        <v>0</v>
      </c>
      <c r="F3" s="96" t="n">
        <v>1</v>
      </c>
      <c r="G3" s="96" t="n">
        <v>2</v>
      </c>
      <c r="H3" s="96" t="n">
        <v>3</v>
      </c>
      <c r="I3" s="96" t="n">
        <v>4</v>
      </c>
      <c r="J3" s="96" t="n">
        <v>5</v>
      </c>
      <c r="K3" s="96" t="n">
        <v>6</v>
      </c>
      <c r="L3" s="96" t="n">
        <v>7</v>
      </c>
      <c r="M3" s="96" t="n">
        <v>8</v>
      </c>
      <c r="N3" s="96" t="n">
        <v>9</v>
      </c>
      <c r="O3" s="96" t="n">
        <v>10</v>
      </c>
      <c r="P3" s="96" t="n">
        <v>11</v>
      </c>
      <c r="Q3" s="96" t="n">
        <v>12</v>
      </c>
      <c r="R3" s="96" t="n">
        <v>13</v>
      </c>
      <c r="S3" s="96" t="n">
        <v>14</v>
      </c>
      <c r="T3" s="96" t="n">
        <v>15</v>
      </c>
      <c r="U3" s="96" t="n">
        <v>16</v>
      </c>
      <c r="V3" s="96" t="n">
        <v>17</v>
      </c>
      <c r="W3" s="96" t="n">
        <v>18</v>
      </c>
      <c r="X3" s="96" t="n">
        <v>19</v>
      </c>
      <c r="Y3" s="96" t="n">
        <v>20</v>
      </c>
      <c r="Z3" s="96" t="n">
        <v>21</v>
      </c>
      <c r="AA3" s="96" t="n">
        <v>22</v>
      </c>
      <c r="AB3" s="96" t="n">
        <v>23</v>
      </c>
      <c r="AC3" s="96" t="n">
        <v>24</v>
      </c>
      <c r="AD3" s="96" t="n">
        <v>25</v>
      </c>
      <c r="AE3" s="96" t="n">
        <v>26</v>
      </c>
      <c r="AF3" s="96" t="n">
        <v>27</v>
      </c>
      <c r="AG3" s="96" t="n">
        <v>28</v>
      </c>
      <c r="AH3" s="96" t="n">
        <v>29</v>
      </c>
      <c r="AI3" s="96" t="n">
        <v>30</v>
      </c>
      <c r="AJ3" s="96" t="n">
        <v>31</v>
      </c>
      <c r="AK3" s="96" t="n">
        <v>32</v>
      </c>
      <c r="AL3" s="96" t="n">
        <v>33</v>
      </c>
      <c r="AM3" s="96" t="n">
        <v>34</v>
      </c>
      <c r="AN3" s="96" t="n">
        <v>35</v>
      </c>
      <c r="AO3" s="96" t="n">
        <v>36</v>
      </c>
      <c r="AP3" s="96" t="n">
        <v>37</v>
      </c>
      <c r="AQ3" s="96" t="n">
        <v>38</v>
      </c>
      <c r="AR3" s="96" t="n">
        <v>39</v>
      </c>
      <c r="AS3" s="96" t="n">
        <v>40</v>
      </c>
      <c r="AT3" s="96" t="n">
        <v>41</v>
      </c>
      <c r="AU3" s="96" t="n">
        <v>42</v>
      </c>
      <c r="AV3" s="96" t="n">
        <v>43</v>
      </c>
      <c r="AW3" s="96" t="n">
        <v>44</v>
      </c>
      <c r="AX3" s="96" t="n">
        <v>45</v>
      </c>
      <c r="AY3" s="96" t="n">
        <v>46</v>
      </c>
      <c r="AZ3" s="96" t="n">
        <v>47</v>
      </c>
      <c r="BA3" s="96" t="n">
        <v>48</v>
      </c>
      <c r="BB3" s="96" t="n">
        <v>49</v>
      </c>
      <c r="BC3" s="96" t="n">
        <v>50</v>
      </c>
      <c r="BD3" s="96" t="n">
        <v>51</v>
      </c>
      <c r="BE3" s="96" t="n">
        <v>52</v>
      </c>
      <c r="BF3" s="96" t="n">
        <v>53</v>
      </c>
      <c r="BG3" s="96" t="n">
        <v>54</v>
      </c>
      <c r="BH3" s="96" t="n">
        <v>55</v>
      </c>
      <c r="BI3" s="96" t="n">
        <v>56</v>
      </c>
      <c r="BJ3" s="96" t="n">
        <v>57</v>
      </c>
      <c r="BK3" s="96" t="n">
        <v>58</v>
      </c>
      <c r="BL3" s="96" t="n">
        <v>59</v>
      </c>
      <c r="BM3" s="96" t="n">
        <v>60</v>
      </c>
      <c r="BN3" s="96" t="n">
        <v>61</v>
      </c>
      <c r="BO3" s="96" t="n">
        <v>62</v>
      </c>
      <c r="BP3" s="96" t="n">
        <v>63</v>
      </c>
      <c r="BQ3" s="96" t="n">
        <v>64</v>
      </c>
      <c r="BR3" s="96" t="n">
        <v>65</v>
      </c>
      <c r="BS3" s="96" t="n">
        <v>66</v>
      </c>
      <c r="BT3" s="96" t="n">
        <v>67</v>
      </c>
      <c r="BU3" s="96" t="n">
        <v>68</v>
      </c>
      <c r="BV3" s="96" t="n">
        <v>69</v>
      </c>
      <c r="BW3" s="96" t="n">
        <v>70</v>
      </c>
      <c r="BX3" s="96" t="n">
        <v>71</v>
      </c>
      <c r="BY3" s="96" t="n">
        <v>72</v>
      </c>
      <c r="BZ3" s="96" t="n">
        <v>73</v>
      </c>
      <c r="CA3" s="96" t="n">
        <v>74</v>
      </c>
      <c r="CB3" s="96" t="n">
        <v>75</v>
      </c>
      <c r="CC3" s="96" t="n">
        <v>76</v>
      </c>
      <c r="CD3" s="96" t="n">
        <v>77</v>
      </c>
      <c r="CE3" s="96" t="n">
        <v>78</v>
      </c>
      <c r="CF3" s="96" t="n">
        <v>79</v>
      </c>
      <c r="CG3" s="96" t="n">
        <v>80</v>
      </c>
      <c r="CH3" s="96" t="n">
        <v>81</v>
      </c>
      <c r="CI3" s="96" t="n">
        <v>82</v>
      </c>
      <c r="CJ3" s="96" t="n">
        <v>83</v>
      </c>
      <c r="CK3" s="96" t="n">
        <v>84</v>
      </c>
      <c r="CL3" s="96" t="n">
        <v>85</v>
      </c>
      <c r="CM3" s="96" t="n">
        <v>86</v>
      </c>
      <c r="CN3" s="96" t="n">
        <v>87</v>
      </c>
      <c r="CO3" s="96" t="n">
        <v>88</v>
      </c>
      <c r="CP3" s="96" t="n">
        <v>89</v>
      </c>
      <c r="CQ3" s="96" t="n">
        <v>90</v>
      </c>
      <c r="CR3" s="96" t="n">
        <v>91</v>
      </c>
      <c r="CS3" s="96" t="n">
        <v>92</v>
      </c>
      <c r="CT3" s="96" t="n">
        <v>93</v>
      </c>
    </row>
    <row r="7" customFormat="false" ht="15" hidden="false" customHeight="true" outlineLevel="0" collapsed="false">
      <c r="A7" s="97"/>
      <c r="C7" s="98"/>
      <c r="D7" s="98"/>
      <c r="E7" s="98"/>
      <c r="F7" s="98"/>
      <c r="G7" s="98"/>
      <c r="H7" s="98"/>
      <c r="I7" s="98"/>
      <c r="J7" s="98"/>
      <c r="K7" s="98"/>
      <c r="L7" s="98"/>
      <c r="M7" s="98"/>
      <c r="N7" s="98"/>
      <c r="O7" s="98"/>
      <c r="P7" s="98"/>
      <c r="Q7" s="98"/>
      <c r="R7" s="98"/>
      <c r="S7" s="98"/>
      <c r="T7" s="98"/>
      <c r="U7" s="98"/>
      <c r="V7" s="98"/>
      <c r="W7" s="98"/>
      <c r="X7" s="98"/>
      <c r="Y7" s="98"/>
      <c r="Z7" s="98"/>
      <c r="AA7" s="98"/>
      <c r="AB7" s="98"/>
      <c r="AC7" s="98"/>
      <c r="AD7" s="98"/>
      <c r="AE7" s="98"/>
      <c r="AF7" s="98"/>
      <c r="AG7" s="98"/>
      <c r="AH7" s="98"/>
      <c r="AI7" s="98"/>
      <c r="AJ7" s="98"/>
      <c r="AK7" s="98"/>
      <c r="AL7" s="98"/>
      <c r="AM7" s="98"/>
      <c r="AN7" s="98"/>
      <c r="AO7" s="98"/>
      <c r="AP7" s="98"/>
      <c r="AQ7" s="98"/>
      <c r="AR7" s="98"/>
      <c r="AS7" s="98"/>
      <c r="AT7" s="98"/>
      <c r="AU7" s="98"/>
      <c r="AV7" s="98"/>
      <c r="AW7" s="98"/>
      <c r="AX7" s="98"/>
      <c r="AY7" s="98"/>
      <c r="AZ7" s="98"/>
      <c r="BA7" s="98"/>
      <c r="BB7" s="98"/>
      <c r="BC7" s="98"/>
      <c r="BD7" s="98"/>
      <c r="BE7" s="98"/>
      <c r="BF7" s="98"/>
      <c r="BG7" s="98"/>
      <c r="BH7" s="98"/>
      <c r="BI7" s="98"/>
      <c r="BJ7" s="98"/>
      <c r="BK7" s="98"/>
      <c r="BL7" s="98"/>
      <c r="BM7" s="98"/>
      <c r="BN7" s="98"/>
      <c r="BO7" s="98"/>
      <c r="BP7" s="98"/>
      <c r="BQ7" s="98"/>
      <c r="BR7" s="98"/>
      <c r="BS7" s="98"/>
      <c r="BT7" s="98"/>
      <c r="BU7" s="98"/>
      <c r="BV7" s="98"/>
      <c r="BW7" s="98"/>
      <c r="BX7" s="98"/>
      <c r="BY7" s="98"/>
      <c r="BZ7" s="98"/>
      <c r="CA7" s="98"/>
      <c r="CB7" s="98"/>
      <c r="CC7" s="98"/>
      <c r="CD7" s="98"/>
      <c r="CE7" s="98"/>
      <c r="CF7" s="98"/>
      <c r="CG7" s="98"/>
      <c r="CH7" s="98"/>
      <c r="CI7" s="98"/>
      <c r="CJ7" s="98"/>
      <c r="CK7" s="98"/>
      <c r="CL7" s="98"/>
      <c r="CM7" s="98"/>
      <c r="CN7" s="98"/>
      <c r="CO7" s="98"/>
      <c r="CP7" s="98"/>
      <c r="CQ7" s="98"/>
      <c r="CR7" s="98"/>
      <c r="CS7" s="98"/>
      <c r="CT7" s="98"/>
    </row>
    <row r="8" customFormat="false" ht="15" hidden="false" customHeight="true" outlineLevel="0" collapsed="false">
      <c r="A8" s="99" t="s">
        <v>4</v>
      </c>
      <c r="C8" s="98" t="n">
        <v>116367.35</v>
      </c>
      <c r="D8" s="98" t="n">
        <v>138804.22</v>
      </c>
      <c r="E8" s="98" t="n">
        <v>219366.88</v>
      </c>
      <c r="F8" s="98" t="n">
        <v>212079.14</v>
      </c>
      <c r="G8" s="98" t="n">
        <v>267726.14</v>
      </c>
      <c r="H8" s="98" t="n">
        <v>374773.89</v>
      </c>
      <c r="I8" s="98" t="n">
        <v>344954.34</v>
      </c>
      <c r="J8" s="98" t="n">
        <v>470819.03</v>
      </c>
      <c r="K8" s="98"/>
      <c r="L8" s="98"/>
      <c r="M8" s="98"/>
      <c r="N8" s="98"/>
      <c r="O8" s="98"/>
      <c r="P8" s="98"/>
      <c r="Q8" s="98"/>
      <c r="R8" s="98"/>
      <c r="S8" s="98"/>
      <c r="T8" s="98"/>
      <c r="U8" s="98"/>
      <c r="V8" s="98"/>
      <c r="W8" s="98"/>
      <c r="X8" s="98"/>
      <c r="Y8" s="98"/>
      <c r="Z8" s="98"/>
      <c r="AA8" s="98"/>
      <c r="AB8" s="98"/>
      <c r="AC8" s="98"/>
      <c r="AD8" s="98"/>
      <c r="AE8" s="98"/>
      <c r="AF8" s="98"/>
      <c r="AG8" s="98"/>
      <c r="AH8" s="98"/>
      <c r="AI8" s="98"/>
      <c r="AJ8" s="98"/>
      <c r="AK8" s="98"/>
      <c r="AL8" s="98"/>
      <c r="AM8" s="98"/>
      <c r="AN8" s="98"/>
      <c r="AO8" s="98"/>
      <c r="AP8" s="98"/>
      <c r="AQ8" s="98"/>
      <c r="AR8" s="98"/>
      <c r="AS8" s="98"/>
      <c r="AT8" s="98"/>
      <c r="AU8" s="98"/>
      <c r="AV8" s="98"/>
      <c r="AW8" s="98"/>
      <c r="AX8" s="98"/>
      <c r="AY8" s="98"/>
      <c r="AZ8" s="98"/>
      <c r="BA8" s="98"/>
      <c r="BB8" s="98"/>
      <c r="BC8" s="98"/>
      <c r="BD8" s="98"/>
      <c r="BE8" s="98"/>
      <c r="BF8" s="98"/>
      <c r="BG8" s="98"/>
      <c r="BH8" s="98"/>
      <c r="BI8" s="98"/>
      <c r="BJ8" s="98"/>
      <c r="BK8" s="98"/>
      <c r="BL8" s="98"/>
      <c r="BM8" s="98"/>
      <c r="BN8" s="98"/>
      <c r="BO8" s="98"/>
      <c r="BP8" s="98"/>
      <c r="BQ8" s="98"/>
      <c r="BR8" s="98"/>
      <c r="BS8" s="98"/>
      <c r="BT8" s="98"/>
      <c r="BU8" s="98"/>
      <c r="BV8" s="98"/>
      <c r="BW8" s="98"/>
      <c r="BX8" s="98"/>
      <c r="BY8" s="98"/>
      <c r="BZ8" s="98"/>
      <c r="CA8" s="98"/>
      <c r="CB8" s="98"/>
      <c r="CC8" s="98"/>
      <c r="CD8" s="98"/>
      <c r="CE8" s="98"/>
      <c r="CF8" s="98"/>
      <c r="CG8" s="98"/>
      <c r="CH8" s="98"/>
      <c r="CI8" s="98"/>
      <c r="CJ8" s="98"/>
      <c r="CK8" s="98"/>
      <c r="CL8" s="98"/>
      <c r="CM8" s="98"/>
      <c r="CN8" s="98"/>
      <c r="CO8" s="98"/>
      <c r="CP8" s="98"/>
      <c r="CQ8" s="98"/>
      <c r="CR8" s="98"/>
      <c r="CS8" s="98"/>
      <c r="CT8" s="98"/>
    </row>
    <row r="9" customFormat="false" ht="15" hidden="false" customHeight="true" outlineLevel="0" collapsed="false">
      <c r="A9" s="97" t="s">
        <v>343</v>
      </c>
      <c r="C9" s="98" t="n">
        <v>0</v>
      </c>
      <c r="D9" s="98" t="n">
        <v>0</v>
      </c>
      <c r="E9" s="98" t="n">
        <v>0</v>
      </c>
      <c r="F9" s="98" t="n">
        <v>0</v>
      </c>
      <c r="G9" s="98" t="n">
        <v>0</v>
      </c>
      <c r="H9" s="98" t="n">
        <v>0</v>
      </c>
      <c r="I9" s="98" t="n">
        <v>0</v>
      </c>
      <c r="J9" s="98" t="n">
        <v>0</v>
      </c>
      <c r="K9" s="98"/>
      <c r="L9" s="98"/>
      <c r="M9" s="98"/>
      <c r="N9" s="98"/>
      <c r="O9" s="98"/>
      <c r="P9" s="98"/>
      <c r="Q9" s="98"/>
      <c r="R9" s="98"/>
      <c r="S9" s="98"/>
      <c r="T9" s="98"/>
      <c r="U9" s="98"/>
      <c r="V9" s="98"/>
      <c r="W9" s="98"/>
      <c r="X9" s="98"/>
      <c r="Y9" s="98"/>
      <c r="Z9" s="98"/>
      <c r="AA9" s="98"/>
      <c r="AB9" s="98"/>
      <c r="AC9" s="98"/>
      <c r="AD9" s="98"/>
      <c r="AE9" s="98"/>
      <c r="AF9" s="98"/>
      <c r="AG9" s="98"/>
      <c r="AH9" s="98"/>
      <c r="AI9" s="98"/>
      <c r="AJ9" s="98"/>
      <c r="AK9" s="98"/>
      <c r="AL9" s="98"/>
      <c r="AM9" s="98"/>
      <c r="AN9" s="98"/>
      <c r="AO9" s="98"/>
      <c r="AP9" s="98"/>
      <c r="AQ9" s="98"/>
      <c r="AR9" s="98"/>
      <c r="AS9" s="98"/>
      <c r="AT9" s="98"/>
      <c r="AU9" s="98"/>
      <c r="AV9" s="98"/>
      <c r="AW9" s="98"/>
      <c r="AX9" s="98"/>
      <c r="AY9" s="98"/>
      <c r="AZ9" s="98"/>
      <c r="BA9" s="98"/>
      <c r="BB9" s="98"/>
      <c r="BC9" s="98"/>
      <c r="BD9" s="98"/>
      <c r="BE9" s="98"/>
      <c r="BF9" s="98"/>
      <c r="BG9" s="98"/>
      <c r="BH9" s="98"/>
      <c r="BI9" s="98"/>
      <c r="BJ9" s="98"/>
      <c r="BK9" s="98"/>
      <c r="BL9" s="98"/>
      <c r="BM9" s="98"/>
      <c r="BN9" s="98"/>
      <c r="BO9" s="98"/>
      <c r="BP9" s="98"/>
      <c r="BQ9" s="98"/>
      <c r="BR9" s="98"/>
      <c r="BS9" s="98"/>
      <c r="BT9" s="98"/>
      <c r="BU9" s="98"/>
      <c r="BV9" s="98"/>
      <c r="BW9" s="98"/>
      <c r="BX9" s="98"/>
      <c r="BY9" s="98"/>
      <c r="BZ9" s="98"/>
      <c r="CA9" s="98"/>
      <c r="CB9" s="98"/>
      <c r="CC9" s="98"/>
      <c r="CD9" s="98"/>
      <c r="CE9" s="98"/>
      <c r="CF9" s="98"/>
      <c r="CG9" s="98"/>
      <c r="CH9" s="98"/>
      <c r="CI9" s="98"/>
      <c r="CJ9" s="98"/>
      <c r="CK9" s="98"/>
      <c r="CL9" s="98"/>
      <c r="CM9" s="98"/>
      <c r="CN9" s="98"/>
      <c r="CO9" s="98"/>
      <c r="CP9" s="98"/>
      <c r="CQ9" s="98"/>
      <c r="CR9" s="98"/>
      <c r="CS9" s="98"/>
      <c r="CT9" s="98"/>
    </row>
    <row r="10" customFormat="false" ht="15" hidden="false" customHeight="true" outlineLevel="0" collapsed="false">
      <c r="A10" s="97" t="s">
        <v>5</v>
      </c>
      <c r="C10" s="98" t="n">
        <v>95370.25</v>
      </c>
      <c r="D10" s="98" t="n">
        <v>173282.89</v>
      </c>
      <c r="E10" s="98" t="n">
        <v>50438.85</v>
      </c>
      <c r="F10" s="98" t="n">
        <v>167518.85</v>
      </c>
      <c r="G10" s="98" t="n">
        <v>209057.26</v>
      </c>
      <c r="H10" s="98" t="n">
        <v>292966.36</v>
      </c>
      <c r="I10" s="98" t="n">
        <v>271584.24</v>
      </c>
      <c r="J10" s="98" t="n">
        <v>289785.36</v>
      </c>
      <c r="K10" s="98"/>
      <c r="L10" s="98"/>
      <c r="M10" s="98"/>
      <c r="N10" s="98"/>
      <c r="O10" s="98"/>
      <c r="P10" s="98"/>
      <c r="Q10" s="98"/>
      <c r="R10" s="98"/>
      <c r="S10" s="98"/>
      <c r="T10" s="98"/>
      <c r="U10" s="98"/>
      <c r="V10" s="98"/>
      <c r="W10" s="98"/>
      <c r="X10" s="98"/>
      <c r="Y10" s="98"/>
      <c r="Z10" s="98"/>
      <c r="AA10" s="98"/>
      <c r="AB10" s="98"/>
      <c r="AC10" s="98"/>
      <c r="AD10" s="98"/>
      <c r="AE10" s="98"/>
      <c r="AF10" s="98"/>
      <c r="AG10" s="98"/>
      <c r="AH10" s="98"/>
      <c r="AI10" s="98"/>
      <c r="AJ10" s="98"/>
      <c r="AK10" s="98"/>
      <c r="AL10" s="98"/>
      <c r="AM10" s="98"/>
      <c r="AN10" s="98"/>
      <c r="AO10" s="98"/>
      <c r="AP10" s="98"/>
      <c r="AQ10" s="98"/>
      <c r="AR10" s="98"/>
      <c r="AS10" s="98"/>
      <c r="AT10" s="98"/>
      <c r="AU10" s="98"/>
      <c r="AV10" s="98"/>
      <c r="AW10" s="98"/>
      <c r="AX10" s="98"/>
      <c r="AY10" s="98"/>
      <c r="AZ10" s="98"/>
      <c r="BA10" s="98"/>
      <c r="BB10" s="98"/>
      <c r="BC10" s="98"/>
      <c r="BD10" s="98"/>
      <c r="BE10" s="98"/>
      <c r="BF10" s="98"/>
      <c r="BG10" s="98"/>
      <c r="BH10" s="98"/>
      <c r="BI10" s="98"/>
      <c r="BJ10" s="98"/>
      <c r="BK10" s="98"/>
      <c r="BL10" s="98"/>
      <c r="BM10" s="98"/>
      <c r="BN10" s="98"/>
      <c r="BO10" s="98"/>
      <c r="BP10" s="98"/>
      <c r="BQ10" s="98"/>
      <c r="BR10" s="98"/>
      <c r="BS10" s="98"/>
      <c r="BT10" s="98"/>
      <c r="BU10" s="98"/>
      <c r="BV10" s="98"/>
      <c r="BW10" s="98"/>
      <c r="BX10" s="98"/>
      <c r="BY10" s="98"/>
      <c r="BZ10" s="98"/>
      <c r="CA10" s="98"/>
      <c r="CB10" s="98"/>
      <c r="CC10" s="98"/>
      <c r="CD10" s="98"/>
      <c r="CE10" s="98"/>
      <c r="CF10" s="98"/>
      <c r="CG10" s="98"/>
      <c r="CH10" s="98"/>
      <c r="CI10" s="98"/>
      <c r="CJ10" s="98"/>
      <c r="CK10" s="98"/>
      <c r="CL10" s="98"/>
      <c r="CM10" s="98"/>
      <c r="CN10" s="98"/>
      <c r="CO10" s="98"/>
      <c r="CP10" s="98"/>
      <c r="CQ10" s="98"/>
      <c r="CR10" s="98"/>
      <c r="CS10" s="98"/>
      <c r="CT10" s="98"/>
    </row>
    <row r="11" customFormat="false" ht="15" hidden="false" customHeight="true" outlineLevel="0" collapsed="false">
      <c r="A11" s="97" t="s">
        <v>344</v>
      </c>
      <c r="C11" s="98" t="n">
        <v>0</v>
      </c>
      <c r="D11" s="98" t="n">
        <v>0</v>
      </c>
      <c r="E11" s="98" t="n">
        <v>0</v>
      </c>
      <c r="F11" s="98" t="n">
        <v>0</v>
      </c>
      <c r="G11" s="98" t="n">
        <v>0</v>
      </c>
      <c r="H11" s="98" t="n">
        <v>0</v>
      </c>
      <c r="I11" s="98" t="n">
        <v>0</v>
      </c>
      <c r="J11" s="98" t="n">
        <v>0</v>
      </c>
      <c r="K11" s="98"/>
      <c r="L11" s="98"/>
      <c r="M11" s="98"/>
      <c r="N11" s="98"/>
      <c r="O11" s="98"/>
      <c r="P11" s="98"/>
      <c r="Q11" s="98"/>
      <c r="R11" s="98"/>
      <c r="S11" s="98"/>
      <c r="T11" s="98"/>
      <c r="U11" s="98"/>
      <c r="V11" s="98"/>
      <c r="W11" s="98"/>
      <c r="X11" s="98"/>
      <c r="Y11" s="98"/>
      <c r="Z11" s="98"/>
      <c r="AA11" s="98"/>
      <c r="AB11" s="98"/>
      <c r="AC11" s="98"/>
      <c r="AD11" s="98"/>
      <c r="AE11" s="98"/>
      <c r="AF11" s="98"/>
      <c r="AG11" s="98"/>
      <c r="AH11" s="98"/>
      <c r="AI11" s="98"/>
      <c r="AJ11" s="98"/>
      <c r="AK11" s="98"/>
      <c r="AL11" s="98"/>
      <c r="AM11" s="98"/>
      <c r="AN11" s="98"/>
      <c r="AO11" s="98"/>
      <c r="AP11" s="98"/>
      <c r="AQ11" s="98"/>
      <c r="AR11" s="98"/>
      <c r="AS11" s="98"/>
      <c r="AT11" s="98"/>
      <c r="AU11" s="98"/>
      <c r="AV11" s="98"/>
      <c r="AW11" s="98"/>
      <c r="AX11" s="98"/>
      <c r="AY11" s="98"/>
      <c r="AZ11" s="98"/>
      <c r="BA11" s="98"/>
      <c r="BB11" s="98"/>
      <c r="BC11" s="98"/>
      <c r="BD11" s="98"/>
      <c r="BE11" s="98"/>
      <c r="BF11" s="98"/>
      <c r="BG11" s="98"/>
      <c r="BH11" s="98"/>
      <c r="BI11" s="98"/>
      <c r="BJ11" s="98"/>
      <c r="BK11" s="98"/>
      <c r="BL11" s="98"/>
      <c r="BM11" s="98"/>
      <c r="BN11" s="98"/>
      <c r="BO11" s="98"/>
      <c r="BP11" s="98"/>
      <c r="BQ11" s="98"/>
      <c r="BR11" s="98"/>
      <c r="BS11" s="98"/>
      <c r="BT11" s="98"/>
      <c r="BU11" s="98"/>
      <c r="BV11" s="98"/>
      <c r="BW11" s="98"/>
      <c r="BX11" s="98"/>
      <c r="BY11" s="98"/>
      <c r="BZ11" s="98"/>
      <c r="CA11" s="98"/>
      <c r="CB11" s="98"/>
      <c r="CC11" s="98"/>
      <c r="CD11" s="98"/>
      <c r="CE11" s="98"/>
      <c r="CF11" s="98"/>
      <c r="CG11" s="98"/>
      <c r="CH11" s="98"/>
      <c r="CI11" s="98"/>
      <c r="CJ11" s="98"/>
      <c r="CK11" s="98"/>
      <c r="CL11" s="98"/>
      <c r="CM11" s="98"/>
      <c r="CN11" s="98"/>
      <c r="CO11" s="98"/>
      <c r="CP11" s="98"/>
      <c r="CQ11" s="98"/>
      <c r="CR11" s="98"/>
      <c r="CS11" s="98"/>
      <c r="CT11" s="98"/>
    </row>
    <row r="12" customFormat="false" ht="15" hidden="false" customHeight="true" outlineLevel="0" collapsed="false">
      <c r="A12" s="99" t="s">
        <v>6</v>
      </c>
      <c r="C12" s="98" t="n">
        <v>1242053.19</v>
      </c>
      <c r="D12" s="98" t="n">
        <v>2710434.48</v>
      </c>
      <c r="E12" s="98" t="n">
        <v>2402410.43</v>
      </c>
      <c r="F12" s="98" t="n">
        <v>3312759.91</v>
      </c>
      <c r="G12" s="98" t="n">
        <v>3939278.23</v>
      </c>
      <c r="H12" s="98" t="n">
        <v>5584522.73</v>
      </c>
      <c r="I12" s="98" t="n">
        <v>6409057.07</v>
      </c>
      <c r="J12" s="98" t="n">
        <v>5304128.59</v>
      </c>
      <c r="K12" s="98"/>
      <c r="L12" s="98"/>
      <c r="M12" s="98"/>
      <c r="N12" s="98"/>
      <c r="O12" s="98"/>
      <c r="P12" s="98"/>
      <c r="Q12" s="98"/>
      <c r="R12" s="98"/>
      <c r="S12" s="98"/>
      <c r="T12" s="98"/>
      <c r="U12" s="98"/>
      <c r="V12" s="98"/>
      <c r="W12" s="98"/>
      <c r="X12" s="98"/>
      <c r="Y12" s="98"/>
      <c r="Z12" s="98"/>
      <c r="AA12" s="98"/>
      <c r="AB12" s="98"/>
      <c r="AC12" s="98"/>
      <c r="AD12" s="98"/>
      <c r="AE12" s="98"/>
      <c r="AF12" s="98"/>
      <c r="AG12" s="98"/>
      <c r="AH12" s="98"/>
      <c r="AI12" s="98"/>
      <c r="AJ12" s="98"/>
      <c r="AK12" s="98"/>
      <c r="AL12" s="98"/>
      <c r="AM12" s="98"/>
      <c r="AN12" s="98"/>
      <c r="AO12" s="98"/>
      <c r="AP12" s="98"/>
      <c r="AQ12" s="98"/>
      <c r="AR12" s="98"/>
      <c r="AS12" s="98"/>
      <c r="AT12" s="98"/>
      <c r="AU12" s="98"/>
      <c r="AV12" s="98"/>
      <c r="AW12" s="98"/>
      <c r="AX12" s="98"/>
      <c r="AY12" s="98"/>
      <c r="AZ12" s="98"/>
      <c r="BA12" s="98"/>
      <c r="BB12" s="98"/>
      <c r="BC12" s="98"/>
      <c r="BD12" s="98"/>
      <c r="BE12" s="98"/>
      <c r="BF12" s="98"/>
      <c r="BG12" s="98"/>
      <c r="BH12" s="98"/>
      <c r="BI12" s="98"/>
      <c r="BJ12" s="98"/>
      <c r="BK12" s="98"/>
      <c r="BL12" s="98"/>
      <c r="BM12" s="98"/>
      <c r="BN12" s="98"/>
      <c r="BO12" s="98"/>
      <c r="BP12" s="98"/>
      <c r="BQ12" s="98"/>
      <c r="BR12" s="98"/>
      <c r="BS12" s="98"/>
      <c r="BT12" s="98"/>
      <c r="BU12" s="98"/>
      <c r="BV12" s="98"/>
      <c r="BW12" s="98"/>
      <c r="BX12" s="98"/>
      <c r="BY12" s="98"/>
      <c r="BZ12" s="98"/>
      <c r="CA12" s="98"/>
      <c r="CB12" s="98"/>
      <c r="CC12" s="98"/>
      <c r="CD12" s="98"/>
      <c r="CE12" s="98"/>
      <c r="CF12" s="98"/>
      <c r="CG12" s="98"/>
      <c r="CH12" s="98"/>
      <c r="CI12" s="98"/>
      <c r="CJ12" s="98"/>
      <c r="CK12" s="98"/>
      <c r="CL12" s="98"/>
      <c r="CM12" s="98"/>
      <c r="CN12" s="98"/>
      <c r="CO12" s="98"/>
      <c r="CP12" s="98"/>
      <c r="CQ12" s="98"/>
      <c r="CR12" s="98"/>
      <c r="CS12" s="98"/>
      <c r="CT12" s="98"/>
    </row>
    <row r="13" customFormat="false" ht="15" hidden="false" customHeight="true" outlineLevel="0" collapsed="false">
      <c r="A13" s="94" t="s">
        <v>52</v>
      </c>
      <c r="C13" s="100" t="n">
        <f aca="false">C8+C10+C12</f>
        <v>1453790.79</v>
      </c>
      <c r="D13" s="100" t="n">
        <f aca="false">D8+D10+D12</f>
        <v>3022521.59</v>
      </c>
      <c r="E13" s="100" t="n">
        <f aca="false">E8+E10+E12</f>
        <v>2672216.16</v>
      </c>
      <c r="F13" s="100" t="n">
        <f aca="false">F8+F10+F12</f>
        <v>3692357.9</v>
      </c>
      <c r="G13" s="100" t="n">
        <f aca="false">G8+G10+G12</f>
        <v>4416061.63</v>
      </c>
      <c r="H13" s="100" t="n">
        <f aca="false">H8+H10+H12</f>
        <v>6252262.98</v>
      </c>
      <c r="I13" s="100" t="n">
        <f aca="false">I8+I10+I12</f>
        <v>7025595.65</v>
      </c>
      <c r="J13" s="100" t="n">
        <f aca="false">J8+J10+J12</f>
        <v>6064732.98</v>
      </c>
      <c r="K13" s="100" t="n">
        <f aca="false">K8+K10+K12</f>
        <v>0</v>
      </c>
      <c r="L13" s="100" t="n">
        <f aca="false">L8+L10+L12</f>
        <v>0</v>
      </c>
      <c r="M13" s="100" t="n">
        <f aca="false">M8+M10+M12</f>
        <v>0</v>
      </c>
      <c r="N13" s="100" t="n">
        <f aca="false">N8+N10+N12</f>
        <v>0</v>
      </c>
      <c r="O13" s="100" t="n">
        <f aca="false">O8+O10+O12</f>
        <v>0</v>
      </c>
      <c r="P13" s="100" t="n">
        <f aca="false">P8+P10+P12</f>
        <v>0</v>
      </c>
      <c r="Q13" s="100" t="n">
        <f aca="false">Q8+Q10+Q12</f>
        <v>0</v>
      </c>
      <c r="R13" s="100" t="n">
        <f aca="false">R8+R10+R12</f>
        <v>0</v>
      </c>
      <c r="S13" s="100" t="n">
        <f aca="false">S8+S10+S12</f>
        <v>0</v>
      </c>
      <c r="T13" s="100" t="n">
        <f aca="false">T8+T10+T12</f>
        <v>0</v>
      </c>
      <c r="U13" s="100" t="n">
        <f aca="false">U8+U10+U12</f>
        <v>0</v>
      </c>
      <c r="V13" s="100" t="n">
        <f aca="false">V8+V10+V12</f>
        <v>0</v>
      </c>
      <c r="W13" s="100" t="n">
        <f aca="false">W8+W10+W12</f>
        <v>0</v>
      </c>
      <c r="X13" s="100" t="n">
        <f aca="false">X8+X10+X12</f>
        <v>0</v>
      </c>
      <c r="Y13" s="100" t="n">
        <f aca="false">Y8+Y10+Y12</f>
        <v>0</v>
      </c>
      <c r="Z13" s="100" t="n">
        <f aca="false">Z8+Z10+Z12</f>
        <v>0</v>
      </c>
      <c r="AA13" s="100" t="n">
        <f aca="false">AA8+AA10+AA12</f>
        <v>0</v>
      </c>
      <c r="AB13" s="100" t="n">
        <f aca="false">AB8+AB10+AB12</f>
        <v>0</v>
      </c>
      <c r="AC13" s="100" t="n">
        <f aca="false">AC8+AC10+AC12</f>
        <v>0</v>
      </c>
      <c r="AD13" s="100" t="n">
        <f aca="false">AD8+AD10+AD12</f>
        <v>0</v>
      </c>
      <c r="AE13" s="100" t="n">
        <f aca="false">AE8+AE10+AE12</f>
        <v>0</v>
      </c>
      <c r="AF13" s="100" t="n">
        <f aca="false">AF8+AF10+AF12</f>
        <v>0</v>
      </c>
      <c r="AG13" s="100" t="n">
        <f aca="false">AG8+AG10+AG12</f>
        <v>0</v>
      </c>
      <c r="AH13" s="100" t="n">
        <f aca="false">AH8+AH10+AH12</f>
        <v>0</v>
      </c>
      <c r="AI13" s="100" t="n">
        <f aca="false">AI8+AI10+AI12</f>
        <v>0</v>
      </c>
      <c r="AJ13" s="100" t="n">
        <f aca="false">AJ8+AJ10+AJ12</f>
        <v>0</v>
      </c>
      <c r="AK13" s="100" t="n">
        <f aca="false">AK8+AK10+AK12</f>
        <v>0</v>
      </c>
      <c r="AL13" s="100" t="n">
        <f aca="false">AL8+AL10+AL12</f>
        <v>0</v>
      </c>
      <c r="AM13" s="100" t="n">
        <f aca="false">AM8+AM10+AM12</f>
        <v>0</v>
      </c>
      <c r="AN13" s="100" t="n">
        <f aca="false">AN8+AN10+AN12</f>
        <v>0</v>
      </c>
      <c r="AO13" s="100" t="n">
        <f aca="false">AO8+AO10+AO12</f>
        <v>0</v>
      </c>
      <c r="AP13" s="100" t="n">
        <f aca="false">AP8+AP10+AP12</f>
        <v>0</v>
      </c>
      <c r="AQ13" s="100" t="n">
        <f aca="false">AQ8+AQ10+AQ12</f>
        <v>0</v>
      </c>
      <c r="AR13" s="100" t="n">
        <f aca="false">AR8+AR10+AR12</f>
        <v>0</v>
      </c>
      <c r="AS13" s="100" t="n">
        <f aca="false">AS8+AS10+AS12</f>
        <v>0</v>
      </c>
      <c r="AT13" s="100" t="n">
        <f aca="false">AT8+AT10+AT12</f>
        <v>0</v>
      </c>
      <c r="AU13" s="100" t="n">
        <f aca="false">AU8+AU10+AU12</f>
        <v>0</v>
      </c>
      <c r="AV13" s="100" t="n">
        <f aca="false">AV8+AV10+AV12</f>
        <v>0</v>
      </c>
      <c r="AW13" s="100" t="n">
        <f aca="false">AW8+AW10+AW12</f>
        <v>0</v>
      </c>
      <c r="AX13" s="100" t="n">
        <f aca="false">AX8+AX10+AX12</f>
        <v>0</v>
      </c>
      <c r="AY13" s="100" t="n">
        <f aca="false">AY8+AY10+AY12</f>
        <v>0</v>
      </c>
      <c r="AZ13" s="100" t="n">
        <f aca="false">AZ8+AZ10+AZ12</f>
        <v>0</v>
      </c>
      <c r="BA13" s="100" t="n">
        <f aca="false">BA8+BA10+BA12</f>
        <v>0</v>
      </c>
      <c r="BB13" s="100" t="n">
        <f aca="false">BB8+BB10+BB12</f>
        <v>0</v>
      </c>
      <c r="BC13" s="100" t="n">
        <f aca="false">BC8+BC10+BC12</f>
        <v>0</v>
      </c>
      <c r="BD13" s="100" t="n">
        <f aca="false">BD8+BD10+BD12</f>
        <v>0</v>
      </c>
      <c r="BE13" s="100" t="n">
        <f aca="false">BE8+BE10+BE12</f>
        <v>0</v>
      </c>
      <c r="BF13" s="100" t="n">
        <f aca="false">BF8+BF10+BF12</f>
        <v>0</v>
      </c>
      <c r="BG13" s="100" t="n">
        <f aca="false">BG8+BG10+BG12</f>
        <v>0</v>
      </c>
      <c r="BH13" s="100" t="n">
        <f aca="false">BH8+BH10+BH12</f>
        <v>0</v>
      </c>
      <c r="BI13" s="100" t="n">
        <f aca="false">BI8+BI10+BI12</f>
        <v>0</v>
      </c>
      <c r="BJ13" s="100" t="n">
        <f aca="false">BJ8+BJ10+BJ12</f>
        <v>0</v>
      </c>
      <c r="BK13" s="100" t="n">
        <f aca="false">BK8+BK10+BK12</f>
        <v>0</v>
      </c>
      <c r="BL13" s="100" t="n">
        <f aca="false">BL8+BL10+BL12</f>
        <v>0</v>
      </c>
      <c r="BM13" s="100" t="n">
        <f aca="false">BM8+BM10+BM12</f>
        <v>0</v>
      </c>
      <c r="BN13" s="100" t="n">
        <f aca="false">BN8+BN10+BN12</f>
        <v>0</v>
      </c>
      <c r="BO13" s="100" t="n">
        <f aca="false">BO8+BO10+BO12</f>
        <v>0</v>
      </c>
      <c r="BP13" s="100" t="n">
        <f aca="false">BP8+BP10+BP12</f>
        <v>0</v>
      </c>
      <c r="BQ13" s="100" t="n">
        <f aca="false">BQ8+BQ10+BQ12</f>
        <v>0</v>
      </c>
      <c r="BR13" s="100" t="n">
        <f aca="false">BR8+BR10+BR12</f>
        <v>0</v>
      </c>
      <c r="BS13" s="100" t="n">
        <f aca="false">BS8+BS10+BS12</f>
        <v>0</v>
      </c>
      <c r="BT13" s="100" t="n">
        <f aca="false">BT8+BT10+BT12</f>
        <v>0</v>
      </c>
      <c r="BU13" s="100" t="n">
        <f aca="false">BU8+BU10+BU12</f>
        <v>0</v>
      </c>
      <c r="BV13" s="100" t="n">
        <f aca="false">BV8+BV10+BV12</f>
        <v>0</v>
      </c>
      <c r="BW13" s="100" t="n">
        <f aca="false">BW8+BW10+BW12</f>
        <v>0</v>
      </c>
      <c r="BX13" s="100" t="n">
        <f aca="false">BX8+BX10+BX12</f>
        <v>0</v>
      </c>
      <c r="BY13" s="100" t="n">
        <f aca="false">BY8+BY10+BY12</f>
        <v>0</v>
      </c>
      <c r="BZ13" s="100" t="n">
        <f aca="false">BZ8+BZ10+BZ12</f>
        <v>0</v>
      </c>
      <c r="CA13" s="100" t="n">
        <f aca="false">CA8+CA10+CA12</f>
        <v>0</v>
      </c>
      <c r="CB13" s="100" t="n">
        <f aca="false">CB8+CB10+CB12</f>
        <v>0</v>
      </c>
      <c r="CC13" s="100" t="n">
        <f aca="false">CC8+CC10+CC12</f>
        <v>0</v>
      </c>
      <c r="CD13" s="100" t="n">
        <f aca="false">CD8+CD10+CD12</f>
        <v>0</v>
      </c>
      <c r="CE13" s="100" t="n">
        <f aca="false">CE8+CE10+CE12</f>
        <v>0</v>
      </c>
      <c r="CF13" s="100" t="n">
        <f aca="false">CF8+CF10+CF12</f>
        <v>0</v>
      </c>
      <c r="CG13" s="100" t="n">
        <f aca="false">CG8+CG10+CG12</f>
        <v>0</v>
      </c>
      <c r="CH13" s="100" t="n">
        <f aca="false">CH8+CH10+CH12</f>
        <v>0</v>
      </c>
      <c r="CI13" s="100" t="n">
        <f aca="false">CI8+CI10+CI12</f>
        <v>0</v>
      </c>
      <c r="CJ13" s="100" t="n">
        <f aca="false">CJ8+CJ10+CJ12</f>
        <v>0</v>
      </c>
      <c r="CK13" s="100" t="n">
        <f aca="false">CK8+CK10+CK12</f>
        <v>0</v>
      </c>
      <c r="CL13" s="100" t="n">
        <f aca="false">CL8+CL10+CL12</f>
        <v>0</v>
      </c>
      <c r="CM13" s="100" t="n">
        <f aca="false">CM8+CM10+CM12</f>
        <v>0</v>
      </c>
      <c r="CN13" s="100" t="n">
        <f aca="false">CN8+CN10+CN12</f>
        <v>0</v>
      </c>
      <c r="CO13" s="100" t="n">
        <f aca="false">CO8+CO10+CO12</f>
        <v>0</v>
      </c>
      <c r="CP13" s="100" t="n">
        <f aca="false">CP8+CP10+CP12</f>
        <v>0</v>
      </c>
      <c r="CQ13" s="100" t="n">
        <f aca="false">CQ8+CQ10+CQ12</f>
        <v>0</v>
      </c>
      <c r="CR13" s="100" t="n">
        <f aca="false">CR8+CR10+CR12</f>
        <v>0</v>
      </c>
      <c r="CS13" s="100" t="n">
        <f aca="false">CS8+CS10+CS12</f>
        <v>0</v>
      </c>
      <c r="CT13" s="100" t="n">
        <f aca="false">CT8+CT10+CT12</f>
        <v>0</v>
      </c>
    </row>
    <row r="14" customFormat="false" ht="15" hidden="false" customHeight="true" outlineLevel="0" collapsed="false">
      <c r="A14" s="101" t="s">
        <v>345</v>
      </c>
      <c r="C14" s="98" t="n">
        <v>-1235033.93</v>
      </c>
      <c r="D14" s="98" t="n">
        <v>-3073522.36</v>
      </c>
      <c r="E14" s="98" t="n">
        <v>-2078031.64</v>
      </c>
      <c r="F14" s="98" t="n">
        <v>-3244999.65</v>
      </c>
      <c r="G14" s="98" t="n">
        <v>-3950524.93</v>
      </c>
      <c r="H14" s="98" t="n">
        <v>-5610911.85</v>
      </c>
      <c r="I14" s="98" t="n">
        <v>-5258946.14</v>
      </c>
      <c r="J14" s="98" t="n">
        <v>-5503997.59</v>
      </c>
      <c r="K14" s="98"/>
      <c r="L14" s="98"/>
      <c r="M14" s="98"/>
      <c r="N14" s="98"/>
      <c r="O14" s="98"/>
      <c r="P14" s="98"/>
      <c r="Q14" s="98"/>
      <c r="R14" s="98"/>
      <c r="S14" s="98"/>
      <c r="T14" s="98"/>
      <c r="U14" s="98"/>
      <c r="V14" s="98"/>
      <c r="W14" s="98"/>
      <c r="X14" s="98"/>
      <c r="Y14" s="98"/>
      <c r="Z14" s="98"/>
      <c r="AA14" s="98"/>
      <c r="AB14" s="98"/>
      <c r="AC14" s="98"/>
      <c r="AD14" s="98"/>
      <c r="AE14" s="98"/>
      <c r="AF14" s="98"/>
      <c r="AG14" s="98"/>
      <c r="AH14" s="98"/>
      <c r="AI14" s="98"/>
      <c r="AJ14" s="98"/>
      <c r="AK14" s="98"/>
      <c r="AL14" s="98"/>
      <c r="AM14" s="98"/>
      <c r="AN14" s="98"/>
      <c r="AO14" s="98"/>
      <c r="AP14" s="98"/>
      <c r="AQ14" s="98"/>
      <c r="AR14" s="98"/>
      <c r="AS14" s="98"/>
      <c r="AT14" s="98"/>
      <c r="AU14" s="98"/>
      <c r="AV14" s="98"/>
      <c r="AW14" s="98"/>
      <c r="AX14" s="98"/>
      <c r="AY14" s="98"/>
      <c r="AZ14" s="98"/>
      <c r="BA14" s="98"/>
      <c r="BB14" s="98"/>
      <c r="BC14" s="98"/>
      <c r="BD14" s="98"/>
      <c r="BE14" s="98"/>
      <c r="BF14" s="98"/>
      <c r="BG14" s="98"/>
      <c r="BH14" s="98"/>
      <c r="BI14" s="98"/>
      <c r="BJ14" s="98"/>
      <c r="BK14" s="98"/>
      <c r="BL14" s="98"/>
      <c r="BM14" s="98"/>
      <c r="BN14" s="98"/>
      <c r="BO14" s="98"/>
      <c r="BP14" s="98"/>
      <c r="BQ14" s="98"/>
      <c r="BR14" s="98"/>
      <c r="BS14" s="98"/>
      <c r="BT14" s="98"/>
      <c r="BU14" s="98"/>
      <c r="BV14" s="98"/>
      <c r="BW14" s="98"/>
      <c r="BX14" s="98"/>
      <c r="BY14" s="98"/>
      <c r="BZ14" s="98"/>
      <c r="CA14" s="98"/>
      <c r="CB14" s="98"/>
      <c r="CC14" s="98"/>
      <c r="CD14" s="98"/>
      <c r="CE14" s="98"/>
      <c r="CF14" s="98"/>
      <c r="CG14" s="98"/>
      <c r="CH14" s="98"/>
      <c r="CI14" s="98"/>
      <c r="CJ14" s="98"/>
      <c r="CK14" s="98"/>
      <c r="CL14" s="98"/>
      <c r="CM14" s="98"/>
      <c r="CN14" s="98"/>
      <c r="CO14" s="98"/>
      <c r="CP14" s="98"/>
      <c r="CQ14" s="98"/>
      <c r="CR14" s="98"/>
      <c r="CS14" s="98"/>
      <c r="CT14" s="98"/>
    </row>
    <row r="15" customFormat="false" ht="15" hidden="false" customHeight="true" outlineLevel="0" collapsed="false">
      <c r="A15" s="97" t="s">
        <v>346</v>
      </c>
      <c r="C15" s="98" t="n">
        <v>0</v>
      </c>
      <c r="D15" s="98" t="n">
        <v>0</v>
      </c>
      <c r="E15" s="98" t="n">
        <v>0</v>
      </c>
      <c r="F15" s="98" t="n">
        <v>0</v>
      </c>
      <c r="G15" s="98" t="n">
        <v>0</v>
      </c>
      <c r="H15" s="98" t="n">
        <v>0</v>
      </c>
      <c r="I15" s="98" t="n">
        <v>0</v>
      </c>
      <c r="J15" s="98" t="n">
        <v>0</v>
      </c>
      <c r="K15" s="98"/>
      <c r="L15" s="98"/>
      <c r="M15" s="98"/>
      <c r="N15" s="98"/>
      <c r="O15" s="98"/>
      <c r="P15" s="98"/>
      <c r="Q15" s="98"/>
      <c r="R15" s="98"/>
      <c r="S15" s="98"/>
      <c r="T15" s="98"/>
      <c r="U15" s="98"/>
      <c r="V15" s="98"/>
      <c r="W15" s="98"/>
      <c r="X15" s="98"/>
      <c r="Y15" s="98"/>
      <c r="Z15" s="98"/>
      <c r="AA15" s="98"/>
      <c r="AB15" s="98"/>
      <c r="AC15" s="98"/>
      <c r="AD15" s="98"/>
      <c r="AE15" s="98"/>
      <c r="AF15" s="98"/>
      <c r="AG15" s="98"/>
      <c r="AH15" s="98"/>
      <c r="AI15" s="98"/>
      <c r="AJ15" s="98"/>
      <c r="AK15" s="98"/>
      <c r="AL15" s="98"/>
      <c r="AM15" s="98"/>
      <c r="AN15" s="98"/>
      <c r="AO15" s="98"/>
      <c r="AP15" s="98"/>
      <c r="AQ15" s="98"/>
      <c r="AR15" s="98"/>
      <c r="AS15" s="98"/>
      <c r="AT15" s="98"/>
      <c r="AU15" s="98"/>
      <c r="AV15" s="98"/>
      <c r="AW15" s="98"/>
      <c r="AX15" s="98"/>
      <c r="AY15" s="98"/>
      <c r="AZ15" s="98"/>
      <c r="BA15" s="98"/>
      <c r="BB15" s="98"/>
      <c r="BC15" s="98"/>
      <c r="BD15" s="98"/>
      <c r="BE15" s="98"/>
      <c r="BF15" s="98"/>
      <c r="BG15" s="98"/>
      <c r="BH15" s="98"/>
      <c r="BI15" s="98"/>
      <c r="BJ15" s="98"/>
      <c r="BK15" s="98"/>
      <c r="BL15" s="98"/>
      <c r="BM15" s="98"/>
      <c r="BN15" s="98"/>
      <c r="BO15" s="98"/>
      <c r="BP15" s="98"/>
      <c r="BQ15" s="98"/>
      <c r="BR15" s="98"/>
      <c r="BS15" s="98"/>
      <c r="BT15" s="98"/>
      <c r="BU15" s="98"/>
      <c r="BV15" s="98"/>
      <c r="BW15" s="98"/>
      <c r="BX15" s="98"/>
      <c r="BY15" s="98"/>
      <c r="BZ15" s="98"/>
      <c r="CA15" s="98"/>
      <c r="CB15" s="98"/>
      <c r="CC15" s="98"/>
      <c r="CD15" s="98"/>
      <c r="CE15" s="98"/>
      <c r="CF15" s="98"/>
      <c r="CG15" s="98"/>
      <c r="CH15" s="98"/>
      <c r="CI15" s="98"/>
      <c r="CJ15" s="98"/>
      <c r="CK15" s="98"/>
      <c r="CL15" s="98"/>
      <c r="CM15" s="98"/>
      <c r="CN15" s="98"/>
      <c r="CO15" s="98"/>
      <c r="CP15" s="98"/>
      <c r="CQ15" s="98"/>
      <c r="CR15" s="98"/>
      <c r="CS15" s="98"/>
      <c r="CT15" s="98"/>
    </row>
    <row r="16" customFormat="false" ht="15" hidden="false" customHeight="true" outlineLevel="0" collapsed="false">
      <c r="A16" s="97" t="s">
        <v>347</v>
      </c>
      <c r="C16" s="98" t="n">
        <v>0</v>
      </c>
      <c r="D16" s="98" t="n">
        <v>0</v>
      </c>
      <c r="E16" s="98" t="n">
        <v>0</v>
      </c>
      <c r="F16" s="98" t="n">
        <v>0</v>
      </c>
      <c r="G16" s="98" t="n">
        <v>0</v>
      </c>
      <c r="H16" s="98" t="n">
        <v>0</v>
      </c>
      <c r="I16" s="98" t="n">
        <v>0</v>
      </c>
      <c r="J16" s="98" t="n">
        <v>0</v>
      </c>
      <c r="K16" s="98"/>
      <c r="L16" s="98"/>
      <c r="M16" s="98"/>
      <c r="N16" s="98"/>
      <c r="O16" s="98"/>
      <c r="P16" s="98"/>
      <c r="Q16" s="98"/>
      <c r="R16" s="98"/>
      <c r="S16" s="98"/>
      <c r="T16" s="98"/>
      <c r="U16" s="98"/>
      <c r="V16" s="98"/>
      <c r="W16" s="98"/>
      <c r="X16" s="98"/>
      <c r="Y16" s="98"/>
      <c r="Z16" s="98"/>
      <c r="AA16" s="98"/>
      <c r="AB16" s="98"/>
      <c r="AC16" s="98"/>
      <c r="AD16" s="98"/>
      <c r="AE16" s="98"/>
      <c r="AF16" s="98"/>
      <c r="AG16" s="98"/>
      <c r="AH16" s="98"/>
      <c r="AI16" s="98"/>
      <c r="AJ16" s="98"/>
      <c r="AK16" s="98"/>
      <c r="AL16" s="98"/>
      <c r="AM16" s="98"/>
      <c r="AN16" s="98"/>
      <c r="AO16" s="98"/>
      <c r="AP16" s="98"/>
      <c r="AQ16" s="98"/>
      <c r="AR16" s="98"/>
      <c r="AS16" s="98"/>
      <c r="AT16" s="98"/>
      <c r="AU16" s="98"/>
      <c r="AV16" s="98"/>
      <c r="AW16" s="98"/>
      <c r="AX16" s="98"/>
      <c r="AY16" s="98"/>
      <c r="AZ16" s="98"/>
      <c r="BA16" s="98"/>
      <c r="BB16" s="98"/>
      <c r="BC16" s="98"/>
      <c r="BD16" s="98"/>
      <c r="BE16" s="98"/>
      <c r="BF16" s="98"/>
      <c r="BG16" s="98"/>
      <c r="BH16" s="98"/>
      <c r="BI16" s="98"/>
      <c r="BJ16" s="98"/>
      <c r="BK16" s="98"/>
      <c r="BL16" s="98"/>
      <c r="BM16" s="98"/>
      <c r="BN16" s="98"/>
      <c r="BO16" s="98"/>
      <c r="BP16" s="98"/>
      <c r="BQ16" s="98"/>
      <c r="BR16" s="98"/>
      <c r="BS16" s="98"/>
      <c r="BT16" s="98"/>
      <c r="BU16" s="98"/>
      <c r="BV16" s="98"/>
      <c r="BW16" s="98"/>
      <c r="BX16" s="98"/>
      <c r="BY16" s="98"/>
      <c r="BZ16" s="98"/>
      <c r="CA16" s="98"/>
      <c r="CB16" s="98"/>
      <c r="CC16" s="98"/>
      <c r="CD16" s="98"/>
      <c r="CE16" s="98"/>
      <c r="CF16" s="98"/>
      <c r="CG16" s="98"/>
      <c r="CH16" s="98"/>
      <c r="CI16" s="98"/>
      <c r="CJ16" s="98"/>
      <c r="CK16" s="98"/>
      <c r="CL16" s="98"/>
      <c r="CM16" s="98"/>
      <c r="CN16" s="98"/>
      <c r="CO16" s="98"/>
      <c r="CP16" s="98"/>
      <c r="CQ16" s="98"/>
      <c r="CR16" s="98"/>
      <c r="CS16" s="98"/>
      <c r="CT16" s="98"/>
    </row>
    <row r="17" customFormat="false" ht="15" hidden="false" customHeight="true" outlineLevel="0" collapsed="false">
      <c r="A17" s="94" t="s">
        <v>61</v>
      </c>
      <c r="C17" s="100" t="n">
        <f aca="false">C8+C9+C10+C11+C12+C14+C15+C16</f>
        <v>218756.86</v>
      </c>
      <c r="D17" s="100" t="n">
        <f aca="false">D8+D9+D10+D11+D12+D14+D15+D16</f>
        <v>-51000.77</v>
      </c>
      <c r="E17" s="100" t="n">
        <f aca="false">E8+E9+E10+E11+E12+E14+E15+E16</f>
        <v>594184.52</v>
      </c>
      <c r="F17" s="100" t="n">
        <f aca="false">F8+F9+F10+F11+F12+F14+F15+F16</f>
        <v>447358.25</v>
      </c>
      <c r="G17" s="100" t="n">
        <f aca="false">G8+G9+G10+G11+G12+G14+G15+G16</f>
        <v>465536.7</v>
      </c>
      <c r="H17" s="100" t="n">
        <f aca="false">H8+H9+H10+H11+H12+H14+H15+H16</f>
        <v>641351.130000001</v>
      </c>
      <c r="I17" s="100" t="n">
        <f aca="false">I8+I9+I10+I11+I12+I14+I15+I16</f>
        <v>1766649.51</v>
      </c>
      <c r="J17" s="100" t="n">
        <f aca="false">J8+J9+J10+J11+J12+J14+J15+J16</f>
        <v>560735.39</v>
      </c>
      <c r="K17" s="100" t="n">
        <f aca="false">K8+K9+K10+K11+K12+K14+K15+K16</f>
        <v>0</v>
      </c>
      <c r="L17" s="100" t="n">
        <f aca="false">L8+L9+L10+L11+L12+L14+L15+L16</f>
        <v>0</v>
      </c>
      <c r="M17" s="100" t="n">
        <f aca="false">M8+M9+M10+M11+M12+M14+M15+M16</f>
        <v>0</v>
      </c>
      <c r="N17" s="100" t="n">
        <f aca="false">N8+N9+N10+N11+N12+N14+N15+N16</f>
        <v>0</v>
      </c>
      <c r="O17" s="100" t="n">
        <f aca="false">O8+O9+O10+O11+O12+O14+O15+O16</f>
        <v>0</v>
      </c>
      <c r="P17" s="100" t="n">
        <f aca="false">P8+P9+P10+P11+P12+P14+P15+P16</f>
        <v>0</v>
      </c>
      <c r="Q17" s="100" t="n">
        <f aca="false">Q8+Q9+Q10+Q11+Q12+Q14+Q15+Q16</f>
        <v>0</v>
      </c>
      <c r="R17" s="100" t="n">
        <f aca="false">R8+R9+R10+R11+R12+R14+R15+R16</f>
        <v>0</v>
      </c>
      <c r="S17" s="100" t="n">
        <f aca="false">S8+S9+S10+S11+S12+S14+S15+S16</f>
        <v>0</v>
      </c>
      <c r="T17" s="100" t="n">
        <f aca="false">T8+T9+T10+T11+T12+T14+T15+T16</f>
        <v>0</v>
      </c>
      <c r="U17" s="100" t="n">
        <f aca="false">U8+U9+U10+U11+U12+U14+U15+U16</f>
        <v>0</v>
      </c>
      <c r="V17" s="100" t="n">
        <f aca="false">V8+V9+V10+V11+V12+V14+V15+V16</f>
        <v>0</v>
      </c>
      <c r="W17" s="100" t="n">
        <f aca="false">W8+W9+W10+W11+W12+W14+W15+W16</f>
        <v>0</v>
      </c>
      <c r="X17" s="100" t="n">
        <f aca="false">X8+X9+X10+X11+X12+X14+X15+X16</f>
        <v>0</v>
      </c>
      <c r="Y17" s="100" t="n">
        <f aca="false">Y8+Y9+Y10+Y11+Y12+Y14+Y15+Y16</f>
        <v>0</v>
      </c>
      <c r="Z17" s="100" t="n">
        <f aca="false">Z8+Z9+Z10+Z11+Z12+Z14+Z15+Z16</f>
        <v>0</v>
      </c>
      <c r="AA17" s="100" t="n">
        <f aca="false">AA8+AA9+AA10+AA11+AA12+AA14+AA15+AA16</f>
        <v>0</v>
      </c>
      <c r="AB17" s="100" t="n">
        <f aca="false">AB8+AB9+AB10+AB11+AB12+AB14+AB15+AB16</f>
        <v>0</v>
      </c>
      <c r="AC17" s="100" t="n">
        <f aca="false">AC8+AC9+AC10+AC11+AC12+AC14+AC15+AC16</f>
        <v>0</v>
      </c>
      <c r="AD17" s="100" t="n">
        <f aca="false">AD8+AD9+AD10+AD11+AD12+AD14+AD15+AD16</f>
        <v>0</v>
      </c>
      <c r="AE17" s="100" t="n">
        <f aca="false">AE8+AE9+AE10+AE11+AE12+AE14+AE15+AE16</f>
        <v>0</v>
      </c>
      <c r="AF17" s="100" t="n">
        <f aca="false">AF8+AF9+AF10+AF11+AF12+AF14+AF15+AF16</f>
        <v>0</v>
      </c>
      <c r="AG17" s="100" t="n">
        <f aca="false">AG8+AG9+AG10+AG11+AG12+AG14+AG15+AG16</f>
        <v>0</v>
      </c>
      <c r="AH17" s="100" t="n">
        <f aca="false">AH8+AH9+AH10+AH11+AH12+AH14+AH15+AH16</f>
        <v>0</v>
      </c>
      <c r="AI17" s="100" t="n">
        <f aca="false">AI8+AI9+AI10+AI11+AI12+AI14+AI15+AI16</f>
        <v>0</v>
      </c>
      <c r="AJ17" s="100" t="n">
        <f aca="false">AJ8+AJ9+AJ10+AJ11+AJ12+AJ14+AJ15+AJ16</f>
        <v>0</v>
      </c>
      <c r="AK17" s="100" t="n">
        <f aca="false">AK8+AK9+AK10+AK11+AK12+AK14+AK15+AK16</f>
        <v>0</v>
      </c>
      <c r="AL17" s="100" t="n">
        <f aca="false">AL8+AL9+AL10+AL11+AL12+AL14+AL15+AL16</f>
        <v>0</v>
      </c>
      <c r="AM17" s="100" t="n">
        <f aca="false">AM8+AM9+AM10+AM11+AM12+AM14+AM15+AM16</f>
        <v>0</v>
      </c>
      <c r="AN17" s="100" t="n">
        <f aca="false">AN8+AN9+AN10+AN11+AN12+AN14+AN15+AN16</f>
        <v>0</v>
      </c>
      <c r="AO17" s="100" t="n">
        <f aca="false">AO8+AO9+AO10+AO11+AO12+AO14+AO15+AO16</f>
        <v>0</v>
      </c>
      <c r="AP17" s="100" t="n">
        <f aca="false">AP8+AP9+AP10+AP11+AP12+AP14+AP15+AP16</f>
        <v>0</v>
      </c>
      <c r="AQ17" s="100" t="n">
        <f aca="false">AQ8+AQ9+AQ10+AQ11+AQ12+AQ14+AQ15+AQ16</f>
        <v>0</v>
      </c>
      <c r="AR17" s="100" t="n">
        <f aca="false">AR8+AR9+AR10+AR11+AR12+AR14+AR15+AR16</f>
        <v>0</v>
      </c>
      <c r="AS17" s="100" t="n">
        <f aca="false">AS8+AS9+AS10+AS11+AS12+AS14+AS15+AS16</f>
        <v>0</v>
      </c>
      <c r="AT17" s="100" t="n">
        <f aca="false">AT8+AT9+AT10+AT11+AT12+AT14+AT15+AT16</f>
        <v>0</v>
      </c>
      <c r="AU17" s="100" t="n">
        <f aca="false">AU8+AU9+AU10+AU11+AU12+AU14+AU15+AU16</f>
        <v>0</v>
      </c>
      <c r="AV17" s="100" t="n">
        <f aca="false">AV8+AV9+AV10+AV11+AV12+AV14+AV15+AV16</f>
        <v>0</v>
      </c>
      <c r="AW17" s="100" t="n">
        <f aca="false">AW8+AW9+AW10+AW11+AW12+AW14+AW15+AW16</f>
        <v>0</v>
      </c>
      <c r="AX17" s="100" t="n">
        <f aca="false">AX8+AX9+AX10+AX11+AX12+AX14+AX15+AX16</f>
        <v>0</v>
      </c>
      <c r="AY17" s="100" t="n">
        <f aca="false">AY8+AY9+AY10+AY11+AY12+AY14+AY15+AY16</f>
        <v>0</v>
      </c>
      <c r="AZ17" s="100" t="n">
        <f aca="false">AZ8+AZ9+AZ10+AZ11+AZ12+AZ14+AZ15+AZ16</f>
        <v>0</v>
      </c>
      <c r="BA17" s="100" t="n">
        <f aca="false">BA8+BA9+BA10+BA11+BA12+BA14+BA15+BA16</f>
        <v>0</v>
      </c>
      <c r="BB17" s="100" t="n">
        <f aca="false">BB8+BB9+BB10+BB11+BB12+BB14+BB15+BB16</f>
        <v>0</v>
      </c>
      <c r="BC17" s="100" t="n">
        <f aca="false">BC8+BC9+BC10+BC11+BC12+BC14+BC15+BC16</f>
        <v>0</v>
      </c>
      <c r="BD17" s="100" t="n">
        <f aca="false">BD8+BD9+BD10+BD11+BD12+BD14+BD15+BD16</f>
        <v>0</v>
      </c>
      <c r="BE17" s="100" t="n">
        <f aca="false">BE8+BE9+BE10+BE11+BE12+BE14+BE15+BE16</f>
        <v>0</v>
      </c>
      <c r="BF17" s="100" t="n">
        <f aca="false">BF8+BF9+BF10+BF11+BF12+BF14+BF15+BF16</f>
        <v>0</v>
      </c>
      <c r="BG17" s="100" t="n">
        <f aca="false">BG8+BG9+BG10+BG11+BG12+BG14+BG15+BG16</f>
        <v>0</v>
      </c>
      <c r="BH17" s="100" t="n">
        <f aca="false">BH8+BH9+BH10+BH11+BH12+BH14+BH15+BH16</f>
        <v>0</v>
      </c>
      <c r="BI17" s="100" t="n">
        <f aca="false">BI8+BI9+BI10+BI11+BI12+BI14+BI15+BI16</f>
        <v>0</v>
      </c>
      <c r="BJ17" s="100" t="n">
        <f aca="false">BJ8+BJ9+BJ10+BJ11+BJ12+BJ14+BJ15+BJ16</f>
        <v>0</v>
      </c>
      <c r="BK17" s="100" t="n">
        <f aca="false">BK8+BK9+BK10+BK11+BK12+BK14+BK15+BK16</f>
        <v>0</v>
      </c>
      <c r="BL17" s="100" t="n">
        <f aca="false">BL8+BL9+BL10+BL11+BL12+BL14+BL15+BL16</f>
        <v>0</v>
      </c>
      <c r="BM17" s="100" t="n">
        <f aca="false">BM8+BM9+BM10+BM11+BM12+BM14+BM15+BM16</f>
        <v>0</v>
      </c>
      <c r="BN17" s="100" t="n">
        <f aca="false">BN8+BN9+BN10+BN11+BN12+BN14+BN15+BN16</f>
        <v>0</v>
      </c>
      <c r="BO17" s="100" t="n">
        <f aca="false">BO8+BO9+BO10+BO11+BO12+BO14+BO15+BO16</f>
        <v>0</v>
      </c>
      <c r="BP17" s="100" t="n">
        <f aca="false">BP8+BP9+BP10+BP11+BP12+BP14+BP15+BP16</f>
        <v>0</v>
      </c>
      <c r="BQ17" s="100" t="n">
        <f aca="false">BQ8+BQ9+BQ10+BQ11+BQ12+BQ14+BQ15+BQ16</f>
        <v>0</v>
      </c>
      <c r="BR17" s="100" t="n">
        <f aca="false">BR8+BR9+BR10+BR11+BR12+BR14+BR15+BR16</f>
        <v>0</v>
      </c>
      <c r="BS17" s="100" t="n">
        <f aca="false">BS8+BS9+BS10+BS11+BS12+BS14+BS15+BS16</f>
        <v>0</v>
      </c>
      <c r="BT17" s="100" t="n">
        <f aca="false">BT8+BT9+BT10+BT11+BT12+BT14+BT15+BT16</f>
        <v>0</v>
      </c>
      <c r="BU17" s="100" t="n">
        <f aca="false">BU8+BU9+BU10+BU11+BU12+BU14+BU15+BU16</f>
        <v>0</v>
      </c>
      <c r="BV17" s="100" t="n">
        <f aca="false">BV8+BV9+BV10+BV11+BV12+BV14+BV15+BV16</f>
        <v>0</v>
      </c>
      <c r="BW17" s="100" t="n">
        <f aca="false">BW8+BW9+BW10+BW11+BW12+BW14+BW15+BW16</f>
        <v>0</v>
      </c>
      <c r="BX17" s="100" t="n">
        <f aca="false">BX8+BX9+BX10+BX11+BX12+BX14+BX15+BX16</f>
        <v>0</v>
      </c>
      <c r="BY17" s="100" t="n">
        <f aca="false">BY8+BY9+BY10+BY11+BY12+BY14+BY15+BY16</f>
        <v>0</v>
      </c>
      <c r="BZ17" s="100" t="n">
        <f aca="false">BZ8+BZ9+BZ10+BZ11+BZ12+BZ14+BZ15+BZ16</f>
        <v>0</v>
      </c>
      <c r="CA17" s="100" t="n">
        <f aca="false">CA8+CA9+CA10+CA11+CA12+CA14+CA15+CA16</f>
        <v>0</v>
      </c>
      <c r="CB17" s="100" t="n">
        <f aca="false">CB8+CB9+CB10+CB11+CB12+CB14+CB15+CB16</f>
        <v>0</v>
      </c>
      <c r="CC17" s="100" t="n">
        <f aca="false">CC8+CC9+CC10+CC11+CC12+CC14+CC15+CC16</f>
        <v>0</v>
      </c>
      <c r="CD17" s="100" t="n">
        <f aca="false">CD8+CD9+CD10+CD11+CD12+CD14+CD15+CD16</f>
        <v>0</v>
      </c>
      <c r="CE17" s="100" t="n">
        <f aca="false">CE8+CE9+CE10+CE11+CE12+CE14+CE15+CE16</f>
        <v>0</v>
      </c>
      <c r="CF17" s="100" t="n">
        <f aca="false">CF8+CF9+CF10+CF11+CF12+CF14+CF15+CF16</f>
        <v>0</v>
      </c>
      <c r="CG17" s="100" t="n">
        <f aca="false">CG8+CG9+CG10+CG11+CG12+CG14+CG15+CG16</f>
        <v>0</v>
      </c>
      <c r="CH17" s="100" t="n">
        <f aca="false">CH8+CH9+CH10+CH11+CH12+CH14+CH15+CH16</f>
        <v>0</v>
      </c>
      <c r="CI17" s="100" t="n">
        <f aca="false">CI8+CI9+CI10+CI11+CI12+CI14+CI15+CI16</f>
        <v>0</v>
      </c>
      <c r="CJ17" s="100" t="n">
        <f aca="false">CJ8+CJ9+CJ10+CJ11+CJ12+CJ14+CJ15+CJ16</f>
        <v>0</v>
      </c>
      <c r="CK17" s="100" t="n">
        <f aca="false">CK8+CK9+CK10+CK11+CK12+CK14+CK15+CK16</f>
        <v>0</v>
      </c>
      <c r="CL17" s="100" t="n">
        <f aca="false">CL8+CL9+CL10+CL11+CL12+CL14+CL15+CL16</f>
        <v>0</v>
      </c>
      <c r="CM17" s="100" t="n">
        <f aca="false">CM8+CM9+CM10+CM11+CM12+CM14+CM15+CM16</f>
        <v>0</v>
      </c>
      <c r="CN17" s="100" t="n">
        <f aca="false">CN8+CN9+CN10+CN11+CN12+CN14+CN15+CN16</f>
        <v>0</v>
      </c>
      <c r="CO17" s="100" t="n">
        <f aca="false">CO8+CO9+CO10+CO11+CO12+CO14+CO15+CO16</f>
        <v>0</v>
      </c>
      <c r="CP17" s="100" t="n">
        <f aca="false">CP8+CP9+CP10+CP11+CP12+CP14+CP15+CP16</f>
        <v>0</v>
      </c>
      <c r="CQ17" s="100" t="n">
        <f aca="false">CQ8+CQ9+CQ10+CQ11+CQ12+CQ14+CQ15+CQ16</f>
        <v>0</v>
      </c>
      <c r="CR17" s="100" t="n">
        <f aca="false">CR8+CR9+CR10+CR11+CR12+CR14+CR15+CR16</f>
        <v>0</v>
      </c>
      <c r="CS17" s="100" t="n">
        <f aca="false">CS8+CS9+CS10+CS11+CS12+CS14+CS15+CS16</f>
        <v>0</v>
      </c>
      <c r="CT17" s="100" t="n">
        <f aca="false">CT8+CT9+CT10+CT11+CT12+CT14+CT15+CT16</f>
        <v>0</v>
      </c>
    </row>
    <row r="18" customFormat="false" ht="15" hidden="false" customHeight="true" outlineLevel="0" collapsed="false">
      <c r="A18" s="99" t="s">
        <v>62</v>
      </c>
      <c r="C18" s="102" t="n">
        <f aca="false">IFERROR(C17/C13,0)</f>
        <v>0.150473411652305</v>
      </c>
      <c r="D18" s="102" t="n">
        <f aca="false">IFERROR(D17/D13,0)</f>
        <v>-0.0168735833579273</v>
      </c>
      <c r="E18" s="102" t="n">
        <f aca="false">IFERROR(E17/E13,0)</f>
        <v>0.222356457869786</v>
      </c>
      <c r="F18" s="102" t="n">
        <f aca="false">IFERROR(F17/F13,0)</f>
        <v>0.121157878546931</v>
      </c>
      <c r="G18" s="102" t="n">
        <f aca="false">IFERROR(G17/G13,0)</f>
        <v>0.105418977135063</v>
      </c>
      <c r="H18" s="102" t="n">
        <f aca="false">IFERROR(H17/H13,0)</f>
        <v>0.1025790393097</v>
      </c>
      <c r="I18" s="102" t="n">
        <f aca="false">IFERROR(I17/I13,0)</f>
        <v>0.251459036074756</v>
      </c>
      <c r="J18" s="102" t="n">
        <f aca="false">IFERROR(J17/J13,0)</f>
        <v>0.0924583805831464</v>
      </c>
      <c r="K18" s="102" t="n">
        <f aca="false">IFERROR(K17/K13,0)</f>
        <v>0</v>
      </c>
      <c r="L18" s="102" t="n">
        <f aca="false">IFERROR(L17/L13,0)</f>
        <v>0</v>
      </c>
      <c r="M18" s="102" t="n">
        <f aca="false">IFERROR(M17/M13,0)</f>
        <v>0</v>
      </c>
      <c r="N18" s="102" t="n">
        <f aca="false">IFERROR(N17/N13,0)</f>
        <v>0</v>
      </c>
      <c r="O18" s="102" t="n">
        <f aca="false">IFERROR(O17/O13,0)</f>
        <v>0</v>
      </c>
      <c r="P18" s="102" t="n">
        <f aca="false">IFERROR(P17/P13,0)</f>
        <v>0</v>
      </c>
      <c r="Q18" s="102" t="n">
        <f aca="false">IFERROR(Q17/Q13,0)</f>
        <v>0</v>
      </c>
      <c r="R18" s="102" t="n">
        <f aca="false">IFERROR(R17/R13,0)</f>
        <v>0</v>
      </c>
      <c r="S18" s="102" t="n">
        <f aca="false">IFERROR(S17/S13,0)</f>
        <v>0</v>
      </c>
      <c r="T18" s="102" t="n">
        <f aca="false">IFERROR(T17/T13,0)</f>
        <v>0</v>
      </c>
      <c r="U18" s="102" t="n">
        <f aca="false">IFERROR(U17/U13,0)</f>
        <v>0</v>
      </c>
      <c r="V18" s="102" t="n">
        <f aca="false">IFERROR(V17/V13,0)</f>
        <v>0</v>
      </c>
      <c r="W18" s="102" t="n">
        <f aca="false">IFERROR(W17/W13,0)</f>
        <v>0</v>
      </c>
      <c r="X18" s="102" t="n">
        <f aca="false">IFERROR(X17/X13,0)</f>
        <v>0</v>
      </c>
      <c r="Y18" s="102" t="n">
        <f aca="false">IFERROR(Y17/Y13,0)</f>
        <v>0</v>
      </c>
      <c r="Z18" s="102" t="n">
        <f aca="false">IFERROR(Z17/Z13,0)</f>
        <v>0</v>
      </c>
      <c r="AA18" s="102" t="n">
        <f aca="false">IFERROR(AA17/AA13,0)</f>
        <v>0</v>
      </c>
      <c r="AB18" s="102" t="n">
        <f aca="false">IFERROR(AB17/AB13,0)</f>
        <v>0</v>
      </c>
      <c r="AC18" s="102" t="n">
        <f aca="false">IFERROR(AC17/AC13,0)</f>
        <v>0</v>
      </c>
      <c r="AD18" s="102" t="n">
        <f aca="false">IFERROR(AD17/AD13,0)</f>
        <v>0</v>
      </c>
      <c r="AE18" s="102" t="n">
        <f aca="false">IFERROR(AE17/AE13,0)</f>
        <v>0</v>
      </c>
      <c r="AF18" s="102" t="n">
        <f aca="false">IFERROR(AF17/AF13,0)</f>
        <v>0</v>
      </c>
      <c r="AG18" s="102" t="n">
        <f aca="false">IFERROR(AG17/AG13,0)</f>
        <v>0</v>
      </c>
      <c r="AH18" s="102" t="n">
        <f aca="false">IFERROR(AH17/AH13,0)</f>
        <v>0</v>
      </c>
      <c r="AI18" s="102" t="n">
        <f aca="false">IFERROR(AI17/AI13,0)</f>
        <v>0</v>
      </c>
      <c r="AJ18" s="102" t="n">
        <f aca="false">IFERROR(AJ17/AJ13,0)</f>
        <v>0</v>
      </c>
      <c r="AK18" s="102" t="n">
        <f aca="false">IFERROR(AK17/AK13,0)</f>
        <v>0</v>
      </c>
      <c r="AL18" s="102" t="n">
        <f aca="false">IFERROR(AL17/AL13,0)</f>
        <v>0</v>
      </c>
      <c r="AM18" s="102" t="n">
        <f aca="false">IFERROR(AM17/AM13,0)</f>
        <v>0</v>
      </c>
      <c r="AN18" s="102" t="n">
        <f aca="false">IFERROR(AN17/AN13,0)</f>
        <v>0</v>
      </c>
      <c r="AO18" s="102" t="n">
        <f aca="false">IFERROR(AO17/AO13,0)</f>
        <v>0</v>
      </c>
      <c r="AP18" s="102" t="n">
        <f aca="false">IFERROR(AP17/AP13,0)</f>
        <v>0</v>
      </c>
      <c r="AQ18" s="102" t="n">
        <f aca="false">IFERROR(AQ17/AQ13,0)</f>
        <v>0</v>
      </c>
      <c r="AR18" s="102" t="n">
        <f aca="false">IFERROR(AR17/AR13,0)</f>
        <v>0</v>
      </c>
      <c r="AS18" s="102" t="n">
        <f aca="false">IFERROR(AS17/AS13,0)</f>
        <v>0</v>
      </c>
      <c r="AT18" s="102" t="n">
        <f aca="false">IFERROR(AT17/AT13,0)</f>
        <v>0</v>
      </c>
      <c r="AU18" s="102" t="n">
        <f aca="false">IFERROR(AU17/AU13,0)</f>
        <v>0</v>
      </c>
      <c r="AV18" s="102" t="n">
        <f aca="false">IFERROR(AV17/AV13,0)</f>
        <v>0</v>
      </c>
      <c r="AW18" s="102" t="n">
        <f aca="false">IFERROR(AW17/AW13,0)</f>
        <v>0</v>
      </c>
      <c r="AX18" s="102" t="n">
        <f aca="false">IFERROR(AX17/AX13,0)</f>
        <v>0</v>
      </c>
      <c r="AY18" s="102" t="n">
        <f aca="false">IFERROR(AY17/AY13,0)</f>
        <v>0</v>
      </c>
      <c r="AZ18" s="102" t="n">
        <f aca="false">IFERROR(AZ17/AZ13,0)</f>
        <v>0</v>
      </c>
      <c r="BA18" s="102" t="n">
        <f aca="false">IFERROR(BA17/BA13,0)</f>
        <v>0</v>
      </c>
      <c r="BB18" s="102" t="n">
        <f aca="false">IFERROR(BB17/BB13,0)</f>
        <v>0</v>
      </c>
      <c r="BC18" s="102" t="n">
        <f aca="false">IFERROR(BC17/BC13,0)</f>
        <v>0</v>
      </c>
      <c r="BD18" s="102" t="n">
        <f aca="false">IFERROR(BD17/BD13,0)</f>
        <v>0</v>
      </c>
      <c r="BE18" s="102" t="n">
        <f aca="false">IFERROR(BE17/BE13,0)</f>
        <v>0</v>
      </c>
      <c r="BF18" s="102" t="n">
        <f aca="false">IFERROR(BF17/BF13,0)</f>
        <v>0</v>
      </c>
      <c r="BG18" s="102" t="n">
        <f aca="false">IFERROR(BG17/BG13,0)</f>
        <v>0</v>
      </c>
      <c r="BH18" s="102" t="n">
        <f aca="false">IFERROR(BH17/BH13,0)</f>
        <v>0</v>
      </c>
      <c r="BI18" s="102" t="n">
        <f aca="false">IFERROR(BI17/BI13,0)</f>
        <v>0</v>
      </c>
      <c r="BJ18" s="102" t="n">
        <f aca="false">IFERROR(BJ17/BJ13,0)</f>
        <v>0</v>
      </c>
      <c r="BK18" s="102" t="n">
        <f aca="false">IFERROR(BK17/BK13,0)</f>
        <v>0</v>
      </c>
      <c r="BL18" s="102" t="n">
        <f aca="false">IFERROR(BL17/BL13,0)</f>
        <v>0</v>
      </c>
      <c r="BM18" s="102" t="n">
        <f aca="false">IFERROR(BM17/BM13,0)</f>
        <v>0</v>
      </c>
      <c r="BN18" s="102" t="n">
        <f aca="false">IFERROR(BN17/BN13,0)</f>
        <v>0</v>
      </c>
      <c r="BO18" s="102" t="n">
        <f aca="false">IFERROR(BO17/BO13,0)</f>
        <v>0</v>
      </c>
      <c r="BP18" s="102" t="n">
        <f aca="false">IFERROR(BP17/BP13,0)</f>
        <v>0</v>
      </c>
      <c r="BQ18" s="102" t="n">
        <f aca="false">IFERROR(BQ17/BQ13,0)</f>
        <v>0</v>
      </c>
      <c r="BR18" s="102" t="n">
        <f aca="false">IFERROR(BR17/BR13,0)</f>
        <v>0</v>
      </c>
      <c r="BS18" s="102" t="n">
        <f aca="false">IFERROR(BS17/BS13,0)</f>
        <v>0</v>
      </c>
      <c r="BT18" s="102" t="n">
        <f aca="false">IFERROR(BT17/BT13,0)</f>
        <v>0</v>
      </c>
      <c r="BU18" s="102" t="n">
        <f aca="false">IFERROR(BU17/BU13,0)</f>
        <v>0</v>
      </c>
      <c r="BV18" s="102" t="n">
        <f aca="false">IFERROR(BV17/BV13,0)</f>
        <v>0</v>
      </c>
      <c r="BW18" s="102" t="n">
        <f aca="false">IFERROR(BW17/BW13,0)</f>
        <v>0</v>
      </c>
      <c r="BX18" s="102" t="n">
        <f aca="false">IFERROR(BX17/BX13,0)</f>
        <v>0</v>
      </c>
      <c r="BY18" s="102" t="n">
        <f aca="false">IFERROR(BY17/BY13,0)</f>
        <v>0</v>
      </c>
      <c r="BZ18" s="102" t="n">
        <f aca="false">IFERROR(BZ17/BZ13,0)</f>
        <v>0</v>
      </c>
      <c r="CA18" s="102" t="n">
        <f aca="false">IFERROR(CA17/CA13,0)</f>
        <v>0</v>
      </c>
      <c r="CB18" s="102" t="n">
        <f aca="false">IFERROR(CB17/CB13,0)</f>
        <v>0</v>
      </c>
      <c r="CC18" s="102" t="n">
        <f aca="false">IFERROR(CC17/CC13,0)</f>
        <v>0</v>
      </c>
      <c r="CD18" s="102" t="n">
        <f aca="false">IFERROR(CD17/CD13,0)</f>
        <v>0</v>
      </c>
      <c r="CE18" s="102" t="n">
        <f aca="false">IFERROR(CE17/CE13,0)</f>
        <v>0</v>
      </c>
      <c r="CF18" s="102" t="n">
        <f aca="false">IFERROR(CF17/CF13,0)</f>
        <v>0</v>
      </c>
      <c r="CG18" s="102" t="n">
        <f aca="false">IFERROR(CG17/CG13,0)</f>
        <v>0</v>
      </c>
      <c r="CH18" s="102" t="n">
        <f aca="false">IFERROR(CH17/CH13,0)</f>
        <v>0</v>
      </c>
      <c r="CI18" s="102" t="n">
        <f aca="false">IFERROR(CI17/CI13,0)</f>
        <v>0</v>
      </c>
      <c r="CJ18" s="102" t="n">
        <f aca="false">IFERROR(CJ17/CJ13,0)</f>
        <v>0</v>
      </c>
      <c r="CK18" s="102" t="n">
        <f aca="false">IFERROR(CK17/CK13,0)</f>
        <v>0</v>
      </c>
      <c r="CL18" s="102" t="n">
        <f aca="false">IFERROR(CL17/CL13,0)</f>
        <v>0</v>
      </c>
      <c r="CM18" s="102" t="n">
        <f aca="false">IFERROR(CM17/CM13,0)</f>
        <v>0</v>
      </c>
      <c r="CN18" s="102" t="n">
        <f aca="false">IFERROR(CN17/CN13,0)</f>
        <v>0</v>
      </c>
      <c r="CO18" s="102" t="n">
        <f aca="false">IFERROR(CO17/CO13,0)</f>
        <v>0</v>
      </c>
      <c r="CP18" s="102" t="n">
        <f aca="false">IFERROR(CP17/CP13,0)</f>
        <v>0</v>
      </c>
      <c r="CQ18" s="102" t="n">
        <f aca="false">IFERROR(CQ17/CQ13,0)</f>
        <v>0</v>
      </c>
      <c r="CR18" s="102" t="n">
        <f aca="false">IFERROR(CR17/CR13,0)</f>
        <v>0</v>
      </c>
      <c r="CS18" s="102" t="n">
        <f aca="false">IFERROR(CS17/CS13,0)</f>
        <v>0</v>
      </c>
      <c r="CT18" s="102" t="n">
        <f aca="false">IFERROR(CT17/CT13,0)</f>
        <v>0</v>
      </c>
    </row>
    <row r="19" customFormat="false" ht="15" hidden="false" customHeight="true" outlineLevel="0" collapsed="false">
      <c r="A19" s="97"/>
      <c r="C19" s="98"/>
      <c r="D19" s="98"/>
      <c r="E19" s="98"/>
      <c r="F19" s="98"/>
      <c r="G19" s="98"/>
      <c r="H19" s="98"/>
      <c r="I19" s="98"/>
      <c r="J19" s="98"/>
      <c r="K19" s="98"/>
      <c r="L19" s="98"/>
      <c r="M19" s="98"/>
      <c r="N19" s="98"/>
      <c r="O19" s="98"/>
      <c r="P19" s="98"/>
      <c r="Q19" s="98"/>
      <c r="R19" s="98"/>
      <c r="S19" s="98"/>
      <c r="T19" s="98"/>
      <c r="U19" s="98"/>
      <c r="V19" s="98"/>
      <c r="W19" s="98"/>
      <c r="X19" s="98"/>
      <c r="Y19" s="98"/>
      <c r="Z19" s="98"/>
      <c r="AA19" s="98"/>
      <c r="AB19" s="98"/>
      <c r="AC19" s="98"/>
      <c r="AD19" s="98"/>
      <c r="AE19" s="98"/>
      <c r="AF19" s="98"/>
      <c r="AG19" s="98"/>
      <c r="AH19" s="98"/>
      <c r="AI19" s="98"/>
      <c r="AJ19" s="98"/>
      <c r="AK19" s="98"/>
      <c r="AL19" s="98"/>
      <c r="AM19" s="98"/>
      <c r="AN19" s="98"/>
      <c r="AO19" s="98"/>
      <c r="AP19" s="98"/>
      <c r="AQ19" s="98"/>
      <c r="AR19" s="98"/>
      <c r="AS19" s="98"/>
      <c r="AT19" s="98"/>
      <c r="AU19" s="98"/>
      <c r="AV19" s="98"/>
      <c r="AW19" s="98"/>
      <c r="AX19" s="98"/>
      <c r="AY19" s="98"/>
      <c r="AZ19" s="98"/>
      <c r="BA19" s="98"/>
      <c r="BB19" s="98"/>
      <c r="BC19" s="98"/>
      <c r="BD19" s="98"/>
      <c r="BE19" s="98"/>
      <c r="BF19" s="98"/>
      <c r="BG19" s="98"/>
      <c r="BH19" s="98"/>
      <c r="BI19" s="98"/>
      <c r="BJ19" s="98"/>
      <c r="BK19" s="98"/>
      <c r="BL19" s="98"/>
      <c r="BM19" s="98"/>
      <c r="BN19" s="98"/>
      <c r="BO19" s="98"/>
      <c r="BP19" s="98"/>
      <c r="BQ19" s="98"/>
      <c r="BR19" s="98"/>
      <c r="BS19" s="98"/>
      <c r="BT19" s="98"/>
      <c r="BU19" s="98"/>
      <c r="BV19" s="98"/>
      <c r="BW19" s="98"/>
      <c r="BX19" s="98"/>
      <c r="BY19" s="98"/>
      <c r="BZ19" s="98"/>
      <c r="CA19" s="98"/>
      <c r="CB19" s="98"/>
      <c r="CC19" s="98"/>
      <c r="CD19" s="98"/>
      <c r="CE19" s="98"/>
      <c r="CF19" s="98"/>
      <c r="CG19" s="98"/>
      <c r="CH19" s="98"/>
      <c r="CI19" s="98"/>
      <c r="CJ19" s="98"/>
      <c r="CK19" s="98"/>
      <c r="CL19" s="98"/>
      <c r="CM19" s="98"/>
      <c r="CN19" s="98"/>
      <c r="CO19" s="98"/>
      <c r="CP19" s="98"/>
      <c r="CQ19" s="98"/>
      <c r="CR19" s="98"/>
      <c r="CS19" s="98"/>
      <c r="CT19" s="98"/>
    </row>
    <row r="20" customFormat="false" ht="15" hidden="false" customHeight="true" outlineLevel="0" collapsed="false">
      <c r="A20" s="97"/>
      <c r="C20" s="98"/>
      <c r="D20" s="98"/>
      <c r="E20" s="98"/>
      <c r="F20" s="98"/>
      <c r="G20" s="98"/>
      <c r="H20" s="98"/>
      <c r="I20" s="98"/>
      <c r="J20" s="98"/>
      <c r="K20" s="98"/>
      <c r="L20" s="98"/>
      <c r="M20" s="98"/>
      <c r="N20" s="98"/>
      <c r="O20" s="98"/>
      <c r="P20" s="98"/>
      <c r="Q20" s="98"/>
      <c r="R20" s="98"/>
      <c r="S20" s="98"/>
      <c r="T20" s="98"/>
      <c r="U20" s="98"/>
      <c r="V20" s="98"/>
      <c r="W20" s="98"/>
      <c r="X20" s="98"/>
      <c r="Y20" s="98"/>
      <c r="Z20" s="98"/>
      <c r="AA20" s="98"/>
      <c r="AB20" s="98"/>
      <c r="AC20" s="98"/>
      <c r="AD20" s="98"/>
      <c r="AE20" s="98"/>
      <c r="AF20" s="98"/>
      <c r="AG20" s="98"/>
      <c r="AH20" s="98"/>
      <c r="AI20" s="98"/>
      <c r="AJ20" s="98"/>
      <c r="AK20" s="98"/>
      <c r="AL20" s="98"/>
      <c r="AM20" s="98"/>
      <c r="AN20" s="98"/>
      <c r="AO20" s="98"/>
      <c r="AP20" s="98"/>
      <c r="AQ20" s="98"/>
      <c r="AR20" s="98"/>
      <c r="AS20" s="98"/>
      <c r="AT20" s="98"/>
      <c r="AU20" s="98"/>
      <c r="AV20" s="98"/>
      <c r="AW20" s="98"/>
      <c r="AX20" s="98"/>
      <c r="AY20" s="98"/>
      <c r="AZ20" s="98"/>
      <c r="BA20" s="98"/>
      <c r="BB20" s="98"/>
      <c r="BC20" s="98"/>
      <c r="BD20" s="98"/>
      <c r="BE20" s="98"/>
      <c r="BF20" s="98"/>
      <c r="BG20" s="98"/>
      <c r="BH20" s="98"/>
      <c r="BI20" s="98"/>
      <c r="BJ20" s="98"/>
      <c r="BK20" s="98"/>
      <c r="BL20" s="98"/>
      <c r="BM20" s="98"/>
      <c r="BN20" s="98"/>
      <c r="BO20" s="98"/>
      <c r="BP20" s="98"/>
      <c r="BQ20" s="98"/>
      <c r="BR20" s="98"/>
      <c r="BS20" s="98"/>
      <c r="BT20" s="98"/>
      <c r="BU20" s="98"/>
      <c r="BV20" s="98"/>
      <c r="BW20" s="98"/>
      <c r="BX20" s="98"/>
      <c r="BY20" s="98"/>
      <c r="BZ20" s="98"/>
      <c r="CA20" s="98"/>
      <c r="CB20" s="98"/>
      <c r="CC20" s="98"/>
      <c r="CD20" s="98"/>
      <c r="CE20" s="98"/>
      <c r="CF20" s="98"/>
      <c r="CG20" s="98"/>
      <c r="CH20" s="98"/>
      <c r="CI20" s="98"/>
      <c r="CJ20" s="98"/>
      <c r="CK20" s="98"/>
      <c r="CL20" s="98"/>
      <c r="CM20" s="98"/>
      <c r="CN20" s="98"/>
      <c r="CO20" s="98"/>
      <c r="CP20" s="98"/>
      <c r="CQ20" s="98"/>
      <c r="CR20" s="98"/>
      <c r="CS20" s="98"/>
      <c r="CT20" s="98"/>
    </row>
    <row r="21" customFormat="false" ht="15" hidden="false" customHeight="true" outlineLevel="0" collapsed="false">
      <c r="A21" s="97" t="s">
        <v>64</v>
      </c>
      <c r="C21" s="98" t="n">
        <v>-144550.9</v>
      </c>
      <c r="D21" s="98" t="n">
        <v>-150672.84</v>
      </c>
      <c r="E21" s="98" t="n">
        <v>-178867.86</v>
      </c>
      <c r="F21" s="98" t="n">
        <v>-187693.63</v>
      </c>
      <c r="G21" s="98" t="n">
        <v>-295949.1</v>
      </c>
      <c r="H21" s="98" t="n">
        <v>-198645.92</v>
      </c>
      <c r="I21" s="98" t="n">
        <v>-215851.71</v>
      </c>
      <c r="J21" s="98" t="n">
        <v>-217610.65</v>
      </c>
      <c r="K21" s="98"/>
      <c r="L21" s="98"/>
      <c r="M21" s="98"/>
      <c r="N21" s="98"/>
      <c r="O21" s="98"/>
      <c r="P21" s="98"/>
      <c r="Q21" s="98"/>
      <c r="R21" s="98"/>
      <c r="S21" s="98"/>
      <c r="T21" s="98"/>
      <c r="U21" s="98"/>
      <c r="V21" s="98"/>
      <c r="W21" s="98"/>
      <c r="X21" s="98"/>
      <c r="Y21" s="98"/>
      <c r="Z21" s="98"/>
      <c r="AA21" s="98"/>
      <c r="AB21" s="98"/>
      <c r="AC21" s="98"/>
      <c r="AD21" s="98"/>
      <c r="AE21" s="98"/>
      <c r="AF21" s="98"/>
      <c r="AG21" s="98"/>
      <c r="AH21" s="98"/>
      <c r="AI21" s="98"/>
      <c r="AJ21" s="98"/>
      <c r="AK21" s="98"/>
      <c r="AL21" s="98"/>
      <c r="AM21" s="98"/>
      <c r="AN21" s="98"/>
      <c r="AO21" s="98"/>
      <c r="AP21" s="98"/>
      <c r="AQ21" s="98"/>
      <c r="AR21" s="98"/>
      <c r="AS21" s="98"/>
      <c r="AT21" s="98"/>
      <c r="AU21" s="98"/>
      <c r="AV21" s="98"/>
      <c r="AW21" s="98"/>
      <c r="AX21" s="98"/>
      <c r="AY21" s="98"/>
      <c r="AZ21" s="98"/>
      <c r="BA21" s="98"/>
      <c r="BB21" s="98"/>
      <c r="BC21" s="98"/>
      <c r="BD21" s="98"/>
      <c r="BE21" s="98"/>
      <c r="BF21" s="98"/>
      <c r="BG21" s="98"/>
      <c r="BH21" s="98"/>
      <c r="BI21" s="98"/>
      <c r="BJ21" s="98"/>
      <c r="BK21" s="98"/>
      <c r="BL21" s="98"/>
      <c r="BM21" s="98"/>
      <c r="BN21" s="98"/>
      <c r="BO21" s="98"/>
      <c r="BP21" s="98"/>
      <c r="BQ21" s="98"/>
      <c r="BR21" s="98"/>
      <c r="BS21" s="98"/>
      <c r="BT21" s="98"/>
      <c r="BU21" s="98"/>
      <c r="BV21" s="98"/>
      <c r="BW21" s="98"/>
      <c r="BX21" s="98"/>
      <c r="BY21" s="98"/>
      <c r="BZ21" s="98"/>
      <c r="CA21" s="98"/>
      <c r="CB21" s="98"/>
      <c r="CC21" s="98"/>
      <c r="CD21" s="98"/>
      <c r="CE21" s="98"/>
      <c r="CF21" s="98"/>
      <c r="CG21" s="98"/>
      <c r="CH21" s="98"/>
      <c r="CI21" s="98"/>
      <c r="CJ21" s="98"/>
      <c r="CK21" s="98"/>
      <c r="CL21" s="98"/>
      <c r="CM21" s="98"/>
      <c r="CN21" s="98"/>
      <c r="CO21" s="98"/>
      <c r="CP21" s="98"/>
      <c r="CQ21" s="98"/>
      <c r="CR21" s="98"/>
      <c r="CS21" s="98"/>
      <c r="CT21" s="98"/>
    </row>
    <row r="22" customFormat="false" ht="15" hidden="false" customHeight="true" outlineLevel="0" collapsed="false">
      <c r="A22" s="97" t="s">
        <v>65</v>
      </c>
      <c r="C22" s="98" t="n">
        <v>-7450.37</v>
      </c>
      <c r="D22" s="98" t="n">
        <v>-10567.2</v>
      </c>
      <c r="E22" s="98" t="n">
        <v>-17033.3</v>
      </c>
      <c r="F22" s="98" t="n">
        <v>-14599.57</v>
      </c>
      <c r="G22" s="98" t="n">
        <v>-23689.02</v>
      </c>
      <c r="H22" s="98" t="n">
        <v>-14793.67</v>
      </c>
      <c r="I22" s="98" t="n">
        <v>-16311.09</v>
      </c>
      <c r="J22" s="98" t="n">
        <v>-16725.56</v>
      </c>
      <c r="K22" s="98"/>
      <c r="L22" s="98"/>
      <c r="M22" s="98"/>
      <c r="N22" s="98"/>
      <c r="O22" s="98"/>
      <c r="P22" s="98"/>
      <c r="Q22" s="98"/>
      <c r="R22" s="98"/>
      <c r="S22" s="98"/>
      <c r="T22" s="98"/>
      <c r="U22" s="98"/>
      <c r="V22" s="98"/>
      <c r="W22" s="98"/>
      <c r="X22" s="98"/>
      <c r="Y22" s="98"/>
      <c r="Z22" s="98"/>
      <c r="AA22" s="98"/>
      <c r="AB22" s="98"/>
      <c r="AC22" s="98"/>
      <c r="AD22" s="98"/>
      <c r="AE22" s="98"/>
      <c r="AF22" s="98"/>
      <c r="AG22" s="98"/>
      <c r="AH22" s="98"/>
      <c r="AI22" s="98"/>
      <c r="AJ22" s="98"/>
      <c r="AK22" s="98"/>
      <c r="AL22" s="98"/>
      <c r="AM22" s="98"/>
      <c r="AN22" s="98"/>
      <c r="AO22" s="98"/>
      <c r="AP22" s="98"/>
      <c r="AQ22" s="98"/>
      <c r="AR22" s="98"/>
      <c r="AS22" s="98"/>
      <c r="AT22" s="98"/>
      <c r="AU22" s="98"/>
      <c r="AV22" s="98"/>
      <c r="AW22" s="98"/>
      <c r="AX22" s="98"/>
      <c r="AY22" s="98"/>
      <c r="AZ22" s="98"/>
      <c r="BA22" s="98"/>
      <c r="BB22" s="98"/>
      <c r="BC22" s="98"/>
      <c r="BD22" s="98"/>
      <c r="BE22" s="98"/>
      <c r="BF22" s="98"/>
      <c r="BG22" s="98"/>
      <c r="BH22" s="98"/>
      <c r="BI22" s="98"/>
      <c r="BJ22" s="98"/>
      <c r="BK22" s="98"/>
      <c r="BL22" s="98"/>
      <c r="BM22" s="98"/>
      <c r="BN22" s="98"/>
      <c r="BO22" s="98"/>
      <c r="BP22" s="98"/>
      <c r="BQ22" s="98"/>
      <c r="BR22" s="98"/>
      <c r="BS22" s="98"/>
      <c r="BT22" s="98"/>
      <c r="BU22" s="98"/>
      <c r="BV22" s="98"/>
      <c r="BW22" s="98"/>
      <c r="BX22" s="98"/>
      <c r="BY22" s="98"/>
      <c r="BZ22" s="98"/>
      <c r="CA22" s="98"/>
      <c r="CB22" s="98"/>
      <c r="CC22" s="98"/>
      <c r="CD22" s="98"/>
      <c r="CE22" s="98"/>
      <c r="CF22" s="98"/>
      <c r="CG22" s="98"/>
      <c r="CH22" s="98"/>
      <c r="CI22" s="98"/>
      <c r="CJ22" s="98"/>
      <c r="CK22" s="98"/>
      <c r="CL22" s="98"/>
      <c r="CM22" s="98"/>
      <c r="CN22" s="98"/>
      <c r="CO22" s="98"/>
      <c r="CP22" s="98"/>
      <c r="CQ22" s="98"/>
      <c r="CR22" s="98"/>
      <c r="CS22" s="98"/>
      <c r="CT22" s="98"/>
    </row>
    <row r="23" customFormat="false" ht="15" hidden="false" customHeight="true" outlineLevel="0" collapsed="false">
      <c r="A23" s="97" t="s">
        <v>66</v>
      </c>
      <c r="C23" s="98"/>
      <c r="D23" s="98"/>
      <c r="E23" s="98"/>
      <c r="F23" s="98" t="n">
        <v>0</v>
      </c>
      <c r="G23" s="98" t="n">
        <v>0</v>
      </c>
      <c r="H23" s="98" t="n">
        <v>0</v>
      </c>
      <c r="I23" s="98" t="n">
        <v>0</v>
      </c>
      <c r="J23" s="98" t="n">
        <v>0</v>
      </c>
      <c r="K23" s="98"/>
      <c r="L23" s="98"/>
      <c r="M23" s="98"/>
      <c r="N23" s="98"/>
      <c r="O23" s="98"/>
      <c r="P23" s="98"/>
      <c r="Q23" s="98"/>
      <c r="R23" s="98"/>
      <c r="S23" s="98"/>
      <c r="T23" s="98"/>
      <c r="U23" s="98"/>
      <c r="V23" s="98"/>
      <c r="W23" s="98"/>
      <c r="X23" s="98"/>
      <c r="Y23" s="98"/>
      <c r="Z23" s="98"/>
      <c r="AA23" s="98"/>
      <c r="AB23" s="98"/>
      <c r="AC23" s="98"/>
      <c r="AD23" s="98"/>
      <c r="AE23" s="98"/>
      <c r="AF23" s="98"/>
      <c r="AG23" s="98"/>
      <c r="AH23" s="98"/>
      <c r="AI23" s="98"/>
      <c r="AJ23" s="98"/>
      <c r="AK23" s="98"/>
      <c r="AL23" s="98"/>
      <c r="AM23" s="98"/>
      <c r="AN23" s="98"/>
      <c r="AO23" s="98"/>
      <c r="AP23" s="98"/>
      <c r="AQ23" s="98"/>
      <c r="AR23" s="98"/>
      <c r="AS23" s="98"/>
      <c r="AT23" s="98"/>
      <c r="AU23" s="98"/>
      <c r="AV23" s="98"/>
      <c r="AW23" s="98"/>
      <c r="AX23" s="98"/>
      <c r="AY23" s="98"/>
      <c r="AZ23" s="98"/>
      <c r="BA23" s="98"/>
      <c r="BB23" s="98"/>
      <c r="BC23" s="98"/>
      <c r="BD23" s="98"/>
      <c r="BE23" s="98"/>
      <c r="BF23" s="98"/>
      <c r="BG23" s="98"/>
      <c r="BH23" s="98"/>
      <c r="BI23" s="98"/>
      <c r="BJ23" s="98"/>
      <c r="BK23" s="98"/>
      <c r="BL23" s="98"/>
      <c r="BM23" s="98"/>
      <c r="BN23" s="98"/>
      <c r="BO23" s="98"/>
      <c r="BP23" s="98"/>
      <c r="BQ23" s="98"/>
      <c r="BR23" s="98"/>
      <c r="BS23" s="98"/>
      <c r="BT23" s="98"/>
      <c r="BU23" s="98"/>
      <c r="BV23" s="98"/>
      <c r="BW23" s="98"/>
      <c r="BX23" s="98"/>
      <c r="BY23" s="98"/>
      <c r="BZ23" s="98"/>
      <c r="CA23" s="98"/>
      <c r="CB23" s="98"/>
      <c r="CC23" s="98"/>
      <c r="CD23" s="98"/>
      <c r="CE23" s="98"/>
      <c r="CF23" s="98"/>
      <c r="CG23" s="98"/>
      <c r="CH23" s="98"/>
      <c r="CI23" s="98"/>
      <c r="CJ23" s="98"/>
      <c r="CK23" s="98"/>
      <c r="CL23" s="98"/>
      <c r="CM23" s="98"/>
      <c r="CN23" s="98"/>
      <c r="CO23" s="98"/>
      <c r="CP23" s="98"/>
      <c r="CQ23" s="98"/>
      <c r="CR23" s="98"/>
      <c r="CS23" s="98"/>
      <c r="CT23" s="98"/>
    </row>
    <row r="24" customFormat="false" ht="15" hidden="false" customHeight="true" outlineLevel="0" collapsed="false">
      <c r="A24" s="97" t="s">
        <v>67</v>
      </c>
      <c r="C24" s="98" t="n">
        <v>-9482.97</v>
      </c>
      <c r="D24" s="98" t="n">
        <v>-10343.29</v>
      </c>
      <c r="E24" s="98" t="n">
        <v>-3729.48</v>
      </c>
      <c r="F24" s="98" t="n">
        <v>-3206.79</v>
      </c>
      <c r="G24" s="98" t="n">
        <v>10942.55</v>
      </c>
      <c r="H24" s="98" t="n">
        <v>-8982.91</v>
      </c>
      <c r="I24" s="98" t="n">
        <v>-14712.5</v>
      </c>
      <c r="J24" s="98" t="n">
        <v>-12426.27</v>
      </c>
      <c r="K24" s="98"/>
      <c r="L24" s="98"/>
      <c r="M24" s="98"/>
      <c r="N24" s="98"/>
      <c r="O24" s="98"/>
      <c r="P24" s="98"/>
      <c r="Q24" s="98"/>
      <c r="R24" s="98"/>
      <c r="S24" s="98"/>
      <c r="T24" s="98"/>
      <c r="U24" s="98"/>
      <c r="V24" s="98"/>
      <c r="W24" s="98"/>
      <c r="X24" s="98"/>
      <c r="Y24" s="98"/>
      <c r="Z24" s="98"/>
      <c r="AA24" s="98"/>
      <c r="AB24" s="98"/>
      <c r="AC24" s="98"/>
      <c r="AD24" s="98"/>
      <c r="AE24" s="98"/>
      <c r="AF24" s="98"/>
      <c r="AG24" s="98"/>
      <c r="AH24" s="98"/>
      <c r="AI24" s="98"/>
      <c r="AJ24" s="98"/>
      <c r="AK24" s="98"/>
      <c r="AL24" s="98"/>
      <c r="AM24" s="98"/>
      <c r="AN24" s="98"/>
      <c r="AO24" s="98"/>
      <c r="AP24" s="98"/>
      <c r="AQ24" s="98"/>
      <c r="AR24" s="98"/>
      <c r="AS24" s="98"/>
      <c r="AT24" s="98"/>
      <c r="AU24" s="98"/>
      <c r="AV24" s="98"/>
      <c r="AW24" s="98"/>
      <c r="AX24" s="98"/>
      <c r="AY24" s="98"/>
      <c r="AZ24" s="98"/>
      <c r="BA24" s="98"/>
      <c r="BB24" s="98"/>
      <c r="BC24" s="98"/>
      <c r="BD24" s="98"/>
      <c r="BE24" s="98"/>
      <c r="BF24" s="98"/>
      <c r="BG24" s="98"/>
      <c r="BH24" s="98"/>
      <c r="BI24" s="98"/>
      <c r="BJ24" s="98"/>
      <c r="BK24" s="98"/>
      <c r="BL24" s="98"/>
      <c r="BM24" s="98"/>
      <c r="BN24" s="98"/>
      <c r="BO24" s="98"/>
      <c r="BP24" s="98"/>
      <c r="BQ24" s="98"/>
      <c r="BR24" s="98"/>
      <c r="BS24" s="98"/>
      <c r="BT24" s="98"/>
      <c r="BU24" s="98"/>
      <c r="BV24" s="98"/>
      <c r="BW24" s="98"/>
      <c r="BX24" s="98"/>
      <c r="BY24" s="98"/>
      <c r="BZ24" s="98"/>
      <c r="CA24" s="98"/>
      <c r="CB24" s="98"/>
      <c r="CC24" s="98"/>
      <c r="CD24" s="98"/>
      <c r="CE24" s="98"/>
      <c r="CF24" s="98"/>
      <c r="CG24" s="98"/>
      <c r="CH24" s="98"/>
      <c r="CI24" s="98"/>
      <c r="CJ24" s="98"/>
      <c r="CK24" s="98"/>
      <c r="CL24" s="98"/>
      <c r="CM24" s="98"/>
      <c r="CN24" s="98"/>
      <c r="CO24" s="98"/>
      <c r="CP24" s="98"/>
      <c r="CQ24" s="98"/>
      <c r="CR24" s="98"/>
      <c r="CS24" s="98"/>
      <c r="CT24" s="98"/>
    </row>
    <row r="25" customFormat="false" ht="15" hidden="false" customHeight="true" outlineLevel="0" collapsed="false">
      <c r="A25" s="97" t="s">
        <v>68</v>
      </c>
      <c r="C25" s="98" t="n">
        <v>-2542.47</v>
      </c>
      <c r="D25" s="98" t="n">
        <v>-1618.75</v>
      </c>
      <c r="E25" s="98" t="n">
        <v>3406.77</v>
      </c>
      <c r="F25" s="98" t="n">
        <v>2575.42</v>
      </c>
      <c r="G25" s="98" t="n">
        <v>-1896.11</v>
      </c>
      <c r="H25" s="98" t="n">
        <v>-2888.37</v>
      </c>
      <c r="I25" s="98" t="n">
        <v>636.26</v>
      </c>
      <c r="J25" s="98" t="n">
        <v>-2370.43</v>
      </c>
      <c r="K25" s="98"/>
      <c r="L25" s="98"/>
      <c r="M25" s="98"/>
      <c r="N25" s="98"/>
      <c r="O25" s="98"/>
      <c r="P25" s="98"/>
      <c r="Q25" s="98"/>
      <c r="R25" s="98"/>
      <c r="S25" s="98"/>
      <c r="T25" s="98"/>
      <c r="U25" s="98"/>
      <c r="V25" s="98"/>
      <c r="W25" s="98"/>
      <c r="X25" s="98"/>
      <c r="Y25" s="98"/>
      <c r="Z25" s="98"/>
      <c r="AA25" s="98"/>
      <c r="AB25" s="98"/>
      <c r="AC25" s="98"/>
      <c r="AD25" s="98"/>
      <c r="AE25" s="98"/>
      <c r="AF25" s="98"/>
      <c r="AG25" s="98"/>
      <c r="AH25" s="98"/>
      <c r="AI25" s="98"/>
      <c r="AJ25" s="98"/>
      <c r="AK25" s="98"/>
      <c r="AL25" s="98"/>
      <c r="AM25" s="98"/>
      <c r="AN25" s="98"/>
      <c r="AO25" s="98"/>
      <c r="AP25" s="98"/>
      <c r="AQ25" s="98"/>
      <c r="AR25" s="98"/>
      <c r="AS25" s="98"/>
      <c r="AT25" s="98"/>
      <c r="AU25" s="98"/>
      <c r="AV25" s="98"/>
      <c r="AW25" s="98"/>
      <c r="AX25" s="98"/>
      <c r="AY25" s="98"/>
      <c r="AZ25" s="98"/>
      <c r="BA25" s="98"/>
      <c r="BB25" s="98"/>
      <c r="BC25" s="98"/>
      <c r="BD25" s="98"/>
      <c r="BE25" s="98"/>
      <c r="BF25" s="98"/>
      <c r="BG25" s="98"/>
      <c r="BH25" s="98"/>
      <c r="BI25" s="98"/>
      <c r="BJ25" s="98"/>
      <c r="BK25" s="98"/>
      <c r="BL25" s="98"/>
      <c r="BM25" s="98"/>
      <c r="BN25" s="98"/>
      <c r="BO25" s="98"/>
      <c r="BP25" s="98"/>
      <c r="BQ25" s="98"/>
      <c r="BR25" s="98"/>
      <c r="BS25" s="98"/>
      <c r="BT25" s="98"/>
      <c r="BU25" s="98"/>
      <c r="BV25" s="98"/>
      <c r="BW25" s="98"/>
      <c r="BX25" s="98"/>
      <c r="BY25" s="98"/>
      <c r="BZ25" s="98"/>
      <c r="CA25" s="98"/>
      <c r="CB25" s="98"/>
      <c r="CC25" s="98"/>
      <c r="CD25" s="98"/>
      <c r="CE25" s="98"/>
      <c r="CF25" s="98"/>
      <c r="CG25" s="98"/>
      <c r="CH25" s="98"/>
      <c r="CI25" s="98"/>
      <c r="CJ25" s="98"/>
      <c r="CK25" s="98"/>
      <c r="CL25" s="98"/>
      <c r="CM25" s="98"/>
      <c r="CN25" s="98"/>
      <c r="CO25" s="98"/>
      <c r="CP25" s="98"/>
      <c r="CQ25" s="98"/>
      <c r="CR25" s="98"/>
      <c r="CS25" s="98"/>
      <c r="CT25" s="98"/>
    </row>
    <row r="26" customFormat="false" ht="15" hidden="false" customHeight="true" outlineLevel="0" collapsed="false">
      <c r="A26" s="97" t="s">
        <v>69</v>
      </c>
      <c r="C26" s="98" t="n">
        <v>-195</v>
      </c>
      <c r="D26" s="98" t="n">
        <v>-200</v>
      </c>
      <c r="E26" s="98" t="n">
        <v>0</v>
      </c>
      <c r="F26" s="98" t="n">
        <v>0</v>
      </c>
      <c r="G26" s="98" t="n">
        <v>0</v>
      </c>
      <c r="H26" s="98" t="n">
        <v>0</v>
      </c>
      <c r="I26" s="98" t="n">
        <v>0</v>
      </c>
      <c r="J26" s="98" t="n">
        <v>0</v>
      </c>
      <c r="K26" s="98"/>
      <c r="L26" s="98"/>
      <c r="M26" s="98"/>
      <c r="N26" s="98"/>
      <c r="O26" s="98"/>
      <c r="P26" s="98"/>
      <c r="Q26" s="98"/>
      <c r="R26" s="98"/>
      <c r="S26" s="98"/>
      <c r="T26" s="98"/>
      <c r="U26" s="98"/>
      <c r="V26" s="98"/>
      <c r="W26" s="98"/>
      <c r="X26" s="98"/>
      <c r="Y26" s="98"/>
      <c r="Z26" s="98"/>
      <c r="AA26" s="98"/>
      <c r="AB26" s="98"/>
      <c r="AC26" s="98"/>
      <c r="AD26" s="98"/>
      <c r="AE26" s="98"/>
      <c r="AF26" s="98"/>
      <c r="AG26" s="98"/>
      <c r="AH26" s="98"/>
      <c r="AI26" s="98"/>
      <c r="AJ26" s="98"/>
      <c r="AK26" s="98"/>
      <c r="AL26" s="98"/>
      <c r="AM26" s="98"/>
      <c r="AN26" s="98"/>
      <c r="AO26" s="98"/>
      <c r="AP26" s="98"/>
      <c r="AQ26" s="98"/>
      <c r="AR26" s="98"/>
      <c r="AS26" s="98"/>
      <c r="AT26" s="98"/>
      <c r="AU26" s="98"/>
      <c r="AV26" s="98"/>
      <c r="AW26" s="98"/>
      <c r="AX26" s="98"/>
      <c r="AY26" s="98"/>
      <c r="AZ26" s="98"/>
      <c r="BA26" s="98"/>
      <c r="BB26" s="98"/>
      <c r="BC26" s="98"/>
      <c r="BD26" s="98"/>
      <c r="BE26" s="98"/>
      <c r="BF26" s="98"/>
      <c r="BG26" s="98"/>
      <c r="BH26" s="98"/>
      <c r="BI26" s="98"/>
      <c r="BJ26" s="98"/>
      <c r="BK26" s="98"/>
      <c r="BL26" s="98"/>
      <c r="BM26" s="98"/>
      <c r="BN26" s="98"/>
      <c r="BO26" s="98"/>
      <c r="BP26" s="98"/>
      <c r="BQ26" s="98"/>
      <c r="BR26" s="98"/>
      <c r="BS26" s="98"/>
      <c r="BT26" s="98"/>
      <c r="BU26" s="98"/>
      <c r="BV26" s="98"/>
      <c r="BW26" s="98"/>
      <c r="BX26" s="98"/>
      <c r="BY26" s="98"/>
      <c r="BZ26" s="98"/>
      <c r="CA26" s="98"/>
      <c r="CB26" s="98"/>
      <c r="CC26" s="98"/>
      <c r="CD26" s="98"/>
      <c r="CE26" s="98"/>
      <c r="CF26" s="98"/>
      <c r="CG26" s="98"/>
      <c r="CH26" s="98"/>
      <c r="CI26" s="98"/>
      <c r="CJ26" s="98"/>
      <c r="CK26" s="98"/>
      <c r="CL26" s="98"/>
      <c r="CM26" s="98"/>
      <c r="CN26" s="98"/>
      <c r="CO26" s="98"/>
      <c r="CP26" s="98"/>
      <c r="CQ26" s="98"/>
      <c r="CR26" s="98"/>
      <c r="CS26" s="98"/>
      <c r="CT26" s="98"/>
    </row>
    <row r="27" customFormat="false" ht="15" hidden="false" customHeight="true" outlineLevel="0" collapsed="false">
      <c r="A27" s="97" t="s">
        <v>70</v>
      </c>
      <c r="C27" s="98" t="n">
        <v>-33002.28</v>
      </c>
      <c r="D27" s="98" t="n">
        <v>-29166.66</v>
      </c>
      <c r="E27" s="98" t="n">
        <v>-41666.66</v>
      </c>
      <c r="F27" s="98" t="n">
        <v>-29166.66</v>
      </c>
      <c r="G27" s="98" t="n">
        <v>-29166.66</v>
      </c>
      <c r="H27" s="98" t="n">
        <v>-29166.66</v>
      </c>
      <c r="I27" s="98" t="n">
        <v>-29166.66</v>
      </c>
      <c r="J27" s="98" t="n">
        <v>-29166.66</v>
      </c>
      <c r="K27" s="98"/>
      <c r="L27" s="98"/>
      <c r="M27" s="98"/>
      <c r="N27" s="98"/>
      <c r="O27" s="98"/>
      <c r="P27" s="98"/>
      <c r="Q27" s="98"/>
      <c r="R27" s="98"/>
      <c r="S27" s="98"/>
      <c r="T27" s="98"/>
      <c r="U27" s="98"/>
      <c r="V27" s="98"/>
      <c r="W27" s="98"/>
      <c r="X27" s="98"/>
      <c r="Y27" s="98"/>
      <c r="Z27" s="98"/>
      <c r="AA27" s="98"/>
      <c r="AB27" s="98"/>
      <c r="AC27" s="98"/>
      <c r="AD27" s="98"/>
      <c r="AE27" s="98"/>
      <c r="AF27" s="98"/>
      <c r="AG27" s="98"/>
      <c r="AH27" s="98"/>
      <c r="AI27" s="98"/>
      <c r="AJ27" s="98"/>
      <c r="AK27" s="98"/>
      <c r="AL27" s="98"/>
      <c r="AM27" s="98"/>
      <c r="AN27" s="98"/>
      <c r="AO27" s="98"/>
      <c r="AP27" s="98"/>
      <c r="AQ27" s="98"/>
      <c r="AR27" s="98"/>
      <c r="AS27" s="98"/>
      <c r="AT27" s="98"/>
      <c r="AU27" s="98"/>
      <c r="AV27" s="98"/>
      <c r="AW27" s="98"/>
      <c r="AX27" s="98"/>
      <c r="AY27" s="98"/>
      <c r="AZ27" s="98"/>
      <c r="BA27" s="98"/>
      <c r="BB27" s="98"/>
      <c r="BC27" s="98"/>
      <c r="BD27" s="98"/>
      <c r="BE27" s="98"/>
      <c r="BF27" s="98"/>
      <c r="BG27" s="98"/>
      <c r="BH27" s="98"/>
      <c r="BI27" s="98"/>
      <c r="BJ27" s="98"/>
      <c r="BK27" s="98"/>
      <c r="BL27" s="98"/>
      <c r="BM27" s="98"/>
      <c r="BN27" s="98"/>
      <c r="BO27" s="98"/>
      <c r="BP27" s="98"/>
      <c r="BQ27" s="98"/>
      <c r="BR27" s="98"/>
      <c r="BS27" s="98"/>
      <c r="BT27" s="98"/>
      <c r="BU27" s="98"/>
      <c r="BV27" s="98"/>
      <c r="BW27" s="98"/>
      <c r="BX27" s="98"/>
      <c r="BY27" s="98"/>
      <c r="BZ27" s="98"/>
      <c r="CA27" s="98"/>
      <c r="CB27" s="98"/>
      <c r="CC27" s="98"/>
      <c r="CD27" s="98"/>
      <c r="CE27" s="98"/>
      <c r="CF27" s="98"/>
      <c r="CG27" s="98"/>
      <c r="CH27" s="98"/>
      <c r="CI27" s="98"/>
      <c r="CJ27" s="98"/>
      <c r="CK27" s="98"/>
      <c r="CL27" s="98"/>
      <c r="CM27" s="98"/>
      <c r="CN27" s="98"/>
      <c r="CO27" s="98"/>
      <c r="CP27" s="98"/>
      <c r="CQ27" s="98"/>
      <c r="CR27" s="98"/>
      <c r="CS27" s="98"/>
      <c r="CT27" s="98"/>
    </row>
    <row r="28" customFormat="false" ht="15" hidden="false" customHeight="true" outlineLevel="0" collapsed="false">
      <c r="A28" s="97" t="s">
        <v>71</v>
      </c>
      <c r="C28" s="98" t="n">
        <v>0</v>
      </c>
      <c r="D28" s="98" t="n">
        <v>0</v>
      </c>
      <c r="E28" s="98" t="n">
        <v>0</v>
      </c>
      <c r="F28" s="98" t="n">
        <v>251304.48</v>
      </c>
      <c r="G28" s="98" t="n">
        <v>81510</v>
      </c>
      <c r="H28" s="98" t="n">
        <v>0</v>
      </c>
      <c r="I28" s="98" t="n">
        <v>0</v>
      </c>
      <c r="J28" s="98" t="n">
        <v>0</v>
      </c>
      <c r="K28" s="98"/>
      <c r="L28" s="98"/>
      <c r="M28" s="98"/>
      <c r="N28" s="98"/>
      <c r="O28" s="98"/>
      <c r="P28" s="98"/>
      <c r="Q28" s="98"/>
      <c r="R28" s="98"/>
      <c r="S28" s="98"/>
      <c r="T28" s="98"/>
      <c r="U28" s="98"/>
      <c r="V28" s="98"/>
      <c r="W28" s="98"/>
      <c r="X28" s="98"/>
      <c r="Y28" s="98"/>
      <c r="Z28" s="98"/>
      <c r="AA28" s="98"/>
      <c r="AB28" s="98"/>
      <c r="AC28" s="98"/>
      <c r="AD28" s="98"/>
      <c r="AE28" s="98"/>
      <c r="AF28" s="98"/>
      <c r="AG28" s="98"/>
      <c r="AH28" s="98"/>
      <c r="AI28" s="98"/>
      <c r="AJ28" s="98"/>
      <c r="AK28" s="98"/>
      <c r="AL28" s="98"/>
      <c r="AM28" s="98"/>
      <c r="AN28" s="98"/>
      <c r="AO28" s="98"/>
      <c r="AP28" s="98"/>
      <c r="AQ28" s="98"/>
      <c r="AR28" s="98"/>
      <c r="AS28" s="98"/>
      <c r="AT28" s="98"/>
      <c r="AU28" s="98"/>
      <c r="AV28" s="98"/>
      <c r="AW28" s="98"/>
      <c r="AX28" s="98"/>
      <c r="AY28" s="98"/>
      <c r="AZ28" s="98"/>
      <c r="BA28" s="98"/>
      <c r="BB28" s="98"/>
      <c r="BC28" s="98"/>
      <c r="BD28" s="98"/>
      <c r="BE28" s="98"/>
      <c r="BF28" s="98"/>
      <c r="BG28" s="98"/>
      <c r="BH28" s="98"/>
      <c r="BI28" s="98"/>
      <c r="BJ28" s="98"/>
      <c r="BK28" s="98"/>
      <c r="BL28" s="98"/>
      <c r="BM28" s="98"/>
      <c r="BN28" s="98"/>
      <c r="BO28" s="98"/>
      <c r="BP28" s="98"/>
      <c r="BQ28" s="98"/>
      <c r="BR28" s="98"/>
      <c r="BS28" s="98"/>
      <c r="BT28" s="98"/>
      <c r="BU28" s="98"/>
      <c r="BV28" s="98"/>
      <c r="BW28" s="98"/>
      <c r="BX28" s="98"/>
      <c r="BY28" s="98"/>
      <c r="BZ28" s="98"/>
      <c r="CA28" s="98"/>
      <c r="CB28" s="98"/>
      <c r="CC28" s="98"/>
      <c r="CD28" s="98"/>
      <c r="CE28" s="98"/>
      <c r="CF28" s="98"/>
      <c r="CG28" s="98"/>
      <c r="CH28" s="98"/>
      <c r="CI28" s="98"/>
      <c r="CJ28" s="98"/>
      <c r="CK28" s="98"/>
      <c r="CL28" s="98"/>
      <c r="CM28" s="98"/>
      <c r="CN28" s="98"/>
      <c r="CO28" s="98"/>
      <c r="CP28" s="98"/>
      <c r="CQ28" s="98"/>
      <c r="CR28" s="98"/>
      <c r="CS28" s="98"/>
      <c r="CT28" s="98"/>
    </row>
    <row r="29" customFormat="false" ht="15" hidden="false" customHeight="true" outlineLevel="0" collapsed="false">
      <c r="A29" s="97" t="s">
        <v>72</v>
      </c>
      <c r="C29" s="98" t="n">
        <v>-10400</v>
      </c>
      <c r="D29" s="98" t="n">
        <v>-10400</v>
      </c>
      <c r="E29" s="98" t="n">
        <v>-400</v>
      </c>
      <c r="F29" s="98" t="n">
        <v>-10400</v>
      </c>
      <c r="G29" s="98" t="n">
        <v>-20400</v>
      </c>
      <c r="H29" s="98" t="n">
        <v>-20405</v>
      </c>
      <c r="I29" s="98" t="n">
        <v>-20405</v>
      </c>
      <c r="J29" s="98" t="n">
        <v>-20405</v>
      </c>
      <c r="K29" s="98"/>
      <c r="L29" s="98"/>
      <c r="M29" s="98"/>
      <c r="N29" s="98"/>
      <c r="O29" s="98"/>
      <c r="P29" s="98"/>
      <c r="Q29" s="98"/>
      <c r="R29" s="98"/>
      <c r="S29" s="98"/>
      <c r="T29" s="98"/>
      <c r="U29" s="98"/>
      <c r="V29" s="98"/>
      <c r="W29" s="98"/>
      <c r="X29" s="98"/>
      <c r="Y29" s="98"/>
      <c r="Z29" s="98"/>
      <c r="AA29" s="98"/>
      <c r="AB29" s="98"/>
      <c r="AC29" s="98"/>
      <c r="AD29" s="98"/>
      <c r="AE29" s="98"/>
      <c r="AF29" s="98"/>
      <c r="AG29" s="98"/>
      <c r="AH29" s="98"/>
      <c r="AI29" s="98"/>
      <c r="AJ29" s="98"/>
      <c r="AK29" s="98"/>
      <c r="AL29" s="98"/>
      <c r="AM29" s="98"/>
      <c r="AN29" s="98"/>
      <c r="AO29" s="98"/>
      <c r="AP29" s="98"/>
      <c r="AQ29" s="98"/>
      <c r="AR29" s="98"/>
      <c r="AS29" s="98"/>
      <c r="AT29" s="98"/>
      <c r="AU29" s="98"/>
      <c r="AV29" s="98"/>
      <c r="AW29" s="98"/>
      <c r="AX29" s="98"/>
      <c r="AY29" s="98"/>
      <c r="AZ29" s="98"/>
      <c r="BA29" s="98"/>
      <c r="BB29" s="98"/>
      <c r="BC29" s="98"/>
      <c r="BD29" s="98"/>
      <c r="BE29" s="98"/>
      <c r="BF29" s="98"/>
      <c r="BG29" s="98"/>
      <c r="BH29" s="98"/>
      <c r="BI29" s="98"/>
      <c r="BJ29" s="98"/>
      <c r="BK29" s="98"/>
      <c r="BL29" s="98"/>
      <c r="BM29" s="98"/>
      <c r="BN29" s="98"/>
      <c r="BO29" s="98"/>
      <c r="BP29" s="98"/>
      <c r="BQ29" s="98"/>
      <c r="BR29" s="98"/>
      <c r="BS29" s="98"/>
      <c r="BT29" s="98"/>
      <c r="BU29" s="98"/>
      <c r="BV29" s="98"/>
      <c r="BW29" s="98"/>
      <c r="BX29" s="98"/>
      <c r="BY29" s="98"/>
      <c r="BZ29" s="98"/>
      <c r="CA29" s="98"/>
      <c r="CB29" s="98"/>
      <c r="CC29" s="98"/>
      <c r="CD29" s="98"/>
      <c r="CE29" s="98"/>
      <c r="CF29" s="98"/>
      <c r="CG29" s="98"/>
      <c r="CH29" s="98"/>
      <c r="CI29" s="98"/>
      <c r="CJ29" s="98"/>
      <c r="CK29" s="98"/>
      <c r="CL29" s="98"/>
      <c r="CM29" s="98"/>
      <c r="CN29" s="98"/>
      <c r="CO29" s="98"/>
      <c r="CP29" s="98"/>
      <c r="CQ29" s="98"/>
      <c r="CR29" s="98"/>
      <c r="CS29" s="98"/>
      <c r="CT29" s="98"/>
    </row>
    <row r="30" customFormat="false" ht="15" hidden="false" customHeight="true" outlineLevel="0" collapsed="false">
      <c r="A30" s="97" t="s">
        <v>73</v>
      </c>
      <c r="C30" s="98" t="n">
        <v>-1988</v>
      </c>
      <c r="D30" s="98" t="n">
        <v>-955.32</v>
      </c>
      <c r="E30" s="98" t="n">
        <v>-9130.61</v>
      </c>
      <c r="F30" s="98" t="n">
        <v>-1028.89</v>
      </c>
      <c r="G30" s="98" t="n">
        <v>-7005.14</v>
      </c>
      <c r="H30" s="98" t="n">
        <v>-4121.06</v>
      </c>
      <c r="I30" s="98" t="n">
        <v>-2683.91</v>
      </c>
      <c r="J30" s="98" t="n">
        <v>-17047.56</v>
      </c>
      <c r="K30" s="98"/>
      <c r="L30" s="98"/>
      <c r="M30" s="98"/>
      <c r="N30" s="98"/>
      <c r="O30" s="98"/>
      <c r="P30" s="98"/>
      <c r="Q30" s="98"/>
      <c r="R30" s="98"/>
      <c r="S30" s="98"/>
      <c r="T30" s="98"/>
      <c r="U30" s="98"/>
      <c r="V30" s="98"/>
      <c r="W30" s="98"/>
      <c r="X30" s="98"/>
      <c r="Y30" s="98"/>
      <c r="Z30" s="98"/>
      <c r="AA30" s="98"/>
      <c r="AB30" s="98"/>
      <c r="AC30" s="98"/>
      <c r="AD30" s="98"/>
      <c r="AE30" s="98"/>
      <c r="AF30" s="98"/>
      <c r="AG30" s="98"/>
      <c r="AH30" s="98"/>
      <c r="AI30" s="98"/>
      <c r="AJ30" s="98"/>
      <c r="AK30" s="98"/>
      <c r="AL30" s="98"/>
      <c r="AM30" s="98"/>
      <c r="AN30" s="98"/>
      <c r="AO30" s="98"/>
      <c r="AP30" s="98"/>
      <c r="AQ30" s="98"/>
      <c r="AR30" s="98"/>
      <c r="AS30" s="98"/>
      <c r="AT30" s="98"/>
      <c r="AU30" s="98"/>
      <c r="AV30" s="98"/>
      <c r="AW30" s="98"/>
      <c r="AX30" s="98"/>
      <c r="AY30" s="98"/>
      <c r="AZ30" s="98"/>
      <c r="BA30" s="98"/>
      <c r="BB30" s="98"/>
      <c r="BC30" s="98"/>
      <c r="BD30" s="98"/>
      <c r="BE30" s="98"/>
      <c r="BF30" s="98"/>
      <c r="BG30" s="98"/>
      <c r="BH30" s="98"/>
      <c r="BI30" s="98"/>
      <c r="BJ30" s="98"/>
      <c r="BK30" s="98"/>
      <c r="BL30" s="98"/>
      <c r="BM30" s="98"/>
      <c r="BN30" s="98"/>
      <c r="BO30" s="98"/>
      <c r="BP30" s="98"/>
      <c r="BQ30" s="98"/>
      <c r="BR30" s="98"/>
      <c r="BS30" s="98"/>
      <c r="BT30" s="98"/>
      <c r="BU30" s="98"/>
      <c r="BV30" s="98"/>
      <c r="BW30" s="98"/>
      <c r="BX30" s="98"/>
      <c r="BY30" s="98"/>
      <c r="BZ30" s="98"/>
      <c r="CA30" s="98"/>
      <c r="CB30" s="98"/>
      <c r="CC30" s="98"/>
      <c r="CD30" s="98"/>
      <c r="CE30" s="98"/>
      <c r="CF30" s="98"/>
      <c r="CG30" s="98"/>
      <c r="CH30" s="98"/>
      <c r="CI30" s="98"/>
      <c r="CJ30" s="98"/>
      <c r="CK30" s="98"/>
      <c r="CL30" s="98"/>
      <c r="CM30" s="98"/>
      <c r="CN30" s="98"/>
      <c r="CO30" s="98"/>
      <c r="CP30" s="98"/>
      <c r="CQ30" s="98"/>
      <c r="CR30" s="98"/>
      <c r="CS30" s="98"/>
      <c r="CT30" s="98"/>
    </row>
    <row r="31" customFormat="false" ht="15" hidden="false" customHeight="true" outlineLevel="0" collapsed="false">
      <c r="A31" s="97" t="s">
        <v>74</v>
      </c>
      <c r="C31" s="98" t="n">
        <v>0</v>
      </c>
      <c r="D31" s="98" t="n">
        <v>0</v>
      </c>
      <c r="E31" s="98" t="n">
        <v>-1077.38</v>
      </c>
      <c r="F31" s="98" t="n">
        <v>-211.28</v>
      </c>
      <c r="G31" s="98" t="n">
        <v>-1254.17</v>
      </c>
      <c r="H31" s="98" t="n">
        <v>0</v>
      </c>
      <c r="I31" s="98" t="n">
        <v>-169.62</v>
      </c>
      <c r="J31" s="98" t="n">
        <v>-2331.88</v>
      </c>
      <c r="K31" s="98"/>
      <c r="L31" s="98"/>
      <c r="M31" s="98"/>
      <c r="N31" s="98"/>
      <c r="O31" s="98"/>
      <c r="P31" s="98"/>
      <c r="Q31" s="98"/>
      <c r="R31" s="98"/>
      <c r="S31" s="98"/>
      <c r="T31" s="98"/>
      <c r="U31" s="98"/>
      <c r="V31" s="98"/>
      <c r="W31" s="98"/>
      <c r="X31" s="98"/>
      <c r="Y31" s="98"/>
      <c r="Z31" s="98"/>
      <c r="AA31" s="98"/>
      <c r="AB31" s="98"/>
      <c r="AC31" s="98"/>
      <c r="AD31" s="98"/>
      <c r="AE31" s="98"/>
      <c r="AF31" s="98"/>
      <c r="AG31" s="98"/>
      <c r="AH31" s="98"/>
      <c r="AI31" s="98"/>
      <c r="AJ31" s="98"/>
      <c r="AK31" s="98"/>
      <c r="AL31" s="98"/>
      <c r="AM31" s="98"/>
      <c r="AN31" s="98"/>
      <c r="AO31" s="98"/>
      <c r="AP31" s="98"/>
      <c r="AQ31" s="98"/>
      <c r="AR31" s="98"/>
      <c r="AS31" s="98"/>
      <c r="AT31" s="98"/>
      <c r="AU31" s="98"/>
      <c r="AV31" s="98"/>
      <c r="AW31" s="98"/>
      <c r="AX31" s="98"/>
      <c r="AY31" s="98"/>
      <c r="AZ31" s="98"/>
      <c r="BA31" s="98"/>
      <c r="BB31" s="98"/>
      <c r="BC31" s="98"/>
      <c r="BD31" s="98"/>
      <c r="BE31" s="98"/>
      <c r="BF31" s="98"/>
      <c r="BG31" s="98"/>
      <c r="BH31" s="98"/>
      <c r="BI31" s="98"/>
      <c r="BJ31" s="98"/>
      <c r="BK31" s="98"/>
      <c r="BL31" s="98"/>
      <c r="BM31" s="98"/>
      <c r="BN31" s="98"/>
      <c r="BO31" s="98"/>
      <c r="BP31" s="98"/>
      <c r="BQ31" s="98"/>
      <c r="BR31" s="98"/>
      <c r="BS31" s="98"/>
      <c r="BT31" s="98"/>
      <c r="BU31" s="98"/>
      <c r="BV31" s="98"/>
      <c r="BW31" s="98"/>
      <c r="BX31" s="98"/>
      <c r="BY31" s="98"/>
      <c r="BZ31" s="98"/>
      <c r="CA31" s="98"/>
      <c r="CB31" s="98"/>
      <c r="CC31" s="98"/>
      <c r="CD31" s="98"/>
      <c r="CE31" s="98"/>
      <c r="CF31" s="98"/>
      <c r="CG31" s="98"/>
      <c r="CH31" s="98"/>
      <c r="CI31" s="98"/>
      <c r="CJ31" s="98"/>
      <c r="CK31" s="98"/>
      <c r="CL31" s="98"/>
      <c r="CM31" s="98"/>
      <c r="CN31" s="98"/>
      <c r="CO31" s="98"/>
      <c r="CP31" s="98"/>
      <c r="CQ31" s="98"/>
      <c r="CR31" s="98"/>
      <c r="CS31" s="98"/>
      <c r="CT31" s="98"/>
    </row>
    <row r="32" customFormat="false" ht="15" hidden="false" customHeight="true" outlineLevel="0" collapsed="false">
      <c r="A32" s="99" t="s">
        <v>75</v>
      </c>
      <c r="C32" s="98" t="n">
        <v>-79</v>
      </c>
      <c r="D32" s="98" t="n">
        <v>0</v>
      </c>
      <c r="E32" s="98" t="n">
        <v>0</v>
      </c>
      <c r="F32" s="98" t="n">
        <v>0</v>
      </c>
      <c r="G32" s="98" t="n">
        <v>0</v>
      </c>
      <c r="H32" s="98" t="n">
        <v>0</v>
      </c>
      <c r="I32" s="98" t="n">
        <v>0</v>
      </c>
      <c r="J32" s="98" t="n">
        <v>-89</v>
      </c>
      <c r="K32" s="98"/>
      <c r="L32" s="98"/>
      <c r="M32" s="98"/>
      <c r="N32" s="98"/>
      <c r="O32" s="98"/>
      <c r="P32" s="98"/>
      <c r="Q32" s="98"/>
      <c r="R32" s="98"/>
      <c r="S32" s="98"/>
      <c r="T32" s="98"/>
      <c r="U32" s="98"/>
      <c r="V32" s="98"/>
      <c r="W32" s="98"/>
      <c r="X32" s="98"/>
      <c r="Y32" s="98"/>
      <c r="Z32" s="98"/>
      <c r="AA32" s="98"/>
      <c r="AB32" s="98"/>
      <c r="AC32" s="98"/>
      <c r="AD32" s="98"/>
      <c r="AE32" s="98"/>
      <c r="AF32" s="98"/>
      <c r="AG32" s="98"/>
      <c r="AH32" s="98"/>
      <c r="AI32" s="98"/>
      <c r="AJ32" s="98"/>
      <c r="AK32" s="98"/>
      <c r="AL32" s="98"/>
      <c r="AM32" s="98"/>
      <c r="AN32" s="98"/>
      <c r="AO32" s="98"/>
      <c r="AP32" s="98"/>
      <c r="AQ32" s="98"/>
      <c r="AR32" s="98"/>
      <c r="AS32" s="98"/>
      <c r="AT32" s="98"/>
      <c r="AU32" s="98"/>
      <c r="AV32" s="98"/>
      <c r="AW32" s="98"/>
      <c r="AX32" s="98"/>
      <c r="AY32" s="98"/>
      <c r="AZ32" s="98"/>
      <c r="BA32" s="98"/>
      <c r="BB32" s="98"/>
      <c r="BC32" s="98"/>
      <c r="BD32" s="98"/>
      <c r="BE32" s="98"/>
      <c r="BF32" s="98"/>
      <c r="BG32" s="98"/>
      <c r="BH32" s="98"/>
      <c r="BI32" s="98"/>
      <c r="BJ32" s="98"/>
      <c r="BK32" s="98"/>
      <c r="BL32" s="98"/>
      <c r="BM32" s="98"/>
      <c r="BN32" s="98"/>
      <c r="BO32" s="98"/>
      <c r="BP32" s="98"/>
      <c r="BQ32" s="98"/>
      <c r="BR32" s="98"/>
      <c r="BS32" s="98"/>
      <c r="BT32" s="98"/>
      <c r="BU32" s="98"/>
      <c r="BV32" s="98"/>
      <c r="BW32" s="98"/>
      <c r="BX32" s="98"/>
      <c r="BY32" s="98"/>
      <c r="BZ32" s="98"/>
      <c r="CA32" s="98"/>
      <c r="CB32" s="98"/>
      <c r="CC32" s="98"/>
      <c r="CD32" s="98"/>
      <c r="CE32" s="98"/>
      <c r="CF32" s="98"/>
      <c r="CG32" s="98"/>
      <c r="CH32" s="98"/>
      <c r="CI32" s="98"/>
      <c r="CJ32" s="98"/>
      <c r="CK32" s="98"/>
      <c r="CL32" s="98"/>
      <c r="CM32" s="98"/>
      <c r="CN32" s="98"/>
      <c r="CO32" s="98"/>
      <c r="CP32" s="98"/>
      <c r="CQ32" s="98"/>
      <c r="CR32" s="98"/>
      <c r="CS32" s="98"/>
      <c r="CT32" s="98"/>
    </row>
    <row r="33" customFormat="false" ht="15" hidden="false" customHeight="true" outlineLevel="0" collapsed="false">
      <c r="A33" s="97" t="s">
        <v>76</v>
      </c>
      <c r="C33" s="98" t="n">
        <v>-3405.64</v>
      </c>
      <c r="D33" s="98" t="n">
        <v>-5015.38</v>
      </c>
      <c r="E33" s="98" t="n">
        <v>-7481.39</v>
      </c>
      <c r="F33" s="98" t="n">
        <v>-5111.12</v>
      </c>
      <c r="G33" s="98" t="n">
        <v>-4038.48</v>
      </c>
      <c r="H33" s="98" t="n">
        <v>-6114.98</v>
      </c>
      <c r="I33" s="98" t="n">
        <v>-12545.93</v>
      </c>
      <c r="J33" s="98" t="n">
        <v>-5885.72</v>
      </c>
      <c r="K33" s="98"/>
      <c r="L33" s="98"/>
      <c r="M33" s="98"/>
      <c r="N33" s="98"/>
      <c r="O33" s="98"/>
      <c r="P33" s="98"/>
      <c r="Q33" s="98"/>
      <c r="R33" s="98"/>
      <c r="S33" s="98"/>
      <c r="T33" s="98"/>
      <c r="U33" s="98"/>
      <c r="V33" s="98"/>
      <c r="W33" s="98"/>
      <c r="X33" s="98"/>
      <c r="Y33" s="98"/>
      <c r="Z33" s="98"/>
      <c r="AA33" s="98"/>
      <c r="AB33" s="98"/>
      <c r="AC33" s="98"/>
      <c r="AD33" s="98"/>
      <c r="AE33" s="98"/>
      <c r="AF33" s="98"/>
      <c r="AG33" s="98"/>
      <c r="AH33" s="98"/>
      <c r="AI33" s="98"/>
      <c r="AJ33" s="98"/>
      <c r="AK33" s="98"/>
      <c r="AL33" s="98"/>
      <c r="AM33" s="98"/>
      <c r="AN33" s="98"/>
      <c r="AO33" s="98"/>
      <c r="AP33" s="98"/>
      <c r="AQ33" s="98"/>
      <c r="AR33" s="98"/>
      <c r="AS33" s="98"/>
      <c r="AT33" s="98"/>
      <c r="AU33" s="98"/>
      <c r="AV33" s="98"/>
      <c r="AW33" s="98"/>
      <c r="AX33" s="98"/>
      <c r="AY33" s="98"/>
      <c r="AZ33" s="98"/>
      <c r="BA33" s="98"/>
      <c r="BB33" s="98"/>
      <c r="BC33" s="98"/>
      <c r="BD33" s="98"/>
      <c r="BE33" s="98"/>
      <c r="BF33" s="98"/>
      <c r="BG33" s="98"/>
      <c r="BH33" s="98"/>
      <c r="BI33" s="98"/>
      <c r="BJ33" s="98"/>
      <c r="BK33" s="98"/>
      <c r="BL33" s="98"/>
      <c r="BM33" s="98"/>
      <c r="BN33" s="98"/>
      <c r="BO33" s="98"/>
      <c r="BP33" s="98"/>
      <c r="BQ33" s="98"/>
      <c r="BR33" s="98"/>
      <c r="BS33" s="98"/>
      <c r="BT33" s="98"/>
      <c r="BU33" s="98"/>
      <c r="BV33" s="98"/>
      <c r="BW33" s="98"/>
      <c r="BX33" s="98"/>
      <c r="BY33" s="98"/>
      <c r="BZ33" s="98"/>
      <c r="CA33" s="98"/>
      <c r="CB33" s="98"/>
      <c r="CC33" s="98"/>
      <c r="CD33" s="98"/>
      <c r="CE33" s="98"/>
      <c r="CF33" s="98"/>
      <c r="CG33" s="98"/>
      <c r="CH33" s="98"/>
      <c r="CI33" s="98"/>
      <c r="CJ33" s="98"/>
      <c r="CK33" s="98"/>
      <c r="CL33" s="98"/>
      <c r="CM33" s="98"/>
      <c r="CN33" s="98"/>
      <c r="CO33" s="98"/>
      <c r="CP33" s="98"/>
      <c r="CQ33" s="98"/>
      <c r="CR33" s="98"/>
      <c r="CS33" s="98"/>
      <c r="CT33" s="98"/>
    </row>
    <row r="34" customFormat="false" ht="15" hidden="false" customHeight="true" outlineLevel="0" collapsed="false">
      <c r="A34" s="97" t="s">
        <v>77</v>
      </c>
      <c r="C34" s="98" t="n">
        <v>0</v>
      </c>
      <c r="D34" s="98" t="n">
        <v>-1766.48</v>
      </c>
      <c r="E34" s="98" t="n">
        <v>-441.62</v>
      </c>
      <c r="F34" s="98" t="n">
        <v>-441.62</v>
      </c>
      <c r="G34" s="98" t="n">
        <v>-578.62</v>
      </c>
      <c r="H34" s="98" t="n">
        <v>-491.62</v>
      </c>
      <c r="I34" s="98" t="n">
        <v>-491.62</v>
      </c>
      <c r="J34" s="98" t="n">
        <v>-491.62</v>
      </c>
      <c r="K34" s="98"/>
      <c r="L34" s="98"/>
      <c r="M34" s="98"/>
      <c r="N34" s="98"/>
      <c r="O34" s="98"/>
      <c r="P34" s="98"/>
      <c r="Q34" s="98"/>
      <c r="R34" s="98"/>
      <c r="S34" s="98"/>
      <c r="T34" s="98"/>
      <c r="U34" s="98"/>
      <c r="V34" s="98"/>
      <c r="W34" s="98"/>
      <c r="X34" s="98"/>
      <c r="Y34" s="98"/>
      <c r="Z34" s="98"/>
      <c r="AA34" s="98"/>
      <c r="AB34" s="98"/>
      <c r="AC34" s="98"/>
      <c r="AD34" s="98"/>
      <c r="AE34" s="98"/>
      <c r="AF34" s="98"/>
      <c r="AG34" s="98"/>
      <c r="AH34" s="98"/>
      <c r="AI34" s="98"/>
      <c r="AJ34" s="98"/>
      <c r="AK34" s="98"/>
      <c r="AL34" s="98"/>
      <c r="AM34" s="98"/>
      <c r="AN34" s="98"/>
      <c r="AO34" s="98"/>
      <c r="AP34" s="98"/>
      <c r="AQ34" s="98"/>
      <c r="AR34" s="98"/>
      <c r="AS34" s="98"/>
      <c r="AT34" s="98"/>
      <c r="AU34" s="98"/>
      <c r="AV34" s="98"/>
      <c r="AW34" s="98"/>
      <c r="AX34" s="98"/>
      <c r="AY34" s="98"/>
      <c r="AZ34" s="98"/>
      <c r="BA34" s="98"/>
      <c r="BB34" s="98"/>
      <c r="BC34" s="98"/>
      <c r="BD34" s="98"/>
      <c r="BE34" s="98"/>
      <c r="BF34" s="98"/>
      <c r="BG34" s="98"/>
      <c r="BH34" s="98"/>
      <c r="BI34" s="98"/>
      <c r="BJ34" s="98"/>
      <c r="BK34" s="98"/>
      <c r="BL34" s="98"/>
      <c r="BM34" s="98"/>
      <c r="BN34" s="98"/>
      <c r="BO34" s="98"/>
      <c r="BP34" s="98"/>
      <c r="BQ34" s="98"/>
      <c r="BR34" s="98"/>
      <c r="BS34" s="98"/>
      <c r="BT34" s="98"/>
      <c r="BU34" s="98"/>
      <c r="BV34" s="98"/>
      <c r="BW34" s="98"/>
      <c r="BX34" s="98"/>
      <c r="BY34" s="98"/>
      <c r="BZ34" s="98"/>
      <c r="CA34" s="98"/>
      <c r="CB34" s="98"/>
      <c r="CC34" s="98"/>
      <c r="CD34" s="98"/>
      <c r="CE34" s="98"/>
      <c r="CF34" s="98"/>
      <c r="CG34" s="98"/>
      <c r="CH34" s="98"/>
      <c r="CI34" s="98"/>
      <c r="CJ34" s="98"/>
      <c r="CK34" s="98"/>
      <c r="CL34" s="98"/>
      <c r="CM34" s="98"/>
      <c r="CN34" s="98"/>
      <c r="CO34" s="98"/>
      <c r="CP34" s="98"/>
      <c r="CQ34" s="98"/>
      <c r="CR34" s="98"/>
      <c r="CS34" s="98"/>
      <c r="CT34" s="98"/>
    </row>
    <row r="35" customFormat="false" ht="15" hidden="false" customHeight="true" outlineLevel="0" collapsed="false">
      <c r="A35" s="97" t="s">
        <v>78</v>
      </c>
      <c r="C35" s="98" t="n">
        <v>-681.77</v>
      </c>
      <c r="D35" s="98" t="n">
        <v>-600.14</v>
      </c>
      <c r="E35" s="98" t="n">
        <v>-2121.95</v>
      </c>
      <c r="F35" s="98" t="n">
        <v>-840.49</v>
      </c>
      <c r="G35" s="98" t="n">
        <v>-847.85</v>
      </c>
      <c r="H35" s="98" t="n">
        <v>-486.63</v>
      </c>
      <c r="I35" s="98" t="n">
        <v>-871.37</v>
      </c>
      <c r="J35" s="98" t="n">
        <v>-1025.7</v>
      </c>
      <c r="K35" s="98"/>
      <c r="L35" s="98"/>
      <c r="M35" s="98"/>
      <c r="N35" s="98"/>
      <c r="O35" s="98"/>
      <c r="P35" s="98"/>
      <c r="Q35" s="98"/>
      <c r="R35" s="98"/>
      <c r="S35" s="98"/>
      <c r="T35" s="98"/>
      <c r="U35" s="98"/>
      <c r="V35" s="98"/>
      <c r="W35" s="98"/>
      <c r="X35" s="98"/>
      <c r="Y35" s="98"/>
      <c r="Z35" s="98"/>
      <c r="AA35" s="98"/>
      <c r="AB35" s="98"/>
      <c r="AC35" s="98"/>
      <c r="AD35" s="98"/>
      <c r="AE35" s="98"/>
      <c r="AF35" s="98"/>
      <c r="AG35" s="98"/>
      <c r="AH35" s="98"/>
      <c r="AI35" s="98"/>
      <c r="AJ35" s="98"/>
      <c r="AK35" s="98"/>
      <c r="AL35" s="98"/>
      <c r="AM35" s="98"/>
      <c r="AN35" s="98"/>
      <c r="AO35" s="98"/>
      <c r="AP35" s="98"/>
      <c r="AQ35" s="98"/>
      <c r="AR35" s="98"/>
      <c r="AS35" s="98"/>
      <c r="AT35" s="98"/>
      <c r="AU35" s="98"/>
      <c r="AV35" s="98"/>
      <c r="AW35" s="98"/>
      <c r="AX35" s="98"/>
      <c r="AY35" s="98"/>
      <c r="AZ35" s="98"/>
      <c r="BA35" s="98"/>
      <c r="BB35" s="98"/>
      <c r="BC35" s="98"/>
      <c r="BD35" s="98"/>
      <c r="BE35" s="98"/>
      <c r="BF35" s="98"/>
      <c r="BG35" s="98"/>
      <c r="BH35" s="98"/>
      <c r="BI35" s="98"/>
      <c r="BJ35" s="98"/>
      <c r="BK35" s="98"/>
      <c r="BL35" s="98"/>
      <c r="BM35" s="98"/>
      <c r="BN35" s="98"/>
      <c r="BO35" s="98"/>
      <c r="BP35" s="98"/>
      <c r="BQ35" s="98"/>
      <c r="BR35" s="98"/>
      <c r="BS35" s="98"/>
      <c r="BT35" s="98"/>
      <c r="BU35" s="98"/>
      <c r="BV35" s="98"/>
      <c r="BW35" s="98"/>
      <c r="BX35" s="98"/>
      <c r="BY35" s="98"/>
      <c r="BZ35" s="98"/>
      <c r="CA35" s="98"/>
      <c r="CB35" s="98"/>
      <c r="CC35" s="98"/>
      <c r="CD35" s="98"/>
      <c r="CE35" s="98"/>
      <c r="CF35" s="98"/>
      <c r="CG35" s="98"/>
      <c r="CH35" s="98"/>
      <c r="CI35" s="98"/>
      <c r="CJ35" s="98"/>
      <c r="CK35" s="98"/>
      <c r="CL35" s="98"/>
      <c r="CM35" s="98"/>
      <c r="CN35" s="98"/>
      <c r="CO35" s="98"/>
      <c r="CP35" s="98"/>
      <c r="CQ35" s="98"/>
      <c r="CR35" s="98"/>
      <c r="CS35" s="98"/>
      <c r="CT35" s="98"/>
    </row>
    <row r="36" customFormat="false" ht="15" hidden="false" customHeight="true" outlineLevel="0" collapsed="false">
      <c r="A36" s="97" t="s">
        <v>79</v>
      </c>
      <c r="C36" s="98" t="n">
        <v>-2187.5</v>
      </c>
      <c r="D36" s="98" t="n">
        <v>0</v>
      </c>
      <c r="E36" s="98" t="n">
        <v>-1625</v>
      </c>
      <c r="F36" s="98" t="n">
        <v>0</v>
      </c>
      <c r="G36" s="98" t="n">
        <v>0</v>
      </c>
      <c r="H36" s="98" t="n">
        <v>0</v>
      </c>
      <c r="I36" s="98" t="n">
        <v>0</v>
      </c>
      <c r="J36" s="98" t="n">
        <v>-1560</v>
      </c>
      <c r="K36" s="98"/>
      <c r="L36" s="98"/>
      <c r="M36" s="98"/>
      <c r="N36" s="98"/>
      <c r="O36" s="98"/>
      <c r="P36" s="98"/>
      <c r="Q36" s="98"/>
      <c r="R36" s="98"/>
      <c r="S36" s="98"/>
      <c r="T36" s="98"/>
      <c r="U36" s="98"/>
      <c r="V36" s="98"/>
      <c r="W36" s="98"/>
      <c r="X36" s="98"/>
      <c r="Y36" s="98"/>
      <c r="Z36" s="98"/>
      <c r="AA36" s="98"/>
      <c r="AB36" s="98"/>
      <c r="AC36" s="98"/>
      <c r="AD36" s="98"/>
      <c r="AE36" s="98"/>
      <c r="AF36" s="98"/>
      <c r="AG36" s="98"/>
      <c r="AH36" s="98"/>
      <c r="AI36" s="98"/>
      <c r="AJ36" s="98"/>
      <c r="AK36" s="98"/>
      <c r="AL36" s="98"/>
      <c r="AM36" s="98"/>
      <c r="AN36" s="98"/>
      <c r="AO36" s="98"/>
      <c r="AP36" s="98"/>
      <c r="AQ36" s="98"/>
      <c r="AR36" s="98"/>
      <c r="AS36" s="98"/>
      <c r="AT36" s="98"/>
      <c r="AU36" s="98"/>
      <c r="AV36" s="98"/>
      <c r="AW36" s="98"/>
      <c r="AX36" s="98"/>
      <c r="AY36" s="98"/>
      <c r="AZ36" s="98"/>
      <c r="BA36" s="98"/>
      <c r="BB36" s="98"/>
      <c r="BC36" s="98"/>
      <c r="BD36" s="98"/>
      <c r="BE36" s="98"/>
      <c r="BF36" s="98"/>
      <c r="BG36" s="98"/>
      <c r="BH36" s="98"/>
      <c r="BI36" s="98"/>
      <c r="BJ36" s="98"/>
      <c r="BK36" s="98"/>
      <c r="BL36" s="98"/>
      <c r="BM36" s="98"/>
      <c r="BN36" s="98"/>
      <c r="BO36" s="98"/>
      <c r="BP36" s="98"/>
      <c r="BQ36" s="98"/>
      <c r="BR36" s="98"/>
      <c r="BS36" s="98"/>
      <c r="BT36" s="98"/>
      <c r="BU36" s="98"/>
      <c r="BV36" s="98"/>
      <c r="BW36" s="98"/>
      <c r="BX36" s="98"/>
      <c r="BY36" s="98"/>
      <c r="BZ36" s="98"/>
      <c r="CA36" s="98"/>
      <c r="CB36" s="98"/>
      <c r="CC36" s="98"/>
      <c r="CD36" s="98"/>
      <c r="CE36" s="98"/>
      <c r="CF36" s="98"/>
      <c r="CG36" s="98"/>
      <c r="CH36" s="98"/>
      <c r="CI36" s="98"/>
      <c r="CJ36" s="98"/>
      <c r="CK36" s="98"/>
      <c r="CL36" s="98"/>
      <c r="CM36" s="98"/>
      <c r="CN36" s="98"/>
      <c r="CO36" s="98"/>
      <c r="CP36" s="98"/>
      <c r="CQ36" s="98"/>
      <c r="CR36" s="98"/>
      <c r="CS36" s="98"/>
      <c r="CT36" s="98"/>
    </row>
    <row r="37" customFormat="false" ht="15" hidden="false" customHeight="true" outlineLevel="0" collapsed="false">
      <c r="A37" s="97" t="s">
        <v>80</v>
      </c>
      <c r="C37" s="98" t="n">
        <v>0</v>
      </c>
      <c r="D37" s="98" t="n">
        <v>-12349</v>
      </c>
      <c r="E37" s="98" t="n">
        <v>-5400</v>
      </c>
      <c r="F37" s="98" t="n">
        <v>-4377</v>
      </c>
      <c r="G37" s="98" t="n">
        <v>-11750</v>
      </c>
      <c r="H37" s="98" t="n">
        <v>0</v>
      </c>
      <c r="I37" s="98" t="n">
        <v>0</v>
      </c>
      <c r="J37" s="98" t="n">
        <v>-26000</v>
      </c>
      <c r="K37" s="98"/>
      <c r="L37" s="98"/>
      <c r="M37" s="98"/>
      <c r="N37" s="98"/>
      <c r="O37" s="98"/>
      <c r="P37" s="98"/>
      <c r="Q37" s="98"/>
      <c r="R37" s="98"/>
      <c r="S37" s="98"/>
      <c r="T37" s="98"/>
      <c r="U37" s="98"/>
      <c r="V37" s="98"/>
      <c r="W37" s="98"/>
      <c r="X37" s="98"/>
      <c r="Y37" s="98"/>
      <c r="Z37" s="98"/>
      <c r="AA37" s="98"/>
      <c r="AB37" s="98"/>
      <c r="AC37" s="98"/>
      <c r="AD37" s="98"/>
      <c r="AE37" s="98"/>
      <c r="AF37" s="98"/>
      <c r="AG37" s="98"/>
      <c r="AH37" s="98"/>
      <c r="AI37" s="98"/>
      <c r="AJ37" s="98"/>
      <c r="AK37" s="98"/>
      <c r="AL37" s="98"/>
      <c r="AM37" s="98"/>
      <c r="AN37" s="98"/>
      <c r="AO37" s="98"/>
      <c r="AP37" s="98"/>
      <c r="AQ37" s="98"/>
      <c r="AR37" s="98"/>
      <c r="AS37" s="98"/>
      <c r="AT37" s="98"/>
      <c r="AU37" s="98"/>
      <c r="AV37" s="98"/>
      <c r="AW37" s="98"/>
      <c r="AX37" s="98"/>
      <c r="AY37" s="98"/>
      <c r="AZ37" s="98"/>
      <c r="BA37" s="98"/>
      <c r="BB37" s="98"/>
      <c r="BC37" s="98"/>
      <c r="BD37" s="98"/>
      <c r="BE37" s="98"/>
      <c r="BF37" s="98"/>
      <c r="BG37" s="98"/>
      <c r="BH37" s="98"/>
      <c r="BI37" s="98"/>
      <c r="BJ37" s="98"/>
      <c r="BK37" s="98"/>
      <c r="BL37" s="98"/>
      <c r="BM37" s="98"/>
      <c r="BN37" s="98"/>
      <c r="BO37" s="98"/>
      <c r="BP37" s="98"/>
      <c r="BQ37" s="98"/>
      <c r="BR37" s="98"/>
      <c r="BS37" s="98"/>
      <c r="BT37" s="98"/>
      <c r="BU37" s="98"/>
      <c r="BV37" s="98"/>
      <c r="BW37" s="98"/>
      <c r="BX37" s="98"/>
      <c r="BY37" s="98"/>
      <c r="BZ37" s="98"/>
      <c r="CA37" s="98"/>
      <c r="CB37" s="98"/>
      <c r="CC37" s="98"/>
      <c r="CD37" s="98"/>
      <c r="CE37" s="98"/>
      <c r="CF37" s="98"/>
      <c r="CG37" s="98"/>
      <c r="CH37" s="98"/>
      <c r="CI37" s="98"/>
      <c r="CJ37" s="98"/>
      <c r="CK37" s="98"/>
      <c r="CL37" s="98"/>
      <c r="CM37" s="98"/>
      <c r="CN37" s="98"/>
      <c r="CO37" s="98"/>
      <c r="CP37" s="98"/>
      <c r="CQ37" s="98"/>
      <c r="CR37" s="98"/>
      <c r="CS37" s="98"/>
      <c r="CT37" s="98"/>
    </row>
    <row r="38" customFormat="false" ht="15" hidden="false" customHeight="true" outlineLevel="0" collapsed="false">
      <c r="A38" s="97" t="s">
        <v>81</v>
      </c>
      <c r="C38" s="98" t="n">
        <v>0</v>
      </c>
      <c r="D38" s="98" t="n">
        <v>0</v>
      </c>
      <c r="E38" s="98" t="n">
        <v>-750.4</v>
      </c>
      <c r="F38" s="98" t="n">
        <v>0</v>
      </c>
      <c r="G38" s="98" t="n">
        <v>0</v>
      </c>
      <c r="H38" s="98" t="n">
        <v>0</v>
      </c>
      <c r="I38" s="98" t="n">
        <v>0</v>
      </c>
      <c r="J38" s="98" t="n">
        <v>0</v>
      </c>
      <c r="K38" s="98"/>
      <c r="L38" s="98"/>
      <c r="M38" s="98"/>
      <c r="N38" s="98"/>
      <c r="O38" s="98"/>
      <c r="P38" s="98"/>
      <c r="Q38" s="98"/>
      <c r="R38" s="98"/>
      <c r="S38" s="98"/>
      <c r="T38" s="98"/>
      <c r="U38" s="98"/>
      <c r="V38" s="98"/>
      <c r="W38" s="98"/>
      <c r="X38" s="98"/>
      <c r="Y38" s="98"/>
      <c r="Z38" s="98"/>
      <c r="AA38" s="98"/>
      <c r="AB38" s="98"/>
      <c r="AC38" s="98"/>
      <c r="AD38" s="98"/>
      <c r="AE38" s="98"/>
      <c r="AF38" s="98"/>
      <c r="AG38" s="98"/>
      <c r="AH38" s="98"/>
      <c r="AI38" s="98"/>
      <c r="AJ38" s="98"/>
      <c r="AK38" s="98"/>
      <c r="AL38" s="98"/>
      <c r="AM38" s="98"/>
      <c r="AN38" s="98"/>
      <c r="AO38" s="98"/>
      <c r="AP38" s="98"/>
      <c r="AQ38" s="98"/>
      <c r="AR38" s="98"/>
      <c r="AS38" s="98"/>
      <c r="AT38" s="98"/>
      <c r="AU38" s="98"/>
      <c r="AV38" s="98"/>
      <c r="AW38" s="98"/>
      <c r="AX38" s="98"/>
      <c r="AY38" s="98"/>
      <c r="AZ38" s="98"/>
      <c r="BA38" s="98"/>
      <c r="BB38" s="98"/>
      <c r="BC38" s="98"/>
      <c r="BD38" s="98"/>
      <c r="BE38" s="98"/>
      <c r="BF38" s="98"/>
      <c r="BG38" s="98"/>
      <c r="BH38" s="98"/>
      <c r="BI38" s="98"/>
      <c r="BJ38" s="98"/>
      <c r="BK38" s="98"/>
      <c r="BL38" s="98"/>
      <c r="BM38" s="98"/>
      <c r="BN38" s="98"/>
      <c r="BO38" s="98"/>
      <c r="BP38" s="98"/>
      <c r="BQ38" s="98"/>
      <c r="BR38" s="98"/>
      <c r="BS38" s="98"/>
      <c r="BT38" s="98"/>
      <c r="BU38" s="98"/>
      <c r="BV38" s="98"/>
      <c r="BW38" s="98"/>
      <c r="BX38" s="98"/>
      <c r="BY38" s="98"/>
      <c r="BZ38" s="98"/>
      <c r="CA38" s="98"/>
      <c r="CB38" s="98"/>
      <c r="CC38" s="98"/>
      <c r="CD38" s="98"/>
      <c r="CE38" s="98"/>
      <c r="CF38" s="98"/>
      <c r="CG38" s="98"/>
      <c r="CH38" s="98"/>
      <c r="CI38" s="98"/>
      <c r="CJ38" s="98"/>
      <c r="CK38" s="98"/>
      <c r="CL38" s="98"/>
      <c r="CM38" s="98"/>
      <c r="CN38" s="98"/>
      <c r="CO38" s="98"/>
      <c r="CP38" s="98"/>
      <c r="CQ38" s="98"/>
      <c r="CR38" s="98"/>
      <c r="CS38" s="98"/>
      <c r="CT38" s="98"/>
    </row>
    <row r="39" customFormat="false" ht="15" hidden="false" customHeight="true" outlineLevel="0" collapsed="false">
      <c r="A39" s="97" t="s">
        <v>82</v>
      </c>
      <c r="C39" s="98" t="n">
        <v>-1474.63</v>
      </c>
      <c r="D39" s="98" t="n">
        <v>-1449.33</v>
      </c>
      <c r="E39" s="98" t="n">
        <v>-2328.76</v>
      </c>
      <c r="F39" s="98" t="n">
        <v>-2249.56</v>
      </c>
      <c r="G39" s="98" t="n">
        <v>-2759.48</v>
      </c>
      <c r="H39" s="98" t="n">
        <v>-2749.12</v>
      </c>
      <c r="I39" s="98" t="n">
        <v>-2384.6</v>
      </c>
      <c r="J39" s="98" t="n">
        <v>-4264.89</v>
      </c>
      <c r="K39" s="98"/>
      <c r="L39" s="98"/>
      <c r="M39" s="98"/>
      <c r="N39" s="98"/>
      <c r="O39" s="98"/>
      <c r="P39" s="98"/>
      <c r="Q39" s="98"/>
      <c r="R39" s="98"/>
      <c r="S39" s="98"/>
      <c r="T39" s="98"/>
      <c r="U39" s="98"/>
      <c r="V39" s="98"/>
      <c r="W39" s="98"/>
      <c r="X39" s="98"/>
      <c r="Y39" s="98"/>
      <c r="Z39" s="98"/>
      <c r="AA39" s="98"/>
      <c r="AB39" s="98"/>
      <c r="AC39" s="98"/>
      <c r="AD39" s="98"/>
      <c r="AE39" s="98"/>
      <c r="AF39" s="98"/>
      <c r="AG39" s="98"/>
      <c r="AH39" s="98"/>
      <c r="AI39" s="98"/>
      <c r="AJ39" s="98"/>
      <c r="AK39" s="98"/>
      <c r="AL39" s="98"/>
      <c r="AM39" s="98"/>
      <c r="AN39" s="98"/>
      <c r="AO39" s="98"/>
      <c r="AP39" s="98"/>
      <c r="AQ39" s="98"/>
      <c r="AR39" s="98"/>
      <c r="AS39" s="98"/>
      <c r="AT39" s="98"/>
      <c r="AU39" s="98"/>
      <c r="AV39" s="98"/>
      <c r="AW39" s="98"/>
      <c r="AX39" s="98"/>
      <c r="AY39" s="98"/>
      <c r="AZ39" s="98"/>
      <c r="BA39" s="98"/>
      <c r="BB39" s="98"/>
      <c r="BC39" s="98"/>
      <c r="BD39" s="98"/>
      <c r="BE39" s="98"/>
      <c r="BF39" s="98"/>
      <c r="BG39" s="98"/>
      <c r="BH39" s="98"/>
      <c r="BI39" s="98"/>
      <c r="BJ39" s="98"/>
      <c r="BK39" s="98"/>
      <c r="BL39" s="98"/>
      <c r="BM39" s="98"/>
      <c r="BN39" s="98"/>
      <c r="BO39" s="98"/>
      <c r="BP39" s="98"/>
      <c r="BQ39" s="98"/>
      <c r="BR39" s="98"/>
      <c r="BS39" s="98"/>
      <c r="BT39" s="98"/>
      <c r="BU39" s="98"/>
      <c r="BV39" s="98"/>
      <c r="BW39" s="98"/>
      <c r="BX39" s="98"/>
      <c r="BY39" s="98"/>
      <c r="BZ39" s="98"/>
      <c r="CA39" s="98"/>
      <c r="CB39" s="98"/>
      <c r="CC39" s="98"/>
      <c r="CD39" s="98"/>
      <c r="CE39" s="98"/>
      <c r="CF39" s="98"/>
      <c r="CG39" s="98"/>
      <c r="CH39" s="98"/>
      <c r="CI39" s="98"/>
      <c r="CJ39" s="98"/>
      <c r="CK39" s="98"/>
      <c r="CL39" s="98"/>
      <c r="CM39" s="98"/>
      <c r="CN39" s="98"/>
      <c r="CO39" s="98"/>
      <c r="CP39" s="98"/>
      <c r="CQ39" s="98"/>
      <c r="CR39" s="98"/>
      <c r="CS39" s="98"/>
      <c r="CT39" s="98"/>
    </row>
    <row r="40" customFormat="false" ht="15" hidden="false" customHeight="true" outlineLevel="0" collapsed="false">
      <c r="A40" s="97" t="s">
        <v>83</v>
      </c>
      <c r="C40" s="98" t="n">
        <v>-1417.61</v>
      </c>
      <c r="D40" s="98" t="n">
        <v>-2730.36</v>
      </c>
      <c r="E40" s="98" t="n">
        <v>-1818.05</v>
      </c>
      <c r="F40" s="98" t="n">
        <v>-3307.74</v>
      </c>
      <c r="G40" s="98" t="n">
        <v>-1257.74</v>
      </c>
      <c r="H40" s="98" t="n">
        <v>-3372.74</v>
      </c>
      <c r="I40" s="98" t="n">
        <v>-1434.83</v>
      </c>
      <c r="J40" s="98" t="n">
        <v>-3520.23</v>
      </c>
      <c r="K40" s="98"/>
      <c r="L40" s="98"/>
      <c r="M40" s="98"/>
      <c r="N40" s="98"/>
      <c r="O40" s="98"/>
      <c r="P40" s="98"/>
      <c r="Q40" s="98"/>
      <c r="R40" s="98"/>
      <c r="S40" s="98"/>
      <c r="T40" s="98"/>
      <c r="U40" s="98"/>
      <c r="V40" s="98"/>
      <c r="W40" s="98"/>
      <c r="X40" s="98"/>
      <c r="Y40" s="98"/>
      <c r="Z40" s="98"/>
      <c r="AA40" s="98"/>
      <c r="AB40" s="98"/>
      <c r="AC40" s="98"/>
      <c r="AD40" s="98"/>
      <c r="AE40" s="98"/>
      <c r="AF40" s="98"/>
      <c r="AG40" s="98"/>
      <c r="AH40" s="98"/>
      <c r="AI40" s="98"/>
      <c r="AJ40" s="98"/>
      <c r="AK40" s="98"/>
      <c r="AL40" s="98"/>
      <c r="AM40" s="98"/>
      <c r="AN40" s="98"/>
      <c r="AO40" s="98"/>
      <c r="AP40" s="98"/>
      <c r="AQ40" s="98"/>
      <c r="AR40" s="98"/>
      <c r="AS40" s="98"/>
      <c r="AT40" s="98"/>
      <c r="AU40" s="98"/>
      <c r="AV40" s="98"/>
      <c r="AW40" s="98"/>
      <c r="AX40" s="98"/>
      <c r="AY40" s="98"/>
      <c r="AZ40" s="98"/>
      <c r="BA40" s="98"/>
      <c r="BB40" s="98"/>
      <c r="BC40" s="98"/>
      <c r="BD40" s="98"/>
      <c r="BE40" s="98"/>
      <c r="BF40" s="98"/>
      <c r="BG40" s="98"/>
      <c r="BH40" s="98"/>
      <c r="BI40" s="98"/>
      <c r="BJ40" s="98"/>
      <c r="BK40" s="98"/>
      <c r="BL40" s="98"/>
      <c r="BM40" s="98"/>
      <c r="BN40" s="98"/>
      <c r="BO40" s="98"/>
      <c r="BP40" s="98"/>
      <c r="BQ40" s="98"/>
      <c r="BR40" s="98"/>
      <c r="BS40" s="98"/>
      <c r="BT40" s="98"/>
      <c r="BU40" s="98"/>
      <c r="BV40" s="98"/>
      <c r="BW40" s="98"/>
      <c r="BX40" s="98"/>
      <c r="BY40" s="98"/>
      <c r="BZ40" s="98"/>
      <c r="CA40" s="98"/>
      <c r="CB40" s="98"/>
      <c r="CC40" s="98"/>
      <c r="CD40" s="98"/>
      <c r="CE40" s="98"/>
      <c r="CF40" s="98"/>
      <c r="CG40" s="98"/>
      <c r="CH40" s="98"/>
      <c r="CI40" s="98"/>
      <c r="CJ40" s="98"/>
      <c r="CK40" s="98"/>
      <c r="CL40" s="98"/>
      <c r="CM40" s="98"/>
      <c r="CN40" s="98"/>
      <c r="CO40" s="98"/>
      <c r="CP40" s="98"/>
      <c r="CQ40" s="98"/>
      <c r="CR40" s="98"/>
      <c r="CS40" s="98"/>
      <c r="CT40" s="98"/>
    </row>
    <row r="41" customFormat="false" ht="15" hidden="false" customHeight="true" outlineLevel="0" collapsed="false">
      <c r="A41" s="97" t="s">
        <v>84</v>
      </c>
      <c r="C41" s="98" t="n">
        <v>0</v>
      </c>
      <c r="D41" s="98" t="n">
        <v>0</v>
      </c>
      <c r="E41" s="98" t="n">
        <v>-41990</v>
      </c>
      <c r="F41" s="98" t="n">
        <v>-42500</v>
      </c>
      <c r="G41" s="98" t="n">
        <v>-21000</v>
      </c>
      <c r="H41" s="98" t="n">
        <v>0</v>
      </c>
      <c r="I41" s="98" t="n">
        <v>0</v>
      </c>
      <c r="J41" s="98" t="n">
        <v>0</v>
      </c>
      <c r="K41" s="98"/>
      <c r="L41" s="98"/>
      <c r="M41" s="98"/>
      <c r="N41" s="98"/>
      <c r="O41" s="98"/>
      <c r="P41" s="98"/>
      <c r="Q41" s="98"/>
      <c r="R41" s="98"/>
      <c r="S41" s="98"/>
      <c r="T41" s="98"/>
      <c r="U41" s="98"/>
      <c r="V41" s="98"/>
      <c r="W41" s="98"/>
      <c r="X41" s="98"/>
      <c r="Y41" s="98"/>
      <c r="Z41" s="98"/>
      <c r="AA41" s="98"/>
      <c r="AB41" s="98"/>
      <c r="AC41" s="98"/>
      <c r="AD41" s="98"/>
      <c r="AE41" s="98"/>
      <c r="AF41" s="98"/>
      <c r="AG41" s="98"/>
      <c r="AH41" s="98"/>
      <c r="AI41" s="98"/>
      <c r="AJ41" s="98"/>
      <c r="AK41" s="98"/>
      <c r="AL41" s="98"/>
      <c r="AM41" s="98"/>
      <c r="AN41" s="98"/>
      <c r="AO41" s="98"/>
      <c r="AP41" s="98"/>
      <c r="AQ41" s="98"/>
      <c r="AR41" s="98"/>
      <c r="AS41" s="98"/>
      <c r="AT41" s="98"/>
      <c r="AU41" s="98"/>
      <c r="AV41" s="98"/>
      <c r="AW41" s="98"/>
      <c r="AX41" s="98"/>
      <c r="AY41" s="98"/>
      <c r="AZ41" s="98"/>
      <c r="BA41" s="98"/>
      <c r="BB41" s="98"/>
      <c r="BC41" s="98"/>
      <c r="BD41" s="98"/>
      <c r="BE41" s="98"/>
      <c r="BF41" s="98"/>
      <c r="BG41" s="98"/>
      <c r="BH41" s="98"/>
      <c r="BI41" s="98"/>
      <c r="BJ41" s="98"/>
      <c r="BK41" s="98"/>
      <c r="BL41" s="98"/>
      <c r="BM41" s="98"/>
      <c r="BN41" s="98"/>
      <c r="BO41" s="98"/>
      <c r="BP41" s="98"/>
      <c r="BQ41" s="98"/>
      <c r="BR41" s="98"/>
      <c r="BS41" s="98"/>
      <c r="BT41" s="98"/>
      <c r="BU41" s="98"/>
      <c r="BV41" s="98"/>
      <c r="BW41" s="98"/>
      <c r="BX41" s="98"/>
      <c r="BY41" s="98"/>
      <c r="BZ41" s="98"/>
      <c r="CA41" s="98"/>
      <c r="CB41" s="98"/>
      <c r="CC41" s="98"/>
      <c r="CD41" s="98"/>
      <c r="CE41" s="98"/>
      <c r="CF41" s="98"/>
      <c r="CG41" s="98"/>
      <c r="CH41" s="98"/>
      <c r="CI41" s="98"/>
      <c r="CJ41" s="98"/>
      <c r="CK41" s="98"/>
      <c r="CL41" s="98"/>
      <c r="CM41" s="98"/>
      <c r="CN41" s="98"/>
      <c r="CO41" s="98"/>
      <c r="CP41" s="98"/>
      <c r="CQ41" s="98"/>
      <c r="CR41" s="98"/>
      <c r="CS41" s="98"/>
      <c r="CT41" s="98"/>
    </row>
    <row r="42" customFormat="false" ht="15" hidden="false" customHeight="true" outlineLevel="0" collapsed="false">
      <c r="A42" s="97" t="s">
        <v>85</v>
      </c>
      <c r="C42" s="98" t="n">
        <v>-165</v>
      </c>
      <c r="D42" s="98" t="n">
        <v>0</v>
      </c>
      <c r="E42" s="98" t="n">
        <v>0</v>
      </c>
      <c r="F42" s="98" t="n">
        <v>-165</v>
      </c>
      <c r="G42" s="98" t="n">
        <v>0</v>
      </c>
      <c r="H42" s="98" t="n">
        <v>-165</v>
      </c>
      <c r="I42" s="98" t="n">
        <v>0</v>
      </c>
      <c r="J42" s="98" t="n">
        <v>0</v>
      </c>
      <c r="K42" s="98"/>
      <c r="L42" s="98"/>
      <c r="M42" s="98"/>
      <c r="N42" s="98"/>
      <c r="O42" s="98"/>
      <c r="P42" s="98"/>
      <c r="Q42" s="98"/>
      <c r="R42" s="98"/>
      <c r="S42" s="98"/>
      <c r="T42" s="98"/>
      <c r="U42" s="98"/>
      <c r="V42" s="98"/>
      <c r="W42" s="98"/>
      <c r="X42" s="98"/>
      <c r="Y42" s="98"/>
      <c r="Z42" s="98"/>
      <c r="AA42" s="98"/>
      <c r="AB42" s="98"/>
      <c r="AC42" s="98"/>
      <c r="AD42" s="98"/>
      <c r="AE42" s="98"/>
      <c r="AF42" s="98"/>
      <c r="AG42" s="98"/>
      <c r="AH42" s="98"/>
      <c r="AI42" s="98"/>
      <c r="AJ42" s="98"/>
      <c r="AK42" s="98"/>
      <c r="AL42" s="98"/>
      <c r="AM42" s="98"/>
      <c r="AN42" s="98"/>
      <c r="AO42" s="98"/>
      <c r="AP42" s="98"/>
      <c r="AQ42" s="98"/>
      <c r="AR42" s="98"/>
      <c r="AS42" s="98"/>
      <c r="AT42" s="98"/>
      <c r="AU42" s="98"/>
      <c r="AV42" s="98"/>
      <c r="AW42" s="98"/>
      <c r="AX42" s="98"/>
      <c r="AY42" s="98"/>
      <c r="AZ42" s="98"/>
      <c r="BA42" s="98"/>
      <c r="BB42" s="98"/>
      <c r="BC42" s="98"/>
      <c r="BD42" s="98"/>
      <c r="BE42" s="98"/>
      <c r="BF42" s="98"/>
      <c r="BG42" s="98"/>
      <c r="BH42" s="98"/>
      <c r="BI42" s="98"/>
      <c r="BJ42" s="98"/>
      <c r="BK42" s="98"/>
      <c r="BL42" s="98"/>
      <c r="BM42" s="98"/>
      <c r="BN42" s="98"/>
      <c r="BO42" s="98"/>
      <c r="BP42" s="98"/>
      <c r="BQ42" s="98"/>
      <c r="BR42" s="98"/>
      <c r="BS42" s="98"/>
      <c r="BT42" s="98"/>
      <c r="BU42" s="98"/>
      <c r="BV42" s="98"/>
      <c r="BW42" s="98"/>
      <c r="BX42" s="98"/>
      <c r="BY42" s="98"/>
      <c r="BZ42" s="98"/>
      <c r="CA42" s="98"/>
      <c r="CB42" s="98"/>
      <c r="CC42" s="98"/>
      <c r="CD42" s="98"/>
      <c r="CE42" s="98"/>
      <c r="CF42" s="98"/>
      <c r="CG42" s="98"/>
      <c r="CH42" s="98"/>
      <c r="CI42" s="98"/>
      <c r="CJ42" s="98"/>
      <c r="CK42" s="98"/>
      <c r="CL42" s="98"/>
      <c r="CM42" s="98"/>
      <c r="CN42" s="98"/>
      <c r="CO42" s="98"/>
      <c r="CP42" s="98"/>
      <c r="CQ42" s="98"/>
      <c r="CR42" s="98"/>
      <c r="CS42" s="98"/>
      <c r="CT42" s="98"/>
    </row>
    <row r="43" customFormat="false" ht="15" hidden="false" customHeight="true" outlineLevel="0" collapsed="false">
      <c r="A43" s="97" t="s">
        <v>86</v>
      </c>
      <c r="C43" s="98" t="n">
        <v>0</v>
      </c>
      <c r="D43" s="98" t="n">
        <v>0</v>
      </c>
      <c r="E43" s="98" t="n">
        <v>0</v>
      </c>
      <c r="F43" s="98" t="n">
        <v>-1036.49</v>
      </c>
      <c r="G43" s="98" t="n">
        <v>0</v>
      </c>
      <c r="H43" s="98" t="n">
        <v>-4308.58</v>
      </c>
      <c r="I43" s="98" t="n">
        <v>-362.98</v>
      </c>
      <c r="J43" s="98" t="n">
        <v>0</v>
      </c>
      <c r="K43" s="98"/>
      <c r="L43" s="98"/>
      <c r="M43" s="98"/>
      <c r="N43" s="98"/>
      <c r="O43" s="98"/>
      <c r="P43" s="98"/>
      <c r="Q43" s="98"/>
      <c r="R43" s="98"/>
      <c r="S43" s="98"/>
      <c r="T43" s="98"/>
      <c r="U43" s="98"/>
      <c r="V43" s="98"/>
      <c r="W43" s="98"/>
      <c r="X43" s="98"/>
      <c r="Y43" s="98"/>
      <c r="Z43" s="98"/>
      <c r="AA43" s="98"/>
      <c r="AB43" s="98"/>
      <c r="AC43" s="98"/>
      <c r="AD43" s="98"/>
      <c r="AE43" s="98"/>
      <c r="AF43" s="98"/>
      <c r="AG43" s="98"/>
      <c r="AH43" s="98"/>
      <c r="AI43" s="98"/>
      <c r="AJ43" s="98"/>
      <c r="AK43" s="98"/>
      <c r="AL43" s="98"/>
      <c r="AM43" s="98"/>
      <c r="AN43" s="98"/>
      <c r="AO43" s="98"/>
      <c r="AP43" s="98"/>
      <c r="AQ43" s="98"/>
      <c r="AR43" s="98"/>
      <c r="AS43" s="98"/>
      <c r="AT43" s="98"/>
      <c r="AU43" s="98"/>
      <c r="AV43" s="98"/>
      <c r="AW43" s="98"/>
      <c r="AX43" s="98"/>
      <c r="AY43" s="98"/>
      <c r="AZ43" s="98"/>
      <c r="BA43" s="98"/>
      <c r="BB43" s="98"/>
      <c r="BC43" s="98"/>
      <c r="BD43" s="98"/>
      <c r="BE43" s="98"/>
      <c r="BF43" s="98"/>
      <c r="BG43" s="98"/>
      <c r="BH43" s="98"/>
      <c r="BI43" s="98"/>
      <c r="BJ43" s="98"/>
      <c r="BK43" s="98"/>
      <c r="BL43" s="98"/>
      <c r="BM43" s="98"/>
      <c r="BN43" s="98"/>
      <c r="BO43" s="98"/>
      <c r="BP43" s="98"/>
      <c r="BQ43" s="98"/>
      <c r="BR43" s="98"/>
      <c r="BS43" s="98"/>
      <c r="BT43" s="98"/>
      <c r="BU43" s="98"/>
      <c r="BV43" s="98"/>
      <c r="BW43" s="98"/>
      <c r="BX43" s="98"/>
      <c r="BY43" s="98"/>
      <c r="BZ43" s="98"/>
      <c r="CA43" s="98"/>
      <c r="CB43" s="98"/>
      <c r="CC43" s="98"/>
      <c r="CD43" s="98"/>
      <c r="CE43" s="98"/>
      <c r="CF43" s="98"/>
      <c r="CG43" s="98"/>
      <c r="CH43" s="98"/>
      <c r="CI43" s="98"/>
      <c r="CJ43" s="98"/>
      <c r="CK43" s="98"/>
      <c r="CL43" s="98"/>
      <c r="CM43" s="98"/>
      <c r="CN43" s="98"/>
      <c r="CO43" s="98"/>
      <c r="CP43" s="98"/>
      <c r="CQ43" s="98"/>
      <c r="CR43" s="98"/>
      <c r="CS43" s="98"/>
      <c r="CT43" s="98"/>
    </row>
    <row r="44" customFormat="false" ht="15" hidden="false" customHeight="true" outlineLevel="0" collapsed="false">
      <c r="A44" s="97" t="s">
        <v>87</v>
      </c>
      <c r="C44" s="98" t="n">
        <v>-550</v>
      </c>
      <c r="D44" s="98" t="n">
        <v>-550</v>
      </c>
      <c r="E44" s="98" t="n">
        <v>-550</v>
      </c>
      <c r="F44" s="98" t="n">
        <v>-600</v>
      </c>
      <c r="G44" s="98" t="n">
        <v>-650</v>
      </c>
      <c r="H44" s="98" t="n">
        <v>-575</v>
      </c>
      <c r="I44" s="98" t="n">
        <v>-1300</v>
      </c>
      <c r="J44" s="98" t="n">
        <v>-325</v>
      </c>
      <c r="K44" s="98"/>
      <c r="L44" s="98"/>
      <c r="M44" s="98"/>
      <c r="N44" s="98"/>
      <c r="O44" s="98"/>
      <c r="P44" s="98"/>
      <c r="Q44" s="98"/>
      <c r="R44" s="98"/>
      <c r="S44" s="98"/>
      <c r="T44" s="98"/>
      <c r="U44" s="98"/>
      <c r="V44" s="98"/>
      <c r="W44" s="98"/>
      <c r="X44" s="98"/>
      <c r="Y44" s="98"/>
      <c r="Z44" s="98"/>
      <c r="AA44" s="98"/>
      <c r="AB44" s="98"/>
      <c r="AC44" s="98"/>
      <c r="AD44" s="98"/>
      <c r="AE44" s="98"/>
      <c r="AF44" s="98"/>
      <c r="AG44" s="98"/>
      <c r="AH44" s="98"/>
      <c r="AI44" s="98"/>
      <c r="AJ44" s="98"/>
      <c r="AK44" s="98"/>
      <c r="AL44" s="98"/>
      <c r="AM44" s="98"/>
      <c r="AN44" s="98"/>
      <c r="AO44" s="98"/>
      <c r="AP44" s="98"/>
      <c r="AQ44" s="98"/>
      <c r="AR44" s="98"/>
      <c r="AS44" s="98"/>
      <c r="AT44" s="98"/>
      <c r="AU44" s="98"/>
      <c r="AV44" s="98"/>
      <c r="AW44" s="98"/>
      <c r="AX44" s="98"/>
      <c r="AY44" s="98"/>
      <c r="AZ44" s="98"/>
      <c r="BA44" s="98"/>
      <c r="BB44" s="98"/>
      <c r="BC44" s="98"/>
      <c r="BD44" s="98"/>
      <c r="BE44" s="98"/>
      <c r="BF44" s="98"/>
      <c r="BG44" s="98"/>
      <c r="BH44" s="98"/>
      <c r="BI44" s="98"/>
      <c r="BJ44" s="98"/>
      <c r="BK44" s="98"/>
      <c r="BL44" s="98"/>
      <c r="BM44" s="98"/>
      <c r="BN44" s="98"/>
      <c r="BO44" s="98"/>
      <c r="BP44" s="98"/>
      <c r="BQ44" s="98"/>
      <c r="BR44" s="98"/>
      <c r="BS44" s="98"/>
      <c r="BT44" s="98"/>
      <c r="BU44" s="98"/>
      <c r="BV44" s="98"/>
      <c r="BW44" s="98"/>
      <c r="BX44" s="98"/>
      <c r="BY44" s="98"/>
      <c r="BZ44" s="98"/>
      <c r="CA44" s="98"/>
      <c r="CB44" s="98"/>
      <c r="CC44" s="98"/>
      <c r="CD44" s="98"/>
      <c r="CE44" s="98"/>
      <c r="CF44" s="98"/>
      <c r="CG44" s="98"/>
      <c r="CH44" s="98"/>
      <c r="CI44" s="98"/>
      <c r="CJ44" s="98"/>
      <c r="CK44" s="98"/>
      <c r="CL44" s="98"/>
      <c r="CM44" s="98"/>
      <c r="CN44" s="98"/>
      <c r="CO44" s="98"/>
      <c r="CP44" s="98"/>
      <c r="CQ44" s="98"/>
      <c r="CR44" s="98"/>
      <c r="CS44" s="98"/>
      <c r="CT44" s="98"/>
    </row>
    <row r="45" customFormat="false" ht="15" hidden="false" customHeight="true" outlineLevel="0" collapsed="false">
      <c r="A45" s="99" t="s">
        <v>88</v>
      </c>
      <c r="C45" s="103" t="n">
        <v>-19223.75</v>
      </c>
      <c r="D45" s="103" t="n">
        <v>-13381.97</v>
      </c>
      <c r="E45" s="103" t="n">
        <v>-20308.69</v>
      </c>
      <c r="F45" s="103" t="n">
        <v>-16948.76</v>
      </c>
      <c r="G45" s="103" t="n">
        <v>-29716.98</v>
      </c>
      <c r="H45" s="103" t="n">
        <v>-11335.64</v>
      </c>
      <c r="I45" s="103" t="n">
        <v>-11387.12</v>
      </c>
      <c r="J45" s="103" t="n">
        <v>-19873.14</v>
      </c>
      <c r="K45" s="103"/>
      <c r="L45" s="103"/>
      <c r="M45" s="103"/>
      <c r="N45" s="103"/>
      <c r="O45" s="103"/>
      <c r="P45" s="103"/>
      <c r="Q45" s="103"/>
      <c r="R45" s="103"/>
      <c r="S45" s="103"/>
      <c r="T45" s="103"/>
      <c r="U45" s="103"/>
      <c r="V45" s="103"/>
      <c r="W45" s="103"/>
      <c r="X45" s="103"/>
      <c r="Y45" s="103"/>
      <c r="Z45" s="103"/>
      <c r="AA45" s="103"/>
      <c r="AB45" s="103"/>
      <c r="AC45" s="103"/>
      <c r="AD45" s="103"/>
      <c r="AE45" s="103"/>
      <c r="AF45" s="103"/>
      <c r="AG45" s="103"/>
      <c r="AH45" s="103"/>
      <c r="AI45" s="103"/>
      <c r="AJ45" s="103"/>
      <c r="AK45" s="103"/>
      <c r="AL45" s="103"/>
      <c r="AM45" s="103"/>
      <c r="AN45" s="103"/>
      <c r="AO45" s="103"/>
      <c r="AP45" s="103"/>
      <c r="AQ45" s="103"/>
      <c r="AR45" s="103"/>
      <c r="AS45" s="103"/>
      <c r="AT45" s="103"/>
      <c r="AU45" s="103"/>
      <c r="AV45" s="103"/>
      <c r="AW45" s="103"/>
      <c r="AX45" s="103"/>
      <c r="AY45" s="103"/>
      <c r="AZ45" s="103"/>
      <c r="BA45" s="103"/>
      <c r="BB45" s="103"/>
      <c r="BC45" s="103"/>
      <c r="BD45" s="103"/>
      <c r="BE45" s="103"/>
      <c r="BF45" s="103"/>
      <c r="BG45" s="103"/>
      <c r="BH45" s="103"/>
      <c r="BI45" s="103"/>
      <c r="BJ45" s="103"/>
      <c r="BK45" s="103"/>
      <c r="BL45" s="103"/>
      <c r="BM45" s="103"/>
      <c r="BN45" s="103"/>
      <c r="BO45" s="103"/>
      <c r="BP45" s="103"/>
      <c r="BQ45" s="103"/>
      <c r="BR45" s="103"/>
      <c r="BS45" s="103"/>
      <c r="BT45" s="103"/>
      <c r="BU45" s="103"/>
      <c r="BV45" s="103"/>
      <c r="BW45" s="103"/>
      <c r="BX45" s="103"/>
      <c r="BY45" s="103"/>
      <c r="BZ45" s="103"/>
      <c r="CA45" s="103"/>
      <c r="CB45" s="103"/>
      <c r="CC45" s="103"/>
      <c r="CD45" s="103"/>
      <c r="CE45" s="103"/>
      <c r="CF45" s="103"/>
      <c r="CG45" s="103"/>
      <c r="CH45" s="103"/>
      <c r="CI45" s="103"/>
      <c r="CJ45" s="103"/>
      <c r="CK45" s="103"/>
      <c r="CL45" s="103"/>
      <c r="CM45" s="103"/>
      <c r="CN45" s="103"/>
      <c r="CO45" s="103"/>
      <c r="CP45" s="103"/>
      <c r="CQ45" s="103"/>
      <c r="CR45" s="103"/>
      <c r="CS45" s="103"/>
      <c r="CT45" s="103"/>
    </row>
    <row r="46" customFormat="false" ht="15" hidden="false" customHeight="true" outlineLevel="0" collapsed="false">
      <c r="A46" s="99" t="s">
        <v>89</v>
      </c>
      <c r="C46" s="103" t="n">
        <v>-1909.98</v>
      </c>
      <c r="D46" s="103" t="n">
        <v>-190.1</v>
      </c>
      <c r="E46" s="103" t="n">
        <v>-2166.92</v>
      </c>
      <c r="F46" s="103" t="n">
        <v>-1816.95</v>
      </c>
      <c r="G46" s="103" t="n">
        <v>-1452.9</v>
      </c>
      <c r="H46" s="103" t="n">
        <v>-13918.31</v>
      </c>
      <c r="I46" s="103" t="n">
        <v>9546.02</v>
      </c>
      <c r="J46" s="103" t="n">
        <v>-840.61</v>
      </c>
      <c r="K46" s="103"/>
      <c r="L46" s="103"/>
      <c r="M46" s="103"/>
      <c r="N46" s="103"/>
      <c r="O46" s="103"/>
      <c r="P46" s="103"/>
      <c r="Q46" s="103"/>
      <c r="R46" s="103"/>
      <c r="S46" s="103"/>
      <c r="T46" s="103"/>
      <c r="U46" s="103"/>
      <c r="V46" s="103"/>
      <c r="W46" s="103"/>
      <c r="X46" s="103"/>
      <c r="Y46" s="103"/>
      <c r="Z46" s="103"/>
      <c r="AA46" s="103"/>
      <c r="AB46" s="103"/>
      <c r="AC46" s="103"/>
      <c r="AD46" s="103"/>
      <c r="AE46" s="103"/>
      <c r="AF46" s="103"/>
      <c r="AG46" s="103"/>
      <c r="AH46" s="103"/>
      <c r="AI46" s="103"/>
      <c r="AJ46" s="103"/>
      <c r="AK46" s="103"/>
      <c r="AL46" s="103"/>
      <c r="AM46" s="103"/>
      <c r="AN46" s="103"/>
      <c r="AO46" s="103"/>
      <c r="AP46" s="103"/>
      <c r="AQ46" s="103"/>
      <c r="AR46" s="103"/>
      <c r="AS46" s="103"/>
      <c r="AT46" s="103"/>
      <c r="AU46" s="103"/>
      <c r="AV46" s="103"/>
      <c r="AW46" s="103"/>
      <c r="AX46" s="103"/>
      <c r="AY46" s="103"/>
      <c r="AZ46" s="103"/>
      <c r="BA46" s="103"/>
      <c r="BB46" s="103"/>
      <c r="BC46" s="103"/>
      <c r="BD46" s="103"/>
      <c r="BE46" s="103"/>
      <c r="BF46" s="103"/>
      <c r="BG46" s="103"/>
      <c r="BH46" s="103"/>
      <c r="BI46" s="103"/>
      <c r="BJ46" s="103"/>
      <c r="BK46" s="103"/>
      <c r="BL46" s="103"/>
      <c r="BM46" s="103"/>
      <c r="BN46" s="103"/>
      <c r="BO46" s="103"/>
      <c r="BP46" s="103"/>
      <c r="BQ46" s="103"/>
      <c r="BR46" s="103"/>
      <c r="BS46" s="103"/>
      <c r="BT46" s="103"/>
      <c r="BU46" s="103"/>
      <c r="BV46" s="103"/>
      <c r="BW46" s="103"/>
      <c r="BX46" s="103"/>
      <c r="BY46" s="103"/>
      <c r="BZ46" s="103"/>
      <c r="CA46" s="103"/>
      <c r="CB46" s="103"/>
      <c r="CC46" s="103"/>
      <c r="CD46" s="103"/>
      <c r="CE46" s="103"/>
      <c r="CF46" s="103"/>
      <c r="CG46" s="103"/>
      <c r="CH46" s="103"/>
      <c r="CI46" s="103"/>
      <c r="CJ46" s="103"/>
      <c r="CK46" s="103"/>
      <c r="CL46" s="103"/>
      <c r="CM46" s="103"/>
      <c r="CN46" s="103"/>
      <c r="CO46" s="103"/>
      <c r="CP46" s="103"/>
      <c r="CQ46" s="103"/>
      <c r="CR46" s="103"/>
      <c r="CS46" s="103"/>
      <c r="CT46" s="103"/>
    </row>
    <row r="47" customFormat="false" ht="15" hidden="false" customHeight="true" outlineLevel="0" collapsed="false">
      <c r="A47" s="99" t="s">
        <v>90</v>
      </c>
      <c r="C47" s="103" t="n">
        <v>-320</v>
      </c>
      <c r="D47" s="103" t="n">
        <v>-160</v>
      </c>
      <c r="E47" s="103" t="n">
        <v>0</v>
      </c>
      <c r="F47" s="103" t="n">
        <v>0</v>
      </c>
      <c r="G47" s="103" t="n">
        <v>-320</v>
      </c>
      <c r="H47" s="103" t="n">
        <v>-320</v>
      </c>
      <c r="I47" s="103" t="n">
        <v>0</v>
      </c>
      <c r="J47" s="103" t="n">
        <v>-160</v>
      </c>
      <c r="K47" s="103"/>
      <c r="L47" s="103"/>
      <c r="M47" s="103"/>
      <c r="N47" s="103"/>
      <c r="O47" s="103"/>
      <c r="P47" s="103"/>
      <c r="Q47" s="103"/>
      <c r="R47" s="103"/>
      <c r="S47" s="103"/>
      <c r="T47" s="103"/>
      <c r="U47" s="103"/>
      <c r="V47" s="103"/>
      <c r="W47" s="103"/>
      <c r="X47" s="103"/>
      <c r="Y47" s="103"/>
      <c r="Z47" s="103"/>
      <c r="AA47" s="103"/>
      <c r="AB47" s="103"/>
      <c r="AC47" s="103"/>
      <c r="AD47" s="103"/>
      <c r="AE47" s="103"/>
      <c r="AF47" s="103"/>
      <c r="AG47" s="103"/>
      <c r="AH47" s="103"/>
      <c r="AI47" s="103"/>
      <c r="AJ47" s="103"/>
      <c r="AK47" s="103"/>
      <c r="AL47" s="103"/>
      <c r="AM47" s="103"/>
      <c r="AN47" s="103"/>
      <c r="AO47" s="103"/>
      <c r="AP47" s="103"/>
      <c r="AQ47" s="103"/>
      <c r="AR47" s="103"/>
      <c r="AS47" s="103"/>
      <c r="AT47" s="103"/>
      <c r="AU47" s="103"/>
      <c r="AV47" s="103"/>
      <c r="AW47" s="103"/>
      <c r="AX47" s="103"/>
      <c r="AY47" s="103"/>
      <c r="AZ47" s="103"/>
      <c r="BA47" s="103"/>
      <c r="BB47" s="103"/>
      <c r="BC47" s="103"/>
      <c r="BD47" s="103"/>
      <c r="BE47" s="103"/>
      <c r="BF47" s="103"/>
      <c r="BG47" s="103"/>
      <c r="BH47" s="103"/>
      <c r="BI47" s="103"/>
      <c r="BJ47" s="103"/>
      <c r="BK47" s="103"/>
      <c r="BL47" s="103"/>
      <c r="BM47" s="103"/>
      <c r="BN47" s="103"/>
      <c r="BO47" s="103"/>
      <c r="BP47" s="103"/>
      <c r="BQ47" s="103"/>
      <c r="BR47" s="103"/>
      <c r="BS47" s="103"/>
      <c r="BT47" s="103"/>
      <c r="BU47" s="103"/>
      <c r="BV47" s="103"/>
      <c r="BW47" s="103"/>
      <c r="BX47" s="103"/>
      <c r="BY47" s="103"/>
      <c r="BZ47" s="103"/>
      <c r="CA47" s="103"/>
      <c r="CB47" s="103"/>
      <c r="CC47" s="103"/>
      <c r="CD47" s="103"/>
      <c r="CE47" s="103"/>
      <c r="CF47" s="103"/>
      <c r="CG47" s="103"/>
      <c r="CH47" s="103"/>
      <c r="CI47" s="103"/>
      <c r="CJ47" s="103"/>
      <c r="CK47" s="103"/>
      <c r="CL47" s="103"/>
      <c r="CM47" s="103"/>
      <c r="CN47" s="103"/>
      <c r="CO47" s="103"/>
      <c r="CP47" s="103"/>
      <c r="CQ47" s="103"/>
      <c r="CR47" s="103"/>
      <c r="CS47" s="103"/>
      <c r="CT47" s="103"/>
    </row>
    <row r="48" customFormat="false" ht="15" hidden="false" customHeight="true" outlineLevel="0" collapsed="false">
      <c r="A48" s="99" t="s">
        <v>91</v>
      </c>
      <c r="C48" s="103" t="n">
        <v>-17660.72</v>
      </c>
      <c r="D48" s="103" t="n">
        <v>-5799</v>
      </c>
      <c r="E48" s="103" t="n">
        <v>-3432.18</v>
      </c>
      <c r="F48" s="103" t="n">
        <v>0</v>
      </c>
      <c r="G48" s="103" t="n">
        <v>-73874.29</v>
      </c>
      <c r="H48" s="103" t="n">
        <v>0</v>
      </c>
      <c r="I48" s="103" t="n">
        <v>0</v>
      </c>
      <c r="J48" s="103" t="n">
        <v>-1372.32</v>
      </c>
      <c r="K48" s="103"/>
      <c r="L48" s="103"/>
      <c r="M48" s="103"/>
      <c r="N48" s="103"/>
      <c r="O48" s="103"/>
      <c r="P48" s="103"/>
      <c r="Q48" s="103"/>
      <c r="R48" s="103"/>
      <c r="S48" s="103"/>
      <c r="T48" s="103"/>
      <c r="U48" s="103"/>
      <c r="V48" s="103"/>
      <c r="W48" s="103"/>
      <c r="X48" s="103"/>
      <c r="Y48" s="103"/>
      <c r="Z48" s="103"/>
      <c r="AA48" s="103"/>
      <c r="AB48" s="103"/>
      <c r="AC48" s="103"/>
      <c r="AD48" s="103"/>
      <c r="AE48" s="103"/>
      <c r="AF48" s="103"/>
      <c r="AG48" s="103"/>
      <c r="AH48" s="103"/>
      <c r="AI48" s="103"/>
      <c r="AJ48" s="103"/>
      <c r="AK48" s="103"/>
      <c r="AL48" s="103"/>
      <c r="AM48" s="103"/>
      <c r="AN48" s="103"/>
      <c r="AO48" s="103"/>
      <c r="AP48" s="103"/>
      <c r="AQ48" s="103"/>
      <c r="AR48" s="103"/>
      <c r="AS48" s="103"/>
      <c r="AT48" s="103"/>
      <c r="AU48" s="103"/>
      <c r="AV48" s="103"/>
      <c r="AW48" s="103"/>
      <c r="AX48" s="103"/>
      <c r="AY48" s="103"/>
      <c r="AZ48" s="103"/>
      <c r="BA48" s="103"/>
      <c r="BB48" s="103"/>
      <c r="BC48" s="103"/>
      <c r="BD48" s="103"/>
      <c r="BE48" s="103"/>
      <c r="BF48" s="103"/>
      <c r="BG48" s="103"/>
      <c r="BH48" s="103"/>
      <c r="BI48" s="103"/>
      <c r="BJ48" s="103"/>
      <c r="BK48" s="103"/>
      <c r="BL48" s="103"/>
      <c r="BM48" s="103"/>
      <c r="BN48" s="103"/>
      <c r="BO48" s="103"/>
      <c r="BP48" s="103"/>
      <c r="BQ48" s="103"/>
      <c r="BR48" s="103"/>
      <c r="BS48" s="103"/>
      <c r="BT48" s="103"/>
      <c r="BU48" s="103"/>
      <c r="BV48" s="103"/>
      <c r="BW48" s="103"/>
      <c r="BX48" s="103"/>
      <c r="BY48" s="103"/>
      <c r="BZ48" s="103"/>
      <c r="CA48" s="103"/>
      <c r="CB48" s="103"/>
      <c r="CC48" s="103"/>
      <c r="CD48" s="103"/>
      <c r="CE48" s="103"/>
      <c r="CF48" s="103"/>
      <c r="CG48" s="103"/>
      <c r="CH48" s="103"/>
      <c r="CI48" s="103"/>
      <c r="CJ48" s="103"/>
      <c r="CK48" s="103"/>
      <c r="CL48" s="103"/>
      <c r="CM48" s="103"/>
      <c r="CN48" s="103"/>
      <c r="CO48" s="103"/>
      <c r="CP48" s="103"/>
      <c r="CQ48" s="103"/>
      <c r="CR48" s="103"/>
      <c r="CS48" s="103"/>
      <c r="CT48" s="103"/>
    </row>
    <row r="49" customFormat="false" ht="15" hidden="false" customHeight="true" outlineLevel="0" collapsed="false">
      <c r="A49" s="99" t="s">
        <v>92</v>
      </c>
      <c r="C49" s="98" t="n">
        <v>-1913.91</v>
      </c>
      <c r="D49" s="98" t="n">
        <v>-2254.72</v>
      </c>
      <c r="E49" s="98" t="n">
        <v>-1913.91</v>
      </c>
      <c r="F49" s="98" t="n">
        <v>-1609.91</v>
      </c>
      <c r="G49" s="98" t="n">
        <v>-2760.86</v>
      </c>
      <c r="H49" s="98" t="n">
        <v>0</v>
      </c>
      <c r="I49" s="98" t="n">
        <v>0</v>
      </c>
      <c r="J49" s="98" t="n">
        <v>-11.02</v>
      </c>
      <c r="K49" s="98"/>
      <c r="L49" s="98"/>
      <c r="M49" s="98"/>
      <c r="N49" s="98"/>
      <c r="O49" s="98"/>
      <c r="P49" s="98"/>
      <c r="Q49" s="98"/>
      <c r="R49" s="98"/>
      <c r="S49" s="98"/>
      <c r="T49" s="98"/>
      <c r="U49" s="98"/>
      <c r="V49" s="98"/>
      <c r="W49" s="98"/>
      <c r="X49" s="98"/>
      <c r="Y49" s="98"/>
      <c r="Z49" s="98"/>
      <c r="AA49" s="98"/>
      <c r="AB49" s="98"/>
      <c r="AC49" s="98"/>
      <c r="AD49" s="98"/>
      <c r="AE49" s="98"/>
      <c r="AF49" s="98"/>
      <c r="AG49" s="98"/>
      <c r="AH49" s="98"/>
      <c r="AI49" s="98"/>
      <c r="AJ49" s="98"/>
      <c r="AK49" s="98"/>
      <c r="AL49" s="98"/>
      <c r="AM49" s="98"/>
      <c r="AN49" s="98"/>
      <c r="AO49" s="98"/>
      <c r="AP49" s="98"/>
      <c r="AQ49" s="98"/>
      <c r="AR49" s="98"/>
      <c r="AS49" s="98"/>
      <c r="AT49" s="98"/>
      <c r="AU49" s="98"/>
      <c r="AV49" s="98"/>
      <c r="AW49" s="98"/>
      <c r="AX49" s="98"/>
      <c r="AY49" s="98"/>
      <c r="AZ49" s="98"/>
      <c r="BA49" s="98"/>
      <c r="BB49" s="98"/>
      <c r="BC49" s="98"/>
      <c r="BD49" s="98"/>
      <c r="BE49" s="98"/>
      <c r="BF49" s="98"/>
      <c r="BG49" s="98"/>
      <c r="BH49" s="98"/>
      <c r="BI49" s="98"/>
      <c r="BJ49" s="98"/>
      <c r="BK49" s="98"/>
      <c r="BL49" s="98"/>
      <c r="BM49" s="98"/>
      <c r="BN49" s="98"/>
      <c r="BO49" s="98"/>
      <c r="BP49" s="98"/>
      <c r="BQ49" s="98"/>
      <c r="BR49" s="98"/>
      <c r="BS49" s="98"/>
      <c r="BT49" s="98"/>
      <c r="BU49" s="98"/>
      <c r="BV49" s="98"/>
      <c r="BW49" s="98"/>
      <c r="BX49" s="98"/>
      <c r="BY49" s="98"/>
      <c r="BZ49" s="98"/>
      <c r="CA49" s="98"/>
      <c r="CB49" s="98"/>
      <c r="CC49" s="98"/>
      <c r="CD49" s="98"/>
      <c r="CE49" s="98"/>
      <c r="CF49" s="98"/>
      <c r="CG49" s="98"/>
      <c r="CH49" s="98"/>
      <c r="CI49" s="98"/>
      <c r="CJ49" s="98"/>
      <c r="CK49" s="98"/>
      <c r="CL49" s="98"/>
      <c r="CM49" s="98"/>
      <c r="CN49" s="98"/>
      <c r="CO49" s="98"/>
      <c r="CP49" s="98"/>
      <c r="CQ49" s="98"/>
      <c r="CR49" s="98"/>
      <c r="CS49" s="98"/>
      <c r="CT49" s="98"/>
    </row>
    <row r="50" customFormat="false" ht="15" hidden="false" customHeight="true" outlineLevel="0" collapsed="false">
      <c r="A50" s="99" t="s">
        <v>93</v>
      </c>
      <c r="C50" s="98" t="n">
        <v>0</v>
      </c>
      <c r="D50" s="98" t="n">
        <v>-75</v>
      </c>
      <c r="E50" s="98" t="n">
        <v>-5</v>
      </c>
      <c r="F50" s="98" t="n">
        <v>0</v>
      </c>
      <c r="G50" s="98" t="n">
        <v>0</v>
      </c>
      <c r="H50" s="98" t="n">
        <v>0</v>
      </c>
      <c r="I50" s="98" t="n">
        <v>-5</v>
      </c>
      <c r="J50" s="98" t="n">
        <v>-50</v>
      </c>
      <c r="K50" s="98"/>
      <c r="L50" s="98"/>
      <c r="M50" s="98"/>
      <c r="N50" s="98"/>
      <c r="O50" s="98"/>
      <c r="P50" s="98"/>
      <c r="Q50" s="98"/>
      <c r="R50" s="98"/>
      <c r="S50" s="98"/>
      <c r="T50" s="98"/>
      <c r="U50" s="98"/>
      <c r="V50" s="98"/>
      <c r="W50" s="98"/>
      <c r="X50" s="98"/>
      <c r="Y50" s="98"/>
      <c r="Z50" s="98"/>
      <c r="AA50" s="98"/>
      <c r="AB50" s="98"/>
      <c r="AC50" s="98"/>
      <c r="AD50" s="98"/>
      <c r="AE50" s="98"/>
      <c r="AF50" s="98"/>
      <c r="AG50" s="98"/>
      <c r="AH50" s="98"/>
      <c r="AI50" s="98"/>
      <c r="AJ50" s="98"/>
      <c r="AK50" s="98"/>
      <c r="AL50" s="98"/>
      <c r="AM50" s="98"/>
      <c r="AN50" s="98"/>
      <c r="AO50" s="98"/>
      <c r="AP50" s="98"/>
      <c r="AQ50" s="98"/>
      <c r="AR50" s="98"/>
      <c r="AS50" s="98"/>
      <c r="AT50" s="98"/>
      <c r="AU50" s="98"/>
      <c r="AV50" s="98"/>
      <c r="AW50" s="98"/>
      <c r="AX50" s="98"/>
      <c r="AY50" s="98"/>
      <c r="AZ50" s="98"/>
      <c r="BA50" s="98"/>
      <c r="BB50" s="98"/>
      <c r="BC50" s="98"/>
      <c r="BD50" s="98"/>
      <c r="BE50" s="98"/>
      <c r="BF50" s="98"/>
      <c r="BG50" s="98"/>
      <c r="BH50" s="98"/>
      <c r="BI50" s="98"/>
      <c r="BJ50" s="98"/>
      <c r="BK50" s="98"/>
      <c r="BL50" s="98"/>
      <c r="BM50" s="98"/>
      <c r="BN50" s="98"/>
      <c r="BO50" s="98"/>
      <c r="BP50" s="98"/>
      <c r="BQ50" s="98"/>
      <c r="BR50" s="98"/>
      <c r="BS50" s="98"/>
      <c r="BT50" s="98"/>
      <c r="BU50" s="98"/>
      <c r="BV50" s="98"/>
      <c r="BW50" s="98"/>
      <c r="BX50" s="98"/>
      <c r="BY50" s="98"/>
      <c r="BZ50" s="98"/>
      <c r="CA50" s="98"/>
      <c r="CB50" s="98"/>
      <c r="CC50" s="98"/>
      <c r="CD50" s="98"/>
      <c r="CE50" s="98"/>
      <c r="CF50" s="98"/>
      <c r="CG50" s="98"/>
      <c r="CH50" s="98"/>
      <c r="CI50" s="98"/>
      <c r="CJ50" s="98"/>
      <c r="CK50" s="98"/>
      <c r="CL50" s="98"/>
      <c r="CM50" s="98"/>
      <c r="CN50" s="98"/>
      <c r="CO50" s="98"/>
      <c r="CP50" s="98"/>
      <c r="CQ50" s="98"/>
      <c r="CR50" s="98"/>
      <c r="CS50" s="98"/>
      <c r="CT50" s="98"/>
    </row>
    <row r="51" customFormat="false" ht="15" hidden="false" customHeight="true" outlineLevel="0" collapsed="false">
      <c r="A51" s="99" t="s">
        <v>94</v>
      </c>
      <c r="C51" s="98" t="n">
        <v>0</v>
      </c>
      <c r="D51" s="98" t="n">
        <v>-63</v>
      </c>
      <c r="E51" s="98" t="n">
        <v>0</v>
      </c>
      <c r="F51" s="98" t="n">
        <v>0</v>
      </c>
      <c r="G51" s="98" t="n">
        <v>0</v>
      </c>
      <c r="H51" s="98" t="n">
        <v>0</v>
      </c>
      <c r="I51" s="98" t="n">
        <v>0</v>
      </c>
      <c r="J51" s="98" t="n">
        <v>0</v>
      </c>
      <c r="K51" s="98"/>
      <c r="L51" s="98"/>
      <c r="M51" s="98"/>
      <c r="N51" s="98"/>
      <c r="O51" s="98"/>
      <c r="P51" s="98"/>
      <c r="Q51" s="98"/>
      <c r="R51" s="98"/>
      <c r="S51" s="98"/>
      <c r="T51" s="98"/>
      <c r="U51" s="98"/>
      <c r="V51" s="98"/>
      <c r="W51" s="98"/>
      <c r="X51" s="98"/>
      <c r="Y51" s="98"/>
      <c r="Z51" s="98"/>
      <c r="AA51" s="98"/>
      <c r="AB51" s="98"/>
      <c r="AC51" s="98"/>
      <c r="AD51" s="98"/>
      <c r="AE51" s="98"/>
      <c r="AF51" s="98"/>
      <c r="AG51" s="98"/>
      <c r="AH51" s="98"/>
      <c r="AI51" s="98"/>
      <c r="AJ51" s="98"/>
      <c r="AK51" s="98"/>
      <c r="AL51" s="98"/>
      <c r="AM51" s="98"/>
      <c r="AN51" s="98"/>
      <c r="AO51" s="98"/>
      <c r="AP51" s="98"/>
      <c r="AQ51" s="98"/>
      <c r="AR51" s="98"/>
      <c r="AS51" s="98"/>
      <c r="AT51" s="98"/>
      <c r="AU51" s="98"/>
      <c r="AV51" s="98"/>
      <c r="AW51" s="98"/>
      <c r="AX51" s="98"/>
      <c r="AY51" s="98"/>
      <c r="AZ51" s="98"/>
      <c r="BA51" s="98"/>
      <c r="BB51" s="98"/>
      <c r="BC51" s="98"/>
      <c r="BD51" s="98"/>
      <c r="BE51" s="98"/>
      <c r="BF51" s="98"/>
      <c r="BG51" s="98"/>
      <c r="BH51" s="98"/>
      <c r="BI51" s="98"/>
      <c r="BJ51" s="98"/>
      <c r="BK51" s="98"/>
      <c r="BL51" s="98"/>
      <c r="BM51" s="98"/>
      <c r="BN51" s="98"/>
      <c r="BO51" s="98"/>
      <c r="BP51" s="98"/>
      <c r="BQ51" s="98"/>
      <c r="BR51" s="98"/>
      <c r="BS51" s="98"/>
      <c r="BT51" s="98"/>
      <c r="BU51" s="98"/>
      <c r="BV51" s="98"/>
      <c r="BW51" s="98"/>
      <c r="BX51" s="98"/>
      <c r="BY51" s="98"/>
      <c r="BZ51" s="98"/>
      <c r="CA51" s="98"/>
      <c r="CB51" s="98"/>
      <c r="CC51" s="98"/>
      <c r="CD51" s="98"/>
      <c r="CE51" s="98"/>
      <c r="CF51" s="98"/>
      <c r="CG51" s="98"/>
      <c r="CH51" s="98"/>
      <c r="CI51" s="98"/>
      <c r="CJ51" s="98"/>
      <c r="CK51" s="98"/>
      <c r="CL51" s="98"/>
      <c r="CM51" s="98"/>
      <c r="CN51" s="98"/>
      <c r="CO51" s="98"/>
      <c r="CP51" s="98"/>
      <c r="CQ51" s="98"/>
      <c r="CR51" s="98"/>
      <c r="CS51" s="98"/>
      <c r="CT51" s="98"/>
    </row>
    <row r="52" customFormat="false" ht="18" hidden="false" customHeight="true" outlineLevel="0" collapsed="false">
      <c r="A52" s="101" t="s">
        <v>95</v>
      </c>
      <c r="B52" s="104"/>
      <c r="C52" s="105"/>
      <c r="D52" s="105"/>
      <c r="E52" s="105"/>
      <c r="F52" s="105"/>
      <c r="G52" s="105"/>
      <c r="H52" s="105"/>
      <c r="I52" s="105"/>
      <c r="J52" s="105"/>
      <c r="K52" s="105"/>
      <c r="L52" s="105"/>
      <c r="M52" s="105"/>
      <c r="N52" s="105"/>
      <c r="O52" s="105"/>
      <c r="P52" s="105"/>
      <c r="Q52" s="105"/>
      <c r="R52" s="105"/>
      <c r="S52" s="105"/>
      <c r="T52" s="105"/>
      <c r="U52" s="105"/>
      <c r="V52" s="105"/>
      <c r="W52" s="105"/>
      <c r="X52" s="105"/>
      <c r="Y52" s="105"/>
      <c r="Z52" s="105"/>
      <c r="AA52" s="105"/>
      <c r="AB52" s="105"/>
      <c r="AC52" s="105"/>
      <c r="AD52" s="105"/>
      <c r="AE52" s="105"/>
      <c r="AF52" s="105"/>
      <c r="AG52" s="105"/>
      <c r="AH52" s="105"/>
      <c r="AI52" s="105"/>
      <c r="AJ52" s="105"/>
      <c r="AK52" s="105"/>
      <c r="AL52" s="105"/>
      <c r="AM52" s="105"/>
      <c r="AN52" s="105"/>
      <c r="AO52" s="105"/>
      <c r="AP52" s="105"/>
      <c r="AQ52" s="105"/>
      <c r="AR52" s="105"/>
      <c r="AS52" s="105"/>
      <c r="AT52" s="105"/>
      <c r="AU52" s="105"/>
      <c r="AV52" s="105"/>
      <c r="AW52" s="105"/>
      <c r="AX52" s="105"/>
      <c r="AY52" s="105"/>
      <c r="AZ52" s="105"/>
      <c r="BA52" s="105"/>
      <c r="BB52" s="105"/>
      <c r="BC52" s="105"/>
      <c r="BD52" s="105"/>
      <c r="BE52" s="105"/>
      <c r="BF52" s="105"/>
      <c r="BG52" s="105"/>
      <c r="BH52" s="105"/>
      <c r="BI52" s="105"/>
      <c r="BJ52" s="105"/>
      <c r="BK52" s="105"/>
      <c r="BL52" s="105"/>
      <c r="BM52" s="105"/>
      <c r="BN52" s="105"/>
      <c r="BO52" s="105"/>
      <c r="BP52" s="105"/>
      <c r="BQ52" s="105"/>
      <c r="BR52" s="105"/>
      <c r="BS52" s="105"/>
      <c r="BT52" s="105"/>
      <c r="BU52" s="105"/>
      <c r="BV52" s="105"/>
      <c r="BW52" s="105"/>
      <c r="BX52" s="105"/>
      <c r="BY52" s="105"/>
      <c r="BZ52" s="105"/>
      <c r="CA52" s="105"/>
      <c r="CB52" s="105"/>
      <c r="CC52" s="105"/>
      <c r="CD52" s="105"/>
      <c r="CE52" s="105"/>
      <c r="CF52" s="105"/>
      <c r="CG52" s="105"/>
      <c r="CH52" s="105"/>
      <c r="CI52" s="105"/>
      <c r="CJ52" s="105"/>
      <c r="CK52" s="105"/>
      <c r="CL52" s="105"/>
      <c r="CM52" s="105"/>
      <c r="CN52" s="105"/>
      <c r="CO52" s="105"/>
      <c r="CP52" s="105"/>
      <c r="CQ52" s="105"/>
      <c r="CR52" s="105"/>
      <c r="CS52" s="105"/>
      <c r="CT52" s="105"/>
    </row>
    <row r="53" customFormat="false" ht="15" hidden="false" customHeight="true" outlineLevel="0" collapsed="false">
      <c r="A53" s="106" t="s">
        <v>96</v>
      </c>
      <c r="C53" s="98" t="n">
        <v>0</v>
      </c>
      <c r="D53" s="98" t="n">
        <v>0</v>
      </c>
      <c r="E53" s="98" t="n">
        <v>-11105.35</v>
      </c>
      <c r="F53" s="98" t="n">
        <v>0</v>
      </c>
      <c r="G53" s="98" t="n">
        <v>0</v>
      </c>
      <c r="H53" s="98" t="n">
        <v>0</v>
      </c>
      <c r="I53" s="98" t="n">
        <v>0</v>
      </c>
      <c r="J53" s="98" t="n">
        <v>0</v>
      </c>
      <c r="K53" s="98"/>
      <c r="L53" s="98"/>
      <c r="M53" s="98"/>
      <c r="N53" s="98"/>
      <c r="O53" s="98"/>
      <c r="P53" s="98"/>
      <c r="Q53" s="98"/>
      <c r="R53" s="98"/>
      <c r="S53" s="98"/>
      <c r="T53" s="98"/>
      <c r="U53" s="98"/>
      <c r="V53" s="98"/>
      <c r="W53" s="98"/>
      <c r="X53" s="98"/>
      <c r="Y53" s="98"/>
      <c r="Z53" s="98"/>
      <c r="AA53" s="98"/>
      <c r="AB53" s="98"/>
      <c r="AC53" s="98"/>
      <c r="AD53" s="98"/>
      <c r="AE53" s="98"/>
      <c r="AF53" s="98"/>
      <c r="AG53" s="98"/>
      <c r="AH53" s="98"/>
      <c r="AI53" s="98"/>
      <c r="AJ53" s="98"/>
      <c r="AK53" s="98"/>
      <c r="AL53" s="98"/>
      <c r="AM53" s="98"/>
      <c r="AN53" s="98"/>
      <c r="AO53" s="98"/>
      <c r="AP53" s="98"/>
      <c r="AQ53" s="98"/>
      <c r="AR53" s="98"/>
      <c r="AS53" s="98"/>
      <c r="AT53" s="98"/>
      <c r="AU53" s="98"/>
      <c r="AV53" s="98"/>
      <c r="AW53" s="98"/>
      <c r="AX53" s="98"/>
      <c r="AY53" s="98"/>
      <c r="AZ53" s="98"/>
      <c r="BA53" s="98"/>
      <c r="BB53" s="98"/>
      <c r="BC53" s="98"/>
      <c r="BD53" s="98"/>
      <c r="BE53" s="98"/>
      <c r="BF53" s="98"/>
      <c r="BG53" s="98"/>
      <c r="BH53" s="98"/>
      <c r="BI53" s="98"/>
      <c r="BJ53" s="98"/>
      <c r="BK53" s="98"/>
      <c r="BL53" s="98"/>
      <c r="BM53" s="98"/>
      <c r="BN53" s="98"/>
      <c r="BO53" s="98"/>
      <c r="BP53" s="98"/>
      <c r="BQ53" s="98"/>
      <c r="BR53" s="98"/>
      <c r="BS53" s="98"/>
      <c r="BT53" s="98"/>
      <c r="BU53" s="98"/>
      <c r="BV53" s="98"/>
      <c r="BW53" s="98"/>
      <c r="BX53" s="98"/>
      <c r="BY53" s="98"/>
      <c r="BZ53" s="98"/>
      <c r="CA53" s="98"/>
      <c r="CB53" s="98"/>
      <c r="CC53" s="98"/>
      <c r="CD53" s="98"/>
      <c r="CE53" s="98"/>
      <c r="CF53" s="98"/>
      <c r="CG53" s="98"/>
      <c r="CH53" s="98"/>
      <c r="CI53" s="98"/>
      <c r="CJ53" s="98"/>
      <c r="CK53" s="98"/>
      <c r="CL53" s="98"/>
      <c r="CM53" s="98"/>
      <c r="CN53" s="98"/>
      <c r="CO53" s="98"/>
      <c r="CP53" s="98"/>
      <c r="CQ53" s="98"/>
      <c r="CR53" s="98"/>
      <c r="CS53" s="98"/>
      <c r="CT53" s="98"/>
    </row>
    <row r="54" customFormat="false" ht="15" hidden="false" customHeight="true" outlineLevel="0" collapsed="false">
      <c r="A54" s="106" t="s">
        <v>348</v>
      </c>
      <c r="C54" s="98"/>
      <c r="D54" s="98"/>
      <c r="E54" s="98"/>
      <c r="F54" s="98"/>
      <c r="G54" s="98"/>
      <c r="H54" s="98" t="n">
        <v>-612.68</v>
      </c>
      <c r="I54" s="98" t="n">
        <v>-1609.91</v>
      </c>
      <c r="J54" s="98" t="n">
        <v>-1609.91</v>
      </c>
      <c r="K54" s="98"/>
      <c r="L54" s="98"/>
      <c r="M54" s="98"/>
      <c r="N54" s="98"/>
      <c r="O54" s="98"/>
      <c r="P54" s="98"/>
      <c r="Q54" s="98"/>
      <c r="R54" s="98"/>
      <c r="S54" s="98"/>
      <c r="T54" s="98"/>
      <c r="U54" s="98"/>
      <c r="V54" s="98"/>
      <c r="W54" s="98"/>
      <c r="X54" s="98"/>
      <c r="Y54" s="98"/>
      <c r="Z54" s="98"/>
      <c r="AA54" s="98"/>
      <c r="AB54" s="98"/>
      <c r="AC54" s="98"/>
      <c r="AD54" s="98"/>
      <c r="AE54" s="98"/>
      <c r="AF54" s="98"/>
      <c r="AG54" s="98"/>
      <c r="AH54" s="98"/>
      <c r="AI54" s="98"/>
      <c r="AJ54" s="98"/>
      <c r="AK54" s="98"/>
      <c r="AL54" s="98"/>
      <c r="AM54" s="98"/>
      <c r="AN54" s="98"/>
      <c r="AO54" s="98"/>
      <c r="AP54" s="98"/>
      <c r="AQ54" s="98"/>
      <c r="AR54" s="98"/>
      <c r="AS54" s="98"/>
      <c r="AT54" s="98"/>
      <c r="AU54" s="98"/>
      <c r="AV54" s="98"/>
      <c r="AW54" s="98"/>
      <c r="AX54" s="98"/>
      <c r="AY54" s="98"/>
      <c r="AZ54" s="98"/>
      <c r="BA54" s="98"/>
      <c r="BB54" s="98"/>
      <c r="BC54" s="98"/>
      <c r="BD54" s="98"/>
      <c r="BE54" s="98"/>
      <c r="BF54" s="98"/>
      <c r="BG54" s="98"/>
      <c r="BH54" s="98"/>
      <c r="BI54" s="98"/>
      <c r="BJ54" s="98"/>
      <c r="BK54" s="98"/>
      <c r="BL54" s="98"/>
      <c r="BM54" s="98"/>
      <c r="BN54" s="98"/>
      <c r="BO54" s="98"/>
      <c r="BP54" s="98"/>
      <c r="BQ54" s="98"/>
      <c r="BR54" s="98"/>
      <c r="BS54" s="98"/>
      <c r="BT54" s="98"/>
      <c r="BU54" s="98"/>
      <c r="BV54" s="98"/>
      <c r="BW54" s="98"/>
      <c r="BX54" s="98"/>
      <c r="BY54" s="98"/>
      <c r="BZ54" s="98"/>
      <c r="CA54" s="98"/>
      <c r="CB54" s="98"/>
      <c r="CC54" s="98"/>
      <c r="CD54" s="98"/>
      <c r="CE54" s="98"/>
      <c r="CF54" s="98"/>
      <c r="CG54" s="98"/>
      <c r="CH54" s="98"/>
      <c r="CI54" s="98"/>
      <c r="CJ54" s="98"/>
      <c r="CK54" s="98"/>
      <c r="CL54" s="98"/>
      <c r="CM54" s="98"/>
      <c r="CN54" s="98"/>
      <c r="CO54" s="98"/>
      <c r="CP54" s="98"/>
      <c r="CQ54" s="98"/>
      <c r="CR54" s="98"/>
      <c r="CS54" s="98"/>
      <c r="CT54" s="98"/>
    </row>
    <row r="55" customFormat="false" ht="15" hidden="false" customHeight="true" outlineLevel="0" collapsed="false">
      <c r="A55" s="94" t="s">
        <v>97</v>
      </c>
      <c r="C55" s="107" t="n">
        <f aca="false">SUM(C20:C54)</f>
        <v>-260601.5</v>
      </c>
      <c r="D55" s="107" t="n">
        <f aca="false">SUM(D20:D54)</f>
        <v>-260308.54</v>
      </c>
      <c r="E55" s="107" t="n">
        <f aca="false">SUM(E20:E54)</f>
        <v>-351937.74</v>
      </c>
      <c r="F55" s="107" t="n">
        <f aca="false">SUM(F20:F54)</f>
        <v>-73431.56</v>
      </c>
      <c r="G55" s="107" t="n">
        <f aca="false">SUM(G20:G54)</f>
        <v>-437914.85</v>
      </c>
      <c r="H55" s="107" t="n">
        <f aca="false">SUM(H20:H54)</f>
        <v>-323453.89</v>
      </c>
      <c r="I55" s="107" t="n">
        <f aca="false">SUM(I20:I54)</f>
        <v>-321511.57</v>
      </c>
      <c r="J55" s="107" t="n">
        <f aca="false">SUM(J20:J54)</f>
        <v>-385163.17</v>
      </c>
      <c r="K55" s="107" t="n">
        <f aca="false">SUM(K20:K54)</f>
        <v>0</v>
      </c>
      <c r="L55" s="107" t="n">
        <f aca="false">SUM(L20:L54)</f>
        <v>0</v>
      </c>
      <c r="M55" s="107" t="n">
        <f aca="false">SUM(M20:M54)</f>
        <v>0</v>
      </c>
      <c r="N55" s="107" t="n">
        <f aca="false">SUM(N20:N54)</f>
        <v>0</v>
      </c>
      <c r="O55" s="107" t="n">
        <f aca="false">SUM(O20:O54)</f>
        <v>0</v>
      </c>
      <c r="P55" s="107" t="n">
        <f aca="false">SUM(P20:P54)</f>
        <v>0</v>
      </c>
      <c r="Q55" s="107" t="n">
        <f aca="false">SUM(Q20:Q54)</f>
        <v>0</v>
      </c>
      <c r="R55" s="107" t="n">
        <f aca="false">SUM(R20:R54)</f>
        <v>0</v>
      </c>
      <c r="S55" s="107" t="n">
        <f aca="false">SUM(S20:S54)</f>
        <v>0</v>
      </c>
      <c r="T55" s="107" t="n">
        <f aca="false">SUM(T20:T54)</f>
        <v>0</v>
      </c>
      <c r="U55" s="107" t="n">
        <f aca="false">SUM(U20:U54)</f>
        <v>0</v>
      </c>
      <c r="V55" s="107" t="n">
        <f aca="false">SUM(V20:V54)</f>
        <v>0</v>
      </c>
      <c r="W55" s="107" t="n">
        <f aca="false">SUM(W20:W54)</f>
        <v>0</v>
      </c>
      <c r="X55" s="107" t="n">
        <f aca="false">SUM(X20:X54)</f>
        <v>0</v>
      </c>
      <c r="Y55" s="107" t="n">
        <f aca="false">SUM(Y20:Y54)</f>
        <v>0</v>
      </c>
      <c r="Z55" s="107" t="n">
        <f aca="false">SUM(Z20:Z54)</f>
        <v>0</v>
      </c>
      <c r="AA55" s="107" t="n">
        <f aca="false">SUM(AA20:AA54)</f>
        <v>0</v>
      </c>
      <c r="AB55" s="107" t="n">
        <f aca="false">SUM(AB20:AB54)</f>
        <v>0</v>
      </c>
      <c r="AC55" s="107" t="n">
        <f aca="false">SUM(AC20:AC54)</f>
        <v>0</v>
      </c>
      <c r="AD55" s="107" t="n">
        <f aca="false">SUM(AD20:AD54)</f>
        <v>0</v>
      </c>
      <c r="AE55" s="107" t="n">
        <f aca="false">SUM(AE20:AE54)</f>
        <v>0</v>
      </c>
      <c r="AF55" s="107" t="n">
        <f aca="false">SUM(AF20:AF54)</f>
        <v>0</v>
      </c>
      <c r="AG55" s="107" t="n">
        <f aca="false">SUM(AG20:AG54)</f>
        <v>0</v>
      </c>
      <c r="AH55" s="107" t="n">
        <f aca="false">SUM(AH20:AH54)</f>
        <v>0</v>
      </c>
      <c r="AI55" s="107" t="n">
        <f aca="false">SUM(AI20:AI54)</f>
        <v>0</v>
      </c>
      <c r="AJ55" s="107" t="n">
        <f aca="false">SUM(AJ20:AJ54)</f>
        <v>0</v>
      </c>
      <c r="AK55" s="107" t="n">
        <f aca="false">SUM(AK20:AK54)</f>
        <v>0</v>
      </c>
      <c r="AL55" s="107" t="n">
        <f aca="false">SUM(AL20:AL54)</f>
        <v>0</v>
      </c>
      <c r="AM55" s="107" t="n">
        <f aca="false">SUM(AM20:AM54)</f>
        <v>0</v>
      </c>
      <c r="AN55" s="107" t="n">
        <f aca="false">SUM(AN20:AN54)</f>
        <v>0</v>
      </c>
      <c r="AO55" s="107" t="n">
        <f aca="false">SUM(AO20:AO54)</f>
        <v>0</v>
      </c>
      <c r="AP55" s="107" t="n">
        <f aca="false">SUM(AP20:AP54)</f>
        <v>0</v>
      </c>
      <c r="AQ55" s="107" t="n">
        <f aca="false">SUM(AQ20:AQ54)</f>
        <v>0</v>
      </c>
      <c r="AR55" s="107" t="n">
        <f aca="false">SUM(AR20:AR54)</f>
        <v>0</v>
      </c>
      <c r="AS55" s="107" t="n">
        <f aca="false">SUM(AS20:AS54)</f>
        <v>0</v>
      </c>
      <c r="AT55" s="107" t="n">
        <f aca="false">SUM(AT20:AT54)</f>
        <v>0</v>
      </c>
      <c r="AU55" s="107" t="n">
        <f aca="false">SUM(AU20:AU54)</f>
        <v>0</v>
      </c>
      <c r="AV55" s="107" t="n">
        <f aca="false">SUM(AV20:AV54)</f>
        <v>0</v>
      </c>
      <c r="AW55" s="107" t="n">
        <f aca="false">SUM(AW20:AW54)</f>
        <v>0</v>
      </c>
      <c r="AX55" s="107" t="n">
        <f aca="false">SUM(AX20:AX54)</f>
        <v>0</v>
      </c>
      <c r="AY55" s="107" t="n">
        <f aca="false">SUM(AY20:AY54)</f>
        <v>0</v>
      </c>
      <c r="AZ55" s="107" t="n">
        <f aca="false">SUM(AZ20:AZ54)</f>
        <v>0</v>
      </c>
      <c r="BA55" s="107" t="n">
        <f aca="false">SUM(BA20:BA54)</f>
        <v>0</v>
      </c>
      <c r="BB55" s="107" t="n">
        <f aca="false">SUM(BB20:BB54)</f>
        <v>0</v>
      </c>
      <c r="BC55" s="107" t="n">
        <f aca="false">SUM(BC20:BC54)</f>
        <v>0</v>
      </c>
      <c r="BD55" s="107" t="n">
        <f aca="false">SUM(BD20:BD54)</f>
        <v>0</v>
      </c>
      <c r="BE55" s="107" t="n">
        <f aca="false">SUM(BE20:BE54)</f>
        <v>0</v>
      </c>
      <c r="BF55" s="107" t="n">
        <f aca="false">SUM(BF20:BF54)</f>
        <v>0</v>
      </c>
      <c r="BG55" s="107" t="n">
        <f aca="false">SUM(BG20:BG54)</f>
        <v>0</v>
      </c>
      <c r="BH55" s="107" t="n">
        <f aca="false">SUM(BH20:BH54)</f>
        <v>0</v>
      </c>
      <c r="BI55" s="107" t="n">
        <f aca="false">SUM(BI20:BI54)</f>
        <v>0</v>
      </c>
      <c r="BJ55" s="107" t="n">
        <f aca="false">SUM(BJ20:BJ54)</f>
        <v>0</v>
      </c>
      <c r="BK55" s="107" t="n">
        <f aca="false">SUM(BK20:BK54)</f>
        <v>0</v>
      </c>
      <c r="BL55" s="107" t="n">
        <f aca="false">SUM(BL20:BL54)</f>
        <v>0</v>
      </c>
      <c r="BM55" s="107" t="n">
        <f aca="false">SUM(BM20:BM54)</f>
        <v>0</v>
      </c>
      <c r="BN55" s="107" t="n">
        <f aca="false">SUM(BN20:BN54)</f>
        <v>0</v>
      </c>
      <c r="BO55" s="107" t="n">
        <f aca="false">SUM(BO20:BO54)</f>
        <v>0</v>
      </c>
      <c r="BP55" s="107" t="n">
        <f aca="false">SUM(BP20:BP54)</f>
        <v>0</v>
      </c>
      <c r="BQ55" s="107" t="n">
        <f aca="false">SUM(BQ20:BQ54)</f>
        <v>0</v>
      </c>
      <c r="BR55" s="107" t="n">
        <f aca="false">SUM(BR20:BR54)</f>
        <v>0</v>
      </c>
      <c r="BS55" s="107" t="n">
        <f aca="false">SUM(BS20:BS54)</f>
        <v>0</v>
      </c>
      <c r="BT55" s="107" t="n">
        <f aca="false">SUM(BT20:BT54)</f>
        <v>0</v>
      </c>
      <c r="BU55" s="107" t="n">
        <f aca="false">SUM(BU20:BU54)</f>
        <v>0</v>
      </c>
      <c r="BV55" s="107" t="n">
        <f aca="false">SUM(BV20:BV54)</f>
        <v>0</v>
      </c>
      <c r="BW55" s="107" t="n">
        <f aca="false">SUM(BW20:BW54)</f>
        <v>0</v>
      </c>
      <c r="BX55" s="107" t="n">
        <f aca="false">SUM(BX20:BX54)</f>
        <v>0</v>
      </c>
      <c r="BY55" s="107" t="n">
        <f aca="false">SUM(BY20:BY54)</f>
        <v>0</v>
      </c>
      <c r="BZ55" s="107" t="n">
        <f aca="false">SUM(BZ20:BZ54)</f>
        <v>0</v>
      </c>
      <c r="CA55" s="107" t="n">
        <f aca="false">SUM(CA20:CA54)</f>
        <v>0</v>
      </c>
      <c r="CB55" s="107" t="n">
        <f aca="false">SUM(CB20:CB54)</f>
        <v>0</v>
      </c>
      <c r="CC55" s="107" t="n">
        <f aca="false">SUM(CC20:CC54)</f>
        <v>0</v>
      </c>
      <c r="CD55" s="107" t="n">
        <f aca="false">SUM(CD20:CD54)</f>
        <v>0</v>
      </c>
      <c r="CE55" s="107" t="n">
        <f aca="false">SUM(CE20:CE54)</f>
        <v>0</v>
      </c>
      <c r="CF55" s="107" t="n">
        <f aca="false">SUM(CF20:CF54)</f>
        <v>0</v>
      </c>
      <c r="CG55" s="107" t="n">
        <f aca="false">SUM(CG20:CG54)</f>
        <v>0</v>
      </c>
      <c r="CH55" s="107" t="n">
        <f aca="false">SUM(CH20:CH54)</f>
        <v>0</v>
      </c>
      <c r="CI55" s="107" t="n">
        <f aca="false">SUM(CI20:CI54)</f>
        <v>0</v>
      </c>
      <c r="CJ55" s="107" t="n">
        <f aca="false">SUM(CJ20:CJ54)</f>
        <v>0</v>
      </c>
      <c r="CK55" s="107" t="n">
        <f aca="false">SUM(CK20:CK54)</f>
        <v>0</v>
      </c>
      <c r="CL55" s="107" t="n">
        <f aca="false">SUM(CL20:CL54)</f>
        <v>0</v>
      </c>
      <c r="CM55" s="107" t="n">
        <f aca="false">SUM(CM20:CM54)</f>
        <v>0</v>
      </c>
      <c r="CN55" s="107" t="n">
        <f aca="false">SUM(CN20:CN54)</f>
        <v>0</v>
      </c>
      <c r="CO55" s="107" t="n">
        <f aca="false">SUM(CO20:CO54)</f>
        <v>0</v>
      </c>
      <c r="CP55" s="107" t="n">
        <f aca="false">SUM(CP20:CP54)</f>
        <v>0</v>
      </c>
      <c r="CQ55" s="107" t="n">
        <f aca="false">SUM(CQ20:CQ54)</f>
        <v>0</v>
      </c>
      <c r="CR55" s="107" t="n">
        <f aca="false">SUM(CR20:CR54)</f>
        <v>0</v>
      </c>
      <c r="CS55" s="107" t="n">
        <f aca="false">SUM(CS20:CS54)</f>
        <v>0</v>
      </c>
      <c r="CT55" s="107" t="n">
        <f aca="false">SUM(CT20:CT54)</f>
        <v>0</v>
      </c>
    </row>
    <row r="56" customFormat="false" ht="15" hidden="false" customHeight="true" outlineLevel="0" collapsed="false">
      <c r="A56" s="97"/>
      <c r="C56" s="98"/>
      <c r="D56" s="98"/>
      <c r="E56" s="98"/>
      <c r="F56" s="98"/>
      <c r="G56" s="98"/>
      <c r="H56" s="98"/>
      <c r="I56" s="98"/>
      <c r="J56" s="98"/>
      <c r="K56" s="98"/>
      <c r="L56" s="98"/>
      <c r="M56" s="98"/>
      <c r="N56" s="98"/>
      <c r="O56" s="98"/>
      <c r="P56" s="98"/>
      <c r="Q56" s="98"/>
      <c r="R56" s="98"/>
      <c r="S56" s="98"/>
      <c r="T56" s="98"/>
      <c r="U56" s="98"/>
      <c r="V56" s="98"/>
      <c r="W56" s="98"/>
      <c r="X56" s="98"/>
      <c r="Y56" s="98"/>
      <c r="Z56" s="98"/>
      <c r="AA56" s="98"/>
      <c r="AB56" s="98"/>
      <c r="AC56" s="98"/>
      <c r="AD56" s="98"/>
      <c r="AE56" s="98"/>
      <c r="AF56" s="98"/>
      <c r="AG56" s="98"/>
      <c r="AH56" s="98"/>
      <c r="AI56" s="98"/>
      <c r="AJ56" s="98"/>
      <c r="AK56" s="98"/>
      <c r="AL56" s="98"/>
      <c r="AM56" s="98"/>
      <c r="AN56" s="98"/>
      <c r="AO56" s="98"/>
      <c r="AP56" s="98"/>
      <c r="AQ56" s="98"/>
      <c r="AR56" s="98"/>
      <c r="AS56" s="98"/>
      <c r="AT56" s="98"/>
      <c r="AU56" s="98"/>
      <c r="AV56" s="98"/>
      <c r="AW56" s="98"/>
      <c r="AX56" s="98"/>
      <c r="AY56" s="98"/>
      <c r="AZ56" s="98"/>
      <c r="BA56" s="98"/>
      <c r="BB56" s="98"/>
      <c r="BC56" s="98"/>
      <c r="BD56" s="98"/>
      <c r="BE56" s="98"/>
      <c r="BF56" s="98"/>
      <c r="BG56" s="98"/>
      <c r="BH56" s="98"/>
      <c r="BI56" s="98"/>
      <c r="BJ56" s="98"/>
      <c r="BK56" s="98"/>
      <c r="BL56" s="98"/>
      <c r="BM56" s="98"/>
      <c r="BN56" s="98"/>
      <c r="BO56" s="98"/>
      <c r="BP56" s="98"/>
      <c r="BQ56" s="98"/>
      <c r="BR56" s="98"/>
      <c r="BS56" s="98"/>
      <c r="BT56" s="98"/>
      <c r="BU56" s="98"/>
      <c r="BV56" s="98"/>
      <c r="BW56" s="98"/>
      <c r="BX56" s="98"/>
      <c r="BY56" s="98"/>
      <c r="BZ56" s="98"/>
      <c r="CA56" s="98"/>
      <c r="CB56" s="98"/>
      <c r="CC56" s="98"/>
      <c r="CD56" s="98"/>
      <c r="CE56" s="98"/>
      <c r="CF56" s="98"/>
      <c r="CG56" s="98"/>
      <c r="CH56" s="98"/>
      <c r="CI56" s="98"/>
      <c r="CJ56" s="98"/>
      <c r="CK56" s="98"/>
      <c r="CL56" s="98"/>
      <c r="CM56" s="98"/>
      <c r="CN56" s="98"/>
      <c r="CO56" s="98"/>
      <c r="CP56" s="98"/>
      <c r="CQ56" s="98"/>
      <c r="CR56" s="98"/>
      <c r="CS56" s="98"/>
      <c r="CT56" s="98"/>
    </row>
    <row r="57" customFormat="false" ht="15" hidden="false" customHeight="true" outlineLevel="0" collapsed="false">
      <c r="A57" s="101" t="s">
        <v>98</v>
      </c>
      <c r="C57" s="108" t="n">
        <f aca="false">C17+C55</f>
        <v>-41844.6399999999</v>
      </c>
      <c r="D57" s="108" t="n">
        <f aca="false">D17+D55</f>
        <v>-311309.31</v>
      </c>
      <c r="E57" s="108" t="n">
        <f aca="false">E17+E55</f>
        <v>242246.78</v>
      </c>
      <c r="F57" s="108" t="n">
        <f aca="false">F17+F55</f>
        <v>373926.69</v>
      </c>
      <c r="G57" s="108" t="n">
        <f aca="false">G17+G55</f>
        <v>27621.8499999997</v>
      </c>
      <c r="H57" s="108" t="n">
        <f aca="false">H17+H55</f>
        <v>317897.240000001</v>
      </c>
      <c r="I57" s="108" t="n">
        <f aca="false">I17+I55</f>
        <v>1445137.94</v>
      </c>
      <c r="J57" s="108" t="n">
        <f aca="false">J17+J55</f>
        <v>175572.22</v>
      </c>
      <c r="K57" s="108" t="n">
        <f aca="false">K17+K55</f>
        <v>0</v>
      </c>
      <c r="L57" s="108" t="n">
        <f aca="false">L17+L55</f>
        <v>0</v>
      </c>
      <c r="M57" s="108" t="n">
        <f aca="false">M17+M55</f>
        <v>0</v>
      </c>
      <c r="N57" s="108" t="n">
        <f aca="false">N17+N55</f>
        <v>0</v>
      </c>
      <c r="O57" s="108" t="n">
        <f aca="false">O17+O55</f>
        <v>0</v>
      </c>
      <c r="P57" s="108" t="n">
        <f aca="false">P17+P55</f>
        <v>0</v>
      </c>
      <c r="Q57" s="108" t="n">
        <f aca="false">Q17+Q55</f>
        <v>0</v>
      </c>
      <c r="R57" s="108" t="n">
        <f aca="false">R17+R55</f>
        <v>0</v>
      </c>
      <c r="S57" s="108" t="n">
        <f aca="false">S17+S55</f>
        <v>0</v>
      </c>
      <c r="T57" s="108" t="n">
        <f aca="false">T17+T55</f>
        <v>0</v>
      </c>
      <c r="U57" s="108" t="n">
        <f aca="false">U17+U55</f>
        <v>0</v>
      </c>
      <c r="V57" s="108" t="n">
        <f aca="false">V17+V55</f>
        <v>0</v>
      </c>
      <c r="W57" s="108" t="n">
        <f aca="false">W17+W55</f>
        <v>0</v>
      </c>
      <c r="X57" s="108" t="n">
        <f aca="false">X17+X55</f>
        <v>0</v>
      </c>
      <c r="Y57" s="108" t="n">
        <f aca="false">Y17+Y55</f>
        <v>0</v>
      </c>
      <c r="Z57" s="108" t="n">
        <f aca="false">Z17+Z55</f>
        <v>0</v>
      </c>
      <c r="AA57" s="108" t="n">
        <f aca="false">AA17+AA55</f>
        <v>0</v>
      </c>
      <c r="AB57" s="108" t="n">
        <f aca="false">AB17+AB55</f>
        <v>0</v>
      </c>
      <c r="AC57" s="108" t="n">
        <f aca="false">AC17+AC55</f>
        <v>0</v>
      </c>
      <c r="AD57" s="108" t="n">
        <f aca="false">AD17+AD55</f>
        <v>0</v>
      </c>
      <c r="AE57" s="108" t="n">
        <f aca="false">AE17+AE55</f>
        <v>0</v>
      </c>
      <c r="AF57" s="108" t="n">
        <f aca="false">AF17+AF55</f>
        <v>0</v>
      </c>
      <c r="AG57" s="108" t="n">
        <f aca="false">AG17+AG55</f>
        <v>0</v>
      </c>
      <c r="AH57" s="108" t="n">
        <f aca="false">AH17+AH55</f>
        <v>0</v>
      </c>
      <c r="AI57" s="108" t="n">
        <f aca="false">AI17+AI55</f>
        <v>0</v>
      </c>
      <c r="AJ57" s="108" t="n">
        <f aca="false">AJ17+AJ55</f>
        <v>0</v>
      </c>
      <c r="AK57" s="108" t="n">
        <f aca="false">AK17+AK55</f>
        <v>0</v>
      </c>
      <c r="AL57" s="108" t="n">
        <f aca="false">AL17+AL55</f>
        <v>0</v>
      </c>
      <c r="AM57" s="108" t="n">
        <f aca="false">AM17+AM55</f>
        <v>0</v>
      </c>
      <c r="AN57" s="108" t="n">
        <f aca="false">AN17+AN55</f>
        <v>0</v>
      </c>
      <c r="AO57" s="108" t="n">
        <f aca="false">AO17+AO55</f>
        <v>0</v>
      </c>
      <c r="AP57" s="108" t="n">
        <f aca="false">AP17+AP55</f>
        <v>0</v>
      </c>
      <c r="AQ57" s="108" t="n">
        <f aca="false">AQ17+AQ55</f>
        <v>0</v>
      </c>
      <c r="AR57" s="108" t="n">
        <f aca="false">AR17+AR55</f>
        <v>0</v>
      </c>
      <c r="AS57" s="108" t="n">
        <f aca="false">AS17+AS55</f>
        <v>0</v>
      </c>
      <c r="AT57" s="108" t="n">
        <f aca="false">AT17+AT55</f>
        <v>0</v>
      </c>
      <c r="AU57" s="108" t="n">
        <f aca="false">AU17+AU55</f>
        <v>0</v>
      </c>
      <c r="AV57" s="108" t="n">
        <f aca="false">AV17+AV55</f>
        <v>0</v>
      </c>
      <c r="AW57" s="108" t="n">
        <f aca="false">AW17+AW55</f>
        <v>0</v>
      </c>
      <c r="AX57" s="108" t="n">
        <f aca="false">AX17+AX55</f>
        <v>0</v>
      </c>
      <c r="AY57" s="108" t="n">
        <f aca="false">AY17+AY55</f>
        <v>0</v>
      </c>
      <c r="AZ57" s="108" t="n">
        <f aca="false">AZ17+AZ55</f>
        <v>0</v>
      </c>
      <c r="BA57" s="108" t="n">
        <f aca="false">BA17+BA55</f>
        <v>0</v>
      </c>
      <c r="BB57" s="108" t="n">
        <f aca="false">BB17+BB55</f>
        <v>0</v>
      </c>
      <c r="BC57" s="108" t="n">
        <f aca="false">BC17+BC55</f>
        <v>0</v>
      </c>
      <c r="BD57" s="108" t="n">
        <f aca="false">BD17+BD55</f>
        <v>0</v>
      </c>
      <c r="BE57" s="108" t="n">
        <f aca="false">BE17+BE55</f>
        <v>0</v>
      </c>
      <c r="BF57" s="108" t="n">
        <f aca="false">BF17+BF55</f>
        <v>0</v>
      </c>
      <c r="BG57" s="108" t="n">
        <f aca="false">BG17+BG55</f>
        <v>0</v>
      </c>
      <c r="BH57" s="108" t="n">
        <f aca="false">BH17+BH55</f>
        <v>0</v>
      </c>
      <c r="BI57" s="108" t="n">
        <f aca="false">BI17+BI55</f>
        <v>0</v>
      </c>
      <c r="BJ57" s="108" t="n">
        <f aca="false">BJ17+BJ55</f>
        <v>0</v>
      </c>
      <c r="BK57" s="108" t="n">
        <f aca="false">BK17+BK55</f>
        <v>0</v>
      </c>
      <c r="BL57" s="108" t="n">
        <f aca="false">BL17+BL55</f>
        <v>0</v>
      </c>
      <c r="BM57" s="108" t="n">
        <f aca="false">BM17+BM55</f>
        <v>0</v>
      </c>
      <c r="BN57" s="108" t="n">
        <f aca="false">BN17+BN55</f>
        <v>0</v>
      </c>
      <c r="BO57" s="108" t="n">
        <f aca="false">BO17+BO55</f>
        <v>0</v>
      </c>
      <c r="BP57" s="108" t="n">
        <f aca="false">BP17+BP55</f>
        <v>0</v>
      </c>
      <c r="BQ57" s="108" t="n">
        <f aca="false">BQ17+BQ55</f>
        <v>0</v>
      </c>
      <c r="BR57" s="108" t="n">
        <f aca="false">BR17+BR55</f>
        <v>0</v>
      </c>
      <c r="BS57" s="108" t="n">
        <f aca="false">BS17+BS55</f>
        <v>0</v>
      </c>
      <c r="BT57" s="108" t="n">
        <f aca="false">BT17+BT55</f>
        <v>0</v>
      </c>
      <c r="BU57" s="108" t="n">
        <f aca="false">BU17+BU55</f>
        <v>0</v>
      </c>
      <c r="BV57" s="108" t="n">
        <f aca="false">BV17+BV55</f>
        <v>0</v>
      </c>
      <c r="BW57" s="108" t="n">
        <f aca="false">BW17+BW55</f>
        <v>0</v>
      </c>
      <c r="BX57" s="108" t="n">
        <f aca="false">BX17+BX55</f>
        <v>0</v>
      </c>
      <c r="BY57" s="108" t="n">
        <f aca="false">BY17+BY55</f>
        <v>0</v>
      </c>
      <c r="BZ57" s="108" t="n">
        <f aca="false">BZ17+BZ55</f>
        <v>0</v>
      </c>
      <c r="CA57" s="108" t="n">
        <f aca="false">CA17+CA55</f>
        <v>0</v>
      </c>
      <c r="CB57" s="108" t="n">
        <f aca="false">CB17+CB55</f>
        <v>0</v>
      </c>
      <c r="CC57" s="108" t="n">
        <f aca="false">CC17+CC55</f>
        <v>0</v>
      </c>
      <c r="CD57" s="108" t="n">
        <f aca="false">CD17+CD55</f>
        <v>0</v>
      </c>
      <c r="CE57" s="108" t="n">
        <f aca="false">CE17+CE55</f>
        <v>0</v>
      </c>
      <c r="CF57" s="108" t="n">
        <f aca="false">CF17+CF55</f>
        <v>0</v>
      </c>
      <c r="CG57" s="108" t="n">
        <f aca="false">CG17+CG55</f>
        <v>0</v>
      </c>
      <c r="CH57" s="108" t="n">
        <f aca="false">CH17+CH55</f>
        <v>0</v>
      </c>
      <c r="CI57" s="108" t="n">
        <f aca="false">CI17+CI55</f>
        <v>0</v>
      </c>
      <c r="CJ57" s="108" t="n">
        <f aca="false">CJ17+CJ55</f>
        <v>0</v>
      </c>
      <c r="CK57" s="108" t="n">
        <f aca="false">CK17+CK55</f>
        <v>0</v>
      </c>
      <c r="CL57" s="108" t="n">
        <f aca="false">CL17+CL55</f>
        <v>0</v>
      </c>
      <c r="CM57" s="108" t="n">
        <f aca="false">CM17+CM55</f>
        <v>0</v>
      </c>
      <c r="CN57" s="108" t="n">
        <f aca="false">CN17+CN55</f>
        <v>0</v>
      </c>
      <c r="CO57" s="108" t="n">
        <f aca="false">CO17+CO55</f>
        <v>0</v>
      </c>
      <c r="CP57" s="108" t="n">
        <f aca="false">CP17+CP55</f>
        <v>0</v>
      </c>
      <c r="CQ57" s="108" t="n">
        <f aca="false">CQ17+CQ55</f>
        <v>0</v>
      </c>
      <c r="CR57" s="108" t="n">
        <f aca="false">CR17+CR55</f>
        <v>0</v>
      </c>
      <c r="CS57" s="108" t="n">
        <f aca="false">CS17+CS55</f>
        <v>0</v>
      </c>
      <c r="CT57" s="108" t="n">
        <f aca="false">CT17+CT55</f>
        <v>0</v>
      </c>
    </row>
    <row r="58" customFormat="false" ht="15" hidden="false" customHeight="true" outlineLevel="0" collapsed="false">
      <c r="A58" s="99" t="s">
        <v>99</v>
      </c>
      <c r="C58" s="102" t="n">
        <f aca="false">IFERROR(C57/C13,0)</f>
        <v>-0.0287831236019867</v>
      </c>
      <c r="D58" s="102" t="n">
        <f aca="false">IFERROR(D57/D13,0)</f>
        <v>-0.102996554608564</v>
      </c>
      <c r="E58" s="102" t="n">
        <f aca="false">IFERROR(E57/E13,0)</f>
        <v>0.0906538863233281</v>
      </c>
      <c r="F58" s="102" t="n">
        <f aca="false">IFERROR(F57/F13,0)</f>
        <v>0.101270434808067</v>
      </c>
      <c r="G58" s="102" t="n">
        <f aca="false">IFERROR(G57/G13,0)</f>
        <v>0.00625486062340116</v>
      </c>
      <c r="H58" s="102" t="n">
        <f aca="false">IFERROR(H57/H13,0)</f>
        <v>0.0508451485513171</v>
      </c>
      <c r="I58" s="102" t="n">
        <f aca="false">IFERROR(I57/I13,0)</f>
        <v>0.205696144781689</v>
      </c>
      <c r="J58" s="102" t="n">
        <f aca="false">IFERROR(J57/J13,0)</f>
        <v>0.0289497032398613</v>
      </c>
      <c r="K58" s="102" t="n">
        <f aca="false">IFERROR(K57/K13,0)</f>
        <v>0</v>
      </c>
      <c r="L58" s="102" t="n">
        <f aca="false">IFERROR(L57/L13,0)</f>
        <v>0</v>
      </c>
      <c r="M58" s="102" t="n">
        <f aca="false">IFERROR(M57/M13,0)</f>
        <v>0</v>
      </c>
      <c r="N58" s="102" t="n">
        <f aca="false">IFERROR(N57/N13,0)</f>
        <v>0</v>
      </c>
      <c r="O58" s="102" t="n">
        <f aca="false">IFERROR(O57/O13,0)</f>
        <v>0</v>
      </c>
      <c r="P58" s="102" t="n">
        <f aca="false">IFERROR(P57/P13,0)</f>
        <v>0</v>
      </c>
      <c r="Q58" s="102" t="n">
        <f aca="false">IFERROR(Q57/Q13,0)</f>
        <v>0</v>
      </c>
      <c r="R58" s="102" t="n">
        <f aca="false">IFERROR(R57/R13,0)</f>
        <v>0</v>
      </c>
      <c r="S58" s="102" t="n">
        <f aca="false">IFERROR(S57/S13,0)</f>
        <v>0</v>
      </c>
      <c r="T58" s="102" t="n">
        <f aca="false">IFERROR(T57/T13,0)</f>
        <v>0</v>
      </c>
      <c r="U58" s="102" t="n">
        <f aca="false">IFERROR(U57/U13,0)</f>
        <v>0</v>
      </c>
      <c r="V58" s="102" t="n">
        <f aca="false">IFERROR(V57/V13,0)</f>
        <v>0</v>
      </c>
      <c r="W58" s="102" t="n">
        <f aca="false">IFERROR(W57/W13,0)</f>
        <v>0</v>
      </c>
      <c r="X58" s="102" t="n">
        <f aca="false">IFERROR(X57/X13,0)</f>
        <v>0</v>
      </c>
      <c r="Y58" s="102" t="n">
        <f aca="false">IFERROR(Y57/Y13,0)</f>
        <v>0</v>
      </c>
      <c r="Z58" s="102" t="n">
        <f aca="false">IFERROR(Z57/Z13,0)</f>
        <v>0</v>
      </c>
      <c r="AA58" s="102" t="n">
        <f aca="false">IFERROR(AA57/AA13,0)</f>
        <v>0</v>
      </c>
      <c r="AB58" s="102" t="n">
        <f aca="false">IFERROR(AB57/AB13,0)</f>
        <v>0</v>
      </c>
      <c r="AC58" s="102" t="n">
        <f aca="false">IFERROR(AC57/AC13,0)</f>
        <v>0</v>
      </c>
      <c r="AD58" s="102" t="n">
        <f aca="false">IFERROR(AD57/AD13,0)</f>
        <v>0</v>
      </c>
      <c r="AE58" s="102" t="n">
        <f aca="false">IFERROR(AE57/AE13,0)</f>
        <v>0</v>
      </c>
      <c r="AF58" s="102" t="n">
        <f aca="false">IFERROR(AF57/AF13,0)</f>
        <v>0</v>
      </c>
      <c r="AG58" s="102" t="n">
        <f aca="false">IFERROR(AG57/AG13,0)</f>
        <v>0</v>
      </c>
      <c r="AH58" s="102" t="n">
        <f aca="false">IFERROR(AH57/AH13,0)</f>
        <v>0</v>
      </c>
      <c r="AI58" s="102" t="n">
        <f aca="false">IFERROR(AI57/AI13,0)</f>
        <v>0</v>
      </c>
      <c r="AJ58" s="102" t="n">
        <f aca="false">IFERROR(AJ57/AJ13,0)</f>
        <v>0</v>
      </c>
      <c r="AK58" s="102" t="n">
        <f aca="false">IFERROR(AK57/AK13,0)</f>
        <v>0</v>
      </c>
      <c r="AL58" s="102" t="n">
        <f aca="false">IFERROR(AL57/AL13,0)</f>
        <v>0</v>
      </c>
      <c r="AM58" s="102" t="n">
        <f aca="false">IFERROR(AM57/AM13,0)</f>
        <v>0</v>
      </c>
      <c r="AN58" s="102" t="n">
        <f aca="false">IFERROR(AN57/AN13,0)</f>
        <v>0</v>
      </c>
      <c r="AO58" s="102" t="n">
        <f aca="false">IFERROR(AO57/AO13,0)</f>
        <v>0</v>
      </c>
      <c r="AP58" s="102" t="n">
        <f aca="false">IFERROR(AP57/AP13,0)</f>
        <v>0</v>
      </c>
      <c r="AQ58" s="102" t="n">
        <f aca="false">IFERROR(AQ57/AQ13,0)</f>
        <v>0</v>
      </c>
      <c r="AR58" s="102" t="n">
        <f aca="false">IFERROR(AR57/AR13,0)</f>
        <v>0</v>
      </c>
      <c r="AS58" s="102" t="n">
        <f aca="false">IFERROR(AS57/AS13,0)</f>
        <v>0</v>
      </c>
      <c r="AT58" s="102" t="n">
        <f aca="false">IFERROR(AT57/AT13,0)</f>
        <v>0</v>
      </c>
      <c r="AU58" s="102" t="n">
        <f aca="false">IFERROR(AU57/AU13,0)</f>
        <v>0</v>
      </c>
      <c r="AV58" s="102" t="n">
        <f aca="false">IFERROR(AV57/AV13,0)</f>
        <v>0</v>
      </c>
      <c r="AW58" s="102" t="n">
        <f aca="false">IFERROR(AW57/AW13,0)</f>
        <v>0</v>
      </c>
      <c r="AX58" s="102" t="n">
        <f aca="false">IFERROR(AX57/AX13,0)</f>
        <v>0</v>
      </c>
      <c r="AY58" s="102" t="n">
        <f aca="false">IFERROR(AY57/AY13,0)</f>
        <v>0</v>
      </c>
      <c r="AZ58" s="102" t="n">
        <f aca="false">IFERROR(AZ57/AZ13,0)</f>
        <v>0</v>
      </c>
      <c r="BA58" s="102" t="n">
        <f aca="false">IFERROR(BA57/BA13,0)</f>
        <v>0</v>
      </c>
      <c r="BB58" s="102" t="n">
        <f aca="false">IFERROR(BB57/BB13,0)</f>
        <v>0</v>
      </c>
      <c r="BC58" s="102" t="n">
        <f aca="false">IFERROR(BC57/BC13,0)</f>
        <v>0</v>
      </c>
      <c r="BD58" s="102" t="n">
        <f aca="false">IFERROR(BD57/BD13,0)</f>
        <v>0</v>
      </c>
      <c r="BE58" s="102" t="n">
        <f aca="false">IFERROR(BE57/BE13,0)</f>
        <v>0</v>
      </c>
      <c r="BF58" s="102" t="n">
        <f aca="false">IFERROR(BF57/BF13,0)</f>
        <v>0</v>
      </c>
      <c r="BG58" s="102" t="n">
        <f aca="false">IFERROR(BG57/BG13,0)</f>
        <v>0</v>
      </c>
      <c r="BH58" s="102" t="n">
        <f aca="false">IFERROR(BH57/BH13,0)</f>
        <v>0</v>
      </c>
      <c r="BI58" s="102" t="n">
        <f aca="false">IFERROR(BI57/BI13,0)</f>
        <v>0</v>
      </c>
      <c r="BJ58" s="102" t="n">
        <f aca="false">IFERROR(BJ57/BJ13,0)</f>
        <v>0</v>
      </c>
      <c r="BK58" s="102" t="n">
        <f aca="false">IFERROR(BK57/BK13,0)</f>
        <v>0</v>
      </c>
      <c r="BL58" s="102" t="n">
        <f aca="false">IFERROR(BL57/BL13,0)</f>
        <v>0</v>
      </c>
      <c r="BM58" s="102" t="n">
        <f aca="false">IFERROR(BM57/BM13,0)</f>
        <v>0</v>
      </c>
      <c r="BN58" s="102" t="n">
        <f aca="false">IFERROR(BN57/BN13,0)</f>
        <v>0</v>
      </c>
      <c r="BO58" s="102" t="n">
        <f aca="false">IFERROR(BO57/BO13,0)</f>
        <v>0</v>
      </c>
      <c r="BP58" s="102" t="n">
        <f aca="false">IFERROR(BP57/BP13,0)</f>
        <v>0</v>
      </c>
      <c r="BQ58" s="102" t="n">
        <f aca="false">IFERROR(BQ57/BQ13,0)</f>
        <v>0</v>
      </c>
      <c r="BR58" s="102" t="n">
        <f aca="false">IFERROR(BR57/BR13,0)</f>
        <v>0</v>
      </c>
      <c r="BS58" s="102" t="n">
        <f aca="false">IFERROR(BS57/BS13,0)</f>
        <v>0</v>
      </c>
      <c r="BT58" s="102" t="n">
        <f aca="false">IFERROR(BT57/BT13,0)</f>
        <v>0</v>
      </c>
      <c r="BU58" s="102" t="n">
        <f aca="false">IFERROR(BU57/BU13,0)</f>
        <v>0</v>
      </c>
      <c r="BV58" s="102" t="n">
        <f aca="false">IFERROR(BV57/BV13,0)</f>
        <v>0</v>
      </c>
      <c r="BW58" s="102" t="n">
        <f aca="false">IFERROR(BW57/BW13,0)</f>
        <v>0</v>
      </c>
      <c r="BX58" s="102" t="n">
        <f aca="false">IFERROR(BX57/BX13,0)</f>
        <v>0</v>
      </c>
      <c r="BY58" s="102" t="n">
        <f aca="false">IFERROR(BY57/BY13,0)</f>
        <v>0</v>
      </c>
      <c r="BZ58" s="102" t="n">
        <f aca="false">IFERROR(BZ57/BZ13,0)</f>
        <v>0</v>
      </c>
      <c r="CA58" s="102" t="n">
        <f aca="false">IFERROR(CA57/CA13,0)</f>
        <v>0</v>
      </c>
      <c r="CB58" s="102" t="n">
        <f aca="false">IFERROR(CB57/CB13,0)</f>
        <v>0</v>
      </c>
      <c r="CC58" s="102" t="n">
        <f aca="false">IFERROR(CC57/CC13,0)</f>
        <v>0</v>
      </c>
      <c r="CD58" s="102" t="n">
        <f aca="false">IFERROR(CD57/CD13,0)</f>
        <v>0</v>
      </c>
      <c r="CE58" s="102" t="n">
        <f aca="false">IFERROR(CE57/CE13,0)</f>
        <v>0</v>
      </c>
      <c r="CF58" s="102" t="n">
        <f aca="false">IFERROR(CF57/CF13,0)</f>
        <v>0</v>
      </c>
      <c r="CG58" s="102" t="n">
        <f aca="false">IFERROR(CG57/CG13,0)</f>
        <v>0</v>
      </c>
      <c r="CH58" s="102" t="n">
        <f aca="false">IFERROR(CH57/CH13,0)</f>
        <v>0</v>
      </c>
      <c r="CI58" s="102" t="n">
        <f aca="false">IFERROR(CI57/CI13,0)</f>
        <v>0</v>
      </c>
      <c r="CJ58" s="102" t="n">
        <f aca="false">IFERROR(CJ57/CJ13,0)</f>
        <v>0</v>
      </c>
      <c r="CK58" s="102" t="n">
        <f aca="false">IFERROR(CK57/CK13,0)</f>
        <v>0</v>
      </c>
      <c r="CL58" s="102" t="n">
        <f aca="false">IFERROR(CL57/CL13,0)</f>
        <v>0</v>
      </c>
      <c r="CM58" s="102" t="n">
        <f aca="false">IFERROR(CM57/CM13,0)</f>
        <v>0</v>
      </c>
      <c r="CN58" s="102" t="n">
        <f aca="false">IFERROR(CN57/CN13,0)</f>
        <v>0</v>
      </c>
      <c r="CO58" s="102" t="n">
        <f aca="false">IFERROR(CO57/CO13,0)</f>
        <v>0</v>
      </c>
      <c r="CP58" s="102" t="n">
        <f aca="false">IFERROR(CP57/CP13,0)</f>
        <v>0</v>
      </c>
      <c r="CQ58" s="102" t="n">
        <f aca="false">IFERROR(CQ57/CQ13,0)</f>
        <v>0</v>
      </c>
      <c r="CR58" s="102" t="n">
        <f aca="false">IFERROR(CR57/CR13,0)</f>
        <v>0</v>
      </c>
      <c r="CS58" s="102" t="n">
        <f aca="false">IFERROR(CS57/CS13,0)</f>
        <v>0</v>
      </c>
      <c r="CT58" s="102" t="n">
        <f aca="false">IFERROR(CT57/CT13,0)</f>
        <v>0</v>
      </c>
    </row>
    <row r="59" customFormat="false" ht="15" hidden="false" customHeight="true" outlineLevel="0" collapsed="false">
      <c r="A59" s="97"/>
      <c r="C59" s="98"/>
      <c r="D59" s="98"/>
      <c r="E59" s="98"/>
      <c r="F59" s="98"/>
      <c r="G59" s="98"/>
      <c r="H59" s="98"/>
      <c r="I59" s="98"/>
      <c r="J59" s="98"/>
      <c r="K59" s="98"/>
      <c r="L59" s="98"/>
      <c r="M59" s="98"/>
      <c r="N59" s="98"/>
      <c r="O59" s="98"/>
      <c r="P59" s="98"/>
      <c r="Q59" s="98"/>
      <c r="R59" s="98"/>
      <c r="S59" s="98"/>
      <c r="T59" s="98"/>
      <c r="U59" s="98"/>
      <c r="V59" s="98"/>
      <c r="W59" s="98"/>
      <c r="X59" s="98"/>
      <c r="Y59" s="98"/>
      <c r="Z59" s="98"/>
      <c r="AA59" s="98"/>
      <c r="AB59" s="98"/>
      <c r="AC59" s="98"/>
      <c r="AD59" s="98"/>
      <c r="AE59" s="98"/>
      <c r="AF59" s="98"/>
      <c r="AG59" s="98"/>
      <c r="AH59" s="98"/>
      <c r="AI59" s="98"/>
      <c r="AJ59" s="98"/>
      <c r="AK59" s="98"/>
      <c r="AL59" s="98"/>
      <c r="AM59" s="98"/>
      <c r="AN59" s="98"/>
      <c r="AO59" s="98"/>
      <c r="AP59" s="98"/>
      <c r="AQ59" s="98"/>
      <c r="AR59" s="98"/>
      <c r="AS59" s="98"/>
      <c r="AT59" s="98"/>
      <c r="AU59" s="98"/>
      <c r="AV59" s="98"/>
      <c r="AW59" s="98"/>
      <c r="AX59" s="98"/>
      <c r="AY59" s="98"/>
      <c r="AZ59" s="98"/>
      <c r="BA59" s="98"/>
      <c r="BB59" s="98"/>
      <c r="BC59" s="98"/>
      <c r="BD59" s="98"/>
      <c r="BE59" s="98"/>
      <c r="BF59" s="98"/>
      <c r="BG59" s="98"/>
      <c r="BH59" s="98"/>
      <c r="BI59" s="98"/>
      <c r="BJ59" s="98"/>
      <c r="BK59" s="98"/>
      <c r="BL59" s="98"/>
      <c r="BM59" s="98"/>
      <c r="BN59" s="98"/>
      <c r="BO59" s="98"/>
      <c r="BP59" s="98"/>
      <c r="BQ59" s="98"/>
      <c r="BR59" s="98"/>
      <c r="BS59" s="98"/>
      <c r="BT59" s="98"/>
      <c r="BU59" s="98"/>
      <c r="BV59" s="98"/>
      <c r="BW59" s="98"/>
      <c r="BX59" s="98"/>
      <c r="BY59" s="98"/>
      <c r="BZ59" s="98"/>
      <c r="CA59" s="98"/>
      <c r="CB59" s="98"/>
      <c r="CC59" s="98"/>
      <c r="CD59" s="98"/>
      <c r="CE59" s="98"/>
      <c r="CF59" s="98"/>
      <c r="CG59" s="98"/>
      <c r="CH59" s="98"/>
      <c r="CI59" s="98"/>
      <c r="CJ59" s="98"/>
      <c r="CK59" s="98"/>
      <c r="CL59" s="98"/>
      <c r="CM59" s="98"/>
      <c r="CN59" s="98"/>
      <c r="CO59" s="98"/>
      <c r="CP59" s="98"/>
      <c r="CQ59" s="98"/>
      <c r="CR59" s="98"/>
      <c r="CS59" s="98"/>
      <c r="CT59" s="98"/>
    </row>
    <row r="60" customFormat="false" ht="15" hidden="false" customHeight="true" outlineLevel="0" collapsed="false">
      <c r="A60" s="97"/>
      <c r="C60" s="98"/>
      <c r="D60" s="98"/>
      <c r="E60" s="98"/>
      <c r="F60" s="98"/>
      <c r="G60" s="98"/>
      <c r="H60" s="98"/>
      <c r="I60" s="98"/>
      <c r="J60" s="98"/>
      <c r="K60" s="98"/>
      <c r="L60" s="98"/>
      <c r="M60" s="98"/>
      <c r="N60" s="98"/>
      <c r="O60" s="98"/>
      <c r="P60" s="98"/>
      <c r="Q60" s="98"/>
      <c r="R60" s="98"/>
      <c r="S60" s="98"/>
      <c r="T60" s="98"/>
      <c r="U60" s="98"/>
      <c r="V60" s="98"/>
      <c r="W60" s="98"/>
      <c r="X60" s="98"/>
      <c r="Y60" s="98"/>
      <c r="Z60" s="98"/>
      <c r="AA60" s="98"/>
      <c r="AB60" s="98"/>
      <c r="AC60" s="98"/>
      <c r="AD60" s="98"/>
      <c r="AE60" s="98"/>
      <c r="AF60" s="98"/>
      <c r="AG60" s="98"/>
      <c r="AH60" s="98"/>
      <c r="AI60" s="98"/>
      <c r="AJ60" s="98"/>
      <c r="AK60" s="98"/>
      <c r="AL60" s="98"/>
      <c r="AM60" s="98"/>
      <c r="AN60" s="98"/>
      <c r="AO60" s="98"/>
      <c r="AP60" s="98"/>
      <c r="AQ60" s="98"/>
      <c r="AR60" s="98"/>
      <c r="AS60" s="98"/>
      <c r="AT60" s="98"/>
      <c r="AU60" s="98"/>
      <c r="AV60" s="98"/>
      <c r="AW60" s="98"/>
      <c r="AX60" s="98"/>
      <c r="AY60" s="98"/>
      <c r="AZ60" s="98"/>
      <c r="BA60" s="98"/>
      <c r="BB60" s="98"/>
      <c r="BC60" s="98"/>
      <c r="BD60" s="98"/>
      <c r="BE60" s="98"/>
      <c r="BF60" s="98"/>
      <c r="BG60" s="98"/>
      <c r="BH60" s="98"/>
      <c r="BI60" s="98"/>
      <c r="BJ60" s="98"/>
      <c r="BK60" s="98"/>
      <c r="BL60" s="98"/>
      <c r="BM60" s="98"/>
      <c r="BN60" s="98"/>
      <c r="BO60" s="98"/>
      <c r="BP60" s="98"/>
      <c r="BQ60" s="98"/>
      <c r="BR60" s="98"/>
      <c r="BS60" s="98"/>
      <c r="BT60" s="98"/>
      <c r="BU60" s="98"/>
      <c r="BV60" s="98"/>
      <c r="BW60" s="98"/>
      <c r="BX60" s="98"/>
      <c r="BY60" s="98"/>
      <c r="BZ60" s="98"/>
      <c r="CA60" s="98"/>
      <c r="CB60" s="98"/>
      <c r="CC60" s="98"/>
      <c r="CD60" s="98"/>
      <c r="CE60" s="98"/>
      <c r="CF60" s="98"/>
      <c r="CG60" s="98"/>
      <c r="CH60" s="98"/>
      <c r="CI60" s="98"/>
      <c r="CJ60" s="98"/>
      <c r="CK60" s="98"/>
      <c r="CL60" s="98"/>
      <c r="CM60" s="98"/>
      <c r="CN60" s="98"/>
      <c r="CO60" s="98"/>
      <c r="CP60" s="98"/>
      <c r="CQ60" s="98"/>
      <c r="CR60" s="98"/>
      <c r="CS60" s="98"/>
      <c r="CT60" s="98"/>
    </row>
    <row r="61" customFormat="false" ht="15" hidden="false" customHeight="true" outlineLevel="0" collapsed="false">
      <c r="A61" s="97"/>
      <c r="C61" s="98"/>
      <c r="D61" s="98"/>
      <c r="E61" s="98"/>
      <c r="F61" s="98"/>
      <c r="G61" s="98"/>
      <c r="H61" s="98"/>
      <c r="I61" s="98"/>
      <c r="J61" s="98"/>
      <c r="K61" s="98"/>
      <c r="L61" s="98"/>
      <c r="M61" s="98"/>
      <c r="N61" s="98"/>
      <c r="O61" s="98"/>
      <c r="P61" s="98"/>
      <c r="Q61" s="98"/>
      <c r="R61" s="98"/>
      <c r="S61" s="98"/>
      <c r="T61" s="98"/>
      <c r="U61" s="98"/>
      <c r="V61" s="98"/>
      <c r="W61" s="98"/>
      <c r="X61" s="98"/>
      <c r="Y61" s="98"/>
      <c r="Z61" s="98"/>
      <c r="AA61" s="98"/>
      <c r="AB61" s="98"/>
      <c r="AC61" s="98"/>
      <c r="AD61" s="98"/>
      <c r="AE61" s="98"/>
      <c r="AF61" s="98"/>
      <c r="AG61" s="98"/>
      <c r="AH61" s="98"/>
      <c r="AI61" s="98"/>
      <c r="AJ61" s="98"/>
      <c r="AK61" s="98"/>
      <c r="AL61" s="98"/>
      <c r="AM61" s="98"/>
      <c r="AN61" s="98"/>
      <c r="AO61" s="98"/>
      <c r="AP61" s="98"/>
      <c r="AQ61" s="98"/>
      <c r="AR61" s="98"/>
      <c r="AS61" s="98"/>
      <c r="AT61" s="98"/>
      <c r="AU61" s="98"/>
      <c r="AV61" s="98"/>
      <c r="AW61" s="98"/>
      <c r="AX61" s="98"/>
      <c r="AY61" s="98"/>
      <c r="AZ61" s="98"/>
      <c r="BA61" s="98"/>
      <c r="BB61" s="98"/>
      <c r="BC61" s="98"/>
      <c r="BD61" s="98"/>
      <c r="BE61" s="98"/>
      <c r="BF61" s="98"/>
      <c r="BG61" s="98"/>
      <c r="BH61" s="98"/>
      <c r="BI61" s="98"/>
      <c r="BJ61" s="98"/>
      <c r="BK61" s="98"/>
      <c r="BL61" s="98"/>
      <c r="BM61" s="98"/>
      <c r="BN61" s="98"/>
      <c r="BO61" s="98"/>
      <c r="BP61" s="98"/>
      <c r="BQ61" s="98"/>
      <c r="BR61" s="98"/>
      <c r="BS61" s="98"/>
      <c r="BT61" s="98"/>
      <c r="BU61" s="98"/>
      <c r="BV61" s="98"/>
      <c r="BW61" s="98"/>
      <c r="BX61" s="98"/>
      <c r="BY61" s="98"/>
      <c r="BZ61" s="98"/>
      <c r="CA61" s="98"/>
      <c r="CB61" s="98"/>
      <c r="CC61" s="98"/>
      <c r="CD61" s="98"/>
      <c r="CE61" s="98"/>
      <c r="CF61" s="98"/>
      <c r="CG61" s="98"/>
      <c r="CH61" s="98"/>
      <c r="CI61" s="98"/>
      <c r="CJ61" s="98"/>
      <c r="CK61" s="98"/>
      <c r="CL61" s="98"/>
      <c r="CM61" s="98"/>
      <c r="CN61" s="98"/>
      <c r="CO61" s="98"/>
      <c r="CP61" s="98"/>
      <c r="CQ61" s="98"/>
      <c r="CR61" s="98"/>
      <c r="CS61" s="98"/>
      <c r="CT61" s="98"/>
    </row>
    <row r="62" customFormat="false" ht="15" hidden="false" customHeight="true" outlineLevel="0" collapsed="false">
      <c r="A62" s="97"/>
      <c r="C62" s="98"/>
      <c r="D62" s="98"/>
      <c r="E62" s="98"/>
      <c r="F62" s="98"/>
      <c r="G62" s="98"/>
      <c r="H62" s="98"/>
      <c r="I62" s="98"/>
      <c r="J62" s="98"/>
      <c r="K62" s="98"/>
      <c r="L62" s="98"/>
      <c r="M62" s="98"/>
      <c r="N62" s="98"/>
      <c r="O62" s="98"/>
      <c r="P62" s="98"/>
      <c r="Q62" s="98"/>
      <c r="R62" s="98"/>
      <c r="S62" s="98"/>
      <c r="T62" s="98"/>
      <c r="U62" s="98"/>
      <c r="V62" s="98"/>
      <c r="W62" s="98"/>
      <c r="X62" s="98"/>
      <c r="Y62" s="98"/>
      <c r="Z62" s="98"/>
      <c r="AA62" s="98"/>
      <c r="AB62" s="98"/>
      <c r="AC62" s="98"/>
      <c r="AD62" s="98"/>
      <c r="AE62" s="98"/>
      <c r="AF62" s="98"/>
      <c r="AG62" s="98"/>
      <c r="AH62" s="98"/>
      <c r="AI62" s="98"/>
      <c r="AJ62" s="98"/>
      <c r="AK62" s="98"/>
      <c r="AL62" s="98"/>
      <c r="AM62" s="98"/>
      <c r="AN62" s="98"/>
      <c r="AO62" s="98"/>
      <c r="AP62" s="98"/>
      <c r="AQ62" s="98"/>
      <c r="AR62" s="98"/>
      <c r="AS62" s="98"/>
      <c r="AT62" s="98"/>
      <c r="AU62" s="98"/>
      <c r="AV62" s="98"/>
      <c r="AW62" s="98"/>
      <c r="AX62" s="98"/>
      <c r="AY62" s="98"/>
      <c r="AZ62" s="98"/>
      <c r="BA62" s="98"/>
      <c r="BB62" s="98"/>
      <c r="BC62" s="98"/>
      <c r="BD62" s="98"/>
      <c r="BE62" s="98"/>
      <c r="BF62" s="98"/>
      <c r="BG62" s="98"/>
      <c r="BH62" s="98"/>
      <c r="BI62" s="98"/>
      <c r="BJ62" s="98"/>
      <c r="BK62" s="98"/>
      <c r="BL62" s="98"/>
      <c r="BM62" s="98"/>
      <c r="BN62" s="98"/>
      <c r="BO62" s="98"/>
      <c r="BP62" s="98"/>
      <c r="BQ62" s="98"/>
      <c r="BR62" s="98"/>
      <c r="BS62" s="98"/>
      <c r="BT62" s="98"/>
      <c r="BU62" s="98"/>
      <c r="BV62" s="98"/>
      <c r="BW62" s="98"/>
      <c r="BX62" s="98"/>
      <c r="BY62" s="98"/>
      <c r="BZ62" s="98"/>
      <c r="CA62" s="98"/>
      <c r="CB62" s="98"/>
      <c r="CC62" s="98"/>
      <c r="CD62" s="98"/>
      <c r="CE62" s="98"/>
      <c r="CF62" s="98"/>
      <c r="CG62" s="98"/>
      <c r="CH62" s="98"/>
      <c r="CI62" s="98"/>
      <c r="CJ62" s="98"/>
      <c r="CK62" s="98"/>
      <c r="CL62" s="98"/>
      <c r="CM62" s="98"/>
      <c r="CN62" s="98"/>
      <c r="CO62" s="98"/>
      <c r="CP62" s="98"/>
      <c r="CQ62" s="98"/>
      <c r="CR62" s="98"/>
      <c r="CS62" s="98"/>
      <c r="CT62" s="98"/>
    </row>
    <row r="63" customFormat="false" ht="15" hidden="false" customHeight="true" outlineLevel="0" collapsed="false">
      <c r="A63" s="97" t="s">
        <v>118</v>
      </c>
      <c r="C63" s="98"/>
      <c r="D63" s="98"/>
      <c r="E63" s="98"/>
      <c r="F63" s="98"/>
      <c r="G63" s="98"/>
      <c r="H63" s="98" t="n">
        <v>299000</v>
      </c>
      <c r="I63" s="98" t="n">
        <v>0</v>
      </c>
      <c r="J63" s="98" t="n">
        <v>0</v>
      </c>
      <c r="K63" s="98"/>
      <c r="L63" s="98"/>
      <c r="M63" s="98"/>
      <c r="N63" s="98"/>
      <c r="O63" s="98"/>
      <c r="P63" s="98"/>
      <c r="Q63" s="98"/>
      <c r="R63" s="98"/>
      <c r="S63" s="98"/>
      <c r="T63" s="98"/>
      <c r="U63" s="98"/>
      <c r="V63" s="98"/>
      <c r="W63" s="98"/>
      <c r="X63" s="98"/>
      <c r="Y63" s="98"/>
      <c r="Z63" s="98"/>
      <c r="AA63" s="98"/>
      <c r="AB63" s="98"/>
      <c r="AC63" s="98"/>
      <c r="AD63" s="98"/>
      <c r="AE63" s="98"/>
      <c r="AF63" s="98"/>
      <c r="AG63" s="98"/>
      <c r="AH63" s="98"/>
      <c r="AI63" s="98"/>
      <c r="AJ63" s="98"/>
      <c r="AK63" s="98"/>
      <c r="AL63" s="98"/>
      <c r="AM63" s="98"/>
      <c r="AN63" s="98"/>
      <c r="AO63" s="98"/>
      <c r="AP63" s="98"/>
      <c r="AQ63" s="98"/>
      <c r="AR63" s="98"/>
      <c r="AS63" s="98"/>
      <c r="AT63" s="98"/>
      <c r="AU63" s="98"/>
      <c r="AV63" s="98"/>
      <c r="AW63" s="98"/>
      <c r="AX63" s="98"/>
      <c r="AY63" s="98"/>
      <c r="AZ63" s="98"/>
      <c r="BA63" s="98"/>
      <c r="BB63" s="98"/>
      <c r="BC63" s="98"/>
      <c r="BD63" s="98"/>
      <c r="BE63" s="98"/>
      <c r="BF63" s="98"/>
      <c r="BG63" s="98"/>
      <c r="BH63" s="98"/>
      <c r="BI63" s="98"/>
      <c r="BJ63" s="98"/>
      <c r="BK63" s="98"/>
      <c r="BL63" s="98"/>
      <c r="BM63" s="98"/>
      <c r="BN63" s="98"/>
      <c r="BO63" s="98"/>
      <c r="BP63" s="98"/>
      <c r="BQ63" s="98"/>
      <c r="BR63" s="98"/>
      <c r="BS63" s="98"/>
      <c r="BT63" s="98"/>
      <c r="BU63" s="98"/>
      <c r="BV63" s="98"/>
      <c r="BW63" s="98"/>
      <c r="BX63" s="98"/>
      <c r="BY63" s="98"/>
      <c r="BZ63" s="98"/>
      <c r="CA63" s="98"/>
      <c r="CB63" s="98"/>
      <c r="CC63" s="98"/>
      <c r="CD63" s="98"/>
      <c r="CE63" s="98"/>
      <c r="CF63" s="98"/>
      <c r="CG63" s="98"/>
      <c r="CH63" s="98"/>
      <c r="CI63" s="98"/>
      <c r="CJ63" s="98"/>
      <c r="CK63" s="98"/>
      <c r="CL63" s="98"/>
      <c r="CM63" s="98"/>
      <c r="CN63" s="98"/>
      <c r="CO63" s="98"/>
      <c r="CP63" s="98"/>
      <c r="CQ63" s="98"/>
      <c r="CR63" s="98"/>
      <c r="CS63" s="98"/>
      <c r="CT63" s="98"/>
    </row>
    <row r="64" customFormat="false" ht="15" hidden="false" customHeight="true" outlineLevel="0" collapsed="false">
      <c r="A64" s="97" t="s">
        <v>101</v>
      </c>
      <c r="C64" s="98" t="n">
        <v>833.33</v>
      </c>
      <c r="D64" s="98" t="n">
        <v>833.33</v>
      </c>
      <c r="E64" s="98" t="n">
        <v>833.33</v>
      </c>
      <c r="F64" s="98" t="n">
        <v>833.33</v>
      </c>
      <c r="G64" s="98" t="n">
        <v>833.33</v>
      </c>
      <c r="H64" s="98" t="n">
        <v>833.33</v>
      </c>
      <c r="I64" s="98" t="n">
        <v>833.33</v>
      </c>
      <c r="J64" s="98" t="n">
        <v>833.33</v>
      </c>
      <c r="K64" s="98"/>
      <c r="L64" s="98"/>
      <c r="M64" s="98"/>
      <c r="N64" s="98"/>
      <c r="O64" s="98"/>
      <c r="P64" s="98"/>
      <c r="Q64" s="98"/>
      <c r="R64" s="98"/>
      <c r="S64" s="98"/>
      <c r="T64" s="98"/>
      <c r="U64" s="98"/>
      <c r="V64" s="98"/>
      <c r="W64" s="98"/>
      <c r="X64" s="98"/>
      <c r="Y64" s="98"/>
      <c r="Z64" s="98"/>
      <c r="AA64" s="98"/>
      <c r="AB64" s="98"/>
      <c r="AC64" s="98"/>
      <c r="AD64" s="98"/>
      <c r="AE64" s="98"/>
      <c r="AF64" s="98"/>
      <c r="AG64" s="98"/>
      <c r="AH64" s="98"/>
      <c r="AI64" s="98"/>
      <c r="AJ64" s="98"/>
      <c r="AK64" s="98"/>
      <c r="AL64" s="98"/>
      <c r="AM64" s="98"/>
      <c r="AN64" s="98"/>
      <c r="AO64" s="98"/>
      <c r="AP64" s="98"/>
      <c r="AQ64" s="98"/>
      <c r="AR64" s="98"/>
      <c r="AS64" s="98"/>
      <c r="AT64" s="98"/>
      <c r="AU64" s="98"/>
      <c r="AV64" s="98"/>
      <c r="AW64" s="98"/>
      <c r="AX64" s="98"/>
      <c r="AY64" s="98"/>
      <c r="AZ64" s="98"/>
      <c r="BA64" s="98"/>
      <c r="BB64" s="98"/>
      <c r="BC64" s="98"/>
      <c r="BD64" s="98"/>
      <c r="BE64" s="98"/>
      <c r="BF64" s="98"/>
      <c r="BG64" s="98"/>
      <c r="BH64" s="98"/>
      <c r="BI64" s="98"/>
      <c r="BJ64" s="98"/>
      <c r="BK64" s="98"/>
      <c r="BL64" s="98"/>
      <c r="BM64" s="98"/>
      <c r="BN64" s="98"/>
      <c r="BO64" s="98"/>
      <c r="BP64" s="98"/>
      <c r="BQ64" s="98"/>
      <c r="BR64" s="98"/>
      <c r="BS64" s="98"/>
      <c r="BT64" s="98"/>
      <c r="BU64" s="98"/>
      <c r="BV64" s="98"/>
      <c r="BW64" s="98"/>
      <c r="BX64" s="98"/>
      <c r="BY64" s="98"/>
      <c r="BZ64" s="98"/>
      <c r="CA64" s="98"/>
      <c r="CB64" s="98"/>
      <c r="CC64" s="98"/>
      <c r="CD64" s="98"/>
      <c r="CE64" s="98"/>
      <c r="CF64" s="98"/>
      <c r="CG64" s="98"/>
      <c r="CH64" s="98"/>
      <c r="CI64" s="98"/>
      <c r="CJ64" s="98"/>
      <c r="CK64" s="98"/>
      <c r="CL64" s="98"/>
      <c r="CM64" s="98"/>
      <c r="CN64" s="98"/>
      <c r="CO64" s="98"/>
      <c r="CP64" s="98"/>
      <c r="CQ64" s="98"/>
      <c r="CR64" s="98"/>
      <c r="CS64" s="98"/>
      <c r="CT64" s="98"/>
    </row>
    <row r="65" customFormat="false" ht="15" hidden="false" customHeight="true" outlineLevel="0" collapsed="false">
      <c r="A65" s="97" t="s">
        <v>102</v>
      </c>
      <c r="C65" s="98" t="n">
        <v>23906.25</v>
      </c>
      <c r="D65" s="98" t="n">
        <v>23906.25</v>
      </c>
      <c r="E65" s="98" t="n">
        <v>23906.25</v>
      </c>
      <c r="F65" s="98" t="n">
        <v>23906.25</v>
      </c>
      <c r="G65" s="98" t="n">
        <v>23906.25</v>
      </c>
      <c r="H65" s="98" t="n">
        <v>23906.25</v>
      </c>
      <c r="I65" s="98" t="n">
        <v>23906.25</v>
      </c>
      <c r="J65" s="98" t="n">
        <v>23906.25</v>
      </c>
      <c r="K65" s="98"/>
      <c r="L65" s="98"/>
      <c r="M65" s="98"/>
      <c r="N65" s="98"/>
      <c r="O65" s="98"/>
      <c r="P65" s="98"/>
      <c r="Q65" s="98"/>
      <c r="R65" s="98"/>
      <c r="S65" s="98"/>
      <c r="T65" s="98"/>
      <c r="U65" s="98"/>
      <c r="V65" s="98"/>
      <c r="W65" s="98"/>
      <c r="X65" s="98"/>
      <c r="Y65" s="98"/>
      <c r="Z65" s="98"/>
      <c r="AA65" s="98"/>
      <c r="AB65" s="98"/>
      <c r="AC65" s="98"/>
      <c r="AD65" s="98"/>
      <c r="AE65" s="98"/>
      <c r="AF65" s="98"/>
      <c r="AG65" s="98"/>
      <c r="AH65" s="98"/>
      <c r="AI65" s="98"/>
      <c r="AJ65" s="98"/>
      <c r="AK65" s="98"/>
      <c r="AL65" s="98"/>
      <c r="AM65" s="98"/>
      <c r="AN65" s="98"/>
      <c r="AO65" s="98"/>
      <c r="AP65" s="98"/>
      <c r="AQ65" s="98"/>
      <c r="AR65" s="98"/>
      <c r="AS65" s="98"/>
      <c r="AT65" s="98"/>
      <c r="AU65" s="98"/>
      <c r="AV65" s="98"/>
      <c r="AW65" s="98"/>
      <c r="AX65" s="98"/>
      <c r="AY65" s="98"/>
      <c r="AZ65" s="98"/>
      <c r="BA65" s="98"/>
      <c r="BB65" s="98"/>
      <c r="BC65" s="98"/>
      <c r="BD65" s="98"/>
      <c r="BE65" s="98"/>
      <c r="BF65" s="98"/>
      <c r="BG65" s="98"/>
      <c r="BH65" s="98"/>
      <c r="BI65" s="98"/>
      <c r="BJ65" s="98"/>
      <c r="BK65" s="98"/>
      <c r="BL65" s="98"/>
      <c r="BM65" s="98"/>
      <c r="BN65" s="98"/>
      <c r="BO65" s="98"/>
      <c r="BP65" s="98"/>
      <c r="BQ65" s="98"/>
      <c r="BR65" s="98"/>
      <c r="BS65" s="98"/>
      <c r="BT65" s="98"/>
      <c r="BU65" s="98"/>
      <c r="BV65" s="98"/>
      <c r="BW65" s="98"/>
      <c r="BX65" s="98"/>
      <c r="BY65" s="98"/>
      <c r="BZ65" s="98"/>
      <c r="CA65" s="98"/>
      <c r="CB65" s="98"/>
      <c r="CC65" s="98"/>
      <c r="CD65" s="98"/>
      <c r="CE65" s="98"/>
      <c r="CF65" s="98"/>
      <c r="CG65" s="98"/>
      <c r="CH65" s="98"/>
      <c r="CI65" s="98"/>
      <c r="CJ65" s="98"/>
      <c r="CK65" s="98"/>
      <c r="CL65" s="98"/>
      <c r="CM65" s="98"/>
      <c r="CN65" s="98"/>
      <c r="CO65" s="98"/>
      <c r="CP65" s="98"/>
      <c r="CQ65" s="98"/>
      <c r="CR65" s="98"/>
      <c r="CS65" s="98"/>
      <c r="CT65" s="98"/>
    </row>
    <row r="66" customFormat="false" ht="15" hidden="false" customHeight="true" outlineLevel="0" collapsed="false">
      <c r="A66" s="97" t="s">
        <v>103</v>
      </c>
      <c r="C66" s="98"/>
      <c r="D66" s="98"/>
      <c r="E66" s="98"/>
      <c r="F66" s="98"/>
      <c r="G66" s="98"/>
      <c r="H66" s="98"/>
      <c r="I66" s="98"/>
      <c r="J66" s="98"/>
      <c r="K66" s="98"/>
      <c r="L66" s="98"/>
      <c r="M66" s="98"/>
      <c r="N66" s="98"/>
      <c r="O66" s="98"/>
      <c r="P66" s="98"/>
      <c r="Q66" s="98"/>
      <c r="R66" s="98"/>
      <c r="S66" s="98"/>
      <c r="T66" s="98"/>
      <c r="U66" s="98"/>
      <c r="V66" s="98"/>
      <c r="W66" s="98"/>
      <c r="X66" s="98"/>
      <c r="Y66" s="98"/>
      <c r="Z66" s="98"/>
      <c r="AA66" s="98"/>
      <c r="AB66" s="98"/>
      <c r="AC66" s="98"/>
      <c r="AD66" s="98"/>
      <c r="AE66" s="98"/>
      <c r="AF66" s="98"/>
      <c r="AG66" s="98"/>
      <c r="AH66" s="98"/>
      <c r="AI66" s="98"/>
      <c r="AJ66" s="98"/>
      <c r="AK66" s="98"/>
      <c r="AL66" s="98"/>
      <c r="AM66" s="98"/>
      <c r="AN66" s="98"/>
      <c r="AO66" s="98"/>
      <c r="AP66" s="98"/>
      <c r="AQ66" s="98"/>
      <c r="AR66" s="98"/>
      <c r="AS66" s="98"/>
      <c r="AT66" s="98"/>
      <c r="AU66" s="98"/>
      <c r="AV66" s="98"/>
      <c r="AW66" s="98"/>
      <c r="AX66" s="98"/>
      <c r="AY66" s="98"/>
      <c r="AZ66" s="98"/>
      <c r="BA66" s="98"/>
      <c r="BB66" s="98"/>
      <c r="BC66" s="98"/>
      <c r="BD66" s="98"/>
      <c r="BE66" s="98"/>
      <c r="BF66" s="98"/>
      <c r="BG66" s="98"/>
      <c r="BH66" s="98"/>
      <c r="BI66" s="98"/>
      <c r="BJ66" s="98"/>
      <c r="BK66" s="98"/>
      <c r="BL66" s="98"/>
      <c r="BM66" s="98"/>
      <c r="BN66" s="98"/>
      <c r="BO66" s="98"/>
      <c r="BP66" s="98"/>
      <c r="BQ66" s="98"/>
      <c r="BR66" s="98"/>
      <c r="BS66" s="98"/>
      <c r="BT66" s="98"/>
      <c r="BU66" s="98"/>
      <c r="BV66" s="98"/>
      <c r="BW66" s="98"/>
      <c r="BX66" s="98"/>
      <c r="BY66" s="98"/>
      <c r="BZ66" s="98"/>
      <c r="CA66" s="98"/>
      <c r="CB66" s="98"/>
      <c r="CC66" s="98"/>
      <c r="CD66" s="98"/>
      <c r="CE66" s="98"/>
      <c r="CF66" s="98"/>
      <c r="CG66" s="98"/>
      <c r="CH66" s="98"/>
      <c r="CI66" s="98"/>
      <c r="CJ66" s="98"/>
      <c r="CK66" s="98"/>
      <c r="CL66" s="98"/>
      <c r="CM66" s="98"/>
      <c r="CN66" s="98"/>
      <c r="CO66" s="98"/>
      <c r="CP66" s="98"/>
      <c r="CQ66" s="98"/>
      <c r="CR66" s="98"/>
      <c r="CS66" s="98"/>
      <c r="CT66" s="98"/>
    </row>
    <row r="67" customFormat="false" ht="15" hidden="false" customHeight="true" outlineLevel="0" collapsed="false">
      <c r="A67" s="97" t="s">
        <v>104</v>
      </c>
      <c r="C67" s="98"/>
      <c r="D67" s="98"/>
      <c r="E67" s="98"/>
      <c r="F67" s="98"/>
      <c r="G67" s="98"/>
      <c r="H67" s="98"/>
      <c r="I67" s="98"/>
      <c r="J67" s="98"/>
      <c r="K67" s="98"/>
      <c r="L67" s="98"/>
      <c r="M67" s="98"/>
      <c r="N67" s="98"/>
      <c r="O67" s="98"/>
      <c r="P67" s="98"/>
      <c r="Q67" s="98"/>
      <c r="R67" s="98"/>
      <c r="S67" s="98"/>
      <c r="T67" s="98"/>
      <c r="U67" s="98"/>
      <c r="V67" s="98"/>
      <c r="W67" s="98"/>
      <c r="X67" s="98"/>
      <c r="Y67" s="98"/>
      <c r="Z67" s="98"/>
      <c r="AA67" s="98"/>
      <c r="AB67" s="98"/>
      <c r="AC67" s="98"/>
      <c r="AD67" s="98"/>
      <c r="AE67" s="98"/>
      <c r="AF67" s="98"/>
      <c r="AG67" s="98"/>
      <c r="AH67" s="98"/>
      <c r="AI67" s="98"/>
      <c r="AJ67" s="98"/>
      <c r="AK67" s="98"/>
      <c r="AL67" s="98"/>
      <c r="AM67" s="98"/>
      <c r="AN67" s="98"/>
      <c r="AO67" s="98"/>
      <c r="AP67" s="98"/>
      <c r="AQ67" s="98"/>
      <c r="AR67" s="98"/>
      <c r="AS67" s="98"/>
      <c r="AT67" s="98"/>
      <c r="AU67" s="98"/>
      <c r="AV67" s="98"/>
      <c r="AW67" s="98"/>
      <c r="AX67" s="98"/>
      <c r="AY67" s="98"/>
      <c r="AZ67" s="98"/>
      <c r="BA67" s="98"/>
      <c r="BB67" s="98"/>
      <c r="BC67" s="98"/>
      <c r="BD67" s="98"/>
      <c r="BE67" s="98"/>
      <c r="BF67" s="98"/>
      <c r="BG67" s="98"/>
      <c r="BH67" s="98"/>
      <c r="BI67" s="98"/>
      <c r="BJ67" s="98"/>
      <c r="BK67" s="98"/>
      <c r="BL67" s="98"/>
      <c r="BM67" s="98"/>
      <c r="BN67" s="98"/>
      <c r="BO67" s="98"/>
      <c r="BP67" s="98"/>
      <c r="BQ67" s="98"/>
      <c r="BR67" s="98"/>
      <c r="BS67" s="98"/>
      <c r="BT67" s="98"/>
      <c r="BU67" s="98"/>
      <c r="BV67" s="98"/>
      <c r="BW67" s="98"/>
      <c r="BX67" s="98"/>
      <c r="BY67" s="98"/>
      <c r="BZ67" s="98"/>
      <c r="CA67" s="98"/>
      <c r="CB67" s="98"/>
      <c r="CC67" s="98"/>
      <c r="CD67" s="98"/>
      <c r="CE67" s="98"/>
      <c r="CF67" s="98"/>
      <c r="CG67" s="98"/>
      <c r="CH67" s="98"/>
      <c r="CI67" s="98"/>
      <c r="CJ67" s="98"/>
      <c r="CK67" s="98"/>
      <c r="CL67" s="98"/>
      <c r="CM67" s="98"/>
      <c r="CN67" s="98"/>
      <c r="CO67" s="98"/>
      <c r="CP67" s="98"/>
      <c r="CQ67" s="98"/>
      <c r="CR67" s="98"/>
      <c r="CS67" s="98"/>
      <c r="CT67" s="98"/>
    </row>
    <row r="68" customFormat="false" ht="15" hidden="false" customHeight="true" outlineLevel="0" collapsed="false">
      <c r="A68" s="97" t="s">
        <v>105</v>
      </c>
      <c r="C68" s="98"/>
      <c r="D68" s="98"/>
      <c r="E68" s="98"/>
      <c r="F68" s="98"/>
      <c r="G68" s="98"/>
      <c r="H68" s="98"/>
      <c r="I68" s="98"/>
      <c r="J68" s="98"/>
      <c r="K68" s="98"/>
      <c r="L68" s="98"/>
      <c r="M68" s="98"/>
      <c r="N68" s="98"/>
      <c r="O68" s="98"/>
      <c r="P68" s="98"/>
      <c r="Q68" s="98"/>
      <c r="R68" s="98"/>
      <c r="S68" s="98"/>
      <c r="T68" s="98"/>
      <c r="U68" s="98"/>
      <c r="V68" s="98"/>
      <c r="W68" s="98"/>
      <c r="X68" s="98"/>
      <c r="Y68" s="98"/>
      <c r="Z68" s="98"/>
      <c r="AA68" s="98"/>
      <c r="AB68" s="98"/>
      <c r="AC68" s="98"/>
      <c r="AD68" s="98"/>
      <c r="AE68" s="98"/>
      <c r="AF68" s="98"/>
      <c r="AG68" s="98"/>
      <c r="AH68" s="98"/>
      <c r="AI68" s="98"/>
      <c r="AJ68" s="98"/>
      <c r="AK68" s="98"/>
      <c r="AL68" s="98"/>
      <c r="AM68" s="98"/>
      <c r="AN68" s="98"/>
      <c r="AO68" s="98"/>
      <c r="AP68" s="98"/>
      <c r="AQ68" s="98"/>
      <c r="AR68" s="98"/>
      <c r="AS68" s="98"/>
      <c r="AT68" s="98"/>
      <c r="AU68" s="98"/>
      <c r="AV68" s="98"/>
      <c r="AW68" s="98"/>
      <c r="AX68" s="98"/>
      <c r="AY68" s="98"/>
      <c r="AZ68" s="98"/>
      <c r="BA68" s="98"/>
      <c r="BB68" s="98"/>
      <c r="BC68" s="98"/>
      <c r="BD68" s="98"/>
      <c r="BE68" s="98"/>
      <c r="BF68" s="98"/>
      <c r="BG68" s="98"/>
      <c r="BH68" s="98"/>
      <c r="BI68" s="98"/>
      <c r="BJ68" s="98"/>
      <c r="BK68" s="98"/>
      <c r="BL68" s="98"/>
      <c r="BM68" s="98"/>
      <c r="BN68" s="98"/>
      <c r="BO68" s="98"/>
      <c r="BP68" s="98"/>
      <c r="BQ68" s="98"/>
      <c r="BR68" s="98"/>
      <c r="BS68" s="98"/>
      <c r="BT68" s="98"/>
      <c r="BU68" s="98"/>
      <c r="BV68" s="98"/>
      <c r="BW68" s="98"/>
      <c r="BX68" s="98"/>
      <c r="BY68" s="98"/>
      <c r="BZ68" s="98"/>
      <c r="CA68" s="98"/>
      <c r="CB68" s="98"/>
      <c r="CC68" s="98"/>
      <c r="CD68" s="98"/>
      <c r="CE68" s="98"/>
      <c r="CF68" s="98"/>
      <c r="CG68" s="98"/>
      <c r="CH68" s="98"/>
      <c r="CI68" s="98"/>
      <c r="CJ68" s="98"/>
      <c r="CK68" s="98"/>
      <c r="CL68" s="98"/>
      <c r="CM68" s="98"/>
      <c r="CN68" s="98"/>
      <c r="CO68" s="98"/>
      <c r="CP68" s="98"/>
      <c r="CQ68" s="98"/>
      <c r="CR68" s="98"/>
      <c r="CS68" s="98"/>
      <c r="CT68" s="98"/>
    </row>
    <row r="69" customFormat="false" ht="15" hidden="false" customHeight="true" outlineLevel="0" collapsed="false">
      <c r="A69" s="97" t="s">
        <v>106</v>
      </c>
      <c r="C69" s="98" t="n">
        <v>9375</v>
      </c>
      <c r="D69" s="98" t="n">
        <v>9375</v>
      </c>
      <c r="E69" s="98" t="n">
        <v>9375</v>
      </c>
      <c r="F69" s="98" t="n">
        <v>9375</v>
      </c>
      <c r="G69" s="98" t="n">
        <v>9375</v>
      </c>
      <c r="H69" s="98" t="n">
        <v>9375</v>
      </c>
      <c r="I69" s="98" t="n">
        <v>9375</v>
      </c>
      <c r="J69" s="98" t="n">
        <v>9375</v>
      </c>
      <c r="K69" s="98"/>
      <c r="L69" s="98"/>
      <c r="M69" s="98"/>
      <c r="N69" s="98"/>
      <c r="O69" s="98"/>
      <c r="P69" s="98"/>
      <c r="Q69" s="98"/>
      <c r="R69" s="98"/>
      <c r="S69" s="98"/>
      <c r="T69" s="98"/>
      <c r="U69" s="98"/>
      <c r="V69" s="98"/>
      <c r="W69" s="98"/>
      <c r="X69" s="98"/>
      <c r="Y69" s="98"/>
      <c r="Z69" s="98"/>
      <c r="AA69" s="98"/>
      <c r="AB69" s="98"/>
      <c r="AC69" s="98"/>
      <c r="AD69" s="98"/>
      <c r="AE69" s="98"/>
      <c r="AF69" s="98"/>
      <c r="AG69" s="98"/>
      <c r="AH69" s="98"/>
      <c r="AI69" s="98"/>
      <c r="AJ69" s="98"/>
      <c r="AK69" s="98"/>
      <c r="AL69" s="98"/>
      <c r="AM69" s="98"/>
      <c r="AN69" s="98"/>
      <c r="AO69" s="98"/>
      <c r="AP69" s="98"/>
      <c r="AQ69" s="98"/>
      <c r="AR69" s="98"/>
      <c r="AS69" s="98"/>
      <c r="AT69" s="98"/>
      <c r="AU69" s="98"/>
      <c r="AV69" s="98"/>
      <c r="AW69" s="98"/>
      <c r="AX69" s="98"/>
      <c r="AY69" s="98"/>
      <c r="AZ69" s="98"/>
      <c r="BA69" s="98"/>
      <c r="BB69" s="98"/>
      <c r="BC69" s="98"/>
      <c r="BD69" s="98"/>
      <c r="BE69" s="98"/>
      <c r="BF69" s="98"/>
      <c r="BG69" s="98"/>
      <c r="BH69" s="98"/>
      <c r="BI69" s="98"/>
      <c r="BJ69" s="98"/>
      <c r="BK69" s="98"/>
      <c r="BL69" s="98"/>
      <c r="BM69" s="98"/>
      <c r="BN69" s="98"/>
      <c r="BO69" s="98"/>
      <c r="BP69" s="98"/>
      <c r="BQ69" s="98"/>
      <c r="BR69" s="98"/>
      <c r="BS69" s="98"/>
      <c r="BT69" s="98"/>
      <c r="BU69" s="98"/>
      <c r="BV69" s="98"/>
      <c r="BW69" s="98"/>
      <c r="BX69" s="98"/>
      <c r="BY69" s="98"/>
      <c r="BZ69" s="98"/>
      <c r="CA69" s="98"/>
      <c r="CB69" s="98"/>
      <c r="CC69" s="98"/>
      <c r="CD69" s="98"/>
      <c r="CE69" s="98"/>
      <c r="CF69" s="98"/>
      <c r="CG69" s="98"/>
      <c r="CH69" s="98"/>
      <c r="CI69" s="98"/>
      <c r="CJ69" s="98"/>
      <c r="CK69" s="98"/>
      <c r="CL69" s="98"/>
      <c r="CM69" s="98"/>
      <c r="CN69" s="98"/>
      <c r="CO69" s="98"/>
      <c r="CP69" s="98"/>
      <c r="CQ69" s="98"/>
      <c r="CR69" s="98"/>
      <c r="CS69" s="98"/>
      <c r="CT69" s="98"/>
    </row>
    <row r="70" customFormat="false" ht="15" hidden="false" customHeight="true" outlineLevel="0" collapsed="false">
      <c r="A70" s="97" t="s">
        <v>107</v>
      </c>
      <c r="C70" s="98"/>
      <c r="D70" s="98"/>
      <c r="E70" s="98"/>
      <c r="F70" s="98"/>
      <c r="G70" s="98"/>
      <c r="H70" s="98"/>
      <c r="I70" s="98" t="n">
        <v>44000</v>
      </c>
      <c r="J70" s="98" t="n">
        <v>19000</v>
      </c>
      <c r="K70" s="98"/>
      <c r="L70" s="98"/>
      <c r="M70" s="98"/>
      <c r="N70" s="98"/>
      <c r="O70" s="98"/>
      <c r="P70" s="98"/>
      <c r="Q70" s="98"/>
      <c r="R70" s="98"/>
      <c r="S70" s="98"/>
      <c r="T70" s="98"/>
      <c r="U70" s="98"/>
      <c r="V70" s="98"/>
      <c r="W70" s="98"/>
      <c r="X70" s="98"/>
      <c r="Y70" s="98"/>
      <c r="Z70" s="98"/>
      <c r="AA70" s="98"/>
      <c r="AB70" s="98"/>
      <c r="AC70" s="98"/>
      <c r="AD70" s="98"/>
      <c r="AE70" s="98"/>
      <c r="AF70" s="98"/>
      <c r="AG70" s="98"/>
      <c r="AH70" s="98"/>
      <c r="AI70" s="98"/>
      <c r="AJ70" s="98"/>
      <c r="AK70" s="98"/>
      <c r="AL70" s="98"/>
      <c r="AM70" s="98"/>
      <c r="AN70" s="98"/>
      <c r="AO70" s="98"/>
      <c r="AP70" s="98"/>
      <c r="AQ70" s="98"/>
      <c r="AR70" s="98"/>
      <c r="AS70" s="98"/>
      <c r="AT70" s="98"/>
      <c r="AU70" s="98"/>
      <c r="AV70" s="98"/>
      <c r="AW70" s="98"/>
      <c r="AX70" s="98"/>
      <c r="AY70" s="98"/>
      <c r="AZ70" s="98"/>
      <c r="BA70" s="98"/>
      <c r="BB70" s="98"/>
      <c r="BC70" s="98"/>
      <c r="BD70" s="98"/>
      <c r="BE70" s="98"/>
      <c r="BF70" s="98"/>
      <c r="BG70" s="98"/>
      <c r="BH70" s="98"/>
      <c r="BI70" s="98"/>
      <c r="BJ70" s="98"/>
      <c r="BK70" s="98"/>
      <c r="BL70" s="98"/>
      <c r="BM70" s="98"/>
      <c r="BN70" s="98"/>
      <c r="BO70" s="98"/>
      <c r="BP70" s="98"/>
      <c r="BQ70" s="98"/>
      <c r="BR70" s="98"/>
      <c r="BS70" s="98"/>
      <c r="BT70" s="98"/>
      <c r="BU70" s="98"/>
      <c r="BV70" s="98"/>
      <c r="BW70" s="98"/>
      <c r="BX70" s="98"/>
      <c r="BY70" s="98"/>
      <c r="BZ70" s="98"/>
      <c r="CA70" s="98"/>
      <c r="CB70" s="98"/>
      <c r="CC70" s="98"/>
      <c r="CD70" s="98"/>
      <c r="CE70" s="98"/>
      <c r="CF70" s="98"/>
      <c r="CG70" s="98"/>
      <c r="CH70" s="98"/>
      <c r="CI70" s="98"/>
      <c r="CJ70" s="98"/>
      <c r="CK70" s="98"/>
      <c r="CL70" s="98"/>
      <c r="CM70" s="98"/>
      <c r="CN70" s="98"/>
      <c r="CO70" s="98"/>
      <c r="CP70" s="98"/>
      <c r="CQ70" s="98"/>
      <c r="CR70" s="98"/>
      <c r="CS70" s="98"/>
      <c r="CT70" s="98"/>
    </row>
    <row r="71" customFormat="false" ht="15" hidden="false" customHeight="true" outlineLevel="0" collapsed="false">
      <c r="A71" s="97" t="s">
        <v>108</v>
      </c>
      <c r="C71" s="98"/>
      <c r="D71" s="98"/>
      <c r="E71" s="98"/>
      <c r="F71" s="98"/>
      <c r="G71" s="98"/>
      <c r="H71" s="98"/>
      <c r="I71" s="98"/>
      <c r="J71" s="98"/>
      <c r="K71" s="98"/>
      <c r="L71" s="98"/>
      <c r="M71" s="98"/>
      <c r="N71" s="98"/>
      <c r="O71" s="98"/>
      <c r="P71" s="98"/>
      <c r="Q71" s="98"/>
      <c r="R71" s="98"/>
      <c r="S71" s="98"/>
      <c r="T71" s="98"/>
      <c r="U71" s="98"/>
      <c r="V71" s="98"/>
      <c r="W71" s="98"/>
      <c r="X71" s="98"/>
      <c r="Y71" s="98"/>
      <c r="Z71" s="98"/>
      <c r="AA71" s="98"/>
      <c r="AB71" s="98"/>
      <c r="AC71" s="98"/>
      <c r="AD71" s="98"/>
      <c r="AE71" s="98"/>
      <c r="AF71" s="98"/>
      <c r="AG71" s="98"/>
      <c r="AH71" s="98"/>
      <c r="AI71" s="98"/>
      <c r="AJ71" s="98"/>
      <c r="AK71" s="98"/>
      <c r="AL71" s="98"/>
      <c r="AM71" s="98"/>
      <c r="AN71" s="98"/>
      <c r="AO71" s="98"/>
      <c r="AP71" s="98"/>
      <c r="AQ71" s="98"/>
      <c r="AR71" s="98"/>
      <c r="AS71" s="98"/>
      <c r="AT71" s="98"/>
      <c r="AU71" s="98"/>
      <c r="AV71" s="98"/>
      <c r="AW71" s="98"/>
      <c r="AX71" s="98"/>
      <c r="AY71" s="98"/>
      <c r="AZ71" s="98"/>
      <c r="BA71" s="98"/>
      <c r="BB71" s="98"/>
      <c r="BC71" s="98"/>
      <c r="BD71" s="98"/>
      <c r="BE71" s="98"/>
      <c r="BF71" s="98"/>
      <c r="BG71" s="98"/>
      <c r="BH71" s="98"/>
      <c r="BI71" s="98"/>
      <c r="BJ71" s="98"/>
      <c r="BK71" s="98"/>
      <c r="BL71" s="98"/>
      <c r="BM71" s="98"/>
      <c r="BN71" s="98"/>
      <c r="BO71" s="98"/>
      <c r="BP71" s="98"/>
      <c r="BQ71" s="98"/>
      <c r="BR71" s="98"/>
      <c r="BS71" s="98"/>
      <c r="BT71" s="98"/>
      <c r="BU71" s="98"/>
      <c r="BV71" s="98"/>
      <c r="BW71" s="98"/>
      <c r="BX71" s="98"/>
      <c r="BY71" s="98"/>
      <c r="BZ71" s="98"/>
      <c r="CA71" s="98"/>
      <c r="CB71" s="98"/>
      <c r="CC71" s="98"/>
      <c r="CD71" s="98"/>
      <c r="CE71" s="98"/>
      <c r="CF71" s="98"/>
      <c r="CG71" s="98"/>
      <c r="CH71" s="98"/>
      <c r="CI71" s="98"/>
      <c r="CJ71" s="98"/>
      <c r="CK71" s="98"/>
      <c r="CL71" s="98"/>
      <c r="CM71" s="98"/>
      <c r="CN71" s="98"/>
      <c r="CO71" s="98"/>
      <c r="CP71" s="98"/>
      <c r="CQ71" s="98"/>
      <c r="CR71" s="98"/>
      <c r="CS71" s="98"/>
      <c r="CT71" s="98"/>
    </row>
    <row r="72" customFormat="false" ht="15" hidden="false" customHeight="true" outlineLevel="0" collapsed="false">
      <c r="A72" s="97" t="s">
        <v>109</v>
      </c>
      <c r="C72" s="98"/>
      <c r="D72" s="98"/>
      <c r="E72" s="98"/>
      <c r="F72" s="98"/>
      <c r="G72" s="98"/>
      <c r="H72" s="98"/>
      <c r="I72" s="98"/>
      <c r="J72" s="98"/>
      <c r="K72" s="98"/>
      <c r="L72" s="98"/>
      <c r="M72" s="98"/>
      <c r="N72" s="98"/>
      <c r="O72" s="98"/>
      <c r="P72" s="98"/>
      <c r="Q72" s="98"/>
      <c r="R72" s="98"/>
      <c r="S72" s="98"/>
      <c r="T72" s="98"/>
      <c r="U72" s="98"/>
      <c r="V72" s="98"/>
      <c r="W72" s="98"/>
      <c r="X72" s="98"/>
      <c r="Y72" s="98"/>
      <c r="Z72" s="98"/>
      <c r="AA72" s="98"/>
      <c r="AB72" s="98"/>
      <c r="AC72" s="98"/>
      <c r="AD72" s="98"/>
      <c r="AE72" s="98"/>
      <c r="AF72" s="98"/>
      <c r="AG72" s="98"/>
      <c r="AH72" s="98"/>
      <c r="AI72" s="98"/>
      <c r="AJ72" s="98"/>
      <c r="AK72" s="98"/>
      <c r="AL72" s="98"/>
      <c r="AM72" s="98"/>
      <c r="AN72" s="98"/>
      <c r="AO72" s="98"/>
      <c r="AP72" s="98"/>
      <c r="AQ72" s="98"/>
      <c r="AR72" s="98"/>
      <c r="AS72" s="98"/>
      <c r="AT72" s="98"/>
      <c r="AU72" s="98"/>
      <c r="AV72" s="98"/>
      <c r="AW72" s="98"/>
      <c r="AX72" s="98"/>
      <c r="AY72" s="98"/>
      <c r="AZ72" s="98"/>
      <c r="BA72" s="98"/>
      <c r="BB72" s="98"/>
      <c r="BC72" s="98"/>
      <c r="BD72" s="98"/>
      <c r="BE72" s="98"/>
      <c r="BF72" s="98"/>
      <c r="BG72" s="98"/>
      <c r="BH72" s="98"/>
      <c r="BI72" s="98"/>
      <c r="BJ72" s="98"/>
      <c r="BK72" s="98"/>
      <c r="BL72" s="98"/>
      <c r="BM72" s="98"/>
      <c r="BN72" s="98"/>
      <c r="BO72" s="98"/>
      <c r="BP72" s="98"/>
      <c r="BQ72" s="98"/>
      <c r="BR72" s="98"/>
      <c r="BS72" s="98"/>
      <c r="BT72" s="98"/>
      <c r="BU72" s="98"/>
      <c r="BV72" s="98"/>
      <c r="BW72" s="98"/>
      <c r="BX72" s="98"/>
      <c r="BY72" s="98"/>
      <c r="BZ72" s="98"/>
      <c r="CA72" s="98"/>
      <c r="CB72" s="98"/>
      <c r="CC72" s="98"/>
      <c r="CD72" s="98"/>
      <c r="CE72" s="98"/>
      <c r="CF72" s="98"/>
      <c r="CG72" s="98"/>
      <c r="CH72" s="98"/>
      <c r="CI72" s="98"/>
      <c r="CJ72" s="98"/>
      <c r="CK72" s="98"/>
      <c r="CL72" s="98"/>
      <c r="CM72" s="98"/>
      <c r="CN72" s="98"/>
      <c r="CO72" s="98"/>
      <c r="CP72" s="98"/>
      <c r="CQ72" s="98"/>
      <c r="CR72" s="98"/>
      <c r="CS72" s="98"/>
      <c r="CT72" s="98"/>
    </row>
    <row r="73" customFormat="false" ht="15" hidden="false" customHeight="true" outlineLevel="0" collapsed="false">
      <c r="A73" s="97" t="s">
        <v>110</v>
      </c>
      <c r="C73" s="98"/>
      <c r="D73" s="98"/>
      <c r="E73" s="98"/>
      <c r="F73" s="98"/>
      <c r="G73" s="98"/>
      <c r="H73" s="98"/>
      <c r="I73" s="98"/>
      <c r="J73" s="98"/>
      <c r="K73" s="98"/>
      <c r="L73" s="98"/>
      <c r="M73" s="98"/>
      <c r="N73" s="98"/>
      <c r="O73" s="98"/>
      <c r="P73" s="98"/>
      <c r="Q73" s="98"/>
      <c r="R73" s="98"/>
      <c r="S73" s="98"/>
      <c r="T73" s="98"/>
      <c r="U73" s="98"/>
      <c r="V73" s="98"/>
      <c r="W73" s="98"/>
      <c r="X73" s="98"/>
      <c r="Y73" s="98"/>
      <c r="Z73" s="98"/>
      <c r="AA73" s="98"/>
      <c r="AB73" s="98"/>
      <c r="AC73" s="98"/>
      <c r="AD73" s="98"/>
      <c r="AE73" s="98"/>
      <c r="AF73" s="98"/>
      <c r="AG73" s="98"/>
      <c r="AH73" s="98"/>
      <c r="AI73" s="98"/>
      <c r="AJ73" s="98"/>
      <c r="AK73" s="98"/>
      <c r="AL73" s="98"/>
      <c r="AM73" s="98"/>
      <c r="AN73" s="98"/>
      <c r="AO73" s="98"/>
      <c r="AP73" s="98"/>
      <c r="AQ73" s="98"/>
      <c r="AR73" s="98"/>
      <c r="AS73" s="98"/>
      <c r="AT73" s="98"/>
      <c r="AU73" s="98"/>
      <c r="AV73" s="98"/>
      <c r="AW73" s="98"/>
      <c r="AX73" s="98"/>
      <c r="AY73" s="98"/>
      <c r="AZ73" s="98"/>
      <c r="BA73" s="98"/>
      <c r="BB73" s="98"/>
      <c r="BC73" s="98"/>
      <c r="BD73" s="98"/>
      <c r="BE73" s="98"/>
      <c r="BF73" s="98"/>
      <c r="BG73" s="98"/>
      <c r="BH73" s="98"/>
      <c r="BI73" s="98"/>
      <c r="BJ73" s="98"/>
      <c r="BK73" s="98"/>
      <c r="BL73" s="98"/>
      <c r="BM73" s="98"/>
      <c r="BN73" s="98"/>
      <c r="BO73" s="98"/>
      <c r="BP73" s="98"/>
      <c r="BQ73" s="98"/>
      <c r="BR73" s="98"/>
      <c r="BS73" s="98"/>
      <c r="BT73" s="98"/>
      <c r="BU73" s="98"/>
      <c r="BV73" s="98"/>
      <c r="BW73" s="98"/>
      <c r="BX73" s="98"/>
      <c r="BY73" s="98"/>
      <c r="BZ73" s="98"/>
      <c r="CA73" s="98"/>
      <c r="CB73" s="98"/>
      <c r="CC73" s="98"/>
      <c r="CD73" s="98"/>
      <c r="CE73" s="98"/>
      <c r="CF73" s="98"/>
      <c r="CG73" s="98"/>
      <c r="CH73" s="98"/>
      <c r="CI73" s="98"/>
      <c r="CJ73" s="98"/>
      <c r="CK73" s="98"/>
      <c r="CL73" s="98"/>
      <c r="CM73" s="98"/>
      <c r="CN73" s="98"/>
      <c r="CO73" s="98"/>
      <c r="CP73" s="98"/>
      <c r="CQ73" s="98"/>
      <c r="CR73" s="98"/>
      <c r="CS73" s="98"/>
      <c r="CT73" s="98"/>
    </row>
    <row r="74" customFormat="false" ht="15" hidden="false" customHeight="true" outlineLevel="0" collapsed="false">
      <c r="A74" s="97" t="s">
        <v>111</v>
      </c>
      <c r="C74" s="98"/>
      <c r="D74" s="98"/>
      <c r="E74" s="98"/>
      <c r="F74" s="98"/>
      <c r="G74" s="98"/>
      <c r="H74" s="98"/>
      <c r="I74" s="98"/>
      <c r="J74" s="98"/>
      <c r="K74" s="98"/>
      <c r="L74" s="98"/>
      <c r="M74" s="98"/>
      <c r="N74" s="98"/>
      <c r="O74" s="98"/>
      <c r="P74" s="98"/>
      <c r="Q74" s="98"/>
      <c r="R74" s="98"/>
      <c r="S74" s="98"/>
      <c r="T74" s="98"/>
      <c r="U74" s="98"/>
      <c r="V74" s="98"/>
      <c r="W74" s="98"/>
      <c r="X74" s="98"/>
      <c r="Y74" s="98"/>
      <c r="Z74" s="98"/>
      <c r="AA74" s="98"/>
      <c r="AB74" s="98"/>
      <c r="AC74" s="98"/>
      <c r="AD74" s="98"/>
      <c r="AE74" s="98"/>
      <c r="AF74" s="98"/>
      <c r="AG74" s="98"/>
      <c r="AH74" s="98"/>
      <c r="AI74" s="98"/>
      <c r="AJ74" s="98"/>
      <c r="AK74" s="98"/>
      <c r="AL74" s="98"/>
      <c r="AM74" s="98"/>
      <c r="AN74" s="98"/>
      <c r="AO74" s="98"/>
      <c r="AP74" s="98"/>
      <c r="AQ74" s="98"/>
      <c r="AR74" s="98"/>
      <c r="AS74" s="98"/>
      <c r="AT74" s="98"/>
      <c r="AU74" s="98"/>
      <c r="AV74" s="98"/>
      <c r="AW74" s="98"/>
      <c r="AX74" s="98"/>
      <c r="AY74" s="98"/>
      <c r="AZ74" s="98"/>
      <c r="BA74" s="98"/>
      <c r="BB74" s="98"/>
      <c r="BC74" s="98"/>
      <c r="BD74" s="98"/>
      <c r="BE74" s="98"/>
      <c r="BF74" s="98"/>
      <c r="BG74" s="98"/>
      <c r="BH74" s="98"/>
      <c r="BI74" s="98"/>
      <c r="BJ74" s="98"/>
      <c r="BK74" s="98"/>
      <c r="BL74" s="98"/>
      <c r="BM74" s="98"/>
      <c r="BN74" s="98"/>
      <c r="BO74" s="98"/>
      <c r="BP74" s="98"/>
      <c r="BQ74" s="98"/>
      <c r="BR74" s="98"/>
      <c r="BS74" s="98"/>
      <c r="BT74" s="98"/>
      <c r="BU74" s="98"/>
      <c r="BV74" s="98"/>
      <c r="BW74" s="98"/>
      <c r="BX74" s="98"/>
      <c r="BY74" s="98"/>
      <c r="BZ74" s="98"/>
      <c r="CA74" s="98"/>
      <c r="CB74" s="98"/>
      <c r="CC74" s="98"/>
      <c r="CD74" s="98"/>
      <c r="CE74" s="98"/>
      <c r="CF74" s="98"/>
      <c r="CG74" s="98"/>
      <c r="CH74" s="98"/>
      <c r="CI74" s="98"/>
      <c r="CJ74" s="98"/>
      <c r="CK74" s="98"/>
      <c r="CL74" s="98"/>
      <c r="CM74" s="98"/>
      <c r="CN74" s="98"/>
      <c r="CO74" s="98"/>
      <c r="CP74" s="98"/>
      <c r="CQ74" s="98"/>
      <c r="CR74" s="98"/>
      <c r="CS74" s="98"/>
      <c r="CT74" s="98"/>
    </row>
    <row r="75" customFormat="false" ht="15" hidden="false" customHeight="true" outlineLevel="0" collapsed="false">
      <c r="A75" s="97" t="s">
        <v>112</v>
      </c>
      <c r="C75" s="98"/>
      <c r="D75" s="98"/>
      <c r="E75" s="98"/>
      <c r="F75" s="98"/>
      <c r="G75" s="98"/>
      <c r="H75" s="98"/>
      <c r="I75" s="98"/>
      <c r="J75" s="98"/>
      <c r="K75" s="98"/>
      <c r="L75" s="98"/>
      <c r="M75" s="98"/>
      <c r="N75" s="98"/>
      <c r="O75" s="98"/>
      <c r="P75" s="98"/>
      <c r="Q75" s="98"/>
      <c r="R75" s="98"/>
      <c r="S75" s="98"/>
      <c r="T75" s="98"/>
      <c r="U75" s="98"/>
      <c r="V75" s="98"/>
      <c r="W75" s="98"/>
      <c r="X75" s="98"/>
      <c r="Y75" s="98"/>
      <c r="Z75" s="98"/>
      <c r="AA75" s="98"/>
      <c r="AB75" s="98"/>
      <c r="AC75" s="98"/>
      <c r="AD75" s="98"/>
      <c r="AE75" s="98"/>
      <c r="AF75" s="98"/>
      <c r="AG75" s="98"/>
      <c r="AH75" s="98"/>
      <c r="AI75" s="98"/>
      <c r="AJ75" s="98"/>
      <c r="AK75" s="98"/>
      <c r="AL75" s="98"/>
      <c r="AM75" s="98"/>
      <c r="AN75" s="98"/>
      <c r="AO75" s="98"/>
      <c r="AP75" s="98"/>
      <c r="AQ75" s="98"/>
      <c r="AR75" s="98"/>
      <c r="AS75" s="98"/>
      <c r="AT75" s="98"/>
      <c r="AU75" s="98"/>
      <c r="AV75" s="98"/>
      <c r="AW75" s="98"/>
      <c r="AX75" s="98"/>
      <c r="AY75" s="98"/>
      <c r="AZ75" s="98"/>
      <c r="BA75" s="98"/>
      <c r="BB75" s="98"/>
      <c r="BC75" s="98"/>
      <c r="BD75" s="98"/>
      <c r="BE75" s="98"/>
      <c r="BF75" s="98"/>
      <c r="BG75" s="98"/>
      <c r="BH75" s="98"/>
      <c r="BI75" s="98"/>
      <c r="BJ75" s="98"/>
      <c r="BK75" s="98"/>
      <c r="BL75" s="98"/>
      <c r="BM75" s="98"/>
      <c r="BN75" s="98"/>
      <c r="BO75" s="98"/>
      <c r="BP75" s="98"/>
      <c r="BQ75" s="98"/>
      <c r="BR75" s="98"/>
      <c r="BS75" s="98"/>
      <c r="BT75" s="98"/>
      <c r="BU75" s="98"/>
      <c r="BV75" s="98"/>
      <c r="BW75" s="98"/>
      <c r="BX75" s="98"/>
      <c r="BY75" s="98"/>
      <c r="BZ75" s="98"/>
      <c r="CA75" s="98"/>
      <c r="CB75" s="98"/>
      <c r="CC75" s="98"/>
      <c r="CD75" s="98"/>
      <c r="CE75" s="98"/>
      <c r="CF75" s="98"/>
      <c r="CG75" s="98"/>
      <c r="CH75" s="98"/>
      <c r="CI75" s="98"/>
      <c r="CJ75" s="98"/>
      <c r="CK75" s="98"/>
      <c r="CL75" s="98"/>
      <c r="CM75" s="98"/>
      <c r="CN75" s="98"/>
      <c r="CO75" s="98"/>
      <c r="CP75" s="98"/>
      <c r="CQ75" s="98"/>
      <c r="CR75" s="98"/>
      <c r="CS75" s="98"/>
      <c r="CT75" s="98"/>
    </row>
    <row r="76" customFormat="false" ht="15" hidden="false" customHeight="true" outlineLevel="0" collapsed="false">
      <c r="A76" s="97" t="s">
        <v>113</v>
      </c>
      <c r="C76" s="98"/>
      <c r="D76" s="98"/>
      <c r="E76" s="98"/>
      <c r="F76" s="98"/>
      <c r="G76" s="98"/>
      <c r="H76" s="98"/>
      <c r="I76" s="98"/>
      <c r="J76" s="98"/>
      <c r="K76" s="98"/>
      <c r="L76" s="98"/>
      <c r="M76" s="98"/>
      <c r="N76" s="98"/>
      <c r="O76" s="98"/>
      <c r="P76" s="98"/>
      <c r="Q76" s="98"/>
      <c r="R76" s="98"/>
      <c r="S76" s="98"/>
      <c r="T76" s="98"/>
      <c r="U76" s="98"/>
      <c r="V76" s="98"/>
      <c r="W76" s="98"/>
      <c r="X76" s="98"/>
      <c r="Y76" s="98"/>
      <c r="Z76" s="98"/>
      <c r="AA76" s="98"/>
      <c r="AB76" s="98"/>
      <c r="AC76" s="98"/>
      <c r="AD76" s="98"/>
      <c r="AE76" s="98"/>
      <c r="AF76" s="98"/>
      <c r="AG76" s="98"/>
      <c r="AH76" s="98"/>
      <c r="AI76" s="98"/>
      <c r="AJ76" s="98"/>
      <c r="AK76" s="98"/>
      <c r="AL76" s="98"/>
      <c r="AM76" s="98"/>
      <c r="AN76" s="98"/>
      <c r="AO76" s="98"/>
      <c r="AP76" s="98"/>
      <c r="AQ76" s="98"/>
      <c r="AR76" s="98"/>
      <c r="AS76" s="98"/>
      <c r="AT76" s="98"/>
      <c r="AU76" s="98"/>
      <c r="AV76" s="98"/>
      <c r="AW76" s="98"/>
      <c r="AX76" s="98"/>
      <c r="AY76" s="98"/>
      <c r="AZ76" s="98"/>
      <c r="BA76" s="98"/>
      <c r="BB76" s="98"/>
      <c r="BC76" s="98"/>
      <c r="BD76" s="98"/>
      <c r="BE76" s="98"/>
      <c r="BF76" s="98"/>
      <c r="BG76" s="98"/>
      <c r="BH76" s="98"/>
      <c r="BI76" s="98"/>
      <c r="BJ76" s="98"/>
      <c r="BK76" s="98"/>
      <c r="BL76" s="98"/>
      <c r="BM76" s="98"/>
      <c r="BN76" s="98"/>
      <c r="BO76" s="98"/>
      <c r="BP76" s="98"/>
      <c r="BQ76" s="98"/>
      <c r="BR76" s="98"/>
      <c r="BS76" s="98"/>
      <c r="BT76" s="98"/>
      <c r="BU76" s="98"/>
      <c r="BV76" s="98"/>
      <c r="BW76" s="98"/>
      <c r="BX76" s="98"/>
      <c r="BY76" s="98"/>
      <c r="BZ76" s="98"/>
      <c r="CA76" s="98"/>
      <c r="CB76" s="98"/>
      <c r="CC76" s="98"/>
      <c r="CD76" s="98"/>
      <c r="CE76" s="98"/>
      <c r="CF76" s="98"/>
      <c r="CG76" s="98"/>
      <c r="CH76" s="98"/>
      <c r="CI76" s="98"/>
      <c r="CJ76" s="98"/>
      <c r="CK76" s="98"/>
      <c r="CL76" s="98"/>
      <c r="CM76" s="98"/>
      <c r="CN76" s="98"/>
      <c r="CO76" s="98"/>
      <c r="CP76" s="98"/>
      <c r="CQ76" s="98"/>
      <c r="CR76" s="98"/>
      <c r="CS76" s="98"/>
      <c r="CT76" s="98"/>
    </row>
    <row r="77" customFormat="false" ht="15" hidden="false" customHeight="true" outlineLevel="0" collapsed="false">
      <c r="A77" s="97" t="s">
        <v>114</v>
      </c>
      <c r="C77" s="98"/>
      <c r="D77" s="98"/>
      <c r="E77" s="98"/>
      <c r="F77" s="98"/>
      <c r="G77" s="98"/>
      <c r="H77" s="98"/>
      <c r="I77" s="98"/>
      <c r="J77" s="98" t="n">
        <v>127514</v>
      </c>
      <c r="K77" s="98"/>
      <c r="L77" s="98"/>
      <c r="M77" s="98"/>
      <c r="N77" s="98"/>
      <c r="O77" s="98"/>
      <c r="P77" s="98"/>
      <c r="Q77" s="98"/>
      <c r="R77" s="98"/>
      <c r="S77" s="98"/>
      <c r="T77" s="98"/>
      <c r="U77" s="98"/>
      <c r="V77" s="98"/>
      <c r="W77" s="98"/>
      <c r="X77" s="98"/>
      <c r="Y77" s="98"/>
      <c r="Z77" s="98"/>
      <c r="AA77" s="98"/>
      <c r="AB77" s="98"/>
      <c r="AC77" s="98"/>
      <c r="AD77" s="98"/>
      <c r="AE77" s="98"/>
      <c r="AF77" s="98"/>
      <c r="AG77" s="98"/>
      <c r="AH77" s="98"/>
      <c r="AI77" s="98"/>
      <c r="AJ77" s="98"/>
      <c r="AK77" s="98"/>
      <c r="AL77" s="98"/>
      <c r="AM77" s="98"/>
      <c r="AN77" s="98"/>
      <c r="AO77" s="98"/>
      <c r="AP77" s="98"/>
      <c r="AQ77" s="98"/>
      <c r="AR77" s="98"/>
      <c r="AS77" s="98"/>
      <c r="AT77" s="98"/>
      <c r="AU77" s="98"/>
      <c r="AV77" s="98"/>
      <c r="AW77" s="98"/>
      <c r="AX77" s="98"/>
      <c r="AY77" s="98"/>
      <c r="AZ77" s="98"/>
      <c r="BA77" s="98"/>
      <c r="BB77" s="98"/>
      <c r="BC77" s="98"/>
      <c r="BD77" s="98"/>
      <c r="BE77" s="98"/>
      <c r="BF77" s="98"/>
      <c r="BG77" s="98"/>
      <c r="BH77" s="98"/>
      <c r="BI77" s="98"/>
      <c r="BJ77" s="98"/>
      <c r="BK77" s="98"/>
      <c r="BL77" s="98"/>
      <c r="BM77" s="98"/>
      <c r="BN77" s="98"/>
      <c r="BO77" s="98"/>
      <c r="BP77" s="98"/>
      <c r="BQ77" s="98"/>
      <c r="BR77" s="98"/>
      <c r="BS77" s="98"/>
      <c r="BT77" s="98"/>
      <c r="BU77" s="98"/>
      <c r="BV77" s="98"/>
      <c r="BW77" s="98"/>
      <c r="BX77" s="98"/>
      <c r="BY77" s="98"/>
      <c r="BZ77" s="98"/>
      <c r="CA77" s="98"/>
      <c r="CB77" s="98"/>
      <c r="CC77" s="98"/>
      <c r="CD77" s="98"/>
      <c r="CE77" s="98"/>
      <c r="CF77" s="98"/>
      <c r="CG77" s="98"/>
      <c r="CH77" s="98"/>
      <c r="CI77" s="98"/>
      <c r="CJ77" s="98"/>
      <c r="CK77" s="98"/>
      <c r="CL77" s="98"/>
      <c r="CM77" s="98"/>
      <c r="CN77" s="98"/>
      <c r="CO77" s="98"/>
      <c r="CP77" s="98"/>
      <c r="CQ77" s="98"/>
      <c r="CR77" s="98"/>
      <c r="CS77" s="98"/>
      <c r="CT77" s="98"/>
    </row>
    <row r="78" customFormat="false" ht="15" hidden="false" customHeight="true" outlineLevel="0" collapsed="false">
      <c r="A78" s="97" t="s">
        <v>115</v>
      </c>
      <c r="C78" s="98"/>
      <c r="D78" s="98"/>
      <c r="E78" s="98"/>
      <c r="F78" s="98"/>
      <c r="G78" s="98"/>
      <c r="H78" s="98"/>
      <c r="I78" s="98"/>
      <c r="J78" s="98"/>
      <c r="K78" s="98"/>
      <c r="L78" s="98"/>
      <c r="M78" s="98"/>
      <c r="N78" s="98"/>
      <c r="O78" s="98"/>
      <c r="P78" s="98"/>
      <c r="Q78" s="98"/>
      <c r="R78" s="98"/>
      <c r="S78" s="98"/>
      <c r="T78" s="98"/>
      <c r="U78" s="98"/>
      <c r="V78" s="98"/>
      <c r="W78" s="98"/>
      <c r="X78" s="98"/>
      <c r="Y78" s="98"/>
      <c r="Z78" s="98"/>
      <c r="AA78" s="98"/>
      <c r="AB78" s="98"/>
      <c r="AC78" s="98"/>
      <c r="AD78" s="98"/>
      <c r="AE78" s="98"/>
      <c r="AF78" s="98"/>
      <c r="AG78" s="98"/>
      <c r="AH78" s="98"/>
      <c r="AI78" s="98"/>
      <c r="AJ78" s="98"/>
      <c r="AK78" s="98"/>
      <c r="AL78" s="98"/>
      <c r="AM78" s="98"/>
      <c r="AN78" s="98"/>
      <c r="AO78" s="98"/>
      <c r="AP78" s="98"/>
      <c r="AQ78" s="98"/>
      <c r="AR78" s="98"/>
      <c r="AS78" s="98"/>
      <c r="AT78" s="98"/>
      <c r="AU78" s="98"/>
      <c r="AV78" s="98"/>
      <c r="AW78" s="98"/>
      <c r="AX78" s="98"/>
      <c r="AY78" s="98"/>
      <c r="AZ78" s="98"/>
      <c r="BA78" s="98"/>
      <c r="BB78" s="98"/>
      <c r="BC78" s="98"/>
      <c r="BD78" s="98"/>
      <c r="BE78" s="98"/>
      <c r="BF78" s="98"/>
      <c r="BG78" s="98"/>
      <c r="BH78" s="98"/>
      <c r="BI78" s="98"/>
      <c r="BJ78" s="98"/>
      <c r="BK78" s="98"/>
      <c r="BL78" s="98"/>
      <c r="BM78" s="98"/>
      <c r="BN78" s="98"/>
      <c r="BO78" s="98"/>
      <c r="BP78" s="98"/>
      <c r="BQ78" s="98"/>
      <c r="BR78" s="98"/>
      <c r="BS78" s="98"/>
      <c r="BT78" s="98"/>
      <c r="BU78" s="98"/>
      <c r="BV78" s="98"/>
      <c r="BW78" s="98"/>
      <c r="BX78" s="98"/>
      <c r="BY78" s="98"/>
      <c r="BZ78" s="98"/>
      <c r="CA78" s="98"/>
      <c r="CB78" s="98"/>
      <c r="CC78" s="98"/>
      <c r="CD78" s="98"/>
      <c r="CE78" s="98"/>
      <c r="CF78" s="98"/>
      <c r="CG78" s="98"/>
      <c r="CH78" s="98"/>
      <c r="CI78" s="98"/>
      <c r="CJ78" s="98"/>
      <c r="CK78" s="98"/>
      <c r="CL78" s="98"/>
      <c r="CM78" s="98"/>
      <c r="CN78" s="98"/>
      <c r="CO78" s="98"/>
      <c r="CP78" s="98"/>
      <c r="CQ78" s="98"/>
      <c r="CR78" s="98"/>
      <c r="CS78" s="98"/>
      <c r="CT78" s="98"/>
    </row>
    <row r="79" customFormat="false" ht="15" hidden="false" customHeight="true" outlineLevel="0" collapsed="false">
      <c r="A79" s="97" t="s">
        <v>116</v>
      </c>
      <c r="C79" s="98"/>
      <c r="D79" s="98"/>
      <c r="E79" s="98"/>
      <c r="F79" s="98"/>
      <c r="G79" s="98"/>
      <c r="H79" s="98"/>
      <c r="I79" s="98"/>
      <c r="J79" s="98"/>
      <c r="K79" s="98"/>
      <c r="L79" s="98"/>
      <c r="M79" s="98"/>
      <c r="N79" s="98"/>
      <c r="O79" s="98"/>
      <c r="P79" s="98"/>
      <c r="Q79" s="98"/>
      <c r="R79" s="98"/>
      <c r="S79" s="98"/>
      <c r="T79" s="98"/>
      <c r="U79" s="98"/>
      <c r="V79" s="98"/>
      <c r="W79" s="98"/>
      <c r="X79" s="98"/>
      <c r="Y79" s="98"/>
      <c r="Z79" s="98"/>
      <c r="AA79" s="98"/>
      <c r="AB79" s="98"/>
      <c r="AC79" s="98"/>
      <c r="AD79" s="98"/>
      <c r="AE79" s="98"/>
      <c r="AF79" s="98"/>
      <c r="AG79" s="98"/>
      <c r="AH79" s="98"/>
      <c r="AI79" s="98"/>
      <c r="AJ79" s="98"/>
      <c r="AK79" s="98"/>
      <c r="AL79" s="98"/>
      <c r="AM79" s="98"/>
      <c r="AN79" s="98"/>
      <c r="AO79" s="98"/>
      <c r="AP79" s="98"/>
      <c r="AQ79" s="98"/>
      <c r="AR79" s="98"/>
      <c r="AS79" s="98"/>
      <c r="AT79" s="98"/>
      <c r="AU79" s="98"/>
      <c r="AV79" s="98"/>
      <c r="AW79" s="98"/>
      <c r="AX79" s="98"/>
      <c r="AY79" s="98"/>
      <c r="AZ79" s="98"/>
      <c r="BA79" s="98"/>
      <c r="BB79" s="98"/>
      <c r="BC79" s="98"/>
      <c r="BD79" s="98"/>
      <c r="BE79" s="98"/>
      <c r="BF79" s="98"/>
      <c r="BG79" s="98"/>
      <c r="BH79" s="98"/>
      <c r="BI79" s="98"/>
      <c r="BJ79" s="98"/>
      <c r="BK79" s="98"/>
      <c r="BL79" s="98"/>
      <c r="BM79" s="98"/>
      <c r="BN79" s="98"/>
      <c r="BO79" s="98"/>
      <c r="BP79" s="98"/>
      <c r="BQ79" s="98"/>
      <c r="BR79" s="98"/>
      <c r="BS79" s="98"/>
      <c r="BT79" s="98"/>
      <c r="BU79" s="98"/>
      <c r="BV79" s="98"/>
      <c r="BW79" s="98"/>
      <c r="BX79" s="98"/>
      <c r="BY79" s="98"/>
      <c r="BZ79" s="98"/>
      <c r="CA79" s="98"/>
      <c r="CB79" s="98"/>
      <c r="CC79" s="98"/>
      <c r="CD79" s="98"/>
      <c r="CE79" s="98"/>
      <c r="CF79" s="98"/>
      <c r="CG79" s="98"/>
      <c r="CH79" s="98"/>
      <c r="CI79" s="98"/>
      <c r="CJ79" s="98"/>
      <c r="CK79" s="98"/>
      <c r="CL79" s="98"/>
      <c r="CM79" s="98"/>
      <c r="CN79" s="98"/>
      <c r="CO79" s="98"/>
      <c r="CP79" s="98"/>
      <c r="CQ79" s="98"/>
      <c r="CR79" s="98"/>
      <c r="CS79" s="98"/>
      <c r="CT79" s="98"/>
    </row>
    <row r="80" customFormat="false" ht="15" hidden="false" customHeight="true" outlineLevel="0" collapsed="false">
      <c r="A80" s="97" t="s">
        <v>117</v>
      </c>
      <c r="C80" s="98"/>
      <c r="D80" s="98"/>
      <c r="E80" s="98"/>
      <c r="F80" s="98"/>
      <c r="G80" s="98"/>
      <c r="H80" s="98"/>
      <c r="I80" s="98"/>
      <c r="J80" s="98"/>
      <c r="K80" s="98"/>
      <c r="L80" s="98"/>
      <c r="M80" s="98"/>
      <c r="N80" s="98"/>
      <c r="O80" s="98"/>
      <c r="P80" s="98"/>
      <c r="Q80" s="98"/>
      <c r="R80" s="98"/>
      <c r="S80" s="98"/>
      <c r="T80" s="98"/>
      <c r="U80" s="98"/>
      <c r="V80" s="98"/>
      <c r="W80" s="98"/>
      <c r="X80" s="98"/>
      <c r="Y80" s="98"/>
      <c r="Z80" s="98"/>
      <c r="AA80" s="98"/>
      <c r="AB80" s="98"/>
      <c r="AC80" s="98"/>
      <c r="AD80" s="98"/>
      <c r="AE80" s="98"/>
      <c r="AF80" s="98"/>
      <c r="AG80" s="98"/>
      <c r="AH80" s="98"/>
      <c r="AI80" s="98"/>
      <c r="AJ80" s="98"/>
      <c r="AK80" s="98"/>
      <c r="AL80" s="98"/>
      <c r="AM80" s="98"/>
      <c r="AN80" s="98"/>
      <c r="AO80" s="98"/>
      <c r="AP80" s="98"/>
      <c r="AQ80" s="98"/>
      <c r="AR80" s="98"/>
      <c r="AS80" s="98"/>
      <c r="AT80" s="98"/>
      <c r="AU80" s="98"/>
      <c r="AV80" s="98"/>
      <c r="AW80" s="98"/>
      <c r="AX80" s="98"/>
      <c r="AY80" s="98"/>
      <c r="AZ80" s="98"/>
      <c r="BA80" s="98"/>
      <c r="BB80" s="98"/>
      <c r="BC80" s="98"/>
      <c r="BD80" s="98"/>
      <c r="BE80" s="98"/>
      <c r="BF80" s="98"/>
      <c r="BG80" s="98"/>
      <c r="BH80" s="98"/>
      <c r="BI80" s="98"/>
      <c r="BJ80" s="98"/>
      <c r="BK80" s="98"/>
      <c r="BL80" s="98"/>
      <c r="BM80" s="98"/>
      <c r="BN80" s="98"/>
      <c r="BO80" s="98"/>
      <c r="BP80" s="98"/>
      <c r="BQ80" s="98"/>
      <c r="BR80" s="98"/>
      <c r="BS80" s="98"/>
      <c r="BT80" s="98"/>
      <c r="BU80" s="98"/>
      <c r="BV80" s="98"/>
      <c r="BW80" s="98"/>
      <c r="BX80" s="98"/>
      <c r="BY80" s="98"/>
      <c r="BZ80" s="98"/>
      <c r="CA80" s="98"/>
      <c r="CB80" s="98"/>
      <c r="CC80" s="98"/>
      <c r="CD80" s="98"/>
      <c r="CE80" s="98"/>
      <c r="CF80" s="98"/>
      <c r="CG80" s="98"/>
      <c r="CH80" s="98"/>
      <c r="CI80" s="98"/>
      <c r="CJ80" s="98"/>
      <c r="CK80" s="98"/>
      <c r="CL80" s="98"/>
      <c r="CM80" s="98"/>
      <c r="CN80" s="98"/>
      <c r="CO80" s="98"/>
      <c r="CP80" s="98"/>
      <c r="CQ80" s="98"/>
      <c r="CR80" s="98"/>
      <c r="CS80" s="98"/>
      <c r="CT80" s="98"/>
    </row>
    <row r="81" customFormat="false" ht="15" hidden="false" customHeight="true" outlineLevel="0" collapsed="false">
      <c r="A81" s="94" t="s">
        <v>121</v>
      </c>
      <c r="C81" s="100" t="n">
        <f aca="false">SUM(C63:C80)</f>
        <v>34114.58</v>
      </c>
      <c r="D81" s="100" t="n">
        <f aca="false">SUM(D63:D80)</f>
        <v>34114.58</v>
      </c>
      <c r="E81" s="100" t="n">
        <f aca="false">SUM(E63:E80)</f>
        <v>34114.58</v>
      </c>
      <c r="F81" s="100" t="n">
        <f aca="false">SUM(F63:F80)</f>
        <v>34114.58</v>
      </c>
      <c r="G81" s="100" t="n">
        <f aca="false">SUM(G63:G80)</f>
        <v>34114.58</v>
      </c>
      <c r="H81" s="100" t="n">
        <f aca="false">SUM(H63:H80)</f>
        <v>333114.58</v>
      </c>
      <c r="I81" s="100" t="n">
        <f aca="false">SUM(I63:I80)</f>
        <v>78114.58</v>
      </c>
      <c r="J81" s="100" t="n">
        <f aca="false">SUM(J63:J80)</f>
        <v>180628.58</v>
      </c>
      <c r="K81" s="100" t="n">
        <f aca="false">SUM(K63:K80)</f>
        <v>0</v>
      </c>
      <c r="L81" s="100" t="n">
        <f aca="false">SUM(L63:L80)</f>
        <v>0</v>
      </c>
      <c r="M81" s="100" t="n">
        <f aca="false">SUM(M63:M80)</f>
        <v>0</v>
      </c>
      <c r="N81" s="100" t="n">
        <f aca="false">SUM(N63:N80)</f>
        <v>0</v>
      </c>
      <c r="O81" s="100" t="n">
        <f aca="false">SUM(O63:O80)</f>
        <v>0</v>
      </c>
      <c r="P81" s="100" t="n">
        <f aca="false">SUM(P63:P80)</f>
        <v>0</v>
      </c>
      <c r="Q81" s="100" t="n">
        <f aca="false">SUM(Q63:Q80)</f>
        <v>0</v>
      </c>
      <c r="R81" s="100" t="n">
        <f aca="false">SUM(R63:R80)</f>
        <v>0</v>
      </c>
      <c r="S81" s="100" t="n">
        <f aca="false">SUM(S63:S80)</f>
        <v>0</v>
      </c>
      <c r="T81" s="100" t="n">
        <f aca="false">SUM(T63:T80)</f>
        <v>0</v>
      </c>
      <c r="U81" s="100" t="n">
        <f aca="false">SUM(U63:U80)</f>
        <v>0</v>
      </c>
      <c r="V81" s="100" t="n">
        <f aca="false">SUM(V63:V80)</f>
        <v>0</v>
      </c>
      <c r="W81" s="100" t="n">
        <f aca="false">SUM(W63:W80)</f>
        <v>0</v>
      </c>
      <c r="X81" s="100" t="n">
        <f aca="false">SUM(X63:X80)</f>
        <v>0</v>
      </c>
      <c r="Y81" s="100" t="n">
        <f aca="false">SUM(Y63:Y80)</f>
        <v>0</v>
      </c>
      <c r="Z81" s="100" t="n">
        <f aca="false">SUM(Z63:Z80)</f>
        <v>0</v>
      </c>
      <c r="AA81" s="100" t="n">
        <f aca="false">SUM(AA63:AA80)</f>
        <v>0</v>
      </c>
      <c r="AB81" s="100" t="n">
        <f aca="false">SUM(AB63:AB80)</f>
        <v>0</v>
      </c>
      <c r="AC81" s="100" t="n">
        <f aca="false">SUM(AC63:AC80)</f>
        <v>0</v>
      </c>
      <c r="AD81" s="100" t="n">
        <f aca="false">SUM(AD63:AD80)</f>
        <v>0</v>
      </c>
      <c r="AE81" s="100" t="n">
        <f aca="false">SUM(AE63:AE80)</f>
        <v>0</v>
      </c>
      <c r="AF81" s="100" t="n">
        <f aca="false">SUM(AF63:AF80)</f>
        <v>0</v>
      </c>
      <c r="AG81" s="100" t="n">
        <f aca="false">SUM(AG63:AG80)</f>
        <v>0</v>
      </c>
      <c r="AH81" s="100" t="n">
        <f aca="false">SUM(AH63:AH80)</f>
        <v>0</v>
      </c>
      <c r="AI81" s="100" t="n">
        <f aca="false">SUM(AI63:AI80)</f>
        <v>0</v>
      </c>
      <c r="AJ81" s="100" t="n">
        <f aca="false">SUM(AJ63:AJ80)</f>
        <v>0</v>
      </c>
      <c r="AK81" s="100" t="n">
        <f aca="false">SUM(AK63:AK80)</f>
        <v>0</v>
      </c>
      <c r="AL81" s="100" t="n">
        <f aca="false">SUM(AL63:AL80)</f>
        <v>0</v>
      </c>
      <c r="AM81" s="100" t="n">
        <f aca="false">SUM(AM63:AM80)</f>
        <v>0</v>
      </c>
      <c r="AN81" s="100" t="n">
        <f aca="false">SUM(AN63:AN80)</f>
        <v>0</v>
      </c>
      <c r="AO81" s="100" t="n">
        <f aca="false">SUM(AO63:AO80)</f>
        <v>0</v>
      </c>
      <c r="AP81" s="100" t="n">
        <f aca="false">SUM(AP63:AP80)</f>
        <v>0</v>
      </c>
      <c r="AQ81" s="100" t="n">
        <f aca="false">SUM(AQ63:AQ80)</f>
        <v>0</v>
      </c>
      <c r="AR81" s="100" t="n">
        <f aca="false">SUM(AR63:AR80)</f>
        <v>0</v>
      </c>
      <c r="AS81" s="100" t="n">
        <f aca="false">SUM(AS63:AS80)</f>
        <v>0</v>
      </c>
      <c r="AT81" s="100" t="n">
        <f aca="false">SUM(AT63:AT80)</f>
        <v>0</v>
      </c>
      <c r="AU81" s="100" t="n">
        <f aca="false">SUM(AU63:AU80)</f>
        <v>0</v>
      </c>
      <c r="AV81" s="100" t="n">
        <f aca="false">SUM(AV63:AV80)</f>
        <v>0</v>
      </c>
      <c r="AW81" s="100" t="n">
        <f aca="false">SUM(AW63:AW80)</f>
        <v>0</v>
      </c>
      <c r="AX81" s="100" t="n">
        <f aca="false">SUM(AX63:AX80)</f>
        <v>0</v>
      </c>
      <c r="AY81" s="100" t="n">
        <f aca="false">SUM(AY63:AY80)</f>
        <v>0</v>
      </c>
      <c r="AZ81" s="100" t="n">
        <f aca="false">SUM(AZ63:AZ80)</f>
        <v>0</v>
      </c>
      <c r="BA81" s="100" t="n">
        <f aca="false">SUM(BA63:BA80)</f>
        <v>0</v>
      </c>
      <c r="BB81" s="100" t="n">
        <f aca="false">SUM(BB63:BB80)</f>
        <v>0</v>
      </c>
      <c r="BC81" s="100" t="n">
        <f aca="false">SUM(BC63:BC80)</f>
        <v>0</v>
      </c>
      <c r="BD81" s="100" t="n">
        <f aca="false">SUM(BD63:BD80)</f>
        <v>0</v>
      </c>
      <c r="BE81" s="100" t="n">
        <f aca="false">SUM(BE63:BE80)</f>
        <v>0</v>
      </c>
      <c r="BF81" s="100" t="n">
        <f aca="false">SUM(BF63:BF80)</f>
        <v>0</v>
      </c>
      <c r="BG81" s="100" t="n">
        <f aca="false">SUM(BG63:BG80)</f>
        <v>0</v>
      </c>
      <c r="BH81" s="100" t="n">
        <f aca="false">SUM(BH63:BH80)</f>
        <v>0</v>
      </c>
      <c r="BI81" s="100" t="n">
        <f aca="false">SUM(BI63:BI80)</f>
        <v>0</v>
      </c>
      <c r="BJ81" s="100" t="n">
        <f aca="false">SUM(BJ63:BJ80)</f>
        <v>0</v>
      </c>
      <c r="BK81" s="100" t="n">
        <f aca="false">SUM(BK63:BK80)</f>
        <v>0</v>
      </c>
      <c r="BL81" s="100" t="n">
        <f aca="false">SUM(BL63:BL80)</f>
        <v>0</v>
      </c>
      <c r="BM81" s="100" t="n">
        <f aca="false">SUM(BM63:BM80)</f>
        <v>0</v>
      </c>
      <c r="BN81" s="100" t="n">
        <f aca="false">SUM(BN63:BN80)</f>
        <v>0</v>
      </c>
      <c r="BO81" s="100" t="n">
        <f aca="false">SUM(BO63:BO80)</f>
        <v>0</v>
      </c>
      <c r="BP81" s="100" t="n">
        <f aca="false">SUM(BP63:BP80)</f>
        <v>0</v>
      </c>
      <c r="BQ81" s="100" t="n">
        <f aca="false">SUM(BQ63:BQ80)</f>
        <v>0</v>
      </c>
      <c r="BR81" s="100" t="n">
        <f aca="false">SUM(BR63:BR80)</f>
        <v>0</v>
      </c>
      <c r="BS81" s="100" t="n">
        <f aca="false">SUM(BS63:BS80)</f>
        <v>0</v>
      </c>
      <c r="BT81" s="100" t="n">
        <f aca="false">SUM(BT63:BT80)</f>
        <v>0</v>
      </c>
      <c r="BU81" s="100" t="n">
        <f aca="false">SUM(BU63:BU80)</f>
        <v>0</v>
      </c>
      <c r="BV81" s="100" t="n">
        <f aca="false">SUM(BV63:BV80)</f>
        <v>0</v>
      </c>
      <c r="BW81" s="100" t="n">
        <f aca="false">SUM(BW63:BW80)</f>
        <v>0</v>
      </c>
      <c r="BX81" s="100" t="n">
        <f aca="false">SUM(BX63:BX80)</f>
        <v>0</v>
      </c>
      <c r="BY81" s="100" t="n">
        <f aca="false">SUM(BY63:BY80)</f>
        <v>0</v>
      </c>
      <c r="BZ81" s="100" t="n">
        <f aca="false">SUM(BZ63:BZ80)</f>
        <v>0</v>
      </c>
      <c r="CA81" s="100" t="n">
        <f aca="false">SUM(CA63:CA80)</f>
        <v>0</v>
      </c>
      <c r="CB81" s="100" t="n">
        <f aca="false">SUM(CB63:CB80)</f>
        <v>0</v>
      </c>
      <c r="CC81" s="100" t="n">
        <f aca="false">SUM(CC63:CC80)</f>
        <v>0</v>
      </c>
      <c r="CD81" s="100" t="n">
        <f aca="false">SUM(CD63:CD80)</f>
        <v>0</v>
      </c>
      <c r="CE81" s="100" t="n">
        <f aca="false">SUM(CE63:CE80)</f>
        <v>0</v>
      </c>
      <c r="CF81" s="100" t="n">
        <f aca="false">SUM(CF63:CF80)</f>
        <v>0</v>
      </c>
      <c r="CG81" s="100" t="n">
        <f aca="false">SUM(CG63:CG80)</f>
        <v>0</v>
      </c>
      <c r="CH81" s="100" t="n">
        <f aca="false">SUM(CH63:CH80)</f>
        <v>0</v>
      </c>
      <c r="CI81" s="100" t="n">
        <f aca="false">SUM(CI63:CI80)</f>
        <v>0</v>
      </c>
      <c r="CJ81" s="100" t="n">
        <f aca="false">SUM(CJ63:CJ80)</f>
        <v>0</v>
      </c>
      <c r="CK81" s="100" t="n">
        <f aca="false">SUM(CK63:CK80)</f>
        <v>0</v>
      </c>
      <c r="CL81" s="100" t="n">
        <f aca="false">SUM(CL63:CL80)</f>
        <v>0</v>
      </c>
      <c r="CM81" s="100" t="n">
        <f aca="false">SUM(CM63:CM80)</f>
        <v>0</v>
      </c>
      <c r="CN81" s="100" t="n">
        <f aca="false">SUM(CN63:CN80)</f>
        <v>0</v>
      </c>
      <c r="CO81" s="100" t="n">
        <f aca="false">SUM(CO63:CO80)</f>
        <v>0</v>
      </c>
      <c r="CP81" s="100" t="n">
        <f aca="false">SUM(CP63:CP80)</f>
        <v>0</v>
      </c>
      <c r="CQ81" s="100" t="n">
        <f aca="false">SUM(CQ63:CQ80)</f>
        <v>0</v>
      </c>
      <c r="CR81" s="100" t="n">
        <f aca="false">SUM(CR63:CR80)</f>
        <v>0</v>
      </c>
      <c r="CS81" s="100" t="n">
        <f aca="false">SUM(CS63:CS80)</f>
        <v>0</v>
      </c>
      <c r="CT81" s="100" t="n">
        <f aca="false">SUM(CT63:CT80)</f>
        <v>0</v>
      </c>
    </row>
    <row r="82" customFormat="false" ht="15" hidden="false" customHeight="true" outlineLevel="0" collapsed="false">
      <c r="A82" s="97"/>
      <c r="C82" s="98"/>
      <c r="D82" s="98"/>
      <c r="E82" s="98"/>
      <c r="F82" s="98"/>
      <c r="G82" s="98"/>
      <c r="H82" s="98"/>
      <c r="I82" s="98"/>
      <c r="J82" s="98"/>
      <c r="K82" s="98"/>
      <c r="L82" s="98"/>
      <c r="M82" s="98"/>
      <c r="N82" s="98"/>
      <c r="O82" s="98"/>
      <c r="P82" s="98"/>
      <c r="Q82" s="98"/>
      <c r="R82" s="98"/>
      <c r="S82" s="98"/>
      <c r="T82" s="98"/>
      <c r="U82" s="98"/>
      <c r="V82" s="98"/>
      <c r="W82" s="98"/>
      <c r="X82" s="98"/>
      <c r="Y82" s="98"/>
      <c r="Z82" s="98"/>
      <c r="AA82" s="98"/>
      <c r="AB82" s="98"/>
      <c r="AC82" s="98"/>
      <c r="AD82" s="98"/>
      <c r="AE82" s="98"/>
      <c r="AF82" s="98"/>
      <c r="AG82" s="98"/>
      <c r="AH82" s="98"/>
      <c r="AI82" s="98"/>
      <c r="AJ82" s="98"/>
      <c r="AK82" s="98"/>
      <c r="AL82" s="98"/>
      <c r="AM82" s="98"/>
      <c r="AN82" s="98"/>
      <c r="AO82" s="98"/>
      <c r="AP82" s="98"/>
      <c r="AQ82" s="98"/>
      <c r="AR82" s="98"/>
      <c r="AS82" s="98"/>
      <c r="AT82" s="98"/>
      <c r="AU82" s="98"/>
      <c r="AV82" s="98"/>
      <c r="AW82" s="98"/>
      <c r="AX82" s="98"/>
      <c r="AY82" s="98"/>
      <c r="AZ82" s="98"/>
      <c r="BA82" s="98"/>
      <c r="BB82" s="98"/>
      <c r="BC82" s="98"/>
      <c r="BD82" s="98"/>
      <c r="BE82" s="98"/>
      <c r="BF82" s="98"/>
      <c r="BG82" s="98"/>
      <c r="BH82" s="98"/>
      <c r="BI82" s="98"/>
      <c r="BJ82" s="98"/>
      <c r="BK82" s="98"/>
      <c r="BL82" s="98"/>
      <c r="BM82" s="98"/>
      <c r="BN82" s="98"/>
      <c r="BO82" s="98"/>
      <c r="BP82" s="98"/>
      <c r="BQ82" s="98"/>
      <c r="BR82" s="98"/>
      <c r="BS82" s="98"/>
      <c r="BT82" s="98"/>
      <c r="BU82" s="98"/>
      <c r="BV82" s="98"/>
      <c r="BW82" s="98"/>
      <c r="BX82" s="98"/>
      <c r="BY82" s="98"/>
      <c r="BZ82" s="98"/>
      <c r="CA82" s="98"/>
      <c r="CB82" s="98"/>
      <c r="CC82" s="98"/>
      <c r="CD82" s="98"/>
      <c r="CE82" s="98"/>
      <c r="CF82" s="98"/>
      <c r="CG82" s="98"/>
      <c r="CH82" s="98"/>
      <c r="CI82" s="98"/>
      <c r="CJ82" s="98"/>
      <c r="CK82" s="98"/>
      <c r="CL82" s="98"/>
      <c r="CM82" s="98"/>
      <c r="CN82" s="98"/>
      <c r="CO82" s="98"/>
      <c r="CP82" s="98"/>
      <c r="CQ82" s="98"/>
      <c r="CR82" s="98"/>
      <c r="CS82" s="98"/>
      <c r="CT82" s="98"/>
    </row>
    <row r="83" customFormat="false" ht="15" hidden="false" customHeight="true" outlineLevel="0" collapsed="false">
      <c r="A83" s="97" t="s">
        <v>64</v>
      </c>
      <c r="C83" s="98" t="n">
        <v>-54421</v>
      </c>
      <c r="D83" s="98" t="n">
        <v>-54166.68</v>
      </c>
      <c r="E83" s="98" t="n">
        <v>-54166.68</v>
      </c>
      <c r="F83" s="98" t="n">
        <v>-54166.68</v>
      </c>
      <c r="G83" s="98" t="n">
        <v>-54166.68</v>
      </c>
      <c r="H83" s="98" t="n">
        <v>-54166.68</v>
      </c>
      <c r="I83" s="98" t="n">
        <v>-54166.68</v>
      </c>
      <c r="J83" s="98" t="n">
        <v>-54166.68</v>
      </c>
      <c r="K83" s="98"/>
      <c r="L83" s="98"/>
      <c r="M83" s="98"/>
      <c r="N83" s="98"/>
      <c r="O83" s="98"/>
      <c r="P83" s="98"/>
      <c r="Q83" s="98"/>
      <c r="R83" s="98"/>
      <c r="S83" s="98"/>
      <c r="T83" s="98"/>
      <c r="U83" s="98"/>
      <c r="V83" s="98"/>
      <c r="W83" s="98"/>
      <c r="X83" s="98"/>
      <c r="Y83" s="98"/>
      <c r="Z83" s="98"/>
      <c r="AA83" s="98"/>
      <c r="AB83" s="98"/>
      <c r="AC83" s="98"/>
      <c r="AD83" s="98"/>
      <c r="AE83" s="98"/>
      <c r="AF83" s="98"/>
      <c r="AG83" s="98"/>
      <c r="AH83" s="98"/>
      <c r="AI83" s="98"/>
      <c r="AJ83" s="98"/>
      <c r="AK83" s="98"/>
      <c r="AL83" s="98"/>
      <c r="AM83" s="98"/>
      <c r="AN83" s="98"/>
      <c r="AO83" s="98"/>
      <c r="AP83" s="98"/>
      <c r="AQ83" s="98"/>
      <c r="AR83" s="98"/>
      <c r="AS83" s="98"/>
      <c r="AT83" s="98"/>
      <c r="AU83" s="98"/>
      <c r="AV83" s="98"/>
      <c r="AW83" s="98"/>
      <c r="AX83" s="98"/>
      <c r="AY83" s="98"/>
      <c r="AZ83" s="98"/>
      <c r="BA83" s="98"/>
      <c r="BB83" s="98"/>
      <c r="BC83" s="98"/>
      <c r="BD83" s="98"/>
      <c r="BE83" s="98"/>
      <c r="BF83" s="98"/>
      <c r="BG83" s="98"/>
      <c r="BH83" s="98"/>
      <c r="BI83" s="98"/>
      <c r="BJ83" s="98"/>
      <c r="BK83" s="98"/>
      <c r="BL83" s="98"/>
      <c r="BM83" s="98"/>
      <c r="BN83" s="98"/>
      <c r="BO83" s="98"/>
      <c r="BP83" s="98"/>
      <c r="BQ83" s="98"/>
      <c r="BR83" s="98"/>
      <c r="BS83" s="98"/>
      <c r="BT83" s="98"/>
      <c r="BU83" s="98"/>
      <c r="BV83" s="98"/>
      <c r="BW83" s="98"/>
      <c r="BX83" s="98"/>
      <c r="BY83" s="98"/>
      <c r="BZ83" s="98"/>
      <c r="CA83" s="98"/>
      <c r="CB83" s="98"/>
      <c r="CC83" s="98"/>
      <c r="CD83" s="98"/>
      <c r="CE83" s="98"/>
      <c r="CF83" s="98"/>
      <c r="CG83" s="98"/>
      <c r="CH83" s="98"/>
      <c r="CI83" s="98"/>
      <c r="CJ83" s="98"/>
      <c r="CK83" s="98"/>
      <c r="CL83" s="98"/>
      <c r="CM83" s="98"/>
      <c r="CN83" s="98"/>
      <c r="CO83" s="98"/>
      <c r="CP83" s="98"/>
      <c r="CQ83" s="98"/>
      <c r="CR83" s="98"/>
      <c r="CS83" s="98"/>
      <c r="CT83" s="98"/>
    </row>
    <row r="84" customFormat="false" ht="15" hidden="false" customHeight="true" outlineLevel="0" collapsed="false">
      <c r="A84" s="97" t="s">
        <v>65</v>
      </c>
      <c r="C84" s="98" t="n">
        <v>-5302</v>
      </c>
      <c r="D84" s="98" t="n">
        <v>-4279.79</v>
      </c>
      <c r="E84" s="98" t="n">
        <v>-4145.97</v>
      </c>
      <c r="F84" s="98" t="n">
        <v>-4145.96</v>
      </c>
      <c r="G84" s="98" t="n">
        <v>-4145.99</v>
      </c>
      <c r="H84" s="98" t="n">
        <v>-4145.95</v>
      </c>
      <c r="I84" s="98" t="n">
        <v>-4145.97</v>
      </c>
      <c r="J84" s="98" t="n">
        <v>-4145.97</v>
      </c>
      <c r="K84" s="98"/>
      <c r="L84" s="98"/>
      <c r="M84" s="98"/>
      <c r="N84" s="98"/>
      <c r="O84" s="98"/>
      <c r="P84" s="98"/>
      <c r="Q84" s="98"/>
      <c r="R84" s="98"/>
      <c r="S84" s="98"/>
      <c r="T84" s="98"/>
      <c r="U84" s="98"/>
      <c r="V84" s="98"/>
      <c r="W84" s="98"/>
      <c r="X84" s="98"/>
      <c r="Y84" s="98"/>
      <c r="Z84" s="98"/>
      <c r="AA84" s="98"/>
      <c r="AB84" s="98"/>
      <c r="AC84" s="98"/>
      <c r="AD84" s="98"/>
      <c r="AE84" s="98"/>
      <c r="AF84" s="98"/>
      <c r="AG84" s="98"/>
      <c r="AH84" s="98"/>
      <c r="AI84" s="98"/>
      <c r="AJ84" s="98"/>
      <c r="AK84" s="98"/>
      <c r="AL84" s="98"/>
      <c r="AM84" s="98"/>
      <c r="AN84" s="98"/>
      <c r="AO84" s="98"/>
      <c r="AP84" s="98"/>
      <c r="AQ84" s="98"/>
      <c r="AR84" s="98"/>
      <c r="AS84" s="98"/>
      <c r="AT84" s="98"/>
      <c r="AU84" s="98"/>
      <c r="AV84" s="98"/>
      <c r="AW84" s="98"/>
      <c r="AX84" s="98"/>
      <c r="AY84" s="98"/>
      <c r="AZ84" s="98"/>
      <c r="BA84" s="98"/>
      <c r="BB84" s="98"/>
      <c r="BC84" s="98"/>
      <c r="BD84" s="98"/>
      <c r="BE84" s="98"/>
      <c r="BF84" s="98"/>
      <c r="BG84" s="98"/>
      <c r="BH84" s="98"/>
      <c r="BI84" s="98"/>
      <c r="BJ84" s="98"/>
      <c r="BK84" s="98"/>
      <c r="BL84" s="98"/>
      <c r="BM84" s="98"/>
      <c r="BN84" s="98"/>
      <c r="BO84" s="98"/>
      <c r="BP84" s="98"/>
      <c r="BQ84" s="98"/>
      <c r="BR84" s="98"/>
      <c r="BS84" s="98"/>
      <c r="BT84" s="98"/>
      <c r="BU84" s="98"/>
      <c r="BV84" s="98"/>
      <c r="BW84" s="98"/>
      <c r="BX84" s="98"/>
      <c r="BY84" s="98"/>
      <c r="BZ84" s="98"/>
      <c r="CA84" s="98"/>
      <c r="CB84" s="98"/>
      <c r="CC84" s="98"/>
      <c r="CD84" s="98"/>
      <c r="CE84" s="98"/>
      <c r="CF84" s="98"/>
      <c r="CG84" s="98"/>
      <c r="CH84" s="98"/>
      <c r="CI84" s="98"/>
      <c r="CJ84" s="98"/>
      <c r="CK84" s="98"/>
      <c r="CL84" s="98"/>
      <c r="CM84" s="98"/>
      <c r="CN84" s="98"/>
      <c r="CO84" s="98"/>
      <c r="CP84" s="98"/>
      <c r="CQ84" s="98"/>
      <c r="CR84" s="98"/>
      <c r="CS84" s="98"/>
      <c r="CT84" s="98"/>
    </row>
    <row r="85" customFormat="false" ht="15" hidden="false" customHeight="true" outlineLevel="0" collapsed="false">
      <c r="A85" s="97" t="s">
        <v>67</v>
      </c>
      <c r="C85" s="98" t="n">
        <v>-12137.77</v>
      </c>
      <c r="D85" s="98" t="n">
        <v>-12137.78</v>
      </c>
      <c r="E85" s="98" t="n">
        <v>-12137.78</v>
      </c>
      <c r="F85" s="98" t="n">
        <v>-12137.78</v>
      </c>
      <c r="G85" s="98" t="n">
        <v>-12137.78</v>
      </c>
      <c r="H85" s="98" t="n">
        <v>-12137.78</v>
      </c>
      <c r="I85" s="98" t="n">
        <v>-12137.78</v>
      </c>
      <c r="J85" s="98" t="n">
        <v>-12137.78</v>
      </c>
      <c r="K85" s="98"/>
      <c r="L85" s="98"/>
      <c r="M85" s="98"/>
      <c r="N85" s="98"/>
      <c r="O85" s="98"/>
      <c r="P85" s="98"/>
      <c r="Q85" s="98"/>
      <c r="R85" s="98"/>
      <c r="S85" s="98"/>
      <c r="T85" s="98"/>
      <c r="U85" s="98"/>
      <c r="V85" s="98"/>
      <c r="W85" s="98"/>
      <c r="X85" s="98"/>
      <c r="Y85" s="98"/>
      <c r="Z85" s="98"/>
      <c r="AA85" s="98"/>
      <c r="AB85" s="98"/>
      <c r="AC85" s="98"/>
      <c r="AD85" s="98"/>
      <c r="AE85" s="98"/>
      <c r="AF85" s="98"/>
      <c r="AG85" s="98"/>
      <c r="AH85" s="98"/>
      <c r="AI85" s="98"/>
      <c r="AJ85" s="98"/>
      <c r="AK85" s="98"/>
      <c r="AL85" s="98"/>
      <c r="AM85" s="98"/>
      <c r="AN85" s="98"/>
      <c r="AO85" s="98"/>
      <c r="AP85" s="98"/>
      <c r="AQ85" s="98"/>
      <c r="AR85" s="98"/>
      <c r="AS85" s="98"/>
      <c r="AT85" s="98"/>
      <c r="AU85" s="98"/>
      <c r="AV85" s="98"/>
      <c r="AW85" s="98"/>
      <c r="AX85" s="98"/>
      <c r="AY85" s="98"/>
      <c r="AZ85" s="98"/>
      <c r="BA85" s="98"/>
      <c r="BB85" s="98"/>
      <c r="BC85" s="98"/>
      <c r="BD85" s="98"/>
      <c r="BE85" s="98"/>
      <c r="BF85" s="98"/>
      <c r="BG85" s="98"/>
      <c r="BH85" s="98"/>
      <c r="BI85" s="98"/>
      <c r="BJ85" s="98"/>
      <c r="BK85" s="98"/>
      <c r="BL85" s="98"/>
      <c r="BM85" s="98"/>
      <c r="BN85" s="98"/>
      <c r="BO85" s="98"/>
      <c r="BP85" s="98"/>
      <c r="BQ85" s="98"/>
      <c r="BR85" s="98"/>
      <c r="BS85" s="98"/>
      <c r="BT85" s="98"/>
      <c r="BU85" s="98"/>
      <c r="BV85" s="98"/>
      <c r="BW85" s="98"/>
      <c r="BX85" s="98"/>
      <c r="BY85" s="98"/>
      <c r="BZ85" s="98"/>
      <c r="CA85" s="98"/>
      <c r="CB85" s="98"/>
      <c r="CC85" s="98"/>
      <c r="CD85" s="98"/>
      <c r="CE85" s="98"/>
      <c r="CF85" s="98"/>
      <c r="CG85" s="98"/>
      <c r="CH85" s="98"/>
      <c r="CI85" s="98"/>
      <c r="CJ85" s="98"/>
      <c r="CK85" s="98"/>
      <c r="CL85" s="98"/>
      <c r="CM85" s="98"/>
      <c r="CN85" s="98"/>
      <c r="CO85" s="98"/>
      <c r="CP85" s="98"/>
      <c r="CQ85" s="98"/>
      <c r="CR85" s="98"/>
      <c r="CS85" s="98"/>
      <c r="CT85" s="98"/>
    </row>
    <row r="86" customFormat="false" ht="15" hidden="false" customHeight="true" outlineLevel="0" collapsed="false">
      <c r="A86" s="97" t="s">
        <v>68</v>
      </c>
      <c r="C86" s="98" t="n">
        <v>-475.76</v>
      </c>
      <c r="D86" s="98" t="n">
        <v>-475.76</v>
      </c>
      <c r="E86" s="98" t="n">
        <v>-475.76</v>
      </c>
      <c r="F86" s="98" t="n">
        <v>-475.76</v>
      </c>
      <c r="G86" s="98" t="n">
        <v>-475.76</v>
      </c>
      <c r="H86" s="98" t="n">
        <v>-475.76</v>
      </c>
      <c r="I86" s="98" t="n">
        <v>-475.76</v>
      </c>
      <c r="J86" s="98" t="n">
        <v>-475.76</v>
      </c>
      <c r="K86" s="98"/>
      <c r="L86" s="98"/>
      <c r="M86" s="98"/>
      <c r="N86" s="98"/>
      <c r="O86" s="98"/>
      <c r="P86" s="98"/>
      <c r="Q86" s="98"/>
      <c r="R86" s="98"/>
      <c r="S86" s="98"/>
      <c r="T86" s="98"/>
      <c r="U86" s="98"/>
      <c r="V86" s="98"/>
      <c r="W86" s="98"/>
      <c r="X86" s="98"/>
      <c r="Y86" s="98"/>
      <c r="Z86" s="98"/>
      <c r="AA86" s="98"/>
      <c r="AB86" s="98"/>
      <c r="AC86" s="98"/>
      <c r="AD86" s="98"/>
      <c r="AE86" s="98"/>
      <c r="AF86" s="98"/>
      <c r="AG86" s="98"/>
      <c r="AH86" s="98"/>
      <c r="AI86" s="98"/>
      <c r="AJ86" s="98"/>
      <c r="AK86" s="98"/>
      <c r="AL86" s="98"/>
      <c r="AM86" s="98"/>
      <c r="AN86" s="98"/>
      <c r="AO86" s="98"/>
      <c r="AP86" s="98"/>
      <c r="AQ86" s="98"/>
      <c r="AR86" s="98"/>
      <c r="AS86" s="98"/>
      <c r="AT86" s="98"/>
      <c r="AU86" s="98"/>
      <c r="AV86" s="98"/>
      <c r="AW86" s="98"/>
      <c r="AX86" s="98"/>
      <c r="AY86" s="98"/>
      <c r="AZ86" s="98"/>
      <c r="BA86" s="98"/>
      <c r="BB86" s="98"/>
      <c r="BC86" s="98"/>
      <c r="BD86" s="98"/>
      <c r="BE86" s="98"/>
      <c r="BF86" s="98"/>
      <c r="BG86" s="98"/>
      <c r="BH86" s="98"/>
      <c r="BI86" s="98"/>
      <c r="BJ86" s="98"/>
      <c r="BK86" s="98"/>
      <c r="BL86" s="98"/>
      <c r="BM86" s="98"/>
      <c r="BN86" s="98"/>
      <c r="BO86" s="98"/>
      <c r="BP86" s="98"/>
      <c r="BQ86" s="98"/>
      <c r="BR86" s="98"/>
      <c r="BS86" s="98"/>
      <c r="BT86" s="98"/>
      <c r="BU86" s="98"/>
      <c r="BV86" s="98"/>
      <c r="BW86" s="98"/>
      <c r="BX86" s="98"/>
      <c r="BY86" s="98"/>
      <c r="BZ86" s="98"/>
      <c r="CA86" s="98"/>
      <c r="CB86" s="98"/>
      <c r="CC86" s="98"/>
      <c r="CD86" s="98"/>
      <c r="CE86" s="98"/>
      <c r="CF86" s="98"/>
      <c r="CG86" s="98"/>
      <c r="CH86" s="98"/>
      <c r="CI86" s="98"/>
      <c r="CJ86" s="98"/>
      <c r="CK86" s="98"/>
      <c r="CL86" s="98"/>
      <c r="CM86" s="98"/>
      <c r="CN86" s="98"/>
      <c r="CO86" s="98"/>
      <c r="CP86" s="98"/>
      <c r="CQ86" s="98"/>
      <c r="CR86" s="98"/>
      <c r="CS86" s="98"/>
      <c r="CT86" s="98"/>
    </row>
    <row r="87" customFormat="false" ht="15" hidden="false" customHeight="true" outlineLevel="0" collapsed="false">
      <c r="A87" s="97" t="s">
        <v>69</v>
      </c>
      <c r="C87" s="98" t="n">
        <v>-2200.12</v>
      </c>
      <c r="D87" s="98" t="n">
        <v>-2200.12</v>
      </c>
      <c r="E87" s="98" t="n">
        <v>-2200.12</v>
      </c>
      <c r="F87" s="98" t="n">
        <v>-2200.12</v>
      </c>
      <c r="G87" s="98" t="n">
        <v>-2200.12</v>
      </c>
      <c r="H87" s="98" t="n">
        <v>-2200.12</v>
      </c>
      <c r="I87" s="98" t="n">
        <v>-2200.12</v>
      </c>
      <c r="J87" s="98" t="n">
        <v>-2200.12</v>
      </c>
      <c r="K87" s="98"/>
      <c r="L87" s="98"/>
      <c r="M87" s="98"/>
      <c r="N87" s="98"/>
      <c r="O87" s="98"/>
      <c r="P87" s="98"/>
      <c r="Q87" s="98"/>
      <c r="R87" s="98"/>
      <c r="S87" s="98"/>
      <c r="T87" s="98"/>
      <c r="U87" s="98"/>
      <c r="V87" s="98"/>
      <c r="W87" s="98"/>
      <c r="X87" s="98"/>
      <c r="Y87" s="98"/>
      <c r="Z87" s="98"/>
      <c r="AA87" s="98"/>
      <c r="AB87" s="98"/>
      <c r="AC87" s="98"/>
      <c r="AD87" s="98"/>
      <c r="AE87" s="98"/>
      <c r="AF87" s="98"/>
      <c r="AG87" s="98"/>
      <c r="AH87" s="98"/>
      <c r="AI87" s="98"/>
      <c r="AJ87" s="98"/>
      <c r="AK87" s="98"/>
      <c r="AL87" s="98"/>
      <c r="AM87" s="98"/>
      <c r="AN87" s="98"/>
      <c r="AO87" s="98"/>
      <c r="AP87" s="98"/>
      <c r="AQ87" s="98"/>
      <c r="AR87" s="98"/>
      <c r="AS87" s="98"/>
      <c r="AT87" s="98"/>
      <c r="AU87" s="98"/>
      <c r="AV87" s="98"/>
      <c r="AW87" s="98"/>
      <c r="AX87" s="98"/>
      <c r="AY87" s="98"/>
      <c r="AZ87" s="98"/>
      <c r="BA87" s="98"/>
      <c r="BB87" s="98"/>
      <c r="BC87" s="98"/>
      <c r="BD87" s="98"/>
      <c r="BE87" s="98"/>
      <c r="BF87" s="98"/>
      <c r="BG87" s="98"/>
      <c r="BH87" s="98"/>
      <c r="BI87" s="98"/>
      <c r="BJ87" s="98"/>
      <c r="BK87" s="98"/>
      <c r="BL87" s="98"/>
      <c r="BM87" s="98"/>
      <c r="BN87" s="98"/>
      <c r="BO87" s="98"/>
      <c r="BP87" s="98"/>
      <c r="BQ87" s="98"/>
      <c r="BR87" s="98"/>
      <c r="BS87" s="98"/>
      <c r="BT87" s="98"/>
      <c r="BU87" s="98"/>
      <c r="BV87" s="98"/>
      <c r="BW87" s="98"/>
      <c r="BX87" s="98"/>
      <c r="BY87" s="98"/>
      <c r="BZ87" s="98"/>
      <c r="CA87" s="98"/>
      <c r="CB87" s="98"/>
      <c r="CC87" s="98"/>
      <c r="CD87" s="98"/>
      <c r="CE87" s="98"/>
      <c r="CF87" s="98"/>
      <c r="CG87" s="98"/>
      <c r="CH87" s="98"/>
      <c r="CI87" s="98"/>
      <c r="CJ87" s="98"/>
      <c r="CK87" s="98"/>
      <c r="CL87" s="98"/>
      <c r="CM87" s="98"/>
      <c r="CN87" s="98"/>
      <c r="CO87" s="98"/>
      <c r="CP87" s="98"/>
      <c r="CQ87" s="98"/>
      <c r="CR87" s="98"/>
      <c r="CS87" s="98"/>
      <c r="CT87" s="98"/>
    </row>
    <row r="88" customFormat="false" ht="15" hidden="false" customHeight="true" outlineLevel="0" collapsed="false">
      <c r="A88" s="97" t="s">
        <v>72</v>
      </c>
      <c r="C88" s="98" t="n">
        <v>-8848.65</v>
      </c>
      <c r="D88" s="98" t="n">
        <v>-8817.63</v>
      </c>
      <c r="E88" s="98" t="n">
        <v>-3775.91</v>
      </c>
      <c r="F88" s="98" t="n">
        <v>-8731.12</v>
      </c>
      <c r="G88" s="98" t="n">
        <v>-8739.17</v>
      </c>
      <c r="H88" s="98" t="n">
        <v>-8771.99</v>
      </c>
      <c r="I88" s="98" t="n">
        <v>-13832.56</v>
      </c>
      <c r="J88" s="98" t="n">
        <v>-3870.05</v>
      </c>
      <c r="K88" s="98"/>
      <c r="L88" s="98"/>
      <c r="M88" s="98"/>
      <c r="N88" s="98"/>
      <c r="O88" s="98"/>
      <c r="P88" s="98"/>
      <c r="Q88" s="98"/>
      <c r="R88" s="98"/>
      <c r="S88" s="98"/>
      <c r="T88" s="98"/>
      <c r="U88" s="98"/>
      <c r="V88" s="98"/>
      <c r="W88" s="98"/>
      <c r="X88" s="98"/>
      <c r="Y88" s="98"/>
      <c r="Z88" s="98"/>
      <c r="AA88" s="98"/>
      <c r="AB88" s="98"/>
      <c r="AC88" s="98"/>
      <c r="AD88" s="98"/>
      <c r="AE88" s="98"/>
      <c r="AF88" s="98"/>
      <c r="AG88" s="98"/>
      <c r="AH88" s="98"/>
      <c r="AI88" s="98"/>
      <c r="AJ88" s="98"/>
      <c r="AK88" s="98"/>
      <c r="AL88" s="98"/>
      <c r="AM88" s="98"/>
      <c r="AN88" s="98"/>
      <c r="AO88" s="98"/>
      <c r="AP88" s="98"/>
      <c r="AQ88" s="98"/>
      <c r="AR88" s="98"/>
      <c r="AS88" s="98"/>
      <c r="AT88" s="98"/>
      <c r="AU88" s="98"/>
      <c r="AV88" s="98"/>
      <c r="AW88" s="98"/>
      <c r="AX88" s="98"/>
      <c r="AY88" s="98"/>
      <c r="AZ88" s="98"/>
      <c r="BA88" s="98"/>
      <c r="BB88" s="98"/>
      <c r="BC88" s="98"/>
      <c r="BD88" s="98"/>
      <c r="BE88" s="98"/>
      <c r="BF88" s="98"/>
      <c r="BG88" s="98"/>
      <c r="BH88" s="98"/>
      <c r="BI88" s="98"/>
      <c r="BJ88" s="98"/>
      <c r="BK88" s="98"/>
      <c r="BL88" s="98"/>
      <c r="BM88" s="98"/>
      <c r="BN88" s="98"/>
      <c r="BO88" s="98"/>
      <c r="BP88" s="98"/>
      <c r="BQ88" s="98"/>
      <c r="BR88" s="98"/>
      <c r="BS88" s="98"/>
      <c r="BT88" s="98"/>
      <c r="BU88" s="98"/>
      <c r="BV88" s="98"/>
      <c r="BW88" s="98"/>
      <c r="BX88" s="98"/>
      <c r="BY88" s="98"/>
      <c r="BZ88" s="98"/>
      <c r="CA88" s="98"/>
      <c r="CB88" s="98"/>
      <c r="CC88" s="98"/>
      <c r="CD88" s="98"/>
      <c r="CE88" s="98"/>
      <c r="CF88" s="98"/>
      <c r="CG88" s="98"/>
      <c r="CH88" s="98"/>
      <c r="CI88" s="98"/>
      <c r="CJ88" s="98"/>
      <c r="CK88" s="98"/>
      <c r="CL88" s="98"/>
      <c r="CM88" s="98"/>
      <c r="CN88" s="98"/>
      <c r="CO88" s="98"/>
      <c r="CP88" s="98"/>
      <c r="CQ88" s="98"/>
      <c r="CR88" s="98"/>
      <c r="CS88" s="98"/>
      <c r="CT88" s="98"/>
    </row>
    <row r="89" customFormat="false" ht="15" hidden="false" customHeight="true" outlineLevel="0" collapsed="false">
      <c r="A89" s="97" t="s">
        <v>73</v>
      </c>
      <c r="C89" s="98" t="n">
        <v>-1722.9</v>
      </c>
      <c r="D89" s="98" t="n">
        <v>0</v>
      </c>
      <c r="E89" s="98" t="n">
        <v>-28.51</v>
      </c>
      <c r="F89" s="98" t="n">
        <v>0</v>
      </c>
      <c r="G89" s="98" t="n">
        <v>-212.12</v>
      </c>
      <c r="H89" s="98" t="n">
        <v>-83.92</v>
      </c>
      <c r="I89" s="98" t="n">
        <v>-530</v>
      </c>
      <c r="J89" s="98" t="n">
        <v>-180.23</v>
      </c>
      <c r="K89" s="98"/>
      <c r="L89" s="98"/>
      <c r="M89" s="98"/>
      <c r="N89" s="98"/>
      <c r="O89" s="98"/>
      <c r="P89" s="98"/>
      <c r="Q89" s="98"/>
      <c r="R89" s="98"/>
      <c r="S89" s="98"/>
      <c r="T89" s="98"/>
      <c r="U89" s="98"/>
      <c r="V89" s="98"/>
      <c r="W89" s="98"/>
      <c r="X89" s="98"/>
      <c r="Y89" s="98"/>
      <c r="Z89" s="98"/>
      <c r="AA89" s="98"/>
      <c r="AB89" s="98"/>
      <c r="AC89" s="98"/>
      <c r="AD89" s="98"/>
      <c r="AE89" s="98"/>
      <c r="AF89" s="98"/>
      <c r="AG89" s="98"/>
      <c r="AH89" s="98"/>
      <c r="AI89" s="98"/>
      <c r="AJ89" s="98"/>
      <c r="AK89" s="98"/>
      <c r="AL89" s="98"/>
      <c r="AM89" s="98"/>
      <c r="AN89" s="98"/>
      <c r="AO89" s="98"/>
      <c r="AP89" s="98"/>
      <c r="AQ89" s="98"/>
      <c r="AR89" s="98"/>
      <c r="AS89" s="98"/>
      <c r="AT89" s="98"/>
      <c r="AU89" s="98"/>
      <c r="AV89" s="98"/>
      <c r="AW89" s="98"/>
      <c r="AX89" s="98"/>
      <c r="AY89" s="98"/>
      <c r="AZ89" s="98"/>
      <c r="BA89" s="98"/>
      <c r="BB89" s="98"/>
      <c r="BC89" s="98"/>
      <c r="BD89" s="98"/>
      <c r="BE89" s="98"/>
      <c r="BF89" s="98"/>
      <c r="BG89" s="98"/>
      <c r="BH89" s="98"/>
      <c r="BI89" s="98"/>
      <c r="BJ89" s="98"/>
      <c r="BK89" s="98"/>
      <c r="BL89" s="98"/>
      <c r="BM89" s="98"/>
      <c r="BN89" s="98"/>
      <c r="BO89" s="98"/>
      <c r="BP89" s="98"/>
      <c r="BQ89" s="98"/>
      <c r="BR89" s="98"/>
      <c r="BS89" s="98"/>
      <c r="BT89" s="98"/>
      <c r="BU89" s="98"/>
      <c r="BV89" s="98"/>
      <c r="BW89" s="98"/>
      <c r="BX89" s="98"/>
      <c r="BY89" s="98"/>
      <c r="BZ89" s="98"/>
      <c r="CA89" s="98"/>
      <c r="CB89" s="98"/>
      <c r="CC89" s="98"/>
      <c r="CD89" s="98"/>
      <c r="CE89" s="98"/>
      <c r="CF89" s="98"/>
      <c r="CG89" s="98"/>
      <c r="CH89" s="98"/>
      <c r="CI89" s="98"/>
      <c r="CJ89" s="98"/>
      <c r="CK89" s="98"/>
      <c r="CL89" s="98"/>
      <c r="CM89" s="98"/>
      <c r="CN89" s="98"/>
      <c r="CO89" s="98"/>
      <c r="CP89" s="98"/>
      <c r="CQ89" s="98"/>
      <c r="CR89" s="98"/>
      <c r="CS89" s="98"/>
      <c r="CT89" s="98"/>
    </row>
    <row r="90" customFormat="false" ht="15" hidden="false" customHeight="true" outlineLevel="0" collapsed="false">
      <c r="A90" s="97" t="s">
        <v>76</v>
      </c>
      <c r="C90" s="98" t="n">
        <v>-246.85</v>
      </c>
      <c r="D90" s="98" t="n">
        <v>0</v>
      </c>
      <c r="E90" s="98" t="n">
        <v>-4246.73</v>
      </c>
      <c r="F90" s="98" t="n">
        <v>-3123.87</v>
      </c>
      <c r="G90" s="98" t="n">
        <v>-3184.88</v>
      </c>
      <c r="H90" s="98" t="n">
        <v>-4015.94</v>
      </c>
      <c r="I90" s="98" t="n">
        <v>-759.45</v>
      </c>
      <c r="J90" s="98" t="n">
        <v>-6023.52</v>
      </c>
      <c r="K90" s="98"/>
      <c r="L90" s="98"/>
      <c r="M90" s="98"/>
      <c r="N90" s="98"/>
      <c r="O90" s="98"/>
      <c r="P90" s="98"/>
      <c r="Q90" s="98"/>
      <c r="R90" s="98"/>
      <c r="S90" s="98"/>
      <c r="T90" s="98"/>
      <c r="U90" s="98"/>
      <c r="V90" s="98"/>
      <c r="W90" s="98"/>
      <c r="X90" s="98"/>
      <c r="Y90" s="98"/>
      <c r="Z90" s="98"/>
      <c r="AA90" s="98"/>
      <c r="AB90" s="98"/>
      <c r="AC90" s="98"/>
      <c r="AD90" s="98"/>
      <c r="AE90" s="98"/>
      <c r="AF90" s="98"/>
      <c r="AG90" s="98"/>
      <c r="AH90" s="98"/>
      <c r="AI90" s="98"/>
      <c r="AJ90" s="98"/>
      <c r="AK90" s="98"/>
      <c r="AL90" s="98"/>
      <c r="AM90" s="98"/>
      <c r="AN90" s="98"/>
      <c r="AO90" s="98"/>
      <c r="AP90" s="98"/>
      <c r="AQ90" s="98"/>
      <c r="AR90" s="98"/>
      <c r="AS90" s="98"/>
      <c r="AT90" s="98"/>
      <c r="AU90" s="98"/>
      <c r="AV90" s="98"/>
      <c r="AW90" s="98"/>
      <c r="AX90" s="98"/>
      <c r="AY90" s="98"/>
      <c r="AZ90" s="98"/>
      <c r="BA90" s="98"/>
      <c r="BB90" s="98"/>
      <c r="BC90" s="98"/>
      <c r="BD90" s="98"/>
      <c r="BE90" s="98"/>
      <c r="BF90" s="98"/>
      <c r="BG90" s="98"/>
      <c r="BH90" s="98"/>
      <c r="BI90" s="98"/>
      <c r="BJ90" s="98"/>
      <c r="BK90" s="98"/>
      <c r="BL90" s="98"/>
      <c r="BM90" s="98"/>
      <c r="BN90" s="98"/>
      <c r="BO90" s="98"/>
      <c r="BP90" s="98"/>
      <c r="BQ90" s="98"/>
      <c r="BR90" s="98"/>
      <c r="BS90" s="98"/>
      <c r="BT90" s="98"/>
      <c r="BU90" s="98"/>
      <c r="BV90" s="98"/>
      <c r="BW90" s="98"/>
      <c r="BX90" s="98"/>
      <c r="BY90" s="98"/>
      <c r="BZ90" s="98"/>
      <c r="CA90" s="98"/>
      <c r="CB90" s="98"/>
      <c r="CC90" s="98"/>
      <c r="CD90" s="98"/>
      <c r="CE90" s="98"/>
      <c r="CF90" s="98"/>
      <c r="CG90" s="98"/>
      <c r="CH90" s="98"/>
      <c r="CI90" s="98"/>
      <c r="CJ90" s="98"/>
      <c r="CK90" s="98"/>
      <c r="CL90" s="98"/>
      <c r="CM90" s="98"/>
      <c r="CN90" s="98"/>
      <c r="CO90" s="98"/>
      <c r="CP90" s="98"/>
      <c r="CQ90" s="98"/>
      <c r="CR90" s="98"/>
      <c r="CS90" s="98"/>
      <c r="CT90" s="98"/>
    </row>
    <row r="91" customFormat="false" ht="15" hidden="false" customHeight="true" outlineLevel="0" collapsed="false">
      <c r="A91" s="97" t="s">
        <v>123</v>
      </c>
      <c r="C91" s="98" t="n">
        <v>0</v>
      </c>
      <c r="D91" s="98" t="n">
        <v>0</v>
      </c>
      <c r="E91" s="98" t="n">
        <v>-870</v>
      </c>
      <c r="F91" s="98" t="n">
        <v>0</v>
      </c>
      <c r="G91" s="98" t="n">
        <v>0</v>
      </c>
      <c r="H91" s="98" t="n">
        <v>0</v>
      </c>
      <c r="I91" s="98" t="n">
        <v>0</v>
      </c>
      <c r="J91" s="98" t="n">
        <v>0</v>
      </c>
      <c r="K91" s="98"/>
      <c r="L91" s="98"/>
      <c r="M91" s="98"/>
      <c r="N91" s="98"/>
      <c r="O91" s="98"/>
      <c r="P91" s="98"/>
      <c r="Q91" s="98"/>
      <c r="R91" s="98"/>
      <c r="S91" s="98"/>
      <c r="T91" s="98"/>
      <c r="U91" s="98"/>
      <c r="V91" s="98"/>
      <c r="W91" s="98"/>
      <c r="X91" s="98"/>
      <c r="Y91" s="98"/>
      <c r="Z91" s="98"/>
      <c r="AA91" s="98"/>
      <c r="AB91" s="98"/>
      <c r="AC91" s="98"/>
      <c r="AD91" s="98"/>
      <c r="AE91" s="98"/>
      <c r="AF91" s="98"/>
      <c r="AG91" s="98"/>
      <c r="AH91" s="98"/>
      <c r="AI91" s="98"/>
      <c r="AJ91" s="98"/>
      <c r="AK91" s="98"/>
      <c r="AL91" s="98"/>
      <c r="AM91" s="98"/>
      <c r="AN91" s="98"/>
      <c r="AO91" s="98"/>
      <c r="AP91" s="98"/>
      <c r="AQ91" s="98"/>
      <c r="AR91" s="98"/>
      <c r="AS91" s="98"/>
      <c r="AT91" s="98"/>
      <c r="AU91" s="98"/>
      <c r="AV91" s="98"/>
      <c r="AW91" s="98"/>
      <c r="AX91" s="98"/>
      <c r="AY91" s="98"/>
      <c r="AZ91" s="98"/>
      <c r="BA91" s="98"/>
      <c r="BB91" s="98"/>
      <c r="BC91" s="98"/>
      <c r="BD91" s="98"/>
      <c r="BE91" s="98"/>
      <c r="BF91" s="98"/>
      <c r="BG91" s="98"/>
      <c r="BH91" s="98"/>
      <c r="BI91" s="98"/>
      <c r="BJ91" s="98"/>
      <c r="BK91" s="98"/>
      <c r="BL91" s="98"/>
      <c r="BM91" s="98"/>
      <c r="BN91" s="98"/>
      <c r="BO91" s="98"/>
      <c r="BP91" s="98"/>
      <c r="BQ91" s="98"/>
      <c r="BR91" s="98"/>
      <c r="BS91" s="98"/>
      <c r="BT91" s="98"/>
      <c r="BU91" s="98"/>
      <c r="BV91" s="98"/>
      <c r="BW91" s="98"/>
      <c r="BX91" s="98"/>
      <c r="BY91" s="98"/>
      <c r="BZ91" s="98"/>
      <c r="CA91" s="98"/>
      <c r="CB91" s="98"/>
      <c r="CC91" s="98"/>
      <c r="CD91" s="98"/>
      <c r="CE91" s="98"/>
      <c r="CF91" s="98"/>
      <c r="CG91" s="98"/>
      <c r="CH91" s="98"/>
      <c r="CI91" s="98"/>
      <c r="CJ91" s="98"/>
      <c r="CK91" s="98"/>
      <c r="CL91" s="98"/>
      <c r="CM91" s="98"/>
      <c r="CN91" s="98"/>
      <c r="CO91" s="98"/>
      <c r="CP91" s="98"/>
      <c r="CQ91" s="98"/>
      <c r="CR91" s="98"/>
      <c r="CS91" s="98"/>
      <c r="CT91" s="98"/>
    </row>
    <row r="92" customFormat="false" ht="15" hidden="false" customHeight="true" outlineLevel="0" collapsed="false">
      <c r="A92" s="99" t="s">
        <v>124</v>
      </c>
      <c r="C92" s="103" t="n">
        <v>-245</v>
      </c>
      <c r="D92" s="103" t="n">
        <v>-245</v>
      </c>
      <c r="E92" s="103" t="n">
        <v>-245</v>
      </c>
      <c r="F92" s="103" t="n">
        <v>-245</v>
      </c>
      <c r="G92" s="103" t="n">
        <v>-245</v>
      </c>
      <c r="H92" s="103" t="n">
        <v>-245</v>
      </c>
      <c r="I92" s="103" t="n">
        <v>-245</v>
      </c>
      <c r="J92" s="103" t="n">
        <v>0</v>
      </c>
      <c r="K92" s="103"/>
      <c r="L92" s="103"/>
      <c r="M92" s="103"/>
      <c r="N92" s="103"/>
      <c r="O92" s="103"/>
      <c r="P92" s="103"/>
      <c r="Q92" s="103"/>
      <c r="R92" s="103"/>
      <c r="S92" s="103"/>
      <c r="T92" s="103"/>
      <c r="U92" s="103"/>
      <c r="V92" s="103"/>
      <c r="W92" s="103"/>
      <c r="X92" s="103"/>
      <c r="Y92" s="103"/>
      <c r="Z92" s="103"/>
      <c r="AA92" s="103"/>
      <c r="AB92" s="103"/>
      <c r="AC92" s="103"/>
      <c r="AD92" s="103"/>
      <c r="AE92" s="103"/>
      <c r="AF92" s="103"/>
      <c r="AG92" s="103"/>
      <c r="AH92" s="103"/>
      <c r="AI92" s="103"/>
      <c r="AJ92" s="103"/>
      <c r="AK92" s="103"/>
      <c r="AL92" s="103"/>
      <c r="AM92" s="103"/>
      <c r="AN92" s="103"/>
      <c r="AO92" s="103"/>
      <c r="AP92" s="103"/>
      <c r="AQ92" s="103"/>
      <c r="AR92" s="103"/>
      <c r="AS92" s="103"/>
      <c r="AT92" s="103"/>
      <c r="AU92" s="103"/>
      <c r="AV92" s="103"/>
      <c r="AW92" s="103"/>
      <c r="AX92" s="103"/>
      <c r="AY92" s="103"/>
      <c r="AZ92" s="103"/>
      <c r="BA92" s="103"/>
      <c r="BB92" s="103"/>
      <c r="BC92" s="103"/>
      <c r="BD92" s="103"/>
      <c r="BE92" s="103"/>
      <c r="BF92" s="103"/>
      <c r="BG92" s="103"/>
      <c r="BH92" s="103"/>
      <c r="BI92" s="103"/>
      <c r="BJ92" s="103"/>
      <c r="BK92" s="103"/>
      <c r="BL92" s="103"/>
      <c r="BM92" s="103"/>
      <c r="BN92" s="103"/>
      <c r="BO92" s="103"/>
      <c r="BP92" s="103"/>
      <c r="BQ92" s="103"/>
      <c r="BR92" s="103"/>
      <c r="BS92" s="103"/>
      <c r="BT92" s="103"/>
      <c r="BU92" s="103"/>
      <c r="BV92" s="103"/>
      <c r="BW92" s="103"/>
      <c r="BX92" s="103"/>
      <c r="BY92" s="103"/>
      <c r="BZ92" s="103"/>
      <c r="CA92" s="103"/>
      <c r="CB92" s="103"/>
      <c r="CC92" s="103"/>
      <c r="CD92" s="103"/>
      <c r="CE92" s="103"/>
      <c r="CF92" s="103"/>
      <c r="CG92" s="103"/>
      <c r="CH92" s="103"/>
      <c r="CI92" s="103"/>
      <c r="CJ92" s="103"/>
      <c r="CK92" s="103"/>
      <c r="CL92" s="103"/>
      <c r="CM92" s="103"/>
      <c r="CN92" s="103"/>
      <c r="CO92" s="103"/>
      <c r="CP92" s="103"/>
      <c r="CQ92" s="103"/>
      <c r="CR92" s="103"/>
      <c r="CS92" s="103"/>
      <c r="CT92" s="103"/>
    </row>
    <row r="93" customFormat="false" ht="15" hidden="false" customHeight="true" outlineLevel="0" collapsed="false">
      <c r="A93" s="99" t="s">
        <v>125</v>
      </c>
      <c r="C93" s="103" t="n">
        <v>-986.57</v>
      </c>
      <c r="D93" s="103" t="n">
        <v>-1254.61</v>
      </c>
      <c r="E93" s="103" t="n">
        <v>-1297.31</v>
      </c>
      <c r="F93" s="103" t="n">
        <v>-48.78</v>
      </c>
      <c r="G93" s="103" t="n">
        <v>-4199.86</v>
      </c>
      <c r="H93" s="103" t="n">
        <v>-3433.39</v>
      </c>
      <c r="I93" s="103" t="n">
        <v>0</v>
      </c>
      <c r="J93" s="103" t="n">
        <v>-9.99</v>
      </c>
      <c r="K93" s="103"/>
      <c r="L93" s="103"/>
      <c r="M93" s="103"/>
      <c r="N93" s="103"/>
      <c r="O93" s="103"/>
      <c r="P93" s="103"/>
      <c r="Q93" s="103"/>
      <c r="R93" s="103"/>
      <c r="S93" s="103"/>
      <c r="T93" s="103"/>
      <c r="U93" s="103"/>
      <c r="V93" s="103"/>
      <c r="W93" s="103"/>
      <c r="X93" s="103"/>
      <c r="Y93" s="103"/>
      <c r="Z93" s="103"/>
      <c r="AA93" s="103"/>
      <c r="AB93" s="103"/>
      <c r="AC93" s="103"/>
      <c r="AD93" s="103"/>
      <c r="AE93" s="103"/>
      <c r="AF93" s="103"/>
      <c r="AG93" s="103"/>
      <c r="AH93" s="103"/>
      <c r="AI93" s="103"/>
      <c r="AJ93" s="103"/>
      <c r="AK93" s="103"/>
      <c r="AL93" s="103"/>
      <c r="AM93" s="103"/>
      <c r="AN93" s="103"/>
      <c r="AO93" s="103"/>
      <c r="AP93" s="103"/>
      <c r="AQ93" s="103"/>
      <c r="AR93" s="103"/>
      <c r="AS93" s="103"/>
      <c r="AT93" s="103"/>
      <c r="AU93" s="103"/>
      <c r="AV93" s="103"/>
      <c r="AW93" s="103"/>
      <c r="AX93" s="103"/>
      <c r="AY93" s="103"/>
      <c r="AZ93" s="103"/>
      <c r="BA93" s="103"/>
      <c r="BB93" s="103"/>
      <c r="BC93" s="103"/>
      <c r="BD93" s="103"/>
      <c r="BE93" s="103"/>
      <c r="BF93" s="103"/>
      <c r="BG93" s="103"/>
      <c r="BH93" s="103"/>
      <c r="BI93" s="103"/>
      <c r="BJ93" s="103"/>
      <c r="BK93" s="103"/>
      <c r="BL93" s="103"/>
      <c r="BM93" s="103"/>
      <c r="BN93" s="103"/>
      <c r="BO93" s="103"/>
      <c r="BP93" s="103"/>
      <c r="BQ93" s="103"/>
      <c r="BR93" s="103"/>
      <c r="BS93" s="103"/>
      <c r="BT93" s="103"/>
      <c r="BU93" s="103"/>
      <c r="BV93" s="103"/>
      <c r="BW93" s="103"/>
      <c r="BX93" s="103"/>
      <c r="BY93" s="103"/>
      <c r="BZ93" s="103"/>
      <c r="CA93" s="103"/>
      <c r="CB93" s="103"/>
      <c r="CC93" s="103"/>
      <c r="CD93" s="103"/>
      <c r="CE93" s="103"/>
      <c r="CF93" s="103"/>
      <c r="CG93" s="103"/>
      <c r="CH93" s="103"/>
      <c r="CI93" s="103"/>
      <c r="CJ93" s="103"/>
      <c r="CK93" s="103"/>
      <c r="CL93" s="103"/>
      <c r="CM93" s="103"/>
      <c r="CN93" s="103"/>
      <c r="CO93" s="103"/>
      <c r="CP93" s="103"/>
      <c r="CQ93" s="103"/>
      <c r="CR93" s="103"/>
      <c r="CS93" s="103"/>
      <c r="CT93" s="103"/>
    </row>
    <row r="94" customFormat="false" ht="15" hidden="false" customHeight="true" outlineLevel="0" collapsed="false">
      <c r="A94" s="99" t="s">
        <v>126</v>
      </c>
      <c r="C94" s="103" t="n">
        <v>-588.66</v>
      </c>
      <c r="D94" s="103" t="n">
        <v>-22.94</v>
      </c>
      <c r="E94" s="103" t="n">
        <v>-487.3</v>
      </c>
      <c r="F94" s="103" t="n">
        <v>-399.98</v>
      </c>
      <c r="G94" s="103" t="n">
        <v>-216.15</v>
      </c>
      <c r="H94" s="103" t="n">
        <v>-936.05</v>
      </c>
      <c r="I94" s="103" t="n">
        <v>-9.99</v>
      </c>
      <c r="J94" s="103" t="n">
        <v>-32.2</v>
      </c>
      <c r="K94" s="103"/>
      <c r="L94" s="103"/>
      <c r="M94" s="103"/>
      <c r="N94" s="103"/>
      <c r="O94" s="103"/>
      <c r="P94" s="103"/>
      <c r="Q94" s="103"/>
      <c r="R94" s="103"/>
      <c r="S94" s="103"/>
      <c r="T94" s="103"/>
      <c r="U94" s="103"/>
      <c r="V94" s="103"/>
      <c r="W94" s="103"/>
      <c r="X94" s="103"/>
      <c r="Y94" s="103"/>
      <c r="Z94" s="103"/>
      <c r="AA94" s="103"/>
      <c r="AB94" s="103"/>
      <c r="AC94" s="103"/>
      <c r="AD94" s="103"/>
      <c r="AE94" s="103"/>
      <c r="AF94" s="103"/>
      <c r="AG94" s="103"/>
      <c r="AH94" s="103"/>
      <c r="AI94" s="103"/>
      <c r="AJ94" s="103"/>
      <c r="AK94" s="103"/>
      <c r="AL94" s="103"/>
      <c r="AM94" s="103"/>
      <c r="AN94" s="103"/>
      <c r="AO94" s="103"/>
      <c r="AP94" s="103"/>
      <c r="AQ94" s="103"/>
      <c r="AR94" s="103"/>
      <c r="AS94" s="103"/>
      <c r="AT94" s="103"/>
      <c r="AU94" s="103"/>
      <c r="AV94" s="103"/>
      <c r="AW94" s="103"/>
      <c r="AX94" s="103"/>
      <c r="AY94" s="103"/>
      <c r="AZ94" s="103"/>
      <c r="BA94" s="103"/>
      <c r="BB94" s="103"/>
      <c r="BC94" s="103"/>
      <c r="BD94" s="103"/>
      <c r="BE94" s="103"/>
      <c r="BF94" s="103"/>
      <c r="BG94" s="103"/>
      <c r="BH94" s="103"/>
      <c r="BI94" s="103"/>
      <c r="BJ94" s="103"/>
      <c r="BK94" s="103"/>
      <c r="BL94" s="103"/>
      <c r="BM94" s="103"/>
      <c r="BN94" s="103"/>
      <c r="BO94" s="103"/>
      <c r="BP94" s="103"/>
      <c r="BQ94" s="103"/>
      <c r="BR94" s="103"/>
      <c r="BS94" s="103"/>
      <c r="BT94" s="103"/>
      <c r="BU94" s="103"/>
      <c r="BV94" s="103"/>
      <c r="BW94" s="103"/>
      <c r="BX94" s="103"/>
      <c r="BY94" s="103"/>
      <c r="BZ94" s="103"/>
      <c r="CA94" s="103"/>
      <c r="CB94" s="103"/>
      <c r="CC94" s="103"/>
      <c r="CD94" s="103"/>
      <c r="CE94" s="103"/>
      <c r="CF94" s="103"/>
      <c r="CG94" s="103"/>
      <c r="CH94" s="103"/>
      <c r="CI94" s="103"/>
      <c r="CJ94" s="103"/>
      <c r="CK94" s="103"/>
      <c r="CL94" s="103"/>
      <c r="CM94" s="103"/>
      <c r="CN94" s="103"/>
      <c r="CO94" s="103"/>
      <c r="CP94" s="103"/>
      <c r="CQ94" s="103"/>
      <c r="CR94" s="103"/>
      <c r="CS94" s="103"/>
      <c r="CT94" s="103"/>
    </row>
    <row r="95" customFormat="false" ht="15" hidden="false" customHeight="true" outlineLevel="0" collapsed="false">
      <c r="A95" s="99" t="s">
        <v>127</v>
      </c>
      <c r="C95" s="103" t="n">
        <v>0</v>
      </c>
      <c r="D95" s="103" t="n">
        <v>-92.75</v>
      </c>
      <c r="E95" s="103" t="n">
        <v>-57.46</v>
      </c>
      <c r="F95" s="103" t="n">
        <v>0</v>
      </c>
      <c r="G95" s="103" t="n">
        <v>-24.3</v>
      </c>
      <c r="H95" s="103" t="n">
        <v>-917.7</v>
      </c>
      <c r="I95" s="103" t="n">
        <v>0</v>
      </c>
      <c r="J95" s="103" t="n">
        <v>-70.35</v>
      </c>
      <c r="K95" s="103"/>
      <c r="L95" s="103"/>
      <c r="M95" s="103"/>
      <c r="N95" s="103"/>
      <c r="O95" s="103"/>
      <c r="P95" s="103"/>
      <c r="Q95" s="103"/>
      <c r="R95" s="103"/>
      <c r="S95" s="103"/>
      <c r="T95" s="103"/>
      <c r="U95" s="103"/>
      <c r="V95" s="103"/>
      <c r="W95" s="103"/>
      <c r="X95" s="103"/>
      <c r="Y95" s="103"/>
      <c r="Z95" s="103"/>
      <c r="AA95" s="103"/>
      <c r="AB95" s="103"/>
      <c r="AC95" s="103"/>
      <c r="AD95" s="103"/>
      <c r="AE95" s="103"/>
      <c r="AF95" s="103"/>
      <c r="AG95" s="103"/>
      <c r="AH95" s="103"/>
      <c r="AI95" s="103"/>
      <c r="AJ95" s="103"/>
      <c r="AK95" s="103"/>
      <c r="AL95" s="103"/>
      <c r="AM95" s="103"/>
      <c r="AN95" s="103"/>
      <c r="AO95" s="103"/>
      <c r="AP95" s="103"/>
      <c r="AQ95" s="103"/>
      <c r="AR95" s="103"/>
      <c r="AS95" s="103"/>
      <c r="AT95" s="103"/>
      <c r="AU95" s="103"/>
      <c r="AV95" s="103"/>
      <c r="AW95" s="103"/>
      <c r="AX95" s="103"/>
      <c r="AY95" s="103"/>
      <c r="AZ95" s="103"/>
      <c r="BA95" s="103"/>
      <c r="BB95" s="103"/>
      <c r="BC95" s="103"/>
      <c r="BD95" s="103"/>
      <c r="BE95" s="103"/>
      <c r="BF95" s="103"/>
      <c r="BG95" s="103"/>
      <c r="BH95" s="103"/>
      <c r="BI95" s="103"/>
      <c r="BJ95" s="103"/>
      <c r="BK95" s="103"/>
      <c r="BL95" s="103"/>
      <c r="BM95" s="103"/>
      <c r="BN95" s="103"/>
      <c r="BO95" s="103"/>
      <c r="BP95" s="103"/>
      <c r="BQ95" s="103"/>
      <c r="BR95" s="103"/>
      <c r="BS95" s="103"/>
      <c r="BT95" s="103"/>
      <c r="BU95" s="103"/>
      <c r="BV95" s="103"/>
      <c r="BW95" s="103"/>
      <c r="BX95" s="103"/>
      <c r="BY95" s="103"/>
      <c r="BZ95" s="103"/>
      <c r="CA95" s="103"/>
      <c r="CB95" s="103"/>
      <c r="CC95" s="103"/>
      <c r="CD95" s="103"/>
      <c r="CE95" s="103"/>
      <c r="CF95" s="103"/>
      <c r="CG95" s="103"/>
      <c r="CH95" s="103"/>
      <c r="CI95" s="103"/>
      <c r="CJ95" s="103"/>
      <c r="CK95" s="103"/>
      <c r="CL95" s="103"/>
      <c r="CM95" s="103"/>
      <c r="CN95" s="103"/>
      <c r="CO95" s="103"/>
      <c r="CP95" s="103"/>
      <c r="CQ95" s="103"/>
      <c r="CR95" s="103"/>
      <c r="CS95" s="103"/>
      <c r="CT95" s="103"/>
    </row>
    <row r="96" customFormat="false" ht="15" hidden="false" customHeight="true" outlineLevel="0" collapsed="false">
      <c r="A96" s="99" t="s">
        <v>78</v>
      </c>
      <c r="C96" s="103" t="n">
        <v>-640.88</v>
      </c>
      <c r="D96" s="103" t="n">
        <v>-872.64</v>
      </c>
      <c r="E96" s="103" t="n">
        <v>-1175.78</v>
      </c>
      <c r="F96" s="103" t="n">
        <v>-471.38</v>
      </c>
      <c r="G96" s="103" t="n">
        <v>-1307.57</v>
      </c>
      <c r="H96" s="103" t="n">
        <v>-3067.11</v>
      </c>
      <c r="I96" s="103" t="n">
        <v>-131.02</v>
      </c>
      <c r="J96" s="103" t="n">
        <v>-13.5</v>
      </c>
      <c r="K96" s="103"/>
      <c r="L96" s="103"/>
      <c r="M96" s="103"/>
      <c r="N96" s="103"/>
      <c r="O96" s="103"/>
      <c r="P96" s="103"/>
      <c r="Q96" s="103"/>
      <c r="R96" s="103"/>
      <c r="S96" s="103"/>
      <c r="T96" s="103"/>
      <c r="U96" s="103"/>
      <c r="V96" s="103"/>
      <c r="W96" s="103"/>
      <c r="X96" s="103"/>
      <c r="Y96" s="103"/>
      <c r="Z96" s="103"/>
      <c r="AA96" s="103"/>
      <c r="AB96" s="103"/>
      <c r="AC96" s="103"/>
      <c r="AD96" s="103"/>
      <c r="AE96" s="103"/>
      <c r="AF96" s="103"/>
      <c r="AG96" s="103"/>
      <c r="AH96" s="103"/>
      <c r="AI96" s="103"/>
      <c r="AJ96" s="103"/>
      <c r="AK96" s="103"/>
      <c r="AL96" s="103"/>
      <c r="AM96" s="103"/>
      <c r="AN96" s="103"/>
      <c r="AO96" s="103"/>
      <c r="AP96" s="103"/>
      <c r="AQ96" s="103"/>
      <c r="AR96" s="103"/>
      <c r="AS96" s="103"/>
      <c r="AT96" s="103"/>
      <c r="AU96" s="103"/>
      <c r="AV96" s="103"/>
      <c r="AW96" s="103"/>
      <c r="AX96" s="103"/>
      <c r="AY96" s="103"/>
      <c r="AZ96" s="103"/>
      <c r="BA96" s="103"/>
      <c r="BB96" s="103"/>
      <c r="BC96" s="103"/>
      <c r="BD96" s="103"/>
      <c r="BE96" s="103"/>
      <c r="BF96" s="103"/>
      <c r="BG96" s="103"/>
      <c r="BH96" s="103"/>
      <c r="BI96" s="103"/>
      <c r="BJ96" s="103"/>
      <c r="BK96" s="103"/>
      <c r="BL96" s="103"/>
      <c r="BM96" s="103"/>
      <c r="BN96" s="103"/>
      <c r="BO96" s="103"/>
      <c r="BP96" s="103"/>
      <c r="BQ96" s="103"/>
      <c r="BR96" s="103"/>
      <c r="BS96" s="103"/>
      <c r="BT96" s="103"/>
      <c r="BU96" s="103"/>
      <c r="BV96" s="103"/>
      <c r="BW96" s="103"/>
      <c r="BX96" s="103"/>
      <c r="BY96" s="103"/>
      <c r="BZ96" s="103"/>
      <c r="CA96" s="103"/>
      <c r="CB96" s="103"/>
      <c r="CC96" s="103"/>
      <c r="CD96" s="103"/>
      <c r="CE96" s="103"/>
      <c r="CF96" s="103"/>
      <c r="CG96" s="103"/>
      <c r="CH96" s="103"/>
      <c r="CI96" s="103"/>
      <c r="CJ96" s="103"/>
      <c r="CK96" s="103"/>
      <c r="CL96" s="103"/>
      <c r="CM96" s="103"/>
      <c r="CN96" s="103"/>
      <c r="CO96" s="103"/>
      <c r="CP96" s="103"/>
      <c r="CQ96" s="103"/>
      <c r="CR96" s="103"/>
      <c r="CS96" s="103"/>
      <c r="CT96" s="103"/>
    </row>
    <row r="97" customFormat="false" ht="15" hidden="false" customHeight="true" outlineLevel="0" collapsed="false">
      <c r="A97" s="99" t="s">
        <v>79</v>
      </c>
      <c r="C97" s="103" t="n">
        <v>0</v>
      </c>
      <c r="D97" s="103" t="n">
        <v>0</v>
      </c>
      <c r="E97" s="103" t="n">
        <v>-38050.5</v>
      </c>
      <c r="F97" s="103" t="n">
        <v>0</v>
      </c>
      <c r="G97" s="103" t="n">
        <v>-986.5</v>
      </c>
      <c r="H97" s="103" t="n">
        <v>-4830</v>
      </c>
      <c r="I97" s="103" t="n">
        <v>0</v>
      </c>
      <c r="J97" s="103" t="n">
        <v>0</v>
      </c>
      <c r="K97" s="103"/>
      <c r="L97" s="103"/>
      <c r="M97" s="103"/>
      <c r="N97" s="103"/>
      <c r="O97" s="103"/>
      <c r="P97" s="103"/>
      <c r="Q97" s="103"/>
      <c r="R97" s="103"/>
      <c r="S97" s="103"/>
      <c r="T97" s="103"/>
      <c r="U97" s="103"/>
      <c r="V97" s="103"/>
      <c r="W97" s="103"/>
      <c r="X97" s="103"/>
      <c r="Y97" s="103"/>
      <c r="Z97" s="103"/>
      <c r="AA97" s="103"/>
      <c r="AB97" s="103"/>
      <c r="AC97" s="103"/>
      <c r="AD97" s="103"/>
      <c r="AE97" s="103"/>
      <c r="AF97" s="103"/>
      <c r="AG97" s="103"/>
      <c r="AH97" s="103"/>
      <c r="AI97" s="103"/>
      <c r="AJ97" s="103"/>
      <c r="AK97" s="103"/>
      <c r="AL97" s="103"/>
      <c r="AM97" s="103"/>
      <c r="AN97" s="103"/>
      <c r="AO97" s="103"/>
      <c r="AP97" s="103"/>
      <c r="AQ97" s="103"/>
      <c r="AR97" s="103"/>
      <c r="AS97" s="103"/>
      <c r="AT97" s="103"/>
      <c r="AU97" s="103"/>
      <c r="AV97" s="103"/>
      <c r="AW97" s="103"/>
      <c r="AX97" s="103"/>
      <c r="AY97" s="103"/>
      <c r="AZ97" s="103"/>
      <c r="BA97" s="103"/>
      <c r="BB97" s="103"/>
      <c r="BC97" s="103"/>
      <c r="BD97" s="103"/>
      <c r="BE97" s="103"/>
      <c r="BF97" s="103"/>
      <c r="BG97" s="103"/>
      <c r="BH97" s="103"/>
      <c r="BI97" s="103"/>
      <c r="BJ97" s="103"/>
      <c r="BK97" s="103"/>
      <c r="BL97" s="103"/>
      <c r="BM97" s="103"/>
      <c r="BN97" s="103"/>
      <c r="BO97" s="103"/>
      <c r="BP97" s="103"/>
      <c r="BQ97" s="103"/>
      <c r="BR97" s="103"/>
      <c r="BS97" s="103"/>
      <c r="BT97" s="103"/>
      <c r="BU97" s="103"/>
      <c r="BV97" s="103"/>
      <c r="BW97" s="103"/>
      <c r="BX97" s="103"/>
      <c r="BY97" s="103"/>
      <c r="BZ97" s="103"/>
      <c r="CA97" s="103"/>
      <c r="CB97" s="103"/>
      <c r="CC97" s="103"/>
      <c r="CD97" s="103"/>
      <c r="CE97" s="103"/>
      <c r="CF97" s="103"/>
      <c r="CG97" s="103"/>
      <c r="CH97" s="103"/>
      <c r="CI97" s="103"/>
      <c r="CJ97" s="103"/>
      <c r="CK97" s="103"/>
      <c r="CL97" s="103"/>
      <c r="CM97" s="103"/>
      <c r="CN97" s="103"/>
      <c r="CO97" s="103"/>
      <c r="CP97" s="103"/>
      <c r="CQ97" s="103"/>
      <c r="CR97" s="103"/>
      <c r="CS97" s="103"/>
      <c r="CT97" s="103"/>
    </row>
    <row r="98" customFormat="false" ht="15" hidden="false" customHeight="true" outlineLevel="0" collapsed="false">
      <c r="A98" s="97" t="s">
        <v>80</v>
      </c>
      <c r="C98" s="98" t="n">
        <v>-4097.78</v>
      </c>
      <c r="D98" s="98" t="n">
        <v>-1950.2</v>
      </c>
      <c r="E98" s="98" t="n">
        <v>-1978.2</v>
      </c>
      <c r="F98" s="98" t="n">
        <v>-1970.2</v>
      </c>
      <c r="G98" s="98" t="n">
        <v>-6126.2</v>
      </c>
      <c r="H98" s="98" t="n">
        <v>-1993.2</v>
      </c>
      <c r="I98" s="98" t="n">
        <v>-2040.2</v>
      </c>
      <c r="J98" s="98" t="n">
        <v>-2271.2</v>
      </c>
      <c r="K98" s="98"/>
      <c r="L98" s="98"/>
      <c r="M98" s="98"/>
      <c r="N98" s="98"/>
      <c r="O98" s="98"/>
      <c r="P98" s="98"/>
      <c r="Q98" s="98"/>
      <c r="R98" s="98"/>
      <c r="S98" s="98"/>
      <c r="T98" s="98"/>
      <c r="U98" s="98"/>
      <c r="V98" s="98"/>
      <c r="W98" s="98"/>
      <c r="X98" s="98"/>
      <c r="Y98" s="98"/>
      <c r="Z98" s="98"/>
      <c r="AA98" s="98"/>
      <c r="AB98" s="98"/>
      <c r="AC98" s="98"/>
      <c r="AD98" s="98"/>
      <c r="AE98" s="98"/>
      <c r="AF98" s="98"/>
      <c r="AG98" s="98"/>
      <c r="AH98" s="98"/>
      <c r="AI98" s="98"/>
      <c r="AJ98" s="98"/>
      <c r="AK98" s="98"/>
      <c r="AL98" s="98"/>
      <c r="AM98" s="98"/>
      <c r="AN98" s="98"/>
      <c r="AO98" s="98"/>
      <c r="AP98" s="98"/>
      <c r="AQ98" s="98"/>
      <c r="AR98" s="98"/>
      <c r="AS98" s="98"/>
      <c r="AT98" s="98"/>
      <c r="AU98" s="98"/>
      <c r="AV98" s="98"/>
      <c r="AW98" s="98"/>
      <c r="AX98" s="98"/>
      <c r="AY98" s="98"/>
      <c r="AZ98" s="98"/>
      <c r="BA98" s="98"/>
      <c r="BB98" s="98"/>
      <c r="BC98" s="98"/>
      <c r="BD98" s="98"/>
      <c r="BE98" s="98"/>
      <c r="BF98" s="98"/>
      <c r="BG98" s="98"/>
      <c r="BH98" s="98"/>
      <c r="BI98" s="98"/>
      <c r="BJ98" s="98"/>
      <c r="BK98" s="98"/>
      <c r="BL98" s="98"/>
      <c r="BM98" s="98"/>
      <c r="BN98" s="98"/>
      <c r="BO98" s="98"/>
      <c r="BP98" s="98"/>
      <c r="BQ98" s="98"/>
      <c r="BR98" s="98"/>
      <c r="BS98" s="98"/>
      <c r="BT98" s="98"/>
      <c r="BU98" s="98"/>
      <c r="BV98" s="98"/>
      <c r="BW98" s="98"/>
      <c r="BX98" s="98"/>
      <c r="BY98" s="98"/>
      <c r="BZ98" s="98"/>
      <c r="CA98" s="98"/>
      <c r="CB98" s="98"/>
      <c r="CC98" s="98"/>
      <c r="CD98" s="98"/>
      <c r="CE98" s="98"/>
      <c r="CF98" s="98"/>
      <c r="CG98" s="98"/>
      <c r="CH98" s="98"/>
      <c r="CI98" s="98"/>
      <c r="CJ98" s="98"/>
      <c r="CK98" s="98"/>
      <c r="CL98" s="98"/>
      <c r="CM98" s="98"/>
      <c r="CN98" s="98"/>
      <c r="CO98" s="98"/>
      <c r="CP98" s="98"/>
      <c r="CQ98" s="98"/>
      <c r="CR98" s="98"/>
      <c r="CS98" s="98"/>
      <c r="CT98" s="98"/>
    </row>
    <row r="99" customFormat="false" ht="15" hidden="false" customHeight="true" outlineLevel="0" collapsed="false">
      <c r="A99" s="97" t="s">
        <v>81</v>
      </c>
      <c r="C99" s="98" t="n">
        <v>-28038</v>
      </c>
      <c r="D99" s="98" t="n">
        <v>-29387.5</v>
      </c>
      <c r="E99" s="98" t="n">
        <v>-28083</v>
      </c>
      <c r="F99" s="98" t="n">
        <v>-28083</v>
      </c>
      <c r="G99" s="98" t="n">
        <v>-69333</v>
      </c>
      <c r="H99" s="98" t="n">
        <v>-28083</v>
      </c>
      <c r="I99" s="98" t="n">
        <v>-28628</v>
      </c>
      <c r="J99" s="98" t="n">
        <v>-28083</v>
      </c>
      <c r="K99" s="98"/>
      <c r="L99" s="98"/>
      <c r="M99" s="98"/>
      <c r="N99" s="98"/>
      <c r="O99" s="98"/>
      <c r="P99" s="98"/>
      <c r="Q99" s="98"/>
      <c r="R99" s="98"/>
      <c r="S99" s="98"/>
      <c r="T99" s="98"/>
      <c r="U99" s="98"/>
      <c r="V99" s="98"/>
      <c r="W99" s="98"/>
      <c r="X99" s="98"/>
      <c r="Y99" s="98"/>
      <c r="Z99" s="98"/>
      <c r="AA99" s="98"/>
      <c r="AB99" s="98"/>
      <c r="AC99" s="98"/>
      <c r="AD99" s="98"/>
      <c r="AE99" s="98"/>
      <c r="AF99" s="98"/>
      <c r="AG99" s="98"/>
      <c r="AH99" s="98"/>
      <c r="AI99" s="98"/>
      <c r="AJ99" s="98"/>
      <c r="AK99" s="98"/>
      <c r="AL99" s="98"/>
      <c r="AM99" s="98"/>
      <c r="AN99" s="98"/>
      <c r="AO99" s="98"/>
      <c r="AP99" s="98"/>
      <c r="AQ99" s="98"/>
      <c r="AR99" s="98"/>
      <c r="AS99" s="98"/>
      <c r="AT99" s="98"/>
      <c r="AU99" s="98"/>
      <c r="AV99" s="98"/>
      <c r="AW99" s="98"/>
      <c r="AX99" s="98"/>
      <c r="AY99" s="98"/>
      <c r="AZ99" s="98"/>
      <c r="BA99" s="98"/>
      <c r="BB99" s="98"/>
      <c r="BC99" s="98"/>
      <c r="BD99" s="98"/>
      <c r="BE99" s="98"/>
      <c r="BF99" s="98"/>
      <c r="BG99" s="98"/>
      <c r="BH99" s="98"/>
      <c r="BI99" s="98"/>
      <c r="BJ99" s="98"/>
      <c r="BK99" s="98"/>
      <c r="BL99" s="98"/>
      <c r="BM99" s="98"/>
      <c r="BN99" s="98"/>
      <c r="BO99" s="98"/>
      <c r="BP99" s="98"/>
      <c r="BQ99" s="98"/>
      <c r="BR99" s="98"/>
      <c r="BS99" s="98"/>
      <c r="BT99" s="98"/>
      <c r="BU99" s="98"/>
      <c r="BV99" s="98"/>
      <c r="BW99" s="98"/>
      <c r="BX99" s="98"/>
      <c r="BY99" s="98"/>
      <c r="BZ99" s="98"/>
      <c r="CA99" s="98"/>
      <c r="CB99" s="98"/>
      <c r="CC99" s="98"/>
      <c r="CD99" s="98"/>
      <c r="CE99" s="98"/>
      <c r="CF99" s="98"/>
      <c r="CG99" s="98"/>
      <c r="CH99" s="98"/>
      <c r="CI99" s="98"/>
      <c r="CJ99" s="98"/>
      <c r="CK99" s="98"/>
      <c r="CL99" s="98"/>
      <c r="CM99" s="98"/>
      <c r="CN99" s="98"/>
      <c r="CO99" s="98"/>
      <c r="CP99" s="98"/>
      <c r="CQ99" s="98"/>
      <c r="CR99" s="98"/>
      <c r="CS99" s="98"/>
      <c r="CT99" s="98"/>
    </row>
    <row r="100" customFormat="false" ht="15" hidden="false" customHeight="true" outlineLevel="0" collapsed="false">
      <c r="A100" s="99" t="s">
        <v>128</v>
      </c>
      <c r="C100" s="103" t="n">
        <v>-268</v>
      </c>
      <c r="D100" s="103" t="n">
        <v>-2088.75</v>
      </c>
      <c r="E100" s="103" t="n">
        <v>-2401.75</v>
      </c>
      <c r="F100" s="103" t="n">
        <v>-4209.5</v>
      </c>
      <c r="G100" s="103" t="n">
        <v>-2377.59</v>
      </c>
      <c r="H100" s="103" t="n">
        <v>-16</v>
      </c>
      <c r="I100" s="103" t="n">
        <v>-4592.5</v>
      </c>
      <c r="J100" s="103" t="n">
        <v>-268</v>
      </c>
      <c r="K100" s="103"/>
      <c r="L100" s="103"/>
      <c r="M100" s="103"/>
      <c r="N100" s="103"/>
      <c r="O100" s="103"/>
      <c r="P100" s="103"/>
      <c r="Q100" s="103"/>
      <c r="R100" s="103"/>
      <c r="S100" s="103"/>
      <c r="T100" s="103"/>
      <c r="U100" s="103"/>
      <c r="V100" s="103"/>
      <c r="W100" s="103"/>
      <c r="X100" s="103"/>
      <c r="Y100" s="103"/>
      <c r="Z100" s="103"/>
      <c r="AA100" s="103"/>
      <c r="AB100" s="103"/>
      <c r="AC100" s="103"/>
      <c r="AD100" s="103"/>
      <c r="AE100" s="103"/>
      <c r="AF100" s="103"/>
      <c r="AG100" s="103"/>
      <c r="AH100" s="103"/>
      <c r="AI100" s="103"/>
      <c r="AJ100" s="103"/>
      <c r="AK100" s="103"/>
      <c r="AL100" s="103"/>
      <c r="AM100" s="103"/>
      <c r="AN100" s="103"/>
      <c r="AO100" s="103"/>
      <c r="AP100" s="103"/>
      <c r="AQ100" s="103"/>
      <c r="AR100" s="103"/>
      <c r="AS100" s="103"/>
      <c r="AT100" s="103"/>
      <c r="AU100" s="103"/>
      <c r="AV100" s="103"/>
      <c r="AW100" s="103"/>
      <c r="AX100" s="103"/>
      <c r="AY100" s="103"/>
      <c r="AZ100" s="103"/>
      <c r="BA100" s="103"/>
      <c r="BB100" s="103"/>
      <c r="BC100" s="103"/>
      <c r="BD100" s="103"/>
      <c r="BE100" s="103"/>
      <c r="BF100" s="103"/>
      <c r="BG100" s="103"/>
      <c r="BH100" s="103"/>
      <c r="BI100" s="103"/>
      <c r="BJ100" s="103"/>
      <c r="BK100" s="103"/>
      <c r="BL100" s="103"/>
      <c r="BM100" s="103"/>
      <c r="BN100" s="103"/>
      <c r="BO100" s="103"/>
      <c r="BP100" s="103"/>
      <c r="BQ100" s="103"/>
      <c r="BR100" s="103"/>
      <c r="BS100" s="103"/>
      <c r="BT100" s="103"/>
      <c r="BU100" s="103"/>
      <c r="BV100" s="103"/>
      <c r="BW100" s="103"/>
      <c r="BX100" s="103"/>
      <c r="BY100" s="103"/>
      <c r="BZ100" s="103"/>
      <c r="CA100" s="103"/>
      <c r="CB100" s="103"/>
      <c r="CC100" s="103"/>
      <c r="CD100" s="103"/>
      <c r="CE100" s="103"/>
      <c r="CF100" s="103"/>
      <c r="CG100" s="103"/>
      <c r="CH100" s="103"/>
      <c r="CI100" s="103"/>
      <c r="CJ100" s="103"/>
      <c r="CK100" s="103"/>
      <c r="CL100" s="103"/>
      <c r="CM100" s="103"/>
      <c r="CN100" s="103"/>
      <c r="CO100" s="103"/>
      <c r="CP100" s="103"/>
      <c r="CQ100" s="103"/>
      <c r="CR100" s="103"/>
      <c r="CS100" s="103"/>
      <c r="CT100" s="103"/>
    </row>
    <row r="101" customFormat="false" ht="15" hidden="false" customHeight="true" outlineLevel="0" collapsed="false">
      <c r="A101" s="99" t="s">
        <v>129</v>
      </c>
      <c r="C101" s="103" t="n">
        <v>-341.83</v>
      </c>
      <c r="D101" s="103" t="n">
        <v>-728</v>
      </c>
      <c r="E101" s="103" t="n">
        <v>-15256.75</v>
      </c>
      <c r="F101" s="103" t="n">
        <v>-1033.41</v>
      </c>
      <c r="G101" s="103" t="n">
        <v>-3499</v>
      </c>
      <c r="H101" s="103" t="n">
        <v>-1033.41</v>
      </c>
      <c r="I101" s="103" t="n">
        <v>-537.06</v>
      </c>
      <c r="J101" s="103" t="n">
        <v>-1903.22</v>
      </c>
      <c r="K101" s="103"/>
      <c r="L101" s="103"/>
      <c r="M101" s="103"/>
      <c r="N101" s="103"/>
      <c r="O101" s="103"/>
      <c r="P101" s="103"/>
      <c r="Q101" s="103"/>
      <c r="R101" s="103"/>
      <c r="S101" s="103"/>
      <c r="T101" s="103"/>
      <c r="U101" s="103"/>
      <c r="V101" s="103"/>
      <c r="W101" s="103"/>
      <c r="X101" s="103"/>
      <c r="Y101" s="103"/>
      <c r="Z101" s="103"/>
      <c r="AA101" s="103"/>
      <c r="AB101" s="103"/>
      <c r="AC101" s="103"/>
      <c r="AD101" s="103"/>
      <c r="AE101" s="103"/>
      <c r="AF101" s="103"/>
      <c r="AG101" s="103"/>
      <c r="AH101" s="103"/>
      <c r="AI101" s="103"/>
      <c r="AJ101" s="103"/>
      <c r="AK101" s="103"/>
      <c r="AL101" s="103"/>
      <c r="AM101" s="103"/>
      <c r="AN101" s="103"/>
      <c r="AO101" s="103"/>
      <c r="AP101" s="103"/>
      <c r="AQ101" s="103"/>
      <c r="AR101" s="103"/>
      <c r="AS101" s="103"/>
      <c r="AT101" s="103"/>
      <c r="AU101" s="103"/>
      <c r="AV101" s="103"/>
      <c r="AW101" s="103"/>
      <c r="AX101" s="103"/>
      <c r="AY101" s="103"/>
      <c r="AZ101" s="103"/>
      <c r="BA101" s="103"/>
      <c r="BB101" s="103"/>
      <c r="BC101" s="103"/>
      <c r="BD101" s="103"/>
      <c r="BE101" s="103"/>
      <c r="BF101" s="103"/>
      <c r="BG101" s="103"/>
      <c r="BH101" s="103"/>
      <c r="BI101" s="103"/>
      <c r="BJ101" s="103"/>
      <c r="BK101" s="103"/>
      <c r="BL101" s="103"/>
      <c r="BM101" s="103"/>
      <c r="BN101" s="103"/>
      <c r="BO101" s="103"/>
      <c r="BP101" s="103"/>
      <c r="BQ101" s="103"/>
      <c r="BR101" s="103"/>
      <c r="BS101" s="103"/>
      <c r="BT101" s="103"/>
      <c r="BU101" s="103"/>
      <c r="BV101" s="103"/>
      <c r="BW101" s="103"/>
      <c r="BX101" s="103"/>
      <c r="BY101" s="103"/>
      <c r="BZ101" s="103"/>
      <c r="CA101" s="103"/>
      <c r="CB101" s="103"/>
      <c r="CC101" s="103"/>
      <c r="CD101" s="103"/>
      <c r="CE101" s="103"/>
      <c r="CF101" s="103"/>
      <c r="CG101" s="103"/>
      <c r="CH101" s="103"/>
      <c r="CI101" s="103"/>
      <c r="CJ101" s="103"/>
      <c r="CK101" s="103"/>
      <c r="CL101" s="103"/>
      <c r="CM101" s="103"/>
      <c r="CN101" s="103"/>
      <c r="CO101" s="103"/>
      <c r="CP101" s="103"/>
      <c r="CQ101" s="103"/>
      <c r="CR101" s="103"/>
      <c r="CS101" s="103"/>
      <c r="CT101" s="103"/>
    </row>
    <row r="102" customFormat="false" ht="15" hidden="false" customHeight="true" outlineLevel="0" collapsed="false">
      <c r="A102" s="106" t="s">
        <v>130</v>
      </c>
      <c r="C102" s="103" t="n">
        <v>-1905.31</v>
      </c>
      <c r="D102" s="103" t="n">
        <v>-1905.31</v>
      </c>
      <c r="E102" s="103" t="n">
        <v>-1905.31</v>
      </c>
      <c r="F102" s="103" t="n">
        <v>-1905.31</v>
      </c>
      <c r="G102" s="103" t="n">
        <v>-1905.31</v>
      </c>
      <c r="H102" s="103" t="n">
        <v>-1905.31</v>
      </c>
      <c r="I102" s="103" t="n">
        <v>-1905.31</v>
      </c>
      <c r="J102" s="103" t="n">
        <v>-1905.31</v>
      </c>
      <c r="K102" s="103"/>
      <c r="L102" s="103"/>
      <c r="M102" s="103"/>
      <c r="N102" s="103"/>
      <c r="O102" s="103"/>
      <c r="P102" s="103"/>
      <c r="Q102" s="103"/>
      <c r="R102" s="103"/>
      <c r="S102" s="103"/>
      <c r="T102" s="103"/>
      <c r="U102" s="103"/>
      <c r="V102" s="103"/>
      <c r="W102" s="103"/>
      <c r="X102" s="103"/>
      <c r="Y102" s="103"/>
      <c r="Z102" s="103"/>
      <c r="AA102" s="103"/>
      <c r="AB102" s="103"/>
      <c r="AC102" s="103"/>
      <c r="AD102" s="103"/>
      <c r="AE102" s="103"/>
      <c r="AF102" s="103"/>
      <c r="AG102" s="103"/>
      <c r="AH102" s="103"/>
      <c r="AI102" s="103"/>
      <c r="AJ102" s="103"/>
      <c r="AK102" s="103"/>
      <c r="AL102" s="103"/>
      <c r="AM102" s="103"/>
      <c r="AN102" s="103"/>
      <c r="AO102" s="103"/>
      <c r="AP102" s="103"/>
      <c r="AQ102" s="103"/>
      <c r="AR102" s="103"/>
      <c r="AS102" s="103"/>
      <c r="AT102" s="103"/>
      <c r="AU102" s="103"/>
      <c r="AV102" s="103"/>
      <c r="AW102" s="103"/>
      <c r="AX102" s="103"/>
      <c r="AY102" s="103"/>
      <c r="AZ102" s="103"/>
      <c r="BA102" s="103"/>
      <c r="BB102" s="103"/>
      <c r="BC102" s="103"/>
      <c r="BD102" s="103"/>
      <c r="BE102" s="103"/>
      <c r="BF102" s="103"/>
      <c r="BG102" s="103"/>
      <c r="BH102" s="103"/>
      <c r="BI102" s="103"/>
      <c r="BJ102" s="103"/>
      <c r="BK102" s="103"/>
      <c r="BL102" s="103"/>
      <c r="BM102" s="103"/>
      <c r="BN102" s="103"/>
      <c r="BO102" s="103"/>
      <c r="BP102" s="103"/>
      <c r="BQ102" s="103"/>
      <c r="BR102" s="103"/>
      <c r="BS102" s="103"/>
      <c r="BT102" s="103"/>
      <c r="BU102" s="103"/>
      <c r="BV102" s="103"/>
      <c r="BW102" s="103"/>
      <c r="BX102" s="103"/>
      <c r="BY102" s="103"/>
      <c r="BZ102" s="103"/>
      <c r="CA102" s="103"/>
      <c r="CB102" s="103"/>
      <c r="CC102" s="103"/>
      <c r="CD102" s="103"/>
      <c r="CE102" s="103"/>
      <c r="CF102" s="103"/>
      <c r="CG102" s="103"/>
      <c r="CH102" s="103"/>
      <c r="CI102" s="103"/>
      <c r="CJ102" s="103"/>
      <c r="CK102" s="103"/>
      <c r="CL102" s="103"/>
      <c r="CM102" s="103"/>
      <c r="CN102" s="103"/>
      <c r="CO102" s="103"/>
      <c r="CP102" s="103"/>
      <c r="CQ102" s="103"/>
      <c r="CR102" s="103"/>
      <c r="CS102" s="103"/>
      <c r="CT102" s="103"/>
    </row>
    <row r="103" customFormat="false" ht="15" hidden="false" customHeight="true" outlineLevel="0" collapsed="false">
      <c r="A103" s="106" t="s">
        <v>131</v>
      </c>
      <c r="C103" s="103" t="n">
        <v>-2100</v>
      </c>
      <c r="D103" s="103" t="n">
        <v>-2100</v>
      </c>
      <c r="E103" s="103" t="n">
        <v>-2100</v>
      </c>
      <c r="F103" s="103" t="n">
        <v>-2100</v>
      </c>
      <c r="G103" s="103" t="n">
        <v>-2100</v>
      </c>
      <c r="H103" s="103" t="n">
        <v>-2100</v>
      </c>
      <c r="I103" s="103" t="n">
        <v>-2100</v>
      </c>
      <c r="J103" s="103" t="n">
        <v>-2100</v>
      </c>
      <c r="K103" s="103"/>
      <c r="L103" s="103"/>
      <c r="M103" s="103"/>
      <c r="N103" s="103"/>
      <c r="O103" s="103"/>
      <c r="P103" s="103"/>
      <c r="Q103" s="103"/>
      <c r="R103" s="103"/>
      <c r="S103" s="103"/>
      <c r="T103" s="103"/>
      <c r="U103" s="103"/>
      <c r="V103" s="103"/>
      <c r="W103" s="103"/>
      <c r="X103" s="103"/>
      <c r="Y103" s="103"/>
      <c r="Z103" s="103"/>
      <c r="AA103" s="103"/>
      <c r="AB103" s="103"/>
      <c r="AC103" s="103"/>
      <c r="AD103" s="103"/>
      <c r="AE103" s="103"/>
      <c r="AF103" s="103"/>
      <c r="AG103" s="103"/>
      <c r="AH103" s="103"/>
      <c r="AI103" s="103"/>
      <c r="AJ103" s="103"/>
      <c r="AK103" s="103"/>
      <c r="AL103" s="103"/>
      <c r="AM103" s="103"/>
      <c r="AN103" s="103"/>
      <c r="AO103" s="103"/>
      <c r="AP103" s="103"/>
      <c r="AQ103" s="103"/>
      <c r="AR103" s="103"/>
      <c r="AS103" s="103"/>
      <c r="AT103" s="103"/>
      <c r="AU103" s="103"/>
      <c r="AV103" s="103"/>
      <c r="AW103" s="103"/>
      <c r="AX103" s="103"/>
      <c r="AY103" s="103"/>
      <c r="AZ103" s="103"/>
      <c r="BA103" s="103"/>
      <c r="BB103" s="103"/>
      <c r="BC103" s="103"/>
      <c r="BD103" s="103"/>
      <c r="BE103" s="103"/>
      <c r="BF103" s="103"/>
      <c r="BG103" s="103"/>
      <c r="BH103" s="103"/>
      <c r="BI103" s="103"/>
      <c r="BJ103" s="103"/>
      <c r="BK103" s="103"/>
      <c r="BL103" s="103"/>
      <c r="BM103" s="103"/>
      <c r="BN103" s="103"/>
      <c r="BO103" s="103"/>
      <c r="BP103" s="103"/>
      <c r="BQ103" s="103"/>
      <c r="BR103" s="103"/>
      <c r="BS103" s="103"/>
      <c r="BT103" s="103"/>
      <c r="BU103" s="103"/>
      <c r="BV103" s="103"/>
      <c r="BW103" s="103"/>
      <c r="BX103" s="103"/>
      <c r="BY103" s="103"/>
      <c r="BZ103" s="103"/>
      <c r="CA103" s="103"/>
      <c r="CB103" s="103"/>
      <c r="CC103" s="103"/>
      <c r="CD103" s="103"/>
      <c r="CE103" s="103"/>
      <c r="CF103" s="103"/>
      <c r="CG103" s="103"/>
      <c r="CH103" s="103"/>
      <c r="CI103" s="103"/>
      <c r="CJ103" s="103"/>
      <c r="CK103" s="103"/>
      <c r="CL103" s="103"/>
      <c r="CM103" s="103"/>
      <c r="CN103" s="103"/>
      <c r="CO103" s="103"/>
      <c r="CP103" s="103"/>
      <c r="CQ103" s="103"/>
      <c r="CR103" s="103"/>
      <c r="CS103" s="103"/>
      <c r="CT103" s="103"/>
    </row>
    <row r="104" customFormat="false" ht="15" hidden="false" customHeight="true" outlineLevel="0" collapsed="false">
      <c r="A104" s="106" t="s">
        <v>84</v>
      </c>
      <c r="C104" s="103" t="n">
        <v>-66666.66</v>
      </c>
      <c r="D104" s="103" t="n">
        <v>-66666.66</v>
      </c>
      <c r="E104" s="103" t="n">
        <v>-66666.66</v>
      </c>
      <c r="F104" s="103" t="n">
        <v>-66666.66</v>
      </c>
      <c r="G104" s="103" t="n">
        <v>-66666.66</v>
      </c>
      <c r="H104" s="103" t="n">
        <v>-66666.66</v>
      </c>
      <c r="I104" s="103" t="n">
        <v>-66666.66</v>
      </c>
      <c r="J104" s="103" t="n">
        <v>-66666.66</v>
      </c>
      <c r="K104" s="103"/>
      <c r="L104" s="103"/>
      <c r="M104" s="103"/>
      <c r="N104" s="103"/>
      <c r="O104" s="103"/>
      <c r="P104" s="103"/>
      <c r="Q104" s="103"/>
      <c r="R104" s="103"/>
      <c r="S104" s="103"/>
      <c r="T104" s="103"/>
      <c r="U104" s="103"/>
      <c r="V104" s="103"/>
      <c r="W104" s="103"/>
      <c r="X104" s="103"/>
      <c r="Y104" s="103"/>
      <c r="Z104" s="103"/>
      <c r="AA104" s="103"/>
      <c r="AB104" s="103"/>
      <c r="AC104" s="103"/>
      <c r="AD104" s="103"/>
      <c r="AE104" s="103"/>
      <c r="AF104" s="103"/>
      <c r="AG104" s="103"/>
      <c r="AH104" s="103"/>
      <c r="AI104" s="103"/>
      <c r="AJ104" s="103"/>
      <c r="AK104" s="103"/>
      <c r="AL104" s="103"/>
      <c r="AM104" s="103"/>
      <c r="AN104" s="103"/>
      <c r="AO104" s="103"/>
      <c r="AP104" s="103"/>
      <c r="AQ104" s="103"/>
      <c r="AR104" s="103"/>
      <c r="AS104" s="103"/>
      <c r="AT104" s="103"/>
      <c r="AU104" s="103"/>
      <c r="AV104" s="103"/>
      <c r="AW104" s="103"/>
      <c r="AX104" s="103"/>
      <c r="AY104" s="103"/>
      <c r="AZ104" s="103"/>
      <c r="BA104" s="103"/>
      <c r="BB104" s="103"/>
      <c r="BC104" s="103"/>
      <c r="BD104" s="103"/>
      <c r="BE104" s="103"/>
      <c r="BF104" s="103"/>
      <c r="BG104" s="103"/>
      <c r="BH104" s="103"/>
      <c r="BI104" s="103"/>
      <c r="BJ104" s="103"/>
      <c r="BK104" s="103"/>
      <c r="BL104" s="103"/>
      <c r="BM104" s="103"/>
      <c r="BN104" s="103"/>
      <c r="BO104" s="103"/>
      <c r="BP104" s="103"/>
      <c r="BQ104" s="103"/>
      <c r="BR104" s="103"/>
      <c r="BS104" s="103"/>
      <c r="BT104" s="103"/>
      <c r="BU104" s="103"/>
      <c r="BV104" s="103"/>
      <c r="BW104" s="103"/>
      <c r="BX104" s="103"/>
      <c r="BY104" s="103"/>
      <c r="BZ104" s="103"/>
      <c r="CA104" s="103"/>
      <c r="CB104" s="103"/>
      <c r="CC104" s="103"/>
      <c r="CD104" s="103"/>
      <c r="CE104" s="103"/>
      <c r="CF104" s="103"/>
      <c r="CG104" s="103"/>
      <c r="CH104" s="103"/>
      <c r="CI104" s="103"/>
      <c r="CJ104" s="103"/>
      <c r="CK104" s="103"/>
      <c r="CL104" s="103"/>
      <c r="CM104" s="103"/>
      <c r="CN104" s="103"/>
      <c r="CO104" s="103"/>
      <c r="CP104" s="103"/>
      <c r="CQ104" s="103"/>
      <c r="CR104" s="103"/>
      <c r="CS104" s="103"/>
      <c r="CT104" s="103"/>
    </row>
    <row r="105" customFormat="false" ht="15" hidden="false" customHeight="true" outlineLevel="0" collapsed="false">
      <c r="A105" s="97" t="s">
        <v>92</v>
      </c>
      <c r="C105" s="98" t="n">
        <v>-6935.84</v>
      </c>
      <c r="D105" s="98" t="n">
        <v>-2799.88</v>
      </c>
      <c r="E105" s="98" t="n">
        <v>-12899.88</v>
      </c>
      <c r="F105" s="98" t="n">
        <v>-2932.88</v>
      </c>
      <c r="G105" s="98" t="n">
        <v>-5474.88</v>
      </c>
      <c r="H105" s="98" t="n">
        <v>-5</v>
      </c>
      <c r="I105" s="98" t="n">
        <v>-255</v>
      </c>
      <c r="J105" s="98" t="n">
        <v>4520.8</v>
      </c>
      <c r="K105" s="98"/>
      <c r="L105" s="98"/>
      <c r="M105" s="98"/>
      <c r="N105" s="98"/>
      <c r="O105" s="98"/>
      <c r="P105" s="98"/>
      <c r="Q105" s="98"/>
      <c r="R105" s="98"/>
      <c r="S105" s="98"/>
      <c r="T105" s="98"/>
      <c r="U105" s="98"/>
      <c r="V105" s="98"/>
      <c r="W105" s="98"/>
      <c r="X105" s="98"/>
      <c r="Y105" s="98"/>
      <c r="Z105" s="98"/>
      <c r="AA105" s="98"/>
      <c r="AB105" s="98"/>
      <c r="AC105" s="98"/>
      <c r="AD105" s="98"/>
      <c r="AE105" s="98"/>
      <c r="AF105" s="98"/>
      <c r="AG105" s="98"/>
      <c r="AH105" s="98"/>
      <c r="AI105" s="98"/>
      <c r="AJ105" s="98"/>
      <c r="AK105" s="98"/>
      <c r="AL105" s="98"/>
      <c r="AM105" s="98"/>
      <c r="AN105" s="98"/>
      <c r="AO105" s="98"/>
      <c r="AP105" s="98"/>
      <c r="AQ105" s="98"/>
      <c r="AR105" s="98"/>
      <c r="AS105" s="98"/>
      <c r="AT105" s="98"/>
      <c r="AU105" s="98"/>
      <c r="AV105" s="98"/>
      <c r="AW105" s="98"/>
      <c r="AX105" s="98"/>
      <c r="AY105" s="98"/>
      <c r="AZ105" s="98"/>
      <c r="BA105" s="98"/>
      <c r="BB105" s="98"/>
      <c r="BC105" s="98"/>
      <c r="BD105" s="98"/>
      <c r="BE105" s="98"/>
      <c r="BF105" s="98"/>
      <c r="BG105" s="98"/>
      <c r="BH105" s="98"/>
      <c r="BI105" s="98"/>
      <c r="BJ105" s="98"/>
      <c r="BK105" s="98"/>
      <c r="BL105" s="98"/>
      <c r="BM105" s="98"/>
      <c r="BN105" s="98"/>
      <c r="BO105" s="98"/>
      <c r="BP105" s="98"/>
      <c r="BQ105" s="98"/>
      <c r="BR105" s="98"/>
      <c r="BS105" s="98"/>
      <c r="BT105" s="98"/>
      <c r="BU105" s="98"/>
      <c r="BV105" s="98"/>
      <c r="BW105" s="98"/>
      <c r="BX105" s="98"/>
      <c r="BY105" s="98"/>
      <c r="BZ105" s="98"/>
      <c r="CA105" s="98"/>
      <c r="CB105" s="98"/>
      <c r="CC105" s="98"/>
      <c r="CD105" s="98"/>
      <c r="CE105" s="98"/>
      <c r="CF105" s="98"/>
      <c r="CG105" s="98"/>
      <c r="CH105" s="98"/>
      <c r="CI105" s="98"/>
      <c r="CJ105" s="98"/>
      <c r="CK105" s="98"/>
      <c r="CL105" s="98"/>
      <c r="CM105" s="98"/>
      <c r="CN105" s="98"/>
      <c r="CO105" s="98"/>
      <c r="CP105" s="98"/>
      <c r="CQ105" s="98"/>
      <c r="CR105" s="98"/>
      <c r="CS105" s="98"/>
      <c r="CT105" s="98"/>
    </row>
    <row r="106" customFormat="false" ht="15" hidden="false" customHeight="true" outlineLevel="0" collapsed="false">
      <c r="A106" s="97" t="s">
        <v>93</v>
      </c>
      <c r="C106" s="98" t="n">
        <v>-658.14</v>
      </c>
      <c r="D106" s="98" t="n">
        <v>-310</v>
      </c>
      <c r="E106" s="98" t="n">
        <v>-371.74</v>
      </c>
      <c r="F106" s="98" t="n">
        <v>-857.33</v>
      </c>
      <c r="G106" s="98" t="n">
        <v>-305</v>
      </c>
      <c r="H106" s="98" t="n">
        <v>-352.5</v>
      </c>
      <c r="I106" s="98" t="n">
        <v>-204</v>
      </c>
      <c r="J106" s="98" t="n">
        <v>-1477.65</v>
      </c>
      <c r="K106" s="98"/>
      <c r="L106" s="98"/>
      <c r="M106" s="98"/>
      <c r="N106" s="98"/>
      <c r="O106" s="98"/>
      <c r="P106" s="98"/>
      <c r="Q106" s="98"/>
      <c r="R106" s="98"/>
      <c r="S106" s="98"/>
      <c r="T106" s="98"/>
      <c r="U106" s="98"/>
      <c r="V106" s="98"/>
      <c r="W106" s="98"/>
      <c r="X106" s="98"/>
      <c r="Y106" s="98"/>
      <c r="Z106" s="98"/>
      <c r="AA106" s="98"/>
      <c r="AB106" s="98"/>
      <c r="AC106" s="98"/>
      <c r="AD106" s="98"/>
      <c r="AE106" s="98"/>
      <c r="AF106" s="98"/>
      <c r="AG106" s="98"/>
      <c r="AH106" s="98"/>
      <c r="AI106" s="98"/>
      <c r="AJ106" s="98"/>
      <c r="AK106" s="98"/>
      <c r="AL106" s="98"/>
      <c r="AM106" s="98"/>
      <c r="AN106" s="98"/>
      <c r="AO106" s="98"/>
      <c r="AP106" s="98"/>
      <c r="AQ106" s="98"/>
      <c r="AR106" s="98"/>
      <c r="AS106" s="98"/>
      <c r="AT106" s="98"/>
      <c r="AU106" s="98"/>
      <c r="AV106" s="98"/>
      <c r="AW106" s="98"/>
      <c r="AX106" s="98"/>
      <c r="AY106" s="98"/>
      <c r="AZ106" s="98"/>
      <c r="BA106" s="98"/>
      <c r="BB106" s="98"/>
      <c r="BC106" s="98"/>
      <c r="BD106" s="98"/>
      <c r="BE106" s="98"/>
      <c r="BF106" s="98"/>
      <c r="BG106" s="98"/>
      <c r="BH106" s="98"/>
      <c r="BI106" s="98"/>
      <c r="BJ106" s="98"/>
      <c r="BK106" s="98"/>
      <c r="BL106" s="98"/>
      <c r="BM106" s="98"/>
      <c r="BN106" s="98"/>
      <c r="BO106" s="98"/>
      <c r="BP106" s="98"/>
      <c r="BQ106" s="98"/>
      <c r="BR106" s="98"/>
      <c r="BS106" s="98"/>
      <c r="BT106" s="98"/>
      <c r="BU106" s="98"/>
      <c r="BV106" s="98"/>
      <c r="BW106" s="98"/>
      <c r="BX106" s="98"/>
      <c r="BY106" s="98"/>
      <c r="BZ106" s="98"/>
      <c r="CA106" s="98"/>
      <c r="CB106" s="98"/>
      <c r="CC106" s="98"/>
      <c r="CD106" s="98"/>
      <c r="CE106" s="98"/>
      <c r="CF106" s="98"/>
      <c r="CG106" s="98"/>
      <c r="CH106" s="98"/>
      <c r="CI106" s="98"/>
      <c r="CJ106" s="98"/>
      <c r="CK106" s="98"/>
      <c r="CL106" s="98"/>
      <c r="CM106" s="98"/>
      <c r="CN106" s="98"/>
      <c r="CO106" s="98"/>
      <c r="CP106" s="98"/>
      <c r="CQ106" s="98"/>
      <c r="CR106" s="98"/>
      <c r="CS106" s="98"/>
      <c r="CT106" s="98"/>
    </row>
    <row r="107" customFormat="false" ht="15" hidden="false" customHeight="true" outlineLevel="0" collapsed="false">
      <c r="A107" s="97" t="s">
        <v>132</v>
      </c>
      <c r="C107" s="98"/>
      <c r="D107" s="98"/>
      <c r="E107" s="98"/>
      <c r="F107" s="98"/>
      <c r="G107" s="98"/>
      <c r="H107" s="98"/>
      <c r="I107" s="98"/>
      <c r="J107" s="98"/>
      <c r="K107" s="98"/>
      <c r="L107" s="98"/>
      <c r="M107" s="98"/>
      <c r="N107" s="98"/>
      <c r="O107" s="98"/>
      <c r="P107" s="98"/>
      <c r="Q107" s="98"/>
      <c r="R107" s="98"/>
      <c r="S107" s="98"/>
      <c r="T107" s="98"/>
      <c r="U107" s="98"/>
      <c r="V107" s="98"/>
      <c r="W107" s="98"/>
      <c r="X107" s="98"/>
      <c r="Y107" s="98"/>
      <c r="Z107" s="98"/>
      <c r="AA107" s="98"/>
      <c r="AB107" s="98"/>
      <c r="AC107" s="98"/>
      <c r="AD107" s="98"/>
      <c r="AE107" s="98"/>
      <c r="AF107" s="98"/>
      <c r="AG107" s="98"/>
      <c r="AH107" s="98"/>
      <c r="AI107" s="98"/>
      <c r="AJ107" s="98"/>
      <c r="AK107" s="98"/>
      <c r="AL107" s="98"/>
      <c r="AM107" s="98"/>
      <c r="AN107" s="98"/>
      <c r="AO107" s="98"/>
      <c r="AP107" s="98"/>
      <c r="AQ107" s="98"/>
      <c r="AR107" s="98"/>
      <c r="AS107" s="98"/>
      <c r="AT107" s="98"/>
      <c r="AU107" s="98"/>
      <c r="AV107" s="98"/>
      <c r="AW107" s="98"/>
      <c r="AX107" s="98"/>
      <c r="AY107" s="98"/>
      <c r="AZ107" s="98"/>
      <c r="BA107" s="98"/>
      <c r="BB107" s="98"/>
      <c r="BC107" s="98"/>
      <c r="BD107" s="98"/>
      <c r="BE107" s="98"/>
      <c r="BF107" s="98"/>
      <c r="BG107" s="98"/>
      <c r="BH107" s="98"/>
      <c r="BI107" s="98"/>
      <c r="BJ107" s="98"/>
      <c r="BK107" s="98"/>
      <c r="BL107" s="98"/>
      <c r="BM107" s="98"/>
      <c r="BN107" s="98"/>
      <c r="BO107" s="98"/>
      <c r="BP107" s="98"/>
      <c r="BQ107" s="98"/>
      <c r="BR107" s="98"/>
      <c r="BS107" s="98"/>
      <c r="BT107" s="98"/>
      <c r="BU107" s="98"/>
      <c r="BV107" s="98"/>
      <c r="BW107" s="98"/>
      <c r="BX107" s="98"/>
      <c r="BY107" s="98"/>
      <c r="BZ107" s="98"/>
      <c r="CA107" s="98"/>
      <c r="CB107" s="98"/>
      <c r="CC107" s="98"/>
      <c r="CD107" s="98"/>
      <c r="CE107" s="98"/>
      <c r="CF107" s="98"/>
      <c r="CG107" s="98"/>
      <c r="CH107" s="98"/>
      <c r="CI107" s="98"/>
      <c r="CJ107" s="98"/>
      <c r="CK107" s="98"/>
      <c r="CL107" s="98"/>
      <c r="CM107" s="98"/>
      <c r="CN107" s="98"/>
      <c r="CO107" s="98"/>
      <c r="CP107" s="98"/>
      <c r="CQ107" s="98"/>
      <c r="CR107" s="98"/>
      <c r="CS107" s="98"/>
      <c r="CT107" s="98"/>
    </row>
    <row r="108" customFormat="false" ht="15" hidden="false" customHeight="true" outlineLevel="0" collapsed="false">
      <c r="A108" s="97" t="s">
        <v>133</v>
      </c>
      <c r="C108" s="98"/>
      <c r="D108" s="98"/>
      <c r="E108" s="98"/>
      <c r="F108" s="98"/>
      <c r="G108" s="98"/>
      <c r="H108" s="98"/>
      <c r="I108" s="98"/>
      <c r="J108" s="98"/>
      <c r="K108" s="98"/>
      <c r="L108" s="98"/>
      <c r="M108" s="98"/>
      <c r="N108" s="98"/>
      <c r="O108" s="98"/>
      <c r="P108" s="98"/>
      <c r="Q108" s="98"/>
      <c r="R108" s="98"/>
      <c r="S108" s="98"/>
      <c r="T108" s="98"/>
      <c r="U108" s="98"/>
      <c r="V108" s="98"/>
      <c r="W108" s="98"/>
      <c r="X108" s="98"/>
      <c r="Y108" s="98"/>
      <c r="Z108" s="98"/>
      <c r="AA108" s="98"/>
      <c r="AB108" s="98"/>
      <c r="AC108" s="98"/>
      <c r="AD108" s="98"/>
      <c r="AE108" s="98"/>
      <c r="AF108" s="98"/>
      <c r="AG108" s="98"/>
      <c r="AH108" s="98"/>
      <c r="AI108" s="98"/>
      <c r="AJ108" s="98"/>
      <c r="AK108" s="98"/>
      <c r="AL108" s="98"/>
      <c r="AM108" s="98"/>
      <c r="AN108" s="98"/>
      <c r="AO108" s="98"/>
      <c r="AP108" s="98"/>
      <c r="AQ108" s="98"/>
      <c r="AR108" s="98"/>
      <c r="AS108" s="98"/>
      <c r="AT108" s="98"/>
      <c r="AU108" s="98"/>
      <c r="AV108" s="98"/>
      <c r="AW108" s="98"/>
      <c r="AX108" s="98"/>
      <c r="AY108" s="98"/>
      <c r="AZ108" s="98"/>
      <c r="BA108" s="98"/>
      <c r="BB108" s="98"/>
      <c r="BC108" s="98"/>
      <c r="BD108" s="98"/>
      <c r="BE108" s="98"/>
      <c r="BF108" s="98"/>
      <c r="BG108" s="98"/>
      <c r="BH108" s="98"/>
      <c r="BI108" s="98"/>
      <c r="BJ108" s="98"/>
      <c r="BK108" s="98"/>
      <c r="BL108" s="98"/>
      <c r="BM108" s="98"/>
      <c r="BN108" s="98"/>
      <c r="BO108" s="98"/>
      <c r="BP108" s="98"/>
      <c r="BQ108" s="98"/>
      <c r="BR108" s="98"/>
      <c r="BS108" s="98"/>
      <c r="BT108" s="98"/>
      <c r="BU108" s="98"/>
      <c r="BV108" s="98"/>
      <c r="BW108" s="98"/>
      <c r="BX108" s="98"/>
      <c r="BY108" s="98"/>
      <c r="BZ108" s="98"/>
      <c r="CA108" s="98"/>
      <c r="CB108" s="98"/>
      <c r="CC108" s="98"/>
      <c r="CD108" s="98"/>
      <c r="CE108" s="98"/>
      <c r="CF108" s="98"/>
      <c r="CG108" s="98"/>
      <c r="CH108" s="98"/>
      <c r="CI108" s="98"/>
      <c r="CJ108" s="98"/>
      <c r="CK108" s="98"/>
      <c r="CL108" s="98"/>
      <c r="CM108" s="98"/>
      <c r="CN108" s="98"/>
      <c r="CO108" s="98"/>
      <c r="CP108" s="98"/>
      <c r="CQ108" s="98"/>
      <c r="CR108" s="98"/>
      <c r="CS108" s="98"/>
      <c r="CT108" s="98"/>
    </row>
    <row r="109" customFormat="false" ht="15" hidden="false" customHeight="true" outlineLevel="0" collapsed="false">
      <c r="A109" s="97" t="s">
        <v>134</v>
      </c>
      <c r="C109" s="98"/>
      <c r="D109" s="98"/>
      <c r="E109" s="98"/>
      <c r="F109" s="98"/>
      <c r="G109" s="98"/>
      <c r="H109" s="98"/>
      <c r="I109" s="98"/>
      <c r="J109" s="98" t="n">
        <v>0</v>
      </c>
      <c r="K109" s="98"/>
      <c r="L109" s="98"/>
      <c r="M109" s="98"/>
      <c r="N109" s="98"/>
      <c r="O109" s="98"/>
      <c r="P109" s="98"/>
      <c r="Q109" s="98"/>
      <c r="R109" s="98"/>
      <c r="S109" s="98"/>
      <c r="T109" s="98"/>
      <c r="U109" s="98"/>
      <c r="V109" s="98"/>
      <c r="W109" s="98"/>
      <c r="X109" s="98"/>
      <c r="Y109" s="98"/>
      <c r="Z109" s="98"/>
      <c r="AA109" s="98"/>
      <c r="AB109" s="98"/>
      <c r="AC109" s="98"/>
      <c r="AD109" s="98"/>
      <c r="AE109" s="98"/>
      <c r="AF109" s="98"/>
      <c r="AG109" s="98"/>
      <c r="AH109" s="98"/>
      <c r="AI109" s="98"/>
      <c r="AJ109" s="98"/>
      <c r="AK109" s="98"/>
      <c r="AL109" s="98"/>
      <c r="AM109" s="98"/>
      <c r="AN109" s="98"/>
      <c r="AO109" s="98"/>
      <c r="AP109" s="98"/>
      <c r="AQ109" s="98"/>
      <c r="AR109" s="98"/>
      <c r="AS109" s="98"/>
      <c r="AT109" s="98"/>
      <c r="AU109" s="98"/>
      <c r="AV109" s="98"/>
      <c r="AW109" s="98"/>
      <c r="AX109" s="98"/>
      <c r="AY109" s="98"/>
      <c r="AZ109" s="98"/>
      <c r="BA109" s="98"/>
      <c r="BB109" s="98"/>
      <c r="BC109" s="98"/>
      <c r="BD109" s="98"/>
      <c r="BE109" s="98"/>
      <c r="BF109" s="98"/>
      <c r="BG109" s="98"/>
      <c r="BH109" s="98"/>
      <c r="BI109" s="98"/>
      <c r="BJ109" s="98"/>
      <c r="BK109" s="98"/>
      <c r="BL109" s="98"/>
      <c r="BM109" s="98"/>
      <c r="BN109" s="98"/>
      <c r="BO109" s="98"/>
      <c r="BP109" s="98"/>
      <c r="BQ109" s="98"/>
      <c r="BR109" s="98"/>
      <c r="BS109" s="98"/>
      <c r="BT109" s="98"/>
      <c r="BU109" s="98"/>
      <c r="BV109" s="98"/>
      <c r="BW109" s="98"/>
      <c r="BX109" s="98"/>
      <c r="BY109" s="98"/>
      <c r="BZ109" s="98"/>
      <c r="CA109" s="98"/>
      <c r="CB109" s="98"/>
      <c r="CC109" s="98"/>
      <c r="CD109" s="98"/>
      <c r="CE109" s="98"/>
      <c r="CF109" s="98"/>
      <c r="CG109" s="98"/>
      <c r="CH109" s="98"/>
      <c r="CI109" s="98"/>
      <c r="CJ109" s="98"/>
      <c r="CK109" s="98"/>
      <c r="CL109" s="98"/>
      <c r="CM109" s="98"/>
      <c r="CN109" s="98"/>
      <c r="CO109" s="98"/>
      <c r="CP109" s="98"/>
      <c r="CQ109" s="98"/>
      <c r="CR109" s="98"/>
      <c r="CS109" s="98"/>
      <c r="CT109" s="98"/>
    </row>
    <row r="110" customFormat="false" ht="15" hidden="false" customHeight="true" outlineLevel="0" collapsed="false">
      <c r="A110" s="97" t="s">
        <v>135</v>
      </c>
      <c r="C110" s="98"/>
      <c r="D110" s="98"/>
      <c r="E110" s="98"/>
      <c r="F110" s="98"/>
      <c r="G110" s="98"/>
      <c r="H110" s="98"/>
      <c r="I110" s="98"/>
      <c r="J110" s="98"/>
      <c r="K110" s="98"/>
      <c r="L110" s="98"/>
      <c r="M110" s="98"/>
      <c r="N110" s="98"/>
      <c r="O110" s="98"/>
      <c r="P110" s="98"/>
      <c r="Q110" s="98"/>
      <c r="R110" s="98"/>
      <c r="S110" s="98"/>
      <c r="T110" s="98"/>
      <c r="U110" s="98"/>
      <c r="V110" s="98"/>
      <c r="W110" s="98"/>
      <c r="X110" s="98"/>
      <c r="Y110" s="98"/>
      <c r="Z110" s="98"/>
      <c r="AA110" s="98"/>
      <c r="AB110" s="98"/>
      <c r="AC110" s="98"/>
      <c r="AD110" s="98"/>
      <c r="AE110" s="98"/>
      <c r="AF110" s="98"/>
      <c r="AG110" s="98"/>
      <c r="AH110" s="98"/>
      <c r="AI110" s="98"/>
      <c r="AJ110" s="98"/>
      <c r="AK110" s="98"/>
      <c r="AL110" s="98"/>
      <c r="AM110" s="98"/>
      <c r="AN110" s="98"/>
      <c r="AO110" s="98"/>
      <c r="AP110" s="98"/>
      <c r="AQ110" s="98"/>
      <c r="AR110" s="98"/>
      <c r="AS110" s="98"/>
      <c r="AT110" s="98"/>
      <c r="AU110" s="98"/>
      <c r="AV110" s="98"/>
      <c r="AW110" s="98"/>
      <c r="AX110" s="98"/>
      <c r="AY110" s="98"/>
      <c r="AZ110" s="98"/>
      <c r="BA110" s="98"/>
      <c r="BB110" s="98"/>
      <c r="BC110" s="98"/>
      <c r="BD110" s="98"/>
      <c r="BE110" s="98"/>
      <c r="BF110" s="98"/>
      <c r="BG110" s="98"/>
      <c r="BH110" s="98"/>
      <c r="BI110" s="98"/>
      <c r="BJ110" s="98"/>
      <c r="BK110" s="98"/>
      <c r="BL110" s="98"/>
      <c r="BM110" s="98"/>
      <c r="BN110" s="98"/>
      <c r="BO110" s="98"/>
      <c r="BP110" s="98"/>
      <c r="BQ110" s="98"/>
      <c r="BR110" s="98"/>
      <c r="BS110" s="98"/>
      <c r="BT110" s="98"/>
      <c r="BU110" s="98"/>
      <c r="BV110" s="98"/>
      <c r="BW110" s="98"/>
      <c r="BX110" s="98"/>
      <c r="BY110" s="98"/>
      <c r="BZ110" s="98"/>
      <c r="CA110" s="98"/>
      <c r="CB110" s="98"/>
      <c r="CC110" s="98"/>
      <c r="CD110" s="98"/>
      <c r="CE110" s="98"/>
      <c r="CF110" s="98"/>
      <c r="CG110" s="98"/>
      <c r="CH110" s="98"/>
      <c r="CI110" s="98"/>
      <c r="CJ110" s="98"/>
      <c r="CK110" s="98"/>
      <c r="CL110" s="98"/>
      <c r="CM110" s="98"/>
      <c r="CN110" s="98"/>
      <c r="CO110" s="98"/>
      <c r="CP110" s="98"/>
      <c r="CQ110" s="98"/>
      <c r="CR110" s="98"/>
      <c r="CS110" s="98"/>
      <c r="CT110" s="98"/>
    </row>
    <row r="111" customFormat="false" ht="15" hidden="false" customHeight="true" outlineLevel="0" collapsed="false">
      <c r="A111" s="97" t="s">
        <v>136</v>
      </c>
      <c r="C111" s="98"/>
      <c r="D111" s="98"/>
      <c r="E111" s="98"/>
      <c r="F111" s="98"/>
      <c r="G111" s="98"/>
      <c r="H111" s="98"/>
      <c r="I111" s="98"/>
      <c r="J111" s="98"/>
      <c r="K111" s="98"/>
      <c r="L111" s="98"/>
      <c r="M111" s="98"/>
      <c r="N111" s="98"/>
      <c r="O111" s="98"/>
      <c r="P111" s="98"/>
      <c r="Q111" s="98"/>
      <c r="R111" s="98"/>
      <c r="S111" s="98"/>
      <c r="T111" s="98"/>
      <c r="U111" s="98"/>
      <c r="V111" s="98"/>
      <c r="W111" s="98"/>
      <c r="X111" s="98"/>
      <c r="Y111" s="98"/>
      <c r="Z111" s="98"/>
      <c r="AA111" s="98"/>
      <c r="AB111" s="98"/>
      <c r="AC111" s="98"/>
      <c r="AD111" s="98"/>
      <c r="AE111" s="98"/>
      <c r="AF111" s="98"/>
      <c r="AG111" s="98"/>
      <c r="AH111" s="98"/>
      <c r="AI111" s="98"/>
      <c r="AJ111" s="98"/>
      <c r="AK111" s="98"/>
      <c r="AL111" s="98"/>
      <c r="AM111" s="98"/>
      <c r="AN111" s="98"/>
      <c r="AO111" s="98"/>
      <c r="AP111" s="98"/>
      <c r="AQ111" s="98"/>
      <c r="AR111" s="98"/>
      <c r="AS111" s="98"/>
      <c r="AT111" s="98"/>
      <c r="AU111" s="98"/>
      <c r="AV111" s="98"/>
      <c r="AW111" s="98"/>
      <c r="AX111" s="98"/>
      <c r="AY111" s="98"/>
      <c r="AZ111" s="98"/>
      <c r="BA111" s="98"/>
      <c r="BB111" s="98"/>
      <c r="BC111" s="98"/>
      <c r="BD111" s="98"/>
      <c r="BE111" s="98"/>
      <c r="BF111" s="98"/>
      <c r="BG111" s="98"/>
      <c r="BH111" s="98"/>
      <c r="BI111" s="98"/>
      <c r="BJ111" s="98"/>
      <c r="BK111" s="98"/>
      <c r="BL111" s="98"/>
      <c r="BM111" s="98"/>
      <c r="BN111" s="98"/>
      <c r="BO111" s="98"/>
      <c r="BP111" s="98"/>
      <c r="BQ111" s="98"/>
      <c r="BR111" s="98"/>
      <c r="BS111" s="98"/>
      <c r="BT111" s="98"/>
      <c r="BU111" s="98"/>
      <c r="BV111" s="98"/>
      <c r="BW111" s="98"/>
      <c r="BX111" s="98"/>
      <c r="BY111" s="98"/>
      <c r="BZ111" s="98"/>
      <c r="CA111" s="98"/>
      <c r="CB111" s="98"/>
      <c r="CC111" s="98"/>
      <c r="CD111" s="98"/>
      <c r="CE111" s="98"/>
      <c r="CF111" s="98"/>
      <c r="CG111" s="98"/>
      <c r="CH111" s="98"/>
      <c r="CI111" s="98"/>
      <c r="CJ111" s="98"/>
      <c r="CK111" s="98"/>
      <c r="CL111" s="98"/>
      <c r="CM111" s="98"/>
      <c r="CN111" s="98"/>
      <c r="CO111" s="98"/>
      <c r="CP111" s="98"/>
      <c r="CQ111" s="98"/>
      <c r="CR111" s="98"/>
      <c r="CS111" s="98"/>
      <c r="CT111" s="98"/>
    </row>
    <row r="112" customFormat="false" ht="15" hidden="false" customHeight="true" outlineLevel="0" collapsed="false">
      <c r="A112" s="94" t="s">
        <v>137</v>
      </c>
      <c r="C112" s="107" t="n">
        <f aca="false">SUM(C82:C110)</f>
        <v>-198827.72</v>
      </c>
      <c r="D112" s="107" t="n">
        <f aca="false">SUM(D82:D110)</f>
        <v>-192502</v>
      </c>
      <c r="E112" s="107" t="n">
        <f aca="false">SUM(E82:E110)</f>
        <v>-255024.1</v>
      </c>
      <c r="F112" s="107" t="n">
        <f aca="false">SUM(F82:F110)</f>
        <v>-195904.72</v>
      </c>
      <c r="G112" s="107" t="n">
        <f aca="false">SUM(G82:G110)</f>
        <v>-250029.52</v>
      </c>
      <c r="H112" s="107" t="n">
        <f aca="false">SUM(H82:H110)</f>
        <v>-201582.47</v>
      </c>
      <c r="I112" s="107" t="n">
        <f aca="false">SUM(I82:I110)</f>
        <v>-195563.06</v>
      </c>
      <c r="J112" s="107" t="n">
        <f aca="false">SUM(J82:J110)</f>
        <v>-183480.39</v>
      </c>
      <c r="K112" s="107" t="n">
        <f aca="false">SUM(K82:K110)</f>
        <v>0</v>
      </c>
      <c r="L112" s="107" t="n">
        <f aca="false">SUM(L82:L110)</f>
        <v>0</v>
      </c>
      <c r="M112" s="107" t="n">
        <f aca="false">SUM(M82:M110)</f>
        <v>0</v>
      </c>
      <c r="N112" s="107" t="n">
        <f aca="false">SUM(N82:N110)</f>
        <v>0</v>
      </c>
      <c r="O112" s="107" t="n">
        <f aca="false">SUM(O82:O110)</f>
        <v>0</v>
      </c>
      <c r="P112" s="107" t="n">
        <f aca="false">SUM(P82:P110)</f>
        <v>0</v>
      </c>
      <c r="Q112" s="107" t="n">
        <f aca="false">SUM(Q82:Q110)</f>
        <v>0</v>
      </c>
      <c r="R112" s="107" t="n">
        <f aca="false">SUM(R82:R110)</f>
        <v>0</v>
      </c>
      <c r="S112" s="107" t="n">
        <f aca="false">SUM(S82:S110)</f>
        <v>0</v>
      </c>
      <c r="T112" s="107" t="n">
        <f aca="false">SUM(T82:T110)</f>
        <v>0</v>
      </c>
      <c r="U112" s="107" t="n">
        <f aca="false">SUM(U82:U110)</f>
        <v>0</v>
      </c>
      <c r="V112" s="107" t="n">
        <f aca="false">SUM(V82:V110)</f>
        <v>0</v>
      </c>
      <c r="W112" s="107" t="n">
        <f aca="false">SUM(W82:W110)</f>
        <v>0</v>
      </c>
      <c r="X112" s="107" t="n">
        <f aca="false">SUM(X82:X110)</f>
        <v>0</v>
      </c>
      <c r="Y112" s="107" t="n">
        <f aca="false">SUM(Y82:Y110)</f>
        <v>0</v>
      </c>
      <c r="Z112" s="107" t="n">
        <f aca="false">SUM(Z82:Z110)</f>
        <v>0</v>
      </c>
      <c r="AA112" s="107" t="n">
        <f aca="false">SUM(AA82:AA110)</f>
        <v>0</v>
      </c>
      <c r="AB112" s="107" t="n">
        <f aca="false">SUM(AB82:AB110)</f>
        <v>0</v>
      </c>
      <c r="AC112" s="107" t="n">
        <f aca="false">SUM(AC82:AC110)</f>
        <v>0</v>
      </c>
      <c r="AD112" s="107" t="n">
        <f aca="false">SUM(AD82:AD110)</f>
        <v>0</v>
      </c>
      <c r="AE112" s="107" t="n">
        <f aca="false">SUM(AE82:AE110)</f>
        <v>0</v>
      </c>
      <c r="AF112" s="107" t="n">
        <f aca="false">SUM(AF82:AF110)</f>
        <v>0</v>
      </c>
      <c r="AG112" s="107" t="n">
        <f aca="false">SUM(AG82:AG110)</f>
        <v>0</v>
      </c>
      <c r="AH112" s="107" t="n">
        <f aca="false">SUM(AH82:AH110)</f>
        <v>0</v>
      </c>
      <c r="AI112" s="107" t="n">
        <f aca="false">SUM(AI82:AI110)</f>
        <v>0</v>
      </c>
      <c r="AJ112" s="107" t="n">
        <f aca="false">SUM(AJ82:AJ110)</f>
        <v>0</v>
      </c>
      <c r="AK112" s="107" t="n">
        <f aca="false">SUM(AK82:AK110)</f>
        <v>0</v>
      </c>
      <c r="AL112" s="107" t="n">
        <f aca="false">SUM(AL82:AL110)</f>
        <v>0</v>
      </c>
      <c r="AM112" s="107" t="n">
        <f aca="false">SUM(AM82:AM110)</f>
        <v>0</v>
      </c>
      <c r="AN112" s="107" t="n">
        <f aca="false">SUM(AN82:AN110)</f>
        <v>0</v>
      </c>
      <c r="AO112" s="107" t="n">
        <f aca="false">SUM(AO82:AO110)</f>
        <v>0</v>
      </c>
      <c r="AP112" s="107" t="n">
        <f aca="false">SUM(AP82:AP110)</f>
        <v>0</v>
      </c>
      <c r="AQ112" s="107" t="n">
        <f aca="false">SUM(AQ82:AQ110)</f>
        <v>0</v>
      </c>
      <c r="AR112" s="107" t="n">
        <f aca="false">SUM(AR82:AR110)</f>
        <v>0</v>
      </c>
      <c r="AS112" s="107" t="n">
        <f aca="false">SUM(AS82:AS110)</f>
        <v>0</v>
      </c>
      <c r="AT112" s="107" t="n">
        <f aca="false">SUM(AT82:AT110)</f>
        <v>0</v>
      </c>
      <c r="AU112" s="107" t="n">
        <f aca="false">SUM(AU82:AU110)</f>
        <v>0</v>
      </c>
      <c r="AV112" s="107" t="n">
        <f aca="false">SUM(AV82:AV110)</f>
        <v>0</v>
      </c>
      <c r="AW112" s="107" t="n">
        <f aca="false">SUM(AW82:AW110)</f>
        <v>0</v>
      </c>
      <c r="AX112" s="107" t="n">
        <f aca="false">SUM(AX82:AX110)</f>
        <v>0</v>
      </c>
      <c r="AY112" s="107" t="n">
        <f aca="false">SUM(AY82:AY110)</f>
        <v>0</v>
      </c>
      <c r="AZ112" s="107" t="n">
        <f aca="false">SUM(AZ82:AZ110)</f>
        <v>0</v>
      </c>
      <c r="BA112" s="107" t="n">
        <f aca="false">SUM(BA82:BA110)</f>
        <v>0</v>
      </c>
      <c r="BB112" s="107" t="n">
        <f aca="false">SUM(BB82:BB110)</f>
        <v>0</v>
      </c>
      <c r="BC112" s="107" t="n">
        <f aca="false">SUM(BC82:BC110)</f>
        <v>0</v>
      </c>
      <c r="BD112" s="107" t="n">
        <f aca="false">SUM(BD82:BD110)</f>
        <v>0</v>
      </c>
      <c r="BE112" s="107" t="n">
        <f aca="false">SUM(BE82:BE110)</f>
        <v>0</v>
      </c>
      <c r="BF112" s="107" t="n">
        <f aca="false">SUM(BF82:BF110)</f>
        <v>0</v>
      </c>
      <c r="BG112" s="107" t="n">
        <f aca="false">SUM(BG82:BG110)</f>
        <v>0</v>
      </c>
      <c r="BH112" s="107" t="n">
        <f aca="false">SUM(BH82:BH110)</f>
        <v>0</v>
      </c>
      <c r="BI112" s="107" t="n">
        <f aca="false">SUM(BI82:BI110)</f>
        <v>0</v>
      </c>
      <c r="BJ112" s="107" t="n">
        <f aca="false">SUM(BJ82:BJ110)</f>
        <v>0</v>
      </c>
      <c r="BK112" s="107" t="n">
        <f aca="false">SUM(BK82:BK110)</f>
        <v>0</v>
      </c>
      <c r="BL112" s="107" t="n">
        <f aca="false">SUM(BL82:BL110)</f>
        <v>0</v>
      </c>
      <c r="BM112" s="107" t="n">
        <f aca="false">SUM(BM82:BM110)</f>
        <v>0</v>
      </c>
      <c r="BN112" s="107" t="n">
        <f aca="false">SUM(BN82:BN110)</f>
        <v>0</v>
      </c>
      <c r="BO112" s="107" t="n">
        <f aca="false">SUM(BO82:BO110)</f>
        <v>0</v>
      </c>
      <c r="BP112" s="107" t="n">
        <f aca="false">SUM(BP82:BP110)</f>
        <v>0</v>
      </c>
      <c r="BQ112" s="107" t="n">
        <f aca="false">SUM(BQ82:BQ110)</f>
        <v>0</v>
      </c>
      <c r="BR112" s="107" t="n">
        <f aca="false">SUM(BR82:BR110)</f>
        <v>0</v>
      </c>
      <c r="BS112" s="107" t="n">
        <f aca="false">SUM(BS82:BS110)</f>
        <v>0</v>
      </c>
      <c r="BT112" s="107" t="n">
        <f aca="false">SUM(BT82:BT110)</f>
        <v>0</v>
      </c>
      <c r="BU112" s="107" t="n">
        <f aca="false">SUM(BU82:BU110)</f>
        <v>0</v>
      </c>
      <c r="BV112" s="107" t="n">
        <f aca="false">SUM(BV82:BV110)</f>
        <v>0</v>
      </c>
      <c r="BW112" s="107" t="n">
        <f aca="false">SUM(BW82:BW110)</f>
        <v>0</v>
      </c>
      <c r="BX112" s="107" t="n">
        <f aca="false">SUM(BX82:BX110)</f>
        <v>0</v>
      </c>
      <c r="BY112" s="107" t="n">
        <f aca="false">SUM(BY82:BY110)</f>
        <v>0</v>
      </c>
      <c r="BZ112" s="107" t="n">
        <f aca="false">SUM(BZ82:BZ110)</f>
        <v>0</v>
      </c>
      <c r="CA112" s="107" t="n">
        <f aca="false">SUM(CA82:CA110)</f>
        <v>0</v>
      </c>
      <c r="CB112" s="107" t="n">
        <f aca="false">SUM(CB82:CB110)</f>
        <v>0</v>
      </c>
      <c r="CC112" s="107" t="n">
        <f aca="false">SUM(CC82:CC110)</f>
        <v>0</v>
      </c>
      <c r="CD112" s="107" t="n">
        <f aca="false">SUM(CD82:CD110)</f>
        <v>0</v>
      </c>
      <c r="CE112" s="107" t="n">
        <f aca="false">SUM(CE82:CE110)</f>
        <v>0</v>
      </c>
      <c r="CF112" s="107" t="n">
        <f aca="false">SUM(CF82:CF110)</f>
        <v>0</v>
      </c>
      <c r="CG112" s="107" t="n">
        <f aca="false">SUM(CG82:CG110)</f>
        <v>0</v>
      </c>
      <c r="CH112" s="107" t="n">
        <f aca="false">SUM(CH82:CH110)</f>
        <v>0</v>
      </c>
      <c r="CI112" s="107" t="n">
        <f aca="false">SUM(CI82:CI110)</f>
        <v>0</v>
      </c>
      <c r="CJ112" s="107" t="n">
        <f aca="false">SUM(CJ82:CJ110)</f>
        <v>0</v>
      </c>
      <c r="CK112" s="107" t="n">
        <f aca="false">SUM(CK82:CK110)</f>
        <v>0</v>
      </c>
      <c r="CL112" s="107" t="n">
        <f aca="false">SUM(CL82:CL110)</f>
        <v>0</v>
      </c>
      <c r="CM112" s="107" t="n">
        <f aca="false">SUM(CM82:CM110)</f>
        <v>0</v>
      </c>
      <c r="CN112" s="107" t="n">
        <f aca="false">SUM(CN82:CN110)</f>
        <v>0</v>
      </c>
      <c r="CO112" s="107" t="n">
        <f aca="false">SUM(CO82:CO110)</f>
        <v>0</v>
      </c>
      <c r="CP112" s="107" t="n">
        <f aca="false">SUM(CP82:CP110)</f>
        <v>0</v>
      </c>
      <c r="CQ112" s="107" t="n">
        <f aca="false">SUM(CQ82:CQ110)</f>
        <v>0</v>
      </c>
      <c r="CR112" s="107" t="n">
        <f aca="false">SUM(CR82:CR110)</f>
        <v>0</v>
      </c>
      <c r="CS112" s="107" t="n">
        <f aca="false">SUM(CS82:CS110)</f>
        <v>0</v>
      </c>
      <c r="CT112" s="107" t="n">
        <f aca="false">SUM(CT82:CT110)</f>
        <v>0</v>
      </c>
    </row>
    <row r="113" customFormat="false" ht="15" hidden="false" customHeight="true" outlineLevel="0" collapsed="false">
      <c r="A113" s="101" t="s">
        <v>349</v>
      </c>
      <c r="C113" s="109"/>
      <c r="D113" s="109"/>
      <c r="E113" s="109"/>
      <c r="F113" s="109"/>
      <c r="G113" s="109"/>
      <c r="H113" s="109" t="n">
        <v>53641.68</v>
      </c>
      <c r="I113" s="109" t="n">
        <v>-934.88</v>
      </c>
      <c r="J113" s="109" t="n">
        <v>-934.88</v>
      </c>
      <c r="K113" s="109"/>
      <c r="L113" s="109"/>
      <c r="M113" s="109"/>
      <c r="N113" s="109"/>
      <c r="O113" s="109"/>
      <c r="P113" s="109"/>
      <c r="Q113" s="109"/>
      <c r="R113" s="109"/>
      <c r="S113" s="109"/>
      <c r="T113" s="109"/>
      <c r="U113" s="109"/>
      <c r="V113" s="109"/>
      <c r="W113" s="109"/>
      <c r="X113" s="109"/>
      <c r="Y113" s="109"/>
      <c r="Z113" s="109"/>
      <c r="AA113" s="109"/>
      <c r="AB113" s="109"/>
      <c r="AC113" s="109"/>
      <c r="AD113" s="109"/>
      <c r="AE113" s="109"/>
      <c r="AF113" s="109"/>
      <c r="AG113" s="109"/>
      <c r="AH113" s="109"/>
      <c r="AI113" s="109"/>
      <c r="AJ113" s="109"/>
      <c r="AK113" s="109"/>
      <c r="AL113" s="109"/>
      <c r="AM113" s="109"/>
      <c r="AN113" s="109"/>
      <c r="AO113" s="109"/>
      <c r="AP113" s="109"/>
      <c r="AQ113" s="109"/>
      <c r="AR113" s="109"/>
      <c r="AS113" s="109"/>
      <c r="AT113" s="109"/>
      <c r="AU113" s="109"/>
      <c r="AV113" s="109"/>
      <c r="AW113" s="109"/>
      <c r="AX113" s="109"/>
      <c r="AY113" s="109"/>
      <c r="AZ113" s="109"/>
      <c r="BA113" s="109"/>
      <c r="BB113" s="109"/>
      <c r="BC113" s="109"/>
      <c r="BD113" s="109"/>
      <c r="BE113" s="109"/>
      <c r="BF113" s="109"/>
      <c r="BG113" s="109"/>
      <c r="BH113" s="109"/>
      <c r="BI113" s="109"/>
      <c r="BJ113" s="109"/>
      <c r="BK113" s="109"/>
      <c r="BL113" s="109"/>
      <c r="BM113" s="109"/>
      <c r="BN113" s="109"/>
      <c r="BO113" s="109"/>
      <c r="BP113" s="109"/>
      <c r="BQ113" s="109"/>
      <c r="BR113" s="109"/>
      <c r="BS113" s="109"/>
      <c r="BT113" s="109"/>
      <c r="BU113" s="109"/>
      <c r="BV113" s="109"/>
      <c r="BW113" s="109"/>
      <c r="BX113" s="109"/>
      <c r="BY113" s="109"/>
      <c r="BZ113" s="109"/>
      <c r="CA113" s="109"/>
      <c r="CB113" s="109"/>
      <c r="CC113" s="109"/>
      <c r="CD113" s="109"/>
      <c r="CE113" s="109"/>
      <c r="CF113" s="109"/>
      <c r="CG113" s="109"/>
      <c r="CH113" s="109"/>
      <c r="CI113" s="109"/>
      <c r="CJ113" s="109"/>
      <c r="CK113" s="109"/>
      <c r="CL113" s="109"/>
      <c r="CM113" s="109"/>
      <c r="CN113" s="109"/>
      <c r="CO113" s="109"/>
      <c r="CP113" s="109"/>
      <c r="CQ113" s="109"/>
      <c r="CR113" s="109"/>
      <c r="CS113" s="109"/>
      <c r="CT113" s="109"/>
    </row>
    <row r="114" customFormat="false" ht="15" hidden="false" customHeight="true" outlineLevel="0" collapsed="false">
      <c r="A114" s="101" t="s">
        <v>138</v>
      </c>
      <c r="C114" s="108" t="n">
        <f aca="false">C81+C112+C113</f>
        <v>-164713.14</v>
      </c>
      <c r="D114" s="108" t="n">
        <f aca="false">D81+D112+D113</f>
        <v>-158387.42</v>
      </c>
      <c r="E114" s="108" t="n">
        <f aca="false">E81+E112+E113</f>
        <v>-220909.52</v>
      </c>
      <c r="F114" s="108" t="n">
        <f aca="false">F81+F112+F113</f>
        <v>-161790.14</v>
      </c>
      <c r="G114" s="108" t="n">
        <f aca="false">G81+G112+G113</f>
        <v>-215914.94</v>
      </c>
      <c r="H114" s="108" t="n">
        <f aca="false">H81+H112+H113</f>
        <v>185173.79</v>
      </c>
      <c r="I114" s="108" t="n">
        <f aca="false">I81+I112+I113</f>
        <v>-118383.36</v>
      </c>
      <c r="J114" s="108" t="n">
        <f aca="false">J81+J112+J113</f>
        <v>-3786.69</v>
      </c>
      <c r="K114" s="108" t="n">
        <f aca="false">K81+K112+K113</f>
        <v>0</v>
      </c>
      <c r="L114" s="108" t="n">
        <f aca="false">L81+L112+L113</f>
        <v>0</v>
      </c>
      <c r="M114" s="108" t="n">
        <f aca="false">M81+M112+M113</f>
        <v>0</v>
      </c>
      <c r="N114" s="108" t="n">
        <f aca="false">N81+N112+N113</f>
        <v>0</v>
      </c>
      <c r="O114" s="108" t="n">
        <f aca="false">O81+O112+O113</f>
        <v>0</v>
      </c>
      <c r="P114" s="108" t="n">
        <f aca="false">P81+P112+P113</f>
        <v>0</v>
      </c>
      <c r="Q114" s="108" t="n">
        <f aca="false">Q81+Q112+Q113</f>
        <v>0</v>
      </c>
      <c r="R114" s="108" t="n">
        <f aca="false">R81+R112+R113</f>
        <v>0</v>
      </c>
      <c r="S114" s="108" t="n">
        <f aca="false">S81+S112+S113</f>
        <v>0</v>
      </c>
      <c r="T114" s="108" t="n">
        <f aca="false">T81+T112+T113</f>
        <v>0</v>
      </c>
      <c r="U114" s="108" t="n">
        <f aca="false">U81+U112+U113</f>
        <v>0</v>
      </c>
      <c r="V114" s="108" t="n">
        <f aca="false">V81+V112+V113</f>
        <v>0</v>
      </c>
      <c r="W114" s="108" t="n">
        <f aca="false">W81+W112+W113</f>
        <v>0</v>
      </c>
      <c r="X114" s="108" t="n">
        <f aca="false">X81+X112+X113</f>
        <v>0</v>
      </c>
      <c r="Y114" s="108" t="n">
        <f aca="false">Y81+Y112+Y113</f>
        <v>0</v>
      </c>
      <c r="Z114" s="108" t="n">
        <f aca="false">Z81+Z112+Z113</f>
        <v>0</v>
      </c>
      <c r="AA114" s="108" t="n">
        <f aca="false">AA81+AA112+AA113</f>
        <v>0</v>
      </c>
      <c r="AB114" s="108" t="n">
        <f aca="false">AB81+AB112+AB113</f>
        <v>0</v>
      </c>
      <c r="AC114" s="108" t="n">
        <f aca="false">AC81+AC112+AC113</f>
        <v>0</v>
      </c>
      <c r="AD114" s="108" t="n">
        <f aca="false">AD81+AD112+AD113</f>
        <v>0</v>
      </c>
      <c r="AE114" s="108" t="n">
        <f aca="false">AE81+AE112+AE113</f>
        <v>0</v>
      </c>
      <c r="AF114" s="108" t="n">
        <f aca="false">AF81+AF112+AF113</f>
        <v>0</v>
      </c>
      <c r="AG114" s="108" t="n">
        <f aca="false">AG81+AG112+AG113</f>
        <v>0</v>
      </c>
      <c r="AH114" s="108" t="n">
        <f aca="false">AH81+AH112+AH113</f>
        <v>0</v>
      </c>
      <c r="AI114" s="108" t="n">
        <f aca="false">AI81+AI112+AI113</f>
        <v>0</v>
      </c>
      <c r="AJ114" s="108" t="n">
        <f aca="false">AJ81+AJ112+AJ113</f>
        <v>0</v>
      </c>
      <c r="AK114" s="108" t="n">
        <f aca="false">AK81+AK112+AK113</f>
        <v>0</v>
      </c>
      <c r="AL114" s="108" t="n">
        <f aca="false">AL81+AL112+AL113</f>
        <v>0</v>
      </c>
      <c r="AM114" s="108" t="n">
        <f aca="false">AM81+AM112+AM113</f>
        <v>0</v>
      </c>
      <c r="AN114" s="108" t="n">
        <f aca="false">AN81+AN112+AN113</f>
        <v>0</v>
      </c>
      <c r="AO114" s="108" t="n">
        <f aca="false">AO81+AO112+AO113</f>
        <v>0</v>
      </c>
      <c r="AP114" s="108" t="n">
        <f aca="false">AP81+AP112+AP113</f>
        <v>0</v>
      </c>
      <c r="AQ114" s="108" t="n">
        <f aca="false">AQ81+AQ112+AQ113</f>
        <v>0</v>
      </c>
      <c r="AR114" s="108" t="n">
        <f aca="false">AR81+AR112+AR113</f>
        <v>0</v>
      </c>
      <c r="AS114" s="108" t="n">
        <f aca="false">AS81+AS112+AS113</f>
        <v>0</v>
      </c>
      <c r="AT114" s="108" t="n">
        <f aca="false">AT81+AT112+AT113</f>
        <v>0</v>
      </c>
      <c r="AU114" s="108" t="n">
        <f aca="false">AU81+AU112+AU113</f>
        <v>0</v>
      </c>
      <c r="AV114" s="108" t="n">
        <f aca="false">AV81+AV112+AV113</f>
        <v>0</v>
      </c>
      <c r="AW114" s="108" t="n">
        <f aca="false">AW81+AW112+AW113</f>
        <v>0</v>
      </c>
      <c r="AX114" s="108" t="n">
        <f aca="false">AX81+AX112+AX113</f>
        <v>0</v>
      </c>
      <c r="AY114" s="108" t="n">
        <f aca="false">AY81+AY112+AY113</f>
        <v>0</v>
      </c>
      <c r="AZ114" s="108" t="n">
        <f aca="false">AZ81+AZ112+AZ113</f>
        <v>0</v>
      </c>
      <c r="BA114" s="108" t="n">
        <f aca="false">BA81+BA112+BA113</f>
        <v>0</v>
      </c>
      <c r="BB114" s="108" t="n">
        <f aca="false">BB81+BB112+BB113</f>
        <v>0</v>
      </c>
      <c r="BC114" s="108" t="n">
        <f aca="false">BC81+BC112+BC113</f>
        <v>0</v>
      </c>
      <c r="BD114" s="108" t="n">
        <f aca="false">BD81+BD112+BD113</f>
        <v>0</v>
      </c>
      <c r="BE114" s="108" t="n">
        <f aca="false">BE81+BE112+BE113</f>
        <v>0</v>
      </c>
      <c r="BF114" s="108" t="n">
        <f aca="false">BF81+BF112+BF113</f>
        <v>0</v>
      </c>
      <c r="BG114" s="108" t="n">
        <f aca="false">BG81+BG112+BG113</f>
        <v>0</v>
      </c>
      <c r="BH114" s="108" t="n">
        <f aca="false">BH81+BH112+BH113</f>
        <v>0</v>
      </c>
      <c r="BI114" s="108" t="n">
        <f aca="false">BI81+BI112+BI113</f>
        <v>0</v>
      </c>
      <c r="BJ114" s="108" t="n">
        <f aca="false">BJ81+BJ112+BJ113</f>
        <v>0</v>
      </c>
      <c r="BK114" s="108" t="n">
        <f aca="false">BK81+BK112+BK113</f>
        <v>0</v>
      </c>
      <c r="BL114" s="108" t="n">
        <f aca="false">BL81+BL112+BL113</f>
        <v>0</v>
      </c>
      <c r="BM114" s="108" t="n">
        <f aca="false">BM81+BM112+BM113</f>
        <v>0</v>
      </c>
      <c r="BN114" s="108" t="n">
        <f aca="false">BN81+BN112+BN113</f>
        <v>0</v>
      </c>
      <c r="BO114" s="108" t="n">
        <f aca="false">BO81+BO112+BO113</f>
        <v>0</v>
      </c>
      <c r="BP114" s="108" t="n">
        <f aca="false">BP81+BP112+BP113</f>
        <v>0</v>
      </c>
      <c r="BQ114" s="108" t="n">
        <f aca="false">BQ81+BQ112+BQ113</f>
        <v>0</v>
      </c>
      <c r="BR114" s="108" t="n">
        <f aca="false">BR81+BR112+BR113</f>
        <v>0</v>
      </c>
      <c r="BS114" s="108" t="n">
        <f aca="false">BS81+BS112+BS113</f>
        <v>0</v>
      </c>
      <c r="BT114" s="108" t="n">
        <f aca="false">BT81+BT112+BT113</f>
        <v>0</v>
      </c>
      <c r="BU114" s="108" t="n">
        <f aca="false">BU81+BU112+BU113</f>
        <v>0</v>
      </c>
      <c r="BV114" s="108" t="n">
        <f aca="false">BV81+BV112+BV113</f>
        <v>0</v>
      </c>
      <c r="BW114" s="108" t="n">
        <f aca="false">BW81+BW112+BW113</f>
        <v>0</v>
      </c>
      <c r="BX114" s="108" t="n">
        <f aca="false">BX81+BX112+BX113</f>
        <v>0</v>
      </c>
      <c r="BY114" s="108" t="n">
        <f aca="false">BY81+BY112+BY113</f>
        <v>0</v>
      </c>
      <c r="BZ114" s="108" t="n">
        <f aca="false">BZ81+BZ112+BZ113</f>
        <v>0</v>
      </c>
      <c r="CA114" s="108" t="n">
        <f aca="false">CA81+CA112+CA113</f>
        <v>0</v>
      </c>
      <c r="CB114" s="108" t="n">
        <f aca="false">CB81+CB112+CB113</f>
        <v>0</v>
      </c>
      <c r="CC114" s="108" t="n">
        <f aca="false">CC81+CC112+CC113</f>
        <v>0</v>
      </c>
      <c r="CD114" s="108" t="n">
        <f aca="false">CD81+CD112+CD113</f>
        <v>0</v>
      </c>
      <c r="CE114" s="108" t="n">
        <f aca="false">CE81+CE112+CE113</f>
        <v>0</v>
      </c>
      <c r="CF114" s="108" t="n">
        <f aca="false">CF81+CF112+CF113</f>
        <v>0</v>
      </c>
      <c r="CG114" s="108" t="n">
        <f aca="false">CG81+CG112+CG113</f>
        <v>0</v>
      </c>
      <c r="CH114" s="108" t="n">
        <f aca="false">CH81+CH112+CH113</f>
        <v>0</v>
      </c>
      <c r="CI114" s="108" t="n">
        <f aca="false">CI81+CI112+CI113</f>
        <v>0</v>
      </c>
      <c r="CJ114" s="108" t="n">
        <f aca="false">CJ81+CJ112+CJ113</f>
        <v>0</v>
      </c>
      <c r="CK114" s="108" t="n">
        <f aca="false">CK81+CK112+CK113</f>
        <v>0</v>
      </c>
      <c r="CL114" s="108" t="n">
        <f aca="false">CL81+CL112+CL113</f>
        <v>0</v>
      </c>
      <c r="CM114" s="108" t="n">
        <f aca="false">CM81+CM112+CM113</f>
        <v>0</v>
      </c>
      <c r="CN114" s="108" t="n">
        <f aca="false">CN81+CN112+CN113</f>
        <v>0</v>
      </c>
      <c r="CO114" s="108" t="n">
        <f aca="false">CO81+CO112+CO113</f>
        <v>0</v>
      </c>
      <c r="CP114" s="108" t="n">
        <f aca="false">CP81+CP112+CP113</f>
        <v>0</v>
      </c>
      <c r="CQ114" s="108" t="n">
        <f aca="false">CQ81+CQ112+CQ113</f>
        <v>0</v>
      </c>
      <c r="CR114" s="108" t="n">
        <f aca="false">CR81+CR112+CR113</f>
        <v>0</v>
      </c>
      <c r="CS114" s="108" t="n">
        <f aca="false">CS81+CS112+CS113</f>
        <v>0</v>
      </c>
      <c r="CT114" s="108" t="n">
        <f aca="false">CT81+CT112+CT113</f>
        <v>0</v>
      </c>
    </row>
    <row r="115" customFormat="false" ht="15" hidden="false" customHeight="true" outlineLevel="0" collapsed="false">
      <c r="C115" s="109"/>
      <c r="D115" s="109"/>
      <c r="E115" s="109"/>
      <c r="F115" s="109"/>
      <c r="G115" s="109"/>
      <c r="H115" s="109"/>
      <c r="I115" s="109"/>
      <c r="J115" s="109"/>
      <c r="K115" s="109"/>
      <c r="L115" s="109"/>
      <c r="M115" s="109"/>
      <c r="N115" s="109"/>
      <c r="O115" s="109"/>
      <c r="P115" s="109"/>
      <c r="Q115" s="109"/>
      <c r="R115" s="109"/>
      <c r="S115" s="109"/>
      <c r="T115" s="109"/>
      <c r="U115" s="109"/>
      <c r="V115" s="109"/>
      <c r="W115" s="109"/>
      <c r="X115" s="109"/>
      <c r="Y115" s="109"/>
      <c r="Z115" s="109"/>
      <c r="AA115" s="109"/>
      <c r="AB115" s="109"/>
      <c r="AC115" s="109"/>
      <c r="AD115" s="109"/>
      <c r="AE115" s="109"/>
      <c r="AF115" s="109"/>
      <c r="AG115" s="109"/>
      <c r="AH115" s="109"/>
      <c r="AI115" s="109"/>
      <c r="AJ115" s="109"/>
      <c r="AK115" s="109"/>
      <c r="AL115" s="109"/>
      <c r="AM115" s="109"/>
      <c r="AN115" s="109"/>
      <c r="AO115" s="109"/>
      <c r="AP115" s="109"/>
      <c r="AQ115" s="109"/>
      <c r="AR115" s="109"/>
      <c r="AS115" s="109"/>
      <c r="AT115" s="109"/>
      <c r="AU115" s="109"/>
      <c r="AV115" s="109"/>
      <c r="AW115" s="109"/>
      <c r="AX115" s="109"/>
      <c r="AY115" s="109"/>
      <c r="AZ115" s="109"/>
      <c r="BA115" s="109"/>
      <c r="BB115" s="109"/>
      <c r="BC115" s="109"/>
      <c r="BD115" s="109"/>
      <c r="BE115" s="109"/>
      <c r="BF115" s="109"/>
      <c r="BG115" s="109"/>
      <c r="BH115" s="109"/>
      <c r="BI115" s="109"/>
      <c r="BJ115" s="109"/>
      <c r="BK115" s="109"/>
      <c r="BL115" s="109"/>
      <c r="BM115" s="109"/>
      <c r="BN115" s="109"/>
      <c r="BO115" s="109"/>
      <c r="BP115" s="109"/>
      <c r="BQ115" s="109"/>
      <c r="BR115" s="109"/>
      <c r="BS115" s="109"/>
      <c r="BT115" s="109"/>
      <c r="BU115" s="109"/>
      <c r="BV115" s="109"/>
      <c r="BW115" s="109"/>
      <c r="BX115" s="109"/>
      <c r="BY115" s="109"/>
      <c r="BZ115" s="109"/>
      <c r="CA115" s="109"/>
      <c r="CB115" s="109"/>
      <c r="CC115" s="109"/>
      <c r="CD115" s="109"/>
      <c r="CE115" s="109"/>
      <c r="CF115" s="109"/>
      <c r="CG115" s="109"/>
      <c r="CH115" s="109"/>
      <c r="CI115" s="109"/>
      <c r="CJ115" s="109"/>
      <c r="CK115" s="109"/>
      <c r="CL115" s="109"/>
      <c r="CM115" s="109"/>
      <c r="CN115" s="109"/>
      <c r="CO115" s="109"/>
      <c r="CP115" s="109"/>
      <c r="CQ115" s="109"/>
      <c r="CR115" s="109"/>
      <c r="CS115" s="109"/>
      <c r="CT115" s="109"/>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AP158"/>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9" topLeftCell="B30" activePane="bottomRight" state="frozen"/>
      <selection pane="topLeft" activeCell="A1" activeCellId="0" sqref="A1"/>
      <selection pane="topRight" activeCell="B1" activeCellId="0" sqref="B1"/>
      <selection pane="bottomLeft" activeCell="A30" activeCellId="0" sqref="A30"/>
      <selection pane="bottomRight" activeCell="A1" activeCellId="0" sqref="A1"/>
    </sheetView>
  </sheetViews>
  <sheetFormatPr defaultColWidth="8.7109375" defaultRowHeight="13.5" zeroHeight="false" outlineLevelRow="1" outlineLevelCol="0"/>
  <cols>
    <col collapsed="false" customWidth="true" hidden="false" outlineLevel="0" max="1" min="1" style="1" width="46"/>
    <col collapsed="false" customWidth="true" hidden="false" outlineLevel="0" max="40" min="2" style="1" width="13"/>
    <col collapsed="false" customWidth="true" hidden="false" outlineLevel="0" max="41" min="41" style="1" width="3"/>
    <col collapsed="false" customWidth="true" hidden="false" outlineLevel="0" max="42" min="42" style="1" width="12"/>
  </cols>
  <sheetData>
    <row r="1" customFormat="false" ht="15" hidden="false" customHeight="true" outlineLevel="0" collapsed="false">
      <c r="A1" s="94" t="s">
        <v>350</v>
      </c>
    </row>
    <row r="2" customFormat="false" ht="15" hidden="false" customHeight="true" outlineLevel="0" collapsed="false">
      <c r="A2" s="72" t="s">
        <v>351</v>
      </c>
    </row>
    <row r="3" customFormat="false" ht="15" hidden="false" customHeight="true" outlineLevel="0" collapsed="false">
      <c r="A3" s="110"/>
      <c r="AP3" s="94" t="s">
        <v>352</v>
      </c>
    </row>
    <row r="4" customFormat="false" ht="19.5" hidden="false" customHeight="true" outlineLevel="0" collapsed="false">
      <c r="A4" s="94" t="s">
        <v>353</v>
      </c>
    </row>
    <row r="5" customFormat="false" ht="15" hidden="false" customHeight="true" outlineLevel="0" collapsed="false">
      <c r="A5" s="72" t="s">
        <v>354</v>
      </c>
    </row>
    <row r="6" customFormat="false" ht="15" hidden="false" customHeight="true" outlineLevel="0" collapsed="false">
      <c r="A6" s="111"/>
      <c r="B6" s="111" t="s">
        <v>355</v>
      </c>
      <c r="C6" s="111" t="s">
        <v>356</v>
      </c>
      <c r="D6" s="111" t="s">
        <v>357</v>
      </c>
      <c r="E6" s="111" t="s">
        <v>358</v>
      </c>
      <c r="F6" s="111" t="s">
        <v>359</v>
      </c>
      <c r="G6" s="111" t="s">
        <v>360</v>
      </c>
      <c r="AP6" s="112" t="s">
        <v>361</v>
      </c>
    </row>
    <row r="7" customFormat="false" ht="15" hidden="false" customHeight="true" outlineLevel="0" collapsed="false">
      <c r="A7" s="113" t="s">
        <v>362</v>
      </c>
    </row>
    <row r="8" customFormat="false" ht="15" hidden="false" customHeight="true" outlineLevel="0" collapsed="false">
      <c r="A8" s="110" t="s">
        <v>363</v>
      </c>
      <c r="B8" s="114" t="n">
        <f aca="false">SUM(Budget!$C$81:$N$81)</f>
        <v>647381.91</v>
      </c>
      <c r="C8" s="114" t="n">
        <f aca="false">SUM(Model!$B$261:$M$261)</f>
        <v>615805.64</v>
      </c>
      <c r="D8" s="114" t="n">
        <f aca="false">C8-B8</f>
        <v>-31576.27</v>
      </c>
      <c r="E8" s="114" t="n">
        <f aca="false">AM105</f>
        <v>440167.48</v>
      </c>
      <c r="F8" s="114" t="n">
        <f aca="false">AL105</f>
        <v>762430.64</v>
      </c>
      <c r="G8" s="114" t="n">
        <f aca="false">F8-E8</f>
        <v>322263.16</v>
      </c>
      <c r="AP8" s="115" t="s">
        <v>364</v>
      </c>
    </row>
    <row r="9" customFormat="false" ht="15" hidden="false" customHeight="true" outlineLevel="0" collapsed="false">
      <c r="A9" s="110" t="s">
        <v>365</v>
      </c>
      <c r="B9" s="114" t="n">
        <f aca="false">SUM(Budget!$C$112:$N$112)</f>
        <v>-1657836.78</v>
      </c>
      <c r="C9" s="114" t="n">
        <f aca="false">SUM(Model!$B$292:$M$292)</f>
        <v>-2370106.59333333</v>
      </c>
      <c r="D9" s="114" t="n">
        <f aca="false">C9-B9</f>
        <v>-712269.813333333</v>
      </c>
      <c r="E9" s="114" t="n">
        <f aca="false">AM136</f>
        <v>-1106262.18</v>
      </c>
      <c r="F9" s="114" t="n">
        <f aca="false">AL136</f>
        <v>-1672913.98</v>
      </c>
      <c r="G9" s="114" t="n">
        <f aca="false">F9-E9</f>
        <v>-566651.8</v>
      </c>
      <c r="AP9" s="115" t="s">
        <v>366</v>
      </c>
    </row>
    <row r="10" customFormat="false" ht="15" hidden="false" customHeight="true" outlineLevel="0" collapsed="false">
      <c r="A10" s="116" t="s">
        <v>138</v>
      </c>
      <c r="B10" s="117" t="n">
        <f aca="false">SUM(Budget!$C$114:$N$114)</f>
        <v>-1010454.87</v>
      </c>
      <c r="C10" s="117" t="n">
        <f aca="false">SUM(Model!$B$293:$M$293)</f>
        <v>-1754300.95333333</v>
      </c>
      <c r="D10" s="117" t="n">
        <f aca="false">C10-B10</f>
        <v>-743846.083333333</v>
      </c>
      <c r="E10" s="117" t="n">
        <f aca="false">AM138</f>
        <v>-666094.7</v>
      </c>
      <c r="F10" s="117" t="n">
        <f aca="false">AL138</f>
        <v>-858711.42</v>
      </c>
      <c r="G10" s="117" t="n">
        <f aca="false">F10-E10</f>
        <v>-192616.72</v>
      </c>
      <c r="AP10" s="115" t="s">
        <v>367</v>
      </c>
    </row>
    <row r="11" customFormat="false" ht="15" hidden="false" customHeight="true" outlineLevel="0" collapsed="false">
      <c r="A11" s="113" t="s">
        <v>368</v>
      </c>
    </row>
    <row r="12" customFormat="false" ht="15" hidden="false" customHeight="true" outlineLevel="0" collapsed="false">
      <c r="A12" s="110" t="s">
        <v>369</v>
      </c>
      <c r="B12" s="114" t="n">
        <f aca="false">SUM(Budget!$C$8:$N$11)</f>
        <v>5822291.95</v>
      </c>
      <c r="C12" s="114" t="n">
        <f aca="false">SUM(Model!$B$10:$M$11)</f>
        <v>6490077.19224828</v>
      </c>
      <c r="D12" s="114" t="n">
        <f aca="false">C12-B12</f>
        <v>667785.242248277</v>
      </c>
      <c r="E12" s="114" t="n">
        <f aca="false">SUM(AM32:AM35)</f>
        <v>3570603.48</v>
      </c>
      <c r="F12" s="114" t="n">
        <f aca="false">SUM(AL32:AL35)</f>
        <v>3694895.05</v>
      </c>
      <c r="G12" s="114" t="n">
        <f aca="false">F12-E12</f>
        <v>124291.57</v>
      </c>
      <c r="AP12" s="115" t="s">
        <v>370</v>
      </c>
    </row>
    <row r="13" customFormat="false" ht="15" hidden="false" customHeight="true" outlineLevel="0" collapsed="false">
      <c r="A13" s="110" t="s">
        <v>371</v>
      </c>
      <c r="B13" s="114" t="n">
        <f aca="false">SUM(Budget!$C$12:$N$12)+SUM(Budget!$C$14:$N$14)</f>
        <v>0</v>
      </c>
      <c r="C13" s="114" t="n">
        <f aca="false">SUM(Model!$B$57:$M$57)+SUM(Model!$B$104:$M$104)+SUM(Model!$B$197:$M$198)</f>
        <v>815272.825603775</v>
      </c>
      <c r="D13" s="114" t="n">
        <f aca="false">C13-B13</f>
        <v>815272.825603775</v>
      </c>
      <c r="E13" s="114" t="n">
        <f aca="false">AM36+AM38</f>
        <v>0</v>
      </c>
      <c r="F13" s="114" t="n">
        <f aca="false">AL36+AL38</f>
        <v>948676.539999999</v>
      </c>
      <c r="G13" s="114" t="n">
        <f aca="false">F13-E13</f>
        <v>948676.539999999</v>
      </c>
      <c r="AP13" s="115" t="s">
        <v>372</v>
      </c>
    </row>
    <row r="14" customFormat="false" ht="15" hidden="false" customHeight="true" outlineLevel="0" collapsed="false">
      <c r="A14" s="110" t="s">
        <v>373</v>
      </c>
      <c r="B14" s="114" t="n">
        <f aca="false">SUM(Budget!$C$15:$N$16)</f>
        <v>0</v>
      </c>
      <c r="C14" s="114" t="n">
        <f aca="false">SUM(Model!$B$196:$M$196)</f>
        <v>-1069700.04530973</v>
      </c>
      <c r="D14" s="114" t="n">
        <f aca="false">C14-B14</f>
        <v>-1069700.04530973</v>
      </c>
      <c r="E14" s="114" t="n">
        <f aca="false">AM39+AM40</f>
        <v>0</v>
      </c>
      <c r="F14" s="114" t="n">
        <f aca="false">AL39+AL40</f>
        <v>0</v>
      </c>
      <c r="G14" s="114" t="n">
        <f aca="false">F14-E14</f>
        <v>0</v>
      </c>
      <c r="AP14" s="115" t="s">
        <v>374</v>
      </c>
    </row>
    <row r="15" customFormat="false" ht="15" hidden="false" customHeight="true" outlineLevel="0" collapsed="false">
      <c r="A15" s="116" t="s">
        <v>61</v>
      </c>
      <c r="B15" s="117" t="n">
        <f aca="false">SUM(Budget!$C$17:$N$17)</f>
        <v>5822291.95</v>
      </c>
      <c r="C15" s="117" t="n">
        <f aca="false">SUM(Model!$B$199:$M$199)</f>
        <v>6235649.97254232</v>
      </c>
      <c r="D15" s="117" t="n">
        <f aca="false">C15-B15</f>
        <v>413358.022542323</v>
      </c>
      <c r="E15" s="117" t="n">
        <f aca="false">AM41</f>
        <v>3570603.48</v>
      </c>
      <c r="F15" s="117" t="n">
        <f aca="false">AL41</f>
        <v>4643571.59</v>
      </c>
      <c r="G15" s="117" t="n">
        <f aca="false">F15-E15</f>
        <v>1072968.11</v>
      </c>
      <c r="AP15" s="115" t="s">
        <v>375</v>
      </c>
    </row>
    <row r="16" customFormat="false" ht="15" hidden="false" customHeight="true" outlineLevel="0" collapsed="false">
      <c r="A16" s="110" t="s">
        <v>376</v>
      </c>
      <c r="B16" s="114" t="n">
        <f aca="false">SUM(Budget!$C$55:$N$55)</f>
        <v>-3863881.5</v>
      </c>
      <c r="C16" s="114" t="n">
        <f aca="false">SUM(Model!$B$236:$M$236)</f>
        <v>-4071730.31</v>
      </c>
      <c r="D16" s="114" t="n">
        <f aca="false">C16-B16</f>
        <v>-207848.81</v>
      </c>
      <c r="E16" s="114" t="n">
        <f aca="false">AM79</f>
        <v>-2574621.7</v>
      </c>
      <c r="F16" s="114" t="n">
        <f aca="false">AL79</f>
        <v>-2414322.82</v>
      </c>
      <c r="G16" s="114" t="n">
        <f aca="false">F16-E16</f>
        <v>160298.88</v>
      </c>
      <c r="AP16" s="115" t="s">
        <v>377</v>
      </c>
    </row>
    <row r="17" customFormat="false" ht="15" hidden="false" customHeight="true" outlineLevel="0" collapsed="false">
      <c r="A17" s="116" t="s">
        <v>98</v>
      </c>
      <c r="B17" s="117" t="n">
        <f aca="false">SUM(Budget!$C$57:$N$57)</f>
        <v>1958410.45</v>
      </c>
      <c r="C17" s="117" t="n">
        <f aca="false">SUM(Model!$B$237:$M$237)</f>
        <v>2163919.66254232</v>
      </c>
      <c r="D17" s="117" t="n">
        <f aca="false">C17-B17</f>
        <v>205509.212542323</v>
      </c>
      <c r="E17" s="117" t="n">
        <f aca="false">AM81</f>
        <v>995981.78</v>
      </c>
      <c r="F17" s="117" t="n">
        <f aca="false">AL81</f>
        <v>2229248.77</v>
      </c>
      <c r="G17" s="117" t="n">
        <f aca="false">F17-E17</f>
        <v>1233266.99</v>
      </c>
      <c r="AP17" s="115" t="s">
        <v>378</v>
      </c>
    </row>
    <row r="18" customFormat="false" ht="15" hidden="false" customHeight="true" outlineLevel="0" collapsed="false">
      <c r="A18" s="118" t="s">
        <v>379</v>
      </c>
      <c r="B18" s="119" t="n">
        <f aca="false">B10+B17</f>
        <v>947955.58</v>
      </c>
      <c r="C18" s="119" t="n">
        <f aca="false">SUM(Model!$B$302:$M$302)</f>
        <v>409618.70920899</v>
      </c>
      <c r="D18" s="119" t="n">
        <f aca="false">C18-B18</f>
        <v>-538336.87079101</v>
      </c>
      <c r="E18" s="119" t="n">
        <f aca="false">E10+E17</f>
        <v>329887.08</v>
      </c>
      <c r="F18" s="119" t="n">
        <f aca="false">AL141</f>
        <v>1370537.35</v>
      </c>
      <c r="G18" s="119" t="n">
        <f aca="false">F18-E18</f>
        <v>1040650.27</v>
      </c>
      <c r="AP18" s="115" t="s">
        <v>380</v>
      </c>
    </row>
    <row r="19" customFormat="false" ht="15" hidden="false" customHeight="true" outlineLevel="0" collapsed="false">
      <c r="A19" s="110" t="s">
        <v>381</v>
      </c>
      <c r="C19" s="114" t="n">
        <f aca="false">AL141</f>
        <v>1370537.35</v>
      </c>
    </row>
    <row r="20" customFormat="false" ht="15" hidden="false" customHeight="true" outlineLevel="0" collapsed="false">
      <c r="A20" s="110" t="s">
        <v>382</v>
      </c>
      <c r="C20" s="114" t="n">
        <f aca="false">SUM(Model!$B$259:$M$259)</f>
        <v>-299000</v>
      </c>
    </row>
    <row r="21" customFormat="false" ht="15" hidden="false" customHeight="true" outlineLevel="0" collapsed="false">
      <c r="A21" s="110" t="s">
        <v>383</v>
      </c>
      <c r="C21" s="114" t="n">
        <f aca="false">C18-C19-C20</f>
        <v>-661918.640791012</v>
      </c>
    </row>
    <row r="22" customFormat="false" ht="15" hidden="false" customHeight="true" outlineLevel="0" collapsed="false">
      <c r="A22" s="72" t="s">
        <v>384</v>
      </c>
    </row>
    <row r="23" customFormat="false" ht="15" hidden="false" customHeight="true" outlineLevel="0" collapsed="false">
      <c r="A23" s="110"/>
    </row>
    <row r="24" customFormat="false" ht="15" hidden="false" customHeight="true" outlineLevel="0" collapsed="false">
      <c r="A24" s="110"/>
    </row>
    <row r="25" customFormat="false" ht="15" hidden="false" customHeight="true" outlineLevel="0" collapsed="false">
      <c r="A25" s="110"/>
    </row>
    <row r="26" customFormat="false" ht="15" hidden="false" customHeight="true" outlineLevel="0" collapsed="false">
      <c r="A26" s="110"/>
    </row>
    <row r="27" customFormat="false" ht="15" hidden="false" customHeight="true" outlineLevel="0" collapsed="false">
      <c r="A27" s="120" t="s">
        <v>385</v>
      </c>
      <c r="B27" s="121" t="n">
        <f aca="false">SUMPRODUCT(--(Actuals!$C$21:$N$21&lt;&gt;""))</f>
        <v>8</v>
      </c>
    </row>
    <row r="28" customFormat="false" ht="15" hidden="false" customHeight="true" outlineLevel="0" collapsed="false">
      <c r="B28" s="122" t="n">
        <v>46023</v>
      </c>
      <c r="C28" s="122"/>
      <c r="D28" s="122"/>
      <c r="E28" s="122" t="n">
        <v>46054</v>
      </c>
      <c r="F28" s="122"/>
      <c r="G28" s="122"/>
      <c r="H28" s="122" t="n">
        <v>46082</v>
      </c>
      <c r="I28" s="122"/>
      <c r="J28" s="122"/>
      <c r="K28" s="122" t="n">
        <v>46113</v>
      </c>
      <c r="L28" s="122"/>
      <c r="M28" s="122"/>
      <c r="N28" s="122" t="n">
        <v>46143</v>
      </c>
      <c r="O28" s="122"/>
      <c r="P28" s="122"/>
      <c r="Q28" s="122" t="n">
        <v>46174</v>
      </c>
      <c r="R28" s="122"/>
      <c r="S28" s="122"/>
      <c r="T28" s="122" t="n">
        <v>46204</v>
      </c>
      <c r="U28" s="122"/>
      <c r="V28" s="122"/>
      <c r="W28" s="122" t="n">
        <v>46235</v>
      </c>
      <c r="X28" s="122"/>
      <c r="Y28" s="122"/>
      <c r="Z28" s="122" t="n">
        <v>46266</v>
      </c>
      <c r="AA28" s="122"/>
      <c r="AB28" s="122"/>
      <c r="AC28" s="122" t="n">
        <v>46296</v>
      </c>
      <c r="AD28" s="122"/>
      <c r="AE28" s="122"/>
      <c r="AF28" s="122" t="n">
        <v>46327</v>
      </c>
      <c r="AG28" s="122"/>
      <c r="AH28" s="122"/>
      <c r="AI28" s="122" t="n">
        <v>46357</v>
      </c>
      <c r="AJ28" s="122"/>
      <c r="AK28" s="122"/>
      <c r="AL28" s="111" t="s">
        <v>386</v>
      </c>
      <c r="AM28" s="111"/>
      <c r="AN28" s="111"/>
    </row>
    <row r="29" customFormat="false" ht="15" hidden="false" customHeight="true" outlineLevel="0" collapsed="false">
      <c r="A29" s="111" t="s">
        <v>387</v>
      </c>
      <c r="B29" s="111" t="s">
        <v>388</v>
      </c>
      <c r="C29" s="111" t="s">
        <v>389</v>
      </c>
      <c r="D29" s="111" t="s">
        <v>357</v>
      </c>
      <c r="E29" s="111" t="s">
        <v>388</v>
      </c>
      <c r="F29" s="111" t="s">
        <v>389</v>
      </c>
      <c r="G29" s="111" t="s">
        <v>357</v>
      </c>
      <c r="H29" s="111" t="s">
        <v>388</v>
      </c>
      <c r="I29" s="111" t="s">
        <v>389</v>
      </c>
      <c r="J29" s="111" t="s">
        <v>357</v>
      </c>
      <c r="K29" s="111" t="s">
        <v>388</v>
      </c>
      <c r="L29" s="111" t="s">
        <v>389</v>
      </c>
      <c r="M29" s="111" t="s">
        <v>357</v>
      </c>
      <c r="N29" s="111" t="s">
        <v>388</v>
      </c>
      <c r="O29" s="111" t="s">
        <v>389</v>
      </c>
      <c r="P29" s="111" t="s">
        <v>357</v>
      </c>
      <c r="Q29" s="111" t="s">
        <v>388</v>
      </c>
      <c r="R29" s="111" t="s">
        <v>389</v>
      </c>
      <c r="S29" s="111" t="s">
        <v>357</v>
      </c>
      <c r="T29" s="111" t="s">
        <v>388</v>
      </c>
      <c r="U29" s="111" t="s">
        <v>389</v>
      </c>
      <c r="V29" s="111" t="s">
        <v>357</v>
      </c>
      <c r="W29" s="111" t="s">
        <v>388</v>
      </c>
      <c r="X29" s="111" t="s">
        <v>389</v>
      </c>
      <c r="Y29" s="111" t="s">
        <v>357</v>
      </c>
      <c r="Z29" s="111" t="s">
        <v>388</v>
      </c>
      <c r="AA29" s="111" t="s">
        <v>389</v>
      </c>
      <c r="AB29" s="111" t="s">
        <v>357</v>
      </c>
      <c r="AC29" s="111" t="s">
        <v>388</v>
      </c>
      <c r="AD29" s="111" t="s">
        <v>389</v>
      </c>
      <c r="AE29" s="111" t="s">
        <v>357</v>
      </c>
      <c r="AF29" s="111" t="s">
        <v>388</v>
      </c>
      <c r="AG29" s="111" t="s">
        <v>389</v>
      </c>
      <c r="AH29" s="111" t="s">
        <v>357</v>
      </c>
      <c r="AI29" s="111" t="s">
        <v>388</v>
      </c>
      <c r="AJ29" s="111" t="s">
        <v>389</v>
      </c>
      <c r="AK29" s="111" t="s">
        <v>357</v>
      </c>
      <c r="AL29" s="111" t="s">
        <v>388</v>
      </c>
      <c r="AM29" s="111" t="s">
        <v>389</v>
      </c>
      <c r="AN29" s="111" t="s">
        <v>357</v>
      </c>
      <c r="AP29" s="112" t="s">
        <v>390</v>
      </c>
    </row>
    <row r="31" customFormat="false" ht="15" hidden="false" customHeight="true" outlineLevel="0" collapsed="false">
      <c r="A31" s="113" t="s">
        <v>391</v>
      </c>
    </row>
    <row r="32" customFormat="false" ht="15" hidden="false" customHeight="true" outlineLevel="0" collapsed="false">
      <c r="A32" s="110" t="s">
        <v>4</v>
      </c>
      <c r="B32" s="114" t="n">
        <f aca="false">IF(OR(1&gt;$B$27,ISBLANK(Actuals!C8)),"",Actuals!C8)</f>
        <v>116367.35</v>
      </c>
      <c r="C32" s="114" t="n">
        <f aca="false">Budget!C8</f>
        <v>189686.63</v>
      </c>
      <c r="D32" s="114" t="n">
        <f aca="false">IF(B32="","",B32-C32)</f>
        <v>-73319.28</v>
      </c>
      <c r="E32" s="114" t="n">
        <f aca="false">IF(OR(2&gt;$B$27,ISBLANK(Actuals!D8)),"",Actuals!D8)</f>
        <v>138804.22</v>
      </c>
      <c r="F32" s="114" t="n">
        <f aca="false">Budget!D8</f>
        <v>189686.63</v>
      </c>
      <c r="G32" s="114" t="n">
        <f aca="false">IF(E32="","",E32-F32)</f>
        <v>-50882.41</v>
      </c>
      <c r="H32" s="114" t="n">
        <f aca="false">IF(OR(3&gt;$B$27,ISBLANK(Actuals!E8)),"",Actuals!E8)</f>
        <v>219366.88</v>
      </c>
      <c r="I32" s="114" t="n">
        <f aca="false">Budget!E8</f>
        <v>189686.63</v>
      </c>
      <c r="J32" s="114" t="n">
        <f aca="false">IF(H32="","",H32-I32)</f>
        <v>29680.25</v>
      </c>
      <c r="K32" s="114" t="n">
        <f aca="false">IF(OR(4&gt;$B$27,ISBLANK(Actuals!F8)),"",Actuals!F8)</f>
        <v>212079.14</v>
      </c>
      <c r="L32" s="114" t="n">
        <f aca="false">Budget!F8</f>
        <v>189686.63</v>
      </c>
      <c r="M32" s="114" t="n">
        <f aca="false">IF(K32="","",K32-L32)</f>
        <v>22392.51</v>
      </c>
      <c r="N32" s="114" t="n">
        <f aca="false">IF(OR(5&gt;$B$27,ISBLANK(Actuals!G8)),"",Actuals!G8)</f>
        <v>267726.14</v>
      </c>
      <c r="O32" s="114" t="n">
        <f aca="false">Budget!G8</f>
        <v>293206.86</v>
      </c>
      <c r="P32" s="114" t="n">
        <f aca="false">IF(N32="","",N32-O32)</f>
        <v>-25480.72</v>
      </c>
      <c r="Q32" s="114" t="n">
        <f aca="false">IF(OR(6&gt;$B$27,ISBLANK(Actuals!H8)),"",Actuals!H8)</f>
        <v>374773.89</v>
      </c>
      <c r="R32" s="114" t="n">
        <f aca="false">Budget!H8</f>
        <v>293206.86</v>
      </c>
      <c r="S32" s="114" t="n">
        <f aca="false">IF(Q32="","",Q32-R32)</f>
        <v>81567.03</v>
      </c>
      <c r="T32" s="114" t="n">
        <f aca="false">IF(OR(7&gt;$B$27,ISBLANK(Actuals!I8)),"",Actuals!I8)</f>
        <v>344954.34</v>
      </c>
      <c r="U32" s="114" t="n">
        <f aca="false">Budget!I8</f>
        <v>293206.86</v>
      </c>
      <c r="V32" s="114" t="n">
        <f aca="false">IF(T32="","",T32-U32)</f>
        <v>51747.48</v>
      </c>
      <c r="W32" s="114" t="n">
        <f aca="false">IF(OR(8&gt;$B$27,ISBLANK(Actuals!J8)),"",Actuals!J8)</f>
        <v>470819.03</v>
      </c>
      <c r="X32" s="114" t="n">
        <f aca="false">Budget!J8</f>
        <v>293206.86</v>
      </c>
      <c r="Y32" s="114" t="n">
        <f aca="false">IF(W32="","",W32-X32)</f>
        <v>177612.17</v>
      </c>
      <c r="Z32" s="114" t="str">
        <f aca="false">IF(OR(9&gt;$B$27,ISBLANK(Actuals!K8)),"",Actuals!K8)</f>
        <v/>
      </c>
      <c r="AA32" s="114" t="n">
        <f aca="false">Budget!K8</f>
        <v>293206.86</v>
      </c>
      <c r="AB32" s="114" t="str">
        <f aca="false">IF(Z32="","",Z32-AA32)</f>
        <v/>
      </c>
      <c r="AC32" s="114" t="str">
        <f aca="false">IF(OR(10&gt;$B$27,ISBLANK(Actuals!L8)),"",Actuals!L8)</f>
        <v/>
      </c>
      <c r="AD32" s="114" t="n">
        <f aca="false">Budget!L8</f>
        <v>293206.86</v>
      </c>
      <c r="AE32" s="114" t="str">
        <f aca="false">IF(AC32="","",AC32-AD32)</f>
        <v/>
      </c>
      <c r="AF32" s="114" t="str">
        <f aca="false">IF(OR(11&gt;$B$27,ISBLANK(Actuals!M8)),"",Actuals!M8)</f>
        <v/>
      </c>
      <c r="AG32" s="114" t="n">
        <f aca="false">Budget!M8</f>
        <v>293206.86</v>
      </c>
      <c r="AH32" s="114" t="str">
        <f aca="false">IF(AF32="","",AF32-AG32)</f>
        <v/>
      </c>
      <c r="AI32" s="114" t="str">
        <f aca="false">IF(OR(12&gt;$B$27,ISBLANK(Actuals!N8)),"",Actuals!N8)</f>
        <v/>
      </c>
      <c r="AJ32" s="114" t="n">
        <f aca="false">Budget!N8</f>
        <v>260706.85</v>
      </c>
      <c r="AK32" s="114" t="str">
        <f aca="false">IF(AI32="","",AI32-AJ32)</f>
        <v/>
      </c>
      <c r="AL32" s="117" t="n">
        <f aca="false">SUM(Actuals!$C8:INDEX(Actuals!$C8:$N8,$B$27))</f>
        <v>2144890.99</v>
      </c>
      <c r="AM32" s="117" t="n">
        <f aca="false">SUM(Budget!$C8:INDEX(Budget!$C8:$N8,$B$27))</f>
        <v>1931573.96</v>
      </c>
      <c r="AN32" s="117" t="n">
        <f aca="false">AL32-AM32</f>
        <v>213317.03</v>
      </c>
      <c r="AP32" s="115" t="s">
        <v>392</v>
      </c>
    </row>
    <row r="33" customFormat="false" ht="15" hidden="false" customHeight="true" outlineLevel="0" collapsed="false">
      <c r="A33" s="110" t="s">
        <v>343</v>
      </c>
      <c r="B33" s="114" t="n">
        <f aca="false">IF(OR(1&gt;$B$27,ISBLANK(Actuals!C9)),"",Actuals!C9)</f>
        <v>0</v>
      </c>
      <c r="C33" s="114" t="n">
        <f aca="false">Budget!C9</f>
        <v>0</v>
      </c>
      <c r="D33" s="114" t="n">
        <f aca="false">IF(B33="","",B33-C33)</f>
        <v>0</v>
      </c>
      <c r="E33" s="114" t="n">
        <f aca="false">IF(OR(2&gt;$B$27,ISBLANK(Actuals!D9)),"",Actuals!D9)</f>
        <v>0</v>
      </c>
      <c r="F33" s="114" t="n">
        <f aca="false">Budget!D9</f>
        <v>0</v>
      </c>
      <c r="G33" s="114" t="n">
        <f aca="false">IF(E33="","",E33-F33)</f>
        <v>0</v>
      </c>
      <c r="H33" s="114" t="n">
        <f aca="false">IF(OR(3&gt;$B$27,ISBLANK(Actuals!E9)),"",Actuals!E9)</f>
        <v>0</v>
      </c>
      <c r="I33" s="114" t="n">
        <f aca="false">Budget!E9</f>
        <v>0</v>
      </c>
      <c r="J33" s="114" t="n">
        <f aca="false">IF(H33="","",H33-I33)</f>
        <v>0</v>
      </c>
      <c r="K33" s="114" t="n">
        <f aca="false">IF(OR(4&gt;$B$27,ISBLANK(Actuals!F9)),"",Actuals!F9)</f>
        <v>0</v>
      </c>
      <c r="L33" s="114" t="n">
        <f aca="false">Budget!F9</f>
        <v>0</v>
      </c>
      <c r="M33" s="114" t="n">
        <f aca="false">IF(K33="","",K33-L33)</f>
        <v>0</v>
      </c>
      <c r="N33" s="114" t="n">
        <f aca="false">IF(OR(5&gt;$B$27,ISBLANK(Actuals!G9)),"",Actuals!G9)</f>
        <v>0</v>
      </c>
      <c r="O33" s="114" t="n">
        <f aca="false">Budget!G9</f>
        <v>0</v>
      </c>
      <c r="P33" s="114" t="n">
        <f aca="false">IF(N33="","",N33-O33)</f>
        <v>0</v>
      </c>
      <c r="Q33" s="114" t="n">
        <f aca="false">IF(OR(6&gt;$B$27,ISBLANK(Actuals!H9)),"",Actuals!H9)</f>
        <v>0</v>
      </c>
      <c r="R33" s="114" t="n">
        <f aca="false">Budget!H9</f>
        <v>0</v>
      </c>
      <c r="S33" s="114" t="n">
        <f aca="false">IF(Q33="","",Q33-R33)</f>
        <v>0</v>
      </c>
      <c r="T33" s="114" t="n">
        <f aca="false">IF(OR(7&gt;$B$27,ISBLANK(Actuals!I9)),"",Actuals!I9)</f>
        <v>0</v>
      </c>
      <c r="U33" s="114" t="n">
        <f aca="false">Budget!I9</f>
        <v>0</v>
      </c>
      <c r="V33" s="114" t="n">
        <f aca="false">IF(T33="","",T33-U33)</f>
        <v>0</v>
      </c>
      <c r="W33" s="114" t="n">
        <f aca="false">IF(OR(8&gt;$B$27,ISBLANK(Actuals!J9)),"",Actuals!J9)</f>
        <v>0</v>
      </c>
      <c r="X33" s="114" t="n">
        <f aca="false">Budget!J9</f>
        <v>0</v>
      </c>
      <c r="Y33" s="114" t="n">
        <f aca="false">IF(W33="","",W33-X33)</f>
        <v>0</v>
      </c>
      <c r="Z33" s="114" t="str">
        <f aca="false">IF(OR(9&gt;$B$27,ISBLANK(Actuals!K9)),"",Actuals!K9)</f>
        <v/>
      </c>
      <c r="AA33" s="114" t="n">
        <f aca="false">Budget!K9</f>
        <v>0</v>
      </c>
      <c r="AB33" s="114" t="str">
        <f aca="false">IF(Z33="","",Z33-AA33)</f>
        <v/>
      </c>
      <c r="AC33" s="114" t="str">
        <f aca="false">IF(OR(10&gt;$B$27,ISBLANK(Actuals!L9)),"",Actuals!L9)</f>
        <v/>
      </c>
      <c r="AD33" s="114" t="n">
        <f aca="false">Budget!L9</f>
        <v>0</v>
      </c>
      <c r="AE33" s="114" t="str">
        <f aca="false">IF(AC33="","",AC33-AD33)</f>
        <v/>
      </c>
      <c r="AF33" s="114" t="str">
        <f aca="false">IF(OR(11&gt;$B$27,ISBLANK(Actuals!M9)),"",Actuals!M9)</f>
        <v/>
      </c>
      <c r="AG33" s="114" t="n">
        <f aca="false">Budget!M9</f>
        <v>0</v>
      </c>
      <c r="AH33" s="114" t="str">
        <f aca="false">IF(AF33="","",AF33-AG33)</f>
        <v/>
      </c>
      <c r="AI33" s="114" t="str">
        <f aca="false">IF(OR(12&gt;$B$27,ISBLANK(Actuals!N9)),"",Actuals!N9)</f>
        <v/>
      </c>
      <c r="AJ33" s="114" t="n">
        <f aca="false">Budget!N9</f>
        <v>0</v>
      </c>
      <c r="AK33" s="114" t="str">
        <f aca="false">IF(AI33="","",AI33-AJ33)</f>
        <v/>
      </c>
      <c r="AL33" s="117" t="n">
        <f aca="false">SUM(Actuals!$C9:INDEX(Actuals!$C9:$N9,$B$27))</f>
        <v>0</v>
      </c>
      <c r="AM33" s="117" t="n">
        <f aca="false">SUM(Budget!$C9:INDEX(Budget!$C9:$N9,$B$27))</f>
        <v>0</v>
      </c>
      <c r="AN33" s="117" t="n">
        <f aca="false">AL33-AM33</f>
        <v>0</v>
      </c>
    </row>
    <row r="34" customFormat="false" ht="15" hidden="false" customHeight="true" outlineLevel="0" collapsed="false">
      <c r="A34" s="110" t="s">
        <v>5</v>
      </c>
      <c r="B34" s="114" t="n">
        <f aca="false">IF(OR(1&gt;$B$27,ISBLANK(Actuals!C10)),"",Actuals!C10)</f>
        <v>95370.25</v>
      </c>
      <c r="C34" s="114" t="n">
        <f aca="false">Budget!C10</f>
        <v>134573.26</v>
      </c>
      <c r="D34" s="114" t="n">
        <f aca="false">IF(B34="","",B34-C34)</f>
        <v>-39203.01</v>
      </c>
      <c r="E34" s="114" t="n">
        <f aca="false">IF(OR(2&gt;$B$27,ISBLANK(Actuals!D10)),"",Actuals!D10)</f>
        <v>173282.89</v>
      </c>
      <c r="F34" s="114" t="n">
        <f aca="false">Budget!D10</f>
        <v>149817.92</v>
      </c>
      <c r="G34" s="114" t="n">
        <f aca="false">IF(E34="","",E34-F34)</f>
        <v>23464.97</v>
      </c>
      <c r="H34" s="114" t="n">
        <f aca="false">IF(OR(3&gt;$B$27,ISBLANK(Actuals!E10)),"",Actuals!E10)</f>
        <v>50438.85</v>
      </c>
      <c r="I34" s="114" t="n">
        <f aca="false">Budget!E10</f>
        <v>164993.33</v>
      </c>
      <c r="J34" s="114" t="n">
        <f aca="false">IF(H34="","",H34-I34)</f>
        <v>-114554.48</v>
      </c>
      <c r="K34" s="114" t="n">
        <f aca="false">IF(OR(4&gt;$B$27,ISBLANK(Actuals!F10)),"",Actuals!F10)</f>
        <v>167518.85</v>
      </c>
      <c r="L34" s="114" t="n">
        <f aca="false">Budget!F10</f>
        <v>179495.73</v>
      </c>
      <c r="M34" s="114" t="n">
        <f aca="false">IF(K34="","",K34-L34)</f>
        <v>-11976.88</v>
      </c>
      <c r="N34" s="114" t="n">
        <f aca="false">IF(OR(5&gt;$B$27,ISBLANK(Actuals!G10)),"",Actuals!G10)</f>
        <v>209057.26</v>
      </c>
      <c r="O34" s="114" t="n">
        <f aca="false">Budget!G10</f>
        <v>230135.69</v>
      </c>
      <c r="P34" s="114" t="n">
        <f aca="false">IF(N34="","",N34-O34)</f>
        <v>-21078.43</v>
      </c>
      <c r="Q34" s="114" t="n">
        <f aca="false">IF(OR(6&gt;$B$27,ISBLANK(Actuals!H10)),"",Actuals!H10)</f>
        <v>292966.36</v>
      </c>
      <c r="R34" s="114" t="n">
        <f aca="false">Budget!H10</f>
        <v>246811.27</v>
      </c>
      <c r="S34" s="114" t="n">
        <f aca="false">IF(Q34="","",Q34-R34)</f>
        <v>46155.09</v>
      </c>
      <c r="T34" s="114" t="n">
        <f aca="false">IF(OR(7&gt;$B$27,ISBLANK(Actuals!I10)),"",Actuals!I10)</f>
        <v>271584.24</v>
      </c>
      <c r="U34" s="114" t="n">
        <f aca="false">Budget!I10</f>
        <v>261045.09</v>
      </c>
      <c r="V34" s="114" t="n">
        <f aca="false">IF(T34="","",T34-U34)</f>
        <v>10539.15</v>
      </c>
      <c r="W34" s="114" t="n">
        <f aca="false">IF(OR(8&gt;$B$27,ISBLANK(Actuals!J10)),"",Actuals!J10)</f>
        <v>289785.36</v>
      </c>
      <c r="X34" s="114" t="n">
        <f aca="false">Budget!J10</f>
        <v>272157.23</v>
      </c>
      <c r="Y34" s="114" t="n">
        <f aca="false">IF(W34="","",W34-X34)</f>
        <v>17628.13</v>
      </c>
      <c r="Z34" s="114" t="str">
        <f aca="false">IF(OR(9&gt;$B$27,ISBLANK(Actuals!K10)),"",Actuals!K10)</f>
        <v/>
      </c>
      <c r="AA34" s="114" t="n">
        <f aca="false">Budget!K10</f>
        <v>279616.59</v>
      </c>
      <c r="AB34" s="114" t="str">
        <f aca="false">IF(Z34="","",Z34-AA34)</f>
        <v/>
      </c>
      <c r="AC34" s="114" t="str">
        <f aca="false">IF(OR(10&gt;$B$27,ISBLANK(Actuals!L10)),"",Actuals!L10)</f>
        <v/>
      </c>
      <c r="AD34" s="114" t="n">
        <f aca="false">Budget!L10</f>
        <v>283097.52</v>
      </c>
      <c r="AE34" s="114" t="str">
        <f aca="false">IF(AC34="","",AC34-AD34)</f>
        <v/>
      </c>
      <c r="AF34" s="114" t="str">
        <f aca="false">IF(OR(11&gt;$B$27,ISBLANK(Actuals!M10)),"",Actuals!M10)</f>
        <v/>
      </c>
      <c r="AG34" s="114" t="n">
        <f aca="false">Budget!M10</f>
        <v>282514.62</v>
      </c>
      <c r="AH34" s="114" t="str">
        <f aca="false">IF(AF34="","",AF34-AG34)</f>
        <v/>
      </c>
      <c r="AI34" s="114" t="str">
        <f aca="false">IF(OR(12&gt;$B$27,ISBLANK(Actuals!N10)),"",Actuals!N10)</f>
        <v/>
      </c>
      <c r="AJ34" s="114" t="n">
        <f aca="false">Budget!N10</f>
        <v>266132.31</v>
      </c>
      <c r="AK34" s="114" t="str">
        <f aca="false">IF(AI34="","",AI34-AJ34)</f>
        <v/>
      </c>
      <c r="AL34" s="117" t="n">
        <f aca="false">SUM(Actuals!$C10:INDEX(Actuals!$C10:$N10,$B$27))</f>
        <v>1550004.06</v>
      </c>
      <c r="AM34" s="117" t="n">
        <f aca="false">SUM(Budget!$C10:INDEX(Budget!$C10:$N10,$B$27))</f>
        <v>1639029.52</v>
      </c>
      <c r="AN34" s="117" t="n">
        <f aca="false">AL34-AM34</f>
        <v>-89025.46</v>
      </c>
      <c r="AP34" s="115" t="s">
        <v>393</v>
      </c>
    </row>
    <row r="35" customFormat="false" ht="15" hidden="false" customHeight="true" outlineLevel="0" collapsed="false">
      <c r="A35" s="110" t="s">
        <v>344</v>
      </c>
      <c r="B35" s="114" t="n">
        <f aca="false">IF(OR(1&gt;$B$27,ISBLANK(Actuals!C11)),"",Actuals!C11)</f>
        <v>0</v>
      </c>
      <c r="C35" s="114" t="n">
        <f aca="false">Budget!C11</f>
        <v>0</v>
      </c>
      <c r="D35" s="114" t="n">
        <f aca="false">IF(B35="","",B35-C35)</f>
        <v>0</v>
      </c>
      <c r="E35" s="114" t="n">
        <f aca="false">IF(OR(2&gt;$B$27,ISBLANK(Actuals!D11)),"",Actuals!D11)</f>
        <v>0</v>
      </c>
      <c r="F35" s="114" t="n">
        <f aca="false">Budget!D11</f>
        <v>0</v>
      </c>
      <c r="G35" s="114" t="n">
        <f aca="false">IF(E35="","",E35-F35)</f>
        <v>0</v>
      </c>
      <c r="H35" s="114" t="n">
        <f aca="false">IF(OR(3&gt;$B$27,ISBLANK(Actuals!E11)),"",Actuals!E11)</f>
        <v>0</v>
      </c>
      <c r="I35" s="114" t="n">
        <f aca="false">Budget!E11</f>
        <v>0</v>
      </c>
      <c r="J35" s="114" t="n">
        <f aca="false">IF(H35="","",H35-I35)</f>
        <v>0</v>
      </c>
      <c r="K35" s="114" t="n">
        <f aca="false">IF(OR(4&gt;$B$27,ISBLANK(Actuals!F11)),"",Actuals!F11)</f>
        <v>0</v>
      </c>
      <c r="L35" s="114" t="n">
        <f aca="false">Budget!F11</f>
        <v>0</v>
      </c>
      <c r="M35" s="114" t="n">
        <f aca="false">IF(K35="","",K35-L35)</f>
        <v>0</v>
      </c>
      <c r="N35" s="114" t="n">
        <f aca="false">IF(OR(5&gt;$B$27,ISBLANK(Actuals!G11)),"",Actuals!G11)</f>
        <v>0</v>
      </c>
      <c r="O35" s="114" t="n">
        <f aca="false">Budget!G11</f>
        <v>0</v>
      </c>
      <c r="P35" s="114" t="n">
        <f aca="false">IF(N35="","",N35-O35)</f>
        <v>0</v>
      </c>
      <c r="Q35" s="114" t="n">
        <f aca="false">IF(OR(6&gt;$B$27,ISBLANK(Actuals!H11)),"",Actuals!H11)</f>
        <v>0</v>
      </c>
      <c r="R35" s="114" t="n">
        <f aca="false">Budget!H11</f>
        <v>0</v>
      </c>
      <c r="S35" s="114" t="n">
        <f aca="false">IF(Q35="","",Q35-R35)</f>
        <v>0</v>
      </c>
      <c r="T35" s="114" t="n">
        <f aca="false">IF(OR(7&gt;$B$27,ISBLANK(Actuals!I11)),"",Actuals!I11)</f>
        <v>0</v>
      </c>
      <c r="U35" s="114" t="n">
        <f aca="false">Budget!I11</f>
        <v>0</v>
      </c>
      <c r="V35" s="114" t="n">
        <f aca="false">IF(T35="","",T35-U35)</f>
        <v>0</v>
      </c>
      <c r="W35" s="114" t="n">
        <f aca="false">IF(OR(8&gt;$B$27,ISBLANK(Actuals!J11)),"",Actuals!J11)</f>
        <v>0</v>
      </c>
      <c r="X35" s="114" t="n">
        <f aca="false">Budget!J11</f>
        <v>0</v>
      </c>
      <c r="Y35" s="114" t="n">
        <f aca="false">IF(W35="","",W35-X35)</f>
        <v>0</v>
      </c>
      <c r="Z35" s="114" t="str">
        <f aca="false">IF(OR(9&gt;$B$27,ISBLANK(Actuals!K11)),"",Actuals!K11)</f>
        <v/>
      </c>
      <c r="AA35" s="114" t="n">
        <f aca="false">Budget!K11</f>
        <v>0</v>
      </c>
      <c r="AB35" s="114" t="str">
        <f aca="false">IF(Z35="","",Z35-AA35)</f>
        <v/>
      </c>
      <c r="AC35" s="114" t="str">
        <f aca="false">IF(OR(10&gt;$B$27,ISBLANK(Actuals!L11)),"",Actuals!L11)</f>
        <v/>
      </c>
      <c r="AD35" s="114" t="n">
        <f aca="false">Budget!L11</f>
        <v>0</v>
      </c>
      <c r="AE35" s="114" t="str">
        <f aca="false">IF(AC35="","",AC35-AD35)</f>
        <v/>
      </c>
      <c r="AF35" s="114" t="str">
        <f aca="false">IF(OR(11&gt;$B$27,ISBLANK(Actuals!M11)),"",Actuals!M11)</f>
        <v/>
      </c>
      <c r="AG35" s="114" t="n">
        <f aca="false">Budget!M11</f>
        <v>0</v>
      </c>
      <c r="AH35" s="114" t="str">
        <f aca="false">IF(AF35="","",AF35-AG35)</f>
        <v/>
      </c>
      <c r="AI35" s="114" t="str">
        <f aca="false">IF(OR(12&gt;$B$27,ISBLANK(Actuals!N11)),"",Actuals!N11)</f>
        <v/>
      </c>
      <c r="AJ35" s="114" t="n">
        <f aca="false">Budget!N11</f>
        <v>0</v>
      </c>
      <c r="AK35" s="114" t="str">
        <f aca="false">IF(AI35="","",AI35-AJ35)</f>
        <v/>
      </c>
      <c r="AL35" s="117" t="n">
        <f aca="false">SUM(Actuals!$C11:INDEX(Actuals!$C11:$N11,$B$27))</f>
        <v>0</v>
      </c>
      <c r="AM35" s="117" t="n">
        <f aca="false">SUM(Budget!$C11:INDEX(Budget!$C11:$N11,$B$27))</f>
        <v>0</v>
      </c>
      <c r="AN35" s="117" t="n">
        <f aca="false">AL35-AM35</f>
        <v>0</v>
      </c>
    </row>
    <row r="36" customFormat="false" ht="15" hidden="false" customHeight="true" outlineLevel="0" collapsed="false">
      <c r="A36" s="110" t="s">
        <v>6</v>
      </c>
      <c r="B36" s="114" t="n">
        <f aca="false">IF(OR(1&gt;$B$27,ISBLANK(Actuals!C12)),"",Actuals!C12)</f>
        <v>1242053.19</v>
      </c>
      <c r="C36" s="114" t="n">
        <f aca="false">Budget!C12</f>
        <v>2653995.85</v>
      </c>
      <c r="D36" s="114" t="n">
        <f aca="false">IF(B36="","",B36-C36)</f>
        <v>-1411942.66</v>
      </c>
      <c r="E36" s="114" t="n">
        <f aca="false">IF(OR(2&gt;$B$27,ISBLANK(Actuals!D12)),"",Actuals!D12)</f>
        <v>2710434.48</v>
      </c>
      <c r="F36" s="114" t="n">
        <f aca="false">Budget!D12</f>
        <v>2933528.7</v>
      </c>
      <c r="G36" s="114" t="n">
        <f aca="false">IF(E36="","",E36-F36)</f>
        <v>-223094.22</v>
      </c>
      <c r="H36" s="114" t="n">
        <f aca="false">IF(OR(3&gt;$B$27,ISBLANK(Actuals!E12)),"",Actuals!E12)</f>
        <v>2402410.43</v>
      </c>
      <c r="I36" s="114" t="n">
        <f aca="false">Budget!E12</f>
        <v>3209528.94</v>
      </c>
      <c r="J36" s="114" t="n">
        <f aca="false">IF(H36="","",H36-I36)</f>
        <v>-807118.51</v>
      </c>
      <c r="K36" s="114" t="n">
        <f aca="false">IF(OR(4&gt;$B$27,ISBLANK(Actuals!F12)),"",Actuals!F12)</f>
        <v>3312759.91</v>
      </c>
      <c r="L36" s="114" t="n">
        <f aca="false">Budget!F12</f>
        <v>3471205.82</v>
      </c>
      <c r="M36" s="114" t="n">
        <f aca="false">IF(K36="","",K36-L36)</f>
        <v>-158445.91</v>
      </c>
      <c r="N36" s="114" t="n">
        <f aca="false">IF(OR(5&gt;$B$27,ISBLANK(Actuals!G12)),"",Actuals!G12)</f>
        <v>3939278.23</v>
      </c>
      <c r="O36" s="114" t="n">
        <f aca="false">Budget!G12</f>
        <v>4411909.08</v>
      </c>
      <c r="P36" s="114" t="n">
        <f aca="false">IF(N36="","",N36-O36)</f>
        <v>-472630.85</v>
      </c>
      <c r="Q36" s="114" t="n">
        <f aca="false">IF(OR(6&gt;$B$27,ISBLANK(Actuals!H12)),"",Actuals!H12)</f>
        <v>5584522.73</v>
      </c>
      <c r="R36" s="114" t="n">
        <f aca="false">Budget!H12</f>
        <v>4713320.79</v>
      </c>
      <c r="S36" s="114" t="n">
        <f aca="false">IF(Q36="","",Q36-R36)</f>
        <v>871201.94</v>
      </c>
      <c r="T36" s="114" t="n">
        <f aca="false">IF(OR(7&gt;$B$27,ISBLANK(Actuals!I12)),"",Actuals!I12)</f>
        <v>6409057.07</v>
      </c>
      <c r="U36" s="114" t="n">
        <f aca="false">Budget!I12</f>
        <v>4969335.52</v>
      </c>
      <c r="V36" s="114" t="n">
        <f aca="false">IF(T36="","",T36-U36)</f>
        <v>1439721.55</v>
      </c>
      <c r="W36" s="114" t="n">
        <f aca="false">IF(OR(8&gt;$B$27,ISBLANK(Actuals!J12)),"",Actuals!J12)</f>
        <v>5304128.59</v>
      </c>
      <c r="X36" s="114" t="n">
        <f aca="false">Budget!J12</f>
        <v>5167809.94</v>
      </c>
      <c r="Y36" s="114" t="n">
        <f aca="false">IF(W36="","",W36-X36)</f>
        <v>136318.649999999</v>
      </c>
      <c r="Z36" s="114" t="str">
        <f aca="false">IF(OR(9&gt;$B$27,ISBLANK(Actuals!K12)),"",Actuals!K12)</f>
        <v/>
      </c>
      <c r="AA36" s="114" t="n">
        <f aca="false">Budget!K12</f>
        <v>5299239.86</v>
      </c>
      <c r="AB36" s="114" t="str">
        <f aca="false">IF(Z36="","",Z36-AA36)</f>
        <v/>
      </c>
      <c r="AC36" s="114" t="str">
        <f aca="false">IF(OR(10&gt;$B$27,ISBLANK(Actuals!L12)),"",Actuals!L12)</f>
        <v/>
      </c>
      <c r="AD36" s="114" t="n">
        <f aca="false">Budget!L12</f>
        <v>5357779.86</v>
      </c>
      <c r="AE36" s="114" t="str">
        <f aca="false">IF(AC36="","",AC36-AD36)</f>
        <v/>
      </c>
      <c r="AF36" s="114" t="str">
        <f aca="false">IF(OR(11&gt;$B$27,ISBLANK(Actuals!M12)),"",Actuals!M12)</f>
        <v/>
      </c>
      <c r="AG36" s="114" t="n">
        <f aca="false">Budget!M12</f>
        <v>5341883.63</v>
      </c>
      <c r="AH36" s="114" t="str">
        <f aca="false">IF(AF36="","",AF36-AG36)</f>
        <v/>
      </c>
      <c r="AI36" s="114" t="str">
        <f aca="false">IF(OR(12&gt;$B$27,ISBLANK(Actuals!N12)),"",Actuals!N12)</f>
        <v/>
      </c>
      <c r="AJ36" s="114" t="n">
        <f aca="false">Budget!N12</f>
        <v>4998563.51</v>
      </c>
      <c r="AK36" s="114" t="str">
        <f aca="false">IF(AI36="","",AI36-AJ36)</f>
        <v/>
      </c>
      <c r="AL36" s="117" t="n">
        <f aca="false">SUM(Actuals!$C12:INDEX(Actuals!$C12:$N12,$B$27))</f>
        <v>30904644.63</v>
      </c>
      <c r="AM36" s="117" t="n">
        <f aca="false">SUM(Budget!$C12:INDEX(Budget!$C12:$N12,$B$27))</f>
        <v>31530634.64</v>
      </c>
      <c r="AN36" s="117" t="n">
        <f aca="false">AL36-AM36</f>
        <v>-625990.010000002</v>
      </c>
      <c r="AP36" s="115" t="s">
        <v>394</v>
      </c>
    </row>
    <row r="37" customFormat="false" ht="15" hidden="false" customHeight="true" outlineLevel="0" collapsed="false">
      <c r="A37" s="116" t="s">
        <v>52</v>
      </c>
      <c r="B37" s="117" t="n">
        <f aca="false">IF(OR(1&gt;$B$27,ISBLANK(Actuals!C13)),"",Actuals!C13)</f>
        <v>1453790.79</v>
      </c>
      <c r="C37" s="117" t="n">
        <f aca="false">Budget!C13</f>
        <v>2978255.74</v>
      </c>
      <c r="D37" s="117" t="n">
        <f aca="false">IF(B37="","",B37-C37)</f>
        <v>-1524464.95</v>
      </c>
      <c r="E37" s="117" t="n">
        <f aca="false">IF(OR(2&gt;$B$27,ISBLANK(Actuals!D13)),"",Actuals!D13)</f>
        <v>3022521.59</v>
      </c>
      <c r="F37" s="117" t="n">
        <f aca="false">Budget!D13</f>
        <v>3273033.25</v>
      </c>
      <c r="G37" s="117" t="n">
        <f aca="false">IF(E37="","",E37-F37)</f>
        <v>-250511.66</v>
      </c>
      <c r="H37" s="117" t="n">
        <f aca="false">IF(OR(3&gt;$B$27,ISBLANK(Actuals!E13)),"",Actuals!E13)</f>
        <v>2672216.16</v>
      </c>
      <c r="I37" s="117" t="n">
        <f aca="false">Budget!E13</f>
        <v>3564208.9</v>
      </c>
      <c r="J37" s="117" t="n">
        <f aca="false">IF(H37="","",H37-I37)</f>
        <v>-891992.74</v>
      </c>
      <c r="K37" s="117" t="n">
        <f aca="false">IF(OR(4&gt;$B$27,ISBLANK(Actuals!F13)),"",Actuals!F13)</f>
        <v>3692357.9</v>
      </c>
      <c r="L37" s="117" t="n">
        <f aca="false">Budget!F13</f>
        <v>3840388.18</v>
      </c>
      <c r="M37" s="117" t="n">
        <f aca="false">IF(K37="","",K37-L37)</f>
        <v>-148030.28</v>
      </c>
      <c r="N37" s="117" t="n">
        <f aca="false">IF(OR(5&gt;$B$27,ISBLANK(Actuals!G13)),"",Actuals!G13)</f>
        <v>4416061.63</v>
      </c>
      <c r="O37" s="117" t="n">
        <f aca="false">Budget!G13</f>
        <v>4935251.63</v>
      </c>
      <c r="P37" s="117" t="n">
        <f aca="false">IF(N37="","",N37-O37)</f>
        <v>-519190</v>
      </c>
      <c r="Q37" s="117" t="n">
        <f aca="false">IF(OR(6&gt;$B$27,ISBLANK(Actuals!H13)),"",Actuals!H13)</f>
        <v>6252262.98</v>
      </c>
      <c r="R37" s="117" t="n">
        <f aca="false">Budget!H13</f>
        <v>5253338.92</v>
      </c>
      <c r="S37" s="117" t="n">
        <f aca="false">IF(Q37="","",Q37-R37)</f>
        <v>998924.060000001</v>
      </c>
      <c r="T37" s="117" t="n">
        <f aca="false">IF(OR(7&gt;$B$27,ISBLANK(Actuals!I13)),"",Actuals!I13)</f>
        <v>7025595.65</v>
      </c>
      <c r="U37" s="117" t="n">
        <f aca="false">Budget!I13</f>
        <v>5523587.47</v>
      </c>
      <c r="V37" s="117" t="n">
        <f aca="false">IF(T37="","",T37-U37)</f>
        <v>1502008.18</v>
      </c>
      <c r="W37" s="117" t="n">
        <f aca="false">IF(OR(8&gt;$B$27,ISBLANK(Actuals!J13)),"",Actuals!J13)</f>
        <v>6064732.98</v>
      </c>
      <c r="X37" s="117" t="n">
        <f aca="false">Budget!J13</f>
        <v>5733174.03</v>
      </c>
      <c r="Y37" s="117" t="n">
        <f aca="false">IF(W37="","",W37-X37)</f>
        <v>331558.949999999</v>
      </c>
      <c r="Z37" s="117" t="str">
        <f aca="false">IF(OR(9&gt;$B$27,ISBLANK(Actuals!K13)),"",Actuals!K13)</f>
        <v/>
      </c>
      <c r="AA37" s="117" t="n">
        <f aca="false">Budget!K13</f>
        <v>5872063.31</v>
      </c>
      <c r="AB37" s="117" t="str">
        <f aca="false">IF(Z37="","",Z37-AA37)</f>
        <v/>
      </c>
      <c r="AC37" s="117" t="str">
        <f aca="false">IF(OR(10&gt;$B$27,ISBLANK(Actuals!L13)),"",Actuals!L13)</f>
        <v/>
      </c>
      <c r="AD37" s="117" t="n">
        <f aca="false">Budget!L13</f>
        <v>5934084.24</v>
      </c>
      <c r="AE37" s="117" t="str">
        <f aca="false">IF(AC37="","",AC37-AD37)</f>
        <v/>
      </c>
      <c r="AF37" s="117" t="str">
        <f aca="false">IF(OR(11&gt;$B$27,ISBLANK(Actuals!M13)),"",Actuals!M13)</f>
        <v/>
      </c>
      <c r="AG37" s="117" t="n">
        <f aca="false">Budget!M13</f>
        <v>5917605.11</v>
      </c>
      <c r="AH37" s="117" t="str">
        <f aca="false">IF(AF37="","",AF37-AG37)</f>
        <v/>
      </c>
      <c r="AI37" s="117" t="str">
        <f aca="false">IF(OR(12&gt;$B$27,ISBLANK(Actuals!N13)),"",Actuals!N13)</f>
        <v/>
      </c>
      <c r="AJ37" s="117" t="n">
        <f aca="false">Budget!N13</f>
        <v>5525402.67</v>
      </c>
      <c r="AK37" s="117" t="str">
        <f aca="false">IF(AI37="","",AI37-AJ37)</f>
        <v/>
      </c>
      <c r="AL37" s="117" t="n">
        <f aca="false">SUM(Actuals!$C13:INDEX(Actuals!$C13:$N13,$B$27))</f>
        <v>34599539.68</v>
      </c>
      <c r="AM37" s="117" t="n">
        <f aca="false">SUM(Budget!$C13:INDEX(Budget!$C13:$N13,$B$27))</f>
        <v>35101238.12</v>
      </c>
      <c r="AN37" s="117" t="n">
        <f aca="false">AL37-AM37</f>
        <v>-501698.439999998</v>
      </c>
      <c r="AP37" s="115" t="s">
        <v>395</v>
      </c>
    </row>
    <row r="38" customFormat="false" ht="15" hidden="false" customHeight="true" outlineLevel="0" collapsed="false">
      <c r="A38" s="110" t="s">
        <v>345</v>
      </c>
      <c r="B38" s="114" t="n">
        <f aca="false">IF(OR(1&gt;$B$27,ISBLANK(Actuals!C14)),"",Actuals!C14)</f>
        <v>-1235033.93</v>
      </c>
      <c r="C38" s="114" t="n">
        <f aca="false">Budget!C14</f>
        <v>-2653995.85</v>
      </c>
      <c r="D38" s="114" t="n">
        <f aca="false">IF(B38="","",B38-C38)</f>
        <v>1418961.92</v>
      </c>
      <c r="E38" s="114" t="n">
        <f aca="false">IF(OR(2&gt;$B$27,ISBLANK(Actuals!D14)),"",Actuals!D14)</f>
        <v>-3073522.36</v>
      </c>
      <c r="F38" s="114" t="n">
        <f aca="false">Budget!D14</f>
        <v>-2933528.7</v>
      </c>
      <c r="G38" s="114" t="n">
        <f aca="false">IF(E38="","",E38-F38)</f>
        <v>-139993.66</v>
      </c>
      <c r="H38" s="114" t="n">
        <f aca="false">IF(OR(3&gt;$B$27,ISBLANK(Actuals!E14)),"",Actuals!E14)</f>
        <v>-2078031.64</v>
      </c>
      <c r="I38" s="114" t="n">
        <f aca="false">Budget!E14</f>
        <v>-3209528.94</v>
      </c>
      <c r="J38" s="114" t="n">
        <f aca="false">IF(H38="","",H38-I38)</f>
        <v>1131497.3</v>
      </c>
      <c r="K38" s="114" t="n">
        <f aca="false">IF(OR(4&gt;$B$27,ISBLANK(Actuals!F14)),"",Actuals!F14)</f>
        <v>-3244999.65</v>
      </c>
      <c r="L38" s="114" t="n">
        <f aca="false">Budget!F14</f>
        <v>-3471205.82</v>
      </c>
      <c r="M38" s="114" t="n">
        <f aca="false">IF(K38="","",K38-L38)</f>
        <v>226206.17</v>
      </c>
      <c r="N38" s="114" t="n">
        <f aca="false">IF(OR(5&gt;$B$27,ISBLANK(Actuals!G14)),"",Actuals!G14)</f>
        <v>-3950524.93</v>
      </c>
      <c r="O38" s="114" t="n">
        <f aca="false">Budget!G14</f>
        <v>-4411909.08</v>
      </c>
      <c r="P38" s="114" t="n">
        <f aca="false">IF(N38="","",N38-O38)</f>
        <v>461384.15</v>
      </c>
      <c r="Q38" s="114" t="n">
        <f aca="false">IF(OR(6&gt;$B$27,ISBLANK(Actuals!H14)),"",Actuals!H14)</f>
        <v>-5610911.85</v>
      </c>
      <c r="R38" s="114" t="n">
        <f aca="false">Budget!H14</f>
        <v>-4713320.79</v>
      </c>
      <c r="S38" s="114" t="n">
        <f aca="false">IF(Q38="","",Q38-R38)</f>
        <v>-897591.06</v>
      </c>
      <c r="T38" s="114" t="n">
        <f aca="false">IF(OR(7&gt;$B$27,ISBLANK(Actuals!I14)),"",Actuals!I14)</f>
        <v>-5258946.14</v>
      </c>
      <c r="U38" s="114" t="n">
        <f aca="false">Budget!I14</f>
        <v>-4969335.52</v>
      </c>
      <c r="V38" s="114" t="n">
        <f aca="false">IF(T38="","",T38-U38)</f>
        <v>-289610.62</v>
      </c>
      <c r="W38" s="114" t="n">
        <f aca="false">IF(OR(8&gt;$B$27,ISBLANK(Actuals!J14)),"",Actuals!J14)</f>
        <v>-5503997.59</v>
      </c>
      <c r="X38" s="114" t="n">
        <f aca="false">Budget!J14</f>
        <v>-5167809.94</v>
      </c>
      <c r="Y38" s="114" t="n">
        <f aca="false">IF(W38="","",W38-X38)</f>
        <v>-336187.649999999</v>
      </c>
      <c r="Z38" s="114" t="str">
        <f aca="false">IF(OR(9&gt;$B$27,ISBLANK(Actuals!K14)),"",Actuals!K14)</f>
        <v/>
      </c>
      <c r="AA38" s="114" t="n">
        <f aca="false">Budget!K14</f>
        <v>-5299239.86</v>
      </c>
      <c r="AB38" s="114" t="str">
        <f aca="false">IF(Z38="","",Z38-AA38)</f>
        <v/>
      </c>
      <c r="AC38" s="114" t="str">
        <f aca="false">IF(OR(10&gt;$B$27,ISBLANK(Actuals!L14)),"",Actuals!L14)</f>
        <v/>
      </c>
      <c r="AD38" s="114" t="n">
        <f aca="false">Budget!L14</f>
        <v>-5357779.86</v>
      </c>
      <c r="AE38" s="114" t="str">
        <f aca="false">IF(AC38="","",AC38-AD38)</f>
        <v/>
      </c>
      <c r="AF38" s="114" t="str">
        <f aca="false">IF(OR(11&gt;$B$27,ISBLANK(Actuals!M14)),"",Actuals!M14)</f>
        <v/>
      </c>
      <c r="AG38" s="114" t="n">
        <f aca="false">Budget!M14</f>
        <v>-5341883.63</v>
      </c>
      <c r="AH38" s="114" t="str">
        <f aca="false">IF(AF38="","",AF38-AG38)</f>
        <v/>
      </c>
      <c r="AI38" s="114" t="str">
        <f aca="false">IF(OR(12&gt;$B$27,ISBLANK(Actuals!N14)),"",Actuals!N14)</f>
        <v/>
      </c>
      <c r="AJ38" s="114" t="n">
        <f aca="false">Budget!N14</f>
        <v>-4998563.51</v>
      </c>
      <c r="AK38" s="114" t="str">
        <f aca="false">IF(AI38="","",AI38-AJ38)</f>
        <v/>
      </c>
      <c r="AL38" s="117" t="n">
        <f aca="false">SUM(Actuals!$C14:INDEX(Actuals!$C14:$N14,$B$27))</f>
        <v>-29955968.09</v>
      </c>
      <c r="AM38" s="117" t="n">
        <f aca="false">SUM(Budget!$C14:INDEX(Budget!$C14:$N14,$B$27))</f>
        <v>-31530634.64</v>
      </c>
      <c r="AN38" s="117" t="n">
        <f aca="false">AL38-AM38</f>
        <v>1574666.55</v>
      </c>
      <c r="AP38" s="115" t="s">
        <v>396</v>
      </c>
    </row>
    <row r="39" customFormat="false" ht="15" hidden="false" customHeight="true" outlineLevel="0" collapsed="false">
      <c r="A39" s="110" t="s">
        <v>397</v>
      </c>
      <c r="B39" s="114" t="n">
        <f aca="false">IF(OR(1&gt;$B$27,ISBLANK(Actuals!C15)),"",Actuals!C15)</f>
        <v>0</v>
      </c>
      <c r="C39" s="114" t="n">
        <f aca="false">Budget!C15</f>
        <v>0</v>
      </c>
      <c r="D39" s="114" t="n">
        <f aca="false">IF(B39="","",B39-C39)</f>
        <v>0</v>
      </c>
      <c r="E39" s="114" t="n">
        <f aca="false">IF(OR(2&gt;$B$27,ISBLANK(Actuals!D15)),"",Actuals!D15)</f>
        <v>0</v>
      </c>
      <c r="F39" s="114" t="n">
        <f aca="false">Budget!D15</f>
        <v>0</v>
      </c>
      <c r="G39" s="114" t="n">
        <f aca="false">IF(E39="","",E39-F39)</f>
        <v>0</v>
      </c>
      <c r="H39" s="114" t="n">
        <f aca="false">IF(OR(3&gt;$B$27,ISBLANK(Actuals!E15)),"",Actuals!E15)</f>
        <v>0</v>
      </c>
      <c r="I39" s="114" t="n">
        <f aca="false">Budget!E15</f>
        <v>0</v>
      </c>
      <c r="J39" s="114" t="n">
        <f aca="false">IF(H39="","",H39-I39)</f>
        <v>0</v>
      </c>
      <c r="K39" s="114" t="n">
        <f aca="false">IF(OR(4&gt;$B$27,ISBLANK(Actuals!F15)),"",Actuals!F15)</f>
        <v>0</v>
      </c>
      <c r="L39" s="114" t="n">
        <f aca="false">Budget!F15</f>
        <v>0</v>
      </c>
      <c r="M39" s="114" t="n">
        <f aca="false">IF(K39="","",K39-L39)</f>
        <v>0</v>
      </c>
      <c r="N39" s="114" t="n">
        <f aca="false">IF(OR(5&gt;$B$27,ISBLANK(Actuals!G15)),"",Actuals!G15)</f>
        <v>0</v>
      </c>
      <c r="O39" s="114" t="n">
        <f aca="false">Budget!G15</f>
        <v>0</v>
      </c>
      <c r="P39" s="114" t="n">
        <f aca="false">IF(N39="","",N39-O39)</f>
        <v>0</v>
      </c>
      <c r="Q39" s="114" t="n">
        <f aca="false">IF(OR(6&gt;$B$27,ISBLANK(Actuals!H15)),"",Actuals!H15)</f>
        <v>0</v>
      </c>
      <c r="R39" s="114" t="n">
        <f aca="false">Budget!H15</f>
        <v>0</v>
      </c>
      <c r="S39" s="114" t="n">
        <f aca="false">IF(Q39="","",Q39-R39)</f>
        <v>0</v>
      </c>
      <c r="T39" s="114" t="n">
        <f aca="false">IF(OR(7&gt;$B$27,ISBLANK(Actuals!I15)),"",Actuals!I15)</f>
        <v>0</v>
      </c>
      <c r="U39" s="114" t="n">
        <f aca="false">Budget!I15</f>
        <v>0</v>
      </c>
      <c r="V39" s="114" t="n">
        <f aca="false">IF(T39="","",T39-U39)</f>
        <v>0</v>
      </c>
      <c r="W39" s="114" t="n">
        <f aca="false">IF(OR(8&gt;$B$27,ISBLANK(Actuals!J15)),"",Actuals!J15)</f>
        <v>0</v>
      </c>
      <c r="X39" s="114" t="n">
        <f aca="false">Budget!J15</f>
        <v>0</v>
      </c>
      <c r="Y39" s="114" t="n">
        <f aca="false">IF(W39="","",W39-X39)</f>
        <v>0</v>
      </c>
      <c r="Z39" s="114" t="str">
        <f aca="false">IF(OR(9&gt;$B$27,ISBLANK(Actuals!K15)),"",Actuals!K15)</f>
        <v/>
      </c>
      <c r="AA39" s="114" t="n">
        <f aca="false">Budget!K15</f>
        <v>0</v>
      </c>
      <c r="AB39" s="114" t="str">
        <f aca="false">IF(Z39="","",Z39-AA39)</f>
        <v/>
      </c>
      <c r="AC39" s="114" t="str">
        <f aca="false">IF(OR(10&gt;$B$27,ISBLANK(Actuals!L15)),"",Actuals!L15)</f>
        <v/>
      </c>
      <c r="AD39" s="114" t="n">
        <f aca="false">Budget!L15</f>
        <v>0</v>
      </c>
      <c r="AE39" s="114" t="str">
        <f aca="false">IF(AC39="","",AC39-AD39)</f>
        <v/>
      </c>
      <c r="AF39" s="114" t="str">
        <f aca="false">IF(OR(11&gt;$B$27,ISBLANK(Actuals!M15)),"",Actuals!M15)</f>
        <v/>
      </c>
      <c r="AG39" s="114" t="n">
        <f aca="false">Budget!M15</f>
        <v>0</v>
      </c>
      <c r="AH39" s="114" t="str">
        <f aca="false">IF(AF39="","",AF39-AG39)</f>
        <v/>
      </c>
      <c r="AI39" s="114" t="str">
        <f aca="false">IF(OR(12&gt;$B$27,ISBLANK(Actuals!N15)),"",Actuals!N15)</f>
        <v/>
      </c>
      <c r="AJ39" s="114" t="n">
        <f aca="false">Budget!N15</f>
        <v>0</v>
      </c>
      <c r="AK39" s="114" t="str">
        <f aca="false">IF(AI39="","",AI39-AJ39)</f>
        <v/>
      </c>
      <c r="AL39" s="117" t="n">
        <f aca="false">SUM(Actuals!$C15:INDEX(Actuals!$C15:$N15,$B$27))</f>
        <v>0</v>
      </c>
      <c r="AM39" s="117" t="n">
        <f aca="false">SUM(Budget!$C15:INDEX(Budget!$C15:$N15,$B$27))</f>
        <v>0</v>
      </c>
      <c r="AN39" s="117" t="n">
        <f aca="false">AL39-AM39</f>
        <v>0</v>
      </c>
      <c r="AP39" s="115" t="s">
        <v>398</v>
      </c>
    </row>
    <row r="40" customFormat="false" ht="15" hidden="false" customHeight="true" outlineLevel="0" collapsed="false">
      <c r="A40" s="110" t="s">
        <v>399</v>
      </c>
      <c r="B40" s="114" t="n">
        <f aca="false">IF(OR(1&gt;$B$27,ISBLANK(Actuals!C16)),"",Actuals!C16)</f>
        <v>0</v>
      </c>
      <c r="C40" s="114" t="n">
        <f aca="false">Budget!C16</f>
        <v>0</v>
      </c>
      <c r="D40" s="114" t="n">
        <f aca="false">IF(B40="","",B40-C40)</f>
        <v>0</v>
      </c>
      <c r="E40" s="114" t="n">
        <f aca="false">IF(OR(2&gt;$B$27,ISBLANK(Actuals!D16)),"",Actuals!D16)</f>
        <v>0</v>
      </c>
      <c r="F40" s="114" t="n">
        <f aca="false">Budget!D16</f>
        <v>0</v>
      </c>
      <c r="G40" s="114" t="n">
        <f aca="false">IF(E40="","",E40-F40)</f>
        <v>0</v>
      </c>
      <c r="H40" s="114" t="n">
        <f aca="false">IF(OR(3&gt;$B$27,ISBLANK(Actuals!E16)),"",Actuals!E16)</f>
        <v>0</v>
      </c>
      <c r="I40" s="114" t="n">
        <f aca="false">Budget!E16</f>
        <v>0</v>
      </c>
      <c r="J40" s="114" t="n">
        <f aca="false">IF(H40="","",H40-I40)</f>
        <v>0</v>
      </c>
      <c r="K40" s="114" t="n">
        <f aca="false">IF(OR(4&gt;$B$27,ISBLANK(Actuals!F16)),"",Actuals!F16)</f>
        <v>0</v>
      </c>
      <c r="L40" s="114" t="n">
        <f aca="false">Budget!F16</f>
        <v>0</v>
      </c>
      <c r="M40" s="114" t="n">
        <f aca="false">IF(K40="","",K40-L40)</f>
        <v>0</v>
      </c>
      <c r="N40" s="114" t="n">
        <f aca="false">IF(OR(5&gt;$B$27,ISBLANK(Actuals!G16)),"",Actuals!G16)</f>
        <v>0</v>
      </c>
      <c r="O40" s="114" t="n">
        <f aca="false">Budget!G16</f>
        <v>0</v>
      </c>
      <c r="P40" s="114" t="n">
        <f aca="false">IF(N40="","",N40-O40)</f>
        <v>0</v>
      </c>
      <c r="Q40" s="114" t="n">
        <f aca="false">IF(OR(6&gt;$B$27,ISBLANK(Actuals!H16)),"",Actuals!H16)</f>
        <v>0</v>
      </c>
      <c r="R40" s="114" t="n">
        <f aca="false">Budget!H16</f>
        <v>0</v>
      </c>
      <c r="S40" s="114" t="n">
        <f aca="false">IF(Q40="","",Q40-R40)</f>
        <v>0</v>
      </c>
      <c r="T40" s="114" t="n">
        <f aca="false">IF(OR(7&gt;$B$27,ISBLANK(Actuals!I16)),"",Actuals!I16)</f>
        <v>0</v>
      </c>
      <c r="U40" s="114" t="n">
        <f aca="false">Budget!I16</f>
        <v>0</v>
      </c>
      <c r="V40" s="114" t="n">
        <f aca="false">IF(T40="","",T40-U40)</f>
        <v>0</v>
      </c>
      <c r="W40" s="114" t="n">
        <f aca="false">IF(OR(8&gt;$B$27,ISBLANK(Actuals!J16)),"",Actuals!J16)</f>
        <v>0</v>
      </c>
      <c r="X40" s="114" t="n">
        <f aca="false">Budget!J16</f>
        <v>0</v>
      </c>
      <c r="Y40" s="114" t="n">
        <f aca="false">IF(W40="","",W40-X40)</f>
        <v>0</v>
      </c>
      <c r="Z40" s="114" t="str">
        <f aca="false">IF(OR(9&gt;$B$27,ISBLANK(Actuals!K16)),"",Actuals!K16)</f>
        <v/>
      </c>
      <c r="AA40" s="114" t="n">
        <f aca="false">Budget!K16</f>
        <v>0</v>
      </c>
      <c r="AB40" s="114" t="str">
        <f aca="false">IF(Z40="","",Z40-AA40)</f>
        <v/>
      </c>
      <c r="AC40" s="114" t="str">
        <f aca="false">IF(OR(10&gt;$B$27,ISBLANK(Actuals!L16)),"",Actuals!L16)</f>
        <v/>
      </c>
      <c r="AD40" s="114" t="n">
        <f aca="false">Budget!L16</f>
        <v>0</v>
      </c>
      <c r="AE40" s="114" t="str">
        <f aca="false">IF(AC40="","",AC40-AD40)</f>
        <v/>
      </c>
      <c r="AF40" s="114" t="str">
        <f aca="false">IF(OR(11&gt;$B$27,ISBLANK(Actuals!M16)),"",Actuals!M16)</f>
        <v/>
      </c>
      <c r="AG40" s="114" t="n">
        <f aca="false">Budget!M16</f>
        <v>0</v>
      </c>
      <c r="AH40" s="114" t="str">
        <f aca="false">IF(AF40="","",AF40-AG40)</f>
        <v/>
      </c>
      <c r="AI40" s="114" t="str">
        <f aca="false">IF(OR(12&gt;$B$27,ISBLANK(Actuals!N16)),"",Actuals!N16)</f>
        <v/>
      </c>
      <c r="AJ40" s="114" t="n">
        <f aca="false">Budget!N16</f>
        <v>0</v>
      </c>
      <c r="AK40" s="114" t="str">
        <f aca="false">IF(AI40="","",AI40-AJ40)</f>
        <v/>
      </c>
      <c r="AL40" s="117" t="n">
        <f aca="false">SUM(Actuals!$C16:INDEX(Actuals!$C16:$N16,$B$27))</f>
        <v>0</v>
      </c>
      <c r="AM40" s="117" t="n">
        <f aca="false">SUM(Budget!$C16:INDEX(Budget!$C16:$N16,$B$27))</f>
        <v>0</v>
      </c>
      <c r="AN40" s="117" t="n">
        <f aca="false">AL40-AM40</f>
        <v>0</v>
      </c>
      <c r="AP40" s="115" t="s">
        <v>400</v>
      </c>
    </row>
    <row r="41" customFormat="false" ht="15" hidden="false" customHeight="true" outlineLevel="0" collapsed="false">
      <c r="A41" s="116" t="s">
        <v>61</v>
      </c>
      <c r="B41" s="117" t="n">
        <f aca="false">IF(OR(1&gt;$B$27,ISBLANK(Actuals!C17)),"",Actuals!C17)</f>
        <v>218756.86</v>
      </c>
      <c r="C41" s="117" t="n">
        <f aca="false">Budget!C17</f>
        <v>324259.89</v>
      </c>
      <c r="D41" s="117" t="n">
        <f aca="false">IF(B41="","",B41-C41)</f>
        <v>-105503.03</v>
      </c>
      <c r="E41" s="117" t="n">
        <f aca="false">IF(OR(2&gt;$B$27,ISBLANK(Actuals!D17)),"",Actuals!D17)</f>
        <v>-51000.77</v>
      </c>
      <c r="F41" s="117" t="n">
        <f aca="false">Budget!D17</f>
        <v>339504.55</v>
      </c>
      <c r="G41" s="117" t="n">
        <f aca="false">IF(E41="","",E41-F41)</f>
        <v>-390505.32</v>
      </c>
      <c r="H41" s="117" t="n">
        <f aca="false">IF(OR(3&gt;$B$27,ISBLANK(Actuals!E17)),"",Actuals!E17)</f>
        <v>594184.52</v>
      </c>
      <c r="I41" s="117" t="n">
        <f aca="false">Budget!E17</f>
        <v>354679.96</v>
      </c>
      <c r="J41" s="117" t="n">
        <f aca="false">IF(H41="","",H41-I41)</f>
        <v>239504.56</v>
      </c>
      <c r="K41" s="117" t="n">
        <f aca="false">IF(OR(4&gt;$B$27,ISBLANK(Actuals!F17)),"",Actuals!F17)</f>
        <v>447358.25</v>
      </c>
      <c r="L41" s="117" t="n">
        <f aca="false">Budget!F17</f>
        <v>369182.36</v>
      </c>
      <c r="M41" s="117" t="n">
        <f aca="false">IF(K41="","",K41-L41)</f>
        <v>78175.8900000005</v>
      </c>
      <c r="N41" s="117" t="n">
        <f aca="false">IF(OR(5&gt;$B$27,ISBLANK(Actuals!G17)),"",Actuals!G17)</f>
        <v>465536.7</v>
      </c>
      <c r="O41" s="117" t="n">
        <f aca="false">Budget!G17</f>
        <v>523342.55</v>
      </c>
      <c r="P41" s="117" t="n">
        <f aca="false">IF(N41="","",N41-O41)</f>
        <v>-57805.8500000003</v>
      </c>
      <c r="Q41" s="117" t="n">
        <f aca="false">IF(OR(6&gt;$B$27,ISBLANK(Actuals!H17)),"",Actuals!H17)</f>
        <v>641351.130000001</v>
      </c>
      <c r="R41" s="117" t="n">
        <f aca="false">Budget!H17</f>
        <v>540018.13</v>
      </c>
      <c r="S41" s="117" t="n">
        <f aca="false">IF(Q41="","",Q41-R41)</f>
        <v>101333.000000001</v>
      </c>
      <c r="T41" s="117" t="n">
        <f aca="false">IF(OR(7&gt;$B$27,ISBLANK(Actuals!I17)),"",Actuals!I17)</f>
        <v>1766649.51</v>
      </c>
      <c r="U41" s="117" t="n">
        <f aca="false">Budget!I17</f>
        <v>554251.95</v>
      </c>
      <c r="V41" s="117" t="n">
        <f aca="false">IF(T41="","",T41-U41)</f>
        <v>1212397.56</v>
      </c>
      <c r="W41" s="117" t="n">
        <f aca="false">IF(OR(8&gt;$B$27,ISBLANK(Actuals!J17)),"",Actuals!J17)</f>
        <v>560735.39</v>
      </c>
      <c r="X41" s="117" t="n">
        <f aca="false">Budget!J17</f>
        <v>565364.09</v>
      </c>
      <c r="Y41" s="117" t="n">
        <f aca="false">IF(W41="","",W41-X41)</f>
        <v>-4628.7000000003</v>
      </c>
      <c r="Z41" s="117" t="str">
        <f aca="false">IF(OR(9&gt;$B$27,ISBLANK(Actuals!K17)),"",Actuals!K17)</f>
        <v/>
      </c>
      <c r="AA41" s="117" t="n">
        <f aca="false">Budget!K17</f>
        <v>572823.45</v>
      </c>
      <c r="AB41" s="117" t="str">
        <f aca="false">IF(Z41="","",Z41-AA41)</f>
        <v/>
      </c>
      <c r="AC41" s="117" t="str">
        <f aca="false">IF(OR(10&gt;$B$27,ISBLANK(Actuals!L17)),"",Actuals!L17)</f>
        <v/>
      </c>
      <c r="AD41" s="117" t="n">
        <f aca="false">Budget!L17</f>
        <v>576304.38</v>
      </c>
      <c r="AE41" s="117" t="str">
        <f aca="false">IF(AC41="","",AC41-AD41)</f>
        <v/>
      </c>
      <c r="AF41" s="117" t="str">
        <f aca="false">IF(OR(11&gt;$B$27,ISBLANK(Actuals!M17)),"",Actuals!M17)</f>
        <v/>
      </c>
      <c r="AG41" s="117" t="n">
        <f aca="false">Budget!M17</f>
        <v>575721.48</v>
      </c>
      <c r="AH41" s="117" t="str">
        <f aca="false">IF(AF41="","",AF41-AG41)</f>
        <v/>
      </c>
      <c r="AI41" s="117" t="str">
        <f aca="false">IF(OR(12&gt;$B$27,ISBLANK(Actuals!N17)),"",Actuals!N17)</f>
        <v/>
      </c>
      <c r="AJ41" s="117" t="n">
        <f aca="false">Budget!N17</f>
        <v>526839.16</v>
      </c>
      <c r="AK41" s="117" t="str">
        <f aca="false">IF(AI41="","",AI41-AJ41)</f>
        <v/>
      </c>
      <c r="AL41" s="117" t="n">
        <f aca="false">SUM(Actuals!$C17:INDEX(Actuals!$C17:$N17,$B$27))</f>
        <v>4643571.59</v>
      </c>
      <c r="AM41" s="117" t="n">
        <f aca="false">SUM(Budget!$C17:INDEX(Budget!$C17:$N17,$B$27))</f>
        <v>3570603.48</v>
      </c>
      <c r="AN41" s="117" t="n">
        <f aca="false">AL41-AM41</f>
        <v>1072968.11</v>
      </c>
      <c r="AP41" s="115" t="s">
        <v>401</v>
      </c>
    </row>
    <row r="42" customFormat="false" ht="15" hidden="false" customHeight="true" outlineLevel="0" collapsed="false">
      <c r="A42" s="110" t="s">
        <v>62</v>
      </c>
      <c r="B42" s="114" t="n">
        <f aca="false">IF(OR(1&gt;$B$27,ISBLANK(Actuals!C18)),"",Actuals!C18)</f>
        <v>0.150473411652305</v>
      </c>
      <c r="C42" s="114" t="n">
        <f aca="false">Budget!C18</f>
        <v>0.11</v>
      </c>
      <c r="D42" s="114" t="n">
        <f aca="false">IF(B42="","",B42-C42)</f>
        <v>0.0404734116523053</v>
      </c>
      <c r="E42" s="114" t="n">
        <f aca="false">IF(OR(2&gt;$B$27,ISBLANK(Actuals!D18)),"",Actuals!D18)</f>
        <v>-0.0168735833579273</v>
      </c>
      <c r="F42" s="114" t="n">
        <f aca="false">Budget!D18</f>
        <v>0.1</v>
      </c>
      <c r="G42" s="114" t="n">
        <f aca="false">IF(E42="","",E42-F42)</f>
        <v>-0.116873583357927</v>
      </c>
      <c r="H42" s="114" t="n">
        <f aca="false">IF(OR(3&gt;$B$27,ISBLANK(Actuals!E18)),"",Actuals!E18)</f>
        <v>0.222356457869786</v>
      </c>
      <c r="I42" s="114" t="n">
        <f aca="false">Budget!E18</f>
        <v>0.1</v>
      </c>
      <c r="J42" s="114" t="n">
        <f aca="false">IF(H42="","",H42-I42)</f>
        <v>0.122356457869786</v>
      </c>
      <c r="K42" s="114" t="n">
        <f aca="false">IF(OR(4&gt;$B$27,ISBLANK(Actuals!F18)),"",Actuals!F18)</f>
        <v>0.121157878546931</v>
      </c>
      <c r="L42" s="114" t="n">
        <f aca="false">Budget!F18</f>
        <v>0.1</v>
      </c>
      <c r="M42" s="114" t="n">
        <f aca="false">IF(K42="","",K42-L42)</f>
        <v>0.0211578785469308</v>
      </c>
      <c r="N42" s="114" t="n">
        <f aca="false">IF(OR(5&gt;$B$27,ISBLANK(Actuals!G18)),"",Actuals!G18)</f>
        <v>0.105418977135063</v>
      </c>
      <c r="O42" s="114" t="n">
        <f aca="false">Budget!G18</f>
        <v>0.11</v>
      </c>
      <c r="P42" s="114" t="n">
        <f aca="false">IF(N42="","",N42-O42)</f>
        <v>-0.00458102286493685</v>
      </c>
      <c r="Q42" s="114" t="n">
        <f aca="false">IF(OR(6&gt;$B$27,ISBLANK(Actuals!H18)),"",Actuals!H18)</f>
        <v>0.1025790393097</v>
      </c>
      <c r="R42" s="114" t="n">
        <f aca="false">Budget!H18</f>
        <v>0.1</v>
      </c>
      <c r="S42" s="114" t="n">
        <f aca="false">IF(Q42="","",Q42-R42)</f>
        <v>0.00257903930969979</v>
      </c>
      <c r="T42" s="114" t="n">
        <f aca="false">IF(OR(7&gt;$B$27,ISBLANK(Actuals!I18)),"",Actuals!I18)</f>
        <v>0.251459036074756</v>
      </c>
      <c r="U42" s="114" t="n">
        <f aca="false">Budget!I18</f>
        <v>0.1</v>
      </c>
      <c r="V42" s="114" t="n">
        <f aca="false">IF(T42="","",T42-U42)</f>
        <v>0.151459036074756</v>
      </c>
      <c r="W42" s="114" t="n">
        <f aca="false">IF(OR(8&gt;$B$27,ISBLANK(Actuals!J18)),"",Actuals!J18)</f>
        <v>0.0924583805831464</v>
      </c>
      <c r="X42" s="114" t="n">
        <f aca="false">Budget!J18</f>
        <v>0.1</v>
      </c>
      <c r="Y42" s="114" t="n">
        <f aca="false">IF(W42="","",W42-X42)</f>
        <v>-0.00754161941685359</v>
      </c>
      <c r="Z42" s="114" t="str">
        <f aca="false">IF(OR(9&gt;$B$27,ISBLANK(Actuals!K18)),"",Actuals!K18)</f>
        <v/>
      </c>
      <c r="AA42" s="114" t="n">
        <f aca="false">Budget!K18</f>
        <v>0.1</v>
      </c>
      <c r="AB42" s="114" t="str">
        <f aca="false">IF(Z42="","",Z42-AA42)</f>
        <v/>
      </c>
      <c r="AC42" s="114" t="str">
        <f aca="false">IF(OR(10&gt;$B$27,ISBLANK(Actuals!L18)),"",Actuals!L18)</f>
        <v/>
      </c>
      <c r="AD42" s="114" t="n">
        <f aca="false">Budget!L18</f>
        <v>0.1</v>
      </c>
      <c r="AE42" s="114" t="str">
        <f aca="false">IF(AC42="","",AC42-AD42)</f>
        <v/>
      </c>
      <c r="AF42" s="114" t="str">
        <f aca="false">IF(OR(11&gt;$B$27,ISBLANK(Actuals!M18)),"",Actuals!M18)</f>
        <v/>
      </c>
      <c r="AG42" s="114" t="n">
        <f aca="false">Budget!M18</f>
        <v>0.1</v>
      </c>
      <c r="AH42" s="114" t="str">
        <f aca="false">IF(AF42="","",AF42-AG42)</f>
        <v/>
      </c>
      <c r="AI42" s="114" t="str">
        <f aca="false">IF(OR(12&gt;$B$27,ISBLANK(Actuals!N18)),"",Actuals!N18)</f>
        <v/>
      </c>
      <c r="AJ42" s="114" t="n">
        <f aca="false">Budget!N18</f>
        <v>0.1</v>
      </c>
      <c r="AK42" s="114" t="str">
        <f aca="false">IF(AI42="","",AI42-AJ42)</f>
        <v/>
      </c>
      <c r="AL42" s="117" t="n">
        <f aca="false">SUM(Actuals!$C18:INDEX(Actuals!$C18:$N18,$B$27))</f>
        <v>1.02902959781376</v>
      </c>
      <c r="AM42" s="117" t="n">
        <f aca="false">SUM(Budget!$C18:INDEX(Budget!$C18:$N18,$B$27))</f>
        <v>0.82</v>
      </c>
      <c r="AN42" s="117" t="n">
        <f aca="false">AL42-AM42</f>
        <v>0.20902959781376</v>
      </c>
    </row>
    <row r="45" customFormat="false" ht="15" hidden="true" customHeight="true" outlineLevel="1" collapsed="false">
      <c r="A45" s="110" t="s">
        <v>64</v>
      </c>
      <c r="B45" s="114" t="n">
        <f aca="false">IF(OR(1&gt;$B$27,ISBLANK(Actuals!C21)),"",Actuals!C21)</f>
        <v>-144550.9</v>
      </c>
      <c r="C45" s="114" t="n">
        <f aca="false">Budget!C21</f>
        <v>-176250.01</v>
      </c>
      <c r="D45" s="114" t="n">
        <f aca="false">IF(B45="","",B45-C45)</f>
        <v>31699.11</v>
      </c>
      <c r="E45" s="114" t="n">
        <f aca="false">IF(OR(2&gt;$B$27,ISBLANK(Actuals!D21)),"",Actuals!D21)</f>
        <v>-150672.84</v>
      </c>
      <c r="F45" s="114" t="n">
        <f aca="false">Budget!D21</f>
        <v>-176250.01</v>
      </c>
      <c r="G45" s="114" t="n">
        <f aca="false">IF(E45="","",E45-F45)</f>
        <v>25577.17</v>
      </c>
      <c r="H45" s="114" t="n">
        <f aca="false">IF(OR(3&gt;$B$27,ISBLANK(Actuals!E21)),"",Actuals!E21)</f>
        <v>-178867.86</v>
      </c>
      <c r="I45" s="114" t="n">
        <f aca="false">Budget!E21</f>
        <v>-176250.01</v>
      </c>
      <c r="J45" s="114" t="n">
        <f aca="false">IF(H45="","",H45-I45)</f>
        <v>-2617.84999999998</v>
      </c>
      <c r="K45" s="114" t="n">
        <f aca="false">IF(OR(4&gt;$B$27,ISBLANK(Actuals!F21)),"",Actuals!F21)</f>
        <v>-187693.63</v>
      </c>
      <c r="L45" s="114" t="n">
        <f aca="false">Budget!F21</f>
        <v>-176250.01</v>
      </c>
      <c r="M45" s="114" t="n">
        <f aca="false">IF(K45="","",K45-L45)</f>
        <v>-11443.62</v>
      </c>
      <c r="N45" s="114" t="n">
        <f aca="false">IF(OR(5&gt;$B$27,ISBLANK(Actuals!G21)),"",Actuals!G21)</f>
        <v>-295949.1</v>
      </c>
      <c r="O45" s="114" t="n">
        <f aca="false">Budget!G21</f>
        <v>-176250.01</v>
      </c>
      <c r="P45" s="114" t="n">
        <f aca="false">IF(N45="","",N45-O45)</f>
        <v>-119699.09</v>
      </c>
      <c r="Q45" s="114" t="n">
        <f aca="false">IF(OR(6&gt;$B$27,ISBLANK(Actuals!H21)),"",Actuals!H21)</f>
        <v>-198645.92</v>
      </c>
      <c r="R45" s="114" t="n">
        <f aca="false">Budget!H21</f>
        <v>-176250.01</v>
      </c>
      <c r="S45" s="114" t="n">
        <f aca="false">IF(Q45="","",Q45-R45)</f>
        <v>-22395.91</v>
      </c>
      <c r="T45" s="114" t="n">
        <f aca="false">IF(OR(7&gt;$B$27,ISBLANK(Actuals!I21)),"",Actuals!I21)</f>
        <v>-215851.71</v>
      </c>
      <c r="U45" s="114" t="n">
        <f aca="false">Budget!I21</f>
        <v>-176250.01</v>
      </c>
      <c r="V45" s="114" t="n">
        <f aca="false">IF(T45="","",T45-U45)</f>
        <v>-39601.7</v>
      </c>
      <c r="W45" s="114" t="n">
        <f aca="false">IF(OR(8&gt;$B$27,ISBLANK(Actuals!J21)),"",Actuals!J21)</f>
        <v>-217610.65</v>
      </c>
      <c r="X45" s="114" t="n">
        <f aca="false">Budget!J21</f>
        <v>-176250.01</v>
      </c>
      <c r="Y45" s="114" t="n">
        <f aca="false">IF(W45="","",W45-X45)</f>
        <v>-41360.64</v>
      </c>
      <c r="Z45" s="114" t="str">
        <f aca="false">IF(OR(9&gt;$B$27,ISBLANK(Actuals!K21)),"",Actuals!K21)</f>
        <v/>
      </c>
      <c r="AA45" s="114" t="n">
        <f aca="false">Budget!K21</f>
        <v>-176250.01</v>
      </c>
      <c r="AB45" s="114" t="str">
        <f aca="false">IF(Z45="","",Z45-AA45)</f>
        <v/>
      </c>
      <c r="AC45" s="114" t="str">
        <f aca="false">IF(OR(10&gt;$B$27,ISBLANK(Actuals!L21)),"",Actuals!L21)</f>
        <v/>
      </c>
      <c r="AD45" s="114" t="n">
        <f aca="false">Budget!L21</f>
        <v>-176250.01</v>
      </c>
      <c r="AE45" s="114" t="str">
        <f aca="false">IF(AC45="","",AC45-AD45)</f>
        <v/>
      </c>
      <c r="AF45" s="114" t="str">
        <f aca="false">IF(OR(11&gt;$B$27,ISBLANK(Actuals!M21)),"",Actuals!M21)</f>
        <v/>
      </c>
      <c r="AG45" s="114" t="n">
        <f aca="false">Budget!M21</f>
        <v>-176250.01</v>
      </c>
      <c r="AH45" s="114" t="str">
        <f aca="false">IF(AF45="","",AF45-AG45)</f>
        <v/>
      </c>
      <c r="AI45" s="114" t="str">
        <f aca="false">IF(OR(12&gt;$B$27,ISBLANK(Actuals!N21)),"",Actuals!N21)</f>
        <v/>
      </c>
      <c r="AJ45" s="114" t="n">
        <f aca="false">Budget!N21</f>
        <v>-176250.01</v>
      </c>
      <c r="AK45" s="114" t="str">
        <f aca="false">IF(AI45="","",AI45-AJ45)</f>
        <v/>
      </c>
      <c r="AL45" s="117" t="n">
        <f aca="false">SUM(Actuals!$C21:INDEX(Actuals!$C21:$N21,$B$27))</f>
        <v>-1589842.61</v>
      </c>
      <c r="AM45" s="117" t="n">
        <f aca="false">SUM(Budget!$C21:INDEX(Budget!$C21:$N21,$B$27))</f>
        <v>-1410000.08</v>
      </c>
      <c r="AN45" s="117" t="n">
        <f aca="false">AL45-AM45</f>
        <v>-179842.53</v>
      </c>
      <c r="AP45" s="115" t="s">
        <v>402</v>
      </c>
    </row>
    <row r="46" customFormat="false" ht="15" hidden="true" customHeight="true" outlineLevel="1" collapsed="false">
      <c r="A46" s="110" t="s">
        <v>65</v>
      </c>
      <c r="B46" s="114" t="n">
        <f aca="false">IF(OR(1&gt;$B$27,ISBLANK(Actuals!C22)),"",Actuals!C22)</f>
        <v>-7450.37</v>
      </c>
      <c r="C46" s="114" t="n">
        <f aca="false">Budget!C22</f>
        <v>-26437.5</v>
      </c>
      <c r="D46" s="114" t="n">
        <f aca="false">IF(B46="","",B46-C46)</f>
        <v>18987.13</v>
      </c>
      <c r="E46" s="114" t="n">
        <f aca="false">IF(OR(2&gt;$B$27,ISBLANK(Actuals!D22)),"",Actuals!D22)</f>
        <v>-10567.2</v>
      </c>
      <c r="F46" s="114" t="n">
        <f aca="false">Budget!D22</f>
        <v>-26437.5</v>
      </c>
      <c r="G46" s="114" t="n">
        <f aca="false">IF(E46="","",E46-F46)</f>
        <v>15870.3</v>
      </c>
      <c r="H46" s="114" t="n">
        <f aca="false">IF(OR(3&gt;$B$27,ISBLANK(Actuals!E22)),"",Actuals!E22)</f>
        <v>-17033.3</v>
      </c>
      <c r="I46" s="114" t="n">
        <f aca="false">Budget!E22</f>
        <v>-26437.5</v>
      </c>
      <c r="J46" s="114" t="n">
        <f aca="false">IF(H46="","",H46-I46)</f>
        <v>9404.2</v>
      </c>
      <c r="K46" s="114" t="n">
        <f aca="false">IF(OR(4&gt;$B$27,ISBLANK(Actuals!F22)),"",Actuals!F22)</f>
        <v>-14599.57</v>
      </c>
      <c r="L46" s="114" t="n">
        <f aca="false">Budget!F22</f>
        <v>-26437.5</v>
      </c>
      <c r="M46" s="114" t="n">
        <f aca="false">IF(K46="","",K46-L46)</f>
        <v>11837.93</v>
      </c>
      <c r="N46" s="114" t="n">
        <f aca="false">IF(OR(5&gt;$B$27,ISBLANK(Actuals!G22)),"",Actuals!G22)</f>
        <v>-23689.02</v>
      </c>
      <c r="O46" s="114" t="n">
        <f aca="false">Budget!G22</f>
        <v>-26437.5</v>
      </c>
      <c r="P46" s="114" t="n">
        <f aca="false">IF(N46="","",N46-O46)</f>
        <v>2748.48</v>
      </c>
      <c r="Q46" s="114" t="n">
        <f aca="false">IF(OR(6&gt;$B$27,ISBLANK(Actuals!H22)),"",Actuals!H22)</f>
        <v>-14793.67</v>
      </c>
      <c r="R46" s="114" t="n">
        <f aca="false">Budget!H22</f>
        <v>-26437.5</v>
      </c>
      <c r="S46" s="114" t="n">
        <f aca="false">IF(Q46="","",Q46-R46)</f>
        <v>11643.83</v>
      </c>
      <c r="T46" s="114" t="n">
        <f aca="false">IF(OR(7&gt;$B$27,ISBLANK(Actuals!I22)),"",Actuals!I22)</f>
        <v>-16311.09</v>
      </c>
      <c r="U46" s="114" t="n">
        <f aca="false">Budget!I22</f>
        <v>-26437.5</v>
      </c>
      <c r="V46" s="114" t="n">
        <f aca="false">IF(T46="","",T46-U46)</f>
        <v>10126.41</v>
      </c>
      <c r="W46" s="114" t="n">
        <f aca="false">IF(OR(8&gt;$B$27,ISBLANK(Actuals!J22)),"",Actuals!J22)</f>
        <v>-16725.56</v>
      </c>
      <c r="X46" s="114" t="n">
        <f aca="false">Budget!J22</f>
        <v>-26437.5</v>
      </c>
      <c r="Y46" s="114" t="n">
        <f aca="false">IF(W46="","",W46-X46)</f>
        <v>9711.94</v>
      </c>
      <c r="Z46" s="114" t="str">
        <f aca="false">IF(OR(9&gt;$B$27,ISBLANK(Actuals!K22)),"",Actuals!K22)</f>
        <v/>
      </c>
      <c r="AA46" s="114" t="n">
        <f aca="false">Budget!K22</f>
        <v>-26437.5</v>
      </c>
      <c r="AB46" s="114" t="str">
        <f aca="false">IF(Z46="","",Z46-AA46)</f>
        <v/>
      </c>
      <c r="AC46" s="114" t="str">
        <f aca="false">IF(OR(10&gt;$B$27,ISBLANK(Actuals!L22)),"",Actuals!L22)</f>
        <v/>
      </c>
      <c r="AD46" s="114" t="n">
        <f aca="false">Budget!L22</f>
        <v>-26437.5</v>
      </c>
      <c r="AE46" s="114" t="str">
        <f aca="false">IF(AC46="","",AC46-AD46)</f>
        <v/>
      </c>
      <c r="AF46" s="114" t="str">
        <f aca="false">IF(OR(11&gt;$B$27,ISBLANK(Actuals!M22)),"",Actuals!M22)</f>
        <v/>
      </c>
      <c r="AG46" s="114" t="n">
        <f aca="false">Budget!M22</f>
        <v>-26437.5</v>
      </c>
      <c r="AH46" s="114" t="str">
        <f aca="false">IF(AF46="","",AF46-AG46)</f>
        <v/>
      </c>
      <c r="AI46" s="114" t="str">
        <f aca="false">IF(OR(12&gt;$B$27,ISBLANK(Actuals!N22)),"",Actuals!N22)</f>
        <v/>
      </c>
      <c r="AJ46" s="114" t="n">
        <f aca="false">Budget!N22</f>
        <v>-26437.5</v>
      </c>
      <c r="AK46" s="114" t="str">
        <f aca="false">IF(AI46="","",AI46-AJ46)</f>
        <v/>
      </c>
      <c r="AL46" s="117" t="n">
        <f aca="false">SUM(Actuals!$C22:INDEX(Actuals!$C22:$N22,$B$27))</f>
        <v>-121169.78</v>
      </c>
      <c r="AM46" s="117" t="n">
        <f aca="false">SUM(Budget!$C22:INDEX(Budget!$C22:$N22,$B$27))</f>
        <v>-211500</v>
      </c>
      <c r="AN46" s="117" t="n">
        <f aca="false">AL46-AM46</f>
        <v>90330.22</v>
      </c>
      <c r="AP46" s="115" t="s">
        <v>403</v>
      </c>
    </row>
    <row r="47" customFormat="false" ht="15" hidden="true" customHeight="true" outlineLevel="1" collapsed="false">
      <c r="A47" s="110" t="s">
        <v>66</v>
      </c>
      <c r="B47" s="114" t="str">
        <f aca="false">IF(OR(1&gt;$B$27,ISBLANK(Actuals!C23)),"",Actuals!C23)</f>
        <v/>
      </c>
      <c r="C47" s="114" t="n">
        <f aca="false">Budget!C23</f>
        <v>-58683.33</v>
      </c>
      <c r="D47" s="114" t="str">
        <f aca="false">IF(B47="","",B47-C47)</f>
        <v/>
      </c>
      <c r="E47" s="114" t="str">
        <f aca="false">IF(OR(2&gt;$B$27,ISBLANK(Actuals!D23)),"",Actuals!D23)</f>
        <v/>
      </c>
      <c r="F47" s="114" t="n">
        <f aca="false">Budget!D23</f>
        <v>-58683.33</v>
      </c>
      <c r="G47" s="114" t="str">
        <f aca="false">IF(E47="","",E47-F47)</f>
        <v/>
      </c>
      <c r="H47" s="114" t="str">
        <f aca="false">IF(OR(3&gt;$B$27,ISBLANK(Actuals!E23)),"",Actuals!E23)</f>
        <v/>
      </c>
      <c r="I47" s="114" t="n">
        <f aca="false">Budget!E23</f>
        <v>-58683.33</v>
      </c>
      <c r="J47" s="114" t="str">
        <f aca="false">IF(H47="","",H47-I47)</f>
        <v/>
      </c>
      <c r="K47" s="114" t="n">
        <f aca="false">IF(OR(4&gt;$B$27,ISBLANK(Actuals!F23)),"",Actuals!F23)</f>
        <v>0</v>
      </c>
      <c r="L47" s="114" t="n">
        <f aca="false">Budget!F23</f>
        <v>-58683.33</v>
      </c>
      <c r="M47" s="114" t="n">
        <f aca="false">IF(K47="","",K47-L47)</f>
        <v>58683.33</v>
      </c>
      <c r="N47" s="114" t="n">
        <f aca="false">IF(OR(5&gt;$B$27,ISBLANK(Actuals!G23)),"",Actuals!G23)</f>
        <v>0</v>
      </c>
      <c r="O47" s="114" t="n">
        <f aca="false">Budget!G23</f>
        <v>-58683.33</v>
      </c>
      <c r="P47" s="114" t="n">
        <f aca="false">IF(N47="","",N47-O47)</f>
        <v>58683.33</v>
      </c>
      <c r="Q47" s="114" t="n">
        <f aca="false">IF(OR(6&gt;$B$27,ISBLANK(Actuals!H23)),"",Actuals!H23)</f>
        <v>0</v>
      </c>
      <c r="R47" s="114" t="n">
        <f aca="false">Budget!H23</f>
        <v>-58683.33</v>
      </c>
      <c r="S47" s="114" t="n">
        <f aca="false">IF(Q47="","",Q47-R47)</f>
        <v>58683.33</v>
      </c>
      <c r="T47" s="114" t="n">
        <f aca="false">IF(OR(7&gt;$B$27,ISBLANK(Actuals!I23)),"",Actuals!I23)</f>
        <v>0</v>
      </c>
      <c r="U47" s="114" t="n">
        <f aca="false">Budget!I23</f>
        <v>-58683.33</v>
      </c>
      <c r="V47" s="114" t="n">
        <f aca="false">IF(T47="","",T47-U47)</f>
        <v>58683.33</v>
      </c>
      <c r="W47" s="114" t="n">
        <f aca="false">IF(OR(8&gt;$B$27,ISBLANK(Actuals!J23)),"",Actuals!J23)</f>
        <v>0</v>
      </c>
      <c r="X47" s="114" t="n">
        <f aca="false">Budget!J23</f>
        <v>-58683.33</v>
      </c>
      <c r="Y47" s="114" t="n">
        <f aca="false">IF(W47="","",W47-X47)</f>
        <v>58683.33</v>
      </c>
      <c r="Z47" s="114" t="str">
        <f aca="false">IF(OR(9&gt;$B$27,ISBLANK(Actuals!K23)),"",Actuals!K23)</f>
        <v/>
      </c>
      <c r="AA47" s="114" t="n">
        <f aca="false">Budget!K23</f>
        <v>-58683.33</v>
      </c>
      <c r="AB47" s="114" t="str">
        <f aca="false">IF(Z47="","",Z47-AA47)</f>
        <v/>
      </c>
      <c r="AC47" s="114" t="str">
        <f aca="false">IF(OR(10&gt;$B$27,ISBLANK(Actuals!L23)),"",Actuals!L23)</f>
        <v/>
      </c>
      <c r="AD47" s="114" t="n">
        <f aca="false">Budget!L23</f>
        <v>-58683.33</v>
      </c>
      <c r="AE47" s="114" t="str">
        <f aca="false">IF(AC47="","",AC47-AD47)</f>
        <v/>
      </c>
      <c r="AF47" s="114" t="str">
        <f aca="false">IF(OR(11&gt;$B$27,ISBLANK(Actuals!M23)),"",Actuals!M23)</f>
        <v/>
      </c>
      <c r="AG47" s="114" t="n">
        <f aca="false">Budget!M23</f>
        <v>-58683.33</v>
      </c>
      <c r="AH47" s="114" t="str">
        <f aca="false">IF(AF47="","",AF47-AG47)</f>
        <v/>
      </c>
      <c r="AI47" s="114" t="str">
        <f aca="false">IF(OR(12&gt;$B$27,ISBLANK(Actuals!N23)),"",Actuals!N23)</f>
        <v/>
      </c>
      <c r="AJ47" s="114" t="n">
        <f aca="false">Budget!N23</f>
        <v>-58683.33</v>
      </c>
      <c r="AK47" s="114" t="str">
        <f aca="false">IF(AI47="","",AI47-AJ47)</f>
        <v/>
      </c>
      <c r="AL47" s="117" t="n">
        <f aca="false">SUM(Actuals!$C23:INDEX(Actuals!$C23:$N23,$B$27))</f>
        <v>0</v>
      </c>
      <c r="AM47" s="117" t="n">
        <f aca="false">SUM(Budget!$C23:INDEX(Budget!$C23:$N23,$B$27))</f>
        <v>-469466.64</v>
      </c>
      <c r="AN47" s="117" t="n">
        <f aca="false">AL47-AM47</f>
        <v>469466.64</v>
      </c>
      <c r="AP47" s="115" t="s">
        <v>404</v>
      </c>
    </row>
    <row r="48" customFormat="false" ht="15" hidden="true" customHeight="true" outlineLevel="1" collapsed="false">
      <c r="A48" s="110" t="s">
        <v>67</v>
      </c>
      <c r="B48" s="114" t="n">
        <f aca="false">IF(OR(1&gt;$B$27,ISBLANK(Actuals!C24)),"",Actuals!C24)</f>
        <v>-9482.97</v>
      </c>
      <c r="C48" s="114" t="n">
        <f aca="false">Budget!C24</f>
        <v>-25071.7</v>
      </c>
      <c r="D48" s="114" t="n">
        <f aca="false">IF(B48="","",B48-C48)</f>
        <v>15588.73</v>
      </c>
      <c r="E48" s="114" t="n">
        <f aca="false">IF(OR(2&gt;$B$27,ISBLANK(Actuals!D24)),"",Actuals!D24)</f>
        <v>-10343.29</v>
      </c>
      <c r="F48" s="114" t="n">
        <f aca="false">Budget!D24</f>
        <v>-25071.7</v>
      </c>
      <c r="G48" s="114" t="n">
        <f aca="false">IF(E48="","",E48-F48)</f>
        <v>14728.41</v>
      </c>
      <c r="H48" s="114" t="n">
        <f aca="false">IF(OR(3&gt;$B$27,ISBLANK(Actuals!E24)),"",Actuals!E24)</f>
        <v>-3729.48</v>
      </c>
      <c r="I48" s="114" t="n">
        <f aca="false">Budget!E24</f>
        <v>-25071.7</v>
      </c>
      <c r="J48" s="114" t="n">
        <f aca="false">IF(H48="","",H48-I48)</f>
        <v>21342.22</v>
      </c>
      <c r="K48" s="114" t="n">
        <f aca="false">IF(OR(4&gt;$B$27,ISBLANK(Actuals!F24)),"",Actuals!F24)</f>
        <v>-3206.79</v>
      </c>
      <c r="L48" s="114" t="n">
        <f aca="false">Budget!F24</f>
        <v>-25071.7</v>
      </c>
      <c r="M48" s="114" t="n">
        <f aca="false">IF(K48="","",K48-L48)</f>
        <v>21864.91</v>
      </c>
      <c r="N48" s="114" t="n">
        <f aca="false">IF(OR(5&gt;$B$27,ISBLANK(Actuals!G24)),"",Actuals!G24)</f>
        <v>10942.55</v>
      </c>
      <c r="O48" s="114" t="n">
        <f aca="false">Budget!G24</f>
        <v>-25071.7</v>
      </c>
      <c r="P48" s="114" t="n">
        <f aca="false">IF(N48="","",N48-O48)</f>
        <v>36014.25</v>
      </c>
      <c r="Q48" s="114" t="n">
        <f aca="false">IF(OR(6&gt;$B$27,ISBLANK(Actuals!H24)),"",Actuals!H24)</f>
        <v>-8982.91</v>
      </c>
      <c r="R48" s="114" t="n">
        <f aca="false">Budget!H24</f>
        <v>-25071.7</v>
      </c>
      <c r="S48" s="114" t="n">
        <f aca="false">IF(Q48="","",Q48-R48)</f>
        <v>16088.79</v>
      </c>
      <c r="T48" s="114" t="n">
        <f aca="false">IF(OR(7&gt;$B$27,ISBLANK(Actuals!I24)),"",Actuals!I24)</f>
        <v>-14712.5</v>
      </c>
      <c r="U48" s="114" t="n">
        <f aca="false">Budget!I24</f>
        <v>-25071.7</v>
      </c>
      <c r="V48" s="114" t="n">
        <f aca="false">IF(T48="","",T48-U48)</f>
        <v>10359.2</v>
      </c>
      <c r="W48" s="114" t="n">
        <f aca="false">IF(OR(8&gt;$B$27,ISBLANK(Actuals!J24)),"",Actuals!J24)</f>
        <v>-12426.27</v>
      </c>
      <c r="X48" s="114" t="n">
        <f aca="false">Budget!J24</f>
        <v>-25071.7</v>
      </c>
      <c r="Y48" s="114" t="n">
        <f aca="false">IF(W48="","",W48-X48)</f>
        <v>12645.43</v>
      </c>
      <c r="Z48" s="114" t="str">
        <f aca="false">IF(OR(9&gt;$B$27,ISBLANK(Actuals!K24)),"",Actuals!K24)</f>
        <v/>
      </c>
      <c r="AA48" s="114" t="n">
        <f aca="false">Budget!K24</f>
        <v>-25071.7</v>
      </c>
      <c r="AB48" s="114" t="str">
        <f aca="false">IF(Z48="","",Z48-AA48)</f>
        <v/>
      </c>
      <c r="AC48" s="114" t="str">
        <f aca="false">IF(OR(10&gt;$B$27,ISBLANK(Actuals!L24)),"",Actuals!L24)</f>
        <v/>
      </c>
      <c r="AD48" s="114" t="n">
        <f aca="false">Budget!L24</f>
        <v>-25071.7</v>
      </c>
      <c r="AE48" s="114" t="str">
        <f aca="false">IF(AC48="","",AC48-AD48)</f>
        <v/>
      </c>
      <c r="AF48" s="114" t="str">
        <f aca="false">IF(OR(11&gt;$B$27,ISBLANK(Actuals!M24)),"",Actuals!M24)</f>
        <v/>
      </c>
      <c r="AG48" s="114" t="n">
        <f aca="false">Budget!M24</f>
        <v>-25071.7</v>
      </c>
      <c r="AH48" s="114" t="str">
        <f aca="false">IF(AF48="","",AF48-AG48)</f>
        <v/>
      </c>
      <c r="AI48" s="114" t="str">
        <f aca="false">IF(OR(12&gt;$B$27,ISBLANK(Actuals!N24)),"",Actuals!N24)</f>
        <v/>
      </c>
      <c r="AJ48" s="114" t="n">
        <f aca="false">Budget!N24</f>
        <v>-25071.7</v>
      </c>
      <c r="AK48" s="114" t="str">
        <f aca="false">IF(AI48="","",AI48-AJ48)</f>
        <v/>
      </c>
      <c r="AL48" s="117" t="n">
        <f aca="false">SUM(Actuals!$C24:INDEX(Actuals!$C24:$N24,$B$27))</f>
        <v>-51941.66</v>
      </c>
      <c r="AM48" s="117" t="n">
        <f aca="false">SUM(Budget!$C24:INDEX(Budget!$C24:$N24,$B$27))</f>
        <v>-200573.6</v>
      </c>
      <c r="AN48" s="117" t="n">
        <f aca="false">AL48-AM48</f>
        <v>148631.94</v>
      </c>
      <c r="AP48" s="115" t="s">
        <v>405</v>
      </c>
    </row>
    <row r="49" customFormat="false" ht="15" hidden="true" customHeight="true" outlineLevel="1" collapsed="false">
      <c r="A49" s="110" t="s">
        <v>68</v>
      </c>
      <c r="B49" s="114" t="n">
        <f aca="false">IF(OR(1&gt;$B$27,ISBLANK(Actuals!C25)),"",Actuals!C25)</f>
        <v>-2542.47</v>
      </c>
      <c r="C49" s="114" t="n">
        <f aca="false">Budget!C25</f>
        <v>-1731.41</v>
      </c>
      <c r="D49" s="114" t="n">
        <f aca="false">IF(B49="","",B49-C49)</f>
        <v>-811.06</v>
      </c>
      <c r="E49" s="114" t="n">
        <f aca="false">IF(OR(2&gt;$B$27,ISBLANK(Actuals!D25)),"",Actuals!D25)</f>
        <v>-1618.75</v>
      </c>
      <c r="F49" s="114" t="n">
        <f aca="false">Budget!D25</f>
        <v>-1731.41</v>
      </c>
      <c r="G49" s="114" t="n">
        <f aca="false">IF(E49="","",E49-F49)</f>
        <v>112.66</v>
      </c>
      <c r="H49" s="114" t="n">
        <f aca="false">IF(OR(3&gt;$B$27,ISBLANK(Actuals!E25)),"",Actuals!E25)</f>
        <v>3406.77</v>
      </c>
      <c r="I49" s="114" t="n">
        <f aca="false">Budget!E25</f>
        <v>-1731.41</v>
      </c>
      <c r="J49" s="114" t="n">
        <f aca="false">IF(H49="","",H49-I49)</f>
        <v>5138.18</v>
      </c>
      <c r="K49" s="114" t="n">
        <f aca="false">IF(OR(4&gt;$B$27,ISBLANK(Actuals!F25)),"",Actuals!F25)</f>
        <v>2575.42</v>
      </c>
      <c r="L49" s="114" t="n">
        <f aca="false">Budget!F25</f>
        <v>-1731.41</v>
      </c>
      <c r="M49" s="114" t="n">
        <f aca="false">IF(K49="","",K49-L49)</f>
        <v>4306.83</v>
      </c>
      <c r="N49" s="114" t="n">
        <f aca="false">IF(OR(5&gt;$B$27,ISBLANK(Actuals!G25)),"",Actuals!G25)</f>
        <v>-1896.11</v>
      </c>
      <c r="O49" s="114" t="n">
        <f aca="false">Budget!G25</f>
        <v>-1731.41</v>
      </c>
      <c r="P49" s="114" t="n">
        <f aca="false">IF(N49="","",N49-O49)</f>
        <v>-164.7</v>
      </c>
      <c r="Q49" s="114" t="n">
        <f aca="false">IF(OR(6&gt;$B$27,ISBLANK(Actuals!H25)),"",Actuals!H25)</f>
        <v>-2888.37</v>
      </c>
      <c r="R49" s="114" t="n">
        <f aca="false">Budget!H25</f>
        <v>-1731.41</v>
      </c>
      <c r="S49" s="114" t="n">
        <f aca="false">IF(Q49="","",Q49-R49)</f>
        <v>-1156.96</v>
      </c>
      <c r="T49" s="114" t="n">
        <f aca="false">IF(OR(7&gt;$B$27,ISBLANK(Actuals!I25)),"",Actuals!I25)</f>
        <v>636.26</v>
      </c>
      <c r="U49" s="114" t="n">
        <f aca="false">Budget!I25</f>
        <v>-1731.41</v>
      </c>
      <c r="V49" s="114" t="n">
        <f aca="false">IF(T49="","",T49-U49)</f>
        <v>2367.67</v>
      </c>
      <c r="W49" s="114" t="n">
        <f aca="false">IF(OR(8&gt;$B$27,ISBLANK(Actuals!J25)),"",Actuals!J25)</f>
        <v>-2370.43</v>
      </c>
      <c r="X49" s="114" t="n">
        <f aca="false">Budget!J25</f>
        <v>-1731.41</v>
      </c>
      <c r="Y49" s="114" t="n">
        <f aca="false">IF(W49="","",W49-X49)</f>
        <v>-639.02</v>
      </c>
      <c r="Z49" s="114" t="str">
        <f aca="false">IF(OR(9&gt;$B$27,ISBLANK(Actuals!K25)),"",Actuals!K25)</f>
        <v/>
      </c>
      <c r="AA49" s="114" t="n">
        <f aca="false">Budget!K25</f>
        <v>-1731.41</v>
      </c>
      <c r="AB49" s="114" t="str">
        <f aca="false">IF(Z49="","",Z49-AA49)</f>
        <v/>
      </c>
      <c r="AC49" s="114" t="str">
        <f aca="false">IF(OR(10&gt;$B$27,ISBLANK(Actuals!L25)),"",Actuals!L25)</f>
        <v/>
      </c>
      <c r="AD49" s="114" t="n">
        <f aca="false">Budget!L25</f>
        <v>-1731.41</v>
      </c>
      <c r="AE49" s="114" t="str">
        <f aca="false">IF(AC49="","",AC49-AD49)</f>
        <v/>
      </c>
      <c r="AF49" s="114" t="str">
        <f aca="false">IF(OR(11&gt;$B$27,ISBLANK(Actuals!M25)),"",Actuals!M25)</f>
        <v/>
      </c>
      <c r="AG49" s="114" t="n">
        <f aca="false">Budget!M25</f>
        <v>-1731.41</v>
      </c>
      <c r="AH49" s="114" t="str">
        <f aca="false">IF(AF49="","",AF49-AG49)</f>
        <v/>
      </c>
      <c r="AI49" s="114" t="str">
        <f aca="false">IF(OR(12&gt;$B$27,ISBLANK(Actuals!N25)),"",Actuals!N25)</f>
        <v/>
      </c>
      <c r="AJ49" s="114" t="n">
        <f aca="false">Budget!N25</f>
        <v>-1731.41</v>
      </c>
      <c r="AK49" s="114" t="str">
        <f aca="false">IF(AI49="","",AI49-AJ49)</f>
        <v/>
      </c>
      <c r="AL49" s="117" t="n">
        <f aca="false">SUM(Actuals!$C25:INDEX(Actuals!$C25:$N25,$B$27))</f>
        <v>-4697.68</v>
      </c>
      <c r="AM49" s="117" t="n">
        <f aca="false">SUM(Budget!$C25:INDEX(Budget!$C25:$N25,$B$27))</f>
        <v>-13851.28</v>
      </c>
      <c r="AN49" s="117" t="n">
        <f aca="false">AL49-AM49</f>
        <v>9153.6</v>
      </c>
    </row>
    <row r="50" customFormat="false" ht="15" hidden="true" customHeight="true" outlineLevel="1" collapsed="false">
      <c r="A50" s="110" t="s">
        <v>69</v>
      </c>
      <c r="B50" s="114" t="n">
        <f aca="false">IF(OR(1&gt;$B$27,ISBLANK(Actuals!C26)),"",Actuals!C26)</f>
        <v>-195</v>
      </c>
      <c r="C50" s="114" t="n">
        <f aca="false">Budget!C26</f>
        <v>-1008</v>
      </c>
      <c r="D50" s="114" t="n">
        <f aca="false">IF(B50="","",B50-C50)</f>
        <v>813</v>
      </c>
      <c r="E50" s="114" t="n">
        <f aca="false">IF(OR(2&gt;$B$27,ISBLANK(Actuals!D26)),"",Actuals!D26)</f>
        <v>-200</v>
      </c>
      <c r="F50" s="114" t="n">
        <f aca="false">Budget!D26</f>
        <v>-1008</v>
      </c>
      <c r="G50" s="114" t="n">
        <f aca="false">IF(E50="","",E50-F50)</f>
        <v>808</v>
      </c>
      <c r="H50" s="114" t="n">
        <f aca="false">IF(OR(3&gt;$B$27,ISBLANK(Actuals!E26)),"",Actuals!E26)</f>
        <v>0</v>
      </c>
      <c r="I50" s="114" t="n">
        <f aca="false">Budget!E26</f>
        <v>-1008</v>
      </c>
      <c r="J50" s="114" t="n">
        <f aca="false">IF(H50="","",H50-I50)</f>
        <v>1008</v>
      </c>
      <c r="K50" s="114" t="n">
        <f aca="false">IF(OR(4&gt;$B$27,ISBLANK(Actuals!F26)),"",Actuals!F26)</f>
        <v>0</v>
      </c>
      <c r="L50" s="114" t="n">
        <f aca="false">Budget!F26</f>
        <v>-1008</v>
      </c>
      <c r="M50" s="114" t="n">
        <f aca="false">IF(K50="","",K50-L50)</f>
        <v>1008</v>
      </c>
      <c r="N50" s="114" t="n">
        <f aca="false">IF(OR(5&gt;$B$27,ISBLANK(Actuals!G26)),"",Actuals!G26)</f>
        <v>0</v>
      </c>
      <c r="O50" s="114" t="n">
        <f aca="false">Budget!G26</f>
        <v>-1008</v>
      </c>
      <c r="P50" s="114" t="n">
        <f aca="false">IF(N50="","",N50-O50)</f>
        <v>1008</v>
      </c>
      <c r="Q50" s="114" t="n">
        <f aca="false">IF(OR(6&gt;$B$27,ISBLANK(Actuals!H26)),"",Actuals!H26)</f>
        <v>0</v>
      </c>
      <c r="R50" s="114" t="n">
        <f aca="false">Budget!H26</f>
        <v>-1008</v>
      </c>
      <c r="S50" s="114" t="n">
        <f aca="false">IF(Q50="","",Q50-R50)</f>
        <v>1008</v>
      </c>
      <c r="T50" s="114" t="n">
        <f aca="false">IF(OR(7&gt;$B$27,ISBLANK(Actuals!I26)),"",Actuals!I26)</f>
        <v>0</v>
      </c>
      <c r="U50" s="114" t="n">
        <f aca="false">Budget!I26</f>
        <v>-1008</v>
      </c>
      <c r="V50" s="114" t="n">
        <f aca="false">IF(T50="","",T50-U50)</f>
        <v>1008</v>
      </c>
      <c r="W50" s="114" t="n">
        <f aca="false">IF(OR(8&gt;$B$27,ISBLANK(Actuals!J26)),"",Actuals!J26)</f>
        <v>0</v>
      </c>
      <c r="X50" s="114" t="n">
        <f aca="false">Budget!J26</f>
        <v>-1008</v>
      </c>
      <c r="Y50" s="114" t="n">
        <f aca="false">IF(W50="","",W50-X50)</f>
        <v>1008</v>
      </c>
      <c r="Z50" s="114" t="str">
        <f aca="false">IF(OR(9&gt;$B$27,ISBLANK(Actuals!K26)),"",Actuals!K26)</f>
        <v/>
      </c>
      <c r="AA50" s="114" t="n">
        <f aca="false">Budget!K26</f>
        <v>-1008</v>
      </c>
      <c r="AB50" s="114" t="str">
        <f aca="false">IF(Z50="","",Z50-AA50)</f>
        <v/>
      </c>
      <c r="AC50" s="114" t="str">
        <f aca="false">IF(OR(10&gt;$B$27,ISBLANK(Actuals!L26)),"",Actuals!L26)</f>
        <v/>
      </c>
      <c r="AD50" s="114" t="n">
        <f aca="false">Budget!L26</f>
        <v>-1008</v>
      </c>
      <c r="AE50" s="114" t="str">
        <f aca="false">IF(AC50="","",AC50-AD50)</f>
        <v/>
      </c>
      <c r="AF50" s="114" t="str">
        <f aca="false">IF(OR(11&gt;$B$27,ISBLANK(Actuals!M26)),"",Actuals!M26)</f>
        <v/>
      </c>
      <c r="AG50" s="114" t="n">
        <f aca="false">Budget!M26</f>
        <v>-1008</v>
      </c>
      <c r="AH50" s="114" t="str">
        <f aca="false">IF(AF50="","",AF50-AG50)</f>
        <v/>
      </c>
      <c r="AI50" s="114" t="str">
        <f aca="false">IF(OR(12&gt;$B$27,ISBLANK(Actuals!N26)),"",Actuals!N26)</f>
        <v/>
      </c>
      <c r="AJ50" s="114" t="n">
        <f aca="false">Budget!N26</f>
        <v>-1008</v>
      </c>
      <c r="AK50" s="114" t="str">
        <f aca="false">IF(AI50="","",AI50-AJ50)</f>
        <v/>
      </c>
      <c r="AL50" s="117" t="n">
        <f aca="false">SUM(Actuals!$C26:INDEX(Actuals!$C26:$N26,$B$27))</f>
        <v>-395</v>
      </c>
      <c r="AM50" s="117" t="n">
        <f aca="false">SUM(Budget!$C26:INDEX(Budget!$C26:$N26,$B$27))</f>
        <v>-8064</v>
      </c>
      <c r="AN50" s="117" t="n">
        <f aca="false">AL50-AM50</f>
        <v>7669</v>
      </c>
    </row>
    <row r="51" customFormat="false" ht="15" hidden="true" customHeight="true" outlineLevel="1" collapsed="false">
      <c r="A51" s="110" t="s">
        <v>70</v>
      </c>
      <c r="B51" s="114" t="n">
        <f aca="false">IF(OR(1&gt;$B$27,ISBLANK(Actuals!C27)),"",Actuals!C27)</f>
        <v>-33002.28</v>
      </c>
      <c r="C51" s="114" t="n">
        <f aca="false">Budget!C27</f>
        <v>0</v>
      </c>
      <c r="D51" s="114" t="n">
        <f aca="false">IF(B51="","",B51-C51)</f>
        <v>-33002.28</v>
      </c>
      <c r="E51" s="114" t="n">
        <f aca="false">IF(OR(2&gt;$B$27,ISBLANK(Actuals!D27)),"",Actuals!D27)</f>
        <v>-29166.66</v>
      </c>
      <c r="F51" s="114" t="n">
        <f aca="false">Budget!D27</f>
        <v>0</v>
      </c>
      <c r="G51" s="114" t="n">
        <f aca="false">IF(E51="","",E51-F51)</f>
        <v>-29166.66</v>
      </c>
      <c r="H51" s="114" t="n">
        <f aca="false">IF(OR(3&gt;$B$27,ISBLANK(Actuals!E27)),"",Actuals!E27)</f>
        <v>-41666.66</v>
      </c>
      <c r="I51" s="114" t="n">
        <f aca="false">Budget!E27</f>
        <v>0</v>
      </c>
      <c r="J51" s="114" t="n">
        <f aca="false">IF(H51="","",H51-I51)</f>
        <v>-41666.66</v>
      </c>
      <c r="K51" s="114" t="n">
        <f aca="false">IF(OR(4&gt;$B$27,ISBLANK(Actuals!F27)),"",Actuals!F27)</f>
        <v>-29166.66</v>
      </c>
      <c r="L51" s="114" t="n">
        <f aca="false">Budget!F27</f>
        <v>0</v>
      </c>
      <c r="M51" s="114" t="n">
        <f aca="false">IF(K51="","",K51-L51)</f>
        <v>-29166.66</v>
      </c>
      <c r="N51" s="114" t="n">
        <f aca="false">IF(OR(5&gt;$B$27,ISBLANK(Actuals!G27)),"",Actuals!G27)</f>
        <v>-29166.66</v>
      </c>
      <c r="O51" s="114" t="n">
        <f aca="false">Budget!G27</f>
        <v>0</v>
      </c>
      <c r="P51" s="114" t="n">
        <f aca="false">IF(N51="","",N51-O51)</f>
        <v>-29166.66</v>
      </c>
      <c r="Q51" s="114" t="n">
        <f aca="false">IF(OR(6&gt;$B$27,ISBLANK(Actuals!H27)),"",Actuals!H27)</f>
        <v>-29166.66</v>
      </c>
      <c r="R51" s="114" t="n">
        <f aca="false">Budget!H27</f>
        <v>0</v>
      </c>
      <c r="S51" s="114" t="n">
        <f aca="false">IF(Q51="","",Q51-R51)</f>
        <v>-29166.66</v>
      </c>
      <c r="T51" s="114" t="n">
        <f aca="false">IF(OR(7&gt;$B$27,ISBLANK(Actuals!I27)),"",Actuals!I27)</f>
        <v>-29166.66</v>
      </c>
      <c r="U51" s="114" t="n">
        <f aca="false">Budget!I27</f>
        <v>0</v>
      </c>
      <c r="V51" s="114" t="n">
        <f aca="false">IF(T51="","",T51-U51)</f>
        <v>-29166.66</v>
      </c>
      <c r="W51" s="114" t="n">
        <f aca="false">IF(OR(8&gt;$B$27,ISBLANK(Actuals!J27)),"",Actuals!J27)</f>
        <v>-29166.66</v>
      </c>
      <c r="X51" s="114" t="n">
        <f aca="false">Budget!J27</f>
        <v>0</v>
      </c>
      <c r="Y51" s="114" t="n">
        <f aca="false">IF(W51="","",W51-X51)</f>
        <v>-29166.66</v>
      </c>
      <c r="Z51" s="114" t="str">
        <f aca="false">IF(OR(9&gt;$B$27,ISBLANK(Actuals!K27)),"",Actuals!K27)</f>
        <v/>
      </c>
      <c r="AA51" s="114" t="n">
        <f aca="false">Budget!K27</f>
        <v>0</v>
      </c>
      <c r="AB51" s="114" t="str">
        <f aca="false">IF(Z51="","",Z51-AA51)</f>
        <v/>
      </c>
      <c r="AC51" s="114" t="str">
        <f aca="false">IF(OR(10&gt;$B$27,ISBLANK(Actuals!L27)),"",Actuals!L27)</f>
        <v/>
      </c>
      <c r="AD51" s="114" t="n">
        <f aca="false">Budget!L27</f>
        <v>0</v>
      </c>
      <c r="AE51" s="114" t="str">
        <f aca="false">IF(AC51="","",AC51-AD51)</f>
        <v/>
      </c>
      <c r="AF51" s="114" t="str">
        <f aca="false">IF(OR(11&gt;$B$27,ISBLANK(Actuals!M27)),"",Actuals!M27)</f>
        <v/>
      </c>
      <c r="AG51" s="114" t="n">
        <f aca="false">Budget!M27</f>
        <v>0</v>
      </c>
      <c r="AH51" s="114" t="str">
        <f aca="false">IF(AF51="","",AF51-AG51)</f>
        <v/>
      </c>
      <c r="AI51" s="114" t="str">
        <f aca="false">IF(OR(12&gt;$B$27,ISBLANK(Actuals!N27)),"",Actuals!N27)</f>
        <v/>
      </c>
      <c r="AJ51" s="114" t="n">
        <f aca="false">Budget!N27</f>
        <v>0</v>
      </c>
      <c r="AK51" s="114" t="str">
        <f aca="false">IF(AI51="","",AI51-AJ51)</f>
        <v/>
      </c>
      <c r="AL51" s="117" t="n">
        <f aca="false">SUM(Actuals!$C27:INDEX(Actuals!$C27:$N27,$B$27))</f>
        <v>-249668.9</v>
      </c>
      <c r="AM51" s="117" t="n">
        <f aca="false">SUM(Budget!$C27:INDEX(Budget!$C27:$N27,$B$27))</f>
        <v>0</v>
      </c>
      <c r="AN51" s="117" t="n">
        <f aca="false">AL51-AM51</f>
        <v>-249668.9</v>
      </c>
      <c r="AP51" s="115" t="s">
        <v>406</v>
      </c>
    </row>
    <row r="52" customFormat="false" ht="15" hidden="true" customHeight="true" outlineLevel="1" collapsed="false">
      <c r="A52" s="110" t="s">
        <v>71</v>
      </c>
      <c r="B52" s="114" t="n">
        <f aca="false">IF(OR(1&gt;$B$27,ISBLANK(Actuals!C28)),"",Actuals!C28)</f>
        <v>0</v>
      </c>
      <c r="C52" s="114" t="n">
        <f aca="false">Budget!C28</f>
        <v>0</v>
      </c>
      <c r="D52" s="114" t="n">
        <f aca="false">IF(B52="","",B52-C52)</f>
        <v>0</v>
      </c>
      <c r="E52" s="114" t="n">
        <f aca="false">IF(OR(2&gt;$B$27,ISBLANK(Actuals!D28)),"",Actuals!D28)</f>
        <v>0</v>
      </c>
      <c r="F52" s="114" t="n">
        <f aca="false">Budget!D28</f>
        <v>0</v>
      </c>
      <c r="G52" s="114" t="n">
        <f aca="false">IF(E52="","",E52-F52)</f>
        <v>0</v>
      </c>
      <c r="H52" s="114" t="n">
        <f aca="false">IF(OR(3&gt;$B$27,ISBLANK(Actuals!E28)),"",Actuals!E28)</f>
        <v>0</v>
      </c>
      <c r="I52" s="114" t="n">
        <f aca="false">Budget!E28</f>
        <v>0</v>
      </c>
      <c r="J52" s="114" t="n">
        <f aca="false">IF(H52="","",H52-I52)</f>
        <v>0</v>
      </c>
      <c r="K52" s="114" t="n">
        <f aca="false">IF(OR(4&gt;$B$27,ISBLANK(Actuals!F28)),"",Actuals!F28)</f>
        <v>251304.48</v>
      </c>
      <c r="L52" s="114" t="n">
        <f aca="false">Budget!F28</f>
        <v>0</v>
      </c>
      <c r="M52" s="114" t="n">
        <f aca="false">IF(K52="","",K52-L52)</f>
        <v>251304.48</v>
      </c>
      <c r="N52" s="114" t="n">
        <f aca="false">IF(OR(5&gt;$B$27,ISBLANK(Actuals!G28)),"",Actuals!G28)</f>
        <v>81510</v>
      </c>
      <c r="O52" s="114" t="n">
        <f aca="false">Budget!G28</f>
        <v>0</v>
      </c>
      <c r="P52" s="114" t="n">
        <f aca="false">IF(N52="","",N52-O52)</f>
        <v>81510</v>
      </c>
      <c r="Q52" s="114" t="n">
        <f aca="false">IF(OR(6&gt;$B$27,ISBLANK(Actuals!H28)),"",Actuals!H28)</f>
        <v>0</v>
      </c>
      <c r="R52" s="114" t="n">
        <f aca="false">Budget!H28</f>
        <v>0</v>
      </c>
      <c r="S52" s="114" t="n">
        <f aca="false">IF(Q52="","",Q52-R52)</f>
        <v>0</v>
      </c>
      <c r="T52" s="114" t="n">
        <f aca="false">IF(OR(7&gt;$B$27,ISBLANK(Actuals!I28)),"",Actuals!I28)</f>
        <v>0</v>
      </c>
      <c r="U52" s="114" t="n">
        <f aca="false">Budget!I28</f>
        <v>0</v>
      </c>
      <c r="V52" s="114" t="n">
        <f aca="false">IF(T52="","",T52-U52)</f>
        <v>0</v>
      </c>
      <c r="W52" s="114" t="n">
        <f aca="false">IF(OR(8&gt;$B$27,ISBLANK(Actuals!J28)),"",Actuals!J28)</f>
        <v>0</v>
      </c>
      <c r="X52" s="114" t="n">
        <f aca="false">Budget!J28</f>
        <v>0</v>
      </c>
      <c r="Y52" s="114" t="n">
        <f aca="false">IF(W52="","",W52-X52)</f>
        <v>0</v>
      </c>
      <c r="Z52" s="114" t="str">
        <f aca="false">IF(OR(9&gt;$B$27,ISBLANK(Actuals!K28)),"",Actuals!K28)</f>
        <v/>
      </c>
      <c r="AA52" s="114" t="n">
        <f aca="false">Budget!K28</f>
        <v>0</v>
      </c>
      <c r="AB52" s="114" t="str">
        <f aca="false">IF(Z52="","",Z52-AA52)</f>
        <v/>
      </c>
      <c r="AC52" s="114" t="str">
        <f aca="false">IF(OR(10&gt;$B$27,ISBLANK(Actuals!L28)),"",Actuals!L28)</f>
        <v/>
      </c>
      <c r="AD52" s="114" t="n">
        <f aca="false">Budget!L28</f>
        <v>0</v>
      </c>
      <c r="AE52" s="114" t="str">
        <f aca="false">IF(AC52="","",AC52-AD52)</f>
        <v/>
      </c>
      <c r="AF52" s="114" t="str">
        <f aca="false">IF(OR(11&gt;$B$27,ISBLANK(Actuals!M28)),"",Actuals!M28)</f>
        <v/>
      </c>
      <c r="AG52" s="114" t="n">
        <f aca="false">Budget!M28</f>
        <v>0</v>
      </c>
      <c r="AH52" s="114" t="str">
        <f aca="false">IF(AF52="","",AF52-AG52)</f>
        <v/>
      </c>
      <c r="AI52" s="114" t="str">
        <f aca="false">IF(OR(12&gt;$B$27,ISBLANK(Actuals!N28)),"",Actuals!N28)</f>
        <v/>
      </c>
      <c r="AJ52" s="114" t="n">
        <f aca="false">Budget!N28</f>
        <v>0</v>
      </c>
      <c r="AK52" s="114" t="str">
        <f aca="false">IF(AI52="","",AI52-AJ52)</f>
        <v/>
      </c>
      <c r="AL52" s="117" t="n">
        <f aca="false">SUM(Actuals!$C28:INDEX(Actuals!$C28:$N28,$B$27))</f>
        <v>332814.48</v>
      </c>
      <c r="AM52" s="117" t="n">
        <f aca="false">SUM(Budget!$C28:INDEX(Budget!$C28:$N28,$B$27))</f>
        <v>0</v>
      </c>
      <c r="AN52" s="117" t="n">
        <f aca="false">AL52-AM52</f>
        <v>332814.48</v>
      </c>
      <c r="AP52" s="115" t="s">
        <v>407</v>
      </c>
    </row>
    <row r="53" customFormat="false" ht="15" hidden="true" customHeight="true" outlineLevel="1" collapsed="false">
      <c r="A53" s="110" t="s">
        <v>72</v>
      </c>
      <c r="B53" s="114" t="n">
        <f aca="false">IF(OR(1&gt;$B$27,ISBLANK(Actuals!C29)),"",Actuals!C29)</f>
        <v>-10400</v>
      </c>
      <c r="C53" s="114" t="n">
        <f aca="false">Budget!C29</f>
        <v>-10000</v>
      </c>
      <c r="D53" s="114" t="n">
        <f aca="false">IF(B53="","",B53-C53)</f>
        <v>-400</v>
      </c>
      <c r="E53" s="114" t="n">
        <f aca="false">IF(OR(2&gt;$B$27,ISBLANK(Actuals!D29)),"",Actuals!D29)</f>
        <v>-10400</v>
      </c>
      <c r="F53" s="114" t="n">
        <f aca="false">Budget!D29</f>
        <v>-10000</v>
      </c>
      <c r="G53" s="114" t="n">
        <f aca="false">IF(E53="","",E53-F53)</f>
        <v>-400</v>
      </c>
      <c r="H53" s="114" t="n">
        <f aca="false">IF(OR(3&gt;$B$27,ISBLANK(Actuals!E29)),"",Actuals!E29)</f>
        <v>-400</v>
      </c>
      <c r="I53" s="114" t="n">
        <f aca="false">Budget!E29</f>
        <v>-10000</v>
      </c>
      <c r="J53" s="114" t="n">
        <f aca="false">IF(H53="","",H53-I53)</f>
        <v>9600</v>
      </c>
      <c r="K53" s="114" t="n">
        <f aca="false">IF(OR(4&gt;$B$27,ISBLANK(Actuals!F29)),"",Actuals!F29)</f>
        <v>-10400</v>
      </c>
      <c r="L53" s="114" t="n">
        <f aca="false">Budget!F29</f>
        <v>-10000</v>
      </c>
      <c r="M53" s="114" t="n">
        <f aca="false">IF(K53="","",K53-L53)</f>
        <v>-400</v>
      </c>
      <c r="N53" s="114" t="n">
        <f aca="false">IF(OR(5&gt;$B$27,ISBLANK(Actuals!G29)),"",Actuals!G29)</f>
        <v>-20400</v>
      </c>
      <c r="O53" s="114" t="n">
        <f aca="false">Budget!G29</f>
        <v>-10000</v>
      </c>
      <c r="P53" s="114" t="n">
        <f aca="false">IF(N53="","",N53-O53)</f>
        <v>-10400</v>
      </c>
      <c r="Q53" s="114" t="n">
        <f aca="false">IF(OR(6&gt;$B$27,ISBLANK(Actuals!H29)),"",Actuals!H29)</f>
        <v>-20405</v>
      </c>
      <c r="R53" s="114" t="n">
        <f aca="false">Budget!H29</f>
        <v>-10000</v>
      </c>
      <c r="S53" s="114" t="n">
        <f aca="false">IF(Q53="","",Q53-R53)</f>
        <v>-10405</v>
      </c>
      <c r="T53" s="114" t="n">
        <f aca="false">IF(OR(7&gt;$B$27,ISBLANK(Actuals!I29)),"",Actuals!I29)</f>
        <v>-20405</v>
      </c>
      <c r="U53" s="114" t="n">
        <f aca="false">Budget!I29</f>
        <v>-10200</v>
      </c>
      <c r="V53" s="114" t="n">
        <f aca="false">IF(T53="","",T53-U53)</f>
        <v>-10205</v>
      </c>
      <c r="W53" s="114" t="n">
        <f aca="false">IF(OR(8&gt;$B$27,ISBLANK(Actuals!J29)),"",Actuals!J29)</f>
        <v>-20405</v>
      </c>
      <c r="X53" s="114" t="n">
        <f aca="false">Budget!J29</f>
        <v>-10200</v>
      </c>
      <c r="Y53" s="114" t="n">
        <f aca="false">IF(W53="","",W53-X53)</f>
        <v>-10205</v>
      </c>
      <c r="Z53" s="114" t="str">
        <f aca="false">IF(OR(9&gt;$B$27,ISBLANK(Actuals!K29)),"",Actuals!K29)</f>
        <v/>
      </c>
      <c r="AA53" s="114" t="n">
        <f aca="false">Budget!K29</f>
        <v>-10200</v>
      </c>
      <c r="AB53" s="114" t="str">
        <f aca="false">IF(Z53="","",Z53-AA53)</f>
        <v/>
      </c>
      <c r="AC53" s="114" t="str">
        <f aca="false">IF(OR(10&gt;$B$27,ISBLANK(Actuals!L29)),"",Actuals!L29)</f>
        <v/>
      </c>
      <c r="AD53" s="114" t="n">
        <f aca="false">Budget!L29</f>
        <v>-10200</v>
      </c>
      <c r="AE53" s="114" t="str">
        <f aca="false">IF(AC53="","",AC53-AD53)</f>
        <v/>
      </c>
      <c r="AF53" s="114" t="str">
        <f aca="false">IF(OR(11&gt;$B$27,ISBLANK(Actuals!M29)),"",Actuals!M29)</f>
        <v/>
      </c>
      <c r="AG53" s="114" t="n">
        <f aca="false">Budget!M29</f>
        <v>-10200</v>
      </c>
      <c r="AH53" s="114" t="str">
        <f aca="false">IF(AF53="","",AF53-AG53)</f>
        <v/>
      </c>
      <c r="AI53" s="114" t="str">
        <f aca="false">IF(OR(12&gt;$B$27,ISBLANK(Actuals!N29)),"",Actuals!N29)</f>
        <v/>
      </c>
      <c r="AJ53" s="114" t="n">
        <f aca="false">Budget!N29</f>
        <v>-10200</v>
      </c>
      <c r="AK53" s="114" t="str">
        <f aca="false">IF(AI53="","",AI53-AJ53)</f>
        <v/>
      </c>
      <c r="AL53" s="117" t="n">
        <f aca="false">SUM(Actuals!$C29:INDEX(Actuals!$C29:$N29,$B$27))</f>
        <v>-113215</v>
      </c>
      <c r="AM53" s="117" t="n">
        <f aca="false">SUM(Budget!$C29:INDEX(Budget!$C29:$N29,$B$27))</f>
        <v>-80400</v>
      </c>
      <c r="AN53" s="117" t="n">
        <f aca="false">AL53-AM53</f>
        <v>-32815</v>
      </c>
      <c r="AP53" s="115" t="s">
        <v>408</v>
      </c>
    </row>
    <row r="54" customFormat="false" ht="15" hidden="true" customHeight="true" outlineLevel="1" collapsed="false">
      <c r="A54" s="110" t="s">
        <v>73</v>
      </c>
      <c r="B54" s="114" t="n">
        <f aca="false">IF(OR(1&gt;$B$27,ISBLANK(Actuals!C30)),"",Actuals!C30)</f>
        <v>-1988</v>
      </c>
      <c r="C54" s="114" t="n">
        <f aca="false">Budget!C30</f>
        <v>-2800</v>
      </c>
      <c r="D54" s="114" t="n">
        <f aca="false">IF(B54="","",B54-C54)</f>
        <v>812</v>
      </c>
      <c r="E54" s="114" t="n">
        <f aca="false">IF(OR(2&gt;$B$27,ISBLANK(Actuals!D30)),"",Actuals!D30)</f>
        <v>-955.32</v>
      </c>
      <c r="F54" s="114" t="n">
        <f aca="false">Budget!D30</f>
        <v>-2800</v>
      </c>
      <c r="G54" s="114" t="n">
        <f aca="false">IF(E54="","",E54-F54)</f>
        <v>1844.68</v>
      </c>
      <c r="H54" s="114" t="n">
        <f aca="false">IF(OR(3&gt;$B$27,ISBLANK(Actuals!E30)),"",Actuals!E30)</f>
        <v>-9130.61</v>
      </c>
      <c r="I54" s="114" t="n">
        <f aca="false">Budget!E30</f>
        <v>-2800</v>
      </c>
      <c r="J54" s="114" t="n">
        <f aca="false">IF(H54="","",H54-I54)</f>
        <v>-6330.61</v>
      </c>
      <c r="K54" s="114" t="n">
        <f aca="false">IF(OR(4&gt;$B$27,ISBLANK(Actuals!F30)),"",Actuals!F30)</f>
        <v>-1028.89</v>
      </c>
      <c r="L54" s="114" t="n">
        <f aca="false">Budget!F30</f>
        <v>-2800</v>
      </c>
      <c r="M54" s="114" t="n">
        <f aca="false">IF(K54="","",K54-L54)</f>
        <v>1771.11</v>
      </c>
      <c r="N54" s="114" t="n">
        <f aca="false">IF(OR(5&gt;$B$27,ISBLANK(Actuals!G30)),"",Actuals!G30)</f>
        <v>-7005.14</v>
      </c>
      <c r="O54" s="114" t="n">
        <f aca="false">Budget!G30</f>
        <v>-2800</v>
      </c>
      <c r="P54" s="114" t="n">
        <f aca="false">IF(N54="","",N54-O54)</f>
        <v>-4205.14</v>
      </c>
      <c r="Q54" s="114" t="n">
        <f aca="false">IF(OR(6&gt;$B$27,ISBLANK(Actuals!H30)),"",Actuals!H30)</f>
        <v>-4121.06</v>
      </c>
      <c r="R54" s="114" t="n">
        <f aca="false">Budget!H30</f>
        <v>-2800</v>
      </c>
      <c r="S54" s="114" t="n">
        <f aca="false">IF(Q54="","",Q54-R54)</f>
        <v>-1321.06</v>
      </c>
      <c r="T54" s="114" t="n">
        <f aca="false">IF(OR(7&gt;$B$27,ISBLANK(Actuals!I30)),"",Actuals!I30)</f>
        <v>-2683.91</v>
      </c>
      <c r="U54" s="114" t="n">
        <f aca="false">Budget!I30</f>
        <v>-2856</v>
      </c>
      <c r="V54" s="114" t="n">
        <f aca="false">IF(T54="","",T54-U54)</f>
        <v>172.09</v>
      </c>
      <c r="W54" s="114" t="n">
        <f aca="false">IF(OR(8&gt;$B$27,ISBLANK(Actuals!J30)),"",Actuals!J30)</f>
        <v>-17047.56</v>
      </c>
      <c r="X54" s="114" t="n">
        <f aca="false">Budget!J30</f>
        <v>-2856</v>
      </c>
      <c r="Y54" s="114" t="n">
        <f aca="false">IF(W54="","",W54-X54)</f>
        <v>-14191.56</v>
      </c>
      <c r="Z54" s="114" t="str">
        <f aca="false">IF(OR(9&gt;$B$27,ISBLANK(Actuals!K30)),"",Actuals!K30)</f>
        <v/>
      </c>
      <c r="AA54" s="114" t="n">
        <f aca="false">Budget!K30</f>
        <v>-2856</v>
      </c>
      <c r="AB54" s="114" t="str">
        <f aca="false">IF(Z54="","",Z54-AA54)</f>
        <v/>
      </c>
      <c r="AC54" s="114" t="str">
        <f aca="false">IF(OR(10&gt;$B$27,ISBLANK(Actuals!L30)),"",Actuals!L30)</f>
        <v/>
      </c>
      <c r="AD54" s="114" t="n">
        <f aca="false">Budget!L30</f>
        <v>-2856</v>
      </c>
      <c r="AE54" s="114" t="str">
        <f aca="false">IF(AC54="","",AC54-AD54)</f>
        <v/>
      </c>
      <c r="AF54" s="114" t="str">
        <f aca="false">IF(OR(11&gt;$B$27,ISBLANK(Actuals!M30)),"",Actuals!M30)</f>
        <v/>
      </c>
      <c r="AG54" s="114" t="n">
        <f aca="false">Budget!M30</f>
        <v>-2856</v>
      </c>
      <c r="AH54" s="114" t="str">
        <f aca="false">IF(AF54="","",AF54-AG54)</f>
        <v/>
      </c>
      <c r="AI54" s="114" t="str">
        <f aca="false">IF(OR(12&gt;$B$27,ISBLANK(Actuals!N30)),"",Actuals!N30)</f>
        <v/>
      </c>
      <c r="AJ54" s="114" t="n">
        <f aca="false">Budget!N30</f>
        <v>-2856</v>
      </c>
      <c r="AK54" s="114" t="str">
        <f aca="false">IF(AI54="","",AI54-AJ54)</f>
        <v/>
      </c>
      <c r="AL54" s="117" t="n">
        <f aca="false">SUM(Actuals!$C30:INDEX(Actuals!$C30:$N30,$B$27))</f>
        <v>-43960.49</v>
      </c>
      <c r="AM54" s="117" t="n">
        <f aca="false">SUM(Budget!$C30:INDEX(Budget!$C30:$N30,$B$27))</f>
        <v>-22512</v>
      </c>
      <c r="AN54" s="117" t="n">
        <f aca="false">AL54-AM54</f>
        <v>-21448.49</v>
      </c>
      <c r="AP54" s="115" t="s">
        <v>409</v>
      </c>
    </row>
    <row r="55" customFormat="false" ht="15" hidden="true" customHeight="true" outlineLevel="1" collapsed="false">
      <c r="A55" s="110" t="s">
        <v>74</v>
      </c>
      <c r="B55" s="114" t="n">
        <f aca="false">IF(OR(1&gt;$B$27,ISBLANK(Actuals!C31)),"",Actuals!C31)</f>
        <v>0</v>
      </c>
      <c r="C55" s="114" t="n">
        <f aca="false">Budget!C31</f>
        <v>0</v>
      </c>
      <c r="D55" s="114" t="n">
        <f aca="false">IF(B55="","",B55-C55)</f>
        <v>0</v>
      </c>
      <c r="E55" s="114" t="n">
        <f aca="false">IF(OR(2&gt;$B$27,ISBLANK(Actuals!D31)),"",Actuals!D31)</f>
        <v>0</v>
      </c>
      <c r="F55" s="114" t="n">
        <f aca="false">Budget!D31</f>
        <v>0</v>
      </c>
      <c r="G55" s="114" t="n">
        <f aca="false">IF(E55="","",E55-F55)</f>
        <v>0</v>
      </c>
      <c r="H55" s="114" t="n">
        <f aca="false">IF(OR(3&gt;$B$27,ISBLANK(Actuals!E31)),"",Actuals!E31)</f>
        <v>-1077.38</v>
      </c>
      <c r="I55" s="114" t="n">
        <f aca="false">Budget!E31</f>
        <v>0</v>
      </c>
      <c r="J55" s="114" t="n">
        <f aca="false">IF(H55="","",H55-I55)</f>
        <v>-1077.38</v>
      </c>
      <c r="K55" s="114" t="n">
        <f aca="false">IF(OR(4&gt;$B$27,ISBLANK(Actuals!F31)),"",Actuals!F31)</f>
        <v>-211.28</v>
      </c>
      <c r="L55" s="114" t="n">
        <f aca="false">Budget!F31</f>
        <v>0</v>
      </c>
      <c r="M55" s="114" t="n">
        <f aca="false">IF(K55="","",K55-L55)</f>
        <v>-211.28</v>
      </c>
      <c r="N55" s="114" t="n">
        <f aca="false">IF(OR(5&gt;$B$27,ISBLANK(Actuals!G31)),"",Actuals!G31)</f>
        <v>-1254.17</v>
      </c>
      <c r="O55" s="114" t="n">
        <f aca="false">Budget!G31</f>
        <v>0</v>
      </c>
      <c r="P55" s="114" t="n">
        <f aca="false">IF(N55="","",N55-O55)</f>
        <v>-1254.17</v>
      </c>
      <c r="Q55" s="114" t="n">
        <f aca="false">IF(OR(6&gt;$B$27,ISBLANK(Actuals!H31)),"",Actuals!H31)</f>
        <v>0</v>
      </c>
      <c r="R55" s="114" t="n">
        <f aca="false">Budget!H31</f>
        <v>0</v>
      </c>
      <c r="S55" s="114" t="n">
        <f aca="false">IF(Q55="","",Q55-R55)</f>
        <v>0</v>
      </c>
      <c r="T55" s="114" t="n">
        <f aca="false">IF(OR(7&gt;$B$27,ISBLANK(Actuals!I31)),"",Actuals!I31)</f>
        <v>-169.62</v>
      </c>
      <c r="U55" s="114" t="n">
        <f aca="false">Budget!I31</f>
        <v>0</v>
      </c>
      <c r="V55" s="114" t="n">
        <f aca="false">IF(T55="","",T55-U55)</f>
        <v>-169.62</v>
      </c>
      <c r="W55" s="114" t="n">
        <f aca="false">IF(OR(8&gt;$B$27,ISBLANK(Actuals!J31)),"",Actuals!J31)</f>
        <v>-2331.88</v>
      </c>
      <c r="X55" s="114" t="n">
        <f aca="false">Budget!J31</f>
        <v>0</v>
      </c>
      <c r="Y55" s="114" t="n">
        <f aca="false">IF(W55="","",W55-X55)</f>
        <v>-2331.88</v>
      </c>
      <c r="Z55" s="114" t="str">
        <f aca="false">IF(OR(9&gt;$B$27,ISBLANK(Actuals!K31)),"",Actuals!K31)</f>
        <v/>
      </c>
      <c r="AA55" s="114" t="n">
        <f aca="false">Budget!K31</f>
        <v>0</v>
      </c>
      <c r="AB55" s="114" t="str">
        <f aca="false">IF(Z55="","",Z55-AA55)</f>
        <v/>
      </c>
      <c r="AC55" s="114" t="str">
        <f aca="false">IF(OR(10&gt;$B$27,ISBLANK(Actuals!L31)),"",Actuals!L31)</f>
        <v/>
      </c>
      <c r="AD55" s="114" t="n">
        <f aca="false">Budget!L31</f>
        <v>0</v>
      </c>
      <c r="AE55" s="114" t="str">
        <f aca="false">IF(AC55="","",AC55-AD55)</f>
        <v/>
      </c>
      <c r="AF55" s="114" t="str">
        <f aca="false">IF(OR(11&gt;$B$27,ISBLANK(Actuals!M31)),"",Actuals!M31)</f>
        <v/>
      </c>
      <c r="AG55" s="114" t="n">
        <f aca="false">Budget!M31</f>
        <v>0</v>
      </c>
      <c r="AH55" s="114" t="str">
        <f aca="false">IF(AF55="","",AF55-AG55)</f>
        <v/>
      </c>
      <c r="AI55" s="114" t="str">
        <f aca="false">IF(OR(12&gt;$B$27,ISBLANK(Actuals!N31)),"",Actuals!N31)</f>
        <v/>
      </c>
      <c r="AJ55" s="114" t="n">
        <f aca="false">Budget!N31</f>
        <v>0</v>
      </c>
      <c r="AK55" s="114" t="str">
        <f aca="false">IF(AI55="","",AI55-AJ55)</f>
        <v/>
      </c>
      <c r="AL55" s="117" t="n">
        <f aca="false">SUM(Actuals!$C31:INDEX(Actuals!$C31:$N31,$B$27))</f>
        <v>-5044.33</v>
      </c>
      <c r="AM55" s="117" t="n">
        <f aca="false">SUM(Budget!$C31:INDEX(Budget!$C31:$N31,$B$27))</f>
        <v>0</v>
      </c>
      <c r="AN55" s="117" t="n">
        <f aca="false">AL55-AM55</f>
        <v>-5044.33</v>
      </c>
    </row>
    <row r="56" customFormat="false" ht="15" hidden="true" customHeight="true" outlineLevel="1" collapsed="false">
      <c r="A56" s="110" t="s">
        <v>75</v>
      </c>
      <c r="B56" s="114" t="n">
        <f aca="false">IF(OR(1&gt;$B$27,ISBLANK(Actuals!C32)),"",Actuals!C32)</f>
        <v>-79</v>
      </c>
      <c r="C56" s="114" t="n">
        <f aca="false">Budget!C32</f>
        <v>-3300</v>
      </c>
      <c r="D56" s="114" t="n">
        <f aca="false">IF(B56="","",B56-C56)</f>
        <v>3221</v>
      </c>
      <c r="E56" s="114" t="n">
        <f aca="false">IF(OR(2&gt;$B$27,ISBLANK(Actuals!D32)),"",Actuals!D32)</f>
        <v>0</v>
      </c>
      <c r="F56" s="114" t="n">
        <f aca="false">Budget!D32</f>
        <v>-3300</v>
      </c>
      <c r="G56" s="114" t="n">
        <f aca="false">IF(E56="","",E56-F56)</f>
        <v>3300</v>
      </c>
      <c r="H56" s="114" t="n">
        <f aca="false">IF(OR(3&gt;$B$27,ISBLANK(Actuals!E32)),"",Actuals!E32)</f>
        <v>0</v>
      </c>
      <c r="I56" s="114" t="n">
        <f aca="false">Budget!E32</f>
        <v>-3300</v>
      </c>
      <c r="J56" s="114" t="n">
        <f aca="false">IF(H56="","",H56-I56)</f>
        <v>3300</v>
      </c>
      <c r="K56" s="114" t="n">
        <f aca="false">IF(OR(4&gt;$B$27,ISBLANK(Actuals!F32)),"",Actuals!F32)</f>
        <v>0</v>
      </c>
      <c r="L56" s="114" t="n">
        <f aca="false">Budget!F32</f>
        <v>-3300</v>
      </c>
      <c r="M56" s="114" t="n">
        <f aca="false">IF(K56="","",K56-L56)</f>
        <v>3300</v>
      </c>
      <c r="N56" s="114" t="n">
        <f aca="false">IF(OR(5&gt;$B$27,ISBLANK(Actuals!G32)),"",Actuals!G32)</f>
        <v>0</v>
      </c>
      <c r="O56" s="114" t="n">
        <f aca="false">Budget!G32</f>
        <v>-3300</v>
      </c>
      <c r="P56" s="114" t="n">
        <f aca="false">IF(N56="","",N56-O56)</f>
        <v>3300</v>
      </c>
      <c r="Q56" s="114" t="n">
        <f aca="false">IF(OR(6&gt;$B$27,ISBLANK(Actuals!H32)),"",Actuals!H32)</f>
        <v>0</v>
      </c>
      <c r="R56" s="114" t="n">
        <f aca="false">Budget!H32</f>
        <v>-3300</v>
      </c>
      <c r="S56" s="114" t="n">
        <f aca="false">IF(Q56="","",Q56-R56)</f>
        <v>3300</v>
      </c>
      <c r="T56" s="114" t="n">
        <f aca="false">IF(OR(7&gt;$B$27,ISBLANK(Actuals!I32)),"",Actuals!I32)</f>
        <v>0</v>
      </c>
      <c r="U56" s="114" t="n">
        <f aca="false">Budget!I32</f>
        <v>-3366</v>
      </c>
      <c r="V56" s="114" t="n">
        <f aca="false">IF(T56="","",T56-U56)</f>
        <v>3366</v>
      </c>
      <c r="W56" s="114" t="n">
        <f aca="false">IF(OR(8&gt;$B$27,ISBLANK(Actuals!J32)),"",Actuals!J32)</f>
        <v>-89</v>
      </c>
      <c r="X56" s="114" t="n">
        <f aca="false">Budget!J32</f>
        <v>-3366</v>
      </c>
      <c r="Y56" s="114" t="n">
        <f aca="false">IF(W56="","",W56-X56)</f>
        <v>3277</v>
      </c>
      <c r="Z56" s="114" t="str">
        <f aca="false">IF(OR(9&gt;$B$27,ISBLANK(Actuals!K32)),"",Actuals!K32)</f>
        <v/>
      </c>
      <c r="AA56" s="114" t="n">
        <f aca="false">Budget!K32</f>
        <v>-3366</v>
      </c>
      <c r="AB56" s="114" t="str">
        <f aca="false">IF(Z56="","",Z56-AA56)</f>
        <v/>
      </c>
      <c r="AC56" s="114" t="str">
        <f aca="false">IF(OR(10&gt;$B$27,ISBLANK(Actuals!L32)),"",Actuals!L32)</f>
        <v/>
      </c>
      <c r="AD56" s="114" t="n">
        <f aca="false">Budget!L32</f>
        <v>-3366</v>
      </c>
      <c r="AE56" s="114" t="str">
        <f aca="false">IF(AC56="","",AC56-AD56)</f>
        <v/>
      </c>
      <c r="AF56" s="114" t="str">
        <f aca="false">IF(OR(11&gt;$B$27,ISBLANK(Actuals!M32)),"",Actuals!M32)</f>
        <v/>
      </c>
      <c r="AG56" s="114" t="n">
        <f aca="false">Budget!M32</f>
        <v>-3366</v>
      </c>
      <c r="AH56" s="114" t="str">
        <f aca="false">IF(AF56="","",AF56-AG56)</f>
        <v/>
      </c>
      <c r="AI56" s="114" t="str">
        <f aca="false">IF(OR(12&gt;$B$27,ISBLANK(Actuals!N32)),"",Actuals!N32)</f>
        <v/>
      </c>
      <c r="AJ56" s="114" t="n">
        <f aca="false">Budget!N32</f>
        <v>-3366</v>
      </c>
      <c r="AK56" s="114" t="str">
        <f aca="false">IF(AI56="","",AI56-AJ56)</f>
        <v/>
      </c>
      <c r="AL56" s="117" t="n">
        <f aca="false">SUM(Actuals!$C32:INDEX(Actuals!$C32:$N32,$B$27))</f>
        <v>-168</v>
      </c>
      <c r="AM56" s="117" t="n">
        <f aca="false">SUM(Budget!$C32:INDEX(Budget!$C32:$N32,$B$27))</f>
        <v>-26532</v>
      </c>
      <c r="AN56" s="117" t="n">
        <f aca="false">AL56-AM56</f>
        <v>26364</v>
      </c>
      <c r="AP56" s="115" t="s">
        <v>410</v>
      </c>
    </row>
    <row r="57" customFormat="false" ht="15" hidden="true" customHeight="true" outlineLevel="1" collapsed="false">
      <c r="A57" s="110" t="s">
        <v>76</v>
      </c>
      <c r="B57" s="114" t="n">
        <f aca="false">IF(OR(1&gt;$B$27,ISBLANK(Actuals!C33)),"",Actuals!C33)</f>
        <v>-3405.64</v>
      </c>
      <c r="C57" s="114" t="n">
        <f aca="false">Budget!C33</f>
        <v>0</v>
      </c>
      <c r="D57" s="114" t="n">
        <f aca="false">IF(B57="","",B57-C57)</f>
        <v>-3405.64</v>
      </c>
      <c r="E57" s="114" t="n">
        <f aca="false">IF(OR(2&gt;$B$27,ISBLANK(Actuals!D33)),"",Actuals!D33)</f>
        <v>-5015.38</v>
      </c>
      <c r="F57" s="114" t="n">
        <f aca="false">Budget!D33</f>
        <v>0</v>
      </c>
      <c r="G57" s="114" t="n">
        <f aca="false">IF(E57="","",E57-F57)</f>
        <v>-5015.38</v>
      </c>
      <c r="H57" s="114" t="n">
        <f aca="false">IF(OR(3&gt;$B$27,ISBLANK(Actuals!E33)),"",Actuals!E33)</f>
        <v>-7481.39</v>
      </c>
      <c r="I57" s="114" t="n">
        <f aca="false">Budget!E33</f>
        <v>0</v>
      </c>
      <c r="J57" s="114" t="n">
        <f aca="false">IF(H57="","",H57-I57)</f>
        <v>-7481.39</v>
      </c>
      <c r="K57" s="114" t="n">
        <f aca="false">IF(OR(4&gt;$B$27,ISBLANK(Actuals!F33)),"",Actuals!F33)</f>
        <v>-5111.12</v>
      </c>
      <c r="L57" s="114" t="n">
        <f aca="false">Budget!F33</f>
        <v>0</v>
      </c>
      <c r="M57" s="114" t="n">
        <f aca="false">IF(K57="","",K57-L57)</f>
        <v>-5111.12</v>
      </c>
      <c r="N57" s="114" t="n">
        <f aca="false">IF(OR(5&gt;$B$27,ISBLANK(Actuals!G33)),"",Actuals!G33)</f>
        <v>-4038.48</v>
      </c>
      <c r="O57" s="114" t="n">
        <f aca="false">Budget!G33</f>
        <v>0</v>
      </c>
      <c r="P57" s="114" t="n">
        <f aca="false">IF(N57="","",N57-O57)</f>
        <v>-4038.48</v>
      </c>
      <c r="Q57" s="114" t="n">
        <f aca="false">IF(OR(6&gt;$B$27,ISBLANK(Actuals!H33)),"",Actuals!H33)</f>
        <v>-6114.98</v>
      </c>
      <c r="R57" s="114" t="n">
        <f aca="false">Budget!H33</f>
        <v>0</v>
      </c>
      <c r="S57" s="114" t="n">
        <f aca="false">IF(Q57="","",Q57-R57)</f>
        <v>-6114.98</v>
      </c>
      <c r="T57" s="114" t="n">
        <f aca="false">IF(OR(7&gt;$B$27,ISBLANK(Actuals!I33)),"",Actuals!I33)</f>
        <v>-12545.93</v>
      </c>
      <c r="U57" s="114" t="n">
        <f aca="false">Budget!I33</f>
        <v>0</v>
      </c>
      <c r="V57" s="114" t="n">
        <f aca="false">IF(T57="","",T57-U57)</f>
        <v>-12545.93</v>
      </c>
      <c r="W57" s="114" t="n">
        <f aca="false">IF(OR(8&gt;$B$27,ISBLANK(Actuals!J33)),"",Actuals!J33)</f>
        <v>-5885.72</v>
      </c>
      <c r="X57" s="114" t="n">
        <f aca="false">Budget!J33</f>
        <v>0</v>
      </c>
      <c r="Y57" s="114" t="n">
        <f aca="false">IF(W57="","",W57-X57)</f>
        <v>-5885.72</v>
      </c>
      <c r="Z57" s="114" t="str">
        <f aca="false">IF(OR(9&gt;$B$27,ISBLANK(Actuals!K33)),"",Actuals!K33)</f>
        <v/>
      </c>
      <c r="AA57" s="114" t="n">
        <f aca="false">Budget!K33</f>
        <v>0</v>
      </c>
      <c r="AB57" s="114" t="str">
        <f aca="false">IF(Z57="","",Z57-AA57)</f>
        <v/>
      </c>
      <c r="AC57" s="114" t="str">
        <f aca="false">IF(OR(10&gt;$B$27,ISBLANK(Actuals!L33)),"",Actuals!L33)</f>
        <v/>
      </c>
      <c r="AD57" s="114" t="n">
        <f aca="false">Budget!L33</f>
        <v>0</v>
      </c>
      <c r="AE57" s="114" t="str">
        <f aca="false">IF(AC57="","",AC57-AD57)</f>
        <v/>
      </c>
      <c r="AF57" s="114" t="str">
        <f aca="false">IF(OR(11&gt;$B$27,ISBLANK(Actuals!M33)),"",Actuals!M33)</f>
        <v/>
      </c>
      <c r="AG57" s="114" t="n">
        <f aca="false">Budget!M33</f>
        <v>0</v>
      </c>
      <c r="AH57" s="114" t="str">
        <f aca="false">IF(AF57="","",AF57-AG57)</f>
        <v/>
      </c>
      <c r="AI57" s="114" t="str">
        <f aca="false">IF(OR(12&gt;$B$27,ISBLANK(Actuals!N33)),"",Actuals!N33)</f>
        <v/>
      </c>
      <c r="AJ57" s="114" t="n">
        <f aca="false">Budget!N33</f>
        <v>0</v>
      </c>
      <c r="AK57" s="114" t="str">
        <f aca="false">IF(AI57="","",AI57-AJ57)</f>
        <v/>
      </c>
      <c r="AL57" s="117" t="n">
        <f aca="false">SUM(Actuals!$C33:INDEX(Actuals!$C33:$N33,$B$27))</f>
        <v>-49598.64</v>
      </c>
      <c r="AM57" s="117" t="n">
        <f aca="false">SUM(Budget!$C33:INDEX(Budget!$C33:$N33,$B$27))</f>
        <v>0</v>
      </c>
      <c r="AN57" s="117" t="n">
        <f aca="false">AL57-AM57</f>
        <v>-49598.64</v>
      </c>
      <c r="AP57" s="115" t="s">
        <v>411</v>
      </c>
    </row>
    <row r="58" customFormat="false" ht="15" hidden="true" customHeight="true" outlineLevel="1" collapsed="false">
      <c r="A58" s="110" t="s">
        <v>77</v>
      </c>
      <c r="B58" s="114" t="n">
        <f aca="false">IF(OR(1&gt;$B$27,ISBLANK(Actuals!C34)),"",Actuals!C34)</f>
        <v>0</v>
      </c>
      <c r="C58" s="114" t="n">
        <f aca="false">Budget!C34</f>
        <v>-300</v>
      </c>
      <c r="D58" s="114" t="n">
        <f aca="false">IF(B58="","",B58-C58)</f>
        <v>300</v>
      </c>
      <c r="E58" s="114" t="n">
        <f aca="false">IF(OR(2&gt;$B$27,ISBLANK(Actuals!D34)),"",Actuals!D34)</f>
        <v>-1766.48</v>
      </c>
      <c r="F58" s="114" t="n">
        <f aca="false">Budget!D34</f>
        <v>-300</v>
      </c>
      <c r="G58" s="114" t="n">
        <f aca="false">IF(E58="","",E58-F58)</f>
        <v>-1466.48</v>
      </c>
      <c r="H58" s="114" t="n">
        <f aca="false">IF(OR(3&gt;$B$27,ISBLANK(Actuals!E34)),"",Actuals!E34)</f>
        <v>-441.62</v>
      </c>
      <c r="I58" s="114" t="n">
        <f aca="false">Budget!E34</f>
        <v>-300</v>
      </c>
      <c r="J58" s="114" t="n">
        <f aca="false">IF(H58="","",H58-I58)</f>
        <v>-141.62</v>
      </c>
      <c r="K58" s="114" t="n">
        <f aca="false">IF(OR(4&gt;$B$27,ISBLANK(Actuals!F34)),"",Actuals!F34)</f>
        <v>-441.62</v>
      </c>
      <c r="L58" s="114" t="n">
        <f aca="false">Budget!F34</f>
        <v>-300</v>
      </c>
      <c r="M58" s="114" t="n">
        <f aca="false">IF(K58="","",K58-L58)</f>
        <v>-141.62</v>
      </c>
      <c r="N58" s="114" t="n">
        <f aca="false">IF(OR(5&gt;$B$27,ISBLANK(Actuals!G34)),"",Actuals!G34)</f>
        <v>-578.62</v>
      </c>
      <c r="O58" s="114" t="n">
        <f aca="false">Budget!G34</f>
        <v>-300</v>
      </c>
      <c r="P58" s="114" t="n">
        <f aca="false">IF(N58="","",N58-O58)</f>
        <v>-278.62</v>
      </c>
      <c r="Q58" s="114" t="n">
        <f aca="false">IF(OR(6&gt;$B$27,ISBLANK(Actuals!H34)),"",Actuals!H34)</f>
        <v>-491.62</v>
      </c>
      <c r="R58" s="114" t="n">
        <f aca="false">Budget!H34</f>
        <v>-300</v>
      </c>
      <c r="S58" s="114" t="n">
        <f aca="false">IF(Q58="","",Q58-R58)</f>
        <v>-191.62</v>
      </c>
      <c r="T58" s="114" t="n">
        <f aca="false">IF(OR(7&gt;$B$27,ISBLANK(Actuals!I34)),"",Actuals!I34)</f>
        <v>-491.62</v>
      </c>
      <c r="U58" s="114" t="n">
        <f aca="false">Budget!I34</f>
        <v>-306</v>
      </c>
      <c r="V58" s="114" t="n">
        <f aca="false">IF(T58="","",T58-U58)</f>
        <v>-185.62</v>
      </c>
      <c r="W58" s="114" t="n">
        <f aca="false">IF(OR(8&gt;$B$27,ISBLANK(Actuals!J34)),"",Actuals!J34)</f>
        <v>-491.62</v>
      </c>
      <c r="X58" s="114" t="n">
        <f aca="false">Budget!J34</f>
        <v>-306</v>
      </c>
      <c r="Y58" s="114" t="n">
        <f aca="false">IF(W58="","",W58-X58)</f>
        <v>-185.62</v>
      </c>
      <c r="Z58" s="114" t="str">
        <f aca="false">IF(OR(9&gt;$B$27,ISBLANK(Actuals!K34)),"",Actuals!K34)</f>
        <v/>
      </c>
      <c r="AA58" s="114" t="n">
        <f aca="false">Budget!K34</f>
        <v>-306</v>
      </c>
      <c r="AB58" s="114" t="str">
        <f aca="false">IF(Z58="","",Z58-AA58)</f>
        <v/>
      </c>
      <c r="AC58" s="114" t="str">
        <f aca="false">IF(OR(10&gt;$B$27,ISBLANK(Actuals!L34)),"",Actuals!L34)</f>
        <v/>
      </c>
      <c r="AD58" s="114" t="n">
        <f aca="false">Budget!L34</f>
        <v>-306</v>
      </c>
      <c r="AE58" s="114" t="str">
        <f aca="false">IF(AC58="","",AC58-AD58)</f>
        <v/>
      </c>
      <c r="AF58" s="114" t="str">
        <f aca="false">IF(OR(11&gt;$B$27,ISBLANK(Actuals!M34)),"",Actuals!M34)</f>
        <v/>
      </c>
      <c r="AG58" s="114" t="n">
        <f aca="false">Budget!M34</f>
        <v>-306</v>
      </c>
      <c r="AH58" s="114" t="str">
        <f aca="false">IF(AF58="","",AF58-AG58)</f>
        <v/>
      </c>
      <c r="AI58" s="114" t="str">
        <f aca="false">IF(OR(12&gt;$B$27,ISBLANK(Actuals!N34)),"",Actuals!N34)</f>
        <v/>
      </c>
      <c r="AJ58" s="114" t="n">
        <f aca="false">Budget!N34</f>
        <v>-306</v>
      </c>
      <c r="AK58" s="114" t="str">
        <f aca="false">IF(AI58="","",AI58-AJ58)</f>
        <v/>
      </c>
      <c r="AL58" s="117" t="n">
        <f aca="false">SUM(Actuals!$C34:INDEX(Actuals!$C34:$N34,$B$27))</f>
        <v>-4703.2</v>
      </c>
      <c r="AM58" s="117" t="n">
        <f aca="false">SUM(Budget!$C34:INDEX(Budget!$C34:$N34,$B$27))</f>
        <v>-2412</v>
      </c>
      <c r="AN58" s="117" t="n">
        <f aca="false">AL58-AM58</f>
        <v>-2291.2</v>
      </c>
    </row>
    <row r="59" customFormat="false" ht="15" hidden="true" customHeight="true" outlineLevel="1" collapsed="false">
      <c r="A59" s="110" t="s">
        <v>78</v>
      </c>
      <c r="B59" s="114" t="n">
        <f aca="false">IF(OR(1&gt;$B$27,ISBLANK(Actuals!C35)),"",Actuals!C35)</f>
        <v>-681.77</v>
      </c>
      <c r="C59" s="114" t="n">
        <f aca="false">Budget!C35</f>
        <v>-1500</v>
      </c>
      <c r="D59" s="114" t="n">
        <f aca="false">IF(B59="","",B59-C59)</f>
        <v>818.23</v>
      </c>
      <c r="E59" s="114" t="n">
        <f aca="false">IF(OR(2&gt;$B$27,ISBLANK(Actuals!D35)),"",Actuals!D35)</f>
        <v>-600.14</v>
      </c>
      <c r="F59" s="114" t="n">
        <f aca="false">Budget!D35</f>
        <v>-1500</v>
      </c>
      <c r="G59" s="114" t="n">
        <f aca="false">IF(E59="","",E59-F59)</f>
        <v>899.86</v>
      </c>
      <c r="H59" s="114" t="n">
        <f aca="false">IF(OR(3&gt;$B$27,ISBLANK(Actuals!E35)),"",Actuals!E35)</f>
        <v>-2121.95</v>
      </c>
      <c r="I59" s="114" t="n">
        <f aca="false">Budget!E35</f>
        <v>-1500</v>
      </c>
      <c r="J59" s="114" t="n">
        <f aca="false">IF(H59="","",H59-I59)</f>
        <v>-621.95</v>
      </c>
      <c r="K59" s="114" t="n">
        <f aca="false">IF(OR(4&gt;$B$27,ISBLANK(Actuals!F35)),"",Actuals!F35)</f>
        <v>-840.49</v>
      </c>
      <c r="L59" s="114" t="n">
        <f aca="false">Budget!F35</f>
        <v>-1500</v>
      </c>
      <c r="M59" s="114" t="n">
        <f aca="false">IF(K59="","",K59-L59)</f>
        <v>659.51</v>
      </c>
      <c r="N59" s="114" t="n">
        <f aca="false">IF(OR(5&gt;$B$27,ISBLANK(Actuals!G35)),"",Actuals!G35)</f>
        <v>-847.85</v>
      </c>
      <c r="O59" s="114" t="n">
        <f aca="false">Budget!G35</f>
        <v>-1500</v>
      </c>
      <c r="P59" s="114" t="n">
        <f aca="false">IF(N59="","",N59-O59)</f>
        <v>652.15</v>
      </c>
      <c r="Q59" s="114" t="n">
        <f aca="false">IF(OR(6&gt;$B$27,ISBLANK(Actuals!H35)),"",Actuals!H35)</f>
        <v>-486.63</v>
      </c>
      <c r="R59" s="114" t="n">
        <f aca="false">Budget!H35</f>
        <v>-1500</v>
      </c>
      <c r="S59" s="114" t="n">
        <f aca="false">IF(Q59="","",Q59-R59)</f>
        <v>1013.37</v>
      </c>
      <c r="T59" s="114" t="n">
        <f aca="false">IF(OR(7&gt;$B$27,ISBLANK(Actuals!I35)),"",Actuals!I35)</f>
        <v>-871.37</v>
      </c>
      <c r="U59" s="114" t="n">
        <f aca="false">Budget!I35</f>
        <v>-1530</v>
      </c>
      <c r="V59" s="114" t="n">
        <f aca="false">IF(T59="","",T59-U59)</f>
        <v>658.63</v>
      </c>
      <c r="W59" s="114" t="n">
        <f aca="false">IF(OR(8&gt;$B$27,ISBLANK(Actuals!J35)),"",Actuals!J35)</f>
        <v>-1025.7</v>
      </c>
      <c r="X59" s="114" t="n">
        <f aca="false">Budget!J35</f>
        <v>-1530</v>
      </c>
      <c r="Y59" s="114" t="n">
        <f aca="false">IF(W59="","",W59-X59)</f>
        <v>504.3</v>
      </c>
      <c r="Z59" s="114" t="str">
        <f aca="false">IF(OR(9&gt;$B$27,ISBLANK(Actuals!K35)),"",Actuals!K35)</f>
        <v/>
      </c>
      <c r="AA59" s="114" t="n">
        <f aca="false">Budget!K35</f>
        <v>-1530</v>
      </c>
      <c r="AB59" s="114" t="str">
        <f aca="false">IF(Z59="","",Z59-AA59)</f>
        <v/>
      </c>
      <c r="AC59" s="114" t="str">
        <f aca="false">IF(OR(10&gt;$B$27,ISBLANK(Actuals!L35)),"",Actuals!L35)</f>
        <v/>
      </c>
      <c r="AD59" s="114" t="n">
        <f aca="false">Budget!L35</f>
        <v>-1530</v>
      </c>
      <c r="AE59" s="114" t="str">
        <f aca="false">IF(AC59="","",AC59-AD59)</f>
        <v/>
      </c>
      <c r="AF59" s="114" t="str">
        <f aca="false">IF(OR(11&gt;$B$27,ISBLANK(Actuals!M35)),"",Actuals!M35)</f>
        <v/>
      </c>
      <c r="AG59" s="114" t="n">
        <f aca="false">Budget!M35</f>
        <v>-1530</v>
      </c>
      <c r="AH59" s="114" t="str">
        <f aca="false">IF(AF59="","",AF59-AG59)</f>
        <v/>
      </c>
      <c r="AI59" s="114" t="str">
        <f aca="false">IF(OR(12&gt;$B$27,ISBLANK(Actuals!N35)),"",Actuals!N35)</f>
        <v/>
      </c>
      <c r="AJ59" s="114" t="n">
        <f aca="false">Budget!N35</f>
        <v>-1530</v>
      </c>
      <c r="AK59" s="114" t="str">
        <f aca="false">IF(AI59="","",AI59-AJ59)</f>
        <v/>
      </c>
      <c r="AL59" s="117" t="n">
        <f aca="false">SUM(Actuals!$C35:INDEX(Actuals!$C35:$N35,$B$27))</f>
        <v>-7475.9</v>
      </c>
      <c r="AM59" s="117" t="n">
        <f aca="false">SUM(Budget!$C35:INDEX(Budget!$C35:$N35,$B$27))</f>
        <v>-12060</v>
      </c>
      <c r="AN59" s="117" t="n">
        <f aca="false">AL59-AM59</f>
        <v>4584.1</v>
      </c>
    </row>
    <row r="60" customFormat="false" ht="15" hidden="true" customHeight="true" outlineLevel="1" collapsed="false">
      <c r="A60" s="110" t="s">
        <v>79</v>
      </c>
      <c r="B60" s="114" t="n">
        <f aca="false">IF(OR(1&gt;$B$27,ISBLANK(Actuals!C36)),"",Actuals!C36)</f>
        <v>-2187.5</v>
      </c>
      <c r="C60" s="114" t="n">
        <f aca="false">Budget!C36</f>
        <v>-1000</v>
      </c>
      <c r="D60" s="114" t="n">
        <f aca="false">IF(B60="","",B60-C60)</f>
        <v>-1187.5</v>
      </c>
      <c r="E60" s="114" t="n">
        <f aca="false">IF(OR(2&gt;$B$27,ISBLANK(Actuals!D36)),"",Actuals!D36)</f>
        <v>0</v>
      </c>
      <c r="F60" s="114" t="n">
        <f aca="false">Budget!D36</f>
        <v>-1000</v>
      </c>
      <c r="G60" s="114" t="n">
        <f aca="false">IF(E60="","",E60-F60)</f>
        <v>1000</v>
      </c>
      <c r="H60" s="114" t="n">
        <f aca="false">IF(OR(3&gt;$B$27,ISBLANK(Actuals!E36)),"",Actuals!E36)</f>
        <v>-1625</v>
      </c>
      <c r="I60" s="114" t="n">
        <f aca="false">Budget!E36</f>
        <v>-1000</v>
      </c>
      <c r="J60" s="114" t="n">
        <f aca="false">IF(H60="","",H60-I60)</f>
        <v>-625</v>
      </c>
      <c r="K60" s="114" t="n">
        <f aca="false">IF(OR(4&gt;$B$27,ISBLANK(Actuals!F36)),"",Actuals!F36)</f>
        <v>0</v>
      </c>
      <c r="L60" s="114" t="n">
        <f aca="false">Budget!F36</f>
        <v>-1000</v>
      </c>
      <c r="M60" s="114" t="n">
        <f aca="false">IF(K60="","",K60-L60)</f>
        <v>1000</v>
      </c>
      <c r="N60" s="114" t="n">
        <f aca="false">IF(OR(5&gt;$B$27,ISBLANK(Actuals!G36)),"",Actuals!G36)</f>
        <v>0</v>
      </c>
      <c r="O60" s="114" t="n">
        <f aca="false">Budget!G36</f>
        <v>-1000</v>
      </c>
      <c r="P60" s="114" t="n">
        <f aca="false">IF(N60="","",N60-O60)</f>
        <v>1000</v>
      </c>
      <c r="Q60" s="114" t="n">
        <f aca="false">IF(OR(6&gt;$B$27,ISBLANK(Actuals!H36)),"",Actuals!H36)</f>
        <v>0</v>
      </c>
      <c r="R60" s="114" t="n">
        <f aca="false">Budget!H36</f>
        <v>-1000</v>
      </c>
      <c r="S60" s="114" t="n">
        <f aca="false">IF(Q60="","",Q60-R60)</f>
        <v>1000</v>
      </c>
      <c r="T60" s="114" t="n">
        <f aca="false">IF(OR(7&gt;$B$27,ISBLANK(Actuals!I36)),"",Actuals!I36)</f>
        <v>0</v>
      </c>
      <c r="U60" s="114" t="n">
        <f aca="false">Budget!I36</f>
        <v>-1020</v>
      </c>
      <c r="V60" s="114" t="n">
        <f aca="false">IF(T60="","",T60-U60)</f>
        <v>1020</v>
      </c>
      <c r="W60" s="114" t="n">
        <f aca="false">IF(OR(8&gt;$B$27,ISBLANK(Actuals!J36)),"",Actuals!J36)</f>
        <v>-1560</v>
      </c>
      <c r="X60" s="114" t="n">
        <f aca="false">Budget!J36</f>
        <v>-1020</v>
      </c>
      <c r="Y60" s="114" t="n">
        <f aca="false">IF(W60="","",W60-X60)</f>
        <v>-540</v>
      </c>
      <c r="Z60" s="114" t="str">
        <f aca="false">IF(OR(9&gt;$B$27,ISBLANK(Actuals!K36)),"",Actuals!K36)</f>
        <v/>
      </c>
      <c r="AA60" s="114" t="n">
        <f aca="false">Budget!K36</f>
        <v>-1020</v>
      </c>
      <c r="AB60" s="114" t="str">
        <f aca="false">IF(Z60="","",Z60-AA60)</f>
        <v/>
      </c>
      <c r="AC60" s="114" t="str">
        <f aca="false">IF(OR(10&gt;$B$27,ISBLANK(Actuals!L36)),"",Actuals!L36)</f>
        <v/>
      </c>
      <c r="AD60" s="114" t="n">
        <f aca="false">Budget!L36</f>
        <v>-1020</v>
      </c>
      <c r="AE60" s="114" t="str">
        <f aca="false">IF(AC60="","",AC60-AD60)</f>
        <v/>
      </c>
      <c r="AF60" s="114" t="str">
        <f aca="false">IF(OR(11&gt;$B$27,ISBLANK(Actuals!M36)),"",Actuals!M36)</f>
        <v/>
      </c>
      <c r="AG60" s="114" t="n">
        <f aca="false">Budget!M36</f>
        <v>-1020</v>
      </c>
      <c r="AH60" s="114" t="str">
        <f aca="false">IF(AF60="","",AF60-AG60)</f>
        <v/>
      </c>
      <c r="AI60" s="114" t="str">
        <f aca="false">IF(OR(12&gt;$B$27,ISBLANK(Actuals!N36)),"",Actuals!N36)</f>
        <v/>
      </c>
      <c r="AJ60" s="114" t="n">
        <f aca="false">Budget!N36</f>
        <v>-1020</v>
      </c>
      <c r="AK60" s="114" t="str">
        <f aca="false">IF(AI60="","",AI60-AJ60)</f>
        <v/>
      </c>
      <c r="AL60" s="117" t="n">
        <f aca="false">SUM(Actuals!$C36:INDEX(Actuals!$C36:$N36,$B$27))</f>
        <v>-5372.5</v>
      </c>
      <c r="AM60" s="117" t="n">
        <f aca="false">SUM(Budget!$C36:INDEX(Budget!$C36:$N36,$B$27))</f>
        <v>-8040</v>
      </c>
      <c r="AN60" s="117" t="n">
        <f aca="false">AL60-AM60</f>
        <v>2667.5</v>
      </c>
    </row>
    <row r="61" customFormat="false" ht="15" hidden="true" customHeight="true" outlineLevel="1" collapsed="false">
      <c r="A61" s="110" t="s">
        <v>80</v>
      </c>
      <c r="B61" s="114" t="n">
        <f aca="false">IF(OR(1&gt;$B$27,ISBLANK(Actuals!C37)),"",Actuals!C37)</f>
        <v>0</v>
      </c>
      <c r="C61" s="114" t="n">
        <f aca="false">Budget!C37</f>
        <v>-1000</v>
      </c>
      <c r="D61" s="114" t="n">
        <f aca="false">IF(B61="","",B61-C61)</f>
        <v>1000</v>
      </c>
      <c r="E61" s="114" t="n">
        <f aca="false">IF(OR(2&gt;$B$27,ISBLANK(Actuals!D37)),"",Actuals!D37)</f>
        <v>-12349</v>
      </c>
      <c r="F61" s="114" t="n">
        <f aca="false">Budget!D37</f>
        <v>-1000</v>
      </c>
      <c r="G61" s="114" t="n">
        <f aca="false">IF(E61="","",E61-F61)</f>
        <v>-11349</v>
      </c>
      <c r="H61" s="114" t="n">
        <f aca="false">IF(OR(3&gt;$B$27,ISBLANK(Actuals!E37)),"",Actuals!E37)</f>
        <v>-5400</v>
      </c>
      <c r="I61" s="114" t="n">
        <f aca="false">Budget!E37</f>
        <v>-1000</v>
      </c>
      <c r="J61" s="114" t="n">
        <f aca="false">IF(H61="","",H61-I61)</f>
        <v>-4400</v>
      </c>
      <c r="K61" s="114" t="n">
        <f aca="false">IF(OR(4&gt;$B$27,ISBLANK(Actuals!F37)),"",Actuals!F37)</f>
        <v>-4377</v>
      </c>
      <c r="L61" s="114" t="n">
        <f aca="false">Budget!F37</f>
        <v>-1000</v>
      </c>
      <c r="M61" s="114" t="n">
        <f aca="false">IF(K61="","",K61-L61)</f>
        <v>-3377</v>
      </c>
      <c r="N61" s="114" t="n">
        <f aca="false">IF(OR(5&gt;$B$27,ISBLANK(Actuals!G37)),"",Actuals!G37)</f>
        <v>-11750</v>
      </c>
      <c r="O61" s="114" t="n">
        <f aca="false">Budget!G37</f>
        <v>-1000</v>
      </c>
      <c r="P61" s="114" t="n">
        <f aca="false">IF(N61="","",N61-O61)</f>
        <v>-10750</v>
      </c>
      <c r="Q61" s="114" t="n">
        <f aca="false">IF(OR(6&gt;$B$27,ISBLANK(Actuals!H37)),"",Actuals!H37)</f>
        <v>0</v>
      </c>
      <c r="R61" s="114" t="n">
        <f aca="false">Budget!H37</f>
        <v>-1000</v>
      </c>
      <c r="S61" s="114" t="n">
        <f aca="false">IF(Q61="","",Q61-R61)</f>
        <v>1000</v>
      </c>
      <c r="T61" s="114" t="n">
        <f aca="false">IF(OR(7&gt;$B$27,ISBLANK(Actuals!I37)),"",Actuals!I37)</f>
        <v>0</v>
      </c>
      <c r="U61" s="114" t="n">
        <f aca="false">Budget!I37</f>
        <v>-1020</v>
      </c>
      <c r="V61" s="114" t="n">
        <f aca="false">IF(T61="","",T61-U61)</f>
        <v>1020</v>
      </c>
      <c r="W61" s="114" t="n">
        <f aca="false">IF(OR(8&gt;$B$27,ISBLANK(Actuals!J37)),"",Actuals!J37)</f>
        <v>-26000</v>
      </c>
      <c r="X61" s="114" t="n">
        <f aca="false">Budget!J37</f>
        <v>-1020</v>
      </c>
      <c r="Y61" s="114" t="n">
        <f aca="false">IF(W61="","",W61-X61)</f>
        <v>-24980</v>
      </c>
      <c r="Z61" s="114" t="str">
        <f aca="false">IF(OR(9&gt;$B$27,ISBLANK(Actuals!K37)),"",Actuals!K37)</f>
        <v/>
      </c>
      <c r="AA61" s="114" t="n">
        <f aca="false">Budget!K37</f>
        <v>-1020</v>
      </c>
      <c r="AB61" s="114" t="str">
        <f aca="false">IF(Z61="","",Z61-AA61)</f>
        <v/>
      </c>
      <c r="AC61" s="114" t="str">
        <f aca="false">IF(OR(10&gt;$B$27,ISBLANK(Actuals!L37)),"",Actuals!L37)</f>
        <v/>
      </c>
      <c r="AD61" s="114" t="n">
        <f aca="false">Budget!L37</f>
        <v>-1020</v>
      </c>
      <c r="AE61" s="114" t="str">
        <f aca="false">IF(AC61="","",AC61-AD61)</f>
        <v/>
      </c>
      <c r="AF61" s="114" t="str">
        <f aca="false">IF(OR(11&gt;$B$27,ISBLANK(Actuals!M37)),"",Actuals!M37)</f>
        <v/>
      </c>
      <c r="AG61" s="114" t="n">
        <f aca="false">Budget!M37</f>
        <v>-1020</v>
      </c>
      <c r="AH61" s="114" t="str">
        <f aca="false">IF(AF61="","",AF61-AG61)</f>
        <v/>
      </c>
      <c r="AI61" s="114" t="str">
        <f aca="false">IF(OR(12&gt;$B$27,ISBLANK(Actuals!N37)),"",Actuals!N37)</f>
        <v/>
      </c>
      <c r="AJ61" s="114" t="n">
        <f aca="false">Budget!N37</f>
        <v>-1020</v>
      </c>
      <c r="AK61" s="114" t="str">
        <f aca="false">IF(AI61="","",AI61-AJ61)</f>
        <v/>
      </c>
      <c r="AL61" s="117" t="n">
        <f aca="false">SUM(Actuals!$C37:INDEX(Actuals!$C37:$N37,$B$27))</f>
        <v>-59876</v>
      </c>
      <c r="AM61" s="117" t="n">
        <f aca="false">SUM(Budget!$C37:INDEX(Budget!$C37:$N37,$B$27))</f>
        <v>-8040</v>
      </c>
      <c r="AN61" s="117" t="n">
        <f aca="false">AL61-AM61</f>
        <v>-51836</v>
      </c>
      <c r="AP61" s="115" t="s">
        <v>412</v>
      </c>
    </row>
    <row r="62" customFormat="false" ht="15" hidden="true" customHeight="true" outlineLevel="1" collapsed="false">
      <c r="A62" s="110" t="s">
        <v>81</v>
      </c>
      <c r="B62" s="114" t="n">
        <f aca="false">IF(OR(1&gt;$B$27,ISBLANK(Actuals!C38)),"",Actuals!C38)</f>
        <v>0</v>
      </c>
      <c r="C62" s="114" t="n">
        <f aca="false">Budget!C38</f>
        <v>0</v>
      </c>
      <c r="D62" s="114" t="n">
        <f aca="false">IF(B62="","",B62-C62)</f>
        <v>0</v>
      </c>
      <c r="E62" s="114" t="n">
        <f aca="false">IF(OR(2&gt;$B$27,ISBLANK(Actuals!D38)),"",Actuals!D38)</f>
        <v>0</v>
      </c>
      <c r="F62" s="114" t="n">
        <f aca="false">Budget!D38</f>
        <v>0</v>
      </c>
      <c r="G62" s="114" t="n">
        <f aca="false">IF(E62="","",E62-F62)</f>
        <v>0</v>
      </c>
      <c r="H62" s="114" t="n">
        <f aca="false">IF(OR(3&gt;$B$27,ISBLANK(Actuals!E38)),"",Actuals!E38)</f>
        <v>-750.4</v>
      </c>
      <c r="I62" s="114" t="n">
        <f aca="false">Budget!E38</f>
        <v>0</v>
      </c>
      <c r="J62" s="114" t="n">
        <f aca="false">IF(H62="","",H62-I62)</f>
        <v>-750.4</v>
      </c>
      <c r="K62" s="114" t="n">
        <f aca="false">IF(OR(4&gt;$B$27,ISBLANK(Actuals!F38)),"",Actuals!F38)</f>
        <v>0</v>
      </c>
      <c r="L62" s="114" t="n">
        <f aca="false">Budget!F38</f>
        <v>0</v>
      </c>
      <c r="M62" s="114" t="n">
        <f aca="false">IF(K62="","",K62-L62)</f>
        <v>0</v>
      </c>
      <c r="N62" s="114" t="n">
        <f aca="false">IF(OR(5&gt;$B$27,ISBLANK(Actuals!G38)),"",Actuals!G38)</f>
        <v>0</v>
      </c>
      <c r="O62" s="114" t="n">
        <f aca="false">Budget!G38</f>
        <v>0</v>
      </c>
      <c r="P62" s="114" t="n">
        <f aca="false">IF(N62="","",N62-O62)</f>
        <v>0</v>
      </c>
      <c r="Q62" s="114" t="n">
        <f aca="false">IF(OR(6&gt;$B$27,ISBLANK(Actuals!H38)),"",Actuals!H38)</f>
        <v>0</v>
      </c>
      <c r="R62" s="114" t="n">
        <f aca="false">Budget!H38</f>
        <v>0</v>
      </c>
      <c r="S62" s="114" t="n">
        <f aca="false">IF(Q62="","",Q62-R62)</f>
        <v>0</v>
      </c>
      <c r="T62" s="114" t="n">
        <f aca="false">IF(OR(7&gt;$B$27,ISBLANK(Actuals!I38)),"",Actuals!I38)</f>
        <v>0</v>
      </c>
      <c r="U62" s="114" t="n">
        <f aca="false">Budget!I38</f>
        <v>0</v>
      </c>
      <c r="V62" s="114" t="n">
        <f aca="false">IF(T62="","",T62-U62)</f>
        <v>0</v>
      </c>
      <c r="W62" s="114" t="n">
        <f aca="false">IF(OR(8&gt;$B$27,ISBLANK(Actuals!J38)),"",Actuals!J38)</f>
        <v>0</v>
      </c>
      <c r="X62" s="114" t="n">
        <f aca="false">Budget!J38</f>
        <v>0</v>
      </c>
      <c r="Y62" s="114" t="n">
        <f aca="false">IF(W62="","",W62-X62)</f>
        <v>0</v>
      </c>
      <c r="Z62" s="114" t="str">
        <f aca="false">IF(OR(9&gt;$B$27,ISBLANK(Actuals!K38)),"",Actuals!K38)</f>
        <v/>
      </c>
      <c r="AA62" s="114" t="n">
        <f aca="false">Budget!K38</f>
        <v>0</v>
      </c>
      <c r="AB62" s="114" t="str">
        <f aca="false">IF(Z62="","",Z62-AA62)</f>
        <v/>
      </c>
      <c r="AC62" s="114" t="str">
        <f aca="false">IF(OR(10&gt;$B$27,ISBLANK(Actuals!L38)),"",Actuals!L38)</f>
        <v/>
      </c>
      <c r="AD62" s="114" t="n">
        <f aca="false">Budget!L38</f>
        <v>0</v>
      </c>
      <c r="AE62" s="114" t="str">
        <f aca="false">IF(AC62="","",AC62-AD62)</f>
        <v/>
      </c>
      <c r="AF62" s="114" t="str">
        <f aca="false">IF(OR(11&gt;$B$27,ISBLANK(Actuals!M38)),"",Actuals!M38)</f>
        <v/>
      </c>
      <c r="AG62" s="114" t="n">
        <f aca="false">Budget!M38</f>
        <v>0</v>
      </c>
      <c r="AH62" s="114" t="str">
        <f aca="false">IF(AF62="","",AF62-AG62)</f>
        <v/>
      </c>
      <c r="AI62" s="114" t="str">
        <f aca="false">IF(OR(12&gt;$B$27,ISBLANK(Actuals!N38)),"",Actuals!N38)</f>
        <v/>
      </c>
      <c r="AJ62" s="114" t="n">
        <f aca="false">Budget!N38</f>
        <v>0</v>
      </c>
      <c r="AK62" s="114" t="str">
        <f aca="false">IF(AI62="","",AI62-AJ62)</f>
        <v/>
      </c>
      <c r="AL62" s="117" t="n">
        <f aca="false">SUM(Actuals!$C38:INDEX(Actuals!$C38:$N38,$B$27))</f>
        <v>-750.4</v>
      </c>
      <c r="AM62" s="117" t="n">
        <f aca="false">SUM(Budget!$C38:INDEX(Budget!$C38:$N38,$B$27))</f>
        <v>0</v>
      </c>
      <c r="AN62" s="117" t="n">
        <f aca="false">AL62-AM62</f>
        <v>-750.4</v>
      </c>
    </row>
    <row r="63" customFormat="false" ht="15" hidden="true" customHeight="true" outlineLevel="1" collapsed="false">
      <c r="A63" s="110" t="s">
        <v>82</v>
      </c>
      <c r="B63" s="114" t="n">
        <f aca="false">IF(OR(1&gt;$B$27,ISBLANK(Actuals!C39)),"",Actuals!C39)</f>
        <v>-1474.63</v>
      </c>
      <c r="C63" s="114" t="n">
        <f aca="false">Budget!C39</f>
        <v>-1666.67</v>
      </c>
      <c r="D63" s="114" t="n">
        <f aca="false">IF(B63="","",B63-C63)</f>
        <v>192.04</v>
      </c>
      <c r="E63" s="114" t="n">
        <f aca="false">IF(OR(2&gt;$B$27,ISBLANK(Actuals!D39)),"",Actuals!D39)</f>
        <v>-1449.33</v>
      </c>
      <c r="F63" s="114" t="n">
        <f aca="false">Budget!D39</f>
        <v>-1666.67</v>
      </c>
      <c r="G63" s="114" t="n">
        <f aca="false">IF(E63="","",E63-F63)</f>
        <v>217.34</v>
      </c>
      <c r="H63" s="114" t="n">
        <f aca="false">IF(OR(3&gt;$B$27,ISBLANK(Actuals!E39)),"",Actuals!E39)</f>
        <v>-2328.76</v>
      </c>
      <c r="I63" s="114" t="n">
        <f aca="false">Budget!E39</f>
        <v>-1666.67</v>
      </c>
      <c r="J63" s="114" t="n">
        <f aca="false">IF(H63="","",H63-I63)</f>
        <v>-662.09</v>
      </c>
      <c r="K63" s="114" t="n">
        <f aca="false">IF(OR(4&gt;$B$27,ISBLANK(Actuals!F39)),"",Actuals!F39)</f>
        <v>-2249.56</v>
      </c>
      <c r="L63" s="114" t="n">
        <f aca="false">Budget!F39</f>
        <v>-1666.67</v>
      </c>
      <c r="M63" s="114" t="n">
        <f aca="false">IF(K63="","",K63-L63)</f>
        <v>-582.89</v>
      </c>
      <c r="N63" s="114" t="n">
        <f aca="false">IF(OR(5&gt;$B$27,ISBLANK(Actuals!G39)),"",Actuals!G39)</f>
        <v>-2759.48</v>
      </c>
      <c r="O63" s="114" t="n">
        <f aca="false">Budget!G39</f>
        <v>-1666.67</v>
      </c>
      <c r="P63" s="114" t="n">
        <f aca="false">IF(N63="","",N63-O63)</f>
        <v>-1092.81</v>
      </c>
      <c r="Q63" s="114" t="n">
        <f aca="false">IF(OR(6&gt;$B$27,ISBLANK(Actuals!H39)),"",Actuals!H39)</f>
        <v>-2749.12</v>
      </c>
      <c r="R63" s="114" t="n">
        <f aca="false">Budget!H39</f>
        <v>-1666.67</v>
      </c>
      <c r="S63" s="114" t="n">
        <f aca="false">IF(Q63="","",Q63-R63)</f>
        <v>-1082.45</v>
      </c>
      <c r="T63" s="114" t="n">
        <f aca="false">IF(OR(7&gt;$B$27,ISBLANK(Actuals!I39)),"",Actuals!I39)</f>
        <v>-2384.6</v>
      </c>
      <c r="U63" s="114" t="n">
        <f aca="false">Budget!I39</f>
        <v>-1700</v>
      </c>
      <c r="V63" s="114" t="n">
        <f aca="false">IF(T63="","",T63-U63)</f>
        <v>-684.6</v>
      </c>
      <c r="W63" s="114" t="n">
        <f aca="false">IF(OR(8&gt;$B$27,ISBLANK(Actuals!J39)),"",Actuals!J39)</f>
        <v>-4264.89</v>
      </c>
      <c r="X63" s="114" t="n">
        <f aca="false">Budget!J39</f>
        <v>-1700</v>
      </c>
      <c r="Y63" s="114" t="n">
        <f aca="false">IF(W63="","",W63-X63)</f>
        <v>-2564.89</v>
      </c>
      <c r="Z63" s="114" t="str">
        <f aca="false">IF(OR(9&gt;$B$27,ISBLANK(Actuals!K39)),"",Actuals!K39)</f>
        <v/>
      </c>
      <c r="AA63" s="114" t="n">
        <f aca="false">Budget!K39</f>
        <v>-1700</v>
      </c>
      <c r="AB63" s="114" t="str">
        <f aca="false">IF(Z63="","",Z63-AA63)</f>
        <v/>
      </c>
      <c r="AC63" s="114" t="str">
        <f aca="false">IF(OR(10&gt;$B$27,ISBLANK(Actuals!L39)),"",Actuals!L39)</f>
        <v/>
      </c>
      <c r="AD63" s="114" t="n">
        <f aca="false">Budget!L39</f>
        <v>-1700</v>
      </c>
      <c r="AE63" s="114" t="str">
        <f aca="false">IF(AC63="","",AC63-AD63)</f>
        <v/>
      </c>
      <c r="AF63" s="114" t="str">
        <f aca="false">IF(OR(11&gt;$B$27,ISBLANK(Actuals!M39)),"",Actuals!M39)</f>
        <v/>
      </c>
      <c r="AG63" s="114" t="n">
        <f aca="false">Budget!M39</f>
        <v>-1700</v>
      </c>
      <c r="AH63" s="114" t="str">
        <f aca="false">IF(AF63="","",AF63-AG63)</f>
        <v/>
      </c>
      <c r="AI63" s="114" t="str">
        <f aca="false">IF(OR(12&gt;$B$27,ISBLANK(Actuals!N39)),"",Actuals!N39)</f>
        <v/>
      </c>
      <c r="AJ63" s="114" t="n">
        <f aca="false">Budget!N39</f>
        <v>-1700</v>
      </c>
      <c r="AK63" s="114" t="str">
        <f aca="false">IF(AI63="","",AI63-AJ63)</f>
        <v/>
      </c>
      <c r="AL63" s="117" t="n">
        <f aca="false">SUM(Actuals!$C39:INDEX(Actuals!$C39:$N39,$B$27))</f>
        <v>-19660.37</v>
      </c>
      <c r="AM63" s="117" t="n">
        <f aca="false">SUM(Budget!$C39:INDEX(Budget!$C39:$N39,$B$27))</f>
        <v>-13400.02</v>
      </c>
      <c r="AN63" s="117" t="n">
        <f aca="false">AL63-AM63</f>
        <v>-6260.35</v>
      </c>
    </row>
    <row r="64" customFormat="false" ht="15" hidden="true" customHeight="true" outlineLevel="1" collapsed="false">
      <c r="A64" s="110" t="s">
        <v>83</v>
      </c>
      <c r="B64" s="114" t="n">
        <f aca="false">IF(OR(1&gt;$B$27,ISBLANK(Actuals!C40)),"",Actuals!C40)</f>
        <v>-1417.61</v>
      </c>
      <c r="C64" s="114" t="n">
        <f aca="false">Budget!C40</f>
        <v>-1000</v>
      </c>
      <c r="D64" s="114" t="n">
        <f aca="false">IF(B64="","",B64-C64)</f>
        <v>-417.61</v>
      </c>
      <c r="E64" s="114" t="n">
        <f aca="false">IF(OR(2&gt;$B$27,ISBLANK(Actuals!D40)),"",Actuals!D40)</f>
        <v>-2730.36</v>
      </c>
      <c r="F64" s="114" t="n">
        <f aca="false">Budget!D40</f>
        <v>-1000</v>
      </c>
      <c r="G64" s="114" t="n">
        <f aca="false">IF(E64="","",E64-F64)</f>
        <v>-1730.36</v>
      </c>
      <c r="H64" s="114" t="n">
        <f aca="false">IF(OR(3&gt;$B$27,ISBLANK(Actuals!E40)),"",Actuals!E40)</f>
        <v>-1818.05</v>
      </c>
      <c r="I64" s="114" t="n">
        <f aca="false">Budget!E40</f>
        <v>-1000</v>
      </c>
      <c r="J64" s="114" t="n">
        <f aca="false">IF(H64="","",H64-I64)</f>
        <v>-818.05</v>
      </c>
      <c r="K64" s="114" t="n">
        <f aca="false">IF(OR(4&gt;$B$27,ISBLANK(Actuals!F40)),"",Actuals!F40)</f>
        <v>-3307.74</v>
      </c>
      <c r="L64" s="114" t="n">
        <f aca="false">Budget!F40</f>
        <v>-1000</v>
      </c>
      <c r="M64" s="114" t="n">
        <f aca="false">IF(K64="","",K64-L64)</f>
        <v>-2307.74</v>
      </c>
      <c r="N64" s="114" t="n">
        <f aca="false">IF(OR(5&gt;$B$27,ISBLANK(Actuals!G40)),"",Actuals!G40)</f>
        <v>-1257.74</v>
      </c>
      <c r="O64" s="114" t="n">
        <f aca="false">Budget!G40</f>
        <v>-1000</v>
      </c>
      <c r="P64" s="114" t="n">
        <f aca="false">IF(N64="","",N64-O64)</f>
        <v>-257.74</v>
      </c>
      <c r="Q64" s="114" t="n">
        <f aca="false">IF(OR(6&gt;$B$27,ISBLANK(Actuals!H40)),"",Actuals!H40)</f>
        <v>-3372.74</v>
      </c>
      <c r="R64" s="114" t="n">
        <f aca="false">Budget!H40</f>
        <v>-1000</v>
      </c>
      <c r="S64" s="114" t="n">
        <f aca="false">IF(Q64="","",Q64-R64)</f>
        <v>-2372.74</v>
      </c>
      <c r="T64" s="114" t="n">
        <f aca="false">IF(OR(7&gt;$B$27,ISBLANK(Actuals!I40)),"",Actuals!I40)</f>
        <v>-1434.83</v>
      </c>
      <c r="U64" s="114" t="n">
        <f aca="false">Budget!I40</f>
        <v>-1020</v>
      </c>
      <c r="V64" s="114" t="n">
        <f aca="false">IF(T64="","",T64-U64)</f>
        <v>-414.83</v>
      </c>
      <c r="W64" s="114" t="n">
        <f aca="false">IF(OR(8&gt;$B$27,ISBLANK(Actuals!J40)),"",Actuals!J40)</f>
        <v>-3520.23</v>
      </c>
      <c r="X64" s="114" t="n">
        <f aca="false">Budget!J40</f>
        <v>-1020</v>
      </c>
      <c r="Y64" s="114" t="n">
        <f aca="false">IF(W64="","",W64-X64)</f>
        <v>-2500.23</v>
      </c>
      <c r="Z64" s="114" t="str">
        <f aca="false">IF(OR(9&gt;$B$27,ISBLANK(Actuals!K40)),"",Actuals!K40)</f>
        <v/>
      </c>
      <c r="AA64" s="114" t="n">
        <f aca="false">Budget!K40</f>
        <v>-1020</v>
      </c>
      <c r="AB64" s="114" t="str">
        <f aca="false">IF(Z64="","",Z64-AA64)</f>
        <v/>
      </c>
      <c r="AC64" s="114" t="str">
        <f aca="false">IF(OR(10&gt;$B$27,ISBLANK(Actuals!L40)),"",Actuals!L40)</f>
        <v/>
      </c>
      <c r="AD64" s="114" t="n">
        <f aca="false">Budget!L40</f>
        <v>-1020</v>
      </c>
      <c r="AE64" s="114" t="str">
        <f aca="false">IF(AC64="","",AC64-AD64)</f>
        <v/>
      </c>
      <c r="AF64" s="114" t="str">
        <f aca="false">IF(OR(11&gt;$B$27,ISBLANK(Actuals!M40)),"",Actuals!M40)</f>
        <v/>
      </c>
      <c r="AG64" s="114" t="n">
        <f aca="false">Budget!M40</f>
        <v>-1020</v>
      </c>
      <c r="AH64" s="114" t="str">
        <f aca="false">IF(AF64="","",AF64-AG64)</f>
        <v/>
      </c>
      <c r="AI64" s="114" t="str">
        <f aca="false">IF(OR(12&gt;$B$27,ISBLANK(Actuals!N40)),"",Actuals!N40)</f>
        <v/>
      </c>
      <c r="AJ64" s="114" t="n">
        <f aca="false">Budget!N40</f>
        <v>-1020</v>
      </c>
      <c r="AK64" s="114" t="str">
        <f aca="false">IF(AI64="","",AI64-AJ64)</f>
        <v/>
      </c>
      <c r="AL64" s="117" t="n">
        <f aca="false">SUM(Actuals!$C40:INDEX(Actuals!$C40:$N40,$B$27))</f>
        <v>-18859.3</v>
      </c>
      <c r="AM64" s="117" t="n">
        <f aca="false">SUM(Budget!$C40:INDEX(Budget!$C40:$N40,$B$27))</f>
        <v>-8040</v>
      </c>
      <c r="AN64" s="117" t="n">
        <f aca="false">AL64-AM64</f>
        <v>-10819.3</v>
      </c>
      <c r="AP64" s="115" t="s">
        <v>413</v>
      </c>
    </row>
    <row r="65" customFormat="false" ht="15" hidden="true" customHeight="true" outlineLevel="1" collapsed="false">
      <c r="A65" s="110" t="s">
        <v>84</v>
      </c>
      <c r="B65" s="114" t="n">
        <f aca="false">IF(OR(1&gt;$B$27,ISBLANK(Actuals!C41)),"",Actuals!C41)</f>
        <v>0</v>
      </c>
      <c r="C65" s="114" t="n">
        <f aca="false">Budget!C41</f>
        <v>0</v>
      </c>
      <c r="D65" s="114" t="n">
        <f aca="false">IF(B65="","",B65-C65)</f>
        <v>0</v>
      </c>
      <c r="E65" s="114" t="n">
        <f aca="false">IF(OR(2&gt;$B$27,ISBLANK(Actuals!D41)),"",Actuals!D41)</f>
        <v>0</v>
      </c>
      <c r="F65" s="114" t="n">
        <f aca="false">Budget!D41</f>
        <v>0</v>
      </c>
      <c r="G65" s="114" t="n">
        <f aca="false">IF(E65="","",E65-F65)</f>
        <v>0</v>
      </c>
      <c r="H65" s="114" t="n">
        <f aca="false">IF(OR(3&gt;$B$27,ISBLANK(Actuals!E41)),"",Actuals!E41)</f>
        <v>-41990</v>
      </c>
      <c r="I65" s="114" t="n">
        <f aca="false">Budget!E41</f>
        <v>0</v>
      </c>
      <c r="J65" s="114" t="n">
        <f aca="false">IF(H65="","",H65-I65)</f>
        <v>-41990</v>
      </c>
      <c r="K65" s="114" t="n">
        <f aca="false">IF(OR(4&gt;$B$27,ISBLANK(Actuals!F41)),"",Actuals!F41)</f>
        <v>-42500</v>
      </c>
      <c r="L65" s="114" t="n">
        <f aca="false">Budget!F41</f>
        <v>0</v>
      </c>
      <c r="M65" s="114" t="n">
        <f aca="false">IF(K65="","",K65-L65)</f>
        <v>-42500</v>
      </c>
      <c r="N65" s="114" t="n">
        <f aca="false">IF(OR(5&gt;$B$27,ISBLANK(Actuals!G41)),"",Actuals!G41)</f>
        <v>-21000</v>
      </c>
      <c r="O65" s="114" t="n">
        <f aca="false">Budget!G41</f>
        <v>0</v>
      </c>
      <c r="P65" s="114" t="n">
        <f aca="false">IF(N65="","",N65-O65)</f>
        <v>-21000</v>
      </c>
      <c r="Q65" s="114" t="n">
        <f aca="false">IF(OR(6&gt;$B$27,ISBLANK(Actuals!H41)),"",Actuals!H41)</f>
        <v>0</v>
      </c>
      <c r="R65" s="114" t="n">
        <f aca="false">Budget!H41</f>
        <v>0</v>
      </c>
      <c r="S65" s="114" t="n">
        <f aca="false">IF(Q65="","",Q65-R65)</f>
        <v>0</v>
      </c>
      <c r="T65" s="114" t="n">
        <f aca="false">IF(OR(7&gt;$B$27,ISBLANK(Actuals!I41)),"",Actuals!I41)</f>
        <v>0</v>
      </c>
      <c r="U65" s="114" t="n">
        <f aca="false">Budget!I41</f>
        <v>0</v>
      </c>
      <c r="V65" s="114" t="n">
        <f aca="false">IF(T65="","",T65-U65)</f>
        <v>0</v>
      </c>
      <c r="W65" s="114" t="n">
        <f aca="false">IF(OR(8&gt;$B$27,ISBLANK(Actuals!J41)),"",Actuals!J41)</f>
        <v>0</v>
      </c>
      <c r="X65" s="114" t="n">
        <f aca="false">Budget!J41</f>
        <v>0</v>
      </c>
      <c r="Y65" s="114" t="n">
        <f aca="false">IF(W65="","",W65-X65)</f>
        <v>0</v>
      </c>
      <c r="Z65" s="114" t="str">
        <f aca="false">IF(OR(9&gt;$B$27,ISBLANK(Actuals!K41)),"",Actuals!K41)</f>
        <v/>
      </c>
      <c r="AA65" s="114" t="n">
        <f aca="false">Budget!K41</f>
        <v>0</v>
      </c>
      <c r="AB65" s="114" t="str">
        <f aca="false">IF(Z65="","",Z65-AA65)</f>
        <v/>
      </c>
      <c r="AC65" s="114" t="str">
        <f aca="false">IF(OR(10&gt;$B$27,ISBLANK(Actuals!L41)),"",Actuals!L41)</f>
        <v/>
      </c>
      <c r="AD65" s="114" t="n">
        <f aca="false">Budget!L41</f>
        <v>0</v>
      </c>
      <c r="AE65" s="114" t="str">
        <f aca="false">IF(AC65="","",AC65-AD65)</f>
        <v/>
      </c>
      <c r="AF65" s="114" t="str">
        <f aca="false">IF(OR(11&gt;$B$27,ISBLANK(Actuals!M41)),"",Actuals!M41)</f>
        <v/>
      </c>
      <c r="AG65" s="114" t="n">
        <f aca="false">Budget!M41</f>
        <v>0</v>
      </c>
      <c r="AH65" s="114" t="str">
        <f aca="false">IF(AF65="","",AF65-AG65)</f>
        <v/>
      </c>
      <c r="AI65" s="114" t="str">
        <f aca="false">IF(OR(12&gt;$B$27,ISBLANK(Actuals!N41)),"",Actuals!N41)</f>
        <v/>
      </c>
      <c r="AJ65" s="114" t="n">
        <f aca="false">Budget!N41</f>
        <v>0</v>
      </c>
      <c r="AK65" s="114" t="str">
        <f aca="false">IF(AI65="","",AI65-AJ65)</f>
        <v/>
      </c>
      <c r="AL65" s="117" t="n">
        <f aca="false">SUM(Actuals!$C41:INDEX(Actuals!$C41:$N41,$B$27))</f>
        <v>-105490</v>
      </c>
      <c r="AM65" s="117" t="n">
        <f aca="false">SUM(Budget!$C41:INDEX(Budget!$C41:$N41,$B$27))</f>
        <v>0</v>
      </c>
      <c r="AN65" s="117" t="n">
        <f aca="false">AL65-AM65</f>
        <v>-105490</v>
      </c>
      <c r="AP65" s="115" t="s">
        <v>414</v>
      </c>
    </row>
    <row r="66" customFormat="false" ht="15" hidden="true" customHeight="true" outlineLevel="1" collapsed="false">
      <c r="A66" s="110" t="s">
        <v>85</v>
      </c>
      <c r="B66" s="114" t="n">
        <f aca="false">IF(OR(1&gt;$B$27,ISBLANK(Actuals!C42)),"",Actuals!C42)</f>
        <v>-165</v>
      </c>
      <c r="C66" s="114" t="n">
        <f aca="false">Budget!C42</f>
        <v>0</v>
      </c>
      <c r="D66" s="114" t="n">
        <f aca="false">IF(B66="","",B66-C66)</f>
        <v>-165</v>
      </c>
      <c r="E66" s="114" t="n">
        <f aca="false">IF(OR(2&gt;$B$27,ISBLANK(Actuals!D42)),"",Actuals!D42)</f>
        <v>0</v>
      </c>
      <c r="F66" s="114" t="n">
        <f aca="false">Budget!D42</f>
        <v>0</v>
      </c>
      <c r="G66" s="114" t="n">
        <f aca="false">IF(E66="","",E66-F66)</f>
        <v>0</v>
      </c>
      <c r="H66" s="114" t="n">
        <f aca="false">IF(OR(3&gt;$B$27,ISBLANK(Actuals!E42)),"",Actuals!E42)</f>
        <v>0</v>
      </c>
      <c r="I66" s="114" t="n">
        <f aca="false">Budget!E42</f>
        <v>0</v>
      </c>
      <c r="J66" s="114" t="n">
        <f aca="false">IF(H66="","",H66-I66)</f>
        <v>0</v>
      </c>
      <c r="K66" s="114" t="n">
        <f aca="false">IF(OR(4&gt;$B$27,ISBLANK(Actuals!F42)),"",Actuals!F42)</f>
        <v>-165</v>
      </c>
      <c r="L66" s="114" t="n">
        <f aca="false">Budget!F42</f>
        <v>0</v>
      </c>
      <c r="M66" s="114" t="n">
        <f aca="false">IF(K66="","",K66-L66)</f>
        <v>-165</v>
      </c>
      <c r="N66" s="114" t="n">
        <f aca="false">IF(OR(5&gt;$B$27,ISBLANK(Actuals!G42)),"",Actuals!G42)</f>
        <v>0</v>
      </c>
      <c r="O66" s="114" t="n">
        <f aca="false">Budget!G42</f>
        <v>0</v>
      </c>
      <c r="P66" s="114" t="n">
        <f aca="false">IF(N66="","",N66-O66)</f>
        <v>0</v>
      </c>
      <c r="Q66" s="114" t="n">
        <f aca="false">IF(OR(6&gt;$B$27,ISBLANK(Actuals!H42)),"",Actuals!H42)</f>
        <v>-165</v>
      </c>
      <c r="R66" s="114" t="n">
        <f aca="false">Budget!H42</f>
        <v>0</v>
      </c>
      <c r="S66" s="114" t="n">
        <f aca="false">IF(Q66="","",Q66-R66)</f>
        <v>-165</v>
      </c>
      <c r="T66" s="114" t="n">
        <f aca="false">IF(OR(7&gt;$B$27,ISBLANK(Actuals!I42)),"",Actuals!I42)</f>
        <v>0</v>
      </c>
      <c r="U66" s="114" t="n">
        <f aca="false">Budget!I42</f>
        <v>0</v>
      </c>
      <c r="V66" s="114" t="n">
        <f aca="false">IF(T66="","",T66-U66)</f>
        <v>0</v>
      </c>
      <c r="W66" s="114" t="n">
        <f aca="false">IF(OR(8&gt;$B$27,ISBLANK(Actuals!J42)),"",Actuals!J42)</f>
        <v>0</v>
      </c>
      <c r="X66" s="114" t="n">
        <f aca="false">Budget!J42</f>
        <v>0</v>
      </c>
      <c r="Y66" s="114" t="n">
        <f aca="false">IF(W66="","",W66-X66)</f>
        <v>0</v>
      </c>
      <c r="Z66" s="114" t="str">
        <f aca="false">IF(OR(9&gt;$B$27,ISBLANK(Actuals!K42)),"",Actuals!K42)</f>
        <v/>
      </c>
      <c r="AA66" s="114" t="n">
        <f aca="false">Budget!K42</f>
        <v>0</v>
      </c>
      <c r="AB66" s="114" t="str">
        <f aca="false">IF(Z66="","",Z66-AA66)</f>
        <v/>
      </c>
      <c r="AC66" s="114" t="str">
        <f aca="false">IF(OR(10&gt;$B$27,ISBLANK(Actuals!L42)),"",Actuals!L42)</f>
        <v/>
      </c>
      <c r="AD66" s="114" t="n">
        <f aca="false">Budget!L42</f>
        <v>0</v>
      </c>
      <c r="AE66" s="114" t="str">
        <f aca="false">IF(AC66="","",AC66-AD66)</f>
        <v/>
      </c>
      <c r="AF66" s="114" t="str">
        <f aca="false">IF(OR(11&gt;$B$27,ISBLANK(Actuals!M42)),"",Actuals!M42)</f>
        <v/>
      </c>
      <c r="AG66" s="114" t="n">
        <f aca="false">Budget!M42</f>
        <v>0</v>
      </c>
      <c r="AH66" s="114" t="str">
        <f aca="false">IF(AF66="","",AF66-AG66)</f>
        <v/>
      </c>
      <c r="AI66" s="114" t="str">
        <f aca="false">IF(OR(12&gt;$B$27,ISBLANK(Actuals!N42)),"",Actuals!N42)</f>
        <v/>
      </c>
      <c r="AJ66" s="114" t="n">
        <f aca="false">Budget!N42</f>
        <v>0</v>
      </c>
      <c r="AK66" s="114" t="str">
        <f aca="false">IF(AI66="","",AI66-AJ66)</f>
        <v/>
      </c>
      <c r="AL66" s="117" t="n">
        <f aca="false">SUM(Actuals!$C42:INDEX(Actuals!$C42:$N42,$B$27))</f>
        <v>-495</v>
      </c>
      <c r="AM66" s="117" t="n">
        <f aca="false">SUM(Budget!$C42:INDEX(Budget!$C42:$N42,$B$27))</f>
        <v>0</v>
      </c>
      <c r="AN66" s="117" t="n">
        <f aca="false">AL66-AM66</f>
        <v>-495</v>
      </c>
    </row>
    <row r="67" customFormat="false" ht="15" hidden="true" customHeight="true" outlineLevel="1" collapsed="false">
      <c r="A67" s="110" t="s">
        <v>86</v>
      </c>
      <c r="B67" s="114" t="n">
        <f aca="false">IF(OR(1&gt;$B$27,ISBLANK(Actuals!C43)),"",Actuals!C43)</f>
        <v>0</v>
      </c>
      <c r="C67" s="114" t="n">
        <f aca="false">Budget!C43</f>
        <v>0</v>
      </c>
      <c r="D67" s="114" t="n">
        <f aca="false">IF(B67="","",B67-C67)</f>
        <v>0</v>
      </c>
      <c r="E67" s="114" t="n">
        <f aca="false">IF(OR(2&gt;$B$27,ISBLANK(Actuals!D43)),"",Actuals!D43)</f>
        <v>0</v>
      </c>
      <c r="F67" s="114" t="n">
        <f aca="false">Budget!D43</f>
        <v>0</v>
      </c>
      <c r="G67" s="114" t="n">
        <f aca="false">IF(E67="","",E67-F67)</f>
        <v>0</v>
      </c>
      <c r="H67" s="114" t="n">
        <f aca="false">IF(OR(3&gt;$B$27,ISBLANK(Actuals!E43)),"",Actuals!E43)</f>
        <v>0</v>
      </c>
      <c r="I67" s="114" t="n">
        <f aca="false">Budget!E43</f>
        <v>0</v>
      </c>
      <c r="J67" s="114" t="n">
        <f aca="false">IF(H67="","",H67-I67)</f>
        <v>0</v>
      </c>
      <c r="K67" s="114" t="n">
        <f aca="false">IF(OR(4&gt;$B$27,ISBLANK(Actuals!F43)),"",Actuals!F43)</f>
        <v>-1036.49</v>
      </c>
      <c r="L67" s="114" t="n">
        <f aca="false">Budget!F43</f>
        <v>0</v>
      </c>
      <c r="M67" s="114" t="n">
        <f aca="false">IF(K67="","",K67-L67)</f>
        <v>-1036.49</v>
      </c>
      <c r="N67" s="114" t="n">
        <f aca="false">IF(OR(5&gt;$B$27,ISBLANK(Actuals!G43)),"",Actuals!G43)</f>
        <v>0</v>
      </c>
      <c r="O67" s="114" t="n">
        <f aca="false">Budget!G43</f>
        <v>0</v>
      </c>
      <c r="P67" s="114" t="n">
        <f aca="false">IF(N67="","",N67-O67)</f>
        <v>0</v>
      </c>
      <c r="Q67" s="114" t="n">
        <f aca="false">IF(OR(6&gt;$B$27,ISBLANK(Actuals!H43)),"",Actuals!H43)</f>
        <v>-4308.58</v>
      </c>
      <c r="R67" s="114" t="n">
        <f aca="false">Budget!H43</f>
        <v>0</v>
      </c>
      <c r="S67" s="114" t="n">
        <f aca="false">IF(Q67="","",Q67-R67)</f>
        <v>-4308.58</v>
      </c>
      <c r="T67" s="114" t="n">
        <f aca="false">IF(OR(7&gt;$B$27,ISBLANK(Actuals!I43)),"",Actuals!I43)</f>
        <v>-362.98</v>
      </c>
      <c r="U67" s="114" t="n">
        <f aca="false">Budget!I43</f>
        <v>0</v>
      </c>
      <c r="V67" s="114" t="n">
        <f aca="false">IF(T67="","",T67-U67)</f>
        <v>-362.98</v>
      </c>
      <c r="W67" s="114" t="n">
        <f aca="false">IF(OR(8&gt;$B$27,ISBLANK(Actuals!J43)),"",Actuals!J43)</f>
        <v>0</v>
      </c>
      <c r="X67" s="114" t="n">
        <f aca="false">Budget!J43</f>
        <v>0</v>
      </c>
      <c r="Y67" s="114" t="n">
        <f aca="false">IF(W67="","",W67-X67)</f>
        <v>0</v>
      </c>
      <c r="Z67" s="114" t="str">
        <f aca="false">IF(OR(9&gt;$B$27,ISBLANK(Actuals!K43)),"",Actuals!K43)</f>
        <v/>
      </c>
      <c r="AA67" s="114" t="n">
        <f aca="false">Budget!K43</f>
        <v>0</v>
      </c>
      <c r="AB67" s="114" t="str">
        <f aca="false">IF(Z67="","",Z67-AA67)</f>
        <v/>
      </c>
      <c r="AC67" s="114" t="str">
        <f aca="false">IF(OR(10&gt;$B$27,ISBLANK(Actuals!L43)),"",Actuals!L43)</f>
        <v/>
      </c>
      <c r="AD67" s="114" t="n">
        <f aca="false">Budget!L43</f>
        <v>0</v>
      </c>
      <c r="AE67" s="114" t="str">
        <f aca="false">IF(AC67="","",AC67-AD67)</f>
        <v/>
      </c>
      <c r="AF67" s="114" t="str">
        <f aca="false">IF(OR(11&gt;$B$27,ISBLANK(Actuals!M43)),"",Actuals!M43)</f>
        <v/>
      </c>
      <c r="AG67" s="114" t="n">
        <f aca="false">Budget!M43</f>
        <v>0</v>
      </c>
      <c r="AH67" s="114" t="str">
        <f aca="false">IF(AF67="","",AF67-AG67)</f>
        <v/>
      </c>
      <c r="AI67" s="114" t="str">
        <f aca="false">IF(OR(12&gt;$B$27,ISBLANK(Actuals!N43)),"",Actuals!N43)</f>
        <v/>
      </c>
      <c r="AJ67" s="114" t="n">
        <f aca="false">Budget!N43</f>
        <v>0</v>
      </c>
      <c r="AK67" s="114" t="str">
        <f aca="false">IF(AI67="","",AI67-AJ67)</f>
        <v/>
      </c>
      <c r="AL67" s="117" t="n">
        <f aca="false">SUM(Actuals!$C43:INDEX(Actuals!$C43:$N43,$B$27))</f>
        <v>-5708.05</v>
      </c>
      <c r="AM67" s="117" t="n">
        <f aca="false">SUM(Budget!$C43:INDEX(Budget!$C43:$N43,$B$27))</f>
        <v>0</v>
      </c>
      <c r="AN67" s="117" t="n">
        <f aca="false">AL67-AM67</f>
        <v>-5708.05</v>
      </c>
    </row>
    <row r="68" customFormat="false" ht="15" hidden="true" customHeight="true" outlineLevel="1" collapsed="false">
      <c r="A68" s="110" t="s">
        <v>87</v>
      </c>
      <c r="B68" s="114" t="n">
        <f aca="false">IF(OR(1&gt;$B$27,ISBLANK(Actuals!C44)),"",Actuals!C44)</f>
        <v>-550</v>
      </c>
      <c r="C68" s="114" t="n">
        <f aca="false">Budget!C44</f>
        <v>0</v>
      </c>
      <c r="D68" s="114" t="n">
        <f aca="false">IF(B68="","",B68-C68)</f>
        <v>-550</v>
      </c>
      <c r="E68" s="114" t="n">
        <f aca="false">IF(OR(2&gt;$B$27,ISBLANK(Actuals!D44)),"",Actuals!D44)</f>
        <v>-550</v>
      </c>
      <c r="F68" s="114" t="n">
        <f aca="false">Budget!D44</f>
        <v>0</v>
      </c>
      <c r="G68" s="114" t="n">
        <f aca="false">IF(E68="","",E68-F68)</f>
        <v>-550</v>
      </c>
      <c r="H68" s="114" t="n">
        <f aca="false">IF(OR(3&gt;$B$27,ISBLANK(Actuals!E44)),"",Actuals!E44)</f>
        <v>-550</v>
      </c>
      <c r="I68" s="114" t="n">
        <f aca="false">Budget!E44</f>
        <v>0</v>
      </c>
      <c r="J68" s="114" t="n">
        <f aca="false">IF(H68="","",H68-I68)</f>
        <v>-550</v>
      </c>
      <c r="K68" s="114" t="n">
        <f aca="false">IF(OR(4&gt;$B$27,ISBLANK(Actuals!F44)),"",Actuals!F44)</f>
        <v>-600</v>
      </c>
      <c r="L68" s="114" t="n">
        <f aca="false">Budget!F44</f>
        <v>0</v>
      </c>
      <c r="M68" s="114" t="n">
        <f aca="false">IF(K68="","",K68-L68)</f>
        <v>-600</v>
      </c>
      <c r="N68" s="114" t="n">
        <f aca="false">IF(OR(5&gt;$B$27,ISBLANK(Actuals!G44)),"",Actuals!G44)</f>
        <v>-650</v>
      </c>
      <c r="O68" s="114" t="n">
        <f aca="false">Budget!G44</f>
        <v>0</v>
      </c>
      <c r="P68" s="114" t="n">
        <f aca="false">IF(N68="","",N68-O68)</f>
        <v>-650</v>
      </c>
      <c r="Q68" s="114" t="n">
        <f aca="false">IF(OR(6&gt;$B$27,ISBLANK(Actuals!H44)),"",Actuals!H44)</f>
        <v>-575</v>
      </c>
      <c r="R68" s="114" t="n">
        <f aca="false">Budget!H44</f>
        <v>0</v>
      </c>
      <c r="S68" s="114" t="n">
        <f aca="false">IF(Q68="","",Q68-R68)</f>
        <v>-575</v>
      </c>
      <c r="T68" s="114" t="n">
        <f aca="false">IF(OR(7&gt;$B$27,ISBLANK(Actuals!I44)),"",Actuals!I44)</f>
        <v>-1300</v>
      </c>
      <c r="U68" s="114" t="n">
        <f aca="false">Budget!I44</f>
        <v>0</v>
      </c>
      <c r="V68" s="114" t="n">
        <f aca="false">IF(T68="","",T68-U68)</f>
        <v>-1300</v>
      </c>
      <c r="W68" s="114" t="n">
        <f aca="false">IF(OR(8&gt;$B$27,ISBLANK(Actuals!J44)),"",Actuals!J44)</f>
        <v>-325</v>
      </c>
      <c r="X68" s="114" t="n">
        <f aca="false">Budget!J44</f>
        <v>0</v>
      </c>
      <c r="Y68" s="114" t="n">
        <f aca="false">IF(W68="","",W68-X68)</f>
        <v>-325</v>
      </c>
      <c r="Z68" s="114" t="str">
        <f aca="false">IF(OR(9&gt;$B$27,ISBLANK(Actuals!K44)),"",Actuals!K44)</f>
        <v/>
      </c>
      <c r="AA68" s="114" t="n">
        <f aca="false">Budget!K44</f>
        <v>0</v>
      </c>
      <c r="AB68" s="114" t="str">
        <f aca="false">IF(Z68="","",Z68-AA68)</f>
        <v/>
      </c>
      <c r="AC68" s="114" t="str">
        <f aca="false">IF(OR(10&gt;$B$27,ISBLANK(Actuals!L44)),"",Actuals!L44)</f>
        <v/>
      </c>
      <c r="AD68" s="114" t="n">
        <f aca="false">Budget!L44</f>
        <v>0</v>
      </c>
      <c r="AE68" s="114" t="str">
        <f aca="false">IF(AC68="","",AC68-AD68)</f>
        <v/>
      </c>
      <c r="AF68" s="114" t="str">
        <f aca="false">IF(OR(11&gt;$B$27,ISBLANK(Actuals!M44)),"",Actuals!M44)</f>
        <v/>
      </c>
      <c r="AG68" s="114" t="n">
        <f aca="false">Budget!M44</f>
        <v>0</v>
      </c>
      <c r="AH68" s="114" t="str">
        <f aca="false">IF(AF68="","",AF68-AG68)</f>
        <v/>
      </c>
      <c r="AI68" s="114" t="str">
        <f aca="false">IF(OR(12&gt;$B$27,ISBLANK(Actuals!N44)),"",Actuals!N44)</f>
        <v/>
      </c>
      <c r="AJ68" s="114" t="n">
        <f aca="false">Budget!N44</f>
        <v>0</v>
      </c>
      <c r="AK68" s="114" t="str">
        <f aca="false">IF(AI68="","",AI68-AJ68)</f>
        <v/>
      </c>
      <c r="AL68" s="117" t="n">
        <f aca="false">SUM(Actuals!$C44:INDEX(Actuals!$C44:$N44,$B$27))</f>
        <v>-5100</v>
      </c>
      <c r="AM68" s="117" t="n">
        <f aca="false">SUM(Budget!$C44:INDEX(Budget!$C44:$N44,$B$27))</f>
        <v>0</v>
      </c>
      <c r="AN68" s="117" t="n">
        <f aca="false">AL68-AM68</f>
        <v>-5100</v>
      </c>
    </row>
    <row r="69" customFormat="false" ht="15" hidden="true" customHeight="true" outlineLevel="1" collapsed="false">
      <c r="A69" s="110" t="s">
        <v>88</v>
      </c>
      <c r="B69" s="114" t="n">
        <f aca="false">IF(OR(1&gt;$B$27,ISBLANK(Actuals!C45)),"",Actuals!C45)</f>
        <v>-19223.75</v>
      </c>
      <c r="C69" s="114" t="n">
        <f aca="false">Budget!C45</f>
        <v>-4166.67</v>
      </c>
      <c r="D69" s="114" t="n">
        <f aca="false">IF(B69="","",B69-C69)</f>
        <v>-15057.08</v>
      </c>
      <c r="E69" s="114" t="n">
        <f aca="false">IF(OR(2&gt;$B$27,ISBLANK(Actuals!D45)),"",Actuals!D45)</f>
        <v>-13381.97</v>
      </c>
      <c r="F69" s="114" t="n">
        <f aca="false">Budget!D45</f>
        <v>-4166.67</v>
      </c>
      <c r="G69" s="114" t="n">
        <f aca="false">IF(E69="","",E69-F69)</f>
        <v>-9215.3</v>
      </c>
      <c r="H69" s="114" t="n">
        <f aca="false">IF(OR(3&gt;$B$27,ISBLANK(Actuals!E45)),"",Actuals!E45)</f>
        <v>-20308.69</v>
      </c>
      <c r="I69" s="114" t="n">
        <f aca="false">Budget!E45</f>
        <v>-4166.67</v>
      </c>
      <c r="J69" s="114" t="n">
        <f aca="false">IF(H69="","",H69-I69)</f>
        <v>-16142.02</v>
      </c>
      <c r="K69" s="114" t="n">
        <f aca="false">IF(OR(4&gt;$B$27,ISBLANK(Actuals!F45)),"",Actuals!F45)</f>
        <v>-16948.76</v>
      </c>
      <c r="L69" s="114" t="n">
        <f aca="false">Budget!F45</f>
        <v>-4166.67</v>
      </c>
      <c r="M69" s="114" t="n">
        <f aca="false">IF(K69="","",K69-L69)</f>
        <v>-12782.09</v>
      </c>
      <c r="N69" s="114" t="n">
        <f aca="false">IF(OR(5&gt;$B$27,ISBLANK(Actuals!G45)),"",Actuals!G45)</f>
        <v>-29716.98</v>
      </c>
      <c r="O69" s="114" t="n">
        <f aca="false">Budget!G45</f>
        <v>-4166.67</v>
      </c>
      <c r="P69" s="114" t="n">
        <f aca="false">IF(N69="","",N69-O69)</f>
        <v>-25550.31</v>
      </c>
      <c r="Q69" s="114" t="n">
        <f aca="false">IF(OR(6&gt;$B$27,ISBLANK(Actuals!H45)),"",Actuals!H45)</f>
        <v>-11335.64</v>
      </c>
      <c r="R69" s="114" t="n">
        <f aca="false">Budget!H45</f>
        <v>-4166.67</v>
      </c>
      <c r="S69" s="114" t="n">
        <f aca="false">IF(Q69="","",Q69-R69)</f>
        <v>-7168.97</v>
      </c>
      <c r="T69" s="114" t="n">
        <f aca="false">IF(OR(7&gt;$B$27,ISBLANK(Actuals!I45)),"",Actuals!I45)</f>
        <v>-11387.12</v>
      </c>
      <c r="U69" s="114" t="n">
        <f aca="false">Budget!I45</f>
        <v>-4250</v>
      </c>
      <c r="V69" s="114" t="n">
        <f aca="false">IF(T69="","",T69-U69)</f>
        <v>-7137.12</v>
      </c>
      <c r="W69" s="114" t="n">
        <f aca="false">IF(OR(8&gt;$B$27,ISBLANK(Actuals!J45)),"",Actuals!J45)</f>
        <v>-19873.14</v>
      </c>
      <c r="X69" s="114" t="n">
        <f aca="false">Budget!J45</f>
        <v>-4250</v>
      </c>
      <c r="Y69" s="114" t="n">
        <f aca="false">IF(W69="","",W69-X69)</f>
        <v>-15623.14</v>
      </c>
      <c r="Z69" s="114" t="str">
        <f aca="false">IF(OR(9&gt;$B$27,ISBLANK(Actuals!K45)),"",Actuals!K45)</f>
        <v/>
      </c>
      <c r="AA69" s="114" t="n">
        <f aca="false">Budget!K45</f>
        <v>-4250</v>
      </c>
      <c r="AB69" s="114" t="str">
        <f aca="false">IF(Z69="","",Z69-AA69)</f>
        <v/>
      </c>
      <c r="AC69" s="114" t="str">
        <f aca="false">IF(OR(10&gt;$B$27,ISBLANK(Actuals!L45)),"",Actuals!L45)</f>
        <v/>
      </c>
      <c r="AD69" s="114" t="n">
        <f aca="false">Budget!L45</f>
        <v>-4250</v>
      </c>
      <c r="AE69" s="114" t="str">
        <f aca="false">IF(AC69="","",AC69-AD69)</f>
        <v/>
      </c>
      <c r="AF69" s="114" t="str">
        <f aca="false">IF(OR(11&gt;$B$27,ISBLANK(Actuals!M45)),"",Actuals!M45)</f>
        <v/>
      </c>
      <c r="AG69" s="114" t="n">
        <f aca="false">Budget!M45</f>
        <v>-4250</v>
      </c>
      <c r="AH69" s="114" t="str">
        <f aca="false">IF(AF69="","",AF69-AG69)</f>
        <v/>
      </c>
      <c r="AI69" s="114" t="str">
        <f aca="false">IF(OR(12&gt;$B$27,ISBLANK(Actuals!N45)),"",Actuals!N45)</f>
        <v/>
      </c>
      <c r="AJ69" s="114" t="n">
        <f aca="false">Budget!N45</f>
        <v>-4250</v>
      </c>
      <c r="AK69" s="114" t="str">
        <f aca="false">IF(AI69="","",AI69-AJ69)</f>
        <v/>
      </c>
      <c r="AL69" s="117" t="n">
        <f aca="false">SUM(Actuals!$C45:INDEX(Actuals!$C45:$N45,$B$27))</f>
        <v>-142176.05</v>
      </c>
      <c r="AM69" s="117" t="n">
        <f aca="false">SUM(Budget!$C45:INDEX(Budget!$C45:$N45,$B$27))</f>
        <v>-33500.02</v>
      </c>
      <c r="AN69" s="117" t="n">
        <f aca="false">AL69-AM69</f>
        <v>-108676.03</v>
      </c>
      <c r="AP69" s="115" t="s">
        <v>415</v>
      </c>
    </row>
    <row r="70" customFormat="false" ht="15" hidden="true" customHeight="true" outlineLevel="1" collapsed="false">
      <c r="A70" s="110" t="s">
        <v>89</v>
      </c>
      <c r="B70" s="114" t="n">
        <f aca="false">IF(OR(1&gt;$B$27,ISBLANK(Actuals!C46)),"",Actuals!C46)</f>
        <v>-1909.98</v>
      </c>
      <c r="C70" s="114" t="n">
        <f aca="false">Budget!C46</f>
        <v>-1000</v>
      </c>
      <c r="D70" s="114" t="n">
        <f aca="false">IF(B70="","",B70-C70)</f>
        <v>-909.98</v>
      </c>
      <c r="E70" s="114" t="n">
        <f aca="false">IF(OR(2&gt;$B$27,ISBLANK(Actuals!D46)),"",Actuals!D46)</f>
        <v>-190.1</v>
      </c>
      <c r="F70" s="114" t="n">
        <f aca="false">Budget!D46</f>
        <v>-1000</v>
      </c>
      <c r="G70" s="114" t="n">
        <f aca="false">IF(E70="","",E70-F70)</f>
        <v>809.9</v>
      </c>
      <c r="H70" s="114" t="n">
        <f aca="false">IF(OR(3&gt;$B$27,ISBLANK(Actuals!E46)),"",Actuals!E46)</f>
        <v>-2166.92</v>
      </c>
      <c r="I70" s="114" t="n">
        <f aca="false">Budget!E46</f>
        <v>-1000</v>
      </c>
      <c r="J70" s="114" t="n">
        <f aca="false">IF(H70="","",H70-I70)</f>
        <v>-1166.92</v>
      </c>
      <c r="K70" s="114" t="n">
        <f aca="false">IF(OR(4&gt;$B$27,ISBLANK(Actuals!F46)),"",Actuals!F46)</f>
        <v>-1816.95</v>
      </c>
      <c r="L70" s="114" t="n">
        <f aca="false">Budget!F46</f>
        <v>-1000</v>
      </c>
      <c r="M70" s="114" t="n">
        <f aca="false">IF(K70="","",K70-L70)</f>
        <v>-816.95</v>
      </c>
      <c r="N70" s="114" t="n">
        <f aca="false">IF(OR(5&gt;$B$27,ISBLANK(Actuals!G46)),"",Actuals!G46)</f>
        <v>-1452.9</v>
      </c>
      <c r="O70" s="114" t="n">
        <f aca="false">Budget!G46</f>
        <v>-1000</v>
      </c>
      <c r="P70" s="114" t="n">
        <f aca="false">IF(N70="","",N70-O70)</f>
        <v>-452.9</v>
      </c>
      <c r="Q70" s="114" t="n">
        <f aca="false">IF(OR(6&gt;$B$27,ISBLANK(Actuals!H46)),"",Actuals!H46)</f>
        <v>-13918.31</v>
      </c>
      <c r="R70" s="114" t="n">
        <f aca="false">Budget!H46</f>
        <v>-1000</v>
      </c>
      <c r="S70" s="114" t="n">
        <f aca="false">IF(Q70="","",Q70-R70)</f>
        <v>-12918.31</v>
      </c>
      <c r="T70" s="114" t="n">
        <f aca="false">IF(OR(7&gt;$B$27,ISBLANK(Actuals!I46)),"",Actuals!I46)</f>
        <v>9546.02</v>
      </c>
      <c r="U70" s="114" t="n">
        <f aca="false">Budget!I46</f>
        <v>-1020</v>
      </c>
      <c r="V70" s="114" t="n">
        <f aca="false">IF(T70="","",T70-U70)</f>
        <v>10566.02</v>
      </c>
      <c r="W70" s="114" t="n">
        <f aca="false">IF(OR(8&gt;$B$27,ISBLANK(Actuals!J46)),"",Actuals!J46)</f>
        <v>-840.61</v>
      </c>
      <c r="X70" s="114" t="n">
        <f aca="false">Budget!J46</f>
        <v>-1020</v>
      </c>
      <c r="Y70" s="114" t="n">
        <f aca="false">IF(W70="","",W70-X70)</f>
        <v>179.39</v>
      </c>
      <c r="Z70" s="114" t="str">
        <f aca="false">IF(OR(9&gt;$B$27,ISBLANK(Actuals!K46)),"",Actuals!K46)</f>
        <v/>
      </c>
      <c r="AA70" s="114" t="n">
        <f aca="false">Budget!K46</f>
        <v>-1020</v>
      </c>
      <c r="AB70" s="114" t="str">
        <f aca="false">IF(Z70="","",Z70-AA70)</f>
        <v/>
      </c>
      <c r="AC70" s="114" t="str">
        <f aca="false">IF(OR(10&gt;$B$27,ISBLANK(Actuals!L46)),"",Actuals!L46)</f>
        <v/>
      </c>
      <c r="AD70" s="114" t="n">
        <f aca="false">Budget!L46</f>
        <v>-1020</v>
      </c>
      <c r="AE70" s="114" t="str">
        <f aca="false">IF(AC70="","",AC70-AD70)</f>
        <v/>
      </c>
      <c r="AF70" s="114" t="str">
        <f aca="false">IF(OR(11&gt;$B$27,ISBLANK(Actuals!M46)),"",Actuals!M46)</f>
        <v/>
      </c>
      <c r="AG70" s="114" t="n">
        <f aca="false">Budget!M46</f>
        <v>-1020</v>
      </c>
      <c r="AH70" s="114" t="str">
        <f aca="false">IF(AF70="","",AF70-AG70)</f>
        <v/>
      </c>
      <c r="AI70" s="114" t="str">
        <f aca="false">IF(OR(12&gt;$B$27,ISBLANK(Actuals!N46)),"",Actuals!N46)</f>
        <v/>
      </c>
      <c r="AJ70" s="114" t="n">
        <f aca="false">Budget!N46</f>
        <v>-1020</v>
      </c>
      <c r="AK70" s="114" t="str">
        <f aca="false">IF(AI70="","",AI70-AJ70)</f>
        <v/>
      </c>
      <c r="AL70" s="117" t="n">
        <f aca="false">SUM(Actuals!$C46:INDEX(Actuals!$C46:$N46,$B$27))</f>
        <v>-12749.75</v>
      </c>
      <c r="AM70" s="117" t="n">
        <f aca="false">SUM(Budget!$C46:INDEX(Budget!$C46:$N46,$B$27))</f>
        <v>-8040</v>
      </c>
      <c r="AN70" s="117" t="n">
        <f aca="false">AL70-AM70</f>
        <v>-4709.75</v>
      </c>
    </row>
    <row r="71" customFormat="false" ht="15" hidden="true" customHeight="true" outlineLevel="1" collapsed="false">
      <c r="A71" s="110" t="s">
        <v>90</v>
      </c>
      <c r="B71" s="114" t="n">
        <f aca="false">IF(OR(1&gt;$B$27,ISBLANK(Actuals!C47)),"",Actuals!C47)</f>
        <v>-320</v>
      </c>
      <c r="C71" s="114" t="n">
        <f aca="false">Budget!C47</f>
        <v>0</v>
      </c>
      <c r="D71" s="114" t="n">
        <f aca="false">IF(B71="","",B71-C71)</f>
        <v>-320</v>
      </c>
      <c r="E71" s="114" t="n">
        <f aca="false">IF(OR(2&gt;$B$27,ISBLANK(Actuals!D47)),"",Actuals!D47)</f>
        <v>-160</v>
      </c>
      <c r="F71" s="114" t="n">
        <f aca="false">Budget!D47</f>
        <v>0</v>
      </c>
      <c r="G71" s="114" t="n">
        <f aca="false">IF(E71="","",E71-F71)</f>
        <v>-160</v>
      </c>
      <c r="H71" s="114" t="n">
        <f aca="false">IF(OR(3&gt;$B$27,ISBLANK(Actuals!E47)),"",Actuals!E47)</f>
        <v>0</v>
      </c>
      <c r="I71" s="114" t="n">
        <f aca="false">Budget!E47</f>
        <v>0</v>
      </c>
      <c r="J71" s="114" t="n">
        <f aca="false">IF(H71="","",H71-I71)</f>
        <v>0</v>
      </c>
      <c r="K71" s="114" t="n">
        <f aca="false">IF(OR(4&gt;$B$27,ISBLANK(Actuals!F47)),"",Actuals!F47)</f>
        <v>0</v>
      </c>
      <c r="L71" s="114" t="n">
        <f aca="false">Budget!F47</f>
        <v>0</v>
      </c>
      <c r="M71" s="114" t="n">
        <f aca="false">IF(K71="","",K71-L71)</f>
        <v>0</v>
      </c>
      <c r="N71" s="114" t="n">
        <f aca="false">IF(OR(5&gt;$B$27,ISBLANK(Actuals!G47)),"",Actuals!G47)</f>
        <v>-320</v>
      </c>
      <c r="O71" s="114" t="n">
        <f aca="false">Budget!G47</f>
        <v>0</v>
      </c>
      <c r="P71" s="114" t="n">
        <f aca="false">IF(N71="","",N71-O71)</f>
        <v>-320</v>
      </c>
      <c r="Q71" s="114" t="n">
        <f aca="false">IF(OR(6&gt;$B$27,ISBLANK(Actuals!H47)),"",Actuals!H47)</f>
        <v>-320</v>
      </c>
      <c r="R71" s="114" t="n">
        <f aca="false">Budget!H47</f>
        <v>0</v>
      </c>
      <c r="S71" s="114" t="n">
        <f aca="false">IF(Q71="","",Q71-R71)</f>
        <v>-320</v>
      </c>
      <c r="T71" s="114" t="n">
        <f aca="false">IF(OR(7&gt;$B$27,ISBLANK(Actuals!I47)),"",Actuals!I47)</f>
        <v>0</v>
      </c>
      <c r="U71" s="114" t="n">
        <f aca="false">Budget!I47</f>
        <v>0</v>
      </c>
      <c r="V71" s="114" t="n">
        <f aca="false">IF(T71="","",T71-U71)</f>
        <v>0</v>
      </c>
      <c r="W71" s="114" t="n">
        <f aca="false">IF(OR(8&gt;$B$27,ISBLANK(Actuals!J47)),"",Actuals!J47)</f>
        <v>-160</v>
      </c>
      <c r="X71" s="114" t="n">
        <f aca="false">Budget!J47</f>
        <v>0</v>
      </c>
      <c r="Y71" s="114" t="n">
        <f aca="false">IF(W71="","",W71-X71)</f>
        <v>-160</v>
      </c>
      <c r="Z71" s="114" t="str">
        <f aca="false">IF(OR(9&gt;$B$27,ISBLANK(Actuals!K47)),"",Actuals!K47)</f>
        <v/>
      </c>
      <c r="AA71" s="114" t="n">
        <f aca="false">Budget!K47</f>
        <v>0</v>
      </c>
      <c r="AB71" s="114" t="str">
        <f aca="false">IF(Z71="","",Z71-AA71)</f>
        <v/>
      </c>
      <c r="AC71" s="114" t="str">
        <f aca="false">IF(OR(10&gt;$B$27,ISBLANK(Actuals!L47)),"",Actuals!L47)</f>
        <v/>
      </c>
      <c r="AD71" s="114" t="n">
        <f aca="false">Budget!L47</f>
        <v>0</v>
      </c>
      <c r="AE71" s="114" t="str">
        <f aca="false">IF(AC71="","",AC71-AD71)</f>
        <v/>
      </c>
      <c r="AF71" s="114" t="str">
        <f aca="false">IF(OR(11&gt;$B$27,ISBLANK(Actuals!M47)),"",Actuals!M47)</f>
        <v/>
      </c>
      <c r="AG71" s="114" t="n">
        <f aca="false">Budget!M47</f>
        <v>0</v>
      </c>
      <c r="AH71" s="114" t="str">
        <f aca="false">IF(AF71="","",AF71-AG71)</f>
        <v/>
      </c>
      <c r="AI71" s="114" t="str">
        <f aca="false">IF(OR(12&gt;$B$27,ISBLANK(Actuals!N47)),"",Actuals!N47)</f>
        <v/>
      </c>
      <c r="AJ71" s="114" t="n">
        <f aca="false">Budget!N47</f>
        <v>0</v>
      </c>
      <c r="AK71" s="114" t="str">
        <f aca="false">IF(AI71="","",AI71-AJ71)</f>
        <v/>
      </c>
      <c r="AL71" s="117" t="n">
        <f aca="false">SUM(Actuals!$C47:INDEX(Actuals!$C47:$N47,$B$27))</f>
        <v>-1280</v>
      </c>
      <c r="AM71" s="117" t="n">
        <f aca="false">SUM(Budget!$C47:INDEX(Budget!$C47:$N47,$B$27))</f>
        <v>0</v>
      </c>
      <c r="AN71" s="117" t="n">
        <f aca="false">AL71-AM71</f>
        <v>-1280</v>
      </c>
    </row>
    <row r="72" customFormat="false" ht="15" hidden="true" customHeight="true" outlineLevel="1" collapsed="false">
      <c r="A72" s="110" t="s">
        <v>91</v>
      </c>
      <c r="B72" s="114" t="n">
        <f aca="false">IF(OR(1&gt;$B$27,ISBLANK(Actuals!C48)),"",Actuals!C48)</f>
        <v>-17660.72</v>
      </c>
      <c r="C72" s="114" t="n">
        <f aca="false">Budget!C48</f>
        <v>-4166.67</v>
      </c>
      <c r="D72" s="114" t="n">
        <f aca="false">IF(B72="","",B72-C72)</f>
        <v>-13494.05</v>
      </c>
      <c r="E72" s="114" t="n">
        <f aca="false">IF(OR(2&gt;$B$27,ISBLANK(Actuals!D48)),"",Actuals!D48)</f>
        <v>-5799</v>
      </c>
      <c r="F72" s="114" t="n">
        <f aca="false">Budget!D48</f>
        <v>-4166.67</v>
      </c>
      <c r="G72" s="114" t="n">
        <f aca="false">IF(E72="","",E72-F72)</f>
        <v>-1632.33</v>
      </c>
      <c r="H72" s="114" t="n">
        <f aca="false">IF(OR(3&gt;$B$27,ISBLANK(Actuals!E48)),"",Actuals!E48)</f>
        <v>-3432.18</v>
      </c>
      <c r="I72" s="114" t="n">
        <f aca="false">Budget!E48</f>
        <v>-4166.67</v>
      </c>
      <c r="J72" s="114" t="n">
        <f aca="false">IF(H72="","",H72-I72)</f>
        <v>734.49</v>
      </c>
      <c r="K72" s="114" t="n">
        <f aca="false">IF(OR(4&gt;$B$27,ISBLANK(Actuals!F48)),"",Actuals!F48)</f>
        <v>0</v>
      </c>
      <c r="L72" s="114" t="n">
        <f aca="false">Budget!F48</f>
        <v>-4166.67</v>
      </c>
      <c r="M72" s="114" t="n">
        <f aca="false">IF(K72="","",K72-L72)</f>
        <v>4166.67</v>
      </c>
      <c r="N72" s="114" t="n">
        <f aca="false">IF(OR(5&gt;$B$27,ISBLANK(Actuals!G48)),"",Actuals!G48)</f>
        <v>-73874.29</v>
      </c>
      <c r="O72" s="114" t="n">
        <f aca="false">Budget!G48</f>
        <v>-4166.67</v>
      </c>
      <c r="P72" s="114" t="n">
        <f aca="false">IF(N72="","",N72-O72)</f>
        <v>-69707.62</v>
      </c>
      <c r="Q72" s="114" t="n">
        <f aca="false">IF(OR(6&gt;$B$27,ISBLANK(Actuals!H48)),"",Actuals!H48)</f>
        <v>0</v>
      </c>
      <c r="R72" s="114" t="n">
        <f aca="false">Budget!H48</f>
        <v>-4166.67</v>
      </c>
      <c r="S72" s="114" t="n">
        <f aca="false">IF(Q72="","",Q72-R72)</f>
        <v>4166.67</v>
      </c>
      <c r="T72" s="114" t="n">
        <f aca="false">IF(OR(7&gt;$B$27,ISBLANK(Actuals!I48)),"",Actuals!I48)</f>
        <v>0</v>
      </c>
      <c r="U72" s="114" t="n">
        <f aca="false">Budget!I48</f>
        <v>-4250</v>
      </c>
      <c r="V72" s="114" t="n">
        <f aca="false">IF(T72="","",T72-U72)</f>
        <v>4250</v>
      </c>
      <c r="W72" s="114" t="n">
        <f aca="false">IF(OR(8&gt;$B$27,ISBLANK(Actuals!J48)),"",Actuals!J48)</f>
        <v>-1372.32</v>
      </c>
      <c r="X72" s="114" t="n">
        <f aca="false">Budget!J48</f>
        <v>-4250</v>
      </c>
      <c r="Y72" s="114" t="n">
        <f aca="false">IF(W72="","",W72-X72)</f>
        <v>2877.68</v>
      </c>
      <c r="Z72" s="114" t="str">
        <f aca="false">IF(OR(9&gt;$B$27,ISBLANK(Actuals!K48)),"",Actuals!K48)</f>
        <v/>
      </c>
      <c r="AA72" s="114" t="n">
        <f aca="false">Budget!K48</f>
        <v>-4250</v>
      </c>
      <c r="AB72" s="114" t="str">
        <f aca="false">IF(Z72="","",Z72-AA72)</f>
        <v/>
      </c>
      <c r="AC72" s="114" t="str">
        <f aca="false">IF(OR(10&gt;$B$27,ISBLANK(Actuals!L48)),"",Actuals!L48)</f>
        <v/>
      </c>
      <c r="AD72" s="114" t="n">
        <f aca="false">Budget!L48</f>
        <v>-4250</v>
      </c>
      <c r="AE72" s="114" t="str">
        <f aca="false">IF(AC72="","",AC72-AD72)</f>
        <v/>
      </c>
      <c r="AF72" s="114" t="str">
        <f aca="false">IF(OR(11&gt;$B$27,ISBLANK(Actuals!M48)),"",Actuals!M48)</f>
        <v/>
      </c>
      <c r="AG72" s="114" t="n">
        <f aca="false">Budget!M48</f>
        <v>-4250</v>
      </c>
      <c r="AH72" s="114" t="str">
        <f aca="false">IF(AF72="","",AF72-AG72)</f>
        <v/>
      </c>
      <c r="AI72" s="114" t="str">
        <f aca="false">IF(OR(12&gt;$B$27,ISBLANK(Actuals!N48)),"",Actuals!N48)</f>
        <v/>
      </c>
      <c r="AJ72" s="114" t="n">
        <f aca="false">Budget!N48</f>
        <v>-4250</v>
      </c>
      <c r="AK72" s="114" t="str">
        <f aca="false">IF(AI72="","",AI72-AJ72)</f>
        <v/>
      </c>
      <c r="AL72" s="117" t="n">
        <f aca="false">SUM(Actuals!$C48:INDEX(Actuals!$C48:$N48,$B$27))</f>
        <v>-102138.51</v>
      </c>
      <c r="AM72" s="117" t="n">
        <f aca="false">SUM(Budget!$C48:INDEX(Budget!$C48:$N48,$B$27))</f>
        <v>-33500.02</v>
      </c>
      <c r="AN72" s="117" t="n">
        <f aca="false">AL72-AM72</f>
        <v>-68638.49</v>
      </c>
      <c r="AP72" s="115" t="s">
        <v>416</v>
      </c>
    </row>
    <row r="73" customFormat="false" ht="15" hidden="true" customHeight="true" outlineLevel="1" collapsed="false">
      <c r="A73" s="110" t="s">
        <v>92</v>
      </c>
      <c r="B73" s="114" t="n">
        <f aca="false">IF(OR(1&gt;$B$27,ISBLANK(Actuals!C49)),"",Actuals!C49)</f>
        <v>-1913.91</v>
      </c>
      <c r="C73" s="114" t="n">
        <f aca="false">Budget!C49</f>
        <v>0</v>
      </c>
      <c r="D73" s="114" t="n">
        <f aca="false">IF(B73="","",B73-C73)</f>
        <v>-1913.91</v>
      </c>
      <c r="E73" s="114" t="n">
        <f aca="false">IF(OR(2&gt;$B$27,ISBLANK(Actuals!D49)),"",Actuals!D49)</f>
        <v>-2254.72</v>
      </c>
      <c r="F73" s="114" t="n">
        <f aca="false">Budget!D49</f>
        <v>0</v>
      </c>
      <c r="G73" s="114" t="n">
        <f aca="false">IF(E73="","",E73-F73)</f>
        <v>-2254.72</v>
      </c>
      <c r="H73" s="114" t="n">
        <f aca="false">IF(OR(3&gt;$B$27,ISBLANK(Actuals!E49)),"",Actuals!E49)</f>
        <v>-1913.91</v>
      </c>
      <c r="I73" s="114" t="n">
        <f aca="false">Budget!E49</f>
        <v>0</v>
      </c>
      <c r="J73" s="114" t="n">
        <f aca="false">IF(H73="","",H73-I73)</f>
        <v>-1913.91</v>
      </c>
      <c r="K73" s="114" t="n">
        <f aca="false">IF(OR(4&gt;$B$27,ISBLANK(Actuals!F49)),"",Actuals!F49)</f>
        <v>-1609.91</v>
      </c>
      <c r="L73" s="114" t="n">
        <f aca="false">Budget!F49</f>
        <v>0</v>
      </c>
      <c r="M73" s="114" t="n">
        <f aca="false">IF(K73="","",K73-L73)</f>
        <v>-1609.91</v>
      </c>
      <c r="N73" s="114" t="n">
        <f aca="false">IF(OR(5&gt;$B$27,ISBLANK(Actuals!G49)),"",Actuals!G49)</f>
        <v>-2760.86</v>
      </c>
      <c r="O73" s="114" t="n">
        <f aca="false">Budget!G49</f>
        <v>0</v>
      </c>
      <c r="P73" s="114" t="n">
        <f aca="false">IF(N73="","",N73-O73)</f>
        <v>-2760.86</v>
      </c>
      <c r="Q73" s="114" t="n">
        <f aca="false">IF(OR(6&gt;$B$27,ISBLANK(Actuals!H49)),"",Actuals!H49)</f>
        <v>0</v>
      </c>
      <c r="R73" s="114" t="n">
        <f aca="false">Budget!H49</f>
        <v>0</v>
      </c>
      <c r="S73" s="114" t="n">
        <f aca="false">IF(Q73="","",Q73-R73)</f>
        <v>0</v>
      </c>
      <c r="T73" s="114" t="n">
        <f aca="false">IF(OR(7&gt;$B$27,ISBLANK(Actuals!I49)),"",Actuals!I49)</f>
        <v>0</v>
      </c>
      <c r="U73" s="114" t="n">
        <f aca="false">Budget!I49</f>
        <v>0</v>
      </c>
      <c r="V73" s="114" t="n">
        <f aca="false">IF(T73="","",T73-U73)</f>
        <v>0</v>
      </c>
      <c r="W73" s="114" t="n">
        <f aca="false">IF(OR(8&gt;$B$27,ISBLANK(Actuals!J49)),"",Actuals!J49)</f>
        <v>-11.02</v>
      </c>
      <c r="X73" s="114" t="n">
        <f aca="false">Budget!J49</f>
        <v>0</v>
      </c>
      <c r="Y73" s="114" t="n">
        <f aca="false">IF(W73="","",W73-X73)</f>
        <v>-11.02</v>
      </c>
      <c r="Z73" s="114" t="str">
        <f aca="false">IF(OR(9&gt;$B$27,ISBLANK(Actuals!K49)),"",Actuals!K49)</f>
        <v/>
      </c>
      <c r="AA73" s="114" t="n">
        <f aca="false">Budget!K49</f>
        <v>0</v>
      </c>
      <c r="AB73" s="114" t="str">
        <f aca="false">IF(Z73="","",Z73-AA73)</f>
        <v/>
      </c>
      <c r="AC73" s="114" t="str">
        <f aca="false">IF(OR(10&gt;$B$27,ISBLANK(Actuals!L49)),"",Actuals!L49)</f>
        <v/>
      </c>
      <c r="AD73" s="114" t="n">
        <f aca="false">Budget!L49</f>
        <v>0</v>
      </c>
      <c r="AE73" s="114" t="str">
        <f aca="false">IF(AC73="","",AC73-AD73)</f>
        <v/>
      </c>
      <c r="AF73" s="114" t="str">
        <f aca="false">IF(OR(11&gt;$B$27,ISBLANK(Actuals!M49)),"",Actuals!M49)</f>
        <v/>
      </c>
      <c r="AG73" s="114" t="n">
        <f aca="false">Budget!M49</f>
        <v>0</v>
      </c>
      <c r="AH73" s="114" t="str">
        <f aca="false">IF(AF73="","",AF73-AG73)</f>
        <v/>
      </c>
      <c r="AI73" s="114" t="str">
        <f aca="false">IF(OR(12&gt;$B$27,ISBLANK(Actuals!N49)),"",Actuals!N49)</f>
        <v/>
      </c>
      <c r="AJ73" s="114" t="n">
        <f aca="false">Budget!N49</f>
        <v>0</v>
      </c>
      <c r="AK73" s="114" t="str">
        <f aca="false">IF(AI73="","",AI73-AJ73)</f>
        <v/>
      </c>
      <c r="AL73" s="117" t="n">
        <f aca="false">SUM(Actuals!$C49:INDEX(Actuals!$C49:$N49,$B$27))</f>
        <v>-10464.33</v>
      </c>
      <c r="AM73" s="117" t="n">
        <f aca="false">SUM(Budget!$C49:INDEX(Budget!$C49:$N49,$B$27))</f>
        <v>0</v>
      </c>
      <c r="AN73" s="117" t="n">
        <f aca="false">AL73-AM73</f>
        <v>-10464.33</v>
      </c>
      <c r="AP73" s="115" t="s">
        <v>417</v>
      </c>
    </row>
    <row r="74" customFormat="false" ht="15" hidden="true" customHeight="true" outlineLevel="1" collapsed="false">
      <c r="A74" s="110" t="s">
        <v>93</v>
      </c>
      <c r="B74" s="114" t="n">
        <f aca="false">IF(OR(1&gt;$B$27,ISBLANK(Actuals!C50)),"",Actuals!C50)</f>
        <v>0</v>
      </c>
      <c r="C74" s="114" t="n">
        <f aca="false">Budget!C50</f>
        <v>-166.67</v>
      </c>
      <c r="D74" s="114" t="n">
        <f aca="false">IF(B74="","",B74-C74)</f>
        <v>166.67</v>
      </c>
      <c r="E74" s="114" t="n">
        <f aca="false">IF(OR(2&gt;$B$27,ISBLANK(Actuals!D50)),"",Actuals!D50)</f>
        <v>-75</v>
      </c>
      <c r="F74" s="114" t="n">
        <f aca="false">Budget!D50</f>
        <v>-166.67</v>
      </c>
      <c r="G74" s="114" t="n">
        <f aca="false">IF(E74="","",E74-F74)</f>
        <v>91.67</v>
      </c>
      <c r="H74" s="114" t="n">
        <f aca="false">IF(OR(3&gt;$B$27,ISBLANK(Actuals!E50)),"",Actuals!E50)</f>
        <v>-5</v>
      </c>
      <c r="I74" s="114" t="n">
        <f aca="false">Budget!E50</f>
        <v>-166.67</v>
      </c>
      <c r="J74" s="114" t="n">
        <f aca="false">IF(H74="","",H74-I74)</f>
        <v>161.67</v>
      </c>
      <c r="K74" s="114" t="n">
        <f aca="false">IF(OR(4&gt;$B$27,ISBLANK(Actuals!F50)),"",Actuals!F50)</f>
        <v>0</v>
      </c>
      <c r="L74" s="114" t="n">
        <f aca="false">Budget!F50</f>
        <v>-166.67</v>
      </c>
      <c r="M74" s="114" t="n">
        <f aca="false">IF(K74="","",K74-L74)</f>
        <v>166.67</v>
      </c>
      <c r="N74" s="114" t="n">
        <f aca="false">IF(OR(5&gt;$B$27,ISBLANK(Actuals!G50)),"",Actuals!G50)</f>
        <v>0</v>
      </c>
      <c r="O74" s="114" t="n">
        <f aca="false">Budget!G50</f>
        <v>-166.67</v>
      </c>
      <c r="P74" s="114" t="n">
        <f aca="false">IF(N74="","",N74-O74)</f>
        <v>166.67</v>
      </c>
      <c r="Q74" s="114" t="n">
        <f aca="false">IF(OR(6&gt;$B$27,ISBLANK(Actuals!H50)),"",Actuals!H50)</f>
        <v>0</v>
      </c>
      <c r="R74" s="114" t="n">
        <f aca="false">Budget!H50</f>
        <v>-166.67</v>
      </c>
      <c r="S74" s="114" t="n">
        <f aca="false">IF(Q74="","",Q74-R74)</f>
        <v>166.67</v>
      </c>
      <c r="T74" s="114" t="n">
        <f aca="false">IF(OR(7&gt;$B$27,ISBLANK(Actuals!I50)),"",Actuals!I50)</f>
        <v>-5</v>
      </c>
      <c r="U74" s="114" t="n">
        <f aca="false">Budget!I50</f>
        <v>-170</v>
      </c>
      <c r="V74" s="114" t="n">
        <f aca="false">IF(T74="","",T74-U74)</f>
        <v>165</v>
      </c>
      <c r="W74" s="114" t="n">
        <f aca="false">IF(OR(8&gt;$B$27,ISBLANK(Actuals!J50)),"",Actuals!J50)</f>
        <v>-50</v>
      </c>
      <c r="X74" s="114" t="n">
        <f aca="false">Budget!J50</f>
        <v>-170</v>
      </c>
      <c r="Y74" s="114" t="n">
        <f aca="false">IF(W74="","",W74-X74)</f>
        <v>120</v>
      </c>
      <c r="Z74" s="114" t="str">
        <f aca="false">IF(OR(9&gt;$B$27,ISBLANK(Actuals!K50)),"",Actuals!K50)</f>
        <v/>
      </c>
      <c r="AA74" s="114" t="n">
        <f aca="false">Budget!K50</f>
        <v>-170</v>
      </c>
      <c r="AB74" s="114" t="str">
        <f aca="false">IF(Z74="","",Z74-AA74)</f>
        <v/>
      </c>
      <c r="AC74" s="114" t="str">
        <f aca="false">IF(OR(10&gt;$B$27,ISBLANK(Actuals!L50)),"",Actuals!L50)</f>
        <v/>
      </c>
      <c r="AD74" s="114" t="n">
        <f aca="false">Budget!L50</f>
        <v>-170</v>
      </c>
      <c r="AE74" s="114" t="str">
        <f aca="false">IF(AC74="","",AC74-AD74)</f>
        <v/>
      </c>
      <c r="AF74" s="114" t="str">
        <f aca="false">IF(OR(11&gt;$B$27,ISBLANK(Actuals!M50)),"",Actuals!M50)</f>
        <v/>
      </c>
      <c r="AG74" s="114" t="n">
        <f aca="false">Budget!M50</f>
        <v>-170</v>
      </c>
      <c r="AH74" s="114" t="str">
        <f aca="false">IF(AF74="","",AF74-AG74)</f>
        <v/>
      </c>
      <c r="AI74" s="114" t="str">
        <f aca="false">IF(OR(12&gt;$B$27,ISBLANK(Actuals!N50)),"",Actuals!N50)</f>
        <v/>
      </c>
      <c r="AJ74" s="114" t="n">
        <f aca="false">Budget!N50</f>
        <v>-170</v>
      </c>
      <c r="AK74" s="114" t="str">
        <f aca="false">IF(AI74="","",AI74-AJ74)</f>
        <v/>
      </c>
      <c r="AL74" s="117" t="n">
        <f aca="false">SUM(Actuals!$C50:INDEX(Actuals!$C50:$N50,$B$27))</f>
        <v>-135</v>
      </c>
      <c r="AM74" s="117" t="n">
        <f aca="false">SUM(Budget!$C50:INDEX(Budget!$C50:$N50,$B$27))</f>
        <v>-1340.02</v>
      </c>
      <c r="AN74" s="117" t="n">
        <f aca="false">AL74-AM74</f>
        <v>1205.02</v>
      </c>
    </row>
    <row r="75" customFormat="false" ht="15" hidden="true" customHeight="true" outlineLevel="1" collapsed="false">
      <c r="A75" s="110" t="s">
        <v>94</v>
      </c>
      <c r="B75" s="114" t="n">
        <f aca="false">IF(OR(1&gt;$B$27,ISBLANK(Actuals!C51)),"",Actuals!C51)</f>
        <v>0</v>
      </c>
      <c r="C75" s="114" t="n">
        <f aca="false">Budget!C51</f>
        <v>0</v>
      </c>
      <c r="D75" s="114" t="n">
        <f aca="false">IF(B75="","",B75-C75)</f>
        <v>0</v>
      </c>
      <c r="E75" s="114" t="n">
        <f aca="false">IF(OR(2&gt;$B$27,ISBLANK(Actuals!D51)),"",Actuals!D51)</f>
        <v>-63</v>
      </c>
      <c r="F75" s="114" t="n">
        <f aca="false">Budget!D51</f>
        <v>0</v>
      </c>
      <c r="G75" s="114" t="n">
        <f aca="false">IF(E75="","",E75-F75)</f>
        <v>-63</v>
      </c>
      <c r="H75" s="114" t="n">
        <f aca="false">IF(OR(3&gt;$B$27,ISBLANK(Actuals!E51)),"",Actuals!E51)</f>
        <v>0</v>
      </c>
      <c r="I75" s="114" t="n">
        <f aca="false">Budget!E51</f>
        <v>0</v>
      </c>
      <c r="J75" s="114" t="n">
        <f aca="false">IF(H75="","",H75-I75)</f>
        <v>0</v>
      </c>
      <c r="K75" s="114" t="n">
        <f aca="false">IF(OR(4&gt;$B$27,ISBLANK(Actuals!F51)),"",Actuals!F51)</f>
        <v>0</v>
      </c>
      <c r="L75" s="114" t="n">
        <f aca="false">Budget!F51</f>
        <v>0</v>
      </c>
      <c r="M75" s="114" t="n">
        <f aca="false">IF(K75="","",K75-L75)</f>
        <v>0</v>
      </c>
      <c r="N75" s="114" t="n">
        <f aca="false">IF(OR(5&gt;$B$27,ISBLANK(Actuals!G51)),"",Actuals!G51)</f>
        <v>0</v>
      </c>
      <c r="O75" s="114" t="n">
        <f aca="false">Budget!G51</f>
        <v>0</v>
      </c>
      <c r="P75" s="114" t="n">
        <f aca="false">IF(N75="","",N75-O75)</f>
        <v>0</v>
      </c>
      <c r="Q75" s="114" t="n">
        <f aca="false">IF(OR(6&gt;$B$27,ISBLANK(Actuals!H51)),"",Actuals!H51)</f>
        <v>0</v>
      </c>
      <c r="R75" s="114" t="n">
        <f aca="false">Budget!H51</f>
        <v>0</v>
      </c>
      <c r="S75" s="114" t="n">
        <f aca="false">IF(Q75="","",Q75-R75)</f>
        <v>0</v>
      </c>
      <c r="T75" s="114" t="n">
        <f aca="false">IF(OR(7&gt;$B$27,ISBLANK(Actuals!I51)),"",Actuals!I51)</f>
        <v>0</v>
      </c>
      <c r="U75" s="114" t="n">
        <f aca="false">Budget!I51</f>
        <v>0</v>
      </c>
      <c r="V75" s="114" t="n">
        <f aca="false">IF(T75="","",T75-U75)</f>
        <v>0</v>
      </c>
      <c r="W75" s="114" t="n">
        <f aca="false">IF(OR(8&gt;$B$27,ISBLANK(Actuals!J51)),"",Actuals!J51)</f>
        <v>0</v>
      </c>
      <c r="X75" s="114" t="n">
        <f aca="false">Budget!J51</f>
        <v>0</v>
      </c>
      <c r="Y75" s="114" t="n">
        <f aca="false">IF(W75="","",W75-X75)</f>
        <v>0</v>
      </c>
      <c r="Z75" s="114" t="str">
        <f aca="false">IF(OR(9&gt;$B$27,ISBLANK(Actuals!K51)),"",Actuals!K51)</f>
        <v/>
      </c>
      <c r="AA75" s="114" t="n">
        <f aca="false">Budget!K51</f>
        <v>0</v>
      </c>
      <c r="AB75" s="114" t="str">
        <f aca="false">IF(Z75="","",Z75-AA75)</f>
        <v/>
      </c>
      <c r="AC75" s="114" t="str">
        <f aca="false">IF(OR(10&gt;$B$27,ISBLANK(Actuals!L51)),"",Actuals!L51)</f>
        <v/>
      </c>
      <c r="AD75" s="114" t="n">
        <f aca="false">Budget!L51</f>
        <v>0</v>
      </c>
      <c r="AE75" s="114" t="str">
        <f aca="false">IF(AC75="","",AC75-AD75)</f>
        <v/>
      </c>
      <c r="AF75" s="114" t="str">
        <f aca="false">IF(OR(11&gt;$B$27,ISBLANK(Actuals!M51)),"",Actuals!M51)</f>
        <v/>
      </c>
      <c r="AG75" s="114" t="n">
        <f aca="false">Budget!M51</f>
        <v>0</v>
      </c>
      <c r="AH75" s="114" t="str">
        <f aca="false">IF(AF75="","",AF75-AG75)</f>
        <v/>
      </c>
      <c r="AI75" s="114" t="str">
        <f aca="false">IF(OR(12&gt;$B$27,ISBLANK(Actuals!N51)),"",Actuals!N51)</f>
        <v/>
      </c>
      <c r="AJ75" s="114" t="n">
        <f aca="false">Budget!N51</f>
        <v>0</v>
      </c>
      <c r="AK75" s="114" t="str">
        <f aca="false">IF(AI75="","",AI75-AJ75)</f>
        <v/>
      </c>
      <c r="AL75" s="117" t="n">
        <f aca="false">SUM(Actuals!$C51:INDEX(Actuals!$C51:$N51,$B$27))</f>
        <v>-63</v>
      </c>
      <c r="AM75" s="117" t="n">
        <f aca="false">SUM(Budget!$C51:INDEX(Budget!$C51:$N51,$B$27))</f>
        <v>0</v>
      </c>
      <c r="AN75" s="117" t="n">
        <f aca="false">AL75-AM75</f>
        <v>-63</v>
      </c>
    </row>
    <row r="76" customFormat="false" ht="15" hidden="true" customHeight="true" outlineLevel="1" collapsed="false">
      <c r="A76" s="110" t="s">
        <v>95</v>
      </c>
      <c r="B76" s="114" t="str">
        <f aca="false">IF(OR(1&gt;$B$27,ISBLANK(Actuals!C52)),"",Actuals!C52)</f>
        <v/>
      </c>
      <c r="C76" s="114" t="n">
        <f aca="false">Budget!C52</f>
        <v>0</v>
      </c>
      <c r="D76" s="114" t="str">
        <f aca="false">IF(B76="","",B76-C76)</f>
        <v/>
      </c>
      <c r="E76" s="114" t="str">
        <f aca="false">IF(OR(2&gt;$B$27,ISBLANK(Actuals!D52)),"",Actuals!D52)</f>
        <v/>
      </c>
      <c r="F76" s="114" t="n">
        <f aca="false">Budget!D52</f>
        <v>0</v>
      </c>
      <c r="G76" s="114" t="str">
        <f aca="false">IF(E76="","",E76-F76)</f>
        <v/>
      </c>
      <c r="H76" s="114" t="str">
        <f aca="false">IF(OR(3&gt;$B$27,ISBLANK(Actuals!E52)),"",Actuals!E52)</f>
        <v/>
      </c>
      <c r="I76" s="114" t="n">
        <f aca="false">Budget!E52</f>
        <v>0</v>
      </c>
      <c r="J76" s="114" t="str">
        <f aca="false">IF(H76="","",H76-I76)</f>
        <v/>
      </c>
      <c r="K76" s="114" t="str">
        <f aca="false">IF(OR(4&gt;$B$27,ISBLANK(Actuals!F52)),"",Actuals!F52)</f>
        <v/>
      </c>
      <c r="L76" s="114" t="n">
        <f aca="false">Budget!F52</f>
        <v>0</v>
      </c>
      <c r="M76" s="114" t="str">
        <f aca="false">IF(K76="","",K76-L76)</f>
        <v/>
      </c>
      <c r="N76" s="114" t="str">
        <f aca="false">IF(OR(5&gt;$B$27,ISBLANK(Actuals!G52)),"",Actuals!G52)</f>
        <v/>
      </c>
      <c r="O76" s="114" t="n">
        <f aca="false">Budget!G52</f>
        <v>0</v>
      </c>
      <c r="P76" s="114" t="str">
        <f aca="false">IF(N76="","",N76-O76)</f>
        <v/>
      </c>
      <c r="Q76" s="114" t="str">
        <f aca="false">IF(OR(6&gt;$B$27,ISBLANK(Actuals!H52)),"",Actuals!H52)</f>
        <v/>
      </c>
      <c r="R76" s="114" t="n">
        <f aca="false">Budget!H52</f>
        <v>0</v>
      </c>
      <c r="S76" s="114" t="str">
        <f aca="false">IF(Q76="","",Q76-R76)</f>
        <v/>
      </c>
      <c r="T76" s="114" t="str">
        <f aca="false">IF(OR(7&gt;$B$27,ISBLANK(Actuals!I52)),"",Actuals!I52)</f>
        <v/>
      </c>
      <c r="U76" s="114" t="n">
        <f aca="false">Budget!I52</f>
        <v>0</v>
      </c>
      <c r="V76" s="114" t="str">
        <f aca="false">IF(T76="","",T76-U76)</f>
        <v/>
      </c>
      <c r="W76" s="114" t="str">
        <f aca="false">IF(OR(8&gt;$B$27,ISBLANK(Actuals!J52)),"",Actuals!J52)</f>
        <v/>
      </c>
      <c r="X76" s="114" t="n">
        <f aca="false">Budget!J52</f>
        <v>0</v>
      </c>
      <c r="Y76" s="114" t="str">
        <f aca="false">IF(W76="","",W76-X76)</f>
        <v/>
      </c>
      <c r="Z76" s="114" t="str">
        <f aca="false">IF(OR(9&gt;$B$27,ISBLANK(Actuals!K52)),"",Actuals!K52)</f>
        <v/>
      </c>
      <c r="AA76" s="114" t="n">
        <f aca="false">Budget!K52</f>
        <v>0</v>
      </c>
      <c r="AB76" s="114" t="str">
        <f aca="false">IF(Z76="","",Z76-AA76)</f>
        <v/>
      </c>
      <c r="AC76" s="114" t="str">
        <f aca="false">IF(OR(10&gt;$B$27,ISBLANK(Actuals!L52)),"",Actuals!L52)</f>
        <v/>
      </c>
      <c r="AD76" s="114" t="n">
        <f aca="false">Budget!L52</f>
        <v>0</v>
      </c>
      <c r="AE76" s="114" t="str">
        <f aca="false">IF(AC76="","",AC76-AD76)</f>
        <v/>
      </c>
      <c r="AF76" s="114" t="str">
        <f aca="false">IF(OR(11&gt;$B$27,ISBLANK(Actuals!M52)),"",Actuals!M52)</f>
        <v/>
      </c>
      <c r="AG76" s="114" t="n">
        <f aca="false">Budget!M52</f>
        <v>0</v>
      </c>
      <c r="AH76" s="114" t="str">
        <f aca="false">IF(AF76="","",AF76-AG76)</f>
        <v/>
      </c>
      <c r="AI76" s="114" t="str">
        <f aca="false">IF(OR(12&gt;$B$27,ISBLANK(Actuals!N52)),"",Actuals!N52)</f>
        <v/>
      </c>
      <c r="AJ76" s="114" t="n">
        <f aca="false">Budget!N52</f>
        <v>0</v>
      </c>
      <c r="AK76" s="114" t="str">
        <f aca="false">IF(AI76="","",AI76-AJ76)</f>
        <v/>
      </c>
      <c r="AL76" s="117" t="n">
        <f aca="false">SUM(Actuals!$C52:INDEX(Actuals!$C52:$N52,$B$27))</f>
        <v>0</v>
      </c>
      <c r="AM76" s="117" t="n">
        <f aca="false">SUM(Budget!$C52:INDEX(Budget!$C52:$N52,$B$27))</f>
        <v>0</v>
      </c>
      <c r="AN76" s="117" t="n">
        <f aca="false">AL76-AM76</f>
        <v>0</v>
      </c>
    </row>
    <row r="77" customFormat="false" ht="15" hidden="true" customHeight="true" outlineLevel="1" collapsed="false">
      <c r="A77" s="110" t="s">
        <v>96</v>
      </c>
      <c r="B77" s="114" t="n">
        <f aca="false">IF(OR(1&gt;$B$27,ISBLANK(Actuals!C53)),"",Actuals!C53)</f>
        <v>0</v>
      </c>
      <c r="C77" s="114" t="n">
        <f aca="false">Budget!C53</f>
        <v>-416.67</v>
      </c>
      <c r="D77" s="114" t="n">
        <f aca="false">IF(B77="","",B77-C77)</f>
        <v>416.67</v>
      </c>
      <c r="E77" s="114" t="n">
        <f aca="false">IF(OR(2&gt;$B$27,ISBLANK(Actuals!D53)),"",Actuals!D53)</f>
        <v>0</v>
      </c>
      <c r="F77" s="114" t="n">
        <f aca="false">Budget!D53</f>
        <v>-416.67</v>
      </c>
      <c r="G77" s="114" t="n">
        <f aca="false">IF(E77="","",E77-F77)</f>
        <v>416.67</v>
      </c>
      <c r="H77" s="114" t="n">
        <f aca="false">IF(OR(3&gt;$B$27,ISBLANK(Actuals!E53)),"",Actuals!E53)</f>
        <v>-11105.35</v>
      </c>
      <c r="I77" s="114" t="n">
        <f aca="false">Budget!E53</f>
        <v>-416.67</v>
      </c>
      <c r="J77" s="114" t="n">
        <f aca="false">IF(H77="","",H77-I77)</f>
        <v>-10688.68</v>
      </c>
      <c r="K77" s="114" t="n">
        <f aca="false">IF(OR(4&gt;$B$27,ISBLANK(Actuals!F53)),"",Actuals!F53)</f>
        <v>0</v>
      </c>
      <c r="L77" s="114" t="n">
        <f aca="false">Budget!F53</f>
        <v>-416.67</v>
      </c>
      <c r="M77" s="114" t="n">
        <f aca="false">IF(K77="","",K77-L77)</f>
        <v>416.67</v>
      </c>
      <c r="N77" s="114" t="n">
        <f aca="false">IF(OR(5&gt;$B$27,ISBLANK(Actuals!G53)),"",Actuals!G53)</f>
        <v>0</v>
      </c>
      <c r="O77" s="114" t="n">
        <f aca="false">Budget!G53</f>
        <v>-416.67</v>
      </c>
      <c r="P77" s="114" t="n">
        <f aca="false">IF(N77="","",N77-O77)</f>
        <v>416.67</v>
      </c>
      <c r="Q77" s="114" t="n">
        <f aca="false">IF(OR(6&gt;$B$27,ISBLANK(Actuals!H53)),"",Actuals!H53)</f>
        <v>0</v>
      </c>
      <c r="R77" s="114" t="n">
        <f aca="false">Budget!H53</f>
        <v>-416.67</v>
      </c>
      <c r="S77" s="114" t="n">
        <f aca="false">IF(Q77="","",Q77-R77)</f>
        <v>416.67</v>
      </c>
      <c r="T77" s="114" t="n">
        <f aca="false">IF(OR(7&gt;$B$27,ISBLANK(Actuals!I53)),"",Actuals!I53)</f>
        <v>0</v>
      </c>
      <c r="U77" s="114" t="n">
        <f aca="false">Budget!I53</f>
        <v>-425</v>
      </c>
      <c r="V77" s="114" t="n">
        <f aca="false">IF(T77="","",T77-U77)</f>
        <v>425</v>
      </c>
      <c r="W77" s="114" t="n">
        <f aca="false">IF(OR(8&gt;$B$27,ISBLANK(Actuals!J53)),"",Actuals!J53)</f>
        <v>0</v>
      </c>
      <c r="X77" s="114" t="n">
        <f aca="false">Budget!J53</f>
        <v>-425</v>
      </c>
      <c r="Y77" s="114" t="n">
        <f aca="false">IF(W77="","",W77-X77)</f>
        <v>425</v>
      </c>
      <c r="Z77" s="114" t="str">
        <f aca="false">IF(OR(9&gt;$B$27,ISBLANK(Actuals!K53)),"",Actuals!K53)</f>
        <v/>
      </c>
      <c r="AA77" s="114" t="n">
        <f aca="false">Budget!K53</f>
        <v>-425</v>
      </c>
      <c r="AB77" s="114" t="str">
        <f aca="false">IF(Z77="","",Z77-AA77)</f>
        <v/>
      </c>
      <c r="AC77" s="114" t="str">
        <f aca="false">IF(OR(10&gt;$B$27,ISBLANK(Actuals!L53)),"",Actuals!L53)</f>
        <v/>
      </c>
      <c r="AD77" s="114" t="n">
        <f aca="false">Budget!L53</f>
        <v>-425</v>
      </c>
      <c r="AE77" s="114" t="str">
        <f aca="false">IF(AC77="","",AC77-AD77)</f>
        <v/>
      </c>
      <c r="AF77" s="114" t="str">
        <f aca="false">IF(OR(11&gt;$B$27,ISBLANK(Actuals!M53)),"",Actuals!M53)</f>
        <v/>
      </c>
      <c r="AG77" s="114" t="n">
        <f aca="false">Budget!M53</f>
        <v>-425</v>
      </c>
      <c r="AH77" s="114" t="str">
        <f aca="false">IF(AF77="","",AF77-AG77)</f>
        <v/>
      </c>
      <c r="AI77" s="114" t="str">
        <f aca="false">IF(OR(12&gt;$B$27,ISBLANK(Actuals!N53)),"",Actuals!N53)</f>
        <v/>
      </c>
      <c r="AJ77" s="114" t="n">
        <f aca="false">Budget!N53</f>
        <v>-425</v>
      </c>
      <c r="AK77" s="114" t="str">
        <f aca="false">IF(AI77="","",AI77-AJ77)</f>
        <v/>
      </c>
      <c r="AL77" s="117" t="n">
        <f aca="false">SUM(Actuals!$C53:INDEX(Actuals!$C53:$N53,$B$27))</f>
        <v>-11105.35</v>
      </c>
      <c r="AM77" s="117" t="n">
        <f aca="false">SUM(Budget!$C53:INDEX(Budget!$C53:$N53,$B$27))</f>
        <v>-3350.02</v>
      </c>
      <c r="AN77" s="117" t="n">
        <f aca="false">AL77-AM77</f>
        <v>-7755.33</v>
      </c>
      <c r="AP77" s="115" t="s">
        <v>418</v>
      </c>
    </row>
    <row r="78" customFormat="false" ht="15" hidden="true" customHeight="true" outlineLevel="1" collapsed="false">
      <c r="A78" s="110" t="s">
        <v>348</v>
      </c>
      <c r="B78" s="114" t="str">
        <f aca="false">IF(OR(1&gt;$B$27,ISBLANK(Actuals!C54)),"",Actuals!C54)</f>
        <v/>
      </c>
      <c r="C78" s="114" t="n">
        <f aca="false">Budget!C54</f>
        <v>0</v>
      </c>
      <c r="D78" s="114" t="str">
        <f aca="false">IF(B78="","",B78-C78)</f>
        <v/>
      </c>
      <c r="E78" s="114" t="str">
        <f aca="false">IF(OR(2&gt;$B$27,ISBLANK(Actuals!D54)),"",Actuals!D54)</f>
        <v/>
      </c>
      <c r="F78" s="114" t="n">
        <f aca="false">Budget!D54</f>
        <v>0</v>
      </c>
      <c r="G78" s="114" t="str">
        <f aca="false">IF(E78="","",E78-F78)</f>
        <v/>
      </c>
      <c r="H78" s="114" t="str">
        <f aca="false">IF(OR(3&gt;$B$27,ISBLANK(Actuals!E54)),"",Actuals!E54)</f>
        <v/>
      </c>
      <c r="I78" s="114" t="n">
        <f aca="false">Budget!E54</f>
        <v>0</v>
      </c>
      <c r="J78" s="114" t="str">
        <f aca="false">IF(H78="","",H78-I78)</f>
        <v/>
      </c>
      <c r="K78" s="114" t="str">
        <f aca="false">IF(OR(4&gt;$B$27,ISBLANK(Actuals!F54)),"",Actuals!F54)</f>
        <v/>
      </c>
      <c r="L78" s="114" t="n">
        <f aca="false">Budget!F54</f>
        <v>0</v>
      </c>
      <c r="M78" s="114" t="str">
        <f aca="false">IF(K78="","",K78-L78)</f>
        <v/>
      </c>
      <c r="N78" s="114" t="str">
        <f aca="false">IF(OR(5&gt;$B$27,ISBLANK(Actuals!G54)),"",Actuals!G54)</f>
        <v/>
      </c>
      <c r="O78" s="114" t="n">
        <f aca="false">Budget!G54</f>
        <v>0</v>
      </c>
      <c r="P78" s="114" t="str">
        <f aca="false">IF(N78="","",N78-O78)</f>
        <v/>
      </c>
      <c r="Q78" s="114" t="n">
        <f aca="false">IF(OR(6&gt;$B$27,ISBLANK(Actuals!H54)),"",Actuals!H54)</f>
        <v>-612.68</v>
      </c>
      <c r="R78" s="114" t="n">
        <f aca="false">Budget!H54</f>
        <v>0</v>
      </c>
      <c r="S78" s="114" t="n">
        <f aca="false">IF(Q78="","",Q78-R78)</f>
        <v>-612.68</v>
      </c>
      <c r="T78" s="114" t="n">
        <f aca="false">IF(OR(7&gt;$B$27,ISBLANK(Actuals!I54)),"",Actuals!I54)</f>
        <v>-1609.91</v>
      </c>
      <c r="U78" s="114" t="n">
        <f aca="false">Budget!I54</f>
        <v>0</v>
      </c>
      <c r="V78" s="114" t="n">
        <f aca="false">IF(T78="","",T78-U78)</f>
        <v>-1609.91</v>
      </c>
      <c r="W78" s="114" t="n">
        <f aca="false">IF(OR(8&gt;$B$27,ISBLANK(Actuals!J54)),"",Actuals!J54)</f>
        <v>-1609.91</v>
      </c>
      <c r="X78" s="114" t="n">
        <f aca="false">Budget!J54</f>
        <v>0</v>
      </c>
      <c r="Y78" s="114" t="n">
        <f aca="false">IF(W78="","",W78-X78)</f>
        <v>-1609.91</v>
      </c>
      <c r="Z78" s="114" t="str">
        <f aca="false">IF(OR(9&gt;$B$27,ISBLANK(Actuals!K54)),"",Actuals!K54)</f>
        <v/>
      </c>
      <c r="AA78" s="114" t="n">
        <f aca="false">Budget!K54</f>
        <v>0</v>
      </c>
      <c r="AB78" s="114" t="str">
        <f aca="false">IF(Z78="","",Z78-AA78)</f>
        <v/>
      </c>
      <c r="AC78" s="114" t="str">
        <f aca="false">IF(OR(10&gt;$B$27,ISBLANK(Actuals!L54)),"",Actuals!L54)</f>
        <v/>
      </c>
      <c r="AD78" s="114" t="n">
        <f aca="false">Budget!L54</f>
        <v>0</v>
      </c>
      <c r="AE78" s="114" t="str">
        <f aca="false">IF(AC78="","",AC78-AD78)</f>
        <v/>
      </c>
      <c r="AF78" s="114" t="str">
        <f aca="false">IF(OR(11&gt;$B$27,ISBLANK(Actuals!M54)),"",Actuals!M54)</f>
        <v/>
      </c>
      <c r="AG78" s="114" t="n">
        <f aca="false">Budget!M54</f>
        <v>0</v>
      </c>
      <c r="AH78" s="114" t="str">
        <f aca="false">IF(AF78="","",AF78-AG78)</f>
        <v/>
      </c>
      <c r="AI78" s="114" t="str">
        <f aca="false">IF(OR(12&gt;$B$27,ISBLANK(Actuals!N54)),"",Actuals!N54)</f>
        <v/>
      </c>
      <c r="AJ78" s="114" t="n">
        <f aca="false">Budget!N54</f>
        <v>0</v>
      </c>
      <c r="AK78" s="114" t="str">
        <f aca="false">IF(AI78="","",AI78-AJ78)</f>
        <v/>
      </c>
      <c r="AL78" s="117" t="n">
        <f aca="false">SUM(Actuals!$C54:INDEX(Actuals!$C54:$N54,$B$27))</f>
        <v>-3832.5</v>
      </c>
      <c r="AM78" s="117" t="n">
        <f aca="false">SUM(Budget!$C54:INDEX(Budget!$C54:$N54,$B$27))</f>
        <v>0</v>
      </c>
      <c r="AN78" s="117" t="n">
        <f aca="false">AL78-AM78</f>
        <v>-3832.5</v>
      </c>
    </row>
    <row r="79" customFormat="false" ht="15" hidden="false" customHeight="true" outlineLevel="0" collapsed="true">
      <c r="A79" s="116" t="s">
        <v>97</v>
      </c>
      <c r="B79" s="117" t="n">
        <f aca="false">IF(OR(1&gt;$B$27,ISBLANK(Actuals!C55)),"",Actuals!C55)</f>
        <v>-260601.5</v>
      </c>
      <c r="C79" s="117" t="n">
        <f aca="false">Budget!C55</f>
        <v>-321665.3</v>
      </c>
      <c r="D79" s="117" t="n">
        <f aca="false">IF(B79="","",B79-C79)</f>
        <v>61063.8</v>
      </c>
      <c r="E79" s="117" t="n">
        <f aca="false">IF(OR(2&gt;$B$27,ISBLANK(Actuals!D55)),"",Actuals!D55)</f>
        <v>-260308.54</v>
      </c>
      <c r="F79" s="117" t="n">
        <f aca="false">Budget!D55</f>
        <v>-321665.3</v>
      </c>
      <c r="G79" s="117" t="n">
        <f aca="false">IF(E79="","",E79-F79)</f>
        <v>61356.76</v>
      </c>
      <c r="H79" s="117" t="n">
        <f aca="false">IF(OR(3&gt;$B$27,ISBLANK(Actuals!E55)),"",Actuals!E55)</f>
        <v>-351937.74</v>
      </c>
      <c r="I79" s="117" t="n">
        <f aca="false">Budget!E55</f>
        <v>-321665.3</v>
      </c>
      <c r="J79" s="117" t="n">
        <f aca="false">IF(H79="","",H79-I79)</f>
        <v>-30272.44</v>
      </c>
      <c r="K79" s="117" t="n">
        <f aca="false">IF(OR(4&gt;$B$27,ISBLANK(Actuals!F55)),"",Actuals!F55)</f>
        <v>-73431.56</v>
      </c>
      <c r="L79" s="117" t="n">
        <f aca="false">Budget!F55</f>
        <v>-321665.3</v>
      </c>
      <c r="M79" s="117" t="n">
        <f aca="false">IF(K79="","",K79-L79)</f>
        <v>248233.74</v>
      </c>
      <c r="N79" s="117" t="n">
        <f aca="false">IF(OR(5&gt;$B$27,ISBLANK(Actuals!G55)),"",Actuals!G55)</f>
        <v>-437914.85</v>
      </c>
      <c r="O79" s="117" t="n">
        <f aca="false">Budget!G55</f>
        <v>-321665.3</v>
      </c>
      <c r="P79" s="117" t="n">
        <f aca="false">IF(N79="","",N79-O79)</f>
        <v>-116249.55</v>
      </c>
      <c r="Q79" s="117" t="n">
        <f aca="false">IF(OR(6&gt;$B$27,ISBLANK(Actuals!H55)),"",Actuals!H55)</f>
        <v>-323453.89</v>
      </c>
      <c r="R79" s="117" t="n">
        <f aca="false">Budget!H55</f>
        <v>-321665.3</v>
      </c>
      <c r="S79" s="117" t="n">
        <f aca="false">IF(Q79="","",Q79-R79)</f>
        <v>-1788.59000000003</v>
      </c>
      <c r="T79" s="117" t="n">
        <f aca="false">IF(OR(7&gt;$B$27,ISBLANK(Actuals!I55)),"",Actuals!I55)</f>
        <v>-321511.57</v>
      </c>
      <c r="U79" s="117" t="n">
        <f aca="false">Budget!I55</f>
        <v>-322314.95</v>
      </c>
      <c r="V79" s="117" t="n">
        <f aca="false">IF(T79="","",T79-U79)</f>
        <v>803.380000000063</v>
      </c>
      <c r="W79" s="117" t="n">
        <f aca="false">IF(OR(8&gt;$B$27,ISBLANK(Actuals!J55)),"",Actuals!J55)</f>
        <v>-385163.17</v>
      </c>
      <c r="X79" s="117" t="n">
        <f aca="false">Budget!J55</f>
        <v>-322314.95</v>
      </c>
      <c r="Y79" s="117" t="n">
        <f aca="false">IF(W79="","",W79-X79)</f>
        <v>-62848.22</v>
      </c>
      <c r="Z79" s="117" t="str">
        <f aca="false">IF(OR(9&gt;$B$27,ISBLANK(Actuals!K55)),"",Actuals!K55)</f>
        <v/>
      </c>
      <c r="AA79" s="117" t="n">
        <f aca="false">Budget!K55</f>
        <v>-322314.95</v>
      </c>
      <c r="AB79" s="117" t="str">
        <f aca="false">IF(Z79="","",Z79-AA79)</f>
        <v/>
      </c>
      <c r="AC79" s="117" t="str">
        <f aca="false">IF(OR(10&gt;$B$27,ISBLANK(Actuals!L55)),"",Actuals!L55)</f>
        <v/>
      </c>
      <c r="AD79" s="117" t="n">
        <f aca="false">Budget!L55</f>
        <v>-322314.95</v>
      </c>
      <c r="AE79" s="117" t="str">
        <f aca="false">IF(AC79="","",AC79-AD79)</f>
        <v/>
      </c>
      <c r="AF79" s="117" t="str">
        <f aca="false">IF(OR(11&gt;$B$27,ISBLANK(Actuals!M55)),"",Actuals!M55)</f>
        <v/>
      </c>
      <c r="AG79" s="117" t="n">
        <f aca="false">Budget!M55</f>
        <v>-322314.95</v>
      </c>
      <c r="AH79" s="117" t="str">
        <f aca="false">IF(AF79="","",AF79-AG79)</f>
        <v/>
      </c>
      <c r="AI79" s="117" t="str">
        <f aca="false">IF(OR(12&gt;$B$27,ISBLANK(Actuals!N55)),"",Actuals!N55)</f>
        <v/>
      </c>
      <c r="AJ79" s="117" t="n">
        <f aca="false">Budget!N55</f>
        <v>-322314.95</v>
      </c>
      <c r="AK79" s="117" t="str">
        <f aca="false">IF(AI79="","",AI79-AJ79)</f>
        <v/>
      </c>
      <c r="AL79" s="117" t="n">
        <f aca="false">SUM(Actuals!$C55:INDEX(Actuals!$C55:$N55,$B$27))</f>
        <v>-2414322.82</v>
      </c>
      <c r="AM79" s="117" t="n">
        <f aca="false">SUM(Budget!$C55:INDEX(Budget!$C55:$N55,$B$27))</f>
        <v>-2574621.7</v>
      </c>
      <c r="AN79" s="117" t="n">
        <f aca="false">AL79-AM79</f>
        <v>160298.88</v>
      </c>
      <c r="AP79" s="115" t="s">
        <v>419</v>
      </c>
    </row>
    <row r="81" customFormat="false" ht="15" hidden="false" customHeight="true" outlineLevel="0" collapsed="false">
      <c r="A81" s="116" t="s">
        <v>98</v>
      </c>
      <c r="B81" s="119" t="n">
        <f aca="false">IF(OR(1&gt;$B$27,ISBLANK(Actuals!C57)),"",Actuals!C57)</f>
        <v>-41844.6399999999</v>
      </c>
      <c r="C81" s="119" t="n">
        <f aca="false">Budget!C57</f>
        <v>2594.59</v>
      </c>
      <c r="D81" s="119" t="n">
        <f aca="false">IF(B81="","",B81-C81)</f>
        <v>-44439.2299999999</v>
      </c>
      <c r="E81" s="119" t="n">
        <f aca="false">IF(OR(2&gt;$B$27,ISBLANK(Actuals!D57)),"",Actuals!D57)</f>
        <v>-311309.31</v>
      </c>
      <c r="F81" s="119" t="n">
        <f aca="false">Budget!D57</f>
        <v>17839.25</v>
      </c>
      <c r="G81" s="119" t="n">
        <f aca="false">IF(E81="","",E81-F81)</f>
        <v>-329148.56</v>
      </c>
      <c r="H81" s="119" t="n">
        <f aca="false">IF(OR(3&gt;$B$27,ISBLANK(Actuals!E57)),"",Actuals!E57)</f>
        <v>242246.78</v>
      </c>
      <c r="I81" s="119" t="n">
        <f aca="false">Budget!E57</f>
        <v>33014.66</v>
      </c>
      <c r="J81" s="119" t="n">
        <f aca="false">IF(H81="","",H81-I81)</f>
        <v>209232.12</v>
      </c>
      <c r="K81" s="119" t="n">
        <f aca="false">IF(OR(4&gt;$B$27,ISBLANK(Actuals!F57)),"",Actuals!F57)</f>
        <v>373926.69</v>
      </c>
      <c r="L81" s="119" t="n">
        <f aca="false">Budget!F57</f>
        <v>47517.06</v>
      </c>
      <c r="M81" s="119" t="n">
        <f aca="false">IF(K81="","",K81-L81)</f>
        <v>326409.63</v>
      </c>
      <c r="N81" s="119" t="n">
        <f aca="false">IF(OR(5&gt;$B$27,ISBLANK(Actuals!G57)),"",Actuals!G57)</f>
        <v>27621.8499999997</v>
      </c>
      <c r="O81" s="119" t="n">
        <f aca="false">Budget!G57</f>
        <v>201677.25</v>
      </c>
      <c r="P81" s="119" t="n">
        <f aca="false">IF(N81="","",N81-O81)</f>
        <v>-174055.4</v>
      </c>
      <c r="Q81" s="119" t="n">
        <f aca="false">IF(OR(6&gt;$B$27,ISBLANK(Actuals!H57)),"",Actuals!H57)</f>
        <v>317897.240000001</v>
      </c>
      <c r="R81" s="119" t="n">
        <f aca="false">Budget!H57</f>
        <v>218352.83</v>
      </c>
      <c r="S81" s="119" t="n">
        <f aca="false">IF(Q81="","",Q81-R81)</f>
        <v>99544.4100000008</v>
      </c>
      <c r="T81" s="119" t="n">
        <f aca="false">IF(OR(7&gt;$B$27,ISBLANK(Actuals!I57)),"",Actuals!I57)</f>
        <v>1445137.94</v>
      </c>
      <c r="U81" s="119" t="n">
        <f aca="false">Budget!I57</f>
        <v>231937</v>
      </c>
      <c r="V81" s="119" t="n">
        <f aca="false">IF(T81="","",T81-U81)</f>
        <v>1213200.94</v>
      </c>
      <c r="W81" s="119" t="n">
        <f aca="false">IF(OR(8&gt;$B$27,ISBLANK(Actuals!J57)),"",Actuals!J57)</f>
        <v>175572.22</v>
      </c>
      <c r="X81" s="119" t="n">
        <f aca="false">Budget!J57</f>
        <v>243049.14</v>
      </c>
      <c r="Y81" s="119" t="n">
        <f aca="false">IF(W81="","",W81-X81)</f>
        <v>-67476.9200000003</v>
      </c>
      <c r="Z81" s="119" t="str">
        <f aca="false">IF(OR(9&gt;$B$27,ISBLANK(Actuals!K57)),"",Actuals!K57)</f>
        <v/>
      </c>
      <c r="AA81" s="119" t="n">
        <f aca="false">Budget!K57</f>
        <v>250508.5</v>
      </c>
      <c r="AB81" s="119" t="str">
        <f aca="false">IF(Z81="","",Z81-AA81)</f>
        <v/>
      </c>
      <c r="AC81" s="119" t="str">
        <f aca="false">IF(OR(10&gt;$B$27,ISBLANK(Actuals!L57)),"",Actuals!L57)</f>
        <v/>
      </c>
      <c r="AD81" s="119" t="n">
        <f aca="false">Budget!L57</f>
        <v>253989.43</v>
      </c>
      <c r="AE81" s="119" t="str">
        <f aca="false">IF(AC81="","",AC81-AD81)</f>
        <v/>
      </c>
      <c r="AF81" s="119" t="str">
        <f aca="false">IF(OR(11&gt;$B$27,ISBLANK(Actuals!M57)),"",Actuals!M57)</f>
        <v/>
      </c>
      <c r="AG81" s="119" t="n">
        <f aca="false">Budget!M57</f>
        <v>253406.53</v>
      </c>
      <c r="AH81" s="119" t="str">
        <f aca="false">IF(AF81="","",AF81-AG81)</f>
        <v/>
      </c>
      <c r="AI81" s="119" t="str">
        <f aca="false">IF(OR(12&gt;$B$27,ISBLANK(Actuals!N57)),"",Actuals!N57)</f>
        <v/>
      </c>
      <c r="AJ81" s="119" t="n">
        <f aca="false">Budget!N57</f>
        <v>204524.21</v>
      </c>
      <c r="AK81" s="119" t="str">
        <f aca="false">IF(AI81="","",AI81-AJ81)</f>
        <v/>
      </c>
      <c r="AL81" s="119" t="n">
        <f aca="false">SUM(Actuals!$C57:INDEX(Actuals!$C57:$N57,$B$27))</f>
        <v>2229248.77</v>
      </c>
      <c r="AM81" s="119" t="n">
        <f aca="false">SUM(Budget!$C57:INDEX(Budget!$C57:$N57,$B$27))</f>
        <v>995981.78</v>
      </c>
      <c r="AN81" s="119" t="n">
        <f aca="false">AL81-AM81</f>
        <v>1233266.99</v>
      </c>
      <c r="AP81" s="115" t="s">
        <v>420</v>
      </c>
    </row>
    <row r="82" customFormat="false" ht="15" hidden="false" customHeight="true" outlineLevel="0" collapsed="false">
      <c r="A82" s="110" t="s">
        <v>99</v>
      </c>
      <c r="B82" s="114" t="n">
        <f aca="false">IF(OR(1&gt;$B$27,ISBLANK(Actuals!C58)),"",Actuals!C58)</f>
        <v>-0.0287831236019867</v>
      </c>
      <c r="C82" s="114" t="n">
        <f aca="false">Budget!C58</f>
        <v>0</v>
      </c>
      <c r="D82" s="114" t="n">
        <f aca="false">IF(B82="","",B82-C82)</f>
        <v>-0.0287831236019867</v>
      </c>
      <c r="E82" s="114" t="n">
        <f aca="false">IF(OR(2&gt;$B$27,ISBLANK(Actuals!D58)),"",Actuals!D58)</f>
        <v>-0.102996554608564</v>
      </c>
      <c r="F82" s="114" t="n">
        <f aca="false">Budget!D58</f>
        <v>0.01</v>
      </c>
      <c r="G82" s="114" t="n">
        <f aca="false">IF(E82="","",E82-F82)</f>
        <v>-0.112996554608564</v>
      </c>
      <c r="H82" s="114" t="n">
        <f aca="false">IF(OR(3&gt;$B$27,ISBLANK(Actuals!E58)),"",Actuals!E58)</f>
        <v>0.0906538863233281</v>
      </c>
      <c r="I82" s="114" t="n">
        <f aca="false">Budget!E58</f>
        <v>0.01</v>
      </c>
      <c r="J82" s="114" t="n">
        <f aca="false">IF(H82="","",H82-I82)</f>
        <v>0.0806538863233281</v>
      </c>
      <c r="K82" s="114" t="n">
        <f aca="false">IF(OR(4&gt;$B$27,ISBLANK(Actuals!F58)),"",Actuals!F58)</f>
        <v>0.101270434808067</v>
      </c>
      <c r="L82" s="114" t="n">
        <f aca="false">Budget!F58</f>
        <v>0.01</v>
      </c>
      <c r="M82" s="114" t="n">
        <f aca="false">IF(K82="","",K82-L82)</f>
        <v>0.0912704348080668</v>
      </c>
      <c r="N82" s="114" t="n">
        <f aca="false">IF(OR(5&gt;$B$27,ISBLANK(Actuals!G58)),"",Actuals!G58)</f>
        <v>0.00625486062340116</v>
      </c>
      <c r="O82" s="114" t="n">
        <f aca="false">Budget!G58</f>
        <v>0.04</v>
      </c>
      <c r="P82" s="114" t="n">
        <f aca="false">IF(N82="","",N82-O82)</f>
        <v>-0.0337451393765988</v>
      </c>
      <c r="Q82" s="114" t="n">
        <f aca="false">IF(OR(6&gt;$B$27,ISBLANK(Actuals!H58)),"",Actuals!H58)</f>
        <v>0.0508451485513171</v>
      </c>
      <c r="R82" s="114" t="n">
        <f aca="false">Budget!H58</f>
        <v>0.04</v>
      </c>
      <c r="S82" s="114" t="n">
        <f aca="false">IF(Q82="","",Q82-R82)</f>
        <v>0.0108451485513171</v>
      </c>
      <c r="T82" s="114" t="n">
        <f aca="false">IF(OR(7&gt;$B$27,ISBLANK(Actuals!I58)),"",Actuals!I58)</f>
        <v>0.205696144781689</v>
      </c>
      <c r="U82" s="114" t="n">
        <f aca="false">Budget!I58</f>
        <v>0.04</v>
      </c>
      <c r="V82" s="114" t="n">
        <f aca="false">IF(T82="","",T82-U82)</f>
        <v>0.165696144781688</v>
      </c>
      <c r="W82" s="114" t="n">
        <f aca="false">IF(OR(8&gt;$B$27,ISBLANK(Actuals!J58)),"",Actuals!J58)</f>
        <v>0.0289497032398613</v>
      </c>
      <c r="X82" s="114" t="n">
        <f aca="false">Budget!J58</f>
        <v>0.04</v>
      </c>
      <c r="Y82" s="114" t="n">
        <f aca="false">IF(W82="","",W82-X82)</f>
        <v>-0.0110502967601387</v>
      </c>
      <c r="Z82" s="114" t="str">
        <f aca="false">IF(OR(9&gt;$B$27,ISBLANK(Actuals!K58)),"",Actuals!K58)</f>
        <v/>
      </c>
      <c r="AA82" s="114" t="n">
        <f aca="false">Budget!K58</f>
        <v>0.04</v>
      </c>
      <c r="AB82" s="114" t="str">
        <f aca="false">IF(Z82="","",Z82-AA82)</f>
        <v/>
      </c>
      <c r="AC82" s="114" t="str">
        <f aca="false">IF(OR(10&gt;$B$27,ISBLANK(Actuals!L58)),"",Actuals!L58)</f>
        <v/>
      </c>
      <c r="AD82" s="114" t="n">
        <f aca="false">Budget!L58</f>
        <v>0.04</v>
      </c>
      <c r="AE82" s="114" t="str">
        <f aca="false">IF(AC82="","",AC82-AD82)</f>
        <v/>
      </c>
      <c r="AF82" s="114" t="str">
        <f aca="false">IF(OR(11&gt;$B$27,ISBLANK(Actuals!M58)),"",Actuals!M58)</f>
        <v/>
      </c>
      <c r="AG82" s="114" t="n">
        <f aca="false">Budget!M58</f>
        <v>0.04</v>
      </c>
      <c r="AH82" s="114" t="str">
        <f aca="false">IF(AF82="","",AF82-AG82)</f>
        <v/>
      </c>
      <c r="AI82" s="114" t="str">
        <f aca="false">IF(OR(12&gt;$B$27,ISBLANK(Actuals!N58)),"",Actuals!N58)</f>
        <v/>
      </c>
      <c r="AJ82" s="114" t="n">
        <f aca="false">Budget!N58</f>
        <v>0.04</v>
      </c>
      <c r="AK82" s="114" t="str">
        <f aca="false">IF(AI82="","",AI82-AJ82)</f>
        <v/>
      </c>
      <c r="AL82" s="117" t="n">
        <f aca="false">SUM(Actuals!$C58:INDEX(Actuals!$C58:$N58,$B$27))</f>
        <v>0.351890500117112</v>
      </c>
      <c r="AM82" s="117" t="n">
        <f aca="false">SUM(Budget!$C58:INDEX(Budget!$C58:$N58,$B$27))</f>
        <v>0.19</v>
      </c>
      <c r="AN82" s="117" t="n">
        <f aca="false">AL82-AM82</f>
        <v>0.161890500117112</v>
      </c>
    </row>
    <row r="86" customFormat="false" ht="15" hidden="false" customHeight="true" outlineLevel="0" collapsed="false">
      <c r="A86" s="113" t="s">
        <v>421</v>
      </c>
    </row>
    <row r="87" customFormat="false" ht="15" hidden="true" customHeight="true" outlineLevel="1" collapsed="false">
      <c r="A87" s="110" t="s">
        <v>118</v>
      </c>
      <c r="B87" s="114" t="str">
        <f aca="false">IF(OR(1&gt;$B$27,ISBLANK(Actuals!C63)),"",Actuals!C63)</f>
        <v/>
      </c>
      <c r="C87" s="114" t="n">
        <f aca="false">Budget!C63</f>
        <v>0</v>
      </c>
      <c r="D87" s="114" t="str">
        <f aca="false">IF(B87="","",B87-C87)</f>
        <v/>
      </c>
      <c r="E87" s="114" t="str">
        <f aca="false">IF(OR(2&gt;$B$27,ISBLANK(Actuals!D63)),"",Actuals!D63)</f>
        <v/>
      </c>
      <c r="F87" s="114" t="n">
        <f aca="false">Budget!D63</f>
        <v>0</v>
      </c>
      <c r="G87" s="114" t="str">
        <f aca="false">IF(E87="","",E87-F87)</f>
        <v/>
      </c>
      <c r="H87" s="114" t="str">
        <f aca="false">IF(OR(3&gt;$B$27,ISBLANK(Actuals!E63)),"",Actuals!E63)</f>
        <v/>
      </c>
      <c r="I87" s="114" t="n">
        <f aca="false">Budget!E63</f>
        <v>0</v>
      </c>
      <c r="J87" s="114" t="str">
        <f aca="false">IF(H87="","",H87-I87)</f>
        <v/>
      </c>
      <c r="K87" s="114" t="str">
        <f aca="false">IF(OR(4&gt;$B$27,ISBLANK(Actuals!F63)),"",Actuals!F63)</f>
        <v/>
      </c>
      <c r="L87" s="114" t="n">
        <f aca="false">Budget!F63</f>
        <v>0</v>
      </c>
      <c r="M87" s="114" t="str">
        <f aca="false">IF(K87="","",K87-L87)</f>
        <v/>
      </c>
      <c r="N87" s="114" t="str">
        <f aca="false">IF(OR(5&gt;$B$27,ISBLANK(Actuals!G63)),"",Actuals!G63)</f>
        <v/>
      </c>
      <c r="O87" s="114" t="n">
        <f aca="false">Budget!G63</f>
        <v>0</v>
      </c>
      <c r="P87" s="114" t="str">
        <f aca="false">IF(N87="","",N87-O87)</f>
        <v/>
      </c>
      <c r="Q87" s="114" t="n">
        <f aca="false">IF(OR(6&gt;$B$27,ISBLANK(Actuals!H63)),"",Actuals!H63)</f>
        <v>299000</v>
      </c>
      <c r="R87" s="114" t="n">
        <f aca="false">Budget!H63</f>
        <v>0</v>
      </c>
      <c r="S87" s="114" t="n">
        <f aca="false">IF(Q87="","",Q87-R87)</f>
        <v>299000</v>
      </c>
      <c r="T87" s="114" t="n">
        <f aca="false">IF(OR(7&gt;$B$27,ISBLANK(Actuals!I63)),"",Actuals!I63)</f>
        <v>0</v>
      </c>
      <c r="U87" s="114" t="n">
        <f aca="false">Budget!I63</f>
        <v>0</v>
      </c>
      <c r="V87" s="114" t="n">
        <f aca="false">IF(T87="","",T87-U87)</f>
        <v>0</v>
      </c>
      <c r="W87" s="114" t="n">
        <f aca="false">IF(OR(8&gt;$B$27,ISBLANK(Actuals!J63)),"",Actuals!J63)</f>
        <v>0</v>
      </c>
      <c r="X87" s="114" t="n">
        <f aca="false">Budget!J63</f>
        <v>0</v>
      </c>
      <c r="Y87" s="114" t="n">
        <f aca="false">IF(W87="","",W87-X87)</f>
        <v>0</v>
      </c>
      <c r="Z87" s="114" t="str">
        <f aca="false">IF(OR(9&gt;$B$27,ISBLANK(Actuals!K63)),"",Actuals!K63)</f>
        <v/>
      </c>
      <c r="AA87" s="114" t="n">
        <f aca="false">Budget!K63</f>
        <v>0</v>
      </c>
      <c r="AB87" s="114" t="str">
        <f aca="false">IF(Z87="","",Z87-AA87)</f>
        <v/>
      </c>
      <c r="AC87" s="114" t="str">
        <f aca="false">IF(OR(10&gt;$B$27,ISBLANK(Actuals!L63)),"",Actuals!L63)</f>
        <v/>
      </c>
      <c r="AD87" s="114" t="n">
        <f aca="false">Budget!L63</f>
        <v>0</v>
      </c>
      <c r="AE87" s="114" t="str">
        <f aca="false">IF(AC87="","",AC87-AD87)</f>
        <v/>
      </c>
      <c r="AF87" s="114" t="str">
        <f aca="false">IF(OR(11&gt;$B$27,ISBLANK(Actuals!M63)),"",Actuals!M63)</f>
        <v/>
      </c>
      <c r="AG87" s="114" t="n">
        <f aca="false">Budget!M63</f>
        <v>0</v>
      </c>
      <c r="AH87" s="114" t="str">
        <f aca="false">IF(AF87="","",AF87-AG87)</f>
        <v/>
      </c>
      <c r="AI87" s="114" t="str">
        <f aca="false">IF(OR(12&gt;$B$27,ISBLANK(Actuals!N63)),"",Actuals!N63)</f>
        <v/>
      </c>
      <c r="AJ87" s="114" t="n">
        <f aca="false">Budget!N63</f>
        <v>0</v>
      </c>
      <c r="AK87" s="114" t="str">
        <f aca="false">IF(AI87="","",AI87-AJ87)</f>
        <v/>
      </c>
      <c r="AL87" s="117" t="n">
        <f aca="false">SUM(Actuals!$C63:INDEX(Actuals!$C63:$N63,$B$27))</f>
        <v>299000</v>
      </c>
      <c r="AM87" s="117" t="n">
        <f aca="false">SUM(Budget!$C63:INDEX(Budget!$C63:$N63,$B$27))</f>
        <v>0</v>
      </c>
      <c r="AN87" s="117" t="n">
        <f aca="false">AL87-AM87</f>
        <v>299000</v>
      </c>
      <c r="AP87" s="115" t="s">
        <v>422</v>
      </c>
    </row>
    <row r="88" customFormat="false" ht="15" hidden="true" customHeight="true" outlineLevel="1" collapsed="false">
      <c r="A88" s="110" t="s">
        <v>101</v>
      </c>
      <c r="B88" s="114" t="n">
        <f aca="false">IF(OR(1&gt;$B$27,ISBLANK(Actuals!C64)),"",Actuals!C64)</f>
        <v>833.33</v>
      </c>
      <c r="C88" s="114" t="n">
        <f aca="false">Budget!C64</f>
        <v>833.33</v>
      </c>
      <c r="D88" s="114" t="n">
        <f aca="false">IF(B88="","",B88-C88)</f>
        <v>0</v>
      </c>
      <c r="E88" s="114" t="n">
        <f aca="false">IF(OR(2&gt;$B$27,ISBLANK(Actuals!D64)),"",Actuals!D64)</f>
        <v>833.33</v>
      </c>
      <c r="F88" s="114" t="n">
        <f aca="false">Budget!D64</f>
        <v>833.33</v>
      </c>
      <c r="G88" s="114" t="n">
        <f aca="false">IF(E88="","",E88-F88)</f>
        <v>0</v>
      </c>
      <c r="H88" s="114" t="n">
        <f aca="false">IF(OR(3&gt;$B$27,ISBLANK(Actuals!E64)),"",Actuals!E64)</f>
        <v>833.33</v>
      </c>
      <c r="I88" s="114" t="n">
        <f aca="false">Budget!E64</f>
        <v>833.33</v>
      </c>
      <c r="J88" s="114" t="n">
        <f aca="false">IF(H88="","",H88-I88)</f>
        <v>0</v>
      </c>
      <c r="K88" s="114" t="n">
        <f aca="false">IF(OR(4&gt;$B$27,ISBLANK(Actuals!F64)),"",Actuals!F64)</f>
        <v>833.33</v>
      </c>
      <c r="L88" s="114" t="n">
        <f aca="false">Budget!F64</f>
        <v>833.33</v>
      </c>
      <c r="M88" s="114" t="n">
        <f aca="false">IF(K88="","",K88-L88)</f>
        <v>0</v>
      </c>
      <c r="N88" s="114" t="n">
        <f aca="false">IF(OR(5&gt;$B$27,ISBLANK(Actuals!G64)),"",Actuals!G64)</f>
        <v>833.33</v>
      </c>
      <c r="O88" s="114" t="n">
        <f aca="false">Budget!G64</f>
        <v>833.33</v>
      </c>
      <c r="P88" s="114" t="n">
        <f aca="false">IF(N88="","",N88-O88)</f>
        <v>0</v>
      </c>
      <c r="Q88" s="114" t="n">
        <f aca="false">IF(OR(6&gt;$B$27,ISBLANK(Actuals!H64)),"",Actuals!H64)</f>
        <v>833.33</v>
      </c>
      <c r="R88" s="114" t="n">
        <f aca="false">Budget!H64</f>
        <v>833.33</v>
      </c>
      <c r="S88" s="114" t="n">
        <f aca="false">IF(Q88="","",Q88-R88)</f>
        <v>0</v>
      </c>
      <c r="T88" s="114" t="n">
        <f aca="false">IF(OR(7&gt;$B$27,ISBLANK(Actuals!I64)),"",Actuals!I64)</f>
        <v>833.33</v>
      </c>
      <c r="U88" s="114" t="n">
        <f aca="false">Budget!I64</f>
        <v>833.33</v>
      </c>
      <c r="V88" s="114" t="n">
        <f aca="false">IF(T88="","",T88-U88)</f>
        <v>0</v>
      </c>
      <c r="W88" s="114" t="n">
        <f aca="false">IF(OR(8&gt;$B$27,ISBLANK(Actuals!J64)),"",Actuals!J64)</f>
        <v>833.33</v>
      </c>
      <c r="X88" s="114" t="n">
        <f aca="false">Budget!J64</f>
        <v>833.33</v>
      </c>
      <c r="Y88" s="114" t="n">
        <f aca="false">IF(W88="","",W88-X88)</f>
        <v>0</v>
      </c>
      <c r="Z88" s="114" t="str">
        <f aca="false">IF(OR(9&gt;$B$27,ISBLANK(Actuals!K64)),"",Actuals!K64)</f>
        <v/>
      </c>
      <c r="AA88" s="114" t="n">
        <f aca="false">Budget!K64</f>
        <v>833.33</v>
      </c>
      <c r="AB88" s="114" t="str">
        <f aca="false">IF(Z88="","",Z88-AA88)</f>
        <v/>
      </c>
      <c r="AC88" s="114" t="str">
        <f aca="false">IF(OR(10&gt;$B$27,ISBLANK(Actuals!L64)),"",Actuals!L64)</f>
        <v/>
      </c>
      <c r="AD88" s="114" t="n">
        <f aca="false">Budget!L64</f>
        <v>833.33</v>
      </c>
      <c r="AE88" s="114" t="str">
        <f aca="false">IF(AC88="","",AC88-AD88)</f>
        <v/>
      </c>
      <c r="AF88" s="114" t="str">
        <f aca="false">IF(OR(11&gt;$B$27,ISBLANK(Actuals!M64)),"",Actuals!M64)</f>
        <v/>
      </c>
      <c r="AG88" s="114" t="n">
        <f aca="false">Budget!M64</f>
        <v>833.33</v>
      </c>
      <c r="AH88" s="114" t="str">
        <f aca="false">IF(AF88="","",AF88-AG88)</f>
        <v/>
      </c>
      <c r="AI88" s="114" t="str">
        <f aca="false">IF(OR(12&gt;$B$27,ISBLANK(Actuals!N64)),"",Actuals!N64)</f>
        <v/>
      </c>
      <c r="AJ88" s="114" t="n">
        <f aca="false">Budget!N64</f>
        <v>833.33</v>
      </c>
      <c r="AK88" s="114" t="str">
        <f aca="false">IF(AI88="","",AI88-AJ88)</f>
        <v/>
      </c>
      <c r="AL88" s="117" t="n">
        <f aca="false">SUM(Actuals!$C64:INDEX(Actuals!$C64:$N64,$B$27))</f>
        <v>6666.64</v>
      </c>
      <c r="AM88" s="117" t="n">
        <f aca="false">SUM(Budget!$C64:INDEX(Budget!$C64:$N64,$B$27))</f>
        <v>6666.64</v>
      </c>
      <c r="AN88" s="117" t="n">
        <f aca="false">AL88-AM88</f>
        <v>0</v>
      </c>
    </row>
    <row r="89" customFormat="false" ht="15" hidden="true" customHeight="true" outlineLevel="1" collapsed="false">
      <c r="A89" s="110" t="s">
        <v>102</v>
      </c>
      <c r="B89" s="114" t="n">
        <f aca="false">IF(OR(1&gt;$B$27,ISBLANK(Actuals!C65)),"",Actuals!C65)</f>
        <v>23906.25</v>
      </c>
      <c r="C89" s="114" t="n">
        <f aca="false">Budget!C65</f>
        <v>36538.46</v>
      </c>
      <c r="D89" s="114" t="n">
        <f aca="false">IF(B89="","",B89-C89)</f>
        <v>-12632.21</v>
      </c>
      <c r="E89" s="114" t="n">
        <f aca="false">IF(OR(2&gt;$B$27,ISBLANK(Actuals!D65)),"",Actuals!D65)</f>
        <v>23906.25</v>
      </c>
      <c r="F89" s="114" t="n">
        <f aca="false">Budget!D65</f>
        <v>36538.46</v>
      </c>
      <c r="G89" s="114" t="n">
        <f aca="false">IF(E89="","",E89-F89)</f>
        <v>-12632.21</v>
      </c>
      <c r="H89" s="114" t="n">
        <f aca="false">IF(OR(3&gt;$B$27,ISBLANK(Actuals!E65)),"",Actuals!E65)</f>
        <v>23906.25</v>
      </c>
      <c r="I89" s="114" t="n">
        <f aca="false">Budget!E65</f>
        <v>36538.46</v>
      </c>
      <c r="J89" s="114" t="n">
        <f aca="false">IF(H89="","",H89-I89)</f>
        <v>-12632.21</v>
      </c>
      <c r="K89" s="114" t="n">
        <f aca="false">IF(OR(4&gt;$B$27,ISBLANK(Actuals!F65)),"",Actuals!F65)</f>
        <v>23906.25</v>
      </c>
      <c r="L89" s="114" t="n">
        <f aca="false">Budget!F65</f>
        <v>36538.46</v>
      </c>
      <c r="M89" s="114" t="n">
        <f aca="false">IF(K89="","",K89-L89)</f>
        <v>-12632.21</v>
      </c>
      <c r="N89" s="114" t="n">
        <f aca="false">IF(OR(5&gt;$B$27,ISBLANK(Actuals!G65)),"",Actuals!G65)</f>
        <v>23906.25</v>
      </c>
      <c r="O89" s="114" t="n">
        <f aca="false">Budget!G65</f>
        <v>36538.46</v>
      </c>
      <c r="P89" s="114" t="n">
        <f aca="false">IF(N89="","",N89-O89)</f>
        <v>-12632.21</v>
      </c>
      <c r="Q89" s="114" t="n">
        <f aca="false">IF(OR(6&gt;$B$27,ISBLANK(Actuals!H65)),"",Actuals!H65)</f>
        <v>23906.25</v>
      </c>
      <c r="R89" s="114" t="n">
        <f aca="false">Budget!H65</f>
        <v>36538.46</v>
      </c>
      <c r="S89" s="114" t="n">
        <f aca="false">IF(Q89="","",Q89-R89)</f>
        <v>-12632.21</v>
      </c>
      <c r="T89" s="114" t="n">
        <f aca="false">IF(OR(7&gt;$B$27,ISBLANK(Actuals!I65)),"",Actuals!I65)</f>
        <v>23906.25</v>
      </c>
      <c r="U89" s="114" t="n">
        <f aca="false">Budget!I65</f>
        <v>36538.46</v>
      </c>
      <c r="V89" s="114" t="n">
        <f aca="false">IF(T89="","",T89-U89)</f>
        <v>-12632.21</v>
      </c>
      <c r="W89" s="114" t="n">
        <f aca="false">IF(OR(8&gt;$B$27,ISBLANK(Actuals!J65)),"",Actuals!J65)</f>
        <v>23906.25</v>
      </c>
      <c r="X89" s="114" t="n">
        <f aca="false">Budget!J65</f>
        <v>36538.46</v>
      </c>
      <c r="Y89" s="114" t="n">
        <f aca="false">IF(W89="","",W89-X89)</f>
        <v>-12632.21</v>
      </c>
      <c r="Z89" s="114" t="str">
        <f aca="false">IF(OR(9&gt;$B$27,ISBLANK(Actuals!K65)),"",Actuals!K65)</f>
        <v/>
      </c>
      <c r="AA89" s="114" t="n">
        <f aca="false">Budget!K65</f>
        <v>36538.46</v>
      </c>
      <c r="AB89" s="114" t="str">
        <f aca="false">IF(Z89="","",Z89-AA89)</f>
        <v/>
      </c>
      <c r="AC89" s="114" t="str">
        <f aca="false">IF(OR(10&gt;$B$27,ISBLANK(Actuals!L65)),"",Actuals!L65)</f>
        <v/>
      </c>
      <c r="AD89" s="114" t="n">
        <f aca="false">Budget!L65</f>
        <v>36538.46</v>
      </c>
      <c r="AE89" s="114" t="str">
        <f aca="false">IF(AC89="","",AC89-AD89)</f>
        <v/>
      </c>
      <c r="AF89" s="114" t="str">
        <f aca="false">IF(OR(11&gt;$B$27,ISBLANK(Actuals!M65)),"",Actuals!M65)</f>
        <v/>
      </c>
      <c r="AG89" s="114" t="n">
        <f aca="false">Budget!M65</f>
        <v>36538.46</v>
      </c>
      <c r="AH89" s="114" t="str">
        <f aca="false">IF(AF89="","",AF89-AG89)</f>
        <v/>
      </c>
      <c r="AI89" s="114" t="str">
        <f aca="false">IF(OR(12&gt;$B$27,ISBLANK(Actuals!N65)),"",Actuals!N65)</f>
        <v/>
      </c>
      <c r="AJ89" s="114" t="n">
        <f aca="false">Budget!N65</f>
        <v>36538.46</v>
      </c>
      <c r="AK89" s="114" t="str">
        <f aca="false">IF(AI89="","",AI89-AJ89)</f>
        <v/>
      </c>
      <c r="AL89" s="117" t="n">
        <f aca="false">SUM(Actuals!$C65:INDEX(Actuals!$C65:$N65,$B$27))</f>
        <v>191250</v>
      </c>
      <c r="AM89" s="117" t="n">
        <f aca="false">SUM(Budget!$C65:INDEX(Budget!$C65:$N65,$B$27))</f>
        <v>292307.68</v>
      </c>
      <c r="AN89" s="117" t="n">
        <f aca="false">AL89-AM89</f>
        <v>-101057.68</v>
      </c>
      <c r="AP89" s="115" t="s">
        <v>423</v>
      </c>
    </row>
    <row r="90" customFormat="false" ht="15" hidden="true" customHeight="true" outlineLevel="1" collapsed="false">
      <c r="A90" s="110" t="s">
        <v>103</v>
      </c>
      <c r="B90" s="114" t="str">
        <f aca="false">IF(OR(1&gt;$B$27,ISBLANK(Actuals!C66)),"",Actuals!C66)</f>
        <v/>
      </c>
      <c r="C90" s="114" t="n">
        <f aca="false">Budget!C66</f>
        <v>0</v>
      </c>
      <c r="D90" s="114" t="str">
        <f aca="false">IF(B90="","",B90-C90)</f>
        <v/>
      </c>
      <c r="E90" s="114" t="str">
        <f aca="false">IF(OR(2&gt;$B$27,ISBLANK(Actuals!D66)),"",Actuals!D66)</f>
        <v/>
      </c>
      <c r="F90" s="114" t="n">
        <f aca="false">Budget!D66</f>
        <v>0</v>
      </c>
      <c r="G90" s="114" t="str">
        <f aca="false">IF(E90="","",E90-F90)</f>
        <v/>
      </c>
      <c r="H90" s="114" t="str">
        <f aca="false">IF(OR(3&gt;$B$27,ISBLANK(Actuals!E66)),"",Actuals!E66)</f>
        <v/>
      </c>
      <c r="I90" s="114" t="n">
        <f aca="false">Budget!E66</f>
        <v>0</v>
      </c>
      <c r="J90" s="114" t="str">
        <f aca="false">IF(H90="","",H90-I90)</f>
        <v/>
      </c>
      <c r="K90" s="114" t="str">
        <f aca="false">IF(OR(4&gt;$B$27,ISBLANK(Actuals!F66)),"",Actuals!F66)</f>
        <v/>
      </c>
      <c r="L90" s="114" t="n">
        <f aca="false">Budget!F66</f>
        <v>0</v>
      </c>
      <c r="M90" s="114" t="str">
        <f aca="false">IF(K90="","",K90-L90)</f>
        <v/>
      </c>
      <c r="N90" s="114" t="str">
        <f aca="false">IF(OR(5&gt;$B$27,ISBLANK(Actuals!G66)),"",Actuals!G66)</f>
        <v/>
      </c>
      <c r="O90" s="114" t="n">
        <f aca="false">Budget!G66</f>
        <v>0</v>
      </c>
      <c r="P90" s="114" t="str">
        <f aca="false">IF(N90="","",N90-O90)</f>
        <v/>
      </c>
      <c r="Q90" s="114" t="str">
        <f aca="false">IF(OR(6&gt;$B$27,ISBLANK(Actuals!H66)),"",Actuals!H66)</f>
        <v/>
      </c>
      <c r="R90" s="114" t="n">
        <f aca="false">Budget!H66</f>
        <v>0</v>
      </c>
      <c r="S90" s="114" t="str">
        <f aca="false">IF(Q90="","",Q90-R90)</f>
        <v/>
      </c>
      <c r="T90" s="114" t="str">
        <f aca="false">IF(OR(7&gt;$B$27,ISBLANK(Actuals!I66)),"",Actuals!I66)</f>
        <v/>
      </c>
      <c r="U90" s="114" t="n">
        <f aca="false">Budget!I66</f>
        <v>0</v>
      </c>
      <c r="V90" s="114" t="str">
        <f aca="false">IF(T90="","",T90-U90)</f>
        <v/>
      </c>
      <c r="W90" s="114" t="str">
        <f aca="false">IF(OR(8&gt;$B$27,ISBLANK(Actuals!J66)),"",Actuals!J66)</f>
        <v/>
      </c>
      <c r="X90" s="114" t="n">
        <f aca="false">Budget!J66</f>
        <v>0</v>
      </c>
      <c r="Y90" s="114" t="str">
        <f aca="false">IF(W90="","",W90-X90)</f>
        <v/>
      </c>
      <c r="Z90" s="114" t="str">
        <f aca="false">IF(OR(9&gt;$B$27,ISBLANK(Actuals!K66)),"",Actuals!K66)</f>
        <v/>
      </c>
      <c r="AA90" s="114" t="n">
        <f aca="false">Budget!K66</f>
        <v>0</v>
      </c>
      <c r="AB90" s="114" t="str">
        <f aca="false">IF(Z90="","",Z90-AA90)</f>
        <v/>
      </c>
      <c r="AC90" s="114" t="str">
        <f aca="false">IF(OR(10&gt;$B$27,ISBLANK(Actuals!L66)),"",Actuals!L66)</f>
        <v/>
      </c>
      <c r="AD90" s="114" t="n">
        <f aca="false">Budget!L66</f>
        <v>0</v>
      </c>
      <c r="AE90" s="114" t="str">
        <f aca="false">IF(AC90="","",AC90-AD90)</f>
        <v/>
      </c>
      <c r="AF90" s="114" t="str">
        <f aca="false">IF(OR(11&gt;$B$27,ISBLANK(Actuals!M66)),"",Actuals!M66)</f>
        <v/>
      </c>
      <c r="AG90" s="114" t="n">
        <f aca="false">Budget!M66</f>
        <v>0</v>
      </c>
      <c r="AH90" s="114" t="str">
        <f aca="false">IF(AF90="","",AF90-AG90)</f>
        <v/>
      </c>
      <c r="AI90" s="114" t="str">
        <f aca="false">IF(OR(12&gt;$B$27,ISBLANK(Actuals!N66)),"",Actuals!N66)</f>
        <v/>
      </c>
      <c r="AJ90" s="114" t="n">
        <f aca="false">Budget!N66</f>
        <v>0</v>
      </c>
      <c r="AK90" s="114" t="str">
        <f aca="false">IF(AI90="","",AI90-AJ90)</f>
        <v/>
      </c>
      <c r="AL90" s="117" t="n">
        <f aca="false">SUM(Actuals!$C66:INDEX(Actuals!$C66:$N66,$B$27))</f>
        <v>0</v>
      </c>
      <c r="AM90" s="117" t="n">
        <f aca="false">SUM(Budget!$C66:INDEX(Budget!$C66:$N66,$B$27))</f>
        <v>0</v>
      </c>
      <c r="AN90" s="117" t="n">
        <f aca="false">AL90-AM90</f>
        <v>0</v>
      </c>
    </row>
    <row r="91" customFormat="false" ht="15" hidden="true" customHeight="true" outlineLevel="1" collapsed="false">
      <c r="A91" s="110" t="s">
        <v>104</v>
      </c>
      <c r="B91" s="114" t="str">
        <f aca="false">IF(OR(1&gt;$B$27,ISBLANK(Actuals!C67)),"",Actuals!C67)</f>
        <v/>
      </c>
      <c r="C91" s="114" t="n">
        <f aca="false">Budget!C67</f>
        <v>0</v>
      </c>
      <c r="D91" s="114" t="str">
        <f aca="false">IF(B91="","",B91-C91)</f>
        <v/>
      </c>
      <c r="E91" s="114" t="str">
        <f aca="false">IF(OR(2&gt;$B$27,ISBLANK(Actuals!D67)),"",Actuals!D67)</f>
        <v/>
      </c>
      <c r="F91" s="114" t="n">
        <f aca="false">Budget!D67</f>
        <v>0</v>
      </c>
      <c r="G91" s="114" t="str">
        <f aca="false">IF(E91="","",E91-F91)</f>
        <v/>
      </c>
      <c r="H91" s="114" t="str">
        <f aca="false">IF(OR(3&gt;$B$27,ISBLANK(Actuals!E67)),"",Actuals!E67)</f>
        <v/>
      </c>
      <c r="I91" s="114" t="n">
        <f aca="false">Budget!E67</f>
        <v>0</v>
      </c>
      <c r="J91" s="114" t="str">
        <f aca="false">IF(H91="","",H91-I91)</f>
        <v/>
      </c>
      <c r="K91" s="114" t="str">
        <f aca="false">IF(OR(4&gt;$B$27,ISBLANK(Actuals!F67)),"",Actuals!F67)</f>
        <v/>
      </c>
      <c r="L91" s="114" t="n">
        <f aca="false">Budget!F67</f>
        <v>0</v>
      </c>
      <c r="M91" s="114" t="str">
        <f aca="false">IF(K91="","",K91-L91)</f>
        <v/>
      </c>
      <c r="N91" s="114" t="str">
        <f aca="false">IF(OR(5&gt;$B$27,ISBLANK(Actuals!G67)),"",Actuals!G67)</f>
        <v/>
      </c>
      <c r="O91" s="114" t="n">
        <f aca="false">Budget!G67</f>
        <v>0</v>
      </c>
      <c r="P91" s="114" t="str">
        <f aca="false">IF(N91="","",N91-O91)</f>
        <v/>
      </c>
      <c r="Q91" s="114" t="str">
        <f aca="false">IF(OR(6&gt;$B$27,ISBLANK(Actuals!H67)),"",Actuals!H67)</f>
        <v/>
      </c>
      <c r="R91" s="114" t="n">
        <f aca="false">Budget!H67</f>
        <v>0</v>
      </c>
      <c r="S91" s="114" t="str">
        <f aca="false">IF(Q91="","",Q91-R91)</f>
        <v/>
      </c>
      <c r="T91" s="114" t="str">
        <f aca="false">IF(OR(7&gt;$B$27,ISBLANK(Actuals!I67)),"",Actuals!I67)</f>
        <v/>
      </c>
      <c r="U91" s="114" t="n">
        <f aca="false">Budget!I67</f>
        <v>0</v>
      </c>
      <c r="V91" s="114" t="str">
        <f aca="false">IF(T91="","",T91-U91)</f>
        <v/>
      </c>
      <c r="W91" s="114" t="str">
        <f aca="false">IF(OR(8&gt;$B$27,ISBLANK(Actuals!J67)),"",Actuals!J67)</f>
        <v/>
      </c>
      <c r="X91" s="114" t="n">
        <f aca="false">Budget!J67</f>
        <v>0</v>
      </c>
      <c r="Y91" s="114" t="str">
        <f aca="false">IF(W91="","",W91-X91)</f>
        <v/>
      </c>
      <c r="Z91" s="114" t="str">
        <f aca="false">IF(OR(9&gt;$B$27,ISBLANK(Actuals!K67)),"",Actuals!K67)</f>
        <v/>
      </c>
      <c r="AA91" s="114" t="n">
        <f aca="false">Budget!K67</f>
        <v>0</v>
      </c>
      <c r="AB91" s="114" t="str">
        <f aca="false">IF(Z91="","",Z91-AA91)</f>
        <v/>
      </c>
      <c r="AC91" s="114" t="str">
        <f aca="false">IF(OR(10&gt;$B$27,ISBLANK(Actuals!L67)),"",Actuals!L67)</f>
        <v/>
      </c>
      <c r="AD91" s="114" t="n">
        <f aca="false">Budget!L67</f>
        <v>0</v>
      </c>
      <c r="AE91" s="114" t="str">
        <f aca="false">IF(AC91="","",AC91-AD91)</f>
        <v/>
      </c>
      <c r="AF91" s="114" t="str">
        <f aca="false">IF(OR(11&gt;$B$27,ISBLANK(Actuals!M67)),"",Actuals!M67)</f>
        <v/>
      </c>
      <c r="AG91" s="114" t="n">
        <f aca="false">Budget!M67</f>
        <v>0</v>
      </c>
      <c r="AH91" s="114" t="str">
        <f aca="false">IF(AF91="","",AF91-AG91)</f>
        <v/>
      </c>
      <c r="AI91" s="114" t="str">
        <f aca="false">IF(OR(12&gt;$B$27,ISBLANK(Actuals!N67)),"",Actuals!N67)</f>
        <v/>
      </c>
      <c r="AJ91" s="114" t="n">
        <f aca="false">Budget!N67</f>
        <v>0</v>
      </c>
      <c r="AK91" s="114" t="str">
        <f aca="false">IF(AI91="","",AI91-AJ91)</f>
        <v/>
      </c>
      <c r="AL91" s="117" t="n">
        <f aca="false">SUM(Actuals!$C67:INDEX(Actuals!$C67:$N67,$B$27))</f>
        <v>0</v>
      </c>
      <c r="AM91" s="117" t="n">
        <f aca="false">SUM(Budget!$C67:INDEX(Budget!$C67:$N67,$B$27))</f>
        <v>0</v>
      </c>
      <c r="AN91" s="117" t="n">
        <f aca="false">AL91-AM91</f>
        <v>0</v>
      </c>
    </row>
    <row r="92" customFormat="false" ht="15" hidden="true" customHeight="true" outlineLevel="1" collapsed="false">
      <c r="A92" s="110" t="s">
        <v>105</v>
      </c>
      <c r="B92" s="114" t="str">
        <f aca="false">IF(OR(1&gt;$B$27,ISBLANK(Actuals!C68)),"",Actuals!C68)</f>
        <v/>
      </c>
      <c r="C92" s="114" t="n">
        <f aca="false">Budget!C68</f>
        <v>0</v>
      </c>
      <c r="D92" s="114" t="str">
        <f aca="false">IF(B92="","",B92-C92)</f>
        <v/>
      </c>
      <c r="E92" s="114" t="str">
        <f aca="false">IF(OR(2&gt;$B$27,ISBLANK(Actuals!D68)),"",Actuals!D68)</f>
        <v/>
      </c>
      <c r="F92" s="114" t="n">
        <f aca="false">Budget!D68</f>
        <v>0</v>
      </c>
      <c r="G92" s="114" t="str">
        <f aca="false">IF(E92="","",E92-F92)</f>
        <v/>
      </c>
      <c r="H92" s="114" t="str">
        <f aca="false">IF(OR(3&gt;$B$27,ISBLANK(Actuals!E68)),"",Actuals!E68)</f>
        <v/>
      </c>
      <c r="I92" s="114" t="n">
        <f aca="false">Budget!E68</f>
        <v>0</v>
      </c>
      <c r="J92" s="114" t="str">
        <f aca="false">IF(H92="","",H92-I92)</f>
        <v/>
      </c>
      <c r="K92" s="114" t="str">
        <f aca="false">IF(OR(4&gt;$B$27,ISBLANK(Actuals!F68)),"",Actuals!F68)</f>
        <v/>
      </c>
      <c r="L92" s="114" t="n">
        <f aca="false">Budget!F68</f>
        <v>0</v>
      </c>
      <c r="M92" s="114" t="str">
        <f aca="false">IF(K92="","",K92-L92)</f>
        <v/>
      </c>
      <c r="N92" s="114" t="str">
        <f aca="false">IF(OR(5&gt;$B$27,ISBLANK(Actuals!G68)),"",Actuals!G68)</f>
        <v/>
      </c>
      <c r="O92" s="114" t="n">
        <f aca="false">Budget!G68</f>
        <v>0</v>
      </c>
      <c r="P92" s="114" t="str">
        <f aca="false">IF(N92="","",N92-O92)</f>
        <v/>
      </c>
      <c r="Q92" s="114" t="str">
        <f aca="false">IF(OR(6&gt;$B$27,ISBLANK(Actuals!H68)),"",Actuals!H68)</f>
        <v/>
      </c>
      <c r="R92" s="114" t="n">
        <f aca="false">Budget!H68</f>
        <v>0</v>
      </c>
      <c r="S92" s="114" t="str">
        <f aca="false">IF(Q92="","",Q92-R92)</f>
        <v/>
      </c>
      <c r="T92" s="114" t="str">
        <f aca="false">IF(OR(7&gt;$B$27,ISBLANK(Actuals!I68)),"",Actuals!I68)</f>
        <v/>
      </c>
      <c r="U92" s="114" t="n">
        <f aca="false">Budget!I68</f>
        <v>0</v>
      </c>
      <c r="V92" s="114" t="str">
        <f aca="false">IF(T92="","",T92-U92)</f>
        <v/>
      </c>
      <c r="W92" s="114" t="str">
        <f aca="false">IF(OR(8&gt;$B$27,ISBLANK(Actuals!J68)),"",Actuals!J68)</f>
        <v/>
      </c>
      <c r="X92" s="114" t="n">
        <f aca="false">Budget!J68</f>
        <v>0</v>
      </c>
      <c r="Y92" s="114" t="str">
        <f aca="false">IF(W92="","",W92-X92)</f>
        <v/>
      </c>
      <c r="Z92" s="114" t="str">
        <f aca="false">IF(OR(9&gt;$B$27,ISBLANK(Actuals!K68)),"",Actuals!K68)</f>
        <v/>
      </c>
      <c r="AA92" s="114" t="n">
        <f aca="false">Budget!K68</f>
        <v>0</v>
      </c>
      <c r="AB92" s="114" t="str">
        <f aca="false">IF(Z92="","",Z92-AA92)</f>
        <v/>
      </c>
      <c r="AC92" s="114" t="str">
        <f aca="false">IF(OR(10&gt;$B$27,ISBLANK(Actuals!L68)),"",Actuals!L68)</f>
        <v/>
      </c>
      <c r="AD92" s="114" t="n">
        <f aca="false">Budget!L68</f>
        <v>0</v>
      </c>
      <c r="AE92" s="114" t="str">
        <f aca="false">IF(AC92="","",AC92-AD92)</f>
        <v/>
      </c>
      <c r="AF92" s="114" t="str">
        <f aca="false">IF(OR(11&gt;$B$27,ISBLANK(Actuals!M68)),"",Actuals!M68)</f>
        <v/>
      </c>
      <c r="AG92" s="114" t="n">
        <f aca="false">Budget!M68</f>
        <v>0</v>
      </c>
      <c r="AH92" s="114" t="str">
        <f aca="false">IF(AF92="","",AF92-AG92)</f>
        <v/>
      </c>
      <c r="AI92" s="114" t="str">
        <f aca="false">IF(OR(12&gt;$B$27,ISBLANK(Actuals!N68)),"",Actuals!N68)</f>
        <v/>
      </c>
      <c r="AJ92" s="114" t="n">
        <f aca="false">Budget!N68</f>
        <v>0</v>
      </c>
      <c r="AK92" s="114" t="str">
        <f aca="false">IF(AI92="","",AI92-AJ92)</f>
        <v/>
      </c>
      <c r="AL92" s="117" t="n">
        <f aca="false">SUM(Actuals!$C68:INDEX(Actuals!$C68:$N68,$B$27))</f>
        <v>0</v>
      </c>
      <c r="AM92" s="117" t="n">
        <f aca="false">SUM(Budget!$C68:INDEX(Budget!$C68:$N68,$B$27))</f>
        <v>0</v>
      </c>
      <c r="AN92" s="117" t="n">
        <f aca="false">AL92-AM92</f>
        <v>0</v>
      </c>
    </row>
    <row r="93" customFormat="false" ht="15" hidden="true" customHeight="true" outlineLevel="1" collapsed="false">
      <c r="A93" s="110" t="s">
        <v>106</v>
      </c>
      <c r="B93" s="114" t="n">
        <f aca="false">IF(OR(1&gt;$B$27,ISBLANK(Actuals!C69)),"",Actuals!C69)</f>
        <v>9375</v>
      </c>
      <c r="C93" s="114" t="n">
        <f aca="false">Budget!C69</f>
        <v>10227.27</v>
      </c>
      <c r="D93" s="114" t="n">
        <f aca="false">IF(B93="","",B93-C93)</f>
        <v>-852.27</v>
      </c>
      <c r="E93" s="114" t="n">
        <f aca="false">IF(OR(2&gt;$B$27,ISBLANK(Actuals!D69)),"",Actuals!D69)</f>
        <v>9375</v>
      </c>
      <c r="F93" s="114" t="n">
        <f aca="false">Budget!D69</f>
        <v>10227.27</v>
      </c>
      <c r="G93" s="114" t="n">
        <f aca="false">IF(E93="","",E93-F93)</f>
        <v>-852.27</v>
      </c>
      <c r="H93" s="114" t="n">
        <f aca="false">IF(OR(3&gt;$B$27,ISBLANK(Actuals!E69)),"",Actuals!E69)</f>
        <v>9375</v>
      </c>
      <c r="I93" s="114" t="n">
        <f aca="false">Budget!E69</f>
        <v>10227.27</v>
      </c>
      <c r="J93" s="114" t="n">
        <f aca="false">IF(H93="","",H93-I93)</f>
        <v>-852.27</v>
      </c>
      <c r="K93" s="114" t="n">
        <f aca="false">IF(OR(4&gt;$B$27,ISBLANK(Actuals!F69)),"",Actuals!F69)</f>
        <v>9375</v>
      </c>
      <c r="L93" s="114" t="n">
        <f aca="false">Budget!F69</f>
        <v>10227.27</v>
      </c>
      <c r="M93" s="114" t="n">
        <f aca="false">IF(K93="","",K93-L93)</f>
        <v>-852.27</v>
      </c>
      <c r="N93" s="114" t="n">
        <f aca="false">IF(OR(5&gt;$B$27,ISBLANK(Actuals!G69)),"",Actuals!G69)</f>
        <v>9375</v>
      </c>
      <c r="O93" s="114" t="n">
        <f aca="false">Budget!G69</f>
        <v>10227.27</v>
      </c>
      <c r="P93" s="114" t="n">
        <f aca="false">IF(N93="","",N93-O93)</f>
        <v>-852.27</v>
      </c>
      <c r="Q93" s="114" t="n">
        <f aca="false">IF(OR(6&gt;$B$27,ISBLANK(Actuals!H69)),"",Actuals!H69)</f>
        <v>9375</v>
      </c>
      <c r="R93" s="114" t="n">
        <f aca="false">Budget!H69</f>
        <v>10227.27</v>
      </c>
      <c r="S93" s="114" t="n">
        <f aca="false">IF(Q93="","",Q93-R93)</f>
        <v>-852.27</v>
      </c>
      <c r="T93" s="114" t="n">
        <f aca="false">IF(OR(7&gt;$B$27,ISBLANK(Actuals!I69)),"",Actuals!I69)</f>
        <v>9375</v>
      </c>
      <c r="U93" s="114" t="n">
        <f aca="false">Budget!I69</f>
        <v>10227.27</v>
      </c>
      <c r="V93" s="114" t="n">
        <f aca="false">IF(T93="","",T93-U93)</f>
        <v>-852.27</v>
      </c>
      <c r="W93" s="114" t="n">
        <f aca="false">IF(OR(8&gt;$B$27,ISBLANK(Actuals!J69)),"",Actuals!J69)</f>
        <v>9375</v>
      </c>
      <c r="X93" s="114" t="n">
        <f aca="false">Budget!J69</f>
        <v>10227.27</v>
      </c>
      <c r="Y93" s="114" t="n">
        <f aca="false">IF(W93="","",W93-X93)</f>
        <v>-852.27</v>
      </c>
      <c r="Z93" s="114" t="str">
        <f aca="false">IF(OR(9&gt;$B$27,ISBLANK(Actuals!K69)),"",Actuals!K69)</f>
        <v/>
      </c>
      <c r="AA93" s="114" t="n">
        <f aca="false">Budget!K69</f>
        <v>10227.27</v>
      </c>
      <c r="AB93" s="114" t="str">
        <f aca="false">IF(Z93="","",Z93-AA93)</f>
        <v/>
      </c>
      <c r="AC93" s="114" t="str">
        <f aca="false">IF(OR(10&gt;$B$27,ISBLANK(Actuals!L69)),"",Actuals!L69)</f>
        <v/>
      </c>
      <c r="AD93" s="114" t="n">
        <f aca="false">Budget!L69</f>
        <v>0</v>
      </c>
      <c r="AE93" s="114" t="str">
        <f aca="false">IF(AC93="","",AC93-AD93)</f>
        <v/>
      </c>
      <c r="AF93" s="114" t="str">
        <f aca="false">IF(OR(11&gt;$B$27,ISBLANK(Actuals!M69)),"",Actuals!M69)</f>
        <v/>
      </c>
      <c r="AG93" s="114" t="n">
        <f aca="false">Budget!M69</f>
        <v>0</v>
      </c>
      <c r="AH93" s="114" t="str">
        <f aca="false">IF(AF93="","",AF93-AG93)</f>
        <v/>
      </c>
      <c r="AI93" s="114" t="str">
        <f aca="false">IF(OR(12&gt;$B$27,ISBLANK(Actuals!N69)),"",Actuals!N69)</f>
        <v/>
      </c>
      <c r="AJ93" s="114" t="n">
        <f aca="false">Budget!N69</f>
        <v>0</v>
      </c>
      <c r="AK93" s="114" t="str">
        <f aca="false">IF(AI93="","",AI93-AJ93)</f>
        <v/>
      </c>
      <c r="AL93" s="117" t="n">
        <f aca="false">SUM(Actuals!$C69:INDEX(Actuals!$C69:$N69,$B$27))</f>
        <v>75000</v>
      </c>
      <c r="AM93" s="117" t="n">
        <f aca="false">SUM(Budget!$C69:INDEX(Budget!$C69:$N69,$B$27))</f>
        <v>81818.16</v>
      </c>
      <c r="AN93" s="117" t="n">
        <f aca="false">AL93-AM93</f>
        <v>-6818.16</v>
      </c>
      <c r="AP93" s="115" t="s">
        <v>424</v>
      </c>
    </row>
    <row r="94" customFormat="false" ht="15" hidden="true" customHeight="true" outlineLevel="1" collapsed="false">
      <c r="A94" s="110" t="s">
        <v>107</v>
      </c>
      <c r="B94" s="114" t="str">
        <f aca="false">IF(OR(1&gt;$B$27,ISBLANK(Actuals!C70)),"",Actuals!C70)</f>
        <v/>
      </c>
      <c r="C94" s="114" t="n">
        <f aca="false">Budget!C70</f>
        <v>0</v>
      </c>
      <c r="D94" s="114" t="str">
        <f aca="false">IF(B94="","",B94-C94)</f>
        <v/>
      </c>
      <c r="E94" s="114" t="str">
        <f aca="false">IF(OR(2&gt;$B$27,ISBLANK(Actuals!D70)),"",Actuals!D70)</f>
        <v/>
      </c>
      <c r="F94" s="114" t="n">
        <f aca="false">Budget!D70</f>
        <v>0</v>
      </c>
      <c r="G94" s="114" t="str">
        <f aca="false">IF(E94="","",E94-F94)</f>
        <v/>
      </c>
      <c r="H94" s="114" t="str">
        <f aca="false">IF(OR(3&gt;$B$27,ISBLANK(Actuals!E70)),"",Actuals!E70)</f>
        <v/>
      </c>
      <c r="I94" s="114" t="n">
        <f aca="false">Budget!E70</f>
        <v>0</v>
      </c>
      <c r="J94" s="114" t="str">
        <f aca="false">IF(H94="","",H94-I94)</f>
        <v/>
      </c>
      <c r="K94" s="114" t="str">
        <f aca="false">IF(OR(4&gt;$B$27,ISBLANK(Actuals!F70)),"",Actuals!F70)</f>
        <v/>
      </c>
      <c r="L94" s="114" t="n">
        <f aca="false">Budget!F70</f>
        <v>11875</v>
      </c>
      <c r="M94" s="114" t="str">
        <f aca="false">IF(K94="","",K94-L94)</f>
        <v/>
      </c>
      <c r="N94" s="114" t="str">
        <f aca="false">IF(OR(5&gt;$B$27,ISBLANK(Actuals!G70)),"",Actuals!G70)</f>
        <v/>
      </c>
      <c r="O94" s="114" t="n">
        <f aca="false">Budget!G70</f>
        <v>11875</v>
      </c>
      <c r="P94" s="114" t="str">
        <f aca="false">IF(N94="","",N94-O94)</f>
        <v/>
      </c>
      <c r="Q94" s="114" t="str">
        <f aca="false">IF(OR(6&gt;$B$27,ISBLANK(Actuals!H70)),"",Actuals!H70)</f>
        <v/>
      </c>
      <c r="R94" s="114" t="n">
        <f aca="false">Budget!H70</f>
        <v>11875</v>
      </c>
      <c r="S94" s="114" t="str">
        <f aca="false">IF(Q94="","",Q94-R94)</f>
        <v/>
      </c>
      <c r="T94" s="114" t="n">
        <f aca="false">IF(OR(7&gt;$B$27,ISBLANK(Actuals!I70)),"",Actuals!I70)</f>
        <v>44000</v>
      </c>
      <c r="U94" s="114" t="n">
        <f aca="false">Budget!I70</f>
        <v>11875</v>
      </c>
      <c r="V94" s="114" t="n">
        <f aca="false">IF(T94="","",T94-U94)</f>
        <v>32125</v>
      </c>
      <c r="W94" s="114" t="n">
        <f aca="false">IF(OR(8&gt;$B$27,ISBLANK(Actuals!J70)),"",Actuals!J70)</f>
        <v>19000</v>
      </c>
      <c r="X94" s="114" t="n">
        <f aca="false">Budget!J70</f>
        <v>11875</v>
      </c>
      <c r="Y94" s="114" t="n">
        <f aca="false">IF(W94="","",W94-X94)</f>
        <v>7125</v>
      </c>
      <c r="Z94" s="114" t="str">
        <f aca="false">IF(OR(9&gt;$B$27,ISBLANK(Actuals!K70)),"",Actuals!K70)</f>
        <v/>
      </c>
      <c r="AA94" s="114" t="n">
        <f aca="false">Budget!K70</f>
        <v>11875</v>
      </c>
      <c r="AB94" s="114" t="str">
        <f aca="false">IF(Z94="","",Z94-AA94)</f>
        <v/>
      </c>
      <c r="AC94" s="114" t="str">
        <f aca="false">IF(OR(10&gt;$B$27,ISBLANK(Actuals!L70)),"",Actuals!L70)</f>
        <v/>
      </c>
      <c r="AD94" s="114" t="n">
        <f aca="false">Budget!L70</f>
        <v>11875</v>
      </c>
      <c r="AE94" s="114" t="str">
        <f aca="false">IF(AC94="","",AC94-AD94)</f>
        <v/>
      </c>
      <c r="AF94" s="114" t="str">
        <f aca="false">IF(OR(11&gt;$B$27,ISBLANK(Actuals!M70)),"",Actuals!M70)</f>
        <v/>
      </c>
      <c r="AG94" s="114" t="n">
        <f aca="false">Budget!M70</f>
        <v>11875</v>
      </c>
      <c r="AH94" s="114" t="str">
        <f aca="false">IF(AF94="","",AF94-AG94)</f>
        <v/>
      </c>
      <c r="AI94" s="114" t="str">
        <f aca="false">IF(OR(12&gt;$B$27,ISBLANK(Actuals!N70)),"",Actuals!N70)</f>
        <v/>
      </c>
      <c r="AJ94" s="114" t="n">
        <f aca="false">Budget!N70</f>
        <v>11875</v>
      </c>
      <c r="AK94" s="114" t="str">
        <f aca="false">IF(AI94="","",AI94-AJ94)</f>
        <v/>
      </c>
      <c r="AL94" s="117" t="n">
        <f aca="false">SUM(Actuals!$C70:INDEX(Actuals!$C70:$N70,$B$27))</f>
        <v>63000</v>
      </c>
      <c r="AM94" s="117" t="n">
        <f aca="false">SUM(Budget!$C70:INDEX(Budget!$C70:$N70,$B$27))</f>
        <v>59375</v>
      </c>
      <c r="AN94" s="117" t="n">
        <f aca="false">AL94-AM94</f>
        <v>3625</v>
      </c>
      <c r="AP94" s="115" t="s">
        <v>425</v>
      </c>
    </row>
    <row r="95" customFormat="false" ht="15" hidden="true" customHeight="true" outlineLevel="1" collapsed="false">
      <c r="A95" s="110" t="s">
        <v>108</v>
      </c>
      <c r="B95" s="114" t="str">
        <f aca="false">IF(OR(1&gt;$B$27,ISBLANK(Actuals!C71)),"",Actuals!C71)</f>
        <v/>
      </c>
      <c r="C95" s="114" t="n">
        <f aca="false">Budget!C71</f>
        <v>0</v>
      </c>
      <c r="D95" s="114" t="str">
        <f aca="false">IF(B95="","",B95-C95)</f>
        <v/>
      </c>
      <c r="E95" s="114" t="str">
        <f aca="false">IF(OR(2&gt;$B$27,ISBLANK(Actuals!D71)),"",Actuals!D71)</f>
        <v/>
      </c>
      <c r="F95" s="114" t="n">
        <f aca="false">Budget!D71</f>
        <v>0</v>
      </c>
      <c r="G95" s="114" t="str">
        <f aca="false">IF(E95="","",E95-F95)</f>
        <v/>
      </c>
      <c r="H95" s="114" t="str">
        <f aca="false">IF(OR(3&gt;$B$27,ISBLANK(Actuals!E71)),"",Actuals!E71)</f>
        <v/>
      </c>
      <c r="I95" s="114" t="n">
        <f aca="false">Budget!E71</f>
        <v>0</v>
      </c>
      <c r="J95" s="114" t="str">
        <f aca="false">IF(H95="","",H95-I95)</f>
        <v/>
      </c>
      <c r="K95" s="114" t="str">
        <f aca="false">IF(OR(4&gt;$B$27,ISBLANK(Actuals!F71)),"",Actuals!F71)</f>
        <v/>
      </c>
      <c r="L95" s="114" t="n">
        <f aca="false">Budget!F71</f>
        <v>0</v>
      </c>
      <c r="M95" s="114" t="str">
        <f aca="false">IF(K95="","",K95-L95)</f>
        <v/>
      </c>
      <c r="N95" s="114" t="str">
        <f aca="false">IF(OR(5&gt;$B$27,ISBLANK(Actuals!G71)),"",Actuals!G71)</f>
        <v/>
      </c>
      <c r="O95" s="114" t="n">
        <f aca="false">Budget!G71</f>
        <v>0</v>
      </c>
      <c r="P95" s="114" t="str">
        <f aca="false">IF(N95="","",N95-O95)</f>
        <v/>
      </c>
      <c r="Q95" s="114" t="str">
        <f aca="false">IF(OR(6&gt;$B$27,ISBLANK(Actuals!H71)),"",Actuals!H71)</f>
        <v/>
      </c>
      <c r="R95" s="114" t="n">
        <f aca="false">Budget!H71</f>
        <v>0</v>
      </c>
      <c r="S95" s="114" t="str">
        <f aca="false">IF(Q95="","",Q95-R95)</f>
        <v/>
      </c>
      <c r="T95" s="114" t="str">
        <f aca="false">IF(OR(7&gt;$B$27,ISBLANK(Actuals!I71)),"",Actuals!I71)</f>
        <v/>
      </c>
      <c r="U95" s="114" t="n">
        <f aca="false">Budget!I71</f>
        <v>0</v>
      </c>
      <c r="V95" s="114" t="str">
        <f aca="false">IF(T95="","",T95-U95)</f>
        <v/>
      </c>
      <c r="W95" s="114" t="str">
        <f aca="false">IF(OR(8&gt;$B$27,ISBLANK(Actuals!J71)),"",Actuals!J71)</f>
        <v/>
      </c>
      <c r="X95" s="114" t="n">
        <f aca="false">Budget!J71</f>
        <v>0</v>
      </c>
      <c r="Y95" s="114" t="str">
        <f aca="false">IF(W95="","",W95-X95)</f>
        <v/>
      </c>
      <c r="Z95" s="114" t="str">
        <f aca="false">IF(OR(9&gt;$B$27,ISBLANK(Actuals!K71)),"",Actuals!K71)</f>
        <v/>
      </c>
      <c r="AA95" s="114" t="n">
        <f aca="false">Budget!K71</f>
        <v>0</v>
      </c>
      <c r="AB95" s="114" t="str">
        <f aca="false">IF(Z95="","",Z95-AA95)</f>
        <v/>
      </c>
      <c r="AC95" s="114" t="str">
        <f aca="false">IF(OR(10&gt;$B$27,ISBLANK(Actuals!L71)),"",Actuals!L71)</f>
        <v/>
      </c>
      <c r="AD95" s="114" t="n">
        <f aca="false">Budget!L71</f>
        <v>0</v>
      </c>
      <c r="AE95" s="114" t="str">
        <f aca="false">IF(AC95="","",AC95-AD95)</f>
        <v/>
      </c>
      <c r="AF95" s="114" t="str">
        <f aca="false">IF(OR(11&gt;$B$27,ISBLANK(Actuals!M71)),"",Actuals!M71)</f>
        <v/>
      </c>
      <c r="AG95" s="114" t="n">
        <f aca="false">Budget!M71</f>
        <v>0</v>
      </c>
      <c r="AH95" s="114" t="str">
        <f aca="false">IF(AF95="","",AF95-AG95)</f>
        <v/>
      </c>
      <c r="AI95" s="114" t="str">
        <f aca="false">IF(OR(12&gt;$B$27,ISBLANK(Actuals!N71)),"",Actuals!N71)</f>
        <v/>
      </c>
      <c r="AJ95" s="114" t="n">
        <f aca="false">Budget!N71</f>
        <v>0</v>
      </c>
      <c r="AK95" s="114" t="str">
        <f aca="false">IF(AI95="","",AI95-AJ95)</f>
        <v/>
      </c>
      <c r="AL95" s="117" t="n">
        <f aca="false">SUM(Actuals!$C71:INDEX(Actuals!$C71:$N71,$B$27))</f>
        <v>0</v>
      </c>
      <c r="AM95" s="117" t="n">
        <f aca="false">SUM(Budget!$C71:INDEX(Budget!$C71:$N71,$B$27))</f>
        <v>0</v>
      </c>
      <c r="AN95" s="117" t="n">
        <f aca="false">AL95-AM95</f>
        <v>0</v>
      </c>
    </row>
    <row r="96" customFormat="false" ht="15" hidden="true" customHeight="true" outlineLevel="1" collapsed="false">
      <c r="A96" s="110" t="s">
        <v>109</v>
      </c>
      <c r="B96" s="114" t="str">
        <f aca="false">IF(OR(1&gt;$B$27,ISBLANK(Actuals!C72)),"",Actuals!C72)</f>
        <v/>
      </c>
      <c r="C96" s="114" t="n">
        <f aca="false">Budget!C72</f>
        <v>0</v>
      </c>
      <c r="D96" s="114" t="str">
        <f aca="false">IF(B96="","",B96-C96)</f>
        <v/>
      </c>
      <c r="E96" s="114" t="str">
        <f aca="false">IF(OR(2&gt;$B$27,ISBLANK(Actuals!D72)),"",Actuals!D72)</f>
        <v/>
      </c>
      <c r="F96" s="114" t="n">
        <f aca="false">Budget!D72</f>
        <v>0</v>
      </c>
      <c r="G96" s="114" t="str">
        <f aca="false">IF(E96="","",E96-F96)</f>
        <v/>
      </c>
      <c r="H96" s="114" t="str">
        <f aca="false">IF(OR(3&gt;$B$27,ISBLANK(Actuals!E72)),"",Actuals!E72)</f>
        <v/>
      </c>
      <c r="I96" s="114" t="n">
        <f aca="false">Budget!E72</f>
        <v>0</v>
      </c>
      <c r="J96" s="114" t="str">
        <f aca="false">IF(H96="","",H96-I96)</f>
        <v/>
      </c>
      <c r="K96" s="114" t="str">
        <f aca="false">IF(OR(4&gt;$B$27,ISBLANK(Actuals!F72)),"",Actuals!F72)</f>
        <v/>
      </c>
      <c r="L96" s="114" t="n">
        <f aca="false">Budget!F72</f>
        <v>0</v>
      </c>
      <c r="M96" s="114" t="str">
        <f aca="false">IF(K96="","",K96-L96)</f>
        <v/>
      </c>
      <c r="N96" s="114" t="str">
        <f aca="false">IF(OR(5&gt;$B$27,ISBLANK(Actuals!G72)),"",Actuals!G72)</f>
        <v/>
      </c>
      <c r="O96" s="114" t="n">
        <f aca="false">Budget!G72</f>
        <v>0</v>
      </c>
      <c r="P96" s="114" t="str">
        <f aca="false">IF(N96="","",N96-O96)</f>
        <v/>
      </c>
      <c r="Q96" s="114" t="str">
        <f aca="false">IF(OR(6&gt;$B$27,ISBLANK(Actuals!H72)),"",Actuals!H72)</f>
        <v/>
      </c>
      <c r="R96" s="114" t="n">
        <f aca="false">Budget!H72</f>
        <v>0</v>
      </c>
      <c r="S96" s="114" t="str">
        <f aca="false">IF(Q96="","",Q96-R96)</f>
        <v/>
      </c>
      <c r="T96" s="114" t="str">
        <f aca="false">IF(OR(7&gt;$B$27,ISBLANK(Actuals!I72)),"",Actuals!I72)</f>
        <v/>
      </c>
      <c r="U96" s="114" t="n">
        <f aca="false">Budget!I72</f>
        <v>0</v>
      </c>
      <c r="V96" s="114" t="str">
        <f aca="false">IF(T96="","",T96-U96)</f>
        <v/>
      </c>
      <c r="W96" s="114" t="str">
        <f aca="false">IF(OR(8&gt;$B$27,ISBLANK(Actuals!J72)),"",Actuals!J72)</f>
        <v/>
      </c>
      <c r="X96" s="114" t="n">
        <f aca="false">Budget!J72</f>
        <v>0</v>
      </c>
      <c r="Y96" s="114" t="str">
        <f aca="false">IF(W96="","",W96-X96)</f>
        <v/>
      </c>
      <c r="Z96" s="114" t="str">
        <f aca="false">IF(OR(9&gt;$B$27,ISBLANK(Actuals!K72)),"",Actuals!K72)</f>
        <v/>
      </c>
      <c r="AA96" s="114" t="n">
        <f aca="false">Budget!K72</f>
        <v>0</v>
      </c>
      <c r="AB96" s="114" t="str">
        <f aca="false">IF(Z96="","",Z96-AA96)</f>
        <v/>
      </c>
      <c r="AC96" s="114" t="str">
        <f aca="false">IF(OR(10&gt;$B$27,ISBLANK(Actuals!L72)),"",Actuals!L72)</f>
        <v/>
      </c>
      <c r="AD96" s="114" t="n">
        <f aca="false">Budget!L72</f>
        <v>0</v>
      </c>
      <c r="AE96" s="114" t="str">
        <f aca="false">IF(AC96="","",AC96-AD96)</f>
        <v/>
      </c>
      <c r="AF96" s="114" t="str">
        <f aca="false">IF(OR(11&gt;$B$27,ISBLANK(Actuals!M72)),"",Actuals!M72)</f>
        <v/>
      </c>
      <c r="AG96" s="114" t="n">
        <f aca="false">Budget!M72</f>
        <v>0</v>
      </c>
      <c r="AH96" s="114" t="str">
        <f aca="false">IF(AF96="","",AF96-AG96)</f>
        <v/>
      </c>
      <c r="AI96" s="114" t="str">
        <f aca="false">IF(OR(12&gt;$B$27,ISBLANK(Actuals!N72)),"",Actuals!N72)</f>
        <v/>
      </c>
      <c r="AJ96" s="114" t="n">
        <f aca="false">Budget!N72</f>
        <v>0</v>
      </c>
      <c r="AK96" s="114" t="str">
        <f aca="false">IF(AI96="","",AI96-AJ96)</f>
        <v/>
      </c>
      <c r="AL96" s="117" t="n">
        <f aca="false">SUM(Actuals!$C72:INDEX(Actuals!$C72:$N72,$B$27))</f>
        <v>0</v>
      </c>
      <c r="AM96" s="117" t="n">
        <f aca="false">SUM(Budget!$C72:INDEX(Budget!$C72:$N72,$B$27))</f>
        <v>0</v>
      </c>
      <c r="AN96" s="117" t="n">
        <f aca="false">AL96-AM96</f>
        <v>0</v>
      </c>
    </row>
    <row r="97" customFormat="false" ht="15" hidden="true" customHeight="true" outlineLevel="1" collapsed="false">
      <c r="A97" s="110" t="s">
        <v>110</v>
      </c>
      <c r="B97" s="114" t="str">
        <f aca="false">IF(OR(1&gt;$B$27,ISBLANK(Actuals!C73)),"",Actuals!C73)</f>
        <v/>
      </c>
      <c r="C97" s="114" t="n">
        <f aca="false">Budget!C73</f>
        <v>0</v>
      </c>
      <c r="D97" s="114" t="str">
        <f aca="false">IF(B97="","",B97-C97)</f>
        <v/>
      </c>
      <c r="E97" s="114" t="str">
        <f aca="false">IF(OR(2&gt;$B$27,ISBLANK(Actuals!D73)),"",Actuals!D73)</f>
        <v/>
      </c>
      <c r="F97" s="114" t="n">
        <f aca="false">Budget!D73</f>
        <v>0</v>
      </c>
      <c r="G97" s="114" t="str">
        <f aca="false">IF(E97="","",E97-F97)</f>
        <v/>
      </c>
      <c r="H97" s="114" t="str">
        <f aca="false">IF(OR(3&gt;$B$27,ISBLANK(Actuals!E73)),"",Actuals!E73)</f>
        <v/>
      </c>
      <c r="I97" s="114" t="n">
        <f aca="false">Budget!E73</f>
        <v>0</v>
      </c>
      <c r="J97" s="114" t="str">
        <f aca="false">IF(H97="","",H97-I97)</f>
        <v/>
      </c>
      <c r="K97" s="114" t="str">
        <f aca="false">IF(OR(4&gt;$B$27,ISBLANK(Actuals!F73)),"",Actuals!F73)</f>
        <v/>
      </c>
      <c r="L97" s="114" t="n">
        <f aca="false">Budget!F73</f>
        <v>0</v>
      </c>
      <c r="M97" s="114" t="str">
        <f aca="false">IF(K97="","",K97-L97)</f>
        <v/>
      </c>
      <c r="N97" s="114" t="str">
        <f aca="false">IF(OR(5&gt;$B$27,ISBLANK(Actuals!G73)),"",Actuals!G73)</f>
        <v/>
      </c>
      <c r="O97" s="114" t="n">
        <f aca="false">Budget!G73</f>
        <v>0</v>
      </c>
      <c r="P97" s="114" t="str">
        <f aca="false">IF(N97="","",N97-O97)</f>
        <v/>
      </c>
      <c r="Q97" s="114" t="str">
        <f aca="false">IF(OR(6&gt;$B$27,ISBLANK(Actuals!H73)),"",Actuals!H73)</f>
        <v/>
      </c>
      <c r="R97" s="114" t="n">
        <f aca="false">Budget!H73</f>
        <v>0</v>
      </c>
      <c r="S97" s="114" t="str">
        <f aca="false">IF(Q97="","",Q97-R97)</f>
        <v/>
      </c>
      <c r="T97" s="114" t="str">
        <f aca="false">IF(OR(7&gt;$B$27,ISBLANK(Actuals!I73)),"",Actuals!I73)</f>
        <v/>
      </c>
      <c r="U97" s="114" t="n">
        <f aca="false">Budget!I73</f>
        <v>0</v>
      </c>
      <c r="V97" s="114" t="str">
        <f aca="false">IF(T97="","",T97-U97)</f>
        <v/>
      </c>
      <c r="W97" s="114" t="str">
        <f aca="false">IF(OR(8&gt;$B$27,ISBLANK(Actuals!J73)),"",Actuals!J73)</f>
        <v/>
      </c>
      <c r="X97" s="114" t="n">
        <f aca="false">Budget!J73</f>
        <v>0</v>
      </c>
      <c r="Y97" s="114" t="str">
        <f aca="false">IF(W97="","",W97-X97)</f>
        <v/>
      </c>
      <c r="Z97" s="114" t="str">
        <f aca="false">IF(OR(9&gt;$B$27,ISBLANK(Actuals!K73)),"",Actuals!K73)</f>
        <v/>
      </c>
      <c r="AA97" s="114" t="n">
        <f aca="false">Budget!K73</f>
        <v>0</v>
      </c>
      <c r="AB97" s="114" t="str">
        <f aca="false">IF(Z97="","",Z97-AA97)</f>
        <v/>
      </c>
      <c r="AC97" s="114" t="str">
        <f aca="false">IF(OR(10&gt;$B$27,ISBLANK(Actuals!L73)),"",Actuals!L73)</f>
        <v/>
      </c>
      <c r="AD97" s="114" t="n">
        <f aca="false">Budget!L73</f>
        <v>0</v>
      </c>
      <c r="AE97" s="114" t="str">
        <f aca="false">IF(AC97="","",AC97-AD97)</f>
        <v/>
      </c>
      <c r="AF97" s="114" t="str">
        <f aca="false">IF(OR(11&gt;$B$27,ISBLANK(Actuals!M73)),"",Actuals!M73)</f>
        <v/>
      </c>
      <c r="AG97" s="114" t="n">
        <f aca="false">Budget!M73</f>
        <v>0</v>
      </c>
      <c r="AH97" s="114" t="str">
        <f aca="false">IF(AF97="","",AF97-AG97)</f>
        <v/>
      </c>
      <c r="AI97" s="114" t="str">
        <f aca="false">IF(OR(12&gt;$B$27,ISBLANK(Actuals!N73)),"",Actuals!N73)</f>
        <v/>
      </c>
      <c r="AJ97" s="114" t="n">
        <f aca="false">Budget!N73</f>
        <v>0</v>
      </c>
      <c r="AK97" s="114" t="str">
        <f aca="false">IF(AI97="","",AI97-AJ97)</f>
        <v/>
      </c>
      <c r="AL97" s="117" t="n">
        <f aca="false">SUM(Actuals!$C73:INDEX(Actuals!$C73:$N73,$B$27))</f>
        <v>0</v>
      </c>
      <c r="AM97" s="117" t="n">
        <f aca="false">SUM(Budget!$C73:INDEX(Budget!$C73:$N73,$B$27))</f>
        <v>0</v>
      </c>
      <c r="AN97" s="117" t="n">
        <f aca="false">AL97-AM97</f>
        <v>0</v>
      </c>
    </row>
    <row r="98" customFormat="false" ht="15" hidden="true" customHeight="true" outlineLevel="1" collapsed="false">
      <c r="A98" s="110" t="s">
        <v>111</v>
      </c>
      <c r="B98" s="114" t="str">
        <f aca="false">IF(OR(1&gt;$B$27,ISBLANK(Actuals!C74)),"",Actuals!C74)</f>
        <v/>
      </c>
      <c r="C98" s="114" t="n">
        <f aca="false">Budget!C74</f>
        <v>0</v>
      </c>
      <c r="D98" s="114" t="str">
        <f aca="false">IF(B98="","",B98-C98)</f>
        <v/>
      </c>
      <c r="E98" s="114" t="str">
        <f aca="false">IF(OR(2&gt;$B$27,ISBLANK(Actuals!D74)),"",Actuals!D74)</f>
        <v/>
      </c>
      <c r="F98" s="114" t="n">
        <f aca="false">Budget!D74</f>
        <v>0</v>
      </c>
      <c r="G98" s="114" t="str">
        <f aca="false">IF(E98="","",E98-F98)</f>
        <v/>
      </c>
      <c r="H98" s="114" t="str">
        <f aca="false">IF(OR(3&gt;$B$27,ISBLANK(Actuals!E74)),"",Actuals!E74)</f>
        <v/>
      </c>
      <c r="I98" s="114" t="n">
        <f aca="false">Budget!E74</f>
        <v>0</v>
      </c>
      <c r="J98" s="114" t="str">
        <f aca="false">IF(H98="","",H98-I98)</f>
        <v/>
      </c>
      <c r="K98" s="114" t="str">
        <f aca="false">IF(OR(4&gt;$B$27,ISBLANK(Actuals!F74)),"",Actuals!F74)</f>
        <v/>
      </c>
      <c r="L98" s="114" t="n">
        <f aca="false">Budget!F74</f>
        <v>0</v>
      </c>
      <c r="M98" s="114" t="str">
        <f aca="false">IF(K98="","",K98-L98)</f>
        <v/>
      </c>
      <c r="N98" s="114" t="str">
        <f aca="false">IF(OR(5&gt;$B$27,ISBLANK(Actuals!G74)),"",Actuals!G74)</f>
        <v/>
      </c>
      <c r="O98" s="114" t="n">
        <f aca="false">Budget!G74</f>
        <v>0</v>
      </c>
      <c r="P98" s="114" t="str">
        <f aca="false">IF(N98="","",N98-O98)</f>
        <v/>
      </c>
      <c r="Q98" s="114" t="str">
        <f aca="false">IF(OR(6&gt;$B$27,ISBLANK(Actuals!H74)),"",Actuals!H74)</f>
        <v/>
      </c>
      <c r="R98" s="114" t="n">
        <f aca="false">Budget!H74</f>
        <v>0</v>
      </c>
      <c r="S98" s="114" t="str">
        <f aca="false">IF(Q98="","",Q98-R98)</f>
        <v/>
      </c>
      <c r="T98" s="114" t="str">
        <f aca="false">IF(OR(7&gt;$B$27,ISBLANK(Actuals!I74)),"",Actuals!I74)</f>
        <v/>
      </c>
      <c r="U98" s="114" t="n">
        <f aca="false">Budget!I74</f>
        <v>0</v>
      </c>
      <c r="V98" s="114" t="str">
        <f aca="false">IF(T98="","",T98-U98)</f>
        <v/>
      </c>
      <c r="W98" s="114" t="str">
        <f aca="false">IF(OR(8&gt;$B$27,ISBLANK(Actuals!J74)),"",Actuals!J74)</f>
        <v/>
      </c>
      <c r="X98" s="114" t="n">
        <f aca="false">Budget!J74</f>
        <v>0</v>
      </c>
      <c r="Y98" s="114" t="str">
        <f aca="false">IF(W98="","",W98-X98)</f>
        <v/>
      </c>
      <c r="Z98" s="114" t="str">
        <f aca="false">IF(OR(9&gt;$B$27,ISBLANK(Actuals!K74)),"",Actuals!K74)</f>
        <v/>
      </c>
      <c r="AA98" s="114" t="n">
        <f aca="false">Budget!K74</f>
        <v>0</v>
      </c>
      <c r="AB98" s="114" t="str">
        <f aca="false">IF(Z98="","",Z98-AA98)</f>
        <v/>
      </c>
      <c r="AC98" s="114" t="str">
        <f aca="false">IF(OR(10&gt;$B$27,ISBLANK(Actuals!L74)),"",Actuals!L74)</f>
        <v/>
      </c>
      <c r="AD98" s="114" t="n">
        <f aca="false">Budget!L74</f>
        <v>0</v>
      </c>
      <c r="AE98" s="114" t="str">
        <f aca="false">IF(AC98="","",AC98-AD98)</f>
        <v/>
      </c>
      <c r="AF98" s="114" t="str">
        <f aca="false">IF(OR(11&gt;$B$27,ISBLANK(Actuals!M74)),"",Actuals!M74)</f>
        <v/>
      </c>
      <c r="AG98" s="114" t="n">
        <f aca="false">Budget!M74</f>
        <v>0</v>
      </c>
      <c r="AH98" s="114" t="str">
        <f aca="false">IF(AF98="","",AF98-AG98)</f>
        <v/>
      </c>
      <c r="AI98" s="114" t="str">
        <f aca="false">IF(OR(12&gt;$B$27,ISBLANK(Actuals!N74)),"",Actuals!N74)</f>
        <v/>
      </c>
      <c r="AJ98" s="114" t="n">
        <f aca="false">Budget!N74</f>
        <v>0</v>
      </c>
      <c r="AK98" s="114" t="str">
        <f aca="false">IF(AI98="","",AI98-AJ98)</f>
        <v/>
      </c>
      <c r="AL98" s="117" t="n">
        <f aca="false">SUM(Actuals!$C74:INDEX(Actuals!$C74:$N74,$B$27))</f>
        <v>0</v>
      </c>
      <c r="AM98" s="117" t="n">
        <f aca="false">SUM(Budget!$C74:INDEX(Budget!$C74:$N74,$B$27))</f>
        <v>0</v>
      </c>
      <c r="AN98" s="117" t="n">
        <f aca="false">AL98-AM98</f>
        <v>0</v>
      </c>
    </row>
    <row r="99" customFormat="false" ht="15" hidden="true" customHeight="true" outlineLevel="1" collapsed="false">
      <c r="A99" s="110" t="s">
        <v>112</v>
      </c>
      <c r="B99" s="114" t="str">
        <f aca="false">IF(OR(1&gt;$B$27,ISBLANK(Actuals!C75)),"",Actuals!C75)</f>
        <v/>
      </c>
      <c r="C99" s="114" t="n">
        <f aca="false">Budget!C75</f>
        <v>0</v>
      </c>
      <c r="D99" s="114" t="str">
        <f aca="false">IF(B99="","",B99-C99)</f>
        <v/>
      </c>
      <c r="E99" s="114" t="str">
        <f aca="false">IF(OR(2&gt;$B$27,ISBLANK(Actuals!D75)),"",Actuals!D75)</f>
        <v/>
      </c>
      <c r="F99" s="114" t="n">
        <f aca="false">Budget!D75</f>
        <v>0</v>
      </c>
      <c r="G99" s="114" t="str">
        <f aca="false">IF(E99="","",E99-F99)</f>
        <v/>
      </c>
      <c r="H99" s="114" t="str">
        <f aca="false">IF(OR(3&gt;$B$27,ISBLANK(Actuals!E75)),"",Actuals!E75)</f>
        <v/>
      </c>
      <c r="I99" s="114" t="n">
        <f aca="false">Budget!E75</f>
        <v>0</v>
      </c>
      <c r="J99" s="114" t="str">
        <f aca="false">IF(H99="","",H99-I99)</f>
        <v/>
      </c>
      <c r="K99" s="114" t="str">
        <f aca="false">IF(OR(4&gt;$B$27,ISBLANK(Actuals!F75)),"",Actuals!F75)</f>
        <v/>
      </c>
      <c r="L99" s="114" t="n">
        <f aca="false">Budget!F75</f>
        <v>0</v>
      </c>
      <c r="M99" s="114" t="str">
        <f aca="false">IF(K99="","",K99-L99)</f>
        <v/>
      </c>
      <c r="N99" s="114" t="str">
        <f aca="false">IF(OR(5&gt;$B$27,ISBLANK(Actuals!G75)),"",Actuals!G75)</f>
        <v/>
      </c>
      <c r="O99" s="114" t="n">
        <f aca="false">Budget!G75</f>
        <v>0</v>
      </c>
      <c r="P99" s="114" t="str">
        <f aca="false">IF(N99="","",N99-O99)</f>
        <v/>
      </c>
      <c r="Q99" s="114" t="str">
        <f aca="false">IF(OR(6&gt;$B$27,ISBLANK(Actuals!H75)),"",Actuals!H75)</f>
        <v/>
      </c>
      <c r="R99" s="114" t="n">
        <f aca="false">Budget!H75</f>
        <v>0</v>
      </c>
      <c r="S99" s="114" t="str">
        <f aca="false">IF(Q99="","",Q99-R99)</f>
        <v/>
      </c>
      <c r="T99" s="114" t="str">
        <f aca="false">IF(OR(7&gt;$B$27,ISBLANK(Actuals!I75)),"",Actuals!I75)</f>
        <v/>
      </c>
      <c r="U99" s="114" t="n">
        <f aca="false">Budget!I75</f>
        <v>0</v>
      </c>
      <c r="V99" s="114" t="str">
        <f aca="false">IF(T99="","",T99-U99)</f>
        <v/>
      </c>
      <c r="W99" s="114" t="str">
        <f aca="false">IF(OR(8&gt;$B$27,ISBLANK(Actuals!J75)),"",Actuals!J75)</f>
        <v/>
      </c>
      <c r="X99" s="114" t="n">
        <f aca="false">Budget!J75</f>
        <v>0</v>
      </c>
      <c r="Y99" s="114" t="str">
        <f aca="false">IF(W99="","",W99-X99)</f>
        <v/>
      </c>
      <c r="Z99" s="114" t="str">
        <f aca="false">IF(OR(9&gt;$B$27,ISBLANK(Actuals!K75)),"",Actuals!K75)</f>
        <v/>
      </c>
      <c r="AA99" s="114" t="n">
        <f aca="false">Budget!K75</f>
        <v>0</v>
      </c>
      <c r="AB99" s="114" t="str">
        <f aca="false">IF(Z99="","",Z99-AA99)</f>
        <v/>
      </c>
      <c r="AC99" s="114" t="str">
        <f aca="false">IF(OR(10&gt;$B$27,ISBLANK(Actuals!L75)),"",Actuals!L75)</f>
        <v/>
      </c>
      <c r="AD99" s="114" t="n">
        <f aca="false">Budget!L75</f>
        <v>0</v>
      </c>
      <c r="AE99" s="114" t="str">
        <f aca="false">IF(AC99="","",AC99-AD99)</f>
        <v/>
      </c>
      <c r="AF99" s="114" t="str">
        <f aca="false">IF(OR(11&gt;$B$27,ISBLANK(Actuals!M75)),"",Actuals!M75)</f>
        <v/>
      </c>
      <c r="AG99" s="114" t="n">
        <f aca="false">Budget!M75</f>
        <v>0</v>
      </c>
      <c r="AH99" s="114" t="str">
        <f aca="false">IF(AF99="","",AF99-AG99)</f>
        <v/>
      </c>
      <c r="AI99" s="114" t="str">
        <f aca="false">IF(OR(12&gt;$B$27,ISBLANK(Actuals!N75)),"",Actuals!N75)</f>
        <v/>
      </c>
      <c r="AJ99" s="114" t="n">
        <f aca="false">Budget!N75</f>
        <v>0</v>
      </c>
      <c r="AK99" s="114" t="str">
        <f aca="false">IF(AI99="","",AI99-AJ99)</f>
        <v/>
      </c>
      <c r="AL99" s="117" t="n">
        <f aca="false">SUM(Actuals!$C75:INDEX(Actuals!$C75:$N75,$B$27))</f>
        <v>0</v>
      </c>
      <c r="AM99" s="117" t="n">
        <f aca="false">SUM(Budget!$C75:INDEX(Budget!$C75:$N75,$B$27))</f>
        <v>0</v>
      </c>
      <c r="AN99" s="117" t="n">
        <f aca="false">AL99-AM99</f>
        <v>0</v>
      </c>
    </row>
    <row r="100" customFormat="false" ht="15" hidden="true" customHeight="true" outlineLevel="1" collapsed="false">
      <c r="A100" s="110" t="s">
        <v>113</v>
      </c>
      <c r="B100" s="114" t="str">
        <f aca="false">IF(OR(1&gt;$B$27,ISBLANK(Actuals!C76)),"",Actuals!C76)</f>
        <v/>
      </c>
      <c r="C100" s="114" t="n">
        <f aca="false">Budget!C76</f>
        <v>0</v>
      </c>
      <c r="D100" s="114" t="str">
        <f aca="false">IF(B100="","",B100-C100)</f>
        <v/>
      </c>
      <c r="E100" s="114" t="str">
        <f aca="false">IF(OR(2&gt;$B$27,ISBLANK(Actuals!D76)),"",Actuals!D76)</f>
        <v/>
      </c>
      <c r="F100" s="114" t="n">
        <f aca="false">Budget!D76</f>
        <v>0</v>
      </c>
      <c r="G100" s="114" t="str">
        <f aca="false">IF(E100="","",E100-F100)</f>
        <v/>
      </c>
      <c r="H100" s="114" t="str">
        <f aca="false">IF(OR(3&gt;$B$27,ISBLANK(Actuals!E76)),"",Actuals!E76)</f>
        <v/>
      </c>
      <c r="I100" s="114" t="n">
        <f aca="false">Budget!E76</f>
        <v>0</v>
      </c>
      <c r="J100" s="114" t="str">
        <f aca="false">IF(H100="","",H100-I100)</f>
        <v/>
      </c>
      <c r="K100" s="114" t="str">
        <f aca="false">IF(OR(4&gt;$B$27,ISBLANK(Actuals!F76)),"",Actuals!F76)</f>
        <v/>
      </c>
      <c r="L100" s="114" t="n">
        <f aca="false">Budget!F76</f>
        <v>0</v>
      </c>
      <c r="M100" s="114" t="str">
        <f aca="false">IF(K100="","",K100-L100)</f>
        <v/>
      </c>
      <c r="N100" s="114" t="str">
        <f aca="false">IF(OR(5&gt;$B$27,ISBLANK(Actuals!G76)),"",Actuals!G76)</f>
        <v/>
      </c>
      <c r="O100" s="114" t="n">
        <f aca="false">Budget!G76</f>
        <v>0</v>
      </c>
      <c r="P100" s="114" t="str">
        <f aca="false">IF(N100="","",N100-O100)</f>
        <v/>
      </c>
      <c r="Q100" s="114" t="str">
        <f aca="false">IF(OR(6&gt;$B$27,ISBLANK(Actuals!H76)),"",Actuals!H76)</f>
        <v/>
      </c>
      <c r="R100" s="114" t="n">
        <f aca="false">Budget!H76</f>
        <v>0</v>
      </c>
      <c r="S100" s="114" t="str">
        <f aca="false">IF(Q100="","",Q100-R100)</f>
        <v/>
      </c>
      <c r="T100" s="114" t="str">
        <f aca="false">IF(OR(7&gt;$B$27,ISBLANK(Actuals!I76)),"",Actuals!I76)</f>
        <v/>
      </c>
      <c r="U100" s="114" t="n">
        <f aca="false">Budget!I76</f>
        <v>0</v>
      </c>
      <c r="V100" s="114" t="str">
        <f aca="false">IF(T100="","",T100-U100)</f>
        <v/>
      </c>
      <c r="W100" s="114" t="str">
        <f aca="false">IF(OR(8&gt;$B$27,ISBLANK(Actuals!J76)),"",Actuals!J76)</f>
        <v/>
      </c>
      <c r="X100" s="114" t="n">
        <f aca="false">Budget!J76</f>
        <v>0</v>
      </c>
      <c r="Y100" s="114" t="str">
        <f aca="false">IF(W100="","",W100-X100)</f>
        <v/>
      </c>
      <c r="Z100" s="114" t="str">
        <f aca="false">IF(OR(9&gt;$B$27,ISBLANK(Actuals!K76)),"",Actuals!K76)</f>
        <v/>
      </c>
      <c r="AA100" s="114" t="n">
        <f aca="false">Budget!K76</f>
        <v>0</v>
      </c>
      <c r="AB100" s="114" t="str">
        <f aca="false">IF(Z100="","",Z100-AA100)</f>
        <v/>
      </c>
      <c r="AC100" s="114" t="str">
        <f aca="false">IF(OR(10&gt;$B$27,ISBLANK(Actuals!L76)),"",Actuals!L76)</f>
        <v/>
      </c>
      <c r="AD100" s="114" t="n">
        <f aca="false">Budget!L76</f>
        <v>0</v>
      </c>
      <c r="AE100" s="114" t="str">
        <f aca="false">IF(AC100="","",AC100-AD100)</f>
        <v/>
      </c>
      <c r="AF100" s="114" t="str">
        <f aca="false">IF(OR(11&gt;$B$27,ISBLANK(Actuals!M76)),"",Actuals!M76)</f>
        <v/>
      </c>
      <c r="AG100" s="114" t="n">
        <f aca="false">Budget!M76</f>
        <v>0</v>
      </c>
      <c r="AH100" s="114" t="str">
        <f aca="false">IF(AF100="","",AF100-AG100)</f>
        <v/>
      </c>
      <c r="AI100" s="114" t="str">
        <f aca="false">IF(OR(12&gt;$B$27,ISBLANK(Actuals!N76)),"",Actuals!N76)</f>
        <v/>
      </c>
      <c r="AJ100" s="114" t="n">
        <f aca="false">Budget!N76</f>
        <v>0</v>
      </c>
      <c r="AK100" s="114" t="str">
        <f aca="false">IF(AI100="","",AI100-AJ100)</f>
        <v/>
      </c>
      <c r="AL100" s="117" t="n">
        <f aca="false">SUM(Actuals!$C76:INDEX(Actuals!$C76:$N76,$B$27))</f>
        <v>0</v>
      </c>
      <c r="AM100" s="117" t="n">
        <f aca="false">SUM(Budget!$C76:INDEX(Budget!$C76:$N76,$B$27))</f>
        <v>0</v>
      </c>
      <c r="AN100" s="117" t="n">
        <f aca="false">AL100-AM100</f>
        <v>0</v>
      </c>
    </row>
    <row r="101" customFormat="false" ht="15" hidden="true" customHeight="true" outlineLevel="1" collapsed="false">
      <c r="A101" s="110" t="s">
        <v>114</v>
      </c>
      <c r="B101" s="114" t="str">
        <f aca="false">IF(OR(1&gt;$B$27,ISBLANK(Actuals!C77)),"",Actuals!C77)</f>
        <v/>
      </c>
      <c r="C101" s="114" t="n">
        <f aca="false">Budget!C77</f>
        <v>0</v>
      </c>
      <c r="D101" s="114" t="str">
        <f aca="false">IF(B101="","",B101-C101)</f>
        <v/>
      </c>
      <c r="E101" s="114" t="str">
        <f aca="false">IF(OR(2&gt;$B$27,ISBLANK(Actuals!D77)),"",Actuals!D77)</f>
        <v/>
      </c>
      <c r="F101" s="114" t="n">
        <f aca="false">Budget!D77</f>
        <v>0</v>
      </c>
      <c r="G101" s="114" t="str">
        <f aca="false">IF(E101="","",E101-F101)</f>
        <v/>
      </c>
      <c r="H101" s="114" t="str">
        <f aca="false">IF(OR(3&gt;$B$27,ISBLANK(Actuals!E77)),"",Actuals!E77)</f>
        <v/>
      </c>
      <c r="I101" s="114" t="n">
        <f aca="false">Budget!E77</f>
        <v>0</v>
      </c>
      <c r="J101" s="114" t="str">
        <f aca="false">IF(H101="","",H101-I101)</f>
        <v/>
      </c>
      <c r="K101" s="114" t="str">
        <f aca="false">IF(OR(4&gt;$B$27,ISBLANK(Actuals!F77)),"",Actuals!F77)</f>
        <v/>
      </c>
      <c r="L101" s="114" t="n">
        <f aca="false">Budget!F77</f>
        <v>0</v>
      </c>
      <c r="M101" s="114" t="str">
        <f aca="false">IF(K101="","",K101-L101)</f>
        <v/>
      </c>
      <c r="N101" s="114" t="str">
        <f aca="false">IF(OR(5&gt;$B$27,ISBLANK(Actuals!G77)),"",Actuals!G77)</f>
        <v/>
      </c>
      <c r="O101" s="114" t="n">
        <f aca="false">Budget!G77</f>
        <v>0</v>
      </c>
      <c r="P101" s="114" t="str">
        <f aca="false">IF(N101="","",N101-O101)</f>
        <v/>
      </c>
      <c r="Q101" s="114" t="str">
        <f aca="false">IF(OR(6&gt;$B$27,ISBLANK(Actuals!H77)),"",Actuals!H77)</f>
        <v/>
      </c>
      <c r="R101" s="114" t="n">
        <f aca="false">Budget!H77</f>
        <v>0</v>
      </c>
      <c r="S101" s="114" t="str">
        <f aca="false">IF(Q101="","",Q101-R101)</f>
        <v/>
      </c>
      <c r="T101" s="114" t="str">
        <f aca="false">IF(OR(7&gt;$B$27,ISBLANK(Actuals!I77)),"",Actuals!I77)</f>
        <v/>
      </c>
      <c r="U101" s="114" t="n">
        <f aca="false">Budget!I77</f>
        <v>0</v>
      </c>
      <c r="V101" s="114" t="str">
        <f aca="false">IF(T101="","",T101-U101)</f>
        <v/>
      </c>
      <c r="W101" s="114" t="n">
        <f aca="false">IF(OR(8&gt;$B$27,ISBLANK(Actuals!J77)),"",Actuals!J77)</f>
        <v>127514</v>
      </c>
      <c r="X101" s="114" t="n">
        <f aca="false">Budget!J77</f>
        <v>0</v>
      </c>
      <c r="Y101" s="114" t="n">
        <f aca="false">IF(W101="","",W101-X101)</f>
        <v>127514</v>
      </c>
      <c r="Z101" s="114" t="str">
        <f aca="false">IF(OR(9&gt;$B$27,ISBLANK(Actuals!K77)),"",Actuals!K77)</f>
        <v/>
      </c>
      <c r="AA101" s="114" t="n">
        <f aca="false">Budget!K77</f>
        <v>0</v>
      </c>
      <c r="AB101" s="114" t="str">
        <f aca="false">IF(Z101="","",Z101-AA101)</f>
        <v/>
      </c>
      <c r="AC101" s="114" t="str">
        <f aca="false">IF(OR(10&gt;$B$27,ISBLANK(Actuals!L77)),"",Actuals!L77)</f>
        <v/>
      </c>
      <c r="AD101" s="114" t="n">
        <f aca="false">Budget!L77</f>
        <v>0</v>
      </c>
      <c r="AE101" s="114" t="str">
        <f aca="false">IF(AC101="","",AC101-AD101)</f>
        <v/>
      </c>
      <c r="AF101" s="114" t="str">
        <f aca="false">IF(OR(11&gt;$B$27,ISBLANK(Actuals!M77)),"",Actuals!M77)</f>
        <v/>
      </c>
      <c r="AG101" s="114" t="n">
        <f aca="false">Budget!M77</f>
        <v>0</v>
      </c>
      <c r="AH101" s="114" t="str">
        <f aca="false">IF(AF101="","",AF101-AG101)</f>
        <v/>
      </c>
      <c r="AI101" s="114" t="str">
        <f aca="false">IF(OR(12&gt;$B$27,ISBLANK(Actuals!N77)),"",Actuals!N77)</f>
        <v/>
      </c>
      <c r="AJ101" s="114" t="n">
        <f aca="false">Budget!N77</f>
        <v>0</v>
      </c>
      <c r="AK101" s="114" t="str">
        <f aca="false">IF(AI101="","",AI101-AJ101)</f>
        <v/>
      </c>
      <c r="AL101" s="117" t="n">
        <f aca="false">SUM(Actuals!$C77:INDEX(Actuals!$C77:$N77,$B$27))</f>
        <v>127514</v>
      </c>
      <c r="AM101" s="117" t="n">
        <f aca="false">SUM(Budget!$C77:INDEX(Budget!$C77:$N77,$B$27))</f>
        <v>0</v>
      </c>
      <c r="AN101" s="117" t="n">
        <f aca="false">AL101-AM101</f>
        <v>127514</v>
      </c>
      <c r="AP101" s="115" t="s">
        <v>426</v>
      </c>
    </row>
    <row r="102" customFormat="false" ht="15" hidden="true" customHeight="true" outlineLevel="1" collapsed="false">
      <c r="A102" s="110" t="s">
        <v>115</v>
      </c>
      <c r="B102" s="114" t="str">
        <f aca="false">IF(OR(1&gt;$B$27,ISBLANK(Actuals!C78)),"",Actuals!C78)</f>
        <v/>
      </c>
      <c r="C102" s="114" t="n">
        <f aca="false">Budget!C78</f>
        <v>0</v>
      </c>
      <c r="D102" s="114" t="str">
        <f aca="false">IF(B102="","",B102-C102)</f>
        <v/>
      </c>
      <c r="E102" s="114" t="str">
        <f aca="false">IF(OR(2&gt;$B$27,ISBLANK(Actuals!D78)),"",Actuals!D78)</f>
        <v/>
      </c>
      <c r="F102" s="114" t="n">
        <f aca="false">Budget!D78</f>
        <v>0</v>
      </c>
      <c r="G102" s="114" t="str">
        <f aca="false">IF(E102="","",E102-F102)</f>
        <v/>
      </c>
      <c r="H102" s="114" t="str">
        <f aca="false">IF(OR(3&gt;$B$27,ISBLANK(Actuals!E78)),"",Actuals!E78)</f>
        <v/>
      </c>
      <c r="I102" s="114" t="n">
        <f aca="false">Budget!E78</f>
        <v>0</v>
      </c>
      <c r="J102" s="114" t="str">
        <f aca="false">IF(H102="","",H102-I102)</f>
        <v/>
      </c>
      <c r="K102" s="114" t="str">
        <f aca="false">IF(OR(4&gt;$B$27,ISBLANK(Actuals!F78)),"",Actuals!F78)</f>
        <v/>
      </c>
      <c r="L102" s="114" t="n">
        <f aca="false">Budget!F78</f>
        <v>0</v>
      </c>
      <c r="M102" s="114" t="str">
        <f aca="false">IF(K102="","",K102-L102)</f>
        <v/>
      </c>
      <c r="N102" s="114" t="str">
        <f aca="false">IF(OR(5&gt;$B$27,ISBLANK(Actuals!G78)),"",Actuals!G78)</f>
        <v/>
      </c>
      <c r="O102" s="114" t="n">
        <f aca="false">Budget!G78</f>
        <v>0</v>
      </c>
      <c r="P102" s="114" t="str">
        <f aca="false">IF(N102="","",N102-O102)</f>
        <v/>
      </c>
      <c r="Q102" s="114" t="str">
        <f aca="false">IF(OR(6&gt;$B$27,ISBLANK(Actuals!H78)),"",Actuals!H78)</f>
        <v/>
      </c>
      <c r="R102" s="114" t="n">
        <f aca="false">Budget!H78</f>
        <v>0</v>
      </c>
      <c r="S102" s="114" t="str">
        <f aca="false">IF(Q102="","",Q102-R102)</f>
        <v/>
      </c>
      <c r="T102" s="114" t="str">
        <f aca="false">IF(OR(7&gt;$B$27,ISBLANK(Actuals!I78)),"",Actuals!I78)</f>
        <v/>
      </c>
      <c r="U102" s="114" t="n">
        <f aca="false">Budget!I78</f>
        <v>0</v>
      </c>
      <c r="V102" s="114" t="str">
        <f aca="false">IF(T102="","",T102-U102)</f>
        <v/>
      </c>
      <c r="W102" s="114" t="str">
        <f aca="false">IF(OR(8&gt;$B$27,ISBLANK(Actuals!J78)),"",Actuals!J78)</f>
        <v/>
      </c>
      <c r="X102" s="114" t="n">
        <f aca="false">Budget!J78</f>
        <v>0</v>
      </c>
      <c r="Y102" s="114" t="str">
        <f aca="false">IF(W102="","",W102-X102)</f>
        <v/>
      </c>
      <c r="Z102" s="114" t="str">
        <f aca="false">IF(OR(9&gt;$B$27,ISBLANK(Actuals!K78)),"",Actuals!K78)</f>
        <v/>
      </c>
      <c r="AA102" s="114" t="n">
        <f aca="false">Budget!K78</f>
        <v>0</v>
      </c>
      <c r="AB102" s="114" t="str">
        <f aca="false">IF(Z102="","",Z102-AA102)</f>
        <v/>
      </c>
      <c r="AC102" s="114" t="str">
        <f aca="false">IF(OR(10&gt;$B$27,ISBLANK(Actuals!L78)),"",Actuals!L78)</f>
        <v/>
      </c>
      <c r="AD102" s="114" t="n">
        <f aca="false">Budget!L78</f>
        <v>0</v>
      </c>
      <c r="AE102" s="114" t="str">
        <f aca="false">IF(AC102="","",AC102-AD102)</f>
        <v/>
      </c>
      <c r="AF102" s="114" t="str">
        <f aca="false">IF(OR(11&gt;$B$27,ISBLANK(Actuals!M78)),"",Actuals!M78)</f>
        <v/>
      </c>
      <c r="AG102" s="114" t="n">
        <f aca="false">Budget!M78</f>
        <v>0</v>
      </c>
      <c r="AH102" s="114" t="str">
        <f aca="false">IF(AF102="","",AF102-AG102)</f>
        <v/>
      </c>
      <c r="AI102" s="114" t="str">
        <f aca="false">IF(OR(12&gt;$B$27,ISBLANK(Actuals!N78)),"",Actuals!N78)</f>
        <v/>
      </c>
      <c r="AJ102" s="114" t="n">
        <f aca="false">Budget!N78</f>
        <v>0</v>
      </c>
      <c r="AK102" s="114" t="str">
        <f aca="false">IF(AI102="","",AI102-AJ102)</f>
        <v/>
      </c>
      <c r="AL102" s="117" t="n">
        <f aca="false">SUM(Actuals!$C78:INDEX(Actuals!$C78:$N78,$B$27))</f>
        <v>0</v>
      </c>
      <c r="AM102" s="117" t="n">
        <f aca="false">SUM(Budget!$C78:INDEX(Budget!$C78:$N78,$B$27))</f>
        <v>0</v>
      </c>
      <c r="AN102" s="117" t="n">
        <f aca="false">AL102-AM102</f>
        <v>0</v>
      </c>
    </row>
    <row r="103" customFormat="false" ht="15" hidden="true" customHeight="true" outlineLevel="1" collapsed="false">
      <c r="A103" s="110" t="s">
        <v>116</v>
      </c>
      <c r="B103" s="114" t="str">
        <f aca="false">IF(OR(1&gt;$B$27,ISBLANK(Actuals!C79)),"",Actuals!C79)</f>
        <v/>
      </c>
      <c r="C103" s="114" t="n">
        <f aca="false">Budget!C79</f>
        <v>0</v>
      </c>
      <c r="D103" s="114" t="str">
        <f aca="false">IF(B103="","",B103-C103)</f>
        <v/>
      </c>
      <c r="E103" s="114" t="str">
        <f aca="false">IF(OR(2&gt;$B$27,ISBLANK(Actuals!D79)),"",Actuals!D79)</f>
        <v/>
      </c>
      <c r="F103" s="114" t="n">
        <f aca="false">Budget!D79</f>
        <v>0</v>
      </c>
      <c r="G103" s="114" t="str">
        <f aca="false">IF(E103="","",E103-F103)</f>
        <v/>
      </c>
      <c r="H103" s="114" t="str">
        <f aca="false">IF(OR(3&gt;$B$27,ISBLANK(Actuals!E79)),"",Actuals!E79)</f>
        <v/>
      </c>
      <c r="I103" s="114" t="n">
        <f aca="false">Budget!E79</f>
        <v>0</v>
      </c>
      <c r="J103" s="114" t="str">
        <f aca="false">IF(H103="","",H103-I103)</f>
        <v/>
      </c>
      <c r="K103" s="114" t="str">
        <f aca="false">IF(OR(4&gt;$B$27,ISBLANK(Actuals!F79)),"",Actuals!F79)</f>
        <v/>
      </c>
      <c r="L103" s="114" t="n">
        <f aca="false">Budget!F79</f>
        <v>0</v>
      </c>
      <c r="M103" s="114" t="str">
        <f aca="false">IF(K103="","",K103-L103)</f>
        <v/>
      </c>
      <c r="N103" s="114" t="str">
        <f aca="false">IF(OR(5&gt;$B$27,ISBLANK(Actuals!G79)),"",Actuals!G79)</f>
        <v/>
      </c>
      <c r="O103" s="114" t="n">
        <f aca="false">Budget!G79</f>
        <v>0</v>
      </c>
      <c r="P103" s="114" t="str">
        <f aca="false">IF(N103="","",N103-O103)</f>
        <v/>
      </c>
      <c r="Q103" s="114" t="str">
        <f aca="false">IF(OR(6&gt;$B$27,ISBLANK(Actuals!H79)),"",Actuals!H79)</f>
        <v/>
      </c>
      <c r="R103" s="114" t="n">
        <f aca="false">Budget!H79</f>
        <v>0</v>
      </c>
      <c r="S103" s="114" t="str">
        <f aca="false">IF(Q103="","",Q103-R103)</f>
        <v/>
      </c>
      <c r="T103" s="114" t="str">
        <f aca="false">IF(OR(7&gt;$B$27,ISBLANK(Actuals!I79)),"",Actuals!I79)</f>
        <v/>
      </c>
      <c r="U103" s="114" t="n">
        <f aca="false">Budget!I79</f>
        <v>0</v>
      </c>
      <c r="V103" s="114" t="str">
        <f aca="false">IF(T103="","",T103-U103)</f>
        <v/>
      </c>
      <c r="W103" s="114" t="str">
        <f aca="false">IF(OR(8&gt;$B$27,ISBLANK(Actuals!J79)),"",Actuals!J79)</f>
        <v/>
      </c>
      <c r="X103" s="114" t="n">
        <f aca="false">Budget!J79</f>
        <v>0</v>
      </c>
      <c r="Y103" s="114" t="str">
        <f aca="false">IF(W103="","",W103-X103)</f>
        <v/>
      </c>
      <c r="Z103" s="114" t="str">
        <f aca="false">IF(OR(9&gt;$B$27,ISBLANK(Actuals!K79)),"",Actuals!K79)</f>
        <v/>
      </c>
      <c r="AA103" s="114" t="n">
        <f aca="false">Budget!K79</f>
        <v>0</v>
      </c>
      <c r="AB103" s="114" t="str">
        <f aca="false">IF(Z103="","",Z103-AA103)</f>
        <v/>
      </c>
      <c r="AC103" s="114" t="str">
        <f aca="false">IF(OR(10&gt;$B$27,ISBLANK(Actuals!L79)),"",Actuals!L79)</f>
        <v/>
      </c>
      <c r="AD103" s="114" t="n">
        <f aca="false">Budget!L79</f>
        <v>0</v>
      </c>
      <c r="AE103" s="114" t="str">
        <f aca="false">IF(AC103="","",AC103-AD103)</f>
        <v/>
      </c>
      <c r="AF103" s="114" t="str">
        <f aca="false">IF(OR(11&gt;$B$27,ISBLANK(Actuals!M79)),"",Actuals!M79)</f>
        <v/>
      </c>
      <c r="AG103" s="114" t="n">
        <f aca="false">Budget!M79</f>
        <v>0</v>
      </c>
      <c r="AH103" s="114" t="str">
        <f aca="false">IF(AF103="","",AF103-AG103)</f>
        <v/>
      </c>
      <c r="AI103" s="114" t="str">
        <f aca="false">IF(OR(12&gt;$B$27,ISBLANK(Actuals!N79)),"",Actuals!N79)</f>
        <v/>
      </c>
      <c r="AJ103" s="114" t="n">
        <f aca="false">Budget!N79</f>
        <v>0</v>
      </c>
      <c r="AK103" s="114" t="str">
        <f aca="false">IF(AI103="","",AI103-AJ103)</f>
        <v/>
      </c>
      <c r="AL103" s="117" t="n">
        <f aca="false">SUM(Actuals!$C79:INDEX(Actuals!$C79:$N79,$B$27))</f>
        <v>0</v>
      </c>
      <c r="AM103" s="117" t="n">
        <f aca="false">SUM(Budget!$C79:INDEX(Budget!$C79:$N79,$B$27))</f>
        <v>0</v>
      </c>
      <c r="AN103" s="117" t="n">
        <f aca="false">AL103-AM103</f>
        <v>0</v>
      </c>
    </row>
    <row r="104" customFormat="false" ht="15" hidden="true" customHeight="true" outlineLevel="1" collapsed="false">
      <c r="A104" s="110" t="s">
        <v>117</v>
      </c>
      <c r="B104" s="114" t="str">
        <f aca="false">IF(OR(1&gt;$B$27,ISBLANK(Actuals!C80)),"",Actuals!C80)</f>
        <v/>
      </c>
      <c r="C104" s="114" t="n">
        <f aca="false">Budget!C80</f>
        <v>0</v>
      </c>
      <c r="D104" s="114" t="str">
        <f aca="false">IF(B104="","",B104-C104)</f>
        <v/>
      </c>
      <c r="E104" s="114" t="str">
        <f aca="false">IF(OR(2&gt;$B$27,ISBLANK(Actuals!D80)),"",Actuals!D80)</f>
        <v/>
      </c>
      <c r="F104" s="114" t="n">
        <f aca="false">Budget!D80</f>
        <v>0</v>
      </c>
      <c r="G104" s="114" t="str">
        <f aca="false">IF(E104="","",E104-F104)</f>
        <v/>
      </c>
      <c r="H104" s="114" t="str">
        <f aca="false">IF(OR(3&gt;$B$27,ISBLANK(Actuals!E80)),"",Actuals!E80)</f>
        <v/>
      </c>
      <c r="I104" s="114" t="n">
        <f aca="false">Budget!E80</f>
        <v>0</v>
      </c>
      <c r="J104" s="114" t="str">
        <f aca="false">IF(H104="","",H104-I104)</f>
        <v/>
      </c>
      <c r="K104" s="114" t="str">
        <f aca="false">IF(OR(4&gt;$B$27,ISBLANK(Actuals!F80)),"",Actuals!F80)</f>
        <v/>
      </c>
      <c r="L104" s="114" t="n">
        <f aca="false">Budget!F80</f>
        <v>0</v>
      </c>
      <c r="M104" s="114" t="str">
        <f aca="false">IF(K104="","",K104-L104)</f>
        <v/>
      </c>
      <c r="N104" s="114" t="str">
        <f aca="false">IF(OR(5&gt;$B$27,ISBLANK(Actuals!G80)),"",Actuals!G80)</f>
        <v/>
      </c>
      <c r="O104" s="114" t="n">
        <f aca="false">Budget!G80</f>
        <v>0</v>
      </c>
      <c r="P104" s="114" t="str">
        <f aca="false">IF(N104="","",N104-O104)</f>
        <v/>
      </c>
      <c r="Q104" s="114" t="str">
        <f aca="false">IF(OR(6&gt;$B$27,ISBLANK(Actuals!H80)),"",Actuals!H80)</f>
        <v/>
      </c>
      <c r="R104" s="114" t="n">
        <f aca="false">Budget!H80</f>
        <v>0</v>
      </c>
      <c r="S104" s="114" t="str">
        <f aca="false">IF(Q104="","",Q104-R104)</f>
        <v/>
      </c>
      <c r="T104" s="114" t="str">
        <f aca="false">IF(OR(7&gt;$B$27,ISBLANK(Actuals!I80)),"",Actuals!I80)</f>
        <v/>
      </c>
      <c r="U104" s="114" t="n">
        <f aca="false">Budget!I80</f>
        <v>0</v>
      </c>
      <c r="V104" s="114" t="str">
        <f aca="false">IF(T104="","",T104-U104)</f>
        <v/>
      </c>
      <c r="W104" s="114" t="str">
        <f aca="false">IF(OR(8&gt;$B$27,ISBLANK(Actuals!J80)),"",Actuals!J80)</f>
        <v/>
      </c>
      <c r="X104" s="114" t="n">
        <f aca="false">Budget!J80</f>
        <v>0</v>
      </c>
      <c r="Y104" s="114" t="str">
        <f aca="false">IF(W104="","",W104-X104)</f>
        <v/>
      </c>
      <c r="Z104" s="114" t="str">
        <f aca="false">IF(OR(9&gt;$B$27,ISBLANK(Actuals!K80)),"",Actuals!K80)</f>
        <v/>
      </c>
      <c r="AA104" s="114" t="n">
        <f aca="false">Budget!K80</f>
        <v>0</v>
      </c>
      <c r="AB104" s="114" t="str">
        <f aca="false">IF(Z104="","",Z104-AA104)</f>
        <v/>
      </c>
      <c r="AC104" s="114" t="str">
        <f aca="false">IF(OR(10&gt;$B$27,ISBLANK(Actuals!L80)),"",Actuals!L80)</f>
        <v/>
      </c>
      <c r="AD104" s="114" t="n">
        <f aca="false">Budget!L80</f>
        <v>0</v>
      </c>
      <c r="AE104" s="114" t="str">
        <f aca="false">IF(AC104="","",AC104-AD104)</f>
        <v/>
      </c>
      <c r="AF104" s="114" t="str">
        <f aca="false">IF(OR(11&gt;$B$27,ISBLANK(Actuals!M80)),"",Actuals!M80)</f>
        <v/>
      </c>
      <c r="AG104" s="114" t="n">
        <f aca="false">Budget!M80</f>
        <v>0</v>
      </c>
      <c r="AH104" s="114" t="str">
        <f aca="false">IF(AF104="","",AF104-AG104)</f>
        <v/>
      </c>
      <c r="AI104" s="114" t="str">
        <f aca="false">IF(OR(12&gt;$B$27,ISBLANK(Actuals!N80)),"",Actuals!N80)</f>
        <v/>
      </c>
      <c r="AJ104" s="114" t="n">
        <f aca="false">Budget!N80</f>
        <v>0</v>
      </c>
      <c r="AK104" s="114" t="str">
        <f aca="false">IF(AI104="","",AI104-AJ104)</f>
        <v/>
      </c>
      <c r="AL104" s="117" t="n">
        <f aca="false">SUM(Actuals!$C80:INDEX(Actuals!$C80:$N80,$B$27))</f>
        <v>0</v>
      </c>
      <c r="AM104" s="117" t="n">
        <f aca="false">SUM(Budget!$C80:INDEX(Budget!$C80:$N80,$B$27))</f>
        <v>0</v>
      </c>
      <c r="AN104" s="117" t="n">
        <f aca="false">AL104-AM104</f>
        <v>0</v>
      </c>
    </row>
    <row r="105" customFormat="false" ht="15" hidden="false" customHeight="true" outlineLevel="0" collapsed="true">
      <c r="A105" s="116" t="s">
        <v>121</v>
      </c>
      <c r="B105" s="117" t="n">
        <f aca="false">IF(OR(1&gt;$B$27,ISBLANK(Actuals!C81)),"",Actuals!C81)</f>
        <v>34114.58</v>
      </c>
      <c r="C105" s="117" t="n">
        <f aca="false">Budget!C81</f>
        <v>47599.06</v>
      </c>
      <c r="D105" s="117" t="n">
        <f aca="false">IF(B105="","",B105-C105)</f>
        <v>-13484.48</v>
      </c>
      <c r="E105" s="117" t="n">
        <f aca="false">IF(OR(2&gt;$B$27,ISBLANK(Actuals!D81)),"",Actuals!D81)</f>
        <v>34114.58</v>
      </c>
      <c r="F105" s="117" t="n">
        <f aca="false">Budget!D81</f>
        <v>47599.06</v>
      </c>
      <c r="G105" s="117" t="n">
        <f aca="false">IF(E105="","",E105-F105)</f>
        <v>-13484.48</v>
      </c>
      <c r="H105" s="117" t="n">
        <f aca="false">IF(OR(3&gt;$B$27,ISBLANK(Actuals!E81)),"",Actuals!E81)</f>
        <v>34114.58</v>
      </c>
      <c r="I105" s="117" t="n">
        <f aca="false">Budget!E81</f>
        <v>47599.06</v>
      </c>
      <c r="J105" s="117" t="n">
        <f aca="false">IF(H105="","",H105-I105)</f>
        <v>-13484.48</v>
      </c>
      <c r="K105" s="117" t="n">
        <f aca="false">IF(OR(4&gt;$B$27,ISBLANK(Actuals!F81)),"",Actuals!F81)</f>
        <v>34114.58</v>
      </c>
      <c r="L105" s="117" t="n">
        <f aca="false">Budget!F81</f>
        <v>59474.06</v>
      </c>
      <c r="M105" s="117" t="n">
        <f aca="false">IF(K105="","",K105-L105)</f>
        <v>-25359.48</v>
      </c>
      <c r="N105" s="117" t="n">
        <f aca="false">IF(OR(5&gt;$B$27,ISBLANK(Actuals!G81)),"",Actuals!G81)</f>
        <v>34114.58</v>
      </c>
      <c r="O105" s="117" t="n">
        <f aca="false">Budget!G81</f>
        <v>59474.06</v>
      </c>
      <c r="P105" s="117" t="n">
        <f aca="false">IF(N105="","",N105-O105)</f>
        <v>-25359.48</v>
      </c>
      <c r="Q105" s="117" t="n">
        <f aca="false">IF(OR(6&gt;$B$27,ISBLANK(Actuals!H81)),"",Actuals!H81)</f>
        <v>333114.58</v>
      </c>
      <c r="R105" s="117" t="n">
        <f aca="false">Budget!H81</f>
        <v>59474.06</v>
      </c>
      <c r="S105" s="117" t="n">
        <f aca="false">IF(Q105="","",Q105-R105)</f>
        <v>273640.52</v>
      </c>
      <c r="T105" s="117" t="n">
        <f aca="false">IF(OR(7&gt;$B$27,ISBLANK(Actuals!I81)),"",Actuals!I81)</f>
        <v>78114.58</v>
      </c>
      <c r="U105" s="117" t="n">
        <f aca="false">Budget!I81</f>
        <v>59474.06</v>
      </c>
      <c r="V105" s="117" t="n">
        <f aca="false">IF(T105="","",T105-U105)</f>
        <v>18640.52</v>
      </c>
      <c r="W105" s="117" t="n">
        <f aca="false">IF(OR(8&gt;$B$27,ISBLANK(Actuals!J81)),"",Actuals!J81)</f>
        <v>180628.58</v>
      </c>
      <c r="X105" s="117" t="n">
        <f aca="false">Budget!J81</f>
        <v>59474.06</v>
      </c>
      <c r="Y105" s="117" t="n">
        <f aca="false">IF(W105="","",W105-X105)</f>
        <v>121154.52</v>
      </c>
      <c r="Z105" s="117" t="str">
        <f aca="false">IF(OR(9&gt;$B$27,ISBLANK(Actuals!K81)),"",Actuals!K81)</f>
        <v/>
      </c>
      <c r="AA105" s="117" t="n">
        <f aca="false">Budget!K81</f>
        <v>59474.06</v>
      </c>
      <c r="AB105" s="117" t="str">
        <f aca="false">IF(Z105="","",Z105-AA105)</f>
        <v/>
      </c>
      <c r="AC105" s="117" t="str">
        <f aca="false">IF(OR(10&gt;$B$27,ISBLANK(Actuals!L81)),"",Actuals!L81)</f>
        <v/>
      </c>
      <c r="AD105" s="117" t="n">
        <f aca="false">Budget!L81</f>
        <v>49246.79</v>
      </c>
      <c r="AE105" s="117" t="str">
        <f aca="false">IF(AC105="","",AC105-AD105)</f>
        <v/>
      </c>
      <c r="AF105" s="117" t="str">
        <f aca="false">IF(OR(11&gt;$B$27,ISBLANK(Actuals!M81)),"",Actuals!M81)</f>
        <v/>
      </c>
      <c r="AG105" s="117" t="n">
        <f aca="false">Budget!M81</f>
        <v>49246.79</v>
      </c>
      <c r="AH105" s="117" t="str">
        <f aca="false">IF(AF105="","",AF105-AG105)</f>
        <v/>
      </c>
      <c r="AI105" s="117" t="str">
        <f aca="false">IF(OR(12&gt;$B$27,ISBLANK(Actuals!N81)),"",Actuals!N81)</f>
        <v/>
      </c>
      <c r="AJ105" s="117" t="n">
        <f aca="false">Budget!N81</f>
        <v>49246.79</v>
      </c>
      <c r="AK105" s="117" t="str">
        <f aca="false">IF(AI105="","",AI105-AJ105)</f>
        <v/>
      </c>
      <c r="AL105" s="117" t="n">
        <f aca="false">SUM(Actuals!$C81:INDEX(Actuals!$C81:$N81,$B$27))</f>
        <v>762430.64</v>
      </c>
      <c r="AM105" s="117" t="n">
        <f aca="false">SUM(Budget!$C81:INDEX(Budget!$C81:$N81,$B$27))</f>
        <v>440167.48</v>
      </c>
      <c r="AN105" s="117" t="n">
        <f aca="false">AL105-AM105</f>
        <v>322263.16</v>
      </c>
      <c r="AP105" s="115" t="s">
        <v>427</v>
      </c>
    </row>
    <row r="107" customFormat="false" ht="15" hidden="true" customHeight="true" outlineLevel="1" collapsed="false">
      <c r="A107" s="110" t="s">
        <v>64</v>
      </c>
      <c r="B107" s="114" t="n">
        <f aca="false">IF(OR(1&gt;$B$27,ISBLANK(Actuals!C83)),"",Actuals!C83)</f>
        <v>-54421</v>
      </c>
      <c r="C107" s="114" t="n">
        <f aca="false">Budget!C83</f>
        <v>-90233.32</v>
      </c>
      <c r="D107" s="114" t="n">
        <f aca="false">IF(B107="","",B107-C107)</f>
        <v>35812.32</v>
      </c>
      <c r="E107" s="114" t="n">
        <f aca="false">IF(OR(2&gt;$B$27,ISBLANK(Actuals!D83)),"",Actuals!D83)</f>
        <v>-54166.68</v>
      </c>
      <c r="F107" s="114" t="n">
        <f aca="false">Budget!D83</f>
        <v>-90233.32</v>
      </c>
      <c r="G107" s="114" t="n">
        <f aca="false">IF(E107="","",E107-F107)</f>
        <v>36066.64</v>
      </c>
      <c r="H107" s="114" t="n">
        <f aca="false">IF(OR(3&gt;$B$27,ISBLANK(Actuals!E83)),"",Actuals!E83)</f>
        <v>-54166.68</v>
      </c>
      <c r="I107" s="114" t="n">
        <f aca="false">Budget!E83</f>
        <v>-90233.32</v>
      </c>
      <c r="J107" s="114" t="n">
        <f aca="false">IF(H107="","",H107-I107)</f>
        <v>36066.64</v>
      </c>
      <c r="K107" s="114" t="n">
        <f aca="false">IF(OR(4&gt;$B$27,ISBLANK(Actuals!F83)),"",Actuals!F83)</f>
        <v>-54166.68</v>
      </c>
      <c r="L107" s="114" t="n">
        <f aca="false">Budget!F83</f>
        <v>-90233.32</v>
      </c>
      <c r="M107" s="114" t="n">
        <f aca="false">IF(K107="","",K107-L107)</f>
        <v>36066.64</v>
      </c>
      <c r="N107" s="114" t="n">
        <f aca="false">IF(OR(5&gt;$B$27,ISBLANK(Actuals!G83)),"",Actuals!G83)</f>
        <v>-54166.68</v>
      </c>
      <c r="O107" s="114" t="n">
        <f aca="false">Budget!G83</f>
        <v>-90233.32</v>
      </c>
      <c r="P107" s="114" t="n">
        <f aca="false">IF(N107="","",N107-O107)</f>
        <v>36066.64</v>
      </c>
      <c r="Q107" s="114" t="n">
        <f aca="false">IF(OR(6&gt;$B$27,ISBLANK(Actuals!H83)),"",Actuals!H83)</f>
        <v>-54166.68</v>
      </c>
      <c r="R107" s="114" t="n">
        <f aca="false">Budget!H83</f>
        <v>-90233.32</v>
      </c>
      <c r="S107" s="114" t="n">
        <f aca="false">IF(Q107="","",Q107-R107)</f>
        <v>36066.64</v>
      </c>
      <c r="T107" s="114" t="n">
        <f aca="false">IF(OR(7&gt;$B$27,ISBLANK(Actuals!I83)),"",Actuals!I83)</f>
        <v>-54166.68</v>
      </c>
      <c r="U107" s="114" t="n">
        <f aca="false">Budget!I83</f>
        <v>-89059.65</v>
      </c>
      <c r="V107" s="114" t="n">
        <f aca="false">IF(T107="","",T107-U107)</f>
        <v>34892.97</v>
      </c>
      <c r="W107" s="114" t="n">
        <f aca="false">IF(OR(8&gt;$B$27,ISBLANK(Actuals!J83)),"",Actuals!J83)</f>
        <v>-54166.68</v>
      </c>
      <c r="X107" s="114" t="n">
        <f aca="false">Budget!J83</f>
        <v>-89059.65</v>
      </c>
      <c r="Y107" s="114" t="n">
        <f aca="false">IF(W107="","",W107-X107)</f>
        <v>34892.97</v>
      </c>
      <c r="Z107" s="114" t="str">
        <f aca="false">IF(OR(9&gt;$B$27,ISBLANK(Actuals!K83)),"",Actuals!K83)</f>
        <v/>
      </c>
      <c r="AA107" s="114" t="n">
        <f aca="false">Budget!K83</f>
        <v>-89059.65</v>
      </c>
      <c r="AB107" s="114" t="str">
        <f aca="false">IF(Z107="","",Z107-AA107)</f>
        <v/>
      </c>
      <c r="AC107" s="114" t="str">
        <f aca="false">IF(OR(10&gt;$B$27,ISBLANK(Actuals!L83)),"",Actuals!L83)</f>
        <v/>
      </c>
      <c r="AD107" s="114" t="n">
        <f aca="false">Budget!L83</f>
        <v>-89059.65</v>
      </c>
      <c r="AE107" s="114" t="str">
        <f aca="false">IF(AC107="","",AC107-AD107)</f>
        <v/>
      </c>
      <c r="AF107" s="114" t="str">
        <f aca="false">IF(OR(11&gt;$B$27,ISBLANK(Actuals!M83)),"",Actuals!M83)</f>
        <v/>
      </c>
      <c r="AG107" s="114" t="n">
        <f aca="false">Budget!M83</f>
        <v>-89059.65</v>
      </c>
      <c r="AH107" s="114" t="str">
        <f aca="false">IF(AF107="","",AF107-AG107)</f>
        <v/>
      </c>
      <c r="AI107" s="114" t="str">
        <f aca="false">IF(OR(12&gt;$B$27,ISBLANK(Actuals!N83)),"",Actuals!N83)</f>
        <v/>
      </c>
      <c r="AJ107" s="114" t="n">
        <f aca="false">Budget!N83</f>
        <v>-89059.65</v>
      </c>
      <c r="AK107" s="114" t="str">
        <f aca="false">IF(AI107="","",AI107-AJ107)</f>
        <v/>
      </c>
      <c r="AL107" s="117" t="n">
        <f aca="false">SUM(Actuals!$C83:INDEX(Actuals!$C83:$N83,$B$27))</f>
        <v>-433587.76</v>
      </c>
      <c r="AM107" s="117" t="n">
        <f aca="false">SUM(Budget!$C83:INDEX(Budget!$C83:$N83,$B$27))</f>
        <v>-719519.22</v>
      </c>
      <c r="AN107" s="117" t="n">
        <f aca="false">AL107-AM107</f>
        <v>285931.46</v>
      </c>
      <c r="AP107" s="115" t="s">
        <v>428</v>
      </c>
    </row>
    <row r="108" customFormat="false" ht="15" hidden="true" customHeight="true" outlineLevel="1" collapsed="false">
      <c r="A108" s="110" t="s">
        <v>65</v>
      </c>
      <c r="B108" s="114" t="n">
        <f aca="false">IF(OR(1&gt;$B$27,ISBLANK(Actuals!C84)),"",Actuals!C84)</f>
        <v>-5302</v>
      </c>
      <c r="C108" s="114" t="n">
        <f aca="false">Budget!C84</f>
        <v>-8125</v>
      </c>
      <c r="D108" s="114" t="n">
        <f aca="false">IF(B108="","",B108-C108)</f>
        <v>2823</v>
      </c>
      <c r="E108" s="114" t="n">
        <f aca="false">IF(OR(2&gt;$B$27,ISBLANK(Actuals!D84)),"",Actuals!D84)</f>
        <v>-4279.79</v>
      </c>
      <c r="F108" s="114" t="n">
        <f aca="false">Budget!D84</f>
        <v>-8125</v>
      </c>
      <c r="G108" s="114" t="n">
        <f aca="false">IF(E108="","",E108-F108)</f>
        <v>3845.21</v>
      </c>
      <c r="H108" s="114" t="n">
        <f aca="false">IF(OR(3&gt;$B$27,ISBLANK(Actuals!E84)),"",Actuals!E84)</f>
        <v>-4145.97</v>
      </c>
      <c r="I108" s="114" t="n">
        <f aca="false">Budget!E84</f>
        <v>-8125</v>
      </c>
      <c r="J108" s="114" t="n">
        <f aca="false">IF(H108="","",H108-I108)</f>
        <v>3979.03</v>
      </c>
      <c r="K108" s="114" t="n">
        <f aca="false">IF(OR(4&gt;$B$27,ISBLANK(Actuals!F84)),"",Actuals!F84)</f>
        <v>-4145.96</v>
      </c>
      <c r="L108" s="114" t="n">
        <f aca="false">Budget!F84</f>
        <v>-8125</v>
      </c>
      <c r="M108" s="114" t="n">
        <f aca="false">IF(K108="","",K108-L108)</f>
        <v>3979.04</v>
      </c>
      <c r="N108" s="114" t="n">
        <f aca="false">IF(OR(5&gt;$B$27,ISBLANK(Actuals!G84)),"",Actuals!G84)</f>
        <v>-4145.99</v>
      </c>
      <c r="O108" s="114" t="n">
        <f aca="false">Budget!G84</f>
        <v>-8125</v>
      </c>
      <c r="P108" s="114" t="n">
        <f aca="false">IF(N108="","",N108-O108)</f>
        <v>3979.01</v>
      </c>
      <c r="Q108" s="114" t="n">
        <f aca="false">IF(OR(6&gt;$B$27,ISBLANK(Actuals!H84)),"",Actuals!H84)</f>
        <v>-4145.95</v>
      </c>
      <c r="R108" s="114" t="n">
        <f aca="false">Budget!H84</f>
        <v>-8125</v>
      </c>
      <c r="S108" s="114" t="n">
        <f aca="false">IF(Q108="","",Q108-R108)</f>
        <v>3979.05</v>
      </c>
      <c r="T108" s="114" t="n">
        <f aca="false">IF(OR(7&gt;$B$27,ISBLANK(Actuals!I84)),"",Actuals!I84)</f>
        <v>-4145.97</v>
      </c>
      <c r="U108" s="114" t="n">
        <f aca="false">Budget!I84</f>
        <v>-8125</v>
      </c>
      <c r="V108" s="114" t="n">
        <f aca="false">IF(T108="","",T108-U108)</f>
        <v>3979.03</v>
      </c>
      <c r="W108" s="114" t="n">
        <f aca="false">IF(OR(8&gt;$B$27,ISBLANK(Actuals!J84)),"",Actuals!J84)</f>
        <v>-4145.97</v>
      </c>
      <c r="X108" s="114" t="n">
        <f aca="false">Budget!J84</f>
        <v>-8125</v>
      </c>
      <c r="Y108" s="114" t="n">
        <f aca="false">IF(W108="","",W108-X108)</f>
        <v>3979.03</v>
      </c>
      <c r="Z108" s="114" t="str">
        <f aca="false">IF(OR(9&gt;$B$27,ISBLANK(Actuals!K84)),"",Actuals!K84)</f>
        <v/>
      </c>
      <c r="AA108" s="114" t="n">
        <f aca="false">Budget!K84</f>
        <v>-8125</v>
      </c>
      <c r="AB108" s="114" t="str">
        <f aca="false">IF(Z108="","",Z108-AA108)</f>
        <v/>
      </c>
      <c r="AC108" s="114" t="str">
        <f aca="false">IF(OR(10&gt;$B$27,ISBLANK(Actuals!L84)),"",Actuals!L84)</f>
        <v/>
      </c>
      <c r="AD108" s="114" t="n">
        <f aca="false">Budget!L84</f>
        <v>-8125</v>
      </c>
      <c r="AE108" s="114" t="str">
        <f aca="false">IF(AC108="","",AC108-AD108)</f>
        <v/>
      </c>
      <c r="AF108" s="114" t="str">
        <f aca="false">IF(OR(11&gt;$B$27,ISBLANK(Actuals!M84)),"",Actuals!M84)</f>
        <v/>
      </c>
      <c r="AG108" s="114" t="n">
        <f aca="false">Budget!M84</f>
        <v>-8125</v>
      </c>
      <c r="AH108" s="114" t="str">
        <f aca="false">IF(AF108="","",AF108-AG108)</f>
        <v/>
      </c>
      <c r="AI108" s="114" t="str">
        <f aca="false">IF(OR(12&gt;$B$27,ISBLANK(Actuals!N84)),"",Actuals!N84)</f>
        <v/>
      </c>
      <c r="AJ108" s="114" t="n">
        <f aca="false">Budget!N84</f>
        <v>-8125</v>
      </c>
      <c r="AK108" s="114" t="str">
        <f aca="false">IF(AI108="","",AI108-AJ108)</f>
        <v/>
      </c>
      <c r="AL108" s="117" t="n">
        <f aca="false">SUM(Actuals!$C84:INDEX(Actuals!$C84:$N84,$B$27))</f>
        <v>-34457.6</v>
      </c>
      <c r="AM108" s="117" t="n">
        <f aca="false">SUM(Budget!$C84:INDEX(Budget!$C84:$N84,$B$27))</f>
        <v>-65000</v>
      </c>
      <c r="AN108" s="117" t="n">
        <f aca="false">AL108-AM108</f>
        <v>30542.4</v>
      </c>
    </row>
    <row r="109" customFormat="false" ht="15" hidden="true" customHeight="true" outlineLevel="1" collapsed="false">
      <c r="A109" s="110" t="s">
        <v>67</v>
      </c>
      <c r="B109" s="114" t="n">
        <f aca="false">IF(OR(1&gt;$B$27,ISBLANK(Actuals!C85)),"",Actuals!C85)</f>
        <v>-12137.77</v>
      </c>
      <c r="C109" s="114" t="n">
        <f aca="false">Budget!C85</f>
        <v>-6554.17</v>
      </c>
      <c r="D109" s="114" t="n">
        <f aca="false">IF(B109="","",B109-C109)</f>
        <v>-5583.6</v>
      </c>
      <c r="E109" s="114" t="n">
        <f aca="false">IF(OR(2&gt;$B$27,ISBLANK(Actuals!D85)),"",Actuals!D85)</f>
        <v>-12137.78</v>
      </c>
      <c r="F109" s="114" t="n">
        <f aca="false">Budget!D85</f>
        <v>-6554.17</v>
      </c>
      <c r="G109" s="114" t="n">
        <f aca="false">IF(E109="","",E109-F109)</f>
        <v>-5583.61</v>
      </c>
      <c r="H109" s="114" t="n">
        <f aca="false">IF(OR(3&gt;$B$27,ISBLANK(Actuals!E85)),"",Actuals!E85)</f>
        <v>-12137.78</v>
      </c>
      <c r="I109" s="114" t="n">
        <f aca="false">Budget!E85</f>
        <v>-6554.17</v>
      </c>
      <c r="J109" s="114" t="n">
        <f aca="false">IF(H109="","",H109-I109)</f>
        <v>-5583.61</v>
      </c>
      <c r="K109" s="114" t="n">
        <f aca="false">IF(OR(4&gt;$B$27,ISBLANK(Actuals!F85)),"",Actuals!F85)</f>
        <v>-12137.78</v>
      </c>
      <c r="L109" s="114" t="n">
        <f aca="false">Budget!F85</f>
        <v>-6554.17</v>
      </c>
      <c r="M109" s="114" t="n">
        <f aca="false">IF(K109="","",K109-L109)</f>
        <v>-5583.61</v>
      </c>
      <c r="N109" s="114" t="n">
        <f aca="false">IF(OR(5&gt;$B$27,ISBLANK(Actuals!G85)),"",Actuals!G85)</f>
        <v>-12137.78</v>
      </c>
      <c r="O109" s="114" t="n">
        <f aca="false">Budget!G85</f>
        <v>-6554.17</v>
      </c>
      <c r="P109" s="114" t="n">
        <f aca="false">IF(N109="","",N109-O109)</f>
        <v>-5583.61</v>
      </c>
      <c r="Q109" s="114" t="n">
        <f aca="false">IF(OR(6&gt;$B$27,ISBLANK(Actuals!H85)),"",Actuals!H85)</f>
        <v>-12137.78</v>
      </c>
      <c r="R109" s="114" t="n">
        <f aca="false">Budget!H85</f>
        <v>-6554.17</v>
      </c>
      <c r="S109" s="114" t="n">
        <f aca="false">IF(Q109="","",Q109-R109)</f>
        <v>-5583.61</v>
      </c>
      <c r="T109" s="114" t="n">
        <f aca="false">IF(OR(7&gt;$B$27,ISBLANK(Actuals!I85)),"",Actuals!I85)</f>
        <v>-12137.78</v>
      </c>
      <c r="U109" s="114" t="n">
        <f aca="false">Budget!I85</f>
        <v>-6554.17</v>
      </c>
      <c r="V109" s="114" t="n">
        <f aca="false">IF(T109="","",T109-U109)</f>
        <v>-5583.61</v>
      </c>
      <c r="W109" s="114" t="n">
        <f aca="false">IF(OR(8&gt;$B$27,ISBLANK(Actuals!J85)),"",Actuals!J85)</f>
        <v>-12137.78</v>
      </c>
      <c r="X109" s="114" t="n">
        <f aca="false">Budget!J85</f>
        <v>-6554.17</v>
      </c>
      <c r="Y109" s="114" t="n">
        <f aca="false">IF(W109="","",W109-X109)</f>
        <v>-5583.61</v>
      </c>
      <c r="Z109" s="114" t="str">
        <f aca="false">IF(OR(9&gt;$B$27,ISBLANK(Actuals!K85)),"",Actuals!K85)</f>
        <v/>
      </c>
      <c r="AA109" s="114" t="n">
        <f aca="false">Budget!K85</f>
        <v>-6554.17</v>
      </c>
      <c r="AB109" s="114" t="str">
        <f aca="false">IF(Z109="","",Z109-AA109)</f>
        <v/>
      </c>
      <c r="AC109" s="114" t="str">
        <f aca="false">IF(OR(10&gt;$B$27,ISBLANK(Actuals!L85)),"",Actuals!L85)</f>
        <v/>
      </c>
      <c r="AD109" s="114" t="n">
        <f aca="false">Budget!L85</f>
        <v>-6554.17</v>
      </c>
      <c r="AE109" s="114" t="str">
        <f aca="false">IF(AC109="","",AC109-AD109)</f>
        <v/>
      </c>
      <c r="AF109" s="114" t="str">
        <f aca="false">IF(OR(11&gt;$B$27,ISBLANK(Actuals!M85)),"",Actuals!M85)</f>
        <v/>
      </c>
      <c r="AG109" s="114" t="n">
        <f aca="false">Budget!M85</f>
        <v>-6554.17</v>
      </c>
      <c r="AH109" s="114" t="str">
        <f aca="false">IF(AF109="","",AF109-AG109)</f>
        <v/>
      </c>
      <c r="AI109" s="114" t="str">
        <f aca="false">IF(OR(12&gt;$B$27,ISBLANK(Actuals!N85)),"",Actuals!N85)</f>
        <v/>
      </c>
      <c r="AJ109" s="114" t="n">
        <f aca="false">Budget!N85</f>
        <v>-6554.17</v>
      </c>
      <c r="AK109" s="114" t="str">
        <f aca="false">IF(AI109="","",AI109-AJ109)</f>
        <v/>
      </c>
      <c r="AL109" s="117" t="n">
        <f aca="false">SUM(Actuals!$C85:INDEX(Actuals!$C85:$N85,$B$27))</f>
        <v>-97102.23</v>
      </c>
      <c r="AM109" s="117" t="n">
        <f aca="false">SUM(Budget!$C85:INDEX(Budget!$C85:$N85,$B$27))</f>
        <v>-52433.36</v>
      </c>
      <c r="AN109" s="117" t="n">
        <f aca="false">AL109-AM109</f>
        <v>-44668.87</v>
      </c>
      <c r="AP109" s="115" t="s">
        <v>429</v>
      </c>
    </row>
    <row r="110" customFormat="false" ht="15" hidden="true" customHeight="true" outlineLevel="1" collapsed="false">
      <c r="A110" s="110" t="s">
        <v>68</v>
      </c>
      <c r="B110" s="114" t="n">
        <f aca="false">IF(OR(1&gt;$B$27,ISBLANK(Actuals!C86)),"",Actuals!C86)</f>
        <v>-475.76</v>
      </c>
      <c r="C110" s="114" t="n">
        <f aca="false">Budget!C86</f>
        <v>-487.5</v>
      </c>
      <c r="D110" s="114" t="n">
        <f aca="false">IF(B110="","",B110-C110)</f>
        <v>11.74</v>
      </c>
      <c r="E110" s="114" t="n">
        <f aca="false">IF(OR(2&gt;$B$27,ISBLANK(Actuals!D86)),"",Actuals!D86)</f>
        <v>-475.76</v>
      </c>
      <c r="F110" s="114" t="n">
        <f aca="false">Budget!D86</f>
        <v>-487.5</v>
      </c>
      <c r="G110" s="114" t="n">
        <f aca="false">IF(E110="","",E110-F110)</f>
        <v>11.74</v>
      </c>
      <c r="H110" s="114" t="n">
        <f aca="false">IF(OR(3&gt;$B$27,ISBLANK(Actuals!E86)),"",Actuals!E86)</f>
        <v>-475.76</v>
      </c>
      <c r="I110" s="114" t="n">
        <f aca="false">Budget!E86</f>
        <v>-487.5</v>
      </c>
      <c r="J110" s="114" t="n">
        <f aca="false">IF(H110="","",H110-I110)</f>
        <v>11.74</v>
      </c>
      <c r="K110" s="114" t="n">
        <f aca="false">IF(OR(4&gt;$B$27,ISBLANK(Actuals!F86)),"",Actuals!F86)</f>
        <v>-475.76</v>
      </c>
      <c r="L110" s="114" t="n">
        <f aca="false">Budget!F86</f>
        <v>-487.5</v>
      </c>
      <c r="M110" s="114" t="n">
        <f aca="false">IF(K110="","",K110-L110)</f>
        <v>11.74</v>
      </c>
      <c r="N110" s="114" t="n">
        <f aca="false">IF(OR(5&gt;$B$27,ISBLANK(Actuals!G86)),"",Actuals!G86)</f>
        <v>-475.76</v>
      </c>
      <c r="O110" s="114" t="n">
        <f aca="false">Budget!G86</f>
        <v>-487.5</v>
      </c>
      <c r="P110" s="114" t="n">
        <f aca="false">IF(N110="","",N110-O110)</f>
        <v>11.74</v>
      </c>
      <c r="Q110" s="114" t="n">
        <f aca="false">IF(OR(6&gt;$B$27,ISBLANK(Actuals!H86)),"",Actuals!H86)</f>
        <v>-475.76</v>
      </c>
      <c r="R110" s="114" t="n">
        <f aca="false">Budget!H86</f>
        <v>-487.5</v>
      </c>
      <c r="S110" s="114" t="n">
        <f aca="false">IF(Q110="","",Q110-R110)</f>
        <v>11.74</v>
      </c>
      <c r="T110" s="114" t="n">
        <f aca="false">IF(OR(7&gt;$B$27,ISBLANK(Actuals!I86)),"",Actuals!I86)</f>
        <v>-475.76</v>
      </c>
      <c r="U110" s="114" t="n">
        <f aca="false">Budget!I86</f>
        <v>-487.5</v>
      </c>
      <c r="V110" s="114" t="n">
        <f aca="false">IF(T110="","",T110-U110)</f>
        <v>11.74</v>
      </c>
      <c r="W110" s="114" t="n">
        <f aca="false">IF(OR(8&gt;$B$27,ISBLANK(Actuals!J86)),"",Actuals!J86)</f>
        <v>-475.76</v>
      </c>
      <c r="X110" s="114" t="n">
        <f aca="false">Budget!J86</f>
        <v>-487.5</v>
      </c>
      <c r="Y110" s="114" t="n">
        <f aca="false">IF(W110="","",W110-X110)</f>
        <v>11.74</v>
      </c>
      <c r="Z110" s="114" t="str">
        <f aca="false">IF(OR(9&gt;$B$27,ISBLANK(Actuals!K86)),"",Actuals!K86)</f>
        <v/>
      </c>
      <c r="AA110" s="114" t="n">
        <f aca="false">Budget!K86</f>
        <v>-487.5</v>
      </c>
      <c r="AB110" s="114" t="str">
        <f aca="false">IF(Z110="","",Z110-AA110)</f>
        <v/>
      </c>
      <c r="AC110" s="114" t="str">
        <f aca="false">IF(OR(10&gt;$B$27,ISBLANK(Actuals!L86)),"",Actuals!L86)</f>
        <v/>
      </c>
      <c r="AD110" s="114" t="n">
        <f aca="false">Budget!L86</f>
        <v>-487.5</v>
      </c>
      <c r="AE110" s="114" t="str">
        <f aca="false">IF(AC110="","",AC110-AD110)</f>
        <v/>
      </c>
      <c r="AF110" s="114" t="str">
        <f aca="false">IF(OR(11&gt;$B$27,ISBLANK(Actuals!M86)),"",Actuals!M86)</f>
        <v/>
      </c>
      <c r="AG110" s="114" t="n">
        <f aca="false">Budget!M86</f>
        <v>-487.5</v>
      </c>
      <c r="AH110" s="114" t="str">
        <f aca="false">IF(AF110="","",AF110-AG110)</f>
        <v/>
      </c>
      <c r="AI110" s="114" t="str">
        <f aca="false">IF(OR(12&gt;$B$27,ISBLANK(Actuals!N86)),"",Actuals!N86)</f>
        <v/>
      </c>
      <c r="AJ110" s="114" t="n">
        <f aca="false">Budget!N86</f>
        <v>-487.5</v>
      </c>
      <c r="AK110" s="114" t="str">
        <f aca="false">IF(AI110="","",AI110-AJ110)</f>
        <v/>
      </c>
      <c r="AL110" s="117" t="n">
        <f aca="false">SUM(Actuals!$C86:INDEX(Actuals!$C86:$N86,$B$27))</f>
        <v>-3806.08</v>
      </c>
      <c r="AM110" s="117" t="n">
        <f aca="false">SUM(Budget!$C86:INDEX(Budget!$C86:$N86,$B$27))</f>
        <v>-3900</v>
      </c>
      <c r="AN110" s="117" t="n">
        <f aca="false">AL110-AM110</f>
        <v>93.9200000000001</v>
      </c>
    </row>
    <row r="111" customFormat="false" ht="15" hidden="true" customHeight="true" outlineLevel="1" collapsed="false">
      <c r="A111" s="110" t="s">
        <v>69</v>
      </c>
      <c r="B111" s="114" t="n">
        <f aca="false">IF(OR(1&gt;$B$27,ISBLANK(Actuals!C87)),"",Actuals!C87)</f>
        <v>-2200.12</v>
      </c>
      <c r="C111" s="114" t="n">
        <f aca="false">Budget!C87</f>
        <v>-270.83</v>
      </c>
      <c r="D111" s="114" t="n">
        <f aca="false">IF(B111="","",B111-C111)</f>
        <v>-1929.29</v>
      </c>
      <c r="E111" s="114" t="n">
        <f aca="false">IF(OR(2&gt;$B$27,ISBLANK(Actuals!D87)),"",Actuals!D87)</f>
        <v>-2200.12</v>
      </c>
      <c r="F111" s="114" t="n">
        <f aca="false">Budget!D87</f>
        <v>-270.83</v>
      </c>
      <c r="G111" s="114" t="n">
        <f aca="false">IF(E111="","",E111-F111)</f>
        <v>-1929.29</v>
      </c>
      <c r="H111" s="114" t="n">
        <f aca="false">IF(OR(3&gt;$B$27,ISBLANK(Actuals!E87)),"",Actuals!E87)</f>
        <v>-2200.12</v>
      </c>
      <c r="I111" s="114" t="n">
        <f aca="false">Budget!E87</f>
        <v>-270.83</v>
      </c>
      <c r="J111" s="114" t="n">
        <f aca="false">IF(H111="","",H111-I111)</f>
        <v>-1929.29</v>
      </c>
      <c r="K111" s="114" t="n">
        <f aca="false">IF(OR(4&gt;$B$27,ISBLANK(Actuals!F87)),"",Actuals!F87)</f>
        <v>-2200.12</v>
      </c>
      <c r="L111" s="114" t="n">
        <f aca="false">Budget!F87</f>
        <v>-270.83</v>
      </c>
      <c r="M111" s="114" t="n">
        <f aca="false">IF(K111="","",K111-L111)</f>
        <v>-1929.29</v>
      </c>
      <c r="N111" s="114" t="n">
        <f aca="false">IF(OR(5&gt;$B$27,ISBLANK(Actuals!G87)),"",Actuals!G87)</f>
        <v>-2200.12</v>
      </c>
      <c r="O111" s="114" t="n">
        <f aca="false">Budget!G87</f>
        <v>-270.83</v>
      </c>
      <c r="P111" s="114" t="n">
        <f aca="false">IF(N111="","",N111-O111)</f>
        <v>-1929.29</v>
      </c>
      <c r="Q111" s="114" t="n">
        <f aca="false">IF(OR(6&gt;$B$27,ISBLANK(Actuals!H87)),"",Actuals!H87)</f>
        <v>-2200.12</v>
      </c>
      <c r="R111" s="114" t="n">
        <f aca="false">Budget!H87</f>
        <v>-270.83</v>
      </c>
      <c r="S111" s="114" t="n">
        <f aca="false">IF(Q111="","",Q111-R111)</f>
        <v>-1929.29</v>
      </c>
      <c r="T111" s="114" t="n">
        <f aca="false">IF(OR(7&gt;$B$27,ISBLANK(Actuals!I87)),"",Actuals!I87)</f>
        <v>-2200.12</v>
      </c>
      <c r="U111" s="114" t="n">
        <f aca="false">Budget!I87</f>
        <v>-270.83</v>
      </c>
      <c r="V111" s="114" t="n">
        <f aca="false">IF(T111="","",T111-U111)</f>
        <v>-1929.29</v>
      </c>
      <c r="W111" s="114" t="n">
        <f aca="false">IF(OR(8&gt;$B$27,ISBLANK(Actuals!J87)),"",Actuals!J87)</f>
        <v>-2200.12</v>
      </c>
      <c r="X111" s="114" t="n">
        <f aca="false">Budget!J87</f>
        <v>-270.83</v>
      </c>
      <c r="Y111" s="114" t="n">
        <f aca="false">IF(W111="","",W111-X111)</f>
        <v>-1929.29</v>
      </c>
      <c r="Z111" s="114" t="str">
        <f aca="false">IF(OR(9&gt;$B$27,ISBLANK(Actuals!K87)),"",Actuals!K87)</f>
        <v/>
      </c>
      <c r="AA111" s="114" t="n">
        <f aca="false">Budget!K87</f>
        <v>-270.83</v>
      </c>
      <c r="AB111" s="114" t="str">
        <f aca="false">IF(Z111="","",Z111-AA111)</f>
        <v/>
      </c>
      <c r="AC111" s="114" t="str">
        <f aca="false">IF(OR(10&gt;$B$27,ISBLANK(Actuals!L87)),"",Actuals!L87)</f>
        <v/>
      </c>
      <c r="AD111" s="114" t="n">
        <f aca="false">Budget!L87</f>
        <v>-270.83</v>
      </c>
      <c r="AE111" s="114" t="str">
        <f aca="false">IF(AC111="","",AC111-AD111)</f>
        <v/>
      </c>
      <c r="AF111" s="114" t="str">
        <f aca="false">IF(OR(11&gt;$B$27,ISBLANK(Actuals!M87)),"",Actuals!M87)</f>
        <v/>
      </c>
      <c r="AG111" s="114" t="n">
        <f aca="false">Budget!M87</f>
        <v>-270.83</v>
      </c>
      <c r="AH111" s="114" t="str">
        <f aca="false">IF(AF111="","",AF111-AG111)</f>
        <v/>
      </c>
      <c r="AI111" s="114" t="str">
        <f aca="false">IF(OR(12&gt;$B$27,ISBLANK(Actuals!N87)),"",Actuals!N87)</f>
        <v/>
      </c>
      <c r="AJ111" s="114" t="n">
        <f aca="false">Budget!N87</f>
        <v>-270.83</v>
      </c>
      <c r="AK111" s="114" t="str">
        <f aca="false">IF(AI111="","",AI111-AJ111)</f>
        <v/>
      </c>
      <c r="AL111" s="117" t="n">
        <f aca="false">SUM(Actuals!$C87:INDEX(Actuals!$C87:$N87,$B$27))</f>
        <v>-17600.96</v>
      </c>
      <c r="AM111" s="117" t="n">
        <f aca="false">SUM(Budget!$C87:INDEX(Budget!$C87:$N87,$B$27))</f>
        <v>-2166.64</v>
      </c>
      <c r="AN111" s="117" t="n">
        <f aca="false">AL111-AM111</f>
        <v>-15434.32</v>
      </c>
      <c r="AP111" s="115" t="s">
        <v>430</v>
      </c>
    </row>
    <row r="112" customFormat="false" ht="15" hidden="true" customHeight="true" outlineLevel="1" collapsed="false">
      <c r="A112" s="110" t="s">
        <v>72</v>
      </c>
      <c r="B112" s="114" t="n">
        <f aca="false">IF(OR(1&gt;$B$27,ISBLANK(Actuals!C88)),"",Actuals!C88)</f>
        <v>-8848.65</v>
      </c>
      <c r="C112" s="114" t="n">
        <f aca="false">Budget!C88</f>
        <v>-8000</v>
      </c>
      <c r="D112" s="114" t="n">
        <f aca="false">IF(B112="","",B112-C112)</f>
        <v>-848.65</v>
      </c>
      <c r="E112" s="114" t="n">
        <f aca="false">IF(OR(2&gt;$B$27,ISBLANK(Actuals!D88)),"",Actuals!D88)</f>
        <v>-8817.63</v>
      </c>
      <c r="F112" s="114" t="n">
        <f aca="false">Budget!D88</f>
        <v>-8000</v>
      </c>
      <c r="G112" s="114" t="n">
        <f aca="false">IF(E112="","",E112-F112)</f>
        <v>-817.629999999999</v>
      </c>
      <c r="H112" s="114" t="n">
        <f aca="false">IF(OR(3&gt;$B$27,ISBLANK(Actuals!E88)),"",Actuals!E88)</f>
        <v>-3775.91</v>
      </c>
      <c r="I112" s="114" t="n">
        <f aca="false">Budget!E88</f>
        <v>-8000</v>
      </c>
      <c r="J112" s="114" t="n">
        <f aca="false">IF(H112="","",H112-I112)</f>
        <v>4224.09</v>
      </c>
      <c r="K112" s="114" t="n">
        <f aca="false">IF(OR(4&gt;$B$27,ISBLANK(Actuals!F88)),"",Actuals!F88)</f>
        <v>-8731.12</v>
      </c>
      <c r="L112" s="114" t="n">
        <f aca="false">Budget!F88</f>
        <v>-8000</v>
      </c>
      <c r="M112" s="114" t="n">
        <f aca="false">IF(K112="","",K112-L112)</f>
        <v>-731.120000000001</v>
      </c>
      <c r="N112" s="114" t="n">
        <f aca="false">IF(OR(5&gt;$B$27,ISBLANK(Actuals!G88)),"",Actuals!G88)</f>
        <v>-8739.17</v>
      </c>
      <c r="O112" s="114" t="n">
        <f aca="false">Budget!G88</f>
        <v>-8000</v>
      </c>
      <c r="P112" s="114" t="n">
        <f aca="false">IF(N112="","",N112-O112)</f>
        <v>-739.17</v>
      </c>
      <c r="Q112" s="114" t="n">
        <f aca="false">IF(OR(6&gt;$B$27,ISBLANK(Actuals!H88)),"",Actuals!H88)</f>
        <v>-8771.99</v>
      </c>
      <c r="R112" s="114" t="n">
        <f aca="false">Budget!H88</f>
        <v>-8000</v>
      </c>
      <c r="S112" s="114" t="n">
        <f aca="false">IF(Q112="","",Q112-R112)</f>
        <v>-771.99</v>
      </c>
      <c r="T112" s="114" t="n">
        <f aca="false">IF(OR(7&gt;$B$27,ISBLANK(Actuals!I88)),"",Actuals!I88)</f>
        <v>-13832.56</v>
      </c>
      <c r="U112" s="114" t="n">
        <f aca="false">Budget!I88</f>
        <v>-8160</v>
      </c>
      <c r="V112" s="114" t="n">
        <f aca="false">IF(T112="","",T112-U112)</f>
        <v>-5672.56</v>
      </c>
      <c r="W112" s="114" t="n">
        <f aca="false">IF(OR(8&gt;$B$27,ISBLANK(Actuals!J88)),"",Actuals!J88)</f>
        <v>-3870.05</v>
      </c>
      <c r="X112" s="114" t="n">
        <f aca="false">Budget!J88</f>
        <v>-8160</v>
      </c>
      <c r="Y112" s="114" t="n">
        <f aca="false">IF(W112="","",W112-X112)</f>
        <v>4289.95</v>
      </c>
      <c r="Z112" s="114" t="str">
        <f aca="false">IF(OR(9&gt;$B$27,ISBLANK(Actuals!K88)),"",Actuals!K88)</f>
        <v/>
      </c>
      <c r="AA112" s="114" t="n">
        <f aca="false">Budget!K88</f>
        <v>-8160</v>
      </c>
      <c r="AB112" s="114" t="str">
        <f aca="false">IF(Z112="","",Z112-AA112)</f>
        <v/>
      </c>
      <c r="AC112" s="114" t="str">
        <f aca="false">IF(OR(10&gt;$B$27,ISBLANK(Actuals!L88)),"",Actuals!L88)</f>
        <v/>
      </c>
      <c r="AD112" s="114" t="n">
        <f aca="false">Budget!L88</f>
        <v>-8160</v>
      </c>
      <c r="AE112" s="114" t="str">
        <f aca="false">IF(AC112="","",AC112-AD112)</f>
        <v/>
      </c>
      <c r="AF112" s="114" t="str">
        <f aca="false">IF(OR(11&gt;$B$27,ISBLANK(Actuals!M88)),"",Actuals!M88)</f>
        <v/>
      </c>
      <c r="AG112" s="114" t="n">
        <f aca="false">Budget!M88</f>
        <v>-8160</v>
      </c>
      <c r="AH112" s="114" t="str">
        <f aca="false">IF(AF112="","",AF112-AG112)</f>
        <v/>
      </c>
      <c r="AI112" s="114" t="str">
        <f aca="false">IF(OR(12&gt;$B$27,ISBLANK(Actuals!N88)),"",Actuals!N88)</f>
        <v/>
      </c>
      <c r="AJ112" s="114" t="n">
        <f aca="false">Budget!N88</f>
        <v>-8160</v>
      </c>
      <c r="AK112" s="114" t="str">
        <f aca="false">IF(AI112="","",AI112-AJ112)</f>
        <v/>
      </c>
      <c r="AL112" s="117" t="n">
        <f aca="false">SUM(Actuals!$C88:INDEX(Actuals!$C88:$N88,$B$27))</f>
        <v>-65387.08</v>
      </c>
      <c r="AM112" s="117" t="n">
        <f aca="false">SUM(Budget!$C88:INDEX(Budget!$C88:$N88,$B$27))</f>
        <v>-64320</v>
      </c>
      <c r="AN112" s="117" t="n">
        <f aca="false">AL112-AM112</f>
        <v>-1067.08</v>
      </c>
    </row>
    <row r="113" customFormat="false" ht="15" hidden="true" customHeight="true" outlineLevel="1" collapsed="false">
      <c r="A113" s="110" t="s">
        <v>73</v>
      </c>
      <c r="B113" s="114" t="n">
        <f aca="false">IF(OR(1&gt;$B$27,ISBLANK(Actuals!C89)),"",Actuals!C89)</f>
        <v>-1722.9</v>
      </c>
      <c r="C113" s="114" t="n">
        <f aca="false">Budget!C89</f>
        <v>-183.33</v>
      </c>
      <c r="D113" s="114" t="n">
        <f aca="false">IF(B113="","",B113-C113)</f>
        <v>-1539.57</v>
      </c>
      <c r="E113" s="114" t="n">
        <f aca="false">IF(OR(2&gt;$B$27,ISBLANK(Actuals!D89)),"",Actuals!D89)</f>
        <v>0</v>
      </c>
      <c r="F113" s="114" t="n">
        <f aca="false">Budget!D89</f>
        <v>-183.33</v>
      </c>
      <c r="G113" s="114" t="n">
        <f aca="false">IF(E113="","",E113-F113)</f>
        <v>183.33</v>
      </c>
      <c r="H113" s="114" t="n">
        <f aca="false">IF(OR(3&gt;$B$27,ISBLANK(Actuals!E89)),"",Actuals!E89)</f>
        <v>-28.51</v>
      </c>
      <c r="I113" s="114" t="n">
        <f aca="false">Budget!E89</f>
        <v>-183.33</v>
      </c>
      <c r="J113" s="114" t="n">
        <f aca="false">IF(H113="","",H113-I113)</f>
        <v>154.82</v>
      </c>
      <c r="K113" s="114" t="n">
        <f aca="false">IF(OR(4&gt;$B$27,ISBLANK(Actuals!F89)),"",Actuals!F89)</f>
        <v>0</v>
      </c>
      <c r="L113" s="114" t="n">
        <f aca="false">Budget!F89</f>
        <v>-183.33</v>
      </c>
      <c r="M113" s="114" t="n">
        <f aca="false">IF(K113="","",K113-L113)</f>
        <v>183.33</v>
      </c>
      <c r="N113" s="114" t="n">
        <f aca="false">IF(OR(5&gt;$B$27,ISBLANK(Actuals!G89)),"",Actuals!G89)</f>
        <v>-212.12</v>
      </c>
      <c r="O113" s="114" t="n">
        <f aca="false">Budget!G89</f>
        <v>-183.33</v>
      </c>
      <c r="P113" s="114" t="n">
        <f aca="false">IF(N113="","",N113-O113)</f>
        <v>-28.79</v>
      </c>
      <c r="Q113" s="114" t="n">
        <f aca="false">IF(OR(6&gt;$B$27,ISBLANK(Actuals!H89)),"",Actuals!H89)</f>
        <v>-83.92</v>
      </c>
      <c r="R113" s="114" t="n">
        <f aca="false">Budget!H89</f>
        <v>-183.33</v>
      </c>
      <c r="S113" s="114" t="n">
        <f aca="false">IF(Q113="","",Q113-R113)</f>
        <v>99.41</v>
      </c>
      <c r="T113" s="114" t="n">
        <f aca="false">IF(OR(7&gt;$B$27,ISBLANK(Actuals!I89)),"",Actuals!I89)</f>
        <v>-530</v>
      </c>
      <c r="U113" s="114" t="n">
        <f aca="false">Budget!I89</f>
        <v>-187</v>
      </c>
      <c r="V113" s="114" t="n">
        <f aca="false">IF(T113="","",T113-U113)</f>
        <v>-343</v>
      </c>
      <c r="W113" s="114" t="n">
        <f aca="false">IF(OR(8&gt;$B$27,ISBLANK(Actuals!J89)),"",Actuals!J89)</f>
        <v>-180.23</v>
      </c>
      <c r="X113" s="114" t="n">
        <f aca="false">Budget!J89</f>
        <v>-187</v>
      </c>
      <c r="Y113" s="114" t="n">
        <f aca="false">IF(W113="","",W113-X113)</f>
        <v>6.77000000000001</v>
      </c>
      <c r="Z113" s="114" t="str">
        <f aca="false">IF(OR(9&gt;$B$27,ISBLANK(Actuals!K89)),"",Actuals!K89)</f>
        <v/>
      </c>
      <c r="AA113" s="114" t="n">
        <f aca="false">Budget!K89</f>
        <v>-187</v>
      </c>
      <c r="AB113" s="114" t="str">
        <f aca="false">IF(Z113="","",Z113-AA113)</f>
        <v/>
      </c>
      <c r="AC113" s="114" t="str">
        <f aca="false">IF(OR(10&gt;$B$27,ISBLANK(Actuals!L89)),"",Actuals!L89)</f>
        <v/>
      </c>
      <c r="AD113" s="114" t="n">
        <f aca="false">Budget!L89</f>
        <v>-187</v>
      </c>
      <c r="AE113" s="114" t="str">
        <f aca="false">IF(AC113="","",AC113-AD113)</f>
        <v/>
      </c>
      <c r="AF113" s="114" t="str">
        <f aca="false">IF(OR(11&gt;$B$27,ISBLANK(Actuals!M89)),"",Actuals!M89)</f>
        <v/>
      </c>
      <c r="AG113" s="114" t="n">
        <f aca="false">Budget!M89</f>
        <v>-187</v>
      </c>
      <c r="AH113" s="114" t="str">
        <f aca="false">IF(AF113="","",AF113-AG113)</f>
        <v/>
      </c>
      <c r="AI113" s="114" t="str">
        <f aca="false">IF(OR(12&gt;$B$27,ISBLANK(Actuals!N89)),"",Actuals!N89)</f>
        <v/>
      </c>
      <c r="AJ113" s="114" t="n">
        <f aca="false">Budget!N89</f>
        <v>-187</v>
      </c>
      <c r="AK113" s="114" t="str">
        <f aca="false">IF(AI113="","",AI113-AJ113)</f>
        <v/>
      </c>
      <c r="AL113" s="117" t="n">
        <f aca="false">SUM(Actuals!$C89:INDEX(Actuals!$C89:$N89,$B$27))</f>
        <v>-2757.68</v>
      </c>
      <c r="AM113" s="117" t="n">
        <f aca="false">SUM(Budget!$C89:INDEX(Budget!$C89:$N89,$B$27))</f>
        <v>-1473.98</v>
      </c>
      <c r="AN113" s="117" t="n">
        <f aca="false">AL113-AM113</f>
        <v>-1283.7</v>
      </c>
    </row>
    <row r="114" customFormat="false" ht="15" hidden="true" customHeight="true" outlineLevel="1" collapsed="false">
      <c r="A114" s="110" t="s">
        <v>76</v>
      </c>
      <c r="B114" s="114" t="n">
        <f aca="false">IF(OR(1&gt;$B$27,ISBLANK(Actuals!C90)),"",Actuals!C90)</f>
        <v>-246.85</v>
      </c>
      <c r="C114" s="114" t="n">
        <f aca="false">Budget!C90</f>
        <v>-3000</v>
      </c>
      <c r="D114" s="114" t="n">
        <f aca="false">IF(B114="","",B114-C114)</f>
        <v>2753.15</v>
      </c>
      <c r="E114" s="114" t="n">
        <f aca="false">IF(OR(2&gt;$B$27,ISBLANK(Actuals!D90)),"",Actuals!D90)</f>
        <v>0</v>
      </c>
      <c r="F114" s="114" t="n">
        <f aca="false">Budget!D90</f>
        <v>-3000</v>
      </c>
      <c r="G114" s="114" t="n">
        <f aca="false">IF(E114="","",E114-F114)</f>
        <v>3000</v>
      </c>
      <c r="H114" s="114" t="n">
        <f aca="false">IF(OR(3&gt;$B$27,ISBLANK(Actuals!E90)),"",Actuals!E90)</f>
        <v>-4246.73</v>
      </c>
      <c r="I114" s="114" t="n">
        <f aca="false">Budget!E90</f>
        <v>-3000</v>
      </c>
      <c r="J114" s="114" t="n">
        <f aca="false">IF(H114="","",H114-I114)</f>
        <v>-1246.73</v>
      </c>
      <c r="K114" s="114" t="n">
        <f aca="false">IF(OR(4&gt;$B$27,ISBLANK(Actuals!F90)),"",Actuals!F90)</f>
        <v>-3123.87</v>
      </c>
      <c r="L114" s="114" t="n">
        <f aca="false">Budget!F90</f>
        <v>-3000</v>
      </c>
      <c r="M114" s="114" t="n">
        <f aca="false">IF(K114="","",K114-L114)</f>
        <v>-123.87</v>
      </c>
      <c r="N114" s="114" t="n">
        <f aca="false">IF(OR(5&gt;$B$27,ISBLANK(Actuals!G90)),"",Actuals!G90)</f>
        <v>-3184.88</v>
      </c>
      <c r="O114" s="114" t="n">
        <f aca="false">Budget!G90</f>
        <v>-3000</v>
      </c>
      <c r="P114" s="114" t="n">
        <f aca="false">IF(N114="","",N114-O114)</f>
        <v>-184.88</v>
      </c>
      <c r="Q114" s="114" t="n">
        <f aca="false">IF(OR(6&gt;$B$27,ISBLANK(Actuals!H90)),"",Actuals!H90)</f>
        <v>-4015.94</v>
      </c>
      <c r="R114" s="114" t="n">
        <f aca="false">Budget!H90</f>
        <v>-3000</v>
      </c>
      <c r="S114" s="114" t="n">
        <f aca="false">IF(Q114="","",Q114-R114)</f>
        <v>-1015.94</v>
      </c>
      <c r="T114" s="114" t="n">
        <f aca="false">IF(OR(7&gt;$B$27,ISBLANK(Actuals!I90)),"",Actuals!I90)</f>
        <v>-759.45</v>
      </c>
      <c r="U114" s="114" t="n">
        <f aca="false">Budget!I90</f>
        <v>-3060</v>
      </c>
      <c r="V114" s="114" t="n">
        <f aca="false">IF(T114="","",T114-U114)</f>
        <v>2300.55</v>
      </c>
      <c r="W114" s="114" t="n">
        <f aca="false">IF(OR(8&gt;$B$27,ISBLANK(Actuals!J90)),"",Actuals!J90)</f>
        <v>-6023.52</v>
      </c>
      <c r="X114" s="114" t="n">
        <f aca="false">Budget!J90</f>
        <v>-3060</v>
      </c>
      <c r="Y114" s="114" t="n">
        <f aca="false">IF(W114="","",W114-X114)</f>
        <v>-2963.52</v>
      </c>
      <c r="Z114" s="114" t="str">
        <f aca="false">IF(OR(9&gt;$B$27,ISBLANK(Actuals!K90)),"",Actuals!K90)</f>
        <v/>
      </c>
      <c r="AA114" s="114" t="n">
        <f aca="false">Budget!K90</f>
        <v>-3060</v>
      </c>
      <c r="AB114" s="114" t="str">
        <f aca="false">IF(Z114="","",Z114-AA114)</f>
        <v/>
      </c>
      <c r="AC114" s="114" t="str">
        <f aca="false">IF(OR(10&gt;$B$27,ISBLANK(Actuals!L90)),"",Actuals!L90)</f>
        <v/>
      </c>
      <c r="AD114" s="114" t="n">
        <f aca="false">Budget!L90</f>
        <v>-3060</v>
      </c>
      <c r="AE114" s="114" t="str">
        <f aca="false">IF(AC114="","",AC114-AD114)</f>
        <v/>
      </c>
      <c r="AF114" s="114" t="str">
        <f aca="false">IF(OR(11&gt;$B$27,ISBLANK(Actuals!M90)),"",Actuals!M90)</f>
        <v/>
      </c>
      <c r="AG114" s="114" t="n">
        <f aca="false">Budget!M90</f>
        <v>-3060</v>
      </c>
      <c r="AH114" s="114" t="str">
        <f aca="false">IF(AF114="","",AF114-AG114)</f>
        <v/>
      </c>
      <c r="AI114" s="114" t="str">
        <f aca="false">IF(OR(12&gt;$B$27,ISBLANK(Actuals!N90)),"",Actuals!N90)</f>
        <v/>
      </c>
      <c r="AJ114" s="114" t="n">
        <f aca="false">Budget!N90</f>
        <v>-3060</v>
      </c>
      <c r="AK114" s="114" t="str">
        <f aca="false">IF(AI114="","",AI114-AJ114)</f>
        <v/>
      </c>
      <c r="AL114" s="117" t="n">
        <f aca="false">SUM(Actuals!$C90:INDEX(Actuals!$C90:$N90,$B$27))</f>
        <v>-21601.24</v>
      </c>
      <c r="AM114" s="117" t="n">
        <f aca="false">SUM(Budget!$C90:INDEX(Budget!$C90:$N90,$B$27))</f>
        <v>-24120</v>
      </c>
      <c r="AN114" s="117" t="n">
        <f aca="false">AL114-AM114</f>
        <v>2518.76</v>
      </c>
    </row>
    <row r="115" customFormat="false" ht="15" hidden="true" customHeight="true" outlineLevel="1" collapsed="false">
      <c r="A115" s="110" t="s">
        <v>123</v>
      </c>
      <c r="B115" s="114" t="n">
        <f aca="false">IF(OR(1&gt;$B$27,ISBLANK(Actuals!C91)),"",Actuals!C91)</f>
        <v>0</v>
      </c>
      <c r="C115" s="114" t="n">
        <f aca="false">Budget!C91</f>
        <v>0</v>
      </c>
      <c r="D115" s="114" t="n">
        <f aca="false">IF(B115="","",B115-C115)</f>
        <v>0</v>
      </c>
      <c r="E115" s="114" t="n">
        <f aca="false">IF(OR(2&gt;$B$27,ISBLANK(Actuals!D91)),"",Actuals!D91)</f>
        <v>0</v>
      </c>
      <c r="F115" s="114" t="n">
        <f aca="false">Budget!D91</f>
        <v>0</v>
      </c>
      <c r="G115" s="114" t="n">
        <f aca="false">IF(E115="","",E115-F115)</f>
        <v>0</v>
      </c>
      <c r="H115" s="114" t="n">
        <f aca="false">IF(OR(3&gt;$B$27,ISBLANK(Actuals!E91)),"",Actuals!E91)</f>
        <v>-870</v>
      </c>
      <c r="I115" s="114" t="n">
        <f aca="false">Budget!E91</f>
        <v>0</v>
      </c>
      <c r="J115" s="114" t="n">
        <f aca="false">IF(H115="","",H115-I115)</f>
        <v>-870</v>
      </c>
      <c r="K115" s="114" t="n">
        <f aca="false">IF(OR(4&gt;$B$27,ISBLANK(Actuals!F91)),"",Actuals!F91)</f>
        <v>0</v>
      </c>
      <c r="L115" s="114" t="n">
        <f aca="false">Budget!F91</f>
        <v>0</v>
      </c>
      <c r="M115" s="114" t="n">
        <f aca="false">IF(K115="","",K115-L115)</f>
        <v>0</v>
      </c>
      <c r="N115" s="114" t="n">
        <f aca="false">IF(OR(5&gt;$B$27,ISBLANK(Actuals!G91)),"",Actuals!G91)</f>
        <v>0</v>
      </c>
      <c r="O115" s="114" t="n">
        <f aca="false">Budget!G91</f>
        <v>0</v>
      </c>
      <c r="P115" s="114" t="n">
        <f aca="false">IF(N115="","",N115-O115)</f>
        <v>0</v>
      </c>
      <c r="Q115" s="114" t="n">
        <f aca="false">IF(OR(6&gt;$B$27,ISBLANK(Actuals!H91)),"",Actuals!H91)</f>
        <v>0</v>
      </c>
      <c r="R115" s="114" t="n">
        <f aca="false">Budget!H91</f>
        <v>0</v>
      </c>
      <c r="S115" s="114" t="n">
        <f aca="false">IF(Q115="","",Q115-R115)</f>
        <v>0</v>
      </c>
      <c r="T115" s="114" t="n">
        <f aca="false">IF(OR(7&gt;$B$27,ISBLANK(Actuals!I91)),"",Actuals!I91)</f>
        <v>0</v>
      </c>
      <c r="U115" s="114" t="n">
        <f aca="false">Budget!I91</f>
        <v>0</v>
      </c>
      <c r="V115" s="114" t="n">
        <f aca="false">IF(T115="","",T115-U115)</f>
        <v>0</v>
      </c>
      <c r="W115" s="114" t="n">
        <f aca="false">IF(OR(8&gt;$B$27,ISBLANK(Actuals!J91)),"",Actuals!J91)</f>
        <v>0</v>
      </c>
      <c r="X115" s="114" t="n">
        <f aca="false">Budget!J91</f>
        <v>0</v>
      </c>
      <c r="Y115" s="114" t="n">
        <f aca="false">IF(W115="","",W115-X115)</f>
        <v>0</v>
      </c>
      <c r="Z115" s="114" t="str">
        <f aca="false">IF(OR(9&gt;$B$27,ISBLANK(Actuals!K91)),"",Actuals!K91)</f>
        <v/>
      </c>
      <c r="AA115" s="114" t="n">
        <f aca="false">Budget!K91</f>
        <v>0</v>
      </c>
      <c r="AB115" s="114" t="str">
        <f aca="false">IF(Z115="","",Z115-AA115)</f>
        <v/>
      </c>
      <c r="AC115" s="114" t="str">
        <f aca="false">IF(OR(10&gt;$B$27,ISBLANK(Actuals!L91)),"",Actuals!L91)</f>
        <v/>
      </c>
      <c r="AD115" s="114" t="n">
        <f aca="false">Budget!L91</f>
        <v>0</v>
      </c>
      <c r="AE115" s="114" t="str">
        <f aca="false">IF(AC115="","",AC115-AD115)</f>
        <v/>
      </c>
      <c r="AF115" s="114" t="str">
        <f aca="false">IF(OR(11&gt;$B$27,ISBLANK(Actuals!M91)),"",Actuals!M91)</f>
        <v/>
      </c>
      <c r="AG115" s="114" t="n">
        <f aca="false">Budget!M91</f>
        <v>0</v>
      </c>
      <c r="AH115" s="114" t="str">
        <f aca="false">IF(AF115="","",AF115-AG115)</f>
        <v/>
      </c>
      <c r="AI115" s="114" t="str">
        <f aca="false">IF(OR(12&gt;$B$27,ISBLANK(Actuals!N91)),"",Actuals!N91)</f>
        <v/>
      </c>
      <c r="AJ115" s="114" t="n">
        <f aca="false">Budget!N91</f>
        <v>0</v>
      </c>
      <c r="AK115" s="114" t="str">
        <f aca="false">IF(AI115="","",AI115-AJ115)</f>
        <v/>
      </c>
      <c r="AL115" s="117" t="n">
        <f aca="false">SUM(Actuals!$C91:INDEX(Actuals!$C91:$N91,$B$27))</f>
        <v>-870</v>
      </c>
      <c r="AM115" s="117" t="n">
        <f aca="false">SUM(Budget!$C91:INDEX(Budget!$C91:$N91,$B$27))</f>
        <v>0</v>
      </c>
      <c r="AN115" s="117" t="n">
        <f aca="false">AL115-AM115</f>
        <v>-870</v>
      </c>
    </row>
    <row r="116" customFormat="false" ht="15" hidden="true" customHeight="true" outlineLevel="1" collapsed="false">
      <c r="A116" s="110" t="s">
        <v>124</v>
      </c>
      <c r="B116" s="114" t="n">
        <f aca="false">IF(OR(1&gt;$B$27,ISBLANK(Actuals!C92)),"",Actuals!C92)</f>
        <v>-245</v>
      </c>
      <c r="C116" s="114" t="n">
        <f aca="false">Budget!C92</f>
        <v>0</v>
      </c>
      <c r="D116" s="114" t="n">
        <f aca="false">IF(B116="","",B116-C116)</f>
        <v>-245</v>
      </c>
      <c r="E116" s="114" t="n">
        <f aca="false">IF(OR(2&gt;$B$27,ISBLANK(Actuals!D92)),"",Actuals!D92)</f>
        <v>-245</v>
      </c>
      <c r="F116" s="114" t="n">
        <f aca="false">Budget!D92</f>
        <v>0</v>
      </c>
      <c r="G116" s="114" t="n">
        <f aca="false">IF(E116="","",E116-F116)</f>
        <v>-245</v>
      </c>
      <c r="H116" s="114" t="n">
        <f aca="false">IF(OR(3&gt;$B$27,ISBLANK(Actuals!E92)),"",Actuals!E92)</f>
        <v>-245</v>
      </c>
      <c r="I116" s="114" t="n">
        <f aca="false">Budget!E92</f>
        <v>0</v>
      </c>
      <c r="J116" s="114" t="n">
        <f aca="false">IF(H116="","",H116-I116)</f>
        <v>-245</v>
      </c>
      <c r="K116" s="114" t="n">
        <f aca="false">IF(OR(4&gt;$B$27,ISBLANK(Actuals!F92)),"",Actuals!F92)</f>
        <v>-245</v>
      </c>
      <c r="L116" s="114" t="n">
        <f aca="false">Budget!F92</f>
        <v>0</v>
      </c>
      <c r="M116" s="114" t="n">
        <f aca="false">IF(K116="","",K116-L116)</f>
        <v>-245</v>
      </c>
      <c r="N116" s="114" t="n">
        <f aca="false">IF(OR(5&gt;$B$27,ISBLANK(Actuals!G92)),"",Actuals!G92)</f>
        <v>-245</v>
      </c>
      <c r="O116" s="114" t="n">
        <f aca="false">Budget!G92</f>
        <v>0</v>
      </c>
      <c r="P116" s="114" t="n">
        <f aca="false">IF(N116="","",N116-O116)</f>
        <v>-245</v>
      </c>
      <c r="Q116" s="114" t="n">
        <f aca="false">IF(OR(6&gt;$B$27,ISBLANK(Actuals!H92)),"",Actuals!H92)</f>
        <v>-245</v>
      </c>
      <c r="R116" s="114" t="n">
        <f aca="false">Budget!H92</f>
        <v>0</v>
      </c>
      <c r="S116" s="114" t="n">
        <f aca="false">IF(Q116="","",Q116-R116)</f>
        <v>-245</v>
      </c>
      <c r="T116" s="114" t="n">
        <f aca="false">IF(OR(7&gt;$B$27,ISBLANK(Actuals!I92)),"",Actuals!I92)</f>
        <v>-245</v>
      </c>
      <c r="U116" s="114" t="n">
        <f aca="false">Budget!I92</f>
        <v>0</v>
      </c>
      <c r="V116" s="114" t="n">
        <f aca="false">IF(T116="","",T116-U116)</f>
        <v>-245</v>
      </c>
      <c r="W116" s="114" t="n">
        <f aca="false">IF(OR(8&gt;$B$27,ISBLANK(Actuals!J92)),"",Actuals!J92)</f>
        <v>0</v>
      </c>
      <c r="X116" s="114" t="n">
        <f aca="false">Budget!J92</f>
        <v>0</v>
      </c>
      <c r="Y116" s="114" t="n">
        <f aca="false">IF(W116="","",W116-X116)</f>
        <v>0</v>
      </c>
      <c r="Z116" s="114" t="str">
        <f aca="false">IF(OR(9&gt;$B$27,ISBLANK(Actuals!K92)),"",Actuals!K92)</f>
        <v/>
      </c>
      <c r="AA116" s="114" t="n">
        <f aca="false">Budget!K92</f>
        <v>0</v>
      </c>
      <c r="AB116" s="114" t="str">
        <f aca="false">IF(Z116="","",Z116-AA116)</f>
        <v/>
      </c>
      <c r="AC116" s="114" t="str">
        <f aca="false">IF(OR(10&gt;$B$27,ISBLANK(Actuals!L92)),"",Actuals!L92)</f>
        <v/>
      </c>
      <c r="AD116" s="114" t="n">
        <f aca="false">Budget!L92</f>
        <v>0</v>
      </c>
      <c r="AE116" s="114" t="str">
        <f aca="false">IF(AC116="","",AC116-AD116)</f>
        <v/>
      </c>
      <c r="AF116" s="114" t="str">
        <f aca="false">IF(OR(11&gt;$B$27,ISBLANK(Actuals!M92)),"",Actuals!M92)</f>
        <v/>
      </c>
      <c r="AG116" s="114" t="n">
        <f aca="false">Budget!M92</f>
        <v>0</v>
      </c>
      <c r="AH116" s="114" t="str">
        <f aca="false">IF(AF116="","",AF116-AG116)</f>
        <v/>
      </c>
      <c r="AI116" s="114" t="str">
        <f aca="false">IF(OR(12&gt;$B$27,ISBLANK(Actuals!N92)),"",Actuals!N92)</f>
        <v/>
      </c>
      <c r="AJ116" s="114" t="n">
        <f aca="false">Budget!N92</f>
        <v>0</v>
      </c>
      <c r="AK116" s="114" t="str">
        <f aca="false">IF(AI116="","",AI116-AJ116)</f>
        <v/>
      </c>
      <c r="AL116" s="117" t="n">
        <f aca="false">SUM(Actuals!$C92:INDEX(Actuals!$C92:$N92,$B$27))</f>
        <v>-1715</v>
      </c>
      <c r="AM116" s="117" t="n">
        <f aca="false">SUM(Budget!$C92:INDEX(Budget!$C92:$N92,$B$27))</f>
        <v>0</v>
      </c>
      <c r="AN116" s="117" t="n">
        <f aca="false">AL116-AM116</f>
        <v>-1715</v>
      </c>
    </row>
    <row r="117" customFormat="false" ht="15" hidden="true" customHeight="true" outlineLevel="1" collapsed="false">
      <c r="A117" s="110" t="s">
        <v>125</v>
      </c>
      <c r="B117" s="114" t="n">
        <f aca="false">IF(OR(1&gt;$B$27,ISBLANK(Actuals!C93)),"",Actuals!C93)</f>
        <v>-986.57</v>
      </c>
      <c r="C117" s="114" t="n">
        <f aca="false">Budget!C93</f>
        <v>-3000</v>
      </c>
      <c r="D117" s="114" t="n">
        <f aca="false">IF(B117="","",B117-C117)</f>
        <v>2013.43</v>
      </c>
      <c r="E117" s="114" t="n">
        <f aca="false">IF(OR(2&gt;$B$27,ISBLANK(Actuals!D93)),"",Actuals!D93)</f>
        <v>-1254.61</v>
      </c>
      <c r="F117" s="114" t="n">
        <f aca="false">Budget!D93</f>
        <v>-3000</v>
      </c>
      <c r="G117" s="114" t="n">
        <f aca="false">IF(E117="","",E117-F117)</f>
        <v>1745.39</v>
      </c>
      <c r="H117" s="114" t="n">
        <f aca="false">IF(OR(3&gt;$B$27,ISBLANK(Actuals!E93)),"",Actuals!E93)</f>
        <v>-1297.31</v>
      </c>
      <c r="I117" s="114" t="n">
        <f aca="false">Budget!E93</f>
        <v>-3000</v>
      </c>
      <c r="J117" s="114" t="n">
        <f aca="false">IF(H117="","",H117-I117)</f>
        <v>1702.69</v>
      </c>
      <c r="K117" s="114" t="n">
        <f aca="false">IF(OR(4&gt;$B$27,ISBLANK(Actuals!F93)),"",Actuals!F93)</f>
        <v>-48.78</v>
      </c>
      <c r="L117" s="114" t="n">
        <f aca="false">Budget!F93</f>
        <v>-3000</v>
      </c>
      <c r="M117" s="114" t="n">
        <f aca="false">IF(K117="","",K117-L117)</f>
        <v>2951.22</v>
      </c>
      <c r="N117" s="114" t="n">
        <f aca="false">IF(OR(5&gt;$B$27,ISBLANK(Actuals!G93)),"",Actuals!G93)</f>
        <v>-4199.86</v>
      </c>
      <c r="O117" s="114" t="n">
        <f aca="false">Budget!G93</f>
        <v>-3000</v>
      </c>
      <c r="P117" s="114" t="n">
        <f aca="false">IF(N117="","",N117-O117)</f>
        <v>-1199.86</v>
      </c>
      <c r="Q117" s="114" t="n">
        <f aca="false">IF(OR(6&gt;$B$27,ISBLANK(Actuals!H93)),"",Actuals!H93)</f>
        <v>-3433.39</v>
      </c>
      <c r="R117" s="114" t="n">
        <f aca="false">Budget!H93</f>
        <v>-3000</v>
      </c>
      <c r="S117" s="114" t="n">
        <f aca="false">IF(Q117="","",Q117-R117)</f>
        <v>-433.39</v>
      </c>
      <c r="T117" s="114" t="n">
        <f aca="false">IF(OR(7&gt;$B$27,ISBLANK(Actuals!I93)),"",Actuals!I93)</f>
        <v>0</v>
      </c>
      <c r="U117" s="114" t="n">
        <f aca="false">Budget!I93</f>
        <v>-3060</v>
      </c>
      <c r="V117" s="114" t="n">
        <f aca="false">IF(T117="","",T117-U117)</f>
        <v>3060</v>
      </c>
      <c r="W117" s="114" t="n">
        <f aca="false">IF(OR(8&gt;$B$27,ISBLANK(Actuals!J93)),"",Actuals!J93)</f>
        <v>-9.99</v>
      </c>
      <c r="X117" s="114" t="n">
        <f aca="false">Budget!J93</f>
        <v>-3060</v>
      </c>
      <c r="Y117" s="114" t="n">
        <f aca="false">IF(W117="","",W117-X117)</f>
        <v>3050.01</v>
      </c>
      <c r="Z117" s="114" t="str">
        <f aca="false">IF(OR(9&gt;$B$27,ISBLANK(Actuals!K93)),"",Actuals!K93)</f>
        <v/>
      </c>
      <c r="AA117" s="114" t="n">
        <f aca="false">Budget!K93</f>
        <v>-3060</v>
      </c>
      <c r="AB117" s="114" t="str">
        <f aca="false">IF(Z117="","",Z117-AA117)</f>
        <v/>
      </c>
      <c r="AC117" s="114" t="str">
        <f aca="false">IF(OR(10&gt;$B$27,ISBLANK(Actuals!L93)),"",Actuals!L93)</f>
        <v/>
      </c>
      <c r="AD117" s="114" t="n">
        <f aca="false">Budget!L93</f>
        <v>-3060</v>
      </c>
      <c r="AE117" s="114" t="str">
        <f aca="false">IF(AC117="","",AC117-AD117)</f>
        <v/>
      </c>
      <c r="AF117" s="114" t="str">
        <f aca="false">IF(OR(11&gt;$B$27,ISBLANK(Actuals!M93)),"",Actuals!M93)</f>
        <v/>
      </c>
      <c r="AG117" s="114" t="n">
        <f aca="false">Budget!M93</f>
        <v>-3060</v>
      </c>
      <c r="AH117" s="114" t="str">
        <f aca="false">IF(AF117="","",AF117-AG117)</f>
        <v/>
      </c>
      <c r="AI117" s="114" t="str">
        <f aca="false">IF(OR(12&gt;$B$27,ISBLANK(Actuals!N93)),"",Actuals!N93)</f>
        <v/>
      </c>
      <c r="AJ117" s="114" t="n">
        <f aca="false">Budget!N93</f>
        <v>-3060</v>
      </c>
      <c r="AK117" s="114" t="str">
        <f aca="false">IF(AI117="","",AI117-AJ117)</f>
        <v/>
      </c>
      <c r="AL117" s="117" t="n">
        <f aca="false">SUM(Actuals!$C93:INDEX(Actuals!$C93:$N93,$B$27))</f>
        <v>-11230.51</v>
      </c>
      <c r="AM117" s="117" t="n">
        <f aca="false">SUM(Budget!$C93:INDEX(Budget!$C93:$N93,$B$27))</f>
        <v>-24120</v>
      </c>
      <c r="AN117" s="117" t="n">
        <f aca="false">AL117-AM117</f>
        <v>12889.49</v>
      </c>
      <c r="AP117" s="115" t="s">
        <v>431</v>
      </c>
    </row>
    <row r="118" customFormat="false" ht="15" hidden="true" customHeight="true" outlineLevel="1" collapsed="false">
      <c r="A118" s="110" t="s">
        <v>126</v>
      </c>
      <c r="B118" s="114" t="n">
        <f aca="false">IF(OR(1&gt;$B$27,ISBLANK(Actuals!C94)),"",Actuals!C94)</f>
        <v>-588.66</v>
      </c>
      <c r="C118" s="114" t="n">
        <f aca="false">Budget!C94</f>
        <v>-833.33</v>
      </c>
      <c r="D118" s="114" t="n">
        <f aca="false">IF(B118="","",B118-C118)</f>
        <v>244.67</v>
      </c>
      <c r="E118" s="114" t="n">
        <f aca="false">IF(OR(2&gt;$B$27,ISBLANK(Actuals!D94)),"",Actuals!D94)</f>
        <v>-22.94</v>
      </c>
      <c r="F118" s="114" t="n">
        <f aca="false">Budget!D94</f>
        <v>-833.33</v>
      </c>
      <c r="G118" s="114" t="n">
        <f aca="false">IF(E118="","",E118-F118)</f>
        <v>810.39</v>
      </c>
      <c r="H118" s="114" t="n">
        <f aca="false">IF(OR(3&gt;$B$27,ISBLANK(Actuals!E94)),"",Actuals!E94)</f>
        <v>-487.3</v>
      </c>
      <c r="I118" s="114" t="n">
        <f aca="false">Budget!E94</f>
        <v>-833.33</v>
      </c>
      <c r="J118" s="114" t="n">
        <f aca="false">IF(H118="","",H118-I118)</f>
        <v>346.03</v>
      </c>
      <c r="K118" s="114" t="n">
        <f aca="false">IF(OR(4&gt;$B$27,ISBLANK(Actuals!F94)),"",Actuals!F94)</f>
        <v>-399.98</v>
      </c>
      <c r="L118" s="114" t="n">
        <f aca="false">Budget!F94</f>
        <v>-833.33</v>
      </c>
      <c r="M118" s="114" t="n">
        <f aca="false">IF(K118="","",K118-L118)</f>
        <v>433.35</v>
      </c>
      <c r="N118" s="114" t="n">
        <f aca="false">IF(OR(5&gt;$B$27,ISBLANK(Actuals!G94)),"",Actuals!G94)</f>
        <v>-216.15</v>
      </c>
      <c r="O118" s="114" t="n">
        <f aca="false">Budget!G94</f>
        <v>-833.33</v>
      </c>
      <c r="P118" s="114" t="n">
        <f aca="false">IF(N118="","",N118-O118)</f>
        <v>617.18</v>
      </c>
      <c r="Q118" s="114" t="n">
        <f aca="false">IF(OR(6&gt;$B$27,ISBLANK(Actuals!H94)),"",Actuals!H94)</f>
        <v>-936.05</v>
      </c>
      <c r="R118" s="114" t="n">
        <f aca="false">Budget!H94</f>
        <v>-833.33</v>
      </c>
      <c r="S118" s="114" t="n">
        <f aca="false">IF(Q118="","",Q118-R118)</f>
        <v>-102.72</v>
      </c>
      <c r="T118" s="114" t="n">
        <f aca="false">IF(OR(7&gt;$B$27,ISBLANK(Actuals!I94)),"",Actuals!I94)</f>
        <v>-9.99</v>
      </c>
      <c r="U118" s="114" t="n">
        <f aca="false">Budget!I94</f>
        <v>-850</v>
      </c>
      <c r="V118" s="114" t="n">
        <f aca="false">IF(T118="","",T118-U118)</f>
        <v>840.01</v>
      </c>
      <c r="W118" s="114" t="n">
        <f aca="false">IF(OR(8&gt;$B$27,ISBLANK(Actuals!J94)),"",Actuals!J94)</f>
        <v>-32.2</v>
      </c>
      <c r="X118" s="114" t="n">
        <f aca="false">Budget!J94</f>
        <v>-850</v>
      </c>
      <c r="Y118" s="114" t="n">
        <f aca="false">IF(W118="","",W118-X118)</f>
        <v>817.8</v>
      </c>
      <c r="Z118" s="114" t="str">
        <f aca="false">IF(OR(9&gt;$B$27,ISBLANK(Actuals!K94)),"",Actuals!K94)</f>
        <v/>
      </c>
      <c r="AA118" s="114" t="n">
        <f aca="false">Budget!K94</f>
        <v>-850</v>
      </c>
      <c r="AB118" s="114" t="str">
        <f aca="false">IF(Z118="","",Z118-AA118)</f>
        <v/>
      </c>
      <c r="AC118" s="114" t="str">
        <f aca="false">IF(OR(10&gt;$B$27,ISBLANK(Actuals!L94)),"",Actuals!L94)</f>
        <v/>
      </c>
      <c r="AD118" s="114" t="n">
        <f aca="false">Budget!L94</f>
        <v>-850</v>
      </c>
      <c r="AE118" s="114" t="str">
        <f aca="false">IF(AC118="","",AC118-AD118)</f>
        <v/>
      </c>
      <c r="AF118" s="114" t="str">
        <f aca="false">IF(OR(11&gt;$B$27,ISBLANK(Actuals!M94)),"",Actuals!M94)</f>
        <v/>
      </c>
      <c r="AG118" s="114" t="n">
        <f aca="false">Budget!M94</f>
        <v>-850</v>
      </c>
      <c r="AH118" s="114" t="str">
        <f aca="false">IF(AF118="","",AF118-AG118)</f>
        <v/>
      </c>
      <c r="AI118" s="114" t="str">
        <f aca="false">IF(OR(12&gt;$B$27,ISBLANK(Actuals!N94)),"",Actuals!N94)</f>
        <v/>
      </c>
      <c r="AJ118" s="114" t="n">
        <f aca="false">Budget!N94</f>
        <v>-850</v>
      </c>
      <c r="AK118" s="114" t="str">
        <f aca="false">IF(AI118="","",AI118-AJ118)</f>
        <v/>
      </c>
      <c r="AL118" s="117" t="n">
        <f aca="false">SUM(Actuals!$C94:INDEX(Actuals!$C94:$N94,$B$27))</f>
        <v>-2693.27</v>
      </c>
      <c r="AM118" s="117" t="n">
        <f aca="false">SUM(Budget!$C94:INDEX(Budget!$C94:$N94,$B$27))</f>
        <v>-6699.98</v>
      </c>
      <c r="AN118" s="117" t="n">
        <f aca="false">AL118-AM118</f>
        <v>4006.71</v>
      </c>
    </row>
    <row r="119" customFormat="false" ht="15" hidden="true" customHeight="true" outlineLevel="1" collapsed="false">
      <c r="A119" s="110" t="s">
        <v>127</v>
      </c>
      <c r="B119" s="114" t="n">
        <f aca="false">IF(OR(1&gt;$B$27,ISBLANK(Actuals!C95)),"",Actuals!C95)</f>
        <v>0</v>
      </c>
      <c r="C119" s="114" t="n">
        <f aca="false">Budget!C95</f>
        <v>0</v>
      </c>
      <c r="D119" s="114" t="n">
        <f aca="false">IF(B119="","",B119-C119)</f>
        <v>0</v>
      </c>
      <c r="E119" s="114" t="n">
        <f aca="false">IF(OR(2&gt;$B$27,ISBLANK(Actuals!D95)),"",Actuals!D95)</f>
        <v>-92.75</v>
      </c>
      <c r="F119" s="114" t="n">
        <f aca="false">Budget!D95</f>
        <v>0</v>
      </c>
      <c r="G119" s="114" t="n">
        <f aca="false">IF(E119="","",E119-F119)</f>
        <v>-92.75</v>
      </c>
      <c r="H119" s="114" t="n">
        <f aca="false">IF(OR(3&gt;$B$27,ISBLANK(Actuals!E95)),"",Actuals!E95)</f>
        <v>-57.46</v>
      </c>
      <c r="I119" s="114" t="n">
        <f aca="false">Budget!E95</f>
        <v>0</v>
      </c>
      <c r="J119" s="114" t="n">
        <f aca="false">IF(H119="","",H119-I119)</f>
        <v>-57.46</v>
      </c>
      <c r="K119" s="114" t="n">
        <f aca="false">IF(OR(4&gt;$B$27,ISBLANK(Actuals!F95)),"",Actuals!F95)</f>
        <v>0</v>
      </c>
      <c r="L119" s="114" t="n">
        <f aca="false">Budget!F95</f>
        <v>0</v>
      </c>
      <c r="M119" s="114" t="n">
        <f aca="false">IF(K119="","",K119-L119)</f>
        <v>0</v>
      </c>
      <c r="N119" s="114" t="n">
        <f aca="false">IF(OR(5&gt;$B$27,ISBLANK(Actuals!G95)),"",Actuals!G95)</f>
        <v>-24.3</v>
      </c>
      <c r="O119" s="114" t="n">
        <f aca="false">Budget!G95</f>
        <v>0</v>
      </c>
      <c r="P119" s="114" t="n">
        <f aca="false">IF(N119="","",N119-O119)</f>
        <v>-24.3</v>
      </c>
      <c r="Q119" s="114" t="n">
        <f aca="false">IF(OR(6&gt;$B$27,ISBLANK(Actuals!H95)),"",Actuals!H95)</f>
        <v>-917.7</v>
      </c>
      <c r="R119" s="114" t="n">
        <f aca="false">Budget!H95</f>
        <v>0</v>
      </c>
      <c r="S119" s="114" t="n">
        <f aca="false">IF(Q119="","",Q119-R119)</f>
        <v>-917.7</v>
      </c>
      <c r="T119" s="114" t="n">
        <f aca="false">IF(OR(7&gt;$B$27,ISBLANK(Actuals!I95)),"",Actuals!I95)</f>
        <v>0</v>
      </c>
      <c r="U119" s="114" t="n">
        <f aca="false">Budget!I95</f>
        <v>0</v>
      </c>
      <c r="V119" s="114" t="n">
        <f aca="false">IF(T119="","",T119-U119)</f>
        <v>0</v>
      </c>
      <c r="W119" s="114" t="n">
        <f aca="false">IF(OR(8&gt;$B$27,ISBLANK(Actuals!J95)),"",Actuals!J95)</f>
        <v>-70.35</v>
      </c>
      <c r="X119" s="114" t="n">
        <f aca="false">Budget!J95</f>
        <v>0</v>
      </c>
      <c r="Y119" s="114" t="n">
        <f aca="false">IF(W119="","",W119-X119)</f>
        <v>-70.35</v>
      </c>
      <c r="Z119" s="114" t="str">
        <f aca="false">IF(OR(9&gt;$B$27,ISBLANK(Actuals!K95)),"",Actuals!K95)</f>
        <v/>
      </c>
      <c r="AA119" s="114" t="n">
        <f aca="false">Budget!K95</f>
        <v>0</v>
      </c>
      <c r="AB119" s="114" t="str">
        <f aca="false">IF(Z119="","",Z119-AA119)</f>
        <v/>
      </c>
      <c r="AC119" s="114" t="str">
        <f aca="false">IF(OR(10&gt;$B$27,ISBLANK(Actuals!L95)),"",Actuals!L95)</f>
        <v/>
      </c>
      <c r="AD119" s="114" t="n">
        <f aca="false">Budget!L95</f>
        <v>0</v>
      </c>
      <c r="AE119" s="114" t="str">
        <f aca="false">IF(AC119="","",AC119-AD119)</f>
        <v/>
      </c>
      <c r="AF119" s="114" t="str">
        <f aca="false">IF(OR(11&gt;$B$27,ISBLANK(Actuals!M95)),"",Actuals!M95)</f>
        <v/>
      </c>
      <c r="AG119" s="114" t="n">
        <f aca="false">Budget!M95</f>
        <v>0</v>
      </c>
      <c r="AH119" s="114" t="str">
        <f aca="false">IF(AF119="","",AF119-AG119)</f>
        <v/>
      </c>
      <c r="AI119" s="114" t="str">
        <f aca="false">IF(OR(12&gt;$B$27,ISBLANK(Actuals!N95)),"",Actuals!N95)</f>
        <v/>
      </c>
      <c r="AJ119" s="114" t="n">
        <f aca="false">Budget!N95</f>
        <v>0</v>
      </c>
      <c r="AK119" s="114" t="str">
        <f aca="false">IF(AI119="","",AI119-AJ119)</f>
        <v/>
      </c>
      <c r="AL119" s="117" t="n">
        <f aca="false">SUM(Actuals!$C95:INDEX(Actuals!$C95:$N95,$B$27))</f>
        <v>-1162.56</v>
      </c>
      <c r="AM119" s="117" t="n">
        <f aca="false">SUM(Budget!$C95:INDEX(Budget!$C95:$N95,$B$27))</f>
        <v>0</v>
      </c>
      <c r="AN119" s="117" t="n">
        <f aca="false">AL119-AM119</f>
        <v>-1162.56</v>
      </c>
    </row>
    <row r="120" customFormat="false" ht="15" hidden="true" customHeight="true" outlineLevel="1" collapsed="false">
      <c r="A120" s="110" t="s">
        <v>78</v>
      </c>
      <c r="B120" s="114" t="n">
        <f aca="false">IF(OR(1&gt;$B$27,ISBLANK(Actuals!C96)),"",Actuals!C96)</f>
        <v>-640.88</v>
      </c>
      <c r="C120" s="114" t="n">
        <f aca="false">Budget!C96</f>
        <v>-3000</v>
      </c>
      <c r="D120" s="114" t="n">
        <f aca="false">IF(B120="","",B120-C120)</f>
        <v>2359.12</v>
      </c>
      <c r="E120" s="114" t="n">
        <f aca="false">IF(OR(2&gt;$B$27,ISBLANK(Actuals!D96)),"",Actuals!D96)</f>
        <v>-872.64</v>
      </c>
      <c r="F120" s="114" t="n">
        <f aca="false">Budget!D96</f>
        <v>-3000</v>
      </c>
      <c r="G120" s="114" t="n">
        <f aca="false">IF(E120="","",E120-F120)</f>
        <v>2127.36</v>
      </c>
      <c r="H120" s="114" t="n">
        <f aca="false">IF(OR(3&gt;$B$27,ISBLANK(Actuals!E96)),"",Actuals!E96)</f>
        <v>-1175.78</v>
      </c>
      <c r="I120" s="114" t="n">
        <f aca="false">Budget!E96</f>
        <v>-3000</v>
      </c>
      <c r="J120" s="114" t="n">
        <f aca="false">IF(H120="","",H120-I120)</f>
        <v>1824.22</v>
      </c>
      <c r="K120" s="114" t="n">
        <f aca="false">IF(OR(4&gt;$B$27,ISBLANK(Actuals!F96)),"",Actuals!F96)</f>
        <v>-471.38</v>
      </c>
      <c r="L120" s="114" t="n">
        <f aca="false">Budget!F96</f>
        <v>-3000</v>
      </c>
      <c r="M120" s="114" t="n">
        <f aca="false">IF(K120="","",K120-L120)</f>
        <v>2528.62</v>
      </c>
      <c r="N120" s="114" t="n">
        <f aca="false">IF(OR(5&gt;$B$27,ISBLANK(Actuals!G96)),"",Actuals!G96)</f>
        <v>-1307.57</v>
      </c>
      <c r="O120" s="114" t="n">
        <f aca="false">Budget!G96</f>
        <v>-3000</v>
      </c>
      <c r="P120" s="114" t="n">
        <f aca="false">IF(N120="","",N120-O120)</f>
        <v>1692.43</v>
      </c>
      <c r="Q120" s="114" t="n">
        <f aca="false">IF(OR(6&gt;$B$27,ISBLANK(Actuals!H96)),"",Actuals!H96)</f>
        <v>-3067.11</v>
      </c>
      <c r="R120" s="114" t="n">
        <f aca="false">Budget!H96</f>
        <v>-3000</v>
      </c>
      <c r="S120" s="114" t="n">
        <f aca="false">IF(Q120="","",Q120-R120)</f>
        <v>-67.1100000000001</v>
      </c>
      <c r="T120" s="114" t="n">
        <f aca="false">IF(OR(7&gt;$B$27,ISBLANK(Actuals!I96)),"",Actuals!I96)</f>
        <v>-131.02</v>
      </c>
      <c r="U120" s="114" t="n">
        <f aca="false">Budget!I96</f>
        <v>-3060</v>
      </c>
      <c r="V120" s="114" t="n">
        <f aca="false">IF(T120="","",T120-U120)</f>
        <v>2928.98</v>
      </c>
      <c r="W120" s="114" t="n">
        <f aca="false">IF(OR(8&gt;$B$27,ISBLANK(Actuals!J96)),"",Actuals!J96)</f>
        <v>-13.5</v>
      </c>
      <c r="X120" s="114" t="n">
        <f aca="false">Budget!J96</f>
        <v>-3060</v>
      </c>
      <c r="Y120" s="114" t="n">
        <f aca="false">IF(W120="","",W120-X120)</f>
        <v>3046.5</v>
      </c>
      <c r="Z120" s="114" t="str">
        <f aca="false">IF(OR(9&gt;$B$27,ISBLANK(Actuals!K96)),"",Actuals!K96)</f>
        <v/>
      </c>
      <c r="AA120" s="114" t="n">
        <f aca="false">Budget!K96</f>
        <v>-3060</v>
      </c>
      <c r="AB120" s="114" t="str">
        <f aca="false">IF(Z120="","",Z120-AA120)</f>
        <v/>
      </c>
      <c r="AC120" s="114" t="str">
        <f aca="false">IF(OR(10&gt;$B$27,ISBLANK(Actuals!L96)),"",Actuals!L96)</f>
        <v/>
      </c>
      <c r="AD120" s="114" t="n">
        <f aca="false">Budget!L96</f>
        <v>-3060</v>
      </c>
      <c r="AE120" s="114" t="str">
        <f aca="false">IF(AC120="","",AC120-AD120)</f>
        <v/>
      </c>
      <c r="AF120" s="114" t="str">
        <f aca="false">IF(OR(11&gt;$B$27,ISBLANK(Actuals!M96)),"",Actuals!M96)</f>
        <v/>
      </c>
      <c r="AG120" s="114" t="n">
        <f aca="false">Budget!M96</f>
        <v>-3060</v>
      </c>
      <c r="AH120" s="114" t="str">
        <f aca="false">IF(AF120="","",AF120-AG120)</f>
        <v/>
      </c>
      <c r="AI120" s="114" t="str">
        <f aca="false">IF(OR(12&gt;$B$27,ISBLANK(Actuals!N96)),"",Actuals!N96)</f>
        <v/>
      </c>
      <c r="AJ120" s="114" t="n">
        <f aca="false">Budget!N96</f>
        <v>-3060</v>
      </c>
      <c r="AK120" s="114" t="str">
        <f aca="false">IF(AI120="","",AI120-AJ120)</f>
        <v/>
      </c>
      <c r="AL120" s="117" t="n">
        <f aca="false">SUM(Actuals!$C96:INDEX(Actuals!$C96:$N96,$B$27))</f>
        <v>-7679.88</v>
      </c>
      <c r="AM120" s="117" t="n">
        <f aca="false">SUM(Budget!$C96:INDEX(Budget!$C96:$N96,$B$27))</f>
        <v>-24120</v>
      </c>
      <c r="AN120" s="117" t="n">
        <f aca="false">AL120-AM120</f>
        <v>16440.12</v>
      </c>
      <c r="AP120" s="115" t="s">
        <v>432</v>
      </c>
    </row>
    <row r="121" customFormat="false" ht="15" hidden="true" customHeight="true" outlineLevel="1" collapsed="false">
      <c r="A121" s="110" t="s">
        <v>79</v>
      </c>
      <c r="B121" s="114" t="n">
        <f aca="false">IF(OR(1&gt;$B$27,ISBLANK(Actuals!C97)),"",Actuals!C97)</f>
        <v>0</v>
      </c>
      <c r="C121" s="114" t="n">
        <f aca="false">Budget!C97</f>
        <v>-500</v>
      </c>
      <c r="D121" s="114" t="n">
        <f aca="false">IF(B121="","",B121-C121)</f>
        <v>500</v>
      </c>
      <c r="E121" s="114" t="n">
        <f aca="false">IF(OR(2&gt;$B$27,ISBLANK(Actuals!D97)),"",Actuals!D97)</f>
        <v>0</v>
      </c>
      <c r="F121" s="114" t="n">
        <f aca="false">Budget!D97</f>
        <v>-500</v>
      </c>
      <c r="G121" s="114" t="n">
        <f aca="false">IF(E121="","",E121-F121)</f>
        <v>500</v>
      </c>
      <c r="H121" s="114" t="n">
        <f aca="false">IF(OR(3&gt;$B$27,ISBLANK(Actuals!E97)),"",Actuals!E97)</f>
        <v>-38050.5</v>
      </c>
      <c r="I121" s="114" t="n">
        <f aca="false">Budget!E97</f>
        <v>-500</v>
      </c>
      <c r="J121" s="114" t="n">
        <f aca="false">IF(H121="","",H121-I121)</f>
        <v>-37550.5</v>
      </c>
      <c r="K121" s="114" t="n">
        <f aca="false">IF(OR(4&gt;$B$27,ISBLANK(Actuals!F97)),"",Actuals!F97)</f>
        <v>0</v>
      </c>
      <c r="L121" s="114" t="n">
        <f aca="false">Budget!F97</f>
        <v>-500</v>
      </c>
      <c r="M121" s="114" t="n">
        <f aca="false">IF(K121="","",K121-L121)</f>
        <v>500</v>
      </c>
      <c r="N121" s="114" t="n">
        <f aca="false">IF(OR(5&gt;$B$27,ISBLANK(Actuals!G97)),"",Actuals!G97)</f>
        <v>-986.5</v>
      </c>
      <c r="O121" s="114" t="n">
        <f aca="false">Budget!G97</f>
        <v>-500</v>
      </c>
      <c r="P121" s="114" t="n">
        <f aca="false">IF(N121="","",N121-O121)</f>
        <v>-486.5</v>
      </c>
      <c r="Q121" s="114" t="n">
        <f aca="false">IF(OR(6&gt;$B$27,ISBLANK(Actuals!H97)),"",Actuals!H97)</f>
        <v>-4830</v>
      </c>
      <c r="R121" s="114" t="n">
        <f aca="false">Budget!H97</f>
        <v>-500</v>
      </c>
      <c r="S121" s="114" t="n">
        <f aca="false">IF(Q121="","",Q121-R121)</f>
        <v>-4330</v>
      </c>
      <c r="T121" s="114" t="n">
        <f aca="false">IF(OR(7&gt;$B$27,ISBLANK(Actuals!I97)),"",Actuals!I97)</f>
        <v>0</v>
      </c>
      <c r="U121" s="114" t="n">
        <f aca="false">Budget!I97</f>
        <v>-510</v>
      </c>
      <c r="V121" s="114" t="n">
        <f aca="false">IF(T121="","",T121-U121)</f>
        <v>510</v>
      </c>
      <c r="W121" s="114" t="n">
        <f aca="false">IF(OR(8&gt;$B$27,ISBLANK(Actuals!J97)),"",Actuals!J97)</f>
        <v>0</v>
      </c>
      <c r="X121" s="114" t="n">
        <f aca="false">Budget!J97</f>
        <v>-510</v>
      </c>
      <c r="Y121" s="114" t="n">
        <f aca="false">IF(W121="","",W121-X121)</f>
        <v>510</v>
      </c>
      <c r="Z121" s="114" t="str">
        <f aca="false">IF(OR(9&gt;$B$27,ISBLANK(Actuals!K97)),"",Actuals!K97)</f>
        <v/>
      </c>
      <c r="AA121" s="114" t="n">
        <f aca="false">Budget!K97</f>
        <v>-510</v>
      </c>
      <c r="AB121" s="114" t="str">
        <f aca="false">IF(Z121="","",Z121-AA121)</f>
        <v/>
      </c>
      <c r="AC121" s="114" t="str">
        <f aca="false">IF(OR(10&gt;$B$27,ISBLANK(Actuals!L97)),"",Actuals!L97)</f>
        <v/>
      </c>
      <c r="AD121" s="114" t="n">
        <f aca="false">Budget!L97</f>
        <v>-510</v>
      </c>
      <c r="AE121" s="114" t="str">
        <f aca="false">IF(AC121="","",AC121-AD121)</f>
        <v/>
      </c>
      <c r="AF121" s="114" t="str">
        <f aca="false">IF(OR(11&gt;$B$27,ISBLANK(Actuals!M97)),"",Actuals!M97)</f>
        <v/>
      </c>
      <c r="AG121" s="114" t="n">
        <f aca="false">Budget!M97</f>
        <v>-510</v>
      </c>
      <c r="AH121" s="114" t="str">
        <f aca="false">IF(AF121="","",AF121-AG121)</f>
        <v/>
      </c>
      <c r="AI121" s="114" t="str">
        <f aca="false">IF(OR(12&gt;$B$27,ISBLANK(Actuals!N97)),"",Actuals!N97)</f>
        <v/>
      </c>
      <c r="AJ121" s="114" t="n">
        <f aca="false">Budget!N97</f>
        <v>-510</v>
      </c>
      <c r="AK121" s="114" t="str">
        <f aca="false">IF(AI121="","",AI121-AJ121)</f>
        <v/>
      </c>
      <c r="AL121" s="117" t="n">
        <f aca="false">SUM(Actuals!$C97:INDEX(Actuals!$C97:$N97,$B$27))</f>
        <v>-43867</v>
      </c>
      <c r="AM121" s="117" t="n">
        <f aca="false">SUM(Budget!$C97:INDEX(Budget!$C97:$N97,$B$27))</f>
        <v>-4020</v>
      </c>
      <c r="AN121" s="117" t="n">
        <f aca="false">AL121-AM121</f>
        <v>-39847</v>
      </c>
      <c r="AP121" s="115" t="s">
        <v>433</v>
      </c>
    </row>
    <row r="122" customFormat="false" ht="15" hidden="true" customHeight="true" outlineLevel="1" collapsed="false">
      <c r="A122" s="110" t="s">
        <v>80</v>
      </c>
      <c r="B122" s="114" t="n">
        <f aca="false">IF(OR(1&gt;$B$27,ISBLANK(Actuals!C98)),"",Actuals!C98)</f>
        <v>-4097.78</v>
      </c>
      <c r="C122" s="114" t="n">
        <f aca="false">Budget!C98</f>
        <v>-5500</v>
      </c>
      <c r="D122" s="114" t="n">
        <f aca="false">IF(B122="","",B122-C122)</f>
        <v>1402.22</v>
      </c>
      <c r="E122" s="114" t="n">
        <f aca="false">IF(OR(2&gt;$B$27,ISBLANK(Actuals!D98)),"",Actuals!D98)</f>
        <v>-1950.2</v>
      </c>
      <c r="F122" s="114" t="n">
        <f aca="false">Budget!D98</f>
        <v>-5500</v>
      </c>
      <c r="G122" s="114" t="n">
        <f aca="false">IF(E122="","",E122-F122)</f>
        <v>3549.8</v>
      </c>
      <c r="H122" s="114" t="n">
        <f aca="false">IF(OR(3&gt;$B$27,ISBLANK(Actuals!E98)),"",Actuals!E98)</f>
        <v>-1978.2</v>
      </c>
      <c r="I122" s="114" t="n">
        <f aca="false">Budget!E98</f>
        <v>-5500</v>
      </c>
      <c r="J122" s="114" t="n">
        <f aca="false">IF(H122="","",H122-I122)</f>
        <v>3521.8</v>
      </c>
      <c r="K122" s="114" t="n">
        <f aca="false">IF(OR(4&gt;$B$27,ISBLANK(Actuals!F98)),"",Actuals!F98)</f>
        <v>-1970.2</v>
      </c>
      <c r="L122" s="114" t="n">
        <f aca="false">Budget!F98</f>
        <v>-5500</v>
      </c>
      <c r="M122" s="114" t="n">
        <f aca="false">IF(K122="","",K122-L122)</f>
        <v>3529.8</v>
      </c>
      <c r="N122" s="114" t="n">
        <f aca="false">IF(OR(5&gt;$B$27,ISBLANK(Actuals!G98)),"",Actuals!G98)</f>
        <v>-6126.2</v>
      </c>
      <c r="O122" s="114" t="n">
        <f aca="false">Budget!G98</f>
        <v>-5500</v>
      </c>
      <c r="P122" s="114" t="n">
        <f aca="false">IF(N122="","",N122-O122)</f>
        <v>-626.2</v>
      </c>
      <c r="Q122" s="114" t="n">
        <f aca="false">IF(OR(6&gt;$B$27,ISBLANK(Actuals!H98)),"",Actuals!H98)</f>
        <v>-1993.2</v>
      </c>
      <c r="R122" s="114" t="n">
        <f aca="false">Budget!H98</f>
        <v>-5500</v>
      </c>
      <c r="S122" s="114" t="n">
        <f aca="false">IF(Q122="","",Q122-R122)</f>
        <v>3506.8</v>
      </c>
      <c r="T122" s="114" t="n">
        <f aca="false">IF(OR(7&gt;$B$27,ISBLANK(Actuals!I98)),"",Actuals!I98)</f>
        <v>-2040.2</v>
      </c>
      <c r="U122" s="114" t="n">
        <f aca="false">Budget!I98</f>
        <v>-5610</v>
      </c>
      <c r="V122" s="114" t="n">
        <f aca="false">IF(T122="","",T122-U122)</f>
        <v>3569.8</v>
      </c>
      <c r="W122" s="114" t="n">
        <f aca="false">IF(OR(8&gt;$B$27,ISBLANK(Actuals!J98)),"",Actuals!J98)</f>
        <v>-2271.2</v>
      </c>
      <c r="X122" s="114" t="n">
        <f aca="false">Budget!J98</f>
        <v>-5610</v>
      </c>
      <c r="Y122" s="114" t="n">
        <f aca="false">IF(W122="","",W122-X122)</f>
        <v>3338.8</v>
      </c>
      <c r="Z122" s="114" t="str">
        <f aca="false">IF(OR(9&gt;$B$27,ISBLANK(Actuals!K98)),"",Actuals!K98)</f>
        <v/>
      </c>
      <c r="AA122" s="114" t="n">
        <f aca="false">Budget!K98</f>
        <v>-5610</v>
      </c>
      <c r="AB122" s="114" t="str">
        <f aca="false">IF(Z122="","",Z122-AA122)</f>
        <v/>
      </c>
      <c r="AC122" s="114" t="str">
        <f aca="false">IF(OR(10&gt;$B$27,ISBLANK(Actuals!L98)),"",Actuals!L98)</f>
        <v/>
      </c>
      <c r="AD122" s="114" t="n">
        <f aca="false">Budget!L98</f>
        <v>-5610</v>
      </c>
      <c r="AE122" s="114" t="str">
        <f aca="false">IF(AC122="","",AC122-AD122)</f>
        <v/>
      </c>
      <c r="AF122" s="114" t="str">
        <f aca="false">IF(OR(11&gt;$B$27,ISBLANK(Actuals!M98)),"",Actuals!M98)</f>
        <v/>
      </c>
      <c r="AG122" s="114" t="n">
        <f aca="false">Budget!M98</f>
        <v>-5610</v>
      </c>
      <c r="AH122" s="114" t="str">
        <f aca="false">IF(AF122="","",AF122-AG122)</f>
        <v/>
      </c>
      <c r="AI122" s="114" t="str">
        <f aca="false">IF(OR(12&gt;$B$27,ISBLANK(Actuals!N98)),"",Actuals!N98)</f>
        <v/>
      </c>
      <c r="AJ122" s="114" t="n">
        <f aca="false">Budget!N98</f>
        <v>-5610</v>
      </c>
      <c r="AK122" s="114" t="str">
        <f aca="false">IF(AI122="","",AI122-AJ122)</f>
        <v/>
      </c>
      <c r="AL122" s="117" t="n">
        <f aca="false">SUM(Actuals!$C98:INDEX(Actuals!$C98:$N98,$B$27))</f>
        <v>-22427.18</v>
      </c>
      <c r="AM122" s="117" t="n">
        <f aca="false">SUM(Budget!$C98:INDEX(Budget!$C98:$N98,$B$27))</f>
        <v>-44220</v>
      </c>
      <c r="AN122" s="117" t="n">
        <f aca="false">AL122-AM122</f>
        <v>21792.82</v>
      </c>
      <c r="AP122" s="115" t="s">
        <v>434</v>
      </c>
    </row>
    <row r="123" customFormat="false" ht="15" hidden="true" customHeight="true" outlineLevel="1" collapsed="false">
      <c r="A123" s="110" t="s">
        <v>81</v>
      </c>
      <c r="B123" s="114" t="n">
        <f aca="false">IF(OR(1&gt;$B$27,ISBLANK(Actuals!C99)),"",Actuals!C99)</f>
        <v>-28038</v>
      </c>
      <c r="C123" s="114" t="n">
        <f aca="false">Budget!C99</f>
        <v>-2083.33</v>
      </c>
      <c r="D123" s="114" t="n">
        <f aca="false">IF(B123="","",B123-C123)</f>
        <v>-25954.67</v>
      </c>
      <c r="E123" s="114" t="n">
        <f aca="false">IF(OR(2&gt;$B$27,ISBLANK(Actuals!D99)),"",Actuals!D99)</f>
        <v>-29387.5</v>
      </c>
      <c r="F123" s="114" t="n">
        <f aca="false">Budget!D99</f>
        <v>-2083.33</v>
      </c>
      <c r="G123" s="114" t="n">
        <f aca="false">IF(E123="","",E123-F123)</f>
        <v>-27304.17</v>
      </c>
      <c r="H123" s="114" t="n">
        <f aca="false">IF(OR(3&gt;$B$27,ISBLANK(Actuals!E99)),"",Actuals!E99)</f>
        <v>-28083</v>
      </c>
      <c r="I123" s="114" t="n">
        <f aca="false">Budget!E99</f>
        <v>-2083.33</v>
      </c>
      <c r="J123" s="114" t="n">
        <f aca="false">IF(H123="","",H123-I123)</f>
        <v>-25999.67</v>
      </c>
      <c r="K123" s="114" t="n">
        <f aca="false">IF(OR(4&gt;$B$27,ISBLANK(Actuals!F99)),"",Actuals!F99)</f>
        <v>-28083</v>
      </c>
      <c r="L123" s="114" t="n">
        <f aca="false">Budget!F99</f>
        <v>-2083.33</v>
      </c>
      <c r="M123" s="114" t="n">
        <f aca="false">IF(K123="","",K123-L123)</f>
        <v>-25999.67</v>
      </c>
      <c r="N123" s="114" t="n">
        <f aca="false">IF(OR(5&gt;$B$27,ISBLANK(Actuals!G99)),"",Actuals!G99)</f>
        <v>-69333</v>
      </c>
      <c r="O123" s="114" t="n">
        <f aca="false">Budget!G99</f>
        <v>-2083.33</v>
      </c>
      <c r="P123" s="114" t="n">
        <f aca="false">IF(N123="","",N123-O123)</f>
        <v>-67249.67</v>
      </c>
      <c r="Q123" s="114" t="n">
        <f aca="false">IF(OR(6&gt;$B$27,ISBLANK(Actuals!H99)),"",Actuals!H99)</f>
        <v>-28083</v>
      </c>
      <c r="R123" s="114" t="n">
        <f aca="false">Budget!H99</f>
        <v>-2083.33</v>
      </c>
      <c r="S123" s="114" t="n">
        <f aca="false">IF(Q123="","",Q123-R123)</f>
        <v>-25999.67</v>
      </c>
      <c r="T123" s="114" t="n">
        <f aca="false">IF(OR(7&gt;$B$27,ISBLANK(Actuals!I99)),"",Actuals!I99)</f>
        <v>-28628</v>
      </c>
      <c r="U123" s="114" t="n">
        <f aca="false">Budget!I99</f>
        <v>-2125</v>
      </c>
      <c r="V123" s="114" t="n">
        <f aca="false">IF(T123="","",T123-U123)</f>
        <v>-26503</v>
      </c>
      <c r="W123" s="114" t="n">
        <f aca="false">IF(OR(8&gt;$B$27,ISBLANK(Actuals!J99)),"",Actuals!J99)</f>
        <v>-28083</v>
      </c>
      <c r="X123" s="114" t="n">
        <f aca="false">Budget!J99</f>
        <v>-2125</v>
      </c>
      <c r="Y123" s="114" t="n">
        <f aca="false">IF(W123="","",W123-X123)</f>
        <v>-25958</v>
      </c>
      <c r="Z123" s="114" t="str">
        <f aca="false">IF(OR(9&gt;$B$27,ISBLANK(Actuals!K99)),"",Actuals!K99)</f>
        <v/>
      </c>
      <c r="AA123" s="114" t="n">
        <f aca="false">Budget!K99</f>
        <v>-2125</v>
      </c>
      <c r="AB123" s="114" t="str">
        <f aca="false">IF(Z123="","",Z123-AA123)</f>
        <v/>
      </c>
      <c r="AC123" s="114" t="str">
        <f aca="false">IF(OR(10&gt;$B$27,ISBLANK(Actuals!L99)),"",Actuals!L99)</f>
        <v/>
      </c>
      <c r="AD123" s="114" t="n">
        <f aca="false">Budget!L99</f>
        <v>-2125</v>
      </c>
      <c r="AE123" s="114" t="str">
        <f aca="false">IF(AC123="","",AC123-AD123)</f>
        <v/>
      </c>
      <c r="AF123" s="114" t="str">
        <f aca="false">IF(OR(11&gt;$B$27,ISBLANK(Actuals!M99)),"",Actuals!M99)</f>
        <v/>
      </c>
      <c r="AG123" s="114" t="n">
        <f aca="false">Budget!M99</f>
        <v>-2125</v>
      </c>
      <c r="AH123" s="114" t="str">
        <f aca="false">IF(AF123="","",AF123-AG123)</f>
        <v/>
      </c>
      <c r="AI123" s="114" t="str">
        <f aca="false">IF(OR(12&gt;$B$27,ISBLANK(Actuals!N99)),"",Actuals!N99)</f>
        <v/>
      </c>
      <c r="AJ123" s="114" t="n">
        <f aca="false">Budget!N99</f>
        <v>-2125</v>
      </c>
      <c r="AK123" s="114" t="str">
        <f aca="false">IF(AI123="","",AI123-AJ123)</f>
        <v/>
      </c>
      <c r="AL123" s="117" t="n">
        <f aca="false">SUM(Actuals!$C99:INDEX(Actuals!$C99:$N99,$B$27))</f>
        <v>-267718.5</v>
      </c>
      <c r="AM123" s="117" t="n">
        <f aca="false">SUM(Budget!$C99:INDEX(Budget!$C99:$N99,$B$27))</f>
        <v>-16749.98</v>
      </c>
      <c r="AN123" s="117" t="n">
        <f aca="false">AL123-AM123</f>
        <v>-250968.52</v>
      </c>
      <c r="AP123" s="115" t="s">
        <v>435</v>
      </c>
    </row>
    <row r="124" customFormat="false" ht="15" hidden="true" customHeight="true" outlineLevel="1" collapsed="false">
      <c r="A124" s="110" t="s">
        <v>128</v>
      </c>
      <c r="B124" s="114" t="n">
        <f aca="false">IF(OR(1&gt;$B$27,ISBLANK(Actuals!C100)),"",Actuals!C100)</f>
        <v>-268</v>
      </c>
      <c r="C124" s="114" t="n">
        <f aca="false">Budget!C100</f>
        <v>-500</v>
      </c>
      <c r="D124" s="114" t="n">
        <f aca="false">IF(B124="","",B124-C124)</f>
        <v>232</v>
      </c>
      <c r="E124" s="114" t="n">
        <f aca="false">IF(OR(2&gt;$B$27,ISBLANK(Actuals!D100)),"",Actuals!D100)</f>
        <v>-2088.75</v>
      </c>
      <c r="F124" s="114" t="n">
        <f aca="false">Budget!D100</f>
        <v>-500</v>
      </c>
      <c r="G124" s="114" t="n">
        <f aca="false">IF(E124="","",E124-F124)</f>
        <v>-1588.75</v>
      </c>
      <c r="H124" s="114" t="n">
        <f aca="false">IF(OR(3&gt;$B$27,ISBLANK(Actuals!E100)),"",Actuals!E100)</f>
        <v>-2401.75</v>
      </c>
      <c r="I124" s="114" t="n">
        <f aca="false">Budget!E100</f>
        <v>-500</v>
      </c>
      <c r="J124" s="114" t="n">
        <f aca="false">IF(H124="","",H124-I124)</f>
        <v>-1901.75</v>
      </c>
      <c r="K124" s="114" t="n">
        <f aca="false">IF(OR(4&gt;$B$27,ISBLANK(Actuals!F100)),"",Actuals!F100)</f>
        <v>-4209.5</v>
      </c>
      <c r="L124" s="114" t="n">
        <f aca="false">Budget!F100</f>
        <v>-500</v>
      </c>
      <c r="M124" s="114" t="n">
        <f aca="false">IF(K124="","",K124-L124)</f>
        <v>-3709.5</v>
      </c>
      <c r="N124" s="114" t="n">
        <f aca="false">IF(OR(5&gt;$B$27,ISBLANK(Actuals!G100)),"",Actuals!G100)</f>
        <v>-2377.59</v>
      </c>
      <c r="O124" s="114" t="n">
        <f aca="false">Budget!G100</f>
        <v>-500</v>
      </c>
      <c r="P124" s="114" t="n">
        <f aca="false">IF(N124="","",N124-O124)</f>
        <v>-1877.59</v>
      </c>
      <c r="Q124" s="114" t="n">
        <f aca="false">IF(OR(6&gt;$B$27,ISBLANK(Actuals!H100)),"",Actuals!H100)</f>
        <v>-16</v>
      </c>
      <c r="R124" s="114" t="n">
        <f aca="false">Budget!H100</f>
        <v>-500</v>
      </c>
      <c r="S124" s="114" t="n">
        <f aca="false">IF(Q124="","",Q124-R124)</f>
        <v>484</v>
      </c>
      <c r="T124" s="114" t="n">
        <f aca="false">IF(OR(7&gt;$B$27,ISBLANK(Actuals!I100)),"",Actuals!I100)</f>
        <v>-4592.5</v>
      </c>
      <c r="U124" s="114" t="n">
        <f aca="false">Budget!I100</f>
        <v>-510</v>
      </c>
      <c r="V124" s="114" t="n">
        <f aca="false">IF(T124="","",T124-U124)</f>
        <v>-4082.5</v>
      </c>
      <c r="W124" s="114" t="n">
        <f aca="false">IF(OR(8&gt;$B$27,ISBLANK(Actuals!J100)),"",Actuals!J100)</f>
        <v>-268</v>
      </c>
      <c r="X124" s="114" t="n">
        <f aca="false">Budget!J100</f>
        <v>-510</v>
      </c>
      <c r="Y124" s="114" t="n">
        <f aca="false">IF(W124="","",W124-X124)</f>
        <v>242</v>
      </c>
      <c r="Z124" s="114" t="str">
        <f aca="false">IF(OR(9&gt;$B$27,ISBLANK(Actuals!K100)),"",Actuals!K100)</f>
        <v/>
      </c>
      <c r="AA124" s="114" t="n">
        <f aca="false">Budget!K100</f>
        <v>-510</v>
      </c>
      <c r="AB124" s="114" t="str">
        <f aca="false">IF(Z124="","",Z124-AA124)</f>
        <v/>
      </c>
      <c r="AC124" s="114" t="str">
        <f aca="false">IF(OR(10&gt;$B$27,ISBLANK(Actuals!L100)),"",Actuals!L100)</f>
        <v/>
      </c>
      <c r="AD124" s="114" t="n">
        <f aca="false">Budget!L100</f>
        <v>-510</v>
      </c>
      <c r="AE124" s="114" t="str">
        <f aca="false">IF(AC124="","",AC124-AD124)</f>
        <v/>
      </c>
      <c r="AF124" s="114" t="str">
        <f aca="false">IF(OR(11&gt;$B$27,ISBLANK(Actuals!M100)),"",Actuals!M100)</f>
        <v/>
      </c>
      <c r="AG124" s="114" t="n">
        <f aca="false">Budget!M100</f>
        <v>-510</v>
      </c>
      <c r="AH124" s="114" t="str">
        <f aca="false">IF(AF124="","",AF124-AG124)</f>
        <v/>
      </c>
      <c r="AI124" s="114" t="str">
        <f aca="false">IF(OR(12&gt;$B$27,ISBLANK(Actuals!N100)),"",Actuals!N100)</f>
        <v/>
      </c>
      <c r="AJ124" s="114" t="n">
        <f aca="false">Budget!N100</f>
        <v>-510</v>
      </c>
      <c r="AK124" s="114" t="str">
        <f aca="false">IF(AI124="","",AI124-AJ124)</f>
        <v/>
      </c>
      <c r="AL124" s="117" t="n">
        <f aca="false">SUM(Actuals!$C100:INDEX(Actuals!$C100:$N100,$B$27))</f>
        <v>-16222.09</v>
      </c>
      <c r="AM124" s="117" t="n">
        <f aca="false">SUM(Budget!$C100:INDEX(Budget!$C100:$N100,$B$27))</f>
        <v>-4020</v>
      </c>
      <c r="AN124" s="117" t="n">
        <f aca="false">AL124-AM124</f>
        <v>-12202.09</v>
      </c>
      <c r="AP124" s="115" t="s">
        <v>436</v>
      </c>
    </row>
    <row r="125" customFormat="false" ht="15" hidden="true" customHeight="true" outlineLevel="1" collapsed="false">
      <c r="A125" s="110" t="s">
        <v>129</v>
      </c>
      <c r="B125" s="114" t="n">
        <f aca="false">IF(OR(1&gt;$B$27,ISBLANK(Actuals!C101)),"",Actuals!C101)</f>
        <v>-341.83</v>
      </c>
      <c r="C125" s="114" t="n">
        <f aca="false">Budget!C101</f>
        <v>-2000</v>
      </c>
      <c r="D125" s="114" t="n">
        <f aca="false">IF(B125="","",B125-C125)</f>
        <v>1658.17</v>
      </c>
      <c r="E125" s="114" t="n">
        <f aca="false">IF(OR(2&gt;$B$27,ISBLANK(Actuals!D101)),"",Actuals!D101)</f>
        <v>-728</v>
      </c>
      <c r="F125" s="114" t="n">
        <f aca="false">Budget!D101</f>
        <v>-2000</v>
      </c>
      <c r="G125" s="114" t="n">
        <f aca="false">IF(E125="","",E125-F125)</f>
        <v>1272</v>
      </c>
      <c r="H125" s="114" t="n">
        <f aca="false">IF(OR(3&gt;$B$27,ISBLANK(Actuals!E101)),"",Actuals!E101)</f>
        <v>-15256.75</v>
      </c>
      <c r="I125" s="114" t="n">
        <f aca="false">Budget!E101</f>
        <v>-2000</v>
      </c>
      <c r="J125" s="114" t="n">
        <f aca="false">IF(H125="","",H125-I125)</f>
        <v>-13256.75</v>
      </c>
      <c r="K125" s="114" t="n">
        <f aca="false">IF(OR(4&gt;$B$27,ISBLANK(Actuals!F101)),"",Actuals!F101)</f>
        <v>-1033.41</v>
      </c>
      <c r="L125" s="114" t="n">
        <f aca="false">Budget!F101</f>
        <v>-2000</v>
      </c>
      <c r="M125" s="114" t="n">
        <f aca="false">IF(K125="","",K125-L125)</f>
        <v>966.59</v>
      </c>
      <c r="N125" s="114" t="n">
        <f aca="false">IF(OR(5&gt;$B$27,ISBLANK(Actuals!G101)),"",Actuals!G101)</f>
        <v>-3499</v>
      </c>
      <c r="O125" s="114" t="n">
        <f aca="false">Budget!G101</f>
        <v>-2000</v>
      </c>
      <c r="P125" s="114" t="n">
        <f aca="false">IF(N125="","",N125-O125)</f>
        <v>-1499</v>
      </c>
      <c r="Q125" s="114" t="n">
        <f aca="false">IF(OR(6&gt;$B$27,ISBLANK(Actuals!H101)),"",Actuals!H101)</f>
        <v>-1033.41</v>
      </c>
      <c r="R125" s="114" t="n">
        <f aca="false">Budget!H101</f>
        <v>-2000</v>
      </c>
      <c r="S125" s="114" t="n">
        <f aca="false">IF(Q125="","",Q125-R125)</f>
        <v>966.59</v>
      </c>
      <c r="T125" s="114" t="n">
        <f aca="false">IF(OR(7&gt;$B$27,ISBLANK(Actuals!I101)),"",Actuals!I101)</f>
        <v>-537.06</v>
      </c>
      <c r="U125" s="114" t="n">
        <f aca="false">Budget!I101</f>
        <v>-2040</v>
      </c>
      <c r="V125" s="114" t="n">
        <f aca="false">IF(T125="","",T125-U125)</f>
        <v>1502.94</v>
      </c>
      <c r="W125" s="114" t="n">
        <f aca="false">IF(OR(8&gt;$B$27,ISBLANK(Actuals!J101)),"",Actuals!J101)</f>
        <v>-1903.22</v>
      </c>
      <c r="X125" s="114" t="n">
        <f aca="false">Budget!J101</f>
        <v>-2040</v>
      </c>
      <c r="Y125" s="114" t="n">
        <f aca="false">IF(W125="","",W125-X125)</f>
        <v>136.78</v>
      </c>
      <c r="Z125" s="114" t="str">
        <f aca="false">IF(OR(9&gt;$B$27,ISBLANK(Actuals!K101)),"",Actuals!K101)</f>
        <v/>
      </c>
      <c r="AA125" s="114" t="n">
        <f aca="false">Budget!K101</f>
        <v>-2040</v>
      </c>
      <c r="AB125" s="114" t="str">
        <f aca="false">IF(Z125="","",Z125-AA125)</f>
        <v/>
      </c>
      <c r="AC125" s="114" t="str">
        <f aca="false">IF(OR(10&gt;$B$27,ISBLANK(Actuals!L101)),"",Actuals!L101)</f>
        <v/>
      </c>
      <c r="AD125" s="114" t="n">
        <f aca="false">Budget!L101</f>
        <v>-2040</v>
      </c>
      <c r="AE125" s="114" t="str">
        <f aca="false">IF(AC125="","",AC125-AD125)</f>
        <v/>
      </c>
      <c r="AF125" s="114" t="str">
        <f aca="false">IF(OR(11&gt;$B$27,ISBLANK(Actuals!M101)),"",Actuals!M101)</f>
        <v/>
      </c>
      <c r="AG125" s="114" t="n">
        <f aca="false">Budget!M101</f>
        <v>-2040</v>
      </c>
      <c r="AH125" s="114" t="str">
        <f aca="false">IF(AF125="","",AF125-AG125)</f>
        <v/>
      </c>
      <c r="AI125" s="114" t="str">
        <f aca="false">IF(OR(12&gt;$B$27,ISBLANK(Actuals!N101)),"",Actuals!N101)</f>
        <v/>
      </c>
      <c r="AJ125" s="114" t="n">
        <f aca="false">Budget!N101</f>
        <v>-2040</v>
      </c>
      <c r="AK125" s="114" t="str">
        <f aca="false">IF(AI125="","",AI125-AJ125)</f>
        <v/>
      </c>
      <c r="AL125" s="117" t="n">
        <f aca="false">SUM(Actuals!$C101:INDEX(Actuals!$C101:$N101,$B$27))</f>
        <v>-24332.68</v>
      </c>
      <c r="AM125" s="117" t="n">
        <f aca="false">SUM(Budget!$C101:INDEX(Budget!$C101:$N101,$B$27))</f>
        <v>-16080</v>
      </c>
      <c r="AN125" s="117" t="n">
        <f aca="false">AL125-AM125</f>
        <v>-8252.68</v>
      </c>
      <c r="AP125" s="115" t="s">
        <v>437</v>
      </c>
    </row>
    <row r="126" customFormat="false" ht="15" hidden="true" customHeight="true" outlineLevel="1" collapsed="false">
      <c r="A126" s="110" t="s">
        <v>130</v>
      </c>
      <c r="B126" s="114" t="n">
        <f aca="false">IF(OR(1&gt;$B$27,ISBLANK(Actuals!C102)),"",Actuals!C102)</f>
        <v>-1905.31</v>
      </c>
      <c r="C126" s="114" t="n">
        <f aca="false">Budget!C102</f>
        <v>-1541.67</v>
      </c>
      <c r="D126" s="114" t="n">
        <f aca="false">IF(B126="","",B126-C126)</f>
        <v>-363.64</v>
      </c>
      <c r="E126" s="114" t="n">
        <f aca="false">IF(OR(2&gt;$B$27,ISBLANK(Actuals!D102)),"",Actuals!D102)</f>
        <v>-1905.31</v>
      </c>
      <c r="F126" s="114" t="n">
        <f aca="false">Budget!D102</f>
        <v>-1541.67</v>
      </c>
      <c r="G126" s="114" t="n">
        <f aca="false">IF(E126="","",E126-F126)</f>
        <v>-363.64</v>
      </c>
      <c r="H126" s="114" t="n">
        <f aca="false">IF(OR(3&gt;$B$27,ISBLANK(Actuals!E102)),"",Actuals!E102)</f>
        <v>-1905.31</v>
      </c>
      <c r="I126" s="114" t="n">
        <f aca="false">Budget!E102</f>
        <v>-1541.67</v>
      </c>
      <c r="J126" s="114" t="n">
        <f aca="false">IF(H126="","",H126-I126)</f>
        <v>-363.64</v>
      </c>
      <c r="K126" s="114" t="n">
        <f aca="false">IF(OR(4&gt;$B$27,ISBLANK(Actuals!F102)),"",Actuals!F102)</f>
        <v>-1905.31</v>
      </c>
      <c r="L126" s="114" t="n">
        <f aca="false">Budget!F102</f>
        <v>-1541.67</v>
      </c>
      <c r="M126" s="114" t="n">
        <f aca="false">IF(K126="","",K126-L126)</f>
        <v>-363.64</v>
      </c>
      <c r="N126" s="114" t="n">
        <f aca="false">IF(OR(5&gt;$B$27,ISBLANK(Actuals!G102)),"",Actuals!G102)</f>
        <v>-1905.31</v>
      </c>
      <c r="O126" s="114" t="n">
        <f aca="false">Budget!G102</f>
        <v>-1541.67</v>
      </c>
      <c r="P126" s="114" t="n">
        <f aca="false">IF(N126="","",N126-O126)</f>
        <v>-363.64</v>
      </c>
      <c r="Q126" s="114" t="n">
        <f aca="false">IF(OR(6&gt;$B$27,ISBLANK(Actuals!H102)),"",Actuals!H102)</f>
        <v>-1905.31</v>
      </c>
      <c r="R126" s="114" t="n">
        <f aca="false">Budget!H102</f>
        <v>-1541.67</v>
      </c>
      <c r="S126" s="114" t="n">
        <f aca="false">IF(Q126="","",Q126-R126)</f>
        <v>-363.64</v>
      </c>
      <c r="T126" s="114" t="n">
        <f aca="false">IF(OR(7&gt;$B$27,ISBLANK(Actuals!I102)),"",Actuals!I102)</f>
        <v>-1905.31</v>
      </c>
      <c r="U126" s="114" t="n">
        <f aca="false">Budget!I102</f>
        <v>-1572.5</v>
      </c>
      <c r="V126" s="114" t="n">
        <f aca="false">IF(T126="","",T126-U126)</f>
        <v>-332.81</v>
      </c>
      <c r="W126" s="114" t="n">
        <f aca="false">IF(OR(8&gt;$B$27,ISBLANK(Actuals!J102)),"",Actuals!J102)</f>
        <v>-1905.31</v>
      </c>
      <c r="X126" s="114" t="n">
        <f aca="false">Budget!J102</f>
        <v>-1572.5</v>
      </c>
      <c r="Y126" s="114" t="n">
        <f aca="false">IF(W126="","",W126-X126)</f>
        <v>-332.81</v>
      </c>
      <c r="Z126" s="114" t="str">
        <f aca="false">IF(OR(9&gt;$B$27,ISBLANK(Actuals!K102)),"",Actuals!K102)</f>
        <v/>
      </c>
      <c r="AA126" s="114" t="n">
        <f aca="false">Budget!K102</f>
        <v>-1572.5</v>
      </c>
      <c r="AB126" s="114" t="str">
        <f aca="false">IF(Z126="","",Z126-AA126)</f>
        <v/>
      </c>
      <c r="AC126" s="114" t="str">
        <f aca="false">IF(OR(10&gt;$B$27,ISBLANK(Actuals!L102)),"",Actuals!L102)</f>
        <v/>
      </c>
      <c r="AD126" s="114" t="n">
        <f aca="false">Budget!L102</f>
        <v>-1572.5</v>
      </c>
      <c r="AE126" s="114" t="str">
        <f aca="false">IF(AC126="","",AC126-AD126)</f>
        <v/>
      </c>
      <c r="AF126" s="114" t="str">
        <f aca="false">IF(OR(11&gt;$B$27,ISBLANK(Actuals!M102)),"",Actuals!M102)</f>
        <v/>
      </c>
      <c r="AG126" s="114" t="n">
        <f aca="false">Budget!M102</f>
        <v>-1572.5</v>
      </c>
      <c r="AH126" s="114" t="str">
        <f aca="false">IF(AF126="","",AF126-AG126)</f>
        <v/>
      </c>
      <c r="AI126" s="114" t="str">
        <f aca="false">IF(OR(12&gt;$B$27,ISBLANK(Actuals!N102)),"",Actuals!N102)</f>
        <v/>
      </c>
      <c r="AJ126" s="114" t="n">
        <f aca="false">Budget!N102</f>
        <v>-1572.5</v>
      </c>
      <c r="AK126" s="114" t="str">
        <f aca="false">IF(AI126="","",AI126-AJ126)</f>
        <v/>
      </c>
      <c r="AL126" s="117" t="n">
        <f aca="false">SUM(Actuals!$C102:INDEX(Actuals!$C102:$N102,$B$27))</f>
        <v>-15242.48</v>
      </c>
      <c r="AM126" s="117" t="n">
        <f aca="false">SUM(Budget!$C102:INDEX(Budget!$C102:$N102,$B$27))</f>
        <v>-12395.02</v>
      </c>
      <c r="AN126" s="117" t="n">
        <f aca="false">AL126-AM126</f>
        <v>-2847.46</v>
      </c>
    </row>
    <row r="127" customFormat="false" ht="15" hidden="true" customHeight="true" outlineLevel="1" collapsed="false">
      <c r="A127" s="110" t="s">
        <v>131</v>
      </c>
      <c r="B127" s="114" t="n">
        <f aca="false">IF(OR(1&gt;$B$27,ISBLANK(Actuals!C103)),"",Actuals!C103)</f>
        <v>-2100</v>
      </c>
      <c r="C127" s="114" t="n">
        <f aca="false">Budget!C103</f>
        <v>-2100</v>
      </c>
      <c r="D127" s="114" t="n">
        <f aca="false">IF(B127="","",B127-C127)</f>
        <v>0</v>
      </c>
      <c r="E127" s="114" t="n">
        <f aca="false">IF(OR(2&gt;$B$27,ISBLANK(Actuals!D103)),"",Actuals!D103)</f>
        <v>-2100</v>
      </c>
      <c r="F127" s="114" t="n">
        <f aca="false">Budget!D103</f>
        <v>-2100</v>
      </c>
      <c r="G127" s="114" t="n">
        <f aca="false">IF(E127="","",E127-F127)</f>
        <v>0</v>
      </c>
      <c r="H127" s="114" t="n">
        <f aca="false">IF(OR(3&gt;$B$27,ISBLANK(Actuals!E103)),"",Actuals!E103)</f>
        <v>-2100</v>
      </c>
      <c r="I127" s="114" t="n">
        <f aca="false">Budget!E103</f>
        <v>-2100</v>
      </c>
      <c r="J127" s="114" t="n">
        <f aca="false">IF(H127="","",H127-I127)</f>
        <v>0</v>
      </c>
      <c r="K127" s="114" t="n">
        <f aca="false">IF(OR(4&gt;$B$27,ISBLANK(Actuals!F103)),"",Actuals!F103)</f>
        <v>-2100</v>
      </c>
      <c r="L127" s="114" t="n">
        <f aca="false">Budget!F103</f>
        <v>-2100</v>
      </c>
      <c r="M127" s="114" t="n">
        <f aca="false">IF(K127="","",K127-L127)</f>
        <v>0</v>
      </c>
      <c r="N127" s="114" t="n">
        <f aca="false">IF(OR(5&gt;$B$27,ISBLANK(Actuals!G103)),"",Actuals!G103)</f>
        <v>-2100</v>
      </c>
      <c r="O127" s="114" t="n">
        <f aca="false">Budget!G103</f>
        <v>-2100</v>
      </c>
      <c r="P127" s="114" t="n">
        <f aca="false">IF(N127="","",N127-O127)</f>
        <v>0</v>
      </c>
      <c r="Q127" s="114" t="n">
        <f aca="false">IF(OR(6&gt;$B$27,ISBLANK(Actuals!H103)),"",Actuals!H103)</f>
        <v>-2100</v>
      </c>
      <c r="R127" s="114" t="n">
        <f aca="false">Budget!H103</f>
        <v>-2100</v>
      </c>
      <c r="S127" s="114" t="n">
        <f aca="false">IF(Q127="","",Q127-R127)</f>
        <v>0</v>
      </c>
      <c r="T127" s="114" t="n">
        <f aca="false">IF(OR(7&gt;$B$27,ISBLANK(Actuals!I103)),"",Actuals!I103)</f>
        <v>-2100</v>
      </c>
      <c r="U127" s="114" t="n">
        <f aca="false">Budget!I103</f>
        <v>-2142</v>
      </c>
      <c r="V127" s="114" t="n">
        <f aca="false">IF(T127="","",T127-U127)</f>
        <v>42</v>
      </c>
      <c r="W127" s="114" t="n">
        <f aca="false">IF(OR(8&gt;$B$27,ISBLANK(Actuals!J103)),"",Actuals!J103)</f>
        <v>-2100</v>
      </c>
      <c r="X127" s="114" t="n">
        <f aca="false">Budget!J103</f>
        <v>-2142</v>
      </c>
      <c r="Y127" s="114" t="n">
        <f aca="false">IF(W127="","",W127-X127)</f>
        <v>42</v>
      </c>
      <c r="Z127" s="114" t="str">
        <f aca="false">IF(OR(9&gt;$B$27,ISBLANK(Actuals!K103)),"",Actuals!K103)</f>
        <v/>
      </c>
      <c r="AA127" s="114" t="n">
        <f aca="false">Budget!K103</f>
        <v>-2142</v>
      </c>
      <c r="AB127" s="114" t="str">
        <f aca="false">IF(Z127="","",Z127-AA127)</f>
        <v/>
      </c>
      <c r="AC127" s="114" t="str">
        <f aca="false">IF(OR(10&gt;$B$27,ISBLANK(Actuals!L103)),"",Actuals!L103)</f>
        <v/>
      </c>
      <c r="AD127" s="114" t="n">
        <f aca="false">Budget!L103</f>
        <v>-2142</v>
      </c>
      <c r="AE127" s="114" t="str">
        <f aca="false">IF(AC127="","",AC127-AD127)</f>
        <v/>
      </c>
      <c r="AF127" s="114" t="str">
        <f aca="false">IF(OR(11&gt;$B$27,ISBLANK(Actuals!M103)),"",Actuals!M103)</f>
        <v/>
      </c>
      <c r="AG127" s="114" t="n">
        <f aca="false">Budget!M103</f>
        <v>-2142</v>
      </c>
      <c r="AH127" s="114" t="str">
        <f aca="false">IF(AF127="","",AF127-AG127)</f>
        <v/>
      </c>
      <c r="AI127" s="114" t="str">
        <f aca="false">IF(OR(12&gt;$B$27,ISBLANK(Actuals!N103)),"",Actuals!N103)</f>
        <v/>
      </c>
      <c r="AJ127" s="114" t="n">
        <f aca="false">Budget!N103</f>
        <v>-2142</v>
      </c>
      <c r="AK127" s="114" t="str">
        <f aca="false">IF(AI127="","",AI127-AJ127)</f>
        <v/>
      </c>
      <c r="AL127" s="117" t="n">
        <f aca="false">SUM(Actuals!$C103:INDEX(Actuals!$C103:$N103,$B$27))</f>
        <v>-16800</v>
      </c>
      <c r="AM127" s="117" t="n">
        <f aca="false">SUM(Budget!$C103:INDEX(Budget!$C103:$N103,$B$27))</f>
        <v>-16884</v>
      </c>
      <c r="AN127" s="117" t="n">
        <f aca="false">AL127-AM127</f>
        <v>84</v>
      </c>
    </row>
    <row r="128" customFormat="false" ht="15" hidden="true" customHeight="true" outlineLevel="1" collapsed="false">
      <c r="A128" s="110" t="s">
        <v>84</v>
      </c>
      <c r="B128" s="114" t="n">
        <f aca="false">IF(OR(1&gt;$B$27,ISBLANK(Actuals!C104)),"",Actuals!C104)</f>
        <v>-66666.66</v>
      </c>
      <c r="C128" s="114" t="n">
        <f aca="false">Budget!C104</f>
        <v>0</v>
      </c>
      <c r="D128" s="114" t="n">
        <f aca="false">IF(B128="","",B128-C128)</f>
        <v>-66666.66</v>
      </c>
      <c r="E128" s="114" t="n">
        <f aca="false">IF(OR(2&gt;$B$27,ISBLANK(Actuals!D104)),"",Actuals!D104)</f>
        <v>-66666.66</v>
      </c>
      <c r="F128" s="114" t="n">
        <f aca="false">Budget!D104</f>
        <v>0</v>
      </c>
      <c r="G128" s="114" t="n">
        <f aca="false">IF(E128="","",E128-F128)</f>
        <v>-66666.66</v>
      </c>
      <c r="H128" s="114" t="n">
        <f aca="false">IF(OR(3&gt;$B$27,ISBLANK(Actuals!E104)),"",Actuals!E104)</f>
        <v>-66666.66</v>
      </c>
      <c r="I128" s="114" t="n">
        <f aca="false">Budget!E104</f>
        <v>0</v>
      </c>
      <c r="J128" s="114" t="n">
        <f aca="false">IF(H128="","",H128-I128)</f>
        <v>-66666.66</v>
      </c>
      <c r="K128" s="114" t="n">
        <f aca="false">IF(OR(4&gt;$B$27,ISBLANK(Actuals!F104)),"",Actuals!F104)</f>
        <v>-66666.66</v>
      </c>
      <c r="L128" s="114" t="n">
        <f aca="false">Budget!F104</f>
        <v>0</v>
      </c>
      <c r="M128" s="114" t="n">
        <f aca="false">IF(K128="","",K128-L128)</f>
        <v>-66666.66</v>
      </c>
      <c r="N128" s="114" t="n">
        <f aca="false">IF(OR(5&gt;$B$27,ISBLANK(Actuals!G104)),"",Actuals!G104)</f>
        <v>-66666.66</v>
      </c>
      <c r="O128" s="114" t="n">
        <f aca="false">Budget!G104</f>
        <v>0</v>
      </c>
      <c r="P128" s="114" t="n">
        <f aca="false">IF(N128="","",N128-O128)</f>
        <v>-66666.66</v>
      </c>
      <c r="Q128" s="114" t="n">
        <f aca="false">IF(OR(6&gt;$B$27,ISBLANK(Actuals!H104)),"",Actuals!H104)</f>
        <v>-66666.66</v>
      </c>
      <c r="R128" s="114" t="n">
        <f aca="false">Budget!H104</f>
        <v>0</v>
      </c>
      <c r="S128" s="114" t="n">
        <f aca="false">IF(Q128="","",Q128-R128)</f>
        <v>-66666.66</v>
      </c>
      <c r="T128" s="114" t="n">
        <f aca="false">IF(OR(7&gt;$B$27,ISBLANK(Actuals!I104)),"",Actuals!I104)</f>
        <v>-66666.66</v>
      </c>
      <c r="U128" s="114" t="n">
        <f aca="false">Budget!I104</f>
        <v>0</v>
      </c>
      <c r="V128" s="114" t="n">
        <f aca="false">IF(T128="","",T128-U128)</f>
        <v>-66666.66</v>
      </c>
      <c r="W128" s="114" t="n">
        <f aca="false">IF(OR(8&gt;$B$27,ISBLANK(Actuals!J104)),"",Actuals!J104)</f>
        <v>-66666.66</v>
      </c>
      <c r="X128" s="114" t="n">
        <f aca="false">Budget!J104</f>
        <v>0</v>
      </c>
      <c r="Y128" s="114" t="n">
        <f aca="false">IF(W128="","",W128-X128)</f>
        <v>-66666.66</v>
      </c>
      <c r="Z128" s="114" t="str">
        <f aca="false">IF(OR(9&gt;$B$27,ISBLANK(Actuals!K104)),"",Actuals!K104)</f>
        <v/>
      </c>
      <c r="AA128" s="114" t="n">
        <f aca="false">Budget!K104</f>
        <v>0</v>
      </c>
      <c r="AB128" s="114" t="str">
        <f aca="false">IF(Z128="","",Z128-AA128)</f>
        <v/>
      </c>
      <c r="AC128" s="114" t="str">
        <f aca="false">IF(OR(10&gt;$B$27,ISBLANK(Actuals!L104)),"",Actuals!L104)</f>
        <v/>
      </c>
      <c r="AD128" s="114" t="n">
        <f aca="false">Budget!L104</f>
        <v>0</v>
      </c>
      <c r="AE128" s="114" t="str">
        <f aca="false">IF(AC128="","",AC128-AD128)</f>
        <v/>
      </c>
      <c r="AF128" s="114" t="str">
        <f aca="false">IF(OR(11&gt;$B$27,ISBLANK(Actuals!M104)),"",Actuals!M104)</f>
        <v/>
      </c>
      <c r="AG128" s="114" t="n">
        <f aca="false">Budget!M104</f>
        <v>0</v>
      </c>
      <c r="AH128" s="114" t="str">
        <f aca="false">IF(AF128="","",AF128-AG128)</f>
        <v/>
      </c>
      <c r="AI128" s="114" t="str">
        <f aca="false">IF(OR(12&gt;$B$27,ISBLANK(Actuals!N104)),"",Actuals!N104)</f>
        <v/>
      </c>
      <c r="AJ128" s="114" t="n">
        <f aca="false">Budget!N104</f>
        <v>0</v>
      </c>
      <c r="AK128" s="114" t="str">
        <f aca="false">IF(AI128="","",AI128-AJ128)</f>
        <v/>
      </c>
      <c r="AL128" s="117" t="n">
        <f aca="false">SUM(Actuals!$C104:INDEX(Actuals!$C104:$N104,$B$27))</f>
        <v>-533333.28</v>
      </c>
      <c r="AM128" s="117" t="n">
        <f aca="false">SUM(Budget!$C104:INDEX(Budget!$C104:$N104,$B$27))</f>
        <v>0</v>
      </c>
      <c r="AN128" s="117" t="n">
        <f aca="false">AL128-AM128</f>
        <v>-533333.28</v>
      </c>
      <c r="AP128" s="115" t="s">
        <v>438</v>
      </c>
    </row>
    <row r="129" customFormat="false" ht="15" hidden="true" customHeight="true" outlineLevel="1" collapsed="false">
      <c r="A129" s="110" t="s">
        <v>92</v>
      </c>
      <c r="B129" s="114" t="n">
        <f aca="false">IF(OR(1&gt;$B$27,ISBLANK(Actuals!C105)),"",Actuals!C105)</f>
        <v>-6935.84</v>
      </c>
      <c r="C129" s="114" t="n">
        <f aca="false">Budget!C105</f>
        <v>0</v>
      </c>
      <c r="D129" s="114" t="n">
        <f aca="false">IF(B129="","",B129-C129)</f>
        <v>-6935.84</v>
      </c>
      <c r="E129" s="114" t="n">
        <f aca="false">IF(OR(2&gt;$B$27,ISBLANK(Actuals!D105)),"",Actuals!D105)</f>
        <v>-2799.88</v>
      </c>
      <c r="F129" s="114" t="n">
        <f aca="false">Budget!D105</f>
        <v>0</v>
      </c>
      <c r="G129" s="114" t="n">
        <f aca="false">IF(E129="","",E129-F129)</f>
        <v>-2799.88</v>
      </c>
      <c r="H129" s="114" t="n">
        <f aca="false">IF(OR(3&gt;$B$27,ISBLANK(Actuals!E105)),"",Actuals!E105)</f>
        <v>-12899.88</v>
      </c>
      <c r="I129" s="114" t="n">
        <f aca="false">Budget!E105</f>
        <v>0</v>
      </c>
      <c r="J129" s="114" t="n">
        <f aca="false">IF(H129="","",H129-I129)</f>
        <v>-12899.88</v>
      </c>
      <c r="K129" s="114" t="n">
        <f aca="false">IF(OR(4&gt;$B$27,ISBLANK(Actuals!F105)),"",Actuals!F105)</f>
        <v>-2932.88</v>
      </c>
      <c r="L129" s="114" t="n">
        <f aca="false">Budget!F105</f>
        <v>0</v>
      </c>
      <c r="M129" s="114" t="n">
        <f aca="false">IF(K129="","",K129-L129)</f>
        <v>-2932.88</v>
      </c>
      <c r="N129" s="114" t="n">
        <f aca="false">IF(OR(5&gt;$B$27,ISBLANK(Actuals!G105)),"",Actuals!G105)</f>
        <v>-5474.88</v>
      </c>
      <c r="O129" s="114" t="n">
        <f aca="false">Budget!G105</f>
        <v>0</v>
      </c>
      <c r="P129" s="114" t="n">
        <f aca="false">IF(N129="","",N129-O129)</f>
        <v>-5474.88</v>
      </c>
      <c r="Q129" s="114" t="n">
        <f aca="false">IF(OR(6&gt;$B$27,ISBLANK(Actuals!H105)),"",Actuals!H105)</f>
        <v>-5</v>
      </c>
      <c r="R129" s="114" t="n">
        <f aca="false">Budget!H105</f>
        <v>0</v>
      </c>
      <c r="S129" s="114" t="n">
        <f aca="false">IF(Q129="","",Q129-R129)</f>
        <v>-5</v>
      </c>
      <c r="T129" s="114" t="n">
        <f aca="false">IF(OR(7&gt;$B$27,ISBLANK(Actuals!I105)),"",Actuals!I105)</f>
        <v>-255</v>
      </c>
      <c r="U129" s="114" t="n">
        <f aca="false">Budget!I105</f>
        <v>0</v>
      </c>
      <c r="V129" s="114" t="n">
        <f aca="false">IF(T129="","",T129-U129)</f>
        <v>-255</v>
      </c>
      <c r="W129" s="114" t="n">
        <f aca="false">IF(OR(8&gt;$B$27,ISBLANK(Actuals!J105)),"",Actuals!J105)</f>
        <v>4520.8</v>
      </c>
      <c r="X129" s="114" t="n">
        <f aca="false">Budget!J105</f>
        <v>0</v>
      </c>
      <c r="Y129" s="114" t="n">
        <f aca="false">IF(W129="","",W129-X129)</f>
        <v>4520.8</v>
      </c>
      <c r="Z129" s="114" t="str">
        <f aca="false">IF(OR(9&gt;$B$27,ISBLANK(Actuals!K105)),"",Actuals!K105)</f>
        <v/>
      </c>
      <c r="AA129" s="114" t="n">
        <f aca="false">Budget!K105</f>
        <v>0</v>
      </c>
      <c r="AB129" s="114" t="str">
        <f aca="false">IF(Z129="","",Z129-AA129)</f>
        <v/>
      </c>
      <c r="AC129" s="114" t="str">
        <f aca="false">IF(OR(10&gt;$B$27,ISBLANK(Actuals!L105)),"",Actuals!L105)</f>
        <v/>
      </c>
      <c r="AD129" s="114" t="n">
        <f aca="false">Budget!L105</f>
        <v>0</v>
      </c>
      <c r="AE129" s="114" t="str">
        <f aca="false">IF(AC129="","",AC129-AD129)</f>
        <v/>
      </c>
      <c r="AF129" s="114" t="str">
        <f aca="false">IF(OR(11&gt;$B$27,ISBLANK(Actuals!M105)),"",Actuals!M105)</f>
        <v/>
      </c>
      <c r="AG129" s="114" t="n">
        <f aca="false">Budget!M105</f>
        <v>0</v>
      </c>
      <c r="AH129" s="114" t="str">
        <f aca="false">IF(AF129="","",AF129-AG129)</f>
        <v/>
      </c>
      <c r="AI129" s="114" t="str">
        <f aca="false">IF(OR(12&gt;$B$27,ISBLANK(Actuals!N105)),"",Actuals!N105)</f>
        <v/>
      </c>
      <c r="AJ129" s="114" t="n">
        <f aca="false">Budget!N105</f>
        <v>0</v>
      </c>
      <c r="AK129" s="114" t="str">
        <f aca="false">IF(AI129="","",AI129-AJ129)</f>
        <v/>
      </c>
      <c r="AL129" s="117" t="n">
        <f aca="false">SUM(Actuals!$C105:INDEX(Actuals!$C105:$N105,$B$27))</f>
        <v>-26782.56</v>
      </c>
      <c r="AM129" s="117" t="n">
        <f aca="false">SUM(Budget!$C105:INDEX(Budget!$C105:$N105,$B$27))</f>
        <v>0</v>
      </c>
      <c r="AN129" s="117" t="n">
        <f aca="false">AL129-AM129</f>
        <v>-26782.56</v>
      </c>
      <c r="AP129" s="115" t="s">
        <v>439</v>
      </c>
    </row>
    <row r="130" customFormat="false" ht="15" hidden="true" customHeight="true" outlineLevel="1" collapsed="false">
      <c r="A130" s="110" t="s">
        <v>93</v>
      </c>
      <c r="B130" s="114" t="n">
        <f aca="false">IF(OR(1&gt;$B$27,ISBLANK(Actuals!C106)),"",Actuals!C106)</f>
        <v>-658.14</v>
      </c>
      <c r="C130" s="114" t="n">
        <f aca="false">Budget!C106</f>
        <v>-500</v>
      </c>
      <c r="D130" s="114" t="n">
        <f aca="false">IF(B130="","",B130-C130)</f>
        <v>-158.14</v>
      </c>
      <c r="E130" s="114" t="n">
        <f aca="false">IF(OR(2&gt;$B$27,ISBLANK(Actuals!D106)),"",Actuals!D106)</f>
        <v>-310</v>
      </c>
      <c r="F130" s="114" t="n">
        <f aca="false">Budget!D106</f>
        <v>-500</v>
      </c>
      <c r="G130" s="114" t="n">
        <f aca="false">IF(E130="","",E130-F130)</f>
        <v>190</v>
      </c>
      <c r="H130" s="114" t="n">
        <f aca="false">IF(OR(3&gt;$B$27,ISBLANK(Actuals!E106)),"",Actuals!E106)</f>
        <v>-371.74</v>
      </c>
      <c r="I130" s="114" t="n">
        <f aca="false">Budget!E106</f>
        <v>-500</v>
      </c>
      <c r="J130" s="114" t="n">
        <f aca="false">IF(H130="","",H130-I130)</f>
        <v>128.26</v>
      </c>
      <c r="K130" s="114" t="n">
        <f aca="false">IF(OR(4&gt;$B$27,ISBLANK(Actuals!F106)),"",Actuals!F106)</f>
        <v>-857.33</v>
      </c>
      <c r="L130" s="114" t="n">
        <f aca="false">Budget!F106</f>
        <v>-500</v>
      </c>
      <c r="M130" s="114" t="n">
        <f aca="false">IF(K130="","",K130-L130)</f>
        <v>-357.33</v>
      </c>
      <c r="N130" s="114" t="n">
        <f aca="false">IF(OR(5&gt;$B$27,ISBLANK(Actuals!G106)),"",Actuals!G106)</f>
        <v>-305</v>
      </c>
      <c r="O130" s="114" t="n">
        <f aca="false">Budget!G106</f>
        <v>-500</v>
      </c>
      <c r="P130" s="114" t="n">
        <f aca="false">IF(N130="","",N130-O130)</f>
        <v>195</v>
      </c>
      <c r="Q130" s="114" t="n">
        <f aca="false">IF(OR(6&gt;$B$27,ISBLANK(Actuals!H106)),"",Actuals!H106)</f>
        <v>-352.5</v>
      </c>
      <c r="R130" s="114" t="n">
        <f aca="false">Budget!H106</f>
        <v>-500</v>
      </c>
      <c r="S130" s="114" t="n">
        <f aca="false">IF(Q130="","",Q130-R130)</f>
        <v>147.5</v>
      </c>
      <c r="T130" s="114" t="n">
        <f aca="false">IF(OR(7&gt;$B$27,ISBLANK(Actuals!I106)),"",Actuals!I106)</f>
        <v>-204</v>
      </c>
      <c r="U130" s="114" t="n">
        <f aca="false">Budget!I106</f>
        <v>-510</v>
      </c>
      <c r="V130" s="114" t="n">
        <f aca="false">IF(T130="","",T130-U130)</f>
        <v>306</v>
      </c>
      <c r="W130" s="114" t="n">
        <f aca="false">IF(OR(8&gt;$B$27,ISBLANK(Actuals!J106)),"",Actuals!J106)</f>
        <v>-1477.65</v>
      </c>
      <c r="X130" s="114" t="n">
        <f aca="false">Budget!J106</f>
        <v>-510</v>
      </c>
      <c r="Y130" s="114" t="n">
        <f aca="false">IF(W130="","",W130-X130)</f>
        <v>-967.65</v>
      </c>
      <c r="Z130" s="114" t="str">
        <f aca="false">IF(OR(9&gt;$B$27,ISBLANK(Actuals!K106)),"",Actuals!K106)</f>
        <v/>
      </c>
      <c r="AA130" s="114" t="n">
        <f aca="false">Budget!K106</f>
        <v>-510</v>
      </c>
      <c r="AB130" s="114" t="str">
        <f aca="false">IF(Z130="","",Z130-AA130)</f>
        <v/>
      </c>
      <c r="AC130" s="114" t="str">
        <f aca="false">IF(OR(10&gt;$B$27,ISBLANK(Actuals!L106)),"",Actuals!L106)</f>
        <v/>
      </c>
      <c r="AD130" s="114" t="n">
        <f aca="false">Budget!L106</f>
        <v>-510</v>
      </c>
      <c r="AE130" s="114" t="str">
        <f aca="false">IF(AC130="","",AC130-AD130)</f>
        <v/>
      </c>
      <c r="AF130" s="114" t="str">
        <f aca="false">IF(OR(11&gt;$B$27,ISBLANK(Actuals!M106)),"",Actuals!M106)</f>
        <v/>
      </c>
      <c r="AG130" s="114" t="n">
        <f aca="false">Budget!M106</f>
        <v>-510</v>
      </c>
      <c r="AH130" s="114" t="str">
        <f aca="false">IF(AF130="","",AF130-AG130)</f>
        <v/>
      </c>
      <c r="AI130" s="114" t="str">
        <f aca="false">IF(OR(12&gt;$B$27,ISBLANK(Actuals!N106)),"",Actuals!N106)</f>
        <v/>
      </c>
      <c r="AJ130" s="114" t="n">
        <f aca="false">Budget!N106</f>
        <v>-510</v>
      </c>
      <c r="AK130" s="114" t="str">
        <f aca="false">IF(AI130="","",AI130-AJ130)</f>
        <v/>
      </c>
      <c r="AL130" s="117" t="n">
        <f aca="false">SUM(Actuals!$C106:INDEX(Actuals!$C106:$N106,$B$27))</f>
        <v>-4536.36</v>
      </c>
      <c r="AM130" s="117" t="n">
        <f aca="false">SUM(Budget!$C106:INDEX(Budget!$C106:$N106,$B$27))</f>
        <v>-4020</v>
      </c>
      <c r="AN130" s="117" t="n">
        <f aca="false">AL130-AM130</f>
        <v>-516.360000000001</v>
      </c>
    </row>
    <row r="131" customFormat="false" ht="15" hidden="true" customHeight="true" outlineLevel="1" collapsed="false">
      <c r="A131" s="110" t="s">
        <v>132</v>
      </c>
      <c r="B131" s="114" t="str">
        <f aca="false">IF(OR(1&gt;$B$27,ISBLANK(Actuals!C107)),"",Actuals!C107)</f>
        <v/>
      </c>
      <c r="C131" s="114" t="n">
        <f aca="false">Budget!C107</f>
        <v>0</v>
      </c>
      <c r="D131" s="114" t="str">
        <f aca="false">IF(B131="","",B131-C131)</f>
        <v/>
      </c>
      <c r="E131" s="114" t="str">
        <f aca="false">IF(OR(2&gt;$B$27,ISBLANK(Actuals!D107)),"",Actuals!D107)</f>
        <v/>
      </c>
      <c r="F131" s="114" t="n">
        <f aca="false">Budget!D107</f>
        <v>0</v>
      </c>
      <c r="G131" s="114" t="str">
        <f aca="false">IF(E131="","",E131-F131)</f>
        <v/>
      </c>
      <c r="H131" s="114" t="str">
        <f aca="false">IF(OR(3&gt;$B$27,ISBLANK(Actuals!E107)),"",Actuals!E107)</f>
        <v/>
      </c>
      <c r="I131" s="114" t="n">
        <f aca="false">Budget!E107</f>
        <v>0</v>
      </c>
      <c r="J131" s="114" t="str">
        <f aca="false">IF(H131="","",H131-I131)</f>
        <v/>
      </c>
      <c r="K131" s="114" t="str">
        <f aca="false">IF(OR(4&gt;$B$27,ISBLANK(Actuals!F107)),"",Actuals!F107)</f>
        <v/>
      </c>
      <c r="L131" s="114" t="n">
        <f aca="false">Budget!F107</f>
        <v>0</v>
      </c>
      <c r="M131" s="114" t="str">
        <f aca="false">IF(K131="","",K131-L131)</f>
        <v/>
      </c>
      <c r="N131" s="114" t="str">
        <f aca="false">IF(OR(5&gt;$B$27,ISBLANK(Actuals!G107)),"",Actuals!G107)</f>
        <v/>
      </c>
      <c r="O131" s="114" t="n">
        <f aca="false">Budget!G107</f>
        <v>0</v>
      </c>
      <c r="P131" s="114" t="str">
        <f aca="false">IF(N131="","",N131-O131)</f>
        <v/>
      </c>
      <c r="Q131" s="114" t="str">
        <f aca="false">IF(OR(6&gt;$B$27,ISBLANK(Actuals!H107)),"",Actuals!H107)</f>
        <v/>
      </c>
      <c r="R131" s="114" t="n">
        <f aca="false">Budget!H107</f>
        <v>0</v>
      </c>
      <c r="S131" s="114" t="str">
        <f aca="false">IF(Q131="","",Q131-R131)</f>
        <v/>
      </c>
      <c r="T131" s="114" t="str">
        <f aca="false">IF(OR(7&gt;$B$27,ISBLANK(Actuals!I107)),"",Actuals!I107)</f>
        <v/>
      </c>
      <c r="U131" s="114" t="n">
        <f aca="false">Budget!I107</f>
        <v>0</v>
      </c>
      <c r="V131" s="114" t="str">
        <f aca="false">IF(T131="","",T131-U131)</f>
        <v/>
      </c>
      <c r="W131" s="114" t="str">
        <f aca="false">IF(OR(8&gt;$B$27,ISBLANK(Actuals!J107)),"",Actuals!J107)</f>
        <v/>
      </c>
      <c r="X131" s="114" t="n">
        <f aca="false">Budget!J107</f>
        <v>0</v>
      </c>
      <c r="Y131" s="114" t="str">
        <f aca="false">IF(W131="","",W131-X131)</f>
        <v/>
      </c>
      <c r="Z131" s="114" t="str">
        <f aca="false">IF(OR(9&gt;$B$27,ISBLANK(Actuals!K107)),"",Actuals!K107)</f>
        <v/>
      </c>
      <c r="AA131" s="114" t="n">
        <f aca="false">Budget!K107</f>
        <v>0</v>
      </c>
      <c r="AB131" s="114" t="str">
        <f aca="false">IF(Z131="","",Z131-AA131)</f>
        <v/>
      </c>
      <c r="AC131" s="114" t="str">
        <f aca="false">IF(OR(10&gt;$B$27,ISBLANK(Actuals!L107)),"",Actuals!L107)</f>
        <v/>
      </c>
      <c r="AD131" s="114" t="n">
        <f aca="false">Budget!L107</f>
        <v>0</v>
      </c>
      <c r="AE131" s="114" t="str">
        <f aca="false">IF(AC131="","",AC131-AD131)</f>
        <v/>
      </c>
      <c r="AF131" s="114" t="str">
        <f aca="false">IF(OR(11&gt;$B$27,ISBLANK(Actuals!M107)),"",Actuals!M107)</f>
        <v/>
      </c>
      <c r="AG131" s="114" t="n">
        <f aca="false">Budget!M107</f>
        <v>0</v>
      </c>
      <c r="AH131" s="114" t="str">
        <f aca="false">IF(AF131="","",AF131-AG131)</f>
        <v/>
      </c>
      <c r="AI131" s="114" t="str">
        <f aca="false">IF(OR(12&gt;$B$27,ISBLANK(Actuals!N107)),"",Actuals!N107)</f>
        <v/>
      </c>
      <c r="AJ131" s="114" t="n">
        <f aca="false">Budget!N107</f>
        <v>0</v>
      </c>
      <c r="AK131" s="114" t="str">
        <f aca="false">IF(AI131="","",AI131-AJ131)</f>
        <v/>
      </c>
      <c r="AL131" s="117" t="n">
        <f aca="false">SUM(Actuals!$C107:INDEX(Actuals!$C107:$N107,$B$27))</f>
        <v>0</v>
      </c>
      <c r="AM131" s="117" t="n">
        <f aca="false">SUM(Budget!$C107:INDEX(Budget!$C107:$N107,$B$27))</f>
        <v>0</v>
      </c>
      <c r="AN131" s="117" t="n">
        <f aca="false">AL131-AM131</f>
        <v>0</v>
      </c>
    </row>
    <row r="132" customFormat="false" ht="15" hidden="true" customHeight="true" outlineLevel="1" collapsed="false">
      <c r="A132" s="110" t="s">
        <v>133</v>
      </c>
      <c r="B132" s="114" t="str">
        <f aca="false">IF(OR(1&gt;$B$27,ISBLANK(Actuals!C108)),"",Actuals!C108)</f>
        <v/>
      </c>
      <c r="C132" s="114" t="n">
        <f aca="false">Budget!C108</f>
        <v>0</v>
      </c>
      <c r="D132" s="114" t="str">
        <f aca="false">IF(B132="","",B132-C132)</f>
        <v/>
      </c>
      <c r="E132" s="114" t="str">
        <f aca="false">IF(OR(2&gt;$B$27,ISBLANK(Actuals!D108)),"",Actuals!D108)</f>
        <v/>
      </c>
      <c r="F132" s="114" t="n">
        <f aca="false">Budget!D108</f>
        <v>0</v>
      </c>
      <c r="G132" s="114" t="str">
        <f aca="false">IF(E132="","",E132-F132)</f>
        <v/>
      </c>
      <c r="H132" s="114" t="str">
        <f aca="false">IF(OR(3&gt;$B$27,ISBLANK(Actuals!E108)),"",Actuals!E108)</f>
        <v/>
      </c>
      <c r="I132" s="114" t="n">
        <f aca="false">Budget!E108</f>
        <v>0</v>
      </c>
      <c r="J132" s="114" t="str">
        <f aca="false">IF(H132="","",H132-I132)</f>
        <v/>
      </c>
      <c r="K132" s="114" t="str">
        <f aca="false">IF(OR(4&gt;$B$27,ISBLANK(Actuals!F108)),"",Actuals!F108)</f>
        <v/>
      </c>
      <c r="L132" s="114" t="n">
        <f aca="false">Budget!F108</f>
        <v>0</v>
      </c>
      <c r="M132" s="114" t="str">
        <f aca="false">IF(K132="","",K132-L132)</f>
        <v/>
      </c>
      <c r="N132" s="114" t="str">
        <f aca="false">IF(OR(5&gt;$B$27,ISBLANK(Actuals!G108)),"",Actuals!G108)</f>
        <v/>
      </c>
      <c r="O132" s="114" t="n">
        <f aca="false">Budget!G108</f>
        <v>0</v>
      </c>
      <c r="P132" s="114" t="str">
        <f aca="false">IF(N132="","",N132-O132)</f>
        <v/>
      </c>
      <c r="Q132" s="114" t="str">
        <f aca="false">IF(OR(6&gt;$B$27,ISBLANK(Actuals!H108)),"",Actuals!H108)</f>
        <v/>
      </c>
      <c r="R132" s="114" t="n">
        <f aca="false">Budget!H108</f>
        <v>0</v>
      </c>
      <c r="S132" s="114" t="str">
        <f aca="false">IF(Q132="","",Q132-R132)</f>
        <v/>
      </c>
      <c r="T132" s="114" t="str">
        <f aca="false">IF(OR(7&gt;$B$27,ISBLANK(Actuals!I108)),"",Actuals!I108)</f>
        <v/>
      </c>
      <c r="U132" s="114" t="n">
        <f aca="false">Budget!I108</f>
        <v>0</v>
      </c>
      <c r="V132" s="114" t="str">
        <f aca="false">IF(T132="","",T132-U132)</f>
        <v/>
      </c>
      <c r="W132" s="114" t="str">
        <f aca="false">IF(OR(8&gt;$B$27,ISBLANK(Actuals!J108)),"",Actuals!J108)</f>
        <v/>
      </c>
      <c r="X132" s="114" t="n">
        <f aca="false">Budget!J108</f>
        <v>0</v>
      </c>
      <c r="Y132" s="114" t="str">
        <f aca="false">IF(W132="","",W132-X132)</f>
        <v/>
      </c>
      <c r="Z132" s="114" t="str">
        <f aca="false">IF(OR(9&gt;$B$27,ISBLANK(Actuals!K108)),"",Actuals!K108)</f>
        <v/>
      </c>
      <c r="AA132" s="114" t="n">
        <f aca="false">Budget!K108</f>
        <v>0</v>
      </c>
      <c r="AB132" s="114" t="str">
        <f aca="false">IF(Z132="","",Z132-AA132)</f>
        <v/>
      </c>
      <c r="AC132" s="114" t="str">
        <f aca="false">IF(OR(10&gt;$B$27,ISBLANK(Actuals!L108)),"",Actuals!L108)</f>
        <v/>
      </c>
      <c r="AD132" s="114" t="n">
        <f aca="false">Budget!L108</f>
        <v>0</v>
      </c>
      <c r="AE132" s="114" t="str">
        <f aca="false">IF(AC132="","",AC132-AD132)</f>
        <v/>
      </c>
      <c r="AF132" s="114" t="str">
        <f aca="false">IF(OR(11&gt;$B$27,ISBLANK(Actuals!M108)),"",Actuals!M108)</f>
        <v/>
      </c>
      <c r="AG132" s="114" t="n">
        <f aca="false">Budget!M108</f>
        <v>0</v>
      </c>
      <c r="AH132" s="114" t="str">
        <f aca="false">IF(AF132="","",AF132-AG132)</f>
        <v/>
      </c>
      <c r="AI132" s="114" t="str">
        <f aca="false">IF(OR(12&gt;$B$27,ISBLANK(Actuals!N108)),"",Actuals!N108)</f>
        <v/>
      </c>
      <c r="AJ132" s="114" t="n">
        <f aca="false">Budget!N108</f>
        <v>0</v>
      </c>
      <c r="AK132" s="114" t="str">
        <f aca="false">IF(AI132="","",AI132-AJ132)</f>
        <v/>
      </c>
      <c r="AL132" s="117" t="n">
        <f aca="false">SUM(Actuals!$C108:INDEX(Actuals!$C108:$N108,$B$27))</f>
        <v>0</v>
      </c>
      <c r="AM132" s="117" t="n">
        <f aca="false">SUM(Budget!$C108:INDEX(Budget!$C108:$N108,$B$27))</f>
        <v>0</v>
      </c>
      <c r="AN132" s="117" t="n">
        <f aca="false">AL132-AM132</f>
        <v>0</v>
      </c>
    </row>
    <row r="133" customFormat="false" ht="15" hidden="true" customHeight="true" outlineLevel="1" collapsed="false">
      <c r="A133" s="110" t="s">
        <v>134</v>
      </c>
      <c r="B133" s="114" t="str">
        <f aca="false">IF(OR(1&gt;$B$27,ISBLANK(Actuals!C109)),"",Actuals!C109)</f>
        <v/>
      </c>
      <c r="C133" s="114" t="n">
        <f aca="false">Budget!C109</f>
        <v>0</v>
      </c>
      <c r="D133" s="114" t="str">
        <f aca="false">IF(B133="","",B133-C133)</f>
        <v/>
      </c>
      <c r="E133" s="114" t="str">
        <f aca="false">IF(OR(2&gt;$B$27,ISBLANK(Actuals!D109)),"",Actuals!D109)</f>
        <v/>
      </c>
      <c r="F133" s="114" t="n">
        <f aca="false">Budget!D109</f>
        <v>0</v>
      </c>
      <c r="G133" s="114" t="str">
        <f aca="false">IF(E133="","",E133-F133)</f>
        <v/>
      </c>
      <c r="H133" s="114" t="str">
        <f aca="false">IF(OR(3&gt;$B$27,ISBLANK(Actuals!E109)),"",Actuals!E109)</f>
        <v/>
      </c>
      <c r="I133" s="114" t="n">
        <f aca="false">Budget!E109</f>
        <v>0</v>
      </c>
      <c r="J133" s="114" t="str">
        <f aca="false">IF(H133="","",H133-I133)</f>
        <v/>
      </c>
      <c r="K133" s="114" t="str">
        <f aca="false">IF(OR(4&gt;$B$27,ISBLANK(Actuals!F109)),"",Actuals!F109)</f>
        <v/>
      </c>
      <c r="L133" s="114" t="n">
        <f aca="false">Budget!F109</f>
        <v>0</v>
      </c>
      <c r="M133" s="114" t="str">
        <f aca="false">IF(K133="","",K133-L133)</f>
        <v/>
      </c>
      <c r="N133" s="114" t="str">
        <f aca="false">IF(OR(5&gt;$B$27,ISBLANK(Actuals!G109)),"",Actuals!G109)</f>
        <v/>
      </c>
      <c r="O133" s="114" t="n">
        <f aca="false">Budget!G109</f>
        <v>0</v>
      </c>
      <c r="P133" s="114" t="str">
        <f aca="false">IF(N133="","",N133-O133)</f>
        <v/>
      </c>
      <c r="Q133" s="114" t="str">
        <f aca="false">IF(OR(6&gt;$B$27,ISBLANK(Actuals!H109)),"",Actuals!H109)</f>
        <v/>
      </c>
      <c r="R133" s="114" t="n">
        <f aca="false">Budget!H109</f>
        <v>0</v>
      </c>
      <c r="S133" s="114" t="str">
        <f aca="false">IF(Q133="","",Q133-R133)</f>
        <v/>
      </c>
      <c r="T133" s="114" t="str">
        <f aca="false">IF(OR(7&gt;$B$27,ISBLANK(Actuals!I109)),"",Actuals!I109)</f>
        <v/>
      </c>
      <c r="U133" s="114" t="n">
        <f aca="false">Budget!I109</f>
        <v>0</v>
      </c>
      <c r="V133" s="114" t="str">
        <f aca="false">IF(T133="","",T133-U133)</f>
        <v/>
      </c>
      <c r="W133" s="114" t="n">
        <f aca="false">IF(OR(8&gt;$B$27,ISBLANK(Actuals!J109)),"",Actuals!J109)</f>
        <v>0</v>
      </c>
      <c r="X133" s="114" t="n">
        <f aca="false">Budget!J109</f>
        <v>0</v>
      </c>
      <c r="Y133" s="114" t="n">
        <f aca="false">IF(W133="","",W133-X133)</f>
        <v>0</v>
      </c>
      <c r="Z133" s="114" t="str">
        <f aca="false">IF(OR(9&gt;$B$27,ISBLANK(Actuals!K109)),"",Actuals!K109)</f>
        <v/>
      </c>
      <c r="AA133" s="114" t="n">
        <f aca="false">Budget!K109</f>
        <v>0</v>
      </c>
      <c r="AB133" s="114" t="str">
        <f aca="false">IF(Z133="","",Z133-AA133)</f>
        <v/>
      </c>
      <c r="AC133" s="114" t="str">
        <f aca="false">IF(OR(10&gt;$B$27,ISBLANK(Actuals!L109)),"",Actuals!L109)</f>
        <v/>
      </c>
      <c r="AD133" s="114" t="n">
        <f aca="false">Budget!L109</f>
        <v>0</v>
      </c>
      <c r="AE133" s="114" t="str">
        <f aca="false">IF(AC133="","",AC133-AD133)</f>
        <v/>
      </c>
      <c r="AF133" s="114" t="str">
        <f aca="false">IF(OR(11&gt;$B$27,ISBLANK(Actuals!M109)),"",Actuals!M109)</f>
        <v/>
      </c>
      <c r="AG133" s="114" t="n">
        <f aca="false">Budget!M109</f>
        <v>0</v>
      </c>
      <c r="AH133" s="114" t="str">
        <f aca="false">IF(AF133="","",AF133-AG133)</f>
        <v/>
      </c>
      <c r="AI133" s="114" t="str">
        <f aca="false">IF(OR(12&gt;$B$27,ISBLANK(Actuals!N109)),"",Actuals!N109)</f>
        <v/>
      </c>
      <c r="AJ133" s="114" t="n">
        <f aca="false">Budget!N109</f>
        <v>0</v>
      </c>
      <c r="AK133" s="114" t="str">
        <f aca="false">IF(AI133="","",AI133-AJ133)</f>
        <v/>
      </c>
      <c r="AL133" s="117" t="n">
        <f aca="false">SUM(Actuals!$C109:INDEX(Actuals!$C109:$N109,$B$27))</f>
        <v>0</v>
      </c>
      <c r="AM133" s="117" t="n">
        <f aca="false">SUM(Budget!$C109:INDEX(Budget!$C109:$N109,$B$27))</f>
        <v>0</v>
      </c>
      <c r="AN133" s="117" t="n">
        <f aca="false">AL133-AM133</f>
        <v>0</v>
      </c>
    </row>
    <row r="134" customFormat="false" ht="15" hidden="true" customHeight="true" outlineLevel="1" collapsed="false">
      <c r="A134" s="110" t="s">
        <v>135</v>
      </c>
      <c r="B134" s="114" t="str">
        <f aca="false">IF(OR(1&gt;$B$27,ISBLANK(Actuals!C110)),"",Actuals!C110)</f>
        <v/>
      </c>
      <c r="C134" s="114" t="n">
        <f aca="false">Budget!C110</f>
        <v>0</v>
      </c>
      <c r="D134" s="114" t="str">
        <f aca="false">IF(B134="","",B134-C134)</f>
        <v/>
      </c>
      <c r="E134" s="114" t="str">
        <f aca="false">IF(OR(2&gt;$B$27,ISBLANK(Actuals!D110)),"",Actuals!D110)</f>
        <v/>
      </c>
      <c r="F134" s="114" t="n">
        <f aca="false">Budget!D110</f>
        <v>0</v>
      </c>
      <c r="G134" s="114" t="str">
        <f aca="false">IF(E134="","",E134-F134)</f>
        <v/>
      </c>
      <c r="H134" s="114" t="str">
        <f aca="false">IF(OR(3&gt;$B$27,ISBLANK(Actuals!E110)),"",Actuals!E110)</f>
        <v/>
      </c>
      <c r="I134" s="114" t="n">
        <f aca="false">Budget!E110</f>
        <v>0</v>
      </c>
      <c r="J134" s="114" t="str">
        <f aca="false">IF(H134="","",H134-I134)</f>
        <v/>
      </c>
      <c r="K134" s="114" t="str">
        <f aca="false">IF(OR(4&gt;$B$27,ISBLANK(Actuals!F110)),"",Actuals!F110)</f>
        <v/>
      </c>
      <c r="L134" s="114" t="n">
        <f aca="false">Budget!F110</f>
        <v>0</v>
      </c>
      <c r="M134" s="114" t="str">
        <f aca="false">IF(K134="","",K134-L134)</f>
        <v/>
      </c>
      <c r="N134" s="114" t="str">
        <f aca="false">IF(OR(5&gt;$B$27,ISBLANK(Actuals!G110)),"",Actuals!G110)</f>
        <v/>
      </c>
      <c r="O134" s="114" t="n">
        <f aca="false">Budget!G110</f>
        <v>0</v>
      </c>
      <c r="P134" s="114" t="str">
        <f aca="false">IF(N134="","",N134-O134)</f>
        <v/>
      </c>
      <c r="Q134" s="114" t="str">
        <f aca="false">IF(OR(6&gt;$B$27,ISBLANK(Actuals!H110)),"",Actuals!H110)</f>
        <v/>
      </c>
      <c r="R134" s="114" t="n">
        <f aca="false">Budget!H110</f>
        <v>0</v>
      </c>
      <c r="S134" s="114" t="str">
        <f aca="false">IF(Q134="","",Q134-R134)</f>
        <v/>
      </c>
      <c r="T134" s="114" t="str">
        <f aca="false">IF(OR(7&gt;$B$27,ISBLANK(Actuals!I110)),"",Actuals!I110)</f>
        <v/>
      </c>
      <c r="U134" s="114" t="n">
        <f aca="false">Budget!I110</f>
        <v>0</v>
      </c>
      <c r="V134" s="114" t="str">
        <f aca="false">IF(T134="","",T134-U134)</f>
        <v/>
      </c>
      <c r="W134" s="114" t="str">
        <f aca="false">IF(OR(8&gt;$B$27,ISBLANK(Actuals!J110)),"",Actuals!J110)</f>
        <v/>
      </c>
      <c r="X134" s="114" t="n">
        <f aca="false">Budget!J110</f>
        <v>0</v>
      </c>
      <c r="Y134" s="114" t="str">
        <f aca="false">IF(W134="","",W134-X134)</f>
        <v/>
      </c>
      <c r="Z134" s="114" t="str">
        <f aca="false">IF(OR(9&gt;$B$27,ISBLANK(Actuals!K110)),"",Actuals!K110)</f>
        <v/>
      </c>
      <c r="AA134" s="114" t="n">
        <f aca="false">Budget!K110</f>
        <v>0</v>
      </c>
      <c r="AB134" s="114" t="str">
        <f aca="false">IF(Z134="","",Z134-AA134)</f>
        <v/>
      </c>
      <c r="AC134" s="114" t="str">
        <f aca="false">IF(OR(10&gt;$B$27,ISBLANK(Actuals!L110)),"",Actuals!L110)</f>
        <v/>
      </c>
      <c r="AD134" s="114" t="n">
        <f aca="false">Budget!L110</f>
        <v>0</v>
      </c>
      <c r="AE134" s="114" t="str">
        <f aca="false">IF(AC134="","",AC134-AD134)</f>
        <v/>
      </c>
      <c r="AF134" s="114" t="str">
        <f aca="false">IF(OR(11&gt;$B$27,ISBLANK(Actuals!M110)),"",Actuals!M110)</f>
        <v/>
      </c>
      <c r="AG134" s="114" t="n">
        <f aca="false">Budget!M110</f>
        <v>0</v>
      </c>
      <c r="AH134" s="114" t="str">
        <f aca="false">IF(AF134="","",AF134-AG134)</f>
        <v/>
      </c>
      <c r="AI134" s="114" t="str">
        <f aca="false">IF(OR(12&gt;$B$27,ISBLANK(Actuals!N110)),"",Actuals!N110)</f>
        <v/>
      </c>
      <c r="AJ134" s="114" t="n">
        <f aca="false">Budget!N110</f>
        <v>0</v>
      </c>
      <c r="AK134" s="114" t="str">
        <f aca="false">IF(AI134="","",AI134-AJ134)</f>
        <v/>
      </c>
      <c r="AL134" s="117" t="n">
        <f aca="false">SUM(Actuals!$C110:INDEX(Actuals!$C110:$N110,$B$27))</f>
        <v>0</v>
      </c>
      <c r="AM134" s="117" t="n">
        <f aca="false">SUM(Budget!$C110:INDEX(Budget!$C110:$N110,$B$27))</f>
        <v>0</v>
      </c>
      <c r="AN134" s="117" t="n">
        <f aca="false">AL134-AM134</f>
        <v>0</v>
      </c>
    </row>
    <row r="135" customFormat="false" ht="15" hidden="true" customHeight="true" outlineLevel="1" collapsed="false">
      <c r="A135" s="110" t="s">
        <v>136</v>
      </c>
      <c r="B135" s="114" t="str">
        <f aca="false">IF(OR(1&gt;$B$27,ISBLANK(Actuals!C111)),"",Actuals!C111)</f>
        <v/>
      </c>
      <c r="C135" s="114" t="n">
        <f aca="false">Budget!C111</f>
        <v>0</v>
      </c>
      <c r="D135" s="114" t="str">
        <f aca="false">IF(B135="","",B135-C135)</f>
        <v/>
      </c>
      <c r="E135" s="114" t="str">
        <f aca="false">IF(OR(2&gt;$B$27,ISBLANK(Actuals!D111)),"",Actuals!D111)</f>
        <v/>
      </c>
      <c r="F135" s="114" t="n">
        <f aca="false">Budget!D111</f>
        <v>0</v>
      </c>
      <c r="G135" s="114" t="str">
        <f aca="false">IF(E135="","",E135-F135)</f>
        <v/>
      </c>
      <c r="H135" s="114" t="str">
        <f aca="false">IF(OR(3&gt;$B$27,ISBLANK(Actuals!E111)),"",Actuals!E111)</f>
        <v/>
      </c>
      <c r="I135" s="114" t="n">
        <f aca="false">Budget!E111</f>
        <v>0</v>
      </c>
      <c r="J135" s="114" t="str">
        <f aca="false">IF(H135="","",H135-I135)</f>
        <v/>
      </c>
      <c r="K135" s="114" t="str">
        <f aca="false">IF(OR(4&gt;$B$27,ISBLANK(Actuals!F111)),"",Actuals!F111)</f>
        <v/>
      </c>
      <c r="L135" s="114" t="n">
        <f aca="false">Budget!F111</f>
        <v>0</v>
      </c>
      <c r="M135" s="114" t="str">
        <f aca="false">IF(K135="","",K135-L135)</f>
        <v/>
      </c>
      <c r="N135" s="114" t="str">
        <f aca="false">IF(OR(5&gt;$B$27,ISBLANK(Actuals!G111)),"",Actuals!G111)</f>
        <v/>
      </c>
      <c r="O135" s="114" t="n">
        <f aca="false">Budget!G111</f>
        <v>0</v>
      </c>
      <c r="P135" s="114" t="str">
        <f aca="false">IF(N135="","",N135-O135)</f>
        <v/>
      </c>
      <c r="Q135" s="114" t="str">
        <f aca="false">IF(OR(6&gt;$B$27,ISBLANK(Actuals!H111)),"",Actuals!H111)</f>
        <v/>
      </c>
      <c r="R135" s="114" t="n">
        <f aca="false">Budget!H111</f>
        <v>0</v>
      </c>
      <c r="S135" s="114" t="str">
        <f aca="false">IF(Q135="","",Q135-R135)</f>
        <v/>
      </c>
      <c r="T135" s="114" t="str">
        <f aca="false">IF(OR(7&gt;$B$27,ISBLANK(Actuals!I111)),"",Actuals!I111)</f>
        <v/>
      </c>
      <c r="U135" s="114" t="n">
        <f aca="false">Budget!I111</f>
        <v>0</v>
      </c>
      <c r="V135" s="114" t="str">
        <f aca="false">IF(T135="","",T135-U135)</f>
        <v/>
      </c>
      <c r="W135" s="114" t="str">
        <f aca="false">IF(OR(8&gt;$B$27,ISBLANK(Actuals!J111)),"",Actuals!J111)</f>
        <v/>
      </c>
      <c r="X135" s="114" t="n">
        <f aca="false">Budget!J111</f>
        <v>0</v>
      </c>
      <c r="Y135" s="114" t="str">
        <f aca="false">IF(W135="","",W135-X135)</f>
        <v/>
      </c>
      <c r="Z135" s="114" t="str">
        <f aca="false">IF(OR(9&gt;$B$27,ISBLANK(Actuals!K111)),"",Actuals!K111)</f>
        <v/>
      </c>
      <c r="AA135" s="114" t="n">
        <f aca="false">Budget!K111</f>
        <v>0</v>
      </c>
      <c r="AB135" s="114" t="str">
        <f aca="false">IF(Z135="","",Z135-AA135)</f>
        <v/>
      </c>
      <c r="AC135" s="114" t="str">
        <f aca="false">IF(OR(10&gt;$B$27,ISBLANK(Actuals!L111)),"",Actuals!L111)</f>
        <v/>
      </c>
      <c r="AD135" s="114" t="n">
        <f aca="false">Budget!L111</f>
        <v>0</v>
      </c>
      <c r="AE135" s="114" t="str">
        <f aca="false">IF(AC135="","",AC135-AD135)</f>
        <v/>
      </c>
      <c r="AF135" s="114" t="str">
        <f aca="false">IF(OR(11&gt;$B$27,ISBLANK(Actuals!M111)),"",Actuals!M111)</f>
        <v/>
      </c>
      <c r="AG135" s="114" t="n">
        <f aca="false">Budget!M111</f>
        <v>0</v>
      </c>
      <c r="AH135" s="114" t="str">
        <f aca="false">IF(AF135="","",AF135-AG135)</f>
        <v/>
      </c>
      <c r="AI135" s="114" t="str">
        <f aca="false">IF(OR(12&gt;$B$27,ISBLANK(Actuals!N111)),"",Actuals!N111)</f>
        <v/>
      </c>
      <c r="AJ135" s="114" t="n">
        <f aca="false">Budget!N111</f>
        <v>0</v>
      </c>
      <c r="AK135" s="114" t="str">
        <f aca="false">IF(AI135="","",AI135-AJ135)</f>
        <v/>
      </c>
      <c r="AL135" s="117" t="n">
        <f aca="false">SUM(Actuals!$C111:INDEX(Actuals!$C111:$N111,$B$27))</f>
        <v>0</v>
      </c>
      <c r="AM135" s="117" t="n">
        <f aca="false">SUM(Budget!$C111:INDEX(Budget!$C111:$N111,$B$27))</f>
        <v>0</v>
      </c>
      <c r="AN135" s="117" t="n">
        <f aca="false">AL135-AM135</f>
        <v>0</v>
      </c>
    </row>
    <row r="136" customFormat="false" ht="15" hidden="false" customHeight="true" outlineLevel="0" collapsed="true">
      <c r="A136" s="116" t="s">
        <v>137</v>
      </c>
      <c r="B136" s="117" t="n">
        <f aca="false">IF(OR(1&gt;$B$27,ISBLANK(Actuals!C112)),"",Actuals!C112)</f>
        <v>-198827.72</v>
      </c>
      <c r="C136" s="117" t="n">
        <f aca="false">Budget!C112</f>
        <v>-138412.48</v>
      </c>
      <c r="D136" s="117" t="n">
        <f aca="false">IF(B136="","",B136-C136)</f>
        <v>-60415.24</v>
      </c>
      <c r="E136" s="117" t="n">
        <f aca="false">IF(OR(2&gt;$B$27,ISBLANK(Actuals!D112)),"",Actuals!D112)</f>
        <v>-192502</v>
      </c>
      <c r="F136" s="117" t="n">
        <f aca="false">Budget!D112</f>
        <v>-138412.48</v>
      </c>
      <c r="G136" s="117" t="n">
        <f aca="false">IF(E136="","",E136-F136)</f>
        <v>-54089.52</v>
      </c>
      <c r="H136" s="117" t="n">
        <f aca="false">IF(OR(3&gt;$B$27,ISBLANK(Actuals!E112)),"",Actuals!E112)</f>
        <v>-255024.1</v>
      </c>
      <c r="I136" s="117" t="n">
        <f aca="false">Budget!E112</f>
        <v>-138412.48</v>
      </c>
      <c r="J136" s="117" t="n">
        <f aca="false">IF(H136="","",H136-I136)</f>
        <v>-116611.62</v>
      </c>
      <c r="K136" s="117" t="n">
        <f aca="false">IF(OR(4&gt;$B$27,ISBLANK(Actuals!F112)),"",Actuals!F112)</f>
        <v>-195904.72</v>
      </c>
      <c r="L136" s="117" t="n">
        <f aca="false">Budget!F112</f>
        <v>-138412.48</v>
      </c>
      <c r="M136" s="117" t="n">
        <f aca="false">IF(K136="","",K136-L136)</f>
        <v>-57492.24</v>
      </c>
      <c r="N136" s="117" t="n">
        <f aca="false">IF(OR(5&gt;$B$27,ISBLANK(Actuals!G112)),"",Actuals!G112)</f>
        <v>-250029.52</v>
      </c>
      <c r="O136" s="117" t="n">
        <f aca="false">Budget!G112</f>
        <v>-138412.48</v>
      </c>
      <c r="P136" s="117" t="n">
        <f aca="false">IF(N136="","",N136-O136)</f>
        <v>-111617.04</v>
      </c>
      <c r="Q136" s="117" t="n">
        <f aca="false">IF(OR(6&gt;$B$27,ISBLANK(Actuals!H112)),"",Actuals!H112)</f>
        <v>-201582.47</v>
      </c>
      <c r="R136" s="117" t="n">
        <f aca="false">Budget!H112</f>
        <v>-138412.48</v>
      </c>
      <c r="S136" s="117" t="n">
        <f aca="false">IF(Q136="","",Q136-R136)</f>
        <v>-63169.99</v>
      </c>
      <c r="T136" s="117" t="n">
        <f aca="false">IF(OR(7&gt;$B$27,ISBLANK(Actuals!I112)),"",Actuals!I112)</f>
        <v>-195563.06</v>
      </c>
      <c r="U136" s="117" t="n">
        <f aca="false">Budget!I112</f>
        <v>-137893.65</v>
      </c>
      <c r="V136" s="117" t="n">
        <f aca="false">IF(T136="","",T136-U136)</f>
        <v>-57669.41</v>
      </c>
      <c r="W136" s="117" t="n">
        <f aca="false">IF(OR(8&gt;$B$27,ISBLANK(Actuals!J112)),"",Actuals!J112)</f>
        <v>-183480.39</v>
      </c>
      <c r="X136" s="117" t="n">
        <f aca="false">Budget!J112</f>
        <v>-137893.65</v>
      </c>
      <c r="Y136" s="117" t="n">
        <f aca="false">IF(W136="","",W136-X136)</f>
        <v>-45586.74</v>
      </c>
      <c r="Z136" s="117" t="str">
        <f aca="false">IF(OR(9&gt;$B$27,ISBLANK(Actuals!K112)),"",Actuals!K112)</f>
        <v/>
      </c>
      <c r="AA136" s="117" t="n">
        <f aca="false">Budget!K112</f>
        <v>-137893.65</v>
      </c>
      <c r="AB136" s="117" t="str">
        <f aca="false">IF(Z136="","",Z136-AA136)</f>
        <v/>
      </c>
      <c r="AC136" s="117" t="str">
        <f aca="false">IF(OR(10&gt;$B$27,ISBLANK(Actuals!L112)),"",Actuals!L112)</f>
        <v/>
      </c>
      <c r="AD136" s="117" t="n">
        <f aca="false">Budget!L112</f>
        <v>-137893.65</v>
      </c>
      <c r="AE136" s="117" t="str">
        <f aca="false">IF(AC136="","",AC136-AD136)</f>
        <v/>
      </c>
      <c r="AF136" s="117" t="str">
        <f aca="false">IF(OR(11&gt;$B$27,ISBLANK(Actuals!M112)),"",Actuals!M112)</f>
        <v/>
      </c>
      <c r="AG136" s="117" t="n">
        <f aca="false">Budget!M112</f>
        <v>-137893.65</v>
      </c>
      <c r="AH136" s="117" t="str">
        <f aca="false">IF(AF136="","",AF136-AG136)</f>
        <v/>
      </c>
      <c r="AI136" s="117" t="str">
        <f aca="false">IF(OR(12&gt;$B$27,ISBLANK(Actuals!N112)),"",Actuals!N112)</f>
        <v/>
      </c>
      <c r="AJ136" s="117" t="n">
        <f aca="false">Budget!N112</f>
        <v>-137893.65</v>
      </c>
      <c r="AK136" s="117" t="str">
        <f aca="false">IF(AI136="","",AI136-AJ136)</f>
        <v/>
      </c>
      <c r="AL136" s="117" t="n">
        <f aca="false">SUM(Actuals!$C112:INDEX(Actuals!$C112:$N112,$B$27))</f>
        <v>-1672913.98</v>
      </c>
      <c r="AM136" s="117" t="n">
        <f aca="false">SUM(Budget!$C112:INDEX(Budget!$C112:$N112,$B$27))</f>
        <v>-1106262.18</v>
      </c>
      <c r="AN136" s="117" t="n">
        <f aca="false">AL136-AM136</f>
        <v>-566651.8</v>
      </c>
      <c r="AP136" s="115" t="s">
        <v>440</v>
      </c>
    </row>
    <row r="137" customFormat="false" ht="15" hidden="false" customHeight="true" outlineLevel="0" collapsed="false">
      <c r="A137" s="110" t="s">
        <v>349</v>
      </c>
      <c r="B137" s="114" t="str">
        <f aca="false">IF(OR(1&gt;$B$27,ISBLANK(Actuals!C113)),"",Actuals!C113)</f>
        <v/>
      </c>
      <c r="C137" s="114" t="n">
        <f aca="false">Budget!C113</f>
        <v>0</v>
      </c>
      <c r="D137" s="114" t="str">
        <f aca="false">IF(B137="","",B137-C137)</f>
        <v/>
      </c>
      <c r="E137" s="114" t="str">
        <f aca="false">IF(OR(2&gt;$B$27,ISBLANK(Actuals!D113)),"",Actuals!D113)</f>
        <v/>
      </c>
      <c r="F137" s="114" t="n">
        <f aca="false">Budget!D113</f>
        <v>0</v>
      </c>
      <c r="G137" s="114" t="str">
        <f aca="false">IF(E137="","",E137-F137)</f>
        <v/>
      </c>
      <c r="H137" s="114" t="str">
        <f aca="false">IF(OR(3&gt;$B$27,ISBLANK(Actuals!E113)),"",Actuals!E113)</f>
        <v/>
      </c>
      <c r="I137" s="114" t="n">
        <f aca="false">Budget!E113</f>
        <v>0</v>
      </c>
      <c r="J137" s="114" t="str">
        <f aca="false">IF(H137="","",H137-I137)</f>
        <v/>
      </c>
      <c r="K137" s="114" t="str">
        <f aca="false">IF(OR(4&gt;$B$27,ISBLANK(Actuals!F113)),"",Actuals!F113)</f>
        <v/>
      </c>
      <c r="L137" s="114" t="n">
        <f aca="false">Budget!F113</f>
        <v>0</v>
      </c>
      <c r="M137" s="114" t="str">
        <f aca="false">IF(K137="","",K137-L137)</f>
        <v/>
      </c>
      <c r="N137" s="114" t="str">
        <f aca="false">IF(OR(5&gt;$B$27,ISBLANK(Actuals!G113)),"",Actuals!G113)</f>
        <v/>
      </c>
      <c r="O137" s="114" t="n">
        <f aca="false">Budget!G113</f>
        <v>0</v>
      </c>
      <c r="P137" s="114" t="str">
        <f aca="false">IF(N137="","",N137-O137)</f>
        <v/>
      </c>
      <c r="Q137" s="114" t="n">
        <f aca="false">IF(OR(6&gt;$B$27,ISBLANK(Actuals!H113)),"",Actuals!H113)</f>
        <v>53641.68</v>
      </c>
      <c r="R137" s="114" t="n">
        <f aca="false">Budget!H113</f>
        <v>0</v>
      </c>
      <c r="S137" s="114" t="n">
        <f aca="false">IF(Q137="","",Q137-R137)</f>
        <v>53641.68</v>
      </c>
      <c r="T137" s="114" t="n">
        <f aca="false">IF(OR(7&gt;$B$27,ISBLANK(Actuals!I113)),"",Actuals!I113)</f>
        <v>-934.88</v>
      </c>
      <c r="U137" s="114" t="n">
        <f aca="false">Budget!I113</f>
        <v>0</v>
      </c>
      <c r="V137" s="114" t="n">
        <f aca="false">IF(T137="","",T137-U137)</f>
        <v>-934.88</v>
      </c>
      <c r="W137" s="114" t="n">
        <f aca="false">IF(OR(8&gt;$B$27,ISBLANK(Actuals!J113)),"",Actuals!J113)</f>
        <v>-934.88</v>
      </c>
      <c r="X137" s="114" t="n">
        <f aca="false">Budget!J113</f>
        <v>0</v>
      </c>
      <c r="Y137" s="114" t="n">
        <f aca="false">IF(W137="","",W137-X137)</f>
        <v>-934.88</v>
      </c>
      <c r="Z137" s="114" t="str">
        <f aca="false">IF(OR(9&gt;$B$27,ISBLANK(Actuals!K113)),"",Actuals!K113)</f>
        <v/>
      </c>
      <c r="AA137" s="114" t="n">
        <f aca="false">Budget!K113</f>
        <v>0</v>
      </c>
      <c r="AB137" s="114" t="str">
        <f aca="false">IF(Z137="","",Z137-AA137)</f>
        <v/>
      </c>
      <c r="AC137" s="114" t="str">
        <f aca="false">IF(OR(10&gt;$B$27,ISBLANK(Actuals!L113)),"",Actuals!L113)</f>
        <v/>
      </c>
      <c r="AD137" s="114" t="n">
        <f aca="false">Budget!L113</f>
        <v>0</v>
      </c>
      <c r="AE137" s="114" t="str">
        <f aca="false">IF(AC137="","",AC137-AD137)</f>
        <v/>
      </c>
      <c r="AF137" s="114" t="str">
        <f aca="false">IF(OR(11&gt;$B$27,ISBLANK(Actuals!M113)),"",Actuals!M113)</f>
        <v/>
      </c>
      <c r="AG137" s="114" t="n">
        <f aca="false">Budget!M113</f>
        <v>0</v>
      </c>
      <c r="AH137" s="114" t="str">
        <f aca="false">IF(AF137="","",AF137-AG137)</f>
        <v/>
      </c>
      <c r="AI137" s="114" t="str">
        <f aca="false">IF(OR(12&gt;$B$27,ISBLANK(Actuals!N113)),"",Actuals!N113)</f>
        <v/>
      </c>
      <c r="AJ137" s="114" t="n">
        <f aca="false">Budget!N113</f>
        <v>0</v>
      </c>
      <c r="AK137" s="114" t="str">
        <f aca="false">IF(AI137="","",AI137-AJ137)</f>
        <v/>
      </c>
      <c r="AL137" s="117" t="n">
        <f aca="false">SUM(Actuals!$C113:INDEX(Actuals!$C113:$N113,$B$27))</f>
        <v>51771.92</v>
      </c>
      <c r="AM137" s="117" t="n">
        <f aca="false">SUM(Budget!$C113:INDEX(Budget!$C113:$N113,$B$27))</f>
        <v>0</v>
      </c>
      <c r="AN137" s="117" t="n">
        <f aca="false">AL137-AM137</f>
        <v>51771.92</v>
      </c>
      <c r="AP137" s="115" t="s">
        <v>441</v>
      </c>
    </row>
    <row r="138" customFormat="false" ht="15" hidden="false" customHeight="true" outlineLevel="0" collapsed="false">
      <c r="A138" s="116" t="s">
        <v>138</v>
      </c>
      <c r="B138" s="119" t="n">
        <f aca="false">IF(OR(1&gt;$B$27,ISBLANK(Actuals!C114)),"",Actuals!C114)</f>
        <v>-164713.14</v>
      </c>
      <c r="C138" s="119" t="n">
        <f aca="false">Budget!C114</f>
        <v>-90813.42</v>
      </c>
      <c r="D138" s="119" t="n">
        <f aca="false">IF(B138="","",B138-C138)</f>
        <v>-73899.72</v>
      </c>
      <c r="E138" s="119" t="n">
        <f aca="false">IF(OR(2&gt;$B$27,ISBLANK(Actuals!D114)),"",Actuals!D114)</f>
        <v>-158387.42</v>
      </c>
      <c r="F138" s="119" t="n">
        <f aca="false">Budget!D114</f>
        <v>-90813.42</v>
      </c>
      <c r="G138" s="119" t="n">
        <f aca="false">IF(E138="","",E138-F138)</f>
        <v>-67574</v>
      </c>
      <c r="H138" s="119" t="n">
        <f aca="false">IF(OR(3&gt;$B$27,ISBLANK(Actuals!E114)),"",Actuals!E114)</f>
        <v>-220909.52</v>
      </c>
      <c r="I138" s="119" t="n">
        <f aca="false">Budget!E114</f>
        <v>-90813.42</v>
      </c>
      <c r="J138" s="119" t="n">
        <f aca="false">IF(H138="","",H138-I138)</f>
        <v>-130096.1</v>
      </c>
      <c r="K138" s="119" t="n">
        <f aca="false">IF(OR(4&gt;$B$27,ISBLANK(Actuals!F114)),"",Actuals!F114)</f>
        <v>-161790.14</v>
      </c>
      <c r="L138" s="119" t="n">
        <f aca="false">Budget!F114</f>
        <v>-78938.42</v>
      </c>
      <c r="M138" s="119" t="n">
        <f aca="false">IF(K138="","",K138-L138)</f>
        <v>-82851.72</v>
      </c>
      <c r="N138" s="119" t="n">
        <f aca="false">IF(OR(5&gt;$B$27,ISBLANK(Actuals!G114)),"",Actuals!G114)</f>
        <v>-215914.94</v>
      </c>
      <c r="O138" s="119" t="n">
        <f aca="false">Budget!G114</f>
        <v>-78938.42</v>
      </c>
      <c r="P138" s="119" t="n">
        <f aca="false">IF(N138="","",N138-O138)</f>
        <v>-136976.52</v>
      </c>
      <c r="Q138" s="119" t="n">
        <f aca="false">IF(OR(6&gt;$B$27,ISBLANK(Actuals!H114)),"",Actuals!H114)</f>
        <v>185173.79</v>
      </c>
      <c r="R138" s="119" t="n">
        <f aca="false">Budget!H114</f>
        <v>-78938.42</v>
      </c>
      <c r="S138" s="119" t="n">
        <f aca="false">IF(Q138="","",Q138-R138)</f>
        <v>264112.21</v>
      </c>
      <c r="T138" s="119" t="n">
        <f aca="false">IF(OR(7&gt;$B$27,ISBLANK(Actuals!I114)),"",Actuals!I114)</f>
        <v>-118383.36</v>
      </c>
      <c r="U138" s="119" t="n">
        <f aca="false">Budget!I114</f>
        <v>-78419.59</v>
      </c>
      <c r="V138" s="119" t="n">
        <f aca="false">IF(T138="","",T138-U138)</f>
        <v>-39963.77</v>
      </c>
      <c r="W138" s="119" t="n">
        <f aca="false">IF(OR(8&gt;$B$27,ISBLANK(Actuals!J114)),"",Actuals!J114)</f>
        <v>-3786.69</v>
      </c>
      <c r="X138" s="119" t="n">
        <f aca="false">Budget!J114</f>
        <v>-78419.59</v>
      </c>
      <c r="Y138" s="119" t="n">
        <f aca="false">IF(W138="","",W138-X138)</f>
        <v>74632.9</v>
      </c>
      <c r="Z138" s="119" t="str">
        <f aca="false">IF(OR(9&gt;$B$27,ISBLANK(Actuals!K114)),"",Actuals!K114)</f>
        <v/>
      </c>
      <c r="AA138" s="119" t="n">
        <f aca="false">Budget!K114</f>
        <v>-78419.59</v>
      </c>
      <c r="AB138" s="119" t="str">
        <f aca="false">IF(Z138="","",Z138-AA138)</f>
        <v/>
      </c>
      <c r="AC138" s="119" t="str">
        <f aca="false">IF(OR(10&gt;$B$27,ISBLANK(Actuals!L114)),"",Actuals!L114)</f>
        <v/>
      </c>
      <c r="AD138" s="119" t="n">
        <f aca="false">Budget!L114</f>
        <v>-88646.86</v>
      </c>
      <c r="AE138" s="119" t="str">
        <f aca="false">IF(AC138="","",AC138-AD138)</f>
        <v/>
      </c>
      <c r="AF138" s="119" t="str">
        <f aca="false">IF(OR(11&gt;$B$27,ISBLANK(Actuals!M114)),"",Actuals!M114)</f>
        <v/>
      </c>
      <c r="AG138" s="119" t="n">
        <f aca="false">Budget!M114</f>
        <v>-88646.86</v>
      </c>
      <c r="AH138" s="119" t="str">
        <f aca="false">IF(AF138="","",AF138-AG138)</f>
        <v/>
      </c>
      <c r="AI138" s="119" t="str">
        <f aca="false">IF(OR(12&gt;$B$27,ISBLANK(Actuals!N114)),"",Actuals!N114)</f>
        <v/>
      </c>
      <c r="AJ138" s="119" t="n">
        <f aca="false">Budget!N114</f>
        <v>-88646.86</v>
      </c>
      <c r="AK138" s="119" t="str">
        <f aca="false">IF(AI138="","",AI138-AJ138)</f>
        <v/>
      </c>
      <c r="AL138" s="119" t="n">
        <f aca="false">SUM(Actuals!$C114:INDEX(Actuals!$C114:$N114,$B$27))</f>
        <v>-858711.42</v>
      </c>
      <c r="AM138" s="119" t="n">
        <f aca="false">SUM(Budget!$C114:INDEX(Budget!$C114:$N114,$B$27))</f>
        <v>-666094.7</v>
      </c>
      <c r="AN138" s="119" t="n">
        <f aca="false">AL138-AM138</f>
        <v>-192616.72</v>
      </c>
      <c r="AP138" s="115" t="s">
        <v>442</v>
      </c>
    </row>
    <row r="140" customFormat="false" ht="15" hidden="false" customHeight="true" outlineLevel="0" collapsed="false">
      <c r="A140" s="113" t="s">
        <v>443</v>
      </c>
    </row>
    <row r="141" customFormat="false" ht="15" hidden="false" customHeight="true" outlineLevel="0" collapsed="false">
      <c r="A141" s="110" t="s">
        <v>444</v>
      </c>
      <c r="B141" s="117" t="n">
        <f aca="false">IF(B81="","",B81+B138)</f>
        <v>-206557.78</v>
      </c>
      <c r="C141" s="117" t="n">
        <f aca="false">C81+C138</f>
        <v>-88218.83</v>
      </c>
      <c r="D141" s="117" t="n">
        <f aca="false">IF(B141="","",B141-C141)</f>
        <v>-118338.95</v>
      </c>
      <c r="E141" s="117" t="n">
        <f aca="false">IF(E81="","",E81+E138)</f>
        <v>-469696.73</v>
      </c>
      <c r="F141" s="117" t="n">
        <f aca="false">F81+F138</f>
        <v>-72974.17</v>
      </c>
      <c r="G141" s="117" t="n">
        <f aca="false">IF(E141="","",E141-F141)</f>
        <v>-396722.56</v>
      </c>
      <c r="H141" s="117" t="n">
        <f aca="false">IF(H81="","",H81+H138)</f>
        <v>21337.2600000002</v>
      </c>
      <c r="I141" s="117" t="n">
        <f aca="false">I81+I138</f>
        <v>-57798.76</v>
      </c>
      <c r="J141" s="117" t="n">
        <f aca="false">IF(H141="","",H141-I141)</f>
        <v>79136.0200000002</v>
      </c>
      <c r="K141" s="117" t="n">
        <f aca="false">IF(K81="","",K81+K138)</f>
        <v>212136.55</v>
      </c>
      <c r="L141" s="117" t="n">
        <f aca="false">L81+L138</f>
        <v>-31421.36</v>
      </c>
      <c r="M141" s="117" t="n">
        <f aca="false">IF(K141="","",K141-L141)</f>
        <v>243557.91</v>
      </c>
      <c r="N141" s="117" t="n">
        <f aca="false">IF(N81="","",N81+N138)</f>
        <v>-188293.09</v>
      </c>
      <c r="O141" s="117" t="n">
        <f aca="false">O81+O138</f>
        <v>122738.83</v>
      </c>
      <c r="P141" s="117" t="n">
        <f aca="false">IF(N141="","",N141-O141)</f>
        <v>-311031.92</v>
      </c>
      <c r="Q141" s="117" t="n">
        <f aca="false">IF(Q81="","",Q81+Q138)</f>
        <v>503071.030000001</v>
      </c>
      <c r="R141" s="117" t="n">
        <f aca="false">R81+R138</f>
        <v>139414.41</v>
      </c>
      <c r="S141" s="117" t="n">
        <f aca="false">IF(Q141="","",Q141-R141)</f>
        <v>363656.620000001</v>
      </c>
      <c r="T141" s="117" t="n">
        <f aca="false">IF(T81="","",T81+T138)</f>
        <v>1326754.58</v>
      </c>
      <c r="U141" s="117" t="n">
        <f aca="false">U81+U138</f>
        <v>153517.41</v>
      </c>
      <c r="V141" s="117" t="n">
        <f aca="false">IF(T141="","",T141-U141)</f>
        <v>1173237.17</v>
      </c>
      <c r="W141" s="117" t="n">
        <f aca="false">IF(W81="","",W81+W138)</f>
        <v>171785.53</v>
      </c>
      <c r="X141" s="117" t="n">
        <f aca="false">X81+X138</f>
        <v>164629.55</v>
      </c>
      <c r="Y141" s="117" t="n">
        <f aca="false">IF(W141="","",W141-X141)</f>
        <v>7155.97999999966</v>
      </c>
      <c r="Z141" s="117" t="str">
        <f aca="false">IF(Z81="","",Z81+Z138)</f>
        <v/>
      </c>
      <c r="AA141" s="117" t="n">
        <f aca="false">AA81+AA138</f>
        <v>172088.91</v>
      </c>
      <c r="AB141" s="117" t="str">
        <f aca="false">IF(Z141="","",Z141-AA141)</f>
        <v/>
      </c>
      <c r="AC141" s="117" t="str">
        <f aca="false">IF(AC81="","",AC81+AC138)</f>
        <v/>
      </c>
      <c r="AD141" s="117" t="n">
        <f aca="false">AD81+AD138</f>
        <v>165342.57</v>
      </c>
      <c r="AE141" s="117" t="str">
        <f aca="false">IF(AC141="","",AC141-AD141)</f>
        <v/>
      </c>
      <c r="AF141" s="117" t="str">
        <f aca="false">IF(AF81="","",AF81+AF138)</f>
        <v/>
      </c>
      <c r="AG141" s="117" t="n">
        <f aca="false">AG81+AG138</f>
        <v>164759.67</v>
      </c>
      <c r="AH141" s="117" t="str">
        <f aca="false">IF(AF141="","",AF141-AG141)</f>
        <v/>
      </c>
      <c r="AI141" s="117" t="str">
        <f aca="false">IF(AI81="","",AI81+AI138)</f>
        <v/>
      </c>
      <c r="AJ141" s="117" t="n">
        <f aca="false">AJ81+AJ138</f>
        <v>115877.35</v>
      </c>
      <c r="AK141" s="117" t="str">
        <f aca="false">IF(AI141="","",AI141-AJ141)</f>
        <v/>
      </c>
      <c r="AL141" s="117" t="n">
        <f aca="false">AL81+AL138</f>
        <v>1370537.35</v>
      </c>
      <c r="AM141" s="117" t="n">
        <f aca="false">AM81+AM138</f>
        <v>329887.08</v>
      </c>
      <c r="AN141" s="117" t="n">
        <f aca="false">AL141-AM141</f>
        <v>1040650.27</v>
      </c>
      <c r="AP141" s="115" t="s">
        <v>445</v>
      </c>
    </row>
    <row r="142" customFormat="false" ht="15" hidden="false" customHeight="true" outlineLevel="0" collapsed="false">
      <c r="A142" s="123" t="s">
        <v>446</v>
      </c>
      <c r="B142" s="114" t="n">
        <f aca="false">IF(B141="","",Model!B302-B141)</f>
        <v>0</v>
      </c>
      <c r="C142" s="114" t="s">
        <v>447</v>
      </c>
      <c r="D142" s="114" t="n">
        <f aca="false">IF(B142="","",B142-C142)</f>
        <v>0</v>
      </c>
      <c r="E142" s="114" t="n">
        <f aca="false">IF(E141="","",Model!C302-E141)</f>
        <v>0</v>
      </c>
      <c r="F142" s="114" t="s">
        <v>447</v>
      </c>
      <c r="G142" s="114" t="n">
        <f aca="false">IF(E142="","",E142-F142)</f>
        <v>0</v>
      </c>
      <c r="H142" s="114" t="n">
        <f aca="false">IF(H141="","",Model!D302-H141)</f>
        <v>-2.3283064365387E-010</v>
      </c>
      <c r="I142" s="114" t="s">
        <v>447</v>
      </c>
      <c r="J142" s="114" t="n">
        <f aca="false">IF(H142="","",H142-I142)</f>
        <v>-2.3283064365387E-010</v>
      </c>
      <c r="K142" s="114" t="n">
        <f aca="false">IF(K141="","",Model!E302-K141)</f>
        <v>0</v>
      </c>
      <c r="L142" s="114" t="s">
        <v>447</v>
      </c>
      <c r="M142" s="114" t="n">
        <f aca="false">IF(K142="","",K142-L142)</f>
        <v>0</v>
      </c>
      <c r="N142" s="114" t="n">
        <f aca="false">IF(N141="","",Model!F302-N141)</f>
        <v>0</v>
      </c>
      <c r="O142" s="114" t="s">
        <v>447</v>
      </c>
      <c r="P142" s="114" t="n">
        <f aca="false">IF(N142="","",N142-O142)</f>
        <v>0</v>
      </c>
      <c r="Q142" s="114" t="n">
        <f aca="false">IF(Q141="","",Model!G302-Q141)</f>
        <v>-299000.000000001</v>
      </c>
      <c r="R142" s="114" t="s">
        <v>447</v>
      </c>
      <c r="S142" s="114" t="n">
        <f aca="false">IF(Q142="","",Q142-R142)</f>
        <v>-299000.000000001</v>
      </c>
      <c r="T142" s="114" t="n">
        <f aca="false">IF(T141="","",Model!H302-T141)</f>
        <v>0</v>
      </c>
      <c r="U142" s="114" t="s">
        <v>447</v>
      </c>
      <c r="V142" s="114" t="n">
        <f aca="false">IF(T142="","",T142-U142)</f>
        <v>0</v>
      </c>
      <c r="W142" s="114" t="n">
        <f aca="false">IF(W141="","",Model!I302-W141)</f>
        <v>-692876.895125</v>
      </c>
      <c r="X142" s="114" t="s">
        <v>447</v>
      </c>
      <c r="Y142" s="114" t="n">
        <f aca="false">IF(W142="","",W142-X142)</f>
        <v>-692876.895125</v>
      </c>
      <c r="Z142" s="114" t="str">
        <f aca="false">IF(Z141="","",Model!J302-Z141)</f>
        <v/>
      </c>
      <c r="AA142" s="114" t="s">
        <v>447</v>
      </c>
      <c r="AB142" s="114" t="str">
        <f aca="false">IF(Z142="","",Z142-AA142)</f>
        <v/>
      </c>
      <c r="AC142" s="114" t="str">
        <f aca="false">IF(AC141="","",Model!K302-AC141)</f>
        <v/>
      </c>
      <c r="AD142" s="114" t="s">
        <v>447</v>
      </c>
      <c r="AE142" s="114" t="str">
        <f aca="false">IF(AC142="","",AC142-AD142)</f>
        <v/>
      </c>
      <c r="AF142" s="114" t="str">
        <f aca="false">IF(AF141="","",Model!L302-AF141)</f>
        <v/>
      </c>
      <c r="AG142" s="114" t="s">
        <v>447</v>
      </c>
      <c r="AH142" s="114" t="str">
        <f aca="false">IF(AF142="","",AF142-AG142)</f>
        <v/>
      </c>
      <c r="AI142" s="114" t="str">
        <f aca="false">IF(AI141="","",Model!M302-AI141)</f>
        <v/>
      </c>
      <c r="AJ142" s="114" t="s">
        <v>447</v>
      </c>
      <c r="AK142" s="114" t="str">
        <f aca="false">IF(AI142="","",AI142-AJ142)</f>
        <v/>
      </c>
      <c r="AL142" s="117" t="n">
        <f aca="false">SUM(Model!$B302:INDEX(Model!$B302:$M302,$B$27))-AL141</f>
        <v>-991876.895125001</v>
      </c>
      <c r="AM142" s="117" t="s">
        <v>447</v>
      </c>
      <c r="AN142" s="117" t="n">
        <f aca="false">AL142-AM142</f>
        <v>-991876.895125001</v>
      </c>
      <c r="AP142" s="115" t="s">
        <v>448</v>
      </c>
    </row>
    <row r="143" customFormat="false" ht="15" hidden="false" customHeight="true" outlineLevel="0" collapsed="false">
      <c r="A143" s="118" t="s">
        <v>449</v>
      </c>
      <c r="B143" s="119" t="n">
        <f aca="false">IF(B141="","",B141+B142)</f>
        <v>-206557.78</v>
      </c>
      <c r="C143" s="119" t="n">
        <f aca="false">C141</f>
        <v>-88218.83</v>
      </c>
      <c r="D143" s="119" t="n">
        <f aca="false">IF(B143="","",B143-C143)</f>
        <v>-118338.95</v>
      </c>
      <c r="E143" s="119" t="n">
        <f aca="false">IF(E141="","",E141+E142)</f>
        <v>-469696.73</v>
      </c>
      <c r="F143" s="119" t="n">
        <f aca="false">F141</f>
        <v>-72974.17</v>
      </c>
      <c r="G143" s="119" t="n">
        <f aca="false">IF(E143="","",E143-F143)</f>
        <v>-396722.56</v>
      </c>
      <c r="H143" s="119" t="n">
        <f aca="false">IF(H141="","",H141+H142)</f>
        <v>21337.26</v>
      </c>
      <c r="I143" s="119" t="n">
        <f aca="false">I141</f>
        <v>-57798.76</v>
      </c>
      <c r="J143" s="119" t="n">
        <f aca="false">IF(H143="","",H143-I143)</f>
        <v>79136.02</v>
      </c>
      <c r="K143" s="119" t="n">
        <f aca="false">IF(K141="","",K141+K142)</f>
        <v>212136.55</v>
      </c>
      <c r="L143" s="119" t="n">
        <f aca="false">L141</f>
        <v>-31421.36</v>
      </c>
      <c r="M143" s="119" t="n">
        <f aca="false">IF(K143="","",K143-L143)</f>
        <v>243557.91</v>
      </c>
      <c r="N143" s="119" t="n">
        <f aca="false">IF(N141="","",N141+N142)</f>
        <v>-188293.09</v>
      </c>
      <c r="O143" s="119" t="n">
        <f aca="false">O141</f>
        <v>122738.83</v>
      </c>
      <c r="P143" s="119" t="n">
        <f aca="false">IF(N143="","",N143-O143)</f>
        <v>-311031.92</v>
      </c>
      <c r="Q143" s="119" t="n">
        <f aca="false">IF(Q141="","",Q141+Q142)</f>
        <v>204071.03</v>
      </c>
      <c r="R143" s="119" t="n">
        <f aca="false">R141</f>
        <v>139414.41</v>
      </c>
      <c r="S143" s="119" t="n">
        <f aca="false">IF(Q143="","",Q143-R143)</f>
        <v>64656.6199999999</v>
      </c>
      <c r="T143" s="119" t="n">
        <f aca="false">IF(T141="","",T141+T142)</f>
        <v>1326754.58</v>
      </c>
      <c r="U143" s="119" t="n">
        <f aca="false">U141</f>
        <v>153517.41</v>
      </c>
      <c r="V143" s="119" t="n">
        <f aca="false">IF(T143="","",T143-U143)</f>
        <v>1173237.17</v>
      </c>
      <c r="W143" s="119" t="n">
        <f aca="false">IF(W141="","",W141+W142)</f>
        <v>-521091.365125</v>
      </c>
      <c r="X143" s="119" t="n">
        <f aca="false">X141</f>
        <v>164629.55</v>
      </c>
      <c r="Y143" s="119" t="n">
        <f aca="false">IF(W143="","",W143-X143)</f>
        <v>-685720.915125</v>
      </c>
      <c r="Z143" s="119" t="str">
        <f aca="false">IF(Z141="","",Z141+Z142)</f>
        <v/>
      </c>
      <c r="AA143" s="119" t="n">
        <f aca="false">AA141</f>
        <v>172088.91</v>
      </c>
      <c r="AB143" s="119" t="str">
        <f aca="false">IF(Z143="","",Z143-AA143)</f>
        <v/>
      </c>
      <c r="AC143" s="119" t="str">
        <f aca="false">IF(AC141="","",AC141+AC142)</f>
        <v/>
      </c>
      <c r="AD143" s="119" t="n">
        <f aca="false">AD141</f>
        <v>165342.57</v>
      </c>
      <c r="AE143" s="119" t="str">
        <f aca="false">IF(AC143="","",AC143-AD143)</f>
        <v/>
      </c>
      <c r="AF143" s="119" t="str">
        <f aca="false">IF(AF141="","",AF141+AF142)</f>
        <v/>
      </c>
      <c r="AG143" s="119" t="n">
        <f aca="false">AG141</f>
        <v>164759.67</v>
      </c>
      <c r="AH143" s="119" t="str">
        <f aca="false">IF(AF143="","",AF143-AG143)</f>
        <v/>
      </c>
      <c r="AI143" s="119" t="str">
        <f aca="false">IF(AI141="","",AI141+AI142)</f>
        <v/>
      </c>
      <c r="AJ143" s="119" t="n">
        <f aca="false">AJ141</f>
        <v>115877.35</v>
      </c>
      <c r="AK143" s="119" t="str">
        <f aca="false">IF(AI143="","",AI143-AJ143)</f>
        <v/>
      </c>
      <c r="AL143" s="119" t="n">
        <f aca="false">AL141+AL142</f>
        <v>378660.454875001</v>
      </c>
      <c r="AM143" s="119" t="n">
        <f aca="false">AM141</f>
        <v>329887.08</v>
      </c>
      <c r="AN143" s="119" t="n">
        <f aca="false">AL143-AM143</f>
        <v>48773.3748750011</v>
      </c>
      <c r="AP143" s="115" t="s">
        <v>450</v>
      </c>
    </row>
    <row r="146" customFormat="false" ht="13.5" hidden="false" customHeight="true" outlineLevel="0" collapsed="false">
      <c r="A146" s="94" t="s">
        <v>451</v>
      </c>
    </row>
    <row r="147" customFormat="false" ht="13.5" hidden="false" customHeight="true" outlineLevel="0" collapsed="false">
      <c r="A147" s="72" t="s">
        <v>452</v>
      </c>
    </row>
    <row r="148" customFormat="false" ht="30" hidden="false" customHeight="true" outlineLevel="0" collapsed="false">
      <c r="A148" s="124" t="s">
        <v>453</v>
      </c>
      <c r="B148" s="124" t="s">
        <v>454</v>
      </c>
      <c r="C148" s="124" t="s">
        <v>455</v>
      </c>
      <c r="D148" s="124" t="s">
        <v>357</v>
      </c>
      <c r="E148" s="124" t="s">
        <v>456</v>
      </c>
      <c r="F148" s="124" t="s">
        <v>457</v>
      </c>
      <c r="G148" s="124" t="s">
        <v>357</v>
      </c>
      <c r="H148" s="124" t="s">
        <v>458</v>
      </c>
      <c r="I148" s="124" t="s">
        <v>459</v>
      </c>
      <c r="J148" s="124" t="s">
        <v>460</v>
      </c>
      <c r="K148" s="124" t="s">
        <v>461</v>
      </c>
    </row>
    <row r="149" customFormat="false" ht="13.5" hidden="false" customHeight="true" outlineLevel="0" collapsed="false">
      <c r="A149" s="125" t="s">
        <v>8</v>
      </c>
      <c r="B149" s="126" t="n">
        <v>10202485.71</v>
      </c>
      <c r="C149" s="126" t="n">
        <v>10484895.18</v>
      </c>
      <c r="D149" s="126" t="n">
        <v>282409.47</v>
      </c>
      <c r="E149" s="126" t="n">
        <v>851108.25</v>
      </c>
      <c r="F149" s="126" t="n">
        <v>1076026.82</v>
      </c>
      <c r="G149" s="126" t="n">
        <v>224918.57</v>
      </c>
      <c r="H149" s="126" t="n">
        <v>133746.63</v>
      </c>
      <c r="I149" s="126" t="n">
        <v>0</v>
      </c>
      <c r="J149" s="126" t="n">
        <v>358665.2</v>
      </c>
      <c r="K149" s="125" t="s">
        <v>462</v>
      </c>
    </row>
    <row r="150" customFormat="false" ht="13.5" hidden="false" customHeight="true" outlineLevel="0" collapsed="false">
      <c r="A150" s="125" t="s">
        <v>7</v>
      </c>
      <c r="B150" s="126" t="n">
        <v>5560095.96</v>
      </c>
      <c r="C150" s="126" t="n">
        <v>5883944.68</v>
      </c>
      <c r="D150" s="126" t="n">
        <v>323848.72</v>
      </c>
      <c r="E150" s="126" t="n">
        <v>518518.93</v>
      </c>
      <c r="F150" s="126" t="n">
        <v>588072.32</v>
      </c>
      <c r="G150" s="126" t="n">
        <v>69553.39</v>
      </c>
      <c r="H150" s="126" t="n">
        <v>144087.14</v>
      </c>
      <c r="I150" s="126" t="n">
        <v>0</v>
      </c>
      <c r="J150" s="126" t="n">
        <v>213640.53</v>
      </c>
      <c r="K150" s="125" t="s">
        <v>463</v>
      </c>
    </row>
    <row r="151" customFormat="false" ht="13.5" hidden="false" customHeight="true" outlineLevel="0" collapsed="false">
      <c r="A151" s="125" t="s">
        <v>9</v>
      </c>
      <c r="B151" s="126" t="n">
        <v>5039486.56</v>
      </c>
      <c r="C151" s="126" t="n">
        <v>5267125.52</v>
      </c>
      <c r="D151" s="126" t="n">
        <v>227638.96</v>
      </c>
      <c r="E151" s="126" t="n">
        <v>639530.17</v>
      </c>
      <c r="F151" s="126" t="n">
        <v>732825.48</v>
      </c>
      <c r="G151" s="126" t="n">
        <v>93295.31</v>
      </c>
      <c r="H151" s="126" t="n">
        <v>-38601.79</v>
      </c>
      <c r="I151" s="126" t="n">
        <v>0</v>
      </c>
      <c r="J151" s="126" t="n">
        <v>54693.52</v>
      </c>
      <c r="K151" s="125" t="s">
        <v>464</v>
      </c>
    </row>
    <row r="152" customFormat="false" ht="13.5" hidden="false" customHeight="true" outlineLevel="0" collapsed="false">
      <c r="A152" s="125" t="s">
        <v>10</v>
      </c>
      <c r="B152" s="126" t="n">
        <v>5654636.53</v>
      </c>
      <c r="C152" s="126" t="n">
        <v>5729254.83</v>
      </c>
      <c r="D152" s="126" t="n">
        <v>74618.3</v>
      </c>
      <c r="E152" s="126" t="n">
        <v>714488.28</v>
      </c>
      <c r="F152" s="126" t="n">
        <v>790788.17</v>
      </c>
      <c r="G152" s="126" t="n">
        <v>76299.89</v>
      </c>
      <c r="H152" s="126" t="n">
        <v>-8118.8</v>
      </c>
      <c r="I152" s="126" t="n">
        <v>0</v>
      </c>
      <c r="J152" s="126" t="n">
        <v>68181.09</v>
      </c>
      <c r="K152" s="125" t="s">
        <v>465</v>
      </c>
    </row>
    <row r="153" customFormat="false" ht="13.5" hidden="false" customHeight="true" outlineLevel="0" collapsed="false">
      <c r="A153" s="125" t="s">
        <v>11</v>
      </c>
      <c r="B153" s="126" t="n">
        <v>1590577.8</v>
      </c>
      <c r="C153" s="126" t="n">
        <v>1903149.77</v>
      </c>
      <c r="D153" s="126" t="n">
        <v>312571.97</v>
      </c>
      <c r="E153" s="126" t="n">
        <v>247755.68</v>
      </c>
      <c r="F153" s="126" t="n">
        <v>219370.23</v>
      </c>
      <c r="G153" s="126" t="n">
        <v>-28385.45</v>
      </c>
      <c r="H153" s="126" t="n">
        <v>3380.96</v>
      </c>
      <c r="I153" s="126" t="n">
        <v>0</v>
      </c>
      <c r="J153" s="126" t="n">
        <v>-25004.49</v>
      </c>
      <c r="K153" s="125" t="s">
        <v>466</v>
      </c>
    </row>
    <row r="154" customFormat="false" ht="13.5" hidden="false" customHeight="true" outlineLevel="0" collapsed="false">
      <c r="A154" s="125" t="s">
        <v>12</v>
      </c>
      <c r="B154" s="126" t="n">
        <v>3483352.06</v>
      </c>
      <c r="C154" s="126" t="n">
        <v>185826.43</v>
      </c>
      <c r="D154" s="126" t="n">
        <v>-3297525.63</v>
      </c>
      <c r="E154" s="126" t="n">
        <v>599202.16</v>
      </c>
      <c r="F154" s="126" t="n">
        <v>244795.57</v>
      </c>
      <c r="G154" s="126" t="n">
        <v>-354406.59</v>
      </c>
      <c r="H154" s="126" t="n">
        <v>-10860.72</v>
      </c>
      <c r="I154" s="126" t="n">
        <v>525378</v>
      </c>
      <c r="J154" s="126" t="n">
        <v>160110.69</v>
      </c>
      <c r="K154" s="125" t="s">
        <v>467</v>
      </c>
    </row>
    <row r="155" customFormat="false" ht="13.5" hidden="false" customHeight="true" outlineLevel="0" collapsed="false">
      <c r="A155" s="125" t="s">
        <v>14</v>
      </c>
      <c r="B155" s="126" t="n">
        <v>0</v>
      </c>
      <c r="C155" s="126" t="n">
        <v>207431.97</v>
      </c>
      <c r="D155" s="126" t="n">
        <v>207431.97</v>
      </c>
      <c r="E155" s="126" t="n">
        <v>0</v>
      </c>
      <c r="F155" s="126" t="n">
        <v>43014.03</v>
      </c>
      <c r="G155" s="126" t="n">
        <v>43014.03</v>
      </c>
      <c r="H155" s="126" t="n">
        <v>-106987.63</v>
      </c>
      <c r="I155" s="126" t="n">
        <v>211877</v>
      </c>
      <c r="J155" s="126" t="n">
        <v>147903.4</v>
      </c>
      <c r="K155" s="125" t="s">
        <v>468</v>
      </c>
    </row>
    <row r="156" customFormat="false" ht="13.5" hidden="false" customHeight="true" outlineLevel="0" collapsed="false">
      <c r="A156" s="125" t="s">
        <v>13</v>
      </c>
      <c r="B156" s="126" t="n">
        <v>0</v>
      </c>
      <c r="C156" s="126" t="n">
        <v>0</v>
      </c>
      <c r="D156" s="126" t="n">
        <v>0</v>
      </c>
      <c r="E156" s="126" t="n">
        <v>0</v>
      </c>
      <c r="F156" s="126" t="n">
        <v>-0.25</v>
      </c>
      <c r="G156" s="126" t="n">
        <v>-0.25</v>
      </c>
      <c r="H156" s="126" t="n">
        <v>-50</v>
      </c>
      <c r="I156" s="126" t="n">
        <v>96992.25</v>
      </c>
      <c r="J156" s="126" t="n">
        <v>96942</v>
      </c>
      <c r="K156" s="125" t="s">
        <v>469</v>
      </c>
    </row>
    <row r="157" customFormat="false" ht="13.5" hidden="false" customHeight="true" outlineLevel="0" collapsed="false">
      <c r="A157" s="125" t="s">
        <v>470</v>
      </c>
      <c r="B157" s="126" t="n">
        <v>0</v>
      </c>
      <c r="C157" s="126" t="n">
        <v>0</v>
      </c>
      <c r="D157" s="126" t="n">
        <v>0</v>
      </c>
      <c r="E157" s="126" t="n">
        <v>0</v>
      </c>
      <c r="F157" s="126" t="n">
        <v>0</v>
      </c>
      <c r="G157" s="126" t="n">
        <v>0</v>
      </c>
      <c r="H157" s="126" t="n">
        <v>-200</v>
      </c>
      <c r="I157" s="126" t="n">
        <v>-1966.5</v>
      </c>
      <c r="J157" s="126" t="n">
        <v>-2166.5</v>
      </c>
      <c r="K157" s="125" t="s">
        <v>471</v>
      </c>
    </row>
    <row r="158" customFormat="false" ht="13.5" hidden="false" customHeight="true" outlineLevel="0" collapsed="false">
      <c r="A158" s="94" t="s">
        <v>472</v>
      </c>
      <c r="B158" s="127" t="n">
        <v>31530634.63</v>
      </c>
      <c r="C158" s="127" t="n">
        <v>29661628.38</v>
      </c>
      <c r="D158" s="127" t="n">
        <v>-1869006.25</v>
      </c>
      <c r="E158" s="127" t="n">
        <v>3570603.47</v>
      </c>
      <c r="F158" s="127" t="n">
        <v>3694892.37</v>
      </c>
      <c r="G158" s="127" t="n">
        <v>124288.9</v>
      </c>
      <c r="H158" s="127" t="n">
        <v>116395.79</v>
      </c>
      <c r="I158" s="127" t="n">
        <v>832280.75</v>
      </c>
      <c r="J158" s="127" t="n">
        <v>1072965.44</v>
      </c>
      <c r="K158" s="72" t="s">
        <v>473</v>
      </c>
    </row>
  </sheetData>
  <mergeCells count="13">
    <mergeCell ref="B28:D28"/>
    <mergeCell ref="E28:G28"/>
    <mergeCell ref="H28:J28"/>
    <mergeCell ref="K28:M28"/>
    <mergeCell ref="N28:P28"/>
    <mergeCell ref="Q28:S28"/>
    <mergeCell ref="T28:V28"/>
    <mergeCell ref="W28:Y28"/>
    <mergeCell ref="Z28:AB28"/>
    <mergeCell ref="AC28:AE28"/>
    <mergeCell ref="AF28:AH28"/>
    <mergeCell ref="AI28:AK28"/>
    <mergeCell ref="AL28:AN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AN14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9" topLeftCell="B30" activePane="bottomRight" state="frozen"/>
      <selection pane="topLeft" activeCell="A1" activeCellId="0" sqref="A1"/>
      <selection pane="topRight" activeCell="B1" activeCellId="0" sqref="B1"/>
      <selection pane="bottomLeft" activeCell="A30" activeCellId="0" sqref="A30"/>
      <selection pane="bottomRight" activeCell="A1" activeCellId="0" sqref="A1"/>
    </sheetView>
  </sheetViews>
  <sheetFormatPr defaultColWidth="8.7109375" defaultRowHeight="13.5" zeroHeight="false" outlineLevelRow="1" outlineLevelCol="0"/>
  <cols>
    <col collapsed="false" customWidth="true" hidden="false" outlineLevel="0" max="1" min="1" style="1" width="46"/>
    <col collapsed="false" customWidth="true" hidden="false" outlineLevel="0" max="40" min="2" style="1" width="13"/>
  </cols>
  <sheetData>
    <row r="1" customFormat="false" ht="15" hidden="false" customHeight="true" outlineLevel="0" collapsed="false">
      <c r="A1" s="94" t="s">
        <v>474</v>
      </c>
    </row>
    <row r="2" customFormat="false" ht="15" hidden="false" customHeight="true" outlineLevel="0" collapsed="false">
      <c r="A2" s="72" t="s">
        <v>475</v>
      </c>
    </row>
    <row r="3" customFormat="false" ht="15" hidden="false" customHeight="true" outlineLevel="0" collapsed="false">
      <c r="A3" s="110"/>
    </row>
    <row r="4" customFormat="false" ht="19.5" hidden="false" customHeight="true" outlineLevel="0" collapsed="false">
      <c r="A4" s="94" t="s">
        <v>476</v>
      </c>
    </row>
    <row r="5" customFormat="false" ht="15" hidden="false" customHeight="true" outlineLevel="0" collapsed="false">
      <c r="A5" s="72" t="s">
        <v>477</v>
      </c>
    </row>
    <row r="6" customFormat="false" ht="15" hidden="false" customHeight="true" outlineLevel="0" collapsed="false">
      <c r="A6" s="111"/>
      <c r="B6" s="111" t="s">
        <v>478</v>
      </c>
      <c r="C6" s="111" t="s">
        <v>356</v>
      </c>
      <c r="D6" s="111" t="s">
        <v>357</v>
      </c>
      <c r="E6" s="111" t="s">
        <v>479</v>
      </c>
      <c r="F6" s="111" t="s">
        <v>359</v>
      </c>
      <c r="G6" s="111" t="s">
        <v>360</v>
      </c>
    </row>
    <row r="7" customFormat="false" ht="15" hidden="false" customHeight="true" outlineLevel="0" collapsed="false">
      <c r="A7" s="113" t="s">
        <v>362</v>
      </c>
    </row>
    <row r="8" customFormat="false" ht="15" hidden="false" customHeight="true" outlineLevel="0" collapsed="false">
      <c r="A8" s="110" t="s">
        <v>363</v>
      </c>
      <c r="B8" s="114" t="n">
        <f aca="false">SUM('Reforecast Q1 2026'!$C$81:$N$81)</f>
        <v>472791.64</v>
      </c>
      <c r="C8" s="114" t="n">
        <f aca="false">SUM(Model!$B$261:$M$261)</f>
        <v>615805.64</v>
      </c>
      <c r="D8" s="114" t="n">
        <f aca="false">C8-B8</f>
        <v>143014</v>
      </c>
      <c r="E8" s="114" t="n">
        <f aca="false">AM105</f>
        <v>320416.64</v>
      </c>
      <c r="F8" s="114" t="n">
        <f aca="false">AL105</f>
        <v>762430.64</v>
      </c>
      <c r="G8" s="114" t="n">
        <f aca="false">F8-E8</f>
        <v>442014</v>
      </c>
    </row>
    <row r="9" customFormat="false" ht="15" hidden="false" customHeight="true" outlineLevel="0" collapsed="false">
      <c r="A9" s="110" t="s">
        <v>365</v>
      </c>
      <c r="B9" s="114" t="n">
        <f aca="false">SUM('Reforecast Q1 2026'!$C$112:$N$112)</f>
        <v>-1331271.005</v>
      </c>
      <c r="C9" s="114" t="n">
        <f aca="false">SUM(Model!$B$292:$M$292)</f>
        <v>-2370106.59333333</v>
      </c>
      <c r="D9" s="114" t="n">
        <f aca="false">C9-B9</f>
        <v>-1038835.58833333</v>
      </c>
      <c r="E9" s="114" t="n">
        <f aca="false">AM136</f>
        <v>-1018910.63833333</v>
      </c>
      <c r="F9" s="114" t="n">
        <f aca="false">AL136</f>
        <v>-1672913.98</v>
      </c>
      <c r="G9" s="114" t="n">
        <f aca="false">F9-E9</f>
        <v>-654003.341666667</v>
      </c>
    </row>
    <row r="10" customFormat="false" ht="15" hidden="false" customHeight="true" outlineLevel="0" collapsed="false">
      <c r="A10" s="116" t="s">
        <v>138</v>
      </c>
      <c r="B10" s="117" t="n">
        <f aca="false">SUM('Reforecast Q1 2026'!$C$114:$N$114)</f>
        <v>-858479.364999999</v>
      </c>
      <c r="C10" s="117" t="n">
        <f aca="false">SUM(Model!$B$293:$M$293)</f>
        <v>-1754300.95333333</v>
      </c>
      <c r="D10" s="117" t="n">
        <f aca="false">C10-B10</f>
        <v>-895821.588333334</v>
      </c>
      <c r="E10" s="117" t="n">
        <f aca="false">AM138</f>
        <v>-698493.998333333</v>
      </c>
      <c r="F10" s="117" t="n">
        <f aca="false">AL138</f>
        <v>-858711.42</v>
      </c>
      <c r="G10" s="117" t="n">
        <f aca="false">F10-E10</f>
        <v>-160217.421666667</v>
      </c>
    </row>
    <row r="11" customFormat="false" ht="15" hidden="false" customHeight="true" outlineLevel="0" collapsed="false">
      <c r="A11" s="113" t="s">
        <v>368</v>
      </c>
    </row>
    <row r="12" customFormat="false" ht="15" hidden="false" customHeight="true" outlineLevel="0" collapsed="false">
      <c r="A12" s="110" t="s">
        <v>369</v>
      </c>
      <c r="B12" s="114" t="n">
        <f aca="false">SUM('Reforecast Q1 2026'!$C$8:$N$11)</f>
        <v>6567424.1605258</v>
      </c>
      <c r="C12" s="114" t="n">
        <f aca="false">SUM(Model!$B$10:$M$11)</f>
        <v>6490077.19224828</v>
      </c>
      <c r="D12" s="114" t="n">
        <f aca="false">C12-B12</f>
        <v>-77346.9682775214</v>
      </c>
      <c r="E12" s="114" t="n">
        <f aca="false">SUM(AM32:AM35)</f>
        <v>3465673.26807196</v>
      </c>
      <c r="F12" s="114" t="n">
        <f aca="false">SUM(AL32:AL35)</f>
        <v>3694895.05</v>
      </c>
      <c r="G12" s="114" t="n">
        <f aca="false">F12-E12</f>
        <v>229221.781928045</v>
      </c>
    </row>
    <row r="13" customFormat="false" ht="15" hidden="false" customHeight="true" outlineLevel="0" collapsed="false">
      <c r="A13" s="110" t="s">
        <v>371</v>
      </c>
      <c r="B13" s="114" t="n">
        <f aca="false">SUM('Reforecast Q1 2026'!$C$12:$N$12)+SUM('Reforecast Q1 2026'!$C$14:$N$14)</f>
        <v>-29723.3403436914</v>
      </c>
      <c r="C13" s="114" t="n">
        <f aca="false">SUM(Model!$B$57:$M$57)+SUM(Model!$B$104:$M$104)+SUM(Model!$B$197:$M$198)</f>
        <v>815272.825603775</v>
      </c>
      <c r="D13" s="114" t="n">
        <f aca="false">C13-B13</f>
        <v>844996.165947466</v>
      </c>
      <c r="E13" s="114" t="n">
        <f aca="false">AM36+AM38</f>
        <v>-29723.3409287184</v>
      </c>
      <c r="F13" s="114" t="n">
        <f aca="false">AL36+AL38</f>
        <v>948676.539999999</v>
      </c>
      <c r="G13" s="114" t="n">
        <f aca="false">F13-E13</f>
        <v>978399.880928718</v>
      </c>
    </row>
    <row r="14" customFormat="false" ht="15" hidden="false" customHeight="true" outlineLevel="0" collapsed="false">
      <c r="A14" s="110" t="s">
        <v>373</v>
      </c>
      <c r="B14" s="114" t="n">
        <f aca="false">SUM('Reforecast Q1 2026'!$C$15:$N$16)</f>
        <v>710172.5608</v>
      </c>
      <c r="C14" s="114" t="n">
        <f aca="false">SUM(Model!$B$196:$M$196)</f>
        <v>-1069700.04530973</v>
      </c>
      <c r="D14" s="114" t="n">
        <f aca="false">C14-B14</f>
        <v>-1779872.60610973</v>
      </c>
      <c r="E14" s="114" t="n">
        <f aca="false">AM39+AM40</f>
        <v>324593.7048</v>
      </c>
      <c r="F14" s="114" t="n">
        <f aca="false">AL39+AL40</f>
        <v>0</v>
      </c>
      <c r="G14" s="114" t="n">
        <f aca="false">F14-E14</f>
        <v>-324593.7048</v>
      </c>
    </row>
    <row r="15" customFormat="false" ht="15" hidden="false" customHeight="true" outlineLevel="0" collapsed="false">
      <c r="A15" s="116" t="s">
        <v>61</v>
      </c>
      <c r="B15" s="117" t="n">
        <f aca="false">SUM('Reforecast Q1 2026'!$C$17:$N$17)</f>
        <v>7247873.38098211</v>
      </c>
      <c r="C15" s="117" t="n">
        <f aca="false">SUM(Model!$B$199:$M$199)</f>
        <v>6235649.97254232</v>
      </c>
      <c r="D15" s="117" t="n">
        <f aca="false">C15-B15</f>
        <v>-1012223.40843979</v>
      </c>
      <c r="E15" s="117" t="n">
        <f aca="false">AM41</f>
        <v>3760543.63194324</v>
      </c>
      <c r="F15" s="117" t="n">
        <f aca="false">AL41</f>
        <v>4643571.59</v>
      </c>
      <c r="G15" s="117" t="n">
        <f aca="false">F15-E15</f>
        <v>883027.958056767</v>
      </c>
    </row>
    <row r="16" customFormat="false" ht="15" hidden="false" customHeight="true" outlineLevel="0" collapsed="false">
      <c r="A16" s="110" t="s">
        <v>376</v>
      </c>
      <c r="B16" s="114" t="n">
        <f aca="false">SUM('Reforecast Q1 2026'!$C$55:$N$55)</f>
        <v>-5233737.90833333</v>
      </c>
      <c r="C16" s="114" t="n">
        <f aca="false">SUM(Model!$B$236:$M$236)</f>
        <v>-4071730.31</v>
      </c>
      <c r="D16" s="114" t="n">
        <f aca="false">C16-B16</f>
        <v>1162007.59833333</v>
      </c>
      <c r="E16" s="114" t="n">
        <f aca="false">AM79</f>
        <v>-3158500.84166667</v>
      </c>
      <c r="F16" s="114" t="n">
        <f aca="false">AL79</f>
        <v>-2414322.82</v>
      </c>
      <c r="G16" s="114" t="n">
        <f aca="false">F16-E16</f>
        <v>744178.021666665</v>
      </c>
    </row>
    <row r="17" customFormat="false" ht="15" hidden="false" customHeight="true" outlineLevel="0" collapsed="false">
      <c r="A17" s="116" t="s">
        <v>98</v>
      </c>
      <c r="B17" s="117" t="n">
        <f aca="false">SUM('Reforecast Q1 2026'!$C$57:$N$57)</f>
        <v>2014135.48299245</v>
      </c>
      <c r="C17" s="117" t="n">
        <f aca="false">SUM(Model!$B$237:$M$237)</f>
        <v>2163919.66254232</v>
      </c>
      <c r="D17" s="117" t="n">
        <f aca="false">C17-B17</f>
        <v>149784.179549877</v>
      </c>
      <c r="E17" s="117" t="n">
        <f aca="false">AM81</f>
        <v>602042.801205283</v>
      </c>
      <c r="F17" s="117" t="n">
        <f aca="false">AL81</f>
        <v>2229248.77</v>
      </c>
      <c r="G17" s="117" t="n">
        <f aca="false">F17-E17</f>
        <v>1627205.96879472</v>
      </c>
    </row>
    <row r="18" customFormat="false" ht="15" hidden="false" customHeight="true" outlineLevel="0" collapsed="false">
      <c r="A18" s="118" t="s">
        <v>379</v>
      </c>
      <c r="B18" s="119" t="n">
        <f aca="false">B10+B17</f>
        <v>1155656.11799245</v>
      </c>
      <c r="C18" s="119" t="n">
        <f aca="false">SUM(Model!$B$302:$M$302)</f>
        <v>409618.70920899</v>
      </c>
      <c r="D18" s="119" t="n">
        <f aca="false">C18-B18</f>
        <v>-746037.408783457</v>
      </c>
      <c r="E18" s="119" t="n">
        <f aca="false">E10+E17</f>
        <v>-96451.1971280497</v>
      </c>
      <c r="F18" s="119" t="n">
        <f aca="false">AL141</f>
        <v>1370537.35</v>
      </c>
      <c r="G18" s="119" t="n">
        <f aca="false">F18-E18</f>
        <v>1466988.54712805</v>
      </c>
    </row>
    <row r="19" customFormat="false" ht="15" hidden="false" customHeight="true" outlineLevel="0" collapsed="false">
      <c r="A19" s="110" t="s">
        <v>381</v>
      </c>
      <c r="C19" s="114" t="n">
        <f aca="false">AL141</f>
        <v>1370537.35</v>
      </c>
    </row>
    <row r="20" customFormat="false" ht="15" hidden="false" customHeight="true" outlineLevel="0" collapsed="false">
      <c r="A20" s="110" t="s">
        <v>382</v>
      </c>
      <c r="C20" s="114" t="n">
        <f aca="false">SUM(Model!$B$259:$M$259)</f>
        <v>-299000</v>
      </c>
    </row>
    <row r="21" customFormat="false" ht="15" hidden="false" customHeight="true" outlineLevel="0" collapsed="false">
      <c r="A21" s="110" t="s">
        <v>383</v>
      </c>
      <c r="C21" s="114" t="n">
        <f aca="false">C18-C19-C20</f>
        <v>-661918.640791012</v>
      </c>
    </row>
    <row r="22" customFormat="false" ht="15" hidden="false" customHeight="true" outlineLevel="0" collapsed="false">
      <c r="A22" s="72" t="s">
        <v>384</v>
      </c>
    </row>
    <row r="23" customFormat="false" ht="15" hidden="false" customHeight="true" outlineLevel="0" collapsed="false">
      <c r="A23" s="110"/>
    </row>
    <row r="24" customFormat="false" ht="15" hidden="false" customHeight="true" outlineLevel="0" collapsed="false">
      <c r="A24" s="110"/>
    </row>
    <row r="25" customFormat="false" ht="15" hidden="false" customHeight="true" outlineLevel="0" collapsed="false">
      <c r="A25" s="110"/>
    </row>
    <row r="26" customFormat="false" ht="15" hidden="false" customHeight="true" outlineLevel="0" collapsed="false">
      <c r="A26" s="110"/>
    </row>
    <row r="27" customFormat="false" ht="15" hidden="false" customHeight="true" outlineLevel="0" collapsed="false">
      <c r="A27" s="120" t="s">
        <v>385</v>
      </c>
      <c r="B27" s="121" t="n">
        <f aca="false">SUMPRODUCT(--(Actuals!$C$21:$N$21&lt;&gt;""))</f>
        <v>8</v>
      </c>
    </row>
    <row r="28" customFormat="false" ht="15" hidden="false" customHeight="true" outlineLevel="0" collapsed="false">
      <c r="B28" s="122" t="n">
        <v>46023</v>
      </c>
      <c r="C28" s="122"/>
      <c r="D28" s="122"/>
      <c r="E28" s="122" t="n">
        <v>46054</v>
      </c>
      <c r="F28" s="122"/>
      <c r="G28" s="122"/>
      <c r="H28" s="122" t="n">
        <v>46082</v>
      </c>
      <c r="I28" s="122"/>
      <c r="J28" s="122"/>
      <c r="K28" s="122" t="n">
        <v>46113</v>
      </c>
      <c r="L28" s="122"/>
      <c r="M28" s="122"/>
      <c r="N28" s="122" t="n">
        <v>46143</v>
      </c>
      <c r="O28" s="122"/>
      <c r="P28" s="122"/>
      <c r="Q28" s="122" t="n">
        <v>46174</v>
      </c>
      <c r="R28" s="122"/>
      <c r="S28" s="122"/>
      <c r="T28" s="122" t="n">
        <v>46204</v>
      </c>
      <c r="U28" s="122"/>
      <c r="V28" s="122"/>
      <c r="W28" s="122" t="n">
        <v>46235</v>
      </c>
      <c r="X28" s="122"/>
      <c r="Y28" s="122"/>
      <c r="Z28" s="122" t="n">
        <v>46266</v>
      </c>
      <c r="AA28" s="122"/>
      <c r="AB28" s="122"/>
      <c r="AC28" s="122" t="n">
        <v>46296</v>
      </c>
      <c r="AD28" s="122"/>
      <c r="AE28" s="122"/>
      <c r="AF28" s="122" t="n">
        <v>46327</v>
      </c>
      <c r="AG28" s="122"/>
      <c r="AH28" s="122"/>
      <c r="AI28" s="122" t="n">
        <v>46357</v>
      </c>
      <c r="AJ28" s="122"/>
      <c r="AK28" s="122"/>
      <c r="AL28" s="111" t="s">
        <v>386</v>
      </c>
      <c r="AM28" s="111"/>
      <c r="AN28" s="111"/>
    </row>
    <row r="29" customFormat="false" ht="15" hidden="false" customHeight="true" outlineLevel="0" collapsed="false">
      <c r="A29" s="111" t="s">
        <v>387</v>
      </c>
      <c r="B29" s="111" t="s">
        <v>388</v>
      </c>
      <c r="C29" s="111" t="s">
        <v>480</v>
      </c>
      <c r="D29" s="111" t="s">
        <v>357</v>
      </c>
      <c r="E29" s="111" t="s">
        <v>388</v>
      </c>
      <c r="F29" s="111" t="s">
        <v>480</v>
      </c>
      <c r="G29" s="111" t="s">
        <v>357</v>
      </c>
      <c r="H29" s="111" t="s">
        <v>388</v>
      </c>
      <c r="I29" s="111" t="s">
        <v>480</v>
      </c>
      <c r="J29" s="111" t="s">
        <v>357</v>
      </c>
      <c r="K29" s="111" t="s">
        <v>388</v>
      </c>
      <c r="L29" s="111" t="s">
        <v>480</v>
      </c>
      <c r="M29" s="111" t="s">
        <v>357</v>
      </c>
      <c r="N29" s="111" t="s">
        <v>388</v>
      </c>
      <c r="O29" s="111" t="s">
        <v>480</v>
      </c>
      <c r="P29" s="111" t="s">
        <v>357</v>
      </c>
      <c r="Q29" s="111" t="s">
        <v>388</v>
      </c>
      <c r="R29" s="111" t="s">
        <v>480</v>
      </c>
      <c r="S29" s="111" t="s">
        <v>357</v>
      </c>
      <c r="T29" s="111" t="s">
        <v>388</v>
      </c>
      <c r="U29" s="111" t="s">
        <v>480</v>
      </c>
      <c r="V29" s="111" t="s">
        <v>357</v>
      </c>
      <c r="W29" s="111" t="s">
        <v>388</v>
      </c>
      <c r="X29" s="111" t="s">
        <v>480</v>
      </c>
      <c r="Y29" s="111" t="s">
        <v>357</v>
      </c>
      <c r="Z29" s="111" t="s">
        <v>388</v>
      </c>
      <c r="AA29" s="111" t="s">
        <v>480</v>
      </c>
      <c r="AB29" s="111" t="s">
        <v>357</v>
      </c>
      <c r="AC29" s="111" t="s">
        <v>388</v>
      </c>
      <c r="AD29" s="111" t="s">
        <v>480</v>
      </c>
      <c r="AE29" s="111" t="s">
        <v>357</v>
      </c>
      <c r="AF29" s="111" t="s">
        <v>388</v>
      </c>
      <c r="AG29" s="111" t="s">
        <v>480</v>
      </c>
      <c r="AH29" s="111" t="s">
        <v>357</v>
      </c>
      <c r="AI29" s="111" t="s">
        <v>388</v>
      </c>
      <c r="AJ29" s="111" t="s">
        <v>480</v>
      </c>
      <c r="AK29" s="111" t="s">
        <v>357</v>
      </c>
      <c r="AL29" s="111" t="s">
        <v>388</v>
      </c>
      <c r="AM29" s="111" t="s">
        <v>480</v>
      </c>
      <c r="AN29" s="111" t="s">
        <v>357</v>
      </c>
    </row>
    <row r="31" customFormat="false" ht="15" hidden="false" customHeight="true" outlineLevel="0" collapsed="false">
      <c r="A31" s="113" t="s">
        <v>391</v>
      </c>
    </row>
    <row r="32" customFormat="false" ht="15" hidden="false" customHeight="true" outlineLevel="0" collapsed="false">
      <c r="A32" s="110" t="s">
        <v>4</v>
      </c>
      <c r="B32" s="114" t="n">
        <f aca="false">IF(OR(1&gt;$B$27,ISBLANK(Actuals!C8)),"",Actuals!C8)</f>
        <v>116367.35</v>
      </c>
      <c r="C32" s="114" t="n">
        <f aca="false">'Reforecast Q1 2026'!C8</f>
        <v>116363.3</v>
      </c>
      <c r="D32" s="114" t="n">
        <f aca="false">IF(B32="","",B32-C32)</f>
        <v>4.05000000000291</v>
      </c>
      <c r="E32" s="114" t="n">
        <f aca="false">IF(OR(2&gt;$B$27,ISBLANK(Actuals!D8)),"",Actuals!D8)</f>
        <v>138804.22</v>
      </c>
      <c r="F32" s="114" t="n">
        <f aca="false">'Reforecast Q1 2026'!D8</f>
        <v>138801.52</v>
      </c>
      <c r="G32" s="114" t="n">
        <f aca="false">IF(E32="","",E32-F32)</f>
        <v>2.70000000001164</v>
      </c>
      <c r="H32" s="114" t="n">
        <f aca="false">IF(OR(3&gt;$B$27,ISBLANK(Actuals!E8)),"",Actuals!E8)</f>
        <v>219366.88</v>
      </c>
      <c r="I32" s="114" t="n">
        <f aca="false">'Reforecast Q1 2026'!E8</f>
        <v>219366.88</v>
      </c>
      <c r="J32" s="114" t="n">
        <f aca="false">IF(H32="","",H32-I32)</f>
        <v>0</v>
      </c>
      <c r="K32" s="114" t="n">
        <f aca="false">IF(OR(4&gt;$B$27,ISBLANK(Actuals!F8)),"",Actuals!F8)</f>
        <v>212079.14</v>
      </c>
      <c r="L32" s="114" t="n">
        <f aca="false">'Reforecast Q1 2026'!F8</f>
        <v>267934.879957489</v>
      </c>
      <c r="M32" s="114" t="n">
        <f aca="false">IF(K32="","",K32-L32)</f>
        <v>-55855.739957489</v>
      </c>
      <c r="N32" s="114" t="n">
        <f aca="false">IF(OR(5&gt;$B$27,ISBLANK(Actuals!G8)),"",Actuals!G8)</f>
        <v>267726.14</v>
      </c>
      <c r="O32" s="114" t="n">
        <f aca="false">'Reforecast Q1 2026'!G8</f>
        <v>267934.879957489</v>
      </c>
      <c r="P32" s="114" t="n">
        <f aca="false">IF(N32="","",N32-O32)</f>
        <v>-208.739957489015</v>
      </c>
      <c r="Q32" s="114" t="n">
        <f aca="false">IF(OR(6&gt;$B$27,ISBLANK(Actuals!H8)),"",Actuals!H8)</f>
        <v>374773.89</v>
      </c>
      <c r="R32" s="114" t="n">
        <f aca="false">'Reforecast Q1 2026'!H8</f>
        <v>267934.879957489</v>
      </c>
      <c r="S32" s="114" t="n">
        <f aca="false">IF(Q32="","",Q32-R32)</f>
        <v>106839.010042511</v>
      </c>
      <c r="T32" s="114" t="n">
        <f aca="false">IF(OR(7&gt;$B$27,ISBLANK(Actuals!I8)),"",Actuals!I8)</f>
        <v>344954.34</v>
      </c>
      <c r="U32" s="114" t="n">
        <f aca="false">'Reforecast Q1 2026'!I8</f>
        <v>361542.001995889</v>
      </c>
      <c r="V32" s="114" t="n">
        <f aca="false">IF(T32="","",T32-U32)</f>
        <v>-16587.661995889</v>
      </c>
      <c r="W32" s="114" t="n">
        <f aca="false">IF(OR(8&gt;$B$27,ISBLANK(Actuals!J8)),"",Actuals!J8)</f>
        <v>470819.03</v>
      </c>
      <c r="X32" s="114" t="n">
        <f aca="false">'Reforecast Q1 2026'!J8</f>
        <v>361542.001995889</v>
      </c>
      <c r="Y32" s="114" t="n">
        <f aca="false">IF(W32="","",W32-X32)</f>
        <v>109277.028004111</v>
      </c>
      <c r="Z32" s="114" t="str">
        <f aca="false">IF(OR(9&gt;$B$27,ISBLANK(Actuals!K8)),"",Actuals!K8)</f>
        <v/>
      </c>
      <c r="AA32" s="114" t="n">
        <f aca="false">'Reforecast Q1 2026'!K8</f>
        <v>361542.001995889</v>
      </c>
      <c r="AB32" s="114" t="str">
        <f aca="false">IF(Z32="","",Z32-AA32)</f>
        <v/>
      </c>
      <c r="AC32" s="114" t="str">
        <f aca="false">IF(OR(10&gt;$B$27,ISBLANK(Actuals!L8)),"",Actuals!L8)</f>
        <v/>
      </c>
      <c r="AD32" s="114" t="n">
        <f aca="false">'Reforecast Q1 2026'!L8</f>
        <v>442929.46088908</v>
      </c>
      <c r="AE32" s="114" t="str">
        <f aca="false">IF(AC32="","",AC32-AD32)</f>
        <v/>
      </c>
      <c r="AF32" s="114" t="str">
        <f aca="false">IF(OR(11&gt;$B$27,ISBLANK(Actuals!M8)),"",Actuals!M8)</f>
        <v/>
      </c>
      <c r="AG32" s="114" t="n">
        <f aca="false">'Reforecast Q1 2026'!M8</f>
        <v>525344.508604757</v>
      </c>
      <c r="AH32" s="114" t="str">
        <f aca="false">IF(AF32="","",AF32-AG32)</f>
        <v/>
      </c>
      <c r="AI32" s="114" t="str">
        <f aca="false">IF(OR(12&gt;$B$27,ISBLANK(Actuals!N8)),"",Actuals!N8)</f>
        <v/>
      </c>
      <c r="AJ32" s="114" t="n">
        <f aca="false">'Reforecast Q1 2026'!N8</f>
        <v>442616.790480539</v>
      </c>
      <c r="AK32" s="114" t="str">
        <f aca="false">IF(AI32="","",AI32-AJ32)</f>
        <v/>
      </c>
      <c r="AL32" s="117" t="n">
        <f aca="false">SUM(Actuals!$C8:INDEX(Actuals!$C8:$N8,$B$27))</f>
        <v>2144890.99</v>
      </c>
      <c r="AM32" s="117" t="n">
        <f aca="false">SUM('Reforecast Q1 2026'!$C8:INDEX('Reforecast Q1 2026'!$C8:$N8,$B$27))</f>
        <v>2001420.34386425</v>
      </c>
      <c r="AN32" s="117" t="n">
        <f aca="false">AL32-AM32</f>
        <v>143470.646135755</v>
      </c>
    </row>
    <row r="33" customFormat="false" ht="15" hidden="false" customHeight="true" outlineLevel="0" collapsed="false">
      <c r="A33" s="110" t="s">
        <v>343</v>
      </c>
      <c r="B33" s="114" t="n">
        <f aca="false">IF(OR(1&gt;$B$27,ISBLANK(Actuals!C9)),"",Actuals!C9)</f>
        <v>0</v>
      </c>
      <c r="C33" s="114" t="n">
        <f aca="false">'Reforecast Q1 2026'!C9</f>
        <v>0</v>
      </c>
      <c r="D33" s="114" t="n">
        <f aca="false">IF(B33="","",B33-C33)</f>
        <v>0</v>
      </c>
      <c r="E33" s="114" t="n">
        <f aca="false">IF(OR(2&gt;$B$27,ISBLANK(Actuals!D9)),"",Actuals!D9)</f>
        <v>0</v>
      </c>
      <c r="F33" s="114" t="n">
        <f aca="false">'Reforecast Q1 2026'!D9</f>
        <v>0</v>
      </c>
      <c r="G33" s="114" t="n">
        <f aca="false">IF(E33="","",E33-F33)</f>
        <v>0</v>
      </c>
      <c r="H33" s="114" t="n">
        <f aca="false">IF(OR(3&gt;$B$27,ISBLANK(Actuals!E9)),"",Actuals!E9)</f>
        <v>0</v>
      </c>
      <c r="I33" s="114" t="n">
        <f aca="false">'Reforecast Q1 2026'!E9</f>
        <v>0</v>
      </c>
      <c r="J33" s="114" t="n">
        <f aca="false">IF(H33="","",H33-I33)</f>
        <v>0</v>
      </c>
      <c r="K33" s="114" t="n">
        <f aca="false">IF(OR(4&gt;$B$27,ISBLANK(Actuals!F9)),"",Actuals!F9)</f>
        <v>0</v>
      </c>
      <c r="L33" s="114" t="n">
        <f aca="false">'Reforecast Q1 2026'!F9</f>
        <v>0</v>
      </c>
      <c r="M33" s="114" t="n">
        <f aca="false">IF(K33="","",K33-L33)</f>
        <v>0</v>
      </c>
      <c r="N33" s="114" t="n">
        <f aca="false">IF(OR(5&gt;$B$27,ISBLANK(Actuals!G9)),"",Actuals!G9)</f>
        <v>0</v>
      </c>
      <c r="O33" s="114" t="n">
        <f aca="false">'Reforecast Q1 2026'!G9</f>
        <v>0</v>
      </c>
      <c r="P33" s="114" t="n">
        <f aca="false">IF(N33="","",N33-O33)</f>
        <v>0</v>
      </c>
      <c r="Q33" s="114" t="n">
        <f aca="false">IF(OR(6&gt;$B$27,ISBLANK(Actuals!H9)),"",Actuals!H9)</f>
        <v>0</v>
      </c>
      <c r="R33" s="114" t="n">
        <f aca="false">'Reforecast Q1 2026'!H9</f>
        <v>0</v>
      </c>
      <c r="S33" s="114" t="n">
        <f aca="false">IF(Q33="","",Q33-R33)</f>
        <v>0</v>
      </c>
      <c r="T33" s="114" t="n">
        <f aca="false">IF(OR(7&gt;$B$27,ISBLANK(Actuals!I9)),"",Actuals!I9)</f>
        <v>0</v>
      </c>
      <c r="U33" s="114" t="n">
        <f aca="false">'Reforecast Q1 2026'!I9</f>
        <v>0</v>
      </c>
      <c r="V33" s="114" t="n">
        <f aca="false">IF(T33="","",T33-U33)</f>
        <v>0</v>
      </c>
      <c r="W33" s="114" t="n">
        <f aca="false">IF(OR(8&gt;$B$27,ISBLANK(Actuals!J9)),"",Actuals!J9)</f>
        <v>0</v>
      </c>
      <c r="X33" s="114" t="n">
        <f aca="false">'Reforecast Q1 2026'!J9</f>
        <v>0</v>
      </c>
      <c r="Y33" s="114" t="n">
        <f aca="false">IF(W33="","",W33-X33)</f>
        <v>0</v>
      </c>
      <c r="Z33" s="114" t="str">
        <f aca="false">IF(OR(9&gt;$B$27,ISBLANK(Actuals!K9)),"",Actuals!K9)</f>
        <v/>
      </c>
      <c r="AA33" s="114" t="n">
        <f aca="false">'Reforecast Q1 2026'!K9</f>
        <v>0</v>
      </c>
      <c r="AB33" s="114" t="str">
        <f aca="false">IF(Z33="","",Z33-AA33)</f>
        <v/>
      </c>
      <c r="AC33" s="114" t="str">
        <f aca="false">IF(OR(10&gt;$B$27,ISBLANK(Actuals!L9)),"",Actuals!L9)</f>
        <v/>
      </c>
      <c r="AD33" s="114" t="n">
        <f aca="false">'Reforecast Q1 2026'!L9</f>
        <v>0</v>
      </c>
      <c r="AE33" s="114" t="str">
        <f aca="false">IF(AC33="","",AC33-AD33)</f>
        <v/>
      </c>
      <c r="AF33" s="114" t="str">
        <f aca="false">IF(OR(11&gt;$B$27,ISBLANK(Actuals!M9)),"",Actuals!M9)</f>
        <v/>
      </c>
      <c r="AG33" s="114" t="n">
        <f aca="false">'Reforecast Q1 2026'!M9</f>
        <v>0</v>
      </c>
      <c r="AH33" s="114" t="str">
        <f aca="false">IF(AF33="","",AF33-AG33)</f>
        <v/>
      </c>
      <c r="AI33" s="114" t="str">
        <f aca="false">IF(OR(12&gt;$B$27,ISBLANK(Actuals!N9)),"",Actuals!N9)</f>
        <v/>
      </c>
      <c r="AJ33" s="114" t="n">
        <f aca="false">'Reforecast Q1 2026'!N9</f>
        <v>0</v>
      </c>
      <c r="AK33" s="114" t="str">
        <f aca="false">IF(AI33="","",AI33-AJ33)</f>
        <v/>
      </c>
      <c r="AL33" s="117" t="n">
        <f aca="false">SUM(Actuals!$C9:INDEX(Actuals!$C9:$N9,$B$27))</f>
        <v>0</v>
      </c>
      <c r="AM33" s="117" t="n">
        <f aca="false">SUM('Reforecast Q1 2026'!$C9:INDEX('Reforecast Q1 2026'!$C9:$N9,$B$27))</f>
        <v>0</v>
      </c>
      <c r="AN33" s="117" t="n">
        <f aca="false">AL33-AM33</f>
        <v>0</v>
      </c>
    </row>
    <row r="34" customFormat="false" ht="15" hidden="false" customHeight="true" outlineLevel="0" collapsed="false">
      <c r="A34" s="110" t="s">
        <v>5</v>
      </c>
      <c r="B34" s="114" t="n">
        <f aca="false">IF(OR(1&gt;$B$27,ISBLANK(Actuals!C10)),"",Actuals!C10)</f>
        <v>95370.25</v>
      </c>
      <c r="C34" s="114" t="n">
        <f aca="false">'Reforecast Q1 2026'!C10</f>
        <v>95370.25</v>
      </c>
      <c r="D34" s="114" t="n">
        <f aca="false">IF(B34="","",B34-C34)</f>
        <v>0</v>
      </c>
      <c r="E34" s="114" t="n">
        <f aca="false">IF(OR(2&gt;$B$27,ISBLANK(Actuals!D10)),"",Actuals!D10)</f>
        <v>173282.89</v>
      </c>
      <c r="F34" s="114" t="n">
        <f aca="false">'Reforecast Q1 2026'!D10</f>
        <v>173282.89</v>
      </c>
      <c r="G34" s="114" t="n">
        <f aca="false">IF(E34="","",E34-F34)</f>
        <v>0</v>
      </c>
      <c r="H34" s="114" t="n">
        <f aca="false">IF(OR(3&gt;$B$27,ISBLANK(Actuals!E10)),"",Actuals!E10)</f>
        <v>50438.85</v>
      </c>
      <c r="I34" s="114" t="n">
        <f aca="false">'Reforecast Q1 2026'!E10</f>
        <v>50438.85</v>
      </c>
      <c r="J34" s="114" t="n">
        <f aca="false">IF(H34="","",H34-I34)</f>
        <v>0</v>
      </c>
      <c r="K34" s="114" t="n">
        <f aca="false">IF(OR(4&gt;$B$27,ISBLANK(Actuals!F10)),"",Actuals!F10)</f>
        <v>167518.85</v>
      </c>
      <c r="L34" s="114" t="n">
        <f aca="false">'Reforecast Q1 2026'!F10</f>
        <v>200950.186296774</v>
      </c>
      <c r="M34" s="114" t="n">
        <f aca="false">IF(K34="","",K34-L34)</f>
        <v>-33431.336296774</v>
      </c>
      <c r="N34" s="114" t="n">
        <f aca="false">IF(OR(5&gt;$B$27,ISBLANK(Actuals!G10)),"",Actuals!G10)</f>
        <v>209057.26</v>
      </c>
      <c r="O34" s="114" t="n">
        <f aca="false">'Reforecast Q1 2026'!G10</f>
        <v>200950.186296774</v>
      </c>
      <c r="P34" s="114" t="n">
        <f aca="false">IF(N34="","",N34-O34)</f>
        <v>8107.07370322602</v>
      </c>
      <c r="Q34" s="114" t="n">
        <f aca="false">IF(OR(6&gt;$B$27,ISBLANK(Actuals!H10)),"",Actuals!H10)</f>
        <v>292966.36</v>
      </c>
      <c r="R34" s="114" t="n">
        <f aca="false">'Reforecast Q1 2026'!H10</f>
        <v>200950.186296774</v>
      </c>
      <c r="S34" s="114" t="n">
        <f aca="false">IF(Q34="","",Q34-R34)</f>
        <v>92016.173703226</v>
      </c>
      <c r="T34" s="114" t="n">
        <f aca="false">IF(OR(7&gt;$B$27,ISBLANK(Actuals!I10)),"",Actuals!I10)</f>
        <v>271584.24</v>
      </c>
      <c r="U34" s="114" t="n">
        <f aca="false">'Reforecast Q1 2026'!I10</f>
        <v>271155.187658694</v>
      </c>
      <c r="V34" s="114" t="n">
        <f aca="false">IF(T34="","",T34-U34)</f>
        <v>429.052341306</v>
      </c>
      <c r="W34" s="114" t="n">
        <f aca="false">IF(OR(8&gt;$B$27,ISBLANK(Actuals!J10)),"",Actuals!J10)</f>
        <v>289785.36</v>
      </c>
      <c r="X34" s="114" t="n">
        <f aca="false">'Reforecast Q1 2026'!J10</f>
        <v>271155.187658694</v>
      </c>
      <c r="Y34" s="114" t="n">
        <f aca="false">IF(W34="","",W34-X34)</f>
        <v>18630.172341306</v>
      </c>
      <c r="Z34" s="114" t="str">
        <f aca="false">IF(OR(9&gt;$B$27,ISBLANK(Actuals!K10)),"",Actuals!K10)</f>
        <v/>
      </c>
      <c r="AA34" s="114" t="n">
        <f aca="false">'Reforecast Q1 2026'!K10</f>
        <v>271155.187658694</v>
      </c>
      <c r="AB34" s="114" t="str">
        <f aca="false">IF(Z34="","",Z34-AA34)</f>
        <v/>
      </c>
      <c r="AC34" s="114" t="str">
        <f aca="false">IF(OR(10&gt;$B$27,ISBLANK(Actuals!L10)),"",Actuals!L10)</f>
        <v/>
      </c>
      <c r="AD34" s="114" t="n">
        <f aca="false">'Reforecast Q1 2026'!L10</f>
        <v>332195.486067781</v>
      </c>
      <c r="AE34" s="114" t="str">
        <f aca="false">IF(AC34="","",AC34-AD34)</f>
        <v/>
      </c>
      <c r="AF34" s="114" t="str">
        <f aca="false">IF(OR(11&gt;$B$27,ISBLANK(Actuals!M10)),"",Actuals!M10)</f>
        <v/>
      </c>
      <c r="AG34" s="114" t="n">
        <f aca="false">'Reforecast Q1 2026'!M10</f>
        <v>394006.472359489</v>
      </c>
      <c r="AH34" s="114" t="str">
        <f aca="false">IF(AF34="","",AF34-AG34)</f>
        <v/>
      </c>
      <c r="AI34" s="114" t="str">
        <f aca="false">IF(OR(12&gt;$B$27,ISBLANK(Actuals!N10)),"",Actuals!N10)</f>
        <v/>
      </c>
      <c r="AJ34" s="114" t="n">
        <f aca="false">'Reforecast Q1 2026'!N10</f>
        <v>331960.984397614</v>
      </c>
      <c r="AK34" s="114" t="str">
        <f aca="false">IF(AI34="","",AI34-AJ34)</f>
        <v/>
      </c>
      <c r="AL34" s="117" t="n">
        <f aca="false">SUM(Actuals!$C10:INDEX(Actuals!$C10:$N10,$B$27))</f>
        <v>1550004.06</v>
      </c>
      <c r="AM34" s="117" t="n">
        <f aca="false">SUM('Reforecast Q1 2026'!$C10:INDEX('Reforecast Q1 2026'!$C10:$N10,$B$27))</f>
        <v>1464252.92420771</v>
      </c>
      <c r="AN34" s="117" t="n">
        <f aca="false">AL34-AM34</f>
        <v>85751.1357922903</v>
      </c>
    </row>
    <row r="35" customFormat="false" ht="15" hidden="false" customHeight="true" outlineLevel="0" collapsed="false">
      <c r="A35" s="110" t="s">
        <v>344</v>
      </c>
      <c r="B35" s="114" t="n">
        <f aca="false">IF(OR(1&gt;$B$27,ISBLANK(Actuals!C11)),"",Actuals!C11)</f>
        <v>0</v>
      </c>
      <c r="C35" s="114" t="n">
        <f aca="false">'Reforecast Q1 2026'!C11</f>
        <v>0</v>
      </c>
      <c r="D35" s="114" t="n">
        <f aca="false">IF(B35="","",B35-C35)</f>
        <v>0</v>
      </c>
      <c r="E35" s="114" t="n">
        <f aca="false">IF(OR(2&gt;$B$27,ISBLANK(Actuals!D11)),"",Actuals!D11)</f>
        <v>0</v>
      </c>
      <c r="F35" s="114" t="n">
        <f aca="false">'Reforecast Q1 2026'!D11</f>
        <v>0</v>
      </c>
      <c r="G35" s="114" t="n">
        <f aca="false">IF(E35="","",E35-F35)</f>
        <v>0</v>
      </c>
      <c r="H35" s="114" t="n">
        <f aca="false">IF(OR(3&gt;$B$27,ISBLANK(Actuals!E11)),"",Actuals!E11)</f>
        <v>0</v>
      </c>
      <c r="I35" s="114" t="n">
        <f aca="false">'Reforecast Q1 2026'!E11</f>
        <v>0</v>
      </c>
      <c r="J35" s="114" t="n">
        <f aca="false">IF(H35="","",H35-I35)</f>
        <v>0</v>
      </c>
      <c r="K35" s="114" t="n">
        <f aca="false">IF(OR(4&gt;$B$27,ISBLANK(Actuals!F11)),"",Actuals!F11)</f>
        <v>0</v>
      </c>
      <c r="L35" s="114" t="n">
        <f aca="false">'Reforecast Q1 2026'!F11</f>
        <v>0</v>
      </c>
      <c r="M35" s="114" t="n">
        <f aca="false">IF(K35="","",K35-L35)</f>
        <v>0</v>
      </c>
      <c r="N35" s="114" t="n">
        <f aca="false">IF(OR(5&gt;$B$27,ISBLANK(Actuals!G11)),"",Actuals!G11)</f>
        <v>0</v>
      </c>
      <c r="O35" s="114" t="n">
        <f aca="false">'Reforecast Q1 2026'!G11</f>
        <v>0</v>
      </c>
      <c r="P35" s="114" t="n">
        <f aca="false">IF(N35="","",N35-O35)</f>
        <v>0</v>
      </c>
      <c r="Q35" s="114" t="n">
        <f aca="false">IF(OR(6&gt;$B$27,ISBLANK(Actuals!H11)),"",Actuals!H11)</f>
        <v>0</v>
      </c>
      <c r="R35" s="114" t="n">
        <f aca="false">'Reforecast Q1 2026'!H11</f>
        <v>0</v>
      </c>
      <c r="S35" s="114" t="n">
        <f aca="false">IF(Q35="","",Q35-R35)</f>
        <v>0</v>
      </c>
      <c r="T35" s="114" t="n">
        <f aca="false">IF(OR(7&gt;$B$27,ISBLANK(Actuals!I11)),"",Actuals!I11)</f>
        <v>0</v>
      </c>
      <c r="U35" s="114" t="n">
        <f aca="false">'Reforecast Q1 2026'!I11</f>
        <v>0</v>
      </c>
      <c r="V35" s="114" t="n">
        <f aca="false">IF(T35="","",T35-U35)</f>
        <v>0</v>
      </c>
      <c r="W35" s="114" t="n">
        <f aca="false">IF(OR(8&gt;$B$27,ISBLANK(Actuals!J11)),"",Actuals!J11)</f>
        <v>0</v>
      </c>
      <c r="X35" s="114" t="n">
        <f aca="false">'Reforecast Q1 2026'!J11</f>
        <v>0</v>
      </c>
      <c r="Y35" s="114" t="n">
        <f aca="false">IF(W35="","",W35-X35)</f>
        <v>0</v>
      </c>
      <c r="Z35" s="114" t="str">
        <f aca="false">IF(OR(9&gt;$B$27,ISBLANK(Actuals!K11)),"",Actuals!K11)</f>
        <v/>
      </c>
      <c r="AA35" s="114" t="n">
        <f aca="false">'Reforecast Q1 2026'!K11</f>
        <v>0</v>
      </c>
      <c r="AB35" s="114" t="str">
        <f aca="false">IF(Z35="","",Z35-AA35)</f>
        <v/>
      </c>
      <c r="AC35" s="114" t="str">
        <f aca="false">IF(OR(10&gt;$B$27,ISBLANK(Actuals!L11)),"",Actuals!L11)</f>
        <v/>
      </c>
      <c r="AD35" s="114" t="n">
        <f aca="false">'Reforecast Q1 2026'!L11</f>
        <v>0</v>
      </c>
      <c r="AE35" s="114" t="str">
        <f aca="false">IF(AC35="","",AC35-AD35)</f>
        <v/>
      </c>
      <c r="AF35" s="114" t="str">
        <f aca="false">IF(OR(11&gt;$B$27,ISBLANK(Actuals!M11)),"",Actuals!M11)</f>
        <v/>
      </c>
      <c r="AG35" s="114" t="n">
        <f aca="false">'Reforecast Q1 2026'!M11</f>
        <v>0</v>
      </c>
      <c r="AH35" s="114" t="str">
        <f aca="false">IF(AF35="","",AF35-AG35)</f>
        <v/>
      </c>
      <c r="AI35" s="114" t="str">
        <f aca="false">IF(OR(12&gt;$B$27,ISBLANK(Actuals!N11)),"",Actuals!N11)</f>
        <v/>
      </c>
      <c r="AJ35" s="114" t="n">
        <f aca="false">'Reforecast Q1 2026'!N11</f>
        <v>0</v>
      </c>
      <c r="AK35" s="114" t="str">
        <f aca="false">IF(AI35="","",AI35-AJ35)</f>
        <v/>
      </c>
      <c r="AL35" s="117" t="n">
        <f aca="false">SUM(Actuals!$C11:INDEX(Actuals!$C11:$N11,$B$27))</f>
        <v>0</v>
      </c>
      <c r="AM35" s="117" t="n">
        <f aca="false">SUM('Reforecast Q1 2026'!$C11:INDEX('Reforecast Q1 2026'!$C11:$N11,$B$27))</f>
        <v>0</v>
      </c>
      <c r="AN35" s="117" t="n">
        <f aca="false">AL35-AM35</f>
        <v>0</v>
      </c>
    </row>
    <row r="36" customFormat="false" ht="15" hidden="false" customHeight="true" outlineLevel="0" collapsed="false">
      <c r="A36" s="110" t="s">
        <v>6</v>
      </c>
      <c r="B36" s="114" t="n">
        <f aca="false">IF(OR(1&gt;$B$27,ISBLANK(Actuals!C12)),"",Actuals!C12)</f>
        <v>1242053.19</v>
      </c>
      <c r="C36" s="114" t="n">
        <f aca="false">'Reforecast Q1 2026'!C12</f>
        <v>1242053.19</v>
      </c>
      <c r="D36" s="114" t="n">
        <f aca="false">IF(B36="","",B36-C36)</f>
        <v>0</v>
      </c>
      <c r="E36" s="114" t="n">
        <f aca="false">IF(OR(2&gt;$B$27,ISBLANK(Actuals!D12)),"",Actuals!D12)</f>
        <v>2710434.48</v>
      </c>
      <c r="F36" s="114" t="n">
        <f aca="false">'Reforecast Q1 2026'!D12</f>
        <v>2710434.48</v>
      </c>
      <c r="G36" s="114" t="n">
        <f aca="false">IF(E36="","",E36-F36)</f>
        <v>0</v>
      </c>
      <c r="H36" s="114" t="n">
        <f aca="false">IF(OR(3&gt;$B$27,ISBLANK(Actuals!E12)),"",Actuals!E12)</f>
        <v>2402410.43</v>
      </c>
      <c r="I36" s="114" t="n">
        <f aca="false">'Reforecast Q1 2026'!E12</f>
        <v>2402410.43</v>
      </c>
      <c r="J36" s="114" t="n">
        <f aca="false">IF(H36="","",H36-I36)</f>
        <v>0</v>
      </c>
      <c r="K36" s="114" t="n">
        <f aca="false">IF(OR(4&gt;$B$27,ISBLANK(Actuals!F12)),"",Actuals!F12)</f>
        <v>3312759.91</v>
      </c>
      <c r="L36" s="114" t="n">
        <f aca="false">'Reforecast Q1 2026'!F12</f>
        <v>3985482.58</v>
      </c>
      <c r="M36" s="114" t="n">
        <f aca="false">IF(K36="","",K36-L36)</f>
        <v>-672722.67</v>
      </c>
      <c r="N36" s="114" t="n">
        <f aca="false">IF(OR(5&gt;$B$27,ISBLANK(Actuals!G12)),"",Actuals!G12)</f>
        <v>3939278.23</v>
      </c>
      <c r="O36" s="114" t="n">
        <f aca="false">'Reforecast Q1 2026'!G12</f>
        <v>4178441.93</v>
      </c>
      <c r="P36" s="114" t="n">
        <f aca="false">IF(N36="","",N36-O36)</f>
        <v>-239163.7</v>
      </c>
      <c r="Q36" s="114" t="n">
        <f aca="false">IF(OR(6&gt;$B$27,ISBLANK(Actuals!H12)),"",Actuals!H12)</f>
        <v>5584522.73</v>
      </c>
      <c r="R36" s="114" t="n">
        <f aca="false">'Reforecast Q1 2026'!H12</f>
        <v>4314673.98</v>
      </c>
      <c r="S36" s="114" t="n">
        <f aca="false">IF(Q36="","",Q36-R36)</f>
        <v>1269848.75</v>
      </c>
      <c r="T36" s="114" t="n">
        <f aca="false">IF(OR(7&gt;$B$27,ISBLANK(Actuals!I12)),"",Actuals!I12)</f>
        <v>6409057.07</v>
      </c>
      <c r="U36" s="114" t="n">
        <f aca="false">'Reforecast Q1 2026'!I12</f>
        <v>5100719.4</v>
      </c>
      <c r="V36" s="114" t="n">
        <f aca="false">IF(T36="","",T36-U36)</f>
        <v>1308337.67</v>
      </c>
      <c r="W36" s="114" t="n">
        <f aca="false">IF(OR(8&gt;$B$27,ISBLANK(Actuals!J12)),"",Actuals!J12)</f>
        <v>5304128.59</v>
      </c>
      <c r="X36" s="114" t="n">
        <f aca="false">'Reforecast Q1 2026'!J12</f>
        <v>5260214.26</v>
      </c>
      <c r="Y36" s="114" t="n">
        <f aca="false">IF(W36="","",W36-X36)</f>
        <v>43914.3300000001</v>
      </c>
      <c r="Z36" s="114" t="str">
        <f aca="false">IF(OR(9&gt;$B$27,ISBLANK(Actuals!K12)),"",Actuals!K12)</f>
        <v/>
      </c>
      <c r="AA36" s="114" t="n">
        <f aca="false">'Reforecast Q1 2026'!K12</f>
        <v>5352854.32</v>
      </c>
      <c r="AB36" s="114" t="str">
        <f aca="false">IF(Z36="","",Z36-AA36)</f>
        <v/>
      </c>
      <c r="AC36" s="114" t="str">
        <f aca="false">IF(OR(10&gt;$B$27,ISBLANK(Actuals!L12)),"",Actuals!L12)</f>
        <v/>
      </c>
      <c r="AD36" s="114" t="n">
        <f aca="false">'Reforecast Q1 2026'!L12</f>
        <v>5849570.15</v>
      </c>
      <c r="AE36" s="114" t="str">
        <f aca="false">IF(AC36="","",AC36-AD36)</f>
        <v/>
      </c>
      <c r="AF36" s="114" t="str">
        <f aca="false">IF(OR(11&gt;$B$27,ISBLANK(Actuals!M12)),"",Actuals!M12)</f>
        <v/>
      </c>
      <c r="AG36" s="114" t="n">
        <f aca="false">'Reforecast Q1 2026'!M12</f>
        <v>6345476.13</v>
      </c>
      <c r="AH36" s="114" t="str">
        <f aca="false">IF(AF36="","",AF36-AG36)</f>
        <v/>
      </c>
      <c r="AI36" s="114" t="str">
        <f aca="false">IF(OR(12&gt;$B$27,ISBLANK(Actuals!N12)),"",Actuals!N12)</f>
        <v/>
      </c>
      <c r="AJ36" s="114" t="n">
        <f aca="false">'Reforecast Q1 2026'!N12</f>
        <v>6208239.26</v>
      </c>
      <c r="AK36" s="114" t="str">
        <f aca="false">IF(AI36="","",AI36-AJ36)</f>
        <v/>
      </c>
      <c r="AL36" s="117" t="n">
        <f aca="false">SUM(Actuals!$C12:INDEX(Actuals!$C12:$N12,$B$27))</f>
        <v>30904644.63</v>
      </c>
      <c r="AM36" s="117" t="n">
        <f aca="false">SUM('Reforecast Q1 2026'!$C12:INDEX('Reforecast Q1 2026'!$C12:$N12,$B$27))</f>
        <v>29194430.25</v>
      </c>
      <c r="AN36" s="117" t="n">
        <f aca="false">AL36-AM36</f>
        <v>1710214.38</v>
      </c>
    </row>
    <row r="37" customFormat="false" ht="15" hidden="false" customHeight="true" outlineLevel="0" collapsed="false">
      <c r="A37" s="116" t="s">
        <v>52</v>
      </c>
      <c r="B37" s="117" t="n">
        <f aca="false">IF(OR(1&gt;$B$27,ISBLANK(Actuals!C13)),"",Actuals!C13)</f>
        <v>1453790.79</v>
      </c>
      <c r="C37" s="117" t="n">
        <f aca="false">'Reforecast Q1 2026'!C13</f>
        <v>1453786.74</v>
      </c>
      <c r="D37" s="117" t="n">
        <f aca="false">IF(B37="","",B37-C37)</f>
        <v>4.05000000004657</v>
      </c>
      <c r="E37" s="117" t="n">
        <f aca="false">IF(OR(2&gt;$B$27,ISBLANK(Actuals!D13)),"",Actuals!D13)</f>
        <v>3022521.59</v>
      </c>
      <c r="F37" s="117" t="n">
        <f aca="false">'Reforecast Q1 2026'!D13</f>
        <v>3022518.89</v>
      </c>
      <c r="G37" s="117" t="n">
        <f aca="false">IF(E37="","",E37-F37)</f>
        <v>2.6999999997206</v>
      </c>
      <c r="H37" s="117" t="n">
        <f aca="false">IF(OR(3&gt;$B$27,ISBLANK(Actuals!E13)),"",Actuals!E13)</f>
        <v>2672216.16</v>
      </c>
      <c r="I37" s="117" t="n">
        <f aca="false">'Reforecast Q1 2026'!E13</f>
        <v>2672216.16</v>
      </c>
      <c r="J37" s="117" t="n">
        <f aca="false">IF(H37="","",H37-I37)</f>
        <v>0</v>
      </c>
      <c r="K37" s="117" t="n">
        <f aca="false">IF(OR(4&gt;$B$27,ISBLANK(Actuals!F13)),"",Actuals!F13)</f>
        <v>3692357.9</v>
      </c>
      <c r="L37" s="117" t="n">
        <f aca="false">'Reforecast Q1 2026'!F13</f>
        <v>4454367.64625426</v>
      </c>
      <c r="M37" s="117" t="n">
        <f aca="false">IF(K37="","",K37-L37)</f>
        <v>-762009.746254263</v>
      </c>
      <c r="N37" s="117" t="n">
        <f aca="false">IF(OR(5&gt;$B$27,ISBLANK(Actuals!G13)),"",Actuals!G13)</f>
        <v>4416061.63</v>
      </c>
      <c r="O37" s="117" t="n">
        <f aca="false">'Reforecast Q1 2026'!G13</f>
        <v>4647326.99625426</v>
      </c>
      <c r="P37" s="117" t="n">
        <f aca="false">IF(N37="","",N37-O37)</f>
        <v>-231265.366254264</v>
      </c>
      <c r="Q37" s="117" t="n">
        <f aca="false">IF(OR(6&gt;$B$27,ISBLANK(Actuals!H13)),"",Actuals!H13)</f>
        <v>6252262.98</v>
      </c>
      <c r="R37" s="117" t="n">
        <f aca="false">'Reforecast Q1 2026'!H13</f>
        <v>4783559.04625426</v>
      </c>
      <c r="S37" s="117" t="n">
        <f aca="false">IF(Q37="","",Q37-R37)</f>
        <v>1468703.93374574</v>
      </c>
      <c r="T37" s="117" t="n">
        <f aca="false">IF(OR(7&gt;$B$27,ISBLANK(Actuals!I13)),"",Actuals!I13)</f>
        <v>7025595.65</v>
      </c>
      <c r="U37" s="117" t="n">
        <f aca="false">'Reforecast Q1 2026'!I13</f>
        <v>5733416.58965458</v>
      </c>
      <c r="V37" s="117" t="n">
        <f aca="false">IF(T37="","",T37-U37)</f>
        <v>1292179.06034542</v>
      </c>
      <c r="W37" s="117" t="n">
        <f aca="false">IF(OR(8&gt;$B$27,ISBLANK(Actuals!J13)),"",Actuals!J13)</f>
        <v>6064732.98</v>
      </c>
      <c r="X37" s="117" t="n">
        <f aca="false">'Reforecast Q1 2026'!J13</f>
        <v>5892911.44965458</v>
      </c>
      <c r="Y37" s="117" t="n">
        <f aca="false">IF(W37="","",W37-X37)</f>
        <v>171821.530345417</v>
      </c>
      <c r="Z37" s="117" t="str">
        <f aca="false">IF(OR(9&gt;$B$27,ISBLANK(Actuals!K13)),"",Actuals!K13)</f>
        <v/>
      </c>
      <c r="AA37" s="117" t="n">
        <f aca="false">'Reforecast Q1 2026'!K13</f>
        <v>5985551.50965458</v>
      </c>
      <c r="AB37" s="117" t="str">
        <f aca="false">IF(Z37="","",Z37-AA37)</f>
        <v/>
      </c>
      <c r="AC37" s="117" t="str">
        <f aca="false">IF(OR(10&gt;$B$27,ISBLANK(Actuals!L13)),"",Actuals!L13)</f>
        <v/>
      </c>
      <c r="AD37" s="117" t="n">
        <f aca="false">'Reforecast Q1 2026'!L13</f>
        <v>6624695.09695686</v>
      </c>
      <c r="AE37" s="117" t="str">
        <f aca="false">IF(AC37="","",AC37-AD37)</f>
        <v/>
      </c>
      <c r="AF37" s="117" t="str">
        <f aca="false">IF(OR(11&gt;$B$27,ISBLANK(Actuals!M13)),"",Actuals!M13)</f>
        <v/>
      </c>
      <c r="AG37" s="117" t="n">
        <f aca="false">'Reforecast Q1 2026'!M13</f>
        <v>7264827.11096425</v>
      </c>
      <c r="AH37" s="117" t="str">
        <f aca="false">IF(AF37="","",AF37-AG37)</f>
        <v/>
      </c>
      <c r="AI37" s="117" t="str">
        <f aca="false">IF(OR(12&gt;$B$27,ISBLANK(Actuals!N13)),"",Actuals!N13)</f>
        <v/>
      </c>
      <c r="AJ37" s="117" t="n">
        <f aca="false">'Reforecast Q1 2026'!N13</f>
        <v>6982817.03487815</v>
      </c>
      <c r="AK37" s="117" t="str">
        <f aca="false">IF(AI37="","",AI37-AJ37)</f>
        <v/>
      </c>
      <c r="AL37" s="117" t="n">
        <f aca="false">SUM(Actuals!$C13:INDEX(Actuals!$C13:$N13,$B$27))</f>
        <v>34599539.68</v>
      </c>
      <c r="AM37" s="117" t="n">
        <f aca="false">SUM('Reforecast Q1 2026'!$C13:INDEX('Reforecast Q1 2026'!$C13:$N13,$B$27))</f>
        <v>32660103.518072</v>
      </c>
      <c r="AN37" s="117" t="n">
        <f aca="false">AL37-AM37</f>
        <v>1939436.16192804</v>
      </c>
    </row>
    <row r="38" customFormat="false" ht="15" hidden="false" customHeight="true" outlineLevel="0" collapsed="false">
      <c r="A38" s="110" t="s">
        <v>345</v>
      </c>
      <c r="B38" s="114" t="n">
        <f aca="false">IF(OR(1&gt;$B$27,ISBLANK(Actuals!C14)),"",Actuals!C14)</f>
        <v>-1235033.93</v>
      </c>
      <c r="C38" s="114" t="n">
        <f aca="false">'Reforecast Q1 2026'!C14</f>
        <v>-1233067.43</v>
      </c>
      <c r="D38" s="114" t="n">
        <f aca="false">IF(B38="","",B38-C38)</f>
        <v>-1966.5</v>
      </c>
      <c r="E38" s="114" t="n">
        <f aca="false">IF(OR(2&gt;$B$27,ISBLANK(Actuals!D14)),"",Actuals!D14)</f>
        <v>-3073522.36</v>
      </c>
      <c r="F38" s="114" t="n">
        <f aca="false">'Reforecast Q1 2026'!D14</f>
        <v>-3073522.36</v>
      </c>
      <c r="G38" s="114" t="n">
        <f aca="false">IF(E38="","",E38-F38)</f>
        <v>0</v>
      </c>
      <c r="H38" s="114" t="n">
        <f aca="false">IF(OR(3&gt;$B$27,ISBLANK(Actuals!E14)),"",Actuals!E14)</f>
        <v>-2078031.64</v>
      </c>
      <c r="I38" s="114" t="n">
        <f aca="false">'Reforecast Q1 2026'!E14</f>
        <v>-2078031.64</v>
      </c>
      <c r="J38" s="114" t="n">
        <f aca="false">IF(H38="","",H38-I38)</f>
        <v>0</v>
      </c>
      <c r="K38" s="114" t="n">
        <f aca="false">IF(OR(4&gt;$B$27,ISBLANK(Actuals!F14)),"",Actuals!F14)</f>
        <v>-3244999.65</v>
      </c>
      <c r="L38" s="114" t="n">
        <f aca="false">'Reforecast Q1 2026'!F14</f>
        <v>-3985482.58403402</v>
      </c>
      <c r="M38" s="114" t="n">
        <f aca="false">IF(K38="","",K38-L38)</f>
        <v>740482.93403402</v>
      </c>
      <c r="N38" s="114" t="n">
        <f aca="false">IF(OR(5&gt;$B$27,ISBLANK(Actuals!G14)),"",Actuals!G14)</f>
        <v>-3950524.93</v>
      </c>
      <c r="O38" s="114" t="n">
        <f aca="false">'Reforecast Q1 2026'!G14</f>
        <v>-4178441.93467641</v>
      </c>
      <c r="P38" s="114" t="n">
        <f aca="false">IF(N38="","",N38-O38)</f>
        <v>227917.00467641</v>
      </c>
      <c r="Q38" s="114" t="n">
        <f aca="false">IF(OR(6&gt;$B$27,ISBLANK(Actuals!H14)),"",Actuals!H14)</f>
        <v>-5610911.85</v>
      </c>
      <c r="R38" s="114" t="n">
        <f aca="false">'Reforecast Q1 2026'!H14</f>
        <v>-4314673.98179329</v>
      </c>
      <c r="S38" s="114" t="n">
        <f aca="false">IF(Q38="","",Q38-R38)</f>
        <v>-1296237.86820671</v>
      </c>
      <c r="T38" s="114" t="n">
        <f aca="false">IF(OR(7&gt;$B$27,ISBLANK(Actuals!I14)),"",Actuals!I14)</f>
        <v>-5258946.14</v>
      </c>
      <c r="U38" s="114" t="n">
        <f aca="false">'Reforecast Q1 2026'!I14</f>
        <v>-5100719.40418529</v>
      </c>
      <c r="V38" s="114" t="n">
        <f aca="false">IF(T38="","",T38-U38)</f>
        <v>-158226.735814709</v>
      </c>
      <c r="W38" s="114" t="n">
        <f aca="false">IF(OR(8&gt;$B$27,ISBLANK(Actuals!J14)),"",Actuals!J14)</f>
        <v>-5503997.59</v>
      </c>
      <c r="X38" s="114" t="n">
        <f aca="false">'Reforecast Q1 2026'!J14</f>
        <v>-5260214.25623971</v>
      </c>
      <c r="Y38" s="114" t="n">
        <f aca="false">IF(W38="","",W38-X38)</f>
        <v>-243783.333760289</v>
      </c>
      <c r="Z38" s="114" t="str">
        <f aca="false">IF(OR(9&gt;$B$27,ISBLANK(Actuals!K14)),"",Actuals!K14)</f>
        <v/>
      </c>
      <c r="AA38" s="114" t="n">
        <f aca="false">'Reforecast Q1 2026'!K14</f>
        <v>-5352854.31833945</v>
      </c>
      <c r="AB38" s="114" t="str">
        <f aca="false">IF(Z38="","",Z38-AA38)</f>
        <v/>
      </c>
      <c r="AC38" s="114" t="str">
        <f aca="false">IF(OR(10&gt;$B$27,ISBLANK(Actuals!L14)),"",Actuals!L14)</f>
        <v/>
      </c>
      <c r="AD38" s="114" t="n">
        <f aca="false">'Reforecast Q1 2026'!L14</f>
        <v>-5849570.14613038</v>
      </c>
      <c r="AE38" s="114" t="str">
        <f aca="false">IF(AC38="","",AC38-AD38)</f>
        <v/>
      </c>
      <c r="AF38" s="114" t="str">
        <f aca="false">IF(OR(11&gt;$B$27,ISBLANK(Actuals!M14)),"",Actuals!M14)</f>
        <v/>
      </c>
      <c r="AG38" s="114" t="n">
        <f aca="false">'Reforecast Q1 2026'!M14</f>
        <v>-6345476.13239193</v>
      </c>
      <c r="AH38" s="114" t="str">
        <f aca="false">IF(AF38="","",AF38-AG38)</f>
        <v/>
      </c>
      <c r="AI38" s="114" t="str">
        <f aca="false">IF(OR(12&gt;$B$27,ISBLANK(Actuals!N14)),"",Actuals!N14)</f>
        <v/>
      </c>
      <c r="AJ38" s="114" t="n">
        <f aca="false">'Reforecast Q1 2026'!N14</f>
        <v>-6208239.26255321</v>
      </c>
      <c r="AK38" s="114" t="str">
        <f aca="false">IF(AI38="","",AI38-AJ38)</f>
        <v/>
      </c>
      <c r="AL38" s="117" t="n">
        <f aca="false">SUM(Actuals!$C14:INDEX(Actuals!$C14:$N14,$B$27))</f>
        <v>-29955968.09</v>
      </c>
      <c r="AM38" s="117" t="n">
        <f aca="false">SUM('Reforecast Q1 2026'!$C14:INDEX('Reforecast Q1 2026'!$C14:$N14,$B$27))</f>
        <v>-29224153.5909287</v>
      </c>
      <c r="AN38" s="117" t="n">
        <f aca="false">AL38-AM38</f>
        <v>-731814.499071281</v>
      </c>
    </row>
    <row r="39" customFormat="false" ht="15" hidden="false" customHeight="true" outlineLevel="0" collapsed="false">
      <c r="A39" s="110" t="s">
        <v>397</v>
      </c>
      <c r="B39" s="114" t="n">
        <f aca="false">IF(OR(1&gt;$B$27,ISBLANK(Actuals!C15)),"",Actuals!C15)</f>
        <v>0</v>
      </c>
      <c r="C39" s="114" t="n">
        <f aca="false">'Reforecast Q1 2026'!C15</f>
        <v>0</v>
      </c>
      <c r="D39" s="114" t="n">
        <f aca="false">IF(B39="","",B39-C39)</f>
        <v>0</v>
      </c>
      <c r="E39" s="114" t="n">
        <f aca="false">IF(OR(2&gt;$B$27,ISBLANK(Actuals!D15)),"",Actuals!D15)</f>
        <v>0</v>
      </c>
      <c r="F39" s="114" t="n">
        <f aca="false">'Reforecast Q1 2026'!D15</f>
        <v>0</v>
      </c>
      <c r="G39" s="114" t="n">
        <f aca="false">IF(E39="","",E39-F39)</f>
        <v>0</v>
      </c>
      <c r="H39" s="114" t="n">
        <f aca="false">IF(OR(3&gt;$B$27,ISBLANK(Actuals!E15)),"",Actuals!E15)</f>
        <v>0</v>
      </c>
      <c r="I39" s="114" t="n">
        <f aca="false">'Reforecast Q1 2026'!E15</f>
        <v>0</v>
      </c>
      <c r="J39" s="114" t="n">
        <f aca="false">IF(H39="","",H39-I39)</f>
        <v>0</v>
      </c>
      <c r="K39" s="114" t="n">
        <f aca="false">IF(OR(4&gt;$B$27,ISBLANK(Actuals!F15)),"",Actuals!F15)</f>
        <v>0</v>
      </c>
      <c r="L39" s="114" t="n">
        <f aca="false">'Reforecast Q1 2026'!F15</f>
        <v>0</v>
      </c>
      <c r="M39" s="114" t="n">
        <f aca="false">IF(K39="","",K39-L39)</f>
        <v>0</v>
      </c>
      <c r="N39" s="114" t="n">
        <f aca="false">IF(OR(5&gt;$B$27,ISBLANK(Actuals!G15)),"",Actuals!G15)</f>
        <v>0</v>
      </c>
      <c r="O39" s="114" t="n">
        <f aca="false">'Reforecast Q1 2026'!G15</f>
        <v>0</v>
      </c>
      <c r="P39" s="114" t="n">
        <f aca="false">IF(N39="","",N39-O39)</f>
        <v>0</v>
      </c>
      <c r="Q39" s="114" t="n">
        <f aca="false">IF(OR(6&gt;$B$27,ISBLANK(Actuals!H15)),"",Actuals!H15)</f>
        <v>0</v>
      </c>
      <c r="R39" s="114" t="n">
        <f aca="false">'Reforecast Q1 2026'!H15</f>
        <v>0</v>
      </c>
      <c r="S39" s="114" t="n">
        <f aca="false">IF(Q39="","",Q39-R39)</f>
        <v>0</v>
      </c>
      <c r="T39" s="114" t="n">
        <f aca="false">IF(OR(7&gt;$B$27,ISBLANK(Actuals!I15)),"",Actuals!I15)</f>
        <v>0</v>
      </c>
      <c r="U39" s="114" t="n">
        <f aca="false">'Reforecast Q1 2026'!I15</f>
        <v>644526.72</v>
      </c>
      <c r="V39" s="114" t="n">
        <f aca="false">IF(T39="","",T39-U39)</f>
        <v>-644526.72</v>
      </c>
      <c r="W39" s="114" t="n">
        <f aca="false">IF(OR(8&gt;$B$27,ISBLANK(Actuals!J15)),"",Actuals!J15)</f>
        <v>0</v>
      </c>
      <c r="X39" s="114" t="n">
        <f aca="false">'Reforecast Q1 2026'!J15</f>
        <v>0</v>
      </c>
      <c r="Y39" s="114" t="n">
        <f aca="false">IF(W39="","",W39-X39)</f>
        <v>0</v>
      </c>
      <c r="Z39" s="114" t="str">
        <f aca="false">IF(OR(9&gt;$B$27,ISBLANK(Actuals!K15)),"",Actuals!K15)</f>
        <v/>
      </c>
      <c r="AA39" s="114" t="n">
        <f aca="false">'Reforecast Q1 2026'!K15</f>
        <v>0</v>
      </c>
      <c r="AB39" s="114" t="str">
        <f aca="false">IF(Z39="","",Z39-AA39)</f>
        <v/>
      </c>
      <c r="AC39" s="114" t="str">
        <f aca="false">IF(OR(10&gt;$B$27,ISBLANK(Actuals!L15)),"",Actuals!L15)</f>
        <v/>
      </c>
      <c r="AD39" s="114" t="n">
        <f aca="false">'Reforecast Q1 2026'!L15</f>
        <v>442059.825</v>
      </c>
      <c r="AE39" s="114" t="str">
        <f aca="false">IF(AC39="","",AC39-AD39)</f>
        <v/>
      </c>
      <c r="AF39" s="114" t="str">
        <f aca="false">IF(OR(11&gt;$B$27,ISBLANK(Actuals!M15)),"",Actuals!M15)</f>
        <v/>
      </c>
      <c r="AG39" s="114" t="n">
        <f aca="false">'Reforecast Q1 2026'!M15</f>
        <v>318951.075</v>
      </c>
      <c r="AH39" s="114" t="str">
        <f aca="false">IF(AF39="","",AF39-AG39)</f>
        <v/>
      </c>
      <c r="AI39" s="114" t="str">
        <f aca="false">IF(OR(12&gt;$B$27,ISBLANK(Actuals!N15)),"",Actuals!N15)</f>
        <v/>
      </c>
      <c r="AJ39" s="114" t="n">
        <f aca="false">'Reforecast Q1 2026'!N15</f>
        <v>0</v>
      </c>
      <c r="AK39" s="114" t="str">
        <f aca="false">IF(AI39="","",AI39-AJ39)</f>
        <v/>
      </c>
      <c r="AL39" s="117" t="n">
        <f aca="false">SUM(Actuals!$C15:INDEX(Actuals!$C15:$N15,$B$27))</f>
        <v>0</v>
      </c>
      <c r="AM39" s="117" t="n">
        <f aca="false">SUM('Reforecast Q1 2026'!$C15:INDEX('Reforecast Q1 2026'!$C15:$N15,$B$27))</f>
        <v>644526.72</v>
      </c>
      <c r="AN39" s="117" t="n">
        <f aca="false">AL39-AM39</f>
        <v>-644526.72</v>
      </c>
    </row>
    <row r="40" customFormat="false" ht="15" hidden="false" customHeight="true" outlineLevel="0" collapsed="false">
      <c r="A40" s="110" t="s">
        <v>399</v>
      </c>
      <c r="B40" s="114" t="n">
        <f aca="false">IF(OR(1&gt;$B$27,ISBLANK(Actuals!C16)),"",Actuals!C16)</f>
        <v>0</v>
      </c>
      <c r="C40" s="114" t="n">
        <f aca="false">'Reforecast Q1 2026'!C16</f>
        <v>-1966.5</v>
      </c>
      <c r="D40" s="114" t="n">
        <f aca="false">IF(B40="","",B40-C40)</f>
        <v>1966.5</v>
      </c>
      <c r="E40" s="114" t="n">
        <f aca="false">IF(OR(2&gt;$B$27,ISBLANK(Actuals!D16)),"",Actuals!D16)</f>
        <v>0</v>
      </c>
      <c r="F40" s="114" t="n">
        <f aca="false">'Reforecast Q1 2026'!D16</f>
        <v>0</v>
      </c>
      <c r="G40" s="114" t="n">
        <f aca="false">IF(E40="","",E40-F40)</f>
        <v>0</v>
      </c>
      <c r="H40" s="114" t="n">
        <f aca="false">IF(OR(3&gt;$B$27,ISBLANK(Actuals!E16)),"",Actuals!E16)</f>
        <v>0</v>
      </c>
      <c r="I40" s="114" t="n">
        <f aca="false">'Reforecast Q1 2026'!E16</f>
        <v>0</v>
      </c>
      <c r="J40" s="114" t="n">
        <f aca="false">IF(H40="","",H40-I40)</f>
        <v>0</v>
      </c>
      <c r="K40" s="114" t="n">
        <f aca="false">IF(OR(4&gt;$B$27,ISBLANK(Actuals!F16)),"",Actuals!F16)</f>
        <v>0</v>
      </c>
      <c r="L40" s="114" t="n">
        <f aca="false">'Reforecast Q1 2026'!F16</f>
        <v>0</v>
      </c>
      <c r="M40" s="114" t="n">
        <f aca="false">IF(K40="","",K40-L40)</f>
        <v>0</v>
      </c>
      <c r="N40" s="114" t="n">
        <f aca="false">IF(OR(5&gt;$B$27,ISBLANK(Actuals!G16)),"",Actuals!G16)</f>
        <v>0</v>
      </c>
      <c r="O40" s="114" t="n">
        <f aca="false">'Reforecast Q1 2026'!G16</f>
        <v>0</v>
      </c>
      <c r="P40" s="114" t="n">
        <f aca="false">IF(N40="","",N40-O40)</f>
        <v>0</v>
      </c>
      <c r="Q40" s="114" t="n">
        <f aca="false">IF(OR(6&gt;$B$27,ISBLANK(Actuals!H16)),"",Actuals!H16)</f>
        <v>0</v>
      </c>
      <c r="R40" s="114" t="n">
        <f aca="false">'Reforecast Q1 2026'!H16</f>
        <v>0</v>
      </c>
      <c r="S40" s="114" t="n">
        <f aca="false">IF(Q40="","",Q40-R40)</f>
        <v>0</v>
      </c>
      <c r="T40" s="114" t="n">
        <f aca="false">IF(OR(7&gt;$B$27,ISBLANK(Actuals!I16)),"",Actuals!I16)</f>
        <v>0</v>
      </c>
      <c r="U40" s="114" t="n">
        <f aca="false">'Reforecast Q1 2026'!I16</f>
        <v>-317966.5152</v>
      </c>
      <c r="V40" s="114" t="n">
        <f aca="false">IF(T40="","",T40-U40)</f>
        <v>317966.5152</v>
      </c>
      <c r="W40" s="114" t="n">
        <f aca="false">IF(OR(8&gt;$B$27,ISBLANK(Actuals!J16)),"",Actuals!J16)</f>
        <v>0</v>
      </c>
      <c r="X40" s="114" t="n">
        <f aca="false">'Reforecast Q1 2026'!J16</f>
        <v>0</v>
      </c>
      <c r="Y40" s="114" t="n">
        <f aca="false">IF(W40="","",W40-X40)</f>
        <v>0</v>
      </c>
      <c r="Z40" s="114" t="str">
        <f aca="false">IF(OR(9&gt;$B$27,ISBLANK(Actuals!K16)),"",Actuals!K16)</f>
        <v/>
      </c>
      <c r="AA40" s="114" t="n">
        <f aca="false">'Reforecast Q1 2026'!K16</f>
        <v>0</v>
      </c>
      <c r="AB40" s="114" t="str">
        <f aca="false">IF(Z40="","",Z40-AA40)</f>
        <v/>
      </c>
      <c r="AC40" s="114" t="str">
        <f aca="false">IF(OR(10&gt;$B$27,ISBLANK(Actuals!L16)),"",Actuals!L16)</f>
        <v/>
      </c>
      <c r="AD40" s="114" t="n">
        <f aca="false">'Reforecast Q1 2026'!L16</f>
        <v>-218082.847</v>
      </c>
      <c r="AE40" s="114" t="str">
        <f aca="false">IF(AC40="","",AC40-AD40)</f>
        <v/>
      </c>
      <c r="AF40" s="114" t="str">
        <f aca="false">IF(OR(11&gt;$B$27,ISBLANK(Actuals!M16)),"",Actuals!M16)</f>
        <v/>
      </c>
      <c r="AG40" s="114" t="n">
        <f aca="false">'Reforecast Q1 2026'!M16</f>
        <v>-157349.197</v>
      </c>
      <c r="AH40" s="114" t="str">
        <f aca="false">IF(AF40="","",AF40-AG40)</f>
        <v/>
      </c>
      <c r="AI40" s="114" t="str">
        <f aca="false">IF(OR(12&gt;$B$27,ISBLANK(Actuals!N16)),"",Actuals!N16)</f>
        <v/>
      </c>
      <c r="AJ40" s="114" t="n">
        <f aca="false">'Reforecast Q1 2026'!N16</f>
        <v>0</v>
      </c>
      <c r="AK40" s="114" t="str">
        <f aca="false">IF(AI40="","",AI40-AJ40)</f>
        <v/>
      </c>
      <c r="AL40" s="117" t="n">
        <f aca="false">SUM(Actuals!$C16:INDEX(Actuals!$C16:$N16,$B$27))</f>
        <v>0</v>
      </c>
      <c r="AM40" s="117" t="n">
        <f aca="false">SUM('Reforecast Q1 2026'!$C16:INDEX('Reforecast Q1 2026'!$C16:$N16,$B$27))</f>
        <v>-319933.0152</v>
      </c>
      <c r="AN40" s="117" t="n">
        <f aca="false">AL40-AM40</f>
        <v>319933.0152</v>
      </c>
    </row>
    <row r="41" customFormat="false" ht="15" hidden="false" customHeight="true" outlineLevel="0" collapsed="false">
      <c r="A41" s="116" t="s">
        <v>61</v>
      </c>
      <c r="B41" s="117" t="n">
        <f aca="false">IF(OR(1&gt;$B$27,ISBLANK(Actuals!C17)),"",Actuals!C17)</f>
        <v>218756.86</v>
      </c>
      <c r="C41" s="117" t="n">
        <f aca="false">'Reforecast Q1 2026'!C17</f>
        <v>218752.81</v>
      </c>
      <c r="D41" s="117" t="n">
        <f aca="false">IF(B41="","",B41-C41)</f>
        <v>4.05000000004657</v>
      </c>
      <c r="E41" s="117" t="n">
        <f aca="false">IF(OR(2&gt;$B$27,ISBLANK(Actuals!D17)),"",Actuals!D17)</f>
        <v>-51000.77</v>
      </c>
      <c r="F41" s="117" t="n">
        <f aca="false">'Reforecast Q1 2026'!D17</f>
        <v>-51003.4699999997</v>
      </c>
      <c r="G41" s="117" t="n">
        <f aca="false">IF(E41="","",E41-F41)</f>
        <v>2.6999999997206</v>
      </c>
      <c r="H41" s="117" t="n">
        <f aca="false">IF(OR(3&gt;$B$27,ISBLANK(Actuals!E17)),"",Actuals!E17)</f>
        <v>594184.52</v>
      </c>
      <c r="I41" s="117" t="n">
        <f aca="false">'Reforecast Q1 2026'!E17</f>
        <v>594184.52</v>
      </c>
      <c r="J41" s="117" t="n">
        <f aca="false">IF(H41="","",H41-I41)</f>
        <v>0</v>
      </c>
      <c r="K41" s="117" t="n">
        <f aca="false">IF(OR(4&gt;$B$27,ISBLANK(Actuals!F17)),"",Actuals!F17)</f>
        <v>447358.25</v>
      </c>
      <c r="L41" s="117" t="n">
        <f aca="false">'Reforecast Q1 2026'!F17</f>
        <v>468885.062220243</v>
      </c>
      <c r="M41" s="117" t="n">
        <f aca="false">IF(K41="","",K41-L41)</f>
        <v>-21526.8122202423</v>
      </c>
      <c r="N41" s="117" t="n">
        <f aca="false">IF(OR(5&gt;$B$27,ISBLANK(Actuals!G17)),"",Actuals!G17)</f>
        <v>465536.7</v>
      </c>
      <c r="O41" s="117" t="n">
        <f aca="false">'Reforecast Q1 2026'!G17</f>
        <v>468885.061577853</v>
      </c>
      <c r="P41" s="117" t="n">
        <f aca="false">IF(N41="","",N41-O41)</f>
        <v>-3348.36157785356</v>
      </c>
      <c r="Q41" s="117" t="n">
        <f aca="false">IF(OR(6&gt;$B$27,ISBLANK(Actuals!H17)),"",Actuals!H17)</f>
        <v>641351.130000001</v>
      </c>
      <c r="R41" s="117" t="n">
        <f aca="false">'Reforecast Q1 2026'!H17</f>
        <v>468885.064460973</v>
      </c>
      <c r="S41" s="117" t="n">
        <f aca="false">IF(Q41="","",Q41-R41)</f>
        <v>172466.065539028</v>
      </c>
      <c r="T41" s="117" t="n">
        <f aca="false">IF(OR(7&gt;$B$27,ISBLANK(Actuals!I17)),"",Actuals!I17)</f>
        <v>1766649.51</v>
      </c>
      <c r="U41" s="117" t="n">
        <f aca="false">'Reforecast Q1 2026'!I17</f>
        <v>959257.390269293</v>
      </c>
      <c r="V41" s="117" t="n">
        <f aca="false">IF(T41="","",T41-U41)</f>
        <v>807392.119730708</v>
      </c>
      <c r="W41" s="117" t="n">
        <f aca="false">IF(OR(8&gt;$B$27,ISBLANK(Actuals!J17)),"",Actuals!J17)</f>
        <v>560735.39</v>
      </c>
      <c r="X41" s="117" t="n">
        <f aca="false">'Reforecast Q1 2026'!J17</f>
        <v>632697.193414873</v>
      </c>
      <c r="Y41" s="117" t="n">
        <f aca="false">IF(W41="","",W41-X41)</f>
        <v>-71961.8034148729</v>
      </c>
      <c r="Z41" s="117" t="str">
        <f aca="false">IF(OR(9&gt;$B$27,ISBLANK(Actuals!K17)),"",Actuals!K17)</f>
        <v/>
      </c>
      <c r="AA41" s="117" t="n">
        <f aca="false">'Reforecast Q1 2026'!K17</f>
        <v>632697.191315133</v>
      </c>
      <c r="AB41" s="117" t="str">
        <f aca="false">IF(Z41="","",Z41-AA41)</f>
        <v/>
      </c>
      <c r="AC41" s="117" t="str">
        <f aca="false">IF(OR(10&gt;$B$27,ISBLANK(Actuals!L17)),"",Actuals!L17)</f>
        <v/>
      </c>
      <c r="AD41" s="117" t="n">
        <f aca="false">'Reforecast Q1 2026'!L17</f>
        <v>999101.928826481</v>
      </c>
      <c r="AE41" s="117" t="str">
        <f aca="false">IF(AC41="","",AC41-AD41)</f>
        <v/>
      </c>
      <c r="AF41" s="117" t="str">
        <f aca="false">IF(OR(11&gt;$B$27,ISBLANK(Actuals!M17)),"",Actuals!M17)</f>
        <v/>
      </c>
      <c r="AG41" s="117" t="n">
        <f aca="false">'Reforecast Q1 2026'!M17</f>
        <v>1080952.85657232</v>
      </c>
      <c r="AH41" s="117" t="str">
        <f aca="false">IF(AF41="","",AF41-AG41)</f>
        <v/>
      </c>
      <c r="AI41" s="117" t="str">
        <f aca="false">IF(OR(12&gt;$B$27,ISBLANK(Actuals!N17)),"",Actuals!N17)</f>
        <v/>
      </c>
      <c r="AJ41" s="117" t="n">
        <f aca="false">'Reforecast Q1 2026'!N17</f>
        <v>774577.772324943</v>
      </c>
      <c r="AK41" s="117" t="str">
        <f aca="false">IF(AI41="","",AI41-AJ41)</f>
        <v/>
      </c>
      <c r="AL41" s="117" t="n">
        <f aca="false">SUM(Actuals!$C17:INDEX(Actuals!$C17:$N17,$B$27))</f>
        <v>4643571.59</v>
      </c>
      <c r="AM41" s="117" t="n">
        <f aca="false">SUM('Reforecast Q1 2026'!$C17:INDEX('Reforecast Q1 2026'!$C17:$N17,$B$27))</f>
        <v>3760543.63194324</v>
      </c>
      <c r="AN41" s="117" t="n">
        <f aca="false">AL41-AM41</f>
        <v>883027.958056767</v>
      </c>
    </row>
    <row r="42" customFormat="false" ht="15" hidden="false" customHeight="true" outlineLevel="0" collapsed="false">
      <c r="A42" s="110" t="s">
        <v>62</v>
      </c>
      <c r="B42" s="114" t="n">
        <f aca="false">IF(OR(1&gt;$B$27,ISBLANK(Actuals!C18)),"",Actuals!C18)</f>
        <v>0.150473411652305</v>
      </c>
      <c r="C42" s="114" t="n">
        <f aca="false">'Reforecast Q1 2026'!C18</f>
        <v>0.150471045017236</v>
      </c>
      <c r="D42" s="114" t="n">
        <f aca="false">IF(B42="","",B42-C42)</f>
        <v>2.36663506975043E-006</v>
      </c>
      <c r="E42" s="114" t="n">
        <f aca="false">IF(OR(2&gt;$B$27,ISBLANK(Actuals!D18)),"",Actuals!D18)</f>
        <v>-0.0168735833579273</v>
      </c>
      <c r="F42" s="114" t="n">
        <f aca="false">'Reforecast Q1 2026'!D18</f>
        <v>-0.0168744917256745</v>
      </c>
      <c r="G42" s="114" t="n">
        <f aca="false">IF(E42="","",E42-F42)</f>
        <v>9.08367747132211E-007</v>
      </c>
      <c r="H42" s="114" t="n">
        <f aca="false">IF(OR(3&gt;$B$27,ISBLANK(Actuals!E18)),"",Actuals!E18)</f>
        <v>0.222356457869786</v>
      </c>
      <c r="I42" s="114" t="n">
        <f aca="false">'Reforecast Q1 2026'!E18</f>
        <v>0.222356457869786</v>
      </c>
      <c r="J42" s="114" t="n">
        <f aca="false">IF(H42="","",H42-I42)</f>
        <v>0</v>
      </c>
      <c r="K42" s="114" t="n">
        <f aca="false">IF(OR(4&gt;$B$27,ISBLANK(Actuals!F18)),"",Actuals!F18)</f>
        <v>0.121157878546931</v>
      </c>
      <c r="L42" s="114" t="n">
        <f aca="false">'Reforecast Q1 2026'!F18</f>
        <v>0.105264113664828</v>
      </c>
      <c r="M42" s="114" t="n">
        <f aca="false">IF(K42="","",K42-L42)</f>
        <v>0.0158937648821024</v>
      </c>
      <c r="N42" s="114" t="n">
        <f aca="false">IF(OR(5&gt;$B$27,ISBLANK(Actuals!G18)),"",Actuals!G18)</f>
        <v>0.105418977135063</v>
      </c>
      <c r="O42" s="114" t="n">
        <f aca="false">'Reforecast Q1 2026'!G18</f>
        <v>0.100893494681087</v>
      </c>
      <c r="P42" s="114" t="n">
        <f aca="false">IF(N42="","",N42-O42)</f>
        <v>0.00452548245397579</v>
      </c>
      <c r="Q42" s="114" t="n">
        <f aca="false">IF(OR(6&gt;$B$27,ISBLANK(Actuals!H18)),"",Actuals!H18)</f>
        <v>0.1025790393097</v>
      </c>
      <c r="R42" s="114" t="n">
        <f aca="false">'Reforecast Q1 2026'!H18</f>
        <v>0.0980201268401047</v>
      </c>
      <c r="S42" s="114" t="n">
        <f aca="false">IF(Q42="","",Q42-R42)</f>
        <v>0.00455891246959507</v>
      </c>
      <c r="T42" s="114" t="n">
        <f aca="false">IF(OR(7&gt;$B$27,ISBLANK(Actuals!I18)),"",Actuals!I18)</f>
        <v>0.251459036074756</v>
      </c>
      <c r="U42" s="114" t="n">
        <f aca="false">'Reforecast Q1 2026'!I18</f>
        <v>0.167309905929422</v>
      </c>
      <c r="V42" s="114" t="n">
        <f aca="false">IF(T42="","",T42-U42)</f>
        <v>0.0841491301453348</v>
      </c>
      <c r="W42" s="114" t="n">
        <f aca="false">IF(OR(8&gt;$B$27,ISBLANK(Actuals!J18)),"",Actuals!J18)</f>
        <v>0.0924583805831464</v>
      </c>
      <c r="X42" s="114" t="n">
        <f aca="false">'Reforecast Q1 2026'!J18</f>
        <v>0.107365807007325</v>
      </c>
      <c r="Y42" s="114" t="n">
        <f aca="false">IF(W42="","",W42-X42)</f>
        <v>-0.0149074264241791</v>
      </c>
      <c r="Z42" s="114" t="str">
        <f aca="false">IF(OR(9&gt;$B$27,ISBLANK(Actuals!K18)),"",Actuals!K18)</f>
        <v/>
      </c>
      <c r="AA42" s="114" t="n">
        <f aca="false">'Reforecast Q1 2026'!K18</f>
        <v>0.105704075939302</v>
      </c>
      <c r="AB42" s="114" t="str">
        <f aca="false">IF(Z42="","",Z42-AA42)</f>
        <v/>
      </c>
      <c r="AC42" s="114" t="str">
        <f aca="false">IF(OR(10&gt;$B$27,ISBLANK(Actuals!L18)),"",Actuals!L18)</f>
        <v/>
      </c>
      <c r="AD42" s="114" t="n">
        <f aca="false">'Reforecast Q1 2026'!L18</f>
        <v>0.150814779277228</v>
      </c>
      <c r="AE42" s="114" t="str">
        <f aca="false">IF(AC42="","",AC42-AD42)</f>
        <v/>
      </c>
      <c r="AF42" s="114" t="str">
        <f aca="false">IF(OR(11&gt;$B$27,ISBLANK(Actuals!M18)),"",Actuals!M18)</f>
        <v/>
      </c>
      <c r="AG42" s="114" t="n">
        <f aca="false">'Reforecast Q1 2026'!M18</f>
        <v>0.148792647101115</v>
      </c>
      <c r="AH42" s="114" t="str">
        <f aca="false">IF(AF42="","",AF42-AG42)</f>
        <v/>
      </c>
      <c r="AI42" s="114" t="str">
        <f aca="false">IF(OR(12&gt;$B$27,ISBLANK(Actuals!N18)),"",Actuals!N18)</f>
        <v/>
      </c>
      <c r="AJ42" s="114" t="n">
        <f aca="false">'Reforecast Q1 2026'!N18</f>
        <v>0.110926259195399</v>
      </c>
      <c r="AK42" s="114" t="str">
        <f aca="false">IF(AI42="","",AI42-AJ42)</f>
        <v/>
      </c>
      <c r="AL42" s="117" t="n">
        <f aca="false">SUM(Actuals!$C18:INDEX(Actuals!$C18:$N18,$B$27))</f>
        <v>1.02902959781376</v>
      </c>
      <c r="AM42" s="117" t="n">
        <f aca="false">SUM('Reforecast Q1 2026'!$C18:INDEX('Reforecast Q1 2026'!$C18:$N18,$B$27))</f>
        <v>0.934806459284114</v>
      </c>
      <c r="AN42" s="117" t="n">
        <f aca="false">AL42-AM42</f>
        <v>0.0942231385296459</v>
      </c>
    </row>
    <row r="45" customFormat="false" ht="15" hidden="true" customHeight="true" outlineLevel="1" collapsed="false">
      <c r="A45" s="110" t="s">
        <v>64</v>
      </c>
      <c r="B45" s="114" t="n">
        <f aca="false">IF(OR(1&gt;$B$27,ISBLANK(Actuals!C21)),"",Actuals!C21)</f>
        <v>-144550.9</v>
      </c>
      <c r="C45" s="114" t="n">
        <f aca="false">'Reforecast Q1 2026'!C21</f>
        <v>-144550.9</v>
      </c>
      <c r="D45" s="114" t="n">
        <f aca="false">IF(B45="","",B45-C45)</f>
        <v>0</v>
      </c>
      <c r="E45" s="114" t="n">
        <f aca="false">IF(OR(2&gt;$B$27,ISBLANK(Actuals!D21)),"",Actuals!D21)</f>
        <v>-150672.84</v>
      </c>
      <c r="F45" s="114" t="n">
        <f aca="false">'Reforecast Q1 2026'!D21</f>
        <v>-150672.84</v>
      </c>
      <c r="G45" s="114" t="n">
        <f aca="false">IF(E45="","",E45-F45)</f>
        <v>0</v>
      </c>
      <c r="H45" s="114" t="n">
        <f aca="false">IF(OR(3&gt;$B$27,ISBLANK(Actuals!E21)),"",Actuals!E21)</f>
        <v>-178867.86</v>
      </c>
      <c r="I45" s="114" t="n">
        <f aca="false">'Reforecast Q1 2026'!E21</f>
        <v>-178867.86</v>
      </c>
      <c r="J45" s="114" t="n">
        <f aca="false">IF(H45="","",H45-I45)</f>
        <v>0</v>
      </c>
      <c r="K45" s="114" t="n">
        <f aca="false">IF(OR(4&gt;$B$27,ISBLANK(Actuals!F21)),"",Actuals!F21)</f>
        <v>-187693.63</v>
      </c>
      <c r="L45" s="114" t="n">
        <f aca="false">'Reforecast Q1 2026'!F21</f>
        <v>-164791.666666667</v>
      </c>
      <c r="M45" s="114" t="n">
        <f aca="false">IF(K45="","",K45-L45)</f>
        <v>-22901.963333333</v>
      </c>
      <c r="N45" s="114" t="n">
        <f aca="false">IF(OR(5&gt;$B$27,ISBLANK(Actuals!G21)),"",Actuals!G21)</f>
        <v>-295949.1</v>
      </c>
      <c r="O45" s="114" t="n">
        <f aca="false">'Reforecast Q1 2026'!G21</f>
        <v>-189375</v>
      </c>
      <c r="P45" s="114" t="n">
        <f aca="false">IF(N45="","",N45-O45)</f>
        <v>-106574.1</v>
      </c>
      <c r="Q45" s="114" t="n">
        <f aca="false">IF(OR(6&gt;$B$27,ISBLANK(Actuals!H21)),"",Actuals!H21)</f>
        <v>-198645.92</v>
      </c>
      <c r="R45" s="114" t="n">
        <f aca="false">'Reforecast Q1 2026'!H21</f>
        <v>-214375</v>
      </c>
      <c r="S45" s="114" t="n">
        <f aca="false">IF(Q45="","",Q45-R45)</f>
        <v>15729.08</v>
      </c>
      <c r="T45" s="114" t="n">
        <f aca="false">IF(OR(7&gt;$B$27,ISBLANK(Actuals!I21)),"",Actuals!I21)</f>
        <v>-215851.71</v>
      </c>
      <c r="U45" s="114" t="n">
        <f aca="false">'Reforecast Q1 2026'!I21</f>
        <v>-225208.333333333</v>
      </c>
      <c r="V45" s="114" t="n">
        <f aca="false">IF(T45="","",T45-U45)</f>
        <v>9356.623333333</v>
      </c>
      <c r="W45" s="114" t="n">
        <f aca="false">IF(OR(8&gt;$B$27,ISBLANK(Actuals!J21)),"",Actuals!J21)</f>
        <v>-217610.65</v>
      </c>
      <c r="X45" s="114" t="n">
        <f aca="false">'Reforecast Q1 2026'!J21</f>
        <v>-225208.333333333</v>
      </c>
      <c r="Y45" s="114" t="n">
        <f aca="false">IF(W45="","",W45-X45)</f>
        <v>7597.683333333</v>
      </c>
      <c r="Z45" s="114" t="str">
        <f aca="false">IF(OR(9&gt;$B$27,ISBLANK(Actuals!K21)),"",Actuals!K21)</f>
        <v/>
      </c>
      <c r="AA45" s="114" t="n">
        <f aca="false">'Reforecast Q1 2026'!K21</f>
        <v>-225208.333333333</v>
      </c>
      <c r="AB45" s="114" t="str">
        <f aca="false">IF(Z45="","",Z45-AA45)</f>
        <v/>
      </c>
      <c r="AC45" s="114" t="str">
        <f aca="false">IF(OR(10&gt;$B$27,ISBLANK(Actuals!L21)),"",Actuals!L21)</f>
        <v/>
      </c>
      <c r="AD45" s="114" t="n">
        <f aca="false">'Reforecast Q1 2026'!L21</f>
        <v>-246041.666666667</v>
      </c>
      <c r="AE45" s="114" t="str">
        <f aca="false">IF(AC45="","",AC45-AD45)</f>
        <v/>
      </c>
      <c r="AF45" s="114" t="str">
        <f aca="false">IF(OR(11&gt;$B$27,ISBLANK(Actuals!M21)),"",Actuals!M21)</f>
        <v/>
      </c>
      <c r="AG45" s="114" t="n">
        <f aca="false">'Reforecast Q1 2026'!M21</f>
        <v>-276041.666666667</v>
      </c>
      <c r="AH45" s="114" t="str">
        <f aca="false">IF(AF45="","",AF45-AG45)</f>
        <v/>
      </c>
      <c r="AI45" s="114" t="str">
        <f aca="false">IF(OR(12&gt;$B$27,ISBLANK(Actuals!N21)),"",Actuals!N21)</f>
        <v/>
      </c>
      <c r="AJ45" s="114" t="n">
        <f aca="false">'Reforecast Q1 2026'!N21</f>
        <v>-276041.666666667</v>
      </c>
      <c r="AK45" s="114" t="str">
        <f aca="false">IF(AI45="","",AI45-AJ45)</f>
        <v/>
      </c>
      <c r="AL45" s="117" t="n">
        <f aca="false">SUM(Actuals!$C21:INDEX(Actuals!$C21:$N21,$B$27))</f>
        <v>-1589842.61</v>
      </c>
      <c r="AM45" s="117" t="n">
        <f aca="false">SUM('Reforecast Q1 2026'!$C21:INDEX('Reforecast Q1 2026'!$C21:$N21,$B$27))</f>
        <v>-1493049.93333333</v>
      </c>
      <c r="AN45" s="117" t="n">
        <f aca="false">AL45-AM45</f>
        <v>-96792.6766666668</v>
      </c>
    </row>
    <row r="46" customFormat="false" ht="15" hidden="true" customHeight="true" outlineLevel="1" collapsed="false">
      <c r="A46" s="110" t="s">
        <v>65</v>
      </c>
      <c r="B46" s="114" t="n">
        <f aca="false">IF(OR(1&gt;$B$27,ISBLANK(Actuals!C22)),"",Actuals!C22)</f>
        <v>-7450.37</v>
      </c>
      <c r="C46" s="114" t="n">
        <f aca="false">'Reforecast Q1 2026'!C22</f>
        <v>-7450.37</v>
      </c>
      <c r="D46" s="114" t="n">
        <f aca="false">IF(B46="","",B46-C46)</f>
        <v>0</v>
      </c>
      <c r="E46" s="114" t="n">
        <f aca="false">IF(OR(2&gt;$B$27,ISBLANK(Actuals!D22)),"",Actuals!D22)</f>
        <v>-10567.2</v>
      </c>
      <c r="F46" s="114" t="n">
        <f aca="false">'Reforecast Q1 2026'!D22</f>
        <v>-10567.2</v>
      </c>
      <c r="G46" s="114" t="n">
        <f aca="false">IF(E46="","",E46-F46)</f>
        <v>0</v>
      </c>
      <c r="H46" s="114" t="n">
        <f aca="false">IF(OR(3&gt;$B$27,ISBLANK(Actuals!E22)),"",Actuals!E22)</f>
        <v>-17033.3</v>
      </c>
      <c r="I46" s="114" t="n">
        <f aca="false">'Reforecast Q1 2026'!E22</f>
        <v>-17033.3</v>
      </c>
      <c r="J46" s="114" t="n">
        <f aca="false">IF(H46="","",H46-I46)</f>
        <v>0</v>
      </c>
      <c r="K46" s="114" t="n">
        <f aca="false">IF(OR(4&gt;$B$27,ISBLANK(Actuals!F22)),"",Actuals!F22)</f>
        <v>-14599.57</v>
      </c>
      <c r="L46" s="114" t="n">
        <f aca="false">'Reforecast Q1 2026'!F22</f>
        <v>-15327.0833333333</v>
      </c>
      <c r="M46" s="114" t="n">
        <f aca="false">IF(K46="","",K46-L46)</f>
        <v>727.5133333333</v>
      </c>
      <c r="N46" s="114" t="n">
        <f aca="false">IF(OR(5&gt;$B$27,ISBLANK(Actuals!G22)),"",Actuals!G22)</f>
        <v>-23689.02</v>
      </c>
      <c r="O46" s="114" t="n">
        <f aca="false">'Reforecast Q1 2026'!G22</f>
        <v>-17047.9166666667</v>
      </c>
      <c r="P46" s="114" t="n">
        <f aca="false">IF(N46="","",N46-O46)</f>
        <v>-6641.1033333333</v>
      </c>
      <c r="Q46" s="114" t="n">
        <f aca="false">IF(OR(6&gt;$B$27,ISBLANK(Actuals!H22)),"",Actuals!H22)</f>
        <v>-14793.67</v>
      </c>
      <c r="R46" s="114" t="n">
        <f aca="false">'Reforecast Q1 2026'!H22</f>
        <v>-18797.9166666667</v>
      </c>
      <c r="S46" s="114" t="n">
        <f aca="false">IF(Q46="","",Q46-R46)</f>
        <v>4004.2466666667</v>
      </c>
      <c r="T46" s="114" t="n">
        <f aca="false">IF(OR(7&gt;$B$27,ISBLANK(Actuals!I22)),"",Actuals!I22)</f>
        <v>-16311.09</v>
      </c>
      <c r="U46" s="114" t="n">
        <f aca="false">'Reforecast Q1 2026'!I22</f>
        <v>-19556.25</v>
      </c>
      <c r="V46" s="114" t="n">
        <f aca="false">IF(T46="","",T46-U46)</f>
        <v>3245.16</v>
      </c>
      <c r="W46" s="114" t="n">
        <f aca="false">IF(OR(8&gt;$B$27,ISBLANK(Actuals!J22)),"",Actuals!J22)</f>
        <v>-16725.56</v>
      </c>
      <c r="X46" s="114" t="n">
        <f aca="false">'Reforecast Q1 2026'!J22</f>
        <v>-19556.25</v>
      </c>
      <c r="Y46" s="114" t="n">
        <f aca="false">IF(W46="","",W46-X46)</f>
        <v>2830.69</v>
      </c>
      <c r="Z46" s="114" t="str">
        <f aca="false">IF(OR(9&gt;$B$27,ISBLANK(Actuals!K22)),"",Actuals!K22)</f>
        <v/>
      </c>
      <c r="AA46" s="114" t="n">
        <f aca="false">'Reforecast Q1 2026'!K22</f>
        <v>-19556.25</v>
      </c>
      <c r="AB46" s="114" t="str">
        <f aca="false">IF(Z46="","",Z46-AA46)</f>
        <v/>
      </c>
      <c r="AC46" s="114" t="str">
        <f aca="false">IF(OR(10&gt;$B$27,ISBLANK(Actuals!L22)),"",Actuals!L22)</f>
        <v/>
      </c>
      <c r="AD46" s="114" t="n">
        <f aca="false">'Reforecast Q1 2026'!L22</f>
        <v>-21014.5833333333</v>
      </c>
      <c r="AE46" s="114" t="str">
        <f aca="false">IF(AC46="","",AC46-AD46)</f>
        <v/>
      </c>
      <c r="AF46" s="114" t="str">
        <f aca="false">IF(OR(11&gt;$B$27,ISBLANK(Actuals!M22)),"",Actuals!M22)</f>
        <v/>
      </c>
      <c r="AG46" s="114" t="n">
        <f aca="false">'Reforecast Q1 2026'!M22</f>
        <v>-23114.5833333333</v>
      </c>
      <c r="AH46" s="114" t="str">
        <f aca="false">IF(AF46="","",AF46-AG46)</f>
        <v/>
      </c>
      <c r="AI46" s="114" t="str">
        <f aca="false">IF(OR(12&gt;$B$27,ISBLANK(Actuals!N22)),"",Actuals!N22)</f>
        <v/>
      </c>
      <c r="AJ46" s="114" t="n">
        <f aca="false">'Reforecast Q1 2026'!N22</f>
        <v>-23114.5833333333</v>
      </c>
      <c r="AK46" s="114" t="str">
        <f aca="false">IF(AI46="","",AI46-AJ46)</f>
        <v/>
      </c>
      <c r="AL46" s="117" t="n">
        <f aca="false">SUM(Actuals!$C22:INDEX(Actuals!$C22:$N22,$B$27))</f>
        <v>-121169.78</v>
      </c>
      <c r="AM46" s="117" t="n">
        <f aca="false">SUM('Reforecast Q1 2026'!$C22:INDEX('Reforecast Q1 2026'!$C22:$N22,$B$27))</f>
        <v>-125336.286666667</v>
      </c>
      <c r="AN46" s="117" t="n">
        <f aca="false">AL46-AM46</f>
        <v>4166.5066666667</v>
      </c>
    </row>
    <row r="47" customFormat="false" ht="15" hidden="true" customHeight="true" outlineLevel="1" collapsed="false">
      <c r="A47" s="110" t="s">
        <v>66</v>
      </c>
      <c r="B47" s="114" t="str">
        <f aca="false">IF(OR(1&gt;$B$27,ISBLANK(Actuals!C23)),"",Actuals!C23)</f>
        <v/>
      </c>
      <c r="C47" s="114" t="n">
        <f aca="false">'Reforecast Q1 2026'!C23</f>
        <v>0</v>
      </c>
      <c r="D47" s="114" t="str">
        <f aca="false">IF(B47="","",B47-C47)</f>
        <v/>
      </c>
      <c r="E47" s="114" t="str">
        <f aca="false">IF(OR(2&gt;$B$27,ISBLANK(Actuals!D23)),"",Actuals!D23)</f>
        <v/>
      </c>
      <c r="F47" s="114" t="n">
        <f aca="false">'Reforecast Q1 2026'!D23</f>
        <v>0</v>
      </c>
      <c r="G47" s="114" t="str">
        <f aca="false">IF(E47="","",E47-F47)</f>
        <v/>
      </c>
      <c r="H47" s="114" t="str">
        <f aca="false">IF(OR(3&gt;$B$27,ISBLANK(Actuals!E23)),"",Actuals!E23)</f>
        <v/>
      </c>
      <c r="I47" s="114" t="n">
        <f aca="false">'Reforecast Q1 2026'!E23</f>
        <v>0</v>
      </c>
      <c r="J47" s="114" t="str">
        <f aca="false">IF(H47="","",H47-I47)</f>
        <v/>
      </c>
      <c r="K47" s="114" t="n">
        <f aca="false">IF(OR(4&gt;$B$27,ISBLANK(Actuals!F23)),"",Actuals!F23)</f>
        <v>0</v>
      </c>
      <c r="L47" s="114" t="n">
        <f aca="false">'Reforecast Q1 2026'!F23</f>
        <v>-103833.333333333</v>
      </c>
      <c r="M47" s="114" t="n">
        <f aca="false">IF(K47="","",K47-L47)</f>
        <v>103833.333333333</v>
      </c>
      <c r="N47" s="114" t="n">
        <f aca="false">IF(OR(5&gt;$B$27,ISBLANK(Actuals!G23)),"",Actuals!G23)</f>
        <v>0</v>
      </c>
      <c r="O47" s="114" t="n">
        <f aca="false">'Reforecast Q1 2026'!G23</f>
        <v>-103833.333333333</v>
      </c>
      <c r="P47" s="114" t="n">
        <f aca="false">IF(N47="","",N47-O47)</f>
        <v>103833.333333333</v>
      </c>
      <c r="Q47" s="114" t="n">
        <f aca="false">IF(OR(6&gt;$B$27,ISBLANK(Actuals!H23)),"",Actuals!H23)</f>
        <v>0</v>
      </c>
      <c r="R47" s="114" t="n">
        <f aca="false">'Reforecast Q1 2026'!H23</f>
        <v>-103833.333333333</v>
      </c>
      <c r="S47" s="114" t="n">
        <f aca="false">IF(Q47="","",Q47-R47)</f>
        <v>103833.333333333</v>
      </c>
      <c r="T47" s="114" t="n">
        <f aca="false">IF(OR(7&gt;$B$27,ISBLANK(Actuals!I23)),"",Actuals!I23)</f>
        <v>0</v>
      </c>
      <c r="U47" s="114" t="n">
        <f aca="false">'Reforecast Q1 2026'!I23</f>
        <v>-103833.333333333</v>
      </c>
      <c r="V47" s="114" t="n">
        <f aca="false">IF(T47="","",T47-U47)</f>
        <v>103833.333333333</v>
      </c>
      <c r="W47" s="114" t="n">
        <f aca="false">IF(OR(8&gt;$B$27,ISBLANK(Actuals!J23)),"",Actuals!J23)</f>
        <v>0</v>
      </c>
      <c r="X47" s="114" t="n">
        <f aca="false">'Reforecast Q1 2026'!J23</f>
        <v>-103833.333333333</v>
      </c>
      <c r="Y47" s="114" t="n">
        <f aca="false">IF(W47="","",W47-X47)</f>
        <v>103833.333333333</v>
      </c>
      <c r="Z47" s="114" t="str">
        <f aca="false">IF(OR(9&gt;$B$27,ISBLANK(Actuals!K23)),"",Actuals!K23)</f>
        <v/>
      </c>
      <c r="AA47" s="114" t="n">
        <f aca="false">'Reforecast Q1 2026'!K23</f>
        <v>-103833.333333333</v>
      </c>
      <c r="AB47" s="114" t="str">
        <f aca="false">IF(Z47="","",Z47-AA47)</f>
        <v/>
      </c>
      <c r="AC47" s="114" t="str">
        <f aca="false">IF(OR(10&gt;$B$27,ISBLANK(Actuals!L23)),"",Actuals!L23)</f>
        <v/>
      </c>
      <c r="AD47" s="114" t="n">
        <f aca="false">'Reforecast Q1 2026'!L23</f>
        <v>-103833.333333333</v>
      </c>
      <c r="AE47" s="114" t="str">
        <f aca="false">IF(AC47="","",AC47-AD47)</f>
        <v/>
      </c>
      <c r="AF47" s="114" t="str">
        <f aca="false">IF(OR(11&gt;$B$27,ISBLANK(Actuals!M23)),"",Actuals!M23)</f>
        <v/>
      </c>
      <c r="AG47" s="114" t="n">
        <f aca="false">'Reforecast Q1 2026'!M23</f>
        <v>-103833.333333333</v>
      </c>
      <c r="AH47" s="114" t="str">
        <f aca="false">IF(AF47="","",AF47-AG47)</f>
        <v/>
      </c>
      <c r="AI47" s="114" t="str">
        <f aca="false">IF(OR(12&gt;$B$27,ISBLANK(Actuals!N23)),"",Actuals!N23)</f>
        <v/>
      </c>
      <c r="AJ47" s="114" t="n">
        <f aca="false">'Reforecast Q1 2026'!N23</f>
        <v>-103833.333333333</v>
      </c>
      <c r="AK47" s="114" t="str">
        <f aca="false">IF(AI47="","",AI47-AJ47)</f>
        <v/>
      </c>
      <c r="AL47" s="117" t="n">
        <f aca="false">SUM(Actuals!$C23:INDEX(Actuals!$C23:$N23,$B$27))</f>
        <v>0</v>
      </c>
      <c r="AM47" s="117" t="n">
        <f aca="false">SUM('Reforecast Q1 2026'!$C23:INDEX('Reforecast Q1 2026'!$C23:$N23,$B$27))</f>
        <v>-519166.666666665</v>
      </c>
      <c r="AN47" s="117" t="n">
        <f aca="false">AL47-AM47</f>
        <v>519166.666666665</v>
      </c>
    </row>
    <row r="48" customFormat="false" ht="15" hidden="true" customHeight="true" outlineLevel="1" collapsed="false">
      <c r="A48" s="110" t="s">
        <v>67</v>
      </c>
      <c r="B48" s="114" t="n">
        <f aca="false">IF(OR(1&gt;$B$27,ISBLANK(Actuals!C24)),"",Actuals!C24)</f>
        <v>-9482.97</v>
      </c>
      <c r="C48" s="114" t="n">
        <f aca="false">'Reforecast Q1 2026'!C24</f>
        <v>-9482.97</v>
      </c>
      <c r="D48" s="114" t="n">
        <f aca="false">IF(B48="","",B48-C48)</f>
        <v>0</v>
      </c>
      <c r="E48" s="114" t="n">
        <f aca="false">IF(OR(2&gt;$B$27,ISBLANK(Actuals!D24)),"",Actuals!D24)</f>
        <v>-10343.29</v>
      </c>
      <c r="F48" s="114" t="n">
        <f aca="false">'Reforecast Q1 2026'!D24</f>
        <v>-10343.29</v>
      </c>
      <c r="G48" s="114" t="n">
        <f aca="false">IF(E48="","",E48-F48)</f>
        <v>0</v>
      </c>
      <c r="H48" s="114" t="n">
        <f aca="false">IF(OR(3&gt;$B$27,ISBLANK(Actuals!E24)),"",Actuals!E24)</f>
        <v>-3729.48</v>
      </c>
      <c r="I48" s="114" t="n">
        <f aca="false">'Reforecast Q1 2026'!E24</f>
        <v>-3729.48</v>
      </c>
      <c r="J48" s="114" t="n">
        <f aca="false">IF(H48="","",H48-I48)</f>
        <v>0</v>
      </c>
      <c r="K48" s="114" t="n">
        <f aca="false">IF(OR(4&gt;$B$27,ISBLANK(Actuals!F24)),"",Actuals!F24)</f>
        <v>-3206.79</v>
      </c>
      <c r="L48" s="114" t="n">
        <f aca="false">'Reforecast Q1 2026'!F24</f>
        <v>-10947.9166666667</v>
      </c>
      <c r="M48" s="114" t="n">
        <f aca="false">IF(K48="","",K48-L48)</f>
        <v>7741.1266666667</v>
      </c>
      <c r="N48" s="114" t="n">
        <f aca="false">IF(OR(5&gt;$B$27,ISBLANK(Actuals!G24)),"",Actuals!G24)</f>
        <v>10942.55</v>
      </c>
      <c r="O48" s="114" t="n">
        <f aca="false">'Reforecast Q1 2026'!G24</f>
        <v>-12177.0833333333</v>
      </c>
      <c r="P48" s="114" t="n">
        <f aca="false">IF(N48="","",N48-O48)</f>
        <v>23119.6333333333</v>
      </c>
      <c r="Q48" s="114" t="n">
        <f aca="false">IF(OR(6&gt;$B$27,ISBLANK(Actuals!H24)),"",Actuals!H24)</f>
        <v>-8982.91</v>
      </c>
      <c r="R48" s="114" t="n">
        <f aca="false">'Reforecast Q1 2026'!H24</f>
        <v>-13427.0833333333</v>
      </c>
      <c r="S48" s="114" t="n">
        <f aca="false">IF(Q48="","",Q48-R48)</f>
        <v>4444.1733333333</v>
      </c>
      <c r="T48" s="114" t="n">
        <f aca="false">IF(OR(7&gt;$B$27,ISBLANK(Actuals!I24)),"",Actuals!I24)</f>
        <v>-14712.5</v>
      </c>
      <c r="U48" s="114" t="n">
        <f aca="false">'Reforecast Q1 2026'!I24</f>
        <v>-13968.75</v>
      </c>
      <c r="V48" s="114" t="n">
        <f aca="false">IF(T48="","",T48-U48)</f>
        <v>-743.75</v>
      </c>
      <c r="W48" s="114" t="n">
        <f aca="false">IF(OR(8&gt;$B$27,ISBLANK(Actuals!J24)),"",Actuals!J24)</f>
        <v>-12426.27</v>
      </c>
      <c r="X48" s="114" t="n">
        <f aca="false">'Reforecast Q1 2026'!J24</f>
        <v>-13968.75</v>
      </c>
      <c r="Y48" s="114" t="n">
        <f aca="false">IF(W48="","",W48-X48)</f>
        <v>1542.48</v>
      </c>
      <c r="Z48" s="114" t="str">
        <f aca="false">IF(OR(9&gt;$B$27,ISBLANK(Actuals!K24)),"",Actuals!K24)</f>
        <v/>
      </c>
      <c r="AA48" s="114" t="n">
        <f aca="false">'Reforecast Q1 2026'!K24</f>
        <v>-13968.75</v>
      </c>
      <c r="AB48" s="114" t="str">
        <f aca="false">IF(Z48="","",Z48-AA48)</f>
        <v/>
      </c>
      <c r="AC48" s="114" t="str">
        <f aca="false">IF(OR(10&gt;$B$27,ISBLANK(Actuals!L24)),"",Actuals!L24)</f>
        <v/>
      </c>
      <c r="AD48" s="114" t="n">
        <f aca="false">'Reforecast Q1 2026'!L24</f>
        <v>-15010.4166666667</v>
      </c>
      <c r="AE48" s="114" t="str">
        <f aca="false">IF(AC48="","",AC48-AD48)</f>
        <v/>
      </c>
      <c r="AF48" s="114" t="str">
        <f aca="false">IF(OR(11&gt;$B$27,ISBLANK(Actuals!M24)),"",Actuals!M24)</f>
        <v/>
      </c>
      <c r="AG48" s="114" t="n">
        <f aca="false">'Reforecast Q1 2026'!M24</f>
        <v>-16510.4166666667</v>
      </c>
      <c r="AH48" s="114" t="str">
        <f aca="false">IF(AF48="","",AF48-AG48)</f>
        <v/>
      </c>
      <c r="AI48" s="114" t="str">
        <f aca="false">IF(OR(12&gt;$B$27,ISBLANK(Actuals!N24)),"",Actuals!N24)</f>
        <v/>
      </c>
      <c r="AJ48" s="114" t="n">
        <f aca="false">'Reforecast Q1 2026'!N24</f>
        <v>-16510.4166666667</v>
      </c>
      <c r="AK48" s="114" t="str">
        <f aca="false">IF(AI48="","",AI48-AJ48)</f>
        <v/>
      </c>
      <c r="AL48" s="117" t="n">
        <f aca="false">SUM(Actuals!$C24:INDEX(Actuals!$C24:$N24,$B$27))</f>
        <v>-51941.66</v>
      </c>
      <c r="AM48" s="117" t="n">
        <f aca="false">SUM('Reforecast Q1 2026'!$C24:INDEX('Reforecast Q1 2026'!$C24:$N24,$B$27))</f>
        <v>-88045.3233333333</v>
      </c>
      <c r="AN48" s="117" t="n">
        <f aca="false">AL48-AM48</f>
        <v>36103.6633333333</v>
      </c>
    </row>
    <row r="49" customFormat="false" ht="15" hidden="true" customHeight="true" outlineLevel="1" collapsed="false">
      <c r="A49" s="110" t="s">
        <v>68</v>
      </c>
      <c r="B49" s="114" t="n">
        <f aca="false">IF(OR(1&gt;$B$27,ISBLANK(Actuals!C25)),"",Actuals!C25)</f>
        <v>-2542.47</v>
      </c>
      <c r="C49" s="114" t="n">
        <f aca="false">'Reforecast Q1 2026'!C25</f>
        <v>-2542.47</v>
      </c>
      <c r="D49" s="114" t="n">
        <f aca="false">IF(B49="","",B49-C49)</f>
        <v>0</v>
      </c>
      <c r="E49" s="114" t="n">
        <f aca="false">IF(OR(2&gt;$B$27,ISBLANK(Actuals!D25)),"",Actuals!D25)</f>
        <v>-1618.75</v>
      </c>
      <c r="F49" s="114" t="n">
        <f aca="false">'Reforecast Q1 2026'!D25</f>
        <v>-1618.75</v>
      </c>
      <c r="G49" s="114" t="n">
        <f aca="false">IF(E49="","",E49-F49)</f>
        <v>0</v>
      </c>
      <c r="H49" s="114" t="n">
        <f aca="false">IF(OR(3&gt;$B$27,ISBLANK(Actuals!E25)),"",Actuals!E25)</f>
        <v>3406.77</v>
      </c>
      <c r="I49" s="114" t="n">
        <f aca="false">'Reforecast Q1 2026'!E25</f>
        <v>3406.77</v>
      </c>
      <c r="J49" s="114" t="n">
        <f aca="false">IF(H49="","",H49-I49)</f>
        <v>0</v>
      </c>
      <c r="K49" s="114" t="n">
        <f aca="false">IF(OR(4&gt;$B$27,ISBLANK(Actuals!F25)),"",Actuals!F25)</f>
        <v>2575.42</v>
      </c>
      <c r="L49" s="114" t="n">
        <f aca="false">'Reforecast Q1 2026'!F25</f>
        <v>-4379.16666666667</v>
      </c>
      <c r="M49" s="114" t="n">
        <f aca="false">IF(K49="","",K49-L49)</f>
        <v>6954.58666666667</v>
      </c>
      <c r="N49" s="114" t="n">
        <f aca="false">IF(OR(5&gt;$B$27,ISBLANK(Actuals!G25)),"",Actuals!G25)</f>
        <v>-1896.11</v>
      </c>
      <c r="O49" s="114" t="n">
        <f aca="false">'Reforecast Q1 2026'!G25</f>
        <v>-4870.83333333333</v>
      </c>
      <c r="P49" s="114" t="n">
        <f aca="false">IF(N49="","",N49-O49)</f>
        <v>2974.72333333333</v>
      </c>
      <c r="Q49" s="114" t="n">
        <f aca="false">IF(OR(6&gt;$B$27,ISBLANK(Actuals!H25)),"",Actuals!H25)</f>
        <v>-2888.37</v>
      </c>
      <c r="R49" s="114" t="n">
        <f aca="false">'Reforecast Q1 2026'!H25</f>
        <v>-5370.83333333333</v>
      </c>
      <c r="S49" s="114" t="n">
        <f aca="false">IF(Q49="","",Q49-R49)</f>
        <v>2482.46333333333</v>
      </c>
      <c r="T49" s="114" t="n">
        <f aca="false">IF(OR(7&gt;$B$27,ISBLANK(Actuals!I25)),"",Actuals!I25)</f>
        <v>636.26</v>
      </c>
      <c r="U49" s="114" t="n">
        <f aca="false">'Reforecast Q1 2026'!I25</f>
        <v>-5587.5</v>
      </c>
      <c r="V49" s="114" t="n">
        <f aca="false">IF(T49="","",T49-U49)</f>
        <v>6223.76</v>
      </c>
      <c r="W49" s="114" t="n">
        <f aca="false">IF(OR(8&gt;$B$27,ISBLANK(Actuals!J25)),"",Actuals!J25)</f>
        <v>-2370.43</v>
      </c>
      <c r="X49" s="114" t="n">
        <f aca="false">'Reforecast Q1 2026'!J25</f>
        <v>-5587.5</v>
      </c>
      <c r="Y49" s="114" t="n">
        <f aca="false">IF(W49="","",W49-X49)</f>
        <v>3217.07</v>
      </c>
      <c r="Z49" s="114" t="str">
        <f aca="false">IF(OR(9&gt;$B$27,ISBLANK(Actuals!K25)),"",Actuals!K25)</f>
        <v/>
      </c>
      <c r="AA49" s="114" t="n">
        <f aca="false">'Reforecast Q1 2026'!K25</f>
        <v>-5587.5</v>
      </c>
      <c r="AB49" s="114" t="str">
        <f aca="false">IF(Z49="","",Z49-AA49)</f>
        <v/>
      </c>
      <c r="AC49" s="114" t="str">
        <f aca="false">IF(OR(10&gt;$B$27,ISBLANK(Actuals!L25)),"",Actuals!L25)</f>
        <v/>
      </c>
      <c r="AD49" s="114" t="n">
        <f aca="false">'Reforecast Q1 2026'!L25</f>
        <v>-6004.16666666667</v>
      </c>
      <c r="AE49" s="114" t="str">
        <f aca="false">IF(AC49="","",AC49-AD49)</f>
        <v/>
      </c>
      <c r="AF49" s="114" t="str">
        <f aca="false">IF(OR(11&gt;$B$27,ISBLANK(Actuals!M25)),"",Actuals!M25)</f>
        <v/>
      </c>
      <c r="AG49" s="114" t="n">
        <f aca="false">'Reforecast Q1 2026'!M25</f>
        <v>-6604.16666666666</v>
      </c>
      <c r="AH49" s="114" t="str">
        <f aca="false">IF(AF49="","",AF49-AG49)</f>
        <v/>
      </c>
      <c r="AI49" s="114" t="str">
        <f aca="false">IF(OR(12&gt;$B$27,ISBLANK(Actuals!N25)),"",Actuals!N25)</f>
        <v/>
      </c>
      <c r="AJ49" s="114" t="n">
        <f aca="false">'Reforecast Q1 2026'!N25</f>
        <v>-6604.16666666666</v>
      </c>
      <c r="AK49" s="114" t="str">
        <f aca="false">IF(AI49="","",AI49-AJ49)</f>
        <v/>
      </c>
      <c r="AL49" s="117" t="n">
        <f aca="false">SUM(Actuals!$C25:INDEX(Actuals!$C25:$N25,$B$27))</f>
        <v>-4697.68</v>
      </c>
      <c r="AM49" s="117" t="n">
        <f aca="false">SUM('Reforecast Q1 2026'!$C25:INDEX('Reforecast Q1 2026'!$C25:$N25,$B$27))</f>
        <v>-26550.2833333333</v>
      </c>
      <c r="AN49" s="117" t="n">
        <f aca="false">AL49-AM49</f>
        <v>21852.6033333333</v>
      </c>
    </row>
    <row r="50" customFormat="false" ht="15" hidden="true" customHeight="true" outlineLevel="1" collapsed="false">
      <c r="A50" s="110" t="s">
        <v>69</v>
      </c>
      <c r="B50" s="114" t="n">
        <f aca="false">IF(OR(1&gt;$B$27,ISBLANK(Actuals!C26)),"",Actuals!C26)</f>
        <v>-195</v>
      </c>
      <c r="C50" s="114" t="n">
        <f aca="false">'Reforecast Q1 2026'!C26</f>
        <v>-195</v>
      </c>
      <c r="D50" s="114" t="n">
        <f aca="false">IF(B50="","",B50-C50)</f>
        <v>0</v>
      </c>
      <c r="E50" s="114" t="n">
        <f aca="false">IF(OR(2&gt;$B$27,ISBLANK(Actuals!D26)),"",Actuals!D26)</f>
        <v>-200</v>
      </c>
      <c r="F50" s="114" t="n">
        <f aca="false">'Reforecast Q1 2026'!D26</f>
        <v>-200</v>
      </c>
      <c r="G50" s="114" t="n">
        <f aca="false">IF(E50="","",E50-F50)</f>
        <v>0</v>
      </c>
      <c r="H50" s="114" t="n">
        <f aca="false">IF(OR(3&gt;$B$27,ISBLANK(Actuals!E26)),"",Actuals!E26)</f>
        <v>0</v>
      </c>
      <c r="I50" s="114" t="n">
        <f aca="false">'Reforecast Q1 2026'!E26</f>
        <v>0</v>
      </c>
      <c r="J50" s="114" t="n">
        <f aca="false">IF(H50="","",H50-I50)</f>
        <v>0</v>
      </c>
      <c r="K50" s="114" t="n">
        <f aca="false">IF(OR(4&gt;$B$27,ISBLANK(Actuals!F26)),"",Actuals!F26)</f>
        <v>0</v>
      </c>
      <c r="L50" s="114" t="n">
        <f aca="false">'Reforecast Q1 2026'!F26</f>
        <v>-1094.79166666667</v>
      </c>
      <c r="M50" s="114" t="n">
        <f aca="false">IF(K50="","",K50-L50)</f>
        <v>1094.79166666667</v>
      </c>
      <c r="N50" s="114" t="n">
        <f aca="false">IF(OR(5&gt;$B$27,ISBLANK(Actuals!G26)),"",Actuals!G26)</f>
        <v>0</v>
      </c>
      <c r="O50" s="114" t="n">
        <f aca="false">'Reforecast Q1 2026'!G26</f>
        <v>-1217.70833333333</v>
      </c>
      <c r="P50" s="114" t="n">
        <f aca="false">IF(N50="","",N50-O50)</f>
        <v>1217.70833333333</v>
      </c>
      <c r="Q50" s="114" t="n">
        <f aca="false">IF(OR(6&gt;$B$27,ISBLANK(Actuals!H26)),"",Actuals!H26)</f>
        <v>0</v>
      </c>
      <c r="R50" s="114" t="n">
        <f aca="false">'Reforecast Q1 2026'!H26</f>
        <v>-1342.70833333333</v>
      </c>
      <c r="S50" s="114" t="n">
        <f aca="false">IF(Q50="","",Q50-R50)</f>
        <v>1342.70833333333</v>
      </c>
      <c r="T50" s="114" t="n">
        <f aca="false">IF(OR(7&gt;$B$27,ISBLANK(Actuals!I26)),"",Actuals!I26)</f>
        <v>0</v>
      </c>
      <c r="U50" s="114" t="n">
        <f aca="false">'Reforecast Q1 2026'!I26</f>
        <v>-1396.875</v>
      </c>
      <c r="V50" s="114" t="n">
        <f aca="false">IF(T50="","",T50-U50)</f>
        <v>1396.875</v>
      </c>
      <c r="W50" s="114" t="n">
        <f aca="false">IF(OR(8&gt;$B$27,ISBLANK(Actuals!J26)),"",Actuals!J26)</f>
        <v>0</v>
      </c>
      <c r="X50" s="114" t="n">
        <f aca="false">'Reforecast Q1 2026'!J26</f>
        <v>-1396.875</v>
      </c>
      <c r="Y50" s="114" t="n">
        <f aca="false">IF(W50="","",W50-X50)</f>
        <v>1396.875</v>
      </c>
      <c r="Z50" s="114" t="str">
        <f aca="false">IF(OR(9&gt;$B$27,ISBLANK(Actuals!K26)),"",Actuals!K26)</f>
        <v/>
      </c>
      <c r="AA50" s="114" t="n">
        <f aca="false">'Reforecast Q1 2026'!K26</f>
        <v>-1396.875</v>
      </c>
      <c r="AB50" s="114" t="str">
        <f aca="false">IF(Z50="","",Z50-AA50)</f>
        <v/>
      </c>
      <c r="AC50" s="114" t="str">
        <f aca="false">IF(OR(10&gt;$B$27,ISBLANK(Actuals!L26)),"",Actuals!L26)</f>
        <v/>
      </c>
      <c r="AD50" s="114" t="n">
        <f aca="false">'Reforecast Q1 2026'!L26</f>
        <v>-1501.04166666667</v>
      </c>
      <c r="AE50" s="114" t="str">
        <f aca="false">IF(AC50="","",AC50-AD50)</f>
        <v/>
      </c>
      <c r="AF50" s="114" t="str">
        <f aca="false">IF(OR(11&gt;$B$27,ISBLANK(Actuals!M26)),"",Actuals!M26)</f>
        <v/>
      </c>
      <c r="AG50" s="114" t="n">
        <f aca="false">'Reforecast Q1 2026'!M26</f>
        <v>-1651.04166666667</v>
      </c>
      <c r="AH50" s="114" t="str">
        <f aca="false">IF(AF50="","",AF50-AG50)</f>
        <v/>
      </c>
      <c r="AI50" s="114" t="str">
        <f aca="false">IF(OR(12&gt;$B$27,ISBLANK(Actuals!N26)),"",Actuals!N26)</f>
        <v/>
      </c>
      <c r="AJ50" s="114" t="n">
        <f aca="false">'Reforecast Q1 2026'!N26</f>
        <v>-1651.04166666667</v>
      </c>
      <c r="AK50" s="114" t="str">
        <f aca="false">IF(AI50="","",AI50-AJ50)</f>
        <v/>
      </c>
      <c r="AL50" s="117" t="n">
        <f aca="false">SUM(Actuals!$C26:INDEX(Actuals!$C26:$N26,$B$27))</f>
        <v>-395</v>
      </c>
      <c r="AM50" s="117" t="n">
        <f aca="false">SUM('Reforecast Q1 2026'!$C26:INDEX('Reforecast Q1 2026'!$C26:$N26,$B$27))</f>
        <v>-6843.95833333333</v>
      </c>
      <c r="AN50" s="117" t="n">
        <f aca="false">AL50-AM50</f>
        <v>6448.95833333333</v>
      </c>
    </row>
    <row r="51" customFormat="false" ht="15" hidden="true" customHeight="true" outlineLevel="1" collapsed="false">
      <c r="A51" s="110" t="s">
        <v>70</v>
      </c>
      <c r="B51" s="114" t="n">
        <f aca="false">IF(OR(1&gt;$B$27,ISBLANK(Actuals!C27)),"",Actuals!C27)</f>
        <v>-33002.28</v>
      </c>
      <c r="C51" s="114" t="n">
        <f aca="false">'Reforecast Q1 2026'!C27</f>
        <v>-33002.28</v>
      </c>
      <c r="D51" s="114" t="n">
        <f aca="false">IF(B51="","",B51-C51)</f>
        <v>0</v>
      </c>
      <c r="E51" s="114" t="n">
        <f aca="false">IF(OR(2&gt;$B$27,ISBLANK(Actuals!D27)),"",Actuals!D27)</f>
        <v>-29166.66</v>
      </c>
      <c r="F51" s="114" t="n">
        <f aca="false">'Reforecast Q1 2026'!D27</f>
        <v>-29166.66</v>
      </c>
      <c r="G51" s="114" t="n">
        <f aca="false">IF(E51="","",E51-F51)</f>
        <v>0</v>
      </c>
      <c r="H51" s="114" t="n">
        <f aca="false">IF(OR(3&gt;$B$27,ISBLANK(Actuals!E27)),"",Actuals!E27)</f>
        <v>-41666.66</v>
      </c>
      <c r="I51" s="114" t="n">
        <f aca="false">'Reforecast Q1 2026'!E27</f>
        <v>-41666.66</v>
      </c>
      <c r="J51" s="114" t="n">
        <f aca="false">IF(H51="","",H51-I51)</f>
        <v>0</v>
      </c>
      <c r="K51" s="114" t="n">
        <f aca="false">IF(OR(4&gt;$B$27,ISBLANK(Actuals!F27)),"",Actuals!F27)</f>
        <v>-29166.66</v>
      </c>
      <c r="L51" s="114" t="n">
        <f aca="false">'Reforecast Q1 2026'!F27</f>
        <v>-29166.66</v>
      </c>
      <c r="M51" s="114" t="n">
        <f aca="false">IF(K51="","",K51-L51)</f>
        <v>0</v>
      </c>
      <c r="N51" s="114" t="n">
        <f aca="false">IF(OR(5&gt;$B$27,ISBLANK(Actuals!G27)),"",Actuals!G27)</f>
        <v>-29166.66</v>
      </c>
      <c r="O51" s="114" t="n">
        <f aca="false">'Reforecast Q1 2026'!G27</f>
        <v>-29166.66</v>
      </c>
      <c r="P51" s="114" t="n">
        <f aca="false">IF(N51="","",N51-O51)</f>
        <v>0</v>
      </c>
      <c r="Q51" s="114" t="n">
        <f aca="false">IF(OR(6&gt;$B$27,ISBLANK(Actuals!H27)),"",Actuals!H27)</f>
        <v>-29166.66</v>
      </c>
      <c r="R51" s="114" t="n">
        <f aca="false">'Reforecast Q1 2026'!H27</f>
        <v>-29166.66</v>
      </c>
      <c r="S51" s="114" t="n">
        <f aca="false">IF(Q51="","",Q51-R51)</f>
        <v>0</v>
      </c>
      <c r="T51" s="114" t="n">
        <f aca="false">IF(OR(7&gt;$B$27,ISBLANK(Actuals!I27)),"",Actuals!I27)</f>
        <v>-29166.66</v>
      </c>
      <c r="U51" s="114" t="n">
        <f aca="false">'Reforecast Q1 2026'!I27</f>
        <v>-29166.66</v>
      </c>
      <c r="V51" s="114" t="n">
        <f aca="false">IF(T51="","",T51-U51)</f>
        <v>0</v>
      </c>
      <c r="W51" s="114" t="n">
        <f aca="false">IF(OR(8&gt;$B$27,ISBLANK(Actuals!J27)),"",Actuals!J27)</f>
        <v>-29166.66</v>
      </c>
      <c r="X51" s="114" t="n">
        <f aca="false">'Reforecast Q1 2026'!J27</f>
        <v>-29166.66</v>
      </c>
      <c r="Y51" s="114" t="n">
        <f aca="false">IF(W51="","",W51-X51)</f>
        <v>0</v>
      </c>
      <c r="Z51" s="114" t="str">
        <f aca="false">IF(OR(9&gt;$B$27,ISBLANK(Actuals!K27)),"",Actuals!K27)</f>
        <v/>
      </c>
      <c r="AA51" s="114" t="n">
        <f aca="false">'Reforecast Q1 2026'!K27</f>
        <v>-29166.66</v>
      </c>
      <c r="AB51" s="114" t="str">
        <f aca="false">IF(Z51="","",Z51-AA51)</f>
        <v/>
      </c>
      <c r="AC51" s="114" t="str">
        <f aca="false">IF(OR(10&gt;$B$27,ISBLANK(Actuals!L27)),"",Actuals!L27)</f>
        <v/>
      </c>
      <c r="AD51" s="114" t="n">
        <f aca="false">'Reforecast Q1 2026'!L27</f>
        <v>-29166.66</v>
      </c>
      <c r="AE51" s="114" t="str">
        <f aca="false">IF(AC51="","",AC51-AD51)</f>
        <v/>
      </c>
      <c r="AF51" s="114" t="str">
        <f aca="false">IF(OR(11&gt;$B$27,ISBLANK(Actuals!M27)),"",Actuals!M27)</f>
        <v/>
      </c>
      <c r="AG51" s="114" t="n">
        <f aca="false">'Reforecast Q1 2026'!M27</f>
        <v>-29166.66</v>
      </c>
      <c r="AH51" s="114" t="str">
        <f aca="false">IF(AF51="","",AF51-AG51)</f>
        <v/>
      </c>
      <c r="AI51" s="114" t="str">
        <f aca="false">IF(OR(12&gt;$B$27,ISBLANK(Actuals!N27)),"",Actuals!N27)</f>
        <v/>
      </c>
      <c r="AJ51" s="114" t="n">
        <f aca="false">'Reforecast Q1 2026'!N27</f>
        <v>-29166.66</v>
      </c>
      <c r="AK51" s="114" t="str">
        <f aca="false">IF(AI51="","",AI51-AJ51)</f>
        <v/>
      </c>
      <c r="AL51" s="117" t="n">
        <f aca="false">SUM(Actuals!$C27:INDEX(Actuals!$C27:$N27,$B$27))</f>
        <v>-249668.9</v>
      </c>
      <c r="AM51" s="117" t="n">
        <f aca="false">SUM('Reforecast Q1 2026'!$C27:INDEX('Reforecast Q1 2026'!$C27:$N27,$B$27))</f>
        <v>-249668.9</v>
      </c>
      <c r="AN51" s="117" t="n">
        <f aca="false">AL51-AM51</f>
        <v>0</v>
      </c>
    </row>
    <row r="52" customFormat="false" ht="15" hidden="true" customHeight="true" outlineLevel="1" collapsed="false">
      <c r="A52" s="110" t="s">
        <v>71</v>
      </c>
      <c r="B52" s="114" t="n">
        <f aca="false">IF(OR(1&gt;$B$27,ISBLANK(Actuals!C28)),"",Actuals!C28)</f>
        <v>0</v>
      </c>
      <c r="C52" s="114" t="n">
        <f aca="false">'Reforecast Q1 2026'!C28</f>
        <v>0</v>
      </c>
      <c r="D52" s="114" t="n">
        <f aca="false">IF(B52="","",B52-C52)</f>
        <v>0</v>
      </c>
      <c r="E52" s="114" t="n">
        <f aca="false">IF(OR(2&gt;$B$27,ISBLANK(Actuals!D28)),"",Actuals!D28)</f>
        <v>0</v>
      </c>
      <c r="F52" s="114" t="n">
        <f aca="false">'Reforecast Q1 2026'!D28</f>
        <v>0</v>
      </c>
      <c r="G52" s="114" t="n">
        <f aca="false">IF(E52="","",E52-F52)</f>
        <v>0</v>
      </c>
      <c r="H52" s="114" t="n">
        <f aca="false">IF(OR(3&gt;$B$27,ISBLANK(Actuals!E28)),"",Actuals!E28)</f>
        <v>0</v>
      </c>
      <c r="I52" s="114" t="n">
        <f aca="false">'Reforecast Q1 2026'!E28</f>
        <v>0</v>
      </c>
      <c r="J52" s="114" t="n">
        <f aca="false">IF(H52="","",H52-I52)</f>
        <v>0</v>
      </c>
      <c r="K52" s="114" t="n">
        <f aca="false">IF(OR(4&gt;$B$27,ISBLANK(Actuals!F28)),"",Actuals!F28)</f>
        <v>251304.48</v>
      </c>
      <c r="L52" s="114" t="n">
        <f aca="false">'Reforecast Q1 2026'!F28</f>
        <v>0</v>
      </c>
      <c r="M52" s="114" t="n">
        <f aca="false">IF(K52="","",K52-L52)</f>
        <v>251304.48</v>
      </c>
      <c r="N52" s="114" t="n">
        <f aca="false">IF(OR(5&gt;$B$27,ISBLANK(Actuals!G28)),"",Actuals!G28)</f>
        <v>81510</v>
      </c>
      <c r="O52" s="114" t="n">
        <f aca="false">'Reforecast Q1 2026'!G28</f>
        <v>0</v>
      </c>
      <c r="P52" s="114" t="n">
        <f aca="false">IF(N52="","",N52-O52)</f>
        <v>81510</v>
      </c>
      <c r="Q52" s="114" t="n">
        <f aca="false">IF(OR(6&gt;$B$27,ISBLANK(Actuals!H28)),"",Actuals!H28)</f>
        <v>0</v>
      </c>
      <c r="R52" s="114" t="n">
        <f aca="false">'Reforecast Q1 2026'!H28</f>
        <v>0</v>
      </c>
      <c r="S52" s="114" t="n">
        <f aca="false">IF(Q52="","",Q52-R52)</f>
        <v>0</v>
      </c>
      <c r="T52" s="114" t="n">
        <f aca="false">IF(OR(7&gt;$B$27,ISBLANK(Actuals!I28)),"",Actuals!I28)</f>
        <v>0</v>
      </c>
      <c r="U52" s="114" t="n">
        <f aca="false">'Reforecast Q1 2026'!I28</f>
        <v>0</v>
      </c>
      <c r="V52" s="114" t="n">
        <f aca="false">IF(T52="","",T52-U52)</f>
        <v>0</v>
      </c>
      <c r="W52" s="114" t="n">
        <f aca="false">IF(OR(8&gt;$B$27,ISBLANK(Actuals!J28)),"",Actuals!J28)</f>
        <v>0</v>
      </c>
      <c r="X52" s="114" t="n">
        <f aca="false">'Reforecast Q1 2026'!J28</f>
        <v>0</v>
      </c>
      <c r="Y52" s="114" t="n">
        <f aca="false">IF(W52="","",W52-X52)</f>
        <v>0</v>
      </c>
      <c r="Z52" s="114" t="str">
        <f aca="false">IF(OR(9&gt;$B$27,ISBLANK(Actuals!K28)),"",Actuals!K28)</f>
        <v/>
      </c>
      <c r="AA52" s="114" t="n">
        <f aca="false">'Reforecast Q1 2026'!K28</f>
        <v>0</v>
      </c>
      <c r="AB52" s="114" t="str">
        <f aca="false">IF(Z52="","",Z52-AA52)</f>
        <v/>
      </c>
      <c r="AC52" s="114" t="str">
        <f aca="false">IF(OR(10&gt;$B$27,ISBLANK(Actuals!L28)),"",Actuals!L28)</f>
        <v/>
      </c>
      <c r="AD52" s="114" t="n">
        <f aca="false">'Reforecast Q1 2026'!L28</f>
        <v>0</v>
      </c>
      <c r="AE52" s="114" t="str">
        <f aca="false">IF(AC52="","",AC52-AD52)</f>
        <v/>
      </c>
      <c r="AF52" s="114" t="str">
        <f aca="false">IF(OR(11&gt;$B$27,ISBLANK(Actuals!M28)),"",Actuals!M28)</f>
        <v/>
      </c>
      <c r="AG52" s="114" t="n">
        <f aca="false">'Reforecast Q1 2026'!M28</f>
        <v>0</v>
      </c>
      <c r="AH52" s="114" t="str">
        <f aca="false">IF(AF52="","",AF52-AG52)</f>
        <v/>
      </c>
      <c r="AI52" s="114" t="str">
        <f aca="false">IF(OR(12&gt;$B$27,ISBLANK(Actuals!N28)),"",Actuals!N28)</f>
        <v/>
      </c>
      <c r="AJ52" s="114" t="n">
        <f aca="false">'Reforecast Q1 2026'!N28</f>
        <v>0</v>
      </c>
      <c r="AK52" s="114" t="str">
        <f aca="false">IF(AI52="","",AI52-AJ52)</f>
        <v/>
      </c>
      <c r="AL52" s="117" t="n">
        <f aca="false">SUM(Actuals!$C28:INDEX(Actuals!$C28:$N28,$B$27))</f>
        <v>332814.48</v>
      </c>
      <c r="AM52" s="117" t="n">
        <f aca="false">SUM('Reforecast Q1 2026'!$C28:INDEX('Reforecast Q1 2026'!$C28:$N28,$B$27))</f>
        <v>0</v>
      </c>
      <c r="AN52" s="117" t="n">
        <f aca="false">AL52-AM52</f>
        <v>332814.48</v>
      </c>
    </row>
    <row r="53" customFormat="false" ht="15" hidden="true" customHeight="true" outlineLevel="1" collapsed="false">
      <c r="A53" s="110" t="s">
        <v>72</v>
      </c>
      <c r="B53" s="114" t="n">
        <f aca="false">IF(OR(1&gt;$B$27,ISBLANK(Actuals!C29)),"",Actuals!C29)</f>
        <v>-10400</v>
      </c>
      <c r="C53" s="114" t="n">
        <f aca="false">'Reforecast Q1 2026'!C29</f>
        <v>-10400</v>
      </c>
      <c r="D53" s="114" t="n">
        <f aca="false">IF(B53="","",B53-C53)</f>
        <v>0</v>
      </c>
      <c r="E53" s="114" t="n">
        <f aca="false">IF(OR(2&gt;$B$27,ISBLANK(Actuals!D29)),"",Actuals!D29)</f>
        <v>-10400</v>
      </c>
      <c r="F53" s="114" t="n">
        <f aca="false">'Reforecast Q1 2026'!D29</f>
        <v>-10400</v>
      </c>
      <c r="G53" s="114" t="n">
        <f aca="false">IF(E53="","",E53-F53)</f>
        <v>0</v>
      </c>
      <c r="H53" s="114" t="n">
        <f aca="false">IF(OR(3&gt;$B$27,ISBLANK(Actuals!E29)),"",Actuals!E29)</f>
        <v>-400</v>
      </c>
      <c r="I53" s="114" t="n">
        <f aca="false">'Reforecast Q1 2026'!E29</f>
        <v>-400</v>
      </c>
      <c r="J53" s="114" t="n">
        <f aca="false">IF(H53="","",H53-I53)</f>
        <v>0</v>
      </c>
      <c r="K53" s="114" t="n">
        <f aca="false">IF(OR(4&gt;$B$27,ISBLANK(Actuals!F29)),"",Actuals!F29)</f>
        <v>-10400</v>
      </c>
      <c r="L53" s="114" t="n">
        <f aca="false">'Reforecast Q1 2026'!F29</f>
        <v>-10400</v>
      </c>
      <c r="M53" s="114" t="n">
        <f aca="false">IF(K53="","",K53-L53)</f>
        <v>0</v>
      </c>
      <c r="N53" s="114" t="n">
        <f aca="false">IF(OR(5&gt;$B$27,ISBLANK(Actuals!G29)),"",Actuals!G29)</f>
        <v>-20400</v>
      </c>
      <c r="O53" s="114" t="n">
        <f aca="false">'Reforecast Q1 2026'!G29</f>
        <v>-10400</v>
      </c>
      <c r="P53" s="114" t="n">
        <f aca="false">IF(N53="","",N53-O53)</f>
        <v>-10000</v>
      </c>
      <c r="Q53" s="114" t="n">
        <f aca="false">IF(OR(6&gt;$B$27,ISBLANK(Actuals!H29)),"",Actuals!H29)</f>
        <v>-20405</v>
      </c>
      <c r="R53" s="114" t="n">
        <f aca="false">'Reforecast Q1 2026'!H29</f>
        <v>-10400</v>
      </c>
      <c r="S53" s="114" t="n">
        <f aca="false">IF(Q53="","",Q53-R53)</f>
        <v>-10005</v>
      </c>
      <c r="T53" s="114" t="n">
        <f aca="false">IF(OR(7&gt;$B$27,ISBLANK(Actuals!I29)),"",Actuals!I29)</f>
        <v>-20405</v>
      </c>
      <c r="U53" s="114" t="n">
        <f aca="false">'Reforecast Q1 2026'!I29</f>
        <v>-10400</v>
      </c>
      <c r="V53" s="114" t="n">
        <f aca="false">IF(T53="","",T53-U53)</f>
        <v>-10005</v>
      </c>
      <c r="W53" s="114" t="n">
        <f aca="false">IF(OR(8&gt;$B$27,ISBLANK(Actuals!J29)),"",Actuals!J29)</f>
        <v>-20405</v>
      </c>
      <c r="X53" s="114" t="n">
        <f aca="false">'Reforecast Q1 2026'!J29</f>
        <v>-10400</v>
      </c>
      <c r="Y53" s="114" t="n">
        <f aca="false">IF(W53="","",W53-X53)</f>
        <v>-10005</v>
      </c>
      <c r="Z53" s="114" t="str">
        <f aca="false">IF(OR(9&gt;$B$27,ISBLANK(Actuals!K29)),"",Actuals!K29)</f>
        <v/>
      </c>
      <c r="AA53" s="114" t="n">
        <f aca="false">'Reforecast Q1 2026'!K29</f>
        <v>-10400</v>
      </c>
      <c r="AB53" s="114" t="str">
        <f aca="false">IF(Z53="","",Z53-AA53)</f>
        <v/>
      </c>
      <c r="AC53" s="114" t="str">
        <f aca="false">IF(OR(10&gt;$B$27,ISBLANK(Actuals!L29)),"",Actuals!L29)</f>
        <v/>
      </c>
      <c r="AD53" s="114" t="n">
        <f aca="false">'Reforecast Q1 2026'!L29</f>
        <v>-10400</v>
      </c>
      <c r="AE53" s="114" t="str">
        <f aca="false">IF(AC53="","",AC53-AD53)</f>
        <v/>
      </c>
      <c r="AF53" s="114" t="str">
        <f aca="false">IF(OR(11&gt;$B$27,ISBLANK(Actuals!M29)),"",Actuals!M29)</f>
        <v/>
      </c>
      <c r="AG53" s="114" t="n">
        <f aca="false">'Reforecast Q1 2026'!M29</f>
        <v>-10400</v>
      </c>
      <c r="AH53" s="114" t="str">
        <f aca="false">IF(AF53="","",AF53-AG53)</f>
        <v/>
      </c>
      <c r="AI53" s="114" t="str">
        <f aca="false">IF(OR(12&gt;$B$27,ISBLANK(Actuals!N29)),"",Actuals!N29)</f>
        <v/>
      </c>
      <c r="AJ53" s="114" t="n">
        <f aca="false">'Reforecast Q1 2026'!N29</f>
        <v>-10400</v>
      </c>
      <c r="AK53" s="114" t="str">
        <f aca="false">IF(AI53="","",AI53-AJ53)</f>
        <v/>
      </c>
      <c r="AL53" s="117" t="n">
        <f aca="false">SUM(Actuals!$C29:INDEX(Actuals!$C29:$N29,$B$27))</f>
        <v>-113215</v>
      </c>
      <c r="AM53" s="117" t="n">
        <f aca="false">SUM('Reforecast Q1 2026'!$C29:INDEX('Reforecast Q1 2026'!$C29:$N29,$B$27))</f>
        <v>-73200</v>
      </c>
      <c r="AN53" s="117" t="n">
        <f aca="false">AL53-AM53</f>
        <v>-40015</v>
      </c>
    </row>
    <row r="54" customFormat="false" ht="15" hidden="true" customHeight="true" outlineLevel="1" collapsed="false">
      <c r="A54" s="110" t="s">
        <v>73</v>
      </c>
      <c r="B54" s="114" t="n">
        <f aca="false">IF(OR(1&gt;$B$27,ISBLANK(Actuals!C30)),"",Actuals!C30)</f>
        <v>-1988</v>
      </c>
      <c r="C54" s="114" t="n">
        <f aca="false">'Reforecast Q1 2026'!C30</f>
        <v>-1988</v>
      </c>
      <c r="D54" s="114" t="n">
        <f aca="false">IF(B54="","",B54-C54)</f>
        <v>0</v>
      </c>
      <c r="E54" s="114" t="n">
        <f aca="false">IF(OR(2&gt;$B$27,ISBLANK(Actuals!D30)),"",Actuals!D30)</f>
        <v>-955.32</v>
      </c>
      <c r="F54" s="114" t="n">
        <f aca="false">'Reforecast Q1 2026'!D30</f>
        <v>-955.32</v>
      </c>
      <c r="G54" s="114" t="n">
        <f aca="false">IF(E54="","",E54-F54)</f>
        <v>0</v>
      </c>
      <c r="H54" s="114" t="n">
        <f aca="false">IF(OR(3&gt;$B$27,ISBLANK(Actuals!E30)),"",Actuals!E30)</f>
        <v>-9130.61</v>
      </c>
      <c r="I54" s="114" t="n">
        <f aca="false">'Reforecast Q1 2026'!E30</f>
        <v>-9130.61</v>
      </c>
      <c r="J54" s="114" t="n">
        <f aca="false">IF(H54="","",H54-I54)</f>
        <v>0</v>
      </c>
      <c r="K54" s="114" t="n">
        <f aca="false">IF(OR(4&gt;$B$27,ISBLANK(Actuals!F30)),"",Actuals!F30)</f>
        <v>-1028.89</v>
      </c>
      <c r="L54" s="114" t="n">
        <f aca="false">'Reforecast Q1 2026'!F30</f>
        <v>-4024.64</v>
      </c>
      <c r="M54" s="114" t="n">
        <f aca="false">IF(K54="","",K54-L54)</f>
        <v>2995.75</v>
      </c>
      <c r="N54" s="114" t="n">
        <f aca="false">IF(OR(5&gt;$B$27,ISBLANK(Actuals!G30)),"",Actuals!G30)</f>
        <v>-7005.14</v>
      </c>
      <c r="O54" s="114" t="n">
        <f aca="false">'Reforecast Q1 2026'!G30</f>
        <v>-4024.64</v>
      </c>
      <c r="P54" s="114" t="n">
        <f aca="false">IF(N54="","",N54-O54)</f>
        <v>-2980.5</v>
      </c>
      <c r="Q54" s="114" t="n">
        <f aca="false">IF(OR(6&gt;$B$27,ISBLANK(Actuals!H30)),"",Actuals!H30)</f>
        <v>-4121.06</v>
      </c>
      <c r="R54" s="114" t="n">
        <f aca="false">'Reforecast Q1 2026'!H30</f>
        <v>-4024.64</v>
      </c>
      <c r="S54" s="114" t="n">
        <f aca="false">IF(Q54="","",Q54-R54)</f>
        <v>-96.4200000000005</v>
      </c>
      <c r="T54" s="114" t="n">
        <f aca="false">IF(OR(7&gt;$B$27,ISBLANK(Actuals!I30)),"",Actuals!I30)</f>
        <v>-2683.91</v>
      </c>
      <c r="U54" s="114" t="n">
        <f aca="false">'Reforecast Q1 2026'!I30</f>
        <v>-4024.64</v>
      </c>
      <c r="V54" s="114" t="n">
        <f aca="false">IF(T54="","",T54-U54)</f>
        <v>1340.73</v>
      </c>
      <c r="W54" s="114" t="n">
        <f aca="false">IF(OR(8&gt;$B$27,ISBLANK(Actuals!J30)),"",Actuals!J30)</f>
        <v>-17047.56</v>
      </c>
      <c r="X54" s="114" t="n">
        <f aca="false">'Reforecast Q1 2026'!J30</f>
        <v>-4024.64</v>
      </c>
      <c r="Y54" s="114" t="n">
        <f aca="false">IF(W54="","",W54-X54)</f>
        <v>-13022.92</v>
      </c>
      <c r="Z54" s="114" t="str">
        <f aca="false">IF(OR(9&gt;$B$27,ISBLANK(Actuals!K30)),"",Actuals!K30)</f>
        <v/>
      </c>
      <c r="AA54" s="114" t="n">
        <f aca="false">'Reforecast Q1 2026'!K30</f>
        <v>-4024.64</v>
      </c>
      <c r="AB54" s="114" t="str">
        <f aca="false">IF(Z54="","",Z54-AA54)</f>
        <v/>
      </c>
      <c r="AC54" s="114" t="str">
        <f aca="false">IF(OR(10&gt;$B$27,ISBLANK(Actuals!L30)),"",Actuals!L30)</f>
        <v/>
      </c>
      <c r="AD54" s="114" t="n">
        <f aca="false">'Reforecast Q1 2026'!L30</f>
        <v>-4024.64</v>
      </c>
      <c r="AE54" s="114" t="str">
        <f aca="false">IF(AC54="","",AC54-AD54)</f>
        <v/>
      </c>
      <c r="AF54" s="114" t="str">
        <f aca="false">IF(OR(11&gt;$B$27,ISBLANK(Actuals!M30)),"",Actuals!M30)</f>
        <v/>
      </c>
      <c r="AG54" s="114" t="n">
        <f aca="false">'Reforecast Q1 2026'!M30</f>
        <v>-4024.64</v>
      </c>
      <c r="AH54" s="114" t="str">
        <f aca="false">IF(AF54="","",AF54-AG54)</f>
        <v/>
      </c>
      <c r="AI54" s="114" t="str">
        <f aca="false">IF(OR(12&gt;$B$27,ISBLANK(Actuals!N30)),"",Actuals!N30)</f>
        <v/>
      </c>
      <c r="AJ54" s="114" t="n">
        <f aca="false">'Reforecast Q1 2026'!N30</f>
        <v>-4024.64</v>
      </c>
      <c r="AK54" s="114" t="str">
        <f aca="false">IF(AI54="","",AI54-AJ54)</f>
        <v/>
      </c>
      <c r="AL54" s="117" t="n">
        <f aca="false">SUM(Actuals!$C30:INDEX(Actuals!$C30:$N30,$B$27))</f>
        <v>-43960.49</v>
      </c>
      <c r="AM54" s="117" t="n">
        <f aca="false">SUM('Reforecast Q1 2026'!$C30:INDEX('Reforecast Q1 2026'!$C30:$N30,$B$27))</f>
        <v>-32197.13</v>
      </c>
      <c r="AN54" s="117" t="n">
        <f aca="false">AL54-AM54</f>
        <v>-11763.36</v>
      </c>
    </row>
    <row r="55" customFormat="false" ht="15" hidden="true" customHeight="true" outlineLevel="1" collapsed="false">
      <c r="A55" s="110" t="s">
        <v>74</v>
      </c>
      <c r="B55" s="114" t="n">
        <f aca="false">IF(OR(1&gt;$B$27,ISBLANK(Actuals!C31)),"",Actuals!C31)</f>
        <v>0</v>
      </c>
      <c r="C55" s="114" t="n">
        <f aca="false">'Reforecast Q1 2026'!C31</f>
        <v>0</v>
      </c>
      <c r="D55" s="114" t="n">
        <f aca="false">IF(B55="","",B55-C55)</f>
        <v>0</v>
      </c>
      <c r="E55" s="114" t="n">
        <f aca="false">IF(OR(2&gt;$B$27,ISBLANK(Actuals!D31)),"",Actuals!D31)</f>
        <v>0</v>
      </c>
      <c r="F55" s="114" t="n">
        <f aca="false">'Reforecast Q1 2026'!D31</f>
        <v>0</v>
      </c>
      <c r="G55" s="114" t="n">
        <f aca="false">IF(E55="","",E55-F55)</f>
        <v>0</v>
      </c>
      <c r="H55" s="114" t="n">
        <f aca="false">IF(OR(3&gt;$B$27,ISBLANK(Actuals!E31)),"",Actuals!E31)</f>
        <v>-1077.38</v>
      </c>
      <c r="I55" s="114" t="n">
        <f aca="false">'Reforecast Q1 2026'!E31</f>
        <v>-1077.38</v>
      </c>
      <c r="J55" s="114" t="n">
        <f aca="false">IF(H55="","",H55-I55)</f>
        <v>0</v>
      </c>
      <c r="K55" s="114" t="n">
        <f aca="false">IF(OR(4&gt;$B$27,ISBLANK(Actuals!F31)),"",Actuals!F31)</f>
        <v>-211.28</v>
      </c>
      <c r="L55" s="114" t="n">
        <f aca="false">'Reforecast Q1 2026'!F31</f>
        <v>-359.13</v>
      </c>
      <c r="M55" s="114" t="n">
        <f aca="false">IF(K55="","",K55-L55)</f>
        <v>147.85</v>
      </c>
      <c r="N55" s="114" t="n">
        <f aca="false">IF(OR(5&gt;$B$27,ISBLANK(Actuals!G31)),"",Actuals!G31)</f>
        <v>-1254.17</v>
      </c>
      <c r="O55" s="114" t="n">
        <f aca="false">'Reforecast Q1 2026'!G31</f>
        <v>-359.13</v>
      </c>
      <c r="P55" s="114" t="n">
        <f aca="false">IF(N55="","",N55-O55)</f>
        <v>-895.04</v>
      </c>
      <c r="Q55" s="114" t="n">
        <f aca="false">IF(OR(6&gt;$B$27,ISBLANK(Actuals!H31)),"",Actuals!H31)</f>
        <v>0</v>
      </c>
      <c r="R55" s="114" t="n">
        <f aca="false">'Reforecast Q1 2026'!H31</f>
        <v>-359.13</v>
      </c>
      <c r="S55" s="114" t="n">
        <f aca="false">IF(Q55="","",Q55-R55)</f>
        <v>359.13</v>
      </c>
      <c r="T55" s="114" t="n">
        <f aca="false">IF(OR(7&gt;$B$27,ISBLANK(Actuals!I31)),"",Actuals!I31)</f>
        <v>-169.62</v>
      </c>
      <c r="U55" s="114" t="n">
        <f aca="false">'Reforecast Q1 2026'!I31</f>
        <v>-359.13</v>
      </c>
      <c r="V55" s="114" t="n">
        <f aca="false">IF(T55="","",T55-U55)</f>
        <v>189.51</v>
      </c>
      <c r="W55" s="114" t="n">
        <f aca="false">IF(OR(8&gt;$B$27,ISBLANK(Actuals!J31)),"",Actuals!J31)</f>
        <v>-2331.88</v>
      </c>
      <c r="X55" s="114" t="n">
        <f aca="false">'Reforecast Q1 2026'!J31</f>
        <v>-359.13</v>
      </c>
      <c r="Y55" s="114" t="n">
        <f aca="false">IF(W55="","",W55-X55)</f>
        <v>-1972.75</v>
      </c>
      <c r="Z55" s="114" t="str">
        <f aca="false">IF(OR(9&gt;$B$27,ISBLANK(Actuals!K31)),"",Actuals!K31)</f>
        <v/>
      </c>
      <c r="AA55" s="114" t="n">
        <f aca="false">'Reforecast Q1 2026'!K31</f>
        <v>-359.13</v>
      </c>
      <c r="AB55" s="114" t="str">
        <f aca="false">IF(Z55="","",Z55-AA55)</f>
        <v/>
      </c>
      <c r="AC55" s="114" t="str">
        <f aca="false">IF(OR(10&gt;$B$27,ISBLANK(Actuals!L31)),"",Actuals!L31)</f>
        <v/>
      </c>
      <c r="AD55" s="114" t="n">
        <f aca="false">'Reforecast Q1 2026'!L31</f>
        <v>-359.13</v>
      </c>
      <c r="AE55" s="114" t="str">
        <f aca="false">IF(AC55="","",AC55-AD55)</f>
        <v/>
      </c>
      <c r="AF55" s="114" t="str">
        <f aca="false">IF(OR(11&gt;$B$27,ISBLANK(Actuals!M31)),"",Actuals!M31)</f>
        <v/>
      </c>
      <c r="AG55" s="114" t="n">
        <f aca="false">'Reforecast Q1 2026'!M31</f>
        <v>-359.13</v>
      </c>
      <c r="AH55" s="114" t="str">
        <f aca="false">IF(AF55="","",AF55-AG55)</f>
        <v/>
      </c>
      <c r="AI55" s="114" t="str">
        <f aca="false">IF(OR(12&gt;$B$27,ISBLANK(Actuals!N31)),"",Actuals!N31)</f>
        <v/>
      </c>
      <c r="AJ55" s="114" t="n">
        <f aca="false">'Reforecast Q1 2026'!N31</f>
        <v>-359.13</v>
      </c>
      <c r="AK55" s="114" t="str">
        <f aca="false">IF(AI55="","",AI55-AJ55)</f>
        <v/>
      </c>
      <c r="AL55" s="117" t="n">
        <f aca="false">SUM(Actuals!$C31:INDEX(Actuals!$C31:$N31,$B$27))</f>
        <v>-5044.33</v>
      </c>
      <c r="AM55" s="117" t="n">
        <f aca="false">SUM('Reforecast Q1 2026'!$C31:INDEX('Reforecast Q1 2026'!$C31:$N31,$B$27))</f>
        <v>-2873.03</v>
      </c>
      <c r="AN55" s="117" t="n">
        <f aca="false">AL55-AM55</f>
        <v>-2171.3</v>
      </c>
    </row>
    <row r="56" customFormat="false" ht="15" hidden="true" customHeight="true" outlineLevel="1" collapsed="false">
      <c r="A56" s="110" t="s">
        <v>75</v>
      </c>
      <c r="B56" s="114" t="n">
        <f aca="false">IF(OR(1&gt;$B$27,ISBLANK(Actuals!C32)),"",Actuals!C32)</f>
        <v>-79</v>
      </c>
      <c r="C56" s="114" t="n">
        <f aca="false">'Reforecast Q1 2026'!C32</f>
        <v>-79</v>
      </c>
      <c r="D56" s="114" t="n">
        <f aca="false">IF(B56="","",B56-C56)</f>
        <v>0</v>
      </c>
      <c r="E56" s="114" t="n">
        <f aca="false">IF(OR(2&gt;$B$27,ISBLANK(Actuals!D32)),"",Actuals!D32)</f>
        <v>0</v>
      </c>
      <c r="F56" s="114" t="n">
        <f aca="false">'Reforecast Q1 2026'!D32</f>
        <v>0</v>
      </c>
      <c r="G56" s="114" t="n">
        <f aca="false">IF(E56="","",E56-F56)</f>
        <v>0</v>
      </c>
      <c r="H56" s="114" t="n">
        <f aca="false">IF(OR(3&gt;$B$27,ISBLANK(Actuals!E32)),"",Actuals!E32)</f>
        <v>0</v>
      </c>
      <c r="I56" s="114" t="n">
        <f aca="false">'Reforecast Q1 2026'!E32</f>
        <v>0</v>
      </c>
      <c r="J56" s="114" t="n">
        <f aca="false">IF(H56="","",H56-I56)</f>
        <v>0</v>
      </c>
      <c r="K56" s="114" t="n">
        <f aca="false">IF(OR(4&gt;$B$27,ISBLANK(Actuals!F32)),"",Actuals!F32)</f>
        <v>0</v>
      </c>
      <c r="L56" s="114" t="n">
        <f aca="false">'Reforecast Q1 2026'!F32</f>
        <v>-26.33</v>
      </c>
      <c r="M56" s="114" t="n">
        <f aca="false">IF(K56="","",K56-L56)</f>
        <v>26.33</v>
      </c>
      <c r="N56" s="114" t="n">
        <f aca="false">IF(OR(5&gt;$B$27,ISBLANK(Actuals!G32)),"",Actuals!G32)</f>
        <v>0</v>
      </c>
      <c r="O56" s="114" t="n">
        <f aca="false">'Reforecast Q1 2026'!G32</f>
        <v>-26.33</v>
      </c>
      <c r="P56" s="114" t="n">
        <f aca="false">IF(N56="","",N56-O56)</f>
        <v>26.33</v>
      </c>
      <c r="Q56" s="114" t="n">
        <f aca="false">IF(OR(6&gt;$B$27,ISBLANK(Actuals!H32)),"",Actuals!H32)</f>
        <v>0</v>
      </c>
      <c r="R56" s="114" t="n">
        <f aca="false">'Reforecast Q1 2026'!H32</f>
        <v>-26.33</v>
      </c>
      <c r="S56" s="114" t="n">
        <f aca="false">IF(Q56="","",Q56-R56)</f>
        <v>26.33</v>
      </c>
      <c r="T56" s="114" t="n">
        <f aca="false">IF(OR(7&gt;$B$27,ISBLANK(Actuals!I32)),"",Actuals!I32)</f>
        <v>0</v>
      </c>
      <c r="U56" s="114" t="n">
        <f aca="false">'Reforecast Q1 2026'!I32</f>
        <v>-26.33</v>
      </c>
      <c r="V56" s="114" t="n">
        <f aca="false">IF(T56="","",T56-U56)</f>
        <v>26.33</v>
      </c>
      <c r="W56" s="114" t="n">
        <f aca="false">IF(OR(8&gt;$B$27,ISBLANK(Actuals!J32)),"",Actuals!J32)</f>
        <v>-89</v>
      </c>
      <c r="X56" s="114" t="n">
        <f aca="false">'Reforecast Q1 2026'!J32</f>
        <v>-26.33</v>
      </c>
      <c r="Y56" s="114" t="n">
        <f aca="false">IF(W56="","",W56-X56)</f>
        <v>-62.67</v>
      </c>
      <c r="Z56" s="114" t="str">
        <f aca="false">IF(OR(9&gt;$B$27,ISBLANK(Actuals!K32)),"",Actuals!K32)</f>
        <v/>
      </c>
      <c r="AA56" s="114" t="n">
        <f aca="false">'Reforecast Q1 2026'!K32</f>
        <v>-26.33</v>
      </c>
      <c r="AB56" s="114" t="str">
        <f aca="false">IF(Z56="","",Z56-AA56)</f>
        <v/>
      </c>
      <c r="AC56" s="114" t="str">
        <f aca="false">IF(OR(10&gt;$B$27,ISBLANK(Actuals!L32)),"",Actuals!L32)</f>
        <v/>
      </c>
      <c r="AD56" s="114" t="n">
        <f aca="false">'Reforecast Q1 2026'!L32</f>
        <v>-26.33</v>
      </c>
      <c r="AE56" s="114" t="str">
        <f aca="false">IF(AC56="","",AC56-AD56)</f>
        <v/>
      </c>
      <c r="AF56" s="114" t="str">
        <f aca="false">IF(OR(11&gt;$B$27,ISBLANK(Actuals!M32)),"",Actuals!M32)</f>
        <v/>
      </c>
      <c r="AG56" s="114" t="n">
        <f aca="false">'Reforecast Q1 2026'!M32</f>
        <v>-26.33</v>
      </c>
      <c r="AH56" s="114" t="str">
        <f aca="false">IF(AF56="","",AF56-AG56)</f>
        <v/>
      </c>
      <c r="AI56" s="114" t="str">
        <f aca="false">IF(OR(12&gt;$B$27,ISBLANK(Actuals!N32)),"",Actuals!N32)</f>
        <v/>
      </c>
      <c r="AJ56" s="114" t="n">
        <f aca="false">'Reforecast Q1 2026'!N32</f>
        <v>-26.33</v>
      </c>
      <c r="AK56" s="114" t="str">
        <f aca="false">IF(AI56="","",AI56-AJ56)</f>
        <v/>
      </c>
      <c r="AL56" s="117" t="n">
        <f aca="false">SUM(Actuals!$C32:INDEX(Actuals!$C32:$N32,$B$27))</f>
        <v>-168</v>
      </c>
      <c r="AM56" s="117" t="n">
        <f aca="false">SUM('Reforecast Q1 2026'!$C32:INDEX('Reforecast Q1 2026'!$C32:$N32,$B$27))</f>
        <v>-210.65</v>
      </c>
      <c r="AN56" s="117" t="n">
        <f aca="false">AL56-AM56</f>
        <v>42.65</v>
      </c>
    </row>
    <row r="57" customFormat="false" ht="15" hidden="true" customHeight="true" outlineLevel="1" collapsed="false">
      <c r="A57" s="110" t="s">
        <v>76</v>
      </c>
      <c r="B57" s="114" t="n">
        <f aca="false">IF(OR(1&gt;$B$27,ISBLANK(Actuals!C33)),"",Actuals!C33)</f>
        <v>-3405.64</v>
      </c>
      <c r="C57" s="114" t="n">
        <f aca="false">'Reforecast Q1 2026'!C33</f>
        <v>-3405.64</v>
      </c>
      <c r="D57" s="114" t="n">
        <f aca="false">IF(B57="","",B57-C57)</f>
        <v>0</v>
      </c>
      <c r="E57" s="114" t="n">
        <f aca="false">IF(OR(2&gt;$B$27,ISBLANK(Actuals!D33)),"",Actuals!D33)</f>
        <v>-5015.38</v>
      </c>
      <c r="F57" s="114" t="n">
        <f aca="false">'Reforecast Q1 2026'!D33</f>
        <v>-5015.38</v>
      </c>
      <c r="G57" s="114" t="n">
        <f aca="false">IF(E57="","",E57-F57)</f>
        <v>0</v>
      </c>
      <c r="H57" s="114" t="n">
        <f aca="false">IF(OR(3&gt;$B$27,ISBLANK(Actuals!E33)),"",Actuals!E33)</f>
        <v>-7481.39</v>
      </c>
      <c r="I57" s="114" t="n">
        <f aca="false">'Reforecast Q1 2026'!E33</f>
        <v>-7481.39</v>
      </c>
      <c r="J57" s="114" t="n">
        <f aca="false">IF(H57="","",H57-I57)</f>
        <v>0</v>
      </c>
      <c r="K57" s="114" t="n">
        <f aca="false">IF(OR(4&gt;$B$27,ISBLANK(Actuals!F33)),"",Actuals!F33)</f>
        <v>-5111.12</v>
      </c>
      <c r="L57" s="114" t="n">
        <f aca="false">'Reforecast Q1 2026'!F33</f>
        <v>-5300.8</v>
      </c>
      <c r="M57" s="114" t="n">
        <f aca="false">IF(K57="","",K57-L57)</f>
        <v>189.68</v>
      </c>
      <c r="N57" s="114" t="n">
        <f aca="false">IF(OR(5&gt;$B$27,ISBLANK(Actuals!G33)),"",Actuals!G33)</f>
        <v>-4038.48</v>
      </c>
      <c r="O57" s="114" t="n">
        <f aca="false">'Reforecast Q1 2026'!G33</f>
        <v>-5300.8</v>
      </c>
      <c r="P57" s="114" t="n">
        <f aca="false">IF(N57="","",N57-O57)</f>
        <v>1262.32</v>
      </c>
      <c r="Q57" s="114" t="n">
        <f aca="false">IF(OR(6&gt;$B$27,ISBLANK(Actuals!H33)),"",Actuals!H33)</f>
        <v>-6114.98</v>
      </c>
      <c r="R57" s="114" t="n">
        <f aca="false">'Reforecast Q1 2026'!H33</f>
        <v>-5300.8</v>
      </c>
      <c r="S57" s="114" t="n">
        <f aca="false">IF(Q57="","",Q57-R57)</f>
        <v>-814.179999999999</v>
      </c>
      <c r="T57" s="114" t="n">
        <f aca="false">IF(OR(7&gt;$B$27,ISBLANK(Actuals!I33)),"",Actuals!I33)</f>
        <v>-12545.93</v>
      </c>
      <c r="U57" s="114" t="n">
        <f aca="false">'Reforecast Q1 2026'!I33</f>
        <v>-5300.8</v>
      </c>
      <c r="V57" s="114" t="n">
        <f aca="false">IF(T57="","",T57-U57)</f>
        <v>-7245.13</v>
      </c>
      <c r="W57" s="114" t="n">
        <f aca="false">IF(OR(8&gt;$B$27,ISBLANK(Actuals!J33)),"",Actuals!J33)</f>
        <v>-5885.72</v>
      </c>
      <c r="X57" s="114" t="n">
        <f aca="false">'Reforecast Q1 2026'!J33</f>
        <v>-5300.8</v>
      </c>
      <c r="Y57" s="114" t="n">
        <f aca="false">IF(W57="","",W57-X57)</f>
        <v>-584.92</v>
      </c>
      <c r="Z57" s="114" t="str">
        <f aca="false">IF(OR(9&gt;$B$27,ISBLANK(Actuals!K33)),"",Actuals!K33)</f>
        <v/>
      </c>
      <c r="AA57" s="114" t="n">
        <f aca="false">'Reforecast Q1 2026'!K33</f>
        <v>-5300.8</v>
      </c>
      <c r="AB57" s="114" t="str">
        <f aca="false">IF(Z57="","",Z57-AA57)</f>
        <v/>
      </c>
      <c r="AC57" s="114" t="str">
        <f aca="false">IF(OR(10&gt;$B$27,ISBLANK(Actuals!L33)),"",Actuals!L33)</f>
        <v/>
      </c>
      <c r="AD57" s="114" t="n">
        <f aca="false">'Reforecast Q1 2026'!L33</f>
        <v>-5300.8</v>
      </c>
      <c r="AE57" s="114" t="str">
        <f aca="false">IF(AC57="","",AC57-AD57)</f>
        <v/>
      </c>
      <c r="AF57" s="114" t="str">
        <f aca="false">IF(OR(11&gt;$B$27,ISBLANK(Actuals!M33)),"",Actuals!M33)</f>
        <v/>
      </c>
      <c r="AG57" s="114" t="n">
        <f aca="false">'Reforecast Q1 2026'!M33</f>
        <v>-5300.8</v>
      </c>
      <c r="AH57" s="114" t="str">
        <f aca="false">IF(AF57="","",AF57-AG57)</f>
        <v/>
      </c>
      <c r="AI57" s="114" t="str">
        <f aca="false">IF(OR(12&gt;$B$27,ISBLANK(Actuals!N33)),"",Actuals!N33)</f>
        <v/>
      </c>
      <c r="AJ57" s="114" t="n">
        <f aca="false">'Reforecast Q1 2026'!N33</f>
        <v>-5300.8</v>
      </c>
      <c r="AK57" s="114" t="str">
        <f aca="false">IF(AI57="","",AI57-AJ57)</f>
        <v/>
      </c>
      <c r="AL57" s="117" t="n">
        <f aca="false">SUM(Actuals!$C33:INDEX(Actuals!$C33:$N33,$B$27))</f>
        <v>-49598.64</v>
      </c>
      <c r="AM57" s="117" t="n">
        <f aca="false">SUM('Reforecast Q1 2026'!$C33:INDEX('Reforecast Q1 2026'!$C33:$N33,$B$27))</f>
        <v>-42406.41</v>
      </c>
      <c r="AN57" s="117" t="n">
        <f aca="false">AL57-AM57</f>
        <v>-7192.23</v>
      </c>
    </row>
    <row r="58" customFormat="false" ht="15" hidden="true" customHeight="true" outlineLevel="1" collapsed="false">
      <c r="A58" s="110" t="s">
        <v>77</v>
      </c>
      <c r="B58" s="114" t="n">
        <f aca="false">IF(OR(1&gt;$B$27,ISBLANK(Actuals!C34)),"",Actuals!C34)</f>
        <v>0</v>
      </c>
      <c r="C58" s="114" t="n">
        <f aca="false">'Reforecast Q1 2026'!C34</f>
        <v>0</v>
      </c>
      <c r="D58" s="114" t="n">
        <f aca="false">IF(B58="","",B58-C58)</f>
        <v>0</v>
      </c>
      <c r="E58" s="114" t="n">
        <f aca="false">IF(OR(2&gt;$B$27,ISBLANK(Actuals!D34)),"",Actuals!D34)</f>
        <v>-1766.48</v>
      </c>
      <c r="F58" s="114" t="n">
        <f aca="false">'Reforecast Q1 2026'!D34</f>
        <v>-1766.48</v>
      </c>
      <c r="G58" s="114" t="n">
        <f aca="false">IF(E58="","",E58-F58)</f>
        <v>0</v>
      </c>
      <c r="H58" s="114" t="n">
        <f aca="false">IF(OR(3&gt;$B$27,ISBLANK(Actuals!E34)),"",Actuals!E34)</f>
        <v>-441.62</v>
      </c>
      <c r="I58" s="114" t="n">
        <f aca="false">'Reforecast Q1 2026'!E34</f>
        <v>-441.62</v>
      </c>
      <c r="J58" s="114" t="n">
        <f aca="false">IF(H58="","",H58-I58)</f>
        <v>0</v>
      </c>
      <c r="K58" s="114" t="n">
        <f aca="false">IF(OR(4&gt;$B$27,ISBLANK(Actuals!F34)),"",Actuals!F34)</f>
        <v>-441.62</v>
      </c>
      <c r="L58" s="114" t="n">
        <f aca="false">'Reforecast Q1 2026'!F34</f>
        <v>-736.03</v>
      </c>
      <c r="M58" s="114" t="n">
        <f aca="false">IF(K58="","",K58-L58)</f>
        <v>294.41</v>
      </c>
      <c r="N58" s="114" t="n">
        <f aca="false">IF(OR(5&gt;$B$27,ISBLANK(Actuals!G34)),"",Actuals!G34)</f>
        <v>-578.62</v>
      </c>
      <c r="O58" s="114" t="n">
        <f aca="false">'Reforecast Q1 2026'!G34</f>
        <v>-736.03</v>
      </c>
      <c r="P58" s="114" t="n">
        <f aca="false">IF(N58="","",N58-O58)</f>
        <v>157.41</v>
      </c>
      <c r="Q58" s="114" t="n">
        <f aca="false">IF(OR(6&gt;$B$27,ISBLANK(Actuals!H34)),"",Actuals!H34)</f>
        <v>-491.62</v>
      </c>
      <c r="R58" s="114" t="n">
        <f aca="false">'Reforecast Q1 2026'!H34</f>
        <v>-736.03</v>
      </c>
      <c r="S58" s="114" t="n">
        <f aca="false">IF(Q58="","",Q58-R58)</f>
        <v>244.41</v>
      </c>
      <c r="T58" s="114" t="n">
        <f aca="false">IF(OR(7&gt;$B$27,ISBLANK(Actuals!I34)),"",Actuals!I34)</f>
        <v>-491.62</v>
      </c>
      <c r="U58" s="114" t="n">
        <f aca="false">'Reforecast Q1 2026'!I34</f>
        <v>-736.03</v>
      </c>
      <c r="V58" s="114" t="n">
        <f aca="false">IF(T58="","",T58-U58)</f>
        <v>244.41</v>
      </c>
      <c r="W58" s="114" t="n">
        <f aca="false">IF(OR(8&gt;$B$27,ISBLANK(Actuals!J34)),"",Actuals!J34)</f>
        <v>-491.62</v>
      </c>
      <c r="X58" s="114" t="n">
        <f aca="false">'Reforecast Q1 2026'!J34</f>
        <v>-736.03</v>
      </c>
      <c r="Y58" s="114" t="n">
        <f aca="false">IF(W58="","",W58-X58)</f>
        <v>244.41</v>
      </c>
      <c r="Z58" s="114" t="str">
        <f aca="false">IF(OR(9&gt;$B$27,ISBLANK(Actuals!K34)),"",Actuals!K34)</f>
        <v/>
      </c>
      <c r="AA58" s="114" t="n">
        <f aca="false">'Reforecast Q1 2026'!K34</f>
        <v>-736.03</v>
      </c>
      <c r="AB58" s="114" t="str">
        <f aca="false">IF(Z58="","",Z58-AA58)</f>
        <v/>
      </c>
      <c r="AC58" s="114" t="str">
        <f aca="false">IF(OR(10&gt;$B$27,ISBLANK(Actuals!L34)),"",Actuals!L34)</f>
        <v/>
      </c>
      <c r="AD58" s="114" t="n">
        <f aca="false">'Reforecast Q1 2026'!L34</f>
        <v>-736.03</v>
      </c>
      <c r="AE58" s="114" t="str">
        <f aca="false">IF(AC58="","",AC58-AD58)</f>
        <v/>
      </c>
      <c r="AF58" s="114" t="str">
        <f aca="false">IF(OR(11&gt;$B$27,ISBLANK(Actuals!M34)),"",Actuals!M34)</f>
        <v/>
      </c>
      <c r="AG58" s="114" t="n">
        <f aca="false">'Reforecast Q1 2026'!M34</f>
        <v>-736.03</v>
      </c>
      <c r="AH58" s="114" t="str">
        <f aca="false">IF(AF58="","",AF58-AG58)</f>
        <v/>
      </c>
      <c r="AI58" s="114" t="str">
        <f aca="false">IF(OR(12&gt;$B$27,ISBLANK(Actuals!N34)),"",Actuals!N34)</f>
        <v/>
      </c>
      <c r="AJ58" s="114" t="n">
        <f aca="false">'Reforecast Q1 2026'!N34</f>
        <v>-736.03</v>
      </c>
      <c r="AK58" s="114" t="str">
        <f aca="false">IF(AI58="","",AI58-AJ58)</f>
        <v/>
      </c>
      <c r="AL58" s="117" t="n">
        <f aca="false">SUM(Actuals!$C34:INDEX(Actuals!$C34:$N34,$B$27))</f>
        <v>-4703.2</v>
      </c>
      <c r="AM58" s="117" t="n">
        <f aca="false">SUM('Reforecast Q1 2026'!$C34:INDEX('Reforecast Q1 2026'!$C34:$N34,$B$27))</f>
        <v>-5888.25</v>
      </c>
      <c r="AN58" s="117" t="n">
        <f aca="false">AL58-AM58</f>
        <v>1185.05</v>
      </c>
    </row>
    <row r="59" customFormat="false" ht="15" hidden="true" customHeight="true" outlineLevel="1" collapsed="false">
      <c r="A59" s="110" t="s">
        <v>78</v>
      </c>
      <c r="B59" s="114" t="n">
        <f aca="false">IF(OR(1&gt;$B$27,ISBLANK(Actuals!C35)),"",Actuals!C35)</f>
        <v>-681.77</v>
      </c>
      <c r="C59" s="114" t="n">
        <f aca="false">'Reforecast Q1 2026'!C35</f>
        <v>-681.77</v>
      </c>
      <c r="D59" s="114" t="n">
        <f aca="false">IF(B59="","",B59-C59)</f>
        <v>0</v>
      </c>
      <c r="E59" s="114" t="n">
        <f aca="false">IF(OR(2&gt;$B$27,ISBLANK(Actuals!D35)),"",Actuals!D35)</f>
        <v>-600.14</v>
      </c>
      <c r="F59" s="114" t="n">
        <f aca="false">'Reforecast Q1 2026'!D35</f>
        <v>-600.14</v>
      </c>
      <c r="G59" s="114" t="n">
        <f aca="false">IF(E59="","",E59-F59)</f>
        <v>0</v>
      </c>
      <c r="H59" s="114" t="n">
        <f aca="false">IF(OR(3&gt;$B$27,ISBLANK(Actuals!E35)),"",Actuals!E35)</f>
        <v>-2121.95</v>
      </c>
      <c r="I59" s="114" t="n">
        <f aca="false">'Reforecast Q1 2026'!E35</f>
        <v>-2121.95</v>
      </c>
      <c r="J59" s="114" t="n">
        <f aca="false">IF(H59="","",H59-I59)</f>
        <v>0</v>
      </c>
      <c r="K59" s="114" t="n">
        <f aca="false">IF(OR(4&gt;$B$27,ISBLANK(Actuals!F35)),"",Actuals!F35)</f>
        <v>-840.49</v>
      </c>
      <c r="L59" s="114" t="n">
        <f aca="false">'Reforecast Q1 2026'!F35</f>
        <v>-1134.62</v>
      </c>
      <c r="M59" s="114" t="n">
        <f aca="false">IF(K59="","",K59-L59)</f>
        <v>294.13</v>
      </c>
      <c r="N59" s="114" t="n">
        <f aca="false">IF(OR(5&gt;$B$27,ISBLANK(Actuals!G35)),"",Actuals!G35)</f>
        <v>-847.85</v>
      </c>
      <c r="O59" s="114" t="n">
        <f aca="false">'Reforecast Q1 2026'!G35</f>
        <v>-1134.62</v>
      </c>
      <c r="P59" s="114" t="n">
        <f aca="false">IF(N59="","",N59-O59)</f>
        <v>286.77</v>
      </c>
      <c r="Q59" s="114" t="n">
        <f aca="false">IF(OR(6&gt;$B$27,ISBLANK(Actuals!H35)),"",Actuals!H35)</f>
        <v>-486.63</v>
      </c>
      <c r="R59" s="114" t="n">
        <f aca="false">'Reforecast Q1 2026'!H35</f>
        <v>-1134.62</v>
      </c>
      <c r="S59" s="114" t="n">
        <f aca="false">IF(Q59="","",Q59-R59)</f>
        <v>647.99</v>
      </c>
      <c r="T59" s="114" t="n">
        <f aca="false">IF(OR(7&gt;$B$27,ISBLANK(Actuals!I35)),"",Actuals!I35)</f>
        <v>-871.37</v>
      </c>
      <c r="U59" s="114" t="n">
        <f aca="false">'Reforecast Q1 2026'!I35</f>
        <v>-1134.62</v>
      </c>
      <c r="V59" s="114" t="n">
        <f aca="false">IF(T59="","",T59-U59)</f>
        <v>263.25</v>
      </c>
      <c r="W59" s="114" t="n">
        <f aca="false">IF(OR(8&gt;$B$27,ISBLANK(Actuals!J35)),"",Actuals!J35)</f>
        <v>-1025.7</v>
      </c>
      <c r="X59" s="114" t="n">
        <f aca="false">'Reforecast Q1 2026'!J35</f>
        <v>-1134.62</v>
      </c>
      <c r="Y59" s="114" t="n">
        <f aca="false">IF(W59="","",W59-X59)</f>
        <v>108.92</v>
      </c>
      <c r="Z59" s="114" t="str">
        <f aca="false">IF(OR(9&gt;$B$27,ISBLANK(Actuals!K35)),"",Actuals!K35)</f>
        <v/>
      </c>
      <c r="AA59" s="114" t="n">
        <f aca="false">'Reforecast Q1 2026'!K35</f>
        <v>-1134.62</v>
      </c>
      <c r="AB59" s="114" t="str">
        <f aca="false">IF(Z59="","",Z59-AA59)</f>
        <v/>
      </c>
      <c r="AC59" s="114" t="str">
        <f aca="false">IF(OR(10&gt;$B$27,ISBLANK(Actuals!L35)),"",Actuals!L35)</f>
        <v/>
      </c>
      <c r="AD59" s="114" t="n">
        <f aca="false">'Reforecast Q1 2026'!L35</f>
        <v>-1134.62</v>
      </c>
      <c r="AE59" s="114" t="str">
        <f aca="false">IF(AC59="","",AC59-AD59)</f>
        <v/>
      </c>
      <c r="AF59" s="114" t="str">
        <f aca="false">IF(OR(11&gt;$B$27,ISBLANK(Actuals!M35)),"",Actuals!M35)</f>
        <v/>
      </c>
      <c r="AG59" s="114" t="n">
        <f aca="false">'Reforecast Q1 2026'!M35</f>
        <v>-1134.62</v>
      </c>
      <c r="AH59" s="114" t="str">
        <f aca="false">IF(AF59="","",AF59-AG59)</f>
        <v/>
      </c>
      <c r="AI59" s="114" t="str">
        <f aca="false">IF(OR(12&gt;$B$27,ISBLANK(Actuals!N35)),"",Actuals!N35)</f>
        <v/>
      </c>
      <c r="AJ59" s="114" t="n">
        <f aca="false">'Reforecast Q1 2026'!N35</f>
        <v>-1134.62</v>
      </c>
      <c r="AK59" s="114" t="str">
        <f aca="false">IF(AI59="","",AI59-AJ59)</f>
        <v/>
      </c>
      <c r="AL59" s="117" t="n">
        <f aca="false">SUM(Actuals!$C35:INDEX(Actuals!$C35:$N35,$B$27))</f>
        <v>-7475.9</v>
      </c>
      <c r="AM59" s="117" t="n">
        <f aca="false">SUM('Reforecast Q1 2026'!$C35:INDEX('Reforecast Q1 2026'!$C35:$N35,$B$27))</f>
        <v>-9076.96</v>
      </c>
      <c r="AN59" s="117" t="n">
        <f aca="false">AL59-AM59</f>
        <v>1601.06</v>
      </c>
    </row>
    <row r="60" customFormat="false" ht="15" hidden="true" customHeight="true" outlineLevel="1" collapsed="false">
      <c r="A60" s="110" t="s">
        <v>79</v>
      </c>
      <c r="B60" s="114" t="n">
        <f aca="false">IF(OR(1&gt;$B$27,ISBLANK(Actuals!C36)),"",Actuals!C36)</f>
        <v>-2187.5</v>
      </c>
      <c r="C60" s="114" t="n">
        <f aca="false">'Reforecast Q1 2026'!C36</f>
        <v>-2187.5</v>
      </c>
      <c r="D60" s="114" t="n">
        <f aca="false">IF(B60="","",B60-C60)</f>
        <v>0</v>
      </c>
      <c r="E60" s="114" t="n">
        <f aca="false">IF(OR(2&gt;$B$27,ISBLANK(Actuals!D36)),"",Actuals!D36)</f>
        <v>0</v>
      </c>
      <c r="F60" s="114" t="n">
        <f aca="false">'Reforecast Q1 2026'!D36</f>
        <v>0</v>
      </c>
      <c r="G60" s="114" t="n">
        <f aca="false">IF(E60="","",E60-F60)</f>
        <v>0</v>
      </c>
      <c r="H60" s="114" t="n">
        <f aca="false">IF(OR(3&gt;$B$27,ISBLANK(Actuals!E36)),"",Actuals!E36)</f>
        <v>-1625</v>
      </c>
      <c r="I60" s="114" t="n">
        <f aca="false">'Reforecast Q1 2026'!E36</f>
        <v>-1625</v>
      </c>
      <c r="J60" s="114" t="n">
        <f aca="false">IF(H60="","",H60-I60)</f>
        <v>0</v>
      </c>
      <c r="K60" s="114" t="n">
        <f aca="false">IF(OR(4&gt;$B$27,ISBLANK(Actuals!F36)),"",Actuals!F36)</f>
        <v>0</v>
      </c>
      <c r="L60" s="114" t="n">
        <f aca="false">'Reforecast Q1 2026'!F36</f>
        <v>-1270.83</v>
      </c>
      <c r="M60" s="114" t="n">
        <f aca="false">IF(K60="","",K60-L60)</f>
        <v>1270.83</v>
      </c>
      <c r="N60" s="114" t="n">
        <f aca="false">IF(OR(5&gt;$B$27,ISBLANK(Actuals!G36)),"",Actuals!G36)</f>
        <v>0</v>
      </c>
      <c r="O60" s="114" t="n">
        <f aca="false">'Reforecast Q1 2026'!G36</f>
        <v>-1270.83</v>
      </c>
      <c r="P60" s="114" t="n">
        <f aca="false">IF(N60="","",N60-O60)</f>
        <v>1270.83</v>
      </c>
      <c r="Q60" s="114" t="n">
        <f aca="false">IF(OR(6&gt;$B$27,ISBLANK(Actuals!H36)),"",Actuals!H36)</f>
        <v>0</v>
      </c>
      <c r="R60" s="114" t="n">
        <f aca="false">'Reforecast Q1 2026'!H36</f>
        <v>-1270.83</v>
      </c>
      <c r="S60" s="114" t="n">
        <f aca="false">IF(Q60="","",Q60-R60)</f>
        <v>1270.83</v>
      </c>
      <c r="T60" s="114" t="n">
        <f aca="false">IF(OR(7&gt;$B$27,ISBLANK(Actuals!I36)),"",Actuals!I36)</f>
        <v>0</v>
      </c>
      <c r="U60" s="114" t="n">
        <f aca="false">'Reforecast Q1 2026'!I36</f>
        <v>-1270.83</v>
      </c>
      <c r="V60" s="114" t="n">
        <f aca="false">IF(T60="","",T60-U60)</f>
        <v>1270.83</v>
      </c>
      <c r="W60" s="114" t="n">
        <f aca="false">IF(OR(8&gt;$B$27,ISBLANK(Actuals!J36)),"",Actuals!J36)</f>
        <v>-1560</v>
      </c>
      <c r="X60" s="114" t="n">
        <f aca="false">'Reforecast Q1 2026'!J36</f>
        <v>-1270.83</v>
      </c>
      <c r="Y60" s="114" t="n">
        <f aca="false">IF(W60="","",W60-X60)</f>
        <v>-289.17</v>
      </c>
      <c r="Z60" s="114" t="str">
        <f aca="false">IF(OR(9&gt;$B$27,ISBLANK(Actuals!K36)),"",Actuals!K36)</f>
        <v/>
      </c>
      <c r="AA60" s="114" t="n">
        <f aca="false">'Reforecast Q1 2026'!K36</f>
        <v>-1270.83</v>
      </c>
      <c r="AB60" s="114" t="str">
        <f aca="false">IF(Z60="","",Z60-AA60)</f>
        <v/>
      </c>
      <c r="AC60" s="114" t="str">
        <f aca="false">IF(OR(10&gt;$B$27,ISBLANK(Actuals!L36)),"",Actuals!L36)</f>
        <v/>
      </c>
      <c r="AD60" s="114" t="n">
        <f aca="false">'Reforecast Q1 2026'!L36</f>
        <v>-1270.83</v>
      </c>
      <c r="AE60" s="114" t="str">
        <f aca="false">IF(AC60="","",AC60-AD60)</f>
        <v/>
      </c>
      <c r="AF60" s="114" t="str">
        <f aca="false">IF(OR(11&gt;$B$27,ISBLANK(Actuals!M36)),"",Actuals!M36)</f>
        <v/>
      </c>
      <c r="AG60" s="114" t="n">
        <f aca="false">'Reforecast Q1 2026'!M36</f>
        <v>-1270.83</v>
      </c>
      <c r="AH60" s="114" t="str">
        <f aca="false">IF(AF60="","",AF60-AG60)</f>
        <v/>
      </c>
      <c r="AI60" s="114" t="str">
        <f aca="false">IF(OR(12&gt;$B$27,ISBLANK(Actuals!N36)),"",Actuals!N36)</f>
        <v/>
      </c>
      <c r="AJ60" s="114" t="n">
        <f aca="false">'Reforecast Q1 2026'!N36</f>
        <v>-1270.83</v>
      </c>
      <c r="AK60" s="114" t="str">
        <f aca="false">IF(AI60="","",AI60-AJ60)</f>
        <v/>
      </c>
      <c r="AL60" s="117" t="n">
        <f aca="false">SUM(Actuals!$C36:INDEX(Actuals!$C36:$N36,$B$27))</f>
        <v>-5372.5</v>
      </c>
      <c r="AM60" s="117" t="n">
        <f aca="false">SUM('Reforecast Q1 2026'!$C36:INDEX('Reforecast Q1 2026'!$C36:$N36,$B$27))</f>
        <v>-10166.65</v>
      </c>
      <c r="AN60" s="117" t="n">
        <f aca="false">AL60-AM60</f>
        <v>4794.15</v>
      </c>
    </row>
    <row r="61" customFormat="false" ht="15" hidden="true" customHeight="true" outlineLevel="1" collapsed="false">
      <c r="A61" s="110" t="s">
        <v>80</v>
      </c>
      <c r="B61" s="114" t="n">
        <f aca="false">IF(OR(1&gt;$B$27,ISBLANK(Actuals!C37)),"",Actuals!C37)</f>
        <v>0</v>
      </c>
      <c r="C61" s="114" t="n">
        <f aca="false">'Reforecast Q1 2026'!C37</f>
        <v>0</v>
      </c>
      <c r="D61" s="114" t="n">
        <f aca="false">IF(B61="","",B61-C61)</f>
        <v>0</v>
      </c>
      <c r="E61" s="114" t="n">
        <f aca="false">IF(OR(2&gt;$B$27,ISBLANK(Actuals!D37)),"",Actuals!D37)</f>
        <v>-12349</v>
      </c>
      <c r="F61" s="114" t="n">
        <f aca="false">'Reforecast Q1 2026'!D37</f>
        <v>-12349</v>
      </c>
      <c r="G61" s="114" t="n">
        <f aca="false">IF(E61="","",E61-F61)</f>
        <v>0</v>
      </c>
      <c r="H61" s="114" t="n">
        <f aca="false">IF(OR(3&gt;$B$27,ISBLANK(Actuals!E37)),"",Actuals!E37)</f>
        <v>-5400</v>
      </c>
      <c r="I61" s="114" t="n">
        <f aca="false">'Reforecast Q1 2026'!E37</f>
        <v>-5400</v>
      </c>
      <c r="J61" s="114" t="n">
        <f aca="false">IF(H61="","",H61-I61)</f>
        <v>0</v>
      </c>
      <c r="K61" s="114" t="n">
        <f aca="false">IF(OR(4&gt;$B$27,ISBLANK(Actuals!F37)),"",Actuals!F37)</f>
        <v>-4377</v>
      </c>
      <c r="L61" s="114" t="n">
        <f aca="false">'Reforecast Q1 2026'!F37</f>
        <v>-5916.33</v>
      </c>
      <c r="M61" s="114" t="n">
        <f aca="false">IF(K61="","",K61-L61)</f>
        <v>1539.33</v>
      </c>
      <c r="N61" s="114" t="n">
        <f aca="false">IF(OR(5&gt;$B$27,ISBLANK(Actuals!G37)),"",Actuals!G37)</f>
        <v>-11750</v>
      </c>
      <c r="O61" s="114" t="n">
        <f aca="false">'Reforecast Q1 2026'!G37</f>
        <v>-5916.33</v>
      </c>
      <c r="P61" s="114" t="n">
        <f aca="false">IF(N61="","",N61-O61)</f>
        <v>-5833.67</v>
      </c>
      <c r="Q61" s="114" t="n">
        <f aca="false">IF(OR(6&gt;$B$27,ISBLANK(Actuals!H37)),"",Actuals!H37)</f>
        <v>0</v>
      </c>
      <c r="R61" s="114" t="n">
        <f aca="false">'Reforecast Q1 2026'!H37</f>
        <v>-5916.33</v>
      </c>
      <c r="S61" s="114" t="n">
        <f aca="false">IF(Q61="","",Q61-R61)</f>
        <v>5916.33</v>
      </c>
      <c r="T61" s="114" t="n">
        <f aca="false">IF(OR(7&gt;$B$27,ISBLANK(Actuals!I37)),"",Actuals!I37)</f>
        <v>0</v>
      </c>
      <c r="U61" s="114" t="n">
        <f aca="false">'Reforecast Q1 2026'!I37</f>
        <v>-5916.33</v>
      </c>
      <c r="V61" s="114" t="n">
        <f aca="false">IF(T61="","",T61-U61)</f>
        <v>5916.33</v>
      </c>
      <c r="W61" s="114" t="n">
        <f aca="false">IF(OR(8&gt;$B$27,ISBLANK(Actuals!J37)),"",Actuals!J37)</f>
        <v>-26000</v>
      </c>
      <c r="X61" s="114" t="n">
        <f aca="false">'Reforecast Q1 2026'!J37</f>
        <v>-5916.33</v>
      </c>
      <c r="Y61" s="114" t="n">
        <f aca="false">IF(W61="","",W61-X61)</f>
        <v>-20083.67</v>
      </c>
      <c r="Z61" s="114" t="str">
        <f aca="false">IF(OR(9&gt;$B$27,ISBLANK(Actuals!K37)),"",Actuals!K37)</f>
        <v/>
      </c>
      <c r="AA61" s="114" t="n">
        <f aca="false">'Reforecast Q1 2026'!K37</f>
        <v>-5916.33</v>
      </c>
      <c r="AB61" s="114" t="str">
        <f aca="false">IF(Z61="","",Z61-AA61)</f>
        <v/>
      </c>
      <c r="AC61" s="114" t="str">
        <f aca="false">IF(OR(10&gt;$B$27,ISBLANK(Actuals!L37)),"",Actuals!L37)</f>
        <v/>
      </c>
      <c r="AD61" s="114" t="n">
        <f aca="false">'Reforecast Q1 2026'!L37</f>
        <v>-5916.33</v>
      </c>
      <c r="AE61" s="114" t="str">
        <f aca="false">IF(AC61="","",AC61-AD61)</f>
        <v/>
      </c>
      <c r="AF61" s="114" t="str">
        <f aca="false">IF(OR(11&gt;$B$27,ISBLANK(Actuals!M37)),"",Actuals!M37)</f>
        <v/>
      </c>
      <c r="AG61" s="114" t="n">
        <f aca="false">'Reforecast Q1 2026'!M37</f>
        <v>-5916.33</v>
      </c>
      <c r="AH61" s="114" t="str">
        <f aca="false">IF(AF61="","",AF61-AG61)</f>
        <v/>
      </c>
      <c r="AI61" s="114" t="str">
        <f aca="false">IF(OR(12&gt;$B$27,ISBLANK(Actuals!N37)),"",Actuals!N37)</f>
        <v/>
      </c>
      <c r="AJ61" s="114" t="n">
        <f aca="false">'Reforecast Q1 2026'!N37</f>
        <v>-5916.33</v>
      </c>
      <c r="AK61" s="114" t="str">
        <f aca="false">IF(AI61="","",AI61-AJ61)</f>
        <v/>
      </c>
      <c r="AL61" s="117" t="n">
        <f aca="false">SUM(Actuals!$C37:INDEX(Actuals!$C37:$N37,$B$27))</f>
        <v>-59876</v>
      </c>
      <c r="AM61" s="117" t="n">
        <f aca="false">SUM('Reforecast Q1 2026'!$C37:INDEX('Reforecast Q1 2026'!$C37:$N37,$B$27))</f>
        <v>-47330.65</v>
      </c>
      <c r="AN61" s="117" t="n">
        <f aca="false">AL61-AM61</f>
        <v>-12545.35</v>
      </c>
    </row>
    <row r="62" customFormat="false" ht="15" hidden="true" customHeight="true" outlineLevel="1" collapsed="false">
      <c r="A62" s="110" t="s">
        <v>81</v>
      </c>
      <c r="B62" s="114" t="n">
        <f aca="false">IF(OR(1&gt;$B$27,ISBLANK(Actuals!C38)),"",Actuals!C38)</f>
        <v>0</v>
      </c>
      <c r="C62" s="114" t="n">
        <f aca="false">'Reforecast Q1 2026'!C38</f>
        <v>0</v>
      </c>
      <c r="D62" s="114" t="n">
        <f aca="false">IF(B62="","",B62-C62)</f>
        <v>0</v>
      </c>
      <c r="E62" s="114" t="n">
        <f aca="false">IF(OR(2&gt;$B$27,ISBLANK(Actuals!D38)),"",Actuals!D38)</f>
        <v>0</v>
      </c>
      <c r="F62" s="114" t="n">
        <f aca="false">'Reforecast Q1 2026'!D38</f>
        <v>0</v>
      </c>
      <c r="G62" s="114" t="n">
        <f aca="false">IF(E62="","",E62-F62)</f>
        <v>0</v>
      </c>
      <c r="H62" s="114" t="n">
        <f aca="false">IF(OR(3&gt;$B$27,ISBLANK(Actuals!E38)),"",Actuals!E38)</f>
        <v>-750.4</v>
      </c>
      <c r="I62" s="114" t="n">
        <f aca="false">'Reforecast Q1 2026'!E38</f>
        <v>-750.4</v>
      </c>
      <c r="J62" s="114" t="n">
        <f aca="false">IF(H62="","",H62-I62)</f>
        <v>0</v>
      </c>
      <c r="K62" s="114" t="n">
        <f aca="false">IF(OR(4&gt;$B$27,ISBLANK(Actuals!F38)),"",Actuals!F38)</f>
        <v>0</v>
      </c>
      <c r="L62" s="114" t="n">
        <f aca="false">'Reforecast Q1 2026'!F38</f>
        <v>-250.13</v>
      </c>
      <c r="M62" s="114" t="n">
        <f aca="false">IF(K62="","",K62-L62)</f>
        <v>250.13</v>
      </c>
      <c r="N62" s="114" t="n">
        <f aca="false">IF(OR(5&gt;$B$27,ISBLANK(Actuals!G38)),"",Actuals!G38)</f>
        <v>0</v>
      </c>
      <c r="O62" s="114" t="n">
        <f aca="false">'Reforecast Q1 2026'!G38</f>
        <v>-250.13</v>
      </c>
      <c r="P62" s="114" t="n">
        <f aca="false">IF(N62="","",N62-O62)</f>
        <v>250.13</v>
      </c>
      <c r="Q62" s="114" t="n">
        <f aca="false">IF(OR(6&gt;$B$27,ISBLANK(Actuals!H38)),"",Actuals!H38)</f>
        <v>0</v>
      </c>
      <c r="R62" s="114" t="n">
        <f aca="false">'Reforecast Q1 2026'!H38</f>
        <v>-250.13</v>
      </c>
      <c r="S62" s="114" t="n">
        <f aca="false">IF(Q62="","",Q62-R62)</f>
        <v>250.13</v>
      </c>
      <c r="T62" s="114" t="n">
        <f aca="false">IF(OR(7&gt;$B$27,ISBLANK(Actuals!I38)),"",Actuals!I38)</f>
        <v>0</v>
      </c>
      <c r="U62" s="114" t="n">
        <f aca="false">'Reforecast Q1 2026'!I38</f>
        <v>-250.13</v>
      </c>
      <c r="V62" s="114" t="n">
        <f aca="false">IF(T62="","",T62-U62)</f>
        <v>250.13</v>
      </c>
      <c r="W62" s="114" t="n">
        <f aca="false">IF(OR(8&gt;$B$27,ISBLANK(Actuals!J38)),"",Actuals!J38)</f>
        <v>0</v>
      </c>
      <c r="X62" s="114" t="n">
        <f aca="false">'Reforecast Q1 2026'!J38</f>
        <v>-250.13</v>
      </c>
      <c r="Y62" s="114" t="n">
        <f aca="false">IF(W62="","",W62-X62)</f>
        <v>250.13</v>
      </c>
      <c r="Z62" s="114" t="str">
        <f aca="false">IF(OR(9&gt;$B$27,ISBLANK(Actuals!K38)),"",Actuals!K38)</f>
        <v/>
      </c>
      <c r="AA62" s="114" t="n">
        <f aca="false">'Reforecast Q1 2026'!K38</f>
        <v>-250.13</v>
      </c>
      <c r="AB62" s="114" t="str">
        <f aca="false">IF(Z62="","",Z62-AA62)</f>
        <v/>
      </c>
      <c r="AC62" s="114" t="str">
        <f aca="false">IF(OR(10&gt;$B$27,ISBLANK(Actuals!L38)),"",Actuals!L38)</f>
        <v/>
      </c>
      <c r="AD62" s="114" t="n">
        <f aca="false">'Reforecast Q1 2026'!L38</f>
        <v>-250.13</v>
      </c>
      <c r="AE62" s="114" t="str">
        <f aca="false">IF(AC62="","",AC62-AD62)</f>
        <v/>
      </c>
      <c r="AF62" s="114" t="str">
        <f aca="false">IF(OR(11&gt;$B$27,ISBLANK(Actuals!M38)),"",Actuals!M38)</f>
        <v/>
      </c>
      <c r="AG62" s="114" t="n">
        <f aca="false">'Reforecast Q1 2026'!M38</f>
        <v>-250.13</v>
      </c>
      <c r="AH62" s="114" t="str">
        <f aca="false">IF(AF62="","",AF62-AG62)</f>
        <v/>
      </c>
      <c r="AI62" s="114" t="str">
        <f aca="false">IF(OR(12&gt;$B$27,ISBLANK(Actuals!N38)),"",Actuals!N38)</f>
        <v/>
      </c>
      <c r="AJ62" s="114" t="n">
        <f aca="false">'Reforecast Q1 2026'!N38</f>
        <v>-250.13</v>
      </c>
      <c r="AK62" s="114" t="str">
        <f aca="false">IF(AI62="","",AI62-AJ62)</f>
        <v/>
      </c>
      <c r="AL62" s="117" t="n">
        <f aca="false">SUM(Actuals!$C38:INDEX(Actuals!$C38:$N38,$B$27))</f>
        <v>-750.4</v>
      </c>
      <c r="AM62" s="117" t="n">
        <f aca="false">SUM('Reforecast Q1 2026'!$C38:INDEX('Reforecast Q1 2026'!$C38:$N38,$B$27))</f>
        <v>-2001.05</v>
      </c>
      <c r="AN62" s="117" t="n">
        <f aca="false">AL62-AM62</f>
        <v>1250.65</v>
      </c>
    </row>
    <row r="63" customFormat="false" ht="15" hidden="true" customHeight="true" outlineLevel="1" collapsed="false">
      <c r="A63" s="110" t="s">
        <v>82</v>
      </c>
      <c r="B63" s="114" t="n">
        <f aca="false">IF(OR(1&gt;$B$27,ISBLANK(Actuals!C39)),"",Actuals!C39)</f>
        <v>-1474.63</v>
      </c>
      <c r="C63" s="114" t="n">
        <f aca="false">'Reforecast Q1 2026'!C39</f>
        <v>-1474.63</v>
      </c>
      <c r="D63" s="114" t="n">
        <f aca="false">IF(B63="","",B63-C63)</f>
        <v>0</v>
      </c>
      <c r="E63" s="114" t="n">
        <f aca="false">IF(OR(2&gt;$B$27,ISBLANK(Actuals!D39)),"",Actuals!D39)</f>
        <v>-1449.33</v>
      </c>
      <c r="F63" s="114" t="n">
        <f aca="false">'Reforecast Q1 2026'!D39</f>
        <v>-1449.33</v>
      </c>
      <c r="G63" s="114" t="n">
        <f aca="false">IF(E63="","",E63-F63)</f>
        <v>0</v>
      </c>
      <c r="H63" s="114" t="n">
        <f aca="false">IF(OR(3&gt;$B$27,ISBLANK(Actuals!E39)),"",Actuals!E39)</f>
        <v>-2328.76</v>
      </c>
      <c r="I63" s="114" t="n">
        <f aca="false">'Reforecast Q1 2026'!E39</f>
        <v>-2328.76</v>
      </c>
      <c r="J63" s="114" t="n">
        <f aca="false">IF(H63="","",H63-I63)</f>
        <v>0</v>
      </c>
      <c r="K63" s="114" t="n">
        <f aca="false">IF(OR(4&gt;$B$27,ISBLANK(Actuals!F39)),"",Actuals!F39)</f>
        <v>-2249.56</v>
      </c>
      <c r="L63" s="114" t="n">
        <f aca="false">'Reforecast Q1 2026'!F39</f>
        <v>-1750.91</v>
      </c>
      <c r="M63" s="114" t="n">
        <f aca="false">IF(K63="","",K63-L63)</f>
        <v>-498.65</v>
      </c>
      <c r="N63" s="114" t="n">
        <f aca="false">IF(OR(5&gt;$B$27,ISBLANK(Actuals!G39)),"",Actuals!G39)</f>
        <v>-2759.48</v>
      </c>
      <c r="O63" s="114" t="n">
        <f aca="false">'Reforecast Q1 2026'!G39</f>
        <v>-1750.91</v>
      </c>
      <c r="P63" s="114" t="n">
        <f aca="false">IF(N63="","",N63-O63)</f>
        <v>-1008.57</v>
      </c>
      <c r="Q63" s="114" t="n">
        <f aca="false">IF(OR(6&gt;$B$27,ISBLANK(Actuals!H39)),"",Actuals!H39)</f>
        <v>-2749.12</v>
      </c>
      <c r="R63" s="114" t="n">
        <f aca="false">'Reforecast Q1 2026'!H39</f>
        <v>-1750.91</v>
      </c>
      <c r="S63" s="114" t="n">
        <f aca="false">IF(Q63="","",Q63-R63)</f>
        <v>-998.21</v>
      </c>
      <c r="T63" s="114" t="n">
        <f aca="false">IF(OR(7&gt;$B$27,ISBLANK(Actuals!I39)),"",Actuals!I39)</f>
        <v>-2384.6</v>
      </c>
      <c r="U63" s="114" t="n">
        <f aca="false">'Reforecast Q1 2026'!I39</f>
        <v>-1750.91</v>
      </c>
      <c r="V63" s="114" t="n">
        <f aca="false">IF(T63="","",T63-U63)</f>
        <v>-633.69</v>
      </c>
      <c r="W63" s="114" t="n">
        <f aca="false">IF(OR(8&gt;$B$27,ISBLANK(Actuals!J39)),"",Actuals!J39)</f>
        <v>-4264.89</v>
      </c>
      <c r="X63" s="114" t="n">
        <f aca="false">'Reforecast Q1 2026'!J39</f>
        <v>-1750.91</v>
      </c>
      <c r="Y63" s="114" t="n">
        <f aca="false">IF(W63="","",W63-X63)</f>
        <v>-2513.98</v>
      </c>
      <c r="Z63" s="114" t="str">
        <f aca="false">IF(OR(9&gt;$B$27,ISBLANK(Actuals!K39)),"",Actuals!K39)</f>
        <v/>
      </c>
      <c r="AA63" s="114" t="n">
        <f aca="false">'Reforecast Q1 2026'!K39</f>
        <v>-1750.91</v>
      </c>
      <c r="AB63" s="114" t="str">
        <f aca="false">IF(Z63="","",Z63-AA63)</f>
        <v/>
      </c>
      <c r="AC63" s="114" t="str">
        <f aca="false">IF(OR(10&gt;$B$27,ISBLANK(Actuals!L39)),"",Actuals!L39)</f>
        <v/>
      </c>
      <c r="AD63" s="114" t="n">
        <f aca="false">'Reforecast Q1 2026'!L39</f>
        <v>-1750.91</v>
      </c>
      <c r="AE63" s="114" t="str">
        <f aca="false">IF(AC63="","",AC63-AD63)</f>
        <v/>
      </c>
      <c r="AF63" s="114" t="str">
        <f aca="false">IF(OR(11&gt;$B$27,ISBLANK(Actuals!M39)),"",Actuals!M39)</f>
        <v/>
      </c>
      <c r="AG63" s="114" t="n">
        <f aca="false">'Reforecast Q1 2026'!M39</f>
        <v>-1750.91</v>
      </c>
      <c r="AH63" s="114" t="str">
        <f aca="false">IF(AF63="","",AF63-AG63)</f>
        <v/>
      </c>
      <c r="AI63" s="114" t="str">
        <f aca="false">IF(OR(12&gt;$B$27,ISBLANK(Actuals!N39)),"",Actuals!N39)</f>
        <v/>
      </c>
      <c r="AJ63" s="114" t="n">
        <f aca="false">'Reforecast Q1 2026'!N39</f>
        <v>-1750.91</v>
      </c>
      <c r="AK63" s="114" t="str">
        <f aca="false">IF(AI63="","",AI63-AJ63)</f>
        <v/>
      </c>
      <c r="AL63" s="117" t="n">
        <f aca="false">SUM(Actuals!$C39:INDEX(Actuals!$C39:$N39,$B$27))</f>
        <v>-19660.37</v>
      </c>
      <c r="AM63" s="117" t="n">
        <f aca="false">SUM('Reforecast Q1 2026'!$C39:INDEX('Reforecast Q1 2026'!$C39:$N39,$B$27))</f>
        <v>-14007.27</v>
      </c>
      <c r="AN63" s="117" t="n">
        <f aca="false">AL63-AM63</f>
        <v>-5653.1</v>
      </c>
    </row>
    <row r="64" customFormat="false" ht="15" hidden="true" customHeight="true" outlineLevel="1" collapsed="false">
      <c r="A64" s="110" t="s">
        <v>83</v>
      </c>
      <c r="B64" s="114" t="n">
        <f aca="false">IF(OR(1&gt;$B$27,ISBLANK(Actuals!C40)),"",Actuals!C40)</f>
        <v>-1417.61</v>
      </c>
      <c r="C64" s="114" t="n">
        <f aca="false">'Reforecast Q1 2026'!C40</f>
        <v>-1417.61</v>
      </c>
      <c r="D64" s="114" t="n">
        <f aca="false">IF(B64="","",B64-C64)</f>
        <v>0</v>
      </c>
      <c r="E64" s="114" t="n">
        <f aca="false">IF(OR(2&gt;$B$27,ISBLANK(Actuals!D40)),"",Actuals!D40)</f>
        <v>-2730.36</v>
      </c>
      <c r="F64" s="114" t="n">
        <f aca="false">'Reforecast Q1 2026'!D40</f>
        <v>-2730.36</v>
      </c>
      <c r="G64" s="114" t="n">
        <f aca="false">IF(E64="","",E64-F64)</f>
        <v>0</v>
      </c>
      <c r="H64" s="114" t="n">
        <f aca="false">IF(OR(3&gt;$B$27,ISBLANK(Actuals!E40)),"",Actuals!E40)</f>
        <v>-1818.05</v>
      </c>
      <c r="I64" s="114" t="n">
        <f aca="false">'Reforecast Q1 2026'!E40</f>
        <v>-1818.05</v>
      </c>
      <c r="J64" s="114" t="n">
        <f aca="false">IF(H64="","",H64-I64)</f>
        <v>0</v>
      </c>
      <c r="K64" s="114" t="n">
        <f aca="false">IF(OR(4&gt;$B$27,ISBLANK(Actuals!F40)),"",Actuals!F40)</f>
        <v>-3307.74</v>
      </c>
      <c r="L64" s="114" t="n">
        <f aca="false">'Reforecast Q1 2026'!F40</f>
        <v>-1988.67</v>
      </c>
      <c r="M64" s="114" t="n">
        <f aca="false">IF(K64="","",K64-L64)</f>
        <v>-1319.07</v>
      </c>
      <c r="N64" s="114" t="n">
        <f aca="false">IF(OR(5&gt;$B$27,ISBLANK(Actuals!G40)),"",Actuals!G40)</f>
        <v>-1257.74</v>
      </c>
      <c r="O64" s="114" t="n">
        <f aca="false">'Reforecast Q1 2026'!G40</f>
        <v>-1988.67</v>
      </c>
      <c r="P64" s="114" t="n">
        <f aca="false">IF(N64="","",N64-O64)</f>
        <v>730.93</v>
      </c>
      <c r="Q64" s="114" t="n">
        <f aca="false">IF(OR(6&gt;$B$27,ISBLANK(Actuals!H40)),"",Actuals!H40)</f>
        <v>-3372.74</v>
      </c>
      <c r="R64" s="114" t="n">
        <f aca="false">'Reforecast Q1 2026'!H40</f>
        <v>-1988.67</v>
      </c>
      <c r="S64" s="114" t="n">
        <f aca="false">IF(Q64="","",Q64-R64)</f>
        <v>-1384.07</v>
      </c>
      <c r="T64" s="114" t="n">
        <f aca="false">IF(OR(7&gt;$B$27,ISBLANK(Actuals!I40)),"",Actuals!I40)</f>
        <v>-1434.83</v>
      </c>
      <c r="U64" s="114" t="n">
        <f aca="false">'Reforecast Q1 2026'!I40</f>
        <v>-1988.67</v>
      </c>
      <c r="V64" s="114" t="n">
        <f aca="false">IF(T64="","",T64-U64)</f>
        <v>553.84</v>
      </c>
      <c r="W64" s="114" t="n">
        <f aca="false">IF(OR(8&gt;$B$27,ISBLANK(Actuals!J40)),"",Actuals!J40)</f>
        <v>-3520.23</v>
      </c>
      <c r="X64" s="114" t="n">
        <f aca="false">'Reforecast Q1 2026'!J40</f>
        <v>-1988.67</v>
      </c>
      <c r="Y64" s="114" t="n">
        <f aca="false">IF(W64="","",W64-X64)</f>
        <v>-1531.56</v>
      </c>
      <c r="Z64" s="114" t="str">
        <f aca="false">IF(OR(9&gt;$B$27,ISBLANK(Actuals!K40)),"",Actuals!K40)</f>
        <v/>
      </c>
      <c r="AA64" s="114" t="n">
        <f aca="false">'Reforecast Q1 2026'!K40</f>
        <v>-1988.67</v>
      </c>
      <c r="AB64" s="114" t="str">
        <f aca="false">IF(Z64="","",Z64-AA64)</f>
        <v/>
      </c>
      <c r="AC64" s="114" t="str">
        <f aca="false">IF(OR(10&gt;$B$27,ISBLANK(Actuals!L40)),"",Actuals!L40)</f>
        <v/>
      </c>
      <c r="AD64" s="114" t="n">
        <f aca="false">'Reforecast Q1 2026'!L40</f>
        <v>-1988.67</v>
      </c>
      <c r="AE64" s="114" t="str">
        <f aca="false">IF(AC64="","",AC64-AD64)</f>
        <v/>
      </c>
      <c r="AF64" s="114" t="str">
        <f aca="false">IF(OR(11&gt;$B$27,ISBLANK(Actuals!M40)),"",Actuals!M40)</f>
        <v/>
      </c>
      <c r="AG64" s="114" t="n">
        <f aca="false">'Reforecast Q1 2026'!M40</f>
        <v>-1988.67</v>
      </c>
      <c r="AH64" s="114" t="str">
        <f aca="false">IF(AF64="","",AF64-AG64)</f>
        <v/>
      </c>
      <c r="AI64" s="114" t="str">
        <f aca="false">IF(OR(12&gt;$B$27,ISBLANK(Actuals!N40)),"",Actuals!N40)</f>
        <v/>
      </c>
      <c r="AJ64" s="114" t="n">
        <f aca="false">'Reforecast Q1 2026'!N40</f>
        <v>-1988.67</v>
      </c>
      <c r="AK64" s="114" t="str">
        <f aca="false">IF(AI64="","",AI64-AJ64)</f>
        <v/>
      </c>
      <c r="AL64" s="117" t="n">
        <f aca="false">SUM(Actuals!$C40:INDEX(Actuals!$C40:$N40,$B$27))</f>
        <v>-18859.3</v>
      </c>
      <c r="AM64" s="117" t="n">
        <f aca="false">SUM('Reforecast Q1 2026'!$C40:INDEX('Reforecast Q1 2026'!$C40:$N40,$B$27))</f>
        <v>-15909.37</v>
      </c>
      <c r="AN64" s="117" t="n">
        <f aca="false">AL64-AM64</f>
        <v>-2949.93</v>
      </c>
    </row>
    <row r="65" customFormat="false" ht="15" hidden="true" customHeight="true" outlineLevel="1" collapsed="false">
      <c r="A65" s="110" t="s">
        <v>84</v>
      </c>
      <c r="B65" s="114" t="n">
        <f aca="false">IF(OR(1&gt;$B$27,ISBLANK(Actuals!C41)),"",Actuals!C41)</f>
        <v>0</v>
      </c>
      <c r="C65" s="114" t="n">
        <f aca="false">'Reforecast Q1 2026'!C41</f>
        <v>0</v>
      </c>
      <c r="D65" s="114" t="n">
        <f aca="false">IF(B65="","",B65-C65)</f>
        <v>0</v>
      </c>
      <c r="E65" s="114" t="n">
        <f aca="false">IF(OR(2&gt;$B$27,ISBLANK(Actuals!D41)),"",Actuals!D41)</f>
        <v>0</v>
      </c>
      <c r="F65" s="114" t="n">
        <f aca="false">'Reforecast Q1 2026'!D41</f>
        <v>0</v>
      </c>
      <c r="G65" s="114" t="n">
        <f aca="false">IF(E65="","",E65-F65)</f>
        <v>0</v>
      </c>
      <c r="H65" s="114" t="n">
        <f aca="false">IF(OR(3&gt;$B$27,ISBLANK(Actuals!E41)),"",Actuals!E41)</f>
        <v>-41990</v>
      </c>
      <c r="I65" s="114" t="n">
        <f aca="false">'Reforecast Q1 2026'!E41</f>
        <v>-41990</v>
      </c>
      <c r="J65" s="114" t="n">
        <f aca="false">IF(H65="","",H65-I65)</f>
        <v>0</v>
      </c>
      <c r="K65" s="114" t="n">
        <f aca="false">IF(OR(4&gt;$B$27,ISBLANK(Actuals!F41)),"",Actuals!F41)</f>
        <v>-42500</v>
      </c>
      <c r="L65" s="114" t="n">
        <f aca="false">'Reforecast Q1 2026'!F41</f>
        <v>0</v>
      </c>
      <c r="M65" s="114" t="n">
        <f aca="false">IF(K65="","",K65-L65)</f>
        <v>-42500</v>
      </c>
      <c r="N65" s="114" t="n">
        <f aca="false">IF(OR(5&gt;$B$27,ISBLANK(Actuals!G41)),"",Actuals!G41)</f>
        <v>-21000</v>
      </c>
      <c r="O65" s="114" t="n">
        <f aca="false">'Reforecast Q1 2026'!G41</f>
        <v>-44250</v>
      </c>
      <c r="P65" s="114" t="n">
        <f aca="false">IF(N65="","",N65-O65)</f>
        <v>23250</v>
      </c>
      <c r="Q65" s="114" t="n">
        <f aca="false">IF(OR(6&gt;$B$27,ISBLANK(Actuals!H41)),"",Actuals!H41)</f>
        <v>0</v>
      </c>
      <c r="R65" s="114" t="n">
        <f aca="false">'Reforecast Q1 2026'!H41</f>
        <v>-45000</v>
      </c>
      <c r="S65" s="114" t="n">
        <f aca="false">IF(Q65="","",Q65-R65)</f>
        <v>45000</v>
      </c>
      <c r="T65" s="114" t="n">
        <f aca="false">IF(OR(7&gt;$B$27,ISBLANK(Actuals!I41)),"",Actuals!I41)</f>
        <v>0</v>
      </c>
      <c r="U65" s="114" t="n">
        <f aca="false">'Reforecast Q1 2026'!I41</f>
        <v>-19500</v>
      </c>
      <c r="V65" s="114" t="n">
        <f aca="false">IF(T65="","",T65-U65)</f>
        <v>19500</v>
      </c>
      <c r="W65" s="114" t="n">
        <f aca="false">IF(OR(8&gt;$B$27,ISBLANK(Actuals!J41)),"",Actuals!J41)</f>
        <v>0</v>
      </c>
      <c r="X65" s="114" t="n">
        <f aca="false">'Reforecast Q1 2026'!J41</f>
        <v>0</v>
      </c>
      <c r="Y65" s="114" t="n">
        <f aca="false">IF(W65="","",W65-X65)</f>
        <v>0</v>
      </c>
      <c r="Z65" s="114" t="str">
        <f aca="false">IF(OR(9&gt;$B$27,ISBLANK(Actuals!K41)),"",Actuals!K41)</f>
        <v/>
      </c>
      <c r="AA65" s="114" t="n">
        <f aca="false">'Reforecast Q1 2026'!K41</f>
        <v>0</v>
      </c>
      <c r="AB65" s="114" t="str">
        <f aca="false">IF(Z65="","",Z65-AA65)</f>
        <v/>
      </c>
      <c r="AC65" s="114" t="str">
        <f aca="false">IF(OR(10&gt;$B$27,ISBLANK(Actuals!L41)),"",Actuals!L41)</f>
        <v/>
      </c>
      <c r="AD65" s="114" t="n">
        <f aca="false">'Reforecast Q1 2026'!L41</f>
        <v>-37500</v>
      </c>
      <c r="AE65" s="114" t="str">
        <f aca="false">IF(AC65="","",AC65-AD65)</f>
        <v/>
      </c>
      <c r="AF65" s="114" t="str">
        <f aca="false">IF(OR(11&gt;$B$27,ISBLANK(Actuals!M41)),"",Actuals!M41)</f>
        <v/>
      </c>
      <c r="AG65" s="114" t="n">
        <f aca="false">'Reforecast Q1 2026'!M41</f>
        <v>-54000</v>
      </c>
      <c r="AH65" s="114" t="str">
        <f aca="false">IF(AF65="","",AF65-AG65)</f>
        <v/>
      </c>
      <c r="AI65" s="114" t="str">
        <f aca="false">IF(OR(12&gt;$B$27,ISBLANK(Actuals!N41)),"",Actuals!N41)</f>
        <v/>
      </c>
      <c r="AJ65" s="114" t="n">
        <f aca="false">'Reforecast Q1 2026'!N41</f>
        <v>0</v>
      </c>
      <c r="AK65" s="114" t="str">
        <f aca="false">IF(AI65="","",AI65-AJ65)</f>
        <v/>
      </c>
      <c r="AL65" s="117" t="n">
        <f aca="false">SUM(Actuals!$C41:INDEX(Actuals!$C41:$N41,$B$27))</f>
        <v>-105490</v>
      </c>
      <c r="AM65" s="117" t="n">
        <f aca="false">SUM('Reforecast Q1 2026'!$C41:INDEX('Reforecast Q1 2026'!$C41:$N41,$B$27))</f>
        <v>-150740</v>
      </c>
      <c r="AN65" s="117" t="n">
        <f aca="false">AL65-AM65</f>
        <v>45250</v>
      </c>
    </row>
    <row r="66" customFormat="false" ht="15" hidden="true" customHeight="true" outlineLevel="1" collapsed="false">
      <c r="A66" s="110" t="s">
        <v>85</v>
      </c>
      <c r="B66" s="114" t="n">
        <f aca="false">IF(OR(1&gt;$B$27,ISBLANK(Actuals!C42)),"",Actuals!C42)</f>
        <v>-165</v>
      </c>
      <c r="C66" s="114" t="n">
        <f aca="false">'Reforecast Q1 2026'!C42</f>
        <v>-165</v>
      </c>
      <c r="D66" s="114" t="n">
        <f aca="false">IF(B66="","",B66-C66)</f>
        <v>0</v>
      </c>
      <c r="E66" s="114" t="n">
        <f aca="false">IF(OR(2&gt;$B$27,ISBLANK(Actuals!D42)),"",Actuals!D42)</f>
        <v>0</v>
      </c>
      <c r="F66" s="114" t="n">
        <f aca="false">'Reforecast Q1 2026'!D42</f>
        <v>0</v>
      </c>
      <c r="G66" s="114" t="n">
        <f aca="false">IF(E66="","",E66-F66)</f>
        <v>0</v>
      </c>
      <c r="H66" s="114" t="n">
        <f aca="false">IF(OR(3&gt;$B$27,ISBLANK(Actuals!E42)),"",Actuals!E42)</f>
        <v>0</v>
      </c>
      <c r="I66" s="114" t="n">
        <f aca="false">'Reforecast Q1 2026'!E42</f>
        <v>0</v>
      </c>
      <c r="J66" s="114" t="n">
        <f aca="false">IF(H66="","",H66-I66)</f>
        <v>0</v>
      </c>
      <c r="K66" s="114" t="n">
        <f aca="false">IF(OR(4&gt;$B$27,ISBLANK(Actuals!F42)),"",Actuals!F42)</f>
        <v>-165</v>
      </c>
      <c r="L66" s="114" t="n">
        <f aca="false">'Reforecast Q1 2026'!F42</f>
        <v>-55</v>
      </c>
      <c r="M66" s="114" t="n">
        <f aca="false">IF(K66="","",K66-L66)</f>
        <v>-110</v>
      </c>
      <c r="N66" s="114" t="n">
        <f aca="false">IF(OR(5&gt;$B$27,ISBLANK(Actuals!G42)),"",Actuals!G42)</f>
        <v>0</v>
      </c>
      <c r="O66" s="114" t="n">
        <f aca="false">'Reforecast Q1 2026'!G42</f>
        <v>-55</v>
      </c>
      <c r="P66" s="114" t="n">
        <f aca="false">IF(N66="","",N66-O66)</f>
        <v>55</v>
      </c>
      <c r="Q66" s="114" t="n">
        <f aca="false">IF(OR(6&gt;$B$27,ISBLANK(Actuals!H42)),"",Actuals!H42)</f>
        <v>-165</v>
      </c>
      <c r="R66" s="114" t="n">
        <f aca="false">'Reforecast Q1 2026'!H42</f>
        <v>-55</v>
      </c>
      <c r="S66" s="114" t="n">
        <f aca="false">IF(Q66="","",Q66-R66)</f>
        <v>-110</v>
      </c>
      <c r="T66" s="114" t="n">
        <f aca="false">IF(OR(7&gt;$B$27,ISBLANK(Actuals!I42)),"",Actuals!I42)</f>
        <v>0</v>
      </c>
      <c r="U66" s="114" t="n">
        <f aca="false">'Reforecast Q1 2026'!I42</f>
        <v>-55</v>
      </c>
      <c r="V66" s="114" t="n">
        <f aca="false">IF(T66="","",T66-U66)</f>
        <v>55</v>
      </c>
      <c r="W66" s="114" t="n">
        <f aca="false">IF(OR(8&gt;$B$27,ISBLANK(Actuals!J42)),"",Actuals!J42)</f>
        <v>0</v>
      </c>
      <c r="X66" s="114" t="n">
        <f aca="false">'Reforecast Q1 2026'!J42</f>
        <v>-55</v>
      </c>
      <c r="Y66" s="114" t="n">
        <f aca="false">IF(W66="","",W66-X66)</f>
        <v>55</v>
      </c>
      <c r="Z66" s="114" t="str">
        <f aca="false">IF(OR(9&gt;$B$27,ISBLANK(Actuals!K42)),"",Actuals!K42)</f>
        <v/>
      </c>
      <c r="AA66" s="114" t="n">
        <f aca="false">'Reforecast Q1 2026'!K42</f>
        <v>-55</v>
      </c>
      <c r="AB66" s="114" t="str">
        <f aca="false">IF(Z66="","",Z66-AA66)</f>
        <v/>
      </c>
      <c r="AC66" s="114" t="str">
        <f aca="false">IF(OR(10&gt;$B$27,ISBLANK(Actuals!L42)),"",Actuals!L42)</f>
        <v/>
      </c>
      <c r="AD66" s="114" t="n">
        <f aca="false">'Reforecast Q1 2026'!L42</f>
        <v>-55</v>
      </c>
      <c r="AE66" s="114" t="str">
        <f aca="false">IF(AC66="","",AC66-AD66)</f>
        <v/>
      </c>
      <c r="AF66" s="114" t="str">
        <f aca="false">IF(OR(11&gt;$B$27,ISBLANK(Actuals!M42)),"",Actuals!M42)</f>
        <v/>
      </c>
      <c r="AG66" s="114" t="n">
        <f aca="false">'Reforecast Q1 2026'!M42</f>
        <v>-55</v>
      </c>
      <c r="AH66" s="114" t="str">
        <f aca="false">IF(AF66="","",AF66-AG66)</f>
        <v/>
      </c>
      <c r="AI66" s="114" t="str">
        <f aca="false">IF(OR(12&gt;$B$27,ISBLANK(Actuals!N42)),"",Actuals!N42)</f>
        <v/>
      </c>
      <c r="AJ66" s="114" t="n">
        <f aca="false">'Reforecast Q1 2026'!N42</f>
        <v>-55</v>
      </c>
      <c r="AK66" s="114" t="str">
        <f aca="false">IF(AI66="","",AI66-AJ66)</f>
        <v/>
      </c>
      <c r="AL66" s="117" t="n">
        <f aca="false">SUM(Actuals!$C42:INDEX(Actuals!$C42:$N42,$B$27))</f>
        <v>-495</v>
      </c>
      <c r="AM66" s="117" t="n">
        <f aca="false">SUM('Reforecast Q1 2026'!$C42:INDEX('Reforecast Q1 2026'!$C42:$N42,$B$27))</f>
        <v>-440</v>
      </c>
      <c r="AN66" s="117" t="n">
        <f aca="false">AL66-AM66</f>
        <v>-55</v>
      </c>
    </row>
    <row r="67" customFormat="false" ht="15" hidden="true" customHeight="true" outlineLevel="1" collapsed="false">
      <c r="A67" s="110" t="s">
        <v>86</v>
      </c>
      <c r="B67" s="114" t="n">
        <f aca="false">IF(OR(1&gt;$B$27,ISBLANK(Actuals!C43)),"",Actuals!C43)</f>
        <v>0</v>
      </c>
      <c r="C67" s="114" t="n">
        <f aca="false">'Reforecast Q1 2026'!C43</f>
        <v>0</v>
      </c>
      <c r="D67" s="114" t="n">
        <f aca="false">IF(B67="","",B67-C67)</f>
        <v>0</v>
      </c>
      <c r="E67" s="114" t="n">
        <f aca="false">IF(OR(2&gt;$B$27,ISBLANK(Actuals!D43)),"",Actuals!D43)</f>
        <v>0</v>
      </c>
      <c r="F67" s="114" t="n">
        <f aca="false">'Reforecast Q1 2026'!D43</f>
        <v>0</v>
      </c>
      <c r="G67" s="114" t="n">
        <f aca="false">IF(E67="","",E67-F67)</f>
        <v>0</v>
      </c>
      <c r="H67" s="114" t="n">
        <f aca="false">IF(OR(3&gt;$B$27,ISBLANK(Actuals!E43)),"",Actuals!E43)</f>
        <v>0</v>
      </c>
      <c r="I67" s="114" t="n">
        <f aca="false">'Reforecast Q1 2026'!E43</f>
        <v>0</v>
      </c>
      <c r="J67" s="114" t="n">
        <f aca="false">IF(H67="","",H67-I67)</f>
        <v>0</v>
      </c>
      <c r="K67" s="114" t="n">
        <f aca="false">IF(OR(4&gt;$B$27,ISBLANK(Actuals!F43)),"",Actuals!F43)</f>
        <v>-1036.49</v>
      </c>
      <c r="L67" s="114" t="n">
        <f aca="false">'Reforecast Q1 2026'!F43</f>
        <v>0</v>
      </c>
      <c r="M67" s="114" t="n">
        <f aca="false">IF(K67="","",K67-L67)</f>
        <v>-1036.49</v>
      </c>
      <c r="N67" s="114" t="n">
        <f aca="false">IF(OR(5&gt;$B$27,ISBLANK(Actuals!G43)),"",Actuals!G43)</f>
        <v>0</v>
      </c>
      <c r="O67" s="114" t="n">
        <f aca="false">'Reforecast Q1 2026'!G43</f>
        <v>0</v>
      </c>
      <c r="P67" s="114" t="n">
        <f aca="false">IF(N67="","",N67-O67)</f>
        <v>0</v>
      </c>
      <c r="Q67" s="114" t="n">
        <f aca="false">IF(OR(6&gt;$B$27,ISBLANK(Actuals!H43)),"",Actuals!H43)</f>
        <v>-4308.58</v>
      </c>
      <c r="R67" s="114" t="n">
        <f aca="false">'Reforecast Q1 2026'!H43</f>
        <v>0</v>
      </c>
      <c r="S67" s="114" t="n">
        <f aca="false">IF(Q67="","",Q67-R67)</f>
        <v>-4308.58</v>
      </c>
      <c r="T67" s="114" t="n">
        <f aca="false">IF(OR(7&gt;$B$27,ISBLANK(Actuals!I43)),"",Actuals!I43)</f>
        <v>-362.98</v>
      </c>
      <c r="U67" s="114" t="n">
        <f aca="false">'Reforecast Q1 2026'!I43</f>
        <v>0</v>
      </c>
      <c r="V67" s="114" t="n">
        <f aca="false">IF(T67="","",T67-U67)</f>
        <v>-362.98</v>
      </c>
      <c r="W67" s="114" t="n">
        <f aca="false">IF(OR(8&gt;$B$27,ISBLANK(Actuals!J43)),"",Actuals!J43)</f>
        <v>0</v>
      </c>
      <c r="X67" s="114" t="n">
        <f aca="false">'Reforecast Q1 2026'!J43</f>
        <v>0</v>
      </c>
      <c r="Y67" s="114" t="n">
        <f aca="false">IF(W67="","",W67-X67)</f>
        <v>0</v>
      </c>
      <c r="Z67" s="114" t="str">
        <f aca="false">IF(OR(9&gt;$B$27,ISBLANK(Actuals!K43)),"",Actuals!K43)</f>
        <v/>
      </c>
      <c r="AA67" s="114" t="n">
        <f aca="false">'Reforecast Q1 2026'!K43</f>
        <v>0</v>
      </c>
      <c r="AB67" s="114" t="str">
        <f aca="false">IF(Z67="","",Z67-AA67)</f>
        <v/>
      </c>
      <c r="AC67" s="114" t="str">
        <f aca="false">IF(OR(10&gt;$B$27,ISBLANK(Actuals!L43)),"",Actuals!L43)</f>
        <v/>
      </c>
      <c r="AD67" s="114" t="n">
        <f aca="false">'Reforecast Q1 2026'!L43</f>
        <v>0</v>
      </c>
      <c r="AE67" s="114" t="str">
        <f aca="false">IF(AC67="","",AC67-AD67)</f>
        <v/>
      </c>
      <c r="AF67" s="114" t="str">
        <f aca="false">IF(OR(11&gt;$B$27,ISBLANK(Actuals!M43)),"",Actuals!M43)</f>
        <v/>
      </c>
      <c r="AG67" s="114" t="n">
        <f aca="false">'Reforecast Q1 2026'!M43</f>
        <v>0</v>
      </c>
      <c r="AH67" s="114" t="str">
        <f aca="false">IF(AF67="","",AF67-AG67)</f>
        <v/>
      </c>
      <c r="AI67" s="114" t="str">
        <f aca="false">IF(OR(12&gt;$B$27,ISBLANK(Actuals!N43)),"",Actuals!N43)</f>
        <v/>
      </c>
      <c r="AJ67" s="114" t="n">
        <f aca="false">'Reforecast Q1 2026'!N43</f>
        <v>0</v>
      </c>
      <c r="AK67" s="114" t="str">
        <f aca="false">IF(AI67="","",AI67-AJ67)</f>
        <v/>
      </c>
      <c r="AL67" s="117" t="n">
        <f aca="false">SUM(Actuals!$C43:INDEX(Actuals!$C43:$N43,$B$27))</f>
        <v>-5708.05</v>
      </c>
      <c r="AM67" s="117" t="n">
        <f aca="false">SUM('Reforecast Q1 2026'!$C43:INDEX('Reforecast Q1 2026'!$C43:$N43,$B$27))</f>
        <v>0</v>
      </c>
      <c r="AN67" s="117" t="n">
        <f aca="false">AL67-AM67</f>
        <v>-5708.05</v>
      </c>
    </row>
    <row r="68" customFormat="false" ht="15" hidden="true" customHeight="true" outlineLevel="1" collapsed="false">
      <c r="A68" s="110" t="s">
        <v>87</v>
      </c>
      <c r="B68" s="114" t="n">
        <f aca="false">IF(OR(1&gt;$B$27,ISBLANK(Actuals!C44)),"",Actuals!C44)</f>
        <v>-550</v>
      </c>
      <c r="C68" s="114" t="n">
        <f aca="false">'Reforecast Q1 2026'!C44</f>
        <v>-550</v>
      </c>
      <c r="D68" s="114" t="n">
        <f aca="false">IF(B68="","",B68-C68)</f>
        <v>0</v>
      </c>
      <c r="E68" s="114" t="n">
        <f aca="false">IF(OR(2&gt;$B$27,ISBLANK(Actuals!D44)),"",Actuals!D44)</f>
        <v>-550</v>
      </c>
      <c r="F68" s="114" t="n">
        <f aca="false">'Reforecast Q1 2026'!D44</f>
        <v>-550</v>
      </c>
      <c r="G68" s="114" t="n">
        <f aca="false">IF(E68="","",E68-F68)</f>
        <v>0</v>
      </c>
      <c r="H68" s="114" t="n">
        <f aca="false">IF(OR(3&gt;$B$27,ISBLANK(Actuals!E44)),"",Actuals!E44)</f>
        <v>-550</v>
      </c>
      <c r="I68" s="114" t="n">
        <f aca="false">'Reforecast Q1 2026'!E44</f>
        <v>-550</v>
      </c>
      <c r="J68" s="114" t="n">
        <f aca="false">IF(H68="","",H68-I68)</f>
        <v>0</v>
      </c>
      <c r="K68" s="114" t="n">
        <f aca="false">IF(OR(4&gt;$B$27,ISBLANK(Actuals!F44)),"",Actuals!F44)</f>
        <v>-600</v>
      </c>
      <c r="L68" s="114" t="n">
        <f aca="false">'Reforecast Q1 2026'!F44</f>
        <v>-550</v>
      </c>
      <c r="M68" s="114" t="n">
        <f aca="false">IF(K68="","",K68-L68)</f>
        <v>-50</v>
      </c>
      <c r="N68" s="114" t="n">
        <f aca="false">IF(OR(5&gt;$B$27,ISBLANK(Actuals!G44)),"",Actuals!G44)</f>
        <v>-650</v>
      </c>
      <c r="O68" s="114" t="n">
        <f aca="false">'Reforecast Q1 2026'!G44</f>
        <v>-550</v>
      </c>
      <c r="P68" s="114" t="n">
        <f aca="false">IF(N68="","",N68-O68)</f>
        <v>-100</v>
      </c>
      <c r="Q68" s="114" t="n">
        <f aca="false">IF(OR(6&gt;$B$27,ISBLANK(Actuals!H44)),"",Actuals!H44)</f>
        <v>-575</v>
      </c>
      <c r="R68" s="114" t="n">
        <f aca="false">'Reforecast Q1 2026'!H44</f>
        <v>-550</v>
      </c>
      <c r="S68" s="114" t="n">
        <f aca="false">IF(Q68="","",Q68-R68)</f>
        <v>-25</v>
      </c>
      <c r="T68" s="114" t="n">
        <f aca="false">IF(OR(7&gt;$B$27,ISBLANK(Actuals!I44)),"",Actuals!I44)</f>
        <v>-1300</v>
      </c>
      <c r="U68" s="114" t="n">
        <f aca="false">'Reforecast Q1 2026'!I44</f>
        <v>-550</v>
      </c>
      <c r="V68" s="114" t="n">
        <f aca="false">IF(T68="","",T68-U68)</f>
        <v>-750</v>
      </c>
      <c r="W68" s="114" t="n">
        <f aca="false">IF(OR(8&gt;$B$27,ISBLANK(Actuals!J44)),"",Actuals!J44)</f>
        <v>-325</v>
      </c>
      <c r="X68" s="114" t="n">
        <f aca="false">'Reforecast Q1 2026'!J44</f>
        <v>-550</v>
      </c>
      <c r="Y68" s="114" t="n">
        <f aca="false">IF(W68="","",W68-X68)</f>
        <v>225</v>
      </c>
      <c r="Z68" s="114" t="str">
        <f aca="false">IF(OR(9&gt;$B$27,ISBLANK(Actuals!K44)),"",Actuals!K44)</f>
        <v/>
      </c>
      <c r="AA68" s="114" t="n">
        <f aca="false">'Reforecast Q1 2026'!K44</f>
        <v>-550</v>
      </c>
      <c r="AB68" s="114" t="str">
        <f aca="false">IF(Z68="","",Z68-AA68)</f>
        <v/>
      </c>
      <c r="AC68" s="114" t="str">
        <f aca="false">IF(OR(10&gt;$B$27,ISBLANK(Actuals!L44)),"",Actuals!L44)</f>
        <v/>
      </c>
      <c r="AD68" s="114" t="n">
        <f aca="false">'Reforecast Q1 2026'!L44</f>
        <v>-550</v>
      </c>
      <c r="AE68" s="114" t="str">
        <f aca="false">IF(AC68="","",AC68-AD68)</f>
        <v/>
      </c>
      <c r="AF68" s="114" t="str">
        <f aca="false">IF(OR(11&gt;$B$27,ISBLANK(Actuals!M44)),"",Actuals!M44)</f>
        <v/>
      </c>
      <c r="AG68" s="114" t="n">
        <f aca="false">'Reforecast Q1 2026'!M44</f>
        <v>-550</v>
      </c>
      <c r="AH68" s="114" t="str">
        <f aca="false">IF(AF68="","",AF68-AG68)</f>
        <v/>
      </c>
      <c r="AI68" s="114" t="str">
        <f aca="false">IF(OR(12&gt;$B$27,ISBLANK(Actuals!N44)),"",Actuals!N44)</f>
        <v/>
      </c>
      <c r="AJ68" s="114" t="n">
        <f aca="false">'Reforecast Q1 2026'!N44</f>
        <v>-550</v>
      </c>
      <c r="AK68" s="114" t="str">
        <f aca="false">IF(AI68="","",AI68-AJ68)</f>
        <v/>
      </c>
      <c r="AL68" s="117" t="n">
        <f aca="false">SUM(Actuals!$C44:INDEX(Actuals!$C44:$N44,$B$27))</f>
        <v>-5100</v>
      </c>
      <c r="AM68" s="117" t="n">
        <f aca="false">SUM('Reforecast Q1 2026'!$C44:INDEX('Reforecast Q1 2026'!$C44:$N44,$B$27))</f>
        <v>-4400</v>
      </c>
      <c r="AN68" s="117" t="n">
        <f aca="false">AL68-AM68</f>
        <v>-700</v>
      </c>
    </row>
    <row r="69" customFormat="false" ht="15" hidden="true" customHeight="true" outlineLevel="1" collapsed="false">
      <c r="A69" s="110" t="s">
        <v>88</v>
      </c>
      <c r="B69" s="114" t="n">
        <f aca="false">IF(OR(1&gt;$B$27,ISBLANK(Actuals!C45)),"",Actuals!C45)</f>
        <v>-19223.75</v>
      </c>
      <c r="C69" s="114" t="n">
        <f aca="false">'Reforecast Q1 2026'!C45</f>
        <v>-19223.75</v>
      </c>
      <c r="D69" s="114" t="n">
        <f aca="false">IF(B69="","",B69-C69)</f>
        <v>0</v>
      </c>
      <c r="E69" s="114" t="n">
        <f aca="false">IF(OR(2&gt;$B$27,ISBLANK(Actuals!D45)),"",Actuals!D45)</f>
        <v>-13381.97</v>
      </c>
      <c r="F69" s="114" t="n">
        <f aca="false">'Reforecast Q1 2026'!D45</f>
        <v>-13381.97</v>
      </c>
      <c r="G69" s="114" t="n">
        <f aca="false">IF(E69="","",E69-F69)</f>
        <v>0</v>
      </c>
      <c r="H69" s="114" t="n">
        <f aca="false">IF(OR(3&gt;$B$27,ISBLANK(Actuals!E45)),"",Actuals!E45)</f>
        <v>-20308.69</v>
      </c>
      <c r="I69" s="114" t="n">
        <f aca="false">'Reforecast Q1 2026'!E45</f>
        <v>-20308.69</v>
      </c>
      <c r="J69" s="114" t="n">
        <f aca="false">IF(H69="","",H69-I69)</f>
        <v>0</v>
      </c>
      <c r="K69" s="114" t="n">
        <f aca="false">IF(OR(4&gt;$B$27,ISBLANK(Actuals!F45)),"",Actuals!F45)</f>
        <v>-16948.76</v>
      </c>
      <c r="L69" s="114" t="n">
        <f aca="false">'Reforecast Q1 2026'!F45</f>
        <v>-17638.14</v>
      </c>
      <c r="M69" s="114" t="n">
        <f aca="false">IF(K69="","",K69-L69)</f>
        <v>689.380000000001</v>
      </c>
      <c r="N69" s="114" t="n">
        <f aca="false">IF(OR(5&gt;$B$27,ISBLANK(Actuals!G45)),"",Actuals!G45)</f>
        <v>-29716.98</v>
      </c>
      <c r="O69" s="114" t="n">
        <f aca="false">'Reforecast Q1 2026'!G45</f>
        <v>-17638.14</v>
      </c>
      <c r="P69" s="114" t="n">
        <f aca="false">IF(N69="","",N69-O69)</f>
        <v>-12078.84</v>
      </c>
      <c r="Q69" s="114" t="n">
        <f aca="false">IF(OR(6&gt;$B$27,ISBLANK(Actuals!H45)),"",Actuals!H45)</f>
        <v>-11335.64</v>
      </c>
      <c r="R69" s="114" t="n">
        <f aca="false">'Reforecast Q1 2026'!H45</f>
        <v>-17638.14</v>
      </c>
      <c r="S69" s="114" t="n">
        <f aca="false">IF(Q69="","",Q69-R69)</f>
        <v>6302.5</v>
      </c>
      <c r="T69" s="114" t="n">
        <f aca="false">IF(OR(7&gt;$B$27,ISBLANK(Actuals!I45)),"",Actuals!I45)</f>
        <v>-11387.12</v>
      </c>
      <c r="U69" s="114" t="n">
        <f aca="false">'Reforecast Q1 2026'!I45</f>
        <v>-17638.14</v>
      </c>
      <c r="V69" s="114" t="n">
        <f aca="false">IF(T69="","",T69-U69)</f>
        <v>6251.02</v>
      </c>
      <c r="W69" s="114" t="n">
        <f aca="false">IF(OR(8&gt;$B$27,ISBLANK(Actuals!J45)),"",Actuals!J45)</f>
        <v>-19873.14</v>
      </c>
      <c r="X69" s="114" t="n">
        <f aca="false">'Reforecast Q1 2026'!J45</f>
        <v>-17638.14</v>
      </c>
      <c r="Y69" s="114" t="n">
        <f aca="false">IF(W69="","",W69-X69)</f>
        <v>-2235</v>
      </c>
      <c r="Z69" s="114" t="str">
        <f aca="false">IF(OR(9&gt;$B$27,ISBLANK(Actuals!K45)),"",Actuals!K45)</f>
        <v/>
      </c>
      <c r="AA69" s="114" t="n">
        <f aca="false">'Reforecast Q1 2026'!K45</f>
        <v>-17638.14</v>
      </c>
      <c r="AB69" s="114" t="str">
        <f aca="false">IF(Z69="","",Z69-AA69)</f>
        <v/>
      </c>
      <c r="AC69" s="114" t="str">
        <f aca="false">IF(OR(10&gt;$B$27,ISBLANK(Actuals!L45)),"",Actuals!L45)</f>
        <v/>
      </c>
      <c r="AD69" s="114" t="n">
        <f aca="false">'Reforecast Q1 2026'!L45</f>
        <v>-17638.14</v>
      </c>
      <c r="AE69" s="114" t="str">
        <f aca="false">IF(AC69="","",AC69-AD69)</f>
        <v/>
      </c>
      <c r="AF69" s="114" t="str">
        <f aca="false">IF(OR(11&gt;$B$27,ISBLANK(Actuals!M45)),"",Actuals!M45)</f>
        <v/>
      </c>
      <c r="AG69" s="114" t="n">
        <f aca="false">'Reforecast Q1 2026'!M45</f>
        <v>-17638.14</v>
      </c>
      <c r="AH69" s="114" t="str">
        <f aca="false">IF(AF69="","",AF69-AG69)</f>
        <v/>
      </c>
      <c r="AI69" s="114" t="str">
        <f aca="false">IF(OR(12&gt;$B$27,ISBLANK(Actuals!N45)),"",Actuals!N45)</f>
        <v/>
      </c>
      <c r="AJ69" s="114" t="n">
        <f aca="false">'Reforecast Q1 2026'!N45</f>
        <v>-17638.14</v>
      </c>
      <c r="AK69" s="114" t="str">
        <f aca="false">IF(AI69="","",AI69-AJ69)</f>
        <v/>
      </c>
      <c r="AL69" s="117" t="n">
        <f aca="false">SUM(Actuals!$C45:INDEX(Actuals!$C45:$N45,$B$27))</f>
        <v>-142176.05</v>
      </c>
      <c r="AM69" s="117" t="n">
        <f aca="false">SUM('Reforecast Q1 2026'!$C45:INDEX('Reforecast Q1 2026'!$C45:$N45,$B$27))</f>
        <v>-141105.11</v>
      </c>
      <c r="AN69" s="117" t="n">
        <f aca="false">AL69-AM69</f>
        <v>-1070.94</v>
      </c>
    </row>
    <row r="70" customFormat="false" ht="15" hidden="true" customHeight="true" outlineLevel="1" collapsed="false">
      <c r="A70" s="110" t="s">
        <v>89</v>
      </c>
      <c r="B70" s="114" t="n">
        <f aca="false">IF(OR(1&gt;$B$27,ISBLANK(Actuals!C46)),"",Actuals!C46)</f>
        <v>-1909.98</v>
      </c>
      <c r="C70" s="114" t="n">
        <f aca="false">'Reforecast Q1 2026'!C46</f>
        <v>-1909.98</v>
      </c>
      <c r="D70" s="114" t="n">
        <f aca="false">IF(B70="","",B70-C70)</f>
        <v>0</v>
      </c>
      <c r="E70" s="114" t="n">
        <f aca="false">IF(OR(2&gt;$B$27,ISBLANK(Actuals!D46)),"",Actuals!D46)</f>
        <v>-190.1</v>
      </c>
      <c r="F70" s="114" t="n">
        <f aca="false">'Reforecast Q1 2026'!D46</f>
        <v>-190.1</v>
      </c>
      <c r="G70" s="114" t="n">
        <f aca="false">IF(E70="","",E70-F70)</f>
        <v>0</v>
      </c>
      <c r="H70" s="114" t="n">
        <f aca="false">IF(OR(3&gt;$B$27,ISBLANK(Actuals!E46)),"",Actuals!E46)</f>
        <v>-2166.92</v>
      </c>
      <c r="I70" s="114" t="n">
        <f aca="false">'Reforecast Q1 2026'!E46</f>
        <v>-2166.92</v>
      </c>
      <c r="J70" s="114" t="n">
        <f aca="false">IF(H70="","",H70-I70)</f>
        <v>0</v>
      </c>
      <c r="K70" s="114" t="n">
        <f aca="false">IF(OR(4&gt;$B$27,ISBLANK(Actuals!F46)),"",Actuals!F46)</f>
        <v>-1816.95</v>
      </c>
      <c r="L70" s="114" t="n">
        <f aca="false">'Reforecast Q1 2026'!F46</f>
        <v>-1422.33</v>
      </c>
      <c r="M70" s="114" t="n">
        <f aca="false">IF(K70="","",K70-L70)</f>
        <v>-394.62</v>
      </c>
      <c r="N70" s="114" t="n">
        <f aca="false">IF(OR(5&gt;$B$27,ISBLANK(Actuals!G46)),"",Actuals!G46)</f>
        <v>-1452.9</v>
      </c>
      <c r="O70" s="114" t="n">
        <f aca="false">'Reforecast Q1 2026'!G46</f>
        <v>-1422.33</v>
      </c>
      <c r="P70" s="114" t="n">
        <f aca="false">IF(N70="","",N70-O70)</f>
        <v>-30.5700000000002</v>
      </c>
      <c r="Q70" s="114" t="n">
        <f aca="false">IF(OR(6&gt;$B$27,ISBLANK(Actuals!H46)),"",Actuals!H46)</f>
        <v>-13918.31</v>
      </c>
      <c r="R70" s="114" t="n">
        <f aca="false">'Reforecast Q1 2026'!H46</f>
        <v>-1422.33</v>
      </c>
      <c r="S70" s="114" t="n">
        <f aca="false">IF(Q70="","",Q70-R70)</f>
        <v>-12495.98</v>
      </c>
      <c r="T70" s="114" t="n">
        <f aca="false">IF(OR(7&gt;$B$27,ISBLANK(Actuals!I46)),"",Actuals!I46)</f>
        <v>9546.02</v>
      </c>
      <c r="U70" s="114" t="n">
        <f aca="false">'Reforecast Q1 2026'!I46</f>
        <v>-1422.33</v>
      </c>
      <c r="V70" s="114" t="n">
        <f aca="false">IF(T70="","",T70-U70)</f>
        <v>10968.35</v>
      </c>
      <c r="W70" s="114" t="n">
        <f aca="false">IF(OR(8&gt;$B$27,ISBLANK(Actuals!J46)),"",Actuals!J46)</f>
        <v>-840.61</v>
      </c>
      <c r="X70" s="114" t="n">
        <f aca="false">'Reforecast Q1 2026'!J46</f>
        <v>-1422.33</v>
      </c>
      <c r="Y70" s="114" t="n">
        <f aca="false">IF(W70="","",W70-X70)</f>
        <v>581.72</v>
      </c>
      <c r="Z70" s="114" t="str">
        <f aca="false">IF(OR(9&gt;$B$27,ISBLANK(Actuals!K46)),"",Actuals!K46)</f>
        <v/>
      </c>
      <c r="AA70" s="114" t="n">
        <f aca="false">'Reforecast Q1 2026'!K46</f>
        <v>-1422.33</v>
      </c>
      <c r="AB70" s="114" t="str">
        <f aca="false">IF(Z70="","",Z70-AA70)</f>
        <v/>
      </c>
      <c r="AC70" s="114" t="str">
        <f aca="false">IF(OR(10&gt;$B$27,ISBLANK(Actuals!L46)),"",Actuals!L46)</f>
        <v/>
      </c>
      <c r="AD70" s="114" t="n">
        <f aca="false">'Reforecast Q1 2026'!L46</f>
        <v>-1422.33</v>
      </c>
      <c r="AE70" s="114" t="str">
        <f aca="false">IF(AC70="","",AC70-AD70)</f>
        <v/>
      </c>
      <c r="AF70" s="114" t="str">
        <f aca="false">IF(OR(11&gt;$B$27,ISBLANK(Actuals!M46)),"",Actuals!M46)</f>
        <v/>
      </c>
      <c r="AG70" s="114" t="n">
        <f aca="false">'Reforecast Q1 2026'!M46</f>
        <v>-1422.33</v>
      </c>
      <c r="AH70" s="114" t="str">
        <f aca="false">IF(AF70="","",AF70-AG70)</f>
        <v/>
      </c>
      <c r="AI70" s="114" t="str">
        <f aca="false">IF(OR(12&gt;$B$27,ISBLANK(Actuals!N46)),"",Actuals!N46)</f>
        <v/>
      </c>
      <c r="AJ70" s="114" t="n">
        <f aca="false">'Reforecast Q1 2026'!N46</f>
        <v>-1422.33</v>
      </c>
      <c r="AK70" s="114" t="str">
        <f aca="false">IF(AI70="","",AI70-AJ70)</f>
        <v/>
      </c>
      <c r="AL70" s="117" t="n">
        <f aca="false">SUM(Actuals!$C46:INDEX(Actuals!$C46:$N46,$B$27))</f>
        <v>-12749.75</v>
      </c>
      <c r="AM70" s="117" t="n">
        <f aca="false">SUM('Reforecast Q1 2026'!$C46:INDEX('Reforecast Q1 2026'!$C46:$N46,$B$27))</f>
        <v>-11378.65</v>
      </c>
      <c r="AN70" s="117" t="n">
        <f aca="false">AL70-AM70</f>
        <v>-1371.1</v>
      </c>
    </row>
    <row r="71" customFormat="false" ht="15" hidden="true" customHeight="true" outlineLevel="1" collapsed="false">
      <c r="A71" s="110" t="s">
        <v>90</v>
      </c>
      <c r="B71" s="114" t="n">
        <f aca="false">IF(OR(1&gt;$B$27,ISBLANK(Actuals!C47)),"",Actuals!C47)</f>
        <v>-320</v>
      </c>
      <c r="C71" s="114" t="n">
        <f aca="false">'Reforecast Q1 2026'!C47</f>
        <v>-320</v>
      </c>
      <c r="D71" s="114" t="n">
        <f aca="false">IF(B71="","",B71-C71)</f>
        <v>0</v>
      </c>
      <c r="E71" s="114" t="n">
        <f aca="false">IF(OR(2&gt;$B$27,ISBLANK(Actuals!D47)),"",Actuals!D47)</f>
        <v>-160</v>
      </c>
      <c r="F71" s="114" t="n">
        <f aca="false">'Reforecast Q1 2026'!D47</f>
        <v>-160</v>
      </c>
      <c r="G71" s="114" t="n">
        <f aca="false">IF(E71="","",E71-F71)</f>
        <v>0</v>
      </c>
      <c r="H71" s="114" t="n">
        <f aca="false">IF(OR(3&gt;$B$27,ISBLANK(Actuals!E47)),"",Actuals!E47)</f>
        <v>0</v>
      </c>
      <c r="I71" s="114" t="n">
        <f aca="false">'Reforecast Q1 2026'!E47</f>
        <v>0</v>
      </c>
      <c r="J71" s="114" t="n">
        <f aca="false">IF(H71="","",H71-I71)</f>
        <v>0</v>
      </c>
      <c r="K71" s="114" t="n">
        <f aca="false">IF(OR(4&gt;$B$27,ISBLANK(Actuals!F47)),"",Actuals!F47)</f>
        <v>0</v>
      </c>
      <c r="L71" s="114" t="n">
        <f aca="false">'Reforecast Q1 2026'!F47</f>
        <v>-160</v>
      </c>
      <c r="M71" s="114" t="n">
        <f aca="false">IF(K71="","",K71-L71)</f>
        <v>160</v>
      </c>
      <c r="N71" s="114" t="n">
        <f aca="false">IF(OR(5&gt;$B$27,ISBLANK(Actuals!G47)),"",Actuals!G47)</f>
        <v>-320</v>
      </c>
      <c r="O71" s="114" t="n">
        <f aca="false">'Reforecast Q1 2026'!G47</f>
        <v>-160</v>
      </c>
      <c r="P71" s="114" t="n">
        <f aca="false">IF(N71="","",N71-O71)</f>
        <v>-160</v>
      </c>
      <c r="Q71" s="114" t="n">
        <f aca="false">IF(OR(6&gt;$B$27,ISBLANK(Actuals!H47)),"",Actuals!H47)</f>
        <v>-320</v>
      </c>
      <c r="R71" s="114" t="n">
        <f aca="false">'Reforecast Q1 2026'!H47</f>
        <v>-160</v>
      </c>
      <c r="S71" s="114" t="n">
        <f aca="false">IF(Q71="","",Q71-R71)</f>
        <v>-160</v>
      </c>
      <c r="T71" s="114" t="n">
        <f aca="false">IF(OR(7&gt;$B$27,ISBLANK(Actuals!I47)),"",Actuals!I47)</f>
        <v>0</v>
      </c>
      <c r="U71" s="114" t="n">
        <f aca="false">'Reforecast Q1 2026'!I47</f>
        <v>-160</v>
      </c>
      <c r="V71" s="114" t="n">
        <f aca="false">IF(T71="","",T71-U71)</f>
        <v>160</v>
      </c>
      <c r="W71" s="114" t="n">
        <f aca="false">IF(OR(8&gt;$B$27,ISBLANK(Actuals!J47)),"",Actuals!J47)</f>
        <v>-160</v>
      </c>
      <c r="X71" s="114" t="n">
        <f aca="false">'Reforecast Q1 2026'!J47</f>
        <v>-160</v>
      </c>
      <c r="Y71" s="114" t="n">
        <f aca="false">IF(W71="","",W71-X71)</f>
        <v>0</v>
      </c>
      <c r="Z71" s="114" t="str">
        <f aca="false">IF(OR(9&gt;$B$27,ISBLANK(Actuals!K47)),"",Actuals!K47)</f>
        <v/>
      </c>
      <c r="AA71" s="114" t="n">
        <f aca="false">'Reforecast Q1 2026'!K47</f>
        <v>-160</v>
      </c>
      <c r="AB71" s="114" t="str">
        <f aca="false">IF(Z71="","",Z71-AA71)</f>
        <v/>
      </c>
      <c r="AC71" s="114" t="str">
        <f aca="false">IF(OR(10&gt;$B$27,ISBLANK(Actuals!L47)),"",Actuals!L47)</f>
        <v/>
      </c>
      <c r="AD71" s="114" t="n">
        <f aca="false">'Reforecast Q1 2026'!L47</f>
        <v>-160</v>
      </c>
      <c r="AE71" s="114" t="str">
        <f aca="false">IF(AC71="","",AC71-AD71)</f>
        <v/>
      </c>
      <c r="AF71" s="114" t="str">
        <f aca="false">IF(OR(11&gt;$B$27,ISBLANK(Actuals!M47)),"",Actuals!M47)</f>
        <v/>
      </c>
      <c r="AG71" s="114" t="n">
        <f aca="false">'Reforecast Q1 2026'!M47</f>
        <v>-160</v>
      </c>
      <c r="AH71" s="114" t="str">
        <f aca="false">IF(AF71="","",AF71-AG71)</f>
        <v/>
      </c>
      <c r="AI71" s="114" t="str">
        <f aca="false">IF(OR(12&gt;$B$27,ISBLANK(Actuals!N47)),"",Actuals!N47)</f>
        <v/>
      </c>
      <c r="AJ71" s="114" t="n">
        <f aca="false">'Reforecast Q1 2026'!N47</f>
        <v>-160</v>
      </c>
      <c r="AK71" s="114" t="str">
        <f aca="false">IF(AI71="","",AI71-AJ71)</f>
        <v/>
      </c>
      <c r="AL71" s="117" t="n">
        <f aca="false">SUM(Actuals!$C47:INDEX(Actuals!$C47:$N47,$B$27))</f>
        <v>-1280</v>
      </c>
      <c r="AM71" s="117" t="n">
        <f aca="false">SUM('Reforecast Q1 2026'!$C47:INDEX('Reforecast Q1 2026'!$C47:$N47,$B$27))</f>
        <v>-1280</v>
      </c>
      <c r="AN71" s="117" t="n">
        <f aca="false">AL71-AM71</f>
        <v>0</v>
      </c>
    </row>
    <row r="72" customFormat="false" ht="15" hidden="true" customHeight="true" outlineLevel="1" collapsed="false">
      <c r="A72" s="110" t="s">
        <v>91</v>
      </c>
      <c r="B72" s="114" t="n">
        <f aca="false">IF(OR(1&gt;$B$27,ISBLANK(Actuals!C48)),"",Actuals!C48)</f>
        <v>-17660.72</v>
      </c>
      <c r="C72" s="114" t="n">
        <f aca="false">'Reforecast Q1 2026'!C48</f>
        <v>-17660.72</v>
      </c>
      <c r="D72" s="114" t="n">
        <f aca="false">IF(B72="","",B72-C72)</f>
        <v>0</v>
      </c>
      <c r="E72" s="114" t="n">
        <f aca="false">IF(OR(2&gt;$B$27,ISBLANK(Actuals!D48)),"",Actuals!D48)</f>
        <v>-5799</v>
      </c>
      <c r="F72" s="114" t="n">
        <f aca="false">'Reforecast Q1 2026'!D48</f>
        <v>-5799</v>
      </c>
      <c r="G72" s="114" t="n">
        <f aca="false">IF(E72="","",E72-F72)</f>
        <v>0</v>
      </c>
      <c r="H72" s="114" t="n">
        <f aca="false">IF(OR(3&gt;$B$27,ISBLANK(Actuals!E48)),"",Actuals!E48)</f>
        <v>-3432.18</v>
      </c>
      <c r="I72" s="114" t="n">
        <f aca="false">'Reforecast Q1 2026'!E48</f>
        <v>-3432.18</v>
      </c>
      <c r="J72" s="114" t="n">
        <f aca="false">IF(H72="","",H72-I72)</f>
        <v>0</v>
      </c>
      <c r="K72" s="114" t="n">
        <f aca="false">IF(OR(4&gt;$B$27,ISBLANK(Actuals!F48)),"",Actuals!F48)</f>
        <v>0</v>
      </c>
      <c r="L72" s="114" t="n">
        <f aca="false">'Reforecast Q1 2026'!F48</f>
        <v>-5000</v>
      </c>
      <c r="M72" s="114" t="n">
        <f aca="false">IF(K72="","",K72-L72)</f>
        <v>5000</v>
      </c>
      <c r="N72" s="114" t="n">
        <f aca="false">IF(OR(5&gt;$B$27,ISBLANK(Actuals!G48)),"",Actuals!G48)</f>
        <v>-73874.29</v>
      </c>
      <c r="O72" s="114" t="n">
        <f aca="false">'Reforecast Q1 2026'!G48</f>
        <v>-5000</v>
      </c>
      <c r="P72" s="114" t="n">
        <f aca="false">IF(N72="","",N72-O72)</f>
        <v>-68874.29</v>
      </c>
      <c r="Q72" s="114" t="n">
        <f aca="false">IF(OR(6&gt;$B$27,ISBLANK(Actuals!H48)),"",Actuals!H48)</f>
        <v>0</v>
      </c>
      <c r="R72" s="114" t="n">
        <f aca="false">'Reforecast Q1 2026'!H48</f>
        <v>-5000</v>
      </c>
      <c r="S72" s="114" t="n">
        <f aca="false">IF(Q72="","",Q72-R72)</f>
        <v>5000</v>
      </c>
      <c r="T72" s="114" t="n">
        <f aca="false">IF(OR(7&gt;$B$27,ISBLANK(Actuals!I48)),"",Actuals!I48)</f>
        <v>0</v>
      </c>
      <c r="U72" s="114" t="n">
        <f aca="false">'Reforecast Q1 2026'!I48</f>
        <v>-5000</v>
      </c>
      <c r="V72" s="114" t="n">
        <f aca="false">IF(T72="","",T72-U72)</f>
        <v>5000</v>
      </c>
      <c r="W72" s="114" t="n">
        <f aca="false">IF(OR(8&gt;$B$27,ISBLANK(Actuals!J48)),"",Actuals!J48)</f>
        <v>-1372.32</v>
      </c>
      <c r="X72" s="114" t="n">
        <f aca="false">'Reforecast Q1 2026'!J48</f>
        <v>-5000</v>
      </c>
      <c r="Y72" s="114" t="n">
        <f aca="false">IF(W72="","",W72-X72)</f>
        <v>3627.68</v>
      </c>
      <c r="Z72" s="114" t="str">
        <f aca="false">IF(OR(9&gt;$B$27,ISBLANK(Actuals!K48)),"",Actuals!K48)</f>
        <v/>
      </c>
      <c r="AA72" s="114" t="n">
        <f aca="false">'Reforecast Q1 2026'!K48</f>
        <v>-5000</v>
      </c>
      <c r="AB72" s="114" t="str">
        <f aca="false">IF(Z72="","",Z72-AA72)</f>
        <v/>
      </c>
      <c r="AC72" s="114" t="str">
        <f aca="false">IF(OR(10&gt;$B$27,ISBLANK(Actuals!L48)),"",Actuals!L48)</f>
        <v/>
      </c>
      <c r="AD72" s="114" t="n">
        <f aca="false">'Reforecast Q1 2026'!L48</f>
        <v>-5000</v>
      </c>
      <c r="AE72" s="114" t="str">
        <f aca="false">IF(AC72="","",AC72-AD72)</f>
        <v/>
      </c>
      <c r="AF72" s="114" t="str">
        <f aca="false">IF(OR(11&gt;$B$27,ISBLANK(Actuals!M48)),"",Actuals!M48)</f>
        <v/>
      </c>
      <c r="AG72" s="114" t="n">
        <f aca="false">'Reforecast Q1 2026'!M48</f>
        <v>-5000</v>
      </c>
      <c r="AH72" s="114" t="str">
        <f aca="false">IF(AF72="","",AF72-AG72)</f>
        <v/>
      </c>
      <c r="AI72" s="114" t="str">
        <f aca="false">IF(OR(12&gt;$B$27,ISBLANK(Actuals!N48)),"",Actuals!N48)</f>
        <v/>
      </c>
      <c r="AJ72" s="114" t="n">
        <f aca="false">'Reforecast Q1 2026'!N48</f>
        <v>-5000</v>
      </c>
      <c r="AK72" s="114" t="str">
        <f aca="false">IF(AI72="","",AI72-AJ72)</f>
        <v/>
      </c>
      <c r="AL72" s="117" t="n">
        <f aca="false">SUM(Actuals!$C48:INDEX(Actuals!$C48:$N48,$B$27))</f>
        <v>-102138.51</v>
      </c>
      <c r="AM72" s="117" t="n">
        <f aca="false">SUM('Reforecast Q1 2026'!$C48:INDEX('Reforecast Q1 2026'!$C48:$N48,$B$27))</f>
        <v>-51891.9</v>
      </c>
      <c r="AN72" s="117" t="n">
        <f aca="false">AL72-AM72</f>
        <v>-50246.61</v>
      </c>
    </row>
    <row r="73" customFormat="false" ht="15" hidden="true" customHeight="true" outlineLevel="1" collapsed="false">
      <c r="A73" s="110" t="s">
        <v>92</v>
      </c>
      <c r="B73" s="114" t="n">
        <f aca="false">IF(OR(1&gt;$B$27,ISBLANK(Actuals!C49)),"",Actuals!C49)</f>
        <v>-1913.91</v>
      </c>
      <c r="C73" s="114" t="n">
        <f aca="false">'Reforecast Q1 2026'!C49</f>
        <v>-304</v>
      </c>
      <c r="D73" s="114" t="n">
        <f aca="false">IF(B73="","",B73-C73)</f>
        <v>-1609.91</v>
      </c>
      <c r="E73" s="114" t="n">
        <f aca="false">IF(OR(2&gt;$B$27,ISBLANK(Actuals!D49)),"",Actuals!D49)</f>
        <v>-2254.72</v>
      </c>
      <c r="F73" s="114" t="n">
        <f aca="false">'Reforecast Q1 2026'!D49</f>
        <v>-644.81</v>
      </c>
      <c r="G73" s="114" t="n">
        <f aca="false">IF(E73="","",E73-F73)</f>
        <v>-1609.91</v>
      </c>
      <c r="H73" s="114" t="n">
        <f aca="false">IF(OR(3&gt;$B$27,ISBLANK(Actuals!E49)),"",Actuals!E49)</f>
        <v>-1913.91</v>
      </c>
      <c r="I73" s="114" t="n">
        <f aca="false">'Reforecast Q1 2026'!E49</f>
        <v>-304</v>
      </c>
      <c r="J73" s="114" t="n">
        <f aca="false">IF(H73="","",H73-I73)</f>
        <v>-1609.91</v>
      </c>
      <c r="K73" s="114" t="n">
        <f aca="false">IF(OR(4&gt;$B$27,ISBLANK(Actuals!F49)),"",Actuals!F49)</f>
        <v>-1609.91</v>
      </c>
      <c r="L73" s="114" t="n">
        <f aca="false">'Reforecast Q1 2026'!F49</f>
        <v>-417.6</v>
      </c>
      <c r="M73" s="114" t="n">
        <f aca="false">IF(K73="","",K73-L73)</f>
        <v>-1192.31</v>
      </c>
      <c r="N73" s="114" t="n">
        <f aca="false">IF(OR(5&gt;$B$27,ISBLANK(Actuals!G49)),"",Actuals!G49)</f>
        <v>-2760.86</v>
      </c>
      <c r="O73" s="114" t="n">
        <f aca="false">'Reforecast Q1 2026'!G49</f>
        <v>-417.6</v>
      </c>
      <c r="P73" s="114" t="n">
        <f aca="false">IF(N73="","",N73-O73)</f>
        <v>-2343.26</v>
      </c>
      <c r="Q73" s="114" t="n">
        <f aca="false">IF(OR(6&gt;$B$27,ISBLANK(Actuals!H49)),"",Actuals!H49)</f>
        <v>0</v>
      </c>
      <c r="R73" s="114" t="n">
        <f aca="false">'Reforecast Q1 2026'!H49</f>
        <v>-417.6</v>
      </c>
      <c r="S73" s="114" t="n">
        <f aca="false">IF(Q73="","",Q73-R73)</f>
        <v>417.6</v>
      </c>
      <c r="T73" s="114" t="n">
        <f aca="false">IF(OR(7&gt;$B$27,ISBLANK(Actuals!I49)),"",Actuals!I49)</f>
        <v>0</v>
      </c>
      <c r="U73" s="114" t="n">
        <f aca="false">'Reforecast Q1 2026'!I49</f>
        <v>-417.6</v>
      </c>
      <c r="V73" s="114" t="n">
        <f aca="false">IF(T73="","",T73-U73)</f>
        <v>417.6</v>
      </c>
      <c r="W73" s="114" t="n">
        <f aca="false">IF(OR(8&gt;$B$27,ISBLANK(Actuals!J49)),"",Actuals!J49)</f>
        <v>-11.02</v>
      </c>
      <c r="X73" s="114" t="n">
        <f aca="false">'Reforecast Q1 2026'!J49</f>
        <v>-417.6</v>
      </c>
      <c r="Y73" s="114" t="n">
        <f aca="false">IF(W73="","",W73-X73)</f>
        <v>406.58</v>
      </c>
      <c r="Z73" s="114" t="str">
        <f aca="false">IF(OR(9&gt;$B$27,ISBLANK(Actuals!K49)),"",Actuals!K49)</f>
        <v/>
      </c>
      <c r="AA73" s="114" t="n">
        <f aca="false">'Reforecast Q1 2026'!K49</f>
        <v>-417.6</v>
      </c>
      <c r="AB73" s="114" t="str">
        <f aca="false">IF(Z73="","",Z73-AA73)</f>
        <v/>
      </c>
      <c r="AC73" s="114" t="str">
        <f aca="false">IF(OR(10&gt;$B$27,ISBLANK(Actuals!L49)),"",Actuals!L49)</f>
        <v/>
      </c>
      <c r="AD73" s="114" t="n">
        <f aca="false">'Reforecast Q1 2026'!L49</f>
        <v>-417.6</v>
      </c>
      <c r="AE73" s="114" t="str">
        <f aca="false">IF(AC73="","",AC73-AD73)</f>
        <v/>
      </c>
      <c r="AF73" s="114" t="str">
        <f aca="false">IF(OR(11&gt;$B$27,ISBLANK(Actuals!M49)),"",Actuals!M49)</f>
        <v/>
      </c>
      <c r="AG73" s="114" t="n">
        <f aca="false">'Reforecast Q1 2026'!M49</f>
        <v>-417.6</v>
      </c>
      <c r="AH73" s="114" t="str">
        <f aca="false">IF(AF73="","",AF73-AG73)</f>
        <v/>
      </c>
      <c r="AI73" s="114" t="str">
        <f aca="false">IF(OR(12&gt;$B$27,ISBLANK(Actuals!N49)),"",Actuals!N49)</f>
        <v/>
      </c>
      <c r="AJ73" s="114" t="n">
        <f aca="false">'Reforecast Q1 2026'!N49</f>
        <v>-417.6</v>
      </c>
      <c r="AK73" s="114" t="str">
        <f aca="false">IF(AI73="","",AI73-AJ73)</f>
        <v/>
      </c>
      <c r="AL73" s="117" t="n">
        <f aca="false">SUM(Actuals!$C49:INDEX(Actuals!$C49:$N49,$B$27))</f>
        <v>-10464.33</v>
      </c>
      <c r="AM73" s="117" t="n">
        <f aca="false">SUM('Reforecast Q1 2026'!$C49:INDEX('Reforecast Q1 2026'!$C49:$N49,$B$27))</f>
        <v>-3340.81</v>
      </c>
      <c r="AN73" s="117" t="n">
        <f aca="false">AL73-AM73</f>
        <v>-7123.52</v>
      </c>
    </row>
    <row r="74" customFormat="false" ht="15" hidden="true" customHeight="true" outlineLevel="1" collapsed="false">
      <c r="A74" s="110" t="s">
        <v>93</v>
      </c>
      <c r="B74" s="114" t="n">
        <f aca="false">IF(OR(1&gt;$B$27,ISBLANK(Actuals!C50)),"",Actuals!C50)</f>
        <v>0</v>
      </c>
      <c r="C74" s="114" t="n">
        <f aca="false">'Reforecast Q1 2026'!C50</f>
        <v>0</v>
      </c>
      <c r="D74" s="114" t="n">
        <f aca="false">IF(B74="","",B74-C74)</f>
        <v>0</v>
      </c>
      <c r="E74" s="114" t="n">
        <f aca="false">IF(OR(2&gt;$B$27,ISBLANK(Actuals!D50)),"",Actuals!D50)</f>
        <v>-75</v>
      </c>
      <c r="F74" s="114" t="n">
        <f aca="false">'Reforecast Q1 2026'!D50</f>
        <v>-75</v>
      </c>
      <c r="G74" s="114" t="n">
        <f aca="false">IF(E74="","",E74-F74)</f>
        <v>0</v>
      </c>
      <c r="H74" s="114" t="n">
        <f aca="false">IF(OR(3&gt;$B$27,ISBLANK(Actuals!E50)),"",Actuals!E50)</f>
        <v>-5</v>
      </c>
      <c r="I74" s="114" t="n">
        <f aca="false">'Reforecast Q1 2026'!E50</f>
        <v>-5</v>
      </c>
      <c r="J74" s="114" t="n">
        <f aca="false">IF(H74="","",H74-I74)</f>
        <v>0</v>
      </c>
      <c r="K74" s="114" t="n">
        <f aca="false">IF(OR(4&gt;$B$27,ISBLANK(Actuals!F50)),"",Actuals!F50)</f>
        <v>0</v>
      </c>
      <c r="L74" s="114" t="n">
        <f aca="false">'Reforecast Q1 2026'!F50</f>
        <v>-26.67</v>
      </c>
      <c r="M74" s="114" t="n">
        <f aca="false">IF(K74="","",K74-L74)</f>
        <v>26.67</v>
      </c>
      <c r="N74" s="114" t="n">
        <f aca="false">IF(OR(5&gt;$B$27,ISBLANK(Actuals!G50)),"",Actuals!G50)</f>
        <v>0</v>
      </c>
      <c r="O74" s="114" t="n">
        <f aca="false">'Reforecast Q1 2026'!G50</f>
        <v>-26.67</v>
      </c>
      <c r="P74" s="114" t="n">
        <f aca="false">IF(N74="","",N74-O74)</f>
        <v>26.67</v>
      </c>
      <c r="Q74" s="114" t="n">
        <f aca="false">IF(OR(6&gt;$B$27,ISBLANK(Actuals!H50)),"",Actuals!H50)</f>
        <v>0</v>
      </c>
      <c r="R74" s="114" t="n">
        <f aca="false">'Reforecast Q1 2026'!H50</f>
        <v>-26.67</v>
      </c>
      <c r="S74" s="114" t="n">
        <f aca="false">IF(Q74="","",Q74-R74)</f>
        <v>26.67</v>
      </c>
      <c r="T74" s="114" t="n">
        <f aca="false">IF(OR(7&gt;$B$27,ISBLANK(Actuals!I50)),"",Actuals!I50)</f>
        <v>-5</v>
      </c>
      <c r="U74" s="114" t="n">
        <f aca="false">'Reforecast Q1 2026'!I50</f>
        <v>-26.67</v>
      </c>
      <c r="V74" s="114" t="n">
        <f aca="false">IF(T74="","",T74-U74)</f>
        <v>21.67</v>
      </c>
      <c r="W74" s="114" t="n">
        <f aca="false">IF(OR(8&gt;$B$27,ISBLANK(Actuals!J50)),"",Actuals!J50)</f>
        <v>-50</v>
      </c>
      <c r="X74" s="114" t="n">
        <f aca="false">'Reforecast Q1 2026'!J50</f>
        <v>-26.67</v>
      </c>
      <c r="Y74" s="114" t="n">
        <f aca="false">IF(W74="","",W74-X74)</f>
        <v>-23.33</v>
      </c>
      <c r="Z74" s="114" t="str">
        <f aca="false">IF(OR(9&gt;$B$27,ISBLANK(Actuals!K50)),"",Actuals!K50)</f>
        <v/>
      </c>
      <c r="AA74" s="114" t="n">
        <f aca="false">'Reforecast Q1 2026'!K50</f>
        <v>-26.67</v>
      </c>
      <c r="AB74" s="114" t="str">
        <f aca="false">IF(Z74="","",Z74-AA74)</f>
        <v/>
      </c>
      <c r="AC74" s="114" t="str">
        <f aca="false">IF(OR(10&gt;$B$27,ISBLANK(Actuals!L50)),"",Actuals!L50)</f>
        <v/>
      </c>
      <c r="AD74" s="114" t="n">
        <f aca="false">'Reforecast Q1 2026'!L50</f>
        <v>-26.67</v>
      </c>
      <c r="AE74" s="114" t="str">
        <f aca="false">IF(AC74="","",AC74-AD74)</f>
        <v/>
      </c>
      <c r="AF74" s="114" t="str">
        <f aca="false">IF(OR(11&gt;$B$27,ISBLANK(Actuals!M50)),"",Actuals!M50)</f>
        <v/>
      </c>
      <c r="AG74" s="114" t="n">
        <f aca="false">'Reforecast Q1 2026'!M50</f>
        <v>-26.67</v>
      </c>
      <c r="AH74" s="114" t="str">
        <f aca="false">IF(AF74="","",AF74-AG74)</f>
        <v/>
      </c>
      <c r="AI74" s="114" t="str">
        <f aca="false">IF(OR(12&gt;$B$27,ISBLANK(Actuals!N50)),"",Actuals!N50)</f>
        <v/>
      </c>
      <c r="AJ74" s="114" t="n">
        <f aca="false">'Reforecast Q1 2026'!N50</f>
        <v>-26.67</v>
      </c>
      <c r="AK74" s="114" t="str">
        <f aca="false">IF(AI74="","",AI74-AJ74)</f>
        <v/>
      </c>
      <c r="AL74" s="117" t="n">
        <f aca="false">SUM(Actuals!$C50:INDEX(Actuals!$C50:$N50,$B$27))</f>
        <v>-135</v>
      </c>
      <c r="AM74" s="117" t="n">
        <f aca="false">SUM('Reforecast Q1 2026'!$C50:INDEX('Reforecast Q1 2026'!$C50:$N50,$B$27))</f>
        <v>-213.35</v>
      </c>
      <c r="AN74" s="117" t="n">
        <f aca="false">AL74-AM74</f>
        <v>78.35</v>
      </c>
    </row>
    <row r="75" customFormat="false" ht="15" hidden="true" customHeight="true" outlineLevel="1" collapsed="false">
      <c r="A75" s="110" t="s">
        <v>94</v>
      </c>
      <c r="B75" s="114" t="n">
        <f aca="false">IF(OR(1&gt;$B$27,ISBLANK(Actuals!C51)),"",Actuals!C51)</f>
        <v>0</v>
      </c>
      <c r="C75" s="114" t="n">
        <f aca="false">'Reforecast Q1 2026'!C51</f>
        <v>0</v>
      </c>
      <c r="D75" s="114" t="n">
        <f aca="false">IF(B75="","",B75-C75)</f>
        <v>0</v>
      </c>
      <c r="E75" s="114" t="n">
        <f aca="false">IF(OR(2&gt;$B$27,ISBLANK(Actuals!D51)),"",Actuals!D51)</f>
        <v>-63</v>
      </c>
      <c r="F75" s="114" t="n">
        <f aca="false">'Reforecast Q1 2026'!D51</f>
        <v>-63</v>
      </c>
      <c r="G75" s="114" t="n">
        <f aca="false">IF(E75="","",E75-F75)</f>
        <v>0</v>
      </c>
      <c r="H75" s="114" t="n">
        <f aca="false">IF(OR(3&gt;$B$27,ISBLANK(Actuals!E51)),"",Actuals!E51)</f>
        <v>0</v>
      </c>
      <c r="I75" s="114" t="n">
        <f aca="false">'Reforecast Q1 2026'!E51</f>
        <v>0</v>
      </c>
      <c r="J75" s="114" t="n">
        <f aca="false">IF(H75="","",H75-I75)</f>
        <v>0</v>
      </c>
      <c r="K75" s="114" t="n">
        <f aca="false">IF(OR(4&gt;$B$27,ISBLANK(Actuals!F51)),"",Actuals!F51)</f>
        <v>0</v>
      </c>
      <c r="L75" s="114" t="n">
        <f aca="false">'Reforecast Q1 2026'!F51</f>
        <v>-21</v>
      </c>
      <c r="M75" s="114" t="n">
        <f aca="false">IF(K75="","",K75-L75)</f>
        <v>21</v>
      </c>
      <c r="N75" s="114" t="n">
        <f aca="false">IF(OR(5&gt;$B$27,ISBLANK(Actuals!G51)),"",Actuals!G51)</f>
        <v>0</v>
      </c>
      <c r="O75" s="114" t="n">
        <f aca="false">'Reforecast Q1 2026'!G51</f>
        <v>-21</v>
      </c>
      <c r="P75" s="114" t="n">
        <f aca="false">IF(N75="","",N75-O75)</f>
        <v>21</v>
      </c>
      <c r="Q75" s="114" t="n">
        <f aca="false">IF(OR(6&gt;$B$27,ISBLANK(Actuals!H51)),"",Actuals!H51)</f>
        <v>0</v>
      </c>
      <c r="R75" s="114" t="n">
        <f aca="false">'Reforecast Q1 2026'!H51</f>
        <v>-21</v>
      </c>
      <c r="S75" s="114" t="n">
        <f aca="false">IF(Q75="","",Q75-R75)</f>
        <v>21</v>
      </c>
      <c r="T75" s="114" t="n">
        <f aca="false">IF(OR(7&gt;$B$27,ISBLANK(Actuals!I51)),"",Actuals!I51)</f>
        <v>0</v>
      </c>
      <c r="U75" s="114" t="n">
        <f aca="false">'Reforecast Q1 2026'!I51</f>
        <v>-21</v>
      </c>
      <c r="V75" s="114" t="n">
        <f aca="false">IF(T75="","",T75-U75)</f>
        <v>21</v>
      </c>
      <c r="W75" s="114" t="n">
        <f aca="false">IF(OR(8&gt;$B$27,ISBLANK(Actuals!J51)),"",Actuals!J51)</f>
        <v>0</v>
      </c>
      <c r="X75" s="114" t="n">
        <f aca="false">'Reforecast Q1 2026'!J51</f>
        <v>-21</v>
      </c>
      <c r="Y75" s="114" t="n">
        <f aca="false">IF(W75="","",W75-X75)</f>
        <v>21</v>
      </c>
      <c r="Z75" s="114" t="str">
        <f aca="false">IF(OR(9&gt;$B$27,ISBLANK(Actuals!K51)),"",Actuals!K51)</f>
        <v/>
      </c>
      <c r="AA75" s="114" t="n">
        <f aca="false">'Reforecast Q1 2026'!K51</f>
        <v>-21</v>
      </c>
      <c r="AB75" s="114" t="str">
        <f aca="false">IF(Z75="","",Z75-AA75)</f>
        <v/>
      </c>
      <c r="AC75" s="114" t="str">
        <f aca="false">IF(OR(10&gt;$B$27,ISBLANK(Actuals!L51)),"",Actuals!L51)</f>
        <v/>
      </c>
      <c r="AD75" s="114" t="n">
        <f aca="false">'Reforecast Q1 2026'!L51</f>
        <v>-21</v>
      </c>
      <c r="AE75" s="114" t="str">
        <f aca="false">IF(AC75="","",AC75-AD75)</f>
        <v/>
      </c>
      <c r="AF75" s="114" t="str">
        <f aca="false">IF(OR(11&gt;$B$27,ISBLANK(Actuals!M51)),"",Actuals!M51)</f>
        <v/>
      </c>
      <c r="AG75" s="114" t="n">
        <f aca="false">'Reforecast Q1 2026'!M51</f>
        <v>-21</v>
      </c>
      <c r="AH75" s="114" t="str">
        <f aca="false">IF(AF75="","",AF75-AG75)</f>
        <v/>
      </c>
      <c r="AI75" s="114" t="str">
        <f aca="false">IF(OR(12&gt;$B$27,ISBLANK(Actuals!N51)),"",Actuals!N51)</f>
        <v/>
      </c>
      <c r="AJ75" s="114" t="n">
        <f aca="false">'Reforecast Q1 2026'!N51</f>
        <v>-21</v>
      </c>
      <c r="AK75" s="114" t="str">
        <f aca="false">IF(AI75="","",AI75-AJ75)</f>
        <v/>
      </c>
      <c r="AL75" s="117" t="n">
        <f aca="false">SUM(Actuals!$C51:INDEX(Actuals!$C51:$N51,$B$27))</f>
        <v>-63</v>
      </c>
      <c r="AM75" s="117" t="n">
        <f aca="false">SUM('Reforecast Q1 2026'!$C51:INDEX('Reforecast Q1 2026'!$C51:$N51,$B$27))</f>
        <v>-168</v>
      </c>
      <c r="AN75" s="117" t="n">
        <f aca="false">AL75-AM75</f>
        <v>105</v>
      </c>
    </row>
    <row r="76" customFormat="false" ht="15" hidden="true" customHeight="true" outlineLevel="1" collapsed="false">
      <c r="A76" s="110" t="s">
        <v>95</v>
      </c>
      <c r="B76" s="114" t="str">
        <f aca="false">IF(OR(1&gt;$B$27,ISBLANK(Actuals!C52)),"",Actuals!C52)</f>
        <v/>
      </c>
      <c r="C76" s="114" t="n">
        <f aca="false">'Reforecast Q1 2026'!C52</f>
        <v>0</v>
      </c>
      <c r="D76" s="114" t="str">
        <f aca="false">IF(B76="","",B76-C76)</f>
        <v/>
      </c>
      <c r="E76" s="114" t="str">
        <f aca="false">IF(OR(2&gt;$B$27,ISBLANK(Actuals!D52)),"",Actuals!D52)</f>
        <v/>
      </c>
      <c r="F76" s="114" t="n">
        <f aca="false">'Reforecast Q1 2026'!D52</f>
        <v>0</v>
      </c>
      <c r="G76" s="114" t="str">
        <f aca="false">IF(E76="","",E76-F76)</f>
        <v/>
      </c>
      <c r="H76" s="114" t="str">
        <f aca="false">IF(OR(3&gt;$B$27,ISBLANK(Actuals!E52)),"",Actuals!E52)</f>
        <v/>
      </c>
      <c r="I76" s="114" t="n">
        <f aca="false">'Reforecast Q1 2026'!E52</f>
        <v>0</v>
      </c>
      <c r="J76" s="114" t="str">
        <f aca="false">IF(H76="","",H76-I76)</f>
        <v/>
      </c>
      <c r="K76" s="114" t="str">
        <f aca="false">IF(OR(4&gt;$B$27,ISBLANK(Actuals!F52)),"",Actuals!F52)</f>
        <v/>
      </c>
      <c r="L76" s="114" t="n">
        <f aca="false">'Reforecast Q1 2026'!F52</f>
        <v>0</v>
      </c>
      <c r="M76" s="114" t="str">
        <f aca="false">IF(K76="","",K76-L76)</f>
        <v/>
      </c>
      <c r="N76" s="114" t="str">
        <f aca="false">IF(OR(5&gt;$B$27,ISBLANK(Actuals!G52)),"",Actuals!G52)</f>
        <v/>
      </c>
      <c r="O76" s="114" t="n">
        <f aca="false">'Reforecast Q1 2026'!G52</f>
        <v>0</v>
      </c>
      <c r="P76" s="114" t="str">
        <f aca="false">IF(N76="","",N76-O76)</f>
        <v/>
      </c>
      <c r="Q76" s="114" t="str">
        <f aca="false">IF(OR(6&gt;$B$27,ISBLANK(Actuals!H52)),"",Actuals!H52)</f>
        <v/>
      </c>
      <c r="R76" s="114" t="n">
        <f aca="false">'Reforecast Q1 2026'!H52</f>
        <v>0</v>
      </c>
      <c r="S76" s="114" t="str">
        <f aca="false">IF(Q76="","",Q76-R76)</f>
        <v/>
      </c>
      <c r="T76" s="114" t="str">
        <f aca="false">IF(OR(7&gt;$B$27,ISBLANK(Actuals!I52)),"",Actuals!I52)</f>
        <v/>
      </c>
      <c r="U76" s="114" t="n">
        <f aca="false">'Reforecast Q1 2026'!I52</f>
        <v>0</v>
      </c>
      <c r="V76" s="114" t="str">
        <f aca="false">IF(T76="","",T76-U76)</f>
        <v/>
      </c>
      <c r="W76" s="114" t="str">
        <f aca="false">IF(OR(8&gt;$B$27,ISBLANK(Actuals!J52)),"",Actuals!J52)</f>
        <v/>
      </c>
      <c r="X76" s="114" t="n">
        <f aca="false">'Reforecast Q1 2026'!J52</f>
        <v>0</v>
      </c>
      <c r="Y76" s="114" t="str">
        <f aca="false">IF(W76="","",W76-X76)</f>
        <v/>
      </c>
      <c r="Z76" s="114" t="str">
        <f aca="false">IF(OR(9&gt;$B$27,ISBLANK(Actuals!K52)),"",Actuals!K52)</f>
        <v/>
      </c>
      <c r="AA76" s="114" t="n">
        <f aca="false">'Reforecast Q1 2026'!K52</f>
        <v>0</v>
      </c>
      <c r="AB76" s="114" t="str">
        <f aca="false">IF(Z76="","",Z76-AA76)</f>
        <v/>
      </c>
      <c r="AC76" s="114" t="str">
        <f aca="false">IF(OR(10&gt;$B$27,ISBLANK(Actuals!L52)),"",Actuals!L52)</f>
        <v/>
      </c>
      <c r="AD76" s="114" t="n">
        <f aca="false">'Reforecast Q1 2026'!L52</f>
        <v>0</v>
      </c>
      <c r="AE76" s="114" t="str">
        <f aca="false">IF(AC76="","",AC76-AD76)</f>
        <v/>
      </c>
      <c r="AF76" s="114" t="str">
        <f aca="false">IF(OR(11&gt;$B$27,ISBLANK(Actuals!M52)),"",Actuals!M52)</f>
        <v/>
      </c>
      <c r="AG76" s="114" t="n">
        <f aca="false">'Reforecast Q1 2026'!M52</f>
        <v>0</v>
      </c>
      <c r="AH76" s="114" t="str">
        <f aca="false">IF(AF76="","",AF76-AG76)</f>
        <v/>
      </c>
      <c r="AI76" s="114" t="str">
        <f aca="false">IF(OR(12&gt;$B$27,ISBLANK(Actuals!N52)),"",Actuals!N52)</f>
        <v/>
      </c>
      <c r="AJ76" s="114" t="n">
        <f aca="false">'Reforecast Q1 2026'!N52</f>
        <v>0</v>
      </c>
      <c r="AK76" s="114" t="str">
        <f aca="false">IF(AI76="","",AI76-AJ76)</f>
        <v/>
      </c>
      <c r="AL76" s="117" t="n">
        <f aca="false">SUM(Actuals!$C52:INDEX(Actuals!$C52:$N52,$B$27))</f>
        <v>0</v>
      </c>
      <c r="AM76" s="117" t="n">
        <f aca="false">SUM('Reforecast Q1 2026'!$C52:INDEX('Reforecast Q1 2026'!$C52:$N52,$B$27))</f>
        <v>0</v>
      </c>
      <c r="AN76" s="117" t="n">
        <f aca="false">AL76-AM76</f>
        <v>0</v>
      </c>
    </row>
    <row r="77" customFormat="false" ht="15" hidden="true" customHeight="true" outlineLevel="1" collapsed="false">
      <c r="A77" s="110" t="s">
        <v>96</v>
      </c>
      <c r="B77" s="114" t="n">
        <f aca="false">IF(OR(1&gt;$B$27,ISBLANK(Actuals!C53)),"",Actuals!C53)</f>
        <v>0</v>
      </c>
      <c r="C77" s="114" t="n">
        <f aca="false">'Reforecast Q1 2026'!C53</f>
        <v>0</v>
      </c>
      <c r="D77" s="114" t="n">
        <f aca="false">IF(B77="","",B77-C77)</f>
        <v>0</v>
      </c>
      <c r="E77" s="114" t="n">
        <f aca="false">IF(OR(2&gt;$B$27,ISBLANK(Actuals!D53)),"",Actuals!D53)</f>
        <v>0</v>
      </c>
      <c r="F77" s="114" t="n">
        <f aca="false">'Reforecast Q1 2026'!D53</f>
        <v>0</v>
      </c>
      <c r="G77" s="114" t="n">
        <f aca="false">IF(E77="","",E77-F77)</f>
        <v>0</v>
      </c>
      <c r="H77" s="114" t="n">
        <f aca="false">IF(OR(3&gt;$B$27,ISBLANK(Actuals!E53)),"",Actuals!E53)</f>
        <v>-11105.35</v>
      </c>
      <c r="I77" s="114" t="n">
        <f aca="false">'Reforecast Q1 2026'!E53</f>
        <v>-11105.35</v>
      </c>
      <c r="J77" s="114" t="n">
        <f aca="false">IF(H77="","",H77-I77)</f>
        <v>0</v>
      </c>
      <c r="K77" s="114" t="n">
        <f aca="false">IF(OR(4&gt;$B$27,ISBLANK(Actuals!F53)),"",Actuals!F53)</f>
        <v>0</v>
      </c>
      <c r="L77" s="114" t="n">
        <f aca="false">'Reforecast Q1 2026'!F53</f>
        <v>-3701.78</v>
      </c>
      <c r="M77" s="114" t="n">
        <f aca="false">IF(K77="","",K77-L77)</f>
        <v>3701.78</v>
      </c>
      <c r="N77" s="114" t="n">
        <f aca="false">IF(OR(5&gt;$B$27,ISBLANK(Actuals!G53)),"",Actuals!G53)</f>
        <v>0</v>
      </c>
      <c r="O77" s="114" t="n">
        <f aca="false">'Reforecast Q1 2026'!G53</f>
        <v>-3701.78</v>
      </c>
      <c r="P77" s="114" t="n">
        <f aca="false">IF(N77="","",N77-O77)</f>
        <v>3701.78</v>
      </c>
      <c r="Q77" s="114" t="n">
        <f aca="false">IF(OR(6&gt;$B$27,ISBLANK(Actuals!H53)),"",Actuals!H53)</f>
        <v>0</v>
      </c>
      <c r="R77" s="114" t="n">
        <f aca="false">'Reforecast Q1 2026'!H53</f>
        <v>-3701.78</v>
      </c>
      <c r="S77" s="114" t="n">
        <f aca="false">IF(Q77="","",Q77-R77)</f>
        <v>3701.78</v>
      </c>
      <c r="T77" s="114" t="n">
        <f aca="false">IF(OR(7&gt;$B$27,ISBLANK(Actuals!I53)),"",Actuals!I53)</f>
        <v>0</v>
      </c>
      <c r="U77" s="114" t="n">
        <f aca="false">'Reforecast Q1 2026'!I53</f>
        <v>-3701.78</v>
      </c>
      <c r="V77" s="114" t="n">
        <f aca="false">IF(T77="","",T77-U77)</f>
        <v>3701.78</v>
      </c>
      <c r="W77" s="114" t="n">
        <f aca="false">IF(OR(8&gt;$B$27,ISBLANK(Actuals!J53)),"",Actuals!J53)</f>
        <v>0</v>
      </c>
      <c r="X77" s="114" t="n">
        <f aca="false">'Reforecast Q1 2026'!J53</f>
        <v>-3701.78</v>
      </c>
      <c r="Y77" s="114" t="n">
        <f aca="false">IF(W77="","",W77-X77)</f>
        <v>3701.78</v>
      </c>
      <c r="Z77" s="114" t="str">
        <f aca="false">IF(OR(9&gt;$B$27,ISBLANK(Actuals!K53)),"",Actuals!K53)</f>
        <v/>
      </c>
      <c r="AA77" s="114" t="n">
        <f aca="false">'Reforecast Q1 2026'!K53</f>
        <v>-3701.78</v>
      </c>
      <c r="AB77" s="114" t="str">
        <f aca="false">IF(Z77="","",Z77-AA77)</f>
        <v/>
      </c>
      <c r="AC77" s="114" t="str">
        <f aca="false">IF(OR(10&gt;$B$27,ISBLANK(Actuals!L53)),"",Actuals!L53)</f>
        <v/>
      </c>
      <c r="AD77" s="114" t="n">
        <f aca="false">'Reforecast Q1 2026'!L53</f>
        <v>-3701.78</v>
      </c>
      <c r="AE77" s="114" t="str">
        <f aca="false">IF(AC77="","",AC77-AD77)</f>
        <v/>
      </c>
      <c r="AF77" s="114" t="str">
        <f aca="false">IF(OR(11&gt;$B$27,ISBLANK(Actuals!M53)),"",Actuals!M53)</f>
        <v/>
      </c>
      <c r="AG77" s="114" t="n">
        <f aca="false">'Reforecast Q1 2026'!M53</f>
        <v>-3701.78</v>
      </c>
      <c r="AH77" s="114" t="str">
        <f aca="false">IF(AF77="","",AF77-AG77)</f>
        <v/>
      </c>
      <c r="AI77" s="114" t="str">
        <f aca="false">IF(OR(12&gt;$B$27,ISBLANK(Actuals!N53)),"",Actuals!N53)</f>
        <v/>
      </c>
      <c r="AJ77" s="114" t="n">
        <f aca="false">'Reforecast Q1 2026'!N53</f>
        <v>-3701.78</v>
      </c>
      <c r="AK77" s="114" t="str">
        <f aca="false">IF(AI77="","",AI77-AJ77)</f>
        <v/>
      </c>
      <c r="AL77" s="117" t="n">
        <f aca="false">SUM(Actuals!$C53:INDEX(Actuals!$C53:$N53,$B$27))</f>
        <v>-11105.35</v>
      </c>
      <c r="AM77" s="117" t="n">
        <f aca="false">SUM('Reforecast Q1 2026'!$C53:INDEX('Reforecast Q1 2026'!$C53:$N53,$B$27))</f>
        <v>-29614.25</v>
      </c>
      <c r="AN77" s="117" t="n">
        <f aca="false">AL77-AM77</f>
        <v>18508.9</v>
      </c>
    </row>
    <row r="78" customFormat="false" ht="15" hidden="true" customHeight="true" outlineLevel="1" collapsed="false">
      <c r="A78" s="110" t="s">
        <v>348</v>
      </c>
      <c r="B78" s="114" t="str">
        <f aca="false">IF(OR(1&gt;$B$27,ISBLANK(Actuals!C54)),"",Actuals!C54)</f>
        <v/>
      </c>
      <c r="C78" s="114" t="n">
        <f aca="false">'Reforecast Q1 2026'!C54</f>
        <v>0</v>
      </c>
      <c r="D78" s="114" t="str">
        <f aca="false">IF(B78="","",B78-C78)</f>
        <v/>
      </c>
      <c r="E78" s="114" t="str">
        <f aca="false">IF(OR(2&gt;$B$27,ISBLANK(Actuals!D54)),"",Actuals!D54)</f>
        <v/>
      </c>
      <c r="F78" s="114" t="n">
        <f aca="false">'Reforecast Q1 2026'!D54</f>
        <v>0</v>
      </c>
      <c r="G78" s="114" t="str">
        <f aca="false">IF(E78="","",E78-F78)</f>
        <v/>
      </c>
      <c r="H78" s="114" t="str">
        <f aca="false">IF(OR(3&gt;$B$27,ISBLANK(Actuals!E54)),"",Actuals!E54)</f>
        <v/>
      </c>
      <c r="I78" s="114" t="n">
        <f aca="false">'Reforecast Q1 2026'!E54</f>
        <v>0</v>
      </c>
      <c r="J78" s="114" t="str">
        <f aca="false">IF(H78="","",H78-I78)</f>
        <v/>
      </c>
      <c r="K78" s="114" t="str">
        <f aca="false">IF(OR(4&gt;$B$27,ISBLANK(Actuals!F54)),"",Actuals!F54)</f>
        <v/>
      </c>
      <c r="L78" s="114" t="n">
        <f aca="false">'Reforecast Q1 2026'!F54</f>
        <v>0</v>
      </c>
      <c r="M78" s="114" t="str">
        <f aca="false">IF(K78="","",K78-L78)</f>
        <v/>
      </c>
      <c r="N78" s="114" t="str">
        <f aca="false">IF(OR(5&gt;$B$27,ISBLANK(Actuals!G54)),"",Actuals!G54)</f>
        <v/>
      </c>
      <c r="O78" s="114" t="n">
        <f aca="false">'Reforecast Q1 2026'!G54</f>
        <v>0</v>
      </c>
      <c r="P78" s="114" t="str">
        <f aca="false">IF(N78="","",N78-O78)</f>
        <v/>
      </c>
      <c r="Q78" s="114" t="n">
        <f aca="false">IF(OR(6&gt;$B$27,ISBLANK(Actuals!H54)),"",Actuals!H54)</f>
        <v>-612.68</v>
      </c>
      <c r="R78" s="114" t="n">
        <f aca="false">'Reforecast Q1 2026'!H54</f>
        <v>0</v>
      </c>
      <c r="S78" s="114" t="n">
        <f aca="false">IF(Q78="","",Q78-R78)</f>
        <v>-612.68</v>
      </c>
      <c r="T78" s="114" t="n">
        <f aca="false">IF(OR(7&gt;$B$27,ISBLANK(Actuals!I54)),"",Actuals!I54)</f>
        <v>-1609.91</v>
      </c>
      <c r="U78" s="114" t="n">
        <f aca="false">'Reforecast Q1 2026'!I54</f>
        <v>0</v>
      </c>
      <c r="V78" s="114" t="n">
        <f aca="false">IF(T78="","",T78-U78)</f>
        <v>-1609.91</v>
      </c>
      <c r="W78" s="114" t="n">
        <f aca="false">IF(OR(8&gt;$B$27,ISBLANK(Actuals!J54)),"",Actuals!J54)</f>
        <v>-1609.91</v>
      </c>
      <c r="X78" s="114" t="n">
        <f aca="false">'Reforecast Q1 2026'!J54</f>
        <v>0</v>
      </c>
      <c r="Y78" s="114" t="n">
        <f aca="false">IF(W78="","",W78-X78)</f>
        <v>-1609.91</v>
      </c>
      <c r="Z78" s="114" t="str">
        <f aca="false">IF(OR(9&gt;$B$27,ISBLANK(Actuals!K54)),"",Actuals!K54)</f>
        <v/>
      </c>
      <c r="AA78" s="114" t="n">
        <f aca="false">'Reforecast Q1 2026'!K54</f>
        <v>0</v>
      </c>
      <c r="AB78" s="114" t="str">
        <f aca="false">IF(Z78="","",Z78-AA78)</f>
        <v/>
      </c>
      <c r="AC78" s="114" t="str">
        <f aca="false">IF(OR(10&gt;$B$27,ISBLANK(Actuals!L54)),"",Actuals!L54)</f>
        <v/>
      </c>
      <c r="AD78" s="114" t="n">
        <f aca="false">'Reforecast Q1 2026'!L54</f>
        <v>0</v>
      </c>
      <c r="AE78" s="114" t="str">
        <f aca="false">IF(AC78="","",AC78-AD78)</f>
        <v/>
      </c>
      <c r="AF78" s="114" t="str">
        <f aca="false">IF(OR(11&gt;$B$27,ISBLANK(Actuals!M54)),"",Actuals!M54)</f>
        <v/>
      </c>
      <c r="AG78" s="114" t="n">
        <f aca="false">'Reforecast Q1 2026'!M54</f>
        <v>0</v>
      </c>
      <c r="AH78" s="114" t="str">
        <f aca="false">IF(AF78="","",AF78-AG78)</f>
        <v/>
      </c>
      <c r="AI78" s="114" t="str">
        <f aca="false">IF(OR(12&gt;$B$27,ISBLANK(Actuals!N54)),"",Actuals!N54)</f>
        <v/>
      </c>
      <c r="AJ78" s="114" t="n">
        <f aca="false">'Reforecast Q1 2026'!N54</f>
        <v>0</v>
      </c>
      <c r="AK78" s="114" t="str">
        <f aca="false">IF(AI78="","",AI78-AJ78)</f>
        <v/>
      </c>
      <c r="AL78" s="117" t="n">
        <f aca="false">SUM(Actuals!$C54:INDEX(Actuals!$C54:$N54,$B$27))</f>
        <v>-3832.5</v>
      </c>
      <c r="AM78" s="117" t="n">
        <f aca="false">SUM('Reforecast Q1 2026'!$C54:INDEX('Reforecast Q1 2026'!$C54:$N54,$B$27))</f>
        <v>0</v>
      </c>
      <c r="AN78" s="117" t="n">
        <f aca="false">AL78-AM78</f>
        <v>-3832.5</v>
      </c>
    </row>
    <row r="79" customFormat="false" ht="15" hidden="false" customHeight="true" outlineLevel="0" collapsed="true">
      <c r="A79" s="116" t="s">
        <v>97</v>
      </c>
      <c r="B79" s="117" t="n">
        <f aca="false">IF(OR(1&gt;$B$27,ISBLANK(Actuals!C55)),"",Actuals!C55)</f>
        <v>-260601.5</v>
      </c>
      <c r="C79" s="117" t="n">
        <f aca="false">'Reforecast Q1 2026'!C55</f>
        <v>-258991.59</v>
      </c>
      <c r="D79" s="117" t="n">
        <f aca="false">IF(B79="","",B79-C79)</f>
        <v>-1609.91</v>
      </c>
      <c r="E79" s="117" t="n">
        <f aca="false">IF(OR(2&gt;$B$27,ISBLANK(Actuals!D55)),"",Actuals!D55)</f>
        <v>-260308.54</v>
      </c>
      <c r="F79" s="117" t="n">
        <f aca="false">'Reforecast Q1 2026'!D55</f>
        <v>-258698.63</v>
      </c>
      <c r="G79" s="117" t="n">
        <f aca="false">IF(E79="","",E79-F79)</f>
        <v>-1609.91</v>
      </c>
      <c r="H79" s="117" t="n">
        <f aca="false">IF(OR(3&gt;$B$27,ISBLANK(Actuals!E55)),"",Actuals!E55)</f>
        <v>-351937.74</v>
      </c>
      <c r="I79" s="117" t="n">
        <f aca="false">'Reforecast Q1 2026'!E55</f>
        <v>-350327.83</v>
      </c>
      <c r="J79" s="117" t="n">
        <f aca="false">IF(H79="","",H79-I79)</f>
        <v>-1609.90999999997</v>
      </c>
      <c r="K79" s="117" t="n">
        <f aca="false">IF(OR(4&gt;$B$27,ISBLANK(Actuals!F55)),"",Actuals!F55)</f>
        <v>-73431.56</v>
      </c>
      <c r="L79" s="117" t="n">
        <f aca="false">'Reforecast Q1 2026'!F55</f>
        <v>-391691.558333333</v>
      </c>
      <c r="M79" s="117" t="n">
        <f aca="false">IF(K79="","",K79-L79)</f>
        <v>318259.998333333</v>
      </c>
      <c r="N79" s="117" t="n">
        <f aca="false">IF(OR(5&gt;$B$27,ISBLANK(Actuals!G55)),"",Actuals!G55)</f>
        <v>-437914.85</v>
      </c>
      <c r="O79" s="117" t="n">
        <f aca="false">'Reforecast Q1 2026'!G55</f>
        <v>-464089.475</v>
      </c>
      <c r="P79" s="117" t="n">
        <f aca="false">IF(N79="","",N79-O79)</f>
        <v>26174.625</v>
      </c>
      <c r="Q79" s="117" t="n">
        <f aca="false">IF(OR(6&gt;$B$27,ISBLANK(Actuals!H55)),"",Actuals!H55)</f>
        <v>-323453.89</v>
      </c>
      <c r="R79" s="117" t="n">
        <f aca="false">'Reforecast Q1 2026'!H55</f>
        <v>-493464.475</v>
      </c>
      <c r="S79" s="117" t="n">
        <f aca="false">IF(Q79="","",Q79-R79)</f>
        <v>170010.585</v>
      </c>
      <c r="T79" s="117" t="n">
        <f aca="false">IF(OR(7&gt;$B$27,ISBLANK(Actuals!I55)),"",Actuals!I55)</f>
        <v>-321511.57</v>
      </c>
      <c r="U79" s="117" t="n">
        <f aca="false">'Reforecast Q1 2026'!I55</f>
        <v>-480368.641666666</v>
      </c>
      <c r="V79" s="117" t="n">
        <f aca="false">IF(T79="","",T79-U79)</f>
        <v>158857.071666666</v>
      </c>
      <c r="W79" s="117" t="n">
        <f aca="false">IF(OR(8&gt;$B$27,ISBLANK(Actuals!J55)),"",Actuals!J55)</f>
        <v>-385163.17</v>
      </c>
      <c r="X79" s="117" t="n">
        <f aca="false">'Reforecast Q1 2026'!J55</f>
        <v>-460868.641666666</v>
      </c>
      <c r="Y79" s="117" t="n">
        <f aca="false">IF(W79="","",W79-X79)</f>
        <v>75705.471666666</v>
      </c>
      <c r="Z79" s="117" t="str">
        <f aca="false">IF(OR(9&gt;$B$27,ISBLANK(Actuals!K55)),"",Actuals!K55)</f>
        <v/>
      </c>
      <c r="AA79" s="117" t="n">
        <f aca="false">'Reforecast Q1 2026'!K55</f>
        <v>-460868.641666666</v>
      </c>
      <c r="AB79" s="117" t="str">
        <f aca="false">IF(Z79="","",Z79-AA79)</f>
        <v/>
      </c>
      <c r="AC79" s="117" t="str">
        <f aca="false">IF(OR(10&gt;$B$27,ISBLANK(Actuals!L55)),"",Actuals!L55)</f>
        <v/>
      </c>
      <c r="AD79" s="117" t="n">
        <f aca="false">'Reforecast Q1 2026'!L55</f>
        <v>-522222.808333333</v>
      </c>
      <c r="AE79" s="117" t="str">
        <f aca="false">IF(AC79="","",AC79-AD79)</f>
        <v/>
      </c>
      <c r="AF79" s="117" t="str">
        <f aca="false">IF(OR(11&gt;$B$27,ISBLANK(Actuals!M55)),"",Actuals!M55)</f>
        <v/>
      </c>
      <c r="AG79" s="117" t="n">
        <f aca="false">'Reforecast Q1 2026'!M55</f>
        <v>-573072.808333333</v>
      </c>
      <c r="AH79" s="117" t="str">
        <f aca="false">IF(AF79="","",AF79-AG79)</f>
        <v/>
      </c>
      <c r="AI79" s="117" t="str">
        <f aca="false">IF(OR(12&gt;$B$27,ISBLANK(Actuals!N55)),"",Actuals!N55)</f>
        <v/>
      </c>
      <c r="AJ79" s="117" t="n">
        <f aca="false">'Reforecast Q1 2026'!N55</f>
        <v>-519072.808333333</v>
      </c>
      <c r="AK79" s="117" t="str">
        <f aca="false">IF(AI79="","",AI79-AJ79)</f>
        <v/>
      </c>
      <c r="AL79" s="117" t="n">
        <f aca="false">SUM(Actuals!$C55:INDEX(Actuals!$C55:$N55,$B$27))</f>
        <v>-2414322.82</v>
      </c>
      <c r="AM79" s="117" t="n">
        <f aca="false">SUM('Reforecast Q1 2026'!$C55:INDEX('Reforecast Q1 2026'!$C55:$N55,$B$27))</f>
        <v>-3158500.84166667</v>
      </c>
      <c r="AN79" s="117" t="n">
        <f aca="false">AL79-AM79</f>
        <v>744178.021666665</v>
      </c>
    </row>
    <row r="81" customFormat="false" ht="15" hidden="false" customHeight="true" outlineLevel="0" collapsed="false">
      <c r="A81" s="116" t="s">
        <v>98</v>
      </c>
      <c r="B81" s="119" t="n">
        <f aca="false">IF(OR(1&gt;$B$27,ISBLANK(Actuals!C57)),"",Actuals!C57)</f>
        <v>-41844.6399999999</v>
      </c>
      <c r="C81" s="119" t="n">
        <f aca="false">'Reforecast Q1 2026'!C57</f>
        <v>-40238.7799999999</v>
      </c>
      <c r="D81" s="119" t="n">
        <f aca="false">IF(B81="","",B81-C81)</f>
        <v>-1605.86</v>
      </c>
      <c r="E81" s="119" t="n">
        <f aca="false">IF(OR(2&gt;$B$27,ISBLANK(Actuals!D57)),"",Actuals!D57)</f>
        <v>-311309.31</v>
      </c>
      <c r="F81" s="119" t="n">
        <f aca="false">'Reforecast Q1 2026'!D57</f>
        <v>-309702.1</v>
      </c>
      <c r="G81" s="119" t="n">
        <f aca="false">IF(E81="","",E81-F81)</f>
        <v>-1607.21000000008</v>
      </c>
      <c r="H81" s="119" t="n">
        <f aca="false">IF(OR(3&gt;$B$27,ISBLANK(Actuals!E57)),"",Actuals!E57)</f>
        <v>242246.78</v>
      </c>
      <c r="I81" s="119" t="n">
        <f aca="false">'Reforecast Q1 2026'!E57</f>
        <v>243856.69</v>
      </c>
      <c r="J81" s="119" t="n">
        <f aca="false">IF(H81="","",H81-I81)</f>
        <v>-1609.90999999974</v>
      </c>
      <c r="K81" s="119" t="n">
        <f aca="false">IF(OR(4&gt;$B$27,ISBLANK(Actuals!F57)),"",Actuals!F57)</f>
        <v>373926.69</v>
      </c>
      <c r="L81" s="119" t="n">
        <f aca="false">'Reforecast Q1 2026'!F57</f>
        <v>77193.5079209369</v>
      </c>
      <c r="M81" s="119" t="n">
        <f aca="false">IF(K81="","",K81-L81)</f>
        <v>296733.182079064</v>
      </c>
      <c r="N81" s="119" t="n">
        <f aca="false">IF(OR(5&gt;$B$27,ISBLANK(Actuals!G57)),"",Actuals!G57)</f>
        <v>27621.8499999997</v>
      </c>
      <c r="O81" s="119" t="n">
        <f aca="false">'Reforecast Q1 2026'!G57</f>
        <v>4795.59125425993</v>
      </c>
      <c r="P81" s="119" t="n">
        <f aca="false">IF(N81="","",N81-O81)</f>
        <v>22826.2587457398</v>
      </c>
      <c r="Q81" s="119" t="n">
        <f aca="false">IF(OR(6&gt;$B$27,ISBLANK(Actuals!H57)),"",Actuals!H57)</f>
        <v>317897.240000001</v>
      </c>
      <c r="R81" s="119" t="n">
        <f aca="false">'Reforecast Q1 2026'!H57</f>
        <v>-24579.4087457396</v>
      </c>
      <c r="S81" s="119" t="n">
        <f aca="false">IF(Q81="","",Q81-R81)</f>
        <v>342476.64874574</v>
      </c>
      <c r="T81" s="119" t="n">
        <f aca="false">IF(OR(7&gt;$B$27,ISBLANK(Actuals!I57)),"",Actuals!I57)</f>
        <v>1445137.94</v>
      </c>
      <c r="U81" s="119" t="n">
        <f aca="false">'Reforecast Q1 2026'!I57</f>
        <v>478888.752787913</v>
      </c>
      <c r="V81" s="119" t="n">
        <f aca="false">IF(T81="","",T81-U81)</f>
        <v>966249.187212088</v>
      </c>
      <c r="W81" s="119" t="n">
        <f aca="false">IF(OR(8&gt;$B$27,ISBLANK(Actuals!J57)),"",Actuals!J57)</f>
        <v>175572.22</v>
      </c>
      <c r="X81" s="119" t="n">
        <f aca="false">'Reforecast Q1 2026'!J57</f>
        <v>171828.547987913</v>
      </c>
      <c r="Y81" s="119" t="n">
        <f aca="false">IF(W81="","",W81-X81)</f>
        <v>3743.67201208667</v>
      </c>
      <c r="Z81" s="119" t="str">
        <f aca="false">IF(OR(9&gt;$B$27,ISBLANK(Actuals!K57)),"",Actuals!K57)</f>
        <v/>
      </c>
      <c r="AA81" s="119" t="n">
        <f aca="false">'Reforecast Q1 2026'!K57</f>
        <v>171828.547987913</v>
      </c>
      <c r="AB81" s="119" t="str">
        <f aca="false">IF(Z81="","",Z81-AA81)</f>
        <v/>
      </c>
      <c r="AC81" s="119" t="str">
        <f aca="false">IF(OR(10&gt;$B$27,ISBLANK(Actuals!L57)),"",Actuals!L57)</f>
        <v/>
      </c>
      <c r="AD81" s="119" t="n">
        <f aca="false">'Reforecast Q1 2026'!L57</f>
        <v>476879.116623526</v>
      </c>
      <c r="AE81" s="119" t="str">
        <f aca="false">IF(AC81="","",AC81-AD81)</f>
        <v/>
      </c>
      <c r="AF81" s="119" t="str">
        <f aca="false">IF(OR(11&gt;$B$27,ISBLANK(Actuals!M57)),"",Actuals!M57)</f>
        <v/>
      </c>
      <c r="AG81" s="119" t="n">
        <f aca="false">'Reforecast Q1 2026'!M57</f>
        <v>507880.050630907</v>
      </c>
      <c r="AH81" s="119" t="str">
        <f aca="false">IF(AF81="","",AF81-AG81)</f>
        <v/>
      </c>
      <c r="AI81" s="119" t="str">
        <f aca="false">IF(OR(12&gt;$B$27,ISBLANK(Actuals!N57)),"",Actuals!N57)</f>
        <v/>
      </c>
      <c r="AJ81" s="119" t="n">
        <f aca="false">'Reforecast Q1 2026'!N57</f>
        <v>255504.966544817</v>
      </c>
      <c r="AK81" s="119" t="str">
        <f aca="false">IF(AI81="","",AI81-AJ81)</f>
        <v/>
      </c>
      <c r="AL81" s="119" t="n">
        <f aca="false">SUM(Actuals!$C57:INDEX(Actuals!$C57:$N57,$B$27))</f>
        <v>2229248.77</v>
      </c>
      <c r="AM81" s="119" t="n">
        <f aca="false">SUM('Reforecast Q1 2026'!$C57:INDEX('Reforecast Q1 2026'!$C57:$N57,$B$27))</f>
        <v>602042.801205283</v>
      </c>
      <c r="AN81" s="119" t="n">
        <f aca="false">AL81-AM81</f>
        <v>1627205.96879472</v>
      </c>
    </row>
    <row r="82" customFormat="false" ht="15" hidden="false" customHeight="true" outlineLevel="0" collapsed="false">
      <c r="A82" s="110" t="s">
        <v>99</v>
      </c>
      <c r="B82" s="114" t="n">
        <f aca="false">IF(OR(1&gt;$B$27,ISBLANK(Actuals!C58)),"",Actuals!C58)</f>
        <v>-0.0287831236019867</v>
      </c>
      <c r="C82" s="114" t="n">
        <f aca="false">'Reforecast Q1 2026'!C58</f>
        <v>-0.0276785988569409</v>
      </c>
      <c r="D82" s="114" t="n">
        <f aca="false">IF(B82="","",B82-C82)</f>
        <v>-0.00110452474504576</v>
      </c>
      <c r="E82" s="114" t="n">
        <f aca="false">IF(OR(2&gt;$B$27,ISBLANK(Actuals!D58)),"",Actuals!D58)</f>
        <v>-0.102996554608564</v>
      </c>
      <c r="F82" s="114" t="n">
        <f aca="false">'Reforecast Q1 2026'!D58</f>
        <v>-0.102464901385612</v>
      </c>
      <c r="G82" s="114" t="n">
        <f aca="false">IF(E82="","",E82-F82)</f>
        <v>-0.000531653222952275</v>
      </c>
      <c r="H82" s="114" t="n">
        <f aca="false">IF(OR(3&gt;$B$27,ISBLANK(Actuals!E58)),"",Actuals!E58)</f>
        <v>0.0906538863233281</v>
      </c>
      <c r="I82" s="114" t="n">
        <f aca="false">'Reforecast Q1 2026'!E58</f>
        <v>0.0912563488127398</v>
      </c>
      <c r="J82" s="114" t="n">
        <f aca="false">IF(H82="","",H82-I82)</f>
        <v>-0.00060246248941169</v>
      </c>
      <c r="K82" s="114" t="n">
        <f aca="false">IF(OR(4&gt;$B$27,ISBLANK(Actuals!F58)),"",Actuals!F58)</f>
        <v>0.101270434808067</v>
      </c>
      <c r="L82" s="114" t="n">
        <f aca="false">'Reforecast Q1 2026'!F58</f>
        <v>0.0173298465800976</v>
      </c>
      <c r="M82" s="114" t="n">
        <f aca="false">IF(K82="","",K82-L82)</f>
        <v>0.0839405882279692</v>
      </c>
      <c r="N82" s="114" t="n">
        <f aca="false">IF(OR(5&gt;$B$27,ISBLANK(Actuals!G58)),"",Actuals!G58)</f>
        <v>0.00625486062340116</v>
      </c>
      <c r="O82" s="114" t="n">
        <f aca="false">'Reforecast Q1 2026'!G58</f>
        <v>0.00103190312584528</v>
      </c>
      <c r="P82" s="114" t="n">
        <f aca="false">IF(N82="","",N82-O82)</f>
        <v>0.00522295749755588</v>
      </c>
      <c r="Q82" s="114" t="n">
        <f aca="false">IF(OR(6&gt;$B$27,ISBLANK(Actuals!H58)),"",Actuals!H58)</f>
        <v>0.0508451485513171</v>
      </c>
      <c r="R82" s="114" t="n">
        <f aca="false">'Reforecast Q1 2026'!H58</f>
        <v>-0.00513830988769468</v>
      </c>
      <c r="S82" s="114" t="n">
        <f aca="false">IF(Q82="","",Q82-R82)</f>
        <v>0.0559834584390118</v>
      </c>
      <c r="T82" s="114" t="n">
        <f aca="false">IF(OR(7&gt;$B$27,ISBLANK(Actuals!I58)),"",Actuals!I58)</f>
        <v>0.205696144781689</v>
      </c>
      <c r="U82" s="114" t="n">
        <f aca="false">'Reforecast Q1 2026'!I58</f>
        <v>0.0835258951271783</v>
      </c>
      <c r="V82" s="114" t="n">
        <f aca="false">IF(T82="","",T82-U82)</f>
        <v>0.12217024965451</v>
      </c>
      <c r="W82" s="114" t="n">
        <f aca="false">IF(OR(8&gt;$B$27,ISBLANK(Actuals!J58)),"",Actuals!J58)</f>
        <v>0.0289497032398613</v>
      </c>
      <c r="X82" s="114" t="n">
        <f aca="false">'Reforecast Q1 2026'!J58</f>
        <v>0.0291585151848811</v>
      </c>
      <c r="Y82" s="114" t="n">
        <f aca="false">IF(W82="","",W82-X82)</f>
        <v>-0.000208811945019823</v>
      </c>
      <c r="Z82" s="114" t="str">
        <f aca="false">IF(OR(9&gt;$B$27,ISBLANK(Actuals!K58)),"",Actuals!K58)</f>
        <v/>
      </c>
      <c r="AA82" s="114" t="n">
        <f aca="false">'Reforecast Q1 2026'!K58</f>
        <v>0.0287072206647552</v>
      </c>
      <c r="AB82" s="114" t="str">
        <f aca="false">IF(Z82="","",Z82-AA82)</f>
        <v/>
      </c>
      <c r="AC82" s="114" t="str">
        <f aca="false">IF(OR(10&gt;$B$27,ISBLANK(Actuals!L58)),"",Actuals!L58)</f>
        <v/>
      </c>
      <c r="AD82" s="114" t="n">
        <f aca="false">'Reforecast Q1 2026'!L58</f>
        <v>0.0719850664285797</v>
      </c>
      <c r="AE82" s="114" t="str">
        <f aca="false">IF(AC82="","",AC82-AD82)</f>
        <v/>
      </c>
      <c r="AF82" s="114" t="str">
        <f aca="false">IF(OR(11&gt;$B$27,ISBLANK(Actuals!M58)),"",Actuals!M58)</f>
        <v/>
      </c>
      <c r="AG82" s="114" t="n">
        <f aca="false">'Reforecast Q1 2026'!M58</f>
        <v>0.0699094476542191</v>
      </c>
      <c r="AH82" s="114" t="str">
        <f aca="false">IF(AF82="","",AF82-AG82)</f>
        <v/>
      </c>
      <c r="AI82" s="114" t="str">
        <f aca="false">IF(OR(12&gt;$B$27,ISBLANK(Actuals!N58)),"",Actuals!N58)</f>
        <v/>
      </c>
      <c r="AJ82" s="114" t="n">
        <f aca="false">'Reforecast Q1 2026'!N58</f>
        <v>0.0365905286174057</v>
      </c>
      <c r="AK82" s="114" t="str">
        <f aca="false">IF(AI82="","",AI82-AJ82)</f>
        <v/>
      </c>
      <c r="AL82" s="117" t="n">
        <f aca="false">SUM(Actuals!$C58:INDEX(Actuals!$C58:$N58,$B$27))</f>
        <v>0.351890500117112</v>
      </c>
      <c r="AM82" s="117" t="n">
        <f aca="false">SUM('Reforecast Q1 2026'!$C58:INDEX('Reforecast Q1 2026'!$C58:$N58,$B$27))</f>
        <v>0.0870206987004943</v>
      </c>
      <c r="AN82" s="117" t="n">
        <f aca="false">AL82-AM82</f>
        <v>0.264869801416618</v>
      </c>
    </row>
    <row r="86" customFormat="false" ht="15" hidden="false" customHeight="true" outlineLevel="0" collapsed="false">
      <c r="A86" s="113" t="s">
        <v>421</v>
      </c>
    </row>
    <row r="87" customFormat="false" ht="15" hidden="true" customHeight="true" outlineLevel="1" collapsed="false">
      <c r="A87" s="110" t="s">
        <v>118</v>
      </c>
      <c r="B87" s="114" t="str">
        <f aca="false">IF(OR(1&gt;$B$27,ISBLANK(Actuals!C63)),"",Actuals!C63)</f>
        <v/>
      </c>
      <c r="C87" s="114" t="n">
        <f aca="false">'Reforecast Q1 2026'!C63</f>
        <v>0</v>
      </c>
      <c r="D87" s="114" t="str">
        <f aca="false">IF(B87="","",B87-C87)</f>
        <v/>
      </c>
      <c r="E87" s="114" t="str">
        <f aca="false">IF(OR(2&gt;$B$27,ISBLANK(Actuals!D63)),"",Actuals!D63)</f>
        <v/>
      </c>
      <c r="F87" s="114" t="n">
        <f aca="false">'Reforecast Q1 2026'!D63</f>
        <v>0</v>
      </c>
      <c r="G87" s="114" t="str">
        <f aca="false">IF(E87="","",E87-F87)</f>
        <v/>
      </c>
      <c r="H87" s="114" t="str">
        <f aca="false">IF(OR(3&gt;$B$27,ISBLANK(Actuals!E63)),"",Actuals!E63)</f>
        <v/>
      </c>
      <c r="I87" s="114" t="n">
        <f aca="false">'Reforecast Q1 2026'!E63</f>
        <v>0</v>
      </c>
      <c r="J87" s="114" t="str">
        <f aca="false">IF(H87="","",H87-I87)</f>
        <v/>
      </c>
      <c r="K87" s="114" t="str">
        <f aca="false">IF(OR(4&gt;$B$27,ISBLANK(Actuals!F63)),"",Actuals!F63)</f>
        <v/>
      </c>
      <c r="L87" s="114" t="n">
        <f aca="false">'Reforecast Q1 2026'!F63</f>
        <v>0</v>
      </c>
      <c r="M87" s="114" t="str">
        <f aca="false">IF(K87="","",K87-L87)</f>
        <v/>
      </c>
      <c r="N87" s="114" t="str">
        <f aca="false">IF(OR(5&gt;$B$27,ISBLANK(Actuals!G63)),"",Actuals!G63)</f>
        <v/>
      </c>
      <c r="O87" s="114" t="n">
        <f aca="false">'Reforecast Q1 2026'!G63</f>
        <v>0</v>
      </c>
      <c r="P87" s="114" t="str">
        <f aca="false">IF(N87="","",N87-O87)</f>
        <v/>
      </c>
      <c r="Q87" s="114" t="n">
        <f aca="false">IF(OR(6&gt;$B$27,ISBLANK(Actuals!H63)),"",Actuals!H63)</f>
        <v>299000</v>
      </c>
      <c r="R87" s="114" t="n">
        <f aca="false">'Reforecast Q1 2026'!H63</f>
        <v>0</v>
      </c>
      <c r="S87" s="114" t="n">
        <f aca="false">IF(Q87="","",Q87-R87)</f>
        <v>299000</v>
      </c>
      <c r="T87" s="114" t="n">
        <f aca="false">IF(OR(7&gt;$B$27,ISBLANK(Actuals!I63)),"",Actuals!I63)</f>
        <v>0</v>
      </c>
      <c r="U87" s="114" t="n">
        <f aca="false">'Reforecast Q1 2026'!I63</f>
        <v>0</v>
      </c>
      <c r="V87" s="114" t="n">
        <f aca="false">IF(T87="","",T87-U87)</f>
        <v>0</v>
      </c>
      <c r="W87" s="114" t="n">
        <f aca="false">IF(OR(8&gt;$B$27,ISBLANK(Actuals!J63)),"",Actuals!J63)</f>
        <v>0</v>
      </c>
      <c r="X87" s="114" t="n">
        <f aca="false">'Reforecast Q1 2026'!J63</f>
        <v>0</v>
      </c>
      <c r="Y87" s="114" t="n">
        <f aca="false">IF(W87="","",W87-X87)</f>
        <v>0</v>
      </c>
      <c r="Z87" s="114" t="str">
        <f aca="false">IF(OR(9&gt;$B$27,ISBLANK(Actuals!K63)),"",Actuals!K63)</f>
        <v/>
      </c>
      <c r="AA87" s="114" t="n">
        <f aca="false">'Reforecast Q1 2026'!K63</f>
        <v>0</v>
      </c>
      <c r="AB87" s="114" t="str">
        <f aca="false">IF(Z87="","",Z87-AA87)</f>
        <v/>
      </c>
      <c r="AC87" s="114" t="str">
        <f aca="false">IF(OR(10&gt;$B$27,ISBLANK(Actuals!L63)),"",Actuals!L63)</f>
        <v/>
      </c>
      <c r="AD87" s="114" t="n">
        <f aca="false">'Reforecast Q1 2026'!L63</f>
        <v>0</v>
      </c>
      <c r="AE87" s="114" t="str">
        <f aca="false">IF(AC87="","",AC87-AD87)</f>
        <v/>
      </c>
      <c r="AF87" s="114" t="str">
        <f aca="false">IF(OR(11&gt;$B$27,ISBLANK(Actuals!M63)),"",Actuals!M63)</f>
        <v/>
      </c>
      <c r="AG87" s="114" t="n">
        <f aca="false">'Reforecast Q1 2026'!M63</f>
        <v>0</v>
      </c>
      <c r="AH87" s="114" t="str">
        <f aca="false">IF(AF87="","",AF87-AG87)</f>
        <v/>
      </c>
      <c r="AI87" s="114" t="str">
        <f aca="false">IF(OR(12&gt;$B$27,ISBLANK(Actuals!N63)),"",Actuals!N63)</f>
        <v/>
      </c>
      <c r="AJ87" s="114" t="n">
        <f aca="false">'Reforecast Q1 2026'!N63</f>
        <v>0</v>
      </c>
      <c r="AK87" s="114" t="str">
        <f aca="false">IF(AI87="","",AI87-AJ87)</f>
        <v/>
      </c>
      <c r="AL87" s="117" t="n">
        <f aca="false">SUM(Actuals!$C63:INDEX(Actuals!$C63:$N63,$B$27))</f>
        <v>299000</v>
      </c>
      <c r="AM87" s="117" t="n">
        <f aca="false">SUM('Reforecast Q1 2026'!$C63:INDEX('Reforecast Q1 2026'!$C63:$N63,$B$27))</f>
        <v>0</v>
      </c>
      <c r="AN87" s="117" t="n">
        <f aca="false">AL87-AM87</f>
        <v>299000</v>
      </c>
    </row>
    <row r="88" customFormat="false" ht="15" hidden="true" customHeight="true" outlineLevel="1" collapsed="false">
      <c r="A88" s="110" t="s">
        <v>101</v>
      </c>
      <c r="B88" s="114" t="n">
        <f aca="false">IF(OR(1&gt;$B$27,ISBLANK(Actuals!C64)),"",Actuals!C64)</f>
        <v>833.33</v>
      </c>
      <c r="C88" s="114" t="n">
        <f aca="false">'Reforecast Q1 2026'!C64</f>
        <v>833.33</v>
      </c>
      <c r="D88" s="114" t="n">
        <f aca="false">IF(B88="","",B88-C88)</f>
        <v>0</v>
      </c>
      <c r="E88" s="114" t="n">
        <f aca="false">IF(OR(2&gt;$B$27,ISBLANK(Actuals!D64)),"",Actuals!D64)</f>
        <v>833.33</v>
      </c>
      <c r="F88" s="114" t="n">
        <f aca="false">'Reforecast Q1 2026'!D64</f>
        <v>833.33</v>
      </c>
      <c r="G88" s="114" t="n">
        <f aca="false">IF(E88="","",E88-F88)</f>
        <v>0</v>
      </c>
      <c r="H88" s="114" t="n">
        <f aca="false">IF(OR(3&gt;$B$27,ISBLANK(Actuals!E64)),"",Actuals!E64)</f>
        <v>833.33</v>
      </c>
      <c r="I88" s="114" t="n">
        <f aca="false">'Reforecast Q1 2026'!E64</f>
        <v>833.33</v>
      </c>
      <c r="J88" s="114" t="n">
        <f aca="false">IF(H88="","",H88-I88)</f>
        <v>0</v>
      </c>
      <c r="K88" s="114" t="n">
        <f aca="false">IF(OR(4&gt;$B$27,ISBLANK(Actuals!F64)),"",Actuals!F64)</f>
        <v>833.33</v>
      </c>
      <c r="L88" s="114" t="n">
        <f aca="false">'Reforecast Q1 2026'!F64</f>
        <v>833.33</v>
      </c>
      <c r="M88" s="114" t="n">
        <f aca="false">IF(K88="","",K88-L88)</f>
        <v>0</v>
      </c>
      <c r="N88" s="114" t="n">
        <f aca="false">IF(OR(5&gt;$B$27,ISBLANK(Actuals!G64)),"",Actuals!G64)</f>
        <v>833.33</v>
      </c>
      <c r="O88" s="114" t="n">
        <f aca="false">'Reforecast Q1 2026'!G64</f>
        <v>833.33</v>
      </c>
      <c r="P88" s="114" t="n">
        <f aca="false">IF(N88="","",N88-O88)</f>
        <v>0</v>
      </c>
      <c r="Q88" s="114" t="n">
        <f aca="false">IF(OR(6&gt;$B$27,ISBLANK(Actuals!H64)),"",Actuals!H64)</f>
        <v>833.33</v>
      </c>
      <c r="R88" s="114" t="n">
        <f aca="false">'Reforecast Q1 2026'!H64</f>
        <v>833.33</v>
      </c>
      <c r="S88" s="114" t="n">
        <f aca="false">IF(Q88="","",Q88-R88)</f>
        <v>0</v>
      </c>
      <c r="T88" s="114" t="n">
        <f aca="false">IF(OR(7&gt;$B$27,ISBLANK(Actuals!I64)),"",Actuals!I64)</f>
        <v>833.33</v>
      </c>
      <c r="U88" s="114" t="n">
        <f aca="false">'Reforecast Q1 2026'!I64</f>
        <v>833.33</v>
      </c>
      <c r="V88" s="114" t="n">
        <f aca="false">IF(T88="","",T88-U88)</f>
        <v>0</v>
      </c>
      <c r="W88" s="114" t="n">
        <f aca="false">IF(OR(8&gt;$B$27,ISBLANK(Actuals!J64)),"",Actuals!J64)</f>
        <v>833.33</v>
      </c>
      <c r="X88" s="114" t="n">
        <f aca="false">'Reforecast Q1 2026'!J64</f>
        <v>833.33</v>
      </c>
      <c r="Y88" s="114" t="n">
        <f aca="false">IF(W88="","",W88-X88)</f>
        <v>0</v>
      </c>
      <c r="Z88" s="114" t="str">
        <f aca="false">IF(OR(9&gt;$B$27,ISBLANK(Actuals!K64)),"",Actuals!K64)</f>
        <v/>
      </c>
      <c r="AA88" s="114" t="n">
        <f aca="false">'Reforecast Q1 2026'!K64</f>
        <v>0</v>
      </c>
      <c r="AB88" s="114" t="str">
        <f aca="false">IF(Z88="","",Z88-AA88)</f>
        <v/>
      </c>
      <c r="AC88" s="114" t="str">
        <f aca="false">IF(OR(10&gt;$B$27,ISBLANK(Actuals!L64)),"",Actuals!L64)</f>
        <v/>
      </c>
      <c r="AD88" s="114" t="n">
        <f aca="false">'Reforecast Q1 2026'!L64</f>
        <v>0</v>
      </c>
      <c r="AE88" s="114" t="str">
        <f aca="false">IF(AC88="","",AC88-AD88)</f>
        <v/>
      </c>
      <c r="AF88" s="114" t="str">
        <f aca="false">IF(OR(11&gt;$B$27,ISBLANK(Actuals!M64)),"",Actuals!M64)</f>
        <v/>
      </c>
      <c r="AG88" s="114" t="n">
        <f aca="false">'Reforecast Q1 2026'!M64</f>
        <v>0</v>
      </c>
      <c r="AH88" s="114" t="str">
        <f aca="false">IF(AF88="","",AF88-AG88)</f>
        <v/>
      </c>
      <c r="AI88" s="114" t="str">
        <f aca="false">IF(OR(12&gt;$B$27,ISBLANK(Actuals!N64)),"",Actuals!N64)</f>
        <v/>
      </c>
      <c r="AJ88" s="114" t="n">
        <f aca="false">'Reforecast Q1 2026'!N64</f>
        <v>0</v>
      </c>
      <c r="AK88" s="114" t="str">
        <f aca="false">IF(AI88="","",AI88-AJ88)</f>
        <v/>
      </c>
      <c r="AL88" s="117" t="n">
        <f aca="false">SUM(Actuals!$C64:INDEX(Actuals!$C64:$N64,$B$27))</f>
        <v>6666.64</v>
      </c>
      <c r="AM88" s="117" t="n">
        <f aca="false">SUM('Reforecast Q1 2026'!$C64:INDEX('Reforecast Q1 2026'!$C64:$N64,$B$27))</f>
        <v>6666.64</v>
      </c>
      <c r="AN88" s="117" t="n">
        <f aca="false">AL88-AM88</f>
        <v>0</v>
      </c>
    </row>
    <row r="89" customFormat="false" ht="15" hidden="true" customHeight="true" outlineLevel="1" collapsed="false">
      <c r="A89" s="110" t="s">
        <v>102</v>
      </c>
      <c r="B89" s="114" t="n">
        <f aca="false">IF(OR(1&gt;$B$27,ISBLANK(Actuals!C65)),"",Actuals!C65)</f>
        <v>23906.25</v>
      </c>
      <c r="C89" s="114" t="n">
        <f aca="false">'Reforecast Q1 2026'!C65</f>
        <v>23906.25</v>
      </c>
      <c r="D89" s="114" t="n">
        <f aca="false">IF(B89="","",B89-C89)</f>
        <v>0</v>
      </c>
      <c r="E89" s="114" t="n">
        <f aca="false">IF(OR(2&gt;$B$27,ISBLANK(Actuals!D65)),"",Actuals!D65)</f>
        <v>23906.25</v>
      </c>
      <c r="F89" s="114" t="n">
        <f aca="false">'Reforecast Q1 2026'!D65</f>
        <v>23906.25</v>
      </c>
      <c r="G89" s="114" t="n">
        <f aca="false">IF(E89="","",E89-F89)</f>
        <v>0</v>
      </c>
      <c r="H89" s="114" t="n">
        <f aca="false">IF(OR(3&gt;$B$27,ISBLANK(Actuals!E65)),"",Actuals!E65)</f>
        <v>23906.25</v>
      </c>
      <c r="I89" s="114" t="n">
        <f aca="false">'Reforecast Q1 2026'!E65</f>
        <v>23906.25</v>
      </c>
      <c r="J89" s="114" t="n">
        <f aca="false">IF(H89="","",H89-I89)</f>
        <v>0</v>
      </c>
      <c r="K89" s="114" t="n">
        <f aca="false">IF(OR(4&gt;$B$27,ISBLANK(Actuals!F65)),"",Actuals!F65)</f>
        <v>23906.25</v>
      </c>
      <c r="L89" s="114" t="n">
        <f aca="false">'Reforecast Q1 2026'!F65</f>
        <v>23906.25</v>
      </c>
      <c r="M89" s="114" t="n">
        <f aca="false">IF(K89="","",K89-L89)</f>
        <v>0</v>
      </c>
      <c r="N89" s="114" t="n">
        <f aca="false">IF(OR(5&gt;$B$27,ISBLANK(Actuals!G65)),"",Actuals!G65)</f>
        <v>23906.25</v>
      </c>
      <c r="O89" s="114" t="n">
        <f aca="false">'Reforecast Q1 2026'!G65</f>
        <v>23906.25</v>
      </c>
      <c r="P89" s="114" t="n">
        <f aca="false">IF(N89="","",N89-O89)</f>
        <v>0</v>
      </c>
      <c r="Q89" s="114" t="n">
        <f aca="false">IF(OR(6&gt;$B$27,ISBLANK(Actuals!H65)),"",Actuals!H65)</f>
        <v>23906.25</v>
      </c>
      <c r="R89" s="114" t="n">
        <f aca="false">'Reforecast Q1 2026'!H65</f>
        <v>23906.25</v>
      </c>
      <c r="S89" s="114" t="n">
        <f aca="false">IF(Q89="","",Q89-R89)</f>
        <v>0</v>
      </c>
      <c r="T89" s="114" t="n">
        <f aca="false">IF(OR(7&gt;$B$27,ISBLANK(Actuals!I65)),"",Actuals!I65)</f>
        <v>23906.25</v>
      </c>
      <c r="U89" s="114" t="n">
        <f aca="false">'Reforecast Q1 2026'!I65</f>
        <v>23906.25</v>
      </c>
      <c r="V89" s="114" t="n">
        <f aca="false">IF(T89="","",T89-U89)</f>
        <v>0</v>
      </c>
      <c r="W89" s="114" t="n">
        <f aca="false">IF(OR(8&gt;$B$27,ISBLANK(Actuals!J65)),"",Actuals!J65)</f>
        <v>23906.25</v>
      </c>
      <c r="X89" s="114" t="n">
        <f aca="false">'Reforecast Q1 2026'!J65</f>
        <v>23906.25</v>
      </c>
      <c r="Y89" s="114" t="n">
        <f aca="false">IF(W89="","",W89-X89)</f>
        <v>0</v>
      </c>
      <c r="Z89" s="114" t="str">
        <f aca="false">IF(OR(9&gt;$B$27,ISBLANK(Actuals!K65)),"",Actuals!K65)</f>
        <v/>
      </c>
      <c r="AA89" s="114" t="n">
        <f aca="false">'Reforecast Q1 2026'!K65</f>
        <v>23906.25</v>
      </c>
      <c r="AB89" s="114" t="str">
        <f aca="false">IF(Z89="","",Z89-AA89)</f>
        <v/>
      </c>
      <c r="AC89" s="114" t="str">
        <f aca="false">IF(OR(10&gt;$B$27,ISBLANK(Actuals!L65)),"",Actuals!L65)</f>
        <v/>
      </c>
      <c r="AD89" s="114" t="n">
        <f aca="false">'Reforecast Q1 2026'!L65</f>
        <v>23906.25</v>
      </c>
      <c r="AE89" s="114" t="str">
        <f aca="false">IF(AC89="","",AC89-AD89)</f>
        <v/>
      </c>
      <c r="AF89" s="114" t="str">
        <f aca="false">IF(OR(11&gt;$B$27,ISBLANK(Actuals!M65)),"",Actuals!M65)</f>
        <v/>
      </c>
      <c r="AG89" s="114" t="n">
        <f aca="false">'Reforecast Q1 2026'!M65</f>
        <v>23906.25</v>
      </c>
      <c r="AH89" s="114" t="str">
        <f aca="false">IF(AF89="","",AF89-AG89)</f>
        <v/>
      </c>
      <c r="AI89" s="114" t="str">
        <f aca="false">IF(OR(12&gt;$B$27,ISBLANK(Actuals!N65)),"",Actuals!N65)</f>
        <v/>
      </c>
      <c r="AJ89" s="114" t="n">
        <f aca="false">'Reforecast Q1 2026'!N65</f>
        <v>23906.25</v>
      </c>
      <c r="AK89" s="114" t="str">
        <f aca="false">IF(AI89="","",AI89-AJ89)</f>
        <v/>
      </c>
      <c r="AL89" s="117" t="n">
        <f aca="false">SUM(Actuals!$C65:INDEX(Actuals!$C65:$N65,$B$27))</f>
        <v>191250</v>
      </c>
      <c r="AM89" s="117" t="n">
        <f aca="false">SUM('Reforecast Q1 2026'!$C65:INDEX('Reforecast Q1 2026'!$C65:$N65,$B$27))</f>
        <v>191250</v>
      </c>
      <c r="AN89" s="117" t="n">
        <f aca="false">AL89-AM89</f>
        <v>0</v>
      </c>
    </row>
    <row r="90" customFormat="false" ht="15" hidden="true" customHeight="true" outlineLevel="1" collapsed="false">
      <c r="A90" s="110" t="s">
        <v>103</v>
      </c>
      <c r="B90" s="114" t="str">
        <f aca="false">IF(OR(1&gt;$B$27,ISBLANK(Actuals!C66)),"",Actuals!C66)</f>
        <v/>
      </c>
      <c r="C90" s="114" t="n">
        <f aca="false">'Reforecast Q1 2026'!C66</f>
        <v>0</v>
      </c>
      <c r="D90" s="114" t="str">
        <f aca="false">IF(B90="","",B90-C90)</f>
        <v/>
      </c>
      <c r="E90" s="114" t="str">
        <f aca="false">IF(OR(2&gt;$B$27,ISBLANK(Actuals!D66)),"",Actuals!D66)</f>
        <v/>
      </c>
      <c r="F90" s="114" t="n">
        <f aca="false">'Reforecast Q1 2026'!D66</f>
        <v>0</v>
      </c>
      <c r="G90" s="114" t="str">
        <f aca="false">IF(E90="","",E90-F90)</f>
        <v/>
      </c>
      <c r="H90" s="114" t="str">
        <f aca="false">IF(OR(3&gt;$B$27,ISBLANK(Actuals!E66)),"",Actuals!E66)</f>
        <v/>
      </c>
      <c r="I90" s="114" t="n">
        <f aca="false">'Reforecast Q1 2026'!E66</f>
        <v>0</v>
      </c>
      <c r="J90" s="114" t="str">
        <f aca="false">IF(H90="","",H90-I90)</f>
        <v/>
      </c>
      <c r="K90" s="114" t="str">
        <f aca="false">IF(OR(4&gt;$B$27,ISBLANK(Actuals!F66)),"",Actuals!F66)</f>
        <v/>
      </c>
      <c r="L90" s="114" t="n">
        <f aca="false">'Reforecast Q1 2026'!F66</f>
        <v>0</v>
      </c>
      <c r="M90" s="114" t="str">
        <f aca="false">IF(K90="","",K90-L90)</f>
        <v/>
      </c>
      <c r="N90" s="114" t="str">
        <f aca="false">IF(OR(5&gt;$B$27,ISBLANK(Actuals!G66)),"",Actuals!G66)</f>
        <v/>
      </c>
      <c r="O90" s="114" t="n">
        <f aca="false">'Reforecast Q1 2026'!G66</f>
        <v>0</v>
      </c>
      <c r="P90" s="114" t="str">
        <f aca="false">IF(N90="","",N90-O90)</f>
        <v/>
      </c>
      <c r="Q90" s="114" t="str">
        <f aca="false">IF(OR(6&gt;$B$27,ISBLANK(Actuals!H66)),"",Actuals!H66)</f>
        <v/>
      </c>
      <c r="R90" s="114" t="n">
        <f aca="false">'Reforecast Q1 2026'!H66</f>
        <v>0</v>
      </c>
      <c r="S90" s="114" t="str">
        <f aca="false">IF(Q90="","",Q90-R90)</f>
        <v/>
      </c>
      <c r="T90" s="114" t="str">
        <f aca="false">IF(OR(7&gt;$B$27,ISBLANK(Actuals!I66)),"",Actuals!I66)</f>
        <v/>
      </c>
      <c r="U90" s="114" t="n">
        <f aca="false">'Reforecast Q1 2026'!I66</f>
        <v>0</v>
      </c>
      <c r="V90" s="114" t="str">
        <f aca="false">IF(T90="","",T90-U90)</f>
        <v/>
      </c>
      <c r="W90" s="114" t="str">
        <f aca="false">IF(OR(8&gt;$B$27,ISBLANK(Actuals!J66)),"",Actuals!J66)</f>
        <v/>
      </c>
      <c r="X90" s="114" t="n">
        <f aca="false">'Reforecast Q1 2026'!J66</f>
        <v>0</v>
      </c>
      <c r="Y90" s="114" t="str">
        <f aca="false">IF(W90="","",W90-X90)</f>
        <v/>
      </c>
      <c r="Z90" s="114" t="str">
        <f aca="false">IF(OR(9&gt;$B$27,ISBLANK(Actuals!K66)),"",Actuals!K66)</f>
        <v/>
      </c>
      <c r="AA90" s="114" t="n">
        <f aca="false">'Reforecast Q1 2026'!K66</f>
        <v>0</v>
      </c>
      <c r="AB90" s="114" t="str">
        <f aca="false">IF(Z90="","",Z90-AA90)</f>
        <v/>
      </c>
      <c r="AC90" s="114" t="str">
        <f aca="false">IF(OR(10&gt;$B$27,ISBLANK(Actuals!L66)),"",Actuals!L66)</f>
        <v/>
      </c>
      <c r="AD90" s="114" t="n">
        <f aca="false">'Reforecast Q1 2026'!L66</f>
        <v>0</v>
      </c>
      <c r="AE90" s="114" t="str">
        <f aca="false">IF(AC90="","",AC90-AD90)</f>
        <v/>
      </c>
      <c r="AF90" s="114" t="str">
        <f aca="false">IF(OR(11&gt;$B$27,ISBLANK(Actuals!M66)),"",Actuals!M66)</f>
        <v/>
      </c>
      <c r="AG90" s="114" t="n">
        <f aca="false">'Reforecast Q1 2026'!M66</f>
        <v>0</v>
      </c>
      <c r="AH90" s="114" t="str">
        <f aca="false">IF(AF90="","",AF90-AG90)</f>
        <v/>
      </c>
      <c r="AI90" s="114" t="str">
        <f aca="false">IF(OR(12&gt;$B$27,ISBLANK(Actuals!N66)),"",Actuals!N66)</f>
        <v/>
      </c>
      <c r="AJ90" s="114" t="n">
        <f aca="false">'Reforecast Q1 2026'!N66</f>
        <v>0</v>
      </c>
      <c r="AK90" s="114" t="str">
        <f aca="false">IF(AI90="","",AI90-AJ90)</f>
        <v/>
      </c>
      <c r="AL90" s="117" t="n">
        <f aca="false">SUM(Actuals!$C66:INDEX(Actuals!$C66:$N66,$B$27))</f>
        <v>0</v>
      </c>
      <c r="AM90" s="117" t="n">
        <f aca="false">SUM('Reforecast Q1 2026'!$C66:INDEX('Reforecast Q1 2026'!$C66:$N66,$B$27))</f>
        <v>0</v>
      </c>
      <c r="AN90" s="117" t="n">
        <f aca="false">AL90-AM90</f>
        <v>0</v>
      </c>
    </row>
    <row r="91" customFormat="false" ht="15" hidden="true" customHeight="true" outlineLevel="1" collapsed="false">
      <c r="A91" s="110" t="s">
        <v>104</v>
      </c>
      <c r="B91" s="114" t="str">
        <f aca="false">IF(OR(1&gt;$B$27,ISBLANK(Actuals!C67)),"",Actuals!C67)</f>
        <v/>
      </c>
      <c r="C91" s="114" t="n">
        <f aca="false">'Reforecast Q1 2026'!C67</f>
        <v>0</v>
      </c>
      <c r="D91" s="114" t="str">
        <f aca="false">IF(B91="","",B91-C91)</f>
        <v/>
      </c>
      <c r="E91" s="114" t="str">
        <f aca="false">IF(OR(2&gt;$B$27,ISBLANK(Actuals!D67)),"",Actuals!D67)</f>
        <v/>
      </c>
      <c r="F91" s="114" t="n">
        <f aca="false">'Reforecast Q1 2026'!D67</f>
        <v>0</v>
      </c>
      <c r="G91" s="114" t="str">
        <f aca="false">IF(E91="","",E91-F91)</f>
        <v/>
      </c>
      <c r="H91" s="114" t="str">
        <f aca="false">IF(OR(3&gt;$B$27,ISBLANK(Actuals!E67)),"",Actuals!E67)</f>
        <v/>
      </c>
      <c r="I91" s="114" t="n">
        <f aca="false">'Reforecast Q1 2026'!E67</f>
        <v>0</v>
      </c>
      <c r="J91" s="114" t="str">
        <f aca="false">IF(H91="","",H91-I91)</f>
        <v/>
      </c>
      <c r="K91" s="114" t="str">
        <f aca="false">IF(OR(4&gt;$B$27,ISBLANK(Actuals!F67)),"",Actuals!F67)</f>
        <v/>
      </c>
      <c r="L91" s="114" t="n">
        <f aca="false">'Reforecast Q1 2026'!F67</f>
        <v>0</v>
      </c>
      <c r="M91" s="114" t="str">
        <f aca="false">IF(K91="","",K91-L91)</f>
        <v/>
      </c>
      <c r="N91" s="114" t="str">
        <f aca="false">IF(OR(5&gt;$B$27,ISBLANK(Actuals!G67)),"",Actuals!G67)</f>
        <v/>
      </c>
      <c r="O91" s="114" t="n">
        <f aca="false">'Reforecast Q1 2026'!G67</f>
        <v>0</v>
      </c>
      <c r="P91" s="114" t="str">
        <f aca="false">IF(N91="","",N91-O91)</f>
        <v/>
      </c>
      <c r="Q91" s="114" t="str">
        <f aca="false">IF(OR(6&gt;$B$27,ISBLANK(Actuals!H67)),"",Actuals!H67)</f>
        <v/>
      </c>
      <c r="R91" s="114" t="n">
        <f aca="false">'Reforecast Q1 2026'!H67</f>
        <v>0</v>
      </c>
      <c r="S91" s="114" t="str">
        <f aca="false">IF(Q91="","",Q91-R91)</f>
        <v/>
      </c>
      <c r="T91" s="114" t="str">
        <f aca="false">IF(OR(7&gt;$B$27,ISBLANK(Actuals!I67)),"",Actuals!I67)</f>
        <v/>
      </c>
      <c r="U91" s="114" t="n">
        <f aca="false">'Reforecast Q1 2026'!I67</f>
        <v>0</v>
      </c>
      <c r="V91" s="114" t="str">
        <f aca="false">IF(T91="","",T91-U91)</f>
        <v/>
      </c>
      <c r="W91" s="114" t="str">
        <f aca="false">IF(OR(8&gt;$B$27,ISBLANK(Actuals!J67)),"",Actuals!J67)</f>
        <v/>
      </c>
      <c r="X91" s="114" t="n">
        <f aca="false">'Reforecast Q1 2026'!J67</f>
        <v>0</v>
      </c>
      <c r="Y91" s="114" t="str">
        <f aca="false">IF(W91="","",W91-X91)</f>
        <v/>
      </c>
      <c r="Z91" s="114" t="str">
        <f aca="false">IF(OR(9&gt;$B$27,ISBLANK(Actuals!K67)),"",Actuals!K67)</f>
        <v/>
      </c>
      <c r="AA91" s="114" t="n">
        <f aca="false">'Reforecast Q1 2026'!K67</f>
        <v>0</v>
      </c>
      <c r="AB91" s="114" t="str">
        <f aca="false">IF(Z91="","",Z91-AA91)</f>
        <v/>
      </c>
      <c r="AC91" s="114" t="str">
        <f aca="false">IF(OR(10&gt;$B$27,ISBLANK(Actuals!L67)),"",Actuals!L67)</f>
        <v/>
      </c>
      <c r="AD91" s="114" t="n">
        <f aca="false">'Reforecast Q1 2026'!L67</f>
        <v>0</v>
      </c>
      <c r="AE91" s="114" t="str">
        <f aca="false">IF(AC91="","",AC91-AD91)</f>
        <v/>
      </c>
      <c r="AF91" s="114" t="str">
        <f aca="false">IF(OR(11&gt;$B$27,ISBLANK(Actuals!M67)),"",Actuals!M67)</f>
        <v/>
      </c>
      <c r="AG91" s="114" t="n">
        <f aca="false">'Reforecast Q1 2026'!M67</f>
        <v>0</v>
      </c>
      <c r="AH91" s="114" t="str">
        <f aca="false">IF(AF91="","",AF91-AG91)</f>
        <v/>
      </c>
      <c r="AI91" s="114" t="str">
        <f aca="false">IF(OR(12&gt;$B$27,ISBLANK(Actuals!N67)),"",Actuals!N67)</f>
        <v/>
      </c>
      <c r="AJ91" s="114" t="n">
        <f aca="false">'Reforecast Q1 2026'!N67</f>
        <v>0</v>
      </c>
      <c r="AK91" s="114" t="str">
        <f aca="false">IF(AI91="","",AI91-AJ91)</f>
        <v/>
      </c>
      <c r="AL91" s="117" t="n">
        <f aca="false">SUM(Actuals!$C67:INDEX(Actuals!$C67:$N67,$B$27))</f>
        <v>0</v>
      </c>
      <c r="AM91" s="117" t="n">
        <f aca="false">SUM('Reforecast Q1 2026'!$C67:INDEX('Reforecast Q1 2026'!$C67:$N67,$B$27))</f>
        <v>0</v>
      </c>
      <c r="AN91" s="117" t="n">
        <f aca="false">AL91-AM91</f>
        <v>0</v>
      </c>
    </row>
    <row r="92" customFormat="false" ht="15" hidden="true" customHeight="true" outlineLevel="1" collapsed="false">
      <c r="A92" s="110" t="s">
        <v>105</v>
      </c>
      <c r="B92" s="114" t="str">
        <f aca="false">IF(OR(1&gt;$B$27,ISBLANK(Actuals!C68)),"",Actuals!C68)</f>
        <v/>
      </c>
      <c r="C92" s="114" t="n">
        <f aca="false">'Reforecast Q1 2026'!C68</f>
        <v>0</v>
      </c>
      <c r="D92" s="114" t="str">
        <f aca="false">IF(B92="","",B92-C92)</f>
        <v/>
      </c>
      <c r="E92" s="114" t="str">
        <f aca="false">IF(OR(2&gt;$B$27,ISBLANK(Actuals!D68)),"",Actuals!D68)</f>
        <v/>
      </c>
      <c r="F92" s="114" t="n">
        <f aca="false">'Reforecast Q1 2026'!D68</f>
        <v>0</v>
      </c>
      <c r="G92" s="114" t="str">
        <f aca="false">IF(E92="","",E92-F92)</f>
        <v/>
      </c>
      <c r="H92" s="114" t="str">
        <f aca="false">IF(OR(3&gt;$B$27,ISBLANK(Actuals!E68)),"",Actuals!E68)</f>
        <v/>
      </c>
      <c r="I92" s="114" t="n">
        <f aca="false">'Reforecast Q1 2026'!E68</f>
        <v>0</v>
      </c>
      <c r="J92" s="114" t="str">
        <f aca="false">IF(H92="","",H92-I92)</f>
        <v/>
      </c>
      <c r="K92" s="114" t="str">
        <f aca="false">IF(OR(4&gt;$B$27,ISBLANK(Actuals!F68)),"",Actuals!F68)</f>
        <v/>
      </c>
      <c r="L92" s="114" t="n">
        <f aca="false">'Reforecast Q1 2026'!F68</f>
        <v>0</v>
      </c>
      <c r="M92" s="114" t="str">
        <f aca="false">IF(K92="","",K92-L92)</f>
        <v/>
      </c>
      <c r="N92" s="114" t="str">
        <f aca="false">IF(OR(5&gt;$B$27,ISBLANK(Actuals!G68)),"",Actuals!G68)</f>
        <v/>
      </c>
      <c r="O92" s="114" t="n">
        <f aca="false">'Reforecast Q1 2026'!G68</f>
        <v>0</v>
      </c>
      <c r="P92" s="114" t="str">
        <f aca="false">IF(N92="","",N92-O92)</f>
        <v/>
      </c>
      <c r="Q92" s="114" t="str">
        <f aca="false">IF(OR(6&gt;$B$27,ISBLANK(Actuals!H68)),"",Actuals!H68)</f>
        <v/>
      </c>
      <c r="R92" s="114" t="n">
        <f aca="false">'Reforecast Q1 2026'!H68</f>
        <v>0</v>
      </c>
      <c r="S92" s="114" t="str">
        <f aca="false">IF(Q92="","",Q92-R92)</f>
        <v/>
      </c>
      <c r="T92" s="114" t="str">
        <f aca="false">IF(OR(7&gt;$B$27,ISBLANK(Actuals!I68)),"",Actuals!I68)</f>
        <v/>
      </c>
      <c r="U92" s="114" t="n">
        <f aca="false">'Reforecast Q1 2026'!I68</f>
        <v>0</v>
      </c>
      <c r="V92" s="114" t="str">
        <f aca="false">IF(T92="","",T92-U92)</f>
        <v/>
      </c>
      <c r="W92" s="114" t="str">
        <f aca="false">IF(OR(8&gt;$B$27,ISBLANK(Actuals!J68)),"",Actuals!J68)</f>
        <v/>
      </c>
      <c r="X92" s="114" t="n">
        <f aca="false">'Reforecast Q1 2026'!J68</f>
        <v>0</v>
      </c>
      <c r="Y92" s="114" t="str">
        <f aca="false">IF(W92="","",W92-X92)</f>
        <v/>
      </c>
      <c r="Z92" s="114" t="str">
        <f aca="false">IF(OR(9&gt;$B$27,ISBLANK(Actuals!K68)),"",Actuals!K68)</f>
        <v/>
      </c>
      <c r="AA92" s="114" t="n">
        <f aca="false">'Reforecast Q1 2026'!K68</f>
        <v>0</v>
      </c>
      <c r="AB92" s="114" t="str">
        <f aca="false">IF(Z92="","",Z92-AA92)</f>
        <v/>
      </c>
      <c r="AC92" s="114" t="str">
        <f aca="false">IF(OR(10&gt;$B$27,ISBLANK(Actuals!L68)),"",Actuals!L68)</f>
        <v/>
      </c>
      <c r="AD92" s="114" t="n">
        <f aca="false">'Reforecast Q1 2026'!L68</f>
        <v>0</v>
      </c>
      <c r="AE92" s="114" t="str">
        <f aca="false">IF(AC92="","",AC92-AD92)</f>
        <v/>
      </c>
      <c r="AF92" s="114" t="str">
        <f aca="false">IF(OR(11&gt;$B$27,ISBLANK(Actuals!M68)),"",Actuals!M68)</f>
        <v/>
      </c>
      <c r="AG92" s="114" t="n">
        <f aca="false">'Reforecast Q1 2026'!M68</f>
        <v>0</v>
      </c>
      <c r="AH92" s="114" t="str">
        <f aca="false">IF(AF92="","",AF92-AG92)</f>
        <v/>
      </c>
      <c r="AI92" s="114" t="str">
        <f aca="false">IF(OR(12&gt;$B$27,ISBLANK(Actuals!N68)),"",Actuals!N68)</f>
        <v/>
      </c>
      <c r="AJ92" s="114" t="n">
        <f aca="false">'Reforecast Q1 2026'!N68</f>
        <v>0</v>
      </c>
      <c r="AK92" s="114" t="str">
        <f aca="false">IF(AI92="","",AI92-AJ92)</f>
        <v/>
      </c>
      <c r="AL92" s="117" t="n">
        <f aca="false">SUM(Actuals!$C68:INDEX(Actuals!$C68:$N68,$B$27))</f>
        <v>0</v>
      </c>
      <c r="AM92" s="117" t="n">
        <f aca="false">SUM('Reforecast Q1 2026'!$C68:INDEX('Reforecast Q1 2026'!$C68:$N68,$B$27))</f>
        <v>0</v>
      </c>
      <c r="AN92" s="117" t="n">
        <f aca="false">AL92-AM92</f>
        <v>0</v>
      </c>
    </row>
    <row r="93" customFormat="false" ht="15" hidden="true" customHeight="true" outlineLevel="1" collapsed="false">
      <c r="A93" s="110" t="s">
        <v>106</v>
      </c>
      <c r="B93" s="114" t="n">
        <f aca="false">IF(OR(1&gt;$B$27,ISBLANK(Actuals!C69)),"",Actuals!C69)</f>
        <v>9375</v>
      </c>
      <c r="C93" s="114" t="n">
        <f aca="false">'Reforecast Q1 2026'!C69</f>
        <v>9375</v>
      </c>
      <c r="D93" s="114" t="n">
        <f aca="false">IF(B93="","",B93-C93)</f>
        <v>0</v>
      </c>
      <c r="E93" s="114" t="n">
        <f aca="false">IF(OR(2&gt;$B$27,ISBLANK(Actuals!D69)),"",Actuals!D69)</f>
        <v>9375</v>
      </c>
      <c r="F93" s="114" t="n">
        <f aca="false">'Reforecast Q1 2026'!D69</f>
        <v>9375</v>
      </c>
      <c r="G93" s="114" t="n">
        <f aca="false">IF(E93="","",E93-F93)</f>
        <v>0</v>
      </c>
      <c r="H93" s="114" t="n">
        <f aca="false">IF(OR(3&gt;$B$27,ISBLANK(Actuals!E69)),"",Actuals!E69)</f>
        <v>9375</v>
      </c>
      <c r="I93" s="114" t="n">
        <f aca="false">'Reforecast Q1 2026'!E69</f>
        <v>9375</v>
      </c>
      <c r="J93" s="114" t="n">
        <f aca="false">IF(H93="","",H93-I93)</f>
        <v>0</v>
      </c>
      <c r="K93" s="114" t="n">
        <f aca="false">IF(OR(4&gt;$B$27,ISBLANK(Actuals!F69)),"",Actuals!F69)</f>
        <v>9375</v>
      </c>
      <c r="L93" s="114" t="n">
        <f aca="false">'Reforecast Q1 2026'!F69</f>
        <v>9375</v>
      </c>
      <c r="M93" s="114" t="n">
        <f aca="false">IF(K93="","",K93-L93)</f>
        <v>0</v>
      </c>
      <c r="N93" s="114" t="n">
        <f aca="false">IF(OR(5&gt;$B$27,ISBLANK(Actuals!G69)),"",Actuals!G69)</f>
        <v>9375</v>
      </c>
      <c r="O93" s="114" t="n">
        <f aca="false">'Reforecast Q1 2026'!G69</f>
        <v>9375</v>
      </c>
      <c r="P93" s="114" t="n">
        <f aca="false">IF(N93="","",N93-O93)</f>
        <v>0</v>
      </c>
      <c r="Q93" s="114" t="n">
        <f aca="false">IF(OR(6&gt;$B$27,ISBLANK(Actuals!H69)),"",Actuals!H69)</f>
        <v>9375</v>
      </c>
      <c r="R93" s="114" t="n">
        <f aca="false">'Reforecast Q1 2026'!H69</f>
        <v>9375</v>
      </c>
      <c r="S93" s="114" t="n">
        <f aca="false">IF(Q93="","",Q93-R93)</f>
        <v>0</v>
      </c>
      <c r="T93" s="114" t="n">
        <f aca="false">IF(OR(7&gt;$B$27,ISBLANK(Actuals!I69)),"",Actuals!I69)</f>
        <v>9375</v>
      </c>
      <c r="U93" s="114" t="n">
        <f aca="false">'Reforecast Q1 2026'!I69</f>
        <v>9375</v>
      </c>
      <c r="V93" s="114" t="n">
        <f aca="false">IF(T93="","",T93-U93)</f>
        <v>0</v>
      </c>
      <c r="W93" s="114" t="n">
        <f aca="false">IF(OR(8&gt;$B$27,ISBLANK(Actuals!J69)),"",Actuals!J69)</f>
        <v>9375</v>
      </c>
      <c r="X93" s="114" t="n">
        <f aca="false">'Reforecast Q1 2026'!J69</f>
        <v>9375</v>
      </c>
      <c r="Y93" s="114" t="n">
        <f aca="false">IF(W93="","",W93-X93)</f>
        <v>0</v>
      </c>
      <c r="Z93" s="114" t="str">
        <f aca="false">IF(OR(9&gt;$B$27,ISBLANK(Actuals!K69)),"",Actuals!K69)</f>
        <v/>
      </c>
      <c r="AA93" s="114" t="n">
        <f aca="false">'Reforecast Q1 2026'!K69</f>
        <v>9375</v>
      </c>
      <c r="AB93" s="114" t="str">
        <f aca="false">IF(Z93="","",Z93-AA93)</f>
        <v/>
      </c>
      <c r="AC93" s="114" t="str">
        <f aca="false">IF(OR(10&gt;$B$27,ISBLANK(Actuals!L69)),"",Actuals!L69)</f>
        <v/>
      </c>
      <c r="AD93" s="114" t="n">
        <f aca="false">'Reforecast Q1 2026'!L69</f>
        <v>9375</v>
      </c>
      <c r="AE93" s="114" t="str">
        <f aca="false">IF(AC93="","",AC93-AD93)</f>
        <v/>
      </c>
      <c r="AF93" s="114" t="str">
        <f aca="false">IF(OR(11&gt;$B$27,ISBLANK(Actuals!M69)),"",Actuals!M69)</f>
        <v/>
      </c>
      <c r="AG93" s="114" t="n">
        <f aca="false">'Reforecast Q1 2026'!M69</f>
        <v>0</v>
      </c>
      <c r="AH93" s="114" t="str">
        <f aca="false">IF(AF93="","",AF93-AG93)</f>
        <v/>
      </c>
      <c r="AI93" s="114" t="str">
        <f aca="false">IF(OR(12&gt;$B$27,ISBLANK(Actuals!N69)),"",Actuals!N69)</f>
        <v/>
      </c>
      <c r="AJ93" s="114" t="n">
        <f aca="false">'Reforecast Q1 2026'!N69</f>
        <v>0</v>
      </c>
      <c r="AK93" s="114" t="str">
        <f aca="false">IF(AI93="","",AI93-AJ93)</f>
        <v/>
      </c>
      <c r="AL93" s="117" t="n">
        <f aca="false">SUM(Actuals!$C69:INDEX(Actuals!$C69:$N69,$B$27))</f>
        <v>75000</v>
      </c>
      <c r="AM93" s="117" t="n">
        <f aca="false">SUM('Reforecast Q1 2026'!$C69:INDEX('Reforecast Q1 2026'!$C69:$N69,$B$27))</f>
        <v>75000</v>
      </c>
      <c r="AN93" s="117" t="n">
        <f aca="false">AL93-AM93</f>
        <v>0</v>
      </c>
    </row>
    <row r="94" customFormat="false" ht="15" hidden="true" customHeight="true" outlineLevel="1" collapsed="false">
      <c r="A94" s="110" t="s">
        <v>107</v>
      </c>
      <c r="B94" s="114" t="str">
        <f aca="false">IF(OR(1&gt;$B$27,ISBLANK(Actuals!C70)),"",Actuals!C70)</f>
        <v/>
      </c>
      <c r="C94" s="114" t="n">
        <f aca="false">'Reforecast Q1 2026'!C70</f>
        <v>0</v>
      </c>
      <c r="D94" s="114" t="str">
        <f aca="false">IF(B94="","",B94-C94)</f>
        <v/>
      </c>
      <c r="E94" s="114" t="str">
        <f aca="false">IF(OR(2&gt;$B$27,ISBLANK(Actuals!D70)),"",Actuals!D70)</f>
        <v/>
      </c>
      <c r="F94" s="114" t="n">
        <f aca="false">'Reforecast Q1 2026'!D70</f>
        <v>0</v>
      </c>
      <c r="G94" s="114" t="str">
        <f aca="false">IF(E94="","",E94-F94)</f>
        <v/>
      </c>
      <c r="H94" s="114" t="str">
        <f aca="false">IF(OR(3&gt;$B$27,ISBLANK(Actuals!E70)),"",Actuals!E70)</f>
        <v/>
      </c>
      <c r="I94" s="114" t="n">
        <f aca="false">'Reforecast Q1 2026'!E70</f>
        <v>0</v>
      </c>
      <c r="J94" s="114" t="str">
        <f aca="false">IF(H94="","",H94-I94)</f>
        <v/>
      </c>
      <c r="K94" s="114" t="str">
        <f aca="false">IF(OR(4&gt;$B$27,ISBLANK(Actuals!F70)),"",Actuals!F70)</f>
        <v/>
      </c>
      <c r="L94" s="114" t="n">
        <f aca="false">'Reforecast Q1 2026'!F70</f>
        <v>9500</v>
      </c>
      <c r="M94" s="114" t="str">
        <f aca="false">IF(K94="","",K94-L94)</f>
        <v/>
      </c>
      <c r="N94" s="114" t="str">
        <f aca="false">IF(OR(5&gt;$B$27,ISBLANK(Actuals!G70)),"",Actuals!G70)</f>
        <v/>
      </c>
      <c r="O94" s="114" t="n">
        <f aca="false">'Reforecast Q1 2026'!G70</f>
        <v>9500</v>
      </c>
      <c r="P94" s="114" t="str">
        <f aca="false">IF(N94="","",N94-O94)</f>
        <v/>
      </c>
      <c r="Q94" s="114" t="str">
        <f aca="false">IF(OR(6&gt;$B$27,ISBLANK(Actuals!H70)),"",Actuals!H70)</f>
        <v/>
      </c>
      <c r="R94" s="114" t="n">
        <f aca="false">'Reforecast Q1 2026'!H70</f>
        <v>9500</v>
      </c>
      <c r="S94" s="114" t="str">
        <f aca="false">IF(Q94="","",Q94-R94)</f>
        <v/>
      </c>
      <c r="T94" s="114" t="n">
        <f aca="false">IF(OR(7&gt;$B$27,ISBLANK(Actuals!I70)),"",Actuals!I70)</f>
        <v>44000</v>
      </c>
      <c r="U94" s="114" t="n">
        <f aca="false">'Reforecast Q1 2026'!I70</f>
        <v>9500</v>
      </c>
      <c r="V94" s="114" t="n">
        <f aca="false">IF(T94="","",T94-U94)</f>
        <v>34500</v>
      </c>
      <c r="W94" s="114" t="n">
        <f aca="false">IF(OR(8&gt;$B$27,ISBLANK(Actuals!J70)),"",Actuals!J70)</f>
        <v>19000</v>
      </c>
      <c r="X94" s="114" t="n">
        <f aca="false">'Reforecast Q1 2026'!J70</f>
        <v>9500</v>
      </c>
      <c r="Y94" s="114" t="n">
        <f aca="false">IF(W94="","",W94-X94)</f>
        <v>9500</v>
      </c>
      <c r="Z94" s="114" t="str">
        <f aca="false">IF(OR(9&gt;$B$27,ISBLANK(Actuals!K70)),"",Actuals!K70)</f>
        <v/>
      </c>
      <c r="AA94" s="114" t="n">
        <f aca="false">'Reforecast Q1 2026'!K70</f>
        <v>9500</v>
      </c>
      <c r="AB94" s="114" t="str">
        <f aca="false">IF(Z94="","",Z94-AA94)</f>
        <v/>
      </c>
      <c r="AC94" s="114" t="str">
        <f aca="false">IF(OR(10&gt;$B$27,ISBLANK(Actuals!L70)),"",Actuals!L70)</f>
        <v/>
      </c>
      <c r="AD94" s="114" t="n">
        <f aca="false">'Reforecast Q1 2026'!L70</f>
        <v>9500</v>
      </c>
      <c r="AE94" s="114" t="str">
        <f aca="false">IF(AC94="","",AC94-AD94)</f>
        <v/>
      </c>
      <c r="AF94" s="114" t="str">
        <f aca="false">IF(OR(11&gt;$B$27,ISBLANK(Actuals!M70)),"",Actuals!M70)</f>
        <v/>
      </c>
      <c r="AG94" s="114" t="n">
        <f aca="false">'Reforecast Q1 2026'!M70</f>
        <v>9500</v>
      </c>
      <c r="AH94" s="114" t="str">
        <f aca="false">IF(AF94="","",AF94-AG94)</f>
        <v/>
      </c>
      <c r="AI94" s="114" t="str">
        <f aca="false">IF(OR(12&gt;$B$27,ISBLANK(Actuals!N70)),"",Actuals!N70)</f>
        <v/>
      </c>
      <c r="AJ94" s="114" t="n">
        <f aca="false">'Reforecast Q1 2026'!N70</f>
        <v>9500</v>
      </c>
      <c r="AK94" s="114" t="str">
        <f aca="false">IF(AI94="","",AI94-AJ94)</f>
        <v/>
      </c>
      <c r="AL94" s="117" t="n">
        <f aca="false">SUM(Actuals!$C70:INDEX(Actuals!$C70:$N70,$B$27))</f>
        <v>63000</v>
      </c>
      <c r="AM94" s="117" t="n">
        <f aca="false">SUM('Reforecast Q1 2026'!$C70:INDEX('Reforecast Q1 2026'!$C70:$N70,$B$27))</f>
        <v>47500</v>
      </c>
      <c r="AN94" s="117" t="n">
        <f aca="false">AL94-AM94</f>
        <v>15500</v>
      </c>
    </row>
    <row r="95" customFormat="false" ht="15" hidden="true" customHeight="true" outlineLevel="1" collapsed="false">
      <c r="A95" s="110" t="s">
        <v>108</v>
      </c>
      <c r="B95" s="114" t="str">
        <f aca="false">IF(OR(1&gt;$B$27,ISBLANK(Actuals!C71)),"",Actuals!C71)</f>
        <v/>
      </c>
      <c r="C95" s="114" t="n">
        <f aca="false">'Reforecast Q1 2026'!C71</f>
        <v>0</v>
      </c>
      <c r="D95" s="114" t="str">
        <f aca="false">IF(B95="","",B95-C95)</f>
        <v/>
      </c>
      <c r="E95" s="114" t="str">
        <f aca="false">IF(OR(2&gt;$B$27,ISBLANK(Actuals!D71)),"",Actuals!D71)</f>
        <v/>
      </c>
      <c r="F95" s="114" t="n">
        <f aca="false">'Reforecast Q1 2026'!D71</f>
        <v>0</v>
      </c>
      <c r="G95" s="114" t="str">
        <f aca="false">IF(E95="","",E95-F95)</f>
        <v/>
      </c>
      <c r="H95" s="114" t="str">
        <f aca="false">IF(OR(3&gt;$B$27,ISBLANK(Actuals!E71)),"",Actuals!E71)</f>
        <v/>
      </c>
      <c r="I95" s="114" t="n">
        <f aca="false">'Reforecast Q1 2026'!E71</f>
        <v>0</v>
      </c>
      <c r="J95" s="114" t="str">
        <f aca="false">IF(H95="","",H95-I95)</f>
        <v/>
      </c>
      <c r="K95" s="114" t="str">
        <f aca="false">IF(OR(4&gt;$B$27,ISBLANK(Actuals!F71)),"",Actuals!F71)</f>
        <v/>
      </c>
      <c r="L95" s="114" t="n">
        <f aca="false">'Reforecast Q1 2026'!F71</f>
        <v>0</v>
      </c>
      <c r="M95" s="114" t="str">
        <f aca="false">IF(K95="","",K95-L95)</f>
        <v/>
      </c>
      <c r="N95" s="114" t="str">
        <f aca="false">IF(OR(5&gt;$B$27,ISBLANK(Actuals!G71)),"",Actuals!G71)</f>
        <v/>
      </c>
      <c r="O95" s="114" t="n">
        <f aca="false">'Reforecast Q1 2026'!G71</f>
        <v>0</v>
      </c>
      <c r="P95" s="114" t="str">
        <f aca="false">IF(N95="","",N95-O95)</f>
        <v/>
      </c>
      <c r="Q95" s="114" t="str">
        <f aca="false">IF(OR(6&gt;$B$27,ISBLANK(Actuals!H71)),"",Actuals!H71)</f>
        <v/>
      </c>
      <c r="R95" s="114" t="n">
        <f aca="false">'Reforecast Q1 2026'!H71</f>
        <v>0</v>
      </c>
      <c r="S95" s="114" t="str">
        <f aca="false">IF(Q95="","",Q95-R95)</f>
        <v/>
      </c>
      <c r="T95" s="114" t="str">
        <f aca="false">IF(OR(7&gt;$B$27,ISBLANK(Actuals!I71)),"",Actuals!I71)</f>
        <v/>
      </c>
      <c r="U95" s="114" t="n">
        <f aca="false">'Reforecast Q1 2026'!I71</f>
        <v>0</v>
      </c>
      <c r="V95" s="114" t="str">
        <f aca="false">IF(T95="","",T95-U95)</f>
        <v/>
      </c>
      <c r="W95" s="114" t="str">
        <f aca="false">IF(OR(8&gt;$B$27,ISBLANK(Actuals!J71)),"",Actuals!J71)</f>
        <v/>
      </c>
      <c r="X95" s="114" t="n">
        <f aca="false">'Reforecast Q1 2026'!J71</f>
        <v>0</v>
      </c>
      <c r="Y95" s="114" t="str">
        <f aca="false">IF(W95="","",W95-X95)</f>
        <v/>
      </c>
      <c r="Z95" s="114" t="str">
        <f aca="false">IF(OR(9&gt;$B$27,ISBLANK(Actuals!K71)),"",Actuals!K71)</f>
        <v/>
      </c>
      <c r="AA95" s="114" t="n">
        <f aca="false">'Reforecast Q1 2026'!K71</f>
        <v>0</v>
      </c>
      <c r="AB95" s="114" t="str">
        <f aca="false">IF(Z95="","",Z95-AA95)</f>
        <v/>
      </c>
      <c r="AC95" s="114" t="str">
        <f aca="false">IF(OR(10&gt;$B$27,ISBLANK(Actuals!L71)),"",Actuals!L71)</f>
        <v/>
      </c>
      <c r="AD95" s="114" t="n">
        <f aca="false">'Reforecast Q1 2026'!L71</f>
        <v>0</v>
      </c>
      <c r="AE95" s="114" t="str">
        <f aca="false">IF(AC95="","",AC95-AD95)</f>
        <v/>
      </c>
      <c r="AF95" s="114" t="str">
        <f aca="false">IF(OR(11&gt;$B$27,ISBLANK(Actuals!M71)),"",Actuals!M71)</f>
        <v/>
      </c>
      <c r="AG95" s="114" t="n">
        <f aca="false">'Reforecast Q1 2026'!M71</f>
        <v>0</v>
      </c>
      <c r="AH95" s="114" t="str">
        <f aca="false">IF(AF95="","",AF95-AG95)</f>
        <v/>
      </c>
      <c r="AI95" s="114" t="str">
        <f aca="false">IF(OR(12&gt;$B$27,ISBLANK(Actuals!N71)),"",Actuals!N71)</f>
        <v/>
      </c>
      <c r="AJ95" s="114" t="n">
        <f aca="false">'Reforecast Q1 2026'!N71</f>
        <v>0</v>
      </c>
      <c r="AK95" s="114" t="str">
        <f aca="false">IF(AI95="","",AI95-AJ95)</f>
        <v/>
      </c>
      <c r="AL95" s="117" t="n">
        <f aca="false">SUM(Actuals!$C71:INDEX(Actuals!$C71:$N71,$B$27))</f>
        <v>0</v>
      </c>
      <c r="AM95" s="117" t="n">
        <f aca="false">SUM('Reforecast Q1 2026'!$C71:INDEX('Reforecast Q1 2026'!$C71:$N71,$B$27))</f>
        <v>0</v>
      </c>
      <c r="AN95" s="117" t="n">
        <f aca="false">AL95-AM95</f>
        <v>0</v>
      </c>
    </row>
    <row r="96" customFormat="false" ht="15" hidden="true" customHeight="true" outlineLevel="1" collapsed="false">
      <c r="A96" s="110" t="s">
        <v>109</v>
      </c>
      <c r="B96" s="114" t="str">
        <f aca="false">IF(OR(1&gt;$B$27,ISBLANK(Actuals!C72)),"",Actuals!C72)</f>
        <v/>
      </c>
      <c r="C96" s="114" t="n">
        <f aca="false">'Reforecast Q1 2026'!C72</f>
        <v>0</v>
      </c>
      <c r="D96" s="114" t="str">
        <f aca="false">IF(B96="","",B96-C96)</f>
        <v/>
      </c>
      <c r="E96" s="114" t="str">
        <f aca="false">IF(OR(2&gt;$B$27,ISBLANK(Actuals!D72)),"",Actuals!D72)</f>
        <v/>
      </c>
      <c r="F96" s="114" t="n">
        <f aca="false">'Reforecast Q1 2026'!D72</f>
        <v>0</v>
      </c>
      <c r="G96" s="114" t="str">
        <f aca="false">IF(E96="","",E96-F96)</f>
        <v/>
      </c>
      <c r="H96" s="114" t="str">
        <f aca="false">IF(OR(3&gt;$B$27,ISBLANK(Actuals!E72)),"",Actuals!E72)</f>
        <v/>
      </c>
      <c r="I96" s="114" t="n">
        <f aca="false">'Reforecast Q1 2026'!E72</f>
        <v>0</v>
      </c>
      <c r="J96" s="114" t="str">
        <f aca="false">IF(H96="","",H96-I96)</f>
        <v/>
      </c>
      <c r="K96" s="114" t="str">
        <f aca="false">IF(OR(4&gt;$B$27,ISBLANK(Actuals!F72)),"",Actuals!F72)</f>
        <v/>
      </c>
      <c r="L96" s="114" t="n">
        <f aca="false">'Reforecast Q1 2026'!F72</f>
        <v>0</v>
      </c>
      <c r="M96" s="114" t="str">
        <f aca="false">IF(K96="","",K96-L96)</f>
        <v/>
      </c>
      <c r="N96" s="114" t="str">
        <f aca="false">IF(OR(5&gt;$B$27,ISBLANK(Actuals!G72)),"",Actuals!G72)</f>
        <v/>
      </c>
      <c r="O96" s="114" t="n">
        <f aca="false">'Reforecast Q1 2026'!G72</f>
        <v>0</v>
      </c>
      <c r="P96" s="114" t="str">
        <f aca="false">IF(N96="","",N96-O96)</f>
        <v/>
      </c>
      <c r="Q96" s="114" t="str">
        <f aca="false">IF(OR(6&gt;$B$27,ISBLANK(Actuals!H72)),"",Actuals!H72)</f>
        <v/>
      </c>
      <c r="R96" s="114" t="n">
        <f aca="false">'Reforecast Q1 2026'!H72</f>
        <v>0</v>
      </c>
      <c r="S96" s="114" t="str">
        <f aca="false">IF(Q96="","",Q96-R96)</f>
        <v/>
      </c>
      <c r="T96" s="114" t="str">
        <f aca="false">IF(OR(7&gt;$B$27,ISBLANK(Actuals!I72)),"",Actuals!I72)</f>
        <v/>
      </c>
      <c r="U96" s="114" t="n">
        <f aca="false">'Reforecast Q1 2026'!I72</f>
        <v>0</v>
      </c>
      <c r="V96" s="114" t="str">
        <f aca="false">IF(T96="","",T96-U96)</f>
        <v/>
      </c>
      <c r="W96" s="114" t="str">
        <f aca="false">IF(OR(8&gt;$B$27,ISBLANK(Actuals!J72)),"",Actuals!J72)</f>
        <v/>
      </c>
      <c r="X96" s="114" t="n">
        <f aca="false">'Reforecast Q1 2026'!J72</f>
        <v>0</v>
      </c>
      <c r="Y96" s="114" t="str">
        <f aca="false">IF(W96="","",W96-X96)</f>
        <v/>
      </c>
      <c r="Z96" s="114" t="str">
        <f aca="false">IF(OR(9&gt;$B$27,ISBLANK(Actuals!K72)),"",Actuals!K72)</f>
        <v/>
      </c>
      <c r="AA96" s="114" t="n">
        <f aca="false">'Reforecast Q1 2026'!K72</f>
        <v>0</v>
      </c>
      <c r="AB96" s="114" t="str">
        <f aca="false">IF(Z96="","",Z96-AA96)</f>
        <v/>
      </c>
      <c r="AC96" s="114" t="str">
        <f aca="false">IF(OR(10&gt;$B$27,ISBLANK(Actuals!L72)),"",Actuals!L72)</f>
        <v/>
      </c>
      <c r="AD96" s="114" t="n">
        <f aca="false">'Reforecast Q1 2026'!L72</f>
        <v>0</v>
      </c>
      <c r="AE96" s="114" t="str">
        <f aca="false">IF(AC96="","",AC96-AD96)</f>
        <v/>
      </c>
      <c r="AF96" s="114" t="str">
        <f aca="false">IF(OR(11&gt;$B$27,ISBLANK(Actuals!M72)),"",Actuals!M72)</f>
        <v/>
      </c>
      <c r="AG96" s="114" t="n">
        <f aca="false">'Reforecast Q1 2026'!M72</f>
        <v>0</v>
      </c>
      <c r="AH96" s="114" t="str">
        <f aca="false">IF(AF96="","",AF96-AG96)</f>
        <v/>
      </c>
      <c r="AI96" s="114" t="str">
        <f aca="false">IF(OR(12&gt;$B$27,ISBLANK(Actuals!N72)),"",Actuals!N72)</f>
        <v/>
      </c>
      <c r="AJ96" s="114" t="n">
        <f aca="false">'Reforecast Q1 2026'!N72</f>
        <v>0</v>
      </c>
      <c r="AK96" s="114" t="str">
        <f aca="false">IF(AI96="","",AI96-AJ96)</f>
        <v/>
      </c>
      <c r="AL96" s="117" t="n">
        <f aca="false">SUM(Actuals!$C72:INDEX(Actuals!$C72:$N72,$B$27))</f>
        <v>0</v>
      </c>
      <c r="AM96" s="117" t="n">
        <f aca="false">SUM('Reforecast Q1 2026'!$C72:INDEX('Reforecast Q1 2026'!$C72:$N72,$B$27))</f>
        <v>0</v>
      </c>
      <c r="AN96" s="117" t="n">
        <f aca="false">AL96-AM96</f>
        <v>0</v>
      </c>
    </row>
    <row r="97" customFormat="false" ht="15" hidden="true" customHeight="true" outlineLevel="1" collapsed="false">
      <c r="A97" s="110" t="s">
        <v>110</v>
      </c>
      <c r="B97" s="114" t="str">
        <f aca="false">IF(OR(1&gt;$B$27,ISBLANK(Actuals!C73)),"",Actuals!C73)</f>
        <v/>
      </c>
      <c r="C97" s="114" t="n">
        <f aca="false">'Reforecast Q1 2026'!C73</f>
        <v>0</v>
      </c>
      <c r="D97" s="114" t="str">
        <f aca="false">IF(B97="","",B97-C97)</f>
        <v/>
      </c>
      <c r="E97" s="114" t="str">
        <f aca="false">IF(OR(2&gt;$B$27,ISBLANK(Actuals!D73)),"",Actuals!D73)</f>
        <v/>
      </c>
      <c r="F97" s="114" t="n">
        <f aca="false">'Reforecast Q1 2026'!D73</f>
        <v>0</v>
      </c>
      <c r="G97" s="114" t="str">
        <f aca="false">IF(E97="","",E97-F97)</f>
        <v/>
      </c>
      <c r="H97" s="114" t="str">
        <f aca="false">IF(OR(3&gt;$B$27,ISBLANK(Actuals!E73)),"",Actuals!E73)</f>
        <v/>
      </c>
      <c r="I97" s="114" t="n">
        <f aca="false">'Reforecast Q1 2026'!E73</f>
        <v>0</v>
      </c>
      <c r="J97" s="114" t="str">
        <f aca="false">IF(H97="","",H97-I97)</f>
        <v/>
      </c>
      <c r="K97" s="114" t="str">
        <f aca="false">IF(OR(4&gt;$B$27,ISBLANK(Actuals!F73)),"",Actuals!F73)</f>
        <v/>
      </c>
      <c r="L97" s="114" t="n">
        <f aca="false">'Reforecast Q1 2026'!F73</f>
        <v>0</v>
      </c>
      <c r="M97" s="114" t="str">
        <f aca="false">IF(K97="","",K97-L97)</f>
        <v/>
      </c>
      <c r="N97" s="114" t="str">
        <f aca="false">IF(OR(5&gt;$B$27,ISBLANK(Actuals!G73)),"",Actuals!G73)</f>
        <v/>
      </c>
      <c r="O97" s="114" t="n">
        <f aca="false">'Reforecast Q1 2026'!G73</f>
        <v>0</v>
      </c>
      <c r="P97" s="114" t="str">
        <f aca="false">IF(N97="","",N97-O97)</f>
        <v/>
      </c>
      <c r="Q97" s="114" t="str">
        <f aca="false">IF(OR(6&gt;$B$27,ISBLANK(Actuals!H73)),"",Actuals!H73)</f>
        <v/>
      </c>
      <c r="R97" s="114" t="n">
        <f aca="false">'Reforecast Q1 2026'!H73</f>
        <v>0</v>
      </c>
      <c r="S97" s="114" t="str">
        <f aca="false">IF(Q97="","",Q97-R97)</f>
        <v/>
      </c>
      <c r="T97" s="114" t="str">
        <f aca="false">IF(OR(7&gt;$B$27,ISBLANK(Actuals!I73)),"",Actuals!I73)</f>
        <v/>
      </c>
      <c r="U97" s="114" t="n">
        <f aca="false">'Reforecast Q1 2026'!I73</f>
        <v>0</v>
      </c>
      <c r="V97" s="114" t="str">
        <f aca="false">IF(T97="","",T97-U97)</f>
        <v/>
      </c>
      <c r="W97" s="114" t="str">
        <f aca="false">IF(OR(8&gt;$B$27,ISBLANK(Actuals!J73)),"",Actuals!J73)</f>
        <v/>
      </c>
      <c r="X97" s="114" t="n">
        <f aca="false">'Reforecast Q1 2026'!J73</f>
        <v>0</v>
      </c>
      <c r="Y97" s="114" t="str">
        <f aca="false">IF(W97="","",W97-X97)</f>
        <v/>
      </c>
      <c r="Z97" s="114" t="str">
        <f aca="false">IF(OR(9&gt;$B$27,ISBLANK(Actuals!K73)),"",Actuals!K73)</f>
        <v/>
      </c>
      <c r="AA97" s="114" t="n">
        <f aca="false">'Reforecast Q1 2026'!K73</f>
        <v>0</v>
      </c>
      <c r="AB97" s="114" t="str">
        <f aca="false">IF(Z97="","",Z97-AA97)</f>
        <v/>
      </c>
      <c r="AC97" s="114" t="str">
        <f aca="false">IF(OR(10&gt;$B$27,ISBLANK(Actuals!L73)),"",Actuals!L73)</f>
        <v/>
      </c>
      <c r="AD97" s="114" t="n">
        <f aca="false">'Reforecast Q1 2026'!L73</f>
        <v>0</v>
      </c>
      <c r="AE97" s="114" t="str">
        <f aca="false">IF(AC97="","",AC97-AD97)</f>
        <v/>
      </c>
      <c r="AF97" s="114" t="str">
        <f aca="false">IF(OR(11&gt;$B$27,ISBLANK(Actuals!M73)),"",Actuals!M73)</f>
        <v/>
      </c>
      <c r="AG97" s="114" t="n">
        <f aca="false">'Reforecast Q1 2026'!M73</f>
        <v>0</v>
      </c>
      <c r="AH97" s="114" t="str">
        <f aca="false">IF(AF97="","",AF97-AG97)</f>
        <v/>
      </c>
      <c r="AI97" s="114" t="str">
        <f aca="false">IF(OR(12&gt;$B$27,ISBLANK(Actuals!N73)),"",Actuals!N73)</f>
        <v/>
      </c>
      <c r="AJ97" s="114" t="n">
        <f aca="false">'Reforecast Q1 2026'!N73</f>
        <v>0</v>
      </c>
      <c r="AK97" s="114" t="str">
        <f aca="false">IF(AI97="","",AI97-AJ97)</f>
        <v/>
      </c>
      <c r="AL97" s="117" t="n">
        <f aca="false">SUM(Actuals!$C73:INDEX(Actuals!$C73:$N73,$B$27))</f>
        <v>0</v>
      </c>
      <c r="AM97" s="117" t="n">
        <f aca="false">SUM('Reforecast Q1 2026'!$C73:INDEX('Reforecast Q1 2026'!$C73:$N73,$B$27))</f>
        <v>0</v>
      </c>
      <c r="AN97" s="117" t="n">
        <f aca="false">AL97-AM97</f>
        <v>0</v>
      </c>
    </row>
    <row r="98" customFormat="false" ht="15" hidden="true" customHeight="true" outlineLevel="1" collapsed="false">
      <c r="A98" s="110" t="s">
        <v>111</v>
      </c>
      <c r="B98" s="114" t="str">
        <f aca="false">IF(OR(1&gt;$B$27,ISBLANK(Actuals!C74)),"",Actuals!C74)</f>
        <v/>
      </c>
      <c r="C98" s="114" t="n">
        <f aca="false">'Reforecast Q1 2026'!C74</f>
        <v>0</v>
      </c>
      <c r="D98" s="114" t="str">
        <f aca="false">IF(B98="","",B98-C98)</f>
        <v/>
      </c>
      <c r="E98" s="114" t="str">
        <f aca="false">IF(OR(2&gt;$B$27,ISBLANK(Actuals!D74)),"",Actuals!D74)</f>
        <v/>
      </c>
      <c r="F98" s="114" t="n">
        <f aca="false">'Reforecast Q1 2026'!D74</f>
        <v>0</v>
      </c>
      <c r="G98" s="114" t="str">
        <f aca="false">IF(E98="","",E98-F98)</f>
        <v/>
      </c>
      <c r="H98" s="114" t="str">
        <f aca="false">IF(OR(3&gt;$B$27,ISBLANK(Actuals!E74)),"",Actuals!E74)</f>
        <v/>
      </c>
      <c r="I98" s="114" t="n">
        <f aca="false">'Reforecast Q1 2026'!E74</f>
        <v>0</v>
      </c>
      <c r="J98" s="114" t="str">
        <f aca="false">IF(H98="","",H98-I98)</f>
        <v/>
      </c>
      <c r="K98" s="114" t="str">
        <f aca="false">IF(OR(4&gt;$B$27,ISBLANK(Actuals!F74)),"",Actuals!F74)</f>
        <v/>
      </c>
      <c r="L98" s="114" t="n">
        <f aca="false">'Reforecast Q1 2026'!F74</f>
        <v>0</v>
      </c>
      <c r="M98" s="114" t="str">
        <f aca="false">IF(K98="","",K98-L98)</f>
        <v/>
      </c>
      <c r="N98" s="114" t="str">
        <f aca="false">IF(OR(5&gt;$B$27,ISBLANK(Actuals!G74)),"",Actuals!G74)</f>
        <v/>
      </c>
      <c r="O98" s="114" t="n">
        <f aca="false">'Reforecast Q1 2026'!G74</f>
        <v>0</v>
      </c>
      <c r="P98" s="114" t="str">
        <f aca="false">IF(N98="","",N98-O98)</f>
        <v/>
      </c>
      <c r="Q98" s="114" t="str">
        <f aca="false">IF(OR(6&gt;$B$27,ISBLANK(Actuals!H74)),"",Actuals!H74)</f>
        <v/>
      </c>
      <c r="R98" s="114" t="n">
        <f aca="false">'Reforecast Q1 2026'!H74</f>
        <v>0</v>
      </c>
      <c r="S98" s="114" t="str">
        <f aca="false">IF(Q98="","",Q98-R98)</f>
        <v/>
      </c>
      <c r="T98" s="114" t="str">
        <f aca="false">IF(OR(7&gt;$B$27,ISBLANK(Actuals!I74)),"",Actuals!I74)</f>
        <v/>
      </c>
      <c r="U98" s="114" t="n">
        <f aca="false">'Reforecast Q1 2026'!I74</f>
        <v>0</v>
      </c>
      <c r="V98" s="114" t="str">
        <f aca="false">IF(T98="","",T98-U98)</f>
        <v/>
      </c>
      <c r="W98" s="114" t="str">
        <f aca="false">IF(OR(8&gt;$B$27,ISBLANK(Actuals!J74)),"",Actuals!J74)</f>
        <v/>
      </c>
      <c r="X98" s="114" t="n">
        <f aca="false">'Reforecast Q1 2026'!J74</f>
        <v>0</v>
      </c>
      <c r="Y98" s="114" t="str">
        <f aca="false">IF(W98="","",W98-X98)</f>
        <v/>
      </c>
      <c r="Z98" s="114" t="str">
        <f aca="false">IF(OR(9&gt;$B$27,ISBLANK(Actuals!K74)),"",Actuals!K74)</f>
        <v/>
      </c>
      <c r="AA98" s="114" t="n">
        <f aca="false">'Reforecast Q1 2026'!K74</f>
        <v>0</v>
      </c>
      <c r="AB98" s="114" t="str">
        <f aca="false">IF(Z98="","",Z98-AA98)</f>
        <v/>
      </c>
      <c r="AC98" s="114" t="str">
        <f aca="false">IF(OR(10&gt;$B$27,ISBLANK(Actuals!L74)),"",Actuals!L74)</f>
        <v/>
      </c>
      <c r="AD98" s="114" t="n">
        <f aca="false">'Reforecast Q1 2026'!L74</f>
        <v>0</v>
      </c>
      <c r="AE98" s="114" t="str">
        <f aca="false">IF(AC98="","",AC98-AD98)</f>
        <v/>
      </c>
      <c r="AF98" s="114" t="str">
        <f aca="false">IF(OR(11&gt;$B$27,ISBLANK(Actuals!M74)),"",Actuals!M74)</f>
        <v/>
      </c>
      <c r="AG98" s="114" t="n">
        <f aca="false">'Reforecast Q1 2026'!M74</f>
        <v>0</v>
      </c>
      <c r="AH98" s="114" t="str">
        <f aca="false">IF(AF98="","",AF98-AG98)</f>
        <v/>
      </c>
      <c r="AI98" s="114" t="str">
        <f aca="false">IF(OR(12&gt;$B$27,ISBLANK(Actuals!N74)),"",Actuals!N74)</f>
        <v/>
      </c>
      <c r="AJ98" s="114" t="n">
        <f aca="false">'Reforecast Q1 2026'!N74</f>
        <v>0</v>
      </c>
      <c r="AK98" s="114" t="str">
        <f aca="false">IF(AI98="","",AI98-AJ98)</f>
        <v/>
      </c>
      <c r="AL98" s="117" t="n">
        <f aca="false">SUM(Actuals!$C74:INDEX(Actuals!$C74:$N74,$B$27))</f>
        <v>0</v>
      </c>
      <c r="AM98" s="117" t="n">
        <f aca="false">SUM('Reforecast Q1 2026'!$C74:INDEX('Reforecast Q1 2026'!$C74:$N74,$B$27))</f>
        <v>0</v>
      </c>
      <c r="AN98" s="117" t="n">
        <f aca="false">AL98-AM98</f>
        <v>0</v>
      </c>
    </row>
    <row r="99" customFormat="false" ht="15" hidden="true" customHeight="true" outlineLevel="1" collapsed="false">
      <c r="A99" s="110" t="s">
        <v>112</v>
      </c>
      <c r="B99" s="114" t="str">
        <f aca="false">IF(OR(1&gt;$B$27,ISBLANK(Actuals!C75)),"",Actuals!C75)</f>
        <v/>
      </c>
      <c r="C99" s="114" t="n">
        <f aca="false">'Reforecast Q1 2026'!C75</f>
        <v>0</v>
      </c>
      <c r="D99" s="114" t="str">
        <f aca="false">IF(B99="","",B99-C99)</f>
        <v/>
      </c>
      <c r="E99" s="114" t="str">
        <f aca="false">IF(OR(2&gt;$B$27,ISBLANK(Actuals!D75)),"",Actuals!D75)</f>
        <v/>
      </c>
      <c r="F99" s="114" t="n">
        <f aca="false">'Reforecast Q1 2026'!D75</f>
        <v>0</v>
      </c>
      <c r="G99" s="114" t="str">
        <f aca="false">IF(E99="","",E99-F99)</f>
        <v/>
      </c>
      <c r="H99" s="114" t="str">
        <f aca="false">IF(OR(3&gt;$B$27,ISBLANK(Actuals!E75)),"",Actuals!E75)</f>
        <v/>
      </c>
      <c r="I99" s="114" t="n">
        <f aca="false">'Reforecast Q1 2026'!E75</f>
        <v>0</v>
      </c>
      <c r="J99" s="114" t="str">
        <f aca="false">IF(H99="","",H99-I99)</f>
        <v/>
      </c>
      <c r="K99" s="114" t="str">
        <f aca="false">IF(OR(4&gt;$B$27,ISBLANK(Actuals!F75)),"",Actuals!F75)</f>
        <v/>
      </c>
      <c r="L99" s="114" t="n">
        <f aca="false">'Reforecast Q1 2026'!F75</f>
        <v>0</v>
      </c>
      <c r="M99" s="114" t="str">
        <f aca="false">IF(K99="","",K99-L99)</f>
        <v/>
      </c>
      <c r="N99" s="114" t="str">
        <f aca="false">IF(OR(5&gt;$B$27,ISBLANK(Actuals!G75)),"",Actuals!G75)</f>
        <v/>
      </c>
      <c r="O99" s="114" t="n">
        <f aca="false">'Reforecast Q1 2026'!G75</f>
        <v>0</v>
      </c>
      <c r="P99" s="114" t="str">
        <f aca="false">IF(N99="","",N99-O99)</f>
        <v/>
      </c>
      <c r="Q99" s="114" t="str">
        <f aca="false">IF(OR(6&gt;$B$27,ISBLANK(Actuals!H75)),"",Actuals!H75)</f>
        <v/>
      </c>
      <c r="R99" s="114" t="n">
        <f aca="false">'Reforecast Q1 2026'!H75</f>
        <v>0</v>
      </c>
      <c r="S99" s="114" t="str">
        <f aca="false">IF(Q99="","",Q99-R99)</f>
        <v/>
      </c>
      <c r="T99" s="114" t="str">
        <f aca="false">IF(OR(7&gt;$B$27,ISBLANK(Actuals!I75)),"",Actuals!I75)</f>
        <v/>
      </c>
      <c r="U99" s="114" t="n">
        <f aca="false">'Reforecast Q1 2026'!I75</f>
        <v>0</v>
      </c>
      <c r="V99" s="114" t="str">
        <f aca="false">IF(T99="","",T99-U99)</f>
        <v/>
      </c>
      <c r="W99" s="114" t="str">
        <f aca="false">IF(OR(8&gt;$B$27,ISBLANK(Actuals!J75)),"",Actuals!J75)</f>
        <v/>
      </c>
      <c r="X99" s="114" t="n">
        <f aca="false">'Reforecast Q1 2026'!J75</f>
        <v>0</v>
      </c>
      <c r="Y99" s="114" t="str">
        <f aca="false">IF(W99="","",W99-X99)</f>
        <v/>
      </c>
      <c r="Z99" s="114" t="str">
        <f aca="false">IF(OR(9&gt;$B$27,ISBLANK(Actuals!K75)),"",Actuals!K75)</f>
        <v/>
      </c>
      <c r="AA99" s="114" t="n">
        <f aca="false">'Reforecast Q1 2026'!K75</f>
        <v>0</v>
      </c>
      <c r="AB99" s="114" t="str">
        <f aca="false">IF(Z99="","",Z99-AA99)</f>
        <v/>
      </c>
      <c r="AC99" s="114" t="str">
        <f aca="false">IF(OR(10&gt;$B$27,ISBLANK(Actuals!L75)),"",Actuals!L75)</f>
        <v/>
      </c>
      <c r="AD99" s="114" t="n">
        <f aca="false">'Reforecast Q1 2026'!L75</f>
        <v>0</v>
      </c>
      <c r="AE99" s="114" t="str">
        <f aca="false">IF(AC99="","",AC99-AD99)</f>
        <v/>
      </c>
      <c r="AF99" s="114" t="str">
        <f aca="false">IF(OR(11&gt;$B$27,ISBLANK(Actuals!M75)),"",Actuals!M75)</f>
        <v/>
      </c>
      <c r="AG99" s="114" t="n">
        <f aca="false">'Reforecast Q1 2026'!M75</f>
        <v>0</v>
      </c>
      <c r="AH99" s="114" t="str">
        <f aca="false">IF(AF99="","",AF99-AG99)</f>
        <v/>
      </c>
      <c r="AI99" s="114" t="str">
        <f aca="false">IF(OR(12&gt;$B$27,ISBLANK(Actuals!N75)),"",Actuals!N75)</f>
        <v/>
      </c>
      <c r="AJ99" s="114" t="n">
        <f aca="false">'Reforecast Q1 2026'!N75</f>
        <v>0</v>
      </c>
      <c r="AK99" s="114" t="str">
        <f aca="false">IF(AI99="","",AI99-AJ99)</f>
        <v/>
      </c>
      <c r="AL99" s="117" t="n">
        <f aca="false">SUM(Actuals!$C75:INDEX(Actuals!$C75:$N75,$B$27))</f>
        <v>0</v>
      </c>
      <c r="AM99" s="117" t="n">
        <f aca="false">SUM('Reforecast Q1 2026'!$C75:INDEX('Reforecast Q1 2026'!$C75:$N75,$B$27))</f>
        <v>0</v>
      </c>
      <c r="AN99" s="117" t="n">
        <f aca="false">AL99-AM99</f>
        <v>0</v>
      </c>
    </row>
    <row r="100" customFormat="false" ht="15" hidden="true" customHeight="true" outlineLevel="1" collapsed="false">
      <c r="A100" s="110" t="s">
        <v>113</v>
      </c>
      <c r="B100" s="114" t="str">
        <f aca="false">IF(OR(1&gt;$B$27,ISBLANK(Actuals!C76)),"",Actuals!C76)</f>
        <v/>
      </c>
      <c r="C100" s="114" t="n">
        <f aca="false">'Reforecast Q1 2026'!C76</f>
        <v>0</v>
      </c>
      <c r="D100" s="114" t="str">
        <f aca="false">IF(B100="","",B100-C100)</f>
        <v/>
      </c>
      <c r="E100" s="114" t="str">
        <f aca="false">IF(OR(2&gt;$B$27,ISBLANK(Actuals!D76)),"",Actuals!D76)</f>
        <v/>
      </c>
      <c r="F100" s="114" t="n">
        <f aca="false">'Reforecast Q1 2026'!D76</f>
        <v>0</v>
      </c>
      <c r="G100" s="114" t="str">
        <f aca="false">IF(E100="","",E100-F100)</f>
        <v/>
      </c>
      <c r="H100" s="114" t="str">
        <f aca="false">IF(OR(3&gt;$B$27,ISBLANK(Actuals!E76)),"",Actuals!E76)</f>
        <v/>
      </c>
      <c r="I100" s="114" t="n">
        <f aca="false">'Reforecast Q1 2026'!E76</f>
        <v>0</v>
      </c>
      <c r="J100" s="114" t="str">
        <f aca="false">IF(H100="","",H100-I100)</f>
        <v/>
      </c>
      <c r="K100" s="114" t="str">
        <f aca="false">IF(OR(4&gt;$B$27,ISBLANK(Actuals!F76)),"",Actuals!F76)</f>
        <v/>
      </c>
      <c r="L100" s="114" t="n">
        <f aca="false">'Reforecast Q1 2026'!F76</f>
        <v>0</v>
      </c>
      <c r="M100" s="114" t="str">
        <f aca="false">IF(K100="","",K100-L100)</f>
        <v/>
      </c>
      <c r="N100" s="114" t="str">
        <f aca="false">IF(OR(5&gt;$B$27,ISBLANK(Actuals!G76)),"",Actuals!G76)</f>
        <v/>
      </c>
      <c r="O100" s="114" t="n">
        <f aca="false">'Reforecast Q1 2026'!G76</f>
        <v>0</v>
      </c>
      <c r="P100" s="114" t="str">
        <f aca="false">IF(N100="","",N100-O100)</f>
        <v/>
      </c>
      <c r="Q100" s="114" t="str">
        <f aca="false">IF(OR(6&gt;$B$27,ISBLANK(Actuals!H76)),"",Actuals!H76)</f>
        <v/>
      </c>
      <c r="R100" s="114" t="n">
        <f aca="false">'Reforecast Q1 2026'!H76</f>
        <v>0</v>
      </c>
      <c r="S100" s="114" t="str">
        <f aca="false">IF(Q100="","",Q100-R100)</f>
        <v/>
      </c>
      <c r="T100" s="114" t="str">
        <f aca="false">IF(OR(7&gt;$B$27,ISBLANK(Actuals!I76)),"",Actuals!I76)</f>
        <v/>
      </c>
      <c r="U100" s="114" t="n">
        <f aca="false">'Reforecast Q1 2026'!I76</f>
        <v>0</v>
      </c>
      <c r="V100" s="114" t="str">
        <f aca="false">IF(T100="","",T100-U100)</f>
        <v/>
      </c>
      <c r="W100" s="114" t="str">
        <f aca="false">IF(OR(8&gt;$B$27,ISBLANK(Actuals!J76)),"",Actuals!J76)</f>
        <v/>
      </c>
      <c r="X100" s="114" t="n">
        <f aca="false">'Reforecast Q1 2026'!J76</f>
        <v>0</v>
      </c>
      <c r="Y100" s="114" t="str">
        <f aca="false">IF(W100="","",W100-X100)</f>
        <v/>
      </c>
      <c r="Z100" s="114" t="str">
        <f aca="false">IF(OR(9&gt;$B$27,ISBLANK(Actuals!K76)),"",Actuals!K76)</f>
        <v/>
      </c>
      <c r="AA100" s="114" t="n">
        <f aca="false">'Reforecast Q1 2026'!K76</f>
        <v>0</v>
      </c>
      <c r="AB100" s="114" t="str">
        <f aca="false">IF(Z100="","",Z100-AA100)</f>
        <v/>
      </c>
      <c r="AC100" s="114" t="str">
        <f aca="false">IF(OR(10&gt;$B$27,ISBLANK(Actuals!L76)),"",Actuals!L76)</f>
        <v/>
      </c>
      <c r="AD100" s="114" t="n">
        <f aca="false">'Reforecast Q1 2026'!L76</f>
        <v>0</v>
      </c>
      <c r="AE100" s="114" t="str">
        <f aca="false">IF(AC100="","",AC100-AD100)</f>
        <v/>
      </c>
      <c r="AF100" s="114" t="str">
        <f aca="false">IF(OR(11&gt;$B$27,ISBLANK(Actuals!M76)),"",Actuals!M76)</f>
        <v/>
      </c>
      <c r="AG100" s="114" t="n">
        <f aca="false">'Reforecast Q1 2026'!M76</f>
        <v>0</v>
      </c>
      <c r="AH100" s="114" t="str">
        <f aca="false">IF(AF100="","",AF100-AG100)</f>
        <v/>
      </c>
      <c r="AI100" s="114" t="str">
        <f aca="false">IF(OR(12&gt;$B$27,ISBLANK(Actuals!N76)),"",Actuals!N76)</f>
        <v/>
      </c>
      <c r="AJ100" s="114" t="n">
        <f aca="false">'Reforecast Q1 2026'!N76</f>
        <v>0</v>
      </c>
      <c r="AK100" s="114" t="str">
        <f aca="false">IF(AI100="","",AI100-AJ100)</f>
        <v/>
      </c>
      <c r="AL100" s="117" t="n">
        <f aca="false">SUM(Actuals!$C76:INDEX(Actuals!$C76:$N76,$B$27))</f>
        <v>0</v>
      </c>
      <c r="AM100" s="117" t="n">
        <f aca="false">SUM('Reforecast Q1 2026'!$C76:INDEX('Reforecast Q1 2026'!$C76:$N76,$B$27))</f>
        <v>0</v>
      </c>
      <c r="AN100" s="117" t="n">
        <f aca="false">AL100-AM100</f>
        <v>0</v>
      </c>
    </row>
    <row r="101" customFormat="false" ht="15" hidden="true" customHeight="true" outlineLevel="1" collapsed="false">
      <c r="A101" s="110" t="s">
        <v>114</v>
      </c>
      <c r="B101" s="114" t="str">
        <f aca="false">IF(OR(1&gt;$B$27,ISBLANK(Actuals!C77)),"",Actuals!C77)</f>
        <v/>
      </c>
      <c r="C101" s="114" t="n">
        <f aca="false">'Reforecast Q1 2026'!C77</f>
        <v>0</v>
      </c>
      <c r="D101" s="114" t="str">
        <f aca="false">IF(B101="","",B101-C101)</f>
        <v/>
      </c>
      <c r="E101" s="114" t="str">
        <f aca="false">IF(OR(2&gt;$B$27,ISBLANK(Actuals!D77)),"",Actuals!D77)</f>
        <v/>
      </c>
      <c r="F101" s="114" t="n">
        <f aca="false">'Reforecast Q1 2026'!D77</f>
        <v>0</v>
      </c>
      <c r="G101" s="114" t="str">
        <f aca="false">IF(E101="","",E101-F101)</f>
        <v/>
      </c>
      <c r="H101" s="114" t="str">
        <f aca="false">IF(OR(3&gt;$B$27,ISBLANK(Actuals!E77)),"",Actuals!E77)</f>
        <v/>
      </c>
      <c r="I101" s="114" t="n">
        <f aca="false">'Reforecast Q1 2026'!E77</f>
        <v>0</v>
      </c>
      <c r="J101" s="114" t="str">
        <f aca="false">IF(H101="","",H101-I101)</f>
        <v/>
      </c>
      <c r="K101" s="114" t="str">
        <f aca="false">IF(OR(4&gt;$B$27,ISBLANK(Actuals!F77)),"",Actuals!F77)</f>
        <v/>
      </c>
      <c r="L101" s="114" t="n">
        <f aca="false">'Reforecast Q1 2026'!F77</f>
        <v>0</v>
      </c>
      <c r="M101" s="114" t="str">
        <f aca="false">IF(K101="","",K101-L101)</f>
        <v/>
      </c>
      <c r="N101" s="114" t="str">
        <f aca="false">IF(OR(5&gt;$B$27,ISBLANK(Actuals!G77)),"",Actuals!G77)</f>
        <v/>
      </c>
      <c r="O101" s="114" t="n">
        <f aca="false">'Reforecast Q1 2026'!G77</f>
        <v>0</v>
      </c>
      <c r="P101" s="114" t="str">
        <f aca="false">IF(N101="","",N101-O101)</f>
        <v/>
      </c>
      <c r="Q101" s="114" t="str">
        <f aca="false">IF(OR(6&gt;$B$27,ISBLANK(Actuals!H77)),"",Actuals!H77)</f>
        <v/>
      </c>
      <c r="R101" s="114" t="n">
        <f aca="false">'Reforecast Q1 2026'!H77</f>
        <v>0</v>
      </c>
      <c r="S101" s="114" t="str">
        <f aca="false">IF(Q101="","",Q101-R101)</f>
        <v/>
      </c>
      <c r="T101" s="114" t="str">
        <f aca="false">IF(OR(7&gt;$B$27,ISBLANK(Actuals!I77)),"",Actuals!I77)</f>
        <v/>
      </c>
      <c r="U101" s="114" t="n">
        <f aca="false">'Reforecast Q1 2026'!I77</f>
        <v>0</v>
      </c>
      <c r="V101" s="114" t="str">
        <f aca="false">IF(T101="","",T101-U101)</f>
        <v/>
      </c>
      <c r="W101" s="114" t="n">
        <f aca="false">IF(OR(8&gt;$B$27,ISBLANK(Actuals!J77)),"",Actuals!J77)</f>
        <v>127514</v>
      </c>
      <c r="X101" s="114" t="n">
        <f aca="false">'Reforecast Q1 2026'!J77</f>
        <v>0</v>
      </c>
      <c r="Y101" s="114" t="n">
        <f aca="false">IF(W101="","",W101-X101)</f>
        <v>127514</v>
      </c>
      <c r="Z101" s="114" t="str">
        <f aca="false">IF(OR(9&gt;$B$27,ISBLANK(Actuals!K77)),"",Actuals!K77)</f>
        <v/>
      </c>
      <c r="AA101" s="114" t="n">
        <f aca="false">'Reforecast Q1 2026'!K77</f>
        <v>0</v>
      </c>
      <c r="AB101" s="114" t="str">
        <f aca="false">IF(Z101="","",Z101-AA101)</f>
        <v/>
      </c>
      <c r="AC101" s="114" t="str">
        <f aca="false">IF(OR(10&gt;$B$27,ISBLANK(Actuals!L77)),"",Actuals!L77)</f>
        <v/>
      </c>
      <c r="AD101" s="114" t="n">
        <f aca="false">'Reforecast Q1 2026'!L77</f>
        <v>0</v>
      </c>
      <c r="AE101" s="114" t="str">
        <f aca="false">IF(AC101="","",AC101-AD101)</f>
        <v/>
      </c>
      <c r="AF101" s="114" t="str">
        <f aca="false">IF(OR(11&gt;$B$27,ISBLANK(Actuals!M77)),"",Actuals!M77)</f>
        <v/>
      </c>
      <c r="AG101" s="114" t="n">
        <f aca="false">'Reforecast Q1 2026'!M77</f>
        <v>0</v>
      </c>
      <c r="AH101" s="114" t="str">
        <f aca="false">IF(AF101="","",AF101-AG101)</f>
        <v/>
      </c>
      <c r="AI101" s="114" t="str">
        <f aca="false">IF(OR(12&gt;$B$27,ISBLANK(Actuals!N77)),"",Actuals!N77)</f>
        <v/>
      </c>
      <c r="AJ101" s="114" t="n">
        <f aca="false">'Reforecast Q1 2026'!N77</f>
        <v>0</v>
      </c>
      <c r="AK101" s="114" t="str">
        <f aca="false">IF(AI101="","",AI101-AJ101)</f>
        <v/>
      </c>
      <c r="AL101" s="117" t="n">
        <f aca="false">SUM(Actuals!$C77:INDEX(Actuals!$C77:$N77,$B$27))</f>
        <v>127514</v>
      </c>
      <c r="AM101" s="117" t="n">
        <f aca="false">SUM('Reforecast Q1 2026'!$C77:INDEX('Reforecast Q1 2026'!$C77:$N77,$B$27))</f>
        <v>0</v>
      </c>
      <c r="AN101" s="117" t="n">
        <f aca="false">AL101-AM101</f>
        <v>127514</v>
      </c>
    </row>
    <row r="102" customFormat="false" ht="15" hidden="true" customHeight="true" outlineLevel="1" collapsed="false">
      <c r="A102" s="110" t="s">
        <v>115</v>
      </c>
      <c r="B102" s="114" t="str">
        <f aca="false">IF(OR(1&gt;$B$27,ISBLANK(Actuals!C78)),"",Actuals!C78)</f>
        <v/>
      </c>
      <c r="C102" s="114" t="n">
        <f aca="false">'Reforecast Q1 2026'!C78</f>
        <v>0</v>
      </c>
      <c r="D102" s="114" t="str">
        <f aca="false">IF(B102="","",B102-C102)</f>
        <v/>
      </c>
      <c r="E102" s="114" t="str">
        <f aca="false">IF(OR(2&gt;$B$27,ISBLANK(Actuals!D78)),"",Actuals!D78)</f>
        <v/>
      </c>
      <c r="F102" s="114" t="n">
        <f aca="false">'Reforecast Q1 2026'!D78</f>
        <v>0</v>
      </c>
      <c r="G102" s="114" t="str">
        <f aca="false">IF(E102="","",E102-F102)</f>
        <v/>
      </c>
      <c r="H102" s="114" t="str">
        <f aca="false">IF(OR(3&gt;$B$27,ISBLANK(Actuals!E78)),"",Actuals!E78)</f>
        <v/>
      </c>
      <c r="I102" s="114" t="n">
        <f aca="false">'Reforecast Q1 2026'!E78</f>
        <v>0</v>
      </c>
      <c r="J102" s="114" t="str">
        <f aca="false">IF(H102="","",H102-I102)</f>
        <v/>
      </c>
      <c r="K102" s="114" t="str">
        <f aca="false">IF(OR(4&gt;$B$27,ISBLANK(Actuals!F78)),"",Actuals!F78)</f>
        <v/>
      </c>
      <c r="L102" s="114" t="n">
        <f aca="false">'Reforecast Q1 2026'!F78</f>
        <v>0</v>
      </c>
      <c r="M102" s="114" t="str">
        <f aca="false">IF(K102="","",K102-L102)</f>
        <v/>
      </c>
      <c r="N102" s="114" t="str">
        <f aca="false">IF(OR(5&gt;$B$27,ISBLANK(Actuals!G78)),"",Actuals!G78)</f>
        <v/>
      </c>
      <c r="O102" s="114" t="n">
        <f aca="false">'Reforecast Q1 2026'!G78</f>
        <v>0</v>
      </c>
      <c r="P102" s="114" t="str">
        <f aca="false">IF(N102="","",N102-O102)</f>
        <v/>
      </c>
      <c r="Q102" s="114" t="str">
        <f aca="false">IF(OR(6&gt;$B$27,ISBLANK(Actuals!H78)),"",Actuals!H78)</f>
        <v/>
      </c>
      <c r="R102" s="114" t="n">
        <f aca="false">'Reforecast Q1 2026'!H78</f>
        <v>0</v>
      </c>
      <c r="S102" s="114" t="str">
        <f aca="false">IF(Q102="","",Q102-R102)</f>
        <v/>
      </c>
      <c r="T102" s="114" t="str">
        <f aca="false">IF(OR(7&gt;$B$27,ISBLANK(Actuals!I78)),"",Actuals!I78)</f>
        <v/>
      </c>
      <c r="U102" s="114" t="n">
        <f aca="false">'Reforecast Q1 2026'!I78</f>
        <v>0</v>
      </c>
      <c r="V102" s="114" t="str">
        <f aca="false">IF(T102="","",T102-U102)</f>
        <v/>
      </c>
      <c r="W102" s="114" t="str">
        <f aca="false">IF(OR(8&gt;$B$27,ISBLANK(Actuals!J78)),"",Actuals!J78)</f>
        <v/>
      </c>
      <c r="X102" s="114" t="n">
        <f aca="false">'Reforecast Q1 2026'!J78</f>
        <v>0</v>
      </c>
      <c r="Y102" s="114" t="str">
        <f aca="false">IF(W102="","",W102-X102)</f>
        <v/>
      </c>
      <c r="Z102" s="114" t="str">
        <f aca="false">IF(OR(9&gt;$B$27,ISBLANK(Actuals!K78)),"",Actuals!K78)</f>
        <v/>
      </c>
      <c r="AA102" s="114" t="n">
        <f aca="false">'Reforecast Q1 2026'!K78</f>
        <v>0</v>
      </c>
      <c r="AB102" s="114" t="str">
        <f aca="false">IF(Z102="","",Z102-AA102)</f>
        <v/>
      </c>
      <c r="AC102" s="114" t="str">
        <f aca="false">IF(OR(10&gt;$B$27,ISBLANK(Actuals!L78)),"",Actuals!L78)</f>
        <v/>
      </c>
      <c r="AD102" s="114" t="n">
        <f aca="false">'Reforecast Q1 2026'!L78</f>
        <v>0</v>
      </c>
      <c r="AE102" s="114" t="str">
        <f aca="false">IF(AC102="","",AC102-AD102)</f>
        <v/>
      </c>
      <c r="AF102" s="114" t="str">
        <f aca="false">IF(OR(11&gt;$B$27,ISBLANK(Actuals!M78)),"",Actuals!M78)</f>
        <v/>
      </c>
      <c r="AG102" s="114" t="n">
        <f aca="false">'Reforecast Q1 2026'!M78</f>
        <v>0</v>
      </c>
      <c r="AH102" s="114" t="str">
        <f aca="false">IF(AF102="","",AF102-AG102)</f>
        <v/>
      </c>
      <c r="AI102" s="114" t="str">
        <f aca="false">IF(OR(12&gt;$B$27,ISBLANK(Actuals!N78)),"",Actuals!N78)</f>
        <v/>
      </c>
      <c r="AJ102" s="114" t="n">
        <f aca="false">'Reforecast Q1 2026'!N78</f>
        <v>0</v>
      </c>
      <c r="AK102" s="114" t="str">
        <f aca="false">IF(AI102="","",AI102-AJ102)</f>
        <v/>
      </c>
      <c r="AL102" s="117" t="n">
        <f aca="false">SUM(Actuals!$C78:INDEX(Actuals!$C78:$N78,$B$27))</f>
        <v>0</v>
      </c>
      <c r="AM102" s="117" t="n">
        <f aca="false">SUM('Reforecast Q1 2026'!$C78:INDEX('Reforecast Q1 2026'!$C78:$N78,$B$27))</f>
        <v>0</v>
      </c>
      <c r="AN102" s="117" t="n">
        <f aca="false">AL102-AM102</f>
        <v>0</v>
      </c>
    </row>
    <row r="103" customFormat="false" ht="15" hidden="true" customHeight="true" outlineLevel="1" collapsed="false">
      <c r="A103" s="110" t="s">
        <v>116</v>
      </c>
      <c r="B103" s="114" t="str">
        <f aca="false">IF(OR(1&gt;$B$27,ISBLANK(Actuals!C79)),"",Actuals!C79)</f>
        <v/>
      </c>
      <c r="C103" s="114" t="n">
        <f aca="false">'Reforecast Q1 2026'!C79</f>
        <v>0</v>
      </c>
      <c r="D103" s="114" t="str">
        <f aca="false">IF(B103="","",B103-C103)</f>
        <v/>
      </c>
      <c r="E103" s="114" t="str">
        <f aca="false">IF(OR(2&gt;$B$27,ISBLANK(Actuals!D79)),"",Actuals!D79)</f>
        <v/>
      </c>
      <c r="F103" s="114" t="n">
        <f aca="false">'Reforecast Q1 2026'!D79</f>
        <v>0</v>
      </c>
      <c r="G103" s="114" t="str">
        <f aca="false">IF(E103="","",E103-F103)</f>
        <v/>
      </c>
      <c r="H103" s="114" t="str">
        <f aca="false">IF(OR(3&gt;$B$27,ISBLANK(Actuals!E79)),"",Actuals!E79)</f>
        <v/>
      </c>
      <c r="I103" s="114" t="n">
        <f aca="false">'Reforecast Q1 2026'!E79</f>
        <v>0</v>
      </c>
      <c r="J103" s="114" t="str">
        <f aca="false">IF(H103="","",H103-I103)</f>
        <v/>
      </c>
      <c r="K103" s="114" t="str">
        <f aca="false">IF(OR(4&gt;$B$27,ISBLANK(Actuals!F79)),"",Actuals!F79)</f>
        <v/>
      </c>
      <c r="L103" s="114" t="n">
        <f aca="false">'Reforecast Q1 2026'!F79</f>
        <v>0</v>
      </c>
      <c r="M103" s="114" t="str">
        <f aca="false">IF(K103="","",K103-L103)</f>
        <v/>
      </c>
      <c r="N103" s="114" t="str">
        <f aca="false">IF(OR(5&gt;$B$27,ISBLANK(Actuals!G79)),"",Actuals!G79)</f>
        <v/>
      </c>
      <c r="O103" s="114" t="n">
        <f aca="false">'Reforecast Q1 2026'!G79</f>
        <v>0</v>
      </c>
      <c r="P103" s="114" t="str">
        <f aca="false">IF(N103="","",N103-O103)</f>
        <v/>
      </c>
      <c r="Q103" s="114" t="str">
        <f aca="false">IF(OR(6&gt;$B$27,ISBLANK(Actuals!H79)),"",Actuals!H79)</f>
        <v/>
      </c>
      <c r="R103" s="114" t="n">
        <f aca="false">'Reforecast Q1 2026'!H79</f>
        <v>0</v>
      </c>
      <c r="S103" s="114" t="str">
        <f aca="false">IF(Q103="","",Q103-R103)</f>
        <v/>
      </c>
      <c r="T103" s="114" t="str">
        <f aca="false">IF(OR(7&gt;$B$27,ISBLANK(Actuals!I79)),"",Actuals!I79)</f>
        <v/>
      </c>
      <c r="U103" s="114" t="n">
        <f aca="false">'Reforecast Q1 2026'!I79</f>
        <v>0</v>
      </c>
      <c r="V103" s="114" t="str">
        <f aca="false">IF(T103="","",T103-U103)</f>
        <v/>
      </c>
      <c r="W103" s="114" t="str">
        <f aca="false">IF(OR(8&gt;$B$27,ISBLANK(Actuals!J79)),"",Actuals!J79)</f>
        <v/>
      </c>
      <c r="X103" s="114" t="n">
        <f aca="false">'Reforecast Q1 2026'!J79</f>
        <v>0</v>
      </c>
      <c r="Y103" s="114" t="str">
        <f aca="false">IF(W103="","",W103-X103)</f>
        <v/>
      </c>
      <c r="Z103" s="114" t="str">
        <f aca="false">IF(OR(9&gt;$B$27,ISBLANK(Actuals!K79)),"",Actuals!K79)</f>
        <v/>
      </c>
      <c r="AA103" s="114" t="n">
        <f aca="false">'Reforecast Q1 2026'!K79</f>
        <v>0</v>
      </c>
      <c r="AB103" s="114" t="str">
        <f aca="false">IF(Z103="","",Z103-AA103)</f>
        <v/>
      </c>
      <c r="AC103" s="114" t="str">
        <f aca="false">IF(OR(10&gt;$B$27,ISBLANK(Actuals!L79)),"",Actuals!L79)</f>
        <v/>
      </c>
      <c r="AD103" s="114" t="n">
        <f aca="false">'Reforecast Q1 2026'!L79</f>
        <v>0</v>
      </c>
      <c r="AE103" s="114" t="str">
        <f aca="false">IF(AC103="","",AC103-AD103)</f>
        <v/>
      </c>
      <c r="AF103" s="114" t="str">
        <f aca="false">IF(OR(11&gt;$B$27,ISBLANK(Actuals!M79)),"",Actuals!M79)</f>
        <v/>
      </c>
      <c r="AG103" s="114" t="n">
        <f aca="false">'Reforecast Q1 2026'!M79</f>
        <v>0</v>
      </c>
      <c r="AH103" s="114" t="str">
        <f aca="false">IF(AF103="","",AF103-AG103)</f>
        <v/>
      </c>
      <c r="AI103" s="114" t="str">
        <f aca="false">IF(OR(12&gt;$B$27,ISBLANK(Actuals!N79)),"",Actuals!N79)</f>
        <v/>
      </c>
      <c r="AJ103" s="114" t="n">
        <f aca="false">'Reforecast Q1 2026'!N79</f>
        <v>0</v>
      </c>
      <c r="AK103" s="114" t="str">
        <f aca="false">IF(AI103="","",AI103-AJ103)</f>
        <v/>
      </c>
      <c r="AL103" s="117" t="n">
        <f aca="false">SUM(Actuals!$C79:INDEX(Actuals!$C79:$N79,$B$27))</f>
        <v>0</v>
      </c>
      <c r="AM103" s="117" t="n">
        <f aca="false">SUM('Reforecast Q1 2026'!$C79:INDEX('Reforecast Q1 2026'!$C79:$N79,$B$27))</f>
        <v>0</v>
      </c>
      <c r="AN103" s="117" t="n">
        <f aca="false">AL103-AM103</f>
        <v>0</v>
      </c>
    </row>
    <row r="104" customFormat="false" ht="15" hidden="true" customHeight="true" outlineLevel="1" collapsed="false">
      <c r="A104" s="110" t="s">
        <v>117</v>
      </c>
      <c r="B104" s="114" t="str">
        <f aca="false">IF(OR(1&gt;$B$27,ISBLANK(Actuals!C80)),"",Actuals!C80)</f>
        <v/>
      </c>
      <c r="C104" s="114" t="n">
        <f aca="false">'Reforecast Q1 2026'!C80</f>
        <v>0</v>
      </c>
      <c r="D104" s="114" t="str">
        <f aca="false">IF(B104="","",B104-C104)</f>
        <v/>
      </c>
      <c r="E104" s="114" t="str">
        <f aca="false">IF(OR(2&gt;$B$27,ISBLANK(Actuals!D80)),"",Actuals!D80)</f>
        <v/>
      </c>
      <c r="F104" s="114" t="n">
        <f aca="false">'Reforecast Q1 2026'!D80</f>
        <v>0</v>
      </c>
      <c r="G104" s="114" t="str">
        <f aca="false">IF(E104="","",E104-F104)</f>
        <v/>
      </c>
      <c r="H104" s="114" t="str">
        <f aca="false">IF(OR(3&gt;$B$27,ISBLANK(Actuals!E80)),"",Actuals!E80)</f>
        <v/>
      </c>
      <c r="I104" s="114" t="n">
        <f aca="false">'Reforecast Q1 2026'!E80</f>
        <v>0</v>
      </c>
      <c r="J104" s="114" t="str">
        <f aca="false">IF(H104="","",H104-I104)</f>
        <v/>
      </c>
      <c r="K104" s="114" t="str">
        <f aca="false">IF(OR(4&gt;$B$27,ISBLANK(Actuals!F80)),"",Actuals!F80)</f>
        <v/>
      </c>
      <c r="L104" s="114" t="n">
        <f aca="false">'Reforecast Q1 2026'!F80</f>
        <v>0</v>
      </c>
      <c r="M104" s="114" t="str">
        <f aca="false">IF(K104="","",K104-L104)</f>
        <v/>
      </c>
      <c r="N104" s="114" t="str">
        <f aca="false">IF(OR(5&gt;$B$27,ISBLANK(Actuals!G80)),"",Actuals!G80)</f>
        <v/>
      </c>
      <c r="O104" s="114" t="n">
        <f aca="false">'Reforecast Q1 2026'!G80</f>
        <v>0</v>
      </c>
      <c r="P104" s="114" t="str">
        <f aca="false">IF(N104="","",N104-O104)</f>
        <v/>
      </c>
      <c r="Q104" s="114" t="str">
        <f aca="false">IF(OR(6&gt;$B$27,ISBLANK(Actuals!H80)),"",Actuals!H80)</f>
        <v/>
      </c>
      <c r="R104" s="114" t="n">
        <f aca="false">'Reforecast Q1 2026'!H80</f>
        <v>0</v>
      </c>
      <c r="S104" s="114" t="str">
        <f aca="false">IF(Q104="","",Q104-R104)</f>
        <v/>
      </c>
      <c r="T104" s="114" t="str">
        <f aca="false">IF(OR(7&gt;$B$27,ISBLANK(Actuals!I80)),"",Actuals!I80)</f>
        <v/>
      </c>
      <c r="U104" s="114" t="n">
        <f aca="false">'Reforecast Q1 2026'!I80</f>
        <v>0</v>
      </c>
      <c r="V104" s="114" t="str">
        <f aca="false">IF(T104="","",T104-U104)</f>
        <v/>
      </c>
      <c r="W104" s="114" t="str">
        <f aca="false">IF(OR(8&gt;$B$27,ISBLANK(Actuals!J80)),"",Actuals!J80)</f>
        <v/>
      </c>
      <c r="X104" s="114" t="n">
        <f aca="false">'Reforecast Q1 2026'!J80</f>
        <v>0</v>
      </c>
      <c r="Y104" s="114" t="str">
        <f aca="false">IF(W104="","",W104-X104)</f>
        <v/>
      </c>
      <c r="Z104" s="114" t="str">
        <f aca="false">IF(OR(9&gt;$B$27,ISBLANK(Actuals!K80)),"",Actuals!K80)</f>
        <v/>
      </c>
      <c r="AA104" s="114" t="n">
        <f aca="false">'Reforecast Q1 2026'!K80</f>
        <v>0</v>
      </c>
      <c r="AB104" s="114" t="str">
        <f aca="false">IF(Z104="","",Z104-AA104)</f>
        <v/>
      </c>
      <c r="AC104" s="114" t="str">
        <f aca="false">IF(OR(10&gt;$B$27,ISBLANK(Actuals!L80)),"",Actuals!L80)</f>
        <v/>
      </c>
      <c r="AD104" s="114" t="n">
        <f aca="false">'Reforecast Q1 2026'!L80</f>
        <v>0</v>
      </c>
      <c r="AE104" s="114" t="str">
        <f aca="false">IF(AC104="","",AC104-AD104)</f>
        <v/>
      </c>
      <c r="AF104" s="114" t="str">
        <f aca="false">IF(OR(11&gt;$B$27,ISBLANK(Actuals!M80)),"",Actuals!M80)</f>
        <v/>
      </c>
      <c r="AG104" s="114" t="n">
        <f aca="false">'Reforecast Q1 2026'!M80</f>
        <v>0</v>
      </c>
      <c r="AH104" s="114" t="str">
        <f aca="false">IF(AF104="","",AF104-AG104)</f>
        <v/>
      </c>
      <c r="AI104" s="114" t="str">
        <f aca="false">IF(OR(12&gt;$B$27,ISBLANK(Actuals!N80)),"",Actuals!N80)</f>
        <v/>
      </c>
      <c r="AJ104" s="114" t="n">
        <f aca="false">'Reforecast Q1 2026'!N80</f>
        <v>0</v>
      </c>
      <c r="AK104" s="114" t="str">
        <f aca="false">IF(AI104="","",AI104-AJ104)</f>
        <v/>
      </c>
      <c r="AL104" s="117" t="n">
        <f aca="false">SUM(Actuals!$C80:INDEX(Actuals!$C80:$N80,$B$27))</f>
        <v>0</v>
      </c>
      <c r="AM104" s="117" t="n">
        <f aca="false">SUM('Reforecast Q1 2026'!$C80:INDEX('Reforecast Q1 2026'!$C80:$N80,$B$27))</f>
        <v>0</v>
      </c>
      <c r="AN104" s="117" t="n">
        <f aca="false">AL104-AM104</f>
        <v>0</v>
      </c>
    </row>
    <row r="105" customFormat="false" ht="15" hidden="false" customHeight="true" outlineLevel="0" collapsed="true">
      <c r="A105" s="116" t="s">
        <v>121</v>
      </c>
      <c r="B105" s="117" t="n">
        <f aca="false">IF(OR(1&gt;$B$27,ISBLANK(Actuals!C81)),"",Actuals!C81)</f>
        <v>34114.58</v>
      </c>
      <c r="C105" s="117" t="n">
        <f aca="false">'Reforecast Q1 2026'!C81</f>
        <v>34114.58</v>
      </c>
      <c r="D105" s="117" t="n">
        <f aca="false">IF(B105="","",B105-C105)</f>
        <v>0</v>
      </c>
      <c r="E105" s="117" t="n">
        <f aca="false">IF(OR(2&gt;$B$27,ISBLANK(Actuals!D81)),"",Actuals!D81)</f>
        <v>34114.58</v>
      </c>
      <c r="F105" s="117" t="n">
        <f aca="false">'Reforecast Q1 2026'!D81</f>
        <v>34114.58</v>
      </c>
      <c r="G105" s="117" t="n">
        <f aca="false">IF(E105="","",E105-F105)</f>
        <v>0</v>
      </c>
      <c r="H105" s="117" t="n">
        <f aca="false">IF(OR(3&gt;$B$27,ISBLANK(Actuals!E81)),"",Actuals!E81)</f>
        <v>34114.58</v>
      </c>
      <c r="I105" s="117" t="n">
        <f aca="false">'Reforecast Q1 2026'!E81</f>
        <v>34114.58</v>
      </c>
      <c r="J105" s="117" t="n">
        <f aca="false">IF(H105="","",H105-I105)</f>
        <v>0</v>
      </c>
      <c r="K105" s="117" t="n">
        <f aca="false">IF(OR(4&gt;$B$27,ISBLANK(Actuals!F81)),"",Actuals!F81)</f>
        <v>34114.58</v>
      </c>
      <c r="L105" s="117" t="n">
        <f aca="false">'Reforecast Q1 2026'!F81</f>
        <v>43614.58</v>
      </c>
      <c r="M105" s="117" t="n">
        <f aca="false">IF(K105="","",K105-L105)</f>
        <v>-9500</v>
      </c>
      <c r="N105" s="117" t="n">
        <f aca="false">IF(OR(5&gt;$B$27,ISBLANK(Actuals!G81)),"",Actuals!G81)</f>
        <v>34114.58</v>
      </c>
      <c r="O105" s="117" t="n">
        <f aca="false">'Reforecast Q1 2026'!G81</f>
        <v>43614.58</v>
      </c>
      <c r="P105" s="117" t="n">
        <f aca="false">IF(N105="","",N105-O105)</f>
        <v>-9500</v>
      </c>
      <c r="Q105" s="117" t="n">
        <f aca="false">IF(OR(6&gt;$B$27,ISBLANK(Actuals!H81)),"",Actuals!H81)</f>
        <v>333114.58</v>
      </c>
      <c r="R105" s="117" t="n">
        <f aca="false">'Reforecast Q1 2026'!H81</f>
        <v>43614.58</v>
      </c>
      <c r="S105" s="117" t="n">
        <f aca="false">IF(Q105="","",Q105-R105)</f>
        <v>289500</v>
      </c>
      <c r="T105" s="117" t="n">
        <f aca="false">IF(OR(7&gt;$B$27,ISBLANK(Actuals!I81)),"",Actuals!I81)</f>
        <v>78114.58</v>
      </c>
      <c r="U105" s="117" t="n">
        <f aca="false">'Reforecast Q1 2026'!I81</f>
        <v>43614.58</v>
      </c>
      <c r="V105" s="117" t="n">
        <f aca="false">IF(T105="","",T105-U105)</f>
        <v>34500</v>
      </c>
      <c r="W105" s="117" t="n">
        <f aca="false">IF(OR(8&gt;$B$27,ISBLANK(Actuals!J81)),"",Actuals!J81)</f>
        <v>180628.58</v>
      </c>
      <c r="X105" s="117" t="n">
        <f aca="false">'Reforecast Q1 2026'!J81</f>
        <v>43614.58</v>
      </c>
      <c r="Y105" s="117" t="n">
        <f aca="false">IF(W105="","",W105-X105)</f>
        <v>137014</v>
      </c>
      <c r="Z105" s="117" t="str">
        <f aca="false">IF(OR(9&gt;$B$27,ISBLANK(Actuals!K81)),"",Actuals!K81)</f>
        <v/>
      </c>
      <c r="AA105" s="117" t="n">
        <f aca="false">'Reforecast Q1 2026'!K81</f>
        <v>42781.25</v>
      </c>
      <c r="AB105" s="117" t="str">
        <f aca="false">IF(Z105="","",Z105-AA105)</f>
        <v/>
      </c>
      <c r="AC105" s="117" t="str">
        <f aca="false">IF(OR(10&gt;$B$27,ISBLANK(Actuals!L81)),"",Actuals!L81)</f>
        <v/>
      </c>
      <c r="AD105" s="117" t="n">
        <f aca="false">'Reforecast Q1 2026'!L81</f>
        <v>42781.25</v>
      </c>
      <c r="AE105" s="117" t="str">
        <f aca="false">IF(AC105="","",AC105-AD105)</f>
        <v/>
      </c>
      <c r="AF105" s="117" t="str">
        <f aca="false">IF(OR(11&gt;$B$27,ISBLANK(Actuals!M81)),"",Actuals!M81)</f>
        <v/>
      </c>
      <c r="AG105" s="117" t="n">
        <f aca="false">'Reforecast Q1 2026'!M81</f>
        <v>33406.25</v>
      </c>
      <c r="AH105" s="117" t="str">
        <f aca="false">IF(AF105="","",AF105-AG105)</f>
        <v/>
      </c>
      <c r="AI105" s="117" t="str">
        <f aca="false">IF(OR(12&gt;$B$27,ISBLANK(Actuals!N81)),"",Actuals!N81)</f>
        <v/>
      </c>
      <c r="AJ105" s="117" t="n">
        <f aca="false">'Reforecast Q1 2026'!N81</f>
        <v>33406.25</v>
      </c>
      <c r="AK105" s="117" t="str">
        <f aca="false">IF(AI105="","",AI105-AJ105)</f>
        <v/>
      </c>
      <c r="AL105" s="117" t="n">
        <f aca="false">SUM(Actuals!$C81:INDEX(Actuals!$C81:$N81,$B$27))</f>
        <v>762430.64</v>
      </c>
      <c r="AM105" s="117" t="n">
        <f aca="false">SUM('Reforecast Q1 2026'!$C81:INDEX('Reforecast Q1 2026'!$C81:$N81,$B$27))</f>
        <v>320416.64</v>
      </c>
      <c r="AN105" s="117" t="n">
        <f aca="false">AL105-AM105</f>
        <v>442014</v>
      </c>
    </row>
    <row r="107" customFormat="false" ht="15" hidden="true" customHeight="true" outlineLevel="1" collapsed="false">
      <c r="A107" s="110" t="s">
        <v>64</v>
      </c>
      <c r="B107" s="114" t="n">
        <f aca="false">IF(OR(1&gt;$B$27,ISBLANK(Actuals!C83)),"",Actuals!C83)</f>
        <v>-54421</v>
      </c>
      <c r="C107" s="114" t="n">
        <f aca="false">'Reforecast Q1 2026'!C83</f>
        <v>-54421</v>
      </c>
      <c r="D107" s="114" t="n">
        <f aca="false">IF(B107="","",B107-C107)</f>
        <v>0</v>
      </c>
      <c r="E107" s="114" t="n">
        <f aca="false">IF(OR(2&gt;$B$27,ISBLANK(Actuals!D83)),"",Actuals!D83)</f>
        <v>-54166.68</v>
      </c>
      <c r="F107" s="114" t="n">
        <f aca="false">'Reforecast Q1 2026'!D83</f>
        <v>-54166.68</v>
      </c>
      <c r="G107" s="114" t="n">
        <f aca="false">IF(E107="","",E107-F107)</f>
        <v>0</v>
      </c>
      <c r="H107" s="114" t="n">
        <f aca="false">IF(OR(3&gt;$B$27,ISBLANK(Actuals!E83)),"",Actuals!E83)</f>
        <v>-54166.68</v>
      </c>
      <c r="I107" s="114" t="n">
        <f aca="false">'Reforecast Q1 2026'!E83</f>
        <v>-54166.68</v>
      </c>
      <c r="J107" s="114" t="n">
        <f aca="false">IF(H107="","",H107-I107)</f>
        <v>0</v>
      </c>
      <c r="K107" s="114" t="n">
        <f aca="false">IF(OR(4&gt;$B$27,ISBLANK(Actuals!F83)),"",Actuals!F83)</f>
        <v>-54166.68</v>
      </c>
      <c r="L107" s="114" t="n">
        <f aca="false">'Reforecast Q1 2026'!F83</f>
        <v>-11458.3333333333</v>
      </c>
      <c r="M107" s="114" t="n">
        <f aca="false">IF(K107="","",K107-L107)</f>
        <v>-42708.3466666667</v>
      </c>
      <c r="N107" s="114" t="n">
        <f aca="false">IF(OR(5&gt;$B$27,ISBLANK(Actuals!G83)),"",Actuals!G83)</f>
        <v>-54166.68</v>
      </c>
      <c r="O107" s="114" t="n">
        <f aca="false">'Reforecast Q1 2026'!G83</f>
        <v>-11458.3333333333</v>
      </c>
      <c r="P107" s="114" t="n">
        <f aca="false">IF(N107="","",N107-O107)</f>
        <v>-42708.3466666667</v>
      </c>
      <c r="Q107" s="114" t="n">
        <f aca="false">IF(OR(6&gt;$B$27,ISBLANK(Actuals!H83)),"",Actuals!H83)</f>
        <v>-54166.68</v>
      </c>
      <c r="R107" s="114" t="n">
        <f aca="false">'Reforecast Q1 2026'!H83</f>
        <v>-11458.3333333333</v>
      </c>
      <c r="S107" s="114" t="n">
        <f aca="false">IF(Q107="","",Q107-R107)</f>
        <v>-42708.3466666667</v>
      </c>
      <c r="T107" s="114" t="n">
        <f aca="false">IF(OR(7&gt;$B$27,ISBLANK(Actuals!I83)),"",Actuals!I83)</f>
        <v>-54166.68</v>
      </c>
      <c r="U107" s="114" t="n">
        <f aca="false">'Reforecast Q1 2026'!I83</f>
        <v>-11458.3333333333</v>
      </c>
      <c r="V107" s="114" t="n">
        <f aca="false">IF(T107="","",T107-U107)</f>
        <v>-42708.3466666667</v>
      </c>
      <c r="W107" s="114" t="n">
        <f aca="false">IF(OR(8&gt;$B$27,ISBLANK(Actuals!J83)),"",Actuals!J83)</f>
        <v>-54166.68</v>
      </c>
      <c r="X107" s="114" t="n">
        <f aca="false">'Reforecast Q1 2026'!J83</f>
        <v>-11458.3333333333</v>
      </c>
      <c r="Y107" s="114" t="n">
        <f aca="false">IF(W107="","",W107-X107)</f>
        <v>-42708.3466666667</v>
      </c>
      <c r="Z107" s="114" t="str">
        <f aca="false">IF(OR(9&gt;$B$27,ISBLANK(Actuals!K83)),"",Actuals!K83)</f>
        <v/>
      </c>
      <c r="AA107" s="114" t="n">
        <f aca="false">'Reforecast Q1 2026'!K83</f>
        <v>-11458.3333333333</v>
      </c>
      <c r="AB107" s="114" t="str">
        <f aca="false">IF(Z107="","",Z107-AA107)</f>
        <v/>
      </c>
      <c r="AC107" s="114" t="str">
        <f aca="false">IF(OR(10&gt;$B$27,ISBLANK(Actuals!L83)),"",Actuals!L83)</f>
        <v/>
      </c>
      <c r="AD107" s="114" t="n">
        <f aca="false">'Reforecast Q1 2026'!L83</f>
        <v>-11458.3333333333</v>
      </c>
      <c r="AE107" s="114" t="str">
        <f aca="false">IF(AC107="","",AC107-AD107)</f>
        <v/>
      </c>
      <c r="AF107" s="114" t="str">
        <f aca="false">IF(OR(11&gt;$B$27,ISBLANK(Actuals!M83)),"",Actuals!M83)</f>
        <v/>
      </c>
      <c r="AG107" s="114" t="n">
        <f aca="false">'Reforecast Q1 2026'!M83</f>
        <v>-11458.3333333333</v>
      </c>
      <c r="AH107" s="114" t="str">
        <f aca="false">IF(AF107="","",AF107-AG107)</f>
        <v/>
      </c>
      <c r="AI107" s="114" t="str">
        <f aca="false">IF(OR(12&gt;$B$27,ISBLANK(Actuals!N83)),"",Actuals!N83)</f>
        <v/>
      </c>
      <c r="AJ107" s="114" t="n">
        <f aca="false">'Reforecast Q1 2026'!N83</f>
        <v>-11458.3333333333</v>
      </c>
      <c r="AK107" s="114" t="str">
        <f aca="false">IF(AI107="","",AI107-AJ107)</f>
        <v/>
      </c>
      <c r="AL107" s="117" t="n">
        <f aca="false">SUM(Actuals!$C83:INDEX(Actuals!$C83:$N83,$B$27))</f>
        <v>-433587.76</v>
      </c>
      <c r="AM107" s="117" t="n">
        <f aca="false">SUM('Reforecast Q1 2026'!$C83:INDEX('Reforecast Q1 2026'!$C83:$N83,$B$27))</f>
        <v>-220046.026666667</v>
      </c>
      <c r="AN107" s="117" t="n">
        <f aca="false">AL107-AM107</f>
        <v>-213541.733333334</v>
      </c>
    </row>
    <row r="108" customFormat="false" ht="15" hidden="true" customHeight="true" outlineLevel="1" collapsed="false">
      <c r="A108" s="110" t="s">
        <v>65</v>
      </c>
      <c r="B108" s="114" t="n">
        <f aca="false">IF(OR(1&gt;$B$27,ISBLANK(Actuals!C84)),"",Actuals!C84)</f>
        <v>-5302</v>
      </c>
      <c r="C108" s="114" t="n">
        <f aca="false">'Reforecast Q1 2026'!C84</f>
        <v>-5302</v>
      </c>
      <c r="D108" s="114" t="n">
        <f aca="false">IF(B108="","",B108-C108)</f>
        <v>0</v>
      </c>
      <c r="E108" s="114" t="n">
        <f aca="false">IF(OR(2&gt;$B$27,ISBLANK(Actuals!D84)),"",Actuals!D84)</f>
        <v>-4279.79</v>
      </c>
      <c r="F108" s="114" t="n">
        <f aca="false">'Reforecast Q1 2026'!D84</f>
        <v>-4279.79</v>
      </c>
      <c r="G108" s="114" t="n">
        <f aca="false">IF(E108="","",E108-F108)</f>
        <v>0</v>
      </c>
      <c r="H108" s="114" t="n">
        <f aca="false">IF(OR(3&gt;$B$27,ISBLANK(Actuals!E84)),"",Actuals!E84)</f>
        <v>-4145.97</v>
      </c>
      <c r="I108" s="114" t="n">
        <f aca="false">'Reforecast Q1 2026'!E84</f>
        <v>-4145.97</v>
      </c>
      <c r="J108" s="114" t="n">
        <f aca="false">IF(H108="","",H108-I108)</f>
        <v>0</v>
      </c>
      <c r="K108" s="114" t="n">
        <f aca="false">IF(OR(4&gt;$B$27,ISBLANK(Actuals!F84)),"",Actuals!F84)</f>
        <v>-4145.96</v>
      </c>
      <c r="L108" s="114" t="n">
        <f aca="false">'Reforecast Q1 2026'!F84</f>
        <v>-802.083333333334</v>
      </c>
      <c r="M108" s="114" t="n">
        <f aca="false">IF(K108="","",K108-L108)</f>
        <v>-3343.87666666667</v>
      </c>
      <c r="N108" s="114" t="n">
        <f aca="false">IF(OR(5&gt;$B$27,ISBLANK(Actuals!G84)),"",Actuals!G84)</f>
        <v>-4145.99</v>
      </c>
      <c r="O108" s="114" t="n">
        <f aca="false">'Reforecast Q1 2026'!G84</f>
        <v>-802.083333333334</v>
      </c>
      <c r="P108" s="114" t="n">
        <f aca="false">IF(N108="","",N108-O108)</f>
        <v>-3343.90666666667</v>
      </c>
      <c r="Q108" s="114" t="n">
        <f aca="false">IF(OR(6&gt;$B$27,ISBLANK(Actuals!H84)),"",Actuals!H84)</f>
        <v>-4145.95</v>
      </c>
      <c r="R108" s="114" t="n">
        <f aca="false">'Reforecast Q1 2026'!H84</f>
        <v>-802.083333333334</v>
      </c>
      <c r="S108" s="114" t="n">
        <f aca="false">IF(Q108="","",Q108-R108)</f>
        <v>-3343.86666666667</v>
      </c>
      <c r="T108" s="114" t="n">
        <f aca="false">IF(OR(7&gt;$B$27,ISBLANK(Actuals!I84)),"",Actuals!I84)</f>
        <v>-4145.97</v>
      </c>
      <c r="U108" s="114" t="n">
        <f aca="false">'Reforecast Q1 2026'!I84</f>
        <v>-802.083333333334</v>
      </c>
      <c r="V108" s="114" t="n">
        <f aca="false">IF(T108="","",T108-U108)</f>
        <v>-3343.88666666667</v>
      </c>
      <c r="W108" s="114" t="n">
        <f aca="false">IF(OR(8&gt;$B$27,ISBLANK(Actuals!J84)),"",Actuals!J84)</f>
        <v>-4145.97</v>
      </c>
      <c r="X108" s="114" t="n">
        <f aca="false">'Reforecast Q1 2026'!J84</f>
        <v>-802.083333333334</v>
      </c>
      <c r="Y108" s="114" t="n">
        <f aca="false">IF(W108="","",W108-X108)</f>
        <v>-3343.88666666667</v>
      </c>
      <c r="Z108" s="114" t="str">
        <f aca="false">IF(OR(9&gt;$B$27,ISBLANK(Actuals!K84)),"",Actuals!K84)</f>
        <v/>
      </c>
      <c r="AA108" s="114" t="n">
        <f aca="false">'Reforecast Q1 2026'!K84</f>
        <v>-802.083333333334</v>
      </c>
      <c r="AB108" s="114" t="str">
        <f aca="false">IF(Z108="","",Z108-AA108)</f>
        <v/>
      </c>
      <c r="AC108" s="114" t="str">
        <f aca="false">IF(OR(10&gt;$B$27,ISBLANK(Actuals!L84)),"",Actuals!L84)</f>
        <v/>
      </c>
      <c r="AD108" s="114" t="n">
        <f aca="false">'Reforecast Q1 2026'!L84</f>
        <v>-802.083333333334</v>
      </c>
      <c r="AE108" s="114" t="str">
        <f aca="false">IF(AC108="","",AC108-AD108)</f>
        <v/>
      </c>
      <c r="AF108" s="114" t="str">
        <f aca="false">IF(OR(11&gt;$B$27,ISBLANK(Actuals!M84)),"",Actuals!M84)</f>
        <v/>
      </c>
      <c r="AG108" s="114" t="n">
        <f aca="false">'Reforecast Q1 2026'!M84</f>
        <v>-802.083333333334</v>
      </c>
      <c r="AH108" s="114" t="str">
        <f aca="false">IF(AF108="","",AF108-AG108)</f>
        <v/>
      </c>
      <c r="AI108" s="114" t="str">
        <f aca="false">IF(OR(12&gt;$B$27,ISBLANK(Actuals!N84)),"",Actuals!N84)</f>
        <v/>
      </c>
      <c r="AJ108" s="114" t="n">
        <f aca="false">'Reforecast Q1 2026'!N84</f>
        <v>-802.083333333334</v>
      </c>
      <c r="AK108" s="114" t="str">
        <f aca="false">IF(AI108="","",AI108-AJ108)</f>
        <v/>
      </c>
      <c r="AL108" s="117" t="n">
        <f aca="false">SUM(Actuals!$C84:INDEX(Actuals!$C84:$N84,$B$27))</f>
        <v>-34457.6</v>
      </c>
      <c r="AM108" s="117" t="n">
        <f aca="false">SUM('Reforecast Q1 2026'!$C84:INDEX('Reforecast Q1 2026'!$C84:$N84,$B$27))</f>
        <v>-17738.1766666667</v>
      </c>
      <c r="AN108" s="117" t="n">
        <f aca="false">AL108-AM108</f>
        <v>-16719.4233333333</v>
      </c>
    </row>
    <row r="109" customFormat="false" ht="15" hidden="true" customHeight="true" outlineLevel="1" collapsed="false">
      <c r="A109" s="110" t="s">
        <v>67</v>
      </c>
      <c r="B109" s="114" t="n">
        <f aca="false">IF(OR(1&gt;$B$27,ISBLANK(Actuals!C85)),"",Actuals!C85)</f>
        <v>-12137.77</v>
      </c>
      <c r="C109" s="114" t="n">
        <f aca="false">'Reforecast Q1 2026'!C85</f>
        <v>-12137.77</v>
      </c>
      <c r="D109" s="114" t="n">
        <f aca="false">IF(B109="","",B109-C109)</f>
        <v>0</v>
      </c>
      <c r="E109" s="114" t="n">
        <f aca="false">IF(OR(2&gt;$B$27,ISBLANK(Actuals!D85)),"",Actuals!D85)</f>
        <v>-12137.78</v>
      </c>
      <c r="F109" s="114" t="n">
        <f aca="false">'Reforecast Q1 2026'!D85</f>
        <v>-12137.78</v>
      </c>
      <c r="G109" s="114" t="n">
        <f aca="false">IF(E109="","",E109-F109)</f>
        <v>0</v>
      </c>
      <c r="H109" s="114" t="n">
        <f aca="false">IF(OR(3&gt;$B$27,ISBLANK(Actuals!E85)),"",Actuals!E85)</f>
        <v>-12137.78</v>
      </c>
      <c r="I109" s="114" t="n">
        <f aca="false">'Reforecast Q1 2026'!E85</f>
        <v>-12137.78</v>
      </c>
      <c r="J109" s="114" t="n">
        <f aca="false">IF(H109="","",H109-I109)</f>
        <v>0</v>
      </c>
      <c r="K109" s="114" t="n">
        <f aca="false">IF(OR(4&gt;$B$27,ISBLANK(Actuals!F85)),"",Actuals!F85)</f>
        <v>-12137.78</v>
      </c>
      <c r="L109" s="114" t="n">
        <f aca="false">'Reforecast Q1 2026'!F85</f>
        <v>-572.916666666667</v>
      </c>
      <c r="M109" s="114" t="n">
        <f aca="false">IF(K109="","",K109-L109)</f>
        <v>-11564.8633333333</v>
      </c>
      <c r="N109" s="114" t="n">
        <f aca="false">IF(OR(5&gt;$B$27,ISBLANK(Actuals!G85)),"",Actuals!G85)</f>
        <v>-12137.78</v>
      </c>
      <c r="O109" s="114" t="n">
        <f aca="false">'Reforecast Q1 2026'!G85</f>
        <v>-572.916666666667</v>
      </c>
      <c r="P109" s="114" t="n">
        <f aca="false">IF(N109="","",N109-O109)</f>
        <v>-11564.8633333333</v>
      </c>
      <c r="Q109" s="114" t="n">
        <f aca="false">IF(OR(6&gt;$B$27,ISBLANK(Actuals!H85)),"",Actuals!H85)</f>
        <v>-12137.78</v>
      </c>
      <c r="R109" s="114" t="n">
        <f aca="false">'Reforecast Q1 2026'!H85</f>
        <v>-572.916666666667</v>
      </c>
      <c r="S109" s="114" t="n">
        <f aca="false">IF(Q109="","",Q109-R109)</f>
        <v>-11564.8633333333</v>
      </c>
      <c r="T109" s="114" t="n">
        <f aca="false">IF(OR(7&gt;$B$27,ISBLANK(Actuals!I85)),"",Actuals!I85)</f>
        <v>-12137.78</v>
      </c>
      <c r="U109" s="114" t="n">
        <f aca="false">'Reforecast Q1 2026'!I85</f>
        <v>-572.916666666667</v>
      </c>
      <c r="V109" s="114" t="n">
        <f aca="false">IF(T109="","",T109-U109)</f>
        <v>-11564.8633333333</v>
      </c>
      <c r="W109" s="114" t="n">
        <f aca="false">IF(OR(8&gt;$B$27,ISBLANK(Actuals!J85)),"",Actuals!J85)</f>
        <v>-12137.78</v>
      </c>
      <c r="X109" s="114" t="n">
        <f aca="false">'Reforecast Q1 2026'!J85</f>
        <v>-572.916666666667</v>
      </c>
      <c r="Y109" s="114" t="n">
        <f aca="false">IF(W109="","",W109-X109)</f>
        <v>-11564.8633333333</v>
      </c>
      <c r="Z109" s="114" t="str">
        <f aca="false">IF(OR(9&gt;$B$27,ISBLANK(Actuals!K85)),"",Actuals!K85)</f>
        <v/>
      </c>
      <c r="AA109" s="114" t="n">
        <f aca="false">'Reforecast Q1 2026'!K85</f>
        <v>-572.916666666667</v>
      </c>
      <c r="AB109" s="114" t="str">
        <f aca="false">IF(Z109="","",Z109-AA109)</f>
        <v/>
      </c>
      <c r="AC109" s="114" t="str">
        <f aca="false">IF(OR(10&gt;$B$27,ISBLANK(Actuals!L85)),"",Actuals!L85)</f>
        <v/>
      </c>
      <c r="AD109" s="114" t="n">
        <f aca="false">'Reforecast Q1 2026'!L85</f>
        <v>-572.916666666667</v>
      </c>
      <c r="AE109" s="114" t="str">
        <f aca="false">IF(AC109="","",AC109-AD109)</f>
        <v/>
      </c>
      <c r="AF109" s="114" t="str">
        <f aca="false">IF(OR(11&gt;$B$27,ISBLANK(Actuals!M85)),"",Actuals!M85)</f>
        <v/>
      </c>
      <c r="AG109" s="114" t="n">
        <f aca="false">'Reforecast Q1 2026'!M85</f>
        <v>-572.916666666667</v>
      </c>
      <c r="AH109" s="114" t="str">
        <f aca="false">IF(AF109="","",AF109-AG109)</f>
        <v/>
      </c>
      <c r="AI109" s="114" t="str">
        <f aca="false">IF(OR(12&gt;$B$27,ISBLANK(Actuals!N85)),"",Actuals!N85)</f>
        <v/>
      </c>
      <c r="AJ109" s="114" t="n">
        <f aca="false">'Reforecast Q1 2026'!N85</f>
        <v>-572.916666666667</v>
      </c>
      <c r="AK109" s="114" t="str">
        <f aca="false">IF(AI109="","",AI109-AJ109)</f>
        <v/>
      </c>
      <c r="AL109" s="117" t="n">
        <f aca="false">SUM(Actuals!$C85:INDEX(Actuals!$C85:$N85,$B$27))</f>
        <v>-97102.23</v>
      </c>
      <c r="AM109" s="117" t="n">
        <f aca="false">SUM('Reforecast Q1 2026'!$C85:INDEX('Reforecast Q1 2026'!$C85:$N85,$B$27))</f>
        <v>-39277.9133333333</v>
      </c>
      <c r="AN109" s="117" t="n">
        <f aca="false">AL109-AM109</f>
        <v>-57824.3166666667</v>
      </c>
    </row>
    <row r="110" customFormat="false" ht="15" hidden="true" customHeight="true" outlineLevel="1" collapsed="false">
      <c r="A110" s="110" t="s">
        <v>68</v>
      </c>
      <c r="B110" s="114" t="n">
        <f aca="false">IF(OR(1&gt;$B$27,ISBLANK(Actuals!C86)),"",Actuals!C86)</f>
        <v>-475.76</v>
      </c>
      <c r="C110" s="114" t="n">
        <f aca="false">'Reforecast Q1 2026'!C86</f>
        <v>-475.76</v>
      </c>
      <c r="D110" s="114" t="n">
        <f aca="false">IF(B110="","",B110-C110)</f>
        <v>0</v>
      </c>
      <c r="E110" s="114" t="n">
        <f aca="false">IF(OR(2&gt;$B$27,ISBLANK(Actuals!D86)),"",Actuals!D86)</f>
        <v>-475.76</v>
      </c>
      <c r="F110" s="114" t="n">
        <f aca="false">'Reforecast Q1 2026'!D86</f>
        <v>-475.76</v>
      </c>
      <c r="G110" s="114" t="n">
        <f aca="false">IF(E110="","",E110-F110)</f>
        <v>0</v>
      </c>
      <c r="H110" s="114" t="n">
        <f aca="false">IF(OR(3&gt;$B$27,ISBLANK(Actuals!E86)),"",Actuals!E86)</f>
        <v>-475.76</v>
      </c>
      <c r="I110" s="114" t="n">
        <f aca="false">'Reforecast Q1 2026'!E86</f>
        <v>-475.76</v>
      </c>
      <c r="J110" s="114" t="n">
        <f aca="false">IF(H110="","",H110-I110)</f>
        <v>0</v>
      </c>
      <c r="K110" s="114" t="n">
        <f aca="false">IF(OR(4&gt;$B$27,ISBLANK(Actuals!F86)),"",Actuals!F86)</f>
        <v>-475.76</v>
      </c>
      <c r="L110" s="114" t="n">
        <f aca="false">'Reforecast Q1 2026'!F86</f>
        <v>-229.166666666667</v>
      </c>
      <c r="M110" s="114" t="n">
        <f aca="false">IF(K110="","",K110-L110)</f>
        <v>-246.593333333333</v>
      </c>
      <c r="N110" s="114" t="n">
        <f aca="false">IF(OR(5&gt;$B$27,ISBLANK(Actuals!G86)),"",Actuals!G86)</f>
        <v>-475.76</v>
      </c>
      <c r="O110" s="114" t="n">
        <f aca="false">'Reforecast Q1 2026'!G86</f>
        <v>-229.166666666667</v>
      </c>
      <c r="P110" s="114" t="n">
        <f aca="false">IF(N110="","",N110-O110)</f>
        <v>-246.593333333333</v>
      </c>
      <c r="Q110" s="114" t="n">
        <f aca="false">IF(OR(6&gt;$B$27,ISBLANK(Actuals!H86)),"",Actuals!H86)</f>
        <v>-475.76</v>
      </c>
      <c r="R110" s="114" t="n">
        <f aca="false">'Reforecast Q1 2026'!H86</f>
        <v>-229.166666666667</v>
      </c>
      <c r="S110" s="114" t="n">
        <f aca="false">IF(Q110="","",Q110-R110)</f>
        <v>-246.593333333333</v>
      </c>
      <c r="T110" s="114" t="n">
        <f aca="false">IF(OR(7&gt;$B$27,ISBLANK(Actuals!I86)),"",Actuals!I86)</f>
        <v>-475.76</v>
      </c>
      <c r="U110" s="114" t="n">
        <f aca="false">'Reforecast Q1 2026'!I86</f>
        <v>-229.166666666667</v>
      </c>
      <c r="V110" s="114" t="n">
        <f aca="false">IF(T110="","",T110-U110)</f>
        <v>-246.593333333333</v>
      </c>
      <c r="W110" s="114" t="n">
        <f aca="false">IF(OR(8&gt;$B$27,ISBLANK(Actuals!J86)),"",Actuals!J86)</f>
        <v>-475.76</v>
      </c>
      <c r="X110" s="114" t="n">
        <f aca="false">'Reforecast Q1 2026'!J86</f>
        <v>-229.166666666667</v>
      </c>
      <c r="Y110" s="114" t="n">
        <f aca="false">IF(W110="","",W110-X110)</f>
        <v>-246.593333333333</v>
      </c>
      <c r="Z110" s="114" t="str">
        <f aca="false">IF(OR(9&gt;$B$27,ISBLANK(Actuals!K86)),"",Actuals!K86)</f>
        <v/>
      </c>
      <c r="AA110" s="114" t="n">
        <f aca="false">'Reforecast Q1 2026'!K86</f>
        <v>-229.166666666667</v>
      </c>
      <c r="AB110" s="114" t="str">
        <f aca="false">IF(Z110="","",Z110-AA110)</f>
        <v/>
      </c>
      <c r="AC110" s="114" t="str">
        <f aca="false">IF(OR(10&gt;$B$27,ISBLANK(Actuals!L86)),"",Actuals!L86)</f>
        <v/>
      </c>
      <c r="AD110" s="114" t="n">
        <f aca="false">'Reforecast Q1 2026'!L86</f>
        <v>-229.166666666667</v>
      </c>
      <c r="AE110" s="114" t="str">
        <f aca="false">IF(AC110="","",AC110-AD110)</f>
        <v/>
      </c>
      <c r="AF110" s="114" t="str">
        <f aca="false">IF(OR(11&gt;$B$27,ISBLANK(Actuals!M86)),"",Actuals!M86)</f>
        <v/>
      </c>
      <c r="AG110" s="114" t="n">
        <f aca="false">'Reforecast Q1 2026'!M86</f>
        <v>-229.166666666667</v>
      </c>
      <c r="AH110" s="114" t="str">
        <f aca="false">IF(AF110="","",AF110-AG110)</f>
        <v/>
      </c>
      <c r="AI110" s="114" t="str">
        <f aca="false">IF(OR(12&gt;$B$27,ISBLANK(Actuals!N86)),"",Actuals!N86)</f>
        <v/>
      </c>
      <c r="AJ110" s="114" t="n">
        <f aca="false">'Reforecast Q1 2026'!N86</f>
        <v>-229.166666666667</v>
      </c>
      <c r="AK110" s="114" t="str">
        <f aca="false">IF(AI110="","",AI110-AJ110)</f>
        <v/>
      </c>
      <c r="AL110" s="117" t="n">
        <f aca="false">SUM(Actuals!$C86:INDEX(Actuals!$C86:$N86,$B$27))</f>
        <v>-3806.08</v>
      </c>
      <c r="AM110" s="117" t="n">
        <f aca="false">SUM('Reforecast Q1 2026'!$C86:INDEX('Reforecast Q1 2026'!$C86:$N86,$B$27))</f>
        <v>-2573.11333333334</v>
      </c>
      <c r="AN110" s="117" t="n">
        <f aca="false">AL110-AM110</f>
        <v>-1232.96666666666</v>
      </c>
    </row>
    <row r="111" customFormat="false" ht="15" hidden="true" customHeight="true" outlineLevel="1" collapsed="false">
      <c r="A111" s="110" t="s">
        <v>69</v>
      </c>
      <c r="B111" s="114" t="n">
        <f aca="false">IF(OR(1&gt;$B$27,ISBLANK(Actuals!C87)),"",Actuals!C87)</f>
        <v>-2200.12</v>
      </c>
      <c r="C111" s="114" t="n">
        <f aca="false">'Reforecast Q1 2026'!C87</f>
        <v>-2200.12</v>
      </c>
      <c r="D111" s="114" t="n">
        <f aca="false">IF(B111="","",B111-C111)</f>
        <v>0</v>
      </c>
      <c r="E111" s="114" t="n">
        <f aca="false">IF(OR(2&gt;$B$27,ISBLANK(Actuals!D87)),"",Actuals!D87)</f>
        <v>-2200.12</v>
      </c>
      <c r="F111" s="114" t="n">
        <f aca="false">'Reforecast Q1 2026'!D87</f>
        <v>-2200.12</v>
      </c>
      <c r="G111" s="114" t="n">
        <f aca="false">IF(E111="","",E111-F111)</f>
        <v>0</v>
      </c>
      <c r="H111" s="114" t="n">
        <f aca="false">IF(OR(3&gt;$B$27,ISBLANK(Actuals!E87)),"",Actuals!E87)</f>
        <v>-2200.12</v>
      </c>
      <c r="I111" s="114" t="n">
        <f aca="false">'Reforecast Q1 2026'!E87</f>
        <v>-2200.12</v>
      </c>
      <c r="J111" s="114" t="n">
        <f aca="false">IF(H111="","",H111-I111)</f>
        <v>0</v>
      </c>
      <c r="K111" s="114" t="n">
        <f aca="false">IF(OR(4&gt;$B$27,ISBLANK(Actuals!F87)),"",Actuals!F87)</f>
        <v>-2200.12</v>
      </c>
      <c r="L111" s="114" t="n">
        <f aca="false">'Reforecast Q1 2026'!F87</f>
        <v>-57.2916666666667</v>
      </c>
      <c r="M111" s="114" t="n">
        <f aca="false">IF(K111="","",K111-L111)</f>
        <v>-2142.82833333333</v>
      </c>
      <c r="N111" s="114" t="n">
        <f aca="false">IF(OR(5&gt;$B$27,ISBLANK(Actuals!G87)),"",Actuals!G87)</f>
        <v>-2200.12</v>
      </c>
      <c r="O111" s="114" t="n">
        <f aca="false">'Reforecast Q1 2026'!G87</f>
        <v>-57.2916666666667</v>
      </c>
      <c r="P111" s="114" t="n">
        <f aca="false">IF(N111="","",N111-O111)</f>
        <v>-2142.82833333333</v>
      </c>
      <c r="Q111" s="114" t="n">
        <f aca="false">IF(OR(6&gt;$B$27,ISBLANK(Actuals!H87)),"",Actuals!H87)</f>
        <v>-2200.12</v>
      </c>
      <c r="R111" s="114" t="n">
        <f aca="false">'Reforecast Q1 2026'!H87</f>
        <v>-57.2916666666667</v>
      </c>
      <c r="S111" s="114" t="n">
        <f aca="false">IF(Q111="","",Q111-R111)</f>
        <v>-2142.82833333333</v>
      </c>
      <c r="T111" s="114" t="n">
        <f aca="false">IF(OR(7&gt;$B$27,ISBLANK(Actuals!I87)),"",Actuals!I87)</f>
        <v>-2200.12</v>
      </c>
      <c r="U111" s="114" t="n">
        <f aca="false">'Reforecast Q1 2026'!I87</f>
        <v>-57.2916666666667</v>
      </c>
      <c r="V111" s="114" t="n">
        <f aca="false">IF(T111="","",T111-U111)</f>
        <v>-2142.82833333333</v>
      </c>
      <c r="W111" s="114" t="n">
        <f aca="false">IF(OR(8&gt;$B$27,ISBLANK(Actuals!J87)),"",Actuals!J87)</f>
        <v>-2200.12</v>
      </c>
      <c r="X111" s="114" t="n">
        <f aca="false">'Reforecast Q1 2026'!J87</f>
        <v>-57.2916666666667</v>
      </c>
      <c r="Y111" s="114" t="n">
        <f aca="false">IF(W111="","",W111-X111)</f>
        <v>-2142.82833333333</v>
      </c>
      <c r="Z111" s="114" t="str">
        <f aca="false">IF(OR(9&gt;$B$27,ISBLANK(Actuals!K87)),"",Actuals!K87)</f>
        <v/>
      </c>
      <c r="AA111" s="114" t="n">
        <f aca="false">'Reforecast Q1 2026'!K87</f>
        <v>-57.2916666666667</v>
      </c>
      <c r="AB111" s="114" t="str">
        <f aca="false">IF(Z111="","",Z111-AA111)</f>
        <v/>
      </c>
      <c r="AC111" s="114" t="str">
        <f aca="false">IF(OR(10&gt;$B$27,ISBLANK(Actuals!L87)),"",Actuals!L87)</f>
        <v/>
      </c>
      <c r="AD111" s="114" t="n">
        <f aca="false">'Reforecast Q1 2026'!L87</f>
        <v>-57.2916666666667</v>
      </c>
      <c r="AE111" s="114" t="str">
        <f aca="false">IF(AC111="","",AC111-AD111)</f>
        <v/>
      </c>
      <c r="AF111" s="114" t="str">
        <f aca="false">IF(OR(11&gt;$B$27,ISBLANK(Actuals!M87)),"",Actuals!M87)</f>
        <v/>
      </c>
      <c r="AG111" s="114" t="n">
        <f aca="false">'Reforecast Q1 2026'!M87</f>
        <v>-57.2916666666667</v>
      </c>
      <c r="AH111" s="114" t="str">
        <f aca="false">IF(AF111="","",AF111-AG111)</f>
        <v/>
      </c>
      <c r="AI111" s="114" t="str">
        <f aca="false">IF(OR(12&gt;$B$27,ISBLANK(Actuals!N87)),"",Actuals!N87)</f>
        <v/>
      </c>
      <c r="AJ111" s="114" t="n">
        <f aca="false">'Reforecast Q1 2026'!N87</f>
        <v>-57.2916666666667</v>
      </c>
      <c r="AK111" s="114" t="str">
        <f aca="false">IF(AI111="","",AI111-AJ111)</f>
        <v/>
      </c>
      <c r="AL111" s="117" t="n">
        <f aca="false">SUM(Actuals!$C87:INDEX(Actuals!$C87:$N87,$B$27))</f>
        <v>-17600.96</v>
      </c>
      <c r="AM111" s="117" t="n">
        <f aca="false">SUM('Reforecast Q1 2026'!$C87:INDEX('Reforecast Q1 2026'!$C87:$N87,$B$27))</f>
        <v>-6886.81833333333</v>
      </c>
      <c r="AN111" s="117" t="n">
        <f aca="false">AL111-AM111</f>
        <v>-10714.1416666667</v>
      </c>
    </row>
    <row r="112" customFormat="false" ht="15" hidden="true" customHeight="true" outlineLevel="1" collapsed="false">
      <c r="A112" s="110" t="s">
        <v>72</v>
      </c>
      <c r="B112" s="114" t="n">
        <f aca="false">IF(OR(1&gt;$B$27,ISBLANK(Actuals!C88)),"",Actuals!C88)</f>
        <v>-8848.65</v>
      </c>
      <c r="C112" s="114" t="n">
        <f aca="false">'Reforecast Q1 2026'!C88</f>
        <v>-8848.65</v>
      </c>
      <c r="D112" s="114" t="n">
        <f aca="false">IF(B112="","",B112-C112)</f>
        <v>0</v>
      </c>
      <c r="E112" s="114" t="n">
        <f aca="false">IF(OR(2&gt;$B$27,ISBLANK(Actuals!D88)),"",Actuals!D88)</f>
        <v>-8817.63</v>
      </c>
      <c r="F112" s="114" t="n">
        <f aca="false">'Reforecast Q1 2026'!D88</f>
        <v>-8817.63</v>
      </c>
      <c r="G112" s="114" t="n">
        <f aca="false">IF(E112="","",E112-F112)</f>
        <v>0</v>
      </c>
      <c r="H112" s="114" t="n">
        <f aca="false">IF(OR(3&gt;$B$27,ISBLANK(Actuals!E88)),"",Actuals!E88)</f>
        <v>-3775.91</v>
      </c>
      <c r="I112" s="114" t="n">
        <f aca="false">'Reforecast Q1 2026'!E88</f>
        <v>-3775.91</v>
      </c>
      <c r="J112" s="114" t="n">
        <f aca="false">IF(H112="","",H112-I112)</f>
        <v>0</v>
      </c>
      <c r="K112" s="114" t="n">
        <f aca="false">IF(OR(4&gt;$B$27,ISBLANK(Actuals!F88)),"",Actuals!F88)</f>
        <v>-8731.12</v>
      </c>
      <c r="L112" s="114" t="n">
        <f aca="false">'Reforecast Q1 2026'!F88</f>
        <v>-8500</v>
      </c>
      <c r="M112" s="114" t="n">
        <f aca="false">IF(K112="","",K112-L112)</f>
        <v>-231.120000000001</v>
      </c>
      <c r="N112" s="114" t="n">
        <f aca="false">IF(OR(5&gt;$B$27,ISBLANK(Actuals!G88)),"",Actuals!G88)</f>
        <v>-8739.17</v>
      </c>
      <c r="O112" s="114" t="n">
        <f aca="false">'Reforecast Q1 2026'!G88</f>
        <v>-8500</v>
      </c>
      <c r="P112" s="114" t="n">
        <f aca="false">IF(N112="","",N112-O112)</f>
        <v>-239.17</v>
      </c>
      <c r="Q112" s="114" t="n">
        <f aca="false">IF(OR(6&gt;$B$27,ISBLANK(Actuals!H88)),"",Actuals!H88)</f>
        <v>-8771.99</v>
      </c>
      <c r="R112" s="114" t="n">
        <f aca="false">'Reforecast Q1 2026'!H88</f>
        <v>-8500</v>
      </c>
      <c r="S112" s="114" t="n">
        <f aca="false">IF(Q112="","",Q112-R112)</f>
        <v>-271.99</v>
      </c>
      <c r="T112" s="114" t="n">
        <f aca="false">IF(OR(7&gt;$B$27,ISBLANK(Actuals!I88)),"",Actuals!I88)</f>
        <v>-13832.56</v>
      </c>
      <c r="U112" s="114" t="n">
        <f aca="false">'Reforecast Q1 2026'!I88</f>
        <v>-8500</v>
      </c>
      <c r="V112" s="114" t="n">
        <f aca="false">IF(T112="","",T112-U112)</f>
        <v>-5332.56</v>
      </c>
      <c r="W112" s="114" t="n">
        <f aca="false">IF(OR(8&gt;$B$27,ISBLANK(Actuals!J88)),"",Actuals!J88)</f>
        <v>-3870.05</v>
      </c>
      <c r="X112" s="114" t="n">
        <f aca="false">'Reforecast Q1 2026'!J88</f>
        <v>-8500</v>
      </c>
      <c r="Y112" s="114" t="n">
        <f aca="false">IF(W112="","",W112-X112)</f>
        <v>4629.95</v>
      </c>
      <c r="Z112" s="114" t="str">
        <f aca="false">IF(OR(9&gt;$B$27,ISBLANK(Actuals!K88)),"",Actuals!K88)</f>
        <v/>
      </c>
      <c r="AA112" s="114" t="n">
        <f aca="false">'Reforecast Q1 2026'!K88</f>
        <v>-8500</v>
      </c>
      <c r="AB112" s="114" t="str">
        <f aca="false">IF(Z112="","",Z112-AA112)</f>
        <v/>
      </c>
      <c r="AC112" s="114" t="str">
        <f aca="false">IF(OR(10&gt;$B$27,ISBLANK(Actuals!L88)),"",Actuals!L88)</f>
        <v/>
      </c>
      <c r="AD112" s="114" t="n">
        <f aca="false">'Reforecast Q1 2026'!L88</f>
        <v>-8500</v>
      </c>
      <c r="AE112" s="114" t="str">
        <f aca="false">IF(AC112="","",AC112-AD112)</f>
        <v/>
      </c>
      <c r="AF112" s="114" t="str">
        <f aca="false">IF(OR(11&gt;$B$27,ISBLANK(Actuals!M88)),"",Actuals!M88)</f>
        <v/>
      </c>
      <c r="AG112" s="114" t="n">
        <f aca="false">'Reforecast Q1 2026'!M88</f>
        <v>-8500</v>
      </c>
      <c r="AH112" s="114" t="str">
        <f aca="false">IF(AF112="","",AF112-AG112)</f>
        <v/>
      </c>
      <c r="AI112" s="114" t="str">
        <f aca="false">IF(OR(12&gt;$B$27,ISBLANK(Actuals!N88)),"",Actuals!N88)</f>
        <v/>
      </c>
      <c r="AJ112" s="114" t="n">
        <f aca="false">'Reforecast Q1 2026'!N88</f>
        <v>-8500</v>
      </c>
      <c r="AK112" s="114" t="str">
        <f aca="false">IF(AI112="","",AI112-AJ112)</f>
        <v/>
      </c>
      <c r="AL112" s="117" t="n">
        <f aca="false">SUM(Actuals!$C88:INDEX(Actuals!$C88:$N88,$B$27))</f>
        <v>-65387.08</v>
      </c>
      <c r="AM112" s="117" t="n">
        <f aca="false">SUM('Reforecast Q1 2026'!$C88:INDEX('Reforecast Q1 2026'!$C88:$N88,$B$27))</f>
        <v>-63942.19</v>
      </c>
      <c r="AN112" s="117" t="n">
        <f aca="false">AL112-AM112</f>
        <v>-1444.89</v>
      </c>
    </row>
    <row r="113" customFormat="false" ht="15" hidden="true" customHeight="true" outlineLevel="1" collapsed="false">
      <c r="A113" s="110" t="s">
        <v>73</v>
      </c>
      <c r="B113" s="114" t="n">
        <f aca="false">IF(OR(1&gt;$B$27,ISBLANK(Actuals!C89)),"",Actuals!C89)</f>
        <v>-1722.9</v>
      </c>
      <c r="C113" s="114" t="n">
        <f aca="false">'Reforecast Q1 2026'!C89</f>
        <v>-1722.9</v>
      </c>
      <c r="D113" s="114" t="n">
        <f aca="false">IF(B113="","",B113-C113)</f>
        <v>0</v>
      </c>
      <c r="E113" s="114" t="n">
        <f aca="false">IF(OR(2&gt;$B$27,ISBLANK(Actuals!D89)),"",Actuals!D89)</f>
        <v>0</v>
      </c>
      <c r="F113" s="114" t="n">
        <f aca="false">'Reforecast Q1 2026'!D89</f>
        <v>0</v>
      </c>
      <c r="G113" s="114" t="n">
        <f aca="false">IF(E113="","",E113-F113)</f>
        <v>0</v>
      </c>
      <c r="H113" s="114" t="n">
        <f aca="false">IF(OR(3&gt;$B$27,ISBLANK(Actuals!E89)),"",Actuals!E89)</f>
        <v>-28.51</v>
      </c>
      <c r="I113" s="114" t="n">
        <f aca="false">'Reforecast Q1 2026'!E89</f>
        <v>-28.51</v>
      </c>
      <c r="J113" s="114" t="n">
        <f aca="false">IF(H113="","",H113-I113)</f>
        <v>0</v>
      </c>
      <c r="K113" s="114" t="n">
        <f aca="false">IF(OR(4&gt;$B$27,ISBLANK(Actuals!F89)),"",Actuals!F89)</f>
        <v>0</v>
      </c>
      <c r="L113" s="114" t="n">
        <f aca="false">'Reforecast Q1 2026'!F89</f>
        <v>-583.8</v>
      </c>
      <c r="M113" s="114" t="n">
        <f aca="false">IF(K113="","",K113-L113)</f>
        <v>583.8</v>
      </c>
      <c r="N113" s="114" t="n">
        <f aca="false">IF(OR(5&gt;$B$27,ISBLANK(Actuals!G89)),"",Actuals!G89)</f>
        <v>-212.12</v>
      </c>
      <c r="O113" s="114" t="n">
        <f aca="false">'Reforecast Q1 2026'!G89</f>
        <v>-583.8</v>
      </c>
      <c r="P113" s="114" t="n">
        <f aca="false">IF(N113="","",N113-O113)</f>
        <v>371.68</v>
      </c>
      <c r="Q113" s="114" t="n">
        <f aca="false">IF(OR(6&gt;$B$27,ISBLANK(Actuals!H89)),"",Actuals!H89)</f>
        <v>-83.92</v>
      </c>
      <c r="R113" s="114" t="n">
        <f aca="false">'Reforecast Q1 2026'!H89</f>
        <v>-583.8</v>
      </c>
      <c r="S113" s="114" t="n">
        <f aca="false">IF(Q113="","",Q113-R113)</f>
        <v>499.88</v>
      </c>
      <c r="T113" s="114" t="n">
        <f aca="false">IF(OR(7&gt;$B$27,ISBLANK(Actuals!I89)),"",Actuals!I89)</f>
        <v>-530</v>
      </c>
      <c r="U113" s="114" t="n">
        <f aca="false">'Reforecast Q1 2026'!I89</f>
        <v>-583.8</v>
      </c>
      <c r="V113" s="114" t="n">
        <f aca="false">IF(T113="","",T113-U113)</f>
        <v>53.8</v>
      </c>
      <c r="W113" s="114" t="n">
        <f aca="false">IF(OR(8&gt;$B$27,ISBLANK(Actuals!J89)),"",Actuals!J89)</f>
        <v>-180.23</v>
      </c>
      <c r="X113" s="114" t="n">
        <f aca="false">'Reforecast Q1 2026'!J89</f>
        <v>-583.8</v>
      </c>
      <c r="Y113" s="114" t="n">
        <f aca="false">IF(W113="","",W113-X113)</f>
        <v>403.57</v>
      </c>
      <c r="Z113" s="114" t="str">
        <f aca="false">IF(OR(9&gt;$B$27,ISBLANK(Actuals!K89)),"",Actuals!K89)</f>
        <v/>
      </c>
      <c r="AA113" s="114" t="n">
        <f aca="false">'Reforecast Q1 2026'!K89</f>
        <v>-583.8</v>
      </c>
      <c r="AB113" s="114" t="str">
        <f aca="false">IF(Z113="","",Z113-AA113)</f>
        <v/>
      </c>
      <c r="AC113" s="114" t="str">
        <f aca="false">IF(OR(10&gt;$B$27,ISBLANK(Actuals!L89)),"",Actuals!L89)</f>
        <v/>
      </c>
      <c r="AD113" s="114" t="n">
        <f aca="false">'Reforecast Q1 2026'!L89</f>
        <v>-583.8</v>
      </c>
      <c r="AE113" s="114" t="str">
        <f aca="false">IF(AC113="","",AC113-AD113)</f>
        <v/>
      </c>
      <c r="AF113" s="114" t="str">
        <f aca="false">IF(OR(11&gt;$B$27,ISBLANK(Actuals!M89)),"",Actuals!M89)</f>
        <v/>
      </c>
      <c r="AG113" s="114" t="n">
        <f aca="false">'Reforecast Q1 2026'!M89</f>
        <v>-583.8</v>
      </c>
      <c r="AH113" s="114" t="str">
        <f aca="false">IF(AF113="","",AF113-AG113)</f>
        <v/>
      </c>
      <c r="AI113" s="114" t="str">
        <f aca="false">IF(OR(12&gt;$B$27,ISBLANK(Actuals!N89)),"",Actuals!N89)</f>
        <v/>
      </c>
      <c r="AJ113" s="114" t="n">
        <f aca="false">'Reforecast Q1 2026'!N89</f>
        <v>-583.8</v>
      </c>
      <c r="AK113" s="114" t="str">
        <f aca="false">IF(AI113="","",AI113-AJ113)</f>
        <v/>
      </c>
      <c r="AL113" s="117" t="n">
        <f aca="false">SUM(Actuals!$C89:INDEX(Actuals!$C89:$N89,$B$27))</f>
        <v>-2757.68</v>
      </c>
      <c r="AM113" s="117" t="n">
        <f aca="false">SUM('Reforecast Q1 2026'!$C89:INDEX('Reforecast Q1 2026'!$C89:$N89,$B$27))</f>
        <v>-4670.41</v>
      </c>
      <c r="AN113" s="117" t="n">
        <f aca="false">AL113-AM113</f>
        <v>1912.73</v>
      </c>
    </row>
    <row r="114" customFormat="false" ht="15" hidden="true" customHeight="true" outlineLevel="1" collapsed="false">
      <c r="A114" s="110" t="s">
        <v>76</v>
      </c>
      <c r="B114" s="114" t="n">
        <f aca="false">IF(OR(1&gt;$B$27,ISBLANK(Actuals!C90)),"",Actuals!C90)</f>
        <v>-246.85</v>
      </c>
      <c r="C114" s="114" t="n">
        <f aca="false">'Reforecast Q1 2026'!C90</f>
        <v>-246.85</v>
      </c>
      <c r="D114" s="114" t="n">
        <f aca="false">IF(B114="","",B114-C114)</f>
        <v>0</v>
      </c>
      <c r="E114" s="114" t="n">
        <f aca="false">IF(OR(2&gt;$B$27,ISBLANK(Actuals!D90)),"",Actuals!D90)</f>
        <v>0</v>
      </c>
      <c r="F114" s="114" t="n">
        <f aca="false">'Reforecast Q1 2026'!D90</f>
        <v>0</v>
      </c>
      <c r="G114" s="114" t="n">
        <f aca="false">IF(E114="","",E114-F114)</f>
        <v>0</v>
      </c>
      <c r="H114" s="114" t="n">
        <f aca="false">IF(OR(3&gt;$B$27,ISBLANK(Actuals!E90)),"",Actuals!E90)</f>
        <v>-4246.73</v>
      </c>
      <c r="I114" s="114" t="n">
        <f aca="false">'Reforecast Q1 2026'!E90</f>
        <v>-4246.73</v>
      </c>
      <c r="J114" s="114" t="n">
        <f aca="false">IF(H114="","",H114-I114)</f>
        <v>0</v>
      </c>
      <c r="K114" s="114" t="n">
        <f aca="false">IF(OR(4&gt;$B$27,ISBLANK(Actuals!F90)),"",Actuals!F90)</f>
        <v>-3123.87</v>
      </c>
      <c r="L114" s="114" t="n">
        <f aca="false">'Reforecast Q1 2026'!F90</f>
        <v>-1497.86</v>
      </c>
      <c r="M114" s="114" t="n">
        <f aca="false">IF(K114="","",K114-L114)</f>
        <v>-1626.01</v>
      </c>
      <c r="N114" s="114" t="n">
        <f aca="false">IF(OR(5&gt;$B$27,ISBLANK(Actuals!G90)),"",Actuals!G90)</f>
        <v>-3184.88</v>
      </c>
      <c r="O114" s="114" t="n">
        <f aca="false">'Reforecast Q1 2026'!G90</f>
        <v>-1497.86</v>
      </c>
      <c r="P114" s="114" t="n">
        <f aca="false">IF(N114="","",N114-O114)</f>
        <v>-1687.02</v>
      </c>
      <c r="Q114" s="114" t="n">
        <f aca="false">IF(OR(6&gt;$B$27,ISBLANK(Actuals!H90)),"",Actuals!H90)</f>
        <v>-4015.94</v>
      </c>
      <c r="R114" s="114" t="n">
        <f aca="false">'Reforecast Q1 2026'!H90</f>
        <v>-1497.86</v>
      </c>
      <c r="S114" s="114" t="n">
        <f aca="false">IF(Q114="","",Q114-R114)</f>
        <v>-2518.08</v>
      </c>
      <c r="T114" s="114" t="n">
        <f aca="false">IF(OR(7&gt;$B$27,ISBLANK(Actuals!I90)),"",Actuals!I90)</f>
        <v>-759.45</v>
      </c>
      <c r="U114" s="114" t="n">
        <f aca="false">'Reforecast Q1 2026'!I90</f>
        <v>-1497.86</v>
      </c>
      <c r="V114" s="114" t="n">
        <f aca="false">IF(T114="","",T114-U114)</f>
        <v>738.41</v>
      </c>
      <c r="W114" s="114" t="n">
        <f aca="false">IF(OR(8&gt;$B$27,ISBLANK(Actuals!J90)),"",Actuals!J90)</f>
        <v>-6023.52</v>
      </c>
      <c r="X114" s="114" t="n">
        <f aca="false">'Reforecast Q1 2026'!J90</f>
        <v>-1497.86</v>
      </c>
      <c r="Y114" s="114" t="n">
        <f aca="false">IF(W114="","",W114-X114)</f>
        <v>-4525.66</v>
      </c>
      <c r="Z114" s="114" t="str">
        <f aca="false">IF(OR(9&gt;$B$27,ISBLANK(Actuals!K90)),"",Actuals!K90)</f>
        <v/>
      </c>
      <c r="AA114" s="114" t="n">
        <f aca="false">'Reforecast Q1 2026'!K90</f>
        <v>-1497.86</v>
      </c>
      <c r="AB114" s="114" t="str">
        <f aca="false">IF(Z114="","",Z114-AA114)</f>
        <v/>
      </c>
      <c r="AC114" s="114" t="str">
        <f aca="false">IF(OR(10&gt;$B$27,ISBLANK(Actuals!L90)),"",Actuals!L90)</f>
        <v/>
      </c>
      <c r="AD114" s="114" t="n">
        <f aca="false">'Reforecast Q1 2026'!L90</f>
        <v>-1497.86</v>
      </c>
      <c r="AE114" s="114" t="str">
        <f aca="false">IF(AC114="","",AC114-AD114)</f>
        <v/>
      </c>
      <c r="AF114" s="114" t="str">
        <f aca="false">IF(OR(11&gt;$B$27,ISBLANK(Actuals!M90)),"",Actuals!M90)</f>
        <v/>
      </c>
      <c r="AG114" s="114" t="n">
        <f aca="false">'Reforecast Q1 2026'!M90</f>
        <v>-1497.86</v>
      </c>
      <c r="AH114" s="114" t="str">
        <f aca="false">IF(AF114="","",AF114-AG114)</f>
        <v/>
      </c>
      <c r="AI114" s="114" t="str">
        <f aca="false">IF(OR(12&gt;$B$27,ISBLANK(Actuals!N90)),"",Actuals!N90)</f>
        <v/>
      </c>
      <c r="AJ114" s="114" t="n">
        <f aca="false">'Reforecast Q1 2026'!N90</f>
        <v>-1497.86</v>
      </c>
      <c r="AK114" s="114" t="str">
        <f aca="false">IF(AI114="","",AI114-AJ114)</f>
        <v/>
      </c>
      <c r="AL114" s="117" t="n">
        <f aca="false">SUM(Actuals!$C90:INDEX(Actuals!$C90:$N90,$B$27))</f>
        <v>-21601.24</v>
      </c>
      <c r="AM114" s="117" t="n">
        <f aca="false">SUM('Reforecast Q1 2026'!$C90:INDEX('Reforecast Q1 2026'!$C90:$N90,$B$27))</f>
        <v>-11982.88</v>
      </c>
      <c r="AN114" s="117" t="n">
        <f aca="false">AL114-AM114</f>
        <v>-9618.36</v>
      </c>
    </row>
    <row r="115" customFormat="false" ht="15" hidden="true" customHeight="true" outlineLevel="1" collapsed="false">
      <c r="A115" s="110" t="s">
        <v>123</v>
      </c>
      <c r="B115" s="114" t="n">
        <f aca="false">IF(OR(1&gt;$B$27,ISBLANK(Actuals!C91)),"",Actuals!C91)</f>
        <v>0</v>
      </c>
      <c r="C115" s="114" t="n">
        <f aca="false">'Reforecast Q1 2026'!C91</f>
        <v>0</v>
      </c>
      <c r="D115" s="114" t="n">
        <f aca="false">IF(B115="","",B115-C115)</f>
        <v>0</v>
      </c>
      <c r="E115" s="114" t="n">
        <f aca="false">IF(OR(2&gt;$B$27,ISBLANK(Actuals!D91)),"",Actuals!D91)</f>
        <v>0</v>
      </c>
      <c r="F115" s="114" t="n">
        <f aca="false">'Reforecast Q1 2026'!D91</f>
        <v>0</v>
      </c>
      <c r="G115" s="114" t="n">
        <f aca="false">IF(E115="","",E115-F115)</f>
        <v>0</v>
      </c>
      <c r="H115" s="114" t="n">
        <f aca="false">IF(OR(3&gt;$B$27,ISBLANK(Actuals!E91)),"",Actuals!E91)</f>
        <v>-870</v>
      </c>
      <c r="I115" s="114" t="n">
        <f aca="false">'Reforecast Q1 2026'!E91</f>
        <v>-870</v>
      </c>
      <c r="J115" s="114" t="n">
        <f aca="false">IF(H115="","",H115-I115)</f>
        <v>0</v>
      </c>
      <c r="K115" s="114" t="n">
        <f aca="false">IF(OR(4&gt;$B$27,ISBLANK(Actuals!F91)),"",Actuals!F91)</f>
        <v>0</v>
      </c>
      <c r="L115" s="114" t="n">
        <f aca="false">'Reforecast Q1 2026'!F91</f>
        <v>-290</v>
      </c>
      <c r="M115" s="114" t="n">
        <f aca="false">IF(K115="","",K115-L115)</f>
        <v>290</v>
      </c>
      <c r="N115" s="114" t="n">
        <f aca="false">IF(OR(5&gt;$B$27,ISBLANK(Actuals!G91)),"",Actuals!G91)</f>
        <v>0</v>
      </c>
      <c r="O115" s="114" t="n">
        <f aca="false">'Reforecast Q1 2026'!G91</f>
        <v>-290</v>
      </c>
      <c r="P115" s="114" t="n">
        <f aca="false">IF(N115="","",N115-O115)</f>
        <v>290</v>
      </c>
      <c r="Q115" s="114" t="n">
        <f aca="false">IF(OR(6&gt;$B$27,ISBLANK(Actuals!H91)),"",Actuals!H91)</f>
        <v>0</v>
      </c>
      <c r="R115" s="114" t="n">
        <f aca="false">'Reforecast Q1 2026'!H91</f>
        <v>-290</v>
      </c>
      <c r="S115" s="114" t="n">
        <f aca="false">IF(Q115="","",Q115-R115)</f>
        <v>290</v>
      </c>
      <c r="T115" s="114" t="n">
        <f aca="false">IF(OR(7&gt;$B$27,ISBLANK(Actuals!I91)),"",Actuals!I91)</f>
        <v>0</v>
      </c>
      <c r="U115" s="114" t="n">
        <f aca="false">'Reforecast Q1 2026'!I91</f>
        <v>-290</v>
      </c>
      <c r="V115" s="114" t="n">
        <f aca="false">IF(T115="","",T115-U115)</f>
        <v>290</v>
      </c>
      <c r="W115" s="114" t="n">
        <f aca="false">IF(OR(8&gt;$B$27,ISBLANK(Actuals!J91)),"",Actuals!J91)</f>
        <v>0</v>
      </c>
      <c r="X115" s="114" t="n">
        <f aca="false">'Reforecast Q1 2026'!J91</f>
        <v>-290</v>
      </c>
      <c r="Y115" s="114" t="n">
        <f aca="false">IF(W115="","",W115-X115)</f>
        <v>290</v>
      </c>
      <c r="Z115" s="114" t="str">
        <f aca="false">IF(OR(9&gt;$B$27,ISBLANK(Actuals!K91)),"",Actuals!K91)</f>
        <v/>
      </c>
      <c r="AA115" s="114" t="n">
        <f aca="false">'Reforecast Q1 2026'!K91</f>
        <v>-290</v>
      </c>
      <c r="AB115" s="114" t="str">
        <f aca="false">IF(Z115="","",Z115-AA115)</f>
        <v/>
      </c>
      <c r="AC115" s="114" t="str">
        <f aca="false">IF(OR(10&gt;$B$27,ISBLANK(Actuals!L91)),"",Actuals!L91)</f>
        <v/>
      </c>
      <c r="AD115" s="114" t="n">
        <f aca="false">'Reforecast Q1 2026'!L91</f>
        <v>-290</v>
      </c>
      <c r="AE115" s="114" t="str">
        <f aca="false">IF(AC115="","",AC115-AD115)</f>
        <v/>
      </c>
      <c r="AF115" s="114" t="str">
        <f aca="false">IF(OR(11&gt;$B$27,ISBLANK(Actuals!M91)),"",Actuals!M91)</f>
        <v/>
      </c>
      <c r="AG115" s="114" t="n">
        <f aca="false">'Reforecast Q1 2026'!M91</f>
        <v>-290</v>
      </c>
      <c r="AH115" s="114" t="str">
        <f aca="false">IF(AF115="","",AF115-AG115)</f>
        <v/>
      </c>
      <c r="AI115" s="114" t="str">
        <f aca="false">IF(OR(12&gt;$B$27,ISBLANK(Actuals!N91)),"",Actuals!N91)</f>
        <v/>
      </c>
      <c r="AJ115" s="114" t="n">
        <f aca="false">'Reforecast Q1 2026'!N91</f>
        <v>-290</v>
      </c>
      <c r="AK115" s="114" t="str">
        <f aca="false">IF(AI115="","",AI115-AJ115)</f>
        <v/>
      </c>
      <c r="AL115" s="117" t="n">
        <f aca="false">SUM(Actuals!$C91:INDEX(Actuals!$C91:$N91,$B$27))</f>
        <v>-870</v>
      </c>
      <c r="AM115" s="117" t="n">
        <f aca="false">SUM('Reforecast Q1 2026'!$C91:INDEX('Reforecast Q1 2026'!$C91:$N91,$B$27))</f>
        <v>-2320</v>
      </c>
      <c r="AN115" s="117" t="n">
        <f aca="false">AL115-AM115</f>
        <v>1450</v>
      </c>
    </row>
    <row r="116" customFormat="false" ht="15" hidden="true" customHeight="true" outlineLevel="1" collapsed="false">
      <c r="A116" s="110" t="s">
        <v>124</v>
      </c>
      <c r="B116" s="114" t="n">
        <f aca="false">IF(OR(1&gt;$B$27,ISBLANK(Actuals!C92)),"",Actuals!C92)</f>
        <v>-245</v>
      </c>
      <c r="C116" s="114" t="n">
        <f aca="false">'Reforecast Q1 2026'!C92</f>
        <v>-245</v>
      </c>
      <c r="D116" s="114" t="n">
        <f aca="false">IF(B116="","",B116-C116)</f>
        <v>0</v>
      </c>
      <c r="E116" s="114" t="n">
        <f aca="false">IF(OR(2&gt;$B$27,ISBLANK(Actuals!D92)),"",Actuals!D92)</f>
        <v>-245</v>
      </c>
      <c r="F116" s="114" t="n">
        <f aca="false">'Reforecast Q1 2026'!D92</f>
        <v>-245</v>
      </c>
      <c r="G116" s="114" t="n">
        <f aca="false">IF(E116="","",E116-F116)</f>
        <v>0</v>
      </c>
      <c r="H116" s="114" t="n">
        <f aca="false">IF(OR(3&gt;$B$27,ISBLANK(Actuals!E92)),"",Actuals!E92)</f>
        <v>-245</v>
      </c>
      <c r="I116" s="114" t="n">
        <f aca="false">'Reforecast Q1 2026'!E92</f>
        <v>-245</v>
      </c>
      <c r="J116" s="114" t="n">
        <f aca="false">IF(H116="","",H116-I116)</f>
        <v>0</v>
      </c>
      <c r="K116" s="114" t="n">
        <f aca="false">IF(OR(4&gt;$B$27,ISBLANK(Actuals!F92)),"",Actuals!F92)</f>
        <v>-245</v>
      </c>
      <c r="L116" s="114" t="n">
        <f aca="false">'Reforecast Q1 2026'!F92</f>
        <v>-245</v>
      </c>
      <c r="M116" s="114" t="n">
        <f aca="false">IF(K116="","",K116-L116)</f>
        <v>0</v>
      </c>
      <c r="N116" s="114" t="n">
        <f aca="false">IF(OR(5&gt;$B$27,ISBLANK(Actuals!G92)),"",Actuals!G92)</f>
        <v>-245</v>
      </c>
      <c r="O116" s="114" t="n">
        <f aca="false">'Reforecast Q1 2026'!G92</f>
        <v>-245</v>
      </c>
      <c r="P116" s="114" t="n">
        <f aca="false">IF(N116="","",N116-O116)</f>
        <v>0</v>
      </c>
      <c r="Q116" s="114" t="n">
        <f aca="false">IF(OR(6&gt;$B$27,ISBLANK(Actuals!H92)),"",Actuals!H92)</f>
        <v>-245</v>
      </c>
      <c r="R116" s="114" t="n">
        <f aca="false">'Reforecast Q1 2026'!H92</f>
        <v>-245</v>
      </c>
      <c r="S116" s="114" t="n">
        <f aca="false">IF(Q116="","",Q116-R116)</f>
        <v>0</v>
      </c>
      <c r="T116" s="114" t="n">
        <f aca="false">IF(OR(7&gt;$B$27,ISBLANK(Actuals!I92)),"",Actuals!I92)</f>
        <v>-245</v>
      </c>
      <c r="U116" s="114" t="n">
        <f aca="false">'Reforecast Q1 2026'!I92</f>
        <v>-245</v>
      </c>
      <c r="V116" s="114" t="n">
        <f aca="false">IF(T116="","",T116-U116)</f>
        <v>0</v>
      </c>
      <c r="W116" s="114" t="n">
        <f aca="false">IF(OR(8&gt;$B$27,ISBLANK(Actuals!J92)),"",Actuals!J92)</f>
        <v>0</v>
      </c>
      <c r="X116" s="114" t="n">
        <f aca="false">'Reforecast Q1 2026'!J92</f>
        <v>-245</v>
      </c>
      <c r="Y116" s="114" t="n">
        <f aca="false">IF(W116="","",W116-X116)</f>
        <v>245</v>
      </c>
      <c r="Z116" s="114" t="str">
        <f aca="false">IF(OR(9&gt;$B$27,ISBLANK(Actuals!K92)),"",Actuals!K92)</f>
        <v/>
      </c>
      <c r="AA116" s="114" t="n">
        <f aca="false">'Reforecast Q1 2026'!K92</f>
        <v>-245</v>
      </c>
      <c r="AB116" s="114" t="str">
        <f aca="false">IF(Z116="","",Z116-AA116)</f>
        <v/>
      </c>
      <c r="AC116" s="114" t="str">
        <f aca="false">IF(OR(10&gt;$B$27,ISBLANK(Actuals!L92)),"",Actuals!L92)</f>
        <v/>
      </c>
      <c r="AD116" s="114" t="n">
        <f aca="false">'Reforecast Q1 2026'!L92</f>
        <v>-245</v>
      </c>
      <c r="AE116" s="114" t="str">
        <f aca="false">IF(AC116="","",AC116-AD116)</f>
        <v/>
      </c>
      <c r="AF116" s="114" t="str">
        <f aca="false">IF(OR(11&gt;$B$27,ISBLANK(Actuals!M92)),"",Actuals!M92)</f>
        <v/>
      </c>
      <c r="AG116" s="114" t="n">
        <f aca="false">'Reforecast Q1 2026'!M92</f>
        <v>-245</v>
      </c>
      <c r="AH116" s="114" t="str">
        <f aca="false">IF(AF116="","",AF116-AG116)</f>
        <v/>
      </c>
      <c r="AI116" s="114" t="str">
        <f aca="false">IF(OR(12&gt;$B$27,ISBLANK(Actuals!N92)),"",Actuals!N92)</f>
        <v/>
      </c>
      <c r="AJ116" s="114" t="n">
        <f aca="false">'Reforecast Q1 2026'!N92</f>
        <v>-245</v>
      </c>
      <c r="AK116" s="114" t="str">
        <f aca="false">IF(AI116="","",AI116-AJ116)</f>
        <v/>
      </c>
      <c r="AL116" s="117" t="n">
        <f aca="false">SUM(Actuals!$C92:INDEX(Actuals!$C92:$N92,$B$27))</f>
        <v>-1715</v>
      </c>
      <c r="AM116" s="117" t="n">
        <f aca="false">SUM('Reforecast Q1 2026'!$C92:INDEX('Reforecast Q1 2026'!$C92:$N92,$B$27))</f>
        <v>-1960</v>
      </c>
      <c r="AN116" s="117" t="n">
        <f aca="false">AL116-AM116</f>
        <v>245</v>
      </c>
    </row>
    <row r="117" customFormat="false" ht="15" hidden="true" customHeight="true" outlineLevel="1" collapsed="false">
      <c r="A117" s="110" t="s">
        <v>125</v>
      </c>
      <c r="B117" s="114" t="n">
        <f aca="false">IF(OR(1&gt;$B$27,ISBLANK(Actuals!C93)),"",Actuals!C93)</f>
        <v>-986.57</v>
      </c>
      <c r="C117" s="114" t="n">
        <f aca="false">'Reforecast Q1 2026'!C93</f>
        <v>-986.57</v>
      </c>
      <c r="D117" s="114" t="n">
        <f aca="false">IF(B117="","",B117-C117)</f>
        <v>0</v>
      </c>
      <c r="E117" s="114" t="n">
        <f aca="false">IF(OR(2&gt;$B$27,ISBLANK(Actuals!D93)),"",Actuals!D93)</f>
        <v>-1254.61</v>
      </c>
      <c r="F117" s="114" t="n">
        <f aca="false">'Reforecast Q1 2026'!D93</f>
        <v>-1254.61</v>
      </c>
      <c r="G117" s="114" t="n">
        <f aca="false">IF(E117="","",E117-F117)</f>
        <v>0</v>
      </c>
      <c r="H117" s="114" t="n">
        <f aca="false">IF(OR(3&gt;$B$27,ISBLANK(Actuals!E93)),"",Actuals!E93)</f>
        <v>-1297.31</v>
      </c>
      <c r="I117" s="114" t="n">
        <f aca="false">'Reforecast Q1 2026'!E93</f>
        <v>-1297.31</v>
      </c>
      <c r="J117" s="114" t="n">
        <f aca="false">IF(H117="","",H117-I117)</f>
        <v>0</v>
      </c>
      <c r="K117" s="114" t="n">
        <f aca="false">IF(OR(4&gt;$B$27,ISBLANK(Actuals!F93)),"",Actuals!F93)</f>
        <v>-48.78</v>
      </c>
      <c r="L117" s="114" t="n">
        <f aca="false">'Reforecast Q1 2026'!F93</f>
        <v>-1179.5</v>
      </c>
      <c r="M117" s="114" t="n">
        <f aca="false">IF(K117="","",K117-L117)</f>
        <v>1130.72</v>
      </c>
      <c r="N117" s="114" t="n">
        <f aca="false">IF(OR(5&gt;$B$27,ISBLANK(Actuals!G93)),"",Actuals!G93)</f>
        <v>-4199.86</v>
      </c>
      <c r="O117" s="114" t="n">
        <f aca="false">'Reforecast Q1 2026'!G93</f>
        <v>-1179.5</v>
      </c>
      <c r="P117" s="114" t="n">
        <f aca="false">IF(N117="","",N117-O117)</f>
        <v>-3020.36</v>
      </c>
      <c r="Q117" s="114" t="n">
        <f aca="false">IF(OR(6&gt;$B$27,ISBLANK(Actuals!H93)),"",Actuals!H93)</f>
        <v>-3433.39</v>
      </c>
      <c r="R117" s="114" t="n">
        <f aca="false">'Reforecast Q1 2026'!H93</f>
        <v>-1179.5</v>
      </c>
      <c r="S117" s="114" t="n">
        <f aca="false">IF(Q117="","",Q117-R117)</f>
        <v>-2253.89</v>
      </c>
      <c r="T117" s="114" t="n">
        <f aca="false">IF(OR(7&gt;$B$27,ISBLANK(Actuals!I93)),"",Actuals!I93)</f>
        <v>0</v>
      </c>
      <c r="U117" s="114" t="n">
        <f aca="false">'Reforecast Q1 2026'!I93</f>
        <v>-1179.5</v>
      </c>
      <c r="V117" s="114" t="n">
        <f aca="false">IF(T117="","",T117-U117)</f>
        <v>1179.5</v>
      </c>
      <c r="W117" s="114" t="n">
        <f aca="false">IF(OR(8&gt;$B$27,ISBLANK(Actuals!J93)),"",Actuals!J93)</f>
        <v>-9.99</v>
      </c>
      <c r="X117" s="114" t="n">
        <f aca="false">'Reforecast Q1 2026'!J93</f>
        <v>-1179.5</v>
      </c>
      <c r="Y117" s="114" t="n">
        <f aca="false">IF(W117="","",W117-X117)</f>
        <v>1169.51</v>
      </c>
      <c r="Z117" s="114" t="str">
        <f aca="false">IF(OR(9&gt;$B$27,ISBLANK(Actuals!K93)),"",Actuals!K93)</f>
        <v/>
      </c>
      <c r="AA117" s="114" t="n">
        <f aca="false">'Reforecast Q1 2026'!K93</f>
        <v>-1179.5</v>
      </c>
      <c r="AB117" s="114" t="str">
        <f aca="false">IF(Z117="","",Z117-AA117)</f>
        <v/>
      </c>
      <c r="AC117" s="114" t="str">
        <f aca="false">IF(OR(10&gt;$B$27,ISBLANK(Actuals!L93)),"",Actuals!L93)</f>
        <v/>
      </c>
      <c r="AD117" s="114" t="n">
        <f aca="false">'Reforecast Q1 2026'!L93</f>
        <v>-1179.5</v>
      </c>
      <c r="AE117" s="114" t="str">
        <f aca="false">IF(AC117="","",AC117-AD117)</f>
        <v/>
      </c>
      <c r="AF117" s="114" t="str">
        <f aca="false">IF(OR(11&gt;$B$27,ISBLANK(Actuals!M93)),"",Actuals!M93)</f>
        <v/>
      </c>
      <c r="AG117" s="114" t="n">
        <f aca="false">'Reforecast Q1 2026'!M93</f>
        <v>-1179.5</v>
      </c>
      <c r="AH117" s="114" t="str">
        <f aca="false">IF(AF117="","",AF117-AG117)</f>
        <v/>
      </c>
      <c r="AI117" s="114" t="str">
        <f aca="false">IF(OR(12&gt;$B$27,ISBLANK(Actuals!N93)),"",Actuals!N93)</f>
        <v/>
      </c>
      <c r="AJ117" s="114" t="n">
        <f aca="false">'Reforecast Q1 2026'!N93</f>
        <v>-1179.5</v>
      </c>
      <c r="AK117" s="114" t="str">
        <f aca="false">IF(AI117="","",AI117-AJ117)</f>
        <v/>
      </c>
      <c r="AL117" s="117" t="n">
        <f aca="false">SUM(Actuals!$C93:INDEX(Actuals!$C93:$N93,$B$27))</f>
        <v>-11230.51</v>
      </c>
      <c r="AM117" s="117" t="n">
        <f aca="false">SUM('Reforecast Q1 2026'!$C93:INDEX('Reforecast Q1 2026'!$C93:$N93,$B$27))</f>
        <v>-9435.99</v>
      </c>
      <c r="AN117" s="117" t="n">
        <f aca="false">AL117-AM117</f>
        <v>-1794.52</v>
      </c>
    </row>
    <row r="118" customFormat="false" ht="15" hidden="true" customHeight="true" outlineLevel="1" collapsed="false">
      <c r="A118" s="110" t="s">
        <v>126</v>
      </c>
      <c r="B118" s="114" t="n">
        <f aca="false">IF(OR(1&gt;$B$27,ISBLANK(Actuals!C94)),"",Actuals!C94)</f>
        <v>-588.66</v>
      </c>
      <c r="C118" s="114" t="n">
        <f aca="false">'Reforecast Q1 2026'!C94</f>
        <v>-588.66</v>
      </c>
      <c r="D118" s="114" t="n">
        <f aca="false">IF(B118="","",B118-C118)</f>
        <v>0</v>
      </c>
      <c r="E118" s="114" t="n">
        <f aca="false">IF(OR(2&gt;$B$27,ISBLANK(Actuals!D94)),"",Actuals!D94)</f>
        <v>-22.94</v>
      </c>
      <c r="F118" s="114" t="n">
        <f aca="false">'Reforecast Q1 2026'!D94</f>
        <v>-22.94</v>
      </c>
      <c r="G118" s="114" t="n">
        <f aca="false">IF(E118="","",E118-F118)</f>
        <v>0</v>
      </c>
      <c r="H118" s="114" t="n">
        <f aca="false">IF(OR(3&gt;$B$27,ISBLANK(Actuals!E94)),"",Actuals!E94)</f>
        <v>-487.3</v>
      </c>
      <c r="I118" s="114" t="n">
        <f aca="false">'Reforecast Q1 2026'!E94</f>
        <v>-487.3</v>
      </c>
      <c r="J118" s="114" t="n">
        <f aca="false">IF(H118="","",H118-I118)</f>
        <v>0</v>
      </c>
      <c r="K118" s="114" t="n">
        <f aca="false">IF(OR(4&gt;$B$27,ISBLANK(Actuals!F94)),"",Actuals!F94)</f>
        <v>-399.98</v>
      </c>
      <c r="L118" s="114" t="n">
        <f aca="false">'Reforecast Q1 2026'!F94</f>
        <v>-366.3</v>
      </c>
      <c r="M118" s="114" t="n">
        <f aca="false">IF(K118="","",K118-L118)</f>
        <v>-33.68</v>
      </c>
      <c r="N118" s="114" t="n">
        <f aca="false">IF(OR(5&gt;$B$27,ISBLANK(Actuals!G94)),"",Actuals!G94)</f>
        <v>-216.15</v>
      </c>
      <c r="O118" s="114" t="n">
        <f aca="false">'Reforecast Q1 2026'!G94</f>
        <v>-366.3</v>
      </c>
      <c r="P118" s="114" t="n">
        <f aca="false">IF(N118="","",N118-O118)</f>
        <v>150.15</v>
      </c>
      <c r="Q118" s="114" t="n">
        <f aca="false">IF(OR(6&gt;$B$27,ISBLANK(Actuals!H94)),"",Actuals!H94)</f>
        <v>-936.05</v>
      </c>
      <c r="R118" s="114" t="n">
        <f aca="false">'Reforecast Q1 2026'!H94</f>
        <v>-366.3</v>
      </c>
      <c r="S118" s="114" t="n">
        <f aca="false">IF(Q118="","",Q118-R118)</f>
        <v>-569.75</v>
      </c>
      <c r="T118" s="114" t="n">
        <f aca="false">IF(OR(7&gt;$B$27,ISBLANK(Actuals!I94)),"",Actuals!I94)</f>
        <v>-9.99</v>
      </c>
      <c r="U118" s="114" t="n">
        <f aca="false">'Reforecast Q1 2026'!I94</f>
        <v>-366.3</v>
      </c>
      <c r="V118" s="114" t="n">
        <f aca="false">IF(T118="","",T118-U118)</f>
        <v>356.31</v>
      </c>
      <c r="W118" s="114" t="n">
        <f aca="false">IF(OR(8&gt;$B$27,ISBLANK(Actuals!J94)),"",Actuals!J94)</f>
        <v>-32.2</v>
      </c>
      <c r="X118" s="114" t="n">
        <f aca="false">'Reforecast Q1 2026'!J94</f>
        <v>-366.3</v>
      </c>
      <c r="Y118" s="114" t="n">
        <f aca="false">IF(W118="","",W118-X118)</f>
        <v>334.1</v>
      </c>
      <c r="Z118" s="114" t="str">
        <f aca="false">IF(OR(9&gt;$B$27,ISBLANK(Actuals!K94)),"",Actuals!K94)</f>
        <v/>
      </c>
      <c r="AA118" s="114" t="n">
        <f aca="false">'Reforecast Q1 2026'!K94</f>
        <v>-366.3</v>
      </c>
      <c r="AB118" s="114" t="str">
        <f aca="false">IF(Z118="","",Z118-AA118)</f>
        <v/>
      </c>
      <c r="AC118" s="114" t="str">
        <f aca="false">IF(OR(10&gt;$B$27,ISBLANK(Actuals!L94)),"",Actuals!L94)</f>
        <v/>
      </c>
      <c r="AD118" s="114" t="n">
        <f aca="false">'Reforecast Q1 2026'!L94</f>
        <v>-366.3</v>
      </c>
      <c r="AE118" s="114" t="str">
        <f aca="false">IF(AC118="","",AC118-AD118)</f>
        <v/>
      </c>
      <c r="AF118" s="114" t="str">
        <f aca="false">IF(OR(11&gt;$B$27,ISBLANK(Actuals!M94)),"",Actuals!M94)</f>
        <v/>
      </c>
      <c r="AG118" s="114" t="n">
        <f aca="false">'Reforecast Q1 2026'!M94</f>
        <v>-366.3</v>
      </c>
      <c r="AH118" s="114" t="str">
        <f aca="false">IF(AF118="","",AF118-AG118)</f>
        <v/>
      </c>
      <c r="AI118" s="114" t="str">
        <f aca="false">IF(OR(12&gt;$B$27,ISBLANK(Actuals!N94)),"",Actuals!N94)</f>
        <v/>
      </c>
      <c r="AJ118" s="114" t="n">
        <f aca="false">'Reforecast Q1 2026'!N94</f>
        <v>-366.3</v>
      </c>
      <c r="AK118" s="114" t="str">
        <f aca="false">IF(AI118="","",AI118-AJ118)</f>
        <v/>
      </c>
      <c r="AL118" s="117" t="n">
        <f aca="false">SUM(Actuals!$C94:INDEX(Actuals!$C94:$N94,$B$27))</f>
        <v>-2693.27</v>
      </c>
      <c r="AM118" s="117" t="n">
        <f aca="false">SUM('Reforecast Q1 2026'!$C94:INDEX('Reforecast Q1 2026'!$C94:$N94,$B$27))</f>
        <v>-2930.4</v>
      </c>
      <c r="AN118" s="117" t="n">
        <f aca="false">AL118-AM118</f>
        <v>237.13</v>
      </c>
    </row>
    <row r="119" customFormat="false" ht="15" hidden="true" customHeight="true" outlineLevel="1" collapsed="false">
      <c r="A119" s="110" t="s">
        <v>127</v>
      </c>
      <c r="B119" s="114" t="n">
        <f aca="false">IF(OR(1&gt;$B$27,ISBLANK(Actuals!C95)),"",Actuals!C95)</f>
        <v>0</v>
      </c>
      <c r="C119" s="114" t="n">
        <f aca="false">'Reforecast Q1 2026'!C95</f>
        <v>0</v>
      </c>
      <c r="D119" s="114" t="n">
        <f aca="false">IF(B119="","",B119-C119)</f>
        <v>0</v>
      </c>
      <c r="E119" s="114" t="n">
        <f aca="false">IF(OR(2&gt;$B$27,ISBLANK(Actuals!D95)),"",Actuals!D95)</f>
        <v>-92.75</v>
      </c>
      <c r="F119" s="114" t="n">
        <f aca="false">'Reforecast Q1 2026'!D95</f>
        <v>-92.75</v>
      </c>
      <c r="G119" s="114" t="n">
        <f aca="false">IF(E119="","",E119-F119)</f>
        <v>0</v>
      </c>
      <c r="H119" s="114" t="n">
        <f aca="false">IF(OR(3&gt;$B$27,ISBLANK(Actuals!E95)),"",Actuals!E95)</f>
        <v>-57.46</v>
      </c>
      <c r="I119" s="114" t="n">
        <f aca="false">'Reforecast Q1 2026'!E95</f>
        <v>-57.46</v>
      </c>
      <c r="J119" s="114" t="n">
        <f aca="false">IF(H119="","",H119-I119)</f>
        <v>0</v>
      </c>
      <c r="K119" s="114" t="n">
        <f aca="false">IF(OR(4&gt;$B$27,ISBLANK(Actuals!F95)),"",Actuals!F95)</f>
        <v>0</v>
      </c>
      <c r="L119" s="114" t="n">
        <f aca="false">'Reforecast Q1 2026'!F95</f>
        <v>-50.07</v>
      </c>
      <c r="M119" s="114" t="n">
        <f aca="false">IF(K119="","",K119-L119)</f>
        <v>50.07</v>
      </c>
      <c r="N119" s="114" t="n">
        <f aca="false">IF(OR(5&gt;$B$27,ISBLANK(Actuals!G95)),"",Actuals!G95)</f>
        <v>-24.3</v>
      </c>
      <c r="O119" s="114" t="n">
        <f aca="false">'Reforecast Q1 2026'!G95</f>
        <v>-50.07</v>
      </c>
      <c r="P119" s="114" t="n">
        <f aca="false">IF(N119="","",N119-O119)</f>
        <v>25.77</v>
      </c>
      <c r="Q119" s="114" t="n">
        <f aca="false">IF(OR(6&gt;$B$27,ISBLANK(Actuals!H95)),"",Actuals!H95)</f>
        <v>-917.7</v>
      </c>
      <c r="R119" s="114" t="n">
        <f aca="false">'Reforecast Q1 2026'!H95</f>
        <v>-50.07</v>
      </c>
      <c r="S119" s="114" t="n">
        <f aca="false">IF(Q119="","",Q119-R119)</f>
        <v>-867.63</v>
      </c>
      <c r="T119" s="114" t="n">
        <f aca="false">IF(OR(7&gt;$B$27,ISBLANK(Actuals!I95)),"",Actuals!I95)</f>
        <v>0</v>
      </c>
      <c r="U119" s="114" t="n">
        <f aca="false">'Reforecast Q1 2026'!I95</f>
        <v>-50.07</v>
      </c>
      <c r="V119" s="114" t="n">
        <f aca="false">IF(T119="","",T119-U119)</f>
        <v>50.07</v>
      </c>
      <c r="W119" s="114" t="n">
        <f aca="false">IF(OR(8&gt;$B$27,ISBLANK(Actuals!J95)),"",Actuals!J95)</f>
        <v>-70.35</v>
      </c>
      <c r="X119" s="114" t="n">
        <f aca="false">'Reforecast Q1 2026'!J95</f>
        <v>-50.07</v>
      </c>
      <c r="Y119" s="114" t="n">
        <f aca="false">IF(W119="","",W119-X119)</f>
        <v>-20.28</v>
      </c>
      <c r="Z119" s="114" t="str">
        <f aca="false">IF(OR(9&gt;$B$27,ISBLANK(Actuals!K95)),"",Actuals!K95)</f>
        <v/>
      </c>
      <c r="AA119" s="114" t="n">
        <f aca="false">'Reforecast Q1 2026'!K95</f>
        <v>-50.07</v>
      </c>
      <c r="AB119" s="114" t="str">
        <f aca="false">IF(Z119="","",Z119-AA119)</f>
        <v/>
      </c>
      <c r="AC119" s="114" t="str">
        <f aca="false">IF(OR(10&gt;$B$27,ISBLANK(Actuals!L95)),"",Actuals!L95)</f>
        <v/>
      </c>
      <c r="AD119" s="114" t="n">
        <f aca="false">'Reforecast Q1 2026'!L95</f>
        <v>-50.07</v>
      </c>
      <c r="AE119" s="114" t="str">
        <f aca="false">IF(AC119="","",AC119-AD119)</f>
        <v/>
      </c>
      <c r="AF119" s="114" t="str">
        <f aca="false">IF(OR(11&gt;$B$27,ISBLANK(Actuals!M95)),"",Actuals!M95)</f>
        <v/>
      </c>
      <c r="AG119" s="114" t="n">
        <f aca="false">'Reforecast Q1 2026'!M95</f>
        <v>-50.07</v>
      </c>
      <c r="AH119" s="114" t="str">
        <f aca="false">IF(AF119="","",AF119-AG119)</f>
        <v/>
      </c>
      <c r="AI119" s="114" t="str">
        <f aca="false">IF(OR(12&gt;$B$27,ISBLANK(Actuals!N95)),"",Actuals!N95)</f>
        <v/>
      </c>
      <c r="AJ119" s="114" t="n">
        <f aca="false">'Reforecast Q1 2026'!N95</f>
        <v>-50.07</v>
      </c>
      <c r="AK119" s="114" t="str">
        <f aca="false">IF(AI119="","",AI119-AJ119)</f>
        <v/>
      </c>
      <c r="AL119" s="117" t="n">
        <f aca="false">SUM(Actuals!$C95:INDEX(Actuals!$C95:$N95,$B$27))</f>
        <v>-1162.56</v>
      </c>
      <c r="AM119" s="117" t="n">
        <f aca="false">SUM('Reforecast Q1 2026'!$C95:INDEX('Reforecast Q1 2026'!$C95:$N95,$B$27))</f>
        <v>-400.56</v>
      </c>
      <c r="AN119" s="117" t="n">
        <f aca="false">AL119-AM119</f>
        <v>-762</v>
      </c>
    </row>
    <row r="120" customFormat="false" ht="15" hidden="true" customHeight="true" outlineLevel="1" collapsed="false">
      <c r="A120" s="110" t="s">
        <v>78</v>
      </c>
      <c r="B120" s="114" t="n">
        <f aca="false">IF(OR(1&gt;$B$27,ISBLANK(Actuals!C96)),"",Actuals!C96)</f>
        <v>-640.88</v>
      </c>
      <c r="C120" s="114" t="n">
        <f aca="false">'Reforecast Q1 2026'!C96</f>
        <v>-640.88</v>
      </c>
      <c r="D120" s="114" t="n">
        <f aca="false">IF(B120="","",B120-C120)</f>
        <v>0</v>
      </c>
      <c r="E120" s="114" t="n">
        <f aca="false">IF(OR(2&gt;$B$27,ISBLANK(Actuals!D96)),"",Actuals!D96)</f>
        <v>-872.64</v>
      </c>
      <c r="F120" s="114" t="n">
        <f aca="false">'Reforecast Q1 2026'!D96</f>
        <v>-872.64</v>
      </c>
      <c r="G120" s="114" t="n">
        <f aca="false">IF(E120="","",E120-F120)</f>
        <v>0</v>
      </c>
      <c r="H120" s="114" t="n">
        <f aca="false">IF(OR(3&gt;$B$27,ISBLANK(Actuals!E96)),"",Actuals!E96)</f>
        <v>-1175.78</v>
      </c>
      <c r="I120" s="114" t="n">
        <f aca="false">'Reforecast Q1 2026'!E96</f>
        <v>-1175.78</v>
      </c>
      <c r="J120" s="114" t="n">
        <f aca="false">IF(H120="","",H120-I120)</f>
        <v>0</v>
      </c>
      <c r="K120" s="114" t="n">
        <f aca="false">IF(OR(4&gt;$B$27,ISBLANK(Actuals!F96)),"",Actuals!F96)</f>
        <v>-471.38</v>
      </c>
      <c r="L120" s="114" t="n">
        <f aca="false">'Reforecast Q1 2026'!F96</f>
        <v>-896.43</v>
      </c>
      <c r="M120" s="114" t="n">
        <f aca="false">IF(K120="","",K120-L120)</f>
        <v>425.05</v>
      </c>
      <c r="N120" s="114" t="n">
        <f aca="false">IF(OR(5&gt;$B$27,ISBLANK(Actuals!G96)),"",Actuals!G96)</f>
        <v>-1307.57</v>
      </c>
      <c r="O120" s="114" t="n">
        <f aca="false">'Reforecast Q1 2026'!G96</f>
        <v>-896.43</v>
      </c>
      <c r="P120" s="114" t="n">
        <f aca="false">IF(N120="","",N120-O120)</f>
        <v>-411.14</v>
      </c>
      <c r="Q120" s="114" t="n">
        <f aca="false">IF(OR(6&gt;$B$27,ISBLANK(Actuals!H96)),"",Actuals!H96)</f>
        <v>-3067.11</v>
      </c>
      <c r="R120" s="114" t="n">
        <f aca="false">'Reforecast Q1 2026'!H96</f>
        <v>-896.43</v>
      </c>
      <c r="S120" s="114" t="n">
        <f aca="false">IF(Q120="","",Q120-R120)</f>
        <v>-2170.68</v>
      </c>
      <c r="T120" s="114" t="n">
        <f aca="false">IF(OR(7&gt;$B$27,ISBLANK(Actuals!I96)),"",Actuals!I96)</f>
        <v>-131.02</v>
      </c>
      <c r="U120" s="114" t="n">
        <f aca="false">'Reforecast Q1 2026'!I96</f>
        <v>-896.43</v>
      </c>
      <c r="V120" s="114" t="n">
        <f aca="false">IF(T120="","",T120-U120)</f>
        <v>765.41</v>
      </c>
      <c r="W120" s="114" t="n">
        <f aca="false">IF(OR(8&gt;$B$27,ISBLANK(Actuals!J96)),"",Actuals!J96)</f>
        <v>-13.5</v>
      </c>
      <c r="X120" s="114" t="n">
        <f aca="false">'Reforecast Q1 2026'!J96</f>
        <v>-896.43</v>
      </c>
      <c r="Y120" s="114" t="n">
        <f aca="false">IF(W120="","",W120-X120)</f>
        <v>882.93</v>
      </c>
      <c r="Z120" s="114" t="str">
        <f aca="false">IF(OR(9&gt;$B$27,ISBLANK(Actuals!K96)),"",Actuals!K96)</f>
        <v/>
      </c>
      <c r="AA120" s="114" t="n">
        <f aca="false">'Reforecast Q1 2026'!K96</f>
        <v>-896.43</v>
      </c>
      <c r="AB120" s="114" t="str">
        <f aca="false">IF(Z120="","",Z120-AA120)</f>
        <v/>
      </c>
      <c r="AC120" s="114" t="str">
        <f aca="false">IF(OR(10&gt;$B$27,ISBLANK(Actuals!L96)),"",Actuals!L96)</f>
        <v/>
      </c>
      <c r="AD120" s="114" t="n">
        <f aca="false">'Reforecast Q1 2026'!L96</f>
        <v>-896.43</v>
      </c>
      <c r="AE120" s="114" t="str">
        <f aca="false">IF(AC120="","",AC120-AD120)</f>
        <v/>
      </c>
      <c r="AF120" s="114" t="str">
        <f aca="false">IF(OR(11&gt;$B$27,ISBLANK(Actuals!M96)),"",Actuals!M96)</f>
        <v/>
      </c>
      <c r="AG120" s="114" t="n">
        <f aca="false">'Reforecast Q1 2026'!M96</f>
        <v>-896.43</v>
      </c>
      <c r="AH120" s="114" t="str">
        <f aca="false">IF(AF120="","",AF120-AG120)</f>
        <v/>
      </c>
      <c r="AI120" s="114" t="str">
        <f aca="false">IF(OR(12&gt;$B$27,ISBLANK(Actuals!N96)),"",Actuals!N96)</f>
        <v/>
      </c>
      <c r="AJ120" s="114" t="n">
        <f aca="false">'Reforecast Q1 2026'!N96</f>
        <v>-896.43</v>
      </c>
      <c r="AK120" s="114" t="str">
        <f aca="false">IF(AI120="","",AI120-AJ120)</f>
        <v/>
      </c>
      <c r="AL120" s="117" t="n">
        <f aca="false">SUM(Actuals!$C96:INDEX(Actuals!$C96:$N96,$B$27))</f>
        <v>-7679.88</v>
      </c>
      <c r="AM120" s="117" t="n">
        <f aca="false">SUM('Reforecast Q1 2026'!$C96:INDEX('Reforecast Q1 2026'!$C96:$N96,$B$27))</f>
        <v>-7171.45</v>
      </c>
      <c r="AN120" s="117" t="n">
        <f aca="false">AL120-AM120</f>
        <v>-508.43</v>
      </c>
    </row>
    <row r="121" customFormat="false" ht="15" hidden="true" customHeight="true" outlineLevel="1" collapsed="false">
      <c r="A121" s="110" t="s">
        <v>79</v>
      </c>
      <c r="B121" s="114" t="n">
        <f aca="false">IF(OR(1&gt;$B$27,ISBLANK(Actuals!C97)),"",Actuals!C97)</f>
        <v>0</v>
      </c>
      <c r="C121" s="114" t="n">
        <f aca="false">'Reforecast Q1 2026'!C97</f>
        <v>0</v>
      </c>
      <c r="D121" s="114" t="n">
        <f aca="false">IF(B121="","",B121-C121)</f>
        <v>0</v>
      </c>
      <c r="E121" s="114" t="n">
        <f aca="false">IF(OR(2&gt;$B$27,ISBLANK(Actuals!D97)),"",Actuals!D97)</f>
        <v>0</v>
      </c>
      <c r="F121" s="114" t="n">
        <f aca="false">'Reforecast Q1 2026'!D97</f>
        <v>0</v>
      </c>
      <c r="G121" s="114" t="n">
        <f aca="false">IF(E121="","",E121-F121)</f>
        <v>0</v>
      </c>
      <c r="H121" s="114" t="n">
        <f aca="false">IF(OR(3&gt;$B$27,ISBLANK(Actuals!E97)),"",Actuals!E97)</f>
        <v>-38050.5</v>
      </c>
      <c r="I121" s="114" t="n">
        <f aca="false">'Reforecast Q1 2026'!E97</f>
        <v>-38050.5</v>
      </c>
      <c r="J121" s="114" t="n">
        <f aca="false">IF(H121="","",H121-I121)</f>
        <v>0</v>
      </c>
      <c r="K121" s="114" t="n">
        <f aca="false">IF(OR(4&gt;$B$27,ISBLANK(Actuals!F97)),"",Actuals!F97)</f>
        <v>0</v>
      </c>
      <c r="L121" s="114" t="n">
        <f aca="false">'Reforecast Q1 2026'!F97</f>
        <v>-2000</v>
      </c>
      <c r="M121" s="114" t="n">
        <f aca="false">IF(K121="","",K121-L121)</f>
        <v>2000</v>
      </c>
      <c r="N121" s="114" t="n">
        <f aca="false">IF(OR(5&gt;$B$27,ISBLANK(Actuals!G97)),"",Actuals!G97)</f>
        <v>-986.5</v>
      </c>
      <c r="O121" s="114" t="n">
        <f aca="false">'Reforecast Q1 2026'!G97</f>
        <v>-2000</v>
      </c>
      <c r="P121" s="114" t="n">
        <f aca="false">IF(N121="","",N121-O121)</f>
        <v>1013.5</v>
      </c>
      <c r="Q121" s="114" t="n">
        <f aca="false">IF(OR(6&gt;$B$27,ISBLANK(Actuals!H97)),"",Actuals!H97)</f>
        <v>-4830</v>
      </c>
      <c r="R121" s="114" t="n">
        <f aca="false">'Reforecast Q1 2026'!H97</f>
        <v>-2000</v>
      </c>
      <c r="S121" s="114" t="n">
        <f aca="false">IF(Q121="","",Q121-R121)</f>
        <v>-2830</v>
      </c>
      <c r="T121" s="114" t="n">
        <f aca="false">IF(OR(7&gt;$B$27,ISBLANK(Actuals!I97)),"",Actuals!I97)</f>
        <v>0</v>
      </c>
      <c r="U121" s="114" t="n">
        <f aca="false">'Reforecast Q1 2026'!I97</f>
        <v>-2000</v>
      </c>
      <c r="V121" s="114" t="n">
        <f aca="false">IF(T121="","",T121-U121)</f>
        <v>2000</v>
      </c>
      <c r="W121" s="114" t="n">
        <f aca="false">IF(OR(8&gt;$B$27,ISBLANK(Actuals!J97)),"",Actuals!J97)</f>
        <v>0</v>
      </c>
      <c r="X121" s="114" t="n">
        <f aca="false">'Reforecast Q1 2026'!J97</f>
        <v>-2000</v>
      </c>
      <c r="Y121" s="114" t="n">
        <f aca="false">IF(W121="","",W121-X121)</f>
        <v>2000</v>
      </c>
      <c r="Z121" s="114" t="str">
        <f aca="false">IF(OR(9&gt;$B$27,ISBLANK(Actuals!K97)),"",Actuals!K97)</f>
        <v/>
      </c>
      <c r="AA121" s="114" t="n">
        <f aca="false">'Reforecast Q1 2026'!K97</f>
        <v>-2000</v>
      </c>
      <c r="AB121" s="114" t="str">
        <f aca="false">IF(Z121="","",Z121-AA121)</f>
        <v/>
      </c>
      <c r="AC121" s="114" t="str">
        <f aca="false">IF(OR(10&gt;$B$27,ISBLANK(Actuals!L97)),"",Actuals!L97)</f>
        <v/>
      </c>
      <c r="AD121" s="114" t="n">
        <f aca="false">'Reforecast Q1 2026'!L97</f>
        <v>-2000</v>
      </c>
      <c r="AE121" s="114" t="str">
        <f aca="false">IF(AC121="","",AC121-AD121)</f>
        <v/>
      </c>
      <c r="AF121" s="114" t="str">
        <f aca="false">IF(OR(11&gt;$B$27,ISBLANK(Actuals!M97)),"",Actuals!M97)</f>
        <v/>
      </c>
      <c r="AG121" s="114" t="n">
        <f aca="false">'Reforecast Q1 2026'!M97</f>
        <v>-2000</v>
      </c>
      <c r="AH121" s="114" t="str">
        <f aca="false">IF(AF121="","",AF121-AG121)</f>
        <v/>
      </c>
      <c r="AI121" s="114" t="str">
        <f aca="false">IF(OR(12&gt;$B$27,ISBLANK(Actuals!N97)),"",Actuals!N97)</f>
        <v/>
      </c>
      <c r="AJ121" s="114" t="n">
        <f aca="false">'Reforecast Q1 2026'!N97</f>
        <v>-2000</v>
      </c>
      <c r="AK121" s="114" t="str">
        <f aca="false">IF(AI121="","",AI121-AJ121)</f>
        <v/>
      </c>
      <c r="AL121" s="117" t="n">
        <f aca="false">SUM(Actuals!$C97:INDEX(Actuals!$C97:$N97,$B$27))</f>
        <v>-43867</v>
      </c>
      <c r="AM121" s="117" t="n">
        <f aca="false">SUM('Reforecast Q1 2026'!$C97:INDEX('Reforecast Q1 2026'!$C97:$N97,$B$27))</f>
        <v>-48050.5</v>
      </c>
      <c r="AN121" s="117" t="n">
        <f aca="false">AL121-AM121</f>
        <v>4183.5</v>
      </c>
    </row>
    <row r="122" customFormat="false" ht="15" hidden="true" customHeight="true" outlineLevel="1" collapsed="false">
      <c r="A122" s="110" t="s">
        <v>80</v>
      </c>
      <c r="B122" s="114" t="n">
        <f aca="false">IF(OR(1&gt;$B$27,ISBLANK(Actuals!C98)),"",Actuals!C98)</f>
        <v>-4097.78</v>
      </c>
      <c r="C122" s="114" t="n">
        <f aca="false">'Reforecast Q1 2026'!C98</f>
        <v>-4097.78</v>
      </c>
      <c r="D122" s="114" t="n">
        <f aca="false">IF(B122="","",B122-C122)</f>
        <v>0</v>
      </c>
      <c r="E122" s="114" t="n">
        <f aca="false">IF(OR(2&gt;$B$27,ISBLANK(Actuals!D98)),"",Actuals!D98)</f>
        <v>-1950.2</v>
      </c>
      <c r="F122" s="114" t="n">
        <f aca="false">'Reforecast Q1 2026'!D98</f>
        <v>-1950.2</v>
      </c>
      <c r="G122" s="114" t="n">
        <f aca="false">IF(E122="","",E122-F122)</f>
        <v>0</v>
      </c>
      <c r="H122" s="114" t="n">
        <f aca="false">IF(OR(3&gt;$B$27,ISBLANK(Actuals!E98)),"",Actuals!E98)</f>
        <v>-1978.2</v>
      </c>
      <c r="I122" s="114" t="n">
        <f aca="false">'Reforecast Q1 2026'!E98</f>
        <v>-1978.2</v>
      </c>
      <c r="J122" s="114" t="n">
        <f aca="false">IF(H122="","",H122-I122)</f>
        <v>0</v>
      </c>
      <c r="K122" s="114" t="n">
        <f aca="false">IF(OR(4&gt;$B$27,ISBLANK(Actuals!F98)),"",Actuals!F98)</f>
        <v>-1970.2</v>
      </c>
      <c r="L122" s="114" t="n">
        <f aca="false">'Reforecast Q1 2026'!F98</f>
        <v>-2675.39</v>
      </c>
      <c r="M122" s="114" t="n">
        <f aca="false">IF(K122="","",K122-L122)</f>
        <v>705.19</v>
      </c>
      <c r="N122" s="114" t="n">
        <f aca="false">IF(OR(5&gt;$B$27,ISBLANK(Actuals!G98)),"",Actuals!G98)</f>
        <v>-6126.2</v>
      </c>
      <c r="O122" s="114" t="n">
        <f aca="false">'Reforecast Q1 2026'!G98</f>
        <v>-2675.39</v>
      </c>
      <c r="P122" s="114" t="n">
        <f aca="false">IF(N122="","",N122-O122)</f>
        <v>-3450.81</v>
      </c>
      <c r="Q122" s="114" t="n">
        <f aca="false">IF(OR(6&gt;$B$27,ISBLANK(Actuals!H98)),"",Actuals!H98)</f>
        <v>-1993.2</v>
      </c>
      <c r="R122" s="114" t="n">
        <f aca="false">'Reforecast Q1 2026'!H98</f>
        <v>-2675.39</v>
      </c>
      <c r="S122" s="114" t="n">
        <f aca="false">IF(Q122="","",Q122-R122)</f>
        <v>682.19</v>
      </c>
      <c r="T122" s="114" t="n">
        <f aca="false">IF(OR(7&gt;$B$27,ISBLANK(Actuals!I98)),"",Actuals!I98)</f>
        <v>-2040.2</v>
      </c>
      <c r="U122" s="114" t="n">
        <f aca="false">'Reforecast Q1 2026'!I98</f>
        <v>-2675.39</v>
      </c>
      <c r="V122" s="114" t="n">
        <f aca="false">IF(T122="","",T122-U122)</f>
        <v>635.19</v>
      </c>
      <c r="W122" s="114" t="n">
        <f aca="false">IF(OR(8&gt;$B$27,ISBLANK(Actuals!J98)),"",Actuals!J98)</f>
        <v>-2271.2</v>
      </c>
      <c r="X122" s="114" t="n">
        <f aca="false">'Reforecast Q1 2026'!J98</f>
        <v>-2675.39</v>
      </c>
      <c r="Y122" s="114" t="n">
        <f aca="false">IF(W122="","",W122-X122)</f>
        <v>404.19</v>
      </c>
      <c r="Z122" s="114" t="str">
        <f aca="false">IF(OR(9&gt;$B$27,ISBLANK(Actuals!K98)),"",Actuals!K98)</f>
        <v/>
      </c>
      <c r="AA122" s="114" t="n">
        <f aca="false">'Reforecast Q1 2026'!K98</f>
        <v>-2675.39</v>
      </c>
      <c r="AB122" s="114" t="str">
        <f aca="false">IF(Z122="","",Z122-AA122)</f>
        <v/>
      </c>
      <c r="AC122" s="114" t="str">
        <f aca="false">IF(OR(10&gt;$B$27,ISBLANK(Actuals!L98)),"",Actuals!L98)</f>
        <v/>
      </c>
      <c r="AD122" s="114" t="n">
        <f aca="false">'Reforecast Q1 2026'!L98</f>
        <v>-2675.39</v>
      </c>
      <c r="AE122" s="114" t="str">
        <f aca="false">IF(AC122="","",AC122-AD122)</f>
        <v/>
      </c>
      <c r="AF122" s="114" t="str">
        <f aca="false">IF(OR(11&gt;$B$27,ISBLANK(Actuals!M98)),"",Actuals!M98)</f>
        <v/>
      </c>
      <c r="AG122" s="114" t="n">
        <f aca="false">'Reforecast Q1 2026'!M98</f>
        <v>-2675.39</v>
      </c>
      <c r="AH122" s="114" t="str">
        <f aca="false">IF(AF122="","",AF122-AG122)</f>
        <v/>
      </c>
      <c r="AI122" s="114" t="str">
        <f aca="false">IF(OR(12&gt;$B$27,ISBLANK(Actuals!N98)),"",Actuals!N98)</f>
        <v/>
      </c>
      <c r="AJ122" s="114" t="n">
        <f aca="false">'Reforecast Q1 2026'!N98</f>
        <v>-2675.39</v>
      </c>
      <c r="AK122" s="114" t="str">
        <f aca="false">IF(AI122="","",AI122-AJ122)</f>
        <v/>
      </c>
      <c r="AL122" s="117" t="n">
        <f aca="false">SUM(Actuals!$C98:INDEX(Actuals!$C98:$N98,$B$27))</f>
        <v>-22427.18</v>
      </c>
      <c r="AM122" s="117" t="n">
        <f aca="false">SUM('Reforecast Q1 2026'!$C98:INDEX('Reforecast Q1 2026'!$C98:$N98,$B$27))</f>
        <v>-21403.13</v>
      </c>
      <c r="AN122" s="117" t="n">
        <f aca="false">AL122-AM122</f>
        <v>-1024.05</v>
      </c>
    </row>
    <row r="123" customFormat="false" ht="15" hidden="true" customHeight="true" outlineLevel="1" collapsed="false">
      <c r="A123" s="110" t="s">
        <v>81</v>
      </c>
      <c r="B123" s="114" t="n">
        <f aca="false">IF(OR(1&gt;$B$27,ISBLANK(Actuals!C99)),"",Actuals!C99)</f>
        <v>-28038</v>
      </c>
      <c r="C123" s="114" t="n">
        <f aca="false">'Reforecast Q1 2026'!C99</f>
        <v>-28038</v>
      </c>
      <c r="D123" s="114" t="n">
        <f aca="false">IF(B123="","",B123-C123)</f>
        <v>0</v>
      </c>
      <c r="E123" s="114" t="n">
        <f aca="false">IF(OR(2&gt;$B$27,ISBLANK(Actuals!D99)),"",Actuals!D99)</f>
        <v>-29387.5</v>
      </c>
      <c r="F123" s="114" t="n">
        <f aca="false">'Reforecast Q1 2026'!D99</f>
        <v>-29387.5</v>
      </c>
      <c r="G123" s="114" t="n">
        <f aca="false">IF(E123="","",E123-F123)</f>
        <v>0</v>
      </c>
      <c r="H123" s="114" t="n">
        <f aca="false">IF(OR(3&gt;$B$27,ISBLANK(Actuals!E99)),"",Actuals!E99)</f>
        <v>-28083</v>
      </c>
      <c r="I123" s="114" t="n">
        <f aca="false">'Reforecast Q1 2026'!E99</f>
        <v>-28083</v>
      </c>
      <c r="J123" s="114" t="n">
        <f aca="false">IF(H123="","",H123-I123)</f>
        <v>0</v>
      </c>
      <c r="K123" s="114" t="n">
        <f aca="false">IF(OR(4&gt;$B$27,ISBLANK(Actuals!F99)),"",Actuals!F99)</f>
        <v>-28083</v>
      </c>
      <c r="L123" s="114" t="n">
        <f aca="false">'Reforecast Q1 2026'!F99</f>
        <v>-8625</v>
      </c>
      <c r="M123" s="114" t="n">
        <f aca="false">IF(K123="","",K123-L123)</f>
        <v>-19458</v>
      </c>
      <c r="N123" s="114" t="n">
        <f aca="false">IF(OR(5&gt;$B$27,ISBLANK(Actuals!G99)),"",Actuals!G99)</f>
        <v>-69333</v>
      </c>
      <c r="O123" s="114" t="n">
        <f aca="false">'Reforecast Q1 2026'!G99</f>
        <v>-8625</v>
      </c>
      <c r="P123" s="114" t="n">
        <f aca="false">IF(N123="","",N123-O123)</f>
        <v>-60708</v>
      </c>
      <c r="Q123" s="114" t="n">
        <f aca="false">IF(OR(6&gt;$B$27,ISBLANK(Actuals!H99)),"",Actuals!H99)</f>
        <v>-28083</v>
      </c>
      <c r="R123" s="114" t="n">
        <f aca="false">'Reforecast Q1 2026'!H99</f>
        <v>-8625</v>
      </c>
      <c r="S123" s="114" t="n">
        <f aca="false">IF(Q123="","",Q123-R123)</f>
        <v>-19458</v>
      </c>
      <c r="T123" s="114" t="n">
        <f aca="false">IF(OR(7&gt;$B$27,ISBLANK(Actuals!I99)),"",Actuals!I99)</f>
        <v>-28628</v>
      </c>
      <c r="U123" s="114" t="n">
        <f aca="false">'Reforecast Q1 2026'!I99</f>
        <v>-8625</v>
      </c>
      <c r="V123" s="114" t="n">
        <f aca="false">IF(T123="","",T123-U123)</f>
        <v>-20003</v>
      </c>
      <c r="W123" s="114" t="n">
        <f aca="false">IF(OR(8&gt;$B$27,ISBLANK(Actuals!J99)),"",Actuals!J99)</f>
        <v>-28083</v>
      </c>
      <c r="X123" s="114" t="n">
        <f aca="false">'Reforecast Q1 2026'!J99</f>
        <v>-8625</v>
      </c>
      <c r="Y123" s="114" t="n">
        <f aca="false">IF(W123="","",W123-X123)</f>
        <v>-19458</v>
      </c>
      <c r="Z123" s="114" t="str">
        <f aca="false">IF(OR(9&gt;$B$27,ISBLANK(Actuals!K99)),"",Actuals!K99)</f>
        <v/>
      </c>
      <c r="AA123" s="114" t="n">
        <f aca="false">'Reforecast Q1 2026'!K99</f>
        <v>-8625</v>
      </c>
      <c r="AB123" s="114" t="str">
        <f aca="false">IF(Z123="","",Z123-AA123)</f>
        <v/>
      </c>
      <c r="AC123" s="114" t="str">
        <f aca="false">IF(OR(10&gt;$B$27,ISBLANK(Actuals!L99)),"",Actuals!L99)</f>
        <v/>
      </c>
      <c r="AD123" s="114" t="n">
        <f aca="false">'Reforecast Q1 2026'!L99</f>
        <v>-8625</v>
      </c>
      <c r="AE123" s="114" t="str">
        <f aca="false">IF(AC123="","",AC123-AD123)</f>
        <v/>
      </c>
      <c r="AF123" s="114" t="str">
        <f aca="false">IF(OR(11&gt;$B$27,ISBLANK(Actuals!M99)),"",Actuals!M99)</f>
        <v/>
      </c>
      <c r="AG123" s="114" t="n">
        <f aca="false">'Reforecast Q1 2026'!M99</f>
        <v>-8625</v>
      </c>
      <c r="AH123" s="114" t="str">
        <f aca="false">IF(AF123="","",AF123-AG123)</f>
        <v/>
      </c>
      <c r="AI123" s="114" t="str">
        <f aca="false">IF(OR(12&gt;$B$27,ISBLANK(Actuals!N99)),"",Actuals!N99)</f>
        <v/>
      </c>
      <c r="AJ123" s="114" t="n">
        <f aca="false">'Reforecast Q1 2026'!N99</f>
        <v>-8625</v>
      </c>
      <c r="AK123" s="114" t="str">
        <f aca="false">IF(AI123="","",AI123-AJ123)</f>
        <v/>
      </c>
      <c r="AL123" s="117" t="n">
        <f aca="false">SUM(Actuals!$C99:INDEX(Actuals!$C99:$N99,$B$27))</f>
        <v>-267718.5</v>
      </c>
      <c r="AM123" s="117" t="n">
        <f aca="false">SUM('Reforecast Q1 2026'!$C99:INDEX('Reforecast Q1 2026'!$C99:$N99,$B$27))</f>
        <v>-128633.5</v>
      </c>
      <c r="AN123" s="117" t="n">
        <f aca="false">AL123-AM123</f>
        <v>-139085</v>
      </c>
    </row>
    <row r="124" customFormat="false" ht="15" hidden="true" customHeight="true" outlineLevel="1" collapsed="false">
      <c r="A124" s="110" t="s">
        <v>128</v>
      </c>
      <c r="B124" s="114" t="n">
        <f aca="false">IF(OR(1&gt;$B$27,ISBLANK(Actuals!C100)),"",Actuals!C100)</f>
        <v>-268</v>
      </c>
      <c r="C124" s="114" t="n">
        <f aca="false">'Reforecast Q1 2026'!C100</f>
        <v>-268</v>
      </c>
      <c r="D124" s="114" t="n">
        <f aca="false">IF(B124="","",B124-C124)</f>
        <v>0</v>
      </c>
      <c r="E124" s="114" t="n">
        <f aca="false">IF(OR(2&gt;$B$27,ISBLANK(Actuals!D100)),"",Actuals!D100)</f>
        <v>-2088.75</v>
      </c>
      <c r="F124" s="114" t="n">
        <f aca="false">'Reforecast Q1 2026'!D100</f>
        <v>-2088.75</v>
      </c>
      <c r="G124" s="114" t="n">
        <f aca="false">IF(E124="","",E124-F124)</f>
        <v>0</v>
      </c>
      <c r="H124" s="114" t="n">
        <f aca="false">IF(OR(3&gt;$B$27,ISBLANK(Actuals!E100)),"",Actuals!E100)</f>
        <v>-2401.75</v>
      </c>
      <c r="I124" s="114" t="n">
        <f aca="false">'Reforecast Q1 2026'!E100</f>
        <v>-2401.75</v>
      </c>
      <c r="J124" s="114" t="n">
        <f aca="false">IF(H124="","",H124-I124)</f>
        <v>0</v>
      </c>
      <c r="K124" s="114" t="n">
        <f aca="false">IF(OR(4&gt;$B$27,ISBLANK(Actuals!F100)),"",Actuals!F100)</f>
        <v>-4209.5</v>
      </c>
      <c r="L124" s="114" t="n">
        <f aca="false">'Reforecast Q1 2026'!F100</f>
        <v>-1586.17</v>
      </c>
      <c r="M124" s="114" t="n">
        <f aca="false">IF(K124="","",K124-L124)</f>
        <v>-2623.33</v>
      </c>
      <c r="N124" s="114" t="n">
        <f aca="false">IF(OR(5&gt;$B$27,ISBLANK(Actuals!G100)),"",Actuals!G100)</f>
        <v>-2377.59</v>
      </c>
      <c r="O124" s="114" t="n">
        <f aca="false">'Reforecast Q1 2026'!G100</f>
        <v>-1586.17</v>
      </c>
      <c r="P124" s="114" t="n">
        <f aca="false">IF(N124="","",N124-O124)</f>
        <v>-791.42</v>
      </c>
      <c r="Q124" s="114" t="n">
        <f aca="false">IF(OR(6&gt;$B$27,ISBLANK(Actuals!H100)),"",Actuals!H100)</f>
        <v>-16</v>
      </c>
      <c r="R124" s="114" t="n">
        <f aca="false">'Reforecast Q1 2026'!H100</f>
        <v>-1586.17</v>
      </c>
      <c r="S124" s="114" t="n">
        <f aca="false">IF(Q124="","",Q124-R124)</f>
        <v>1570.17</v>
      </c>
      <c r="T124" s="114" t="n">
        <f aca="false">IF(OR(7&gt;$B$27,ISBLANK(Actuals!I100)),"",Actuals!I100)</f>
        <v>-4592.5</v>
      </c>
      <c r="U124" s="114" t="n">
        <f aca="false">'Reforecast Q1 2026'!I100</f>
        <v>-1586.17</v>
      </c>
      <c r="V124" s="114" t="n">
        <f aca="false">IF(T124="","",T124-U124)</f>
        <v>-3006.33</v>
      </c>
      <c r="W124" s="114" t="n">
        <f aca="false">IF(OR(8&gt;$B$27,ISBLANK(Actuals!J100)),"",Actuals!J100)</f>
        <v>-268</v>
      </c>
      <c r="X124" s="114" t="n">
        <f aca="false">'Reforecast Q1 2026'!J100</f>
        <v>-1586.17</v>
      </c>
      <c r="Y124" s="114" t="n">
        <f aca="false">IF(W124="","",W124-X124)</f>
        <v>1318.17</v>
      </c>
      <c r="Z124" s="114" t="str">
        <f aca="false">IF(OR(9&gt;$B$27,ISBLANK(Actuals!K100)),"",Actuals!K100)</f>
        <v/>
      </c>
      <c r="AA124" s="114" t="n">
        <f aca="false">'Reforecast Q1 2026'!K100</f>
        <v>-1586.17</v>
      </c>
      <c r="AB124" s="114" t="str">
        <f aca="false">IF(Z124="","",Z124-AA124)</f>
        <v/>
      </c>
      <c r="AC124" s="114" t="str">
        <f aca="false">IF(OR(10&gt;$B$27,ISBLANK(Actuals!L100)),"",Actuals!L100)</f>
        <v/>
      </c>
      <c r="AD124" s="114" t="n">
        <f aca="false">'Reforecast Q1 2026'!L100</f>
        <v>-1586.17</v>
      </c>
      <c r="AE124" s="114" t="str">
        <f aca="false">IF(AC124="","",AC124-AD124)</f>
        <v/>
      </c>
      <c r="AF124" s="114" t="str">
        <f aca="false">IF(OR(11&gt;$B$27,ISBLANK(Actuals!M100)),"",Actuals!M100)</f>
        <v/>
      </c>
      <c r="AG124" s="114" t="n">
        <f aca="false">'Reforecast Q1 2026'!M100</f>
        <v>-1586.17</v>
      </c>
      <c r="AH124" s="114" t="str">
        <f aca="false">IF(AF124="","",AF124-AG124)</f>
        <v/>
      </c>
      <c r="AI124" s="114" t="str">
        <f aca="false">IF(OR(12&gt;$B$27,ISBLANK(Actuals!N100)),"",Actuals!N100)</f>
        <v/>
      </c>
      <c r="AJ124" s="114" t="n">
        <f aca="false">'Reforecast Q1 2026'!N100</f>
        <v>-1586.17</v>
      </c>
      <c r="AK124" s="114" t="str">
        <f aca="false">IF(AI124="","",AI124-AJ124)</f>
        <v/>
      </c>
      <c r="AL124" s="117" t="n">
        <f aca="false">SUM(Actuals!$C100:INDEX(Actuals!$C100:$N100,$B$27))</f>
        <v>-16222.09</v>
      </c>
      <c r="AM124" s="117" t="n">
        <f aca="false">SUM('Reforecast Q1 2026'!$C100:INDEX('Reforecast Q1 2026'!$C100:$N100,$B$27))</f>
        <v>-12689.35</v>
      </c>
      <c r="AN124" s="117" t="n">
        <f aca="false">AL124-AM124</f>
        <v>-3532.74</v>
      </c>
    </row>
    <row r="125" customFormat="false" ht="15" hidden="true" customHeight="true" outlineLevel="1" collapsed="false">
      <c r="A125" s="110" t="s">
        <v>129</v>
      </c>
      <c r="B125" s="114" t="n">
        <f aca="false">IF(OR(1&gt;$B$27,ISBLANK(Actuals!C101)),"",Actuals!C101)</f>
        <v>-341.83</v>
      </c>
      <c r="C125" s="114" t="n">
        <f aca="false">'Reforecast Q1 2026'!C101</f>
        <v>-341.83</v>
      </c>
      <c r="D125" s="114" t="n">
        <f aca="false">IF(B125="","",B125-C125)</f>
        <v>0</v>
      </c>
      <c r="E125" s="114" t="n">
        <f aca="false">IF(OR(2&gt;$B$27,ISBLANK(Actuals!D101)),"",Actuals!D101)</f>
        <v>-728</v>
      </c>
      <c r="F125" s="114" t="n">
        <f aca="false">'Reforecast Q1 2026'!D101</f>
        <v>-728</v>
      </c>
      <c r="G125" s="114" t="n">
        <f aca="false">IF(E125="","",E125-F125)</f>
        <v>0</v>
      </c>
      <c r="H125" s="114" t="n">
        <f aca="false">IF(OR(3&gt;$B$27,ISBLANK(Actuals!E101)),"",Actuals!E101)</f>
        <v>-15256.75</v>
      </c>
      <c r="I125" s="114" t="n">
        <f aca="false">'Reforecast Q1 2026'!E101</f>
        <v>-15256.75</v>
      </c>
      <c r="J125" s="114" t="n">
        <f aca="false">IF(H125="","",H125-I125)</f>
        <v>0</v>
      </c>
      <c r="K125" s="114" t="n">
        <f aca="false">IF(OR(4&gt;$B$27,ISBLANK(Actuals!F101)),"",Actuals!F101)</f>
        <v>-1033.41</v>
      </c>
      <c r="L125" s="114" t="n">
        <f aca="false">'Reforecast Q1 2026'!F101</f>
        <v>-5442.19</v>
      </c>
      <c r="M125" s="114" t="n">
        <f aca="false">IF(K125="","",K125-L125)</f>
        <v>4408.78</v>
      </c>
      <c r="N125" s="114" t="n">
        <f aca="false">IF(OR(5&gt;$B$27,ISBLANK(Actuals!G101)),"",Actuals!G101)</f>
        <v>-3499</v>
      </c>
      <c r="O125" s="114" t="n">
        <f aca="false">'Reforecast Q1 2026'!G101</f>
        <v>-5442.19</v>
      </c>
      <c r="P125" s="114" t="n">
        <f aca="false">IF(N125="","",N125-O125)</f>
        <v>1943.19</v>
      </c>
      <c r="Q125" s="114" t="n">
        <f aca="false">IF(OR(6&gt;$B$27,ISBLANK(Actuals!H101)),"",Actuals!H101)</f>
        <v>-1033.41</v>
      </c>
      <c r="R125" s="114" t="n">
        <f aca="false">'Reforecast Q1 2026'!H101</f>
        <v>-5442.19</v>
      </c>
      <c r="S125" s="114" t="n">
        <f aca="false">IF(Q125="","",Q125-R125)</f>
        <v>4408.78</v>
      </c>
      <c r="T125" s="114" t="n">
        <f aca="false">IF(OR(7&gt;$B$27,ISBLANK(Actuals!I101)),"",Actuals!I101)</f>
        <v>-537.06</v>
      </c>
      <c r="U125" s="114" t="n">
        <f aca="false">'Reforecast Q1 2026'!I101</f>
        <v>-5442.19</v>
      </c>
      <c r="V125" s="114" t="n">
        <f aca="false">IF(T125="","",T125-U125)</f>
        <v>4905.13</v>
      </c>
      <c r="W125" s="114" t="n">
        <f aca="false">IF(OR(8&gt;$B$27,ISBLANK(Actuals!J101)),"",Actuals!J101)</f>
        <v>-1903.22</v>
      </c>
      <c r="X125" s="114" t="n">
        <f aca="false">'Reforecast Q1 2026'!J101</f>
        <v>-5442.19</v>
      </c>
      <c r="Y125" s="114" t="n">
        <f aca="false">IF(W125="","",W125-X125)</f>
        <v>3538.97</v>
      </c>
      <c r="Z125" s="114" t="str">
        <f aca="false">IF(OR(9&gt;$B$27,ISBLANK(Actuals!K101)),"",Actuals!K101)</f>
        <v/>
      </c>
      <c r="AA125" s="114" t="n">
        <f aca="false">'Reforecast Q1 2026'!K101</f>
        <v>-5442.19</v>
      </c>
      <c r="AB125" s="114" t="str">
        <f aca="false">IF(Z125="","",Z125-AA125)</f>
        <v/>
      </c>
      <c r="AC125" s="114" t="str">
        <f aca="false">IF(OR(10&gt;$B$27,ISBLANK(Actuals!L101)),"",Actuals!L101)</f>
        <v/>
      </c>
      <c r="AD125" s="114" t="n">
        <f aca="false">'Reforecast Q1 2026'!L101</f>
        <v>-5442.19</v>
      </c>
      <c r="AE125" s="114" t="str">
        <f aca="false">IF(AC125="","",AC125-AD125)</f>
        <v/>
      </c>
      <c r="AF125" s="114" t="str">
        <f aca="false">IF(OR(11&gt;$B$27,ISBLANK(Actuals!M101)),"",Actuals!M101)</f>
        <v/>
      </c>
      <c r="AG125" s="114" t="n">
        <f aca="false">'Reforecast Q1 2026'!M101</f>
        <v>-5442.19</v>
      </c>
      <c r="AH125" s="114" t="str">
        <f aca="false">IF(AF125="","",AF125-AG125)</f>
        <v/>
      </c>
      <c r="AI125" s="114" t="str">
        <f aca="false">IF(OR(12&gt;$B$27,ISBLANK(Actuals!N101)),"",Actuals!N101)</f>
        <v/>
      </c>
      <c r="AJ125" s="114" t="n">
        <f aca="false">'Reforecast Q1 2026'!N101</f>
        <v>-5442.19</v>
      </c>
      <c r="AK125" s="114" t="str">
        <f aca="false">IF(AI125="","",AI125-AJ125)</f>
        <v/>
      </c>
      <c r="AL125" s="117" t="n">
        <f aca="false">SUM(Actuals!$C101:INDEX(Actuals!$C101:$N101,$B$27))</f>
        <v>-24332.68</v>
      </c>
      <c r="AM125" s="117" t="n">
        <f aca="false">SUM('Reforecast Q1 2026'!$C101:INDEX('Reforecast Q1 2026'!$C101:$N101,$B$27))</f>
        <v>-43537.53</v>
      </c>
      <c r="AN125" s="117" t="n">
        <f aca="false">AL125-AM125</f>
        <v>19204.85</v>
      </c>
    </row>
    <row r="126" customFormat="false" ht="15" hidden="true" customHeight="true" outlineLevel="1" collapsed="false">
      <c r="A126" s="110" t="s">
        <v>130</v>
      </c>
      <c r="B126" s="114" t="n">
        <f aca="false">IF(OR(1&gt;$B$27,ISBLANK(Actuals!C102)),"",Actuals!C102)</f>
        <v>-1905.31</v>
      </c>
      <c r="C126" s="114" t="n">
        <f aca="false">'Reforecast Q1 2026'!C102</f>
        <v>-1905.31</v>
      </c>
      <c r="D126" s="114" t="n">
        <f aca="false">IF(B126="","",B126-C126)</f>
        <v>0</v>
      </c>
      <c r="E126" s="114" t="n">
        <f aca="false">IF(OR(2&gt;$B$27,ISBLANK(Actuals!D102)),"",Actuals!D102)</f>
        <v>-1905.31</v>
      </c>
      <c r="F126" s="114" t="n">
        <f aca="false">'Reforecast Q1 2026'!D102</f>
        <v>-1905.31</v>
      </c>
      <c r="G126" s="114" t="n">
        <f aca="false">IF(E126="","",E126-F126)</f>
        <v>0</v>
      </c>
      <c r="H126" s="114" t="n">
        <f aca="false">IF(OR(3&gt;$B$27,ISBLANK(Actuals!E102)),"",Actuals!E102)</f>
        <v>-1905.31</v>
      </c>
      <c r="I126" s="114" t="n">
        <f aca="false">'Reforecast Q1 2026'!E102</f>
        <v>-1905.31</v>
      </c>
      <c r="J126" s="114" t="n">
        <f aca="false">IF(H126="","",H126-I126)</f>
        <v>0</v>
      </c>
      <c r="K126" s="114" t="n">
        <f aca="false">IF(OR(4&gt;$B$27,ISBLANK(Actuals!F102)),"",Actuals!F102)</f>
        <v>-1905.31</v>
      </c>
      <c r="L126" s="114" t="n">
        <f aca="false">'Reforecast Q1 2026'!F102</f>
        <v>-1905.31</v>
      </c>
      <c r="M126" s="114" t="n">
        <f aca="false">IF(K126="","",K126-L126)</f>
        <v>0</v>
      </c>
      <c r="N126" s="114" t="n">
        <f aca="false">IF(OR(5&gt;$B$27,ISBLANK(Actuals!G102)),"",Actuals!G102)</f>
        <v>-1905.31</v>
      </c>
      <c r="O126" s="114" t="n">
        <f aca="false">'Reforecast Q1 2026'!G102</f>
        <v>-1905.31</v>
      </c>
      <c r="P126" s="114" t="n">
        <f aca="false">IF(N126="","",N126-O126)</f>
        <v>0</v>
      </c>
      <c r="Q126" s="114" t="n">
        <f aca="false">IF(OR(6&gt;$B$27,ISBLANK(Actuals!H102)),"",Actuals!H102)</f>
        <v>-1905.31</v>
      </c>
      <c r="R126" s="114" t="n">
        <f aca="false">'Reforecast Q1 2026'!H102</f>
        <v>-1905.31</v>
      </c>
      <c r="S126" s="114" t="n">
        <f aca="false">IF(Q126="","",Q126-R126)</f>
        <v>0</v>
      </c>
      <c r="T126" s="114" t="n">
        <f aca="false">IF(OR(7&gt;$B$27,ISBLANK(Actuals!I102)),"",Actuals!I102)</f>
        <v>-1905.31</v>
      </c>
      <c r="U126" s="114" t="n">
        <f aca="false">'Reforecast Q1 2026'!I102</f>
        <v>-1905.31</v>
      </c>
      <c r="V126" s="114" t="n">
        <f aca="false">IF(T126="","",T126-U126)</f>
        <v>0</v>
      </c>
      <c r="W126" s="114" t="n">
        <f aca="false">IF(OR(8&gt;$B$27,ISBLANK(Actuals!J102)),"",Actuals!J102)</f>
        <v>-1905.31</v>
      </c>
      <c r="X126" s="114" t="n">
        <f aca="false">'Reforecast Q1 2026'!J102</f>
        <v>-1905.31</v>
      </c>
      <c r="Y126" s="114" t="n">
        <f aca="false">IF(W126="","",W126-X126)</f>
        <v>0</v>
      </c>
      <c r="Z126" s="114" t="str">
        <f aca="false">IF(OR(9&gt;$B$27,ISBLANK(Actuals!K102)),"",Actuals!K102)</f>
        <v/>
      </c>
      <c r="AA126" s="114" t="n">
        <f aca="false">'Reforecast Q1 2026'!K102</f>
        <v>-1905.31</v>
      </c>
      <c r="AB126" s="114" t="str">
        <f aca="false">IF(Z126="","",Z126-AA126)</f>
        <v/>
      </c>
      <c r="AC126" s="114" t="str">
        <f aca="false">IF(OR(10&gt;$B$27,ISBLANK(Actuals!L102)),"",Actuals!L102)</f>
        <v/>
      </c>
      <c r="AD126" s="114" t="n">
        <f aca="false">'Reforecast Q1 2026'!L102</f>
        <v>-1905.31</v>
      </c>
      <c r="AE126" s="114" t="str">
        <f aca="false">IF(AC126="","",AC126-AD126)</f>
        <v/>
      </c>
      <c r="AF126" s="114" t="str">
        <f aca="false">IF(OR(11&gt;$B$27,ISBLANK(Actuals!M102)),"",Actuals!M102)</f>
        <v/>
      </c>
      <c r="AG126" s="114" t="n">
        <f aca="false">'Reforecast Q1 2026'!M102</f>
        <v>-1905.31</v>
      </c>
      <c r="AH126" s="114" t="str">
        <f aca="false">IF(AF126="","",AF126-AG126)</f>
        <v/>
      </c>
      <c r="AI126" s="114" t="str">
        <f aca="false">IF(OR(12&gt;$B$27,ISBLANK(Actuals!N102)),"",Actuals!N102)</f>
        <v/>
      </c>
      <c r="AJ126" s="114" t="n">
        <f aca="false">'Reforecast Q1 2026'!N102</f>
        <v>-1905.31</v>
      </c>
      <c r="AK126" s="114" t="str">
        <f aca="false">IF(AI126="","",AI126-AJ126)</f>
        <v/>
      </c>
      <c r="AL126" s="117" t="n">
        <f aca="false">SUM(Actuals!$C102:INDEX(Actuals!$C102:$N102,$B$27))</f>
        <v>-15242.48</v>
      </c>
      <c r="AM126" s="117" t="n">
        <f aca="false">SUM('Reforecast Q1 2026'!$C102:INDEX('Reforecast Q1 2026'!$C102:$N102,$B$27))</f>
        <v>-15242.48</v>
      </c>
      <c r="AN126" s="117" t="n">
        <f aca="false">AL126-AM126</f>
        <v>0</v>
      </c>
    </row>
    <row r="127" customFormat="false" ht="15" hidden="true" customHeight="true" outlineLevel="1" collapsed="false">
      <c r="A127" s="110" t="s">
        <v>131</v>
      </c>
      <c r="B127" s="114" t="n">
        <f aca="false">IF(OR(1&gt;$B$27,ISBLANK(Actuals!C103)),"",Actuals!C103)</f>
        <v>-2100</v>
      </c>
      <c r="C127" s="114" t="n">
        <f aca="false">'Reforecast Q1 2026'!C103</f>
        <v>-2100</v>
      </c>
      <c r="D127" s="114" t="n">
        <f aca="false">IF(B127="","",B127-C127)</f>
        <v>0</v>
      </c>
      <c r="E127" s="114" t="n">
        <f aca="false">IF(OR(2&gt;$B$27,ISBLANK(Actuals!D103)),"",Actuals!D103)</f>
        <v>-2100</v>
      </c>
      <c r="F127" s="114" t="n">
        <f aca="false">'Reforecast Q1 2026'!D103</f>
        <v>-2100</v>
      </c>
      <c r="G127" s="114" t="n">
        <f aca="false">IF(E127="","",E127-F127)</f>
        <v>0</v>
      </c>
      <c r="H127" s="114" t="n">
        <f aca="false">IF(OR(3&gt;$B$27,ISBLANK(Actuals!E103)),"",Actuals!E103)</f>
        <v>-2100</v>
      </c>
      <c r="I127" s="114" t="n">
        <f aca="false">'Reforecast Q1 2026'!E103</f>
        <v>-2100</v>
      </c>
      <c r="J127" s="114" t="n">
        <f aca="false">IF(H127="","",H127-I127)</f>
        <v>0</v>
      </c>
      <c r="K127" s="114" t="n">
        <f aca="false">IF(OR(4&gt;$B$27,ISBLANK(Actuals!F103)),"",Actuals!F103)</f>
        <v>-2100</v>
      </c>
      <c r="L127" s="114" t="n">
        <f aca="false">'Reforecast Q1 2026'!F103</f>
        <v>-2100</v>
      </c>
      <c r="M127" s="114" t="n">
        <f aca="false">IF(K127="","",K127-L127)</f>
        <v>0</v>
      </c>
      <c r="N127" s="114" t="n">
        <f aca="false">IF(OR(5&gt;$B$27,ISBLANK(Actuals!G103)),"",Actuals!G103)</f>
        <v>-2100</v>
      </c>
      <c r="O127" s="114" t="n">
        <f aca="false">'Reforecast Q1 2026'!G103</f>
        <v>-2100</v>
      </c>
      <c r="P127" s="114" t="n">
        <f aca="false">IF(N127="","",N127-O127)</f>
        <v>0</v>
      </c>
      <c r="Q127" s="114" t="n">
        <f aca="false">IF(OR(6&gt;$B$27,ISBLANK(Actuals!H103)),"",Actuals!H103)</f>
        <v>-2100</v>
      </c>
      <c r="R127" s="114" t="n">
        <f aca="false">'Reforecast Q1 2026'!H103</f>
        <v>-2100</v>
      </c>
      <c r="S127" s="114" t="n">
        <f aca="false">IF(Q127="","",Q127-R127)</f>
        <v>0</v>
      </c>
      <c r="T127" s="114" t="n">
        <f aca="false">IF(OR(7&gt;$B$27,ISBLANK(Actuals!I103)),"",Actuals!I103)</f>
        <v>-2100</v>
      </c>
      <c r="U127" s="114" t="n">
        <f aca="false">'Reforecast Q1 2026'!I103</f>
        <v>-2100</v>
      </c>
      <c r="V127" s="114" t="n">
        <f aca="false">IF(T127="","",T127-U127)</f>
        <v>0</v>
      </c>
      <c r="W127" s="114" t="n">
        <f aca="false">IF(OR(8&gt;$B$27,ISBLANK(Actuals!J103)),"",Actuals!J103)</f>
        <v>-2100</v>
      </c>
      <c r="X127" s="114" t="n">
        <f aca="false">'Reforecast Q1 2026'!J103</f>
        <v>-2100</v>
      </c>
      <c r="Y127" s="114" t="n">
        <f aca="false">IF(W127="","",W127-X127)</f>
        <v>0</v>
      </c>
      <c r="Z127" s="114" t="str">
        <f aca="false">IF(OR(9&gt;$B$27,ISBLANK(Actuals!K103)),"",Actuals!K103)</f>
        <v/>
      </c>
      <c r="AA127" s="114" t="n">
        <f aca="false">'Reforecast Q1 2026'!K103</f>
        <v>-2100</v>
      </c>
      <c r="AB127" s="114" t="str">
        <f aca="false">IF(Z127="","",Z127-AA127)</f>
        <v/>
      </c>
      <c r="AC127" s="114" t="str">
        <f aca="false">IF(OR(10&gt;$B$27,ISBLANK(Actuals!L103)),"",Actuals!L103)</f>
        <v/>
      </c>
      <c r="AD127" s="114" t="n">
        <f aca="false">'Reforecast Q1 2026'!L103</f>
        <v>-2100</v>
      </c>
      <c r="AE127" s="114" t="str">
        <f aca="false">IF(AC127="","",AC127-AD127)</f>
        <v/>
      </c>
      <c r="AF127" s="114" t="str">
        <f aca="false">IF(OR(11&gt;$B$27,ISBLANK(Actuals!M103)),"",Actuals!M103)</f>
        <v/>
      </c>
      <c r="AG127" s="114" t="n">
        <f aca="false">'Reforecast Q1 2026'!M103</f>
        <v>-2100</v>
      </c>
      <c r="AH127" s="114" t="str">
        <f aca="false">IF(AF127="","",AF127-AG127)</f>
        <v/>
      </c>
      <c r="AI127" s="114" t="str">
        <f aca="false">IF(OR(12&gt;$B$27,ISBLANK(Actuals!N103)),"",Actuals!N103)</f>
        <v/>
      </c>
      <c r="AJ127" s="114" t="n">
        <f aca="false">'Reforecast Q1 2026'!N103</f>
        <v>-2100</v>
      </c>
      <c r="AK127" s="114" t="str">
        <f aca="false">IF(AI127="","",AI127-AJ127)</f>
        <v/>
      </c>
      <c r="AL127" s="117" t="n">
        <f aca="false">SUM(Actuals!$C103:INDEX(Actuals!$C103:$N103,$B$27))</f>
        <v>-16800</v>
      </c>
      <c r="AM127" s="117" t="n">
        <f aca="false">SUM('Reforecast Q1 2026'!$C103:INDEX('Reforecast Q1 2026'!$C103:$N103,$B$27))</f>
        <v>-16800</v>
      </c>
      <c r="AN127" s="117" t="n">
        <f aca="false">AL127-AM127</f>
        <v>0</v>
      </c>
    </row>
    <row r="128" customFormat="false" ht="15" hidden="true" customHeight="true" outlineLevel="1" collapsed="false">
      <c r="A128" s="110" t="s">
        <v>84</v>
      </c>
      <c r="B128" s="114" t="n">
        <f aca="false">IF(OR(1&gt;$B$27,ISBLANK(Actuals!C104)),"",Actuals!C104)</f>
        <v>-66666.66</v>
      </c>
      <c r="C128" s="114" t="n">
        <f aca="false">'Reforecast Q1 2026'!C104</f>
        <v>-66666.66</v>
      </c>
      <c r="D128" s="114" t="n">
        <f aca="false">IF(B128="","",B128-C128)</f>
        <v>0</v>
      </c>
      <c r="E128" s="114" t="n">
        <f aca="false">IF(OR(2&gt;$B$27,ISBLANK(Actuals!D104)),"",Actuals!D104)</f>
        <v>-66666.66</v>
      </c>
      <c r="F128" s="114" t="n">
        <f aca="false">'Reforecast Q1 2026'!D104</f>
        <v>-66666.66</v>
      </c>
      <c r="G128" s="114" t="n">
        <f aca="false">IF(E128="","",E128-F128)</f>
        <v>0</v>
      </c>
      <c r="H128" s="114" t="n">
        <f aca="false">IF(OR(3&gt;$B$27,ISBLANK(Actuals!E104)),"",Actuals!E104)</f>
        <v>-66666.66</v>
      </c>
      <c r="I128" s="114" t="n">
        <f aca="false">'Reforecast Q1 2026'!E104</f>
        <v>-66666.66</v>
      </c>
      <c r="J128" s="114" t="n">
        <f aca="false">IF(H128="","",H128-I128)</f>
        <v>0</v>
      </c>
      <c r="K128" s="114" t="n">
        <f aca="false">IF(OR(4&gt;$B$27,ISBLANK(Actuals!F104)),"",Actuals!F104)</f>
        <v>-66666.66</v>
      </c>
      <c r="L128" s="114" t="n">
        <f aca="false">'Reforecast Q1 2026'!F104</f>
        <v>-25000</v>
      </c>
      <c r="M128" s="114" t="n">
        <f aca="false">IF(K128="","",K128-L128)</f>
        <v>-41666.66</v>
      </c>
      <c r="N128" s="114" t="n">
        <f aca="false">IF(OR(5&gt;$B$27,ISBLANK(Actuals!G104)),"",Actuals!G104)</f>
        <v>-66666.66</v>
      </c>
      <c r="O128" s="114" t="n">
        <f aca="false">'Reforecast Q1 2026'!G104</f>
        <v>-25000</v>
      </c>
      <c r="P128" s="114" t="n">
        <f aca="false">IF(N128="","",N128-O128)</f>
        <v>-41666.66</v>
      </c>
      <c r="Q128" s="114" t="n">
        <f aca="false">IF(OR(6&gt;$B$27,ISBLANK(Actuals!H104)),"",Actuals!H104)</f>
        <v>-66666.66</v>
      </c>
      <c r="R128" s="114" t="n">
        <f aca="false">'Reforecast Q1 2026'!H104</f>
        <v>-25000</v>
      </c>
      <c r="S128" s="114" t="n">
        <f aca="false">IF(Q128="","",Q128-R128)</f>
        <v>-41666.66</v>
      </c>
      <c r="T128" s="114" t="n">
        <f aca="false">IF(OR(7&gt;$B$27,ISBLANK(Actuals!I104)),"",Actuals!I104)</f>
        <v>-66666.66</v>
      </c>
      <c r="U128" s="114" t="n">
        <f aca="false">'Reforecast Q1 2026'!I104</f>
        <v>-25000</v>
      </c>
      <c r="V128" s="114" t="n">
        <f aca="false">IF(T128="","",T128-U128)</f>
        <v>-41666.66</v>
      </c>
      <c r="W128" s="114" t="n">
        <f aca="false">IF(OR(8&gt;$B$27,ISBLANK(Actuals!J104)),"",Actuals!J104)</f>
        <v>-66666.66</v>
      </c>
      <c r="X128" s="114" t="n">
        <f aca="false">'Reforecast Q1 2026'!J104</f>
        <v>-25000</v>
      </c>
      <c r="Y128" s="114" t="n">
        <f aca="false">IF(W128="","",W128-X128)</f>
        <v>-41666.66</v>
      </c>
      <c r="Z128" s="114" t="str">
        <f aca="false">IF(OR(9&gt;$B$27,ISBLANK(Actuals!K104)),"",Actuals!K104)</f>
        <v/>
      </c>
      <c r="AA128" s="114" t="n">
        <f aca="false">'Reforecast Q1 2026'!K104</f>
        <v>-25000</v>
      </c>
      <c r="AB128" s="114" t="str">
        <f aca="false">IF(Z128="","",Z128-AA128)</f>
        <v/>
      </c>
      <c r="AC128" s="114" t="str">
        <f aca="false">IF(OR(10&gt;$B$27,ISBLANK(Actuals!L104)),"",Actuals!L104)</f>
        <v/>
      </c>
      <c r="AD128" s="114" t="n">
        <f aca="false">'Reforecast Q1 2026'!L104</f>
        <v>-25000</v>
      </c>
      <c r="AE128" s="114" t="str">
        <f aca="false">IF(AC128="","",AC128-AD128)</f>
        <v/>
      </c>
      <c r="AF128" s="114" t="str">
        <f aca="false">IF(OR(11&gt;$B$27,ISBLANK(Actuals!M104)),"",Actuals!M104)</f>
        <v/>
      </c>
      <c r="AG128" s="114" t="n">
        <f aca="false">'Reforecast Q1 2026'!M104</f>
        <v>-25000</v>
      </c>
      <c r="AH128" s="114" t="str">
        <f aca="false">IF(AF128="","",AF128-AG128)</f>
        <v/>
      </c>
      <c r="AI128" s="114" t="str">
        <f aca="false">IF(OR(12&gt;$B$27,ISBLANK(Actuals!N104)),"",Actuals!N104)</f>
        <v/>
      </c>
      <c r="AJ128" s="114" t="n">
        <f aca="false">'Reforecast Q1 2026'!N104</f>
        <v>-25000</v>
      </c>
      <c r="AK128" s="114" t="str">
        <f aca="false">IF(AI128="","",AI128-AJ128)</f>
        <v/>
      </c>
      <c r="AL128" s="117" t="n">
        <f aca="false">SUM(Actuals!$C104:INDEX(Actuals!$C104:$N104,$B$27))</f>
        <v>-533333.28</v>
      </c>
      <c r="AM128" s="117" t="n">
        <f aca="false">SUM('Reforecast Q1 2026'!$C104:INDEX('Reforecast Q1 2026'!$C104:$N104,$B$27))</f>
        <v>-324999.98</v>
      </c>
      <c r="AN128" s="117" t="n">
        <f aca="false">AL128-AM128</f>
        <v>-208333.3</v>
      </c>
    </row>
    <row r="129" customFormat="false" ht="15" hidden="true" customHeight="true" outlineLevel="1" collapsed="false">
      <c r="A129" s="110" t="s">
        <v>92</v>
      </c>
      <c r="B129" s="114" t="n">
        <f aca="false">IF(OR(1&gt;$B$27,ISBLANK(Actuals!C105)),"",Actuals!C105)</f>
        <v>-6935.84</v>
      </c>
      <c r="C129" s="114" t="n">
        <f aca="false">'Reforecast Q1 2026'!C105</f>
        <v>-4731.96</v>
      </c>
      <c r="D129" s="114" t="n">
        <f aca="false">IF(B129="","",B129-C129)</f>
        <v>-2203.88</v>
      </c>
      <c r="E129" s="114" t="n">
        <f aca="false">IF(OR(2&gt;$B$27,ISBLANK(Actuals!D105)),"",Actuals!D105)</f>
        <v>-2799.88</v>
      </c>
      <c r="F129" s="114" t="n">
        <f aca="false">'Reforecast Q1 2026'!D105</f>
        <v>-5</v>
      </c>
      <c r="G129" s="114" t="n">
        <f aca="false">IF(E129="","",E129-F129)</f>
        <v>-2794.88</v>
      </c>
      <c r="H129" s="114" t="n">
        <f aca="false">IF(OR(3&gt;$B$27,ISBLANK(Actuals!E105)),"",Actuals!E105)</f>
        <v>-12899.88</v>
      </c>
      <c r="I129" s="114" t="n">
        <f aca="false">'Reforecast Q1 2026'!E105</f>
        <v>-5</v>
      </c>
      <c r="J129" s="114" t="n">
        <f aca="false">IF(H129="","",H129-I129)</f>
        <v>-12894.88</v>
      </c>
      <c r="K129" s="114" t="n">
        <f aca="false">IF(OR(4&gt;$B$27,ISBLANK(Actuals!F105)),"",Actuals!F105)</f>
        <v>-2932.88</v>
      </c>
      <c r="L129" s="114" t="n">
        <f aca="false">'Reforecast Q1 2026'!F105</f>
        <v>-1580.65</v>
      </c>
      <c r="M129" s="114" t="n">
        <f aca="false">IF(K129="","",K129-L129)</f>
        <v>-1352.23</v>
      </c>
      <c r="N129" s="114" t="n">
        <f aca="false">IF(OR(5&gt;$B$27,ISBLANK(Actuals!G105)),"",Actuals!G105)</f>
        <v>-5474.88</v>
      </c>
      <c r="O129" s="114" t="n">
        <f aca="false">'Reforecast Q1 2026'!G105</f>
        <v>-1580.65</v>
      </c>
      <c r="P129" s="114" t="n">
        <f aca="false">IF(N129="","",N129-O129)</f>
        <v>-3894.23</v>
      </c>
      <c r="Q129" s="114" t="n">
        <f aca="false">IF(OR(6&gt;$B$27,ISBLANK(Actuals!H105)),"",Actuals!H105)</f>
        <v>-5</v>
      </c>
      <c r="R129" s="114" t="n">
        <f aca="false">'Reforecast Q1 2026'!H105</f>
        <v>-1580.65</v>
      </c>
      <c r="S129" s="114" t="n">
        <f aca="false">IF(Q129="","",Q129-R129)</f>
        <v>1575.65</v>
      </c>
      <c r="T129" s="114" t="n">
        <f aca="false">IF(OR(7&gt;$B$27,ISBLANK(Actuals!I105)),"",Actuals!I105)</f>
        <v>-255</v>
      </c>
      <c r="U129" s="114" t="n">
        <f aca="false">'Reforecast Q1 2026'!I105</f>
        <v>-1580.65</v>
      </c>
      <c r="V129" s="114" t="n">
        <f aca="false">IF(T129="","",T129-U129)</f>
        <v>1325.65</v>
      </c>
      <c r="W129" s="114" t="n">
        <f aca="false">IF(OR(8&gt;$B$27,ISBLANK(Actuals!J105)),"",Actuals!J105)</f>
        <v>4520.8</v>
      </c>
      <c r="X129" s="114" t="n">
        <f aca="false">'Reforecast Q1 2026'!J105</f>
        <v>-1580.65</v>
      </c>
      <c r="Y129" s="114" t="n">
        <f aca="false">IF(W129="","",W129-X129)</f>
        <v>6101.45</v>
      </c>
      <c r="Z129" s="114" t="str">
        <f aca="false">IF(OR(9&gt;$B$27,ISBLANK(Actuals!K105)),"",Actuals!K105)</f>
        <v/>
      </c>
      <c r="AA129" s="114" t="n">
        <f aca="false">'Reforecast Q1 2026'!K105</f>
        <v>-1580.65</v>
      </c>
      <c r="AB129" s="114" t="str">
        <f aca="false">IF(Z129="","",Z129-AA129)</f>
        <v/>
      </c>
      <c r="AC129" s="114" t="str">
        <f aca="false">IF(OR(10&gt;$B$27,ISBLANK(Actuals!L105)),"",Actuals!L105)</f>
        <v/>
      </c>
      <c r="AD129" s="114" t="n">
        <f aca="false">'Reforecast Q1 2026'!L105</f>
        <v>-1580.65</v>
      </c>
      <c r="AE129" s="114" t="str">
        <f aca="false">IF(AC129="","",AC129-AD129)</f>
        <v/>
      </c>
      <c r="AF129" s="114" t="str">
        <f aca="false">IF(OR(11&gt;$B$27,ISBLANK(Actuals!M105)),"",Actuals!M105)</f>
        <v/>
      </c>
      <c r="AG129" s="114" t="n">
        <f aca="false">'Reforecast Q1 2026'!M105</f>
        <v>-1580.65</v>
      </c>
      <c r="AH129" s="114" t="str">
        <f aca="false">IF(AF129="","",AF129-AG129)</f>
        <v/>
      </c>
      <c r="AI129" s="114" t="str">
        <f aca="false">IF(OR(12&gt;$B$27,ISBLANK(Actuals!N105)),"",Actuals!N105)</f>
        <v/>
      </c>
      <c r="AJ129" s="114" t="n">
        <f aca="false">'Reforecast Q1 2026'!N105</f>
        <v>-1580.65</v>
      </c>
      <c r="AK129" s="114" t="str">
        <f aca="false">IF(AI129="","",AI129-AJ129)</f>
        <v/>
      </c>
      <c r="AL129" s="117" t="n">
        <f aca="false">SUM(Actuals!$C105:INDEX(Actuals!$C105:$N105,$B$27))</f>
        <v>-26782.56</v>
      </c>
      <c r="AM129" s="117" t="n">
        <f aca="false">SUM('Reforecast Q1 2026'!$C105:INDEX('Reforecast Q1 2026'!$C105:$N105,$B$27))</f>
        <v>-12645.21</v>
      </c>
      <c r="AN129" s="117" t="n">
        <f aca="false">AL129-AM129</f>
        <v>-14137.35</v>
      </c>
    </row>
    <row r="130" customFormat="false" ht="15" hidden="true" customHeight="true" outlineLevel="1" collapsed="false">
      <c r="A130" s="110" t="s">
        <v>93</v>
      </c>
      <c r="B130" s="114" t="n">
        <f aca="false">IF(OR(1&gt;$B$27,ISBLANK(Actuals!C106)),"",Actuals!C106)</f>
        <v>-658.14</v>
      </c>
      <c r="C130" s="114" t="n">
        <f aca="false">'Reforecast Q1 2026'!C106</f>
        <v>-658.14</v>
      </c>
      <c r="D130" s="114" t="n">
        <f aca="false">IF(B130="","",B130-C130)</f>
        <v>0</v>
      </c>
      <c r="E130" s="114" t="n">
        <f aca="false">IF(OR(2&gt;$B$27,ISBLANK(Actuals!D106)),"",Actuals!D106)</f>
        <v>-310</v>
      </c>
      <c r="F130" s="114" t="n">
        <f aca="false">'Reforecast Q1 2026'!D106</f>
        <v>-310</v>
      </c>
      <c r="G130" s="114" t="n">
        <f aca="false">IF(E130="","",E130-F130)</f>
        <v>0</v>
      </c>
      <c r="H130" s="114" t="n">
        <f aca="false">IF(OR(3&gt;$B$27,ISBLANK(Actuals!E106)),"",Actuals!E106)</f>
        <v>-371.74</v>
      </c>
      <c r="I130" s="114" t="n">
        <f aca="false">'Reforecast Q1 2026'!E106</f>
        <v>-371.74</v>
      </c>
      <c r="J130" s="114" t="n">
        <f aca="false">IF(H130="","",H130-I130)</f>
        <v>0</v>
      </c>
      <c r="K130" s="114" t="n">
        <f aca="false">IF(OR(4&gt;$B$27,ISBLANK(Actuals!F106)),"",Actuals!F106)</f>
        <v>-857.33</v>
      </c>
      <c r="L130" s="114" t="n">
        <f aca="false">'Reforecast Q1 2026'!F106</f>
        <v>-446.63</v>
      </c>
      <c r="M130" s="114" t="n">
        <f aca="false">IF(K130="","",K130-L130)</f>
        <v>-410.7</v>
      </c>
      <c r="N130" s="114" t="n">
        <f aca="false">IF(OR(5&gt;$B$27,ISBLANK(Actuals!G106)),"",Actuals!G106)</f>
        <v>-305</v>
      </c>
      <c r="O130" s="114" t="n">
        <f aca="false">'Reforecast Q1 2026'!G106</f>
        <v>-446.63</v>
      </c>
      <c r="P130" s="114" t="n">
        <f aca="false">IF(N130="","",N130-O130)</f>
        <v>141.63</v>
      </c>
      <c r="Q130" s="114" t="n">
        <f aca="false">IF(OR(6&gt;$B$27,ISBLANK(Actuals!H106)),"",Actuals!H106)</f>
        <v>-352.5</v>
      </c>
      <c r="R130" s="114" t="n">
        <f aca="false">'Reforecast Q1 2026'!H106</f>
        <v>-446.63</v>
      </c>
      <c r="S130" s="114" t="n">
        <f aca="false">IF(Q130="","",Q130-R130)</f>
        <v>94.13</v>
      </c>
      <c r="T130" s="114" t="n">
        <f aca="false">IF(OR(7&gt;$B$27,ISBLANK(Actuals!I106)),"",Actuals!I106)</f>
        <v>-204</v>
      </c>
      <c r="U130" s="114" t="n">
        <f aca="false">'Reforecast Q1 2026'!I106</f>
        <v>-446.63</v>
      </c>
      <c r="V130" s="114" t="n">
        <f aca="false">IF(T130="","",T130-U130)</f>
        <v>242.63</v>
      </c>
      <c r="W130" s="114" t="n">
        <f aca="false">IF(OR(8&gt;$B$27,ISBLANK(Actuals!J106)),"",Actuals!J106)</f>
        <v>-1477.65</v>
      </c>
      <c r="X130" s="114" t="n">
        <f aca="false">'Reforecast Q1 2026'!J106</f>
        <v>-446.63</v>
      </c>
      <c r="Y130" s="114" t="n">
        <f aca="false">IF(W130="","",W130-X130)</f>
        <v>-1031.02</v>
      </c>
      <c r="Z130" s="114" t="str">
        <f aca="false">IF(OR(9&gt;$B$27,ISBLANK(Actuals!K106)),"",Actuals!K106)</f>
        <v/>
      </c>
      <c r="AA130" s="114" t="n">
        <f aca="false">'Reforecast Q1 2026'!K106</f>
        <v>-446.63</v>
      </c>
      <c r="AB130" s="114" t="str">
        <f aca="false">IF(Z130="","",Z130-AA130)</f>
        <v/>
      </c>
      <c r="AC130" s="114" t="str">
        <f aca="false">IF(OR(10&gt;$B$27,ISBLANK(Actuals!L106)),"",Actuals!L106)</f>
        <v/>
      </c>
      <c r="AD130" s="114" t="n">
        <f aca="false">'Reforecast Q1 2026'!L106</f>
        <v>-446.63</v>
      </c>
      <c r="AE130" s="114" t="str">
        <f aca="false">IF(AC130="","",AC130-AD130)</f>
        <v/>
      </c>
      <c r="AF130" s="114" t="str">
        <f aca="false">IF(OR(11&gt;$B$27,ISBLANK(Actuals!M106)),"",Actuals!M106)</f>
        <v/>
      </c>
      <c r="AG130" s="114" t="n">
        <f aca="false">'Reforecast Q1 2026'!M106</f>
        <v>-446.63</v>
      </c>
      <c r="AH130" s="114" t="str">
        <f aca="false">IF(AF130="","",AF130-AG130)</f>
        <v/>
      </c>
      <c r="AI130" s="114" t="str">
        <f aca="false">IF(OR(12&gt;$B$27,ISBLANK(Actuals!N106)),"",Actuals!N106)</f>
        <v/>
      </c>
      <c r="AJ130" s="114" t="n">
        <f aca="false">'Reforecast Q1 2026'!N106</f>
        <v>-446.63</v>
      </c>
      <c r="AK130" s="114" t="str">
        <f aca="false">IF(AI130="","",AI130-AJ130)</f>
        <v/>
      </c>
      <c r="AL130" s="117" t="n">
        <f aca="false">SUM(Actuals!$C106:INDEX(Actuals!$C106:$N106,$B$27))</f>
        <v>-4536.36</v>
      </c>
      <c r="AM130" s="117" t="n">
        <f aca="false">SUM('Reforecast Q1 2026'!$C106:INDEX('Reforecast Q1 2026'!$C106:$N106,$B$27))</f>
        <v>-3573.03</v>
      </c>
      <c r="AN130" s="117" t="n">
        <f aca="false">AL130-AM130</f>
        <v>-963.33</v>
      </c>
    </row>
    <row r="131" customFormat="false" ht="15" hidden="true" customHeight="true" outlineLevel="1" collapsed="false">
      <c r="A131" s="110" t="s">
        <v>132</v>
      </c>
      <c r="B131" s="114" t="str">
        <f aca="false">IF(OR(1&gt;$B$27,ISBLANK(Actuals!C107)),"",Actuals!C107)</f>
        <v/>
      </c>
      <c r="C131" s="114" t="n">
        <f aca="false">'Reforecast Q1 2026'!C107</f>
        <v>0</v>
      </c>
      <c r="D131" s="114" t="str">
        <f aca="false">IF(B131="","",B131-C131)</f>
        <v/>
      </c>
      <c r="E131" s="114" t="str">
        <f aca="false">IF(OR(2&gt;$B$27,ISBLANK(Actuals!D107)),"",Actuals!D107)</f>
        <v/>
      </c>
      <c r="F131" s="114" t="n">
        <f aca="false">'Reforecast Q1 2026'!D107</f>
        <v>0</v>
      </c>
      <c r="G131" s="114" t="str">
        <f aca="false">IF(E131="","",E131-F131)</f>
        <v/>
      </c>
      <c r="H131" s="114" t="str">
        <f aca="false">IF(OR(3&gt;$B$27,ISBLANK(Actuals!E107)),"",Actuals!E107)</f>
        <v/>
      </c>
      <c r="I131" s="114" t="n">
        <f aca="false">'Reforecast Q1 2026'!E107</f>
        <v>0</v>
      </c>
      <c r="J131" s="114" t="str">
        <f aca="false">IF(H131="","",H131-I131)</f>
        <v/>
      </c>
      <c r="K131" s="114" t="str">
        <f aca="false">IF(OR(4&gt;$B$27,ISBLANK(Actuals!F107)),"",Actuals!F107)</f>
        <v/>
      </c>
      <c r="L131" s="114" t="n">
        <f aca="false">'Reforecast Q1 2026'!F107</f>
        <v>0</v>
      </c>
      <c r="M131" s="114" t="str">
        <f aca="false">IF(K131="","",K131-L131)</f>
        <v/>
      </c>
      <c r="N131" s="114" t="str">
        <f aca="false">IF(OR(5&gt;$B$27,ISBLANK(Actuals!G107)),"",Actuals!G107)</f>
        <v/>
      </c>
      <c r="O131" s="114" t="n">
        <f aca="false">'Reforecast Q1 2026'!G107</f>
        <v>0</v>
      </c>
      <c r="P131" s="114" t="str">
        <f aca="false">IF(N131="","",N131-O131)</f>
        <v/>
      </c>
      <c r="Q131" s="114" t="str">
        <f aca="false">IF(OR(6&gt;$B$27,ISBLANK(Actuals!H107)),"",Actuals!H107)</f>
        <v/>
      </c>
      <c r="R131" s="114" t="n">
        <f aca="false">'Reforecast Q1 2026'!H107</f>
        <v>0</v>
      </c>
      <c r="S131" s="114" t="str">
        <f aca="false">IF(Q131="","",Q131-R131)</f>
        <v/>
      </c>
      <c r="T131" s="114" t="str">
        <f aca="false">IF(OR(7&gt;$B$27,ISBLANK(Actuals!I107)),"",Actuals!I107)</f>
        <v/>
      </c>
      <c r="U131" s="114" t="n">
        <f aca="false">'Reforecast Q1 2026'!I107</f>
        <v>0</v>
      </c>
      <c r="V131" s="114" t="str">
        <f aca="false">IF(T131="","",T131-U131)</f>
        <v/>
      </c>
      <c r="W131" s="114" t="str">
        <f aca="false">IF(OR(8&gt;$B$27,ISBLANK(Actuals!J107)),"",Actuals!J107)</f>
        <v/>
      </c>
      <c r="X131" s="114" t="n">
        <f aca="false">'Reforecast Q1 2026'!J107</f>
        <v>0</v>
      </c>
      <c r="Y131" s="114" t="str">
        <f aca="false">IF(W131="","",W131-X131)</f>
        <v/>
      </c>
      <c r="Z131" s="114" t="str">
        <f aca="false">IF(OR(9&gt;$B$27,ISBLANK(Actuals!K107)),"",Actuals!K107)</f>
        <v/>
      </c>
      <c r="AA131" s="114" t="n">
        <f aca="false">'Reforecast Q1 2026'!K107</f>
        <v>0</v>
      </c>
      <c r="AB131" s="114" t="str">
        <f aca="false">IF(Z131="","",Z131-AA131)</f>
        <v/>
      </c>
      <c r="AC131" s="114" t="str">
        <f aca="false">IF(OR(10&gt;$B$27,ISBLANK(Actuals!L107)),"",Actuals!L107)</f>
        <v/>
      </c>
      <c r="AD131" s="114" t="n">
        <f aca="false">'Reforecast Q1 2026'!L107</f>
        <v>0</v>
      </c>
      <c r="AE131" s="114" t="str">
        <f aca="false">IF(AC131="","",AC131-AD131)</f>
        <v/>
      </c>
      <c r="AF131" s="114" t="str">
        <f aca="false">IF(OR(11&gt;$B$27,ISBLANK(Actuals!M107)),"",Actuals!M107)</f>
        <v/>
      </c>
      <c r="AG131" s="114" t="n">
        <f aca="false">'Reforecast Q1 2026'!M107</f>
        <v>0</v>
      </c>
      <c r="AH131" s="114" t="str">
        <f aca="false">IF(AF131="","",AF131-AG131)</f>
        <v/>
      </c>
      <c r="AI131" s="114" t="str">
        <f aca="false">IF(OR(12&gt;$B$27,ISBLANK(Actuals!N107)),"",Actuals!N107)</f>
        <v/>
      </c>
      <c r="AJ131" s="114" t="n">
        <f aca="false">'Reforecast Q1 2026'!N107</f>
        <v>0</v>
      </c>
      <c r="AK131" s="114" t="str">
        <f aca="false">IF(AI131="","",AI131-AJ131)</f>
        <v/>
      </c>
      <c r="AL131" s="117" t="n">
        <f aca="false">SUM(Actuals!$C107:INDEX(Actuals!$C107:$N107,$B$27))</f>
        <v>0</v>
      </c>
      <c r="AM131" s="117" t="n">
        <f aca="false">SUM('Reforecast Q1 2026'!$C107:INDEX('Reforecast Q1 2026'!$C107:$N107,$B$27))</f>
        <v>0</v>
      </c>
      <c r="AN131" s="117" t="n">
        <f aca="false">AL131-AM131</f>
        <v>0</v>
      </c>
    </row>
    <row r="132" customFormat="false" ht="15" hidden="true" customHeight="true" outlineLevel="1" collapsed="false">
      <c r="A132" s="110" t="s">
        <v>133</v>
      </c>
      <c r="B132" s="114" t="str">
        <f aca="false">IF(OR(1&gt;$B$27,ISBLANK(Actuals!C108)),"",Actuals!C108)</f>
        <v/>
      </c>
      <c r="C132" s="114" t="n">
        <f aca="false">'Reforecast Q1 2026'!C108</f>
        <v>0</v>
      </c>
      <c r="D132" s="114" t="str">
        <f aca="false">IF(B132="","",B132-C132)</f>
        <v/>
      </c>
      <c r="E132" s="114" t="str">
        <f aca="false">IF(OR(2&gt;$B$27,ISBLANK(Actuals!D108)),"",Actuals!D108)</f>
        <v/>
      </c>
      <c r="F132" s="114" t="n">
        <f aca="false">'Reforecast Q1 2026'!D108</f>
        <v>0</v>
      </c>
      <c r="G132" s="114" t="str">
        <f aca="false">IF(E132="","",E132-F132)</f>
        <v/>
      </c>
      <c r="H132" s="114" t="str">
        <f aca="false">IF(OR(3&gt;$B$27,ISBLANK(Actuals!E108)),"",Actuals!E108)</f>
        <v/>
      </c>
      <c r="I132" s="114" t="n">
        <f aca="false">'Reforecast Q1 2026'!E108</f>
        <v>0</v>
      </c>
      <c r="J132" s="114" t="str">
        <f aca="false">IF(H132="","",H132-I132)</f>
        <v/>
      </c>
      <c r="K132" s="114" t="str">
        <f aca="false">IF(OR(4&gt;$B$27,ISBLANK(Actuals!F108)),"",Actuals!F108)</f>
        <v/>
      </c>
      <c r="L132" s="114" t="n">
        <f aca="false">'Reforecast Q1 2026'!F108</f>
        <v>0</v>
      </c>
      <c r="M132" s="114" t="str">
        <f aca="false">IF(K132="","",K132-L132)</f>
        <v/>
      </c>
      <c r="N132" s="114" t="str">
        <f aca="false">IF(OR(5&gt;$B$27,ISBLANK(Actuals!G108)),"",Actuals!G108)</f>
        <v/>
      </c>
      <c r="O132" s="114" t="n">
        <f aca="false">'Reforecast Q1 2026'!G108</f>
        <v>0</v>
      </c>
      <c r="P132" s="114" t="str">
        <f aca="false">IF(N132="","",N132-O132)</f>
        <v/>
      </c>
      <c r="Q132" s="114" t="str">
        <f aca="false">IF(OR(6&gt;$B$27,ISBLANK(Actuals!H108)),"",Actuals!H108)</f>
        <v/>
      </c>
      <c r="R132" s="114" t="n">
        <f aca="false">'Reforecast Q1 2026'!H108</f>
        <v>0</v>
      </c>
      <c r="S132" s="114" t="str">
        <f aca="false">IF(Q132="","",Q132-R132)</f>
        <v/>
      </c>
      <c r="T132" s="114" t="str">
        <f aca="false">IF(OR(7&gt;$B$27,ISBLANK(Actuals!I108)),"",Actuals!I108)</f>
        <v/>
      </c>
      <c r="U132" s="114" t="n">
        <f aca="false">'Reforecast Q1 2026'!I108</f>
        <v>0</v>
      </c>
      <c r="V132" s="114" t="str">
        <f aca="false">IF(T132="","",T132-U132)</f>
        <v/>
      </c>
      <c r="W132" s="114" t="str">
        <f aca="false">IF(OR(8&gt;$B$27,ISBLANK(Actuals!J108)),"",Actuals!J108)</f>
        <v/>
      </c>
      <c r="X132" s="114" t="n">
        <f aca="false">'Reforecast Q1 2026'!J108</f>
        <v>0</v>
      </c>
      <c r="Y132" s="114" t="str">
        <f aca="false">IF(W132="","",W132-X132)</f>
        <v/>
      </c>
      <c r="Z132" s="114" t="str">
        <f aca="false">IF(OR(9&gt;$B$27,ISBLANK(Actuals!K108)),"",Actuals!K108)</f>
        <v/>
      </c>
      <c r="AA132" s="114" t="n">
        <f aca="false">'Reforecast Q1 2026'!K108</f>
        <v>0</v>
      </c>
      <c r="AB132" s="114" t="str">
        <f aca="false">IF(Z132="","",Z132-AA132)</f>
        <v/>
      </c>
      <c r="AC132" s="114" t="str">
        <f aca="false">IF(OR(10&gt;$B$27,ISBLANK(Actuals!L108)),"",Actuals!L108)</f>
        <v/>
      </c>
      <c r="AD132" s="114" t="n">
        <f aca="false">'Reforecast Q1 2026'!L108</f>
        <v>0</v>
      </c>
      <c r="AE132" s="114" t="str">
        <f aca="false">IF(AC132="","",AC132-AD132)</f>
        <v/>
      </c>
      <c r="AF132" s="114" t="str">
        <f aca="false">IF(OR(11&gt;$B$27,ISBLANK(Actuals!M108)),"",Actuals!M108)</f>
        <v/>
      </c>
      <c r="AG132" s="114" t="n">
        <f aca="false">'Reforecast Q1 2026'!M108</f>
        <v>0</v>
      </c>
      <c r="AH132" s="114" t="str">
        <f aca="false">IF(AF132="","",AF132-AG132)</f>
        <v/>
      </c>
      <c r="AI132" s="114" t="str">
        <f aca="false">IF(OR(12&gt;$B$27,ISBLANK(Actuals!N108)),"",Actuals!N108)</f>
        <v/>
      </c>
      <c r="AJ132" s="114" t="n">
        <f aca="false">'Reforecast Q1 2026'!N108</f>
        <v>0</v>
      </c>
      <c r="AK132" s="114" t="str">
        <f aca="false">IF(AI132="","",AI132-AJ132)</f>
        <v/>
      </c>
      <c r="AL132" s="117" t="n">
        <f aca="false">SUM(Actuals!$C108:INDEX(Actuals!$C108:$N108,$B$27))</f>
        <v>0</v>
      </c>
      <c r="AM132" s="117" t="n">
        <f aca="false">SUM('Reforecast Q1 2026'!$C108:INDEX('Reforecast Q1 2026'!$C108:$N108,$B$27))</f>
        <v>0</v>
      </c>
      <c r="AN132" s="117" t="n">
        <f aca="false">AL132-AM132</f>
        <v>0</v>
      </c>
    </row>
    <row r="133" customFormat="false" ht="15" hidden="true" customHeight="true" outlineLevel="1" collapsed="false">
      <c r="A133" s="110" t="s">
        <v>134</v>
      </c>
      <c r="B133" s="114" t="str">
        <f aca="false">IF(OR(1&gt;$B$27,ISBLANK(Actuals!C109)),"",Actuals!C109)</f>
        <v/>
      </c>
      <c r="C133" s="114" t="n">
        <f aca="false">'Reforecast Q1 2026'!C109</f>
        <v>0</v>
      </c>
      <c r="D133" s="114" t="str">
        <f aca="false">IF(B133="","",B133-C133)</f>
        <v/>
      </c>
      <c r="E133" s="114" t="str">
        <f aca="false">IF(OR(2&gt;$B$27,ISBLANK(Actuals!D109)),"",Actuals!D109)</f>
        <v/>
      </c>
      <c r="F133" s="114" t="n">
        <f aca="false">'Reforecast Q1 2026'!D109</f>
        <v>0</v>
      </c>
      <c r="G133" s="114" t="str">
        <f aca="false">IF(E133="","",E133-F133)</f>
        <v/>
      </c>
      <c r="H133" s="114" t="str">
        <f aca="false">IF(OR(3&gt;$B$27,ISBLANK(Actuals!E109)),"",Actuals!E109)</f>
        <v/>
      </c>
      <c r="I133" s="114" t="n">
        <f aca="false">'Reforecast Q1 2026'!E109</f>
        <v>0</v>
      </c>
      <c r="J133" s="114" t="str">
        <f aca="false">IF(H133="","",H133-I133)</f>
        <v/>
      </c>
      <c r="K133" s="114" t="str">
        <f aca="false">IF(OR(4&gt;$B$27,ISBLANK(Actuals!F109)),"",Actuals!F109)</f>
        <v/>
      </c>
      <c r="L133" s="114" t="n">
        <f aca="false">'Reforecast Q1 2026'!F109</f>
        <v>0</v>
      </c>
      <c r="M133" s="114" t="str">
        <f aca="false">IF(K133="","",K133-L133)</f>
        <v/>
      </c>
      <c r="N133" s="114" t="str">
        <f aca="false">IF(OR(5&gt;$B$27,ISBLANK(Actuals!G109)),"",Actuals!G109)</f>
        <v/>
      </c>
      <c r="O133" s="114" t="n">
        <f aca="false">'Reforecast Q1 2026'!G109</f>
        <v>0</v>
      </c>
      <c r="P133" s="114" t="str">
        <f aca="false">IF(N133="","",N133-O133)</f>
        <v/>
      </c>
      <c r="Q133" s="114" t="str">
        <f aca="false">IF(OR(6&gt;$B$27,ISBLANK(Actuals!H109)),"",Actuals!H109)</f>
        <v/>
      </c>
      <c r="R133" s="114" t="n">
        <f aca="false">'Reforecast Q1 2026'!H109</f>
        <v>0</v>
      </c>
      <c r="S133" s="114" t="str">
        <f aca="false">IF(Q133="","",Q133-R133)</f>
        <v/>
      </c>
      <c r="T133" s="114" t="str">
        <f aca="false">IF(OR(7&gt;$B$27,ISBLANK(Actuals!I109)),"",Actuals!I109)</f>
        <v/>
      </c>
      <c r="U133" s="114" t="n">
        <f aca="false">'Reforecast Q1 2026'!I109</f>
        <v>0</v>
      </c>
      <c r="V133" s="114" t="str">
        <f aca="false">IF(T133="","",T133-U133)</f>
        <v/>
      </c>
      <c r="W133" s="114" t="n">
        <f aca="false">IF(OR(8&gt;$B$27,ISBLANK(Actuals!J109)),"",Actuals!J109)</f>
        <v>0</v>
      </c>
      <c r="X133" s="114" t="n">
        <f aca="false">'Reforecast Q1 2026'!J109</f>
        <v>0</v>
      </c>
      <c r="Y133" s="114" t="n">
        <f aca="false">IF(W133="","",W133-X133)</f>
        <v>0</v>
      </c>
      <c r="Z133" s="114" t="str">
        <f aca="false">IF(OR(9&gt;$B$27,ISBLANK(Actuals!K109)),"",Actuals!K109)</f>
        <v/>
      </c>
      <c r="AA133" s="114" t="n">
        <f aca="false">'Reforecast Q1 2026'!K109</f>
        <v>0</v>
      </c>
      <c r="AB133" s="114" t="str">
        <f aca="false">IF(Z133="","",Z133-AA133)</f>
        <v/>
      </c>
      <c r="AC133" s="114" t="str">
        <f aca="false">IF(OR(10&gt;$B$27,ISBLANK(Actuals!L109)),"",Actuals!L109)</f>
        <v/>
      </c>
      <c r="AD133" s="114" t="n">
        <f aca="false">'Reforecast Q1 2026'!L109</f>
        <v>0</v>
      </c>
      <c r="AE133" s="114" t="str">
        <f aca="false">IF(AC133="","",AC133-AD133)</f>
        <v/>
      </c>
      <c r="AF133" s="114" t="str">
        <f aca="false">IF(OR(11&gt;$B$27,ISBLANK(Actuals!M109)),"",Actuals!M109)</f>
        <v/>
      </c>
      <c r="AG133" s="114" t="n">
        <f aca="false">'Reforecast Q1 2026'!M109</f>
        <v>0</v>
      </c>
      <c r="AH133" s="114" t="str">
        <f aca="false">IF(AF133="","",AF133-AG133)</f>
        <v/>
      </c>
      <c r="AI133" s="114" t="str">
        <f aca="false">IF(OR(12&gt;$B$27,ISBLANK(Actuals!N109)),"",Actuals!N109)</f>
        <v/>
      </c>
      <c r="AJ133" s="114" t="n">
        <f aca="false">'Reforecast Q1 2026'!N109</f>
        <v>0</v>
      </c>
      <c r="AK133" s="114" t="str">
        <f aca="false">IF(AI133="","",AI133-AJ133)</f>
        <v/>
      </c>
      <c r="AL133" s="117" t="n">
        <f aca="false">SUM(Actuals!$C109:INDEX(Actuals!$C109:$N109,$B$27))</f>
        <v>0</v>
      </c>
      <c r="AM133" s="117" t="n">
        <f aca="false">SUM('Reforecast Q1 2026'!$C109:INDEX('Reforecast Q1 2026'!$C109:$N109,$B$27))</f>
        <v>0</v>
      </c>
      <c r="AN133" s="117" t="n">
        <f aca="false">AL133-AM133</f>
        <v>0</v>
      </c>
    </row>
    <row r="134" customFormat="false" ht="15" hidden="true" customHeight="true" outlineLevel="1" collapsed="false">
      <c r="A134" s="110" t="s">
        <v>135</v>
      </c>
      <c r="B134" s="114" t="str">
        <f aca="false">IF(OR(1&gt;$B$27,ISBLANK(Actuals!C110)),"",Actuals!C110)</f>
        <v/>
      </c>
      <c r="C134" s="114" t="n">
        <f aca="false">'Reforecast Q1 2026'!C110</f>
        <v>0</v>
      </c>
      <c r="D134" s="114" t="str">
        <f aca="false">IF(B134="","",B134-C134)</f>
        <v/>
      </c>
      <c r="E134" s="114" t="str">
        <f aca="false">IF(OR(2&gt;$B$27,ISBLANK(Actuals!D110)),"",Actuals!D110)</f>
        <v/>
      </c>
      <c r="F134" s="114" t="n">
        <f aca="false">'Reforecast Q1 2026'!D110</f>
        <v>0</v>
      </c>
      <c r="G134" s="114" t="str">
        <f aca="false">IF(E134="","",E134-F134)</f>
        <v/>
      </c>
      <c r="H134" s="114" t="str">
        <f aca="false">IF(OR(3&gt;$B$27,ISBLANK(Actuals!E110)),"",Actuals!E110)</f>
        <v/>
      </c>
      <c r="I134" s="114" t="n">
        <f aca="false">'Reforecast Q1 2026'!E110</f>
        <v>0</v>
      </c>
      <c r="J134" s="114" t="str">
        <f aca="false">IF(H134="","",H134-I134)</f>
        <v/>
      </c>
      <c r="K134" s="114" t="str">
        <f aca="false">IF(OR(4&gt;$B$27,ISBLANK(Actuals!F110)),"",Actuals!F110)</f>
        <v/>
      </c>
      <c r="L134" s="114" t="n">
        <f aca="false">'Reforecast Q1 2026'!F110</f>
        <v>0</v>
      </c>
      <c r="M134" s="114" t="str">
        <f aca="false">IF(K134="","",K134-L134)</f>
        <v/>
      </c>
      <c r="N134" s="114" t="str">
        <f aca="false">IF(OR(5&gt;$B$27,ISBLANK(Actuals!G110)),"",Actuals!G110)</f>
        <v/>
      </c>
      <c r="O134" s="114" t="n">
        <f aca="false">'Reforecast Q1 2026'!G110</f>
        <v>0</v>
      </c>
      <c r="P134" s="114" t="str">
        <f aca="false">IF(N134="","",N134-O134)</f>
        <v/>
      </c>
      <c r="Q134" s="114" t="str">
        <f aca="false">IF(OR(6&gt;$B$27,ISBLANK(Actuals!H110)),"",Actuals!H110)</f>
        <v/>
      </c>
      <c r="R134" s="114" t="n">
        <f aca="false">'Reforecast Q1 2026'!H110</f>
        <v>0</v>
      </c>
      <c r="S134" s="114" t="str">
        <f aca="false">IF(Q134="","",Q134-R134)</f>
        <v/>
      </c>
      <c r="T134" s="114" t="str">
        <f aca="false">IF(OR(7&gt;$B$27,ISBLANK(Actuals!I110)),"",Actuals!I110)</f>
        <v/>
      </c>
      <c r="U134" s="114" t="n">
        <f aca="false">'Reforecast Q1 2026'!I110</f>
        <v>0</v>
      </c>
      <c r="V134" s="114" t="str">
        <f aca="false">IF(T134="","",T134-U134)</f>
        <v/>
      </c>
      <c r="W134" s="114" t="str">
        <f aca="false">IF(OR(8&gt;$B$27,ISBLANK(Actuals!J110)),"",Actuals!J110)</f>
        <v/>
      </c>
      <c r="X134" s="114" t="n">
        <f aca="false">'Reforecast Q1 2026'!J110</f>
        <v>0</v>
      </c>
      <c r="Y134" s="114" t="str">
        <f aca="false">IF(W134="","",W134-X134)</f>
        <v/>
      </c>
      <c r="Z134" s="114" t="str">
        <f aca="false">IF(OR(9&gt;$B$27,ISBLANK(Actuals!K110)),"",Actuals!K110)</f>
        <v/>
      </c>
      <c r="AA134" s="114" t="n">
        <f aca="false">'Reforecast Q1 2026'!K110</f>
        <v>0</v>
      </c>
      <c r="AB134" s="114" t="str">
        <f aca="false">IF(Z134="","",Z134-AA134)</f>
        <v/>
      </c>
      <c r="AC134" s="114" t="str">
        <f aca="false">IF(OR(10&gt;$B$27,ISBLANK(Actuals!L110)),"",Actuals!L110)</f>
        <v/>
      </c>
      <c r="AD134" s="114" t="n">
        <f aca="false">'Reforecast Q1 2026'!L110</f>
        <v>0</v>
      </c>
      <c r="AE134" s="114" t="str">
        <f aca="false">IF(AC134="","",AC134-AD134)</f>
        <v/>
      </c>
      <c r="AF134" s="114" t="str">
        <f aca="false">IF(OR(11&gt;$B$27,ISBLANK(Actuals!M110)),"",Actuals!M110)</f>
        <v/>
      </c>
      <c r="AG134" s="114" t="n">
        <f aca="false">'Reforecast Q1 2026'!M110</f>
        <v>0</v>
      </c>
      <c r="AH134" s="114" t="str">
        <f aca="false">IF(AF134="","",AF134-AG134)</f>
        <v/>
      </c>
      <c r="AI134" s="114" t="str">
        <f aca="false">IF(OR(12&gt;$B$27,ISBLANK(Actuals!N110)),"",Actuals!N110)</f>
        <v/>
      </c>
      <c r="AJ134" s="114" t="n">
        <f aca="false">'Reforecast Q1 2026'!N110</f>
        <v>0</v>
      </c>
      <c r="AK134" s="114" t="str">
        <f aca="false">IF(AI134="","",AI134-AJ134)</f>
        <v/>
      </c>
      <c r="AL134" s="117" t="n">
        <f aca="false">SUM(Actuals!$C110:INDEX(Actuals!$C110:$N110,$B$27))</f>
        <v>0</v>
      </c>
      <c r="AM134" s="117" t="n">
        <f aca="false">SUM('Reforecast Q1 2026'!$C110:INDEX('Reforecast Q1 2026'!$C110:$N110,$B$27))</f>
        <v>0</v>
      </c>
      <c r="AN134" s="117" t="n">
        <f aca="false">AL134-AM134</f>
        <v>0</v>
      </c>
    </row>
    <row r="135" customFormat="false" ht="15" hidden="true" customHeight="true" outlineLevel="1" collapsed="false">
      <c r="A135" s="110" t="s">
        <v>136</v>
      </c>
      <c r="B135" s="114" t="str">
        <f aca="false">IF(OR(1&gt;$B$27,ISBLANK(Actuals!C111)),"",Actuals!C111)</f>
        <v/>
      </c>
      <c r="C135" s="114" t="n">
        <f aca="false">'Reforecast Q1 2026'!C111</f>
        <v>0</v>
      </c>
      <c r="D135" s="114" t="str">
        <f aca="false">IF(B135="","",B135-C135)</f>
        <v/>
      </c>
      <c r="E135" s="114" t="str">
        <f aca="false">IF(OR(2&gt;$B$27,ISBLANK(Actuals!D111)),"",Actuals!D111)</f>
        <v/>
      </c>
      <c r="F135" s="114" t="n">
        <f aca="false">'Reforecast Q1 2026'!D111</f>
        <v>0</v>
      </c>
      <c r="G135" s="114" t="str">
        <f aca="false">IF(E135="","",E135-F135)</f>
        <v/>
      </c>
      <c r="H135" s="114" t="str">
        <f aca="false">IF(OR(3&gt;$B$27,ISBLANK(Actuals!E111)),"",Actuals!E111)</f>
        <v/>
      </c>
      <c r="I135" s="114" t="n">
        <f aca="false">'Reforecast Q1 2026'!E111</f>
        <v>0</v>
      </c>
      <c r="J135" s="114" t="str">
        <f aca="false">IF(H135="","",H135-I135)</f>
        <v/>
      </c>
      <c r="K135" s="114" t="str">
        <f aca="false">IF(OR(4&gt;$B$27,ISBLANK(Actuals!F111)),"",Actuals!F111)</f>
        <v/>
      </c>
      <c r="L135" s="114" t="n">
        <f aca="false">'Reforecast Q1 2026'!F111</f>
        <v>0</v>
      </c>
      <c r="M135" s="114" t="str">
        <f aca="false">IF(K135="","",K135-L135)</f>
        <v/>
      </c>
      <c r="N135" s="114" t="str">
        <f aca="false">IF(OR(5&gt;$B$27,ISBLANK(Actuals!G111)),"",Actuals!G111)</f>
        <v/>
      </c>
      <c r="O135" s="114" t="n">
        <f aca="false">'Reforecast Q1 2026'!G111</f>
        <v>0</v>
      </c>
      <c r="P135" s="114" t="str">
        <f aca="false">IF(N135="","",N135-O135)</f>
        <v/>
      </c>
      <c r="Q135" s="114" t="str">
        <f aca="false">IF(OR(6&gt;$B$27,ISBLANK(Actuals!H111)),"",Actuals!H111)</f>
        <v/>
      </c>
      <c r="R135" s="114" t="n">
        <f aca="false">'Reforecast Q1 2026'!H111</f>
        <v>0</v>
      </c>
      <c r="S135" s="114" t="str">
        <f aca="false">IF(Q135="","",Q135-R135)</f>
        <v/>
      </c>
      <c r="T135" s="114" t="str">
        <f aca="false">IF(OR(7&gt;$B$27,ISBLANK(Actuals!I111)),"",Actuals!I111)</f>
        <v/>
      </c>
      <c r="U135" s="114" t="n">
        <f aca="false">'Reforecast Q1 2026'!I111</f>
        <v>0</v>
      </c>
      <c r="V135" s="114" t="str">
        <f aca="false">IF(T135="","",T135-U135)</f>
        <v/>
      </c>
      <c r="W135" s="114" t="str">
        <f aca="false">IF(OR(8&gt;$B$27,ISBLANK(Actuals!J111)),"",Actuals!J111)</f>
        <v/>
      </c>
      <c r="X135" s="114" t="n">
        <f aca="false">'Reforecast Q1 2026'!J111</f>
        <v>0</v>
      </c>
      <c r="Y135" s="114" t="str">
        <f aca="false">IF(W135="","",W135-X135)</f>
        <v/>
      </c>
      <c r="Z135" s="114" t="str">
        <f aca="false">IF(OR(9&gt;$B$27,ISBLANK(Actuals!K111)),"",Actuals!K111)</f>
        <v/>
      </c>
      <c r="AA135" s="114" t="n">
        <f aca="false">'Reforecast Q1 2026'!K111</f>
        <v>0</v>
      </c>
      <c r="AB135" s="114" t="str">
        <f aca="false">IF(Z135="","",Z135-AA135)</f>
        <v/>
      </c>
      <c r="AC135" s="114" t="str">
        <f aca="false">IF(OR(10&gt;$B$27,ISBLANK(Actuals!L111)),"",Actuals!L111)</f>
        <v/>
      </c>
      <c r="AD135" s="114" t="n">
        <f aca="false">'Reforecast Q1 2026'!L111</f>
        <v>0</v>
      </c>
      <c r="AE135" s="114" t="str">
        <f aca="false">IF(AC135="","",AC135-AD135)</f>
        <v/>
      </c>
      <c r="AF135" s="114" t="str">
        <f aca="false">IF(OR(11&gt;$B$27,ISBLANK(Actuals!M111)),"",Actuals!M111)</f>
        <v/>
      </c>
      <c r="AG135" s="114" t="n">
        <f aca="false">'Reforecast Q1 2026'!M111</f>
        <v>0</v>
      </c>
      <c r="AH135" s="114" t="str">
        <f aca="false">IF(AF135="","",AF135-AG135)</f>
        <v/>
      </c>
      <c r="AI135" s="114" t="str">
        <f aca="false">IF(OR(12&gt;$B$27,ISBLANK(Actuals!N111)),"",Actuals!N111)</f>
        <v/>
      </c>
      <c r="AJ135" s="114" t="n">
        <f aca="false">'Reforecast Q1 2026'!N111</f>
        <v>0</v>
      </c>
      <c r="AK135" s="114" t="str">
        <f aca="false">IF(AI135="","",AI135-AJ135)</f>
        <v/>
      </c>
      <c r="AL135" s="117" t="n">
        <f aca="false">SUM(Actuals!$C111:INDEX(Actuals!$C111:$N111,$B$27))</f>
        <v>0</v>
      </c>
      <c r="AM135" s="117" t="n">
        <f aca="false">SUM('Reforecast Q1 2026'!$C111:INDEX('Reforecast Q1 2026'!$C111:$N111,$B$27))</f>
        <v>0</v>
      </c>
      <c r="AN135" s="117" t="n">
        <f aca="false">AL135-AM135</f>
        <v>0</v>
      </c>
    </row>
    <row r="136" customFormat="false" ht="15" hidden="false" customHeight="true" outlineLevel="0" collapsed="true">
      <c r="A136" s="116" t="s">
        <v>137</v>
      </c>
      <c r="B136" s="117" t="n">
        <f aca="false">IF(OR(1&gt;$B$27,ISBLANK(Actuals!C112)),"",Actuals!C112)</f>
        <v>-198827.72</v>
      </c>
      <c r="C136" s="117" t="n">
        <f aca="false">'Reforecast Q1 2026'!C112</f>
        <v>-196623.84</v>
      </c>
      <c r="D136" s="117" t="n">
        <f aca="false">IF(B136="","",B136-C136)</f>
        <v>-2203.88</v>
      </c>
      <c r="E136" s="117" t="n">
        <f aca="false">IF(OR(2&gt;$B$27,ISBLANK(Actuals!D112)),"",Actuals!D112)</f>
        <v>-192502</v>
      </c>
      <c r="F136" s="117" t="n">
        <f aca="false">'Reforecast Q1 2026'!D112</f>
        <v>-189707.12</v>
      </c>
      <c r="G136" s="117" t="n">
        <f aca="false">IF(E136="","",E136-F136)</f>
        <v>-2794.88</v>
      </c>
      <c r="H136" s="117" t="n">
        <f aca="false">IF(OR(3&gt;$B$27,ISBLANK(Actuals!E112)),"",Actuals!E112)</f>
        <v>-255024.1</v>
      </c>
      <c r="I136" s="117" t="n">
        <f aca="false">'Reforecast Q1 2026'!E112</f>
        <v>-242129.22</v>
      </c>
      <c r="J136" s="117" t="n">
        <f aca="false">IF(H136="","",H136-I136)</f>
        <v>-12894.88</v>
      </c>
      <c r="K136" s="117" t="n">
        <f aca="false">IF(OR(4&gt;$B$27,ISBLANK(Actuals!F112)),"",Actuals!F112)</f>
        <v>-195904.72</v>
      </c>
      <c r="L136" s="117" t="n">
        <f aca="false">'Reforecast Q1 2026'!F112</f>
        <v>-78090.0916666666</v>
      </c>
      <c r="M136" s="117" t="n">
        <f aca="false">IF(K136="","",K136-L136)</f>
        <v>-117814.628333333</v>
      </c>
      <c r="N136" s="117" t="n">
        <f aca="false">IF(OR(5&gt;$B$27,ISBLANK(Actuals!G112)),"",Actuals!G112)</f>
        <v>-250029.52</v>
      </c>
      <c r="O136" s="117" t="n">
        <f aca="false">'Reforecast Q1 2026'!G112</f>
        <v>-78090.0916666666</v>
      </c>
      <c r="P136" s="117" t="n">
        <f aca="false">IF(N136="","",N136-O136)</f>
        <v>-171939.428333333</v>
      </c>
      <c r="Q136" s="117" t="n">
        <f aca="false">IF(OR(6&gt;$B$27,ISBLANK(Actuals!H112)),"",Actuals!H112)</f>
        <v>-201582.47</v>
      </c>
      <c r="R136" s="117" t="n">
        <f aca="false">'Reforecast Q1 2026'!H112</f>
        <v>-78090.0916666666</v>
      </c>
      <c r="S136" s="117" t="n">
        <f aca="false">IF(Q136="","",Q136-R136)</f>
        <v>-123492.378333333</v>
      </c>
      <c r="T136" s="117" t="n">
        <f aca="false">IF(OR(7&gt;$B$27,ISBLANK(Actuals!I112)),"",Actuals!I112)</f>
        <v>-195563.06</v>
      </c>
      <c r="U136" s="117" t="n">
        <f aca="false">'Reforecast Q1 2026'!I112</f>
        <v>-78090.0916666666</v>
      </c>
      <c r="V136" s="117" t="n">
        <f aca="false">IF(T136="","",T136-U136)</f>
        <v>-117472.968333333</v>
      </c>
      <c r="W136" s="117" t="n">
        <f aca="false">IF(OR(8&gt;$B$27,ISBLANK(Actuals!J112)),"",Actuals!J112)</f>
        <v>-183480.39</v>
      </c>
      <c r="X136" s="117" t="n">
        <f aca="false">'Reforecast Q1 2026'!J112</f>
        <v>-78090.0916666666</v>
      </c>
      <c r="Y136" s="117" t="n">
        <f aca="false">IF(W136="","",W136-X136)</f>
        <v>-105390.298333333</v>
      </c>
      <c r="Z136" s="117" t="str">
        <f aca="false">IF(OR(9&gt;$B$27,ISBLANK(Actuals!K112)),"",Actuals!K112)</f>
        <v/>
      </c>
      <c r="AA136" s="117" t="n">
        <f aca="false">'Reforecast Q1 2026'!K112</f>
        <v>-78090.0916666666</v>
      </c>
      <c r="AB136" s="117" t="str">
        <f aca="false">IF(Z136="","",Z136-AA136)</f>
        <v/>
      </c>
      <c r="AC136" s="117" t="str">
        <f aca="false">IF(OR(10&gt;$B$27,ISBLANK(Actuals!L112)),"",Actuals!L112)</f>
        <v/>
      </c>
      <c r="AD136" s="117" t="n">
        <f aca="false">'Reforecast Q1 2026'!L112</f>
        <v>-78090.0916666666</v>
      </c>
      <c r="AE136" s="117" t="str">
        <f aca="false">IF(AC136="","",AC136-AD136)</f>
        <v/>
      </c>
      <c r="AF136" s="117" t="str">
        <f aca="false">IF(OR(11&gt;$B$27,ISBLANK(Actuals!M112)),"",Actuals!M112)</f>
        <v/>
      </c>
      <c r="AG136" s="117" t="n">
        <f aca="false">'Reforecast Q1 2026'!M112</f>
        <v>-78090.0916666666</v>
      </c>
      <c r="AH136" s="117" t="str">
        <f aca="false">IF(AF136="","",AF136-AG136)</f>
        <v/>
      </c>
      <c r="AI136" s="117" t="str">
        <f aca="false">IF(OR(12&gt;$B$27,ISBLANK(Actuals!N112)),"",Actuals!N112)</f>
        <v/>
      </c>
      <c r="AJ136" s="117" t="n">
        <f aca="false">'Reforecast Q1 2026'!N112</f>
        <v>-78090.0916666666</v>
      </c>
      <c r="AK136" s="117" t="str">
        <f aca="false">IF(AI136="","",AI136-AJ136)</f>
        <v/>
      </c>
      <c r="AL136" s="117" t="n">
        <f aca="false">SUM(Actuals!$C112:INDEX(Actuals!$C112:$N112,$B$27))</f>
        <v>-1672913.98</v>
      </c>
      <c r="AM136" s="117" t="n">
        <f aca="false">SUM('Reforecast Q1 2026'!$C112:INDEX('Reforecast Q1 2026'!$C112:$N112,$B$27))</f>
        <v>-1018910.63833333</v>
      </c>
      <c r="AN136" s="117" t="n">
        <f aca="false">AL136-AM136</f>
        <v>-654003.341666667</v>
      </c>
    </row>
    <row r="137" customFormat="false" ht="15" hidden="false" customHeight="true" outlineLevel="0" collapsed="false">
      <c r="A137" s="110" t="s">
        <v>349</v>
      </c>
      <c r="B137" s="114" t="str">
        <f aca="false">IF(OR(1&gt;$B$27,ISBLANK(Actuals!C113)),"",Actuals!C113)</f>
        <v/>
      </c>
      <c r="C137" s="114" t="n">
        <f aca="false">'Reforecast Q1 2026'!C113</f>
        <v>0</v>
      </c>
      <c r="D137" s="114" t="str">
        <f aca="false">IF(B137="","",B137-C137)</f>
        <v/>
      </c>
      <c r="E137" s="114" t="str">
        <f aca="false">IF(OR(2&gt;$B$27,ISBLANK(Actuals!D113)),"",Actuals!D113)</f>
        <v/>
      </c>
      <c r="F137" s="114" t="n">
        <f aca="false">'Reforecast Q1 2026'!D113</f>
        <v>0</v>
      </c>
      <c r="G137" s="114" t="str">
        <f aca="false">IF(E137="","",E137-F137)</f>
        <v/>
      </c>
      <c r="H137" s="114" t="str">
        <f aca="false">IF(OR(3&gt;$B$27,ISBLANK(Actuals!E113)),"",Actuals!E113)</f>
        <v/>
      </c>
      <c r="I137" s="114" t="n">
        <f aca="false">'Reforecast Q1 2026'!E113</f>
        <v>0</v>
      </c>
      <c r="J137" s="114" t="str">
        <f aca="false">IF(H137="","",H137-I137)</f>
        <v/>
      </c>
      <c r="K137" s="114" t="str">
        <f aca="false">IF(OR(4&gt;$B$27,ISBLANK(Actuals!F113)),"",Actuals!F113)</f>
        <v/>
      </c>
      <c r="L137" s="114" t="n">
        <f aca="false">'Reforecast Q1 2026'!F113</f>
        <v>0</v>
      </c>
      <c r="M137" s="114" t="str">
        <f aca="false">IF(K137="","",K137-L137)</f>
        <v/>
      </c>
      <c r="N137" s="114" t="str">
        <f aca="false">IF(OR(5&gt;$B$27,ISBLANK(Actuals!G113)),"",Actuals!G113)</f>
        <v/>
      </c>
      <c r="O137" s="114" t="n">
        <f aca="false">'Reforecast Q1 2026'!G113</f>
        <v>0</v>
      </c>
      <c r="P137" s="114" t="str">
        <f aca="false">IF(N137="","",N137-O137)</f>
        <v/>
      </c>
      <c r="Q137" s="114" t="n">
        <f aca="false">IF(OR(6&gt;$B$27,ISBLANK(Actuals!H113)),"",Actuals!H113)</f>
        <v>53641.68</v>
      </c>
      <c r="R137" s="114" t="n">
        <f aca="false">'Reforecast Q1 2026'!H113</f>
        <v>0</v>
      </c>
      <c r="S137" s="114" t="n">
        <f aca="false">IF(Q137="","",Q137-R137)</f>
        <v>53641.68</v>
      </c>
      <c r="T137" s="114" t="n">
        <f aca="false">IF(OR(7&gt;$B$27,ISBLANK(Actuals!I113)),"",Actuals!I113)</f>
        <v>-934.88</v>
      </c>
      <c r="U137" s="114" t="n">
        <f aca="false">'Reforecast Q1 2026'!I113</f>
        <v>0</v>
      </c>
      <c r="V137" s="114" t="n">
        <f aca="false">IF(T137="","",T137-U137)</f>
        <v>-934.88</v>
      </c>
      <c r="W137" s="114" t="n">
        <f aca="false">IF(OR(8&gt;$B$27,ISBLANK(Actuals!J113)),"",Actuals!J113)</f>
        <v>-934.88</v>
      </c>
      <c r="X137" s="114" t="n">
        <f aca="false">'Reforecast Q1 2026'!J113</f>
        <v>0</v>
      </c>
      <c r="Y137" s="114" t="n">
        <f aca="false">IF(W137="","",W137-X137)</f>
        <v>-934.88</v>
      </c>
      <c r="Z137" s="114" t="str">
        <f aca="false">IF(OR(9&gt;$B$27,ISBLANK(Actuals!K113)),"",Actuals!K113)</f>
        <v/>
      </c>
      <c r="AA137" s="114" t="n">
        <f aca="false">'Reforecast Q1 2026'!K113</f>
        <v>0</v>
      </c>
      <c r="AB137" s="114" t="str">
        <f aca="false">IF(Z137="","",Z137-AA137)</f>
        <v/>
      </c>
      <c r="AC137" s="114" t="str">
        <f aca="false">IF(OR(10&gt;$B$27,ISBLANK(Actuals!L113)),"",Actuals!L113)</f>
        <v/>
      </c>
      <c r="AD137" s="114" t="n">
        <f aca="false">'Reforecast Q1 2026'!L113</f>
        <v>0</v>
      </c>
      <c r="AE137" s="114" t="str">
        <f aca="false">IF(AC137="","",AC137-AD137)</f>
        <v/>
      </c>
      <c r="AF137" s="114" t="str">
        <f aca="false">IF(OR(11&gt;$B$27,ISBLANK(Actuals!M113)),"",Actuals!M113)</f>
        <v/>
      </c>
      <c r="AG137" s="114" t="n">
        <f aca="false">'Reforecast Q1 2026'!M113</f>
        <v>0</v>
      </c>
      <c r="AH137" s="114" t="str">
        <f aca="false">IF(AF137="","",AF137-AG137)</f>
        <v/>
      </c>
      <c r="AI137" s="114" t="str">
        <f aca="false">IF(OR(12&gt;$B$27,ISBLANK(Actuals!N113)),"",Actuals!N113)</f>
        <v/>
      </c>
      <c r="AJ137" s="114" t="n">
        <f aca="false">'Reforecast Q1 2026'!N113</f>
        <v>0</v>
      </c>
      <c r="AK137" s="114" t="str">
        <f aca="false">IF(AI137="","",AI137-AJ137)</f>
        <v/>
      </c>
      <c r="AL137" s="117" t="n">
        <f aca="false">SUM(Actuals!$C113:INDEX(Actuals!$C113:$N113,$B$27))</f>
        <v>51771.92</v>
      </c>
      <c r="AM137" s="117" t="n">
        <f aca="false">SUM('Reforecast Q1 2026'!$C113:INDEX('Reforecast Q1 2026'!$C113:$N113,$B$27))</f>
        <v>0</v>
      </c>
      <c r="AN137" s="117" t="n">
        <f aca="false">AL137-AM137</f>
        <v>51771.92</v>
      </c>
    </row>
    <row r="138" customFormat="false" ht="15" hidden="false" customHeight="true" outlineLevel="0" collapsed="false">
      <c r="A138" s="116" t="s">
        <v>138</v>
      </c>
      <c r="B138" s="119" t="n">
        <f aca="false">IF(OR(1&gt;$B$27,ISBLANK(Actuals!C114)),"",Actuals!C114)</f>
        <v>-164713.14</v>
      </c>
      <c r="C138" s="119" t="n">
        <f aca="false">'Reforecast Q1 2026'!C114</f>
        <v>-162509.26</v>
      </c>
      <c r="D138" s="119" t="n">
        <f aca="false">IF(B138="","",B138-C138)</f>
        <v>-2203.88</v>
      </c>
      <c r="E138" s="119" t="n">
        <f aca="false">IF(OR(2&gt;$B$27,ISBLANK(Actuals!D114)),"",Actuals!D114)</f>
        <v>-158387.42</v>
      </c>
      <c r="F138" s="119" t="n">
        <f aca="false">'Reforecast Q1 2026'!D114</f>
        <v>-155592.54</v>
      </c>
      <c r="G138" s="119" t="n">
        <f aca="false">IF(E138="","",E138-F138)</f>
        <v>-2794.87999999998</v>
      </c>
      <c r="H138" s="119" t="n">
        <f aca="false">IF(OR(3&gt;$B$27,ISBLANK(Actuals!E114)),"",Actuals!E114)</f>
        <v>-220909.52</v>
      </c>
      <c r="I138" s="119" t="n">
        <f aca="false">'Reforecast Q1 2026'!E114</f>
        <v>-208014.64</v>
      </c>
      <c r="J138" s="119" t="n">
        <f aca="false">IF(H138="","",H138-I138)</f>
        <v>-12894.88</v>
      </c>
      <c r="K138" s="119" t="n">
        <f aca="false">IF(OR(4&gt;$B$27,ISBLANK(Actuals!F114)),"",Actuals!F114)</f>
        <v>-161790.14</v>
      </c>
      <c r="L138" s="119" t="n">
        <f aca="false">'Reforecast Q1 2026'!F114</f>
        <v>-34475.5116666666</v>
      </c>
      <c r="M138" s="119" t="n">
        <f aca="false">IF(K138="","",K138-L138)</f>
        <v>-127314.628333333</v>
      </c>
      <c r="N138" s="119" t="n">
        <f aca="false">IF(OR(5&gt;$B$27,ISBLANK(Actuals!G114)),"",Actuals!G114)</f>
        <v>-215914.94</v>
      </c>
      <c r="O138" s="119" t="n">
        <f aca="false">'Reforecast Q1 2026'!G114</f>
        <v>-34475.5116666666</v>
      </c>
      <c r="P138" s="119" t="n">
        <f aca="false">IF(N138="","",N138-O138)</f>
        <v>-181439.428333333</v>
      </c>
      <c r="Q138" s="119" t="n">
        <f aca="false">IF(OR(6&gt;$B$27,ISBLANK(Actuals!H114)),"",Actuals!H114)</f>
        <v>185173.79</v>
      </c>
      <c r="R138" s="119" t="n">
        <f aca="false">'Reforecast Q1 2026'!H114</f>
        <v>-34475.5116666666</v>
      </c>
      <c r="S138" s="119" t="n">
        <f aca="false">IF(Q138="","",Q138-R138)</f>
        <v>219649.301666667</v>
      </c>
      <c r="T138" s="119" t="n">
        <f aca="false">IF(OR(7&gt;$B$27,ISBLANK(Actuals!I114)),"",Actuals!I114)</f>
        <v>-118383.36</v>
      </c>
      <c r="U138" s="119" t="n">
        <f aca="false">'Reforecast Q1 2026'!I114</f>
        <v>-34475.5116666666</v>
      </c>
      <c r="V138" s="119" t="n">
        <f aca="false">IF(T138="","",T138-U138)</f>
        <v>-83907.8483333334</v>
      </c>
      <c r="W138" s="119" t="n">
        <f aca="false">IF(OR(8&gt;$B$27,ISBLANK(Actuals!J114)),"",Actuals!J114)</f>
        <v>-3786.69</v>
      </c>
      <c r="X138" s="119" t="n">
        <f aca="false">'Reforecast Q1 2026'!J114</f>
        <v>-34475.5116666666</v>
      </c>
      <c r="Y138" s="119" t="n">
        <f aca="false">IF(W138="","",W138-X138)</f>
        <v>30688.8216666666</v>
      </c>
      <c r="Z138" s="119" t="str">
        <f aca="false">IF(OR(9&gt;$B$27,ISBLANK(Actuals!K114)),"",Actuals!K114)</f>
        <v/>
      </c>
      <c r="AA138" s="119" t="n">
        <f aca="false">'Reforecast Q1 2026'!K114</f>
        <v>-35308.8416666666</v>
      </c>
      <c r="AB138" s="119" t="str">
        <f aca="false">IF(Z138="","",Z138-AA138)</f>
        <v/>
      </c>
      <c r="AC138" s="119" t="str">
        <f aca="false">IF(OR(10&gt;$B$27,ISBLANK(Actuals!L114)),"",Actuals!L114)</f>
        <v/>
      </c>
      <c r="AD138" s="119" t="n">
        <f aca="false">'Reforecast Q1 2026'!L114</f>
        <v>-35308.8416666666</v>
      </c>
      <c r="AE138" s="119" t="str">
        <f aca="false">IF(AC138="","",AC138-AD138)</f>
        <v/>
      </c>
      <c r="AF138" s="119" t="str">
        <f aca="false">IF(OR(11&gt;$B$27,ISBLANK(Actuals!M114)),"",Actuals!M114)</f>
        <v/>
      </c>
      <c r="AG138" s="119" t="n">
        <f aca="false">'Reforecast Q1 2026'!M114</f>
        <v>-44683.8416666666</v>
      </c>
      <c r="AH138" s="119" t="str">
        <f aca="false">IF(AF138="","",AF138-AG138)</f>
        <v/>
      </c>
      <c r="AI138" s="119" t="str">
        <f aca="false">IF(OR(12&gt;$B$27,ISBLANK(Actuals!N114)),"",Actuals!N114)</f>
        <v/>
      </c>
      <c r="AJ138" s="119" t="n">
        <f aca="false">'Reforecast Q1 2026'!N114</f>
        <v>-44683.8416666666</v>
      </c>
      <c r="AK138" s="119" t="str">
        <f aca="false">IF(AI138="","",AI138-AJ138)</f>
        <v/>
      </c>
      <c r="AL138" s="119" t="n">
        <f aca="false">SUM(Actuals!$C114:INDEX(Actuals!$C114:$N114,$B$27))</f>
        <v>-858711.42</v>
      </c>
      <c r="AM138" s="119" t="n">
        <f aca="false">SUM('Reforecast Q1 2026'!$C114:INDEX('Reforecast Q1 2026'!$C114:$N114,$B$27))</f>
        <v>-698493.998333333</v>
      </c>
      <c r="AN138" s="119" t="n">
        <f aca="false">AL138-AM138</f>
        <v>-160217.421666667</v>
      </c>
    </row>
    <row r="140" customFormat="false" ht="15" hidden="false" customHeight="true" outlineLevel="0" collapsed="false">
      <c r="A140" s="113" t="s">
        <v>443</v>
      </c>
    </row>
    <row r="141" customFormat="false" ht="15" hidden="false" customHeight="true" outlineLevel="0" collapsed="false">
      <c r="A141" s="110" t="s">
        <v>444</v>
      </c>
      <c r="B141" s="117" t="n">
        <f aca="false">IF(B81="","",B81+B138)</f>
        <v>-206557.78</v>
      </c>
      <c r="C141" s="117" t="n">
        <f aca="false">C81+C138</f>
        <v>-202748.04</v>
      </c>
      <c r="D141" s="117" t="n">
        <f aca="false">IF(B141="","",B141-C141)</f>
        <v>-3809.73999999999</v>
      </c>
      <c r="E141" s="117" t="n">
        <f aca="false">IF(E81="","",E81+E138)</f>
        <v>-469696.73</v>
      </c>
      <c r="F141" s="117" t="n">
        <f aca="false">F81+F138</f>
        <v>-465294.64</v>
      </c>
      <c r="G141" s="117" t="n">
        <f aca="false">IF(E141="","",E141-F141)</f>
        <v>-4402.09000000003</v>
      </c>
      <c r="H141" s="117" t="n">
        <f aca="false">IF(H81="","",H81+H138)</f>
        <v>21337.2600000002</v>
      </c>
      <c r="I141" s="117" t="n">
        <f aca="false">I81+I138</f>
        <v>35842.05</v>
      </c>
      <c r="J141" s="117" t="n">
        <f aca="false">IF(H141="","",H141-I141)</f>
        <v>-14504.7899999997</v>
      </c>
      <c r="K141" s="117" t="n">
        <f aca="false">IF(K81="","",K81+K138)</f>
        <v>212136.55</v>
      </c>
      <c r="L141" s="117" t="n">
        <f aca="false">L81+L138</f>
        <v>42717.9962542703</v>
      </c>
      <c r="M141" s="117" t="n">
        <f aca="false">IF(K141="","",K141-L141)</f>
        <v>169418.55374573</v>
      </c>
      <c r="N141" s="117" t="n">
        <f aca="false">IF(N81="","",N81+N138)</f>
        <v>-188293.09</v>
      </c>
      <c r="O141" s="117" t="n">
        <f aca="false">O81+O138</f>
        <v>-29679.9204124067</v>
      </c>
      <c r="P141" s="117" t="n">
        <f aca="false">IF(N141="","",N141-O141)</f>
        <v>-158613.169587594</v>
      </c>
      <c r="Q141" s="117" t="n">
        <f aca="false">IF(Q81="","",Q81+Q138)</f>
        <v>503071.030000001</v>
      </c>
      <c r="R141" s="117" t="n">
        <f aca="false">R81+R138</f>
        <v>-59054.9204124062</v>
      </c>
      <c r="S141" s="117" t="n">
        <f aca="false">IF(Q141="","",Q141-R141)</f>
        <v>562125.950412407</v>
      </c>
      <c r="T141" s="117" t="n">
        <f aca="false">IF(T81="","",T81+T138)</f>
        <v>1326754.58</v>
      </c>
      <c r="U141" s="117" t="n">
        <f aca="false">U81+U138</f>
        <v>444413.241121246</v>
      </c>
      <c r="V141" s="117" t="n">
        <f aca="false">IF(T141="","",T141-U141)</f>
        <v>882341.338878754</v>
      </c>
      <c r="W141" s="117" t="n">
        <f aca="false">IF(W81="","",W81+W138)</f>
        <v>171785.53</v>
      </c>
      <c r="X141" s="117" t="n">
        <f aca="false">X81+X138</f>
        <v>137353.036321246</v>
      </c>
      <c r="Y141" s="117" t="n">
        <f aca="false">IF(W141="","",W141-X141)</f>
        <v>34432.4936787533</v>
      </c>
      <c r="Z141" s="117" t="str">
        <f aca="false">IF(Z81="","",Z81+Z138)</f>
        <v/>
      </c>
      <c r="AA141" s="117" t="n">
        <f aca="false">AA81+AA138</f>
        <v>136519.706321246</v>
      </c>
      <c r="AB141" s="117" t="str">
        <f aca="false">IF(Z141="","",Z141-AA141)</f>
        <v/>
      </c>
      <c r="AC141" s="117" t="str">
        <f aca="false">IF(AC81="","",AC81+AC138)</f>
        <v/>
      </c>
      <c r="AD141" s="117" t="n">
        <f aca="false">AD81+AD138</f>
        <v>441570.274956859</v>
      </c>
      <c r="AE141" s="117" t="str">
        <f aca="false">IF(AC141="","",AC141-AD141)</f>
        <v/>
      </c>
      <c r="AF141" s="117" t="str">
        <f aca="false">IF(AF81="","",AF81+AF138)</f>
        <v/>
      </c>
      <c r="AG141" s="117" t="n">
        <f aca="false">AG81+AG138</f>
        <v>463196.20896424</v>
      </c>
      <c r="AH141" s="117" t="str">
        <f aca="false">IF(AF141="","",AF141-AG141)</f>
        <v/>
      </c>
      <c r="AI141" s="117" t="str">
        <f aca="false">IF(AI81="","",AI81+AI138)</f>
        <v/>
      </c>
      <c r="AJ141" s="117" t="n">
        <f aca="false">AJ81+AJ138</f>
        <v>210821.12487815</v>
      </c>
      <c r="AK141" s="117" t="str">
        <f aca="false">IF(AI141="","",AI141-AJ141)</f>
        <v/>
      </c>
      <c r="AL141" s="117" t="n">
        <f aca="false">AL81+AL138</f>
        <v>1370537.35</v>
      </c>
      <c r="AM141" s="117" t="n">
        <f aca="false">AM81+AM138</f>
        <v>-96451.1971280497</v>
      </c>
      <c r="AN141" s="117" t="n">
        <f aca="false">AL141-AM141</f>
        <v>1466988.54712805</v>
      </c>
    </row>
    <row r="142" customFormat="false" ht="15" hidden="false" customHeight="true" outlineLevel="0" collapsed="false">
      <c r="A142" s="123" t="s">
        <v>446</v>
      </c>
      <c r="B142" s="114" t="n">
        <f aca="false">IF(B141="","",Model!B302-B141)</f>
        <v>0</v>
      </c>
      <c r="C142" s="114" t="s">
        <v>447</v>
      </c>
      <c r="D142" s="114" t="n">
        <f aca="false">IF(B142="","",B142-C142)</f>
        <v>0</v>
      </c>
      <c r="E142" s="114" t="n">
        <f aca="false">IF(E141="","",Model!C302-E141)</f>
        <v>0</v>
      </c>
      <c r="F142" s="114" t="s">
        <v>447</v>
      </c>
      <c r="G142" s="114" t="n">
        <f aca="false">IF(E142="","",E142-F142)</f>
        <v>0</v>
      </c>
      <c r="H142" s="114" t="n">
        <f aca="false">IF(H141="","",Model!D302-H141)</f>
        <v>-2.3283064365387E-010</v>
      </c>
      <c r="I142" s="114" t="s">
        <v>447</v>
      </c>
      <c r="J142" s="114" t="n">
        <f aca="false">IF(H142="","",H142-I142)</f>
        <v>-2.3283064365387E-010</v>
      </c>
      <c r="K142" s="114" t="n">
        <f aca="false">IF(K141="","",Model!E302-K141)</f>
        <v>0</v>
      </c>
      <c r="L142" s="114" t="s">
        <v>447</v>
      </c>
      <c r="M142" s="114" t="n">
        <f aca="false">IF(K142="","",K142-L142)</f>
        <v>0</v>
      </c>
      <c r="N142" s="114" t="n">
        <f aca="false">IF(N141="","",Model!F302-N141)</f>
        <v>0</v>
      </c>
      <c r="O142" s="114" t="s">
        <v>447</v>
      </c>
      <c r="P142" s="114" t="n">
        <f aca="false">IF(N142="","",N142-O142)</f>
        <v>0</v>
      </c>
      <c r="Q142" s="114" t="n">
        <f aca="false">IF(Q141="","",Model!G302-Q141)</f>
        <v>-299000.000000001</v>
      </c>
      <c r="R142" s="114" t="s">
        <v>447</v>
      </c>
      <c r="S142" s="114" t="n">
        <f aca="false">IF(Q142="","",Q142-R142)</f>
        <v>-299000.000000001</v>
      </c>
      <c r="T142" s="114" t="n">
        <f aca="false">IF(T141="","",Model!H302-T141)</f>
        <v>0</v>
      </c>
      <c r="U142" s="114" t="s">
        <v>447</v>
      </c>
      <c r="V142" s="114" t="n">
        <f aca="false">IF(T142="","",T142-U142)</f>
        <v>0</v>
      </c>
      <c r="W142" s="114" t="n">
        <f aca="false">IF(W141="","",Model!I302-W141)</f>
        <v>-692876.895125</v>
      </c>
      <c r="X142" s="114" t="s">
        <v>447</v>
      </c>
      <c r="Y142" s="114" t="n">
        <f aca="false">IF(W142="","",W142-X142)</f>
        <v>-692876.895125</v>
      </c>
      <c r="Z142" s="114" t="str">
        <f aca="false">IF(Z141="","",Model!J302-Z141)</f>
        <v/>
      </c>
      <c r="AA142" s="114" t="s">
        <v>447</v>
      </c>
      <c r="AB142" s="114" t="str">
        <f aca="false">IF(Z142="","",Z142-AA142)</f>
        <v/>
      </c>
      <c r="AC142" s="114" t="str">
        <f aca="false">IF(AC141="","",Model!K302-AC141)</f>
        <v/>
      </c>
      <c r="AD142" s="114" t="s">
        <v>447</v>
      </c>
      <c r="AE142" s="114" t="str">
        <f aca="false">IF(AC142="","",AC142-AD142)</f>
        <v/>
      </c>
      <c r="AF142" s="114" t="str">
        <f aca="false">IF(AF141="","",Model!L302-AF141)</f>
        <v/>
      </c>
      <c r="AG142" s="114" t="s">
        <v>447</v>
      </c>
      <c r="AH142" s="114" t="str">
        <f aca="false">IF(AF142="","",AF142-AG142)</f>
        <v/>
      </c>
      <c r="AI142" s="114" t="str">
        <f aca="false">IF(AI141="","",Model!M302-AI141)</f>
        <v/>
      </c>
      <c r="AJ142" s="114" t="s">
        <v>447</v>
      </c>
      <c r="AK142" s="114" t="str">
        <f aca="false">IF(AI142="","",AI142-AJ142)</f>
        <v/>
      </c>
      <c r="AL142" s="117" t="n">
        <f aca="false">SUM(Model!$B302:INDEX(Model!$B302:$M302,$B$27))-AL141</f>
        <v>-991876.895125001</v>
      </c>
      <c r="AM142" s="117" t="s">
        <v>447</v>
      </c>
      <c r="AN142" s="117" t="n">
        <f aca="false">AL142-AM142</f>
        <v>-991876.895125001</v>
      </c>
    </row>
    <row r="143" customFormat="false" ht="15" hidden="false" customHeight="true" outlineLevel="0" collapsed="false">
      <c r="A143" s="118" t="s">
        <v>449</v>
      </c>
      <c r="B143" s="119" t="n">
        <f aca="false">IF(B141="","",B141+B142)</f>
        <v>-206557.78</v>
      </c>
      <c r="C143" s="119" t="n">
        <f aca="false">C141</f>
        <v>-202748.04</v>
      </c>
      <c r="D143" s="119" t="n">
        <f aca="false">IF(B143="","",B143-C143)</f>
        <v>-3809.73999999999</v>
      </c>
      <c r="E143" s="119" t="n">
        <f aca="false">IF(E141="","",E141+E142)</f>
        <v>-469696.73</v>
      </c>
      <c r="F143" s="119" t="n">
        <f aca="false">F141</f>
        <v>-465294.64</v>
      </c>
      <c r="G143" s="119" t="n">
        <f aca="false">IF(E143="","",E143-F143)</f>
        <v>-4402.09000000003</v>
      </c>
      <c r="H143" s="119" t="n">
        <f aca="false">IF(H141="","",H141+H142)</f>
        <v>21337.26</v>
      </c>
      <c r="I143" s="119" t="n">
        <f aca="false">I141</f>
        <v>35842.05</v>
      </c>
      <c r="J143" s="119" t="n">
        <f aca="false">IF(H143="","",H143-I143)</f>
        <v>-14504.79</v>
      </c>
      <c r="K143" s="119" t="n">
        <f aca="false">IF(K141="","",K141+K142)</f>
        <v>212136.55</v>
      </c>
      <c r="L143" s="119" t="n">
        <f aca="false">L141</f>
        <v>42717.9962542703</v>
      </c>
      <c r="M143" s="119" t="n">
        <f aca="false">IF(K143="","",K143-L143)</f>
        <v>169418.55374573</v>
      </c>
      <c r="N143" s="119" t="n">
        <f aca="false">IF(N141="","",N141+N142)</f>
        <v>-188293.09</v>
      </c>
      <c r="O143" s="119" t="n">
        <f aca="false">O141</f>
        <v>-29679.9204124067</v>
      </c>
      <c r="P143" s="119" t="n">
        <f aca="false">IF(N143="","",N143-O143)</f>
        <v>-158613.169587594</v>
      </c>
      <c r="Q143" s="119" t="n">
        <f aca="false">IF(Q141="","",Q141+Q142)</f>
        <v>204071.03</v>
      </c>
      <c r="R143" s="119" t="n">
        <f aca="false">R141</f>
        <v>-59054.9204124062</v>
      </c>
      <c r="S143" s="119" t="n">
        <f aca="false">IF(Q143="","",Q143-R143)</f>
        <v>263125.950412406</v>
      </c>
      <c r="T143" s="119" t="n">
        <f aca="false">IF(T141="","",T141+T142)</f>
        <v>1326754.58</v>
      </c>
      <c r="U143" s="119" t="n">
        <f aca="false">U141</f>
        <v>444413.241121246</v>
      </c>
      <c r="V143" s="119" t="n">
        <f aca="false">IF(T143="","",T143-U143)</f>
        <v>882341.338878754</v>
      </c>
      <c r="W143" s="119" t="n">
        <f aca="false">IF(W141="","",W141+W142)</f>
        <v>-521091.365125</v>
      </c>
      <c r="X143" s="119" t="n">
        <f aca="false">X141</f>
        <v>137353.036321246</v>
      </c>
      <c r="Y143" s="119" t="n">
        <f aca="false">IF(W143="","",W143-X143)</f>
        <v>-658444.401446247</v>
      </c>
      <c r="Z143" s="119" t="str">
        <f aca="false">IF(Z141="","",Z141+Z142)</f>
        <v/>
      </c>
      <c r="AA143" s="119" t="n">
        <f aca="false">AA141</f>
        <v>136519.706321246</v>
      </c>
      <c r="AB143" s="119" t="str">
        <f aca="false">IF(Z143="","",Z143-AA143)</f>
        <v/>
      </c>
      <c r="AC143" s="119" t="str">
        <f aca="false">IF(AC141="","",AC141+AC142)</f>
        <v/>
      </c>
      <c r="AD143" s="119" t="n">
        <f aca="false">AD141</f>
        <v>441570.274956859</v>
      </c>
      <c r="AE143" s="119" t="str">
        <f aca="false">IF(AC143="","",AC143-AD143)</f>
        <v/>
      </c>
      <c r="AF143" s="119" t="str">
        <f aca="false">IF(AF141="","",AF141+AF142)</f>
        <v/>
      </c>
      <c r="AG143" s="119" t="n">
        <f aca="false">AG141</f>
        <v>463196.20896424</v>
      </c>
      <c r="AH143" s="119" t="str">
        <f aca="false">IF(AF143="","",AF143-AG143)</f>
        <v/>
      </c>
      <c r="AI143" s="119" t="str">
        <f aca="false">IF(AI141="","",AI141+AI142)</f>
        <v/>
      </c>
      <c r="AJ143" s="119" t="n">
        <f aca="false">AJ141</f>
        <v>210821.12487815</v>
      </c>
      <c r="AK143" s="119" t="str">
        <f aca="false">IF(AI143="","",AI143-AJ143)</f>
        <v/>
      </c>
      <c r="AL143" s="119" t="n">
        <f aca="false">AL141+AL142</f>
        <v>378660.454875001</v>
      </c>
      <c r="AM143" s="119" t="n">
        <f aca="false">AM141</f>
        <v>-96451.1971280497</v>
      </c>
      <c r="AN143" s="119" t="n">
        <f aca="false">AL143-AM143</f>
        <v>475111.652003051</v>
      </c>
    </row>
  </sheetData>
  <mergeCells count="13">
    <mergeCell ref="B28:D28"/>
    <mergeCell ref="E28:G28"/>
    <mergeCell ref="H28:J28"/>
    <mergeCell ref="K28:M28"/>
    <mergeCell ref="N28:P28"/>
    <mergeCell ref="Q28:S28"/>
    <mergeCell ref="T28:V28"/>
    <mergeCell ref="W28:Y28"/>
    <mergeCell ref="Z28:AB28"/>
    <mergeCell ref="AC28:AE28"/>
    <mergeCell ref="AF28:AH28"/>
    <mergeCell ref="AI28:AK28"/>
    <mergeCell ref="AL28:AN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AZ109"/>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109375" defaultRowHeight="13.5" zeroHeight="false" outlineLevelRow="0" outlineLevelCol="0"/>
  <cols>
    <col collapsed="false" customWidth="true" hidden="false" outlineLevel="0" max="1" min="1" style="1" width="38"/>
    <col collapsed="false" customWidth="true" hidden="false" outlineLevel="0" max="52" min="2" style="1" width="12.42"/>
  </cols>
  <sheetData>
    <row r="1" customFormat="false" ht="17.25" hidden="false" customHeight="true" outlineLevel="0" collapsed="false">
      <c r="A1" s="94" t="s">
        <v>481</v>
      </c>
    </row>
    <row r="2" customFormat="false" ht="15" hidden="false" customHeight="true" outlineLevel="0" collapsed="false">
      <c r="A2" s="72" t="s">
        <v>482</v>
      </c>
    </row>
    <row r="3" customFormat="false" ht="15" hidden="false" customHeight="true" outlineLevel="0" collapsed="false">
      <c r="A3" s="1" t="s">
        <v>385</v>
      </c>
      <c r="B3" s="1" t="n">
        <f aca="false">SUMPRODUCT(--(Actuals!$C$21:$N$21&lt;&gt;""))</f>
        <v>8</v>
      </c>
    </row>
    <row r="4" customFormat="false" ht="15" hidden="false" customHeight="true" outlineLevel="0" collapsed="false">
      <c r="B4" s="128" t="s">
        <v>483</v>
      </c>
      <c r="C4" s="128"/>
      <c r="D4" s="128"/>
      <c r="E4" s="128"/>
      <c r="F4" s="128" t="s">
        <v>484</v>
      </c>
      <c r="G4" s="128"/>
      <c r="H4" s="128"/>
      <c r="I4" s="128"/>
      <c r="J4" s="128" t="s">
        <v>485</v>
      </c>
      <c r="K4" s="128"/>
      <c r="L4" s="128"/>
      <c r="M4" s="128"/>
      <c r="N4" s="128" t="s">
        <v>486</v>
      </c>
      <c r="O4" s="128"/>
      <c r="P4" s="128"/>
      <c r="Q4" s="128"/>
      <c r="R4" s="128" t="s">
        <v>487</v>
      </c>
      <c r="S4" s="128"/>
      <c r="T4" s="128"/>
      <c r="U4" s="128"/>
      <c r="V4" s="128" t="s">
        <v>488</v>
      </c>
      <c r="W4" s="128"/>
      <c r="X4" s="128"/>
      <c r="Y4" s="128"/>
      <c r="Z4" s="128" t="s">
        <v>489</v>
      </c>
      <c r="AA4" s="128"/>
      <c r="AB4" s="128"/>
      <c r="AC4" s="128"/>
      <c r="AD4" s="128" t="s">
        <v>490</v>
      </c>
      <c r="AE4" s="128"/>
      <c r="AF4" s="128"/>
      <c r="AG4" s="128"/>
      <c r="AH4" s="128" t="s">
        <v>491</v>
      </c>
      <c r="AI4" s="128"/>
      <c r="AJ4" s="128"/>
      <c r="AK4" s="128"/>
      <c r="AL4" s="128" t="s">
        <v>492</v>
      </c>
      <c r="AM4" s="128"/>
      <c r="AN4" s="128"/>
      <c r="AO4" s="128"/>
      <c r="AP4" s="128" t="s">
        <v>493</v>
      </c>
      <c r="AQ4" s="128"/>
      <c r="AR4" s="128"/>
      <c r="AS4" s="128"/>
      <c r="AT4" s="128" t="s">
        <v>494</v>
      </c>
      <c r="AU4" s="128"/>
      <c r="AV4" s="128"/>
      <c r="AW4" s="128"/>
      <c r="AX4" s="129" t="s">
        <v>495</v>
      </c>
      <c r="AY4" s="129"/>
      <c r="AZ4" s="129"/>
    </row>
    <row r="5" customFormat="false" ht="15" hidden="false" customHeight="true" outlineLevel="0" collapsed="false">
      <c r="A5" s="130" t="s">
        <v>387</v>
      </c>
      <c r="B5" s="130" t="s">
        <v>389</v>
      </c>
      <c r="C5" s="130" t="s">
        <v>388</v>
      </c>
      <c r="D5" s="130" t="s">
        <v>496</v>
      </c>
      <c r="E5" s="130" t="s">
        <v>497</v>
      </c>
      <c r="F5" s="130" t="s">
        <v>389</v>
      </c>
      <c r="G5" s="130" t="s">
        <v>388</v>
      </c>
      <c r="H5" s="130" t="s">
        <v>496</v>
      </c>
      <c r="I5" s="130" t="s">
        <v>497</v>
      </c>
      <c r="J5" s="130" t="s">
        <v>389</v>
      </c>
      <c r="K5" s="130" t="s">
        <v>388</v>
      </c>
      <c r="L5" s="130" t="s">
        <v>496</v>
      </c>
      <c r="M5" s="130" t="s">
        <v>497</v>
      </c>
      <c r="N5" s="130" t="s">
        <v>389</v>
      </c>
      <c r="O5" s="130" t="s">
        <v>388</v>
      </c>
      <c r="P5" s="130" t="s">
        <v>496</v>
      </c>
      <c r="Q5" s="130" t="s">
        <v>497</v>
      </c>
      <c r="R5" s="130" t="s">
        <v>389</v>
      </c>
      <c r="S5" s="130" t="s">
        <v>388</v>
      </c>
      <c r="T5" s="130" t="s">
        <v>496</v>
      </c>
      <c r="U5" s="130" t="s">
        <v>497</v>
      </c>
      <c r="V5" s="130" t="s">
        <v>389</v>
      </c>
      <c r="W5" s="130" t="s">
        <v>388</v>
      </c>
      <c r="X5" s="130" t="s">
        <v>496</v>
      </c>
      <c r="Y5" s="130" t="s">
        <v>497</v>
      </c>
      <c r="Z5" s="130" t="s">
        <v>389</v>
      </c>
      <c r="AA5" s="130" t="s">
        <v>388</v>
      </c>
      <c r="AB5" s="130" t="s">
        <v>496</v>
      </c>
      <c r="AC5" s="130" t="s">
        <v>497</v>
      </c>
      <c r="AD5" s="130" t="s">
        <v>389</v>
      </c>
      <c r="AE5" s="130" t="s">
        <v>388</v>
      </c>
      <c r="AF5" s="130" t="s">
        <v>496</v>
      </c>
      <c r="AG5" s="130" t="s">
        <v>497</v>
      </c>
      <c r="AH5" s="130" t="s">
        <v>389</v>
      </c>
      <c r="AI5" s="130" t="s">
        <v>388</v>
      </c>
      <c r="AJ5" s="130" t="s">
        <v>496</v>
      </c>
      <c r="AK5" s="130" t="s">
        <v>497</v>
      </c>
      <c r="AL5" s="130" t="s">
        <v>389</v>
      </c>
      <c r="AM5" s="130" t="s">
        <v>388</v>
      </c>
      <c r="AN5" s="130" t="s">
        <v>496</v>
      </c>
      <c r="AO5" s="130" t="s">
        <v>497</v>
      </c>
      <c r="AP5" s="130" t="s">
        <v>389</v>
      </c>
      <c r="AQ5" s="130" t="s">
        <v>388</v>
      </c>
      <c r="AR5" s="130" t="s">
        <v>496</v>
      </c>
      <c r="AS5" s="130" t="s">
        <v>497</v>
      </c>
      <c r="AT5" s="130" t="s">
        <v>389</v>
      </c>
      <c r="AU5" s="130" t="s">
        <v>388</v>
      </c>
      <c r="AV5" s="130" t="s">
        <v>496</v>
      </c>
      <c r="AW5" s="130" t="s">
        <v>497</v>
      </c>
      <c r="AX5" s="131" t="s">
        <v>358</v>
      </c>
      <c r="AY5" s="131" t="s">
        <v>359</v>
      </c>
      <c r="AZ5" s="131" t="s">
        <v>498</v>
      </c>
    </row>
    <row r="6" customFormat="false" ht="15" hidden="false" customHeight="true" outlineLevel="0" collapsed="false">
      <c r="A6" s="132" t="s">
        <v>4</v>
      </c>
      <c r="B6" s="133" t="n">
        <f aca="false">Budget!C8</f>
        <v>189686.63</v>
      </c>
      <c r="C6" s="133" t="n">
        <f aca="false">IF(OR(1&gt;$B$3,ISBLANK(Actuals!C8)),"",Actuals!C8)</f>
        <v>116367.35</v>
      </c>
      <c r="D6" s="134" t="n">
        <f aca="false">IF(OR(1&gt;$B$3,ISBLANK(Actuals!C8)),"",Budget!C8-Actuals!C8)</f>
        <v>73319.28</v>
      </c>
      <c r="E6" s="134" t="n">
        <f aca="false">IFERROR(IF(OR(1&gt;$B$3,ISBLANK(Actuals!C8)),"",(Budget!C8-Actuals!C8)/ABS(Budget!C8)),"")</f>
        <v>0.38652845485209</v>
      </c>
      <c r="F6" s="133" t="n">
        <f aca="false">Budget!D8</f>
        <v>189686.63</v>
      </c>
      <c r="G6" s="133" t="n">
        <f aca="false">IF(OR(2&gt;$B$3,ISBLANK(Actuals!D8)),"",Actuals!D8)</f>
        <v>138804.22</v>
      </c>
      <c r="H6" s="134" t="n">
        <f aca="false">IF(OR(2&gt;$B$3,ISBLANK(Actuals!D8)),"",Budget!D8-Actuals!D8)</f>
        <v>50882.41</v>
      </c>
      <c r="I6" s="134" t="n">
        <f aca="false">IFERROR(IF(OR(2&gt;$B$3,ISBLANK(Actuals!D8)),"",(Budget!D8-Actuals!D8)/ABS(Budget!D8)),"")</f>
        <v>0.268244577912529</v>
      </c>
      <c r="J6" s="133" t="n">
        <f aca="false">Budget!E8</f>
        <v>189686.63</v>
      </c>
      <c r="K6" s="133" t="n">
        <f aca="false">IF(OR(3&gt;$B$3,ISBLANK(Actuals!E8)),"",Actuals!E8)</f>
        <v>219366.88</v>
      </c>
      <c r="L6" s="134" t="n">
        <f aca="false">IF(OR(3&gt;$B$3,ISBLANK(Actuals!E8)),"",Budget!E8-Actuals!E8)</f>
        <v>-29680.25</v>
      </c>
      <c r="M6" s="134" t="n">
        <f aca="false">IFERROR(IF(OR(3&gt;$B$3,ISBLANK(Actuals!E8)),"",(Budget!E8-Actuals!E8)/ABS(Budget!E8)),"")</f>
        <v>-0.156469910399062</v>
      </c>
      <c r="N6" s="133" t="n">
        <f aca="false">Budget!F8</f>
        <v>189686.63</v>
      </c>
      <c r="O6" s="133" t="n">
        <f aca="false">IF(OR(4&gt;$B$3,ISBLANK(Actuals!F8)),"",Actuals!F8)</f>
        <v>212079.14</v>
      </c>
      <c r="P6" s="134" t="n">
        <f aca="false">IF(OR(4&gt;$B$3,ISBLANK(Actuals!F8)),"",Budget!F8-Actuals!F8)</f>
        <v>-22392.51</v>
      </c>
      <c r="Q6" s="134" t="n">
        <f aca="false">IFERROR(IF(OR(4&gt;$B$3,ISBLANK(Actuals!F8)),"",(Budget!F8-Actuals!F8)/ABS(Budget!F8)),"")</f>
        <v>-0.118050017547362</v>
      </c>
      <c r="R6" s="133" t="n">
        <f aca="false">Budget!G8</f>
        <v>293206.86</v>
      </c>
      <c r="S6" s="133" t="n">
        <f aca="false">IF(OR(5&gt;$B$3,ISBLANK(Actuals!G8)),"",Actuals!G8)</f>
        <v>267726.14</v>
      </c>
      <c r="T6" s="134" t="n">
        <f aca="false">IF(OR(5&gt;$B$3,ISBLANK(Actuals!G8)),"",Budget!G8-Actuals!G8)</f>
        <v>25480.72</v>
      </c>
      <c r="U6" s="134" t="n">
        <f aca="false">IFERROR(IF(OR(5&gt;$B$3,ISBLANK(Actuals!G8)),"",(Budget!G8-Actuals!G8)/ABS(Budget!G8)),"")</f>
        <v>0.0869035601690901</v>
      </c>
      <c r="V6" s="133" t="n">
        <f aca="false">Budget!H8</f>
        <v>293206.86</v>
      </c>
      <c r="W6" s="133" t="n">
        <f aca="false">IF(OR(6&gt;$B$3,ISBLANK(Actuals!H8)),"",Actuals!H8)</f>
        <v>374773.89</v>
      </c>
      <c r="X6" s="134" t="n">
        <f aca="false">IF(OR(6&gt;$B$3,ISBLANK(Actuals!H8)),"",Budget!H8-Actuals!H8)</f>
        <v>-81567.03</v>
      </c>
      <c r="Y6" s="134" t="n">
        <f aca="false">IFERROR(IF(OR(6&gt;$B$3,ISBLANK(Actuals!H8)),"",(Budget!H8-Actuals!H8)/ABS(Budget!H8)),"")</f>
        <v>-0.27818936432797</v>
      </c>
      <c r="Z6" s="133" t="n">
        <f aca="false">Budget!I8</f>
        <v>293206.86</v>
      </c>
      <c r="AA6" s="133" t="n">
        <f aca="false">IF(OR(7&gt;$B$3,ISBLANK(Actuals!I8)),"",Actuals!I8)</f>
        <v>344954.34</v>
      </c>
      <c r="AB6" s="134" t="n">
        <f aca="false">IF(OR(7&gt;$B$3,ISBLANK(Actuals!I8)),"",Budget!I8-Actuals!I8)</f>
        <v>-51747.48</v>
      </c>
      <c r="AC6" s="134" t="n">
        <f aca="false">IFERROR(IF(OR(7&gt;$B$3,ISBLANK(Actuals!I8)),"",(Budget!I8-Actuals!I8)/ABS(Budget!I8)),"")</f>
        <v>-0.176487958023902</v>
      </c>
      <c r="AD6" s="133" t="n">
        <f aca="false">Budget!J8</f>
        <v>293206.86</v>
      </c>
      <c r="AE6" s="133" t="n">
        <f aca="false">IF(OR(8&gt;$B$3,ISBLANK(Actuals!J8)),"",Actuals!J8)</f>
        <v>470819.03</v>
      </c>
      <c r="AF6" s="134" t="n">
        <f aca="false">IF(OR(8&gt;$B$3,ISBLANK(Actuals!J8)),"",Budget!J8-Actuals!J8)</f>
        <v>-177612.17</v>
      </c>
      <c r="AG6" s="134" t="n">
        <f aca="false">IFERROR(IF(OR(8&gt;$B$3,ISBLANK(Actuals!J8)),"",(Budget!J8-Actuals!J8)/ABS(Budget!J8)),"")</f>
        <v>-0.605757211819669</v>
      </c>
      <c r="AH6" s="133" t="n">
        <f aca="false">Budget!K8</f>
        <v>293206.86</v>
      </c>
      <c r="AI6" s="133" t="str">
        <f aca="false">IF(OR(9&gt;$B$3,ISBLANK(Actuals!K8)),"",Actuals!K8)</f>
        <v/>
      </c>
      <c r="AJ6" s="134" t="str">
        <f aca="false">IF(OR(9&gt;$B$3,ISBLANK(Actuals!K8)),"",Budget!K8-Actuals!K8)</f>
        <v/>
      </c>
      <c r="AK6" s="134" t="str">
        <f aca="false">IFERROR(IF(OR(9&gt;$B$3,ISBLANK(Actuals!K8)),"",(Budget!K8-Actuals!K8)/ABS(Budget!K8)),"")</f>
        <v/>
      </c>
      <c r="AL6" s="133" t="n">
        <f aca="false">Budget!L8</f>
        <v>293206.86</v>
      </c>
      <c r="AM6" s="133" t="str">
        <f aca="false">IF(OR(10&gt;$B$3,ISBLANK(Actuals!L8)),"",Actuals!L8)</f>
        <v/>
      </c>
      <c r="AN6" s="134" t="str">
        <f aca="false">IF(OR(10&gt;$B$3,ISBLANK(Actuals!L8)),"",Budget!L8-Actuals!L8)</f>
        <v/>
      </c>
      <c r="AO6" s="134" t="str">
        <f aca="false">IFERROR(IF(OR(10&gt;$B$3,ISBLANK(Actuals!L8)),"",(Budget!L8-Actuals!L8)/ABS(Budget!L8)),"")</f>
        <v/>
      </c>
      <c r="AP6" s="133" t="n">
        <f aca="false">Budget!M8</f>
        <v>293206.86</v>
      </c>
      <c r="AQ6" s="133" t="str">
        <f aca="false">IF(OR(11&gt;$B$3,ISBLANK(Actuals!M8)),"",Actuals!M8)</f>
        <v/>
      </c>
      <c r="AR6" s="134" t="str">
        <f aca="false">IF(OR(11&gt;$B$3,ISBLANK(Actuals!M8)),"",Budget!M8-Actuals!M8)</f>
        <v/>
      </c>
      <c r="AS6" s="134" t="str">
        <f aca="false">IFERROR(IF(OR(11&gt;$B$3,ISBLANK(Actuals!M8)),"",(Budget!M8-Actuals!M8)/ABS(Budget!M8)),"")</f>
        <v/>
      </c>
      <c r="AT6" s="133" t="n">
        <f aca="false">Budget!N8</f>
        <v>260706.85</v>
      </c>
      <c r="AU6" s="133" t="str">
        <f aca="false">IF(OR(12&gt;$B$3,ISBLANK(Actuals!N8)),"",Actuals!N8)</f>
        <v/>
      </c>
      <c r="AV6" s="134" t="str">
        <f aca="false">IF(OR(12&gt;$B$3,ISBLANK(Actuals!N8)),"",Budget!N8-Actuals!N8)</f>
        <v/>
      </c>
      <c r="AW6" s="134" t="str">
        <f aca="false">IFERROR(IF(OR(12&gt;$B$3,ISBLANK(Actuals!N8)),"",(Budget!N8-Actuals!N8)/ABS(Budget!N8)),"")</f>
        <v/>
      </c>
      <c r="AX6" s="135" t="n">
        <f aca="false">SUMPRODUCT((Actuals!C8:N8&lt;&gt;"")*(Budget!C8:N8))</f>
        <v>1931573.96</v>
      </c>
      <c r="AY6" s="135" t="n">
        <f aca="false">SUM(Actuals!C8:N8)</f>
        <v>2144890.99</v>
      </c>
      <c r="AZ6" s="136" t="n">
        <f aca="false">AX6-AY6</f>
        <v>-213317.03</v>
      </c>
    </row>
    <row r="7" customFormat="false" ht="15" hidden="false" customHeight="true" outlineLevel="0" collapsed="false">
      <c r="A7" s="132" t="s">
        <v>343</v>
      </c>
      <c r="B7" s="133" t="n">
        <f aca="false">Budget!C9</f>
        <v>0</v>
      </c>
      <c r="C7" s="133" t="n">
        <f aca="false">IF(OR(1&gt;$B$3,ISBLANK(Actuals!C9)),"",Actuals!C9)</f>
        <v>0</v>
      </c>
      <c r="D7" s="134" t="n">
        <f aca="false">IF(OR(1&gt;$B$3,ISBLANK(Actuals!C9)),"",Budget!C9-Actuals!C9)</f>
        <v>0</v>
      </c>
      <c r="E7" s="134" t="str">
        <f aca="false">IFERROR(IF(OR(1&gt;$B$3,ISBLANK(Actuals!C9)),"",(Budget!C9-Actuals!C9)/ABS(Budget!C9)),"")</f>
        <v/>
      </c>
      <c r="F7" s="133" t="n">
        <f aca="false">Budget!D9</f>
        <v>0</v>
      </c>
      <c r="G7" s="133" t="n">
        <f aca="false">IF(OR(2&gt;$B$3,ISBLANK(Actuals!D9)),"",Actuals!D9)</f>
        <v>0</v>
      </c>
      <c r="H7" s="134" t="n">
        <f aca="false">IF(OR(2&gt;$B$3,ISBLANK(Actuals!D9)),"",Budget!D9-Actuals!D9)</f>
        <v>0</v>
      </c>
      <c r="I7" s="134" t="str">
        <f aca="false">IFERROR(IF(OR(2&gt;$B$3,ISBLANK(Actuals!D9)),"",(Budget!D9-Actuals!D9)/ABS(Budget!D9)),"")</f>
        <v/>
      </c>
      <c r="J7" s="133" t="n">
        <f aca="false">Budget!E9</f>
        <v>0</v>
      </c>
      <c r="K7" s="133" t="n">
        <f aca="false">IF(OR(3&gt;$B$3,ISBLANK(Actuals!E9)),"",Actuals!E9)</f>
        <v>0</v>
      </c>
      <c r="L7" s="134" t="n">
        <f aca="false">IF(OR(3&gt;$B$3,ISBLANK(Actuals!E9)),"",Budget!E9-Actuals!E9)</f>
        <v>0</v>
      </c>
      <c r="M7" s="134" t="str">
        <f aca="false">IFERROR(IF(OR(3&gt;$B$3,ISBLANK(Actuals!E9)),"",(Budget!E9-Actuals!E9)/ABS(Budget!E9)),"")</f>
        <v/>
      </c>
      <c r="N7" s="133" t="n">
        <f aca="false">Budget!F9</f>
        <v>0</v>
      </c>
      <c r="O7" s="133" t="n">
        <f aca="false">IF(OR(4&gt;$B$3,ISBLANK(Actuals!F9)),"",Actuals!F9)</f>
        <v>0</v>
      </c>
      <c r="P7" s="134" t="n">
        <f aca="false">IF(OR(4&gt;$B$3,ISBLANK(Actuals!F9)),"",Budget!F9-Actuals!F9)</f>
        <v>0</v>
      </c>
      <c r="Q7" s="134" t="str">
        <f aca="false">IFERROR(IF(OR(4&gt;$B$3,ISBLANK(Actuals!F9)),"",(Budget!F9-Actuals!F9)/ABS(Budget!F9)),"")</f>
        <v/>
      </c>
      <c r="R7" s="133" t="n">
        <f aca="false">Budget!G9</f>
        <v>0</v>
      </c>
      <c r="S7" s="133" t="n">
        <f aca="false">IF(OR(5&gt;$B$3,ISBLANK(Actuals!G9)),"",Actuals!G9)</f>
        <v>0</v>
      </c>
      <c r="T7" s="134" t="n">
        <f aca="false">IF(OR(5&gt;$B$3,ISBLANK(Actuals!G9)),"",Budget!G9-Actuals!G9)</f>
        <v>0</v>
      </c>
      <c r="U7" s="134" t="str">
        <f aca="false">IFERROR(IF(OR(5&gt;$B$3,ISBLANK(Actuals!G9)),"",(Budget!G9-Actuals!G9)/ABS(Budget!G9)),"")</f>
        <v/>
      </c>
      <c r="V7" s="133" t="n">
        <f aca="false">Budget!H9</f>
        <v>0</v>
      </c>
      <c r="W7" s="133" t="n">
        <f aca="false">IF(OR(6&gt;$B$3,ISBLANK(Actuals!H9)),"",Actuals!H9)</f>
        <v>0</v>
      </c>
      <c r="X7" s="134" t="n">
        <f aca="false">IF(OR(6&gt;$B$3,ISBLANK(Actuals!H9)),"",Budget!H9-Actuals!H9)</f>
        <v>0</v>
      </c>
      <c r="Y7" s="134" t="str">
        <f aca="false">IFERROR(IF(OR(6&gt;$B$3,ISBLANK(Actuals!H9)),"",(Budget!H9-Actuals!H9)/ABS(Budget!H9)),"")</f>
        <v/>
      </c>
      <c r="Z7" s="133" t="n">
        <f aca="false">Budget!I9</f>
        <v>0</v>
      </c>
      <c r="AA7" s="133" t="n">
        <f aca="false">IF(OR(7&gt;$B$3,ISBLANK(Actuals!I9)),"",Actuals!I9)</f>
        <v>0</v>
      </c>
      <c r="AB7" s="134" t="n">
        <f aca="false">IF(OR(7&gt;$B$3,ISBLANK(Actuals!I9)),"",Budget!I9-Actuals!I9)</f>
        <v>0</v>
      </c>
      <c r="AC7" s="134" t="str">
        <f aca="false">IFERROR(IF(OR(7&gt;$B$3,ISBLANK(Actuals!I9)),"",(Budget!I9-Actuals!I9)/ABS(Budget!I9)),"")</f>
        <v/>
      </c>
      <c r="AD7" s="133" t="n">
        <f aca="false">Budget!J9</f>
        <v>0</v>
      </c>
      <c r="AE7" s="133" t="n">
        <f aca="false">IF(OR(8&gt;$B$3,ISBLANK(Actuals!J9)),"",Actuals!J9)</f>
        <v>0</v>
      </c>
      <c r="AF7" s="134" t="n">
        <f aca="false">IF(OR(8&gt;$B$3,ISBLANK(Actuals!J9)),"",Budget!J9-Actuals!J9)</f>
        <v>0</v>
      </c>
      <c r="AG7" s="134" t="str">
        <f aca="false">IFERROR(IF(OR(8&gt;$B$3,ISBLANK(Actuals!J9)),"",(Budget!J9-Actuals!J9)/ABS(Budget!J9)),"")</f>
        <v/>
      </c>
      <c r="AH7" s="133" t="n">
        <f aca="false">Budget!K9</f>
        <v>0</v>
      </c>
      <c r="AI7" s="133" t="str">
        <f aca="false">IF(OR(9&gt;$B$3,ISBLANK(Actuals!K9)),"",Actuals!K9)</f>
        <v/>
      </c>
      <c r="AJ7" s="134" t="str">
        <f aca="false">IF(OR(9&gt;$B$3,ISBLANK(Actuals!K9)),"",Budget!K9-Actuals!K9)</f>
        <v/>
      </c>
      <c r="AK7" s="134" t="str">
        <f aca="false">IFERROR(IF(OR(9&gt;$B$3,ISBLANK(Actuals!K9)),"",(Budget!K9-Actuals!K9)/ABS(Budget!K9)),"")</f>
        <v/>
      </c>
      <c r="AL7" s="133" t="n">
        <f aca="false">Budget!L9</f>
        <v>0</v>
      </c>
      <c r="AM7" s="133" t="str">
        <f aca="false">IF(OR(10&gt;$B$3,ISBLANK(Actuals!L9)),"",Actuals!L9)</f>
        <v/>
      </c>
      <c r="AN7" s="134" t="str">
        <f aca="false">IF(OR(10&gt;$B$3,ISBLANK(Actuals!L9)),"",Budget!L9-Actuals!L9)</f>
        <v/>
      </c>
      <c r="AO7" s="134" t="str">
        <f aca="false">IFERROR(IF(OR(10&gt;$B$3,ISBLANK(Actuals!L9)),"",(Budget!L9-Actuals!L9)/ABS(Budget!L9)),"")</f>
        <v/>
      </c>
      <c r="AP7" s="133" t="n">
        <f aca="false">Budget!M9</f>
        <v>0</v>
      </c>
      <c r="AQ7" s="133" t="str">
        <f aca="false">IF(OR(11&gt;$B$3,ISBLANK(Actuals!M9)),"",Actuals!M9)</f>
        <v/>
      </c>
      <c r="AR7" s="134" t="str">
        <f aca="false">IF(OR(11&gt;$B$3,ISBLANK(Actuals!M9)),"",Budget!M9-Actuals!M9)</f>
        <v/>
      </c>
      <c r="AS7" s="134" t="str">
        <f aca="false">IFERROR(IF(OR(11&gt;$B$3,ISBLANK(Actuals!M9)),"",(Budget!M9-Actuals!M9)/ABS(Budget!M9)),"")</f>
        <v/>
      </c>
      <c r="AT7" s="133" t="n">
        <f aca="false">Budget!N9</f>
        <v>0</v>
      </c>
      <c r="AU7" s="133" t="str">
        <f aca="false">IF(OR(12&gt;$B$3,ISBLANK(Actuals!N9)),"",Actuals!N9)</f>
        <v/>
      </c>
      <c r="AV7" s="134" t="str">
        <f aca="false">IF(OR(12&gt;$B$3,ISBLANK(Actuals!N9)),"",Budget!N9-Actuals!N9)</f>
        <v/>
      </c>
      <c r="AW7" s="134" t="str">
        <f aca="false">IFERROR(IF(OR(12&gt;$B$3,ISBLANK(Actuals!N9)),"",(Budget!N9-Actuals!N9)/ABS(Budget!N9)),"")</f>
        <v/>
      </c>
      <c r="AX7" s="135" t="n">
        <f aca="false">SUMPRODUCT((Actuals!C9:N9&lt;&gt;"")*(Budget!C9:N9))</f>
        <v>0</v>
      </c>
      <c r="AY7" s="135" t="n">
        <f aca="false">SUM(Actuals!C9:N9)</f>
        <v>0</v>
      </c>
      <c r="AZ7" s="136" t="n">
        <f aca="false">AX7-AY7</f>
        <v>0</v>
      </c>
    </row>
    <row r="8" customFormat="false" ht="15" hidden="false" customHeight="true" outlineLevel="0" collapsed="false">
      <c r="A8" s="132" t="s">
        <v>5</v>
      </c>
      <c r="B8" s="133" t="n">
        <f aca="false">Budget!C10</f>
        <v>134573.26</v>
      </c>
      <c r="C8" s="133" t="n">
        <f aca="false">IF(OR(1&gt;$B$3,ISBLANK(Actuals!C10)),"",Actuals!C10)</f>
        <v>95370.25</v>
      </c>
      <c r="D8" s="134" t="n">
        <f aca="false">IF(OR(1&gt;$B$3,ISBLANK(Actuals!C10)),"",Budget!C10-Actuals!C10)</f>
        <v>39203.01</v>
      </c>
      <c r="E8" s="134" t="n">
        <f aca="false">IFERROR(IF(OR(1&gt;$B$3,ISBLANK(Actuals!C10)),"",(Budget!C10-Actuals!C10)/ABS(Budget!C10)),"")</f>
        <v>0.291313519491168</v>
      </c>
      <c r="F8" s="133" t="n">
        <f aca="false">Budget!D10</f>
        <v>149817.92</v>
      </c>
      <c r="G8" s="133" t="n">
        <f aca="false">IF(OR(2&gt;$B$3,ISBLANK(Actuals!D10)),"",Actuals!D10)</f>
        <v>173282.89</v>
      </c>
      <c r="H8" s="134" t="n">
        <f aca="false">IF(OR(2&gt;$B$3,ISBLANK(Actuals!D10)),"",Budget!D10-Actuals!D10)</f>
        <v>-23464.97</v>
      </c>
      <c r="I8" s="134" t="n">
        <f aca="false">IFERROR(IF(OR(2&gt;$B$3,ISBLANK(Actuals!D10)),"",(Budget!D10-Actuals!D10)/ABS(Budget!D10)),"")</f>
        <v>-0.156623253079471</v>
      </c>
      <c r="J8" s="133" t="n">
        <f aca="false">Budget!E10</f>
        <v>164993.33</v>
      </c>
      <c r="K8" s="133" t="n">
        <f aca="false">IF(OR(3&gt;$B$3,ISBLANK(Actuals!E10)),"",Actuals!E10)</f>
        <v>50438.85</v>
      </c>
      <c r="L8" s="134" t="n">
        <f aca="false">IF(OR(3&gt;$B$3,ISBLANK(Actuals!E10)),"",Budget!E10-Actuals!E10)</f>
        <v>114554.48</v>
      </c>
      <c r="M8" s="134" t="n">
        <f aca="false">IFERROR(IF(OR(3&gt;$B$3,ISBLANK(Actuals!E10)),"",(Budget!E10-Actuals!E10)/ABS(Budget!E10)),"")</f>
        <v>0.694297642213779</v>
      </c>
      <c r="N8" s="133" t="n">
        <f aca="false">Budget!F10</f>
        <v>179495.73</v>
      </c>
      <c r="O8" s="133" t="n">
        <f aca="false">IF(OR(4&gt;$B$3,ISBLANK(Actuals!F10)),"",Actuals!F10)</f>
        <v>167518.85</v>
      </c>
      <c r="P8" s="134" t="n">
        <f aca="false">IF(OR(4&gt;$B$3,ISBLANK(Actuals!F10)),"",Budget!F10-Actuals!F10)</f>
        <v>11976.88</v>
      </c>
      <c r="Q8" s="134" t="n">
        <f aca="false">IFERROR(IF(OR(4&gt;$B$3,ISBLANK(Actuals!F10)),"",(Budget!F10-Actuals!F10)/ABS(Budget!F10)),"")</f>
        <v>0.0667251527376167</v>
      </c>
      <c r="R8" s="133" t="n">
        <f aca="false">Budget!G10</f>
        <v>230135.69</v>
      </c>
      <c r="S8" s="133" t="n">
        <f aca="false">IF(OR(5&gt;$B$3,ISBLANK(Actuals!G10)),"",Actuals!G10)</f>
        <v>209057.26</v>
      </c>
      <c r="T8" s="134" t="n">
        <f aca="false">IF(OR(5&gt;$B$3,ISBLANK(Actuals!G10)),"",Budget!G10-Actuals!G10)</f>
        <v>21078.43</v>
      </c>
      <c r="U8" s="134" t="n">
        <f aca="false">IFERROR(IF(OR(5&gt;$B$3,ISBLANK(Actuals!G10)),"",(Budget!G10-Actuals!G10)/ABS(Budget!G10)),"")</f>
        <v>0.0915913129336871</v>
      </c>
      <c r="V8" s="133" t="n">
        <f aca="false">Budget!H10</f>
        <v>246811.27</v>
      </c>
      <c r="W8" s="133" t="n">
        <f aca="false">IF(OR(6&gt;$B$3,ISBLANK(Actuals!H10)),"",Actuals!H10)</f>
        <v>292966.36</v>
      </c>
      <c r="X8" s="134" t="n">
        <f aca="false">IF(OR(6&gt;$B$3,ISBLANK(Actuals!H10)),"",Budget!H10-Actuals!H10)</f>
        <v>-46155.09</v>
      </c>
      <c r="Y8" s="134" t="n">
        <f aca="false">IFERROR(IF(OR(6&gt;$B$3,ISBLANK(Actuals!H10)),"",(Budget!H10-Actuals!H10)/ABS(Budget!H10)),"")</f>
        <v>-0.187005601486512</v>
      </c>
      <c r="Z8" s="133" t="n">
        <f aca="false">Budget!I10</f>
        <v>261045.09</v>
      </c>
      <c r="AA8" s="133" t="n">
        <f aca="false">IF(OR(7&gt;$B$3,ISBLANK(Actuals!I10)),"",Actuals!I10)</f>
        <v>271584.24</v>
      </c>
      <c r="AB8" s="134" t="n">
        <f aca="false">IF(OR(7&gt;$B$3,ISBLANK(Actuals!I10)),"",Budget!I10-Actuals!I10)</f>
        <v>-10539.15</v>
      </c>
      <c r="AC8" s="134" t="n">
        <f aca="false">IFERROR(IF(OR(7&gt;$B$3,ISBLANK(Actuals!I10)),"",(Budget!I10-Actuals!I10)/ABS(Budget!I10)),"")</f>
        <v>-0.0403729102891765</v>
      </c>
      <c r="AD8" s="133" t="n">
        <f aca="false">Budget!J10</f>
        <v>272157.23</v>
      </c>
      <c r="AE8" s="133" t="n">
        <f aca="false">IF(OR(8&gt;$B$3,ISBLANK(Actuals!J10)),"",Actuals!J10)</f>
        <v>289785.36</v>
      </c>
      <c r="AF8" s="134" t="n">
        <f aca="false">IF(OR(8&gt;$B$3,ISBLANK(Actuals!J10)),"",Budget!J10-Actuals!J10)</f>
        <v>-17628.13</v>
      </c>
      <c r="AG8" s="134" t="n">
        <f aca="false">IFERROR(IF(OR(8&gt;$B$3,ISBLANK(Actuals!J10)),"",(Budget!J10-Actuals!J10)/ABS(Budget!J10)),"")</f>
        <v>-0.0647718600016616</v>
      </c>
      <c r="AH8" s="133" t="n">
        <f aca="false">Budget!K10</f>
        <v>279616.59</v>
      </c>
      <c r="AI8" s="133" t="str">
        <f aca="false">IF(OR(9&gt;$B$3,ISBLANK(Actuals!K10)),"",Actuals!K10)</f>
        <v/>
      </c>
      <c r="AJ8" s="134" t="str">
        <f aca="false">IF(OR(9&gt;$B$3,ISBLANK(Actuals!K10)),"",Budget!K10-Actuals!K10)</f>
        <v/>
      </c>
      <c r="AK8" s="134" t="str">
        <f aca="false">IFERROR(IF(OR(9&gt;$B$3,ISBLANK(Actuals!K10)),"",(Budget!K10-Actuals!K10)/ABS(Budget!K10)),"")</f>
        <v/>
      </c>
      <c r="AL8" s="133" t="n">
        <f aca="false">Budget!L10</f>
        <v>283097.52</v>
      </c>
      <c r="AM8" s="133" t="str">
        <f aca="false">IF(OR(10&gt;$B$3,ISBLANK(Actuals!L10)),"",Actuals!L10)</f>
        <v/>
      </c>
      <c r="AN8" s="134" t="str">
        <f aca="false">IF(OR(10&gt;$B$3,ISBLANK(Actuals!L10)),"",Budget!L10-Actuals!L10)</f>
        <v/>
      </c>
      <c r="AO8" s="134" t="str">
        <f aca="false">IFERROR(IF(OR(10&gt;$B$3,ISBLANK(Actuals!L10)),"",(Budget!L10-Actuals!L10)/ABS(Budget!L10)),"")</f>
        <v/>
      </c>
      <c r="AP8" s="133" t="n">
        <f aca="false">Budget!M10</f>
        <v>282514.62</v>
      </c>
      <c r="AQ8" s="133" t="str">
        <f aca="false">IF(OR(11&gt;$B$3,ISBLANK(Actuals!M10)),"",Actuals!M10)</f>
        <v/>
      </c>
      <c r="AR8" s="134" t="str">
        <f aca="false">IF(OR(11&gt;$B$3,ISBLANK(Actuals!M10)),"",Budget!M10-Actuals!M10)</f>
        <v/>
      </c>
      <c r="AS8" s="134" t="str">
        <f aca="false">IFERROR(IF(OR(11&gt;$B$3,ISBLANK(Actuals!M10)),"",(Budget!M10-Actuals!M10)/ABS(Budget!M10)),"")</f>
        <v/>
      </c>
      <c r="AT8" s="133" t="n">
        <f aca="false">Budget!N10</f>
        <v>266132.31</v>
      </c>
      <c r="AU8" s="133" t="str">
        <f aca="false">IF(OR(12&gt;$B$3,ISBLANK(Actuals!N10)),"",Actuals!N10)</f>
        <v/>
      </c>
      <c r="AV8" s="134" t="str">
        <f aca="false">IF(OR(12&gt;$B$3,ISBLANK(Actuals!N10)),"",Budget!N10-Actuals!N10)</f>
        <v/>
      </c>
      <c r="AW8" s="134" t="str">
        <f aca="false">IFERROR(IF(OR(12&gt;$B$3,ISBLANK(Actuals!N10)),"",(Budget!N10-Actuals!N10)/ABS(Budget!N10)),"")</f>
        <v/>
      </c>
      <c r="AX8" s="135" t="n">
        <f aca="false">SUMPRODUCT((Actuals!C10:N10&lt;&gt;"")*(Budget!C10:N10))</f>
        <v>1639029.52</v>
      </c>
      <c r="AY8" s="135" t="n">
        <f aca="false">SUM(Actuals!C10:N10)</f>
        <v>1550004.06</v>
      </c>
      <c r="AZ8" s="136" t="n">
        <f aca="false">AX8-AY8</f>
        <v>89025.46</v>
      </c>
    </row>
    <row r="9" customFormat="false" ht="15" hidden="false" customHeight="true" outlineLevel="0" collapsed="false">
      <c r="A9" s="132" t="s">
        <v>344</v>
      </c>
      <c r="B9" s="133" t="n">
        <f aca="false">Budget!C11</f>
        <v>0</v>
      </c>
      <c r="C9" s="133" t="n">
        <f aca="false">IF(OR(1&gt;$B$3,ISBLANK(Actuals!C11)),"",Actuals!C11)</f>
        <v>0</v>
      </c>
      <c r="D9" s="134" t="n">
        <f aca="false">IF(OR(1&gt;$B$3,ISBLANK(Actuals!C11)),"",Budget!C11-Actuals!C11)</f>
        <v>0</v>
      </c>
      <c r="E9" s="134" t="str">
        <f aca="false">IFERROR(IF(OR(1&gt;$B$3,ISBLANK(Actuals!C11)),"",(Budget!C11-Actuals!C11)/ABS(Budget!C11)),"")</f>
        <v/>
      </c>
      <c r="F9" s="133" t="n">
        <f aca="false">Budget!D11</f>
        <v>0</v>
      </c>
      <c r="G9" s="133" t="n">
        <f aca="false">IF(OR(2&gt;$B$3,ISBLANK(Actuals!D11)),"",Actuals!D11)</f>
        <v>0</v>
      </c>
      <c r="H9" s="134" t="n">
        <f aca="false">IF(OR(2&gt;$B$3,ISBLANK(Actuals!D11)),"",Budget!D11-Actuals!D11)</f>
        <v>0</v>
      </c>
      <c r="I9" s="134" t="str">
        <f aca="false">IFERROR(IF(OR(2&gt;$B$3,ISBLANK(Actuals!D11)),"",(Budget!D11-Actuals!D11)/ABS(Budget!D11)),"")</f>
        <v/>
      </c>
      <c r="J9" s="133" t="n">
        <f aca="false">Budget!E11</f>
        <v>0</v>
      </c>
      <c r="K9" s="133" t="n">
        <f aca="false">IF(OR(3&gt;$B$3,ISBLANK(Actuals!E11)),"",Actuals!E11)</f>
        <v>0</v>
      </c>
      <c r="L9" s="134" t="n">
        <f aca="false">IF(OR(3&gt;$B$3,ISBLANK(Actuals!E11)),"",Budget!E11-Actuals!E11)</f>
        <v>0</v>
      </c>
      <c r="M9" s="134" t="str">
        <f aca="false">IFERROR(IF(OR(3&gt;$B$3,ISBLANK(Actuals!E11)),"",(Budget!E11-Actuals!E11)/ABS(Budget!E11)),"")</f>
        <v/>
      </c>
      <c r="N9" s="133" t="n">
        <f aca="false">Budget!F11</f>
        <v>0</v>
      </c>
      <c r="O9" s="133" t="n">
        <f aca="false">IF(OR(4&gt;$B$3,ISBLANK(Actuals!F11)),"",Actuals!F11)</f>
        <v>0</v>
      </c>
      <c r="P9" s="134" t="n">
        <f aca="false">IF(OR(4&gt;$B$3,ISBLANK(Actuals!F11)),"",Budget!F11-Actuals!F11)</f>
        <v>0</v>
      </c>
      <c r="Q9" s="134" t="str">
        <f aca="false">IFERROR(IF(OR(4&gt;$B$3,ISBLANK(Actuals!F11)),"",(Budget!F11-Actuals!F11)/ABS(Budget!F11)),"")</f>
        <v/>
      </c>
      <c r="R9" s="133" t="n">
        <f aca="false">Budget!G11</f>
        <v>0</v>
      </c>
      <c r="S9" s="133" t="n">
        <f aca="false">IF(OR(5&gt;$B$3,ISBLANK(Actuals!G11)),"",Actuals!G11)</f>
        <v>0</v>
      </c>
      <c r="T9" s="134" t="n">
        <f aca="false">IF(OR(5&gt;$B$3,ISBLANK(Actuals!G11)),"",Budget!G11-Actuals!G11)</f>
        <v>0</v>
      </c>
      <c r="U9" s="134" t="str">
        <f aca="false">IFERROR(IF(OR(5&gt;$B$3,ISBLANK(Actuals!G11)),"",(Budget!G11-Actuals!G11)/ABS(Budget!G11)),"")</f>
        <v/>
      </c>
      <c r="V9" s="133" t="n">
        <f aca="false">Budget!H11</f>
        <v>0</v>
      </c>
      <c r="W9" s="133" t="n">
        <f aca="false">IF(OR(6&gt;$B$3,ISBLANK(Actuals!H11)),"",Actuals!H11)</f>
        <v>0</v>
      </c>
      <c r="X9" s="134" t="n">
        <f aca="false">IF(OR(6&gt;$B$3,ISBLANK(Actuals!H11)),"",Budget!H11-Actuals!H11)</f>
        <v>0</v>
      </c>
      <c r="Y9" s="134" t="str">
        <f aca="false">IFERROR(IF(OR(6&gt;$B$3,ISBLANK(Actuals!H11)),"",(Budget!H11-Actuals!H11)/ABS(Budget!H11)),"")</f>
        <v/>
      </c>
      <c r="Z9" s="133" t="n">
        <f aca="false">Budget!I11</f>
        <v>0</v>
      </c>
      <c r="AA9" s="133" t="n">
        <f aca="false">IF(OR(7&gt;$B$3,ISBLANK(Actuals!I11)),"",Actuals!I11)</f>
        <v>0</v>
      </c>
      <c r="AB9" s="134" t="n">
        <f aca="false">IF(OR(7&gt;$B$3,ISBLANK(Actuals!I11)),"",Budget!I11-Actuals!I11)</f>
        <v>0</v>
      </c>
      <c r="AC9" s="134" t="str">
        <f aca="false">IFERROR(IF(OR(7&gt;$B$3,ISBLANK(Actuals!I11)),"",(Budget!I11-Actuals!I11)/ABS(Budget!I11)),"")</f>
        <v/>
      </c>
      <c r="AD9" s="133" t="n">
        <f aca="false">Budget!J11</f>
        <v>0</v>
      </c>
      <c r="AE9" s="133" t="n">
        <f aca="false">IF(OR(8&gt;$B$3,ISBLANK(Actuals!J11)),"",Actuals!J11)</f>
        <v>0</v>
      </c>
      <c r="AF9" s="134" t="n">
        <f aca="false">IF(OR(8&gt;$B$3,ISBLANK(Actuals!J11)),"",Budget!J11-Actuals!J11)</f>
        <v>0</v>
      </c>
      <c r="AG9" s="134" t="str">
        <f aca="false">IFERROR(IF(OR(8&gt;$B$3,ISBLANK(Actuals!J11)),"",(Budget!J11-Actuals!J11)/ABS(Budget!J11)),"")</f>
        <v/>
      </c>
      <c r="AH9" s="133" t="n">
        <f aca="false">Budget!K11</f>
        <v>0</v>
      </c>
      <c r="AI9" s="133" t="str">
        <f aca="false">IF(OR(9&gt;$B$3,ISBLANK(Actuals!K11)),"",Actuals!K11)</f>
        <v/>
      </c>
      <c r="AJ9" s="134" t="str">
        <f aca="false">IF(OR(9&gt;$B$3,ISBLANK(Actuals!K11)),"",Budget!K11-Actuals!K11)</f>
        <v/>
      </c>
      <c r="AK9" s="134" t="str">
        <f aca="false">IFERROR(IF(OR(9&gt;$B$3,ISBLANK(Actuals!K11)),"",(Budget!K11-Actuals!K11)/ABS(Budget!K11)),"")</f>
        <v/>
      </c>
      <c r="AL9" s="133" t="n">
        <f aca="false">Budget!L11</f>
        <v>0</v>
      </c>
      <c r="AM9" s="133" t="str">
        <f aca="false">IF(OR(10&gt;$B$3,ISBLANK(Actuals!L11)),"",Actuals!L11)</f>
        <v/>
      </c>
      <c r="AN9" s="134" t="str">
        <f aca="false">IF(OR(10&gt;$B$3,ISBLANK(Actuals!L11)),"",Budget!L11-Actuals!L11)</f>
        <v/>
      </c>
      <c r="AO9" s="134" t="str">
        <f aca="false">IFERROR(IF(OR(10&gt;$B$3,ISBLANK(Actuals!L11)),"",(Budget!L11-Actuals!L11)/ABS(Budget!L11)),"")</f>
        <v/>
      </c>
      <c r="AP9" s="133" t="n">
        <f aca="false">Budget!M11</f>
        <v>0</v>
      </c>
      <c r="AQ9" s="133" t="str">
        <f aca="false">IF(OR(11&gt;$B$3,ISBLANK(Actuals!M11)),"",Actuals!M11)</f>
        <v/>
      </c>
      <c r="AR9" s="134" t="str">
        <f aca="false">IF(OR(11&gt;$B$3,ISBLANK(Actuals!M11)),"",Budget!M11-Actuals!M11)</f>
        <v/>
      </c>
      <c r="AS9" s="134" t="str">
        <f aca="false">IFERROR(IF(OR(11&gt;$B$3,ISBLANK(Actuals!M11)),"",(Budget!M11-Actuals!M11)/ABS(Budget!M11)),"")</f>
        <v/>
      </c>
      <c r="AT9" s="133" t="n">
        <f aca="false">Budget!N11</f>
        <v>0</v>
      </c>
      <c r="AU9" s="133" t="str">
        <f aca="false">IF(OR(12&gt;$B$3,ISBLANK(Actuals!N11)),"",Actuals!N11)</f>
        <v/>
      </c>
      <c r="AV9" s="134" t="str">
        <f aca="false">IF(OR(12&gt;$B$3,ISBLANK(Actuals!N11)),"",Budget!N11-Actuals!N11)</f>
        <v/>
      </c>
      <c r="AW9" s="134" t="str">
        <f aca="false">IFERROR(IF(OR(12&gt;$B$3,ISBLANK(Actuals!N11)),"",(Budget!N11-Actuals!N11)/ABS(Budget!N11)),"")</f>
        <v/>
      </c>
      <c r="AX9" s="135" t="n">
        <f aca="false">SUMPRODUCT((Actuals!C11:N11&lt;&gt;"")*(Budget!C11:N11))</f>
        <v>0</v>
      </c>
      <c r="AY9" s="135" t="n">
        <f aca="false">SUM(Actuals!C11:N11)</f>
        <v>0</v>
      </c>
      <c r="AZ9" s="136" t="n">
        <f aca="false">AX9-AY9</f>
        <v>0</v>
      </c>
    </row>
    <row r="10" customFormat="false" ht="15" hidden="false" customHeight="true" outlineLevel="0" collapsed="false">
      <c r="A10" s="132" t="s">
        <v>6</v>
      </c>
      <c r="B10" s="133" t="n">
        <f aca="false">Budget!C12</f>
        <v>2653995.85</v>
      </c>
      <c r="C10" s="133" t="n">
        <f aca="false">IF(OR(1&gt;$B$3,ISBLANK(Actuals!C12)),"",Actuals!C12)</f>
        <v>1242053.19</v>
      </c>
      <c r="D10" s="134" t="n">
        <f aca="false">IF(OR(1&gt;$B$3,ISBLANK(Actuals!C12)),"",Budget!C12-Actuals!C12)</f>
        <v>1411942.66</v>
      </c>
      <c r="E10" s="134" t="n">
        <f aca="false">IFERROR(IF(OR(1&gt;$B$3,ISBLANK(Actuals!C12)),"",(Budget!C12-Actuals!C12)/ABS(Budget!C12)),"")</f>
        <v>0.532006355624106</v>
      </c>
      <c r="F10" s="133" t="n">
        <f aca="false">Budget!D12</f>
        <v>2933528.7</v>
      </c>
      <c r="G10" s="133" t="n">
        <f aca="false">IF(OR(2&gt;$B$3,ISBLANK(Actuals!D12)),"",Actuals!D12)</f>
        <v>2710434.48</v>
      </c>
      <c r="H10" s="134" t="n">
        <f aca="false">IF(OR(2&gt;$B$3,ISBLANK(Actuals!D12)),"",Budget!D12-Actuals!D12)</f>
        <v>223094.22</v>
      </c>
      <c r="I10" s="134" t="n">
        <f aca="false">IFERROR(IF(OR(2&gt;$B$3,ISBLANK(Actuals!D12)),"",(Budget!D12-Actuals!D12)/ABS(Budget!D12)),"")</f>
        <v>0.0760497826389086</v>
      </c>
      <c r="J10" s="133" t="n">
        <f aca="false">Budget!E12</f>
        <v>3209528.94</v>
      </c>
      <c r="K10" s="133" t="n">
        <f aca="false">IF(OR(3&gt;$B$3,ISBLANK(Actuals!E12)),"",Actuals!E12)</f>
        <v>2402410.43</v>
      </c>
      <c r="L10" s="134" t="n">
        <f aca="false">IF(OR(3&gt;$B$3,ISBLANK(Actuals!E12)),"",Budget!E12-Actuals!E12)</f>
        <v>807118.51</v>
      </c>
      <c r="M10" s="134" t="n">
        <f aca="false">IFERROR(IF(OR(3&gt;$B$3,ISBLANK(Actuals!E12)),"",(Budget!E12-Actuals!E12)/ABS(Budget!E12)),"")</f>
        <v>0.251475691632181</v>
      </c>
      <c r="N10" s="133" t="n">
        <f aca="false">Budget!F12</f>
        <v>3471205.82</v>
      </c>
      <c r="O10" s="133" t="n">
        <f aca="false">IF(OR(4&gt;$B$3,ISBLANK(Actuals!F12)),"",Actuals!F12)</f>
        <v>3312759.91</v>
      </c>
      <c r="P10" s="134" t="n">
        <f aca="false">IF(OR(4&gt;$B$3,ISBLANK(Actuals!F12)),"",Budget!F12-Actuals!F12)</f>
        <v>158445.91</v>
      </c>
      <c r="Q10" s="134" t="n">
        <f aca="false">IFERROR(IF(OR(4&gt;$B$3,ISBLANK(Actuals!F12)),"",(Budget!F12-Actuals!F12)/ABS(Budget!F12)),"")</f>
        <v>0.0456457836890812</v>
      </c>
      <c r="R10" s="133" t="n">
        <f aca="false">Budget!G12</f>
        <v>4411909.08</v>
      </c>
      <c r="S10" s="133" t="n">
        <f aca="false">IF(OR(5&gt;$B$3,ISBLANK(Actuals!G12)),"",Actuals!G12)</f>
        <v>3939278.23</v>
      </c>
      <c r="T10" s="134" t="n">
        <f aca="false">IF(OR(5&gt;$B$3,ISBLANK(Actuals!G12)),"",Budget!G12-Actuals!G12)</f>
        <v>472630.85</v>
      </c>
      <c r="U10" s="134" t="n">
        <f aca="false">IFERROR(IF(OR(5&gt;$B$3,ISBLANK(Actuals!G12)),"",(Budget!G12-Actuals!G12)/ABS(Budget!G12)),"")</f>
        <v>0.10712615365138</v>
      </c>
      <c r="V10" s="133" t="n">
        <f aca="false">Budget!H12</f>
        <v>4713320.79</v>
      </c>
      <c r="W10" s="133" t="n">
        <f aca="false">IF(OR(6&gt;$B$3,ISBLANK(Actuals!H12)),"",Actuals!H12)</f>
        <v>5584522.73</v>
      </c>
      <c r="X10" s="134" t="n">
        <f aca="false">IF(OR(6&gt;$B$3,ISBLANK(Actuals!H12)),"",Budget!H12-Actuals!H12)</f>
        <v>-871201.94</v>
      </c>
      <c r="Y10" s="134" t="n">
        <f aca="false">IFERROR(IF(OR(6&gt;$B$3,ISBLANK(Actuals!H12)),"",(Budget!H12-Actuals!H12)/ABS(Budget!H12)),"")</f>
        <v>-0.184838244375045</v>
      </c>
      <c r="Z10" s="133" t="n">
        <f aca="false">Budget!I12</f>
        <v>4969335.52</v>
      </c>
      <c r="AA10" s="133" t="n">
        <f aca="false">IF(OR(7&gt;$B$3,ISBLANK(Actuals!I12)),"",Actuals!I12)</f>
        <v>6409057.07</v>
      </c>
      <c r="AB10" s="134" t="n">
        <f aca="false">IF(OR(7&gt;$B$3,ISBLANK(Actuals!I12)),"",Budget!I12-Actuals!I12)</f>
        <v>-1439721.55</v>
      </c>
      <c r="AC10" s="134" t="n">
        <f aca="false">IFERROR(IF(OR(7&gt;$B$3,ISBLANK(Actuals!I12)),"",(Budget!I12-Actuals!I12)/ABS(Budget!I12)),"")</f>
        <v>-0.289721139618281</v>
      </c>
      <c r="AD10" s="133" t="n">
        <f aca="false">Budget!J12</f>
        <v>5167809.94</v>
      </c>
      <c r="AE10" s="133" t="n">
        <f aca="false">IF(OR(8&gt;$B$3,ISBLANK(Actuals!J12)),"",Actuals!J12)</f>
        <v>5304128.59</v>
      </c>
      <c r="AF10" s="134" t="n">
        <f aca="false">IF(OR(8&gt;$B$3,ISBLANK(Actuals!J12)),"",Budget!J12-Actuals!J12)</f>
        <v>-136318.649999999</v>
      </c>
      <c r="AG10" s="134" t="n">
        <f aca="false">IFERROR(IF(OR(8&gt;$B$3,ISBLANK(Actuals!J12)),"",(Budget!J12-Actuals!J12)/ABS(Budget!J12)),"")</f>
        <v>-0.026378417856443</v>
      </c>
      <c r="AH10" s="133" t="n">
        <f aca="false">Budget!K12</f>
        <v>5299239.86</v>
      </c>
      <c r="AI10" s="133" t="str">
        <f aca="false">IF(OR(9&gt;$B$3,ISBLANK(Actuals!K12)),"",Actuals!K12)</f>
        <v/>
      </c>
      <c r="AJ10" s="134" t="str">
        <f aca="false">IF(OR(9&gt;$B$3,ISBLANK(Actuals!K12)),"",Budget!K12-Actuals!K12)</f>
        <v/>
      </c>
      <c r="AK10" s="134" t="str">
        <f aca="false">IFERROR(IF(OR(9&gt;$B$3,ISBLANK(Actuals!K12)),"",(Budget!K12-Actuals!K12)/ABS(Budget!K12)),"")</f>
        <v/>
      </c>
      <c r="AL10" s="133" t="n">
        <f aca="false">Budget!L12</f>
        <v>5357779.86</v>
      </c>
      <c r="AM10" s="133" t="str">
        <f aca="false">IF(OR(10&gt;$B$3,ISBLANK(Actuals!L12)),"",Actuals!L12)</f>
        <v/>
      </c>
      <c r="AN10" s="134" t="str">
        <f aca="false">IF(OR(10&gt;$B$3,ISBLANK(Actuals!L12)),"",Budget!L12-Actuals!L12)</f>
        <v/>
      </c>
      <c r="AO10" s="134" t="str">
        <f aca="false">IFERROR(IF(OR(10&gt;$B$3,ISBLANK(Actuals!L12)),"",(Budget!L12-Actuals!L12)/ABS(Budget!L12)),"")</f>
        <v/>
      </c>
      <c r="AP10" s="133" t="n">
        <f aca="false">Budget!M12</f>
        <v>5341883.63</v>
      </c>
      <c r="AQ10" s="133" t="str">
        <f aca="false">IF(OR(11&gt;$B$3,ISBLANK(Actuals!M12)),"",Actuals!M12)</f>
        <v/>
      </c>
      <c r="AR10" s="134" t="str">
        <f aca="false">IF(OR(11&gt;$B$3,ISBLANK(Actuals!M12)),"",Budget!M12-Actuals!M12)</f>
        <v/>
      </c>
      <c r="AS10" s="134" t="str">
        <f aca="false">IFERROR(IF(OR(11&gt;$B$3,ISBLANK(Actuals!M12)),"",(Budget!M12-Actuals!M12)/ABS(Budget!M12)),"")</f>
        <v/>
      </c>
      <c r="AT10" s="133" t="n">
        <f aca="false">Budget!N12</f>
        <v>4998563.51</v>
      </c>
      <c r="AU10" s="133" t="str">
        <f aca="false">IF(OR(12&gt;$B$3,ISBLANK(Actuals!N12)),"",Actuals!N12)</f>
        <v/>
      </c>
      <c r="AV10" s="134" t="str">
        <f aca="false">IF(OR(12&gt;$B$3,ISBLANK(Actuals!N12)),"",Budget!N12-Actuals!N12)</f>
        <v/>
      </c>
      <c r="AW10" s="134" t="str">
        <f aca="false">IFERROR(IF(OR(12&gt;$B$3,ISBLANK(Actuals!N12)),"",(Budget!N12-Actuals!N12)/ABS(Budget!N12)),"")</f>
        <v/>
      </c>
      <c r="AX10" s="135" t="n">
        <f aca="false">SUMPRODUCT((Actuals!C12:N12&lt;&gt;"")*(Budget!C12:N12))</f>
        <v>31530634.64</v>
      </c>
      <c r="AY10" s="135" t="n">
        <f aca="false">SUM(Actuals!C12:N12)</f>
        <v>30904644.63</v>
      </c>
      <c r="AZ10" s="136" t="n">
        <f aca="false">AX10-AY10</f>
        <v>625990.010000002</v>
      </c>
    </row>
    <row r="11" customFormat="false" ht="15" hidden="false" customHeight="true" outlineLevel="0" collapsed="false">
      <c r="A11" s="132" t="s">
        <v>345</v>
      </c>
      <c r="B11" s="133" t="n">
        <f aca="false">Budget!C14</f>
        <v>-2653995.85</v>
      </c>
      <c r="C11" s="133" t="n">
        <f aca="false">IF(OR(1&gt;$B$3,ISBLANK(Actuals!C14)),"",Actuals!C14)</f>
        <v>-1235033.93</v>
      </c>
      <c r="D11" s="134" t="n">
        <f aca="false">IF(OR(1&gt;$B$3,ISBLANK(Actuals!C14)),"",Budget!C14-Actuals!C14)</f>
        <v>-1418961.92</v>
      </c>
      <c r="E11" s="134" t="n">
        <f aca="false">IFERROR(IF(OR(1&gt;$B$3,ISBLANK(Actuals!C14)),"",(Budget!C14-Actuals!C14)/ABS(Budget!C14)),"")</f>
        <v>-0.534651144989545</v>
      </c>
      <c r="F11" s="133" t="n">
        <f aca="false">Budget!D14</f>
        <v>-2933528.7</v>
      </c>
      <c r="G11" s="133" t="n">
        <f aca="false">IF(OR(2&gt;$B$3,ISBLANK(Actuals!D14)),"",Actuals!D14)</f>
        <v>-3073522.36</v>
      </c>
      <c r="H11" s="134" t="n">
        <f aca="false">IF(OR(2&gt;$B$3,ISBLANK(Actuals!D14)),"",Budget!D14-Actuals!D14)</f>
        <v>139993.66</v>
      </c>
      <c r="I11" s="134" t="n">
        <f aca="false">IFERROR(IF(OR(2&gt;$B$3,ISBLANK(Actuals!D14)),"",(Budget!D14-Actuals!D14)/ABS(Budget!D14)),"")</f>
        <v>0.0477219329744412</v>
      </c>
      <c r="J11" s="133" t="n">
        <f aca="false">Budget!E14</f>
        <v>-3209528.94</v>
      </c>
      <c r="K11" s="133" t="n">
        <f aca="false">IF(OR(3&gt;$B$3,ISBLANK(Actuals!E14)),"",Actuals!E14)</f>
        <v>-2078031.64</v>
      </c>
      <c r="L11" s="134" t="n">
        <f aca="false">IF(OR(3&gt;$B$3,ISBLANK(Actuals!E14)),"",Budget!E14-Actuals!E14)</f>
        <v>-1131497.3</v>
      </c>
      <c r="M11" s="134" t="n">
        <f aca="false">IFERROR(IF(OR(3&gt;$B$3,ISBLANK(Actuals!E14)),"",(Budget!E14-Actuals!E14)/ABS(Budget!E14)),"")</f>
        <v>-0.352543105593558</v>
      </c>
      <c r="N11" s="133" t="n">
        <f aca="false">Budget!F14</f>
        <v>-3471205.82</v>
      </c>
      <c r="O11" s="133" t="n">
        <f aca="false">IF(OR(4&gt;$B$3,ISBLANK(Actuals!F14)),"",Actuals!F14)</f>
        <v>-3244999.65</v>
      </c>
      <c r="P11" s="134" t="n">
        <f aca="false">IF(OR(4&gt;$B$3,ISBLANK(Actuals!F14)),"",Budget!F14-Actuals!F14)</f>
        <v>-226206.17</v>
      </c>
      <c r="Q11" s="134" t="n">
        <f aca="false">IFERROR(IF(OR(4&gt;$B$3,ISBLANK(Actuals!F14)),"",(Budget!F14-Actuals!F14)/ABS(Budget!F14)),"")</f>
        <v>-0.0651664527342835</v>
      </c>
      <c r="R11" s="133" t="n">
        <f aca="false">Budget!G14</f>
        <v>-4411909.08</v>
      </c>
      <c r="S11" s="133" t="n">
        <f aca="false">IF(OR(5&gt;$B$3,ISBLANK(Actuals!G14)),"",Actuals!G14)</f>
        <v>-3950524.93</v>
      </c>
      <c r="T11" s="134" t="n">
        <f aca="false">IF(OR(5&gt;$B$3,ISBLANK(Actuals!G14)),"",Budget!G14-Actuals!G14)</f>
        <v>-461384.15</v>
      </c>
      <c r="U11" s="134" t="n">
        <f aca="false">IFERROR(IF(OR(5&gt;$B$3,ISBLANK(Actuals!G14)),"",(Budget!G14-Actuals!G14)/ABS(Budget!G14)),"")</f>
        <v>-0.104576985072412</v>
      </c>
      <c r="V11" s="133" t="n">
        <f aca="false">Budget!H14</f>
        <v>-4713320.79</v>
      </c>
      <c r="W11" s="133" t="n">
        <f aca="false">IF(OR(6&gt;$B$3,ISBLANK(Actuals!H14)),"",Actuals!H14)</f>
        <v>-5610911.85</v>
      </c>
      <c r="X11" s="134" t="n">
        <f aca="false">IF(OR(6&gt;$B$3,ISBLANK(Actuals!H14)),"",Budget!H14-Actuals!H14)</f>
        <v>897591.06</v>
      </c>
      <c r="Y11" s="134" t="n">
        <f aca="false">IFERROR(IF(OR(6&gt;$B$3,ISBLANK(Actuals!H14)),"",(Budget!H14-Actuals!H14)/ABS(Budget!H14)),"")</f>
        <v>0.190437082471528</v>
      </c>
      <c r="Z11" s="133" t="n">
        <f aca="false">Budget!I14</f>
        <v>-4969335.52</v>
      </c>
      <c r="AA11" s="133" t="n">
        <f aca="false">IF(OR(7&gt;$B$3,ISBLANK(Actuals!I14)),"",Actuals!I14)</f>
        <v>-5258946.14</v>
      </c>
      <c r="AB11" s="134" t="n">
        <f aca="false">IF(OR(7&gt;$B$3,ISBLANK(Actuals!I14)),"",Budget!I14-Actuals!I14)</f>
        <v>289610.62</v>
      </c>
      <c r="AC11" s="134" t="n">
        <f aca="false">IFERROR(IF(OR(7&gt;$B$3,ISBLANK(Actuals!I14)),"",(Budget!I14-Actuals!I14)/ABS(Budget!I14)),"")</f>
        <v>0.0582795463969799</v>
      </c>
      <c r="AD11" s="133" t="n">
        <f aca="false">Budget!J14</f>
        <v>-5167809.94</v>
      </c>
      <c r="AE11" s="133" t="n">
        <f aca="false">IF(OR(8&gt;$B$3,ISBLANK(Actuals!J14)),"",Actuals!J14)</f>
        <v>-5503997.59</v>
      </c>
      <c r="AF11" s="134" t="n">
        <f aca="false">IF(OR(8&gt;$B$3,ISBLANK(Actuals!J14)),"",Budget!J14-Actuals!J14)</f>
        <v>336187.649999999</v>
      </c>
      <c r="AG11" s="134" t="n">
        <f aca="false">IFERROR(IF(OR(8&gt;$B$3,ISBLANK(Actuals!J14)),"",(Budget!J14-Actuals!J14)/ABS(Budget!J14)),"")</f>
        <v>0.0650541823138332</v>
      </c>
      <c r="AH11" s="133" t="n">
        <f aca="false">Budget!K14</f>
        <v>-5299239.86</v>
      </c>
      <c r="AI11" s="133" t="str">
        <f aca="false">IF(OR(9&gt;$B$3,ISBLANK(Actuals!K14)),"",Actuals!K14)</f>
        <v/>
      </c>
      <c r="AJ11" s="134" t="str">
        <f aca="false">IF(OR(9&gt;$B$3,ISBLANK(Actuals!K14)),"",Budget!K14-Actuals!K14)</f>
        <v/>
      </c>
      <c r="AK11" s="134" t="str">
        <f aca="false">IFERROR(IF(OR(9&gt;$B$3,ISBLANK(Actuals!K14)),"",(Budget!K14-Actuals!K14)/ABS(Budget!K14)),"")</f>
        <v/>
      </c>
      <c r="AL11" s="133" t="n">
        <f aca="false">Budget!L14</f>
        <v>-5357779.86</v>
      </c>
      <c r="AM11" s="133" t="str">
        <f aca="false">IF(OR(10&gt;$B$3,ISBLANK(Actuals!L14)),"",Actuals!L14)</f>
        <v/>
      </c>
      <c r="AN11" s="134" t="str">
        <f aca="false">IF(OR(10&gt;$B$3,ISBLANK(Actuals!L14)),"",Budget!L14-Actuals!L14)</f>
        <v/>
      </c>
      <c r="AO11" s="134" t="str">
        <f aca="false">IFERROR(IF(OR(10&gt;$B$3,ISBLANK(Actuals!L14)),"",(Budget!L14-Actuals!L14)/ABS(Budget!L14)),"")</f>
        <v/>
      </c>
      <c r="AP11" s="133" t="n">
        <f aca="false">Budget!M14</f>
        <v>-5341883.63</v>
      </c>
      <c r="AQ11" s="133" t="str">
        <f aca="false">IF(OR(11&gt;$B$3,ISBLANK(Actuals!M14)),"",Actuals!M14)</f>
        <v/>
      </c>
      <c r="AR11" s="134" t="str">
        <f aca="false">IF(OR(11&gt;$B$3,ISBLANK(Actuals!M14)),"",Budget!M14-Actuals!M14)</f>
        <v/>
      </c>
      <c r="AS11" s="134" t="str">
        <f aca="false">IFERROR(IF(OR(11&gt;$B$3,ISBLANK(Actuals!M14)),"",(Budget!M14-Actuals!M14)/ABS(Budget!M14)),"")</f>
        <v/>
      </c>
      <c r="AT11" s="133" t="n">
        <f aca="false">Budget!N14</f>
        <v>-4998563.51</v>
      </c>
      <c r="AU11" s="133" t="str">
        <f aca="false">IF(OR(12&gt;$B$3,ISBLANK(Actuals!N14)),"",Actuals!N14)</f>
        <v/>
      </c>
      <c r="AV11" s="134" t="str">
        <f aca="false">IF(OR(12&gt;$B$3,ISBLANK(Actuals!N14)),"",Budget!N14-Actuals!N14)</f>
        <v/>
      </c>
      <c r="AW11" s="134" t="str">
        <f aca="false">IFERROR(IF(OR(12&gt;$B$3,ISBLANK(Actuals!N14)),"",(Budget!N14-Actuals!N14)/ABS(Budget!N14)),"")</f>
        <v/>
      </c>
      <c r="AX11" s="135" t="n">
        <f aca="false">SUMPRODUCT((Actuals!C14:N14&lt;&gt;"")*(Budget!C14:N14))</f>
        <v>-31530634.64</v>
      </c>
      <c r="AY11" s="135" t="n">
        <f aca="false">SUM(Actuals!C14:N14)</f>
        <v>-29955968.09</v>
      </c>
      <c r="AZ11" s="136" t="n">
        <f aca="false">AX11-AY11</f>
        <v>-1574666.55</v>
      </c>
    </row>
    <row r="12" customFormat="false" ht="15" hidden="false" customHeight="true" outlineLevel="0" collapsed="false">
      <c r="A12" s="132" t="s">
        <v>397</v>
      </c>
      <c r="B12" s="133" t="n">
        <f aca="false">Budget!C15</f>
        <v>0</v>
      </c>
      <c r="C12" s="133" t="n">
        <f aca="false">IF(OR(1&gt;$B$3,ISBLANK(Actuals!C15)),"",Actuals!C15)</f>
        <v>0</v>
      </c>
      <c r="D12" s="134" t="n">
        <f aca="false">IF(OR(1&gt;$B$3,ISBLANK(Actuals!C15)),"",Budget!C15-Actuals!C15)</f>
        <v>0</v>
      </c>
      <c r="E12" s="134" t="str">
        <f aca="false">IFERROR(IF(OR(1&gt;$B$3,ISBLANK(Actuals!C15)),"",(Budget!C15-Actuals!C15)/ABS(Budget!C15)),"")</f>
        <v/>
      </c>
      <c r="F12" s="133" t="n">
        <f aca="false">Budget!D15</f>
        <v>0</v>
      </c>
      <c r="G12" s="133" t="n">
        <f aca="false">IF(OR(2&gt;$B$3,ISBLANK(Actuals!D15)),"",Actuals!D15)</f>
        <v>0</v>
      </c>
      <c r="H12" s="134" t="n">
        <f aca="false">IF(OR(2&gt;$B$3,ISBLANK(Actuals!D15)),"",Budget!D15-Actuals!D15)</f>
        <v>0</v>
      </c>
      <c r="I12" s="134" t="str">
        <f aca="false">IFERROR(IF(OR(2&gt;$B$3,ISBLANK(Actuals!D15)),"",(Budget!D15-Actuals!D15)/ABS(Budget!D15)),"")</f>
        <v/>
      </c>
      <c r="J12" s="133" t="n">
        <f aca="false">Budget!E15</f>
        <v>0</v>
      </c>
      <c r="K12" s="133" t="n">
        <f aca="false">IF(OR(3&gt;$B$3,ISBLANK(Actuals!E15)),"",Actuals!E15)</f>
        <v>0</v>
      </c>
      <c r="L12" s="134" t="n">
        <f aca="false">IF(OR(3&gt;$B$3,ISBLANK(Actuals!E15)),"",Budget!E15-Actuals!E15)</f>
        <v>0</v>
      </c>
      <c r="M12" s="134" t="str">
        <f aca="false">IFERROR(IF(OR(3&gt;$B$3,ISBLANK(Actuals!E15)),"",(Budget!E15-Actuals!E15)/ABS(Budget!E15)),"")</f>
        <v/>
      </c>
      <c r="N12" s="133" t="n">
        <f aca="false">Budget!F15</f>
        <v>0</v>
      </c>
      <c r="O12" s="133" t="n">
        <f aca="false">IF(OR(4&gt;$B$3,ISBLANK(Actuals!F15)),"",Actuals!F15)</f>
        <v>0</v>
      </c>
      <c r="P12" s="134" t="n">
        <f aca="false">IF(OR(4&gt;$B$3,ISBLANK(Actuals!F15)),"",Budget!F15-Actuals!F15)</f>
        <v>0</v>
      </c>
      <c r="Q12" s="134" t="str">
        <f aca="false">IFERROR(IF(OR(4&gt;$B$3,ISBLANK(Actuals!F15)),"",(Budget!F15-Actuals!F15)/ABS(Budget!F15)),"")</f>
        <v/>
      </c>
      <c r="R12" s="133" t="n">
        <f aca="false">Budget!G15</f>
        <v>0</v>
      </c>
      <c r="S12" s="133" t="n">
        <f aca="false">IF(OR(5&gt;$B$3,ISBLANK(Actuals!G15)),"",Actuals!G15)</f>
        <v>0</v>
      </c>
      <c r="T12" s="134" t="n">
        <f aca="false">IF(OR(5&gt;$B$3,ISBLANK(Actuals!G15)),"",Budget!G15-Actuals!G15)</f>
        <v>0</v>
      </c>
      <c r="U12" s="134" t="str">
        <f aca="false">IFERROR(IF(OR(5&gt;$B$3,ISBLANK(Actuals!G15)),"",(Budget!G15-Actuals!G15)/ABS(Budget!G15)),"")</f>
        <v/>
      </c>
      <c r="V12" s="133" t="n">
        <f aca="false">Budget!H15</f>
        <v>0</v>
      </c>
      <c r="W12" s="133" t="n">
        <f aca="false">IF(OR(6&gt;$B$3,ISBLANK(Actuals!H15)),"",Actuals!H15)</f>
        <v>0</v>
      </c>
      <c r="X12" s="134" t="n">
        <f aca="false">IF(OR(6&gt;$B$3,ISBLANK(Actuals!H15)),"",Budget!H15-Actuals!H15)</f>
        <v>0</v>
      </c>
      <c r="Y12" s="134" t="str">
        <f aca="false">IFERROR(IF(OR(6&gt;$B$3,ISBLANK(Actuals!H15)),"",(Budget!H15-Actuals!H15)/ABS(Budget!H15)),"")</f>
        <v/>
      </c>
      <c r="Z12" s="133" t="n">
        <f aca="false">Budget!I15</f>
        <v>0</v>
      </c>
      <c r="AA12" s="133" t="n">
        <f aca="false">IF(OR(7&gt;$B$3,ISBLANK(Actuals!I15)),"",Actuals!I15)</f>
        <v>0</v>
      </c>
      <c r="AB12" s="134" t="n">
        <f aca="false">IF(OR(7&gt;$B$3,ISBLANK(Actuals!I15)),"",Budget!I15-Actuals!I15)</f>
        <v>0</v>
      </c>
      <c r="AC12" s="134" t="str">
        <f aca="false">IFERROR(IF(OR(7&gt;$B$3,ISBLANK(Actuals!I15)),"",(Budget!I15-Actuals!I15)/ABS(Budget!I15)),"")</f>
        <v/>
      </c>
      <c r="AD12" s="133" t="n">
        <f aca="false">Budget!J15</f>
        <v>0</v>
      </c>
      <c r="AE12" s="133" t="n">
        <f aca="false">IF(OR(8&gt;$B$3,ISBLANK(Actuals!J15)),"",Actuals!J15)</f>
        <v>0</v>
      </c>
      <c r="AF12" s="134" t="n">
        <f aca="false">IF(OR(8&gt;$B$3,ISBLANK(Actuals!J15)),"",Budget!J15-Actuals!J15)</f>
        <v>0</v>
      </c>
      <c r="AG12" s="134" t="str">
        <f aca="false">IFERROR(IF(OR(8&gt;$B$3,ISBLANK(Actuals!J15)),"",(Budget!J15-Actuals!J15)/ABS(Budget!J15)),"")</f>
        <v/>
      </c>
      <c r="AH12" s="133" t="n">
        <f aca="false">Budget!K15</f>
        <v>0</v>
      </c>
      <c r="AI12" s="133" t="str">
        <f aca="false">IF(OR(9&gt;$B$3,ISBLANK(Actuals!K15)),"",Actuals!K15)</f>
        <v/>
      </c>
      <c r="AJ12" s="134" t="str">
        <f aca="false">IF(OR(9&gt;$B$3,ISBLANK(Actuals!K15)),"",Budget!K15-Actuals!K15)</f>
        <v/>
      </c>
      <c r="AK12" s="134" t="str">
        <f aca="false">IFERROR(IF(OR(9&gt;$B$3,ISBLANK(Actuals!K15)),"",(Budget!K15-Actuals!K15)/ABS(Budget!K15)),"")</f>
        <v/>
      </c>
      <c r="AL12" s="133" t="n">
        <f aca="false">Budget!L15</f>
        <v>0</v>
      </c>
      <c r="AM12" s="133" t="str">
        <f aca="false">IF(OR(10&gt;$B$3,ISBLANK(Actuals!L15)),"",Actuals!L15)</f>
        <v/>
      </c>
      <c r="AN12" s="134" t="str">
        <f aca="false">IF(OR(10&gt;$B$3,ISBLANK(Actuals!L15)),"",Budget!L15-Actuals!L15)</f>
        <v/>
      </c>
      <c r="AO12" s="134" t="str">
        <f aca="false">IFERROR(IF(OR(10&gt;$B$3,ISBLANK(Actuals!L15)),"",(Budget!L15-Actuals!L15)/ABS(Budget!L15)),"")</f>
        <v/>
      </c>
      <c r="AP12" s="133" t="n">
        <f aca="false">Budget!M15</f>
        <v>0</v>
      </c>
      <c r="AQ12" s="133" t="str">
        <f aca="false">IF(OR(11&gt;$B$3,ISBLANK(Actuals!M15)),"",Actuals!M15)</f>
        <v/>
      </c>
      <c r="AR12" s="134" t="str">
        <f aca="false">IF(OR(11&gt;$B$3,ISBLANK(Actuals!M15)),"",Budget!M15-Actuals!M15)</f>
        <v/>
      </c>
      <c r="AS12" s="134" t="str">
        <f aca="false">IFERROR(IF(OR(11&gt;$B$3,ISBLANK(Actuals!M15)),"",(Budget!M15-Actuals!M15)/ABS(Budget!M15)),"")</f>
        <v/>
      </c>
      <c r="AT12" s="133" t="n">
        <f aca="false">Budget!N15</f>
        <v>0</v>
      </c>
      <c r="AU12" s="133" t="str">
        <f aca="false">IF(OR(12&gt;$B$3,ISBLANK(Actuals!N15)),"",Actuals!N15)</f>
        <v/>
      </c>
      <c r="AV12" s="134" t="str">
        <f aca="false">IF(OR(12&gt;$B$3,ISBLANK(Actuals!N15)),"",Budget!N15-Actuals!N15)</f>
        <v/>
      </c>
      <c r="AW12" s="134" t="str">
        <f aca="false">IFERROR(IF(OR(12&gt;$B$3,ISBLANK(Actuals!N15)),"",(Budget!N15-Actuals!N15)/ABS(Budget!N15)),"")</f>
        <v/>
      </c>
      <c r="AX12" s="135" t="n">
        <f aca="false">SUMPRODUCT((Actuals!C15:N15&lt;&gt;"")*(Budget!C15:N15))</f>
        <v>0</v>
      </c>
      <c r="AY12" s="135" t="n">
        <f aca="false">SUM(Actuals!C15:N15)</f>
        <v>0</v>
      </c>
      <c r="AZ12" s="136" t="n">
        <f aca="false">AX12-AY12</f>
        <v>0</v>
      </c>
    </row>
    <row r="13" customFormat="false" ht="15" hidden="false" customHeight="true" outlineLevel="0" collapsed="false">
      <c r="A13" s="132" t="s">
        <v>399</v>
      </c>
      <c r="B13" s="133" t="n">
        <f aca="false">Budget!C16</f>
        <v>0</v>
      </c>
      <c r="C13" s="133" t="n">
        <f aca="false">IF(OR(1&gt;$B$3,ISBLANK(Actuals!C16)),"",Actuals!C16)</f>
        <v>0</v>
      </c>
      <c r="D13" s="134" t="n">
        <f aca="false">IF(OR(1&gt;$B$3,ISBLANK(Actuals!C16)),"",Budget!C16-Actuals!C16)</f>
        <v>0</v>
      </c>
      <c r="E13" s="134" t="str">
        <f aca="false">IFERROR(IF(OR(1&gt;$B$3,ISBLANK(Actuals!C16)),"",(Budget!C16-Actuals!C16)/ABS(Budget!C16)),"")</f>
        <v/>
      </c>
      <c r="F13" s="133" t="n">
        <f aca="false">Budget!D16</f>
        <v>0</v>
      </c>
      <c r="G13" s="133" t="n">
        <f aca="false">IF(OR(2&gt;$B$3,ISBLANK(Actuals!D16)),"",Actuals!D16)</f>
        <v>0</v>
      </c>
      <c r="H13" s="134" t="n">
        <f aca="false">IF(OR(2&gt;$B$3,ISBLANK(Actuals!D16)),"",Budget!D16-Actuals!D16)</f>
        <v>0</v>
      </c>
      <c r="I13" s="134" t="str">
        <f aca="false">IFERROR(IF(OR(2&gt;$B$3,ISBLANK(Actuals!D16)),"",(Budget!D16-Actuals!D16)/ABS(Budget!D16)),"")</f>
        <v/>
      </c>
      <c r="J13" s="133" t="n">
        <f aca="false">Budget!E16</f>
        <v>0</v>
      </c>
      <c r="K13" s="133" t="n">
        <f aca="false">IF(OR(3&gt;$B$3,ISBLANK(Actuals!E16)),"",Actuals!E16)</f>
        <v>0</v>
      </c>
      <c r="L13" s="134" t="n">
        <f aca="false">IF(OR(3&gt;$B$3,ISBLANK(Actuals!E16)),"",Budget!E16-Actuals!E16)</f>
        <v>0</v>
      </c>
      <c r="M13" s="134" t="str">
        <f aca="false">IFERROR(IF(OR(3&gt;$B$3,ISBLANK(Actuals!E16)),"",(Budget!E16-Actuals!E16)/ABS(Budget!E16)),"")</f>
        <v/>
      </c>
      <c r="N13" s="133" t="n">
        <f aca="false">Budget!F16</f>
        <v>0</v>
      </c>
      <c r="O13" s="133" t="n">
        <f aca="false">IF(OR(4&gt;$B$3,ISBLANK(Actuals!F16)),"",Actuals!F16)</f>
        <v>0</v>
      </c>
      <c r="P13" s="134" t="n">
        <f aca="false">IF(OR(4&gt;$B$3,ISBLANK(Actuals!F16)),"",Budget!F16-Actuals!F16)</f>
        <v>0</v>
      </c>
      <c r="Q13" s="134" t="str">
        <f aca="false">IFERROR(IF(OR(4&gt;$B$3,ISBLANK(Actuals!F16)),"",(Budget!F16-Actuals!F16)/ABS(Budget!F16)),"")</f>
        <v/>
      </c>
      <c r="R13" s="133" t="n">
        <f aca="false">Budget!G16</f>
        <v>0</v>
      </c>
      <c r="S13" s="133" t="n">
        <f aca="false">IF(OR(5&gt;$B$3,ISBLANK(Actuals!G16)),"",Actuals!G16)</f>
        <v>0</v>
      </c>
      <c r="T13" s="134" t="n">
        <f aca="false">IF(OR(5&gt;$B$3,ISBLANK(Actuals!G16)),"",Budget!G16-Actuals!G16)</f>
        <v>0</v>
      </c>
      <c r="U13" s="134" t="str">
        <f aca="false">IFERROR(IF(OR(5&gt;$B$3,ISBLANK(Actuals!G16)),"",(Budget!G16-Actuals!G16)/ABS(Budget!G16)),"")</f>
        <v/>
      </c>
      <c r="V13" s="133" t="n">
        <f aca="false">Budget!H16</f>
        <v>0</v>
      </c>
      <c r="W13" s="133" t="n">
        <f aca="false">IF(OR(6&gt;$B$3,ISBLANK(Actuals!H16)),"",Actuals!H16)</f>
        <v>0</v>
      </c>
      <c r="X13" s="134" t="n">
        <f aca="false">IF(OR(6&gt;$B$3,ISBLANK(Actuals!H16)),"",Budget!H16-Actuals!H16)</f>
        <v>0</v>
      </c>
      <c r="Y13" s="134" t="str">
        <f aca="false">IFERROR(IF(OR(6&gt;$B$3,ISBLANK(Actuals!H16)),"",(Budget!H16-Actuals!H16)/ABS(Budget!H16)),"")</f>
        <v/>
      </c>
      <c r="Z13" s="133" t="n">
        <f aca="false">Budget!I16</f>
        <v>0</v>
      </c>
      <c r="AA13" s="133" t="n">
        <f aca="false">IF(OR(7&gt;$B$3,ISBLANK(Actuals!I16)),"",Actuals!I16)</f>
        <v>0</v>
      </c>
      <c r="AB13" s="134" t="n">
        <f aca="false">IF(OR(7&gt;$B$3,ISBLANK(Actuals!I16)),"",Budget!I16-Actuals!I16)</f>
        <v>0</v>
      </c>
      <c r="AC13" s="134" t="str">
        <f aca="false">IFERROR(IF(OR(7&gt;$B$3,ISBLANK(Actuals!I16)),"",(Budget!I16-Actuals!I16)/ABS(Budget!I16)),"")</f>
        <v/>
      </c>
      <c r="AD13" s="133" t="n">
        <f aca="false">Budget!J16</f>
        <v>0</v>
      </c>
      <c r="AE13" s="133" t="n">
        <f aca="false">IF(OR(8&gt;$B$3,ISBLANK(Actuals!J16)),"",Actuals!J16)</f>
        <v>0</v>
      </c>
      <c r="AF13" s="134" t="n">
        <f aca="false">IF(OR(8&gt;$B$3,ISBLANK(Actuals!J16)),"",Budget!J16-Actuals!J16)</f>
        <v>0</v>
      </c>
      <c r="AG13" s="134" t="str">
        <f aca="false">IFERROR(IF(OR(8&gt;$B$3,ISBLANK(Actuals!J16)),"",(Budget!J16-Actuals!J16)/ABS(Budget!J16)),"")</f>
        <v/>
      </c>
      <c r="AH13" s="133" t="n">
        <f aca="false">Budget!K16</f>
        <v>0</v>
      </c>
      <c r="AI13" s="133" t="str">
        <f aca="false">IF(OR(9&gt;$B$3,ISBLANK(Actuals!K16)),"",Actuals!K16)</f>
        <v/>
      </c>
      <c r="AJ13" s="134" t="str">
        <f aca="false">IF(OR(9&gt;$B$3,ISBLANK(Actuals!K16)),"",Budget!K16-Actuals!K16)</f>
        <v/>
      </c>
      <c r="AK13" s="134" t="str">
        <f aca="false">IFERROR(IF(OR(9&gt;$B$3,ISBLANK(Actuals!K16)),"",(Budget!K16-Actuals!K16)/ABS(Budget!K16)),"")</f>
        <v/>
      </c>
      <c r="AL13" s="133" t="n">
        <f aca="false">Budget!L16</f>
        <v>0</v>
      </c>
      <c r="AM13" s="133" t="str">
        <f aca="false">IF(OR(10&gt;$B$3,ISBLANK(Actuals!L16)),"",Actuals!L16)</f>
        <v/>
      </c>
      <c r="AN13" s="134" t="str">
        <f aca="false">IF(OR(10&gt;$B$3,ISBLANK(Actuals!L16)),"",Budget!L16-Actuals!L16)</f>
        <v/>
      </c>
      <c r="AO13" s="134" t="str">
        <f aca="false">IFERROR(IF(OR(10&gt;$B$3,ISBLANK(Actuals!L16)),"",(Budget!L16-Actuals!L16)/ABS(Budget!L16)),"")</f>
        <v/>
      </c>
      <c r="AP13" s="133" t="n">
        <f aca="false">Budget!M16</f>
        <v>0</v>
      </c>
      <c r="AQ13" s="133" t="str">
        <f aca="false">IF(OR(11&gt;$B$3,ISBLANK(Actuals!M16)),"",Actuals!M16)</f>
        <v/>
      </c>
      <c r="AR13" s="134" t="str">
        <f aca="false">IF(OR(11&gt;$B$3,ISBLANK(Actuals!M16)),"",Budget!M16-Actuals!M16)</f>
        <v/>
      </c>
      <c r="AS13" s="134" t="str">
        <f aca="false">IFERROR(IF(OR(11&gt;$B$3,ISBLANK(Actuals!M16)),"",(Budget!M16-Actuals!M16)/ABS(Budget!M16)),"")</f>
        <v/>
      </c>
      <c r="AT13" s="133" t="n">
        <f aca="false">Budget!N16</f>
        <v>0</v>
      </c>
      <c r="AU13" s="133" t="str">
        <f aca="false">IF(OR(12&gt;$B$3,ISBLANK(Actuals!N16)),"",Actuals!N16)</f>
        <v/>
      </c>
      <c r="AV13" s="134" t="str">
        <f aca="false">IF(OR(12&gt;$B$3,ISBLANK(Actuals!N16)),"",Budget!N16-Actuals!N16)</f>
        <v/>
      </c>
      <c r="AW13" s="134" t="str">
        <f aca="false">IFERROR(IF(OR(12&gt;$B$3,ISBLANK(Actuals!N16)),"",(Budget!N16-Actuals!N16)/ABS(Budget!N16)),"")</f>
        <v/>
      </c>
      <c r="AX13" s="135" t="n">
        <f aca="false">SUMPRODUCT((Actuals!C16:N16&lt;&gt;"")*(Budget!C16:N16))</f>
        <v>0</v>
      </c>
      <c r="AY13" s="135" t="n">
        <f aca="false">SUM(Actuals!C16:N16)</f>
        <v>0</v>
      </c>
      <c r="AZ13" s="136" t="n">
        <f aca="false">AX13-AY13</f>
        <v>0</v>
      </c>
    </row>
    <row r="14" customFormat="false" ht="15" hidden="false" customHeight="true" outlineLevel="0" collapsed="false">
      <c r="A14" s="132" t="s">
        <v>61</v>
      </c>
      <c r="B14" s="133" t="n">
        <f aca="false">Budget!C17</f>
        <v>324259.89</v>
      </c>
      <c r="C14" s="133" t="n">
        <f aca="false">IF(OR(1&gt;$B$3,ISBLANK(Actuals!C17)),"",Actuals!C17)</f>
        <v>218756.86</v>
      </c>
      <c r="D14" s="134" t="n">
        <f aca="false">IF(OR(1&gt;$B$3,ISBLANK(Actuals!C17)),"",Budget!C17-Actuals!C17)</f>
        <v>105503.03</v>
      </c>
      <c r="E14" s="134" t="n">
        <f aca="false">IFERROR(IF(OR(1&gt;$B$3,ISBLANK(Actuals!C17)),"",(Budget!C17-Actuals!C17)/ABS(Budget!C17)),"")</f>
        <v>0.32536565037384</v>
      </c>
      <c r="F14" s="133" t="n">
        <f aca="false">Budget!D17</f>
        <v>339504.55</v>
      </c>
      <c r="G14" s="133" t="n">
        <f aca="false">IF(OR(2&gt;$B$3,ISBLANK(Actuals!D17)),"",Actuals!D17)</f>
        <v>-51000.77</v>
      </c>
      <c r="H14" s="134" t="n">
        <f aca="false">IF(OR(2&gt;$B$3,ISBLANK(Actuals!D17)),"",Budget!D17-Actuals!D17)</f>
        <v>390505.32</v>
      </c>
      <c r="I14" s="134" t="n">
        <f aca="false">IFERROR(IF(OR(2&gt;$B$3,ISBLANK(Actuals!D17)),"",(Budget!D17-Actuals!D17)/ABS(Budget!D17)),"")</f>
        <v>1.15022116787536</v>
      </c>
      <c r="J14" s="133" t="n">
        <f aca="false">Budget!E17</f>
        <v>354679.96</v>
      </c>
      <c r="K14" s="133" t="n">
        <f aca="false">IF(OR(3&gt;$B$3,ISBLANK(Actuals!E17)),"",Actuals!E17)</f>
        <v>594184.52</v>
      </c>
      <c r="L14" s="134" t="n">
        <f aca="false">IF(OR(3&gt;$B$3,ISBLANK(Actuals!E17)),"",Budget!E17-Actuals!E17)</f>
        <v>-239504.56</v>
      </c>
      <c r="M14" s="134" t="n">
        <f aca="false">IFERROR(IF(OR(3&gt;$B$3,ISBLANK(Actuals!E17)),"",(Budget!E17-Actuals!E17)/ABS(Budget!E17)),"")</f>
        <v>-0.675269502116782</v>
      </c>
      <c r="N14" s="133" t="n">
        <f aca="false">Budget!F17</f>
        <v>369182.36</v>
      </c>
      <c r="O14" s="133" t="n">
        <f aca="false">IF(OR(4&gt;$B$3,ISBLANK(Actuals!F17)),"",Actuals!F17)</f>
        <v>447358.25</v>
      </c>
      <c r="P14" s="134" t="n">
        <f aca="false">IF(OR(4&gt;$B$3,ISBLANK(Actuals!F17)),"",Budget!F17-Actuals!F17)</f>
        <v>-78175.8900000005</v>
      </c>
      <c r="Q14" s="134" t="n">
        <f aca="false">IFERROR(IF(OR(4&gt;$B$3,ISBLANK(Actuals!F17)),"",(Budget!F17-Actuals!F17)/ABS(Budget!F17)),"")</f>
        <v>-0.211754131481256</v>
      </c>
      <c r="R14" s="133" t="n">
        <f aca="false">Budget!G17</f>
        <v>523342.55</v>
      </c>
      <c r="S14" s="133" t="n">
        <f aca="false">IF(OR(5&gt;$B$3,ISBLANK(Actuals!G17)),"",Actuals!G17)</f>
        <v>465536.7</v>
      </c>
      <c r="T14" s="134" t="n">
        <f aca="false">IF(OR(5&gt;$B$3,ISBLANK(Actuals!G17)),"",Budget!G17-Actuals!G17)</f>
        <v>57805.8500000003</v>
      </c>
      <c r="U14" s="134" t="n">
        <f aca="false">IFERROR(IF(OR(5&gt;$B$3,ISBLANK(Actuals!G17)),"",(Budget!G17-Actuals!G17)/ABS(Budget!G17)),"")</f>
        <v>0.110455092940561</v>
      </c>
      <c r="V14" s="133" t="n">
        <f aca="false">Budget!H17</f>
        <v>540018.13</v>
      </c>
      <c r="W14" s="133" t="n">
        <f aca="false">IF(OR(6&gt;$B$3,ISBLANK(Actuals!H17)),"",Actuals!H17)</f>
        <v>641351.130000001</v>
      </c>
      <c r="X14" s="134" t="n">
        <f aca="false">IF(OR(6&gt;$B$3,ISBLANK(Actuals!H17)),"",Budget!H17-Actuals!H17)</f>
        <v>-101333.000000001</v>
      </c>
      <c r="Y14" s="134" t="n">
        <f aca="false">IFERROR(IF(OR(6&gt;$B$3,ISBLANK(Actuals!H17)),"",(Budget!H17-Actuals!H17)/ABS(Budget!H17)),"")</f>
        <v>-0.187647403615876</v>
      </c>
      <c r="Z14" s="133" t="n">
        <f aca="false">Budget!I17</f>
        <v>554251.95</v>
      </c>
      <c r="AA14" s="133" t="n">
        <f aca="false">IF(OR(7&gt;$B$3,ISBLANK(Actuals!I17)),"",Actuals!I17)</f>
        <v>1766649.51</v>
      </c>
      <c r="AB14" s="134" t="n">
        <f aca="false">IF(OR(7&gt;$B$3,ISBLANK(Actuals!I17)),"",Budget!I17-Actuals!I17)</f>
        <v>-1212397.56</v>
      </c>
      <c r="AC14" s="134" t="n">
        <f aca="false">IFERROR(IF(OR(7&gt;$B$3,ISBLANK(Actuals!I17)),"",(Budget!I17-Actuals!I17)/ABS(Budget!I17)),"")</f>
        <v>-2.18744843387561</v>
      </c>
      <c r="AD14" s="133" t="n">
        <f aca="false">Budget!J17</f>
        <v>565364.09</v>
      </c>
      <c r="AE14" s="133" t="n">
        <f aca="false">IF(OR(8&gt;$B$3,ISBLANK(Actuals!J17)),"",Actuals!J17)</f>
        <v>560735.39</v>
      </c>
      <c r="AF14" s="134" t="n">
        <f aca="false">IF(OR(8&gt;$B$3,ISBLANK(Actuals!J17)),"",Budget!J17-Actuals!J17)</f>
        <v>4628.7000000003</v>
      </c>
      <c r="AG14" s="134" t="n">
        <f aca="false">IFERROR(IF(OR(8&gt;$B$3,ISBLANK(Actuals!J17)),"",(Budget!J17-Actuals!J17)/ABS(Budget!J17)),"")</f>
        <v>0.00818711354660021</v>
      </c>
      <c r="AH14" s="133" t="n">
        <f aca="false">Budget!K17</f>
        <v>572823.45</v>
      </c>
      <c r="AI14" s="133" t="str">
        <f aca="false">IF(OR(9&gt;$B$3,ISBLANK(Actuals!K17)),"",Actuals!K17)</f>
        <v/>
      </c>
      <c r="AJ14" s="134" t="str">
        <f aca="false">IF(OR(9&gt;$B$3,ISBLANK(Actuals!K17)),"",Budget!K17-Actuals!K17)</f>
        <v/>
      </c>
      <c r="AK14" s="134" t="str">
        <f aca="false">IFERROR(IF(OR(9&gt;$B$3,ISBLANK(Actuals!K17)),"",(Budget!K17-Actuals!K17)/ABS(Budget!K17)),"")</f>
        <v/>
      </c>
      <c r="AL14" s="133" t="n">
        <f aca="false">Budget!L17</f>
        <v>576304.38</v>
      </c>
      <c r="AM14" s="133" t="str">
        <f aca="false">IF(OR(10&gt;$B$3,ISBLANK(Actuals!L17)),"",Actuals!L17)</f>
        <v/>
      </c>
      <c r="AN14" s="134" t="str">
        <f aca="false">IF(OR(10&gt;$B$3,ISBLANK(Actuals!L17)),"",Budget!L17-Actuals!L17)</f>
        <v/>
      </c>
      <c r="AO14" s="134" t="str">
        <f aca="false">IFERROR(IF(OR(10&gt;$B$3,ISBLANK(Actuals!L17)),"",(Budget!L17-Actuals!L17)/ABS(Budget!L17)),"")</f>
        <v/>
      </c>
      <c r="AP14" s="133" t="n">
        <f aca="false">Budget!M17</f>
        <v>575721.48</v>
      </c>
      <c r="AQ14" s="133" t="str">
        <f aca="false">IF(OR(11&gt;$B$3,ISBLANK(Actuals!M17)),"",Actuals!M17)</f>
        <v/>
      </c>
      <c r="AR14" s="134" t="str">
        <f aca="false">IF(OR(11&gt;$B$3,ISBLANK(Actuals!M17)),"",Budget!M17-Actuals!M17)</f>
        <v/>
      </c>
      <c r="AS14" s="134" t="str">
        <f aca="false">IFERROR(IF(OR(11&gt;$B$3,ISBLANK(Actuals!M17)),"",(Budget!M17-Actuals!M17)/ABS(Budget!M17)),"")</f>
        <v/>
      </c>
      <c r="AT14" s="133" t="n">
        <f aca="false">Budget!N17</f>
        <v>526839.16</v>
      </c>
      <c r="AU14" s="133" t="str">
        <f aca="false">IF(OR(12&gt;$B$3,ISBLANK(Actuals!N17)),"",Actuals!N17)</f>
        <v/>
      </c>
      <c r="AV14" s="134" t="str">
        <f aca="false">IF(OR(12&gt;$B$3,ISBLANK(Actuals!N17)),"",Budget!N17-Actuals!N17)</f>
        <v/>
      </c>
      <c r="AW14" s="134" t="str">
        <f aca="false">IFERROR(IF(OR(12&gt;$B$3,ISBLANK(Actuals!N17)),"",(Budget!N17-Actuals!N17)/ABS(Budget!N17)),"")</f>
        <v/>
      </c>
      <c r="AX14" s="135" t="n">
        <f aca="false">SUMPRODUCT((Actuals!C17:N17&lt;&gt;"")*(Budget!C17:N17))</f>
        <v>5822291.95</v>
      </c>
      <c r="AY14" s="135" t="n">
        <f aca="false">SUM(Actuals!C17:N17)</f>
        <v>4643571.59</v>
      </c>
      <c r="AZ14" s="136" t="n">
        <f aca="false">AX14-AY14</f>
        <v>1178720.36</v>
      </c>
    </row>
    <row r="15" customFormat="false" ht="15" hidden="false" customHeight="true" outlineLevel="0" collapsed="false">
      <c r="A15" s="132" t="s">
        <v>64</v>
      </c>
      <c r="B15" s="133" t="n">
        <f aca="false">Budget!C21</f>
        <v>-176250.01</v>
      </c>
      <c r="C15" s="133" t="n">
        <f aca="false">IF(OR(1&gt;$B$3,ISBLANK(Actuals!C21)),"",Actuals!C21)</f>
        <v>-144550.9</v>
      </c>
      <c r="D15" s="134" t="n">
        <f aca="false">IF(OR(1&gt;$B$3,ISBLANK(Actuals!C21)),"",Budget!C21-Actuals!C21)</f>
        <v>-31699.11</v>
      </c>
      <c r="E15" s="134" t="n">
        <f aca="false">IFERROR(IF(OR(1&gt;$B$3,ISBLANK(Actuals!C21)),"",(Budget!C21-Actuals!C21)/ABS(Budget!C21)),"")</f>
        <v>-0.179853096178548</v>
      </c>
      <c r="F15" s="133" t="n">
        <f aca="false">Budget!D21</f>
        <v>-176250.01</v>
      </c>
      <c r="G15" s="133" t="n">
        <f aca="false">IF(OR(2&gt;$B$3,ISBLANK(Actuals!D21)),"",Actuals!D21)</f>
        <v>-150672.84</v>
      </c>
      <c r="H15" s="134" t="n">
        <f aca="false">IF(OR(2&gt;$B$3,ISBLANK(Actuals!D21)),"",Budget!D21-Actuals!D21)</f>
        <v>-25577.17</v>
      </c>
      <c r="I15" s="134" t="n">
        <f aca="false">IFERROR(IF(OR(2&gt;$B$3,ISBLANK(Actuals!D21)),"",(Budget!D21-Actuals!D21)/ABS(Budget!D21)),"")</f>
        <v>-0.145118686801777</v>
      </c>
      <c r="J15" s="133" t="n">
        <f aca="false">Budget!E21</f>
        <v>-176250.01</v>
      </c>
      <c r="K15" s="133" t="n">
        <f aca="false">IF(OR(3&gt;$B$3,ISBLANK(Actuals!E21)),"",Actuals!E21)</f>
        <v>-178867.86</v>
      </c>
      <c r="L15" s="134" t="n">
        <f aca="false">IF(OR(3&gt;$B$3,ISBLANK(Actuals!E21)),"",Budget!E21-Actuals!E21)</f>
        <v>2617.84999999998</v>
      </c>
      <c r="M15" s="134" t="n">
        <f aca="false">IFERROR(IF(OR(3&gt;$B$3,ISBLANK(Actuals!E21)),"",(Budget!E21-Actuals!E21)/ABS(Budget!E21)),"")</f>
        <v>0.0148530488026638</v>
      </c>
      <c r="N15" s="133" t="n">
        <f aca="false">Budget!F21</f>
        <v>-176250.01</v>
      </c>
      <c r="O15" s="133" t="n">
        <f aca="false">IF(OR(4&gt;$B$3,ISBLANK(Actuals!F21)),"",Actuals!F21)</f>
        <v>-187693.63</v>
      </c>
      <c r="P15" s="134" t="n">
        <f aca="false">IF(OR(4&gt;$B$3,ISBLANK(Actuals!F21)),"",Budget!F21-Actuals!F21)</f>
        <v>11443.62</v>
      </c>
      <c r="Q15" s="134" t="n">
        <f aca="false">IFERROR(IF(OR(4&gt;$B$3,ISBLANK(Actuals!F21)),"",(Budget!F21-Actuals!F21)/ABS(Budget!F21)),"")</f>
        <v>0.0649283367416546</v>
      </c>
      <c r="R15" s="133" t="n">
        <f aca="false">Budget!G21</f>
        <v>-176250.01</v>
      </c>
      <c r="S15" s="133" t="n">
        <f aca="false">IF(OR(5&gt;$B$3,ISBLANK(Actuals!G21)),"",Actuals!G21)</f>
        <v>-295949.1</v>
      </c>
      <c r="T15" s="134" t="n">
        <f aca="false">IF(OR(5&gt;$B$3,ISBLANK(Actuals!G21)),"",Budget!G21-Actuals!G21)</f>
        <v>119699.09</v>
      </c>
      <c r="U15" s="134" t="n">
        <f aca="false">IFERROR(IF(OR(5&gt;$B$3,ISBLANK(Actuals!G21)),"",(Budget!G21-Actuals!G21)/ABS(Budget!G21)),"")</f>
        <v>0.679143734516667</v>
      </c>
      <c r="V15" s="133" t="n">
        <f aca="false">Budget!H21</f>
        <v>-176250.01</v>
      </c>
      <c r="W15" s="133" t="n">
        <f aca="false">IF(OR(6&gt;$B$3,ISBLANK(Actuals!H21)),"",Actuals!H21)</f>
        <v>-198645.92</v>
      </c>
      <c r="X15" s="134" t="n">
        <f aca="false">IF(OR(6&gt;$B$3,ISBLANK(Actuals!H21)),"",Budget!H21-Actuals!H21)</f>
        <v>22395.91</v>
      </c>
      <c r="Y15" s="134" t="n">
        <f aca="false">IFERROR(IF(OR(6&gt;$B$3,ISBLANK(Actuals!H21)),"",(Budget!H21-Actuals!H21)/ABS(Budget!H21)),"")</f>
        <v>0.127068985698214</v>
      </c>
      <c r="Z15" s="133" t="n">
        <f aca="false">Budget!I21</f>
        <v>-176250.01</v>
      </c>
      <c r="AA15" s="133" t="n">
        <f aca="false">IF(OR(7&gt;$B$3,ISBLANK(Actuals!I21)),"",Actuals!I21)</f>
        <v>-215851.71</v>
      </c>
      <c r="AB15" s="134" t="n">
        <f aca="false">IF(OR(7&gt;$B$3,ISBLANK(Actuals!I21)),"",Budget!I21-Actuals!I21)</f>
        <v>39601.7</v>
      </c>
      <c r="AC15" s="134" t="n">
        <f aca="false">IFERROR(IF(OR(7&gt;$B$3,ISBLANK(Actuals!I21)),"",(Budget!I21-Actuals!I21)/ABS(Budget!I21)),"")</f>
        <v>0.224690483705504</v>
      </c>
      <c r="AD15" s="133" t="n">
        <f aca="false">Budget!J21</f>
        <v>-176250.01</v>
      </c>
      <c r="AE15" s="133" t="n">
        <f aca="false">IF(OR(8&gt;$B$3,ISBLANK(Actuals!J21)),"",Actuals!J21)</f>
        <v>-217610.65</v>
      </c>
      <c r="AF15" s="134" t="n">
        <f aca="false">IF(OR(8&gt;$B$3,ISBLANK(Actuals!J21)),"",Budget!J21-Actuals!J21)</f>
        <v>41360.64</v>
      </c>
      <c r="AG15" s="134" t="n">
        <f aca="false">IFERROR(IF(OR(8&gt;$B$3,ISBLANK(Actuals!J21)),"",(Budget!J21-Actuals!J21)/ABS(Budget!J21)),"")</f>
        <v>0.234670284557714</v>
      </c>
      <c r="AH15" s="133" t="n">
        <f aca="false">Budget!K21</f>
        <v>-176250.01</v>
      </c>
      <c r="AI15" s="133" t="str">
        <f aca="false">IF(OR(9&gt;$B$3,ISBLANK(Actuals!K21)),"",Actuals!K21)</f>
        <v/>
      </c>
      <c r="AJ15" s="134" t="str">
        <f aca="false">IF(OR(9&gt;$B$3,ISBLANK(Actuals!K21)),"",Budget!K21-Actuals!K21)</f>
        <v/>
      </c>
      <c r="AK15" s="134" t="str">
        <f aca="false">IFERROR(IF(OR(9&gt;$B$3,ISBLANK(Actuals!K21)),"",(Budget!K21-Actuals!K21)/ABS(Budget!K21)),"")</f>
        <v/>
      </c>
      <c r="AL15" s="133" t="n">
        <f aca="false">Budget!L21</f>
        <v>-176250.01</v>
      </c>
      <c r="AM15" s="133" t="str">
        <f aca="false">IF(OR(10&gt;$B$3,ISBLANK(Actuals!L21)),"",Actuals!L21)</f>
        <v/>
      </c>
      <c r="AN15" s="134" t="str">
        <f aca="false">IF(OR(10&gt;$B$3,ISBLANK(Actuals!L21)),"",Budget!L21-Actuals!L21)</f>
        <v/>
      </c>
      <c r="AO15" s="134" t="str">
        <f aca="false">IFERROR(IF(OR(10&gt;$B$3,ISBLANK(Actuals!L21)),"",(Budget!L21-Actuals!L21)/ABS(Budget!L21)),"")</f>
        <v/>
      </c>
      <c r="AP15" s="133" t="n">
        <f aca="false">Budget!M21</f>
        <v>-176250.01</v>
      </c>
      <c r="AQ15" s="133" t="str">
        <f aca="false">IF(OR(11&gt;$B$3,ISBLANK(Actuals!M21)),"",Actuals!M21)</f>
        <v/>
      </c>
      <c r="AR15" s="134" t="str">
        <f aca="false">IF(OR(11&gt;$B$3,ISBLANK(Actuals!M21)),"",Budget!M21-Actuals!M21)</f>
        <v/>
      </c>
      <c r="AS15" s="134" t="str">
        <f aca="false">IFERROR(IF(OR(11&gt;$B$3,ISBLANK(Actuals!M21)),"",(Budget!M21-Actuals!M21)/ABS(Budget!M21)),"")</f>
        <v/>
      </c>
      <c r="AT15" s="133" t="n">
        <f aca="false">Budget!N21</f>
        <v>-176250.01</v>
      </c>
      <c r="AU15" s="133" t="str">
        <f aca="false">IF(OR(12&gt;$B$3,ISBLANK(Actuals!N21)),"",Actuals!N21)</f>
        <v/>
      </c>
      <c r="AV15" s="134" t="str">
        <f aca="false">IF(OR(12&gt;$B$3,ISBLANK(Actuals!N21)),"",Budget!N21-Actuals!N21)</f>
        <v/>
      </c>
      <c r="AW15" s="134" t="str">
        <f aca="false">IFERROR(IF(OR(12&gt;$B$3,ISBLANK(Actuals!N21)),"",(Budget!N21-Actuals!N21)/ABS(Budget!N21)),"")</f>
        <v/>
      </c>
      <c r="AX15" s="135" t="n">
        <f aca="false">SUMPRODUCT((Actuals!C21:N21&lt;&gt;"")*(Budget!C21:N21))</f>
        <v>-1410000.08</v>
      </c>
      <c r="AY15" s="135" t="n">
        <f aca="false">SUM(Actuals!C21:N21)</f>
        <v>-1589842.61</v>
      </c>
      <c r="AZ15" s="136" t="n">
        <f aca="false">AX15-AY15</f>
        <v>179842.53</v>
      </c>
    </row>
    <row r="16" customFormat="false" ht="15" hidden="false" customHeight="true" outlineLevel="0" collapsed="false">
      <c r="A16" s="132" t="s">
        <v>65</v>
      </c>
      <c r="B16" s="133" t="n">
        <f aca="false">Budget!C22</f>
        <v>-26437.5</v>
      </c>
      <c r="C16" s="133" t="n">
        <f aca="false">IF(OR(1&gt;$B$3,ISBLANK(Actuals!C22)),"",Actuals!C22)</f>
        <v>-7450.37</v>
      </c>
      <c r="D16" s="134" t="n">
        <f aca="false">IF(OR(1&gt;$B$3,ISBLANK(Actuals!C22)),"",Budget!C22-Actuals!C22)</f>
        <v>-18987.13</v>
      </c>
      <c r="E16" s="134" t="n">
        <f aca="false">IFERROR(IF(OR(1&gt;$B$3,ISBLANK(Actuals!C22)),"",(Budget!C22-Actuals!C22)/ABS(Budget!C22)),"")</f>
        <v>-0.718189314420804</v>
      </c>
      <c r="F16" s="133" t="n">
        <f aca="false">Budget!D22</f>
        <v>-26437.5</v>
      </c>
      <c r="G16" s="133" t="n">
        <f aca="false">IF(OR(2&gt;$B$3,ISBLANK(Actuals!D22)),"",Actuals!D22)</f>
        <v>-10567.2</v>
      </c>
      <c r="H16" s="134" t="n">
        <f aca="false">IF(OR(2&gt;$B$3,ISBLANK(Actuals!D22)),"",Budget!D22-Actuals!D22)</f>
        <v>-15870.3</v>
      </c>
      <c r="I16" s="134" t="n">
        <f aca="false">IFERROR(IF(OR(2&gt;$B$3,ISBLANK(Actuals!D22)),"",(Budget!D22-Actuals!D22)/ABS(Budget!D22)),"")</f>
        <v>-0.600295035460993</v>
      </c>
      <c r="J16" s="133" t="n">
        <f aca="false">Budget!E22</f>
        <v>-26437.5</v>
      </c>
      <c r="K16" s="133" t="n">
        <f aca="false">IF(OR(3&gt;$B$3,ISBLANK(Actuals!E22)),"",Actuals!E22)</f>
        <v>-17033.3</v>
      </c>
      <c r="L16" s="134" t="n">
        <f aca="false">IF(OR(3&gt;$B$3,ISBLANK(Actuals!E22)),"",Budget!E22-Actuals!E22)</f>
        <v>-9404.2</v>
      </c>
      <c r="M16" s="134" t="n">
        <f aca="false">IFERROR(IF(OR(3&gt;$B$3,ISBLANK(Actuals!E22)),"",(Budget!E22-Actuals!E22)/ABS(Budget!E22)),"")</f>
        <v>-0.355714420803783</v>
      </c>
      <c r="N16" s="133" t="n">
        <f aca="false">Budget!F22</f>
        <v>-26437.5</v>
      </c>
      <c r="O16" s="133" t="n">
        <f aca="false">IF(OR(4&gt;$B$3,ISBLANK(Actuals!F22)),"",Actuals!F22)</f>
        <v>-14599.57</v>
      </c>
      <c r="P16" s="134" t="n">
        <f aca="false">IF(OR(4&gt;$B$3,ISBLANK(Actuals!F22)),"",Budget!F22-Actuals!F22)</f>
        <v>-11837.93</v>
      </c>
      <c r="Q16" s="134" t="n">
        <f aca="false">IFERROR(IF(OR(4&gt;$B$3,ISBLANK(Actuals!F22)),"",(Budget!F22-Actuals!F22)/ABS(Budget!F22)),"")</f>
        <v>-0.447770401891253</v>
      </c>
      <c r="R16" s="133" t="n">
        <f aca="false">Budget!G22</f>
        <v>-26437.5</v>
      </c>
      <c r="S16" s="133" t="n">
        <f aca="false">IF(OR(5&gt;$B$3,ISBLANK(Actuals!G22)),"",Actuals!G22)</f>
        <v>-23689.02</v>
      </c>
      <c r="T16" s="134" t="n">
        <f aca="false">IF(OR(5&gt;$B$3,ISBLANK(Actuals!G22)),"",Budget!G22-Actuals!G22)</f>
        <v>-2748.48</v>
      </c>
      <c r="U16" s="134" t="n">
        <f aca="false">IFERROR(IF(OR(5&gt;$B$3,ISBLANK(Actuals!G22)),"",(Budget!G22-Actuals!G22)/ABS(Budget!G22)),"")</f>
        <v>-0.103961418439716</v>
      </c>
      <c r="V16" s="133" t="n">
        <f aca="false">Budget!H22</f>
        <v>-26437.5</v>
      </c>
      <c r="W16" s="133" t="n">
        <f aca="false">IF(OR(6&gt;$B$3,ISBLANK(Actuals!H22)),"",Actuals!H22)</f>
        <v>-14793.67</v>
      </c>
      <c r="X16" s="134" t="n">
        <f aca="false">IF(OR(6&gt;$B$3,ISBLANK(Actuals!H22)),"",Budget!H22-Actuals!H22)</f>
        <v>-11643.83</v>
      </c>
      <c r="Y16" s="134" t="n">
        <f aca="false">IFERROR(IF(OR(6&gt;$B$3,ISBLANK(Actuals!H22)),"",(Budget!H22-Actuals!H22)/ABS(Budget!H22)),"")</f>
        <v>-0.440428557919622</v>
      </c>
      <c r="Z16" s="133" t="n">
        <f aca="false">Budget!I22</f>
        <v>-26437.5</v>
      </c>
      <c r="AA16" s="133" t="n">
        <f aca="false">IF(OR(7&gt;$B$3,ISBLANK(Actuals!I22)),"",Actuals!I22)</f>
        <v>-16311.09</v>
      </c>
      <c r="AB16" s="134" t="n">
        <f aca="false">IF(OR(7&gt;$B$3,ISBLANK(Actuals!I22)),"",Budget!I22-Actuals!I22)</f>
        <v>-10126.41</v>
      </c>
      <c r="AC16" s="134" t="n">
        <f aca="false">IFERROR(IF(OR(7&gt;$B$3,ISBLANK(Actuals!I22)),"",(Budget!I22-Actuals!I22)/ABS(Budget!I22)),"")</f>
        <v>-0.383032056737589</v>
      </c>
      <c r="AD16" s="133" t="n">
        <f aca="false">Budget!J22</f>
        <v>-26437.5</v>
      </c>
      <c r="AE16" s="133" t="n">
        <f aca="false">IF(OR(8&gt;$B$3,ISBLANK(Actuals!J22)),"",Actuals!J22)</f>
        <v>-16725.56</v>
      </c>
      <c r="AF16" s="134" t="n">
        <f aca="false">IF(OR(8&gt;$B$3,ISBLANK(Actuals!J22)),"",Budget!J22-Actuals!J22)</f>
        <v>-9711.94</v>
      </c>
      <c r="AG16" s="134" t="n">
        <f aca="false">IFERROR(IF(OR(8&gt;$B$3,ISBLANK(Actuals!J22)),"",(Budget!J22-Actuals!J22)/ABS(Budget!J22)),"")</f>
        <v>-0.367354704491726</v>
      </c>
      <c r="AH16" s="133" t="n">
        <f aca="false">Budget!K22</f>
        <v>-26437.5</v>
      </c>
      <c r="AI16" s="133" t="str">
        <f aca="false">IF(OR(9&gt;$B$3,ISBLANK(Actuals!K22)),"",Actuals!K22)</f>
        <v/>
      </c>
      <c r="AJ16" s="134" t="str">
        <f aca="false">IF(OR(9&gt;$B$3,ISBLANK(Actuals!K22)),"",Budget!K22-Actuals!K22)</f>
        <v/>
      </c>
      <c r="AK16" s="134" t="str">
        <f aca="false">IFERROR(IF(OR(9&gt;$B$3,ISBLANK(Actuals!K22)),"",(Budget!K22-Actuals!K22)/ABS(Budget!K22)),"")</f>
        <v/>
      </c>
      <c r="AL16" s="133" t="n">
        <f aca="false">Budget!L22</f>
        <v>-26437.5</v>
      </c>
      <c r="AM16" s="133" t="str">
        <f aca="false">IF(OR(10&gt;$B$3,ISBLANK(Actuals!L22)),"",Actuals!L22)</f>
        <v/>
      </c>
      <c r="AN16" s="134" t="str">
        <f aca="false">IF(OR(10&gt;$B$3,ISBLANK(Actuals!L22)),"",Budget!L22-Actuals!L22)</f>
        <v/>
      </c>
      <c r="AO16" s="134" t="str">
        <f aca="false">IFERROR(IF(OR(10&gt;$B$3,ISBLANK(Actuals!L22)),"",(Budget!L22-Actuals!L22)/ABS(Budget!L22)),"")</f>
        <v/>
      </c>
      <c r="AP16" s="133" t="n">
        <f aca="false">Budget!M22</f>
        <v>-26437.5</v>
      </c>
      <c r="AQ16" s="133" t="str">
        <f aca="false">IF(OR(11&gt;$B$3,ISBLANK(Actuals!M22)),"",Actuals!M22)</f>
        <v/>
      </c>
      <c r="AR16" s="134" t="str">
        <f aca="false">IF(OR(11&gt;$B$3,ISBLANK(Actuals!M22)),"",Budget!M22-Actuals!M22)</f>
        <v/>
      </c>
      <c r="AS16" s="134" t="str">
        <f aca="false">IFERROR(IF(OR(11&gt;$B$3,ISBLANK(Actuals!M22)),"",(Budget!M22-Actuals!M22)/ABS(Budget!M22)),"")</f>
        <v/>
      </c>
      <c r="AT16" s="133" t="n">
        <f aca="false">Budget!N22</f>
        <v>-26437.5</v>
      </c>
      <c r="AU16" s="133" t="str">
        <f aca="false">IF(OR(12&gt;$B$3,ISBLANK(Actuals!N22)),"",Actuals!N22)</f>
        <v/>
      </c>
      <c r="AV16" s="134" t="str">
        <f aca="false">IF(OR(12&gt;$B$3,ISBLANK(Actuals!N22)),"",Budget!N22-Actuals!N22)</f>
        <v/>
      </c>
      <c r="AW16" s="134" t="str">
        <f aca="false">IFERROR(IF(OR(12&gt;$B$3,ISBLANK(Actuals!N22)),"",(Budget!N22-Actuals!N22)/ABS(Budget!N22)),"")</f>
        <v/>
      </c>
      <c r="AX16" s="135" t="n">
        <f aca="false">SUMPRODUCT((Actuals!C22:N22&lt;&gt;"")*(Budget!C22:N22))</f>
        <v>-211500</v>
      </c>
      <c r="AY16" s="135" t="n">
        <f aca="false">SUM(Actuals!C22:N22)</f>
        <v>-121169.78</v>
      </c>
      <c r="AZ16" s="136" t="n">
        <f aca="false">AX16-AY16</f>
        <v>-90330.22</v>
      </c>
    </row>
    <row r="17" customFormat="false" ht="15" hidden="false" customHeight="true" outlineLevel="0" collapsed="false">
      <c r="A17" s="132" t="s">
        <v>66</v>
      </c>
      <c r="B17" s="133" t="n">
        <f aca="false">Budget!C23</f>
        <v>-58683.33</v>
      </c>
      <c r="C17" s="133" t="str">
        <f aca="false">IF(OR(1&gt;$B$3,ISBLANK(Actuals!C23)),"",Actuals!C23)</f>
        <v/>
      </c>
      <c r="D17" s="134" t="str">
        <f aca="false">IF(OR(1&gt;$B$3,ISBLANK(Actuals!C23)),"",Budget!C23-Actuals!C23)</f>
        <v/>
      </c>
      <c r="E17" s="134" t="str">
        <f aca="false">IFERROR(IF(OR(1&gt;$B$3,ISBLANK(Actuals!C23)),"",(Budget!C23-Actuals!C23)/ABS(Budget!C23)),"")</f>
        <v/>
      </c>
      <c r="F17" s="133" t="n">
        <f aca="false">Budget!D23</f>
        <v>-58683.33</v>
      </c>
      <c r="G17" s="133" t="str">
        <f aca="false">IF(OR(2&gt;$B$3,ISBLANK(Actuals!D23)),"",Actuals!D23)</f>
        <v/>
      </c>
      <c r="H17" s="134" t="str">
        <f aca="false">IF(OR(2&gt;$B$3,ISBLANK(Actuals!D23)),"",Budget!D23-Actuals!D23)</f>
        <v/>
      </c>
      <c r="I17" s="134" t="str">
        <f aca="false">IFERROR(IF(OR(2&gt;$B$3,ISBLANK(Actuals!D23)),"",(Budget!D23-Actuals!D23)/ABS(Budget!D23)),"")</f>
        <v/>
      </c>
      <c r="J17" s="133" t="n">
        <f aca="false">Budget!E23</f>
        <v>-58683.33</v>
      </c>
      <c r="K17" s="133" t="str">
        <f aca="false">IF(OR(3&gt;$B$3,ISBLANK(Actuals!E23)),"",Actuals!E23)</f>
        <v/>
      </c>
      <c r="L17" s="134" t="str">
        <f aca="false">IF(OR(3&gt;$B$3,ISBLANK(Actuals!E23)),"",Budget!E23-Actuals!E23)</f>
        <v/>
      </c>
      <c r="M17" s="134" t="str">
        <f aca="false">IFERROR(IF(OR(3&gt;$B$3,ISBLANK(Actuals!E23)),"",(Budget!E23-Actuals!E23)/ABS(Budget!E23)),"")</f>
        <v/>
      </c>
      <c r="N17" s="133" t="n">
        <f aca="false">Budget!F23</f>
        <v>-58683.33</v>
      </c>
      <c r="O17" s="133" t="n">
        <f aca="false">IF(OR(4&gt;$B$3,ISBLANK(Actuals!F23)),"",Actuals!F23)</f>
        <v>0</v>
      </c>
      <c r="P17" s="134" t="n">
        <f aca="false">IF(OR(4&gt;$B$3,ISBLANK(Actuals!F23)),"",Budget!F23-Actuals!F23)</f>
        <v>-58683.33</v>
      </c>
      <c r="Q17" s="134" t="n">
        <f aca="false">IFERROR(IF(OR(4&gt;$B$3,ISBLANK(Actuals!F23)),"",(Budget!F23-Actuals!F23)/ABS(Budget!F23)),"")</f>
        <v>-1</v>
      </c>
      <c r="R17" s="133" t="n">
        <f aca="false">Budget!G23</f>
        <v>-58683.33</v>
      </c>
      <c r="S17" s="133" t="n">
        <f aca="false">IF(OR(5&gt;$B$3,ISBLANK(Actuals!G23)),"",Actuals!G23)</f>
        <v>0</v>
      </c>
      <c r="T17" s="134" t="n">
        <f aca="false">IF(OR(5&gt;$B$3,ISBLANK(Actuals!G23)),"",Budget!G23-Actuals!G23)</f>
        <v>-58683.33</v>
      </c>
      <c r="U17" s="134" t="n">
        <f aca="false">IFERROR(IF(OR(5&gt;$B$3,ISBLANK(Actuals!G23)),"",(Budget!G23-Actuals!G23)/ABS(Budget!G23)),"")</f>
        <v>-1</v>
      </c>
      <c r="V17" s="133" t="n">
        <f aca="false">Budget!H23</f>
        <v>-58683.33</v>
      </c>
      <c r="W17" s="133" t="n">
        <f aca="false">IF(OR(6&gt;$B$3,ISBLANK(Actuals!H23)),"",Actuals!H23)</f>
        <v>0</v>
      </c>
      <c r="X17" s="134" t="n">
        <f aca="false">IF(OR(6&gt;$B$3,ISBLANK(Actuals!H23)),"",Budget!H23-Actuals!H23)</f>
        <v>-58683.33</v>
      </c>
      <c r="Y17" s="134" t="n">
        <f aca="false">IFERROR(IF(OR(6&gt;$B$3,ISBLANK(Actuals!H23)),"",(Budget!H23-Actuals!H23)/ABS(Budget!H23)),"")</f>
        <v>-1</v>
      </c>
      <c r="Z17" s="133" t="n">
        <f aca="false">Budget!I23</f>
        <v>-58683.33</v>
      </c>
      <c r="AA17" s="133" t="n">
        <f aca="false">IF(OR(7&gt;$B$3,ISBLANK(Actuals!I23)),"",Actuals!I23)</f>
        <v>0</v>
      </c>
      <c r="AB17" s="134" t="n">
        <f aca="false">IF(OR(7&gt;$B$3,ISBLANK(Actuals!I23)),"",Budget!I23-Actuals!I23)</f>
        <v>-58683.33</v>
      </c>
      <c r="AC17" s="134" t="n">
        <f aca="false">IFERROR(IF(OR(7&gt;$B$3,ISBLANK(Actuals!I23)),"",(Budget!I23-Actuals!I23)/ABS(Budget!I23)),"")</f>
        <v>-1</v>
      </c>
      <c r="AD17" s="133" t="n">
        <f aca="false">Budget!J23</f>
        <v>-58683.33</v>
      </c>
      <c r="AE17" s="133" t="n">
        <f aca="false">IF(OR(8&gt;$B$3,ISBLANK(Actuals!J23)),"",Actuals!J23)</f>
        <v>0</v>
      </c>
      <c r="AF17" s="134" t="n">
        <f aca="false">IF(OR(8&gt;$B$3,ISBLANK(Actuals!J23)),"",Budget!J23-Actuals!J23)</f>
        <v>-58683.33</v>
      </c>
      <c r="AG17" s="134" t="n">
        <f aca="false">IFERROR(IF(OR(8&gt;$B$3,ISBLANK(Actuals!J23)),"",(Budget!J23-Actuals!J23)/ABS(Budget!J23)),"")</f>
        <v>-1</v>
      </c>
      <c r="AH17" s="133" t="n">
        <f aca="false">Budget!K23</f>
        <v>-58683.33</v>
      </c>
      <c r="AI17" s="133" t="str">
        <f aca="false">IF(OR(9&gt;$B$3,ISBLANK(Actuals!K23)),"",Actuals!K23)</f>
        <v/>
      </c>
      <c r="AJ17" s="134" t="str">
        <f aca="false">IF(OR(9&gt;$B$3,ISBLANK(Actuals!K23)),"",Budget!K23-Actuals!K23)</f>
        <v/>
      </c>
      <c r="AK17" s="134" t="str">
        <f aca="false">IFERROR(IF(OR(9&gt;$B$3,ISBLANK(Actuals!K23)),"",(Budget!K23-Actuals!K23)/ABS(Budget!K23)),"")</f>
        <v/>
      </c>
      <c r="AL17" s="133" t="n">
        <f aca="false">Budget!L23</f>
        <v>-58683.33</v>
      </c>
      <c r="AM17" s="133" t="str">
        <f aca="false">IF(OR(10&gt;$B$3,ISBLANK(Actuals!L23)),"",Actuals!L23)</f>
        <v/>
      </c>
      <c r="AN17" s="134" t="str">
        <f aca="false">IF(OR(10&gt;$B$3,ISBLANK(Actuals!L23)),"",Budget!L23-Actuals!L23)</f>
        <v/>
      </c>
      <c r="AO17" s="134" t="str">
        <f aca="false">IFERROR(IF(OR(10&gt;$B$3,ISBLANK(Actuals!L23)),"",(Budget!L23-Actuals!L23)/ABS(Budget!L23)),"")</f>
        <v/>
      </c>
      <c r="AP17" s="133" t="n">
        <f aca="false">Budget!M23</f>
        <v>-58683.33</v>
      </c>
      <c r="AQ17" s="133" t="str">
        <f aca="false">IF(OR(11&gt;$B$3,ISBLANK(Actuals!M23)),"",Actuals!M23)</f>
        <v/>
      </c>
      <c r="AR17" s="134" t="str">
        <f aca="false">IF(OR(11&gt;$B$3,ISBLANK(Actuals!M23)),"",Budget!M23-Actuals!M23)</f>
        <v/>
      </c>
      <c r="AS17" s="134" t="str">
        <f aca="false">IFERROR(IF(OR(11&gt;$B$3,ISBLANK(Actuals!M23)),"",(Budget!M23-Actuals!M23)/ABS(Budget!M23)),"")</f>
        <v/>
      </c>
      <c r="AT17" s="133" t="n">
        <f aca="false">Budget!N23</f>
        <v>-58683.33</v>
      </c>
      <c r="AU17" s="133" t="str">
        <f aca="false">IF(OR(12&gt;$B$3,ISBLANK(Actuals!N23)),"",Actuals!N23)</f>
        <v/>
      </c>
      <c r="AV17" s="134" t="str">
        <f aca="false">IF(OR(12&gt;$B$3,ISBLANK(Actuals!N23)),"",Budget!N23-Actuals!N23)</f>
        <v/>
      </c>
      <c r="AW17" s="134" t="str">
        <f aca="false">IFERROR(IF(OR(12&gt;$B$3,ISBLANK(Actuals!N23)),"",(Budget!N23-Actuals!N23)/ABS(Budget!N23)),"")</f>
        <v/>
      </c>
      <c r="AX17" s="135" t="n">
        <f aca="false">SUMPRODUCT((Actuals!C23:N23&lt;&gt;"")*(Budget!C23:N23))</f>
        <v>-293416.65</v>
      </c>
      <c r="AY17" s="135" t="n">
        <f aca="false">SUM(Actuals!C23:N23)</f>
        <v>0</v>
      </c>
      <c r="AZ17" s="136" t="n">
        <f aca="false">AX17-AY17</f>
        <v>-293416.65</v>
      </c>
    </row>
    <row r="18" customFormat="false" ht="15" hidden="false" customHeight="true" outlineLevel="0" collapsed="false">
      <c r="A18" s="132" t="s">
        <v>67</v>
      </c>
      <c r="B18" s="133" t="n">
        <f aca="false">Budget!C24</f>
        <v>-25071.7</v>
      </c>
      <c r="C18" s="133" t="n">
        <f aca="false">IF(OR(1&gt;$B$3,ISBLANK(Actuals!C24)),"",Actuals!C24)</f>
        <v>-9482.97</v>
      </c>
      <c r="D18" s="134" t="n">
        <f aca="false">IF(OR(1&gt;$B$3,ISBLANK(Actuals!C24)),"",Budget!C24-Actuals!C24)</f>
        <v>-15588.73</v>
      </c>
      <c r="E18" s="134" t="n">
        <f aca="false">IFERROR(IF(OR(1&gt;$B$3,ISBLANK(Actuals!C24)),"",(Budget!C24-Actuals!C24)/ABS(Budget!C24)),"")</f>
        <v>-0.621765975183175</v>
      </c>
      <c r="F18" s="133" t="n">
        <f aca="false">Budget!D24</f>
        <v>-25071.7</v>
      </c>
      <c r="G18" s="133" t="n">
        <f aca="false">IF(OR(2&gt;$B$3,ISBLANK(Actuals!D24)),"",Actuals!D24)</f>
        <v>-10343.29</v>
      </c>
      <c r="H18" s="134" t="n">
        <f aca="false">IF(OR(2&gt;$B$3,ISBLANK(Actuals!D24)),"",Budget!D24-Actuals!D24)</f>
        <v>-14728.41</v>
      </c>
      <c r="I18" s="134" t="n">
        <f aca="false">IFERROR(IF(OR(2&gt;$B$3,ISBLANK(Actuals!D24)),"",(Budget!D24-Actuals!D24)/ABS(Budget!D24)),"")</f>
        <v>-0.587451588843198</v>
      </c>
      <c r="J18" s="133" t="n">
        <f aca="false">Budget!E24</f>
        <v>-25071.7</v>
      </c>
      <c r="K18" s="133" t="n">
        <f aca="false">IF(OR(3&gt;$B$3,ISBLANK(Actuals!E24)),"",Actuals!E24)</f>
        <v>-3729.48</v>
      </c>
      <c r="L18" s="134" t="n">
        <f aca="false">IF(OR(3&gt;$B$3,ISBLANK(Actuals!E24)),"",Budget!E24-Actuals!E24)</f>
        <v>-21342.22</v>
      </c>
      <c r="M18" s="134" t="n">
        <f aca="false">IFERROR(IF(OR(3&gt;$B$3,ISBLANK(Actuals!E24)),"",(Budget!E24-Actuals!E24)/ABS(Budget!E24)),"")</f>
        <v>-0.851247422392578</v>
      </c>
      <c r="N18" s="133" t="n">
        <f aca="false">Budget!F24</f>
        <v>-25071.7</v>
      </c>
      <c r="O18" s="133" t="n">
        <f aca="false">IF(OR(4&gt;$B$3,ISBLANK(Actuals!F24)),"",Actuals!F24)</f>
        <v>-3206.79</v>
      </c>
      <c r="P18" s="134" t="n">
        <f aca="false">IF(OR(4&gt;$B$3,ISBLANK(Actuals!F24)),"",Budget!F24-Actuals!F24)</f>
        <v>-21864.91</v>
      </c>
      <c r="Q18" s="134" t="n">
        <f aca="false">IFERROR(IF(OR(4&gt;$B$3,ISBLANK(Actuals!F24)),"",(Budget!F24-Actuals!F24)/ABS(Budget!F24)),"")</f>
        <v>-0.872095230877842</v>
      </c>
      <c r="R18" s="133" t="n">
        <f aca="false">Budget!G24</f>
        <v>-25071.7</v>
      </c>
      <c r="S18" s="133" t="n">
        <f aca="false">IF(OR(5&gt;$B$3,ISBLANK(Actuals!G24)),"",Actuals!G24)</f>
        <v>10942.55</v>
      </c>
      <c r="T18" s="134" t="n">
        <f aca="false">IF(OR(5&gt;$B$3,ISBLANK(Actuals!G24)),"",Budget!G24-Actuals!G24)</f>
        <v>-36014.25</v>
      </c>
      <c r="U18" s="134" t="n">
        <f aca="false">IFERROR(IF(OR(5&gt;$B$3,ISBLANK(Actuals!G24)),"",(Budget!G24-Actuals!G24)/ABS(Budget!G24)),"")</f>
        <v>-1.43645026065245</v>
      </c>
      <c r="V18" s="133" t="n">
        <f aca="false">Budget!H24</f>
        <v>-25071.7</v>
      </c>
      <c r="W18" s="133" t="n">
        <f aca="false">IF(OR(6&gt;$B$3,ISBLANK(Actuals!H24)),"",Actuals!H24)</f>
        <v>-8982.91</v>
      </c>
      <c r="X18" s="134" t="n">
        <f aca="false">IF(OR(6&gt;$B$3,ISBLANK(Actuals!H24)),"",Budget!H24-Actuals!H24)</f>
        <v>-16088.79</v>
      </c>
      <c r="Y18" s="134" t="n">
        <f aca="false">IFERROR(IF(OR(6&gt;$B$3,ISBLANK(Actuals!H24)),"",(Budget!H24-Actuals!H24)/ABS(Budget!H24)),"")</f>
        <v>-0.641711172357678</v>
      </c>
      <c r="Z18" s="133" t="n">
        <f aca="false">Budget!I24</f>
        <v>-25071.7</v>
      </c>
      <c r="AA18" s="133" t="n">
        <f aca="false">IF(OR(7&gt;$B$3,ISBLANK(Actuals!I24)),"",Actuals!I24)</f>
        <v>-14712.5</v>
      </c>
      <c r="AB18" s="134" t="n">
        <f aca="false">IF(OR(7&gt;$B$3,ISBLANK(Actuals!I24)),"",Budget!I24-Actuals!I24)</f>
        <v>-10359.2</v>
      </c>
      <c r="AC18" s="134" t="n">
        <f aca="false">IFERROR(IF(OR(7&gt;$B$3,ISBLANK(Actuals!I24)),"",(Budget!I24-Actuals!I24)/ABS(Budget!I24)),"")</f>
        <v>-0.413182991181292</v>
      </c>
      <c r="AD18" s="133" t="n">
        <f aca="false">Budget!J24</f>
        <v>-25071.7</v>
      </c>
      <c r="AE18" s="133" t="n">
        <f aca="false">IF(OR(8&gt;$B$3,ISBLANK(Actuals!J24)),"",Actuals!J24)</f>
        <v>-12426.27</v>
      </c>
      <c r="AF18" s="134" t="n">
        <f aca="false">IF(OR(8&gt;$B$3,ISBLANK(Actuals!J24)),"",Budget!J24-Actuals!J24)</f>
        <v>-12645.43</v>
      </c>
      <c r="AG18" s="134" t="n">
        <f aca="false">IFERROR(IF(OR(8&gt;$B$3,ISBLANK(Actuals!J24)),"",(Budget!J24-Actuals!J24)/ABS(Budget!J24)),"")</f>
        <v>-0.504370664932972</v>
      </c>
      <c r="AH18" s="133" t="n">
        <f aca="false">Budget!K24</f>
        <v>-25071.7</v>
      </c>
      <c r="AI18" s="133" t="str">
        <f aca="false">IF(OR(9&gt;$B$3,ISBLANK(Actuals!K24)),"",Actuals!K24)</f>
        <v/>
      </c>
      <c r="AJ18" s="134" t="str">
        <f aca="false">IF(OR(9&gt;$B$3,ISBLANK(Actuals!K24)),"",Budget!K24-Actuals!K24)</f>
        <v/>
      </c>
      <c r="AK18" s="134" t="str">
        <f aca="false">IFERROR(IF(OR(9&gt;$B$3,ISBLANK(Actuals!K24)),"",(Budget!K24-Actuals!K24)/ABS(Budget!K24)),"")</f>
        <v/>
      </c>
      <c r="AL18" s="133" t="n">
        <f aca="false">Budget!L24</f>
        <v>-25071.7</v>
      </c>
      <c r="AM18" s="133" t="str">
        <f aca="false">IF(OR(10&gt;$B$3,ISBLANK(Actuals!L24)),"",Actuals!L24)</f>
        <v/>
      </c>
      <c r="AN18" s="134" t="str">
        <f aca="false">IF(OR(10&gt;$B$3,ISBLANK(Actuals!L24)),"",Budget!L24-Actuals!L24)</f>
        <v/>
      </c>
      <c r="AO18" s="134" t="str">
        <f aca="false">IFERROR(IF(OR(10&gt;$B$3,ISBLANK(Actuals!L24)),"",(Budget!L24-Actuals!L24)/ABS(Budget!L24)),"")</f>
        <v/>
      </c>
      <c r="AP18" s="133" t="n">
        <f aca="false">Budget!M24</f>
        <v>-25071.7</v>
      </c>
      <c r="AQ18" s="133" t="str">
        <f aca="false">IF(OR(11&gt;$B$3,ISBLANK(Actuals!M24)),"",Actuals!M24)</f>
        <v/>
      </c>
      <c r="AR18" s="134" t="str">
        <f aca="false">IF(OR(11&gt;$B$3,ISBLANK(Actuals!M24)),"",Budget!M24-Actuals!M24)</f>
        <v/>
      </c>
      <c r="AS18" s="134" t="str">
        <f aca="false">IFERROR(IF(OR(11&gt;$B$3,ISBLANK(Actuals!M24)),"",(Budget!M24-Actuals!M24)/ABS(Budget!M24)),"")</f>
        <v/>
      </c>
      <c r="AT18" s="133" t="n">
        <f aca="false">Budget!N24</f>
        <v>-25071.7</v>
      </c>
      <c r="AU18" s="133" t="str">
        <f aca="false">IF(OR(12&gt;$B$3,ISBLANK(Actuals!N24)),"",Actuals!N24)</f>
        <v/>
      </c>
      <c r="AV18" s="134" t="str">
        <f aca="false">IF(OR(12&gt;$B$3,ISBLANK(Actuals!N24)),"",Budget!N24-Actuals!N24)</f>
        <v/>
      </c>
      <c r="AW18" s="134" t="str">
        <f aca="false">IFERROR(IF(OR(12&gt;$B$3,ISBLANK(Actuals!N24)),"",(Budget!N24-Actuals!N24)/ABS(Budget!N24)),"")</f>
        <v/>
      </c>
      <c r="AX18" s="135" t="n">
        <f aca="false">SUMPRODUCT((Actuals!C24:N24&lt;&gt;"")*(Budget!C24:N24))</f>
        <v>-200573.6</v>
      </c>
      <c r="AY18" s="135" t="n">
        <f aca="false">SUM(Actuals!C24:N24)</f>
        <v>-51941.66</v>
      </c>
      <c r="AZ18" s="136" t="n">
        <f aca="false">AX18-AY18</f>
        <v>-148631.94</v>
      </c>
    </row>
    <row r="19" customFormat="false" ht="15" hidden="false" customHeight="true" outlineLevel="0" collapsed="false">
      <c r="A19" s="132" t="s">
        <v>68</v>
      </c>
      <c r="B19" s="133" t="n">
        <f aca="false">Budget!C25</f>
        <v>-1731.41</v>
      </c>
      <c r="C19" s="133" t="n">
        <f aca="false">IF(OR(1&gt;$B$3,ISBLANK(Actuals!C25)),"",Actuals!C25)</f>
        <v>-2542.47</v>
      </c>
      <c r="D19" s="134" t="n">
        <f aca="false">IF(OR(1&gt;$B$3,ISBLANK(Actuals!C25)),"",Budget!C25-Actuals!C25)</f>
        <v>811.06</v>
      </c>
      <c r="E19" s="134" t="n">
        <f aca="false">IFERROR(IF(OR(1&gt;$B$3,ISBLANK(Actuals!C25)),"",(Budget!C25-Actuals!C25)/ABS(Budget!C25)),"")</f>
        <v>0.468439017910258</v>
      </c>
      <c r="F19" s="133" t="n">
        <f aca="false">Budget!D25</f>
        <v>-1731.41</v>
      </c>
      <c r="G19" s="133" t="n">
        <f aca="false">IF(OR(2&gt;$B$3,ISBLANK(Actuals!D25)),"",Actuals!D25)</f>
        <v>-1618.75</v>
      </c>
      <c r="H19" s="134" t="n">
        <f aca="false">IF(OR(2&gt;$B$3,ISBLANK(Actuals!D25)),"",Budget!D25-Actuals!D25)</f>
        <v>-112.66</v>
      </c>
      <c r="I19" s="134" t="n">
        <f aca="false">IFERROR(IF(OR(2&gt;$B$3,ISBLANK(Actuals!D25)),"",(Budget!D25-Actuals!D25)/ABS(Budget!D25)),"")</f>
        <v>-0.0650683546935735</v>
      </c>
      <c r="J19" s="133" t="n">
        <f aca="false">Budget!E25</f>
        <v>-1731.41</v>
      </c>
      <c r="K19" s="133" t="n">
        <f aca="false">IF(OR(3&gt;$B$3,ISBLANK(Actuals!E25)),"",Actuals!E25)</f>
        <v>3406.77</v>
      </c>
      <c r="L19" s="134" t="n">
        <f aca="false">IF(OR(3&gt;$B$3,ISBLANK(Actuals!E25)),"",Budget!E25-Actuals!E25)</f>
        <v>-5138.18</v>
      </c>
      <c r="M19" s="134" t="n">
        <f aca="false">IFERROR(IF(OR(3&gt;$B$3,ISBLANK(Actuals!E25)),"",(Budget!E25-Actuals!E25)/ABS(Budget!E25)),"")</f>
        <v>-2.96762754055943</v>
      </c>
      <c r="N19" s="133" t="n">
        <f aca="false">Budget!F25</f>
        <v>-1731.41</v>
      </c>
      <c r="O19" s="133" t="n">
        <f aca="false">IF(OR(4&gt;$B$3,ISBLANK(Actuals!F25)),"",Actuals!F25)</f>
        <v>2575.42</v>
      </c>
      <c r="P19" s="134" t="n">
        <f aca="false">IF(OR(4&gt;$B$3,ISBLANK(Actuals!F25)),"",Budget!F25-Actuals!F25)</f>
        <v>-4306.83</v>
      </c>
      <c r="Q19" s="134" t="n">
        <f aca="false">IFERROR(IF(OR(4&gt;$B$3,ISBLANK(Actuals!F25)),"",(Budget!F25-Actuals!F25)/ABS(Budget!F25)),"")</f>
        <v>-2.48746975008808</v>
      </c>
      <c r="R19" s="133" t="n">
        <f aca="false">Budget!G25</f>
        <v>-1731.41</v>
      </c>
      <c r="S19" s="133" t="n">
        <f aca="false">IF(OR(5&gt;$B$3,ISBLANK(Actuals!G25)),"",Actuals!G25)</f>
        <v>-1896.11</v>
      </c>
      <c r="T19" s="134" t="n">
        <f aca="false">IF(OR(5&gt;$B$3,ISBLANK(Actuals!G25)),"",Budget!G25-Actuals!G25)</f>
        <v>164.7</v>
      </c>
      <c r="U19" s="134" t="n">
        <f aca="false">IFERROR(IF(OR(5&gt;$B$3,ISBLANK(Actuals!G25)),"",(Budget!G25-Actuals!G25)/ABS(Budget!G25)),"")</f>
        <v>0.0951247826915634</v>
      </c>
      <c r="V19" s="133" t="n">
        <f aca="false">Budget!H25</f>
        <v>-1731.41</v>
      </c>
      <c r="W19" s="133" t="n">
        <f aca="false">IF(OR(6&gt;$B$3,ISBLANK(Actuals!H25)),"",Actuals!H25)</f>
        <v>-2888.37</v>
      </c>
      <c r="X19" s="134" t="n">
        <f aca="false">IF(OR(6&gt;$B$3,ISBLANK(Actuals!H25)),"",Budget!H25-Actuals!H25)</f>
        <v>1156.96</v>
      </c>
      <c r="Y19" s="134" t="n">
        <f aca="false">IFERROR(IF(OR(6&gt;$B$3,ISBLANK(Actuals!H25)),"",(Budget!H25-Actuals!H25)/ABS(Budget!H25)),"")</f>
        <v>0.668218388481064</v>
      </c>
      <c r="Z19" s="133" t="n">
        <f aca="false">Budget!I25</f>
        <v>-1731.41</v>
      </c>
      <c r="AA19" s="133" t="n">
        <f aca="false">IF(OR(7&gt;$B$3,ISBLANK(Actuals!I25)),"",Actuals!I25)</f>
        <v>636.26</v>
      </c>
      <c r="AB19" s="134" t="n">
        <f aca="false">IF(OR(7&gt;$B$3,ISBLANK(Actuals!I25)),"",Budget!I25-Actuals!I25)</f>
        <v>-2367.67</v>
      </c>
      <c r="AC19" s="134" t="n">
        <f aca="false">IFERROR(IF(OR(7&gt;$B$3,ISBLANK(Actuals!I25)),"",(Budget!I25-Actuals!I25)/ABS(Budget!I25)),"")</f>
        <v>-1.36748083931593</v>
      </c>
      <c r="AD19" s="133" t="n">
        <f aca="false">Budget!J25</f>
        <v>-1731.41</v>
      </c>
      <c r="AE19" s="133" t="n">
        <f aca="false">IF(OR(8&gt;$B$3,ISBLANK(Actuals!J25)),"",Actuals!J25)</f>
        <v>-2370.43</v>
      </c>
      <c r="AF19" s="134" t="n">
        <f aca="false">IF(OR(8&gt;$B$3,ISBLANK(Actuals!J25)),"",Budget!J25-Actuals!J25)</f>
        <v>639.02</v>
      </c>
      <c r="AG19" s="134" t="n">
        <f aca="false">IFERROR(IF(OR(8&gt;$B$3,ISBLANK(Actuals!J25)),"",(Budget!J25-Actuals!J25)/ABS(Budget!J25)),"")</f>
        <v>0.369074915820054</v>
      </c>
      <c r="AH19" s="133" t="n">
        <f aca="false">Budget!K25</f>
        <v>-1731.41</v>
      </c>
      <c r="AI19" s="133" t="str">
        <f aca="false">IF(OR(9&gt;$B$3,ISBLANK(Actuals!K25)),"",Actuals!K25)</f>
        <v/>
      </c>
      <c r="AJ19" s="134" t="str">
        <f aca="false">IF(OR(9&gt;$B$3,ISBLANK(Actuals!K25)),"",Budget!K25-Actuals!K25)</f>
        <v/>
      </c>
      <c r="AK19" s="134" t="str">
        <f aca="false">IFERROR(IF(OR(9&gt;$B$3,ISBLANK(Actuals!K25)),"",(Budget!K25-Actuals!K25)/ABS(Budget!K25)),"")</f>
        <v/>
      </c>
      <c r="AL19" s="133" t="n">
        <f aca="false">Budget!L25</f>
        <v>-1731.41</v>
      </c>
      <c r="AM19" s="133" t="str">
        <f aca="false">IF(OR(10&gt;$B$3,ISBLANK(Actuals!L25)),"",Actuals!L25)</f>
        <v/>
      </c>
      <c r="AN19" s="134" t="str">
        <f aca="false">IF(OR(10&gt;$B$3,ISBLANK(Actuals!L25)),"",Budget!L25-Actuals!L25)</f>
        <v/>
      </c>
      <c r="AO19" s="134" t="str">
        <f aca="false">IFERROR(IF(OR(10&gt;$B$3,ISBLANK(Actuals!L25)),"",(Budget!L25-Actuals!L25)/ABS(Budget!L25)),"")</f>
        <v/>
      </c>
      <c r="AP19" s="133" t="n">
        <f aca="false">Budget!M25</f>
        <v>-1731.41</v>
      </c>
      <c r="AQ19" s="133" t="str">
        <f aca="false">IF(OR(11&gt;$B$3,ISBLANK(Actuals!M25)),"",Actuals!M25)</f>
        <v/>
      </c>
      <c r="AR19" s="134" t="str">
        <f aca="false">IF(OR(11&gt;$B$3,ISBLANK(Actuals!M25)),"",Budget!M25-Actuals!M25)</f>
        <v/>
      </c>
      <c r="AS19" s="134" t="str">
        <f aca="false">IFERROR(IF(OR(11&gt;$B$3,ISBLANK(Actuals!M25)),"",(Budget!M25-Actuals!M25)/ABS(Budget!M25)),"")</f>
        <v/>
      </c>
      <c r="AT19" s="133" t="n">
        <f aca="false">Budget!N25</f>
        <v>-1731.41</v>
      </c>
      <c r="AU19" s="133" t="str">
        <f aca="false">IF(OR(12&gt;$B$3,ISBLANK(Actuals!N25)),"",Actuals!N25)</f>
        <v/>
      </c>
      <c r="AV19" s="134" t="str">
        <f aca="false">IF(OR(12&gt;$B$3,ISBLANK(Actuals!N25)),"",Budget!N25-Actuals!N25)</f>
        <v/>
      </c>
      <c r="AW19" s="134" t="str">
        <f aca="false">IFERROR(IF(OR(12&gt;$B$3,ISBLANK(Actuals!N25)),"",(Budget!N25-Actuals!N25)/ABS(Budget!N25)),"")</f>
        <v/>
      </c>
      <c r="AX19" s="135" t="n">
        <f aca="false">SUMPRODUCT((Actuals!C25:N25&lt;&gt;"")*(Budget!C25:N25))</f>
        <v>-13851.28</v>
      </c>
      <c r="AY19" s="135" t="n">
        <f aca="false">SUM(Actuals!C25:N25)</f>
        <v>-4697.68</v>
      </c>
      <c r="AZ19" s="136" t="n">
        <f aca="false">AX19-AY19</f>
        <v>-9153.6</v>
      </c>
    </row>
    <row r="20" customFormat="false" ht="15" hidden="false" customHeight="true" outlineLevel="0" collapsed="false">
      <c r="A20" s="132" t="s">
        <v>69</v>
      </c>
      <c r="B20" s="133" t="n">
        <f aca="false">Budget!C26</f>
        <v>-1008</v>
      </c>
      <c r="C20" s="133" t="n">
        <f aca="false">IF(OR(1&gt;$B$3,ISBLANK(Actuals!C26)),"",Actuals!C26)</f>
        <v>-195</v>
      </c>
      <c r="D20" s="134" t="n">
        <f aca="false">IF(OR(1&gt;$B$3,ISBLANK(Actuals!C26)),"",Budget!C26-Actuals!C26)</f>
        <v>-813</v>
      </c>
      <c r="E20" s="134" t="n">
        <f aca="false">IFERROR(IF(OR(1&gt;$B$3,ISBLANK(Actuals!C26)),"",(Budget!C26-Actuals!C26)/ABS(Budget!C26)),"")</f>
        <v>-0.806547619047619</v>
      </c>
      <c r="F20" s="133" t="n">
        <f aca="false">Budget!D26</f>
        <v>-1008</v>
      </c>
      <c r="G20" s="133" t="n">
        <f aca="false">IF(OR(2&gt;$B$3,ISBLANK(Actuals!D26)),"",Actuals!D26)</f>
        <v>-200</v>
      </c>
      <c r="H20" s="134" t="n">
        <f aca="false">IF(OR(2&gt;$B$3,ISBLANK(Actuals!D26)),"",Budget!D26-Actuals!D26)</f>
        <v>-808</v>
      </c>
      <c r="I20" s="134" t="n">
        <f aca="false">IFERROR(IF(OR(2&gt;$B$3,ISBLANK(Actuals!D26)),"",(Budget!D26-Actuals!D26)/ABS(Budget!D26)),"")</f>
        <v>-0.801587301587302</v>
      </c>
      <c r="J20" s="133" t="n">
        <f aca="false">Budget!E26</f>
        <v>-1008</v>
      </c>
      <c r="K20" s="133" t="n">
        <f aca="false">IF(OR(3&gt;$B$3,ISBLANK(Actuals!E26)),"",Actuals!E26)</f>
        <v>0</v>
      </c>
      <c r="L20" s="134" t="n">
        <f aca="false">IF(OR(3&gt;$B$3,ISBLANK(Actuals!E26)),"",Budget!E26-Actuals!E26)</f>
        <v>-1008</v>
      </c>
      <c r="M20" s="134" t="n">
        <f aca="false">IFERROR(IF(OR(3&gt;$B$3,ISBLANK(Actuals!E26)),"",(Budget!E26-Actuals!E26)/ABS(Budget!E26)),"")</f>
        <v>-1</v>
      </c>
      <c r="N20" s="133" t="n">
        <f aca="false">Budget!F26</f>
        <v>-1008</v>
      </c>
      <c r="O20" s="133" t="n">
        <f aca="false">IF(OR(4&gt;$B$3,ISBLANK(Actuals!F26)),"",Actuals!F26)</f>
        <v>0</v>
      </c>
      <c r="P20" s="134" t="n">
        <f aca="false">IF(OR(4&gt;$B$3,ISBLANK(Actuals!F26)),"",Budget!F26-Actuals!F26)</f>
        <v>-1008</v>
      </c>
      <c r="Q20" s="134" t="n">
        <f aca="false">IFERROR(IF(OR(4&gt;$B$3,ISBLANK(Actuals!F26)),"",(Budget!F26-Actuals!F26)/ABS(Budget!F26)),"")</f>
        <v>-1</v>
      </c>
      <c r="R20" s="133" t="n">
        <f aca="false">Budget!G26</f>
        <v>-1008</v>
      </c>
      <c r="S20" s="133" t="n">
        <f aca="false">IF(OR(5&gt;$B$3,ISBLANK(Actuals!G26)),"",Actuals!G26)</f>
        <v>0</v>
      </c>
      <c r="T20" s="134" t="n">
        <f aca="false">IF(OR(5&gt;$B$3,ISBLANK(Actuals!G26)),"",Budget!G26-Actuals!G26)</f>
        <v>-1008</v>
      </c>
      <c r="U20" s="134" t="n">
        <f aca="false">IFERROR(IF(OR(5&gt;$B$3,ISBLANK(Actuals!G26)),"",(Budget!G26-Actuals!G26)/ABS(Budget!G26)),"")</f>
        <v>-1</v>
      </c>
      <c r="V20" s="133" t="n">
        <f aca="false">Budget!H26</f>
        <v>-1008</v>
      </c>
      <c r="W20" s="133" t="n">
        <f aca="false">IF(OR(6&gt;$B$3,ISBLANK(Actuals!H26)),"",Actuals!H26)</f>
        <v>0</v>
      </c>
      <c r="X20" s="134" t="n">
        <f aca="false">IF(OR(6&gt;$B$3,ISBLANK(Actuals!H26)),"",Budget!H26-Actuals!H26)</f>
        <v>-1008</v>
      </c>
      <c r="Y20" s="134" t="n">
        <f aca="false">IFERROR(IF(OR(6&gt;$B$3,ISBLANK(Actuals!H26)),"",(Budget!H26-Actuals!H26)/ABS(Budget!H26)),"")</f>
        <v>-1</v>
      </c>
      <c r="Z20" s="133" t="n">
        <f aca="false">Budget!I26</f>
        <v>-1008</v>
      </c>
      <c r="AA20" s="133" t="n">
        <f aca="false">IF(OR(7&gt;$B$3,ISBLANK(Actuals!I26)),"",Actuals!I26)</f>
        <v>0</v>
      </c>
      <c r="AB20" s="134" t="n">
        <f aca="false">IF(OR(7&gt;$B$3,ISBLANK(Actuals!I26)),"",Budget!I26-Actuals!I26)</f>
        <v>-1008</v>
      </c>
      <c r="AC20" s="134" t="n">
        <f aca="false">IFERROR(IF(OR(7&gt;$B$3,ISBLANK(Actuals!I26)),"",(Budget!I26-Actuals!I26)/ABS(Budget!I26)),"")</f>
        <v>-1</v>
      </c>
      <c r="AD20" s="133" t="n">
        <f aca="false">Budget!J26</f>
        <v>-1008</v>
      </c>
      <c r="AE20" s="133" t="n">
        <f aca="false">IF(OR(8&gt;$B$3,ISBLANK(Actuals!J26)),"",Actuals!J26)</f>
        <v>0</v>
      </c>
      <c r="AF20" s="134" t="n">
        <f aca="false">IF(OR(8&gt;$B$3,ISBLANK(Actuals!J26)),"",Budget!J26-Actuals!J26)</f>
        <v>-1008</v>
      </c>
      <c r="AG20" s="134" t="n">
        <f aca="false">IFERROR(IF(OR(8&gt;$B$3,ISBLANK(Actuals!J26)),"",(Budget!J26-Actuals!J26)/ABS(Budget!J26)),"")</f>
        <v>-1</v>
      </c>
      <c r="AH20" s="133" t="n">
        <f aca="false">Budget!K26</f>
        <v>-1008</v>
      </c>
      <c r="AI20" s="133" t="str">
        <f aca="false">IF(OR(9&gt;$B$3,ISBLANK(Actuals!K26)),"",Actuals!K26)</f>
        <v/>
      </c>
      <c r="AJ20" s="134" t="str">
        <f aca="false">IF(OR(9&gt;$B$3,ISBLANK(Actuals!K26)),"",Budget!K26-Actuals!K26)</f>
        <v/>
      </c>
      <c r="AK20" s="134" t="str">
        <f aca="false">IFERROR(IF(OR(9&gt;$B$3,ISBLANK(Actuals!K26)),"",(Budget!K26-Actuals!K26)/ABS(Budget!K26)),"")</f>
        <v/>
      </c>
      <c r="AL20" s="133" t="n">
        <f aca="false">Budget!L26</f>
        <v>-1008</v>
      </c>
      <c r="AM20" s="133" t="str">
        <f aca="false">IF(OR(10&gt;$B$3,ISBLANK(Actuals!L26)),"",Actuals!L26)</f>
        <v/>
      </c>
      <c r="AN20" s="134" t="str">
        <f aca="false">IF(OR(10&gt;$B$3,ISBLANK(Actuals!L26)),"",Budget!L26-Actuals!L26)</f>
        <v/>
      </c>
      <c r="AO20" s="134" t="str">
        <f aca="false">IFERROR(IF(OR(10&gt;$B$3,ISBLANK(Actuals!L26)),"",(Budget!L26-Actuals!L26)/ABS(Budget!L26)),"")</f>
        <v/>
      </c>
      <c r="AP20" s="133" t="n">
        <f aca="false">Budget!M26</f>
        <v>-1008</v>
      </c>
      <c r="AQ20" s="133" t="str">
        <f aca="false">IF(OR(11&gt;$B$3,ISBLANK(Actuals!M26)),"",Actuals!M26)</f>
        <v/>
      </c>
      <c r="AR20" s="134" t="str">
        <f aca="false">IF(OR(11&gt;$B$3,ISBLANK(Actuals!M26)),"",Budget!M26-Actuals!M26)</f>
        <v/>
      </c>
      <c r="AS20" s="134" t="str">
        <f aca="false">IFERROR(IF(OR(11&gt;$B$3,ISBLANK(Actuals!M26)),"",(Budget!M26-Actuals!M26)/ABS(Budget!M26)),"")</f>
        <v/>
      </c>
      <c r="AT20" s="133" t="n">
        <f aca="false">Budget!N26</f>
        <v>-1008</v>
      </c>
      <c r="AU20" s="133" t="str">
        <f aca="false">IF(OR(12&gt;$B$3,ISBLANK(Actuals!N26)),"",Actuals!N26)</f>
        <v/>
      </c>
      <c r="AV20" s="134" t="str">
        <f aca="false">IF(OR(12&gt;$B$3,ISBLANK(Actuals!N26)),"",Budget!N26-Actuals!N26)</f>
        <v/>
      </c>
      <c r="AW20" s="134" t="str">
        <f aca="false">IFERROR(IF(OR(12&gt;$B$3,ISBLANK(Actuals!N26)),"",(Budget!N26-Actuals!N26)/ABS(Budget!N26)),"")</f>
        <v/>
      </c>
      <c r="AX20" s="135" t="n">
        <f aca="false">SUMPRODUCT((Actuals!C26:N26&lt;&gt;"")*(Budget!C26:N26))</f>
        <v>-8064</v>
      </c>
      <c r="AY20" s="135" t="n">
        <f aca="false">SUM(Actuals!C26:N26)</f>
        <v>-395</v>
      </c>
      <c r="AZ20" s="136" t="n">
        <f aca="false">AX20-AY20</f>
        <v>-7669</v>
      </c>
    </row>
    <row r="21" customFormat="false" ht="15" hidden="false" customHeight="true" outlineLevel="0" collapsed="false">
      <c r="A21" s="132" t="s">
        <v>70</v>
      </c>
      <c r="B21" s="133" t="n">
        <f aca="false">Budget!C27</f>
        <v>0</v>
      </c>
      <c r="C21" s="133" t="n">
        <f aca="false">IF(OR(1&gt;$B$3,ISBLANK(Actuals!C27)),"",Actuals!C27)</f>
        <v>-33002.28</v>
      </c>
      <c r="D21" s="134" t="n">
        <f aca="false">IF(OR(1&gt;$B$3,ISBLANK(Actuals!C27)),"",Budget!C27-Actuals!C27)</f>
        <v>33002.28</v>
      </c>
      <c r="E21" s="134" t="str">
        <f aca="false">IFERROR(IF(OR(1&gt;$B$3,ISBLANK(Actuals!C27)),"",(Budget!C27-Actuals!C27)/ABS(Budget!C27)),"")</f>
        <v/>
      </c>
      <c r="F21" s="133" t="n">
        <f aca="false">Budget!D27</f>
        <v>0</v>
      </c>
      <c r="G21" s="133" t="n">
        <f aca="false">IF(OR(2&gt;$B$3,ISBLANK(Actuals!D27)),"",Actuals!D27)</f>
        <v>-29166.66</v>
      </c>
      <c r="H21" s="134" t="n">
        <f aca="false">IF(OR(2&gt;$B$3,ISBLANK(Actuals!D27)),"",Budget!D27-Actuals!D27)</f>
        <v>29166.66</v>
      </c>
      <c r="I21" s="134" t="str">
        <f aca="false">IFERROR(IF(OR(2&gt;$B$3,ISBLANK(Actuals!D27)),"",(Budget!D27-Actuals!D27)/ABS(Budget!D27)),"")</f>
        <v/>
      </c>
      <c r="J21" s="133" t="n">
        <f aca="false">Budget!E27</f>
        <v>0</v>
      </c>
      <c r="K21" s="133" t="n">
        <f aca="false">IF(OR(3&gt;$B$3,ISBLANK(Actuals!E27)),"",Actuals!E27)</f>
        <v>-41666.66</v>
      </c>
      <c r="L21" s="134" t="n">
        <f aca="false">IF(OR(3&gt;$B$3,ISBLANK(Actuals!E27)),"",Budget!E27-Actuals!E27)</f>
        <v>41666.66</v>
      </c>
      <c r="M21" s="134" t="str">
        <f aca="false">IFERROR(IF(OR(3&gt;$B$3,ISBLANK(Actuals!E27)),"",(Budget!E27-Actuals!E27)/ABS(Budget!E27)),"")</f>
        <v/>
      </c>
      <c r="N21" s="133" t="n">
        <f aca="false">Budget!F27</f>
        <v>0</v>
      </c>
      <c r="O21" s="133" t="n">
        <f aca="false">IF(OR(4&gt;$B$3,ISBLANK(Actuals!F27)),"",Actuals!F27)</f>
        <v>-29166.66</v>
      </c>
      <c r="P21" s="134" t="n">
        <f aca="false">IF(OR(4&gt;$B$3,ISBLANK(Actuals!F27)),"",Budget!F27-Actuals!F27)</f>
        <v>29166.66</v>
      </c>
      <c r="Q21" s="134" t="str">
        <f aca="false">IFERROR(IF(OR(4&gt;$B$3,ISBLANK(Actuals!F27)),"",(Budget!F27-Actuals!F27)/ABS(Budget!F27)),"")</f>
        <v/>
      </c>
      <c r="R21" s="133" t="n">
        <f aca="false">Budget!G27</f>
        <v>0</v>
      </c>
      <c r="S21" s="133" t="n">
        <f aca="false">IF(OR(5&gt;$B$3,ISBLANK(Actuals!G27)),"",Actuals!G27)</f>
        <v>-29166.66</v>
      </c>
      <c r="T21" s="134" t="n">
        <f aca="false">IF(OR(5&gt;$B$3,ISBLANK(Actuals!G27)),"",Budget!G27-Actuals!G27)</f>
        <v>29166.66</v>
      </c>
      <c r="U21" s="134" t="str">
        <f aca="false">IFERROR(IF(OR(5&gt;$B$3,ISBLANK(Actuals!G27)),"",(Budget!G27-Actuals!G27)/ABS(Budget!G27)),"")</f>
        <v/>
      </c>
      <c r="V21" s="133" t="n">
        <f aca="false">Budget!H27</f>
        <v>0</v>
      </c>
      <c r="W21" s="133" t="n">
        <f aca="false">IF(OR(6&gt;$B$3,ISBLANK(Actuals!H27)),"",Actuals!H27)</f>
        <v>-29166.66</v>
      </c>
      <c r="X21" s="134" t="n">
        <f aca="false">IF(OR(6&gt;$B$3,ISBLANK(Actuals!H27)),"",Budget!H27-Actuals!H27)</f>
        <v>29166.66</v>
      </c>
      <c r="Y21" s="134" t="str">
        <f aca="false">IFERROR(IF(OR(6&gt;$B$3,ISBLANK(Actuals!H27)),"",(Budget!H27-Actuals!H27)/ABS(Budget!H27)),"")</f>
        <v/>
      </c>
      <c r="Z21" s="133" t="n">
        <f aca="false">Budget!I27</f>
        <v>0</v>
      </c>
      <c r="AA21" s="133" t="n">
        <f aca="false">IF(OR(7&gt;$B$3,ISBLANK(Actuals!I27)),"",Actuals!I27)</f>
        <v>-29166.66</v>
      </c>
      <c r="AB21" s="134" t="n">
        <f aca="false">IF(OR(7&gt;$B$3,ISBLANK(Actuals!I27)),"",Budget!I27-Actuals!I27)</f>
        <v>29166.66</v>
      </c>
      <c r="AC21" s="134" t="str">
        <f aca="false">IFERROR(IF(OR(7&gt;$B$3,ISBLANK(Actuals!I27)),"",(Budget!I27-Actuals!I27)/ABS(Budget!I27)),"")</f>
        <v/>
      </c>
      <c r="AD21" s="133" t="n">
        <f aca="false">Budget!J27</f>
        <v>0</v>
      </c>
      <c r="AE21" s="133" t="n">
        <f aca="false">IF(OR(8&gt;$B$3,ISBLANK(Actuals!J27)),"",Actuals!J27)</f>
        <v>-29166.66</v>
      </c>
      <c r="AF21" s="134" t="n">
        <f aca="false">IF(OR(8&gt;$B$3,ISBLANK(Actuals!J27)),"",Budget!J27-Actuals!J27)</f>
        <v>29166.66</v>
      </c>
      <c r="AG21" s="134" t="str">
        <f aca="false">IFERROR(IF(OR(8&gt;$B$3,ISBLANK(Actuals!J27)),"",(Budget!J27-Actuals!J27)/ABS(Budget!J27)),"")</f>
        <v/>
      </c>
      <c r="AH21" s="133" t="n">
        <f aca="false">Budget!K27</f>
        <v>0</v>
      </c>
      <c r="AI21" s="133" t="str">
        <f aca="false">IF(OR(9&gt;$B$3,ISBLANK(Actuals!K27)),"",Actuals!K27)</f>
        <v/>
      </c>
      <c r="AJ21" s="134" t="str">
        <f aca="false">IF(OR(9&gt;$B$3,ISBLANK(Actuals!K27)),"",Budget!K27-Actuals!K27)</f>
        <v/>
      </c>
      <c r="AK21" s="134" t="str">
        <f aca="false">IFERROR(IF(OR(9&gt;$B$3,ISBLANK(Actuals!K27)),"",(Budget!K27-Actuals!K27)/ABS(Budget!K27)),"")</f>
        <v/>
      </c>
      <c r="AL21" s="133" t="n">
        <f aca="false">Budget!L27</f>
        <v>0</v>
      </c>
      <c r="AM21" s="133" t="str">
        <f aca="false">IF(OR(10&gt;$B$3,ISBLANK(Actuals!L27)),"",Actuals!L27)</f>
        <v/>
      </c>
      <c r="AN21" s="134" t="str">
        <f aca="false">IF(OR(10&gt;$B$3,ISBLANK(Actuals!L27)),"",Budget!L27-Actuals!L27)</f>
        <v/>
      </c>
      <c r="AO21" s="134" t="str">
        <f aca="false">IFERROR(IF(OR(10&gt;$B$3,ISBLANK(Actuals!L27)),"",(Budget!L27-Actuals!L27)/ABS(Budget!L27)),"")</f>
        <v/>
      </c>
      <c r="AP21" s="133" t="n">
        <f aca="false">Budget!M27</f>
        <v>0</v>
      </c>
      <c r="AQ21" s="133" t="str">
        <f aca="false">IF(OR(11&gt;$B$3,ISBLANK(Actuals!M27)),"",Actuals!M27)</f>
        <v/>
      </c>
      <c r="AR21" s="134" t="str">
        <f aca="false">IF(OR(11&gt;$B$3,ISBLANK(Actuals!M27)),"",Budget!M27-Actuals!M27)</f>
        <v/>
      </c>
      <c r="AS21" s="134" t="str">
        <f aca="false">IFERROR(IF(OR(11&gt;$B$3,ISBLANK(Actuals!M27)),"",(Budget!M27-Actuals!M27)/ABS(Budget!M27)),"")</f>
        <v/>
      </c>
      <c r="AT21" s="133" t="n">
        <f aca="false">Budget!N27</f>
        <v>0</v>
      </c>
      <c r="AU21" s="133" t="str">
        <f aca="false">IF(OR(12&gt;$B$3,ISBLANK(Actuals!N27)),"",Actuals!N27)</f>
        <v/>
      </c>
      <c r="AV21" s="134" t="str">
        <f aca="false">IF(OR(12&gt;$B$3,ISBLANK(Actuals!N27)),"",Budget!N27-Actuals!N27)</f>
        <v/>
      </c>
      <c r="AW21" s="134" t="str">
        <f aca="false">IFERROR(IF(OR(12&gt;$B$3,ISBLANK(Actuals!N27)),"",(Budget!N27-Actuals!N27)/ABS(Budget!N27)),"")</f>
        <v/>
      </c>
      <c r="AX21" s="135" t="n">
        <f aca="false">SUMPRODUCT((Actuals!C27:N27&lt;&gt;"")*(Budget!C27:N27))</f>
        <v>0</v>
      </c>
      <c r="AY21" s="135" t="n">
        <f aca="false">SUM(Actuals!C27:N27)</f>
        <v>-249668.9</v>
      </c>
      <c r="AZ21" s="136" t="n">
        <f aca="false">AX21-AY21</f>
        <v>249668.9</v>
      </c>
    </row>
    <row r="22" customFormat="false" ht="15" hidden="false" customHeight="true" outlineLevel="0" collapsed="false">
      <c r="A22" s="132" t="s">
        <v>71</v>
      </c>
      <c r="B22" s="133" t="n">
        <f aca="false">Budget!C28</f>
        <v>0</v>
      </c>
      <c r="C22" s="133" t="n">
        <f aca="false">IF(OR(1&gt;$B$3,ISBLANK(Actuals!C28)),"",Actuals!C28)</f>
        <v>0</v>
      </c>
      <c r="D22" s="134" t="n">
        <f aca="false">IF(OR(1&gt;$B$3,ISBLANK(Actuals!C28)),"",Budget!C28-Actuals!C28)</f>
        <v>0</v>
      </c>
      <c r="E22" s="134" t="str">
        <f aca="false">IFERROR(IF(OR(1&gt;$B$3,ISBLANK(Actuals!C28)),"",(Budget!C28-Actuals!C28)/ABS(Budget!C28)),"")</f>
        <v/>
      </c>
      <c r="F22" s="133" t="n">
        <f aca="false">Budget!D28</f>
        <v>0</v>
      </c>
      <c r="G22" s="133" t="n">
        <f aca="false">IF(OR(2&gt;$B$3,ISBLANK(Actuals!D28)),"",Actuals!D28)</f>
        <v>0</v>
      </c>
      <c r="H22" s="134" t="n">
        <f aca="false">IF(OR(2&gt;$B$3,ISBLANK(Actuals!D28)),"",Budget!D28-Actuals!D28)</f>
        <v>0</v>
      </c>
      <c r="I22" s="134" t="str">
        <f aca="false">IFERROR(IF(OR(2&gt;$B$3,ISBLANK(Actuals!D28)),"",(Budget!D28-Actuals!D28)/ABS(Budget!D28)),"")</f>
        <v/>
      </c>
      <c r="J22" s="133" t="n">
        <f aca="false">Budget!E28</f>
        <v>0</v>
      </c>
      <c r="K22" s="133" t="n">
        <f aca="false">IF(OR(3&gt;$B$3,ISBLANK(Actuals!E28)),"",Actuals!E28)</f>
        <v>0</v>
      </c>
      <c r="L22" s="134" t="n">
        <f aca="false">IF(OR(3&gt;$B$3,ISBLANK(Actuals!E28)),"",Budget!E28-Actuals!E28)</f>
        <v>0</v>
      </c>
      <c r="M22" s="134" t="str">
        <f aca="false">IFERROR(IF(OR(3&gt;$B$3,ISBLANK(Actuals!E28)),"",(Budget!E28-Actuals!E28)/ABS(Budget!E28)),"")</f>
        <v/>
      </c>
      <c r="N22" s="133" t="n">
        <f aca="false">Budget!F28</f>
        <v>0</v>
      </c>
      <c r="O22" s="133" t="n">
        <f aca="false">IF(OR(4&gt;$B$3,ISBLANK(Actuals!F28)),"",Actuals!F28)</f>
        <v>251304.48</v>
      </c>
      <c r="P22" s="134" t="n">
        <f aca="false">IF(OR(4&gt;$B$3,ISBLANK(Actuals!F28)),"",Budget!F28-Actuals!F28)</f>
        <v>-251304.48</v>
      </c>
      <c r="Q22" s="134" t="str">
        <f aca="false">IFERROR(IF(OR(4&gt;$B$3,ISBLANK(Actuals!F28)),"",(Budget!F28-Actuals!F28)/ABS(Budget!F28)),"")</f>
        <v/>
      </c>
      <c r="R22" s="133" t="n">
        <f aca="false">Budget!G28</f>
        <v>0</v>
      </c>
      <c r="S22" s="133" t="n">
        <f aca="false">IF(OR(5&gt;$B$3,ISBLANK(Actuals!G28)),"",Actuals!G28)</f>
        <v>81510</v>
      </c>
      <c r="T22" s="134" t="n">
        <f aca="false">IF(OR(5&gt;$B$3,ISBLANK(Actuals!G28)),"",Budget!G28-Actuals!G28)</f>
        <v>-81510</v>
      </c>
      <c r="U22" s="134" t="str">
        <f aca="false">IFERROR(IF(OR(5&gt;$B$3,ISBLANK(Actuals!G28)),"",(Budget!G28-Actuals!G28)/ABS(Budget!G28)),"")</f>
        <v/>
      </c>
      <c r="V22" s="133" t="n">
        <f aca="false">Budget!H28</f>
        <v>0</v>
      </c>
      <c r="W22" s="133" t="n">
        <f aca="false">IF(OR(6&gt;$B$3,ISBLANK(Actuals!H28)),"",Actuals!H28)</f>
        <v>0</v>
      </c>
      <c r="X22" s="134" t="n">
        <f aca="false">IF(OR(6&gt;$B$3,ISBLANK(Actuals!H28)),"",Budget!H28-Actuals!H28)</f>
        <v>0</v>
      </c>
      <c r="Y22" s="134" t="str">
        <f aca="false">IFERROR(IF(OR(6&gt;$B$3,ISBLANK(Actuals!H28)),"",(Budget!H28-Actuals!H28)/ABS(Budget!H28)),"")</f>
        <v/>
      </c>
      <c r="Z22" s="133" t="n">
        <f aca="false">Budget!I28</f>
        <v>0</v>
      </c>
      <c r="AA22" s="133" t="n">
        <f aca="false">IF(OR(7&gt;$B$3,ISBLANK(Actuals!I28)),"",Actuals!I28)</f>
        <v>0</v>
      </c>
      <c r="AB22" s="134" t="n">
        <f aca="false">IF(OR(7&gt;$B$3,ISBLANK(Actuals!I28)),"",Budget!I28-Actuals!I28)</f>
        <v>0</v>
      </c>
      <c r="AC22" s="134" t="str">
        <f aca="false">IFERROR(IF(OR(7&gt;$B$3,ISBLANK(Actuals!I28)),"",(Budget!I28-Actuals!I28)/ABS(Budget!I28)),"")</f>
        <v/>
      </c>
      <c r="AD22" s="133" t="n">
        <f aca="false">Budget!J28</f>
        <v>0</v>
      </c>
      <c r="AE22" s="133" t="n">
        <f aca="false">IF(OR(8&gt;$B$3,ISBLANK(Actuals!J28)),"",Actuals!J28)</f>
        <v>0</v>
      </c>
      <c r="AF22" s="134" t="n">
        <f aca="false">IF(OR(8&gt;$B$3,ISBLANK(Actuals!J28)),"",Budget!J28-Actuals!J28)</f>
        <v>0</v>
      </c>
      <c r="AG22" s="134" t="str">
        <f aca="false">IFERROR(IF(OR(8&gt;$B$3,ISBLANK(Actuals!J28)),"",(Budget!J28-Actuals!J28)/ABS(Budget!J28)),"")</f>
        <v/>
      </c>
      <c r="AH22" s="133" t="n">
        <f aca="false">Budget!K28</f>
        <v>0</v>
      </c>
      <c r="AI22" s="133" t="str">
        <f aca="false">IF(OR(9&gt;$B$3,ISBLANK(Actuals!K28)),"",Actuals!K28)</f>
        <v/>
      </c>
      <c r="AJ22" s="134" t="str">
        <f aca="false">IF(OR(9&gt;$B$3,ISBLANK(Actuals!K28)),"",Budget!K28-Actuals!K28)</f>
        <v/>
      </c>
      <c r="AK22" s="134" t="str">
        <f aca="false">IFERROR(IF(OR(9&gt;$B$3,ISBLANK(Actuals!K28)),"",(Budget!K28-Actuals!K28)/ABS(Budget!K28)),"")</f>
        <v/>
      </c>
      <c r="AL22" s="133" t="n">
        <f aca="false">Budget!L28</f>
        <v>0</v>
      </c>
      <c r="AM22" s="133" t="str">
        <f aca="false">IF(OR(10&gt;$B$3,ISBLANK(Actuals!L28)),"",Actuals!L28)</f>
        <v/>
      </c>
      <c r="AN22" s="134" t="str">
        <f aca="false">IF(OR(10&gt;$B$3,ISBLANK(Actuals!L28)),"",Budget!L28-Actuals!L28)</f>
        <v/>
      </c>
      <c r="AO22" s="134" t="str">
        <f aca="false">IFERROR(IF(OR(10&gt;$B$3,ISBLANK(Actuals!L28)),"",(Budget!L28-Actuals!L28)/ABS(Budget!L28)),"")</f>
        <v/>
      </c>
      <c r="AP22" s="133" t="n">
        <f aca="false">Budget!M28</f>
        <v>0</v>
      </c>
      <c r="AQ22" s="133" t="str">
        <f aca="false">IF(OR(11&gt;$B$3,ISBLANK(Actuals!M28)),"",Actuals!M28)</f>
        <v/>
      </c>
      <c r="AR22" s="134" t="str">
        <f aca="false">IF(OR(11&gt;$B$3,ISBLANK(Actuals!M28)),"",Budget!M28-Actuals!M28)</f>
        <v/>
      </c>
      <c r="AS22" s="134" t="str">
        <f aca="false">IFERROR(IF(OR(11&gt;$B$3,ISBLANK(Actuals!M28)),"",(Budget!M28-Actuals!M28)/ABS(Budget!M28)),"")</f>
        <v/>
      </c>
      <c r="AT22" s="133" t="n">
        <f aca="false">Budget!N28</f>
        <v>0</v>
      </c>
      <c r="AU22" s="133" t="str">
        <f aca="false">IF(OR(12&gt;$B$3,ISBLANK(Actuals!N28)),"",Actuals!N28)</f>
        <v/>
      </c>
      <c r="AV22" s="134" t="str">
        <f aca="false">IF(OR(12&gt;$B$3,ISBLANK(Actuals!N28)),"",Budget!N28-Actuals!N28)</f>
        <v/>
      </c>
      <c r="AW22" s="134" t="str">
        <f aca="false">IFERROR(IF(OR(12&gt;$B$3,ISBLANK(Actuals!N28)),"",(Budget!N28-Actuals!N28)/ABS(Budget!N28)),"")</f>
        <v/>
      </c>
      <c r="AX22" s="135" t="n">
        <f aca="false">SUMPRODUCT((Actuals!C28:N28&lt;&gt;"")*(Budget!C28:N28))</f>
        <v>0</v>
      </c>
      <c r="AY22" s="135" t="n">
        <f aca="false">SUM(Actuals!C28:N28)</f>
        <v>332814.48</v>
      </c>
      <c r="AZ22" s="136" t="n">
        <f aca="false">AX22-AY22</f>
        <v>-332814.48</v>
      </c>
    </row>
    <row r="23" customFormat="false" ht="15" hidden="false" customHeight="true" outlineLevel="0" collapsed="false">
      <c r="A23" s="132" t="s">
        <v>72</v>
      </c>
      <c r="B23" s="133" t="n">
        <f aca="false">Budget!C29</f>
        <v>-10000</v>
      </c>
      <c r="C23" s="133" t="n">
        <f aca="false">IF(OR(1&gt;$B$3,ISBLANK(Actuals!C29)),"",Actuals!C29)</f>
        <v>-10400</v>
      </c>
      <c r="D23" s="134" t="n">
        <f aca="false">IF(OR(1&gt;$B$3,ISBLANK(Actuals!C29)),"",Budget!C29-Actuals!C29)</f>
        <v>400</v>
      </c>
      <c r="E23" s="134" t="n">
        <f aca="false">IFERROR(IF(OR(1&gt;$B$3,ISBLANK(Actuals!C29)),"",(Budget!C29-Actuals!C29)/ABS(Budget!C29)),"")</f>
        <v>0.04</v>
      </c>
      <c r="F23" s="133" t="n">
        <f aca="false">Budget!D29</f>
        <v>-10000</v>
      </c>
      <c r="G23" s="133" t="n">
        <f aca="false">IF(OR(2&gt;$B$3,ISBLANK(Actuals!D29)),"",Actuals!D29)</f>
        <v>-10400</v>
      </c>
      <c r="H23" s="134" t="n">
        <f aca="false">IF(OR(2&gt;$B$3,ISBLANK(Actuals!D29)),"",Budget!D29-Actuals!D29)</f>
        <v>400</v>
      </c>
      <c r="I23" s="134" t="n">
        <f aca="false">IFERROR(IF(OR(2&gt;$B$3,ISBLANK(Actuals!D29)),"",(Budget!D29-Actuals!D29)/ABS(Budget!D29)),"")</f>
        <v>0.04</v>
      </c>
      <c r="J23" s="133" t="n">
        <f aca="false">Budget!E29</f>
        <v>-10000</v>
      </c>
      <c r="K23" s="133" t="n">
        <f aca="false">IF(OR(3&gt;$B$3,ISBLANK(Actuals!E29)),"",Actuals!E29)</f>
        <v>-400</v>
      </c>
      <c r="L23" s="134" t="n">
        <f aca="false">IF(OR(3&gt;$B$3,ISBLANK(Actuals!E29)),"",Budget!E29-Actuals!E29)</f>
        <v>-9600</v>
      </c>
      <c r="M23" s="134" t="n">
        <f aca="false">IFERROR(IF(OR(3&gt;$B$3,ISBLANK(Actuals!E29)),"",(Budget!E29-Actuals!E29)/ABS(Budget!E29)),"")</f>
        <v>-0.96</v>
      </c>
      <c r="N23" s="133" t="n">
        <f aca="false">Budget!F29</f>
        <v>-10000</v>
      </c>
      <c r="O23" s="133" t="n">
        <f aca="false">IF(OR(4&gt;$B$3,ISBLANK(Actuals!F29)),"",Actuals!F29)</f>
        <v>-10400</v>
      </c>
      <c r="P23" s="134" t="n">
        <f aca="false">IF(OR(4&gt;$B$3,ISBLANK(Actuals!F29)),"",Budget!F29-Actuals!F29)</f>
        <v>400</v>
      </c>
      <c r="Q23" s="134" t="n">
        <f aca="false">IFERROR(IF(OR(4&gt;$B$3,ISBLANK(Actuals!F29)),"",(Budget!F29-Actuals!F29)/ABS(Budget!F29)),"")</f>
        <v>0.04</v>
      </c>
      <c r="R23" s="133" t="n">
        <f aca="false">Budget!G29</f>
        <v>-10000</v>
      </c>
      <c r="S23" s="133" t="n">
        <f aca="false">IF(OR(5&gt;$B$3,ISBLANK(Actuals!G29)),"",Actuals!G29)</f>
        <v>-20400</v>
      </c>
      <c r="T23" s="134" t="n">
        <f aca="false">IF(OR(5&gt;$B$3,ISBLANK(Actuals!G29)),"",Budget!G29-Actuals!G29)</f>
        <v>10400</v>
      </c>
      <c r="U23" s="134" t="n">
        <f aca="false">IFERROR(IF(OR(5&gt;$B$3,ISBLANK(Actuals!G29)),"",(Budget!G29-Actuals!G29)/ABS(Budget!G29)),"")</f>
        <v>1.04</v>
      </c>
      <c r="V23" s="133" t="n">
        <f aca="false">Budget!H29</f>
        <v>-10000</v>
      </c>
      <c r="W23" s="133" t="n">
        <f aca="false">IF(OR(6&gt;$B$3,ISBLANK(Actuals!H29)),"",Actuals!H29)</f>
        <v>-20405</v>
      </c>
      <c r="X23" s="134" t="n">
        <f aca="false">IF(OR(6&gt;$B$3,ISBLANK(Actuals!H29)),"",Budget!H29-Actuals!H29)</f>
        <v>10405</v>
      </c>
      <c r="Y23" s="134" t="n">
        <f aca="false">IFERROR(IF(OR(6&gt;$B$3,ISBLANK(Actuals!H29)),"",(Budget!H29-Actuals!H29)/ABS(Budget!H29)),"")</f>
        <v>1.0405</v>
      </c>
      <c r="Z23" s="133" t="n">
        <f aca="false">Budget!I29</f>
        <v>-10200</v>
      </c>
      <c r="AA23" s="133" t="n">
        <f aca="false">IF(OR(7&gt;$B$3,ISBLANK(Actuals!I29)),"",Actuals!I29)</f>
        <v>-20405</v>
      </c>
      <c r="AB23" s="134" t="n">
        <f aca="false">IF(OR(7&gt;$B$3,ISBLANK(Actuals!I29)),"",Budget!I29-Actuals!I29)</f>
        <v>10205</v>
      </c>
      <c r="AC23" s="134" t="n">
        <f aca="false">IFERROR(IF(OR(7&gt;$B$3,ISBLANK(Actuals!I29)),"",(Budget!I29-Actuals!I29)/ABS(Budget!I29)),"")</f>
        <v>1.00049019607843</v>
      </c>
      <c r="AD23" s="133" t="n">
        <f aca="false">Budget!J29</f>
        <v>-10200</v>
      </c>
      <c r="AE23" s="133" t="n">
        <f aca="false">IF(OR(8&gt;$B$3,ISBLANK(Actuals!J29)),"",Actuals!J29)</f>
        <v>-20405</v>
      </c>
      <c r="AF23" s="134" t="n">
        <f aca="false">IF(OR(8&gt;$B$3,ISBLANK(Actuals!J29)),"",Budget!J29-Actuals!J29)</f>
        <v>10205</v>
      </c>
      <c r="AG23" s="134" t="n">
        <f aca="false">IFERROR(IF(OR(8&gt;$B$3,ISBLANK(Actuals!J29)),"",(Budget!J29-Actuals!J29)/ABS(Budget!J29)),"")</f>
        <v>1.00049019607843</v>
      </c>
      <c r="AH23" s="133" t="n">
        <f aca="false">Budget!K29</f>
        <v>-10200</v>
      </c>
      <c r="AI23" s="133" t="str">
        <f aca="false">IF(OR(9&gt;$B$3,ISBLANK(Actuals!K29)),"",Actuals!K29)</f>
        <v/>
      </c>
      <c r="AJ23" s="134" t="str">
        <f aca="false">IF(OR(9&gt;$B$3,ISBLANK(Actuals!K29)),"",Budget!K29-Actuals!K29)</f>
        <v/>
      </c>
      <c r="AK23" s="134" t="str">
        <f aca="false">IFERROR(IF(OR(9&gt;$B$3,ISBLANK(Actuals!K29)),"",(Budget!K29-Actuals!K29)/ABS(Budget!K29)),"")</f>
        <v/>
      </c>
      <c r="AL23" s="133" t="n">
        <f aca="false">Budget!L29</f>
        <v>-10200</v>
      </c>
      <c r="AM23" s="133" t="str">
        <f aca="false">IF(OR(10&gt;$B$3,ISBLANK(Actuals!L29)),"",Actuals!L29)</f>
        <v/>
      </c>
      <c r="AN23" s="134" t="str">
        <f aca="false">IF(OR(10&gt;$B$3,ISBLANK(Actuals!L29)),"",Budget!L29-Actuals!L29)</f>
        <v/>
      </c>
      <c r="AO23" s="134" t="str">
        <f aca="false">IFERROR(IF(OR(10&gt;$B$3,ISBLANK(Actuals!L29)),"",(Budget!L29-Actuals!L29)/ABS(Budget!L29)),"")</f>
        <v/>
      </c>
      <c r="AP23" s="133" t="n">
        <f aca="false">Budget!M29</f>
        <v>-10200</v>
      </c>
      <c r="AQ23" s="133" t="str">
        <f aca="false">IF(OR(11&gt;$B$3,ISBLANK(Actuals!M29)),"",Actuals!M29)</f>
        <v/>
      </c>
      <c r="AR23" s="134" t="str">
        <f aca="false">IF(OR(11&gt;$B$3,ISBLANK(Actuals!M29)),"",Budget!M29-Actuals!M29)</f>
        <v/>
      </c>
      <c r="AS23" s="134" t="str">
        <f aca="false">IFERROR(IF(OR(11&gt;$B$3,ISBLANK(Actuals!M29)),"",(Budget!M29-Actuals!M29)/ABS(Budget!M29)),"")</f>
        <v/>
      </c>
      <c r="AT23" s="133" t="n">
        <f aca="false">Budget!N29</f>
        <v>-10200</v>
      </c>
      <c r="AU23" s="133" t="str">
        <f aca="false">IF(OR(12&gt;$B$3,ISBLANK(Actuals!N29)),"",Actuals!N29)</f>
        <v/>
      </c>
      <c r="AV23" s="134" t="str">
        <f aca="false">IF(OR(12&gt;$B$3,ISBLANK(Actuals!N29)),"",Budget!N29-Actuals!N29)</f>
        <v/>
      </c>
      <c r="AW23" s="134" t="str">
        <f aca="false">IFERROR(IF(OR(12&gt;$B$3,ISBLANK(Actuals!N29)),"",(Budget!N29-Actuals!N29)/ABS(Budget!N29)),"")</f>
        <v/>
      </c>
      <c r="AX23" s="135" t="n">
        <f aca="false">SUMPRODUCT((Actuals!C29:N29&lt;&gt;"")*(Budget!C29:N29))</f>
        <v>-80400</v>
      </c>
      <c r="AY23" s="135" t="n">
        <f aca="false">SUM(Actuals!C29:N29)</f>
        <v>-113215</v>
      </c>
      <c r="AZ23" s="136" t="n">
        <f aca="false">AX23-AY23</f>
        <v>32815</v>
      </c>
    </row>
    <row r="24" customFormat="false" ht="15" hidden="false" customHeight="true" outlineLevel="0" collapsed="false">
      <c r="A24" s="132" t="s">
        <v>73</v>
      </c>
      <c r="B24" s="133" t="n">
        <f aca="false">Budget!C30</f>
        <v>-2800</v>
      </c>
      <c r="C24" s="133" t="n">
        <f aca="false">IF(OR(1&gt;$B$3,ISBLANK(Actuals!C30)),"",Actuals!C30)</f>
        <v>-1988</v>
      </c>
      <c r="D24" s="134" t="n">
        <f aca="false">IF(OR(1&gt;$B$3,ISBLANK(Actuals!C30)),"",Budget!C30-Actuals!C30)</f>
        <v>-812</v>
      </c>
      <c r="E24" s="134" t="n">
        <f aca="false">IFERROR(IF(OR(1&gt;$B$3,ISBLANK(Actuals!C30)),"",(Budget!C30-Actuals!C30)/ABS(Budget!C30)),"")</f>
        <v>-0.29</v>
      </c>
      <c r="F24" s="133" t="n">
        <f aca="false">Budget!D30</f>
        <v>-2800</v>
      </c>
      <c r="G24" s="133" t="n">
        <f aca="false">IF(OR(2&gt;$B$3,ISBLANK(Actuals!D30)),"",Actuals!D30)</f>
        <v>-955.32</v>
      </c>
      <c r="H24" s="134" t="n">
        <f aca="false">IF(OR(2&gt;$B$3,ISBLANK(Actuals!D30)),"",Budget!D30-Actuals!D30)</f>
        <v>-1844.68</v>
      </c>
      <c r="I24" s="134" t="n">
        <f aca="false">IFERROR(IF(OR(2&gt;$B$3,ISBLANK(Actuals!D30)),"",(Budget!D30-Actuals!D30)/ABS(Budget!D30)),"")</f>
        <v>-0.658814285714286</v>
      </c>
      <c r="J24" s="133" t="n">
        <f aca="false">Budget!E30</f>
        <v>-2800</v>
      </c>
      <c r="K24" s="133" t="n">
        <f aca="false">IF(OR(3&gt;$B$3,ISBLANK(Actuals!E30)),"",Actuals!E30)</f>
        <v>-9130.61</v>
      </c>
      <c r="L24" s="134" t="n">
        <f aca="false">IF(OR(3&gt;$B$3,ISBLANK(Actuals!E30)),"",Budget!E30-Actuals!E30)</f>
        <v>6330.61</v>
      </c>
      <c r="M24" s="134" t="n">
        <f aca="false">IFERROR(IF(OR(3&gt;$B$3,ISBLANK(Actuals!E30)),"",(Budget!E30-Actuals!E30)/ABS(Budget!E30)),"")</f>
        <v>2.26093214285714</v>
      </c>
      <c r="N24" s="133" t="n">
        <f aca="false">Budget!F30</f>
        <v>-2800</v>
      </c>
      <c r="O24" s="133" t="n">
        <f aca="false">IF(OR(4&gt;$B$3,ISBLANK(Actuals!F30)),"",Actuals!F30)</f>
        <v>-1028.89</v>
      </c>
      <c r="P24" s="134" t="n">
        <f aca="false">IF(OR(4&gt;$B$3,ISBLANK(Actuals!F30)),"",Budget!F30-Actuals!F30)</f>
        <v>-1771.11</v>
      </c>
      <c r="Q24" s="134" t="n">
        <f aca="false">IFERROR(IF(OR(4&gt;$B$3,ISBLANK(Actuals!F30)),"",(Budget!F30-Actuals!F30)/ABS(Budget!F30)),"")</f>
        <v>-0.632539285714286</v>
      </c>
      <c r="R24" s="133" t="n">
        <f aca="false">Budget!G30</f>
        <v>-2800</v>
      </c>
      <c r="S24" s="133" t="n">
        <f aca="false">IF(OR(5&gt;$B$3,ISBLANK(Actuals!G30)),"",Actuals!G30)</f>
        <v>-7005.14</v>
      </c>
      <c r="T24" s="134" t="n">
        <f aca="false">IF(OR(5&gt;$B$3,ISBLANK(Actuals!G30)),"",Budget!G30-Actuals!G30)</f>
        <v>4205.14</v>
      </c>
      <c r="U24" s="134" t="n">
        <f aca="false">IFERROR(IF(OR(5&gt;$B$3,ISBLANK(Actuals!G30)),"",(Budget!G30-Actuals!G30)/ABS(Budget!G30)),"")</f>
        <v>1.50183571428571</v>
      </c>
      <c r="V24" s="133" t="n">
        <f aca="false">Budget!H30</f>
        <v>-2800</v>
      </c>
      <c r="W24" s="133" t="n">
        <f aca="false">IF(OR(6&gt;$B$3,ISBLANK(Actuals!H30)),"",Actuals!H30)</f>
        <v>-4121.06</v>
      </c>
      <c r="X24" s="134" t="n">
        <f aca="false">IF(OR(6&gt;$B$3,ISBLANK(Actuals!H30)),"",Budget!H30-Actuals!H30)</f>
        <v>1321.06</v>
      </c>
      <c r="Y24" s="134" t="n">
        <f aca="false">IFERROR(IF(OR(6&gt;$B$3,ISBLANK(Actuals!H30)),"",(Budget!H30-Actuals!H30)/ABS(Budget!H30)),"")</f>
        <v>0.471807142857143</v>
      </c>
      <c r="Z24" s="133" t="n">
        <f aca="false">Budget!I30</f>
        <v>-2856</v>
      </c>
      <c r="AA24" s="133" t="n">
        <f aca="false">IF(OR(7&gt;$B$3,ISBLANK(Actuals!I30)),"",Actuals!I30)</f>
        <v>-2683.91</v>
      </c>
      <c r="AB24" s="134" t="n">
        <f aca="false">IF(OR(7&gt;$B$3,ISBLANK(Actuals!I30)),"",Budget!I30-Actuals!I30)</f>
        <v>-172.09</v>
      </c>
      <c r="AC24" s="134" t="n">
        <f aca="false">IFERROR(IF(OR(7&gt;$B$3,ISBLANK(Actuals!I30)),"",(Budget!I30-Actuals!I30)/ABS(Budget!I30)),"")</f>
        <v>-0.0602556022408964</v>
      </c>
      <c r="AD24" s="133" t="n">
        <f aca="false">Budget!J30</f>
        <v>-2856</v>
      </c>
      <c r="AE24" s="133" t="n">
        <f aca="false">IF(OR(8&gt;$B$3,ISBLANK(Actuals!J30)),"",Actuals!J30)</f>
        <v>-17047.56</v>
      </c>
      <c r="AF24" s="134" t="n">
        <f aca="false">IF(OR(8&gt;$B$3,ISBLANK(Actuals!J30)),"",Budget!J30-Actuals!J30)</f>
        <v>14191.56</v>
      </c>
      <c r="AG24" s="134" t="n">
        <f aca="false">IFERROR(IF(OR(8&gt;$B$3,ISBLANK(Actuals!J30)),"",(Budget!J30-Actuals!J30)/ABS(Budget!J30)),"")</f>
        <v>4.96903361344538</v>
      </c>
      <c r="AH24" s="133" t="n">
        <f aca="false">Budget!K30</f>
        <v>-2856</v>
      </c>
      <c r="AI24" s="133" t="str">
        <f aca="false">IF(OR(9&gt;$B$3,ISBLANK(Actuals!K30)),"",Actuals!K30)</f>
        <v/>
      </c>
      <c r="AJ24" s="134" t="str">
        <f aca="false">IF(OR(9&gt;$B$3,ISBLANK(Actuals!K30)),"",Budget!K30-Actuals!K30)</f>
        <v/>
      </c>
      <c r="AK24" s="134" t="str">
        <f aca="false">IFERROR(IF(OR(9&gt;$B$3,ISBLANK(Actuals!K30)),"",(Budget!K30-Actuals!K30)/ABS(Budget!K30)),"")</f>
        <v/>
      </c>
      <c r="AL24" s="133" t="n">
        <f aca="false">Budget!L30</f>
        <v>-2856</v>
      </c>
      <c r="AM24" s="133" t="str">
        <f aca="false">IF(OR(10&gt;$B$3,ISBLANK(Actuals!L30)),"",Actuals!L30)</f>
        <v/>
      </c>
      <c r="AN24" s="134" t="str">
        <f aca="false">IF(OR(10&gt;$B$3,ISBLANK(Actuals!L30)),"",Budget!L30-Actuals!L30)</f>
        <v/>
      </c>
      <c r="AO24" s="134" t="str">
        <f aca="false">IFERROR(IF(OR(10&gt;$B$3,ISBLANK(Actuals!L30)),"",(Budget!L30-Actuals!L30)/ABS(Budget!L30)),"")</f>
        <v/>
      </c>
      <c r="AP24" s="133" t="n">
        <f aca="false">Budget!M30</f>
        <v>-2856</v>
      </c>
      <c r="AQ24" s="133" t="str">
        <f aca="false">IF(OR(11&gt;$B$3,ISBLANK(Actuals!M30)),"",Actuals!M30)</f>
        <v/>
      </c>
      <c r="AR24" s="134" t="str">
        <f aca="false">IF(OR(11&gt;$B$3,ISBLANK(Actuals!M30)),"",Budget!M30-Actuals!M30)</f>
        <v/>
      </c>
      <c r="AS24" s="134" t="str">
        <f aca="false">IFERROR(IF(OR(11&gt;$B$3,ISBLANK(Actuals!M30)),"",(Budget!M30-Actuals!M30)/ABS(Budget!M30)),"")</f>
        <v/>
      </c>
      <c r="AT24" s="133" t="n">
        <f aca="false">Budget!N30</f>
        <v>-2856</v>
      </c>
      <c r="AU24" s="133" t="str">
        <f aca="false">IF(OR(12&gt;$B$3,ISBLANK(Actuals!N30)),"",Actuals!N30)</f>
        <v/>
      </c>
      <c r="AV24" s="134" t="str">
        <f aca="false">IF(OR(12&gt;$B$3,ISBLANK(Actuals!N30)),"",Budget!N30-Actuals!N30)</f>
        <v/>
      </c>
      <c r="AW24" s="134" t="str">
        <f aca="false">IFERROR(IF(OR(12&gt;$B$3,ISBLANK(Actuals!N30)),"",(Budget!N30-Actuals!N30)/ABS(Budget!N30)),"")</f>
        <v/>
      </c>
      <c r="AX24" s="135" t="n">
        <f aca="false">SUMPRODUCT((Actuals!C30:N30&lt;&gt;"")*(Budget!C30:N30))</f>
        <v>-22512</v>
      </c>
      <c r="AY24" s="135" t="n">
        <f aca="false">SUM(Actuals!C30:N30)</f>
        <v>-43960.49</v>
      </c>
      <c r="AZ24" s="136" t="n">
        <f aca="false">AX24-AY24</f>
        <v>21448.49</v>
      </c>
    </row>
    <row r="25" customFormat="false" ht="15" hidden="false" customHeight="true" outlineLevel="0" collapsed="false">
      <c r="A25" s="132" t="s">
        <v>74</v>
      </c>
      <c r="B25" s="133" t="n">
        <f aca="false">Budget!C31</f>
        <v>0</v>
      </c>
      <c r="C25" s="133" t="n">
        <f aca="false">IF(OR(1&gt;$B$3,ISBLANK(Actuals!C31)),"",Actuals!C31)</f>
        <v>0</v>
      </c>
      <c r="D25" s="134" t="n">
        <f aca="false">IF(OR(1&gt;$B$3,ISBLANK(Actuals!C31)),"",Budget!C31-Actuals!C31)</f>
        <v>0</v>
      </c>
      <c r="E25" s="134" t="str">
        <f aca="false">IFERROR(IF(OR(1&gt;$B$3,ISBLANK(Actuals!C31)),"",(Budget!C31-Actuals!C31)/ABS(Budget!C31)),"")</f>
        <v/>
      </c>
      <c r="F25" s="133" t="n">
        <f aca="false">Budget!D31</f>
        <v>0</v>
      </c>
      <c r="G25" s="133" t="n">
        <f aca="false">IF(OR(2&gt;$B$3,ISBLANK(Actuals!D31)),"",Actuals!D31)</f>
        <v>0</v>
      </c>
      <c r="H25" s="134" t="n">
        <f aca="false">IF(OR(2&gt;$B$3,ISBLANK(Actuals!D31)),"",Budget!D31-Actuals!D31)</f>
        <v>0</v>
      </c>
      <c r="I25" s="134" t="str">
        <f aca="false">IFERROR(IF(OR(2&gt;$B$3,ISBLANK(Actuals!D31)),"",(Budget!D31-Actuals!D31)/ABS(Budget!D31)),"")</f>
        <v/>
      </c>
      <c r="J25" s="133" t="n">
        <f aca="false">Budget!E31</f>
        <v>0</v>
      </c>
      <c r="K25" s="133" t="n">
        <f aca="false">IF(OR(3&gt;$B$3,ISBLANK(Actuals!E31)),"",Actuals!E31)</f>
        <v>-1077.38</v>
      </c>
      <c r="L25" s="134" t="n">
        <f aca="false">IF(OR(3&gt;$B$3,ISBLANK(Actuals!E31)),"",Budget!E31-Actuals!E31)</f>
        <v>1077.38</v>
      </c>
      <c r="M25" s="134" t="str">
        <f aca="false">IFERROR(IF(OR(3&gt;$B$3,ISBLANK(Actuals!E31)),"",(Budget!E31-Actuals!E31)/ABS(Budget!E31)),"")</f>
        <v/>
      </c>
      <c r="N25" s="133" t="n">
        <f aca="false">Budget!F31</f>
        <v>0</v>
      </c>
      <c r="O25" s="133" t="n">
        <f aca="false">IF(OR(4&gt;$B$3,ISBLANK(Actuals!F31)),"",Actuals!F31)</f>
        <v>-211.28</v>
      </c>
      <c r="P25" s="134" t="n">
        <f aca="false">IF(OR(4&gt;$B$3,ISBLANK(Actuals!F31)),"",Budget!F31-Actuals!F31)</f>
        <v>211.28</v>
      </c>
      <c r="Q25" s="134" t="str">
        <f aca="false">IFERROR(IF(OR(4&gt;$B$3,ISBLANK(Actuals!F31)),"",(Budget!F31-Actuals!F31)/ABS(Budget!F31)),"")</f>
        <v/>
      </c>
      <c r="R25" s="133" t="n">
        <f aca="false">Budget!G31</f>
        <v>0</v>
      </c>
      <c r="S25" s="133" t="n">
        <f aca="false">IF(OR(5&gt;$B$3,ISBLANK(Actuals!G31)),"",Actuals!G31)</f>
        <v>-1254.17</v>
      </c>
      <c r="T25" s="134" t="n">
        <f aca="false">IF(OR(5&gt;$B$3,ISBLANK(Actuals!G31)),"",Budget!G31-Actuals!G31)</f>
        <v>1254.17</v>
      </c>
      <c r="U25" s="134" t="str">
        <f aca="false">IFERROR(IF(OR(5&gt;$B$3,ISBLANK(Actuals!G31)),"",(Budget!G31-Actuals!G31)/ABS(Budget!G31)),"")</f>
        <v/>
      </c>
      <c r="V25" s="133" t="n">
        <f aca="false">Budget!H31</f>
        <v>0</v>
      </c>
      <c r="W25" s="133" t="n">
        <f aca="false">IF(OR(6&gt;$B$3,ISBLANK(Actuals!H31)),"",Actuals!H31)</f>
        <v>0</v>
      </c>
      <c r="X25" s="134" t="n">
        <f aca="false">IF(OR(6&gt;$B$3,ISBLANK(Actuals!H31)),"",Budget!H31-Actuals!H31)</f>
        <v>0</v>
      </c>
      <c r="Y25" s="134" t="str">
        <f aca="false">IFERROR(IF(OR(6&gt;$B$3,ISBLANK(Actuals!H31)),"",(Budget!H31-Actuals!H31)/ABS(Budget!H31)),"")</f>
        <v/>
      </c>
      <c r="Z25" s="133" t="n">
        <f aca="false">Budget!I31</f>
        <v>0</v>
      </c>
      <c r="AA25" s="133" t="n">
        <f aca="false">IF(OR(7&gt;$B$3,ISBLANK(Actuals!I31)),"",Actuals!I31)</f>
        <v>-169.62</v>
      </c>
      <c r="AB25" s="134" t="n">
        <f aca="false">IF(OR(7&gt;$B$3,ISBLANK(Actuals!I31)),"",Budget!I31-Actuals!I31)</f>
        <v>169.62</v>
      </c>
      <c r="AC25" s="134" t="str">
        <f aca="false">IFERROR(IF(OR(7&gt;$B$3,ISBLANK(Actuals!I31)),"",(Budget!I31-Actuals!I31)/ABS(Budget!I31)),"")</f>
        <v/>
      </c>
      <c r="AD25" s="133" t="n">
        <f aca="false">Budget!J31</f>
        <v>0</v>
      </c>
      <c r="AE25" s="133" t="n">
        <f aca="false">IF(OR(8&gt;$B$3,ISBLANK(Actuals!J31)),"",Actuals!J31)</f>
        <v>-2331.88</v>
      </c>
      <c r="AF25" s="134" t="n">
        <f aca="false">IF(OR(8&gt;$B$3,ISBLANK(Actuals!J31)),"",Budget!J31-Actuals!J31)</f>
        <v>2331.88</v>
      </c>
      <c r="AG25" s="134" t="str">
        <f aca="false">IFERROR(IF(OR(8&gt;$B$3,ISBLANK(Actuals!J31)),"",(Budget!J31-Actuals!J31)/ABS(Budget!J31)),"")</f>
        <v/>
      </c>
      <c r="AH25" s="133" t="n">
        <f aca="false">Budget!K31</f>
        <v>0</v>
      </c>
      <c r="AI25" s="133" t="str">
        <f aca="false">IF(OR(9&gt;$B$3,ISBLANK(Actuals!K31)),"",Actuals!K31)</f>
        <v/>
      </c>
      <c r="AJ25" s="134" t="str">
        <f aca="false">IF(OR(9&gt;$B$3,ISBLANK(Actuals!K31)),"",Budget!K31-Actuals!K31)</f>
        <v/>
      </c>
      <c r="AK25" s="134" t="str">
        <f aca="false">IFERROR(IF(OR(9&gt;$B$3,ISBLANK(Actuals!K31)),"",(Budget!K31-Actuals!K31)/ABS(Budget!K31)),"")</f>
        <v/>
      </c>
      <c r="AL25" s="133" t="n">
        <f aca="false">Budget!L31</f>
        <v>0</v>
      </c>
      <c r="AM25" s="133" t="str">
        <f aca="false">IF(OR(10&gt;$B$3,ISBLANK(Actuals!L31)),"",Actuals!L31)</f>
        <v/>
      </c>
      <c r="AN25" s="134" t="str">
        <f aca="false">IF(OR(10&gt;$B$3,ISBLANK(Actuals!L31)),"",Budget!L31-Actuals!L31)</f>
        <v/>
      </c>
      <c r="AO25" s="134" t="str">
        <f aca="false">IFERROR(IF(OR(10&gt;$B$3,ISBLANK(Actuals!L31)),"",(Budget!L31-Actuals!L31)/ABS(Budget!L31)),"")</f>
        <v/>
      </c>
      <c r="AP25" s="133" t="n">
        <f aca="false">Budget!M31</f>
        <v>0</v>
      </c>
      <c r="AQ25" s="133" t="str">
        <f aca="false">IF(OR(11&gt;$B$3,ISBLANK(Actuals!M31)),"",Actuals!M31)</f>
        <v/>
      </c>
      <c r="AR25" s="134" t="str">
        <f aca="false">IF(OR(11&gt;$B$3,ISBLANK(Actuals!M31)),"",Budget!M31-Actuals!M31)</f>
        <v/>
      </c>
      <c r="AS25" s="134" t="str">
        <f aca="false">IFERROR(IF(OR(11&gt;$B$3,ISBLANK(Actuals!M31)),"",(Budget!M31-Actuals!M31)/ABS(Budget!M31)),"")</f>
        <v/>
      </c>
      <c r="AT25" s="133" t="n">
        <f aca="false">Budget!N31</f>
        <v>0</v>
      </c>
      <c r="AU25" s="133" t="str">
        <f aca="false">IF(OR(12&gt;$B$3,ISBLANK(Actuals!N31)),"",Actuals!N31)</f>
        <v/>
      </c>
      <c r="AV25" s="134" t="str">
        <f aca="false">IF(OR(12&gt;$B$3,ISBLANK(Actuals!N31)),"",Budget!N31-Actuals!N31)</f>
        <v/>
      </c>
      <c r="AW25" s="134" t="str">
        <f aca="false">IFERROR(IF(OR(12&gt;$B$3,ISBLANK(Actuals!N31)),"",(Budget!N31-Actuals!N31)/ABS(Budget!N31)),"")</f>
        <v/>
      </c>
      <c r="AX25" s="135" t="n">
        <f aca="false">SUMPRODUCT((Actuals!C31:N31&lt;&gt;"")*(Budget!C31:N31))</f>
        <v>0</v>
      </c>
      <c r="AY25" s="135" t="n">
        <f aca="false">SUM(Actuals!C31:N31)</f>
        <v>-5044.33</v>
      </c>
      <c r="AZ25" s="136" t="n">
        <f aca="false">AX25-AY25</f>
        <v>5044.33</v>
      </c>
    </row>
    <row r="26" customFormat="false" ht="15" hidden="false" customHeight="true" outlineLevel="0" collapsed="false">
      <c r="A26" s="132" t="s">
        <v>75</v>
      </c>
      <c r="B26" s="133" t="n">
        <f aca="false">Budget!C32</f>
        <v>-3300</v>
      </c>
      <c r="C26" s="133" t="n">
        <f aca="false">IF(OR(1&gt;$B$3,ISBLANK(Actuals!C32)),"",Actuals!C32)</f>
        <v>-79</v>
      </c>
      <c r="D26" s="134" t="n">
        <f aca="false">IF(OR(1&gt;$B$3,ISBLANK(Actuals!C32)),"",Budget!C32-Actuals!C32)</f>
        <v>-3221</v>
      </c>
      <c r="E26" s="134" t="n">
        <f aca="false">IFERROR(IF(OR(1&gt;$B$3,ISBLANK(Actuals!C32)),"",(Budget!C32-Actuals!C32)/ABS(Budget!C32)),"")</f>
        <v>-0.976060606060606</v>
      </c>
      <c r="F26" s="133" t="n">
        <f aca="false">Budget!D32</f>
        <v>-3300</v>
      </c>
      <c r="G26" s="133" t="n">
        <f aca="false">IF(OR(2&gt;$B$3,ISBLANK(Actuals!D32)),"",Actuals!D32)</f>
        <v>0</v>
      </c>
      <c r="H26" s="134" t="n">
        <f aca="false">IF(OR(2&gt;$B$3,ISBLANK(Actuals!D32)),"",Budget!D32-Actuals!D32)</f>
        <v>-3300</v>
      </c>
      <c r="I26" s="134" t="n">
        <f aca="false">IFERROR(IF(OR(2&gt;$B$3,ISBLANK(Actuals!D32)),"",(Budget!D32-Actuals!D32)/ABS(Budget!D32)),"")</f>
        <v>-1</v>
      </c>
      <c r="J26" s="133" t="n">
        <f aca="false">Budget!E32</f>
        <v>-3300</v>
      </c>
      <c r="K26" s="133" t="n">
        <f aca="false">IF(OR(3&gt;$B$3,ISBLANK(Actuals!E32)),"",Actuals!E32)</f>
        <v>0</v>
      </c>
      <c r="L26" s="134" t="n">
        <f aca="false">IF(OR(3&gt;$B$3,ISBLANK(Actuals!E32)),"",Budget!E32-Actuals!E32)</f>
        <v>-3300</v>
      </c>
      <c r="M26" s="134" t="n">
        <f aca="false">IFERROR(IF(OR(3&gt;$B$3,ISBLANK(Actuals!E32)),"",(Budget!E32-Actuals!E32)/ABS(Budget!E32)),"")</f>
        <v>-1</v>
      </c>
      <c r="N26" s="133" t="n">
        <f aca="false">Budget!F32</f>
        <v>-3300</v>
      </c>
      <c r="O26" s="133" t="n">
        <f aca="false">IF(OR(4&gt;$B$3,ISBLANK(Actuals!F32)),"",Actuals!F32)</f>
        <v>0</v>
      </c>
      <c r="P26" s="134" t="n">
        <f aca="false">IF(OR(4&gt;$B$3,ISBLANK(Actuals!F32)),"",Budget!F32-Actuals!F32)</f>
        <v>-3300</v>
      </c>
      <c r="Q26" s="134" t="n">
        <f aca="false">IFERROR(IF(OR(4&gt;$B$3,ISBLANK(Actuals!F32)),"",(Budget!F32-Actuals!F32)/ABS(Budget!F32)),"")</f>
        <v>-1</v>
      </c>
      <c r="R26" s="133" t="n">
        <f aca="false">Budget!G32</f>
        <v>-3300</v>
      </c>
      <c r="S26" s="133" t="n">
        <f aca="false">IF(OR(5&gt;$B$3,ISBLANK(Actuals!G32)),"",Actuals!G32)</f>
        <v>0</v>
      </c>
      <c r="T26" s="134" t="n">
        <f aca="false">IF(OR(5&gt;$B$3,ISBLANK(Actuals!G32)),"",Budget!G32-Actuals!G32)</f>
        <v>-3300</v>
      </c>
      <c r="U26" s="134" t="n">
        <f aca="false">IFERROR(IF(OR(5&gt;$B$3,ISBLANK(Actuals!G32)),"",(Budget!G32-Actuals!G32)/ABS(Budget!G32)),"")</f>
        <v>-1</v>
      </c>
      <c r="V26" s="133" t="n">
        <f aca="false">Budget!H32</f>
        <v>-3300</v>
      </c>
      <c r="W26" s="133" t="n">
        <f aca="false">IF(OR(6&gt;$B$3,ISBLANK(Actuals!H32)),"",Actuals!H32)</f>
        <v>0</v>
      </c>
      <c r="X26" s="134" t="n">
        <f aca="false">IF(OR(6&gt;$B$3,ISBLANK(Actuals!H32)),"",Budget!H32-Actuals!H32)</f>
        <v>-3300</v>
      </c>
      <c r="Y26" s="134" t="n">
        <f aca="false">IFERROR(IF(OR(6&gt;$B$3,ISBLANK(Actuals!H32)),"",(Budget!H32-Actuals!H32)/ABS(Budget!H32)),"")</f>
        <v>-1</v>
      </c>
      <c r="Z26" s="133" t="n">
        <f aca="false">Budget!I32</f>
        <v>-3366</v>
      </c>
      <c r="AA26" s="133" t="n">
        <f aca="false">IF(OR(7&gt;$B$3,ISBLANK(Actuals!I32)),"",Actuals!I32)</f>
        <v>0</v>
      </c>
      <c r="AB26" s="134" t="n">
        <f aca="false">IF(OR(7&gt;$B$3,ISBLANK(Actuals!I32)),"",Budget!I32-Actuals!I32)</f>
        <v>-3366</v>
      </c>
      <c r="AC26" s="134" t="n">
        <f aca="false">IFERROR(IF(OR(7&gt;$B$3,ISBLANK(Actuals!I32)),"",(Budget!I32-Actuals!I32)/ABS(Budget!I32)),"")</f>
        <v>-1</v>
      </c>
      <c r="AD26" s="133" t="n">
        <f aca="false">Budget!J32</f>
        <v>-3366</v>
      </c>
      <c r="AE26" s="133" t="n">
        <f aca="false">IF(OR(8&gt;$B$3,ISBLANK(Actuals!J32)),"",Actuals!J32)</f>
        <v>-89</v>
      </c>
      <c r="AF26" s="134" t="n">
        <f aca="false">IF(OR(8&gt;$B$3,ISBLANK(Actuals!J32)),"",Budget!J32-Actuals!J32)</f>
        <v>-3277</v>
      </c>
      <c r="AG26" s="134" t="n">
        <f aca="false">IFERROR(IF(OR(8&gt;$B$3,ISBLANK(Actuals!J32)),"",(Budget!J32-Actuals!J32)/ABS(Budget!J32)),"")</f>
        <v>-0.973559120617944</v>
      </c>
      <c r="AH26" s="133" t="n">
        <f aca="false">Budget!K32</f>
        <v>-3366</v>
      </c>
      <c r="AI26" s="133" t="str">
        <f aca="false">IF(OR(9&gt;$B$3,ISBLANK(Actuals!K32)),"",Actuals!K32)</f>
        <v/>
      </c>
      <c r="AJ26" s="134" t="str">
        <f aca="false">IF(OR(9&gt;$B$3,ISBLANK(Actuals!K32)),"",Budget!K32-Actuals!K32)</f>
        <v/>
      </c>
      <c r="AK26" s="134" t="str">
        <f aca="false">IFERROR(IF(OR(9&gt;$B$3,ISBLANK(Actuals!K32)),"",(Budget!K32-Actuals!K32)/ABS(Budget!K32)),"")</f>
        <v/>
      </c>
      <c r="AL26" s="133" t="n">
        <f aca="false">Budget!L32</f>
        <v>-3366</v>
      </c>
      <c r="AM26" s="133" t="str">
        <f aca="false">IF(OR(10&gt;$B$3,ISBLANK(Actuals!L32)),"",Actuals!L32)</f>
        <v/>
      </c>
      <c r="AN26" s="134" t="str">
        <f aca="false">IF(OR(10&gt;$B$3,ISBLANK(Actuals!L32)),"",Budget!L32-Actuals!L32)</f>
        <v/>
      </c>
      <c r="AO26" s="134" t="str">
        <f aca="false">IFERROR(IF(OR(10&gt;$B$3,ISBLANK(Actuals!L32)),"",(Budget!L32-Actuals!L32)/ABS(Budget!L32)),"")</f>
        <v/>
      </c>
      <c r="AP26" s="133" t="n">
        <f aca="false">Budget!M32</f>
        <v>-3366</v>
      </c>
      <c r="AQ26" s="133" t="str">
        <f aca="false">IF(OR(11&gt;$B$3,ISBLANK(Actuals!M32)),"",Actuals!M32)</f>
        <v/>
      </c>
      <c r="AR26" s="134" t="str">
        <f aca="false">IF(OR(11&gt;$B$3,ISBLANK(Actuals!M32)),"",Budget!M32-Actuals!M32)</f>
        <v/>
      </c>
      <c r="AS26" s="134" t="str">
        <f aca="false">IFERROR(IF(OR(11&gt;$B$3,ISBLANK(Actuals!M32)),"",(Budget!M32-Actuals!M32)/ABS(Budget!M32)),"")</f>
        <v/>
      </c>
      <c r="AT26" s="133" t="n">
        <f aca="false">Budget!N32</f>
        <v>-3366</v>
      </c>
      <c r="AU26" s="133" t="str">
        <f aca="false">IF(OR(12&gt;$B$3,ISBLANK(Actuals!N32)),"",Actuals!N32)</f>
        <v/>
      </c>
      <c r="AV26" s="134" t="str">
        <f aca="false">IF(OR(12&gt;$B$3,ISBLANK(Actuals!N32)),"",Budget!N32-Actuals!N32)</f>
        <v/>
      </c>
      <c r="AW26" s="134" t="str">
        <f aca="false">IFERROR(IF(OR(12&gt;$B$3,ISBLANK(Actuals!N32)),"",(Budget!N32-Actuals!N32)/ABS(Budget!N32)),"")</f>
        <v/>
      </c>
      <c r="AX26" s="135" t="n">
        <f aca="false">SUMPRODUCT((Actuals!C32:N32&lt;&gt;"")*(Budget!C32:N32))</f>
        <v>-26532</v>
      </c>
      <c r="AY26" s="135" t="n">
        <f aca="false">SUM(Actuals!C32:N32)</f>
        <v>-168</v>
      </c>
      <c r="AZ26" s="136" t="n">
        <f aca="false">AX26-AY26</f>
        <v>-26364</v>
      </c>
    </row>
    <row r="27" customFormat="false" ht="15" hidden="false" customHeight="true" outlineLevel="0" collapsed="false">
      <c r="A27" s="132" t="s">
        <v>76</v>
      </c>
      <c r="B27" s="133" t="n">
        <f aca="false">Budget!C33</f>
        <v>0</v>
      </c>
      <c r="C27" s="133" t="n">
        <f aca="false">IF(OR(1&gt;$B$3,ISBLANK(Actuals!C33)),"",Actuals!C33)</f>
        <v>-3405.64</v>
      </c>
      <c r="D27" s="134" t="n">
        <f aca="false">IF(OR(1&gt;$B$3,ISBLANK(Actuals!C33)),"",Budget!C33-Actuals!C33)</f>
        <v>3405.64</v>
      </c>
      <c r="E27" s="134" t="str">
        <f aca="false">IFERROR(IF(OR(1&gt;$B$3,ISBLANK(Actuals!C33)),"",(Budget!C33-Actuals!C33)/ABS(Budget!C33)),"")</f>
        <v/>
      </c>
      <c r="F27" s="133" t="n">
        <f aca="false">Budget!D33</f>
        <v>0</v>
      </c>
      <c r="G27" s="133" t="n">
        <f aca="false">IF(OR(2&gt;$B$3,ISBLANK(Actuals!D33)),"",Actuals!D33)</f>
        <v>-5015.38</v>
      </c>
      <c r="H27" s="134" t="n">
        <f aca="false">IF(OR(2&gt;$B$3,ISBLANK(Actuals!D33)),"",Budget!D33-Actuals!D33)</f>
        <v>5015.38</v>
      </c>
      <c r="I27" s="134" t="str">
        <f aca="false">IFERROR(IF(OR(2&gt;$B$3,ISBLANK(Actuals!D33)),"",(Budget!D33-Actuals!D33)/ABS(Budget!D33)),"")</f>
        <v/>
      </c>
      <c r="J27" s="133" t="n">
        <f aca="false">Budget!E33</f>
        <v>0</v>
      </c>
      <c r="K27" s="133" t="n">
        <f aca="false">IF(OR(3&gt;$B$3,ISBLANK(Actuals!E33)),"",Actuals!E33)</f>
        <v>-7481.39</v>
      </c>
      <c r="L27" s="134" t="n">
        <f aca="false">IF(OR(3&gt;$B$3,ISBLANK(Actuals!E33)),"",Budget!E33-Actuals!E33)</f>
        <v>7481.39</v>
      </c>
      <c r="M27" s="134" t="str">
        <f aca="false">IFERROR(IF(OR(3&gt;$B$3,ISBLANK(Actuals!E33)),"",(Budget!E33-Actuals!E33)/ABS(Budget!E33)),"")</f>
        <v/>
      </c>
      <c r="N27" s="133" t="n">
        <f aca="false">Budget!F33</f>
        <v>0</v>
      </c>
      <c r="O27" s="133" t="n">
        <f aca="false">IF(OR(4&gt;$B$3,ISBLANK(Actuals!F33)),"",Actuals!F33)</f>
        <v>-5111.12</v>
      </c>
      <c r="P27" s="134" t="n">
        <f aca="false">IF(OR(4&gt;$B$3,ISBLANK(Actuals!F33)),"",Budget!F33-Actuals!F33)</f>
        <v>5111.12</v>
      </c>
      <c r="Q27" s="134" t="str">
        <f aca="false">IFERROR(IF(OR(4&gt;$B$3,ISBLANK(Actuals!F33)),"",(Budget!F33-Actuals!F33)/ABS(Budget!F33)),"")</f>
        <v/>
      </c>
      <c r="R27" s="133" t="n">
        <f aca="false">Budget!G33</f>
        <v>0</v>
      </c>
      <c r="S27" s="133" t="n">
        <f aca="false">IF(OR(5&gt;$B$3,ISBLANK(Actuals!G33)),"",Actuals!G33)</f>
        <v>-4038.48</v>
      </c>
      <c r="T27" s="134" t="n">
        <f aca="false">IF(OR(5&gt;$B$3,ISBLANK(Actuals!G33)),"",Budget!G33-Actuals!G33)</f>
        <v>4038.48</v>
      </c>
      <c r="U27" s="134" t="str">
        <f aca="false">IFERROR(IF(OR(5&gt;$B$3,ISBLANK(Actuals!G33)),"",(Budget!G33-Actuals!G33)/ABS(Budget!G33)),"")</f>
        <v/>
      </c>
      <c r="V27" s="133" t="n">
        <f aca="false">Budget!H33</f>
        <v>0</v>
      </c>
      <c r="W27" s="133" t="n">
        <f aca="false">IF(OR(6&gt;$B$3,ISBLANK(Actuals!H33)),"",Actuals!H33)</f>
        <v>-6114.98</v>
      </c>
      <c r="X27" s="134" t="n">
        <f aca="false">IF(OR(6&gt;$B$3,ISBLANK(Actuals!H33)),"",Budget!H33-Actuals!H33)</f>
        <v>6114.98</v>
      </c>
      <c r="Y27" s="134" t="str">
        <f aca="false">IFERROR(IF(OR(6&gt;$B$3,ISBLANK(Actuals!H33)),"",(Budget!H33-Actuals!H33)/ABS(Budget!H33)),"")</f>
        <v/>
      </c>
      <c r="Z27" s="133" t="n">
        <f aca="false">Budget!I33</f>
        <v>0</v>
      </c>
      <c r="AA27" s="133" t="n">
        <f aca="false">IF(OR(7&gt;$B$3,ISBLANK(Actuals!I33)),"",Actuals!I33)</f>
        <v>-12545.93</v>
      </c>
      <c r="AB27" s="134" t="n">
        <f aca="false">IF(OR(7&gt;$B$3,ISBLANK(Actuals!I33)),"",Budget!I33-Actuals!I33)</f>
        <v>12545.93</v>
      </c>
      <c r="AC27" s="134" t="str">
        <f aca="false">IFERROR(IF(OR(7&gt;$B$3,ISBLANK(Actuals!I33)),"",(Budget!I33-Actuals!I33)/ABS(Budget!I33)),"")</f>
        <v/>
      </c>
      <c r="AD27" s="133" t="n">
        <f aca="false">Budget!J33</f>
        <v>0</v>
      </c>
      <c r="AE27" s="133" t="n">
        <f aca="false">IF(OR(8&gt;$B$3,ISBLANK(Actuals!J33)),"",Actuals!J33)</f>
        <v>-5885.72</v>
      </c>
      <c r="AF27" s="134" t="n">
        <f aca="false">IF(OR(8&gt;$B$3,ISBLANK(Actuals!J33)),"",Budget!J33-Actuals!J33)</f>
        <v>5885.72</v>
      </c>
      <c r="AG27" s="134" t="str">
        <f aca="false">IFERROR(IF(OR(8&gt;$B$3,ISBLANK(Actuals!J33)),"",(Budget!J33-Actuals!J33)/ABS(Budget!J33)),"")</f>
        <v/>
      </c>
      <c r="AH27" s="133" t="n">
        <f aca="false">Budget!K33</f>
        <v>0</v>
      </c>
      <c r="AI27" s="133" t="str">
        <f aca="false">IF(OR(9&gt;$B$3,ISBLANK(Actuals!K33)),"",Actuals!K33)</f>
        <v/>
      </c>
      <c r="AJ27" s="134" t="str">
        <f aca="false">IF(OR(9&gt;$B$3,ISBLANK(Actuals!K33)),"",Budget!K33-Actuals!K33)</f>
        <v/>
      </c>
      <c r="AK27" s="134" t="str">
        <f aca="false">IFERROR(IF(OR(9&gt;$B$3,ISBLANK(Actuals!K33)),"",(Budget!K33-Actuals!K33)/ABS(Budget!K33)),"")</f>
        <v/>
      </c>
      <c r="AL27" s="133" t="n">
        <f aca="false">Budget!L33</f>
        <v>0</v>
      </c>
      <c r="AM27" s="133" t="str">
        <f aca="false">IF(OR(10&gt;$B$3,ISBLANK(Actuals!L33)),"",Actuals!L33)</f>
        <v/>
      </c>
      <c r="AN27" s="134" t="str">
        <f aca="false">IF(OR(10&gt;$B$3,ISBLANK(Actuals!L33)),"",Budget!L33-Actuals!L33)</f>
        <v/>
      </c>
      <c r="AO27" s="134" t="str">
        <f aca="false">IFERROR(IF(OR(10&gt;$B$3,ISBLANK(Actuals!L33)),"",(Budget!L33-Actuals!L33)/ABS(Budget!L33)),"")</f>
        <v/>
      </c>
      <c r="AP27" s="133" t="n">
        <f aca="false">Budget!M33</f>
        <v>0</v>
      </c>
      <c r="AQ27" s="133" t="str">
        <f aca="false">IF(OR(11&gt;$B$3,ISBLANK(Actuals!M33)),"",Actuals!M33)</f>
        <v/>
      </c>
      <c r="AR27" s="134" t="str">
        <f aca="false">IF(OR(11&gt;$B$3,ISBLANK(Actuals!M33)),"",Budget!M33-Actuals!M33)</f>
        <v/>
      </c>
      <c r="AS27" s="134" t="str">
        <f aca="false">IFERROR(IF(OR(11&gt;$B$3,ISBLANK(Actuals!M33)),"",(Budget!M33-Actuals!M33)/ABS(Budget!M33)),"")</f>
        <v/>
      </c>
      <c r="AT27" s="133" t="n">
        <f aca="false">Budget!N33</f>
        <v>0</v>
      </c>
      <c r="AU27" s="133" t="str">
        <f aca="false">IF(OR(12&gt;$B$3,ISBLANK(Actuals!N33)),"",Actuals!N33)</f>
        <v/>
      </c>
      <c r="AV27" s="134" t="str">
        <f aca="false">IF(OR(12&gt;$B$3,ISBLANK(Actuals!N33)),"",Budget!N33-Actuals!N33)</f>
        <v/>
      </c>
      <c r="AW27" s="134" t="str">
        <f aca="false">IFERROR(IF(OR(12&gt;$B$3,ISBLANK(Actuals!N33)),"",(Budget!N33-Actuals!N33)/ABS(Budget!N33)),"")</f>
        <v/>
      </c>
      <c r="AX27" s="135" t="n">
        <f aca="false">SUMPRODUCT((Actuals!C33:N33&lt;&gt;"")*(Budget!C33:N33))</f>
        <v>0</v>
      </c>
      <c r="AY27" s="135" t="n">
        <f aca="false">SUM(Actuals!C33:N33)</f>
        <v>-49598.64</v>
      </c>
      <c r="AZ27" s="136" t="n">
        <f aca="false">AX27-AY27</f>
        <v>49598.64</v>
      </c>
    </row>
    <row r="28" customFormat="false" ht="15" hidden="false" customHeight="true" outlineLevel="0" collapsed="false">
      <c r="A28" s="132" t="s">
        <v>77</v>
      </c>
      <c r="B28" s="133" t="n">
        <f aca="false">Budget!C34</f>
        <v>-300</v>
      </c>
      <c r="C28" s="133" t="n">
        <f aca="false">IF(OR(1&gt;$B$3,ISBLANK(Actuals!C34)),"",Actuals!C34)</f>
        <v>0</v>
      </c>
      <c r="D28" s="134" t="n">
        <f aca="false">IF(OR(1&gt;$B$3,ISBLANK(Actuals!C34)),"",Budget!C34-Actuals!C34)</f>
        <v>-300</v>
      </c>
      <c r="E28" s="134" t="n">
        <f aca="false">IFERROR(IF(OR(1&gt;$B$3,ISBLANK(Actuals!C34)),"",(Budget!C34-Actuals!C34)/ABS(Budget!C34)),"")</f>
        <v>-1</v>
      </c>
      <c r="F28" s="133" t="n">
        <f aca="false">Budget!D34</f>
        <v>-300</v>
      </c>
      <c r="G28" s="133" t="n">
        <f aca="false">IF(OR(2&gt;$B$3,ISBLANK(Actuals!D34)),"",Actuals!D34)</f>
        <v>-1766.48</v>
      </c>
      <c r="H28" s="134" t="n">
        <f aca="false">IF(OR(2&gt;$B$3,ISBLANK(Actuals!D34)),"",Budget!D34-Actuals!D34)</f>
        <v>1466.48</v>
      </c>
      <c r="I28" s="134" t="n">
        <f aca="false">IFERROR(IF(OR(2&gt;$B$3,ISBLANK(Actuals!D34)),"",(Budget!D34-Actuals!D34)/ABS(Budget!D34)),"")</f>
        <v>4.88826666666667</v>
      </c>
      <c r="J28" s="133" t="n">
        <f aca="false">Budget!E34</f>
        <v>-300</v>
      </c>
      <c r="K28" s="133" t="n">
        <f aca="false">IF(OR(3&gt;$B$3,ISBLANK(Actuals!E34)),"",Actuals!E34)</f>
        <v>-441.62</v>
      </c>
      <c r="L28" s="134" t="n">
        <f aca="false">IF(OR(3&gt;$B$3,ISBLANK(Actuals!E34)),"",Budget!E34-Actuals!E34)</f>
        <v>141.62</v>
      </c>
      <c r="M28" s="134" t="n">
        <f aca="false">IFERROR(IF(OR(3&gt;$B$3,ISBLANK(Actuals!E34)),"",(Budget!E34-Actuals!E34)/ABS(Budget!E34)),"")</f>
        <v>0.472066666666667</v>
      </c>
      <c r="N28" s="133" t="n">
        <f aca="false">Budget!F34</f>
        <v>-300</v>
      </c>
      <c r="O28" s="133" t="n">
        <f aca="false">IF(OR(4&gt;$B$3,ISBLANK(Actuals!F34)),"",Actuals!F34)</f>
        <v>-441.62</v>
      </c>
      <c r="P28" s="134" t="n">
        <f aca="false">IF(OR(4&gt;$B$3,ISBLANK(Actuals!F34)),"",Budget!F34-Actuals!F34)</f>
        <v>141.62</v>
      </c>
      <c r="Q28" s="134" t="n">
        <f aca="false">IFERROR(IF(OR(4&gt;$B$3,ISBLANK(Actuals!F34)),"",(Budget!F34-Actuals!F34)/ABS(Budget!F34)),"")</f>
        <v>0.472066666666667</v>
      </c>
      <c r="R28" s="133" t="n">
        <f aca="false">Budget!G34</f>
        <v>-300</v>
      </c>
      <c r="S28" s="133" t="n">
        <f aca="false">IF(OR(5&gt;$B$3,ISBLANK(Actuals!G34)),"",Actuals!G34)</f>
        <v>-578.62</v>
      </c>
      <c r="T28" s="134" t="n">
        <f aca="false">IF(OR(5&gt;$B$3,ISBLANK(Actuals!G34)),"",Budget!G34-Actuals!G34)</f>
        <v>278.62</v>
      </c>
      <c r="U28" s="134" t="n">
        <f aca="false">IFERROR(IF(OR(5&gt;$B$3,ISBLANK(Actuals!G34)),"",(Budget!G34-Actuals!G34)/ABS(Budget!G34)),"")</f>
        <v>0.928733333333333</v>
      </c>
      <c r="V28" s="133" t="n">
        <f aca="false">Budget!H34</f>
        <v>-300</v>
      </c>
      <c r="W28" s="133" t="n">
        <f aca="false">IF(OR(6&gt;$B$3,ISBLANK(Actuals!H34)),"",Actuals!H34)</f>
        <v>-491.62</v>
      </c>
      <c r="X28" s="134" t="n">
        <f aca="false">IF(OR(6&gt;$B$3,ISBLANK(Actuals!H34)),"",Budget!H34-Actuals!H34)</f>
        <v>191.62</v>
      </c>
      <c r="Y28" s="134" t="n">
        <f aca="false">IFERROR(IF(OR(6&gt;$B$3,ISBLANK(Actuals!H34)),"",(Budget!H34-Actuals!H34)/ABS(Budget!H34)),"")</f>
        <v>0.638733333333333</v>
      </c>
      <c r="Z28" s="133" t="n">
        <f aca="false">Budget!I34</f>
        <v>-306</v>
      </c>
      <c r="AA28" s="133" t="n">
        <f aca="false">IF(OR(7&gt;$B$3,ISBLANK(Actuals!I34)),"",Actuals!I34)</f>
        <v>-491.62</v>
      </c>
      <c r="AB28" s="134" t="n">
        <f aca="false">IF(OR(7&gt;$B$3,ISBLANK(Actuals!I34)),"",Budget!I34-Actuals!I34)</f>
        <v>185.62</v>
      </c>
      <c r="AC28" s="134" t="n">
        <f aca="false">IFERROR(IF(OR(7&gt;$B$3,ISBLANK(Actuals!I34)),"",(Budget!I34-Actuals!I34)/ABS(Budget!I34)),"")</f>
        <v>0.606601307189543</v>
      </c>
      <c r="AD28" s="133" t="n">
        <f aca="false">Budget!J34</f>
        <v>-306</v>
      </c>
      <c r="AE28" s="133" t="n">
        <f aca="false">IF(OR(8&gt;$B$3,ISBLANK(Actuals!J34)),"",Actuals!J34)</f>
        <v>-491.62</v>
      </c>
      <c r="AF28" s="134" t="n">
        <f aca="false">IF(OR(8&gt;$B$3,ISBLANK(Actuals!J34)),"",Budget!J34-Actuals!J34)</f>
        <v>185.62</v>
      </c>
      <c r="AG28" s="134" t="n">
        <f aca="false">IFERROR(IF(OR(8&gt;$B$3,ISBLANK(Actuals!J34)),"",(Budget!J34-Actuals!J34)/ABS(Budget!J34)),"")</f>
        <v>0.606601307189543</v>
      </c>
      <c r="AH28" s="133" t="n">
        <f aca="false">Budget!K34</f>
        <v>-306</v>
      </c>
      <c r="AI28" s="133" t="str">
        <f aca="false">IF(OR(9&gt;$B$3,ISBLANK(Actuals!K34)),"",Actuals!K34)</f>
        <v/>
      </c>
      <c r="AJ28" s="134" t="str">
        <f aca="false">IF(OR(9&gt;$B$3,ISBLANK(Actuals!K34)),"",Budget!K34-Actuals!K34)</f>
        <v/>
      </c>
      <c r="AK28" s="134" t="str">
        <f aca="false">IFERROR(IF(OR(9&gt;$B$3,ISBLANK(Actuals!K34)),"",(Budget!K34-Actuals!K34)/ABS(Budget!K34)),"")</f>
        <v/>
      </c>
      <c r="AL28" s="133" t="n">
        <f aca="false">Budget!L34</f>
        <v>-306</v>
      </c>
      <c r="AM28" s="133" t="str">
        <f aca="false">IF(OR(10&gt;$B$3,ISBLANK(Actuals!L34)),"",Actuals!L34)</f>
        <v/>
      </c>
      <c r="AN28" s="134" t="str">
        <f aca="false">IF(OR(10&gt;$B$3,ISBLANK(Actuals!L34)),"",Budget!L34-Actuals!L34)</f>
        <v/>
      </c>
      <c r="AO28" s="134" t="str">
        <f aca="false">IFERROR(IF(OR(10&gt;$B$3,ISBLANK(Actuals!L34)),"",(Budget!L34-Actuals!L34)/ABS(Budget!L34)),"")</f>
        <v/>
      </c>
      <c r="AP28" s="133" t="n">
        <f aca="false">Budget!M34</f>
        <v>-306</v>
      </c>
      <c r="AQ28" s="133" t="str">
        <f aca="false">IF(OR(11&gt;$B$3,ISBLANK(Actuals!M34)),"",Actuals!M34)</f>
        <v/>
      </c>
      <c r="AR28" s="134" t="str">
        <f aca="false">IF(OR(11&gt;$B$3,ISBLANK(Actuals!M34)),"",Budget!M34-Actuals!M34)</f>
        <v/>
      </c>
      <c r="AS28" s="134" t="str">
        <f aca="false">IFERROR(IF(OR(11&gt;$B$3,ISBLANK(Actuals!M34)),"",(Budget!M34-Actuals!M34)/ABS(Budget!M34)),"")</f>
        <v/>
      </c>
      <c r="AT28" s="133" t="n">
        <f aca="false">Budget!N34</f>
        <v>-306</v>
      </c>
      <c r="AU28" s="133" t="str">
        <f aca="false">IF(OR(12&gt;$B$3,ISBLANK(Actuals!N34)),"",Actuals!N34)</f>
        <v/>
      </c>
      <c r="AV28" s="134" t="str">
        <f aca="false">IF(OR(12&gt;$B$3,ISBLANK(Actuals!N34)),"",Budget!N34-Actuals!N34)</f>
        <v/>
      </c>
      <c r="AW28" s="134" t="str">
        <f aca="false">IFERROR(IF(OR(12&gt;$B$3,ISBLANK(Actuals!N34)),"",(Budget!N34-Actuals!N34)/ABS(Budget!N34)),"")</f>
        <v/>
      </c>
      <c r="AX28" s="135" t="n">
        <f aca="false">SUMPRODUCT((Actuals!C34:N34&lt;&gt;"")*(Budget!C34:N34))</f>
        <v>-2412</v>
      </c>
      <c r="AY28" s="135" t="n">
        <f aca="false">SUM(Actuals!C34:N34)</f>
        <v>-4703.2</v>
      </c>
      <c r="AZ28" s="136" t="n">
        <f aca="false">AX28-AY28</f>
        <v>2291.2</v>
      </c>
    </row>
    <row r="29" customFormat="false" ht="15" hidden="false" customHeight="true" outlineLevel="0" collapsed="false">
      <c r="A29" s="132" t="s">
        <v>78</v>
      </c>
      <c r="B29" s="133" t="n">
        <f aca="false">Budget!C35</f>
        <v>-1500</v>
      </c>
      <c r="C29" s="133" t="n">
        <f aca="false">IF(OR(1&gt;$B$3,ISBLANK(Actuals!C35)),"",Actuals!C35)</f>
        <v>-681.77</v>
      </c>
      <c r="D29" s="134" t="n">
        <f aca="false">IF(OR(1&gt;$B$3,ISBLANK(Actuals!C35)),"",Budget!C35-Actuals!C35)</f>
        <v>-818.23</v>
      </c>
      <c r="E29" s="134" t="n">
        <f aca="false">IFERROR(IF(OR(1&gt;$B$3,ISBLANK(Actuals!C35)),"",(Budget!C35-Actuals!C35)/ABS(Budget!C35)),"")</f>
        <v>-0.545486666666667</v>
      </c>
      <c r="F29" s="133" t="n">
        <f aca="false">Budget!D35</f>
        <v>-1500</v>
      </c>
      <c r="G29" s="133" t="n">
        <f aca="false">IF(OR(2&gt;$B$3,ISBLANK(Actuals!D35)),"",Actuals!D35)</f>
        <v>-600.14</v>
      </c>
      <c r="H29" s="134" t="n">
        <f aca="false">IF(OR(2&gt;$B$3,ISBLANK(Actuals!D35)),"",Budget!D35-Actuals!D35)</f>
        <v>-899.86</v>
      </c>
      <c r="I29" s="134" t="n">
        <f aca="false">IFERROR(IF(OR(2&gt;$B$3,ISBLANK(Actuals!D35)),"",(Budget!D35-Actuals!D35)/ABS(Budget!D35)),"")</f>
        <v>-0.599906666666667</v>
      </c>
      <c r="J29" s="133" t="n">
        <f aca="false">Budget!E35</f>
        <v>-1500</v>
      </c>
      <c r="K29" s="133" t="n">
        <f aca="false">IF(OR(3&gt;$B$3,ISBLANK(Actuals!E35)),"",Actuals!E35)</f>
        <v>-2121.95</v>
      </c>
      <c r="L29" s="134" t="n">
        <f aca="false">IF(OR(3&gt;$B$3,ISBLANK(Actuals!E35)),"",Budget!E35-Actuals!E35)</f>
        <v>621.95</v>
      </c>
      <c r="M29" s="134" t="n">
        <f aca="false">IFERROR(IF(OR(3&gt;$B$3,ISBLANK(Actuals!E35)),"",(Budget!E35-Actuals!E35)/ABS(Budget!E35)),"")</f>
        <v>0.414633333333333</v>
      </c>
      <c r="N29" s="133" t="n">
        <f aca="false">Budget!F35</f>
        <v>-1500</v>
      </c>
      <c r="O29" s="133" t="n">
        <f aca="false">IF(OR(4&gt;$B$3,ISBLANK(Actuals!F35)),"",Actuals!F35)</f>
        <v>-840.49</v>
      </c>
      <c r="P29" s="134" t="n">
        <f aca="false">IF(OR(4&gt;$B$3,ISBLANK(Actuals!F35)),"",Budget!F35-Actuals!F35)</f>
        <v>-659.51</v>
      </c>
      <c r="Q29" s="134" t="n">
        <f aca="false">IFERROR(IF(OR(4&gt;$B$3,ISBLANK(Actuals!F35)),"",(Budget!F35-Actuals!F35)/ABS(Budget!F35)),"")</f>
        <v>-0.439673333333333</v>
      </c>
      <c r="R29" s="133" t="n">
        <f aca="false">Budget!G35</f>
        <v>-1500</v>
      </c>
      <c r="S29" s="133" t="n">
        <f aca="false">IF(OR(5&gt;$B$3,ISBLANK(Actuals!G35)),"",Actuals!G35)</f>
        <v>-847.85</v>
      </c>
      <c r="T29" s="134" t="n">
        <f aca="false">IF(OR(5&gt;$B$3,ISBLANK(Actuals!G35)),"",Budget!G35-Actuals!G35)</f>
        <v>-652.15</v>
      </c>
      <c r="U29" s="134" t="n">
        <f aca="false">IFERROR(IF(OR(5&gt;$B$3,ISBLANK(Actuals!G35)),"",(Budget!G35-Actuals!G35)/ABS(Budget!G35)),"")</f>
        <v>-0.434766666666667</v>
      </c>
      <c r="V29" s="133" t="n">
        <f aca="false">Budget!H35</f>
        <v>-1500</v>
      </c>
      <c r="W29" s="133" t="n">
        <f aca="false">IF(OR(6&gt;$B$3,ISBLANK(Actuals!H35)),"",Actuals!H35)</f>
        <v>-486.63</v>
      </c>
      <c r="X29" s="134" t="n">
        <f aca="false">IF(OR(6&gt;$B$3,ISBLANK(Actuals!H35)),"",Budget!H35-Actuals!H35)</f>
        <v>-1013.37</v>
      </c>
      <c r="Y29" s="134" t="n">
        <f aca="false">IFERROR(IF(OR(6&gt;$B$3,ISBLANK(Actuals!H35)),"",(Budget!H35-Actuals!H35)/ABS(Budget!H35)),"")</f>
        <v>-0.67558</v>
      </c>
      <c r="Z29" s="133" t="n">
        <f aca="false">Budget!I35</f>
        <v>-1530</v>
      </c>
      <c r="AA29" s="133" t="n">
        <f aca="false">IF(OR(7&gt;$B$3,ISBLANK(Actuals!I35)),"",Actuals!I35)</f>
        <v>-871.37</v>
      </c>
      <c r="AB29" s="134" t="n">
        <f aca="false">IF(OR(7&gt;$B$3,ISBLANK(Actuals!I35)),"",Budget!I35-Actuals!I35)</f>
        <v>-658.63</v>
      </c>
      <c r="AC29" s="134" t="n">
        <f aca="false">IFERROR(IF(OR(7&gt;$B$3,ISBLANK(Actuals!I35)),"",(Budget!I35-Actuals!I35)/ABS(Budget!I35)),"")</f>
        <v>-0.430477124183007</v>
      </c>
      <c r="AD29" s="133" t="n">
        <f aca="false">Budget!J35</f>
        <v>-1530</v>
      </c>
      <c r="AE29" s="133" t="n">
        <f aca="false">IF(OR(8&gt;$B$3,ISBLANK(Actuals!J35)),"",Actuals!J35)</f>
        <v>-1025.7</v>
      </c>
      <c r="AF29" s="134" t="n">
        <f aca="false">IF(OR(8&gt;$B$3,ISBLANK(Actuals!J35)),"",Budget!J35-Actuals!J35)</f>
        <v>-504.3</v>
      </c>
      <c r="AG29" s="134" t="n">
        <f aca="false">IFERROR(IF(OR(8&gt;$B$3,ISBLANK(Actuals!J35)),"",(Budget!J35-Actuals!J35)/ABS(Budget!J35)),"")</f>
        <v>-0.329607843137255</v>
      </c>
      <c r="AH29" s="133" t="n">
        <f aca="false">Budget!K35</f>
        <v>-1530</v>
      </c>
      <c r="AI29" s="133" t="str">
        <f aca="false">IF(OR(9&gt;$B$3,ISBLANK(Actuals!K35)),"",Actuals!K35)</f>
        <v/>
      </c>
      <c r="AJ29" s="134" t="str">
        <f aca="false">IF(OR(9&gt;$B$3,ISBLANK(Actuals!K35)),"",Budget!K35-Actuals!K35)</f>
        <v/>
      </c>
      <c r="AK29" s="134" t="str">
        <f aca="false">IFERROR(IF(OR(9&gt;$B$3,ISBLANK(Actuals!K35)),"",(Budget!K35-Actuals!K35)/ABS(Budget!K35)),"")</f>
        <v/>
      </c>
      <c r="AL29" s="133" t="n">
        <f aca="false">Budget!L35</f>
        <v>-1530</v>
      </c>
      <c r="AM29" s="133" t="str">
        <f aca="false">IF(OR(10&gt;$B$3,ISBLANK(Actuals!L35)),"",Actuals!L35)</f>
        <v/>
      </c>
      <c r="AN29" s="134" t="str">
        <f aca="false">IF(OR(10&gt;$B$3,ISBLANK(Actuals!L35)),"",Budget!L35-Actuals!L35)</f>
        <v/>
      </c>
      <c r="AO29" s="134" t="str">
        <f aca="false">IFERROR(IF(OR(10&gt;$B$3,ISBLANK(Actuals!L35)),"",(Budget!L35-Actuals!L35)/ABS(Budget!L35)),"")</f>
        <v/>
      </c>
      <c r="AP29" s="133" t="n">
        <f aca="false">Budget!M35</f>
        <v>-1530</v>
      </c>
      <c r="AQ29" s="133" t="str">
        <f aca="false">IF(OR(11&gt;$B$3,ISBLANK(Actuals!M35)),"",Actuals!M35)</f>
        <v/>
      </c>
      <c r="AR29" s="134" t="str">
        <f aca="false">IF(OR(11&gt;$B$3,ISBLANK(Actuals!M35)),"",Budget!M35-Actuals!M35)</f>
        <v/>
      </c>
      <c r="AS29" s="134" t="str">
        <f aca="false">IFERROR(IF(OR(11&gt;$B$3,ISBLANK(Actuals!M35)),"",(Budget!M35-Actuals!M35)/ABS(Budget!M35)),"")</f>
        <v/>
      </c>
      <c r="AT29" s="133" t="n">
        <f aca="false">Budget!N35</f>
        <v>-1530</v>
      </c>
      <c r="AU29" s="133" t="str">
        <f aca="false">IF(OR(12&gt;$B$3,ISBLANK(Actuals!N35)),"",Actuals!N35)</f>
        <v/>
      </c>
      <c r="AV29" s="134" t="str">
        <f aca="false">IF(OR(12&gt;$B$3,ISBLANK(Actuals!N35)),"",Budget!N35-Actuals!N35)</f>
        <v/>
      </c>
      <c r="AW29" s="134" t="str">
        <f aca="false">IFERROR(IF(OR(12&gt;$B$3,ISBLANK(Actuals!N35)),"",(Budget!N35-Actuals!N35)/ABS(Budget!N35)),"")</f>
        <v/>
      </c>
      <c r="AX29" s="135" t="n">
        <f aca="false">SUMPRODUCT((Actuals!C35:N35&lt;&gt;"")*(Budget!C35:N35))</f>
        <v>-12060</v>
      </c>
      <c r="AY29" s="135" t="n">
        <f aca="false">SUM(Actuals!C35:N35)</f>
        <v>-7475.9</v>
      </c>
      <c r="AZ29" s="136" t="n">
        <f aca="false">AX29-AY29</f>
        <v>-4584.1</v>
      </c>
    </row>
    <row r="30" customFormat="false" ht="15" hidden="false" customHeight="true" outlineLevel="0" collapsed="false">
      <c r="A30" s="132" t="s">
        <v>79</v>
      </c>
      <c r="B30" s="133" t="n">
        <f aca="false">Budget!C36</f>
        <v>-1000</v>
      </c>
      <c r="C30" s="133" t="n">
        <f aca="false">IF(OR(1&gt;$B$3,ISBLANK(Actuals!C36)),"",Actuals!C36)</f>
        <v>-2187.5</v>
      </c>
      <c r="D30" s="134" t="n">
        <f aca="false">IF(OR(1&gt;$B$3,ISBLANK(Actuals!C36)),"",Budget!C36-Actuals!C36)</f>
        <v>1187.5</v>
      </c>
      <c r="E30" s="134" t="n">
        <f aca="false">IFERROR(IF(OR(1&gt;$B$3,ISBLANK(Actuals!C36)),"",(Budget!C36-Actuals!C36)/ABS(Budget!C36)),"")</f>
        <v>1.1875</v>
      </c>
      <c r="F30" s="133" t="n">
        <f aca="false">Budget!D36</f>
        <v>-1000</v>
      </c>
      <c r="G30" s="133" t="n">
        <f aca="false">IF(OR(2&gt;$B$3,ISBLANK(Actuals!D36)),"",Actuals!D36)</f>
        <v>0</v>
      </c>
      <c r="H30" s="134" t="n">
        <f aca="false">IF(OR(2&gt;$B$3,ISBLANK(Actuals!D36)),"",Budget!D36-Actuals!D36)</f>
        <v>-1000</v>
      </c>
      <c r="I30" s="134" t="n">
        <f aca="false">IFERROR(IF(OR(2&gt;$B$3,ISBLANK(Actuals!D36)),"",(Budget!D36-Actuals!D36)/ABS(Budget!D36)),"")</f>
        <v>-1</v>
      </c>
      <c r="J30" s="133" t="n">
        <f aca="false">Budget!E36</f>
        <v>-1000</v>
      </c>
      <c r="K30" s="133" t="n">
        <f aca="false">IF(OR(3&gt;$B$3,ISBLANK(Actuals!E36)),"",Actuals!E36)</f>
        <v>-1625</v>
      </c>
      <c r="L30" s="134" t="n">
        <f aca="false">IF(OR(3&gt;$B$3,ISBLANK(Actuals!E36)),"",Budget!E36-Actuals!E36)</f>
        <v>625</v>
      </c>
      <c r="M30" s="134" t="n">
        <f aca="false">IFERROR(IF(OR(3&gt;$B$3,ISBLANK(Actuals!E36)),"",(Budget!E36-Actuals!E36)/ABS(Budget!E36)),"")</f>
        <v>0.625</v>
      </c>
      <c r="N30" s="133" t="n">
        <f aca="false">Budget!F36</f>
        <v>-1000</v>
      </c>
      <c r="O30" s="133" t="n">
        <f aca="false">IF(OR(4&gt;$B$3,ISBLANK(Actuals!F36)),"",Actuals!F36)</f>
        <v>0</v>
      </c>
      <c r="P30" s="134" t="n">
        <f aca="false">IF(OR(4&gt;$B$3,ISBLANK(Actuals!F36)),"",Budget!F36-Actuals!F36)</f>
        <v>-1000</v>
      </c>
      <c r="Q30" s="134" t="n">
        <f aca="false">IFERROR(IF(OR(4&gt;$B$3,ISBLANK(Actuals!F36)),"",(Budget!F36-Actuals!F36)/ABS(Budget!F36)),"")</f>
        <v>-1</v>
      </c>
      <c r="R30" s="133" t="n">
        <f aca="false">Budget!G36</f>
        <v>-1000</v>
      </c>
      <c r="S30" s="133" t="n">
        <f aca="false">IF(OR(5&gt;$B$3,ISBLANK(Actuals!G36)),"",Actuals!G36)</f>
        <v>0</v>
      </c>
      <c r="T30" s="134" t="n">
        <f aca="false">IF(OR(5&gt;$B$3,ISBLANK(Actuals!G36)),"",Budget!G36-Actuals!G36)</f>
        <v>-1000</v>
      </c>
      <c r="U30" s="134" t="n">
        <f aca="false">IFERROR(IF(OR(5&gt;$B$3,ISBLANK(Actuals!G36)),"",(Budget!G36-Actuals!G36)/ABS(Budget!G36)),"")</f>
        <v>-1</v>
      </c>
      <c r="V30" s="133" t="n">
        <f aca="false">Budget!H36</f>
        <v>-1000</v>
      </c>
      <c r="W30" s="133" t="n">
        <f aca="false">IF(OR(6&gt;$B$3,ISBLANK(Actuals!H36)),"",Actuals!H36)</f>
        <v>0</v>
      </c>
      <c r="X30" s="134" t="n">
        <f aca="false">IF(OR(6&gt;$B$3,ISBLANK(Actuals!H36)),"",Budget!H36-Actuals!H36)</f>
        <v>-1000</v>
      </c>
      <c r="Y30" s="134" t="n">
        <f aca="false">IFERROR(IF(OR(6&gt;$B$3,ISBLANK(Actuals!H36)),"",(Budget!H36-Actuals!H36)/ABS(Budget!H36)),"")</f>
        <v>-1</v>
      </c>
      <c r="Z30" s="133" t="n">
        <f aca="false">Budget!I36</f>
        <v>-1020</v>
      </c>
      <c r="AA30" s="133" t="n">
        <f aca="false">IF(OR(7&gt;$B$3,ISBLANK(Actuals!I36)),"",Actuals!I36)</f>
        <v>0</v>
      </c>
      <c r="AB30" s="134" t="n">
        <f aca="false">IF(OR(7&gt;$B$3,ISBLANK(Actuals!I36)),"",Budget!I36-Actuals!I36)</f>
        <v>-1020</v>
      </c>
      <c r="AC30" s="134" t="n">
        <f aca="false">IFERROR(IF(OR(7&gt;$B$3,ISBLANK(Actuals!I36)),"",(Budget!I36-Actuals!I36)/ABS(Budget!I36)),"")</f>
        <v>-1</v>
      </c>
      <c r="AD30" s="133" t="n">
        <f aca="false">Budget!J36</f>
        <v>-1020</v>
      </c>
      <c r="AE30" s="133" t="n">
        <f aca="false">IF(OR(8&gt;$B$3,ISBLANK(Actuals!J36)),"",Actuals!J36)</f>
        <v>-1560</v>
      </c>
      <c r="AF30" s="134" t="n">
        <f aca="false">IF(OR(8&gt;$B$3,ISBLANK(Actuals!J36)),"",Budget!J36-Actuals!J36)</f>
        <v>540</v>
      </c>
      <c r="AG30" s="134" t="n">
        <f aca="false">IFERROR(IF(OR(8&gt;$B$3,ISBLANK(Actuals!J36)),"",(Budget!J36-Actuals!J36)/ABS(Budget!J36)),"")</f>
        <v>0.529411764705882</v>
      </c>
      <c r="AH30" s="133" t="n">
        <f aca="false">Budget!K36</f>
        <v>-1020</v>
      </c>
      <c r="AI30" s="133" t="str">
        <f aca="false">IF(OR(9&gt;$B$3,ISBLANK(Actuals!K36)),"",Actuals!K36)</f>
        <v/>
      </c>
      <c r="AJ30" s="134" t="str">
        <f aca="false">IF(OR(9&gt;$B$3,ISBLANK(Actuals!K36)),"",Budget!K36-Actuals!K36)</f>
        <v/>
      </c>
      <c r="AK30" s="134" t="str">
        <f aca="false">IFERROR(IF(OR(9&gt;$B$3,ISBLANK(Actuals!K36)),"",(Budget!K36-Actuals!K36)/ABS(Budget!K36)),"")</f>
        <v/>
      </c>
      <c r="AL30" s="133" t="n">
        <f aca="false">Budget!L36</f>
        <v>-1020</v>
      </c>
      <c r="AM30" s="133" t="str">
        <f aca="false">IF(OR(10&gt;$B$3,ISBLANK(Actuals!L36)),"",Actuals!L36)</f>
        <v/>
      </c>
      <c r="AN30" s="134" t="str">
        <f aca="false">IF(OR(10&gt;$B$3,ISBLANK(Actuals!L36)),"",Budget!L36-Actuals!L36)</f>
        <v/>
      </c>
      <c r="AO30" s="134" t="str">
        <f aca="false">IFERROR(IF(OR(10&gt;$B$3,ISBLANK(Actuals!L36)),"",(Budget!L36-Actuals!L36)/ABS(Budget!L36)),"")</f>
        <v/>
      </c>
      <c r="AP30" s="133" t="n">
        <f aca="false">Budget!M36</f>
        <v>-1020</v>
      </c>
      <c r="AQ30" s="133" t="str">
        <f aca="false">IF(OR(11&gt;$B$3,ISBLANK(Actuals!M36)),"",Actuals!M36)</f>
        <v/>
      </c>
      <c r="AR30" s="134" t="str">
        <f aca="false">IF(OR(11&gt;$B$3,ISBLANK(Actuals!M36)),"",Budget!M36-Actuals!M36)</f>
        <v/>
      </c>
      <c r="AS30" s="134" t="str">
        <f aca="false">IFERROR(IF(OR(11&gt;$B$3,ISBLANK(Actuals!M36)),"",(Budget!M36-Actuals!M36)/ABS(Budget!M36)),"")</f>
        <v/>
      </c>
      <c r="AT30" s="133" t="n">
        <f aca="false">Budget!N36</f>
        <v>-1020</v>
      </c>
      <c r="AU30" s="133" t="str">
        <f aca="false">IF(OR(12&gt;$B$3,ISBLANK(Actuals!N36)),"",Actuals!N36)</f>
        <v/>
      </c>
      <c r="AV30" s="134" t="str">
        <f aca="false">IF(OR(12&gt;$B$3,ISBLANK(Actuals!N36)),"",Budget!N36-Actuals!N36)</f>
        <v/>
      </c>
      <c r="AW30" s="134" t="str">
        <f aca="false">IFERROR(IF(OR(12&gt;$B$3,ISBLANK(Actuals!N36)),"",(Budget!N36-Actuals!N36)/ABS(Budget!N36)),"")</f>
        <v/>
      </c>
      <c r="AX30" s="135" t="n">
        <f aca="false">SUMPRODUCT((Actuals!C36:N36&lt;&gt;"")*(Budget!C36:N36))</f>
        <v>-8040</v>
      </c>
      <c r="AY30" s="135" t="n">
        <f aca="false">SUM(Actuals!C36:N36)</f>
        <v>-5372.5</v>
      </c>
      <c r="AZ30" s="136" t="n">
        <f aca="false">AX30-AY30</f>
        <v>-2667.5</v>
      </c>
    </row>
    <row r="31" customFormat="false" ht="15" hidden="false" customHeight="true" outlineLevel="0" collapsed="false">
      <c r="A31" s="132" t="s">
        <v>80</v>
      </c>
      <c r="B31" s="133" t="n">
        <f aca="false">Budget!C37</f>
        <v>-1000</v>
      </c>
      <c r="C31" s="133" t="n">
        <f aca="false">IF(OR(1&gt;$B$3,ISBLANK(Actuals!C37)),"",Actuals!C37)</f>
        <v>0</v>
      </c>
      <c r="D31" s="134" t="n">
        <f aca="false">IF(OR(1&gt;$B$3,ISBLANK(Actuals!C37)),"",Budget!C37-Actuals!C37)</f>
        <v>-1000</v>
      </c>
      <c r="E31" s="134" t="n">
        <f aca="false">IFERROR(IF(OR(1&gt;$B$3,ISBLANK(Actuals!C37)),"",(Budget!C37-Actuals!C37)/ABS(Budget!C37)),"")</f>
        <v>-1</v>
      </c>
      <c r="F31" s="133" t="n">
        <f aca="false">Budget!D37</f>
        <v>-1000</v>
      </c>
      <c r="G31" s="133" t="n">
        <f aca="false">IF(OR(2&gt;$B$3,ISBLANK(Actuals!D37)),"",Actuals!D37)</f>
        <v>-12349</v>
      </c>
      <c r="H31" s="134" t="n">
        <f aca="false">IF(OR(2&gt;$B$3,ISBLANK(Actuals!D37)),"",Budget!D37-Actuals!D37)</f>
        <v>11349</v>
      </c>
      <c r="I31" s="134" t="n">
        <f aca="false">IFERROR(IF(OR(2&gt;$B$3,ISBLANK(Actuals!D37)),"",(Budget!D37-Actuals!D37)/ABS(Budget!D37)),"")</f>
        <v>11.349</v>
      </c>
      <c r="J31" s="133" t="n">
        <f aca="false">Budget!E37</f>
        <v>-1000</v>
      </c>
      <c r="K31" s="133" t="n">
        <f aca="false">IF(OR(3&gt;$B$3,ISBLANK(Actuals!E37)),"",Actuals!E37)</f>
        <v>-5400</v>
      </c>
      <c r="L31" s="134" t="n">
        <f aca="false">IF(OR(3&gt;$B$3,ISBLANK(Actuals!E37)),"",Budget!E37-Actuals!E37)</f>
        <v>4400</v>
      </c>
      <c r="M31" s="134" t="n">
        <f aca="false">IFERROR(IF(OR(3&gt;$B$3,ISBLANK(Actuals!E37)),"",(Budget!E37-Actuals!E37)/ABS(Budget!E37)),"")</f>
        <v>4.4</v>
      </c>
      <c r="N31" s="133" t="n">
        <f aca="false">Budget!F37</f>
        <v>-1000</v>
      </c>
      <c r="O31" s="133" t="n">
        <f aca="false">IF(OR(4&gt;$B$3,ISBLANK(Actuals!F37)),"",Actuals!F37)</f>
        <v>-4377</v>
      </c>
      <c r="P31" s="134" t="n">
        <f aca="false">IF(OR(4&gt;$B$3,ISBLANK(Actuals!F37)),"",Budget!F37-Actuals!F37)</f>
        <v>3377</v>
      </c>
      <c r="Q31" s="134" t="n">
        <f aca="false">IFERROR(IF(OR(4&gt;$B$3,ISBLANK(Actuals!F37)),"",(Budget!F37-Actuals!F37)/ABS(Budget!F37)),"")</f>
        <v>3.377</v>
      </c>
      <c r="R31" s="133" t="n">
        <f aca="false">Budget!G37</f>
        <v>-1000</v>
      </c>
      <c r="S31" s="133" t="n">
        <f aca="false">IF(OR(5&gt;$B$3,ISBLANK(Actuals!G37)),"",Actuals!G37)</f>
        <v>-11750</v>
      </c>
      <c r="T31" s="134" t="n">
        <f aca="false">IF(OR(5&gt;$B$3,ISBLANK(Actuals!G37)),"",Budget!G37-Actuals!G37)</f>
        <v>10750</v>
      </c>
      <c r="U31" s="134" t="n">
        <f aca="false">IFERROR(IF(OR(5&gt;$B$3,ISBLANK(Actuals!G37)),"",(Budget!G37-Actuals!G37)/ABS(Budget!G37)),"")</f>
        <v>10.75</v>
      </c>
      <c r="V31" s="133" t="n">
        <f aca="false">Budget!H37</f>
        <v>-1000</v>
      </c>
      <c r="W31" s="133" t="n">
        <f aca="false">IF(OR(6&gt;$B$3,ISBLANK(Actuals!H37)),"",Actuals!H37)</f>
        <v>0</v>
      </c>
      <c r="X31" s="134" t="n">
        <f aca="false">IF(OR(6&gt;$B$3,ISBLANK(Actuals!H37)),"",Budget!H37-Actuals!H37)</f>
        <v>-1000</v>
      </c>
      <c r="Y31" s="134" t="n">
        <f aca="false">IFERROR(IF(OR(6&gt;$B$3,ISBLANK(Actuals!H37)),"",(Budget!H37-Actuals!H37)/ABS(Budget!H37)),"")</f>
        <v>-1</v>
      </c>
      <c r="Z31" s="133" t="n">
        <f aca="false">Budget!I37</f>
        <v>-1020</v>
      </c>
      <c r="AA31" s="133" t="n">
        <f aca="false">IF(OR(7&gt;$B$3,ISBLANK(Actuals!I37)),"",Actuals!I37)</f>
        <v>0</v>
      </c>
      <c r="AB31" s="134" t="n">
        <f aca="false">IF(OR(7&gt;$B$3,ISBLANK(Actuals!I37)),"",Budget!I37-Actuals!I37)</f>
        <v>-1020</v>
      </c>
      <c r="AC31" s="134" t="n">
        <f aca="false">IFERROR(IF(OR(7&gt;$B$3,ISBLANK(Actuals!I37)),"",(Budget!I37-Actuals!I37)/ABS(Budget!I37)),"")</f>
        <v>-1</v>
      </c>
      <c r="AD31" s="133" t="n">
        <f aca="false">Budget!J37</f>
        <v>-1020</v>
      </c>
      <c r="AE31" s="133" t="n">
        <f aca="false">IF(OR(8&gt;$B$3,ISBLANK(Actuals!J37)),"",Actuals!J37)</f>
        <v>-26000</v>
      </c>
      <c r="AF31" s="134" t="n">
        <f aca="false">IF(OR(8&gt;$B$3,ISBLANK(Actuals!J37)),"",Budget!J37-Actuals!J37)</f>
        <v>24980</v>
      </c>
      <c r="AG31" s="134" t="n">
        <f aca="false">IFERROR(IF(OR(8&gt;$B$3,ISBLANK(Actuals!J37)),"",(Budget!J37-Actuals!J37)/ABS(Budget!J37)),"")</f>
        <v>24.4901960784314</v>
      </c>
      <c r="AH31" s="133" t="n">
        <f aca="false">Budget!K37</f>
        <v>-1020</v>
      </c>
      <c r="AI31" s="133" t="str">
        <f aca="false">IF(OR(9&gt;$B$3,ISBLANK(Actuals!K37)),"",Actuals!K37)</f>
        <v/>
      </c>
      <c r="AJ31" s="134" t="str">
        <f aca="false">IF(OR(9&gt;$B$3,ISBLANK(Actuals!K37)),"",Budget!K37-Actuals!K37)</f>
        <v/>
      </c>
      <c r="AK31" s="134" t="str">
        <f aca="false">IFERROR(IF(OR(9&gt;$B$3,ISBLANK(Actuals!K37)),"",(Budget!K37-Actuals!K37)/ABS(Budget!K37)),"")</f>
        <v/>
      </c>
      <c r="AL31" s="133" t="n">
        <f aca="false">Budget!L37</f>
        <v>-1020</v>
      </c>
      <c r="AM31" s="133" t="str">
        <f aca="false">IF(OR(10&gt;$B$3,ISBLANK(Actuals!L37)),"",Actuals!L37)</f>
        <v/>
      </c>
      <c r="AN31" s="134" t="str">
        <f aca="false">IF(OR(10&gt;$B$3,ISBLANK(Actuals!L37)),"",Budget!L37-Actuals!L37)</f>
        <v/>
      </c>
      <c r="AO31" s="134" t="str">
        <f aca="false">IFERROR(IF(OR(10&gt;$B$3,ISBLANK(Actuals!L37)),"",(Budget!L37-Actuals!L37)/ABS(Budget!L37)),"")</f>
        <v/>
      </c>
      <c r="AP31" s="133" t="n">
        <f aca="false">Budget!M37</f>
        <v>-1020</v>
      </c>
      <c r="AQ31" s="133" t="str">
        <f aca="false">IF(OR(11&gt;$B$3,ISBLANK(Actuals!M37)),"",Actuals!M37)</f>
        <v/>
      </c>
      <c r="AR31" s="134" t="str">
        <f aca="false">IF(OR(11&gt;$B$3,ISBLANK(Actuals!M37)),"",Budget!M37-Actuals!M37)</f>
        <v/>
      </c>
      <c r="AS31" s="134" t="str">
        <f aca="false">IFERROR(IF(OR(11&gt;$B$3,ISBLANK(Actuals!M37)),"",(Budget!M37-Actuals!M37)/ABS(Budget!M37)),"")</f>
        <v/>
      </c>
      <c r="AT31" s="133" t="n">
        <f aca="false">Budget!N37</f>
        <v>-1020</v>
      </c>
      <c r="AU31" s="133" t="str">
        <f aca="false">IF(OR(12&gt;$B$3,ISBLANK(Actuals!N37)),"",Actuals!N37)</f>
        <v/>
      </c>
      <c r="AV31" s="134" t="str">
        <f aca="false">IF(OR(12&gt;$B$3,ISBLANK(Actuals!N37)),"",Budget!N37-Actuals!N37)</f>
        <v/>
      </c>
      <c r="AW31" s="134" t="str">
        <f aca="false">IFERROR(IF(OR(12&gt;$B$3,ISBLANK(Actuals!N37)),"",(Budget!N37-Actuals!N37)/ABS(Budget!N37)),"")</f>
        <v/>
      </c>
      <c r="AX31" s="135" t="n">
        <f aca="false">SUMPRODUCT((Actuals!C37:N37&lt;&gt;"")*(Budget!C37:N37))</f>
        <v>-8040</v>
      </c>
      <c r="AY31" s="135" t="n">
        <f aca="false">SUM(Actuals!C37:N37)</f>
        <v>-59876</v>
      </c>
      <c r="AZ31" s="136" t="n">
        <f aca="false">AX31-AY31</f>
        <v>51836</v>
      </c>
    </row>
    <row r="32" customFormat="false" ht="15" hidden="false" customHeight="true" outlineLevel="0" collapsed="false">
      <c r="A32" s="132" t="s">
        <v>81</v>
      </c>
      <c r="B32" s="133" t="n">
        <f aca="false">Budget!C38</f>
        <v>0</v>
      </c>
      <c r="C32" s="133" t="n">
        <f aca="false">IF(OR(1&gt;$B$3,ISBLANK(Actuals!C38)),"",Actuals!C38)</f>
        <v>0</v>
      </c>
      <c r="D32" s="134" t="n">
        <f aca="false">IF(OR(1&gt;$B$3,ISBLANK(Actuals!C38)),"",Budget!C38-Actuals!C38)</f>
        <v>0</v>
      </c>
      <c r="E32" s="134" t="str">
        <f aca="false">IFERROR(IF(OR(1&gt;$B$3,ISBLANK(Actuals!C38)),"",(Budget!C38-Actuals!C38)/ABS(Budget!C38)),"")</f>
        <v/>
      </c>
      <c r="F32" s="133" t="n">
        <f aca="false">Budget!D38</f>
        <v>0</v>
      </c>
      <c r="G32" s="133" t="n">
        <f aca="false">IF(OR(2&gt;$B$3,ISBLANK(Actuals!D38)),"",Actuals!D38)</f>
        <v>0</v>
      </c>
      <c r="H32" s="134" t="n">
        <f aca="false">IF(OR(2&gt;$B$3,ISBLANK(Actuals!D38)),"",Budget!D38-Actuals!D38)</f>
        <v>0</v>
      </c>
      <c r="I32" s="134" t="str">
        <f aca="false">IFERROR(IF(OR(2&gt;$B$3,ISBLANK(Actuals!D38)),"",(Budget!D38-Actuals!D38)/ABS(Budget!D38)),"")</f>
        <v/>
      </c>
      <c r="J32" s="133" t="n">
        <f aca="false">Budget!E38</f>
        <v>0</v>
      </c>
      <c r="K32" s="133" t="n">
        <f aca="false">IF(OR(3&gt;$B$3,ISBLANK(Actuals!E38)),"",Actuals!E38)</f>
        <v>-750.4</v>
      </c>
      <c r="L32" s="134" t="n">
        <f aca="false">IF(OR(3&gt;$B$3,ISBLANK(Actuals!E38)),"",Budget!E38-Actuals!E38)</f>
        <v>750.4</v>
      </c>
      <c r="M32" s="134" t="str">
        <f aca="false">IFERROR(IF(OR(3&gt;$B$3,ISBLANK(Actuals!E38)),"",(Budget!E38-Actuals!E38)/ABS(Budget!E38)),"")</f>
        <v/>
      </c>
      <c r="N32" s="133" t="n">
        <f aca="false">Budget!F38</f>
        <v>0</v>
      </c>
      <c r="O32" s="133" t="n">
        <f aca="false">IF(OR(4&gt;$B$3,ISBLANK(Actuals!F38)),"",Actuals!F38)</f>
        <v>0</v>
      </c>
      <c r="P32" s="134" t="n">
        <f aca="false">IF(OR(4&gt;$B$3,ISBLANK(Actuals!F38)),"",Budget!F38-Actuals!F38)</f>
        <v>0</v>
      </c>
      <c r="Q32" s="134" t="str">
        <f aca="false">IFERROR(IF(OR(4&gt;$B$3,ISBLANK(Actuals!F38)),"",(Budget!F38-Actuals!F38)/ABS(Budget!F38)),"")</f>
        <v/>
      </c>
      <c r="R32" s="133" t="n">
        <f aca="false">Budget!G38</f>
        <v>0</v>
      </c>
      <c r="S32" s="133" t="n">
        <f aca="false">IF(OR(5&gt;$B$3,ISBLANK(Actuals!G38)),"",Actuals!G38)</f>
        <v>0</v>
      </c>
      <c r="T32" s="134" t="n">
        <f aca="false">IF(OR(5&gt;$B$3,ISBLANK(Actuals!G38)),"",Budget!G38-Actuals!G38)</f>
        <v>0</v>
      </c>
      <c r="U32" s="134" t="str">
        <f aca="false">IFERROR(IF(OR(5&gt;$B$3,ISBLANK(Actuals!G38)),"",(Budget!G38-Actuals!G38)/ABS(Budget!G38)),"")</f>
        <v/>
      </c>
      <c r="V32" s="133" t="n">
        <f aca="false">Budget!H38</f>
        <v>0</v>
      </c>
      <c r="W32" s="133" t="n">
        <f aca="false">IF(OR(6&gt;$B$3,ISBLANK(Actuals!H38)),"",Actuals!H38)</f>
        <v>0</v>
      </c>
      <c r="X32" s="134" t="n">
        <f aca="false">IF(OR(6&gt;$B$3,ISBLANK(Actuals!H38)),"",Budget!H38-Actuals!H38)</f>
        <v>0</v>
      </c>
      <c r="Y32" s="134" t="str">
        <f aca="false">IFERROR(IF(OR(6&gt;$B$3,ISBLANK(Actuals!H38)),"",(Budget!H38-Actuals!H38)/ABS(Budget!H38)),"")</f>
        <v/>
      </c>
      <c r="Z32" s="133" t="n">
        <f aca="false">Budget!I38</f>
        <v>0</v>
      </c>
      <c r="AA32" s="133" t="n">
        <f aca="false">IF(OR(7&gt;$B$3,ISBLANK(Actuals!I38)),"",Actuals!I38)</f>
        <v>0</v>
      </c>
      <c r="AB32" s="134" t="n">
        <f aca="false">IF(OR(7&gt;$B$3,ISBLANK(Actuals!I38)),"",Budget!I38-Actuals!I38)</f>
        <v>0</v>
      </c>
      <c r="AC32" s="134" t="str">
        <f aca="false">IFERROR(IF(OR(7&gt;$B$3,ISBLANK(Actuals!I38)),"",(Budget!I38-Actuals!I38)/ABS(Budget!I38)),"")</f>
        <v/>
      </c>
      <c r="AD32" s="133" t="n">
        <f aca="false">Budget!J38</f>
        <v>0</v>
      </c>
      <c r="AE32" s="133" t="n">
        <f aca="false">IF(OR(8&gt;$B$3,ISBLANK(Actuals!J38)),"",Actuals!J38)</f>
        <v>0</v>
      </c>
      <c r="AF32" s="134" t="n">
        <f aca="false">IF(OR(8&gt;$B$3,ISBLANK(Actuals!J38)),"",Budget!J38-Actuals!J38)</f>
        <v>0</v>
      </c>
      <c r="AG32" s="134" t="str">
        <f aca="false">IFERROR(IF(OR(8&gt;$B$3,ISBLANK(Actuals!J38)),"",(Budget!J38-Actuals!J38)/ABS(Budget!J38)),"")</f>
        <v/>
      </c>
      <c r="AH32" s="133" t="n">
        <f aca="false">Budget!K38</f>
        <v>0</v>
      </c>
      <c r="AI32" s="133" t="str">
        <f aca="false">IF(OR(9&gt;$B$3,ISBLANK(Actuals!K38)),"",Actuals!K38)</f>
        <v/>
      </c>
      <c r="AJ32" s="134" t="str">
        <f aca="false">IF(OR(9&gt;$B$3,ISBLANK(Actuals!K38)),"",Budget!K38-Actuals!K38)</f>
        <v/>
      </c>
      <c r="AK32" s="134" t="str">
        <f aca="false">IFERROR(IF(OR(9&gt;$B$3,ISBLANK(Actuals!K38)),"",(Budget!K38-Actuals!K38)/ABS(Budget!K38)),"")</f>
        <v/>
      </c>
      <c r="AL32" s="133" t="n">
        <f aca="false">Budget!L38</f>
        <v>0</v>
      </c>
      <c r="AM32" s="133" t="str">
        <f aca="false">IF(OR(10&gt;$B$3,ISBLANK(Actuals!L38)),"",Actuals!L38)</f>
        <v/>
      </c>
      <c r="AN32" s="134" t="str">
        <f aca="false">IF(OR(10&gt;$B$3,ISBLANK(Actuals!L38)),"",Budget!L38-Actuals!L38)</f>
        <v/>
      </c>
      <c r="AO32" s="134" t="str">
        <f aca="false">IFERROR(IF(OR(10&gt;$B$3,ISBLANK(Actuals!L38)),"",(Budget!L38-Actuals!L38)/ABS(Budget!L38)),"")</f>
        <v/>
      </c>
      <c r="AP32" s="133" t="n">
        <f aca="false">Budget!M38</f>
        <v>0</v>
      </c>
      <c r="AQ32" s="133" t="str">
        <f aca="false">IF(OR(11&gt;$B$3,ISBLANK(Actuals!M38)),"",Actuals!M38)</f>
        <v/>
      </c>
      <c r="AR32" s="134" t="str">
        <f aca="false">IF(OR(11&gt;$B$3,ISBLANK(Actuals!M38)),"",Budget!M38-Actuals!M38)</f>
        <v/>
      </c>
      <c r="AS32" s="134" t="str">
        <f aca="false">IFERROR(IF(OR(11&gt;$B$3,ISBLANK(Actuals!M38)),"",(Budget!M38-Actuals!M38)/ABS(Budget!M38)),"")</f>
        <v/>
      </c>
      <c r="AT32" s="133" t="n">
        <f aca="false">Budget!N38</f>
        <v>0</v>
      </c>
      <c r="AU32" s="133" t="str">
        <f aca="false">IF(OR(12&gt;$B$3,ISBLANK(Actuals!N38)),"",Actuals!N38)</f>
        <v/>
      </c>
      <c r="AV32" s="134" t="str">
        <f aca="false">IF(OR(12&gt;$B$3,ISBLANK(Actuals!N38)),"",Budget!N38-Actuals!N38)</f>
        <v/>
      </c>
      <c r="AW32" s="134" t="str">
        <f aca="false">IFERROR(IF(OR(12&gt;$B$3,ISBLANK(Actuals!N38)),"",(Budget!N38-Actuals!N38)/ABS(Budget!N38)),"")</f>
        <v/>
      </c>
      <c r="AX32" s="135" t="n">
        <f aca="false">SUMPRODUCT((Actuals!C38:N38&lt;&gt;"")*(Budget!C38:N38))</f>
        <v>0</v>
      </c>
      <c r="AY32" s="135" t="n">
        <f aca="false">SUM(Actuals!C38:N38)</f>
        <v>-750.4</v>
      </c>
      <c r="AZ32" s="136" t="n">
        <f aca="false">AX32-AY32</f>
        <v>750.4</v>
      </c>
    </row>
    <row r="33" customFormat="false" ht="15" hidden="false" customHeight="true" outlineLevel="0" collapsed="false">
      <c r="A33" s="132" t="s">
        <v>82</v>
      </c>
      <c r="B33" s="133" t="n">
        <f aca="false">Budget!C39</f>
        <v>-1666.67</v>
      </c>
      <c r="C33" s="133" t="n">
        <f aca="false">IF(OR(1&gt;$B$3,ISBLANK(Actuals!C39)),"",Actuals!C39)</f>
        <v>-1474.63</v>
      </c>
      <c r="D33" s="134" t="n">
        <f aca="false">IF(OR(1&gt;$B$3,ISBLANK(Actuals!C39)),"",Budget!C39-Actuals!C39)</f>
        <v>-192.04</v>
      </c>
      <c r="E33" s="134" t="n">
        <f aca="false">IFERROR(IF(OR(1&gt;$B$3,ISBLANK(Actuals!C39)),"",(Budget!C39-Actuals!C39)/ABS(Budget!C39)),"")</f>
        <v>-0.115223769552461</v>
      </c>
      <c r="F33" s="133" t="n">
        <f aca="false">Budget!D39</f>
        <v>-1666.67</v>
      </c>
      <c r="G33" s="133" t="n">
        <f aca="false">IF(OR(2&gt;$B$3,ISBLANK(Actuals!D39)),"",Actuals!D39)</f>
        <v>-1449.33</v>
      </c>
      <c r="H33" s="134" t="n">
        <f aca="false">IF(OR(2&gt;$B$3,ISBLANK(Actuals!D39)),"",Budget!D39-Actuals!D39)</f>
        <v>-217.34</v>
      </c>
      <c r="I33" s="134" t="n">
        <f aca="false">IFERROR(IF(OR(2&gt;$B$3,ISBLANK(Actuals!D39)),"",(Budget!D39-Actuals!D39)/ABS(Budget!D39)),"")</f>
        <v>-0.130403739192522</v>
      </c>
      <c r="J33" s="133" t="n">
        <f aca="false">Budget!E39</f>
        <v>-1666.67</v>
      </c>
      <c r="K33" s="133" t="n">
        <f aca="false">IF(OR(3&gt;$B$3,ISBLANK(Actuals!E39)),"",Actuals!E39)</f>
        <v>-2328.76</v>
      </c>
      <c r="L33" s="134" t="n">
        <f aca="false">IF(OR(3&gt;$B$3,ISBLANK(Actuals!E39)),"",Budget!E39-Actuals!E39)</f>
        <v>662.09</v>
      </c>
      <c r="M33" s="134" t="n">
        <f aca="false">IFERROR(IF(OR(3&gt;$B$3,ISBLANK(Actuals!E39)),"",(Budget!E39-Actuals!E39)/ABS(Budget!E39)),"")</f>
        <v>0.397253205493589</v>
      </c>
      <c r="N33" s="133" t="n">
        <f aca="false">Budget!F39</f>
        <v>-1666.67</v>
      </c>
      <c r="O33" s="133" t="n">
        <f aca="false">IF(OR(4&gt;$B$3,ISBLANK(Actuals!F39)),"",Actuals!F39)</f>
        <v>-2249.56</v>
      </c>
      <c r="P33" s="134" t="n">
        <f aca="false">IF(OR(4&gt;$B$3,ISBLANK(Actuals!F39)),"",Budget!F39-Actuals!F39)</f>
        <v>582.89</v>
      </c>
      <c r="Q33" s="134" t="n">
        <f aca="false">IFERROR(IF(OR(4&gt;$B$3,ISBLANK(Actuals!F39)),"",(Budget!F39-Actuals!F39)/ABS(Budget!F39)),"")</f>
        <v>0.349733300533399</v>
      </c>
      <c r="R33" s="133" t="n">
        <f aca="false">Budget!G39</f>
        <v>-1666.67</v>
      </c>
      <c r="S33" s="133" t="n">
        <f aca="false">IF(OR(5&gt;$B$3,ISBLANK(Actuals!G39)),"",Actuals!G39)</f>
        <v>-2759.48</v>
      </c>
      <c r="T33" s="134" t="n">
        <f aca="false">IF(OR(5&gt;$B$3,ISBLANK(Actuals!G39)),"",Budget!G39-Actuals!G39)</f>
        <v>1092.81</v>
      </c>
      <c r="U33" s="134" t="n">
        <f aca="false">IFERROR(IF(OR(5&gt;$B$3,ISBLANK(Actuals!G39)),"",(Budget!G39-Actuals!G39)/ABS(Budget!G39)),"")</f>
        <v>0.655684688630623</v>
      </c>
      <c r="V33" s="133" t="n">
        <f aca="false">Budget!H39</f>
        <v>-1666.67</v>
      </c>
      <c r="W33" s="133" t="n">
        <f aca="false">IF(OR(6&gt;$B$3,ISBLANK(Actuals!H39)),"",Actuals!H39)</f>
        <v>-2749.12</v>
      </c>
      <c r="X33" s="134" t="n">
        <f aca="false">IF(OR(6&gt;$B$3,ISBLANK(Actuals!H39)),"",Budget!H39-Actuals!H39)</f>
        <v>1082.45</v>
      </c>
      <c r="Y33" s="134" t="n">
        <f aca="false">IFERROR(IF(OR(6&gt;$B$3,ISBLANK(Actuals!H39)),"",(Budget!H39-Actuals!H39)/ABS(Budget!H39)),"")</f>
        <v>0.649468701062598</v>
      </c>
      <c r="Z33" s="133" t="n">
        <f aca="false">Budget!I39</f>
        <v>-1700</v>
      </c>
      <c r="AA33" s="133" t="n">
        <f aca="false">IF(OR(7&gt;$B$3,ISBLANK(Actuals!I39)),"",Actuals!I39)</f>
        <v>-2384.6</v>
      </c>
      <c r="AB33" s="134" t="n">
        <f aca="false">IF(OR(7&gt;$B$3,ISBLANK(Actuals!I39)),"",Budget!I39-Actuals!I39)</f>
        <v>684.6</v>
      </c>
      <c r="AC33" s="134" t="n">
        <f aca="false">IFERROR(IF(OR(7&gt;$B$3,ISBLANK(Actuals!I39)),"",(Budget!I39-Actuals!I39)/ABS(Budget!I39)),"")</f>
        <v>0.402705882352941</v>
      </c>
      <c r="AD33" s="133" t="n">
        <f aca="false">Budget!J39</f>
        <v>-1700</v>
      </c>
      <c r="AE33" s="133" t="n">
        <f aca="false">IF(OR(8&gt;$B$3,ISBLANK(Actuals!J39)),"",Actuals!J39)</f>
        <v>-4264.89</v>
      </c>
      <c r="AF33" s="134" t="n">
        <f aca="false">IF(OR(8&gt;$B$3,ISBLANK(Actuals!J39)),"",Budget!J39-Actuals!J39)</f>
        <v>2564.89</v>
      </c>
      <c r="AG33" s="134" t="n">
        <f aca="false">IFERROR(IF(OR(8&gt;$B$3,ISBLANK(Actuals!J39)),"",(Budget!J39-Actuals!J39)/ABS(Budget!J39)),"")</f>
        <v>1.50875882352941</v>
      </c>
      <c r="AH33" s="133" t="n">
        <f aca="false">Budget!K39</f>
        <v>-1700</v>
      </c>
      <c r="AI33" s="133" t="str">
        <f aca="false">IF(OR(9&gt;$B$3,ISBLANK(Actuals!K39)),"",Actuals!K39)</f>
        <v/>
      </c>
      <c r="AJ33" s="134" t="str">
        <f aca="false">IF(OR(9&gt;$B$3,ISBLANK(Actuals!K39)),"",Budget!K39-Actuals!K39)</f>
        <v/>
      </c>
      <c r="AK33" s="134" t="str">
        <f aca="false">IFERROR(IF(OR(9&gt;$B$3,ISBLANK(Actuals!K39)),"",(Budget!K39-Actuals!K39)/ABS(Budget!K39)),"")</f>
        <v/>
      </c>
      <c r="AL33" s="133" t="n">
        <f aca="false">Budget!L39</f>
        <v>-1700</v>
      </c>
      <c r="AM33" s="133" t="str">
        <f aca="false">IF(OR(10&gt;$B$3,ISBLANK(Actuals!L39)),"",Actuals!L39)</f>
        <v/>
      </c>
      <c r="AN33" s="134" t="str">
        <f aca="false">IF(OR(10&gt;$B$3,ISBLANK(Actuals!L39)),"",Budget!L39-Actuals!L39)</f>
        <v/>
      </c>
      <c r="AO33" s="134" t="str">
        <f aca="false">IFERROR(IF(OR(10&gt;$B$3,ISBLANK(Actuals!L39)),"",(Budget!L39-Actuals!L39)/ABS(Budget!L39)),"")</f>
        <v/>
      </c>
      <c r="AP33" s="133" t="n">
        <f aca="false">Budget!M39</f>
        <v>-1700</v>
      </c>
      <c r="AQ33" s="133" t="str">
        <f aca="false">IF(OR(11&gt;$B$3,ISBLANK(Actuals!M39)),"",Actuals!M39)</f>
        <v/>
      </c>
      <c r="AR33" s="134" t="str">
        <f aca="false">IF(OR(11&gt;$B$3,ISBLANK(Actuals!M39)),"",Budget!M39-Actuals!M39)</f>
        <v/>
      </c>
      <c r="AS33" s="134" t="str">
        <f aca="false">IFERROR(IF(OR(11&gt;$B$3,ISBLANK(Actuals!M39)),"",(Budget!M39-Actuals!M39)/ABS(Budget!M39)),"")</f>
        <v/>
      </c>
      <c r="AT33" s="133" t="n">
        <f aca="false">Budget!N39</f>
        <v>-1700</v>
      </c>
      <c r="AU33" s="133" t="str">
        <f aca="false">IF(OR(12&gt;$B$3,ISBLANK(Actuals!N39)),"",Actuals!N39)</f>
        <v/>
      </c>
      <c r="AV33" s="134" t="str">
        <f aca="false">IF(OR(12&gt;$B$3,ISBLANK(Actuals!N39)),"",Budget!N39-Actuals!N39)</f>
        <v/>
      </c>
      <c r="AW33" s="134" t="str">
        <f aca="false">IFERROR(IF(OR(12&gt;$B$3,ISBLANK(Actuals!N39)),"",(Budget!N39-Actuals!N39)/ABS(Budget!N39)),"")</f>
        <v/>
      </c>
      <c r="AX33" s="135" t="n">
        <f aca="false">SUMPRODUCT((Actuals!C39:N39&lt;&gt;"")*(Budget!C39:N39))</f>
        <v>-13400.02</v>
      </c>
      <c r="AY33" s="135" t="n">
        <f aca="false">SUM(Actuals!C39:N39)</f>
        <v>-19660.37</v>
      </c>
      <c r="AZ33" s="136" t="n">
        <f aca="false">AX33-AY33</f>
        <v>6260.35</v>
      </c>
    </row>
    <row r="34" customFormat="false" ht="15" hidden="false" customHeight="true" outlineLevel="0" collapsed="false">
      <c r="A34" s="132" t="s">
        <v>83</v>
      </c>
      <c r="B34" s="133" t="n">
        <f aca="false">Budget!C40</f>
        <v>-1000</v>
      </c>
      <c r="C34" s="133" t="n">
        <f aca="false">IF(OR(1&gt;$B$3,ISBLANK(Actuals!C40)),"",Actuals!C40)</f>
        <v>-1417.61</v>
      </c>
      <c r="D34" s="134" t="n">
        <f aca="false">IF(OR(1&gt;$B$3,ISBLANK(Actuals!C40)),"",Budget!C40-Actuals!C40)</f>
        <v>417.61</v>
      </c>
      <c r="E34" s="134" t="n">
        <f aca="false">IFERROR(IF(OR(1&gt;$B$3,ISBLANK(Actuals!C40)),"",(Budget!C40-Actuals!C40)/ABS(Budget!C40)),"")</f>
        <v>0.41761</v>
      </c>
      <c r="F34" s="133" t="n">
        <f aca="false">Budget!D40</f>
        <v>-1000</v>
      </c>
      <c r="G34" s="133" t="n">
        <f aca="false">IF(OR(2&gt;$B$3,ISBLANK(Actuals!D40)),"",Actuals!D40)</f>
        <v>-2730.36</v>
      </c>
      <c r="H34" s="134" t="n">
        <f aca="false">IF(OR(2&gt;$B$3,ISBLANK(Actuals!D40)),"",Budget!D40-Actuals!D40)</f>
        <v>1730.36</v>
      </c>
      <c r="I34" s="134" t="n">
        <f aca="false">IFERROR(IF(OR(2&gt;$B$3,ISBLANK(Actuals!D40)),"",(Budget!D40-Actuals!D40)/ABS(Budget!D40)),"")</f>
        <v>1.73036</v>
      </c>
      <c r="J34" s="133" t="n">
        <f aca="false">Budget!E40</f>
        <v>-1000</v>
      </c>
      <c r="K34" s="133" t="n">
        <f aca="false">IF(OR(3&gt;$B$3,ISBLANK(Actuals!E40)),"",Actuals!E40)</f>
        <v>-1818.05</v>
      </c>
      <c r="L34" s="134" t="n">
        <f aca="false">IF(OR(3&gt;$B$3,ISBLANK(Actuals!E40)),"",Budget!E40-Actuals!E40)</f>
        <v>818.05</v>
      </c>
      <c r="M34" s="134" t="n">
        <f aca="false">IFERROR(IF(OR(3&gt;$B$3,ISBLANK(Actuals!E40)),"",(Budget!E40-Actuals!E40)/ABS(Budget!E40)),"")</f>
        <v>0.81805</v>
      </c>
      <c r="N34" s="133" t="n">
        <f aca="false">Budget!F40</f>
        <v>-1000</v>
      </c>
      <c r="O34" s="133" t="n">
        <f aca="false">IF(OR(4&gt;$B$3,ISBLANK(Actuals!F40)),"",Actuals!F40)</f>
        <v>-3307.74</v>
      </c>
      <c r="P34" s="134" t="n">
        <f aca="false">IF(OR(4&gt;$B$3,ISBLANK(Actuals!F40)),"",Budget!F40-Actuals!F40)</f>
        <v>2307.74</v>
      </c>
      <c r="Q34" s="134" t="n">
        <f aca="false">IFERROR(IF(OR(4&gt;$B$3,ISBLANK(Actuals!F40)),"",(Budget!F40-Actuals!F40)/ABS(Budget!F40)),"")</f>
        <v>2.30774</v>
      </c>
      <c r="R34" s="133" t="n">
        <f aca="false">Budget!G40</f>
        <v>-1000</v>
      </c>
      <c r="S34" s="133" t="n">
        <f aca="false">IF(OR(5&gt;$B$3,ISBLANK(Actuals!G40)),"",Actuals!G40)</f>
        <v>-1257.74</v>
      </c>
      <c r="T34" s="134" t="n">
        <f aca="false">IF(OR(5&gt;$B$3,ISBLANK(Actuals!G40)),"",Budget!G40-Actuals!G40)</f>
        <v>257.74</v>
      </c>
      <c r="U34" s="134" t="n">
        <f aca="false">IFERROR(IF(OR(5&gt;$B$3,ISBLANK(Actuals!G40)),"",(Budget!G40-Actuals!G40)/ABS(Budget!G40)),"")</f>
        <v>0.25774</v>
      </c>
      <c r="V34" s="133" t="n">
        <f aca="false">Budget!H40</f>
        <v>-1000</v>
      </c>
      <c r="W34" s="133" t="n">
        <f aca="false">IF(OR(6&gt;$B$3,ISBLANK(Actuals!H40)),"",Actuals!H40)</f>
        <v>-3372.74</v>
      </c>
      <c r="X34" s="134" t="n">
        <f aca="false">IF(OR(6&gt;$B$3,ISBLANK(Actuals!H40)),"",Budget!H40-Actuals!H40)</f>
        <v>2372.74</v>
      </c>
      <c r="Y34" s="134" t="n">
        <f aca="false">IFERROR(IF(OR(6&gt;$B$3,ISBLANK(Actuals!H40)),"",(Budget!H40-Actuals!H40)/ABS(Budget!H40)),"")</f>
        <v>2.37274</v>
      </c>
      <c r="Z34" s="133" t="n">
        <f aca="false">Budget!I40</f>
        <v>-1020</v>
      </c>
      <c r="AA34" s="133" t="n">
        <f aca="false">IF(OR(7&gt;$B$3,ISBLANK(Actuals!I40)),"",Actuals!I40)</f>
        <v>-1434.83</v>
      </c>
      <c r="AB34" s="134" t="n">
        <f aca="false">IF(OR(7&gt;$B$3,ISBLANK(Actuals!I40)),"",Budget!I40-Actuals!I40)</f>
        <v>414.83</v>
      </c>
      <c r="AC34" s="134" t="n">
        <f aca="false">IFERROR(IF(OR(7&gt;$B$3,ISBLANK(Actuals!I40)),"",(Budget!I40-Actuals!I40)/ABS(Budget!I40)),"")</f>
        <v>0.406696078431372</v>
      </c>
      <c r="AD34" s="133" t="n">
        <f aca="false">Budget!J40</f>
        <v>-1020</v>
      </c>
      <c r="AE34" s="133" t="n">
        <f aca="false">IF(OR(8&gt;$B$3,ISBLANK(Actuals!J40)),"",Actuals!J40)</f>
        <v>-3520.23</v>
      </c>
      <c r="AF34" s="134" t="n">
        <f aca="false">IF(OR(8&gt;$B$3,ISBLANK(Actuals!J40)),"",Budget!J40-Actuals!J40)</f>
        <v>2500.23</v>
      </c>
      <c r="AG34" s="134" t="n">
        <f aca="false">IFERROR(IF(OR(8&gt;$B$3,ISBLANK(Actuals!J40)),"",(Budget!J40-Actuals!J40)/ABS(Budget!J40)),"")</f>
        <v>2.45120588235294</v>
      </c>
      <c r="AH34" s="133" t="n">
        <f aca="false">Budget!K40</f>
        <v>-1020</v>
      </c>
      <c r="AI34" s="133" t="str">
        <f aca="false">IF(OR(9&gt;$B$3,ISBLANK(Actuals!K40)),"",Actuals!K40)</f>
        <v/>
      </c>
      <c r="AJ34" s="134" t="str">
        <f aca="false">IF(OR(9&gt;$B$3,ISBLANK(Actuals!K40)),"",Budget!K40-Actuals!K40)</f>
        <v/>
      </c>
      <c r="AK34" s="134" t="str">
        <f aca="false">IFERROR(IF(OR(9&gt;$B$3,ISBLANK(Actuals!K40)),"",(Budget!K40-Actuals!K40)/ABS(Budget!K40)),"")</f>
        <v/>
      </c>
      <c r="AL34" s="133" t="n">
        <f aca="false">Budget!L40</f>
        <v>-1020</v>
      </c>
      <c r="AM34" s="133" t="str">
        <f aca="false">IF(OR(10&gt;$B$3,ISBLANK(Actuals!L40)),"",Actuals!L40)</f>
        <v/>
      </c>
      <c r="AN34" s="134" t="str">
        <f aca="false">IF(OR(10&gt;$B$3,ISBLANK(Actuals!L40)),"",Budget!L40-Actuals!L40)</f>
        <v/>
      </c>
      <c r="AO34" s="134" t="str">
        <f aca="false">IFERROR(IF(OR(10&gt;$B$3,ISBLANK(Actuals!L40)),"",(Budget!L40-Actuals!L40)/ABS(Budget!L40)),"")</f>
        <v/>
      </c>
      <c r="AP34" s="133" t="n">
        <f aca="false">Budget!M40</f>
        <v>-1020</v>
      </c>
      <c r="AQ34" s="133" t="str">
        <f aca="false">IF(OR(11&gt;$B$3,ISBLANK(Actuals!M40)),"",Actuals!M40)</f>
        <v/>
      </c>
      <c r="AR34" s="134" t="str">
        <f aca="false">IF(OR(11&gt;$B$3,ISBLANK(Actuals!M40)),"",Budget!M40-Actuals!M40)</f>
        <v/>
      </c>
      <c r="AS34" s="134" t="str">
        <f aca="false">IFERROR(IF(OR(11&gt;$B$3,ISBLANK(Actuals!M40)),"",(Budget!M40-Actuals!M40)/ABS(Budget!M40)),"")</f>
        <v/>
      </c>
      <c r="AT34" s="133" t="n">
        <f aca="false">Budget!N40</f>
        <v>-1020</v>
      </c>
      <c r="AU34" s="133" t="str">
        <f aca="false">IF(OR(12&gt;$B$3,ISBLANK(Actuals!N40)),"",Actuals!N40)</f>
        <v/>
      </c>
      <c r="AV34" s="134" t="str">
        <f aca="false">IF(OR(12&gt;$B$3,ISBLANK(Actuals!N40)),"",Budget!N40-Actuals!N40)</f>
        <v/>
      </c>
      <c r="AW34" s="134" t="str">
        <f aca="false">IFERROR(IF(OR(12&gt;$B$3,ISBLANK(Actuals!N40)),"",(Budget!N40-Actuals!N40)/ABS(Budget!N40)),"")</f>
        <v/>
      </c>
      <c r="AX34" s="135" t="n">
        <f aca="false">SUMPRODUCT((Actuals!C40:N40&lt;&gt;"")*(Budget!C40:N40))</f>
        <v>-8040</v>
      </c>
      <c r="AY34" s="135" t="n">
        <f aca="false">SUM(Actuals!C40:N40)</f>
        <v>-18859.3</v>
      </c>
      <c r="AZ34" s="136" t="n">
        <f aca="false">AX34-AY34</f>
        <v>10819.3</v>
      </c>
    </row>
    <row r="35" customFormat="false" ht="15" hidden="false" customHeight="true" outlineLevel="0" collapsed="false">
      <c r="A35" s="132" t="s">
        <v>84</v>
      </c>
      <c r="B35" s="133" t="n">
        <f aca="false">Budget!C41</f>
        <v>0</v>
      </c>
      <c r="C35" s="133" t="n">
        <f aca="false">IF(OR(1&gt;$B$3,ISBLANK(Actuals!C41)),"",Actuals!C41)</f>
        <v>0</v>
      </c>
      <c r="D35" s="134" t="n">
        <f aca="false">IF(OR(1&gt;$B$3,ISBLANK(Actuals!C41)),"",Budget!C41-Actuals!C41)</f>
        <v>0</v>
      </c>
      <c r="E35" s="134" t="str">
        <f aca="false">IFERROR(IF(OR(1&gt;$B$3,ISBLANK(Actuals!C41)),"",(Budget!C41-Actuals!C41)/ABS(Budget!C41)),"")</f>
        <v/>
      </c>
      <c r="F35" s="133" t="n">
        <f aca="false">Budget!D41</f>
        <v>0</v>
      </c>
      <c r="G35" s="133" t="n">
        <f aca="false">IF(OR(2&gt;$B$3,ISBLANK(Actuals!D41)),"",Actuals!D41)</f>
        <v>0</v>
      </c>
      <c r="H35" s="134" t="n">
        <f aca="false">IF(OR(2&gt;$B$3,ISBLANK(Actuals!D41)),"",Budget!D41-Actuals!D41)</f>
        <v>0</v>
      </c>
      <c r="I35" s="134" t="str">
        <f aca="false">IFERROR(IF(OR(2&gt;$B$3,ISBLANK(Actuals!D41)),"",(Budget!D41-Actuals!D41)/ABS(Budget!D41)),"")</f>
        <v/>
      </c>
      <c r="J35" s="133" t="n">
        <f aca="false">Budget!E41</f>
        <v>0</v>
      </c>
      <c r="K35" s="133" t="n">
        <f aca="false">IF(OR(3&gt;$B$3,ISBLANK(Actuals!E41)),"",Actuals!E41)</f>
        <v>-41990</v>
      </c>
      <c r="L35" s="134" t="n">
        <f aca="false">IF(OR(3&gt;$B$3,ISBLANK(Actuals!E41)),"",Budget!E41-Actuals!E41)</f>
        <v>41990</v>
      </c>
      <c r="M35" s="134" t="str">
        <f aca="false">IFERROR(IF(OR(3&gt;$B$3,ISBLANK(Actuals!E41)),"",(Budget!E41-Actuals!E41)/ABS(Budget!E41)),"")</f>
        <v/>
      </c>
      <c r="N35" s="133" t="n">
        <f aca="false">Budget!F41</f>
        <v>0</v>
      </c>
      <c r="O35" s="133" t="n">
        <f aca="false">IF(OR(4&gt;$B$3,ISBLANK(Actuals!F41)),"",Actuals!F41)</f>
        <v>-42500</v>
      </c>
      <c r="P35" s="134" t="n">
        <f aca="false">IF(OR(4&gt;$B$3,ISBLANK(Actuals!F41)),"",Budget!F41-Actuals!F41)</f>
        <v>42500</v>
      </c>
      <c r="Q35" s="134" t="str">
        <f aca="false">IFERROR(IF(OR(4&gt;$B$3,ISBLANK(Actuals!F41)),"",(Budget!F41-Actuals!F41)/ABS(Budget!F41)),"")</f>
        <v/>
      </c>
      <c r="R35" s="133" t="n">
        <f aca="false">Budget!G41</f>
        <v>0</v>
      </c>
      <c r="S35" s="133" t="n">
        <f aca="false">IF(OR(5&gt;$B$3,ISBLANK(Actuals!G41)),"",Actuals!G41)</f>
        <v>-21000</v>
      </c>
      <c r="T35" s="134" t="n">
        <f aca="false">IF(OR(5&gt;$B$3,ISBLANK(Actuals!G41)),"",Budget!G41-Actuals!G41)</f>
        <v>21000</v>
      </c>
      <c r="U35" s="134" t="str">
        <f aca="false">IFERROR(IF(OR(5&gt;$B$3,ISBLANK(Actuals!G41)),"",(Budget!G41-Actuals!G41)/ABS(Budget!G41)),"")</f>
        <v/>
      </c>
      <c r="V35" s="133" t="n">
        <f aca="false">Budget!H41</f>
        <v>0</v>
      </c>
      <c r="W35" s="133" t="n">
        <f aca="false">IF(OR(6&gt;$B$3,ISBLANK(Actuals!H41)),"",Actuals!H41)</f>
        <v>0</v>
      </c>
      <c r="X35" s="134" t="n">
        <f aca="false">IF(OR(6&gt;$B$3,ISBLANK(Actuals!H41)),"",Budget!H41-Actuals!H41)</f>
        <v>0</v>
      </c>
      <c r="Y35" s="134" t="str">
        <f aca="false">IFERROR(IF(OR(6&gt;$B$3,ISBLANK(Actuals!H41)),"",(Budget!H41-Actuals!H41)/ABS(Budget!H41)),"")</f>
        <v/>
      </c>
      <c r="Z35" s="133" t="n">
        <f aca="false">Budget!I41</f>
        <v>0</v>
      </c>
      <c r="AA35" s="133" t="n">
        <f aca="false">IF(OR(7&gt;$B$3,ISBLANK(Actuals!I41)),"",Actuals!I41)</f>
        <v>0</v>
      </c>
      <c r="AB35" s="134" t="n">
        <f aca="false">IF(OR(7&gt;$B$3,ISBLANK(Actuals!I41)),"",Budget!I41-Actuals!I41)</f>
        <v>0</v>
      </c>
      <c r="AC35" s="134" t="str">
        <f aca="false">IFERROR(IF(OR(7&gt;$B$3,ISBLANK(Actuals!I41)),"",(Budget!I41-Actuals!I41)/ABS(Budget!I41)),"")</f>
        <v/>
      </c>
      <c r="AD35" s="133" t="n">
        <f aca="false">Budget!J41</f>
        <v>0</v>
      </c>
      <c r="AE35" s="133" t="n">
        <f aca="false">IF(OR(8&gt;$B$3,ISBLANK(Actuals!J41)),"",Actuals!J41)</f>
        <v>0</v>
      </c>
      <c r="AF35" s="134" t="n">
        <f aca="false">IF(OR(8&gt;$B$3,ISBLANK(Actuals!J41)),"",Budget!J41-Actuals!J41)</f>
        <v>0</v>
      </c>
      <c r="AG35" s="134" t="str">
        <f aca="false">IFERROR(IF(OR(8&gt;$B$3,ISBLANK(Actuals!J41)),"",(Budget!J41-Actuals!J41)/ABS(Budget!J41)),"")</f>
        <v/>
      </c>
      <c r="AH35" s="133" t="n">
        <f aca="false">Budget!K41</f>
        <v>0</v>
      </c>
      <c r="AI35" s="133" t="str">
        <f aca="false">IF(OR(9&gt;$B$3,ISBLANK(Actuals!K41)),"",Actuals!K41)</f>
        <v/>
      </c>
      <c r="AJ35" s="134" t="str">
        <f aca="false">IF(OR(9&gt;$B$3,ISBLANK(Actuals!K41)),"",Budget!K41-Actuals!K41)</f>
        <v/>
      </c>
      <c r="AK35" s="134" t="str">
        <f aca="false">IFERROR(IF(OR(9&gt;$B$3,ISBLANK(Actuals!K41)),"",(Budget!K41-Actuals!K41)/ABS(Budget!K41)),"")</f>
        <v/>
      </c>
      <c r="AL35" s="133" t="n">
        <f aca="false">Budget!L41</f>
        <v>0</v>
      </c>
      <c r="AM35" s="133" t="str">
        <f aca="false">IF(OR(10&gt;$B$3,ISBLANK(Actuals!L41)),"",Actuals!L41)</f>
        <v/>
      </c>
      <c r="AN35" s="134" t="str">
        <f aca="false">IF(OR(10&gt;$B$3,ISBLANK(Actuals!L41)),"",Budget!L41-Actuals!L41)</f>
        <v/>
      </c>
      <c r="AO35" s="134" t="str">
        <f aca="false">IFERROR(IF(OR(10&gt;$B$3,ISBLANK(Actuals!L41)),"",(Budget!L41-Actuals!L41)/ABS(Budget!L41)),"")</f>
        <v/>
      </c>
      <c r="AP35" s="133" t="n">
        <f aca="false">Budget!M41</f>
        <v>0</v>
      </c>
      <c r="AQ35" s="133" t="str">
        <f aca="false">IF(OR(11&gt;$B$3,ISBLANK(Actuals!M41)),"",Actuals!M41)</f>
        <v/>
      </c>
      <c r="AR35" s="134" t="str">
        <f aca="false">IF(OR(11&gt;$B$3,ISBLANK(Actuals!M41)),"",Budget!M41-Actuals!M41)</f>
        <v/>
      </c>
      <c r="AS35" s="134" t="str">
        <f aca="false">IFERROR(IF(OR(11&gt;$B$3,ISBLANK(Actuals!M41)),"",(Budget!M41-Actuals!M41)/ABS(Budget!M41)),"")</f>
        <v/>
      </c>
      <c r="AT35" s="133" t="n">
        <f aca="false">Budget!N41</f>
        <v>0</v>
      </c>
      <c r="AU35" s="133" t="str">
        <f aca="false">IF(OR(12&gt;$B$3,ISBLANK(Actuals!N41)),"",Actuals!N41)</f>
        <v/>
      </c>
      <c r="AV35" s="134" t="str">
        <f aca="false">IF(OR(12&gt;$B$3,ISBLANK(Actuals!N41)),"",Budget!N41-Actuals!N41)</f>
        <v/>
      </c>
      <c r="AW35" s="134" t="str">
        <f aca="false">IFERROR(IF(OR(12&gt;$B$3,ISBLANK(Actuals!N41)),"",(Budget!N41-Actuals!N41)/ABS(Budget!N41)),"")</f>
        <v/>
      </c>
      <c r="AX35" s="135" t="n">
        <f aca="false">SUMPRODUCT((Actuals!C41:N41&lt;&gt;"")*(Budget!C41:N41))</f>
        <v>0</v>
      </c>
      <c r="AY35" s="135" t="n">
        <f aca="false">SUM(Actuals!C41:N41)</f>
        <v>-105490</v>
      </c>
      <c r="AZ35" s="136" t="n">
        <f aca="false">AX35-AY35</f>
        <v>105490</v>
      </c>
    </row>
    <row r="36" customFormat="false" ht="15" hidden="false" customHeight="true" outlineLevel="0" collapsed="false">
      <c r="A36" s="132" t="s">
        <v>85</v>
      </c>
      <c r="B36" s="133" t="n">
        <f aca="false">Budget!C42</f>
        <v>0</v>
      </c>
      <c r="C36" s="133" t="n">
        <f aca="false">IF(OR(1&gt;$B$3,ISBLANK(Actuals!C42)),"",Actuals!C42)</f>
        <v>-165</v>
      </c>
      <c r="D36" s="134" t="n">
        <f aca="false">IF(OR(1&gt;$B$3,ISBLANK(Actuals!C42)),"",Budget!C42-Actuals!C42)</f>
        <v>165</v>
      </c>
      <c r="E36" s="134" t="str">
        <f aca="false">IFERROR(IF(OR(1&gt;$B$3,ISBLANK(Actuals!C42)),"",(Budget!C42-Actuals!C42)/ABS(Budget!C42)),"")</f>
        <v/>
      </c>
      <c r="F36" s="133" t="n">
        <f aca="false">Budget!D42</f>
        <v>0</v>
      </c>
      <c r="G36" s="133" t="n">
        <f aca="false">IF(OR(2&gt;$B$3,ISBLANK(Actuals!D42)),"",Actuals!D42)</f>
        <v>0</v>
      </c>
      <c r="H36" s="134" t="n">
        <f aca="false">IF(OR(2&gt;$B$3,ISBLANK(Actuals!D42)),"",Budget!D42-Actuals!D42)</f>
        <v>0</v>
      </c>
      <c r="I36" s="134" t="str">
        <f aca="false">IFERROR(IF(OR(2&gt;$B$3,ISBLANK(Actuals!D42)),"",(Budget!D42-Actuals!D42)/ABS(Budget!D42)),"")</f>
        <v/>
      </c>
      <c r="J36" s="133" t="n">
        <f aca="false">Budget!E42</f>
        <v>0</v>
      </c>
      <c r="K36" s="133" t="n">
        <f aca="false">IF(OR(3&gt;$B$3,ISBLANK(Actuals!E42)),"",Actuals!E42)</f>
        <v>0</v>
      </c>
      <c r="L36" s="134" t="n">
        <f aca="false">IF(OR(3&gt;$B$3,ISBLANK(Actuals!E42)),"",Budget!E42-Actuals!E42)</f>
        <v>0</v>
      </c>
      <c r="M36" s="134" t="str">
        <f aca="false">IFERROR(IF(OR(3&gt;$B$3,ISBLANK(Actuals!E42)),"",(Budget!E42-Actuals!E42)/ABS(Budget!E42)),"")</f>
        <v/>
      </c>
      <c r="N36" s="133" t="n">
        <f aca="false">Budget!F42</f>
        <v>0</v>
      </c>
      <c r="O36" s="133" t="n">
        <f aca="false">IF(OR(4&gt;$B$3,ISBLANK(Actuals!F42)),"",Actuals!F42)</f>
        <v>-165</v>
      </c>
      <c r="P36" s="134" t="n">
        <f aca="false">IF(OR(4&gt;$B$3,ISBLANK(Actuals!F42)),"",Budget!F42-Actuals!F42)</f>
        <v>165</v>
      </c>
      <c r="Q36" s="134" t="str">
        <f aca="false">IFERROR(IF(OR(4&gt;$B$3,ISBLANK(Actuals!F42)),"",(Budget!F42-Actuals!F42)/ABS(Budget!F42)),"")</f>
        <v/>
      </c>
      <c r="R36" s="133" t="n">
        <f aca="false">Budget!G42</f>
        <v>0</v>
      </c>
      <c r="S36" s="133" t="n">
        <f aca="false">IF(OR(5&gt;$B$3,ISBLANK(Actuals!G42)),"",Actuals!G42)</f>
        <v>0</v>
      </c>
      <c r="T36" s="134" t="n">
        <f aca="false">IF(OR(5&gt;$B$3,ISBLANK(Actuals!G42)),"",Budget!G42-Actuals!G42)</f>
        <v>0</v>
      </c>
      <c r="U36" s="134" t="str">
        <f aca="false">IFERROR(IF(OR(5&gt;$B$3,ISBLANK(Actuals!G42)),"",(Budget!G42-Actuals!G42)/ABS(Budget!G42)),"")</f>
        <v/>
      </c>
      <c r="V36" s="133" t="n">
        <f aca="false">Budget!H42</f>
        <v>0</v>
      </c>
      <c r="W36" s="133" t="n">
        <f aca="false">IF(OR(6&gt;$B$3,ISBLANK(Actuals!H42)),"",Actuals!H42)</f>
        <v>-165</v>
      </c>
      <c r="X36" s="134" t="n">
        <f aca="false">IF(OR(6&gt;$B$3,ISBLANK(Actuals!H42)),"",Budget!H42-Actuals!H42)</f>
        <v>165</v>
      </c>
      <c r="Y36" s="134" t="str">
        <f aca="false">IFERROR(IF(OR(6&gt;$B$3,ISBLANK(Actuals!H42)),"",(Budget!H42-Actuals!H42)/ABS(Budget!H42)),"")</f>
        <v/>
      </c>
      <c r="Z36" s="133" t="n">
        <f aca="false">Budget!I42</f>
        <v>0</v>
      </c>
      <c r="AA36" s="133" t="n">
        <f aca="false">IF(OR(7&gt;$B$3,ISBLANK(Actuals!I42)),"",Actuals!I42)</f>
        <v>0</v>
      </c>
      <c r="AB36" s="134" t="n">
        <f aca="false">IF(OR(7&gt;$B$3,ISBLANK(Actuals!I42)),"",Budget!I42-Actuals!I42)</f>
        <v>0</v>
      </c>
      <c r="AC36" s="134" t="str">
        <f aca="false">IFERROR(IF(OR(7&gt;$B$3,ISBLANK(Actuals!I42)),"",(Budget!I42-Actuals!I42)/ABS(Budget!I42)),"")</f>
        <v/>
      </c>
      <c r="AD36" s="133" t="n">
        <f aca="false">Budget!J42</f>
        <v>0</v>
      </c>
      <c r="AE36" s="133" t="n">
        <f aca="false">IF(OR(8&gt;$B$3,ISBLANK(Actuals!J42)),"",Actuals!J42)</f>
        <v>0</v>
      </c>
      <c r="AF36" s="134" t="n">
        <f aca="false">IF(OR(8&gt;$B$3,ISBLANK(Actuals!J42)),"",Budget!J42-Actuals!J42)</f>
        <v>0</v>
      </c>
      <c r="AG36" s="134" t="str">
        <f aca="false">IFERROR(IF(OR(8&gt;$B$3,ISBLANK(Actuals!J42)),"",(Budget!J42-Actuals!J42)/ABS(Budget!J42)),"")</f>
        <v/>
      </c>
      <c r="AH36" s="133" t="n">
        <f aca="false">Budget!K42</f>
        <v>0</v>
      </c>
      <c r="AI36" s="133" t="str">
        <f aca="false">IF(OR(9&gt;$B$3,ISBLANK(Actuals!K42)),"",Actuals!K42)</f>
        <v/>
      </c>
      <c r="AJ36" s="134" t="str">
        <f aca="false">IF(OR(9&gt;$B$3,ISBLANK(Actuals!K42)),"",Budget!K42-Actuals!K42)</f>
        <v/>
      </c>
      <c r="AK36" s="134" t="str">
        <f aca="false">IFERROR(IF(OR(9&gt;$B$3,ISBLANK(Actuals!K42)),"",(Budget!K42-Actuals!K42)/ABS(Budget!K42)),"")</f>
        <v/>
      </c>
      <c r="AL36" s="133" t="n">
        <f aca="false">Budget!L42</f>
        <v>0</v>
      </c>
      <c r="AM36" s="133" t="str">
        <f aca="false">IF(OR(10&gt;$B$3,ISBLANK(Actuals!L42)),"",Actuals!L42)</f>
        <v/>
      </c>
      <c r="AN36" s="134" t="str">
        <f aca="false">IF(OR(10&gt;$B$3,ISBLANK(Actuals!L42)),"",Budget!L42-Actuals!L42)</f>
        <v/>
      </c>
      <c r="AO36" s="134" t="str">
        <f aca="false">IFERROR(IF(OR(10&gt;$B$3,ISBLANK(Actuals!L42)),"",(Budget!L42-Actuals!L42)/ABS(Budget!L42)),"")</f>
        <v/>
      </c>
      <c r="AP36" s="133" t="n">
        <f aca="false">Budget!M42</f>
        <v>0</v>
      </c>
      <c r="AQ36" s="133" t="str">
        <f aca="false">IF(OR(11&gt;$B$3,ISBLANK(Actuals!M42)),"",Actuals!M42)</f>
        <v/>
      </c>
      <c r="AR36" s="134" t="str">
        <f aca="false">IF(OR(11&gt;$B$3,ISBLANK(Actuals!M42)),"",Budget!M42-Actuals!M42)</f>
        <v/>
      </c>
      <c r="AS36" s="134" t="str">
        <f aca="false">IFERROR(IF(OR(11&gt;$B$3,ISBLANK(Actuals!M42)),"",(Budget!M42-Actuals!M42)/ABS(Budget!M42)),"")</f>
        <v/>
      </c>
      <c r="AT36" s="133" t="n">
        <f aca="false">Budget!N42</f>
        <v>0</v>
      </c>
      <c r="AU36" s="133" t="str">
        <f aca="false">IF(OR(12&gt;$B$3,ISBLANK(Actuals!N42)),"",Actuals!N42)</f>
        <v/>
      </c>
      <c r="AV36" s="134" t="str">
        <f aca="false">IF(OR(12&gt;$B$3,ISBLANK(Actuals!N42)),"",Budget!N42-Actuals!N42)</f>
        <v/>
      </c>
      <c r="AW36" s="134" t="str">
        <f aca="false">IFERROR(IF(OR(12&gt;$B$3,ISBLANK(Actuals!N42)),"",(Budget!N42-Actuals!N42)/ABS(Budget!N42)),"")</f>
        <v/>
      </c>
      <c r="AX36" s="135" t="n">
        <f aca="false">SUMPRODUCT((Actuals!C42:N42&lt;&gt;"")*(Budget!C42:N42))</f>
        <v>0</v>
      </c>
      <c r="AY36" s="135" t="n">
        <f aca="false">SUM(Actuals!C42:N42)</f>
        <v>-495</v>
      </c>
      <c r="AZ36" s="136" t="n">
        <f aca="false">AX36-AY36</f>
        <v>495</v>
      </c>
    </row>
    <row r="37" customFormat="false" ht="15" hidden="false" customHeight="true" outlineLevel="0" collapsed="false">
      <c r="A37" s="132" t="s">
        <v>86</v>
      </c>
      <c r="B37" s="133" t="n">
        <f aca="false">Budget!C43</f>
        <v>0</v>
      </c>
      <c r="C37" s="133" t="n">
        <f aca="false">IF(OR(1&gt;$B$3,ISBLANK(Actuals!C43)),"",Actuals!C43)</f>
        <v>0</v>
      </c>
      <c r="D37" s="134" t="n">
        <f aca="false">IF(OR(1&gt;$B$3,ISBLANK(Actuals!C43)),"",Budget!C43-Actuals!C43)</f>
        <v>0</v>
      </c>
      <c r="E37" s="134" t="str">
        <f aca="false">IFERROR(IF(OR(1&gt;$B$3,ISBLANK(Actuals!C43)),"",(Budget!C43-Actuals!C43)/ABS(Budget!C43)),"")</f>
        <v/>
      </c>
      <c r="F37" s="133" t="n">
        <f aca="false">Budget!D43</f>
        <v>0</v>
      </c>
      <c r="G37" s="133" t="n">
        <f aca="false">IF(OR(2&gt;$B$3,ISBLANK(Actuals!D43)),"",Actuals!D43)</f>
        <v>0</v>
      </c>
      <c r="H37" s="134" t="n">
        <f aca="false">IF(OR(2&gt;$B$3,ISBLANK(Actuals!D43)),"",Budget!D43-Actuals!D43)</f>
        <v>0</v>
      </c>
      <c r="I37" s="134" t="str">
        <f aca="false">IFERROR(IF(OR(2&gt;$B$3,ISBLANK(Actuals!D43)),"",(Budget!D43-Actuals!D43)/ABS(Budget!D43)),"")</f>
        <v/>
      </c>
      <c r="J37" s="133" t="n">
        <f aca="false">Budget!E43</f>
        <v>0</v>
      </c>
      <c r="K37" s="133" t="n">
        <f aca="false">IF(OR(3&gt;$B$3,ISBLANK(Actuals!E43)),"",Actuals!E43)</f>
        <v>0</v>
      </c>
      <c r="L37" s="134" t="n">
        <f aca="false">IF(OR(3&gt;$B$3,ISBLANK(Actuals!E43)),"",Budget!E43-Actuals!E43)</f>
        <v>0</v>
      </c>
      <c r="M37" s="134" t="str">
        <f aca="false">IFERROR(IF(OR(3&gt;$B$3,ISBLANK(Actuals!E43)),"",(Budget!E43-Actuals!E43)/ABS(Budget!E43)),"")</f>
        <v/>
      </c>
      <c r="N37" s="133" t="n">
        <f aca="false">Budget!F43</f>
        <v>0</v>
      </c>
      <c r="O37" s="133" t="n">
        <f aca="false">IF(OR(4&gt;$B$3,ISBLANK(Actuals!F43)),"",Actuals!F43)</f>
        <v>-1036.49</v>
      </c>
      <c r="P37" s="134" t="n">
        <f aca="false">IF(OR(4&gt;$B$3,ISBLANK(Actuals!F43)),"",Budget!F43-Actuals!F43)</f>
        <v>1036.49</v>
      </c>
      <c r="Q37" s="134" t="str">
        <f aca="false">IFERROR(IF(OR(4&gt;$B$3,ISBLANK(Actuals!F43)),"",(Budget!F43-Actuals!F43)/ABS(Budget!F43)),"")</f>
        <v/>
      </c>
      <c r="R37" s="133" t="n">
        <f aca="false">Budget!G43</f>
        <v>0</v>
      </c>
      <c r="S37" s="133" t="n">
        <f aca="false">IF(OR(5&gt;$B$3,ISBLANK(Actuals!G43)),"",Actuals!G43)</f>
        <v>0</v>
      </c>
      <c r="T37" s="134" t="n">
        <f aca="false">IF(OR(5&gt;$B$3,ISBLANK(Actuals!G43)),"",Budget!G43-Actuals!G43)</f>
        <v>0</v>
      </c>
      <c r="U37" s="134" t="str">
        <f aca="false">IFERROR(IF(OR(5&gt;$B$3,ISBLANK(Actuals!G43)),"",(Budget!G43-Actuals!G43)/ABS(Budget!G43)),"")</f>
        <v/>
      </c>
      <c r="V37" s="133" t="n">
        <f aca="false">Budget!H43</f>
        <v>0</v>
      </c>
      <c r="W37" s="133" t="n">
        <f aca="false">IF(OR(6&gt;$B$3,ISBLANK(Actuals!H43)),"",Actuals!H43)</f>
        <v>-4308.58</v>
      </c>
      <c r="X37" s="134" t="n">
        <f aca="false">IF(OR(6&gt;$B$3,ISBLANK(Actuals!H43)),"",Budget!H43-Actuals!H43)</f>
        <v>4308.58</v>
      </c>
      <c r="Y37" s="134" t="str">
        <f aca="false">IFERROR(IF(OR(6&gt;$B$3,ISBLANK(Actuals!H43)),"",(Budget!H43-Actuals!H43)/ABS(Budget!H43)),"")</f>
        <v/>
      </c>
      <c r="Z37" s="133" t="n">
        <f aca="false">Budget!I43</f>
        <v>0</v>
      </c>
      <c r="AA37" s="133" t="n">
        <f aca="false">IF(OR(7&gt;$B$3,ISBLANK(Actuals!I43)),"",Actuals!I43)</f>
        <v>-362.98</v>
      </c>
      <c r="AB37" s="134" t="n">
        <f aca="false">IF(OR(7&gt;$B$3,ISBLANK(Actuals!I43)),"",Budget!I43-Actuals!I43)</f>
        <v>362.98</v>
      </c>
      <c r="AC37" s="134" t="str">
        <f aca="false">IFERROR(IF(OR(7&gt;$B$3,ISBLANK(Actuals!I43)),"",(Budget!I43-Actuals!I43)/ABS(Budget!I43)),"")</f>
        <v/>
      </c>
      <c r="AD37" s="133" t="n">
        <f aca="false">Budget!J43</f>
        <v>0</v>
      </c>
      <c r="AE37" s="133" t="n">
        <f aca="false">IF(OR(8&gt;$B$3,ISBLANK(Actuals!J43)),"",Actuals!J43)</f>
        <v>0</v>
      </c>
      <c r="AF37" s="134" t="n">
        <f aca="false">IF(OR(8&gt;$B$3,ISBLANK(Actuals!J43)),"",Budget!J43-Actuals!J43)</f>
        <v>0</v>
      </c>
      <c r="AG37" s="134" t="str">
        <f aca="false">IFERROR(IF(OR(8&gt;$B$3,ISBLANK(Actuals!J43)),"",(Budget!J43-Actuals!J43)/ABS(Budget!J43)),"")</f>
        <v/>
      </c>
      <c r="AH37" s="133" t="n">
        <f aca="false">Budget!K43</f>
        <v>0</v>
      </c>
      <c r="AI37" s="133" t="str">
        <f aca="false">IF(OR(9&gt;$B$3,ISBLANK(Actuals!K43)),"",Actuals!K43)</f>
        <v/>
      </c>
      <c r="AJ37" s="134" t="str">
        <f aca="false">IF(OR(9&gt;$B$3,ISBLANK(Actuals!K43)),"",Budget!K43-Actuals!K43)</f>
        <v/>
      </c>
      <c r="AK37" s="134" t="str">
        <f aca="false">IFERROR(IF(OR(9&gt;$B$3,ISBLANK(Actuals!K43)),"",(Budget!K43-Actuals!K43)/ABS(Budget!K43)),"")</f>
        <v/>
      </c>
      <c r="AL37" s="133" t="n">
        <f aca="false">Budget!L43</f>
        <v>0</v>
      </c>
      <c r="AM37" s="133" t="str">
        <f aca="false">IF(OR(10&gt;$B$3,ISBLANK(Actuals!L43)),"",Actuals!L43)</f>
        <v/>
      </c>
      <c r="AN37" s="134" t="str">
        <f aca="false">IF(OR(10&gt;$B$3,ISBLANK(Actuals!L43)),"",Budget!L43-Actuals!L43)</f>
        <v/>
      </c>
      <c r="AO37" s="134" t="str">
        <f aca="false">IFERROR(IF(OR(10&gt;$B$3,ISBLANK(Actuals!L43)),"",(Budget!L43-Actuals!L43)/ABS(Budget!L43)),"")</f>
        <v/>
      </c>
      <c r="AP37" s="133" t="n">
        <f aca="false">Budget!M43</f>
        <v>0</v>
      </c>
      <c r="AQ37" s="133" t="str">
        <f aca="false">IF(OR(11&gt;$B$3,ISBLANK(Actuals!M43)),"",Actuals!M43)</f>
        <v/>
      </c>
      <c r="AR37" s="134" t="str">
        <f aca="false">IF(OR(11&gt;$B$3,ISBLANK(Actuals!M43)),"",Budget!M43-Actuals!M43)</f>
        <v/>
      </c>
      <c r="AS37" s="134" t="str">
        <f aca="false">IFERROR(IF(OR(11&gt;$B$3,ISBLANK(Actuals!M43)),"",(Budget!M43-Actuals!M43)/ABS(Budget!M43)),"")</f>
        <v/>
      </c>
      <c r="AT37" s="133" t="n">
        <f aca="false">Budget!N43</f>
        <v>0</v>
      </c>
      <c r="AU37" s="133" t="str">
        <f aca="false">IF(OR(12&gt;$B$3,ISBLANK(Actuals!N43)),"",Actuals!N43)</f>
        <v/>
      </c>
      <c r="AV37" s="134" t="str">
        <f aca="false">IF(OR(12&gt;$B$3,ISBLANK(Actuals!N43)),"",Budget!N43-Actuals!N43)</f>
        <v/>
      </c>
      <c r="AW37" s="134" t="str">
        <f aca="false">IFERROR(IF(OR(12&gt;$B$3,ISBLANK(Actuals!N43)),"",(Budget!N43-Actuals!N43)/ABS(Budget!N43)),"")</f>
        <v/>
      </c>
      <c r="AX37" s="135" t="n">
        <f aca="false">SUMPRODUCT((Actuals!C43:N43&lt;&gt;"")*(Budget!C43:N43))</f>
        <v>0</v>
      </c>
      <c r="AY37" s="135" t="n">
        <f aca="false">SUM(Actuals!C43:N43)</f>
        <v>-5708.05</v>
      </c>
      <c r="AZ37" s="136" t="n">
        <f aca="false">AX37-AY37</f>
        <v>5708.05</v>
      </c>
    </row>
    <row r="38" customFormat="false" ht="15" hidden="false" customHeight="true" outlineLevel="0" collapsed="false">
      <c r="A38" s="132" t="s">
        <v>87</v>
      </c>
      <c r="B38" s="133" t="n">
        <f aca="false">Budget!C44</f>
        <v>0</v>
      </c>
      <c r="C38" s="133" t="n">
        <f aca="false">IF(OR(1&gt;$B$3,ISBLANK(Actuals!C44)),"",Actuals!C44)</f>
        <v>-550</v>
      </c>
      <c r="D38" s="134" t="n">
        <f aca="false">IF(OR(1&gt;$B$3,ISBLANK(Actuals!C44)),"",Budget!C44-Actuals!C44)</f>
        <v>550</v>
      </c>
      <c r="E38" s="134" t="str">
        <f aca="false">IFERROR(IF(OR(1&gt;$B$3,ISBLANK(Actuals!C44)),"",(Budget!C44-Actuals!C44)/ABS(Budget!C44)),"")</f>
        <v/>
      </c>
      <c r="F38" s="133" t="n">
        <f aca="false">Budget!D44</f>
        <v>0</v>
      </c>
      <c r="G38" s="133" t="n">
        <f aca="false">IF(OR(2&gt;$B$3,ISBLANK(Actuals!D44)),"",Actuals!D44)</f>
        <v>-550</v>
      </c>
      <c r="H38" s="134" t="n">
        <f aca="false">IF(OR(2&gt;$B$3,ISBLANK(Actuals!D44)),"",Budget!D44-Actuals!D44)</f>
        <v>550</v>
      </c>
      <c r="I38" s="134" t="str">
        <f aca="false">IFERROR(IF(OR(2&gt;$B$3,ISBLANK(Actuals!D44)),"",(Budget!D44-Actuals!D44)/ABS(Budget!D44)),"")</f>
        <v/>
      </c>
      <c r="J38" s="133" t="n">
        <f aca="false">Budget!E44</f>
        <v>0</v>
      </c>
      <c r="K38" s="133" t="n">
        <f aca="false">IF(OR(3&gt;$B$3,ISBLANK(Actuals!E44)),"",Actuals!E44)</f>
        <v>-550</v>
      </c>
      <c r="L38" s="134" t="n">
        <f aca="false">IF(OR(3&gt;$B$3,ISBLANK(Actuals!E44)),"",Budget!E44-Actuals!E44)</f>
        <v>550</v>
      </c>
      <c r="M38" s="134" t="str">
        <f aca="false">IFERROR(IF(OR(3&gt;$B$3,ISBLANK(Actuals!E44)),"",(Budget!E44-Actuals!E44)/ABS(Budget!E44)),"")</f>
        <v/>
      </c>
      <c r="N38" s="133" t="n">
        <f aca="false">Budget!F44</f>
        <v>0</v>
      </c>
      <c r="O38" s="133" t="n">
        <f aca="false">IF(OR(4&gt;$B$3,ISBLANK(Actuals!F44)),"",Actuals!F44)</f>
        <v>-600</v>
      </c>
      <c r="P38" s="134" t="n">
        <f aca="false">IF(OR(4&gt;$B$3,ISBLANK(Actuals!F44)),"",Budget!F44-Actuals!F44)</f>
        <v>600</v>
      </c>
      <c r="Q38" s="134" t="str">
        <f aca="false">IFERROR(IF(OR(4&gt;$B$3,ISBLANK(Actuals!F44)),"",(Budget!F44-Actuals!F44)/ABS(Budget!F44)),"")</f>
        <v/>
      </c>
      <c r="R38" s="133" t="n">
        <f aca="false">Budget!G44</f>
        <v>0</v>
      </c>
      <c r="S38" s="133" t="n">
        <f aca="false">IF(OR(5&gt;$B$3,ISBLANK(Actuals!G44)),"",Actuals!G44)</f>
        <v>-650</v>
      </c>
      <c r="T38" s="134" t="n">
        <f aca="false">IF(OR(5&gt;$B$3,ISBLANK(Actuals!G44)),"",Budget!G44-Actuals!G44)</f>
        <v>650</v>
      </c>
      <c r="U38" s="134" t="str">
        <f aca="false">IFERROR(IF(OR(5&gt;$B$3,ISBLANK(Actuals!G44)),"",(Budget!G44-Actuals!G44)/ABS(Budget!G44)),"")</f>
        <v/>
      </c>
      <c r="V38" s="133" t="n">
        <f aca="false">Budget!H44</f>
        <v>0</v>
      </c>
      <c r="W38" s="133" t="n">
        <f aca="false">IF(OR(6&gt;$B$3,ISBLANK(Actuals!H44)),"",Actuals!H44)</f>
        <v>-575</v>
      </c>
      <c r="X38" s="134" t="n">
        <f aca="false">IF(OR(6&gt;$B$3,ISBLANK(Actuals!H44)),"",Budget!H44-Actuals!H44)</f>
        <v>575</v>
      </c>
      <c r="Y38" s="134" t="str">
        <f aca="false">IFERROR(IF(OR(6&gt;$B$3,ISBLANK(Actuals!H44)),"",(Budget!H44-Actuals!H44)/ABS(Budget!H44)),"")</f>
        <v/>
      </c>
      <c r="Z38" s="133" t="n">
        <f aca="false">Budget!I44</f>
        <v>0</v>
      </c>
      <c r="AA38" s="133" t="n">
        <f aca="false">IF(OR(7&gt;$B$3,ISBLANK(Actuals!I44)),"",Actuals!I44)</f>
        <v>-1300</v>
      </c>
      <c r="AB38" s="134" t="n">
        <f aca="false">IF(OR(7&gt;$B$3,ISBLANK(Actuals!I44)),"",Budget!I44-Actuals!I44)</f>
        <v>1300</v>
      </c>
      <c r="AC38" s="134" t="str">
        <f aca="false">IFERROR(IF(OR(7&gt;$B$3,ISBLANK(Actuals!I44)),"",(Budget!I44-Actuals!I44)/ABS(Budget!I44)),"")</f>
        <v/>
      </c>
      <c r="AD38" s="133" t="n">
        <f aca="false">Budget!J44</f>
        <v>0</v>
      </c>
      <c r="AE38" s="133" t="n">
        <f aca="false">IF(OR(8&gt;$B$3,ISBLANK(Actuals!J44)),"",Actuals!J44)</f>
        <v>-325</v>
      </c>
      <c r="AF38" s="134" t="n">
        <f aca="false">IF(OR(8&gt;$B$3,ISBLANK(Actuals!J44)),"",Budget!J44-Actuals!J44)</f>
        <v>325</v>
      </c>
      <c r="AG38" s="134" t="str">
        <f aca="false">IFERROR(IF(OR(8&gt;$B$3,ISBLANK(Actuals!J44)),"",(Budget!J44-Actuals!J44)/ABS(Budget!J44)),"")</f>
        <v/>
      </c>
      <c r="AH38" s="133" t="n">
        <f aca="false">Budget!K44</f>
        <v>0</v>
      </c>
      <c r="AI38" s="133" t="str">
        <f aca="false">IF(OR(9&gt;$B$3,ISBLANK(Actuals!K44)),"",Actuals!K44)</f>
        <v/>
      </c>
      <c r="AJ38" s="134" t="str">
        <f aca="false">IF(OR(9&gt;$B$3,ISBLANK(Actuals!K44)),"",Budget!K44-Actuals!K44)</f>
        <v/>
      </c>
      <c r="AK38" s="134" t="str">
        <f aca="false">IFERROR(IF(OR(9&gt;$B$3,ISBLANK(Actuals!K44)),"",(Budget!K44-Actuals!K44)/ABS(Budget!K44)),"")</f>
        <v/>
      </c>
      <c r="AL38" s="133" t="n">
        <f aca="false">Budget!L44</f>
        <v>0</v>
      </c>
      <c r="AM38" s="133" t="str">
        <f aca="false">IF(OR(10&gt;$B$3,ISBLANK(Actuals!L44)),"",Actuals!L44)</f>
        <v/>
      </c>
      <c r="AN38" s="134" t="str">
        <f aca="false">IF(OR(10&gt;$B$3,ISBLANK(Actuals!L44)),"",Budget!L44-Actuals!L44)</f>
        <v/>
      </c>
      <c r="AO38" s="134" t="str">
        <f aca="false">IFERROR(IF(OR(10&gt;$B$3,ISBLANK(Actuals!L44)),"",(Budget!L44-Actuals!L44)/ABS(Budget!L44)),"")</f>
        <v/>
      </c>
      <c r="AP38" s="133" t="n">
        <f aca="false">Budget!M44</f>
        <v>0</v>
      </c>
      <c r="AQ38" s="133" t="str">
        <f aca="false">IF(OR(11&gt;$B$3,ISBLANK(Actuals!M44)),"",Actuals!M44)</f>
        <v/>
      </c>
      <c r="AR38" s="134" t="str">
        <f aca="false">IF(OR(11&gt;$B$3,ISBLANK(Actuals!M44)),"",Budget!M44-Actuals!M44)</f>
        <v/>
      </c>
      <c r="AS38" s="134" t="str">
        <f aca="false">IFERROR(IF(OR(11&gt;$B$3,ISBLANK(Actuals!M44)),"",(Budget!M44-Actuals!M44)/ABS(Budget!M44)),"")</f>
        <v/>
      </c>
      <c r="AT38" s="133" t="n">
        <f aca="false">Budget!N44</f>
        <v>0</v>
      </c>
      <c r="AU38" s="133" t="str">
        <f aca="false">IF(OR(12&gt;$B$3,ISBLANK(Actuals!N44)),"",Actuals!N44)</f>
        <v/>
      </c>
      <c r="AV38" s="134" t="str">
        <f aca="false">IF(OR(12&gt;$B$3,ISBLANK(Actuals!N44)),"",Budget!N44-Actuals!N44)</f>
        <v/>
      </c>
      <c r="AW38" s="134" t="str">
        <f aca="false">IFERROR(IF(OR(12&gt;$B$3,ISBLANK(Actuals!N44)),"",(Budget!N44-Actuals!N44)/ABS(Budget!N44)),"")</f>
        <v/>
      </c>
      <c r="AX38" s="135" t="n">
        <f aca="false">SUMPRODUCT((Actuals!C44:N44&lt;&gt;"")*(Budget!C44:N44))</f>
        <v>0</v>
      </c>
      <c r="AY38" s="135" t="n">
        <f aca="false">SUM(Actuals!C44:N44)</f>
        <v>-5100</v>
      </c>
      <c r="AZ38" s="136" t="n">
        <f aca="false">AX38-AY38</f>
        <v>5100</v>
      </c>
    </row>
    <row r="39" customFormat="false" ht="15" hidden="false" customHeight="true" outlineLevel="0" collapsed="false">
      <c r="A39" s="132" t="s">
        <v>88</v>
      </c>
      <c r="B39" s="133" t="n">
        <f aca="false">Budget!C45</f>
        <v>-4166.67</v>
      </c>
      <c r="C39" s="133" t="n">
        <f aca="false">IF(OR(1&gt;$B$3,ISBLANK(Actuals!C45)),"",Actuals!C45)</f>
        <v>-19223.75</v>
      </c>
      <c r="D39" s="134" t="n">
        <f aca="false">IF(OR(1&gt;$B$3,ISBLANK(Actuals!C45)),"",Budget!C45-Actuals!C45)</f>
        <v>15057.08</v>
      </c>
      <c r="E39" s="134" t="n">
        <f aca="false">IFERROR(IF(OR(1&gt;$B$3,ISBLANK(Actuals!C45)),"",(Budget!C45-Actuals!C45)/ABS(Budget!C45)),"")</f>
        <v>3.61369630904295</v>
      </c>
      <c r="F39" s="133" t="n">
        <f aca="false">Budget!D45</f>
        <v>-4166.67</v>
      </c>
      <c r="G39" s="133" t="n">
        <f aca="false">IF(OR(2&gt;$B$3,ISBLANK(Actuals!D45)),"",Actuals!D45)</f>
        <v>-13381.97</v>
      </c>
      <c r="H39" s="134" t="n">
        <f aca="false">IF(OR(2&gt;$B$3,ISBLANK(Actuals!D45)),"",Budget!D45-Actuals!D45)</f>
        <v>9215.3</v>
      </c>
      <c r="I39" s="134" t="n">
        <f aca="false">IFERROR(IF(OR(2&gt;$B$3,ISBLANK(Actuals!D45)),"",(Budget!D45-Actuals!D45)/ABS(Budget!D45)),"")</f>
        <v>2.21167023066382</v>
      </c>
      <c r="J39" s="133" t="n">
        <f aca="false">Budget!E45</f>
        <v>-4166.67</v>
      </c>
      <c r="K39" s="133" t="n">
        <f aca="false">IF(OR(3&gt;$B$3,ISBLANK(Actuals!E45)),"",Actuals!E45)</f>
        <v>-20308.69</v>
      </c>
      <c r="L39" s="134" t="n">
        <f aca="false">IF(OR(3&gt;$B$3,ISBLANK(Actuals!E45)),"",Budget!E45-Actuals!E45)</f>
        <v>16142.02</v>
      </c>
      <c r="M39" s="134" t="n">
        <f aca="false">IFERROR(IF(OR(3&gt;$B$3,ISBLANK(Actuals!E45)),"",(Budget!E45-Actuals!E45)/ABS(Budget!E45)),"")</f>
        <v>3.87408170073464</v>
      </c>
      <c r="N39" s="133" t="n">
        <f aca="false">Budget!F45</f>
        <v>-4166.67</v>
      </c>
      <c r="O39" s="133" t="n">
        <f aca="false">IF(OR(4&gt;$B$3,ISBLANK(Actuals!F45)),"",Actuals!F45)</f>
        <v>-16948.76</v>
      </c>
      <c r="P39" s="134" t="n">
        <f aca="false">IF(OR(4&gt;$B$3,ISBLANK(Actuals!F45)),"",Budget!F45-Actuals!F45)</f>
        <v>12782.09</v>
      </c>
      <c r="Q39" s="134" t="n">
        <f aca="false">IFERROR(IF(OR(4&gt;$B$3,ISBLANK(Actuals!F45)),"",(Budget!F45-Actuals!F45)/ABS(Budget!F45)),"")</f>
        <v>3.06769914584068</v>
      </c>
      <c r="R39" s="133" t="n">
        <f aca="false">Budget!G45</f>
        <v>-4166.67</v>
      </c>
      <c r="S39" s="133" t="n">
        <f aca="false">IF(OR(5&gt;$B$3,ISBLANK(Actuals!G45)),"",Actuals!G45)</f>
        <v>-29716.98</v>
      </c>
      <c r="T39" s="134" t="n">
        <f aca="false">IF(OR(5&gt;$B$3,ISBLANK(Actuals!G45)),"",Budget!G45-Actuals!G45)</f>
        <v>25550.31</v>
      </c>
      <c r="U39" s="134" t="n">
        <f aca="false">IFERROR(IF(OR(5&gt;$B$3,ISBLANK(Actuals!G45)),"",(Budget!G45-Actuals!G45)/ABS(Budget!G45)),"")</f>
        <v>6.1320694943444</v>
      </c>
      <c r="V39" s="133" t="n">
        <f aca="false">Budget!H45</f>
        <v>-4166.67</v>
      </c>
      <c r="W39" s="133" t="n">
        <f aca="false">IF(OR(6&gt;$B$3,ISBLANK(Actuals!H45)),"",Actuals!H45)</f>
        <v>-11335.64</v>
      </c>
      <c r="X39" s="134" t="n">
        <f aca="false">IF(OR(6&gt;$B$3,ISBLANK(Actuals!H45)),"",Budget!H45-Actuals!H45)</f>
        <v>7168.97</v>
      </c>
      <c r="Y39" s="134" t="n">
        <f aca="false">IFERROR(IF(OR(6&gt;$B$3,ISBLANK(Actuals!H45)),"",(Budget!H45-Actuals!H45)/ABS(Budget!H45)),"")</f>
        <v>1.72055142355886</v>
      </c>
      <c r="Z39" s="133" t="n">
        <f aca="false">Budget!I45</f>
        <v>-4250</v>
      </c>
      <c r="AA39" s="133" t="n">
        <f aca="false">IF(OR(7&gt;$B$3,ISBLANK(Actuals!I45)),"",Actuals!I45)</f>
        <v>-11387.12</v>
      </c>
      <c r="AB39" s="134" t="n">
        <f aca="false">IF(OR(7&gt;$B$3,ISBLANK(Actuals!I45)),"",Budget!I45-Actuals!I45)</f>
        <v>7137.12</v>
      </c>
      <c r="AC39" s="134" t="n">
        <f aca="false">IFERROR(IF(OR(7&gt;$B$3,ISBLANK(Actuals!I45)),"",(Budget!I45-Actuals!I45)/ABS(Budget!I45)),"")</f>
        <v>1.67932235294118</v>
      </c>
      <c r="AD39" s="133" t="n">
        <f aca="false">Budget!J45</f>
        <v>-4250</v>
      </c>
      <c r="AE39" s="133" t="n">
        <f aca="false">IF(OR(8&gt;$B$3,ISBLANK(Actuals!J45)),"",Actuals!J45)</f>
        <v>-19873.14</v>
      </c>
      <c r="AF39" s="134" t="n">
        <f aca="false">IF(OR(8&gt;$B$3,ISBLANK(Actuals!J45)),"",Budget!J45-Actuals!J45)</f>
        <v>15623.14</v>
      </c>
      <c r="AG39" s="134" t="n">
        <f aca="false">IFERROR(IF(OR(8&gt;$B$3,ISBLANK(Actuals!J45)),"",(Budget!J45-Actuals!J45)/ABS(Budget!J45)),"")</f>
        <v>3.67603294117647</v>
      </c>
      <c r="AH39" s="133" t="n">
        <f aca="false">Budget!K45</f>
        <v>-4250</v>
      </c>
      <c r="AI39" s="133" t="str">
        <f aca="false">IF(OR(9&gt;$B$3,ISBLANK(Actuals!K45)),"",Actuals!K45)</f>
        <v/>
      </c>
      <c r="AJ39" s="134" t="str">
        <f aca="false">IF(OR(9&gt;$B$3,ISBLANK(Actuals!K45)),"",Budget!K45-Actuals!K45)</f>
        <v/>
      </c>
      <c r="AK39" s="134" t="str">
        <f aca="false">IFERROR(IF(OR(9&gt;$B$3,ISBLANK(Actuals!K45)),"",(Budget!K45-Actuals!K45)/ABS(Budget!K45)),"")</f>
        <v/>
      </c>
      <c r="AL39" s="133" t="n">
        <f aca="false">Budget!L45</f>
        <v>-4250</v>
      </c>
      <c r="AM39" s="133" t="str">
        <f aca="false">IF(OR(10&gt;$B$3,ISBLANK(Actuals!L45)),"",Actuals!L45)</f>
        <v/>
      </c>
      <c r="AN39" s="134" t="str">
        <f aca="false">IF(OR(10&gt;$B$3,ISBLANK(Actuals!L45)),"",Budget!L45-Actuals!L45)</f>
        <v/>
      </c>
      <c r="AO39" s="134" t="str">
        <f aca="false">IFERROR(IF(OR(10&gt;$B$3,ISBLANK(Actuals!L45)),"",(Budget!L45-Actuals!L45)/ABS(Budget!L45)),"")</f>
        <v/>
      </c>
      <c r="AP39" s="133" t="n">
        <f aca="false">Budget!M45</f>
        <v>-4250</v>
      </c>
      <c r="AQ39" s="133" t="str">
        <f aca="false">IF(OR(11&gt;$B$3,ISBLANK(Actuals!M45)),"",Actuals!M45)</f>
        <v/>
      </c>
      <c r="AR39" s="134" t="str">
        <f aca="false">IF(OR(11&gt;$B$3,ISBLANK(Actuals!M45)),"",Budget!M45-Actuals!M45)</f>
        <v/>
      </c>
      <c r="AS39" s="134" t="str">
        <f aca="false">IFERROR(IF(OR(11&gt;$B$3,ISBLANK(Actuals!M45)),"",(Budget!M45-Actuals!M45)/ABS(Budget!M45)),"")</f>
        <v/>
      </c>
      <c r="AT39" s="133" t="n">
        <f aca="false">Budget!N45</f>
        <v>-4250</v>
      </c>
      <c r="AU39" s="133" t="str">
        <f aca="false">IF(OR(12&gt;$B$3,ISBLANK(Actuals!N45)),"",Actuals!N45)</f>
        <v/>
      </c>
      <c r="AV39" s="134" t="str">
        <f aca="false">IF(OR(12&gt;$B$3,ISBLANK(Actuals!N45)),"",Budget!N45-Actuals!N45)</f>
        <v/>
      </c>
      <c r="AW39" s="134" t="str">
        <f aca="false">IFERROR(IF(OR(12&gt;$B$3,ISBLANK(Actuals!N45)),"",(Budget!N45-Actuals!N45)/ABS(Budget!N45)),"")</f>
        <v/>
      </c>
      <c r="AX39" s="135" t="n">
        <f aca="false">SUMPRODUCT((Actuals!C45:N45&lt;&gt;"")*(Budget!C45:N45))</f>
        <v>-33500.02</v>
      </c>
      <c r="AY39" s="135" t="n">
        <f aca="false">SUM(Actuals!C45:N45)</f>
        <v>-142176.05</v>
      </c>
      <c r="AZ39" s="136" t="n">
        <f aca="false">AX39-AY39</f>
        <v>108676.03</v>
      </c>
    </row>
    <row r="40" customFormat="false" ht="15" hidden="false" customHeight="true" outlineLevel="0" collapsed="false">
      <c r="A40" s="132" t="s">
        <v>89</v>
      </c>
      <c r="B40" s="133" t="n">
        <f aca="false">Budget!C46</f>
        <v>-1000</v>
      </c>
      <c r="C40" s="133" t="n">
        <f aca="false">IF(OR(1&gt;$B$3,ISBLANK(Actuals!C46)),"",Actuals!C46)</f>
        <v>-1909.98</v>
      </c>
      <c r="D40" s="134" t="n">
        <f aca="false">IF(OR(1&gt;$B$3,ISBLANK(Actuals!C46)),"",Budget!C46-Actuals!C46)</f>
        <v>909.98</v>
      </c>
      <c r="E40" s="134" t="n">
        <f aca="false">IFERROR(IF(OR(1&gt;$B$3,ISBLANK(Actuals!C46)),"",(Budget!C46-Actuals!C46)/ABS(Budget!C46)),"")</f>
        <v>0.90998</v>
      </c>
      <c r="F40" s="133" t="n">
        <f aca="false">Budget!D46</f>
        <v>-1000</v>
      </c>
      <c r="G40" s="133" t="n">
        <f aca="false">IF(OR(2&gt;$B$3,ISBLANK(Actuals!D46)),"",Actuals!D46)</f>
        <v>-190.1</v>
      </c>
      <c r="H40" s="134" t="n">
        <f aca="false">IF(OR(2&gt;$B$3,ISBLANK(Actuals!D46)),"",Budget!D46-Actuals!D46)</f>
        <v>-809.9</v>
      </c>
      <c r="I40" s="134" t="n">
        <f aca="false">IFERROR(IF(OR(2&gt;$B$3,ISBLANK(Actuals!D46)),"",(Budget!D46-Actuals!D46)/ABS(Budget!D46)),"")</f>
        <v>-0.8099</v>
      </c>
      <c r="J40" s="133" t="n">
        <f aca="false">Budget!E46</f>
        <v>-1000</v>
      </c>
      <c r="K40" s="133" t="n">
        <f aca="false">IF(OR(3&gt;$B$3,ISBLANK(Actuals!E46)),"",Actuals!E46)</f>
        <v>-2166.92</v>
      </c>
      <c r="L40" s="134" t="n">
        <f aca="false">IF(OR(3&gt;$B$3,ISBLANK(Actuals!E46)),"",Budget!E46-Actuals!E46)</f>
        <v>1166.92</v>
      </c>
      <c r="M40" s="134" t="n">
        <f aca="false">IFERROR(IF(OR(3&gt;$B$3,ISBLANK(Actuals!E46)),"",(Budget!E46-Actuals!E46)/ABS(Budget!E46)),"")</f>
        <v>1.16692</v>
      </c>
      <c r="N40" s="133" t="n">
        <f aca="false">Budget!F46</f>
        <v>-1000</v>
      </c>
      <c r="O40" s="133" t="n">
        <f aca="false">IF(OR(4&gt;$B$3,ISBLANK(Actuals!F46)),"",Actuals!F46)</f>
        <v>-1816.95</v>
      </c>
      <c r="P40" s="134" t="n">
        <f aca="false">IF(OR(4&gt;$B$3,ISBLANK(Actuals!F46)),"",Budget!F46-Actuals!F46)</f>
        <v>816.95</v>
      </c>
      <c r="Q40" s="134" t="n">
        <f aca="false">IFERROR(IF(OR(4&gt;$B$3,ISBLANK(Actuals!F46)),"",(Budget!F46-Actuals!F46)/ABS(Budget!F46)),"")</f>
        <v>0.81695</v>
      </c>
      <c r="R40" s="133" t="n">
        <f aca="false">Budget!G46</f>
        <v>-1000</v>
      </c>
      <c r="S40" s="133" t="n">
        <f aca="false">IF(OR(5&gt;$B$3,ISBLANK(Actuals!G46)),"",Actuals!G46)</f>
        <v>-1452.9</v>
      </c>
      <c r="T40" s="134" t="n">
        <f aca="false">IF(OR(5&gt;$B$3,ISBLANK(Actuals!G46)),"",Budget!G46-Actuals!G46)</f>
        <v>452.9</v>
      </c>
      <c r="U40" s="134" t="n">
        <f aca="false">IFERROR(IF(OR(5&gt;$B$3,ISBLANK(Actuals!G46)),"",(Budget!G46-Actuals!G46)/ABS(Budget!G46)),"")</f>
        <v>0.4529</v>
      </c>
      <c r="V40" s="133" t="n">
        <f aca="false">Budget!H46</f>
        <v>-1000</v>
      </c>
      <c r="W40" s="133" t="n">
        <f aca="false">IF(OR(6&gt;$B$3,ISBLANK(Actuals!H46)),"",Actuals!H46)</f>
        <v>-13918.31</v>
      </c>
      <c r="X40" s="134" t="n">
        <f aca="false">IF(OR(6&gt;$B$3,ISBLANK(Actuals!H46)),"",Budget!H46-Actuals!H46)</f>
        <v>12918.31</v>
      </c>
      <c r="Y40" s="134" t="n">
        <f aca="false">IFERROR(IF(OR(6&gt;$B$3,ISBLANK(Actuals!H46)),"",(Budget!H46-Actuals!H46)/ABS(Budget!H46)),"")</f>
        <v>12.91831</v>
      </c>
      <c r="Z40" s="133" t="n">
        <f aca="false">Budget!I46</f>
        <v>-1020</v>
      </c>
      <c r="AA40" s="133" t="n">
        <f aca="false">IF(OR(7&gt;$B$3,ISBLANK(Actuals!I46)),"",Actuals!I46)</f>
        <v>9546.02</v>
      </c>
      <c r="AB40" s="134" t="n">
        <f aca="false">IF(OR(7&gt;$B$3,ISBLANK(Actuals!I46)),"",Budget!I46-Actuals!I46)</f>
        <v>-10566.02</v>
      </c>
      <c r="AC40" s="134" t="n">
        <f aca="false">IFERROR(IF(OR(7&gt;$B$3,ISBLANK(Actuals!I46)),"",(Budget!I46-Actuals!I46)/ABS(Budget!I46)),"")</f>
        <v>-10.3588431372549</v>
      </c>
      <c r="AD40" s="133" t="n">
        <f aca="false">Budget!J46</f>
        <v>-1020</v>
      </c>
      <c r="AE40" s="133" t="n">
        <f aca="false">IF(OR(8&gt;$B$3,ISBLANK(Actuals!J46)),"",Actuals!J46)</f>
        <v>-840.61</v>
      </c>
      <c r="AF40" s="134" t="n">
        <f aca="false">IF(OR(8&gt;$B$3,ISBLANK(Actuals!J46)),"",Budget!J46-Actuals!J46)</f>
        <v>-179.39</v>
      </c>
      <c r="AG40" s="134" t="n">
        <f aca="false">IFERROR(IF(OR(8&gt;$B$3,ISBLANK(Actuals!J46)),"",(Budget!J46-Actuals!J46)/ABS(Budget!J46)),"")</f>
        <v>-0.175872549019608</v>
      </c>
      <c r="AH40" s="133" t="n">
        <f aca="false">Budget!K46</f>
        <v>-1020</v>
      </c>
      <c r="AI40" s="133" t="str">
        <f aca="false">IF(OR(9&gt;$B$3,ISBLANK(Actuals!K46)),"",Actuals!K46)</f>
        <v/>
      </c>
      <c r="AJ40" s="134" t="str">
        <f aca="false">IF(OR(9&gt;$B$3,ISBLANK(Actuals!K46)),"",Budget!K46-Actuals!K46)</f>
        <v/>
      </c>
      <c r="AK40" s="134" t="str">
        <f aca="false">IFERROR(IF(OR(9&gt;$B$3,ISBLANK(Actuals!K46)),"",(Budget!K46-Actuals!K46)/ABS(Budget!K46)),"")</f>
        <v/>
      </c>
      <c r="AL40" s="133" t="n">
        <f aca="false">Budget!L46</f>
        <v>-1020</v>
      </c>
      <c r="AM40" s="133" t="str">
        <f aca="false">IF(OR(10&gt;$B$3,ISBLANK(Actuals!L46)),"",Actuals!L46)</f>
        <v/>
      </c>
      <c r="AN40" s="134" t="str">
        <f aca="false">IF(OR(10&gt;$B$3,ISBLANK(Actuals!L46)),"",Budget!L46-Actuals!L46)</f>
        <v/>
      </c>
      <c r="AO40" s="134" t="str">
        <f aca="false">IFERROR(IF(OR(10&gt;$B$3,ISBLANK(Actuals!L46)),"",(Budget!L46-Actuals!L46)/ABS(Budget!L46)),"")</f>
        <v/>
      </c>
      <c r="AP40" s="133" t="n">
        <f aca="false">Budget!M46</f>
        <v>-1020</v>
      </c>
      <c r="AQ40" s="133" t="str">
        <f aca="false">IF(OR(11&gt;$B$3,ISBLANK(Actuals!M46)),"",Actuals!M46)</f>
        <v/>
      </c>
      <c r="AR40" s="134" t="str">
        <f aca="false">IF(OR(11&gt;$B$3,ISBLANK(Actuals!M46)),"",Budget!M46-Actuals!M46)</f>
        <v/>
      </c>
      <c r="AS40" s="134" t="str">
        <f aca="false">IFERROR(IF(OR(11&gt;$B$3,ISBLANK(Actuals!M46)),"",(Budget!M46-Actuals!M46)/ABS(Budget!M46)),"")</f>
        <v/>
      </c>
      <c r="AT40" s="133" t="n">
        <f aca="false">Budget!N46</f>
        <v>-1020</v>
      </c>
      <c r="AU40" s="133" t="str">
        <f aca="false">IF(OR(12&gt;$B$3,ISBLANK(Actuals!N46)),"",Actuals!N46)</f>
        <v/>
      </c>
      <c r="AV40" s="134" t="str">
        <f aca="false">IF(OR(12&gt;$B$3,ISBLANK(Actuals!N46)),"",Budget!N46-Actuals!N46)</f>
        <v/>
      </c>
      <c r="AW40" s="134" t="str">
        <f aca="false">IFERROR(IF(OR(12&gt;$B$3,ISBLANK(Actuals!N46)),"",(Budget!N46-Actuals!N46)/ABS(Budget!N46)),"")</f>
        <v/>
      </c>
      <c r="AX40" s="135" t="n">
        <f aca="false">SUMPRODUCT((Actuals!C46:N46&lt;&gt;"")*(Budget!C46:N46))</f>
        <v>-8040</v>
      </c>
      <c r="AY40" s="135" t="n">
        <f aca="false">SUM(Actuals!C46:N46)</f>
        <v>-12749.75</v>
      </c>
      <c r="AZ40" s="136" t="n">
        <f aca="false">AX40-AY40</f>
        <v>4709.75</v>
      </c>
    </row>
    <row r="41" customFormat="false" ht="15" hidden="false" customHeight="true" outlineLevel="0" collapsed="false">
      <c r="A41" s="132" t="s">
        <v>90</v>
      </c>
      <c r="B41" s="133" t="n">
        <f aca="false">Budget!C47</f>
        <v>0</v>
      </c>
      <c r="C41" s="133" t="n">
        <f aca="false">IF(OR(1&gt;$B$3,ISBLANK(Actuals!C47)),"",Actuals!C47)</f>
        <v>-320</v>
      </c>
      <c r="D41" s="134" t="n">
        <f aca="false">IF(OR(1&gt;$B$3,ISBLANK(Actuals!C47)),"",Budget!C47-Actuals!C47)</f>
        <v>320</v>
      </c>
      <c r="E41" s="134" t="str">
        <f aca="false">IFERROR(IF(OR(1&gt;$B$3,ISBLANK(Actuals!C47)),"",(Budget!C47-Actuals!C47)/ABS(Budget!C47)),"")</f>
        <v/>
      </c>
      <c r="F41" s="133" t="n">
        <f aca="false">Budget!D47</f>
        <v>0</v>
      </c>
      <c r="G41" s="133" t="n">
        <f aca="false">IF(OR(2&gt;$B$3,ISBLANK(Actuals!D47)),"",Actuals!D47)</f>
        <v>-160</v>
      </c>
      <c r="H41" s="134" t="n">
        <f aca="false">IF(OR(2&gt;$B$3,ISBLANK(Actuals!D47)),"",Budget!D47-Actuals!D47)</f>
        <v>160</v>
      </c>
      <c r="I41" s="134" t="str">
        <f aca="false">IFERROR(IF(OR(2&gt;$B$3,ISBLANK(Actuals!D47)),"",(Budget!D47-Actuals!D47)/ABS(Budget!D47)),"")</f>
        <v/>
      </c>
      <c r="J41" s="133" t="n">
        <f aca="false">Budget!E47</f>
        <v>0</v>
      </c>
      <c r="K41" s="133" t="n">
        <f aca="false">IF(OR(3&gt;$B$3,ISBLANK(Actuals!E47)),"",Actuals!E47)</f>
        <v>0</v>
      </c>
      <c r="L41" s="134" t="n">
        <f aca="false">IF(OR(3&gt;$B$3,ISBLANK(Actuals!E47)),"",Budget!E47-Actuals!E47)</f>
        <v>0</v>
      </c>
      <c r="M41" s="134" t="str">
        <f aca="false">IFERROR(IF(OR(3&gt;$B$3,ISBLANK(Actuals!E47)),"",(Budget!E47-Actuals!E47)/ABS(Budget!E47)),"")</f>
        <v/>
      </c>
      <c r="N41" s="133" t="n">
        <f aca="false">Budget!F47</f>
        <v>0</v>
      </c>
      <c r="O41" s="133" t="n">
        <f aca="false">IF(OR(4&gt;$B$3,ISBLANK(Actuals!F47)),"",Actuals!F47)</f>
        <v>0</v>
      </c>
      <c r="P41" s="134" t="n">
        <f aca="false">IF(OR(4&gt;$B$3,ISBLANK(Actuals!F47)),"",Budget!F47-Actuals!F47)</f>
        <v>0</v>
      </c>
      <c r="Q41" s="134" t="str">
        <f aca="false">IFERROR(IF(OR(4&gt;$B$3,ISBLANK(Actuals!F47)),"",(Budget!F47-Actuals!F47)/ABS(Budget!F47)),"")</f>
        <v/>
      </c>
      <c r="R41" s="133" t="n">
        <f aca="false">Budget!G47</f>
        <v>0</v>
      </c>
      <c r="S41" s="133" t="n">
        <f aca="false">IF(OR(5&gt;$B$3,ISBLANK(Actuals!G47)),"",Actuals!G47)</f>
        <v>-320</v>
      </c>
      <c r="T41" s="134" t="n">
        <f aca="false">IF(OR(5&gt;$B$3,ISBLANK(Actuals!G47)),"",Budget!G47-Actuals!G47)</f>
        <v>320</v>
      </c>
      <c r="U41" s="134" t="str">
        <f aca="false">IFERROR(IF(OR(5&gt;$B$3,ISBLANK(Actuals!G47)),"",(Budget!G47-Actuals!G47)/ABS(Budget!G47)),"")</f>
        <v/>
      </c>
      <c r="V41" s="133" t="n">
        <f aca="false">Budget!H47</f>
        <v>0</v>
      </c>
      <c r="W41" s="133" t="n">
        <f aca="false">IF(OR(6&gt;$B$3,ISBLANK(Actuals!H47)),"",Actuals!H47)</f>
        <v>-320</v>
      </c>
      <c r="X41" s="134" t="n">
        <f aca="false">IF(OR(6&gt;$B$3,ISBLANK(Actuals!H47)),"",Budget!H47-Actuals!H47)</f>
        <v>320</v>
      </c>
      <c r="Y41" s="134" t="str">
        <f aca="false">IFERROR(IF(OR(6&gt;$B$3,ISBLANK(Actuals!H47)),"",(Budget!H47-Actuals!H47)/ABS(Budget!H47)),"")</f>
        <v/>
      </c>
      <c r="Z41" s="133" t="n">
        <f aca="false">Budget!I47</f>
        <v>0</v>
      </c>
      <c r="AA41" s="133" t="n">
        <f aca="false">IF(OR(7&gt;$B$3,ISBLANK(Actuals!I47)),"",Actuals!I47)</f>
        <v>0</v>
      </c>
      <c r="AB41" s="134" t="n">
        <f aca="false">IF(OR(7&gt;$B$3,ISBLANK(Actuals!I47)),"",Budget!I47-Actuals!I47)</f>
        <v>0</v>
      </c>
      <c r="AC41" s="134" t="str">
        <f aca="false">IFERROR(IF(OR(7&gt;$B$3,ISBLANK(Actuals!I47)),"",(Budget!I47-Actuals!I47)/ABS(Budget!I47)),"")</f>
        <v/>
      </c>
      <c r="AD41" s="133" t="n">
        <f aca="false">Budget!J47</f>
        <v>0</v>
      </c>
      <c r="AE41" s="133" t="n">
        <f aca="false">IF(OR(8&gt;$B$3,ISBLANK(Actuals!J47)),"",Actuals!J47)</f>
        <v>-160</v>
      </c>
      <c r="AF41" s="134" t="n">
        <f aca="false">IF(OR(8&gt;$B$3,ISBLANK(Actuals!J47)),"",Budget!J47-Actuals!J47)</f>
        <v>160</v>
      </c>
      <c r="AG41" s="134" t="str">
        <f aca="false">IFERROR(IF(OR(8&gt;$B$3,ISBLANK(Actuals!J47)),"",(Budget!J47-Actuals!J47)/ABS(Budget!J47)),"")</f>
        <v/>
      </c>
      <c r="AH41" s="133" t="n">
        <f aca="false">Budget!K47</f>
        <v>0</v>
      </c>
      <c r="AI41" s="133" t="str">
        <f aca="false">IF(OR(9&gt;$B$3,ISBLANK(Actuals!K47)),"",Actuals!K47)</f>
        <v/>
      </c>
      <c r="AJ41" s="134" t="str">
        <f aca="false">IF(OR(9&gt;$B$3,ISBLANK(Actuals!K47)),"",Budget!K47-Actuals!K47)</f>
        <v/>
      </c>
      <c r="AK41" s="134" t="str">
        <f aca="false">IFERROR(IF(OR(9&gt;$B$3,ISBLANK(Actuals!K47)),"",(Budget!K47-Actuals!K47)/ABS(Budget!K47)),"")</f>
        <v/>
      </c>
      <c r="AL41" s="133" t="n">
        <f aca="false">Budget!L47</f>
        <v>0</v>
      </c>
      <c r="AM41" s="133" t="str">
        <f aca="false">IF(OR(10&gt;$B$3,ISBLANK(Actuals!L47)),"",Actuals!L47)</f>
        <v/>
      </c>
      <c r="AN41" s="134" t="str">
        <f aca="false">IF(OR(10&gt;$B$3,ISBLANK(Actuals!L47)),"",Budget!L47-Actuals!L47)</f>
        <v/>
      </c>
      <c r="AO41" s="134" t="str">
        <f aca="false">IFERROR(IF(OR(10&gt;$B$3,ISBLANK(Actuals!L47)),"",(Budget!L47-Actuals!L47)/ABS(Budget!L47)),"")</f>
        <v/>
      </c>
      <c r="AP41" s="133" t="n">
        <f aca="false">Budget!M47</f>
        <v>0</v>
      </c>
      <c r="AQ41" s="133" t="str">
        <f aca="false">IF(OR(11&gt;$B$3,ISBLANK(Actuals!M47)),"",Actuals!M47)</f>
        <v/>
      </c>
      <c r="AR41" s="134" t="str">
        <f aca="false">IF(OR(11&gt;$B$3,ISBLANK(Actuals!M47)),"",Budget!M47-Actuals!M47)</f>
        <v/>
      </c>
      <c r="AS41" s="134" t="str">
        <f aca="false">IFERROR(IF(OR(11&gt;$B$3,ISBLANK(Actuals!M47)),"",(Budget!M47-Actuals!M47)/ABS(Budget!M47)),"")</f>
        <v/>
      </c>
      <c r="AT41" s="133" t="n">
        <f aca="false">Budget!N47</f>
        <v>0</v>
      </c>
      <c r="AU41" s="133" t="str">
        <f aca="false">IF(OR(12&gt;$B$3,ISBLANK(Actuals!N47)),"",Actuals!N47)</f>
        <v/>
      </c>
      <c r="AV41" s="134" t="str">
        <f aca="false">IF(OR(12&gt;$B$3,ISBLANK(Actuals!N47)),"",Budget!N47-Actuals!N47)</f>
        <v/>
      </c>
      <c r="AW41" s="134" t="str">
        <f aca="false">IFERROR(IF(OR(12&gt;$B$3,ISBLANK(Actuals!N47)),"",(Budget!N47-Actuals!N47)/ABS(Budget!N47)),"")</f>
        <v/>
      </c>
      <c r="AX41" s="135" t="n">
        <f aca="false">SUMPRODUCT((Actuals!C47:N47&lt;&gt;"")*(Budget!C47:N47))</f>
        <v>0</v>
      </c>
      <c r="AY41" s="135" t="n">
        <f aca="false">SUM(Actuals!C47:N47)</f>
        <v>-1280</v>
      </c>
      <c r="AZ41" s="136" t="n">
        <f aca="false">AX41-AY41</f>
        <v>1280</v>
      </c>
    </row>
    <row r="42" customFormat="false" ht="15" hidden="false" customHeight="true" outlineLevel="0" collapsed="false">
      <c r="A42" s="132" t="s">
        <v>91</v>
      </c>
      <c r="B42" s="133" t="n">
        <f aca="false">Budget!C48</f>
        <v>-4166.67</v>
      </c>
      <c r="C42" s="133" t="n">
        <f aca="false">IF(OR(1&gt;$B$3,ISBLANK(Actuals!C48)),"",Actuals!C48)</f>
        <v>-17660.72</v>
      </c>
      <c r="D42" s="134" t="n">
        <f aca="false">IF(OR(1&gt;$B$3,ISBLANK(Actuals!C48)),"",Budget!C48-Actuals!C48)</f>
        <v>13494.05</v>
      </c>
      <c r="E42" s="134" t="n">
        <f aca="false">IFERROR(IF(OR(1&gt;$B$3,ISBLANK(Actuals!C48)),"",(Budget!C48-Actuals!C48)/ABS(Budget!C48)),"")</f>
        <v>3.23856940914447</v>
      </c>
      <c r="F42" s="133" t="n">
        <f aca="false">Budget!D48</f>
        <v>-4166.67</v>
      </c>
      <c r="G42" s="133" t="n">
        <f aca="false">IF(OR(2&gt;$B$3,ISBLANK(Actuals!D48)),"",Actuals!D48)</f>
        <v>-5799</v>
      </c>
      <c r="H42" s="134" t="n">
        <f aca="false">IF(OR(2&gt;$B$3,ISBLANK(Actuals!D48)),"",Budget!D48-Actuals!D48)</f>
        <v>1632.33</v>
      </c>
      <c r="I42" s="134" t="n">
        <f aca="false">IFERROR(IF(OR(2&gt;$B$3,ISBLANK(Actuals!D48)),"",(Budget!D48-Actuals!D48)/ABS(Budget!D48)),"")</f>
        <v>0.391758886592891</v>
      </c>
      <c r="J42" s="133" t="n">
        <f aca="false">Budget!E48</f>
        <v>-4166.67</v>
      </c>
      <c r="K42" s="133" t="n">
        <f aca="false">IF(OR(3&gt;$B$3,ISBLANK(Actuals!E48)),"",Actuals!E48)</f>
        <v>-3432.18</v>
      </c>
      <c r="L42" s="134" t="n">
        <f aca="false">IF(OR(3&gt;$B$3,ISBLANK(Actuals!E48)),"",Budget!E48-Actuals!E48)</f>
        <v>-734.49</v>
      </c>
      <c r="M42" s="134" t="n">
        <f aca="false">IFERROR(IF(OR(3&gt;$B$3,ISBLANK(Actuals!E48)),"",(Budget!E48-Actuals!E48)/ABS(Budget!E48)),"")</f>
        <v>-0.176277458978033</v>
      </c>
      <c r="N42" s="133" t="n">
        <f aca="false">Budget!F48</f>
        <v>-4166.67</v>
      </c>
      <c r="O42" s="133" t="n">
        <f aca="false">IF(OR(4&gt;$B$3,ISBLANK(Actuals!F48)),"",Actuals!F48)</f>
        <v>0</v>
      </c>
      <c r="P42" s="134" t="n">
        <f aca="false">IF(OR(4&gt;$B$3,ISBLANK(Actuals!F48)),"",Budget!F48-Actuals!F48)</f>
        <v>-4166.67</v>
      </c>
      <c r="Q42" s="134" t="n">
        <f aca="false">IFERROR(IF(OR(4&gt;$B$3,ISBLANK(Actuals!F48)),"",(Budget!F48-Actuals!F48)/ABS(Budget!F48)),"")</f>
        <v>-1</v>
      </c>
      <c r="R42" s="133" t="n">
        <f aca="false">Budget!G48</f>
        <v>-4166.67</v>
      </c>
      <c r="S42" s="133" t="n">
        <f aca="false">IF(OR(5&gt;$B$3,ISBLANK(Actuals!G48)),"",Actuals!G48)</f>
        <v>-73874.29</v>
      </c>
      <c r="T42" s="134" t="n">
        <f aca="false">IF(OR(5&gt;$B$3,ISBLANK(Actuals!G48)),"",Budget!G48-Actuals!G48)</f>
        <v>69707.62</v>
      </c>
      <c r="U42" s="134" t="n">
        <f aca="false">IFERROR(IF(OR(5&gt;$B$3,ISBLANK(Actuals!G48)),"",(Budget!G48-Actuals!G48)/ABS(Budget!G48)),"")</f>
        <v>16.7298154161477</v>
      </c>
      <c r="V42" s="133" t="n">
        <f aca="false">Budget!H48</f>
        <v>-4166.67</v>
      </c>
      <c r="W42" s="133" t="n">
        <f aca="false">IF(OR(6&gt;$B$3,ISBLANK(Actuals!H48)),"",Actuals!H48)</f>
        <v>0</v>
      </c>
      <c r="X42" s="134" t="n">
        <f aca="false">IF(OR(6&gt;$B$3,ISBLANK(Actuals!H48)),"",Budget!H48-Actuals!H48)</f>
        <v>-4166.67</v>
      </c>
      <c r="Y42" s="134" t="n">
        <f aca="false">IFERROR(IF(OR(6&gt;$B$3,ISBLANK(Actuals!H48)),"",(Budget!H48-Actuals!H48)/ABS(Budget!H48)),"")</f>
        <v>-1</v>
      </c>
      <c r="Z42" s="133" t="n">
        <f aca="false">Budget!I48</f>
        <v>-4250</v>
      </c>
      <c r="AA42" s="133" t="n">
        <f aca="false">IF(OR(7&gt;$B$3,ISBLANK(Actuals!I48)),"",Actuals!I48)</f>
        <v>0</v>
      </c>
      <c r="AB42" s="134" t="n">
        <f aca="false">IF(OR(7&gt;$B$3,ISBLANK(Actuals!I48)),"",Budget!I48-Actuals!I48)</f>
        <v>-4250</v>
      </c>
      <c r="AC42" s="134" t="n">
        <f aca="false">IFERROR(IF(OR(7&gt;$B$3,ISBLANK(Actuals!I48)),"",(Budget!I48-Actuals!I48)/ABS(Budget!I48)),"")</f>
        <v>-1</v>
      </c>
      <c r="AD42" s="133" t="n">
        <f aca="false">Budget!J48</f>
        <v>-4250</v>
      </c>
      <c r="AE42" s="133" t="n">
        <f aca="false">IF(OR(8&gt;$B$3,ISBLANK(Actuals!J48)),"",Actuals!J48)</f>
        <v>-1372.32</v>
      </c>
      <c r="AF42" s="134" t="n">
        <f aca="false">IF(OR(8&gt;$B$3,ISBLANK(Actuals!J48)),"",Budget!J48-Actuals!J48)</f>
        <v>-2877.68</v>
      </c>
      <c r="AG42" s="134" t="n">
        <f aca="false">IFERROR(IF(OR(8&gt;$B$3,ISBLANK(Actuals!J48)),"",(Budget!J48-Actuals!J48)/ABS(Budget!J48)),"")</f>
        <v>-0.677101176470588</v>
      </c>
      <c r="AH42" s="133" t="n">
        <f aca="false">Budget!K48</f>
        <v>-4250</v>
      </c>
      <c r="AI42" s="133" t="str">
        <f aca="false">IF(OR(9&gt;$B$3,ISBLANK(Actuals!K48)),"",Actuals!K48)</f>
        <v/>
      </c>
      <c r="AJ42" s="134" t="str">
        <f aca="false">IF(OR(9&gt;$B$3,ISBLANK(Actuals!K48)),"",Budget!K48-Actuals!K48)</f>
        <v/>
      </c>
      <c r="AK42" s="134" t="str">
        <f aca="false">IFERROR(IF(OR(9&gt;$B$3,ISBLANK(Actuals!K48)),"",(Budget!K48-Actuals!K48)/ABS(Budget!K48)),"")</f>
        <v/>
      </c>
      <c r="AL42" s="133" t="n">
        <f aca="false">Budget!L48</f>
        <v>-4250</v>
      </c>
      <c r="AM42" s="133" t="str">
        <f aca="false">IF(OR(10&gt;$B$3,ISBLANK(Actuals!L48)),"",Actuals!L48)</f>
        <v/>
      </c>
      <c r="AN42" s="134" t="str">
        <f aca="false">IF(OR(10&gt;$B$3,ISBLANK(Actuals!L48)),"",Budget!L48-Actuals!L48)</f>
        <v/>
      </c>
      <c r="AO42" s="134" t="str">
        <f aca="false">IFERROR(IF(OR(10&gt;$B$3,ISBLANK(Actuals!L48)),"",(Budget!L48-Actuals!L48)/ABS(Budget!L48)),"")</f>
        <v/>
      </c>
      <c r="AP42" s="133" t="n">
        <f aca="false">Budget!M48</f>
        <v>-4250</v>
      </c>
      <c r="AQ42" s="133" t="str">
        <f aca="false">IF(OR(11&gt;$B$3,ISBLANK(Actuals!M48)),"",Actuals!M48)</f>
        <v/>
      </c>
      <c r="AR42" s="134" t="str">
        <f aca="false">IF(OR(11&gt;$B$3,ISBLANK(Actuals!M48)),"",Budget!M48-Actuals!M48)</f>
        <v/>
      </c>
      <c r="AS42" s="134" t="str">
        <f aca="false">IFERROR(IF(OR(11&gt;$B$3,ISBLANK(Actuals!M48)),"",(Budget!M48-Actuals!M48)/ABS(Budget!M48)),"")</f>
        <v/>
      </c>
      <c r="AT42" s="133" t="n">
        <f aca="false">Budget!N48</f>
        <v>-4250</v>
      </c>
      <c r="AU42" s="133" t="str">
        <f aca="false">IF(OR(12&gt;$B$3,ISBLANK(Actuals!N48)),"",Actuals!N48)</f>
        <v/>
      </c>
      <c r="AV42" s="134" t="str">
        <f aca="false">IF(OR(12&gt;$B$3,ISBLANK(Actuals!N48)),"",Budget!N48-Actuals!N48)</f>
        <v/>
      </c>
      <c r="AW42" s="134" t="str">
        <f aca="false">IFERROR(IF(OR(12&gt;$B$3,ISBLANK(Actuals!N48)),"",(Budget!N48-Actuals!N48)/ABS(Budget!N48)),"")</f>
        <v/>
      </c>
      <c r="AX42" s="135" t="n">
        <f aca="false">SUMPRODUCT((Actuals!C48:N48&lt;&gt;"")*(Budget!C48:N48))</f>
        <v>-33500.02</v>
      </c>
      <c r="AY42" s="135" t="n">
        <f aca="false">SUM(Actuals!C48:N48)</f>
        <v>-102138.51</v>
      </c>
      <c r="AZ42" s="136" t="n">
        <f aca="false">AX42-AY42</f>
        <v>68638.49</v>
      </c>
    </row>
    <row r="43" customFormat="false" ht="15" hidden="false" customHeight="true" outlineLevel="0" collapsed="false">
      <c r="A43" s="132" t="s">
        <v>92</v>
      </c>
      <c r="B43" s="133" t="n">
        <f aca="false">Budget!C49</f>
        <v>0</v>
      </c>
      <c r="C43" s="133" t="n">
        <f aca="false">IF(OR(1&gt;$B$3,ISBLANK(Actuals!C49)),"",Actuals!C49)</f>
        <v>-1913.91</v>
      </c>
      <c r="D43" s="134" t="n">
        <f aca="false">IF(OR(1&gt;$B$3,ISBLANK(Actuals!C49)),"",Budget!C49-Actuals!C49)</f>
        <v>1913.91</v>
      </c>
      <c r="E43" s="134" t="str">
        <f aca="false">IFERROR(IF(OR(1&gt;$B$3,ISBLANK(Actuals!C49)),"",(Budget!C49-Actuals!C49)/ABS(Budget!C49)),"")</f>
        <v/>
      </c>
      <c r="F43" s="133" t="n">
        <f aca="false">Budget!D49</f>
        <v>0</v>
      </c>
      <c r="G43" s="133" t="n">
        <f aca="false">IF(OR(2&gt;$B$3,ISBLANK(Actuals!D49)),"",Actuals!D49)</f>
        <v>-2254.72</v>
      </c>
      <c r="H43" s="134" t="n">
        <f aca="false">IF(OR(2&gt;$B$3,ISBLANK(Actuals!D49)),"",Budget!D49-Actuals!D49)</f>
        <v>2254.72</v>
      </c>
      <c r="I43" s="134" t="str">
        <f aca="false">IFERROR(IF(OR(2&gt;$B$3,ISBLANK(Actuals!D49)),"",(Budget!D49-Actuals!D49)/ABS(Budget!D49)),"")</f>
        <v/>
      </c>
      <c r="J43" s="133" t="n">
        <f aca="false">Budget!E49</f>
        <v>0</v>
      </c>
      <c r="K43" s="133" t="n">
        <f aca="false">IF(OR(3&gt;$B$3,ISBLANK(Actuals!E49)),"",Actuals!E49)</f>
        <v>-1913.91</v>
      </c>
      <c r="L43" s="134" t="n">
        <f aca="false">IF(OR(3&gt;$B$3,ISBLANK(Actuals!E49)),"",Budget!E49-Actuals!E49)</f>
        <v>1913.91</v>
      </c>
      <c r="M43" s="134" t="str">
        <f aca="false">IFERROR(IF(OR(3&gt;$B$3,ISBLANK(Actuals!E49)),"",(Budget!E49-Actuals!E49)/ABS(Budget!E49)),"")</f>
        <v/>
      </c>
      <c r="N43" s="133" t="n">
        <f aca="false">Budget!F49</f>
        <v>0</v>
      </c>
      <c r="O43" s="133" t="n">
        <f aca="false">IF(OR(4&gt;$B$3,ISBLANK(Actuals!F49)),"",Actuals!F49)</f>
        <v>-1609.91</v>
      </c>
      <c r="P43" s="134" t="n">
        <f aca="false">IF(OR(4&gt;$B$3,ISBLANK(Actuals!F49)),"",Budget!F49-Actuals!F49)</f>
        <v>1609.91</v>
      </c>
      <c r="Q43" s="134" t="str">
        <f aca="false">IFERROR(IF(OR(4&gt;$B$3,ISBLANK(Actuals!F49)),"",(Budget!F49-Actuals!F49)/ABS(Budget!F49)),"")</f>
        <v/>
      </c>
      <c r="R43" s="133" t="n">
        <f aca="false">Budget!G49</f>
        <v>0</v>
      </c>
      <c r="S43" s="133" t="n">
        <f aca="false">IF(OR(5&gt;$B$3,ISBLANK(Actuals!G49)),"",Actuals!G49)</f>
        <v>-2760.86</v>
      </c>
      <c r="T43" s="134" t="n">
        <f aca="false">IF(OR(5&gt;$B$3,ISBLANK(Actuals!G49)),"",Budget!G49-Actuals!G49)</f>
        <v>2760.86</v>
      </c>
      <c r="U43" s="134" t="str">
        <f aca="false">IFERROR(IF(OR(5&gt;$B$3,ISBLANK(Actuals!G49)),"",(Budget!G49-Actuals!G49)/ABS(Budget!G49)),"")</f>
        <v/>
      </c>
      <c r="V43" s="133" t="n">
        <f aca="false">Budget!H49</f>
        <v>0</v>
      </c>
      <c r="W43" s="133" t="n">
        <f aca="false">IF(OR(6&gt;$B$3,ISBLANK(Actuals!H49)),"",Actuals!H49)</f>
        <v>0</v>
      </c>
      <c r="X43" s="134" t="n">
        <f aca="false">IF(OR(6&gt;$B$3,ISBLANK(Actuals!H49)),"",Budget!H49-Actuals!H49)</f>
        <v>0</v>
      </c>
      <c r="Y43" s="134" t="str">
        <f aca="false">IFERROR(IF(OR(6&gt;$B$3,ISBLANK(Actuals!H49)),"",(Budget!H49-Actuals!H49)/ABS(Budget!H49)),"")</f>
        <v/>
      </c>
      <c r="Z43" s="133" t="n">
        <f aca="false">Budget!I49</f>
        <v>0</v>
      </c>
      <c r="AA43" s="133" t="n">
        <f aca="false">IF(OR(7&gt;$B$3,ISBLANK(Actuals!I49)),"",Actuals!I49)</f>
        <v>0</v>
      </c>
      <c r="AB43" s="134" t="n">
        <f aca="false">IF(OR(7&gt;$B$3,ISBLANK(Actuals!I49)),"",Budget!I49-Actuals!I49)</f>
        <v>0</v>
      </c>
      <c r="AC43" s="134" t="str">
        <f aca="false">IFERROR(IF(OR(7&gt;$B$3,ISBLANK(Actuals!I49)),"",(Budget!I49-Actuals!I49)/ABS(Budget!I49)),"")</f>
        <v/>
      </c>
      <c r="AD43" s="133" t="n">
        <f aca="false">Budget!J49</f>
        <v>0</v>
      </c>
      <c r="AE43" s="133" t="n">
        <f aca="false">IF(OR(8&gt;$B$3,ISBLANK(Actuals!J49)),"",Actuals!J49)</f>
        <v>-11.02</v>
      </c>
      <c r="AF43" s="134" t="n">
        <f aca="false">IF(OR(8&gt;$B$3,ISBLANK(Actuals!J49)),"",Budget!J49-Actuals!J49)</f>
        <v>11.02</v>
      </c>
      <c r="AG43" s="134" t="str">
        <f aca="false">IFERROR(IF(OR(8&gt;$B$3,ISBLANK(Actuals!J49)),"",(Budget!J49-Actuals!J49)/ABS(Budget!J49)),"")</f>
        <v/>
      </c>
      <c r="AH43" s="133" t="n">
        <f aca="false">Budget!K49</f>
        <v>0</v>
      </c>
      <c r="AI43" s="133" t="str">
        <f aca="false">IF(OR(9&gt;$B$3,ISBLANK(Actuals!K49)),"",Actuals!K49)</f>
        <v/>
      </c>
      <c r="AJ43" s="134" t="str">
        <f aca="false">IF(OR(9&gt;$B$3,ISBLANK(Actuals!K49)),"",Budget!K49-Actuals!K49)</f>
        <v/>
      </c>
      <c r="AK43" s="134" t="str">
        <f aca="false">IFERROR(IF(OR(9&gt;$B$3,ISBLANK(Actuals!K49)),"",(Budget!K49-Actuals!K49)/ABS(Budget!K49)),"")</f>
        <v/>
      </c>
      <c r="AL43" s="133" t="n">
        <f aca="false">Budget!L49</f>
        <v>0</v>
      </c>
      <c r="AM43" s="133" t="str">
        <f aca="false">IF(OR(10&gt;$B$3,ISBLANK(Actuals!L49)),"",Actuals!L49)</f>
        <v/>
      </c>
      <c r="AN43" s="134" t="str">
        <f aca="false">IF(OR(10&gt;$B$3,ISBLANK(Actuals!L49)),"",Budget!L49-Actuals!L49)</f>
        <v/>
      </c>
      <c r="AO43" s="134" t="str">
        <f aca="false">IFERROR(IF(OR(10&gt;$B$3,ISBLANK(Actuals!L49)),"",(Budget!L49-Actuals!L49)/ABS(Budget!L49)),"")</f>
        <v/>
      </c>
      <c r="AP43" s="133" t="n">
        <f aca="false">Budget!M49</f>
        <v>0</v>
      </c>
      <c r="AQ43" s="133" t="str">
        <f aca="false">IF(OR(11&gt;$B$3,ISBLANK(Actuals!M49)),"",Actuals!M49)</f>
        <v/>
      </c>
      <c r="AR43" s="134" t="str">
        <f aca="false">IF(OR(11&gt;$B$3,ISBLANK(Actuals!M49)),"",Budget!M49-Actuals!M49)</f>
        <v/>
      </c>
      <c r="AS43" s="134" t="str">
        <f aca="false">IFERROR(IF(OR(11&gt;$B$3,ISBLANK(Actuals!M49)),"",(Budget!M49-Actuals!M49)/ABS(Budget!M49)),"")</f>
        <v/>
      </c>
      <c r="AT43" s="133" t="n">
        <f aca="false">Budget!N49</f>
        <v>0</v>
      </c>
      <c r="AU43" s="133" t="str">
        <f aca="false">IF(OR(12&gt;$B$3,ISBLANK(Actuals!N49)),"",Actuals!N49)</f>
        <v/>
      </c>
      <c r="AV43" s="134" t="str">
        <f aca="false">IF(OR(12&gt;$B$3,ISBLANK(Actuals!N49)),"",Budget!N49-Actuals!N49)</f>
        <v/>
      </c>
      <c r="AW43" s="134" t="str">
        <f aca="false">IFERROR(IF(OR(12&gt;$B$3,ISBLANK(Actuals!N49)),"",(Budget!N49-Actuals!N49)/ABS(Budget!N49)),"")</f>
        <v/>
      </c>
      <c r="AX43" s="135" t="n">
        <f aca="false">SUMPRODUCT((Actuals!C49:N49&lt;&gt;"")*(Budget!C49:N49))</f>
        <v>0</v>
      </c>
      <c r="AY43" s="135" t="n">
        <f aca="false">SUM(Actuals!C49:N49)</f>
        <v>-10464.33</v>
      </c>
      <c r="AZ43" s="136" t="n">
        <f aca="false">AX43-AY43</f>
        <v>10464.33</v>
      </c>
    </row>
    <row r="44" customFormat="false" ht="15" hidden="false" customHeight="true" outlineLevel="0" collapsed="false">
      <c r="A44" s="132" t="s">
        <v>93</v>
      </c>
      <c r="B44" s="133" t="n">
        <f aca="false">Budget!C50</f>
        <v>-166.67</v>
      </c>
      <c r="C44" s="133" t="n">
        <f aca="false">IF(OR(1&gt;$B$3,ISBLANK(Actuals!C50)),"",Actuals!C50)</f>
        <v>0</v>
      </c>
      <c r="D44" s="134" t="n">
        <f aca="false">IF(OR(1&gt;$B$3,ISBLANK(Actuals!C50)),"",Budget!C50-Actuals!C50)</f>
        <v>-166.67</v>
      </c>
      <c r="E44" s="134" t="n">
        <f aca="false">IFERROR(IF(OR(1&gt;$B$3,ISBLANK(Actuals!C50)),"",(Budget!C50-Actuals!C50)/ABS(Budget!C50)),"")</f>
        <v>-1</v>
      </c>
      <c r="F44" s="133" t="n">
        <f aca="false">Budget!D50</f>
        <v>-166.67</v>
      </c>
      <c r="G44" s="133" t="n">
        <f aca="false">IF(OR(2&gt;$B$3,ISBLANK(Actuals!D50)),"",Actuals!D50)</f>
        <v>-75</v>
      </c>
      <c r="H44" s="134" t="n">
        <f aca="false">IF(OR(2&gt;$B$3,ISBLANK(Actuals!D50)),"",Budget!D50-Actuals!D50)</f>
        <v>-91.67</v>
      </c>
      <c r="I44" s="134" t="n">
        <f aca="false">IFERROR(IF(OR(2&gt;$B$3,ISBLANK(Actuals!D50)),"",(Budget!D50-Actuals!D50)/ABS(Budget!D50)),"")</f>
        <v>-0.550008999820004</v>
      </c>
      <c r="J44" s="133" t="n">
        <f aca="false">Budget!E50</f>
        <v>-166.67</v>
      </c>
      <c r="K44" s="133" t="n">
        <f aca="false">IF(OR(3&gt;$B$3,ISBLANK(Actuals!E50)),"",Actuals!E50)</f>
        <v>-5</v>
      </c>
      <c r="L44" s="134" t="n">
        <f aca="false">IF(OR(3&gt;$B$3,ISBLANK(Actuals!E50)),"",Budget!E50-Actuals!E50)</f>
        <v>-161.67</v>
      </c>
      <c r="M44" s="134" t="n">
        <f aca="false">IFERROR(IF(OR(3&gt;$B$3,ISBLANK(Actuals!E50)),"",(Budget!E50-Actuals!E50)/ABS(Budget!E50)),"")</f>
        <v>-0.970000599988</v>
      </c>
      <c r="N44" s="133" t="n">
        <f aca="false">Budget!F50</f>
        <v>-166.67</v>
      </c>
      <c r="O44" s="133" t="n">
        <f aca="false">IF(OR(4&gt;$B$3,ISBLANK(Actuals!F50)),"",Actuals!F50)</f>
        <v>0</v>
      </c>
      <c r="P44" s="134" t="n">
        <f aca="false">IF(OR(4&gt;$B$3,ISBLANK(Actuals!F50)),"",Budget!F50-Actuals!F50)</f>
        <v>-166.67</v>
      </c>
      <c r="Q44" s="134" t="n">
        <f aca="false">IFERROR(IF(OR(4&gt;$B$3,ISBLANK(Actuals!F50)),"",(Budget!F50-Actuals!F50)/ABS(Budget!F50)),"")</f>
        <v>-1</v>
      </c>
      <c r="R44" s="133" t="n">
        <f aca="false">Budget!G50</f>
        <v>-166.67</v>
      </c>
      <c r="S44" s="133" t="n">
        <f aca="false">IF(OR(5&gt;$B$3,ISBLANK(Actuals!G50)),"",Actuals!G50)</f>
        <v>0</v>
      </c>
      <c r="T44" s="134" t="n">
        <f aca="false">IF(OR(5&gt;$B$3,ISBLANK(Actuals!G50)),"",Budget!G50-Actuals!G50)</f>
        <v>-166.67</v>
      </c>
      <c r="U44" s="134" t="n">
        <f aca="false">IFERROR(IF(OR(5&gt;$B$3,ISBLANK(Actuals!G50)),"",(Budget!G50-Actuals!G50)/ABS(Budget!G50)),"")</f>
        <v>-1</v>
      </c>
      <c r="V44" s="133" t="n">
        <f aca="false">Budget!H50</f>
        <v>-166.67</v>
      </c>
      <c r="W44" s="133" t="n">
        <f aca="false">IF(OR(6&gt;$B$3,ISBLANK(Actuals!H50)),"",Actuals!H50)</f>
        <v>0</v>
      </c>
      <c r="X44" s="134" t="n">
        <f aca="false">IF(OR(6&gt;$B$3,ISBLANK(Actuals!H50)),"",Budget!H50-Actuals!H50)</f>
        <v>-166.67</v>
      </c>
      <c r="Y44" s="134" t="n">
        <f aca="false">IFERROR(IF(OR(6&gt;$B$3,ISBLANK(Actuals!H50)),"",(Budget!H50-Actuals!H50)/ABS(Budget!H50)),"")</f>
        <v>-1</v>
      </c>
      <c r="Z44" s="133" t="n">
        <f aca="false">Budget!I50</f>
        <v>-170</v>
      </c>
      <c r="AA44" s="133" t="n">
        <f aca="false">IF(OR(7&gt;$B$3,ISBLANK(Actuals!I50)),"",Actuals!I50)</f>
        <v>-5</v>
      </c>
      <c r="AB44" s="134" t="n">
        <f aca="false">IF(OR(7&gt;$B$3,ISBLANK(Actuals!I50)),"",Budget!I50-Actuals!I50)</f>
        <v>-165</v>
      </c>
      <c r="AC44" s="134" t="n">
        <f aca="false">IFERROR(IF(OR(7&gt;$B$3,ISBLANK(Actuals!I50)),"",(Budget!I50-Actuals!I50)/ABS(Budget!I50)),"")</f>
        <v>-0.970588235294118</v>
      </c>
      <c r="AD44" s="133" t="n">
        <f aca="false">Budget!J50</f>
        <v>-170</v>
      </c>
      <c r="AE44" s="133" t="n">
        <f aca="false">IF(OR(8&gt;$B$3,ISBLANK(Actuals!J50)),"",Actuals!J50)</f>
        <v>-50</v>
      </c>
      <c r="AF44" s="134" t="n">
        <f aca="false">IF(OR(8&gt;$B$3,ISBLANK(Actuals!J50)),"",Budget!J50-Actuals!J50)</f>
        <v>-120</v>
      </c>
      <c r="AG44" s="134" t="n">
        <f aca="false">IFERROR(IF(OR(8&gt;$B$3,ISBLANK(Actuals!J50)),"",(Budget!J50-Actuals!J50)/ABS(Budget!J50)),"")</f>
        <v>-0.705882352941177</v>
      </c>
      <c r="AH44" s="133" t="n">
        <f aca="false">Budget!K50</f>
        <v>-170</v>
      </c>
      <c r="AI44" s="133" t="str">
        <f aca="false">IF(OR(9&gt;$B$3,ISBLANK(Actuals!K50)),"",Actuals!K50)</f>
        <v/>
      </c>
      <c r="AJ44" s="134" t="str">
        <f aca="false">IF(OR(9&gt;$B$3,ISBLANK(Actuals!K50)),"",Budget!K50-Actuals!K50)</f>
        <v/>
      </c>
      <c r="AK44" s="134" t="str">
        <f aca="false">IFERROR(IF(OR(9&gt;$B$3,ISBLANK(Actuals!K50)),"",(Budget!K50-Actuals!K50)/ABS(Budget!K50)),"")</f>
        <v/>
      </c>
      <c r="AL44" s="133" t="n">
        <f aca="false">Budget!L50</f>
        <v>-170</v>
      </c>
      <c r="AM44" s="133" t="str">
        <f aca="false">IF(OR(10&gt;$B$3,ISBLANK(Actuals!L50)),"",Actuals!L50)</f>
        <v/>
      </c>
      <c r="AN44" s="134" t="str">
        <f aca="false">IF(OR(10&gt;$B$3,ISBLANK(Actuals!L50)),"",Budget!L50-Actuals!L50)</f>
        <v/>
      </c>
      <c r="AO44" s="134" t="str">
        <f aca="false">IFERROR(IF(OR(10&gt;$B$3,ISBLANK(Actuals!L50)),"",(Budget!L50-Actuals!L50)/ABS(Budget!L50)),"")</f>
        <v/>
      </c>
      <c r="AP44" s="133" t="n">
        <f aca="false">Budget!M50</f>
        <v>-170</v>
      </c>
      <c r="AQ44" s="133" t="str">
        <f aca="false">IF(OR(11&gt;$B$3,ISBLANK(Actuals!M50)),"",Actuals!M50)</f>
        <v/>
      </c>
      <c r="AR44" s="134" t="str">
        <f aca="false">IF(OR(11&gt;$B$3,ISBLANK(Actuals!M50)),"",Budget!M50-Actuals!M50)</f>
        <v/>
      </c>
      <c r="AS44" s="134" t="str">
        <f aca="false">IFERROR(IF(OR(11&gt;$B$3,ISBLANK(Actuals!M50)),"",(Budget!M50-Actuals!M50)/ABS(Budget!M50)),"")</f>
        <v/>
      </c>
      <c r="AT44" s="133" t="n">
        <f aca="false">Budget!N50</f>
        <v>-170</v>
      </c>
      <c r="AU44" s="133" t="str">
        <f aca="false">IF(OR(12&gt;$B$3,ISBLANK(Actuals!N50)),"",Actuals!N50)</f>
        <v/>
      </c>
      <c r="AV44" s="134" t="str">
        <f aca="false">IF(OR(12&gt;$B$3,ISBLANK(Actuals!N50)),"",Budget!N50-Actuals!N50)</f>
        <v/>
      </c>
      <c r="AW44" s="134" t="str">
        <f aca="false">IFERROR(IF(OR(12&gt;$B$3,ISBLANK(Actuals!N50)),"",(Budget!N50-Actuals!N50)/ABS(Budget!N50)),"")</f>
        <v/>
      </c>
      <c r="AX44" s="135" t="n">
        <f aca="false">SUMPRODUCT((Actuals!C50:N50&lt;&gt;"")*(Budget!C50:N50))</f>
        <v>-1340.02</v>
      </c>
      <c r="AY44" s="135" t="n">
        <f aca="false">SUM(Actuals!C50:N50)</f>
        <v>-135</v>
      </c>
      <c r="AZ44" s="136" t="n">
        <f aca="false">AX44-AY44</f>
        <v>-1205.02</v>
      </c>
    </row>
    <row r="45" customFormat="false" ht="15" hidden="false" customHeight="true" outlineLevel="0" collapsed="false">
      <c r="A45" s="132" t="s">
        <v>94</v>
      </c>
      <c r="B45" s="133" t="n">
        <f aca="false">Budget!C51</f>
        <v>0</v>
      </c>
      <c r="C45" s="133" t="n">
        <f aca="false">IF(OR(1&gt;$B$3,ISBLANK(Actuals!C51)),"",Actuals!C51)</f>
        <v>0</v>
      </c>
      <c r="D45" s="134" t="n">
        <f aca="false">IF(OR(1&gt;$B$3,ISBLANK(Actuals!C51)),"",Budget!C51-Actuals!C51)</f>
        <v>0</v>
      </c>
      <c r="E45" s="134" t="str">
        <f aca="false">IFERROR(IF(OR(1&gt;$B$3,ISBLANK(Actuals!C51)),"",(Budget!C51-Actuals!C51)/ABS(Budget!C51)),"")</f>
        <v/>
      </c>
      <c r="F45" s="133" t="n">
        <f aca="false">Budget!D51</f>
        <v>0</v>
      </c>
      <c r="G45" s="133" t="n">
        <f aca="false">IF(OR(2&gt;$B$3,ISBLANK(Actuals!D51)),"",Actuals!D51)</f>
        <v>-63</v>
      </c>
      <c r="H45" s="134" t="n">
        <f aca="false">IF(OR(2&gt;$B$3,ISBLANK(Actuals!D51)),"",Budget!D51-Actuals!D51)</f>
        <v>63</v>
      </c>
      <c r="I45" s="134" t="str">
        <f aca="false">IFERROR(IF(OR(2&gt;$B$3,ISBLANK(Actuals!D51)),"",(Budget!D51-Actuals!D51)/ABS(Budget!D51)),"")</f>
        <v/>
      </c>
      <c r="J45" s="133" t="n">
        <f aca="false">Budget!E51</f>
        <v>0</v>
      </c>
      <c r="K45" s="133" t="n">
        <f aca="false">IF(OR(3&gt;$B$3,ISBLANK(Actuals!E51)),"",Actuals!E51)</f>
        <v>0</v>
      </c>
      <c r="L45" s="134" t="n">
        <f aca="false">IF(OR(3&gt;$B$3,ISBLANK(Actuals!E51)),"",Budget!E51-Actuals!E51)</f>
        <v>0</v>
      </c>
      <c r="M45" s="134" t="str">
        <f aca="false">IFERROR(IF(OR(3&gt;$B$3,ISBLANK(Actuals!E51)),"",(Budget!E51-Actuals!E51)/ABS(Budget!E51)),"")</f>
        <v/>
      </c>
      <c r="N45" s="133" t="n">
        <f aca="false">Budget!F51</f>
        <v>0</v>
      </c>
      <c r="O45" s="133" t="n">
        <f aca="false">IF(OR(4&gt;$B$3,ISBLANK(Actuals!F51)),"",Actuals!F51)</f>
        <v>0</v>
      </c>
      <c r="P45" s="134" t="n">
        <f aca="false">IF(OR(4&gt;$B$3,ISBLANK(Actuals!F51)),"",Budget!F51-Actuals!F51)</f>
        <v>0</v>
      </c>
      <c r="Q45" s="134" t="str">
        <f aca="false">IFERROR(IF(OR(4&gt;$B$3,ISBLANK(Actuals!F51)),"",(Budget!F51-Actuals!F51)/ABS(Budget!F51)),"")</f>
        <v/>
      </c>
      <c r="R45" s="133" t="n">
        <f aca="false">Budget!G51</f>
        <v>0</v>
      </c>
      <c r="S45" s="133" t="n">
        <f aca="false">IF(OR(5&gt;$B$3,ISBLANK(Actuals!G51)),"",Actuals!G51)</f>
        <v>0</v>
      </c>
      <c r="T45" s="134" t="n">
        <f aca="false">IF(OR(5&gt;$B$3,ISBLANK(Actuals!G51)),"",Budget!G51-Actuals!G51)</f>
        <v>0</v>
      </c>
      <c r="U45" s="134" t="str">
        <f aca="false">IFERROR(IF(OR(5&gt;$B$3,ISBLANK(Actuals!G51)),"",(Budget!G51-Actuals!G51)/ABS(Budget!G51)),"")</f>
        <v/>
      </c>
      <c r="V45" s="133" t="n">
        <f aca="false">Budget!H51</f>
        <v>0</v>
      </c>
      <c r="W45" s="133" t="n">
        <f aca="false">IF(OR(6&gt;$B$3,ISBLANK(Actuals!H51)),"",Actuals!H51)</f>
        <v>0</v>
      </c>
      <c r="X45" s="134" t="n">
        <f aca="false">IF(OR(6&gt;$B$3,ISBLANK(Actuals!H51)),"",Budget!H51-Actuals!H51)</f>
        <v>0</v>
      </c>
      <c r="Y45" s="134" t="str">
        <f aca="false">IFERROR(IF(OR(6&gt;$B$3,ISBLANK(Actuals!H51)),"",(Budget!H51-Actuals!H51)/ABS(Budget!H51)),"")</f>
        <v/>
      </c>
      <c r="Z45" s="133" t="n">
        <f aca="false">Budget!I51</f>
        <v>0</v>
      </c>
      <c r="AA45" s="133" t="n">
        <f aca="false">IF(OR(7&gt;$B$3,ISBLANK(Actuals!I51)),"",Actuals!I51)</f>
        <v>0</v>
      </c>
      <c r="AB45" s="134" t="n">
        <f aca="false">IF(OR(7&gt;$B$3,ISBLANK(Actuals!I51)),"",Budget!I51-Actuals!I51)</f>
        <v>0</v>
      </c>
      <c r="AC45" s="134" t="str">
        <f aca="false">IFERROR(IF(OR(7&gt;$B$3,ISBLANK(Actuals!I51)),"",(Budget!I51-Actuals!I51)/ABS(Budget!I51)),"")</f>
        <v/>
      </c>
      <c r="AD45" s="133" t="n">
        <f aca="false">Budget!J51</f>
        <v>0</v>
      </c>
      <c r="AE45" s="133" t="n">
        <f aca="false">IF(OR(8&gt;$B$3,ISBLANK(Actuals!J51)),"",Actuals!J51)</f>
        <v>0</v>
      </c>
      <c r="AF45" s="134" t="n">
        <f aca="false">IF(OR(8&gt;$B$3,ISBLANK(Actuals!J51)),"",Budget!J51-Actuals!J51)</f>
        <v>0</v>
      </c>
      <c r="AG45" s="134" t="str">
        <f aca="false">IFERROR(IF(OR(8&gt;$B$3,ISBLANK(Actuals!J51)),"",(Budget!J51-Actuals!J51)/ABS(Budget!J51)),"")</f>
        <v/>
      </c>
      <c r="AH45" s="133" t="n">
        <f aca="false">Budget!K51</f>
        <v>0</v>
      </c>
      <c r="AI45" s="133" t="str">
        <f aca="false">IF(OR(9&gt;$B$3,ISBLANK(Actuals!K51)),"",Actuals!K51)</f>
        <v/>
      </c>
      <c r="AJ45" s="134" t="str">
        <f aca="false">IF(OR(9&gt;$B$3,ISBLANK(Actuals!K51)),"",Budget!K51-Actuals!K51)</f>
        <v/>
      </c>
      <c r="AK45" s="134" t="str">
        <f aca="false">IFERROR(IF(OR(9&gt;$B$3,ISBLANK(Actuals!K51)),"",(Budget!K51-Actuals!K51)/ABS(Budget!K51)),"")</f>
        <v/>
      </c>
      <c r="AL45" s="133" t="n">
        <f aca="false">Budget!L51</f>
        <v>0</v>
      </c>
      <c r="AM45" s="133" t="str">
        <f aca="false">IF(OR(10&gt;$B$3,ISBLANK(Actuals!L51)),"",Actuals!L51)</f>
        <v/>
      </c>
      <c r="AN45" s="134" t="str">
        <f aca="false">IF(OR(10&gt;$B$3,ISBLANK(Actuals!L51)),"",Budget!L51-Actuals!L51)</f>
        <v/>
      </c>
      <c r="AO45" s="134" t="str">
        <f aca="false">IFERROR(IF(OR(10&gt;$B$3,ISBLANK(Actuals!L51)),"",(Budget!L51-Actuals!L51)/ABS(Budget!L51)),"")</f>
        <v/>
      </c>
      <c r="AP45" s="133" t="n">
        <f aca="false">Budget!M51</f>
        <v>0</v>
      </c>
      <c r="AQ45" s="133" t="str">
        <f aca="false">IF(OR(11&gt;$B$3,ISBLANK(Actuals!M51)),"",Actuals!M51)</f>
        <v/>
      </c>
      <c r="AR45" s="134" t="str">
        <f aca="false">IF(OR(11&gt;$B$3,ISBLANK(Actuals!M51)),"",Budget!M51-Actuals!M51)</f>
        <v/>
      </c>
      <c r="AS45" s="134" t="str">
        <f aca="false">IFERROR(IF(OR(11&gt;$B$3,ISBLANK(Actuals!M51)),"",(Budget!M51-Actuals!M51)/ABS(Budget!M51)),"")</f>
        <v/>
      </c>
      <c r="AT45" s="133" t="n">
        <f aca="false">Budget!N51</f>
        <v>0</v>
      </c>
      <c r="AU45" s="133" t="str">
        <f aca="false">IF(OR(12&gt;$B$3,ISBLANK(Actuals!N51)),"",Actuals!N51)</f>
        <v/>
      </c>
      <c r="AV45" s="134" t="str">
        <f aca="false">IF(OR(12&gt;$B$3,ISBLANK(Actuals!N51)),"",Budget!N51-Actuals!N51)</f>
        <v/>
      </c>
      <c r="AW45" s="134" t="str">
        <f aca="false">IFERROR(IF(OR(12&gt;$B$3,ISBLANK(Actuals!N51)),"",(Budget!N51-Actuals!N51)/ABS(Budget!N51)),"")</f>
        <v/>
      </c>
      <c r="AX45" s="135" t="n">
        <f aca="false">SUMPRODUCT((Actuals!C51:N51&lt;&gt;"")*(Budget!C51:N51))</f>
        <v>0</v>
      </c>
      <c r="AY45" s="135" t="n">
        <f aca="false">SUM(Actuals!C51:N51)</f>
        <v>-63</v>
      </c>
      <c r="AZ45" s="136" t="n">
        <f aca="false">AX45-AY45</f>
        <v>63</v>
      </c>
    </row>
    <row r="46" customFormat="false" ht="15" hidden="false" customHeight="true" outlineLevel="0" collapsed="false">
      <c r="A46" s="132" t="s">
        <v>499</v>
      </c>
      <c r="B46" s="133" t="n">
        <f aca="false">Budget!C52</f>
        <v>0</v>
      </c>
      <c r="C46" s="133" t="str">
        <f aca="false">IF(OR(1&gt;$B$3,ISBLANK(Actuals!C52)),"",Actuals!C52)</f>
        <v/>
      </c>
      <c r="D46" s="134" t="str">
        <f aca="false">IF(OR(1&gt;$B$3,ISBLANK(Actuals!C52)),"",Budget!C52-Actuals!C52)</f>
        <v/>
      </c>
      <c r="E46" s="134" t="str">
        <f aca="false">IFERROR(IF(OR(1&gt;$B$3,ISBLANK(Actuals!C52)),"",(Budget!C52-Actuals!C52)/ABS(Budget!C52)),"")</f>
        <v/>
      </c>
      <c r="F46" s="133" t="n">
        <f aca="false">Budget!D52</f>
        <v>0</v>
      </c>
      <c r="G46" s="133" t="str">
        <f aca="false">IF(OR(2&gt;$B$3,ISBLANK(Actuals!D52)),"",Actuals!D52)</f>
        <v/>
      </c>
      <c r="H46" s="134" t="str">
        <f aca="false">IF(OR(2&gt;$B$3,ISBLANK(Actuals!D52)),"",Budget!D52-Actuals!D52)</f>
        <v/>
      </c>
      <c r="I46" s="134" t="str">
        <f aca="false">IFERROR(IF(OR(2&gt;$B$3,ISBLANK(Actuals!D52)),"",(Budget!D52-Actuals!D52)/ABS(Budget!D52)),"")</f>
        <v/>
      </c>
      <c r="J46" s="133" t="n">
        <f aca="false">Budget!E52</f>
        <v>0</v>
      </c>
      <c r="K46" s="133" t="str">
        <f aca="false">IF(OR(3&gt;$B$3,ISBLANK(Actuals!E52)),"",Actuals!E52)</f>
        <v/>
      </c>
      <c r="L46" s="134" t="str">
        <f aca="false">IF(OR(3&gt;$B$3,ISBLANK(Actuals!E52)),"",Budget!E52-Actuals!E52)</f>
        <v/>
      </c>
      <c r="M46" s="134" t="str">
        <f aca="false">IFERROR(IF(OR(3&gt;$B$3,ISBLANK(Actuals!E52)),"",(Budget!E52-Actuals!E52)/ABS(Budget!E52)),"")</f>
        <v/>
      </c>
      <c r="N46" s="133" t="n">
        <f aca="false">Budget!F52</f>
        <v>0</v>
      </c>
      <c r="O46" s="133" t="str">
        <f aca="false">IF(OR(4&gt;$B$3,ISBLANK(Actuals!F52)),"",Actuals!F52)</f>
        <v/>
      </c>
      <c r="P46" s="134" t="str">
        <f aca="false">IF(OR(4&gt;$B$3,ISBLANK(Actuals!F52)),"",Budget!F52-Actuals!F52)</f>
        <v/>
      </c>
      <c r="Q46" s="134" t="str">
        <f aca="false">IFERROR(IF(OR(4&gt;$B$3,ISBLANK(Actuals!F52)),"",(Budget!F52-Actuals!F52)/ABS(Budget!F52)),"")</f>
        <v/>
      </c>
      <c r="R46" s="133" t="n">
        <f aca="false">Budget!G52</f>
        <v>0</v>
      </c>
      <c r="S46" s="133" t="str">
        <f aca="false">IF(OR(5&gt;$B$3,ISBLANK(Actuals!G52)),"",Actuals!G52)</f>
        <v/>
      </c>
      <c r="T46" s="134" t="str">
        <f aca="false">IF(OR(5&gt;$B$3,ISBLANK(Actuals!G52)),"",Budget!G52-Actuals!G52)</f>
        <v/>
      </c>
      <c r="U46" s="134" t="str">
        <f aca="false">IFERROR(IF(OR(5&gt;$B$3,ISBLANK(Actuals!G52)),"",(Budget!G52-Actuals!G52)/ABS(Budget!G52)),"")</f>
        <v/>
      </c>
      <c r="V46" s="133" t="n">
        <f aca="false">Budget!H52</f>
        <v>0</v>
      </c>
      <c r="W46" s="133" t="str">
        <f aca="false">IF(OR(6&gt;$B$3,ISBLANK(Actuals!H52)),"",Actuals!H52)</f>
        <v/>
      </c>
      <c r="X46" s="134" t="str">
        <f aca="false">IF(OR(6&gt;$B$3,ISBLANK(Actuals!H52)),"",Budget!H52-Actuals!H52)</f>
        <v/>
      </c>
      <c r="Y46" s="134" t="str">
        <f aca="false">IFERROR(IF(OR(6&gt;$B$3,ISBLANK(Actuals!H52)),"",(Budget!H52-Actuals!H52)/ABS(Budget!H52)),"")</f>
        <v/>
      </c>
      <c r="Z46" s="133" t="n">
        <f aca="false">Budget!I52</f>
        <v>0</v>
      </c>
      <c r="AA46" s="133" t="str">
        <f aca="false">IF(OR(7&gt;$B$3,ISBLANK(Actuals!I52)),"",Actuals!I52)</f>
        <v/>
      </c>
      <c r="AB46" s="134" t="str">
        <f aca="false">IF(OR(7&gt;$B$3,ISBLANK(Actuals!I52)),"",Budget!I52-Actuals!I52)</f>
        <v/>
      </c>
      <c r="AC46" s="134" t="str">
        <f aca="false">IFERROR(IF(OR(7&gt;$B$3,ISBLANK(Actuals!I52)),"",(Budget!I52-Actuals!I52)/ABS(Budget!I52)),"")</f>
        <v/>
      </c>
      <c r="AD46" s="133" t="n">
        <f aca="false">Budget!J52</f>
        <v>0</v>
      </c>
      <c r="AE46" s="133" t="str">
        <f aca="false">IF(OR(8&gt;$B$3,ISBLANK(Actuals!J52)),"",Actuals!J52)</f>
        <v/>
      </c>
      <c r="AF46" s="134" t="str">
        <f aca="false">IF(OR(8&gt;$B$3,ISBLANK(Actuals!J52)),"",Budget!J52-Actuals!J52)</f>
        <v/>
      </c>
      <c r="AG46" s="134" t="str">
        <f aca="false">IFERROR(IF(OR(8&gt;$B$3,ISBLANK(Actuals!J52)),"",(Budget!J52-Actuals!J52)/ABS(Budget!J52)),"")</f>
        <v/>
      </c>
      <c r="AH46" s="133" t="n">
        <f aca="false">Budget!K52</f>
        <v>0</v>
      </c>
      <c r="AI46" s="133" t="str">
        <f aca="false">IF(OR(9&gt;$B$3,ISBLANK(Actuals!K52)),"",Actuals!K52)</f>
        <v/>
      </c>
      <c r="AJ46" s="134" t="str">
        <f aca="false">IF(OR(9&gt;$B$3,ISBLANK(Actuals!K52)),"",Budget!K52-Actuals!K52)</f>
        <v/>
      </c>
      <c r="AK46" s="134" t="str">
        <f aca="false">IFERROR(IF(OR(9&gt;$B$3,ISBLANK(Actuals!K52)),"",(Budget!K52-Actuals!K52)/ABS(Budget!K52)),"")</f>
        <v/>
      </c>
      <c r="AL46" s="133" t="n">
        <f aca="false">Budget!L52</f>
        <v>0</v>
      </c>
      <c r="AM46" s="133" t="str">
        <f aca="false">IF(OR(10&gt;$B$3,ISBLANK(Actuals!L52)),"",Actuals!L52)</f>
        <v/>
      </c>
      <c r="AN46" s="134" t="str">
        <f aca="false">IF(OR(10&gt;$B$3,ISBLANK(Actuals!L52)),"",Budget!L52-Actuals!L52)</f>
        <v/>
      </c>
      <c r="AO46" s="134" t="str">
        <f aca="false">IFERROR(IF(OR(10&gt;$B$3,ISBLANK(Actuals!L52)),"",(Budget!L52-Actuals!L52)/ABS(Budget!L52)),"")</f>
        <v/>
      </c>
      <c r="AP46" s="133" t="n">
        <f aca="false">Budget!M52</f>
        <v>0</v>
      </c>
      <c r="AQ46" s="133" t="str">
        <f aca="false">IF(OR(11&gt;$B$3,ISBLANK(Actuals!M52)),"",Actuals!M52)</f>
        <v/>
      </c>
      <c r="AR46" s="134" t="str">
        <f aca="false">IF(OR(11&gt;$B$3,ISBLANK(Actuals!M52)),"",Budget!M52-Actuals!M52)</f>
        <v/>
      </c>
      <c r="AS46" s="134" t="str">
        <f aca="false">IFERROR(IF(OR(11&gt;$B$3,ISBLANK(Actuals!M52)),"",(Budget!M52-Actuals!M52)/ABS(Budget!M52)),"")</f>
        <v/>
      </c>
      <c r="AT46" s="133" t="n">
        <f aca="false">Budget!N52</f>
        <v>0</v>
      </c>
      <c r="AU46" s="133" t="str">
        <f aca="false">IF(OR(12&gt;$B$3,ISBLANK(Actuals!N52)),"",Actuals!N52)</f>
        <v/>
      </c>
      <c r="AV46" s="134" t="str">
        <f aca="false">IF(OR(12&gt;$B$3,ISBLANK(Actuals!N52)),"",Budget!N52-Actuals!N52)</f>
        <v/>
      </c>
      <c r="AW46" s="134" t="str">
        <f aca="false">IFERROR(IF(OR(12&gt;$B$3,ISBLANK(Actuals!N52)),"",(Budget!N52-Actuals!N52)/ABS(Budget!N52)),"")</f>
        <v/>
      </c>
      <c r="AX46" s="135" t="n">
        <f aca="false">SUMPRODUCT((Actuals!C52:N52&lt;&gt;"")*(Budget!C52:N52))</f>
        <v>0</v>
      </c>
      <c r="AY46" s="135" t="n">
        <f aca="false">SUM(Actuals!C52:N52)</f>
        <v>0</v>
      </c>
      <c r="AZ46" s="136" t="n">
        <f aca="false">AX46-AY46</f>
        <v>0</v>
      </c>
    </row>
    <row r="47" customFormat="false" ht="15" hidden="false" customHeight="true" outlineLevel="0" collapsed="false">
      <c r="A47" s="132" t="s">
        <v>96</v>
      </c>
      <c r="B47" s="133" t="n">
        <f aca="false">Budget!C53</f>
        <v>-416.67</v>
      </c>
      <c r="C47" s="133" t="n">
        <f aca="false">IF(OR(1&gt;$B$3,ISBLANK(Actuals!C53)),"",Actuals!C53)</f>
        <v>0</v>
      </c>
      <c r="D47" s="134" t="n">
        <f aca="false">IF(OR(1&gt;$B$3,ISBLANK(Actuals!C53)),"",Budget!C53-Actuals!C53)</f>
        <v>-416.67</v>
      </c>
      <c r="E47" s="134" t="n">
        <f aca="false">IFERROR(IF(OR(1&gt;$B$3,ISBLANK(Actuals!C53)),"",(Budget!C53-Actuals!C53)/ABS(Budget!C53)),"")</f>
        <v>-1</v>
      </c>
      <c r="F47" s="133" t="n">
        <f aca="false">Budget!D53</f>
        <v>-416.67</v>
      </c>
      <c r="G47" s="133" t="n">
        <f aca="false">IF(OR(2&gt;$B$3,ISBLANK(Actuals!D53)),"",Actuals!D53)</f>
        <v>0</v>
      </c>
      <c r="H47" s="134" t="n">
        <f aca="false">IF(OR(2&gt;$B$3,ISBLANK(Actuals!D53)),"",Budget!D53-Actuals!D53)</f>
        <v>-416.67</v>
      </c>
      <c r="I47" s="134" t="n">
        <f aca="false">IFERROR(IF(OR(2&gt;$B$3,ISBLANK(Actuals!D53)),"",(Budget!D53-Actuals!D53)/ABS(Budget!D53)),"")</f>
        <v>-1</v>
      </c>
      <c r="J47" s="133" t="n">
        <f aca="false">Budget!E53</f>
        <v>-416.67</v>
      </c>
      <c r="K47" s="133" t="n">
        <f aca="false">IF(OR(3&gt;$B$3,ISBLANK(Actuals!E53)),"",Actuals!E53)</f>
        <v>-11105.35</v>
      </c>
      <c r="L47" s="134" t="n">
        <f aca="false">IF(OR(3&gt;$B$3,ISBLANK(Actuals!E53)),"",Budget!E53-Actuals!E53)</f>
        <v>10688.68</v>
      </c>
      <c r="M47" s="134" t="n">
        <f aca="false">IFERROR(IF(OR(3&gt;$B$3,ISBLANK(Actuals!E53)),"",(Budget!E53-Actuals!E53)/ABS(Budget!E53)),"")</f>
        <v>25.6526267789858</v>
      </c>
      <c r="N47" s="133" t="n">
        <f aca="false">Budget!F53</f>
        <v>-416.67</v>
      </c>
      <c r="O47" s="133" t="n">
        <f aca="false">IF(OR(4&gt;$B$3,ISBLANK(Actuals!F53)),"",Actuals!F53)</f>
        <v>0</v>
      </c>
      <c r="P47" s="134" t="n">
        <f aca="false">IF(OR(4&gt;$B$3,ISBLANK(Actuals!F53)),"",Budget!F53-Actuals!F53)</f>
        <v>-416.67</v>
      </c>
      <c r="Q47" s="134" t="n">
        <f aca="false">IFERROR(IF(OR(4&gt;$B$3,ISBLANK(Actuals!F53)),"",(Budget!F53-Actuals!F53)/ABS(Budget!F53)),"")</f>
        <v>-1</v>
      </c>
      <c r="R47" s="133" t="n">
        <f aca="false">Budget!G53</f>
        <v>-416.67</v>
      </c>
      <c r="S47" s="133" t="n">
        <f aca="false">IF(OR(5&gt;$B$3,ISBLANK(Actuals!G53)),"",Actuals!G53)</f>
        <v>0</v>
      </c>
      <c r="T47" s="134" t="n">
        <f aca="false">IF(OR(5&gt;$B$3,ISBLANK(Actuals!G53)),"",Budget!G53-Actuals!G53)</f>
        <v>-416.67</v>
      </c>
      <c r="U47" s="134" t="n">
        <f aca="false">IFERROR(IF(OR(5&gt;$B$3,ISBLANK(Actuals!G53)),"",(Budget!G53-Actuals!G53)/ABS(Budget!G53)),"")</f>
        <v>-1</v>
      </c>
      <c r="V47" s="133" t="n">
        <f aca="false">Budget!H53</f>
        <v>-416.67</v>
      </c>
      <c r="W47" s="133" t="n">
        <f aca="false">IF(OR(6&gt;$B$3,ISBLANK(Actuals!H53)),"",Actuals!H53)</f>
        <v>0</v>
      </c>
      <c r="X47" s="134" t="n">
        <f aca="false">IF(OR(6&gt;$B$3,ISBLANK(Actuals!H53)),"",Budget!H53-Actuals!H53)</f>
        <v>-416.67</v>
      </c>
      <c r="Y47" s="134" t="n">
        <f aca="false">IFERROR(IF(OR(6&gt;$B$3,ISBLANK(Actuals!H53)),"",(Budget!H53-Actuals!H53)/ABS(Budget!H53)),"")</f>
        <v>-1</v>
      </c>
      <c r="Z47" s="133" t="n">
        <f aca="false">Budget!I53</f>
        <v>-425</v>
      </c>
      <c r="AA47" s="133" t="n">
        <f aca="false">IF(OR(7&gt;$B$3,ISBLANK(Actuals!I53)),"",Actuals!I53)</f>
        <v>0</v>
      </c>
      <c r="AB47" s="134" t="n">
        <f aca="false">IF(OR(7&gt;$B$3,ISBLANK(Actuals!I53)),"",Budget!I53-Actuals!I53)</f>
        <v>-425</v>
      </c>
      <c r="AC47" s="134" t="n">
        <f aca="false">IFERROR(IF(OR(7&gt;$B$3,ISBLANK(Actuals!I53)),"",(Budget!I53-Actuals!I53)/ABS(Budget!I53)),"")</f>
        <v>-1</v>
      </c>
      <c r="AD47" s="133" t="n">
        <f aca="false">Budget!J53</f>
        <v>-425</v>
      </c>
      <c r="AE47" s="133" t="n">
        <f aca="false">IF(OR(8&gt;$B$3,ISBLANK(Actuals!J53)),"",Actuals!J53)</f>
        <v>0</v>
      </c>
      <c r="AF47" s="134" t="n">
        <f aca="false">IF(OR(8&gt;$B$3,ISBLANK(Actuals!J53)),"",Budget!J53-Actuals!J53)</f>
        <v>-425</v>
      </c>
      <c r="AG47" s="134" t="n">
        <f aca="false">IFERROR(IF(OR(8&gt;$B$3,ISBLANK(Actuals!J53)),"",(Budget!J53-Actuals!J53)/ABS(Budget!J53)),"")</f>
        <v>-1</v>
      </c>
      <c r="AH47" s="133" t="n">
        <f aca="false">Budget!K53</f>
        <v>-425</v>
      </c>
      <c r="AI47" s="133" t="str">
        <f aca="false">IF(OR(9&gt;$B$3,ISBLANK(Actuals!K53)),"",Actuals!K53)</f>
        <v/>
      </c>
      <c r="AJ47" s="134" t="str">
        <f aca="false">IF(OR(9&gt;$B$3,ISBLANK(Actuals!K53)),"",Budget!K53-Actuals!K53)</f>
        <v/>
      </c>
      <c r="AK47" s="134" t="str">
        <f aca="false">IFERROR(IF(OR(9&gt;$B$3,ISBLANK(Actuals!K53)),"",(Budget!K53-Actuals!K53)/ABS(Budget!K53)),"")</f>
        <v/>
      </c>
      <c r="AL47" s="133" t="n">
        <f aca="false">Budget!L53</f>
        <v>-425</v>
      </c>
      <c r="AM47" s="133" t="str">
        <f aca="false">IF(OR(10&gt;$B$3,ISBLANK(Actuals!L53)),"",Actuals!L53)</f>
        <v/>
      </c>
      <c r="AN47" s="134" t="str">
        <f aca="false">IF(OR(10&gt;$B$3,ISBLANK(Actuals!L53)),"",Budget!L53-Actuals!L53)</f>
        <v/>
      </c>
      <c r="AO47" s="134" t="str">
        <f aca="false">IFERROR(IF(OR(10&gt;$B$3,ISBLANK(Actuals!L53)),"",(Budget!L53-Actuals!L53)/ABS(Budget!L53)),"")</f>
        <v/>
      </c>
      <c r="AP47" s="133" t="n">
        <f aca="false">Budget!M53</f>
        <v>-425</v>
      </c>
      <c r="AQ47" s="133" t="str">
        <f aca="false">IF(OR(11&gt;$B$3,ISBLANK(Actuals!M53)),"",Actuals!M53)</f>
        <v/>
      </c>
      <c r="AR47" s="134" t="str">
        <f aca="false">IF(OR(11&gt;$B$3,ISBLANK(Actuals!M53)),"",Budget!M53-Actuals!M53)</f>
        <v/>
      </c>
      <c r="AS47" s="134" t="str">
        <f aca="false">IFERROR(IF(OR(11&gt;$B$3,ISBLANK(Actuals!M53)),"",(Budget!M53-Actuals!M53)/ABS(Budget!M53)),"")</f>
        <v/>
      </c>
      <c r="AT47" s="133" t="n">
        <f aca="false">Budget!N53</f>
        <v>-425</v>
      </c>
      <c r="AU47" s="133" t="str">
        <f aca="false">IF(OR(12&gt;$B$3,ISBLANK(Actuals!N53)),"",Actuals!N53)</f>
        <v/>
      </c>
      <c r="AV47" s="134" t="str">
        <f aca="false">IF(OR(12&gt;$B$3,ISBLANK(Actuals!N53)),"",Budget!N53-Actuals!N53)</f>
        <v/>
      </c>
      <c r="AW47" s="134" t="str">
        <f aca="false">IFERROR(IF(OR(12&gt;$B$3,ISBLANK(Actuals!N53)),"",(Budget!N53-Actuals!N53)/ABS(Budget!N53)),"")</f>
        <v/>
      </c>
      <c r="AX47" s="135" t="n">
        <f aca="false">SUMPRODUCT((Actuals!C53:N53&lt;&gt;"")*(Budget!C53:N53))</f>
        <v>-3350.02</v>
      </c>
      <c r="AY47" s="135" t="n">
        <f aca="false">SUM(Actuals!C53:N53)</f>
        <v>-11105.35</v>
      </c>
      <c r="AZ47" s="136" t="n">
        <f aca="false">AX47-AY47</f>
        <v>7755.33</v>
      </c>
    </row>
    <row r="48" customFormat="false" ht="15" hidden="false" customHeight="true" outlineLevel="0" collapsed="false">
      <c r="A48" s="132" t="s">
        <v>500</v>
      </c>
      <c r="B48" s="133" t="n">
        <f aca="false">Budget!C54</f>
        <v>0</v>
      </c>
      <c r="C48" s="133" t="str">
        <f aca="false">IF(OR(1&gt;$B$3,ISBLANK(Actuals!C54)),"",Actuals!C54)</f>
        <v/>
      </c>
      <c r="D48" s="134" t="str">
        <f aca="false">IF(OR(1&gt;$B$3,ISBLANK(Actuals!C54)),"",Budget!C54-Actuals!C54)</f>
        <v/>
      </c>
      <c r="E48" s="134" t="str">
        <f aca="false">IFERROR(IF(OR(1&gt;$B$3,ISBLANK(Actuals!C54)),"",(Budget!C54-Actuals!C54)/ABS(Budget!C54)),"")</f>
        <v/>
      </c>
      <c r="F48" s="133" t="n">
        <f aca="false">Budget!D54</f>
        <v>0</v>
      </c>
      <c r="G48" s="133" t="str">
        <f aca="false">IF(OR(2&gt;$B$3,ISBLANK(Actuals!D54)),"",Actuals!D54)</f>
        <v/>
      </c>
      <c r="H48" s="134" t="str">
        <f aca="false">IF(OR(2&gt;$B$3,ISBLANK(Actuals!D54)),"",Budget!D54-Actuals!D54)</f>
        <v/>
      </c>
      <c r="I48" s="134" t="str">
        <f aca="false">IFERROR(IF(OR(2&gt;$B$3,ISBLANK(Actuals!D54)),"",(Budget!D54-Actuals!D54)/ABS(Budget!D54)),"")</f>
        <v/>
      </c>
      <c r="J48" s="133" t="n">
        <f aca="false">Budget!E54</f>
        <v>0</v>
      </c>
      <c r="K48" s="133" t="str">
        <f aca="false">IF(OR(3&gt;$B$3,ISBLANK(Actuals!E54)),"",Actuals!E54)</f>
        <v/>
      </c>
      <c r="L48" s="134" t="str">
        <f aca="false">IF(OR(3&gt;$B$3,ISBLANK(Actuals!E54)),"",Budget!E54-Actuals!E54)</f>
        <v/>
      </c>
      <c r="M48" s="134" t="str">
        <f aca="false">IFERROR(IF(OR(3&gt;$B$3,ISBLANK(Actuals!E54)),"",(Budget!E54-Actuals!E54)/ABS(Budget!E54)),"")</f>
        <v/>
      </c>
      <c r="N48" s="133" t="n">
        <f aca="false">Budget!F54</f>
        <v>0</v>
      </c>
      <c r="O48" s="133" t="str">
        <f aca="false">IF(OR(4&gt;$B$3,ISBLANK(Actuals!F54)),"",Actuals!F54)</f>
        <v/>
      </c>
      <c r="P48" s="134" t="str">
        <f aca="false">IF(OR(4&gt;$B$3,ISBLANK(Actuals!F54)),"",Budget!F54-Actuals!F54)</f>
        <v/>
      </c>
      <c r="Q48" s="134" t="str">
        <f aca="false">IFERROR(IF(OR(4&gt;$B$3,ISBLANK(Actuals!F54)),"",(Budget!F54-Actuals!F54)/ABS(Budget!F54)),"")</f>
        <v/>
      </c>
      <c r="R48" s="133" t="n">
        <f aca="false">Budget!G54</f>
        <v>0</v>
      </c>
      <c r="S48" s="133" t="str">
        <f aca="false">IF(OR(5&gt;$B$3,ISBLANK(Actuals!G54)),"",Actuals!G54)</f>
        <v/>
      </c>
      <c r="T48" s="134" t="str">
        <f aca="false">IF(OR(5&gt;$B$3,ISBLANK(Actuals!G54)),"",Budget!G54-Actuals!G54)</f>
        <v/>
      </c>
      <c r="U48" s="134" t="str">
        <f aca="false">IFERROR(IF(OR(5&gt;$B$3,ISBLANK(Actuals!G54)),"",(Budget!G54-Actuals!G54)/ABS(Budget!G54)),"")</f>
        <v/>
      </c>
      <c r="V48" s="133" t="n">
        <f aca="false">Budget!H54</f>
        <v>0</v>
      </c>
      <c r="W48" s="133" t="n">
        <f aca="false">IF(OR(6&gt;$B$3,ISBLANK(Actuals!H54)),"",Actuals!H54)</f>
        <v>-612.68</v>
      </c>
      <c r="X48" s="134" t="n">
        <f aca="false">IF(OR(6&gt;$B$3,ISBLANK(Actuals!H54)),"",Budget!H54-Actuals!H54)</f>
        <v>612.68</v>
      </c>
      <c r="Y48" s="134" t="str">
        <f aca="false">IFERROR(IF(OR(6&gt;$B$3,ISBLANK(Actuals!H54)),"",(Budget!H54-Actuals!H54)/ABS(Budget!H54)),"")</f>
        <v/>
      </c>
      <c r="Z48" s="133" t="n">
        <f aca="false">Budget!I54</f>
        <v>0</v>
      </c>
      <c r="AA48" s="133" t="n">
        <f aca="false">IF(OR(7&gt;$B$3,ISBLANK(Actuals!I54)),"",Actuals!I54)</f>
        <v>-1609.91</v>
      </c>
      <c r="AB48" s="134" t="n">
        <f aca="false">IF(OR(7&gt;$B$3,ISBLANK(Actuals!I54)),"",Budget!I54-Actuals!I54)</f>
        <v>1609.91</v>
      </c>
      <c r="AC48" s="134" t="str">
        <f aca="false">IFERROR(IF(OR(7&gt;$B$3,ISBLANK(Actuals!I54)),"",(Budget!I54-Actuals!I54)/ABS(Budget!I54)),"")</f>
        <v/>
      </c>
      <c r="AD48" s="133" t="n">
        <f aca="false">Budget!J54</f>
        <v>0</v>
      </c>
      <c r="AE48" s="133" t="n">
        <f aca="false">IF(OR(8&gt;$B$3,ISBLANK(Actuals!J54)),"",Actuals!J54)</f>
        <v>-1609.91</v>
      </c>
      <c r="AF48" s="134" t="n">
        <f aca="false">IF(OR(8&gt;$B$3,ISBLANK(Actuals!J54)),"",Budget!J54-Actuals!J54)</f>
        <v>1609.91</v>
      </c>
      <c r="AG48" s="134" t="str">
        <f aca="false">IFERROR(IF(OR(8&gt;$B$3,ISBLANK(Actuals!J54)),"",(Budget!J54-Actuals!J54)/ABS(Budget!J54)),"")</f>
        <v/>
      </c>
      <c r="AH48" s="133" t="n">
        <f aca="false">Budget!K54</f>
        <v>0</v>
      </c>
      <c r="AI48" s="133" t="str">
        <f aca="false">IF(OR(9&gt;$B$3,ISBLANK(Actuals!K54)),"",Actuals!K54)</f>
        <v/>
      </c>
      <c r="AJ48" s="134" t="str">
        <f aca="false">IF(OR(9&gt;$B$3,ISBLANK(Actuals!K54)),"",Budget!K54-Actuals!K54)</f>
        <v/>
      </c>
      <c r="AK48" s="134" t="str">
        <f aca="false">IFERROR(IF(OR(9&gt;$B$3,ISBLANK(Actuals!K54)),"",(Budget!K54-Actuals!K54)/ABS(Budget!K54)),"")</f>
        <v/>
      </c>
      <c r="AL48" s="133" t="n">
        <f aca="false">Budget!L54</f>
        <v>0</v>
      </c>
      <c r="AM48" s="133" t="str">
        <f aca="false">IF(OR(10&gt;$B$3,ISBLANK(Actuals!L54)),"",Actuals!L54)</f>
        <v/>
      </c>
      <c r="AN48" s="134" t="str">
        <f aca="false">IF(OR(10&gt;$B$3,ISBLANK(Actuals!L54)),"",Budget!L54-Actuals!L54)</f>
        <v/>
      </c>
      <c r="AO48" s="134" t="str">
        <f aca="false">IFERROR(IF(OR(10&gt;$B$3,ISBLANK(Actuals!L54)),"",(Budget!L54-Actuals!L54)/ABS(Budget!L54)),"")</f>
        <v/>
      </c>
      <c r="AP48" s="133" t="n">
        <f aca="false">Budget!M54</f>
        <v>0</v>
      </c>
      <c r="AQ48" s="133" t="str">
        <f aca="false">IF(OR(11&gt;$B$3,ISBLANK(Actuals!M54)),"",Actuals!M54)</f>
        <v/>
      </c>
      <c r="AR48" s="134" t="str">
        <f aca="false">IF(OR(11&gt;$B$3,ISBLANK(Actuals!M54)),"",Budget!M54-Actuals!M54)</f>
        <v/>
      </c>
      <c r="AS48" s="134" t="str">
        <f aca="false">IFERROR(IF(OR(11&gt;$B$3,ISBLANK(Actuals!M54)),"",(Budget!M54-Actuals!M54)/ABS(Budget!M54)),"")</f>
        <v/>
      </c>
      <c r="AT48" s="133" t="n">
        <f aca="false">Budget!N54</f>
        <v>0</v>
      </c>
      <c r="AU48" s="133" t="str">
        <f aca="false">IF(OR(12&gt;$B$3,ISBLANK(Actuals!N54)),"",Actuals!N54)</f>
        <v/>
      </c>
      <c r="AV48" s="134" t="str">
        <f aca="false">IF(OR(12&gt;$B$3,ISBLANK(Actuals!N54)),"",Budget!N54-Actuals!N54)</f>
        <v/>
      </c>
      <c r="AW48" s="134" t="str">
        <f aca="false">IFERROR(IF(OR(12&gt;$B$3,ISBLANK(Actuals!N54)),"",(Budget!N54-Actuals!N54)/ABS(Budget!N54)),"")</f>
        <v/>
      </c>
      <c r="AX48" s="135" t="n">
        <f aca="false">SUMPRODUCT((Actuals!C54:N54&lt;&gt;"")*(Budget!C54:N54))</f>
        <v>0</v>
      </c>
      <c r="AY48" s="135" t="n">
        <f aca="false">SUM(Actuals!C54:N54)</f>
        <v>-3832.5</v>
      </c>
      <c r="AZ48" s="136" t="n">
        <f aca="false">AX48-AY48</f>
        <v>3832.5</v>
      </c>
    </row>
    <row r="49" customFormat="false" ht="15" hidden="false" customHeight="true" outlineLevel="0" collapsed="false">
      <c r="A49" s="132" t="s">
        <v>101</v>
      </c>
      <c r="B49" s="133" t="n">
        <f aca="false">Budget!C64</f>
        <v>833.33</v>
      </c>
      <c r="C49" s="133" t="n">
        <f aca="false">IF(OR(1&gt;$B$3,ISBLANK(Actuals!C64)),"",Actuals!C64)</f>
        <v>833.33</v>
      </c>
      <c r="D49" s="134" t="n">
        <f aca="false">IF(OR(1&gt;$B$3,ISBLANK(Actuals!C64)),"",Budget!C64-Actuals!C64)</f>
        <v>0</v>
      </c>
      <c r="E49" s="134" t="n">
        <f aca="false">IFERROR(IF(OR(1&gt;$B$3,ISBLANK(Actuals!C64)),"",(Budget!C64-Actuals!C64)/ABS(Budget!C64)),"")</f>
        <v>0</v>
      </c>
      <c r="F49" s="133" t="n">
        <f aca="false">Budget!D64</f>
        <v>833.33</v>
      </c>
      <c r="G49" s="133" t="n">
        <f aca="false">IF(OR(2&gt;$B$3,ISBLANK(Actuals!D64)),"",Actuals!D64)</f>
        <v>833.33</v>
      </c>
      <c r="H49" s="134" t="n">
        <f aca="false">IF(OR(2&gt;$B$3,ISBLANK(Actuals!D64)),"",Budget!D64-Actuals!D64)</f>
        <v>0</v>
      </c>
      <c r="I49" s="134" t="n">
        <f aca="false">IFERROR(IF(OR(2&gt;$B$3,ISBLANK(Actuals!D64)),"",(Budget!D64-Actuals!D64)/ABS(Budget!D64)),"")</f>
        <v>0</v>
      </c>
      <c r="J49" s="133" t="n">
        <f aca="false">Budget!E64</f>
        <v>833.33</v>
      </c>
      <c r="K49" s="133" t="n">
        <f aca="false">IF(OR(3&gt;$B$3,ISBLANK(Actuals!E64)),"",Actuals!E64)</f>
        <v>833.33</v>
      </c>
      <c r="L49" s="134" t="n">
        <f aca="false">IF(OR(3&gt;$B$3,ISBLANK(Actuals!E64)),"",Budget!E64-Actuals!E64)</f>
        <v>0</v>
      </c>
      <c r="M49" s="134" t="n">
        <f aca="false">IFERROR(IF(OR(3&gt;$B$3,ISBLANK(Actuals!E64)),"",(Budget!E64-Actuals!E64)/ABS(Budget!E64)),"")</f>
        <v>0</v>
      </c>
      <c r="N49" s="133" t="n">
        <f aca="false">Budget!F64</f>
        <v>833.33</v>
      </c>
      <c r="O49" s="133" t="n">
        <f aca="false">IF(OR(4&gt;$B$3,ISBLANK(Actuals!F64)),"",Actuals!F64)</f>
        <v>833.33</v>
      </c>
      <c r="P49" s="134" t="n">
        <f aca="false">IF(OR(4&gt;$B$3,ISBLANK(Actuals!F64)),"",Budget!F64-Actuals!F64)</f>
        <v>0</v>
      </c>
      <c r="Q49" s="134" t="n">
        <f aca="false">IFERROR(IF(OR(4&gt;$B$3,ISBLANK(Actuals!F64)),"",(Budget!F64-Actuals!F64)/ABS(Budget!F64)),"")</f>
        <v>0</v>
      </c>
      <c r="R49" s="133" t="n">
        <f aca="false">Budget!G64</f>
        <v>833.33</v>
      </c>
      <c r="S49" s="133" t="n">
        <f aca="false">IF(OR(5&gt;$B$3,ISBLANK(Actuals!G64)),"",Actuals!G64)</f>
        <v>833.33</v>
      </c>
      <c r="T49" s="134" t="n">
        <f aca="false">IF(OR(5&gt;$B$3,ISBLANK(Actuals!G64)),"",Budget!G64-Actuals!G64)</f>
        <v>0</v>
      </c>
      <c r="U49" s="134" t="n">
        <f aca="false">IFERROR(IF(OR(5&gt;$B$3,ISBLANK(Actuals!G64)),"",(Budget!G64-Actuals!G64)/ABS(Budget!G64)),"")</f>
        <v>0</v>
      </c>
      <c r="V49" s="133" t="n">
        <f aca="false">Budget!H64</f>
        <v>833.33</v>
      </c>
      <c r="W49" s="133" t="n">
        <f aca="false">IF(OR(6&gt;$B$3,ISBLANK(Actuals!H64)),"",Actuals!H64)</f>
        <v>833.33</v>
      </c>
      <c r="X49" s="134" t="n">
        <f aca="false">IF(OR(6&gt;$B$3,ISBLANK(Actuals!H64)),"",Budget!H64-Actuals!H64)</f>
        <v>0</v>
      </c>
      <c r="Y49" s="134" t="n">
        <f aca="false">IFERROR(IF(OR(6&gt;$B$3,ISBLANK(Actuals!H64)),"",(Budget!H64-Actuals!H64)/ABS(Budget!H64)),"")</f>
        <v>0</v>
      </c>
      <c r="Z49" s="133" t="n">
        <f aca="false">Budget!I64</f>
        <v>833.33</v>
      </c>
      <c r="AA49" s="133" t="n">
        <f aca="false">IF(OR(7&gt;$B$3,ISBLANK(Actuals!I64)),"",Actuals!I64)</f>
        <v>833.33</v>
      </c>
      <c r="AB49" s="134" t="n">
        <f aca="false">IF(OR(7&gt;$B$3,ISBLANK(Actuals!I64)),"",Budget!I64-Actuals!I64)</f>
        <v>0</v>
      </c>
      <c r="AC49" s="134" t="n">
        <f aca="false">IFERROR(IF(OR(7&gt;$B$3,ISBLANK(Actuals!I64)),"",(Budget!I64-Actuals!I64)/ABS(Budget!I64)),"")</f>
        <v>0</v>
      </c>
      <c r="AD49" s="133" t="n">
        <f aca="false">Budget!J64</f>
        <v>833.33</v>
      </c>
      <c r="AE49" s="133" t="n">
        <f aca="false">IF(OR(8&gt;$B$3,ISBLANK(Actuals!J64)),"",Actuals!J64)</f>
        <v>833.33</v>
      </c>
      <c r="AF49" s="134" t="n">
        <f aca="false">IF(OR(8&gt;$B$3,ISBLANK(Actuals!J64)),"",Budget!J64-Actuals!J64)</f>
        <v>0</v>
      </c>
      <c r="AG49" s="134" t="n">
        <f aca="false">IFERROR(IF(OR(8&gt;$B$3,ISBLANK(Actuals!J64)),"",(Budget!J64-Actuals!J64)/ABS(Budget!J64)),"")</f>
        <v>0</v>
      </c>
      <c r="AH49" s="133" t="n">
        <f aca="false">Budget!K64</f>
        <v>833.33</v>
      </c>
      <c r="AI49" s="133" t="str">
        <f aca="false">IF(OR(9&gt;$B$3,ISBLANK(Actuals!K64)),"",Actuals!K64)</f>
        <v/>
      </c>
      <c r="AJ49" s="134" t="str">
        <f aca="false">IF(OR(9&gt;$B$3,ISBLANK(Actuals!K64)),"",Budget!K64-Actuals!K64)</f>
        <v/>
      </c>
      <c r="AK49" s="134" t="str">
        <f aca="false">IFERROR(IF(OR(9&gt;$B$3,ISBLANK(Actuals!K64)),"",(Budget!K64-Actuals!K64)/ABS(Budget!K64)),"")</f>
        <v/>
      </c>
      <c r="AL49" s="133" t="n">
        <f aca="false">Budget!L64</f>
        <v>833.33</v>
      </c>
      <c r="AM49" s="133" t="str">
        <f aca="false">IF(OR(10&gt;$B$3,ISBLANK(Actuals!L64)),"",Actuals!L64)</f>
        <v/>
      </c>
      <c r="AN49" s="134" t="str">
        <f aca="false">IF(OR(10&gt;$B$3,ISBLANK(Actuals!L64)),"",Budget!L64-Actuals!L64)</f>
        <v/>
      </c>
      <c r="AO49" s="134" t="str">
        <f aca="false">IFERROR(IF(OR(10&gt;$B$3,ISBLANK(Actuals!L64)),"",(Budget!L64-Actuals!L64)/ABS(Budget!L64)),"")</f>
        <v/>
      </c>
      <c r="AP49" s="133" t="n">
        <f aca="false">Budget!M64</f>
        <v>833.33</v>
      </c>
      <c r="AQ49" s="133" t="str">
        <f aca="false">IF(OR(11&gt;$B$3,ISBLANK(Actuals!M64)),"",Actuals!M64)</f>
        <v/>
      </c>
      <c r="AR49" s="134" t="str">
        <f aca="false">IF(OR(11&gt;$B$3,ISBLANK(Actuals!M64)),"",Budget!M64-Actuals!M64)</f>
        <v/>
      </c>
      <c r="AS49" s="134" t="str">
        <f aca="false">IFERROR(IF(OR(11&gt;$B$3,ISBLANK(Actuals!M64)),"",(Budget!M64-Actuals!M64)/ABS(Budget!M64)),"")</f>
        <v/>
      </c>
      <c r="AT49" s="133" t="n">
        <f aca="false">Budget!N64</f>
        <v>833.33</v>
      </c>
      <c r="AU49" s="133" t="str">
        <f aca="false">IF(OR(12&gt;$B$3,ISBLANK(Actuals!N64)),"",Actuals!N64)</f>
        <v/>
      </c>
      <c r="AV49" s="134" t="str">
        <f aca="false">IF(OR(12&gt;$B$3,ISBLANK(Actuals!N64)),"",Budget!N64-Actuals!N64)</f>
        <v/>
      </c>
      <c r="AW49" s="134" t="str">
        <f aca="false">IFERROR(IF(OR(12&gt;$B$3,ISBLANK(Actuals!N64)),"",(Budget!N64-Actuals!N64)/ABS(Budget!N64)),"")</f>
        <v/>
      </c>
      <c r="AX49" s="135" t="n">
        <f aca="false">SUMPRODUCT((Actuals!C64:N64&lt;&gt;"")*(Budget!C64:N64))</f>
        <v>6666.64</v>
      </c>
      <c r="AY49" s="135" t="n">
        <f aca="false">SUM(Actuals!C64:N64)</f>
        <v>6666.64</v>
      </c>
      <c r="AZ49" s="136" t="n">
        <f aca="false">AX49-AY49</f>
        <v>0</v>
      </c>
    </row>
    <row r="50" customFormat="false" ht="15" hidden="false" customHeight="true" outlineLevel="0" collapsed="false">
      <c r="A50" s="132" t="s">
        <v>102</v>
      </c>
      <c r="B50" s="133" t="n">
        <f aca="false">Budget!C65</f>
        <v>36538.46</v>
      </c>
      <c r="C50" s="133" t="n">
        <f aca="false">IF(OR(1&gt;$B$3,ISBLANK(Actuals!C65)),"",Actuals!C65)</f>
        <v>23906.25</v>
      </c>
      <c r="D50" s="134" t="n">
        <f aca="false">IF(OR(1&gt;$B$3,ISBLANK(Actuals!C65)),"",Budget!C65-Actuals!C65)</f>
        <v>12632.21</v>
      </c>
      <c r="E50" s="134" t="n">
        <f aca="false">IFERROR(IF(OR(1&gt;$B$3,ISBLANK(Actuals!C65)),"",(Budget!C65-Actuals!C65)/ABS(Budget!C65)),"")</f>
        <v>0.345723656662049</v>
      </c>
      <c r="F50" s="133" t="n">
        <f aca="false">Budget!D65</f>
        <v>36538.46</v>
      </c>
      <c r="G50" s="133" t="n">
        <f aca="false">IF(OR(2&gt;$B$3,ISBLANK(Actuals!D65)),"",Actuals!D65)</f>
        <v>23906.25</v>
      </c>
      <c r="H50" s="134" t="n">
        <f aca="false">IF(OR(2&gt;$B$3,ISBLANK(Actuals!D65)),"",Budget!D65-Actuals!D65)</f>
        <v>12632.21</v>
      </c>
      <c r="I50" s="134" t="n">
        <f aca="false">IFERROR(IF(OR(2&gt;$B$3,ISBLANK(Actuals!D65)),"",(Budget!D65-Actuals!D65)/ABS(Budget!D65)),"")</f>
        <v>0.345723656662049</v>
      </c>
      <c r="J50" s="133" t="n">
        <f aca="false">Budget!E65</f>
        <v>36538.46</v>
      </c>
      <c r="K50" s="133" t="n">
        <f aca="false">IF(OR(3&gt;$B$3,ISBLANK(Actuals!E65)),"",Actuals!E65)</f>
        <v>23906.25</v>
      </c>
      <c r="L50" s="134" t="n">
        <f aca="false">IF(OR(3&gt;$B$3,ISBLANK(Actuals!E65)),"",Budget!E65-Actuals!E65)</f>
        <v>12632.21</v>
      </c>
      <c r="M50" s="134" t="n">
        <f aca="false">IFERROR(IF(OR(3&gt;$B$3,ISBLANK(Actuals!E65)),"",(Budget!E65-Actuals!E65)/ABS(Budget!E65)),"")</f>
        <v>0.345723656662049</v>
      </c>
      <c r="N50" s="133" t="n">
        <f aca="false">Budget!F65</f>
        <v>36538.46</v>
      </c>
      <c r="O50" s="133" t="n">
        <f aca="false">IF(OR(4&gt;$B$3,ISBLANK(Actuals!F65)),"",Actuals!F65)</f>
        <v>23906.25</v>
      </c>
      <c r="P50" s="134" t="n">
        <f aca="false">IF(OR(4&gt;$B$3,ISBLANK(Actuals!F65)),"",Budget!F65-Actuals!F65)</f>
        <v>12632.21</v>
      </c>
      <c r="Q50" s="134" t="n">
        <f aca="false">IFERROR(IF(OR(4&gt;$B$3,ISBLANK(Actuals!F65)),"",(Budget!F65-Actuals!F65)/ABS(Budget!F65)),"")</f>
        <v>0.345723656662049</v>
      </c>
      <c r="R50" s="133" t="n">
        <f aca="false">Budget!G65</f>
        <v>36538.46</v>
      </c>
      <c r="S50" s="133" t="n">
        <f aca="false">IF(OR(5&gt;$B$3,ISBLANK(Actuals!G65)),"",Actuals!G65)</f>
        <v>23906.25</v>
      </c>
      <c r="T50" s="134" t="n">
        <f aca="false">IF(OR(5&gt;$B$3,ISBLANK(Actuals!G65)),"",Budget!G65-Actuals!G65)</f>
        <v>12632.21</v>
      </c>
      <c r="U50" s="134" t="n">
        <f aca="false">IFERROR(IF(OR(5&gt;$B$3,ISBLANK(Actuals!G65)),"",(Budget!G65-Actuals!G65)/ABS(Budget!G65)),"")</f>
        <v>0.345723656662049</v>
      </c>
      <c r="V50" s="133" t="n">
        <f aca="false">Budget!H65</f>
        <v>36538.46</v>
      </c>
      <c r="W50" s="133" t="n">
        <f aca="false">IF(OR(6&gt;$B$3,ISBLANK(Actuals!H65)),"",Actuals!H65)</f>
        <v>23906.25</v>
      </c>
      <c r="X50" s="134" t="n">
        <f aca="false">IF(OR(6&gt;$B$3,ISBLANK(Actuals!H65)),"",Budget!H65-Actuals!H65)</f>
        <v>12632.21</v>
      </c>
      <c r="Y50" s="134" t="n">
        <f aca="false">IFERROR(IF(OR(6&gt;$B$3,ISBLANK(Actuals!H65)),"",(Budget!H65-Actuals!H65)/ABS(Budget!H65)),"")</f>
        <v>0.345723656662049</v>
      </c>
      <c r="Z50" s="133" t="n">
        <f aca="false">Budget!I65</f>
        <v>36538.46</v>
      </c>
      <c r="AA50" s="133" t="n">
        <f aca="false">IF(OR(7&gt;$B$3,ISBLANK(Actuals!I65)),"",Actuals!I65)</f>
        <v>23906.25</v>
      </c>
      <c r="AB50" s="134" t="n">
        <f aca="false">IF(OR(7&gt;$B$3,ISBLANK(Actuals!I65)),"",Budget!I65-Actuals!I65)</f>
        <v>12632.21</v>
      </c>
      <c r="AC50" s="134" t="n">
        <f aca="false">IFERROR(IF(OR(7&gt;$B$3,ISBLANK(Actuals!I65)),"",(Budget!I65-Actuals!I65)/ABS(Budget!I65)),"")</f>
        <v>0.345723656662049</v>
      </c>
      <c r="AD50" s="133" t="n">
        <f aca="false">Budget!J65</f>
        <v>36538.46</v>
      </c>
      <c r="AE50" s="133" t="n">
        <f aca="false">IF(OR(8&gt;$B$3,ISBLANK(Actuals!J65)),"",Actuals!J65)</f>
        <v>23906.25</v>
      </c>
      <c r="AF50" s="134" t="n">
        <f aca="false">IF(OR(8&gt;$B$3,ISBLANK(Actuals!J65)),"",Budget!J65-Actuals!J65)</f>
        <v>12632.21</v>
      </c>
      <c r="AG50" s="134" t="n">
        <f aca="false">IFERROR(IF(OR(8&gt;$B$3,ISBLANK(Actuals!J65)),"",(Budget!J65-Actuals!J65)/ABS(Budget!J65)),"")</f>
        <v>0.345723656662049</v>
      </c>
      <c r="AH50" s="133" t="n">
        <f aca="false">Budget!K65</f>
        <v>36538.46</v>
      </c>
      <c r="AI50" s="133" t="str">
        <f aca="false">IF(OR(9&gt;$B$3,ISBLANK(Actuals!K65)),"",Actuals!K65)</f>
        <v/>
      </c>
      <c r="AJ50" s="134" t="str">
        <f aca="false">IF(OR(9&gt;$B$3,ISBLANK(Actuals!K65)),"",Budget!K65-Actuals!K65)</f>
        <v/>
      </c>
      <c r="AK50" s="134" t="str">
        <f aca="false">IFERROR(IF(OR(9&gt;$B$3,ISBLANK(Actuals!K65)),"",(Budget!K65-Actuals!K65)/ABS(Budget!K65)),"")</f>
        <v/>
      </c>
      <c r="AL50" s="133" t="n">
        <f aca="false">Budget!L65</f>
        <v>36538.46</v>
      </c>
      <c r="AM50" s="133" t="str">
        <f aca="false">IF(OR(10&gt;$B$3,ISBLANK(Actuals!L65)),"",Actuals!L65)</f>
        <v/>
      </c>
      <c r="AN50" s="134" t="str">
        <f aca="false">IF(OR(10&gt;$B$3,ISBLANK(Actuals!L65)),"",Budget!L65-Actuals!L65)</f>
        <v/>
      </c>
      <c r="AO50" s="134" t="str">
        <f aca="false">IFERROR(IF(OR(10&gt;$B$3,ISBLANK(Actuals!L65)),"",(Budget!L65-Actuals!L65)/ABS(Budget!L65)),"")</f>
        <v/>
      </c>
      <c r="AP50" s="133" t="n">
        <f aca="false">Budget!M65</f>
        <v>36538.46</v>
      </c>
      <c r="AQ50" s="133" t="str">
        <f aca="false">IF(OR(11&gt;$B$3,ISBLANK(Actuals!M65)),"",Actuals!M65)</f>
        <v/>
      </c>
      <c r="AR50" s="134" t="str">
        <f aca="false">IF(OR(11&gt;$B$3,ISBLANK(Actuals!M65)),"",Budget!M65-Actuals!M65)</f>
        <v/>
      </c>
      <c r="AS50" s="134" t="str">
        <f aca="false">IFERROR(IF(OR(11&gt;$B$3,ISBLANK(Actuals!M65)),"",(Budget!M65-Actuals!M65)/ABS(Budget!M65)),"")</f>
        <v/>
      </c>
      <c r="AT50" s="133" t="n">
        <f aca="false">Budget!N65</f>
        <v>36538.46</v>
      </c>
      <c r="AU50" s="133" t="str">
        <f aca="false">IF(OR(12&gt;$B$3,ISBLANK(Actuals!N65)),"",Actuals!N65)</f>
        <v/>
      </c>
      <c r="AV50" s="134" t="str">
        <f aca="false">IF(OR(12&gt;$B$3,ISBLANK(Actuals!N65)),"",Budget!N65-Actuals!N65)</f>
        <v/>
      </c>
      <c r="AW50" s="134" t="str">
        <f aca="false">IFERROR(IF(OR(12&gt;$B$3,ISBLANK(Actuals!N65)),"",(Budget!N65-Actuals!N65)/ABS(Budget!N65)),"")</f>
        <v/>
      </c>
      <c r="AX50" s="135" t="n">
        <f aca="false">SUMPRODUCT((Actuals!C65:N65&lt;&gt;"")*(Budget!C65:N65))</f>
        <v>292307.68</v>
      </c>
      <c r="AY50" s="135" t="n">
        <f aca="false">SUM(Actuals!C65:N65)</f>
        <v>191250</v>
      </c>
      <c r="AZ50" s="136" t="n">
        <f aca="false">AX50-AY50</f>
        <v>101057.68</v>
      </c>
    </row>
    <row r="51" customFormat="false" ht="15" hidden="false" customHeight="true" outlineLevel="0" collapsed="false">
      <c r="A51" s="132" t="s">
        <v>103</v>
      </c>
      <c r="B51" s="133" t="n">
        <f aca="false">Budget!C66</f>
        <v>0</v>
      </c>
      <c r="C51" s="133" t="str">
        <f aca="false">IF(OR(1&gt;$B$3,ISBLANK(Actuals!C66)),"",Actuals!C66)</f>
        <v/>
      </c>
      <c r="D51" s="134" t="str">
        <f aca="false">IF(OR(1&gt;$B$3,ISBLANK(Actuals!C66)),"",Budget!C66-Actuals!C66)</f>
        <v/>
      </c>
      <c r="E51" s="134" t="str">
        <f aca="false">IFERROR(IF(OR(1&gt;$B$3,ISBLANK(Actuals!C66)),"",(Budget!C66-Actuals!C66)/ABS(Budget!C66)),"")</f>
        <v/>
      </c>
      <c r="F51" s="133" t="n">
        <f aca="false">Budget!D66</f>
        <v>0</v>
      </c>
      <c r="G51" s="133" t="str">
        <f aca="false">IF(OR(2&gt;$B$3,ISBLANK(Actuals!D66)),"",Actuals!D66)</f>
        <v/>
      </c>
      <c r="H51" s="134" t="str">
        <f aca="false">IF(OR(2&gt;$B$3,ISBLANK(Actuals!D66)),"",Budget!D66-Actuals!D66)</f>
        <v/>
      </c>
      <c r="I51" s="134" t="str">
        <f aca="false">IFERROR(IF(OR(2&gt;$B$3,ISBLANK(Actuals!D66)),"",(Budget!D66-Actuals!D66)/ABS(Budget!D66)),"")</f>
        <v/>
      </c>
      <c r="J51" s="133" t="n">
        <f aca="false">Budget!E66</f>
        <v>0</v>
      </c>
      <c r="K51" s="133" t="str">
        <f aca="false">IF(OR(3&gt;$B$3,ISBLANK(Actuals!E66)),"",Actuals!E66)</f>
        <v/>
      </c>
      <c r="L51" s="134" t="str">
        <f aca="false">IF(OR(3&gt;$B$3,ISBLANK(Actuals!E66)),"",Budget!E66-Actuals!E66)</f>
        <v/>
      </c>
      <c r="M51" s="134" t="str">
        <f aca="false">IFERROR(IF(OR(3&gt;$B$3,ISBLANK(Actuals!E66)),"",(Budget!E66-Actuals!E66)/ABS(Budget!E66)),"")</f>
        <v/>
      </c>
      <c r="N51" s="133" t="n">
        <f aca="false">Budget!F66</f>
        <v>0</v>
      </c>
      <c r="O51" s="133" t="str">
        <f aca="false">IF(OR(4&gt;$B$3,ISBLANK(Actuals!F66)),"",Actuals!F66)</f>
        <v/>
      </c>
      <c r="P51" s="134" t="str">
        <f aca="false">IF(OR(4&gt;$B$3,ISBLANK(Actuals!F66)),"",Budget!F66-Actuals!F66)</f>
        <v/>
      </c>
      <c r="Q51" s="134" t="str">
        <f aca="false">IFERROR(IF(OR(4&gt;$B$3,ISBLANK(Actuals!F66)),"",(Budget!F66-Actuals!F66)/ABS(Budget!F66)),"")</f>
        <v/>
      </c>
      <c r="R51" s="133" t="n">
        <f aca="false">Budget!G66</f>
        <v>0</v>
      </c>
      <c r="S51" s="133" t="str">
        <f aca="false">IF(OR(5&gt;$B$3,ISBLANK(Actuals!G66)),"",Actuals!G66)</f>
        <v/>
      </c>
      <c r="T51" s="134" t="str">
        <f aca="false">IF(OR(5&gt;$B$3,ISBLANK(Actuals!G66)),"",Budget!G66-Actuals!G66)</f>
        <v/>
      </c>
      <c r="U51" s="134" t="str">
        <f aca="false">IFERROR(IF(OR(5&gt;$B$3,ISBLANK(Actuals!G66)),"",(Budget!G66-Actuals!G66)/ABS(Budget!G66)),"")</f>
        <v/>
      </c>
      <c r="V51" s="133" t="n">
        <f aca="false">Budget!H66</f>
        <v>0</v>
      </c>
      <c r="W51" s="133" t="str">
        <f aca="false">IF(OR(6&gt;$B$3,ISBLANK(Actuals!H66)),"",Actuals!H66)</f>
        <v/>
      </c>
      <c r="X51" s="134" t="str">
        <f aca="false">IF(OR(6&gt;$B$3,ISBLANK(Actuals!H66)),"",Budget!H66-Actuals!H66)</f>
        <v/>
      </c>
      <c r="Y51" s="134" t="str">
        <f aca="false">IFERROR(IF(OR(6&gt;$B$3,ISBLANK(Actuals!H66)),"",(Budget!H66-Actuals!H66)/ABS(Budget!H66)),"")</f>
        <v/>
      </c>
      <c r="Z51" s="133" t="n">
        <f aca="false">Budget!I66</f>
        <v>0</v>
      </c>
      <c r="AA51" s="133" t="str">
        <f aca="false">IF(OR(7&gt;$B$3,ISBLANK(Actuals!I66)),"",Actuals!I66)</f>
        <v/>
      </c>
      <c r="AB51" s="134" t="str">
        <f aca="false">IF(OR(7&gt;$B$3,ISBLANK(Actuals!I66)),"",Budget!I66-Actuals!I66)</f>
        <v/>
      </c>
      <c r="AC51" s="134" t="str">
        <f aca="false">IFERROR(IF(OR(7&gt;$B$3,ISBLANK(Actuals!I66)),"",(Budget!I66-Actuals!I66)/ABS(Budget!I66)),"")</f>
        <v/>
      </c>
      <c r="AD51" s="133" t="n">
        <f aca="false">Budget!J66</f>
        <v>0</v>
      </c>
      <c r="AE51" s="133" t="str">
        <f aca="false">IF(OR(8&gt;$B$3,ISBLANK(Actuals!J66)),"",Actuals!J66)</f>
        <v/>
      </c>
      <c r="AF51" s="134" t="str">
        <f aca="false">IF(OR(8&gt;$B$3,ISBLANK(Actuals!J66)),"",Budget!J66-Actuals!J66)</f>
        <v/>
      </c>
      <c r="AG51" s="134" t="str">
        <f aca="false">IFERROR(IF(OR(8&gt;$B$3,ISBLANK(Actuals!J66)),"",(Budget!J66-Actuals!J66)/ABS(Budget!J66)),"")</f>
        <v/>
      </c>
      <c r="AH51" s="133" t="n">
        <f aca="false">Budget!K66</f>
        <v>0</v>
      </c>
      <c r="AI51" s="133" t="str">
        <f aca="false">IF(OR(9&gt;$B$3,ISBLANK(Actuals!K66)),"",Actuals!K66)</f>
        <v/>
      </c>
      <c r="AJ51" s="134" t="str">
        <f aca="false">IF(OR(9&gt;$B$3,ISBLANK(Actuals!K66)),"",Budget!K66-Actuals!K66)</f>
        <v/>
      </c>
      <c r="AK51" s="134" t="str">
        <f aca="false">IFERROR(IF(OR(9&gt;$B$3,ISBLANK(Actuals!K66)),"",(Budget!K66-Actuals!K66)/ABS(Budget!K66)),"")</f>
        <v/>
      </c>
      <c r="AL51" s="133" t="n">
        <f aca="false">Budget!L66</f>
        <v>0</v>
      </c>
      <c r="AM51" s="133" t="str">
        <f aca="false">IF(OR(10&gt;$B$3,ISBLANK(Actuals!L66)),"",Actuals!L66)</f>
        <v/>
      </c>
      <c r="AN51" s="134" t="str">
        <f aca="false">IF(OR(10&gt;$B$3,ISBLANK(Actuals!L66)),"",Budget!L66-Actuals!L66)</f>
        <v/>
      </c>
      <c r="AO51" s="134" t="str">
        <f aca="false">IFERROR(IF(OR(10&gt;$B$3,ISBLANK(Actuals!L66)),"",(Budget!L66-Actuals!L66)/ABS(Budget!L66)),"")</f>
        <v/>
      </c>
      <c r="AP51" s="133" t="n">
        <f aca="false">Budget!M66</f>
        <v>0</v>
      </c>
      <c r="AQ51" s="133" t="str">
        <f aca="false">IF(OR(11&gt;$B$3,ISBLANK(Actuals!M66)),"",Actuals!M66)</f>
        <v/>
      </c>
      <c r="AR51" s="134" t="str">
        <f aca="false">IF(OR(11&gt;$B$3,ISBLANK(Actuals!M66)),"",Budget!M66-Actuals!M66)</f>
        <v/>
      </c>
      <c r="AS51" s="134" t="str">
        <f aca="false">IFERROR(IF(OR(11&gt;$B$3,ISBLANK(Actuals!M66)),"",(Budget!M66-Actuals!M66)/ABS(Budget!M66)),"")</f>
        <v/>
      </c>
      <c r="AT51" s="133" t="n">
        <f aca="false">Budget!N66</f>
        <v>0</v>
      </c>
      <c r="AU51" s="133" t="str">
        <f aca="false">IF(OR(12&gt;$B$3,ISBLANK(Actuals!N66)),"",Actuals!N66)</f>
        <v/>
      </c>
      <c r="AV51" s="134" t="str">
        <f aca="false">IF(OR(12&gt;$B$3,ISBLANK(Actuals!N66)),"",Budget!N66-Actuals!N66)</f>
        <v/>
      </c>
      <c r="AW51" s="134" t="str">
        <f aca="false">IFERROR(IF(OR(12&gt;$B$3,ISBLANK(Actuals!N66)),"",(Budget!N66-Actuals!N66)/ABS(Budget!N66)),"")</f>
        <v/>
      </c>
      <c r="AX51" s="135" t="n">
        <f aca="false">SUMPRODUCT((Actuals!C66:N66&lt;&gt;"")*(Budget!C66:N66))</f>
        <v>0</v>
      </c>
      <c r="AY51" s="135" t="n">
        <f aca="false">SUM(Actuals!C66:N66)</f>
        <v>0</v>
      </c>
      <c r="AZ51" s="136" t="n">
        <f aca="false">AX51-AY51</f>
        <v>0</v>
      </c>
    </row>
    <row r="52" customFormat="false" ht="15" hidden="false" customHeight="true" outlineLevel="0" collapsed="false">
      <c r="A52" s="132" t="s">
        <v>104</v>
      </c>
      <c r="B52" s="133" t="n">
        <f aca="false">Budget!C67</f>
        <v>0</v>
      </c>
      <c r="C52" s="133" t="str">
        <f aca="false">IF(OR(1&gt;$B$3,ISBLANK(Actuals!C67)),"",Actuals!C67)</f>
        <v/>
      </c>
      <c r="D52" s="134" t="str">
        <f aca="false">IF(OR(1&gt;$B$3,ISBLANK(Actuals!C67)),"",Budget!C67-Actuals!C67)</f>
        <v/>
      </c>
      <c r="E52" s="134" t="str">
        <f aca="false">IFERROR(IF(OR(1&gt;$B$3,ISBLANK(Actuals!C67)),"",(Budget!C67-Actuals!C67)/ABS(Budget!C67)),"")</f>
        <v/>
      </c>
      <c r="F52" s="133" t="n">
        <f aca="false">Budget!D67</f>
        <v>0</v>
      </c>
      <c r="G52" s="133" t="str">
        <f aca="false">IF(OR(2&gt;$B$3,ISBLANK(Actuals!D67)),"",Actuals!D67)</f>
        <v/>
      </c>
      <c r="H52" s="134" t="str">
        <f aca="false">IF(OR(2&gt;$B$3,ISBLANK(Actuals!D67)),"",Budget!D67-Actuals!D67)</f>
        <v/>
      </c>
      <c r="I52" s="134" t="str">
        <f aca="false">IFERROR(IF(OR(2&gt;$B$3,ISBLANK(Actuals!D67)),"",(Budget!D67-Actuals!D67)/ABS(Budget!D67)),"")</f>
        <v/>
      </c>
      <c r="J52" s="133" t="n">
        <f aca="false">Budget!E67</f>
        <v>0</v>
      </c>
      <c r="K52" s="133" t="str">
        <f aca="false">IF(OR(3&gt;$B$3,ISBLANK(Actuals!E67)),"",Actuals!E67)</f>
        <v/>
      </c>
      <c r="L52" s="134" t="str">
        <f aca="false">IF(OR(3&gt;$B$3,ISBLANK(Actuals!E67)),"",Budget!E67-Actuals!E67)</f>
        <v/>
      </c>
      <c r="M52" s="134" t="str">
        <f aca="false">IFERROR(IF(OR(3&gt;$B$3,ISBLANK(Actuals!E67)),"",(Budget!E67-Actuals!E67)/ABS(Budget!E67)),"")</f>
        <v/>
      </c>
      <c r="N52" s="133" t="n">
        <f aca="false">Budget!F67</f>
        <v>0</v>
      </c>
      <c r="O52" s="133" t="str">
        <f aca="false">IF(OR(4&gt;$B$3,ISBLANK(Actuals!F67)),"",Actuals!F67)</f>
        <v/>
      </c>
      <c r="P52" s="134" t="str">
        <f aca="false">IF(OR(4&gt;$B$3,ISBLANK(Actuals!F67)),"",Budget!F67-Actuals!F67)</f>
        <v/>
      </c>
      <c r="Q52" s="134" t="str">
        <f aca="false">IFERROR(IF(OR(4&gt;$B$3,ISBLANK(Actuals!F67)),"",(Budget!F67-Actuals!F67)/ABS(Budget!F67)),"")</f>
        <v/>
      </c>
      <c r="R52" s="133" t="n">
        <f aca="false">Budget!G67</f>
        <v>0</v>
      </c>
      <c r="S52" s="133" t="str">
        <f aca="false">IF(OR(5&gt;$B$3,ISBLANK(Actuals!G67)),"",Actuals!G67)</f>
        <v/>
      </c>
      <c r="T52" s="134" t="str">
        <f aca="false">IF(OR(5&gt;$B$3,ISBLANK(Actuals!G67)),"",Budget!G67-Actuals!G67)</f>
        <v/>
      </c>
      <c r="U52" s="134" t="str">
        <f aca="false">IFERROR(IF(OR(5&gt;$B$3,ISBLANK(Actuals!G67)),"",(Budget!G67-Actuals!G67)/ABS(Budget!G67)),"")</f>
        <v/>
      </c>
      <c r="V52" s="133" t="n">
        <f aca="false">Budget!H67</f>
        <v>0</v>
      </c>
      <c r="W52" s="133" t="str">
        <f aca="false">IF(OR(6&gt;$B$3,ISBLANK(Actuals!H67)),"",Actuals!H67)</f>
        <v/>
      </c>
      <c r="X52" s="134" t="str">
        <f aca="false">IF(OR(6&gt;$B$3,ISBLANK(Actuals!H67)),"",Budget!H67-Actuals!H67)</f>
        <v/>
      </c>
      <c r="Y52" s="134" t="str">
        <f aca="false">IFERROR(IF(OR(6&gt;$B$3,ISBLANK(Actuals!H67)),"",(Budget!H67-Actuals!H67)/ABS(Budget!H67)),"")</f>
        <v/>
      </c>
      <c r="Z52" s="133" t="n">
        <f aca="false">Budget!I67</f>
        <v>0</v>
      </c>
      <c r="AA52" s="133" t="str">
        <f aca="false">IF(OR(7&gt;$B$3,ISBLANK(Actuals!I67)),"",Actuals!I67)</f>
        <v/>
      </c>
      <c r="AB52" s="134" t="str">
        <f aca="false">IF(OR(7&gt;$B$3,ISBLANK(Actuals!I67)),"",Budget!I67-Actuals!I67)</f>
        <v/>
      </c>
      <c r="AC52" s="134" t="str">
        <f aca="false">IFERROR(IF(OR(7&gt;$B$3,ISBLANK(Actuals!I67)),"",(Budget!I67-Actuals!I67)/ABS(Budget!I67)),"")</f>
        <v/>
      </c>
      <c r="AD52" s="133" t="n">
        <f aca="false">Budget!J67</f>
        <v>0</v>
      </c>
      <c r="AE52" s="133" t="str">
        <f aca="false">IF(OR(8&gt;$B$3,ISBLANK(Actuals!J67)),"",Actuals!J67)</f>
        <v/>
      </c>
      <c r="AF52" s="134" t="str">
        <f aca="false">IF(OR(8&gt;$B$3,ISBLANK(Actuals!J67)),"",Budget!J67-Actuals!J67)</f>
        <v/>
      </c>
      <c r="AG52" s="134" t="str">
        <f aca="false">IFERROR(IF(OR(8&gt;$B$3,ISBLANK(Actuals!J67)),"",(Budget!J67-Actuals!J67)/ABS(Budget!J67)),"")</f>
        <v/>
      </c>
      <c r="AH52" s="133" t="n">
        <f aca="false">Budget!K67</f>
        <v>0</v>
      </c>
      <c r="AI52" s="133" t="str">
        <f aca="false">IF(OR(9&gt;$B$3,ISBLANK(Actuals!K67)),"",Actuals!K67)</f>
        <v/>
      </c>
      <c r="AJ52" s="134" t="str">
        <f aca="false">IF(OR(9&gt;$B$3,ISBLANK(Actuals!K67)),"",Budget!K67-Actuals!K67)</f>
        <v/>
      </c>
      <c r="AK52" s="134" t="str">
        <f aca="false">IFERROR(IF(OR(9&gt;$B$3,ISBLANK(Actuals!K67)),"",(Budget!K67-Actuals!K67)/ABS(Budget!K67)),"")</f>
        <v/>
      </c>
      <c r="AL52" s="133" t="n">
        <f aca="false">Budget!L67</f>
        <v>0</v>
      </c>
      <c r="AM52" s="133" t="str">
        <f aca="false">IF(OR(10&gt;$B$3,ISBLANK(Actuals!L67)),"",Actuals!L67)</f>
        <v/>
      </c>
      <c r="AN52" s="134" t="str">
        <f aca="false">IF(OR(10&gt;$B$3,ISBLANK(Actuals!L67)),"",Budget!L67-Actuals!L67)</f>
        <v/>
      </c>
      <c r="AO52" s="134" t="str">
        <f aca="false">IFERROR(IF(OR(10&gt;$B$3,ISBLANK(Actuals!L67)),"",(Budget!L67-Actuals!L67)/ABS(Budget!L67)),"")</f>
        <v/>
      </c>
      <c r="AP52" s="133" t="n">
        <f aca="false">Budget!M67</f>
        <v>0</v>
      </c>
      <c r="AQ52" s="133" t="str">
        <f aca="false">IF(OR(11&gt;$B$3,ISBLANK(Actuals!M67)),"",Actuals!M67)</f>
        <v/>
      </c>
      <c r="AR52" s="134" t="str">
        <f aca="false">IF(OR(11&gt;$B$3,ISBLANK(Actuals!M67)),"",Budget!M67-Actuals!M67)</f>
        <v/>
      </c>
      <c r="AS52" s="134" t="str">
        <f aca="false">IFERROR(IF(OR(11&gt;$B$3,ISBLANK(Actuals!M67)),"",(Budget!M67-Actuals!M67)/ABS(Budget!M67)),"")</f>
        <v/>
      </c>
      <c r="AT52" s="133" t="n">
        <f aca="false">Budget!N67</f>
        <v>0</v>
      </c>
      <c r="AU52" s="133" t="str">
        <f aca="false">IF(OR(12&gt;$B$3,ISBLANK(Actuals!N67)),"",Actuals!N67)</f>
        <v/>
      </c>
      <c r="AV52" s="134" t="str">
        <f aca="false">IF(OR(12&gt;$B$3,ISBLANK(Actuals!N67)),"",Budget!N67-Actuals!N67)</f>
        <v/>
      </c>
      <c r="AW52" s="134" t="str">
        <f aca="false">IFERROR(IF(OR(12&gt;$B$3,ISBLANK(Actuals!N67)),"",(Budget!N67-Actuals!N67)/ABS(Budget!N67)),"")</f>
        <v/>
      </c>
      <c r="AX52" s="135" t="n">
        <f aca="false">SUMPRODUCT((Actuals!C67:N67&lt;&gt;"")*(Budget!C67:N67))</f>
        <v>0</v>
      </c>
      <c r="AY52" s="135" t="n">
        <f aca="false">SUM(Actuals!C67:N67)</f>
        <v>0</v>
      </c>
      <c r="AZ52" s="136" t="n">
        <f aca="false">AX52-AY52</f>
        <v>0</v>
      </c>
    </row>
    <row r="53" customFormat="false" ht="15" hidden="false" customHeight="true" outlineLevel="0" collapsed="false">
      <c r="A53" s="132" t="s">
        <v>105</v>
      </c>
      <c r="B53" s="133" t="n">
        <f aca="false">Budget!C68</f>
        <v>0</v>
      </c>
      <c r="C53" s="133" t="str">
        <f aca="false">IF(OR(1&gt;$B$3,ISBLANK(Actuals!C68)),"",Actuals!C68)</f>
        <v/>
      </c>
      <c r="D53" s="134" t="str">
        <f aca="false">IF(OR(1&gt;$B$3,ISBLANK(Actuals!C68)),"",Budget!C68-Actuals!C68)</f>
        <v/>
      </c>
      <c r="E53" s="134" t="str">
        <f aca="false">IFERROR(IF(OR(1&gt;$B$3,ISBLANK(Actuals!C68)),"",(Budget!C68-Actuals!C68)/ABS(Budget!C68)),"")</f>
        <v/>
      </c>
      <c r="F53" s="133" t="n">
        <f aca="false">Budget!D68</f>
        <v>0</v>
      </c>
      <c r="G53" s="133" t="str">
        <f aca="false">IF(OR(2&gt;$B$3,ISBLANK(Actuals!D68)),"",Actuals!D68)</f>
        <v/>
      </c>
      <c r="H53" s="134" t="str">
        <f aca="false">IF(OR(2&gt;$B$3,ISBLANK(Actuals!D68)),"",Budget!D68-Actuals!D68)</f>
        <v/>
      </c>
      <c r="I53" s="134" t="str">
        <f aca="false">IFERROR(IF(OR(2&gt;$B$3,ISBLANK(Actuals!D68)),"",(Budget!D68-Actuals!D68)/ABS(Budget!D68)),"")</f>
        <v/>
      </c>
      <c r="J53" s="133" t="n">
        <f aca="false">Budget!E68</f>
        <v>0</v>
      </c>
      <c r="K53" s="133" t="str">
        <f aca="false">IF(OR(3&gt;$B$3,ISBLANK(Actuals!E68)),"",Actuals!E68)</f>
        <v/>
      </c>
      <c r="L53" s="134" t="str">
        <f aca="false">IF(OR(3&gt;$B$3,ISBLANK(Actuals!E68)),"",Budget!E68-Actuals!E68)</f>
        <v/>
      </c>
      <c r="M53" s="134" t="str">
        <f aca="false">IFERROR(IF(OR(3&gt;$B$3,ISBLANK(Actuals!E68)),"",(Budget!E68-Actuals!E68)/ABS(Budget!E68)),"")</f>
        <v/>
      </c>
      <c r="N53" s="133" t="n">
        <f aca="false">Budget!F68</f>
        <v>0</v>
      </c>
      <c r="O53" s="133" t="str">
        <f aca="false">IF(OR(4&gt;$B$3,ISBLANK(Actuals!F68)),"",Actuals!F68)</f>
        <v/>
      </c>
      <c r="P53" s="134" t="str">
        <f aca="false">IF(OR(4&gt;$B$3,ISBLANK(Actuals!F68)),"",Budget!F68-Actuals!F68)</f>
        <v/>
      </c>
      <c r="Q53" s="134" t="str">
        <f aca="false">IFERROR(IF(OR(4&gt;$B$3,ISBLANK(Actuals!F68)),"",(Budget!F68-Actuals!F68)/ABS(Budget!F68)),"")</f>
        <v/>
      </c>
      <c r="R53" s="133" t="n">
        <f aca="false">Budget!G68</f>
        <v>0</v>
      </c>
      <c r="S53" s="133" t="str">
        <f aca="false">IF(OR(5&gt;$B$3,ISBLANK(Actuals!G68)),"",Actuals!G68)</f>
        <v/>
      </c>
      <c r="T53" s="134" t="str">
        <f aca="false">IF(OR(5&gt;$B$3,ISBLANK(Actuals!G68)),"",Budget!G68-Actuals!G68)</f>
        <v/>
      </c>
      <c r="U53" s="134" t="str">
        <f aca="false">IFERROR(IF(OR(5&gt;$B$3,ISBLANK(Actuals!G68)),"",(Budget!G68-Actuals!G68)/ABS(Budget!G68)),"")</f>
        <v/>
      </c>
      <c r="V53" s="133" t="n">
        <f aca="false">Budget!H68</f>
        <v>0</v>
      </c>
      <c r="W53" s="133" t="str">
        <f aca="false">IF(OR(6&gt;$B$3,ISBLANK(Actuals!H68)),"",Actuals!H68)</f>
        <v/>
      </c>
      <c r="X53" s="134" t="str">
        <f aca="false">IF(OR(6&gt;$B$3,ISBLANK(Actuals!H68)),"",Budget!H68-Actuals!H68)</f>
        <v/>
      </c>
      <c r="Y53" s="134" t="str">
        <f aca="false">IFERROR(IF(OR(6&gt;$B$3,ISBLANK(Actuals!H68)),"",(Budget!H68-Actuals!H68)/ABS(Budget!H68)),"")</f>
        <v/>
      </c>
      <c r="Z53" s="133" t="n">
        <f aca="false">Budget!I68</f>
        <v>0</v>
      </c>
      <c r="AA53" s="133" t="str">
        <f aca="false">IF(OR(7&gt;$B$3,ISBLANK(Actuals!I68)),"",Actuals!I68)</f>
        <v/>
      </c>
      <c r="AB53" s="134" t="str">
        <f aca="false">IF(OR(7&gt;$B$3,ISBLANK(Actuals!I68)),"",Budget!I68-Actuals!I68)</f>
        <v/>
      </c>
      <c r="AC53" s="134" t="str">
        <f aca="false">IFERROR(IF(OR(7&gt;$B$3,ISBLANK(Actuals!I68)),"",(Budget!I68-Actuals!I68)/ABS(Budget!I68)),"")</f>
        <v/>
      </c>
      <c r="AD53" s="133" t="n">
        <f aca="false">Budget!J68</f>
        <v>0</v>
      </c>
      <c r="AE53" s="133" t="str">
        <f aca="false">IF(OR(8&gt;$B$3,ISBLANK(Actuals!J68)),"",Actuals!J68)</f>
        <v/>
      </c>
      <c r="AF53" s="134" t="str">
        <f aca="false">IF(OR(8&gt;$B$3,ISBLANK(Actuals!J68)),"",Budget!J68-Actuals!J68)</f>
        <v/>
      </c>
      <c r="AG53" s="134" t="str">
        <f aca="false">IFERROR(IF(OR(8&gt;$B$3,ISBLANK(Actuals!J68)),"",(Budget!J68-Actuals!J68)/ABS(Budget!J68)),"")</f>
        <v/>
      </c>
      <c r="AH53" s="133" t="n">
        <f aca="false">Budget!K68</f>
        <v>0</v>
      </c>
      <c r="AI53" s="133" t="str">
        <f aca="false">IF(OR(9&gt;$B$3,ISBLANK(Actuals!K68)),"",Actuals!K68)</f>
        <v/>
      </c>
      <c r="AJ53" s="134" t="str">
        <f aca="false">IF(OR(9&gt;$B$3,ISBLANK(Actuals!K68)),"",Budget!K68-Actuals!K68)</f>
        <v/>
      </c>
      <c r="AK53" s="134" t="str">
        <f aca="false">IFERROR(IF(OR(9&gt;$B$3,ISBLANK(Actuals!K68)),"",(Budget!K68-Actuals!K68)/ABS(Budget!K68)),"")</f>
        <v/>
      </c>
      <c r="AL53" s="133" t="n">
        <f aca="false">Budget!L68</f>
        <v>0</v>
      </c>
      <c r="AM53" s="133" t="str">
        <f aca="false">IF(OR(10&gt;$B$3,ISBLANK(Actuals!L68)),"",Actuals!L68)</f>
        <v/>
      </c>
      <c r="AN53" s="134" t="str">
        <f aca="false">IF(OR(10&gt;$B$3,ISBLANK(Actuals!L68)),"",Budget!L68-Actuals!L68)</f>
        <v/>
      </c>
      <c r="AO53" s="134" t="str">
        <f aca="false">IFERROR(IF(OR(10&gt;$B$3,ISBLANK(Actuals!L68)),"",(Budget!L68-Actuals!L68)/ABS(Budget!L68)),"")</f>
        <v/>
      </c>
      <c r="AP53" s="133" t="n">
        <f aca="false">Budget!M68</f>
        <v>0</v>
      </c>
      <c r="AQ53" s="133" t="str">
        <f aca="false">IF(OR(11&gt;$B$3,ISBLANK(Actuals!M68)),"",Actuals!M68)</f>
        <v/>
      </c>
      <c r="AR53" s="134" t="str">
        <f aca="false">IF(OR(11&gt;$B$3,ISBLANK(Actuals!M68)),"",Budget!M68-Actuals!M68)</f>
        <v/>
      </c>
      <c r="AS53" s="134" t="str">
        <f aca="false">IFERROR(IF(OR(11&gt;$B$3,ISBLANK(Actuals!M68)),"",(Budget!M68-Actuals!M68)/ABS(Budget!M68)),"")</f>
        <v/>
      </c>
      <c r="AT53" s="133" t="n">
        <f aca="false">Budget!N68</f>
        <v>0</v>
      </c>
      <c r="AU53" s="133" t="str">
        <f aca="false">IF(OR(12&gt;$B$3,ISBLANK(Actuals!N68)),"",Actuals!N68)</f>
        <v/>
      </c>
      <c r="AV53" s="134" t="str">
        <f aca="false">IF(OR(12&gt;$B$3,ISBLANK(Actuals!N68)),"",Budget!N68-Actuals!N68)</f>
        <v/>
      </c>
      <c r="AW53" s="134" t="str">
        <f aca="false">IFERROR(IF(OR(12&gt;$B$3,ISBLANK(Actuals!N68)),"",(Budget!N68-Actuals!N68)/ABS(Budget!N68)),"")</f>
        <v/>
      </c>
      <c r="AX53" s="135" t="n">
        <f aca="false">SUMPRODUCT((Actuals!C68:N68&lt;&gt;"")*(Budget!C68:N68))</f>
        <v>0</v>
      </c>
      <c r="AY53" s="135" t="n">
        <f aca="false">SUM(Actuals!C68:N68)</f>
        <v>0</v>
      </c>
      <c r="AZ53" s="136" t="n">
        <f aca="false">AX53-AY53</f>
        <v>0</v>
      </c>
    </row>
    <row r="54" customFormat="false" ht="15" hidden="false" customHeight="true" outlineLevel="0" collapsed="false">
      <c r="A54" s="132" t="s">
        <v>106</v>
      </c>
      <c r="B54" s="133" t="n">
        <f aca="false">Budget!C69</f>
        <v>10227.27</v>
      </c>
      <c r="C54" s="133" t="n">
        <f aca="false">IF(OR(1&gt;$B$3,ISBLANK(Actuals!C69)),"",Actuals!C69)</f>
        <v>9375</v>
      </c>
      <c r="D54" s="134" t="n">
        <f aca="false">IF(OR(1&gt;$B$3,ISBLANK(Actuals!C69)),"",Budget!C69-Actuals!C69)</f>
        <v>852.27</v>
      </c>
      <c r="E54" s="134" t="n">
        <f aca="false">IFERROR(IF(OR(1&gt;$B$3,ISBLANK(Actuals!C69)),"",(Budget!C69-Actuals!C69)/ABS(Budget!C69)),"")</f>
        <v>0.0833330888888237</v>
      </c>
      <c r="F54" s="133" t="n">
        <f aca="false">Budget!D69</f>
        <v>10227.27</v>
      </c>
      <c r="G54" s="133" t="n">
        <f aca="false">IF(OR(2&gt;$B$3,ISBLANK(Actuals!D69)),"",Actuals!D69)</f>
        <v>9375</v>
      </c>
      <c r="H54" s="134" t="n">
        <f aca="false">IF(OR(2&gt;$B$3,ISBLANK(Actuals!D69)),"",Budget!D69-Actuals!D69)</f>
        <v>852.27</v>
      </c>
      <c r="I54" s="134" t="n">
        <f aca="false">IFERROR(IF(OR(2&gt;$B$3,ISBLANK(Actuals!D69)),"",(Budget!D69-Actuals!D69)/ABS(Budget!D69)),"")</f>
        <v>0.0833330888888237</v>
      </c>
      <c r="J54" s="133" t="n">
        <f aca="false">Budget!E69</f>
        <v>10227.27</v>
      </c>
      <c r="K54" s="133" t="n">
        <f aca="false">IF(OR(3&gt;$B$3,ISBLANK(Actuals!E69)),"",Actuals!E69)</f>
        <v>9375</v>
      </c>
      <c r="L54" s="134" t="n">
        <f aca="false">IF(OR(3&gt;$B$3,ISBLANK(Actuals!E69)),"",Budget!E69-Actuals!E69)</f>
        <v>852.27</v>
      </c>
      <c r="M54" s="134" t="n">
        <f aca="false">IFERROR(IF(OR(3&gt;$B$3,ISBLANK(Actuals!E69)),"",(Budget!E69-Actuals!E69)/ABS(Budget!E69)),"")</f>
        <v>0.0833330888888237</v>
      </c>
      <c r="N54" s="133" t="n">
        <f aca="false">Budget!F69</f>
        <v>10227.27</v>
      </c>
      <c r="O54" s="133" t="n">
        <f aca="false">IF(OR(4&gt;$B$3,ISBLANK(Actuals!F69)),"",Actuals!F69)</f>
        <v>9375</v>
      </c>
      <c r="P54" s="134" t="n">
        <f aca="false">IF(OR(4&gt;$B$3,ISBLANK(Actuals!F69)),"",Budget!F69-Actuals!F69)</f>
        <v>852.27</v>
      </c>
      <c r="Q54" s="134" t="n">
        <f aca="false">IFERROR(IF(OR(4&gt;$B$3,ISBLANK(Actuals!F69)),"",(Budget!F69-Actuals!F69)/ABS(Budget!F69)),"")</f>
        <v>0.0833330888888237</v>
      </c>
      <c r="R54" s="133" t="n">
        <f aca="false">Budget!G69</f>
        <v>10227.27</v>
      </c>
      <c r="S54" s="133" t="n">
        <f aca="false">IF(OR(5&gt;$B$3,ISBLANK(Actuals!G69)),"",Actuals!G69)</f>
        <v>9375</v>
      </c>
      <c r="T54" s="134" t="n">
        <f aca="false">IF(OR(5&gt;$B$3,ISBLANK(Actuals!G69)),"",Budget!G69-Actuals!G69)</f>
        <v>852.27</v>
      </c>
      <c r="U54" s="134" t="n">
        <f aca="false">IFERROR(IF(OR(5&gt;$B$3,ISBLANK(Actuals!G69)),"",(Budget!G69-Actuals!G69)/ABS(Budget!G69)),"")</f>
        <v>0.0833330888888237</v>
      </c>
      <c r="V54" s="133" t="n">
        <f aca="false">Budget!H69</f>
        <v>10227.27</v>
      </c>
      <c r="W54" s="133" t="n">
        <f aca="false">IF(OR(6&gt;$B$3,ISBLANK(Actuals!H69)),"",Actuals!H69)</f>
        <v>9375</v>
      </c>
      <c r="X54" s="134" t="n">
        <f aca="false">IF(OR(6&gt;$B$3,ISBLANK(Actuals!H69)),"",Budget!H69-Actuals!H69)</f>
        <v>852.27</v>
      </c>
      <c r="Y54" s="134" t="n">
        <f aca="false">IFERROR(IF(OR(6&gt;$B$3,ISBLANK(Actuals!H69)),"",(Budget!H69-Actuals!H69)/ABS(Budget!H69)),"")</f>
        <v>0.0833330888888237</v>
      </c>
      <c r="Z54" s="133" t="n">
        <f aca="false">Budget!I69</f>
        <v>10227.27</v>
      </c>
      <c r="AA54" s="133" t="n">
        <f aca="false">IF(OR(7&gt;$B$3,ISBLANK(Actuals!I69)),"",Actuals!I69)</f>
        <v>9375</v>
      </c>
      <c r="AB54" s="134" t="n">
        <f aca="false">IF(OR(7&gt;$B$3,ISBLANK(Actuals!I69)),"",Budget!I69-Actuals!I69)</f>
        <v>852.27</v>
      </c>
      <c r="AC54" s="134" t="n">
        <f aca="false">IFERROR(IF(OR(7&gt;$B$3,ISBLANK(Actuals!I69)),"",(Budget!I69-Actuals!I69)/ABS(Budget!I69)),"")</f>
        <v>0.0833330888888237</v>
      </c>
      <c r="AD54" s="133" t="n">
        <f aca="false">Budget!J69</f>
        <v>10227.27</v>
      </c>
      <c r="AE54" s="133" t="n">
        <f aca="false">IF(OR(8&gt;$B$3,ISBLANK(Actuals!J69)),"",Actuals!J69)</f>
        <v>9375</v>
      </c>
      <c r="AF54" s="134" t="n">
        <f aca="false">IF(OR(8&gt;$B$3,ISBLANK(Actuals!J69)),"",Budget!J69-Actuals!J69)</f>
        <v>852.27</v>
      </c>
      <c r="AG54" s="134" t="n">
        <f aca="false">IFERROR(IF(OR(8&gt;$B$3,ISBLANK(Actuals!J69)),"",(Budget!J69-Actuals!J69)/ABS(Budget!J69)),"")</f>
        <v>0.0833330888888237</v>
      </c>
      <c r="AH54" s="133" t="n">
        <f aca="false">Budget!K69</f>
        <v>10227.27</v>
      </c>
      <c r="AI54" s="133" t="str">
        <f aca="false">IF(OR(9&gt;$B$3,ISBLANK(Actuals!K69)),"",Actuals!K69)</f>
        <v/>
      </c>
      <c r="AJ54" s="134" t="str">
        <f aca="false">IF(OR(9&gt;$B$3,ISBLANK(Actuals!K69)),"",Budget!K69-Actuals!K69)</f>
        <v/>
      </c>
      <c r="AK54" s="134" t="str">
        <f aca="false">IFERROR(IF(OR(9&gt;$B$3,ISBLANK(Actuals!K69)),"",(Budget!K69-Actuals!K69)/ABS(Budget!K69)),"")</f>
        <v/>
      </c>
      <c r="AL54" s="133" t="n">
        <f aca="false">Budget!L69</f>
        <v>0</v>
      </c>
      <c r="AM54" s="133" t="str">
        <f aca="false">IF(OR(10&gt;$B$3,ISBLANK(Actuals!L69)),"",Actuals!L69)</f>
        <v/>
      </c>
      <c r="AN54" s="134" t="str">
        <f aca="false">IF(OR(10&gt;$B$3,ISBLANK(Actuals!L69)),"",Budget!L69-Actuals!L69)</f>
        <v/>
      </c>
      <c r="AO54" s="134" t="str">
        <f aca="false">IFERROR(IF(OR(10&gt;$B$3,ISBLANK(Actuals!L69)),"",(Budget!L69-Actuals!L69)/ABS(Budget!L69)),"")</f>
        <v/>
      </c>
      <c r="AP54" s="133" t="n">
        <f aca="false">Budget!M69</f>
        <v>0</v>
      </c>
      <c r="AQ54" s="133" t="str">
        <f aca="false">IF(OR(11&gt;$B$3,ISBLANK(Actuals!M69)),"",Actuals!M69)</f>
        <v/>
      </c>
      <c r="AR54" s="134" t="str">
        <f aca="false">IF(OR(11&gt;$B$3,ISBLANK(Actuals!M69)),"",Budget!M69-Actuals!M69)</f>
        <v/>
      </c>
      <c r="AS54" s="134" t="str">
        <f aca="false">IFERROR(IF(OR(11&gt;$B$3,ISBLANK(Actuals!M69)),"",(Budget!M69-Actuals!M69)/ABS(Budget!M69)),"")</f>
        <v/>
      </c>
      <c r="AT54" s="133" t="n">
        <f aca="false">Budget!N69</f>
        <v>0</v>
      </c>
      <c r="AU54" s="133" t="str">
        <f aca="false">IF(OR(12&gt;$B$3,ISBLANK(Actuals!N69)),"",Actuals!N69)</f>
        <v/>
      </c>
      <c r="AV54" s="134" t="str">
        <f aca="false">IF(OR(12&gt;$B$3,ISBLANK(Actuals!N69)),"",Budget!N69-Actuals!N69)</f>
        <v/>
      </c>
      <c r="AW54" s="134" t="str">
        <f aca="false">IFERROR(IF(OR(12&gt;$B$3,ISBLANK(Actuals!N69)),"",(Budget!N69-Actuals!N69)/ABS(Budget!N69)),"")</f>
        <v/>
      </c>
      <c r="AX54" s="135" t="n">
        <f aca="false">SUMPRODUCT((Actuals!C69:N69&lt;&gt;"")*(Budget!C69:N69))</f>
        <v>81818.16</v>
      </c>
      <c r="AY54" s="135" t="n">
        <f aca="false">SUM(Actuals!C69:N69)</f>
        <v>75000</v>
      </c>
      <c r="AZ54" s="136" t="n">
        <f aca="false">AX54-AY54</f>
        <v>6818.16</v>
      </c>
    </row>
    <row r="55" customFormat="false" ht="15" hidden="false" customHeight="true" outlineLevel="0" collapsed="false">
      <c r="A55" s="132" t="s">
        <v>107</v>
      </c>
      <c r="B55" s="133" t="n">
        <f aca="false">Budget!C70</f>
        <v>0</v>
      </c>
      <c r="C55" s="133" t="str">
        <f aca="false">IF(OR(1&gt;$B$3,ISBLANK(Actuals!C70)),"",Actuals!C70)</f>
        <v/>
      </c>
      <c r="D55" s="134" t="str">
        <f aca="false">IF(OR(1&gt;$B$3,ISBLANK(Actuals!C70)),"",Budget!C70-Actuals!C70)</f>
        <v/>
      </c>
      <c r="E55" s="134" t="str">
        <f aca="false">IFERROR(IF(OR(1&gt;$B$3,ISBLANK(Actuals!C70)),"",(Budget!C70-Actuals!C70)/ABS(Budget!C70)),"")</f>
        <v/>
      </c>
      <c r="F55" s="133" t="n">
        <f aca="false">Budget!D70</f>
        <v>0</v>
      </c>
      <c r="G55" s="133" t="str">
        <f aca="false">IF(OR(2&gt;$B$3,ISBLANK(Actuals!D70)),"",Actuals!D70)</f>
        <v/>
      </c>
      <c r="H55" s="134" t="str">
        <f aca="false">IF(OR(2&gt;$B$3,ISBLANK(Actuals!D70)),"",Budget!D70-Actuals!D70)</f>
        <v/>
      </c>
      <c r="I55" s="134" t="str">
        <f aca="false">IFERROR(IF(OR(2&gt;$B$3,ISBLANK(Actuals!D70)),"",(Budget!D70-Actuals!D70)/ABS(Budget!D70)),"")</f>
        <v/>
      </c>
      <c r="J55" s="133" t="n">
        <f aca="false">Budget!E70</f>
        <v>0</v>
      </c>
      <c r="K55" s="133" t="str">
        <f aca="false">IF(OR(3&gt;$B$3,ISBLANK(Actuals!E70)),"",Actuals!E70)</f>
        <v/>
      </c>
      <c r="L55" s="134" t="str">
        <f aca="false">IF(OR(3&gt;$B$3,ISBLANK(Actuals!E70)),"",Budget!E70-Actuals!E70)</f>
        <v/>
      </c>
      <c r="M55" s="134" t="str">
        <f aca="false">IFERROR(IF(OR(3&gt;$B$3,ISBLANK(Actuals!E70)),"",(Budget!E70-Actuals!E70)/ABS(Budget!E70)),"")</f>
        <v/>
      </c>
      <c r="N55" s="133" t="n">
        <f aca="false">Budget!F70</f>
        <v>11875</v>
      </c>
      <c r="O55" s="133" t="str">
        <f aca="false">IF(OR(4&gt;$B$3,ISBLANK(Actuals!F70)),"",Actuals!F70)</f>
        <v/>
      </c>
      <c r="P55" s="134" t="str">
        <f aca="false">IF(OR(4&gt;$B$3,ISBLANK(Actuals!F70)),"",Budget!F70-Actuals!F70)</f>
        <v/>
      </c>
      <c r="Q55" s="134" t="str">
        <f aca="false">IFERROR(IF(OR(4&gt;$B$3,ISBLANK(Actuals!F70)),"",(Budget!F70-Actuals!F70)/ABS(Budget!F70)),"")</f>
        <v/>
      </c>
      <c r="R55" s="133" t="n">
        <f aca="false">Budget!G70</f>
        <v>11875</v>
      </c>
      <c r="S55" s="133" t="str">
        <f aca="false">IF(OR(5&gt;$B$3,ISBLANK(Actuals!G70)),"",Actuals!G70)</f>
        <v/>
      </c>
      <c r="T55" s="134" t="str">
        <f aca="false">IF(OR(5&gt;$B$3,ISBLANK(Actuals!G70)),"",Budget!G70-Actuals!G70)</f>
        <v/>
      </c>
      <c r="U55" s="134" t="str">
        <f aca="false">IFERROR(IF(OR(5&gt;$B$3,ISBLANK(Actuals!G70)),"",(Budget!G70-Actuals!G70)/ABS(Budget!G70)),"")</f>
        <v/>
      </c>
      <c r="V55" s="133" t="n">
        <f aca="false">Budget!H70</f>
        <v>11875</v>
      </c>
      <c r="W55" s="133" t="str">
        <f aca="false">IF(OR(6&gt;$B$3,ISBLANK(Actuals!H70)),"",Actuals!H70)</f>
        <v/>
      </c>
      <c r="X55" s="134" t="str">
        <f aca="false">IF(OR(6&gt;$B$3,ISBLANK(Actuals!H70)),"",Budget!H70-Actuals!H70)</f>
        <v/>
      </c>
      <c r="Y55" s="134" t="str">
        <f aca="false">IFERROR(IF(OR(6&gt;$B$3,ISBLANK(Actuals!H70)),"",(Budget!H70-Actuals!H70)/ABS(Budget!H70)),"")</f>
        <v/>
      </c>
      <c r="Z55" s="133" t="n">
        <f aca="false">Budget!I70</f>
        <v>11875</v>
      </c>
      <c r="AA55" s="133" t="n">
        <f aca="false">IF(OR(7&gt;$B$3,ISBLANK(Actuals!I70)),"",Actuals!I70)</f>
        <v>44000</v>
      </c>
      <c r="AB55" s="134" t="n">
        <f aca="false">IF(OR(7&gt;$B$3,ISBLANK(Actuals!I70)),"",Budget!I70-Actuals!I70)</f>
        <v>-32125</v>
      </c>
      <c r="AC55" s="134" t="n">
        <f aca="false">IFERROR(IF(OR(7&gt;$B$3,ISBLANK(Actuals!I70)),"",(Budget!I70-Actuals!I70)/ABS(Budget!I70)),"")</f>
        <v>-2.70526315789474</v>
      </c>
      <c r="AD55" s="133" t="n">
        <f aca="false">Budget!J70</f>
        <v>11875</v>
      </c>
      <c r="AE55" s="133" t="n">
        <f aca="false">IF(OR(8&gt;$B$3,ISBLANK(Actuals!J70)),"",Actuals!J70)</f>
        <v>19000</v>
      </c>
      <c r="AF55" s="134" t="n">
        <f aca="false">IF(OR(8&gt;$B$3,ISBLANK(Actuals!J70)),"",Budget!J70-Actuals!J70)</f>
        <v>-7125</v>
      </c>
      <c r="AG55" s="134" t="n">
        <f aca="false">IFERROR(IF(OR(8&gt;$B$3,ISBLANK(Actuals!J70)),"",(Budget!J70-Actuals!J70)/ABS(Budget!J70)),"")</f>
        <v>-0.6</v>
      </c>
      <c r="AH55" s="133" t="n">
        <f aca="false">Budget!K70</f>
        <v>11875</v>
      </c>
      <c r="AI55" s="133" t="str">
        <f aca="false">IF(OR(9&gt;$B$3,ISBLANK(Actuals!K70)),"",Actuals!K70)</f>
        <v/>
      </c>
      <c r="AJ55" s="134" t="str">
        <f aca="false">IF(OR(9&gt;$B$3,ISBLANK(Actuals!K70)),"",Budget!K70-Actuals!K70)</f>
        <v/>
      </c>
      <c r="AK55" s="134" t="str">
        <f aca="false">IFERROR(IF(OR(9&gt;$B$3,ISBLANK(Actuals!K70)),"",(Budget!K70-Actuals!K70)/ABS(Budget!K70)),"")</f>
        <v/>
      </c>
      <c r="AL55" s="133" t="n">
        <f aca="false">Budget!L70</f>
        <v>11875</v>
      </c>
      <c r="AM55" s="133" t="str">
        <f aca="false">IF(OR(10&gt;$B$3,ISBLANK(Actuals!L70)),"",Actuals!L70)</f>
        <v/>
      </c>
      <c r="AN55" s="134" t="str">
        <f aca="false">IF(OR(10&gt;$B$3,ISBLANK(Actuals!L70)),"",Budget!L70-Actuals!L70)</f>
        <v/>
      </c>
      <c r="AO55" s="134" t="str">
        <f aca="false">IFERROR(IF(OR(10&gt;$B$3,ISBLANK(Actuals!L70)),"",(Budget!L70-Actuals!L70)/ABS(Budget!L70)),"")</f>
        <v/>
      </c>
      <c r="AP55" s="133" t="n">
        <f aca="false">Budget!M70</f>
        <v>11875</v>
      </c>
      <c r="AQ55" s="133" t="str">
        <f aca="false">IF(OR(11&gt;$B$3,ISBLANK(Actuals!M70)),"",Actuals!M70)</f>
        <v/>
      </c>
      <c r="AR55" s="134" t="str">
        <f aca="false">IF(OR(11&gt;$B$3,ISBLANK(Actuals!M70)),"",Budget!M70-Actuals!M70)</f>
        <v/>
      </c>
      <c r="AS55" s="134" t="str">
        <f aca="false">IFERROR(IF(OR(11&gt;$B$3,ISBLANK(Actuals!M70)),"",(Budget!M70-Actuals!M70)/ABS(Budget!M70)),"")</f>
        <v/>
      </c>
      <c r="AT55" s="133" t="n">
        <f aca="false">Budget!N70</f>
        <v>11875</v>
      </c>
      <c r="AU55" s="133" t="str">
        <f aca="false">IF(OR(12&gt;$B$3,ISBLANK(Actuals!N70)),"",Actuals!N70)</f>
        <v/>
      </c>
      <c r="AV55" s="134" t="str">
        <f aca="false">IF(OR(12&gt;$B$3,ISBLANK(Actuals!N70)),"",Budget!N70-Actuals!N70)</f>
        <v/>
      </c>
      <c r="AW55" s="134" t="str">
        <f aca="false">IFERROR(IF(OR(12&gt;$B$3,ISBLANK(Actuals!N70)),"",(Budget!N70-Actuals!N70)/ABS(Budget!N70)),"")</f>
        <v/>
      </c>
      <c r="AX55" s="135" t="n">
        <f aca="false">SUMPRODUCT((Actuals!C70:N70&lt;&gt;"")*(Budget!C70:N70))</f>
        <v>23750</v>
      </c>
      <c r="AY55" s="135" t="n">
        <f aca="false">SUM(Actuals!C70:N70)</f>
        <v>63000</v>
      </c>
      <c r="AZ55" s="136" t="n">
        <f aca="false">AX55-AY55</f>
        <v>-39250</v>
      </c>
    </row>
    <row r="56" customFormat="false" ht="15" hidden="false" customHeight="true" outlineLevel="0" collapsed="false">
      <c r="A56" s="132" t="s">
        <v>108</v>
      </c>
      <c r="B56" s="133" t="n">
        <f aca="false">Budget!C71</f>
        <v>0</v>
      </c>
      <c r="C56" s="133" t="str">
        <f aca="false">IF(OR(1&gt;$B$3,ISBLANK(Actuals!C71)),"",Actuals!C71)</f>
        <v/>
      </c>
      <c r="D56" s="134" t="str">
        <f aca="false">IF(OR(1&gt;$B$3,ISBLANK(Actuals!C71)),"",Budget!C71-Actuals!C71)</f>
        <v/>
      </c>
      <c r="E56" s="134" t="str">
        <f aca="false">IFERROR(IF(OR(1&gt;$B$3,ISBLANK(Actuals!C71)),"",(Budget!C71-Actuals!C71)/ABS(Budget!C71)),"")</f>
        <v/>
      </c>
      <c r="F56" s="133" t="n">
        <f aca="false">Budget!D71</f>
        <v>0</v>
      </c>
      <c r="G56" s="133" t="str">
        <f aca="false">IF(OR(2&gt;$B$3,ISBLANK(Actuals!D71)),"",Actuals!D71)</f>
        <v/>
      </c>
      <c r="H56" s="134" t="str">
        <f aca="false">IF(OR(2&gt;$B$3,ISBLANK(Actuals!D71)),"",Budget!D71-Actuals!D71)</f>
        <v/>
      </c>
      <c r="I56" s="134" t="str">
        <f aca="false">IFERROR(IF(OR(2&gt;$B$3,ISBLANK(Actuals!D71)),"",(Budget!D71-Actuals!D71)/ABS(Budget!D71)),"")</f>
        <v/>
      </c>
      <c r="J56" s="133" t="n">
        <f aca="false">Budget!E71</f>
        <v>0</v>
      </c>
      <c r="K56" s="133" t="str">
        <f aca="false">IF(OR(3&gt;$B$3,ISBLANK(Actuals!E71)),"",Actuals!E71)</f>
        <v/>
      </c>
      <c r="L56" s="134" t="str">
        <f aca="false">IF(OR(3&gt;$B$3,ISBLANK(Actuals!E71)),"",Budget!E71-Actuals!E71)</f>
        <v/>
      </c>
      <c r="M56" s="134" t="str">
        <f aca="false">IFERROR(IF(OR(3&gt;$B$3,ISBLANK(Actuals!E71)),"",(Budget!E71-Actuals!E71)/ABS(Budget!E71)),"")</f>
        <v/>
      </c>
      <c r="N56" s="133" t="n">
        <f aca="false">Budget!F71</f>
        <v>0</v>
      </c>
      <c r="O56" s="133" t="str">
        <f aca="false">IF(OR(4&gt;$B$3,ISBLANK(Actuals!F71)),"",Actuals!F71)</f>
        <v/>
      </c>
      <c r="P56" s="134" t="str">
        <f aca="false">IF(OR(4&gt;$B$3,ISBLANK(Actuals!F71)),"",Budget!F71-Actuals!F71)</f>
        <v/>
      </c>
      <c r="Q56" s="134" t="str">
        <f aca="false">IFERROR(IF(OR(4&gt;$B$3,ISBLANK(Actuals!F71)),"",(Budget!F71-Actuals!F71)/ABS(Budget!F71)),"")</f>
        <v/>
      </c>
      <c r="R56" s="133" t="n">
        <f aca="false">Budget!G71</f>
        <v>0</v>
      </c>
      <c r="S56" s="133" t="str">
        <f aca="false">IF(OR(5&gt;$B$3,ISBLANK(Actuals!G71)),"",Actuals!G71)</f>
        <v/>
      </c>
      <c r="T56" s="134" t="str">
        <f aca="false">IF(OR(5&gt;$B$3,ISBLANK(Actuals!G71)),"",Budget!G71-Actuals!G71)</f>
        <v/>
      </c>
      <c r="U56" s="134" t="str">
        <f aca="false">IFERROR(IF(OR(5&gt;$B$3,ISBLANK(Actuals!G71)),"",(Budget!G71-Actuals!G71)/ABS(Budget!G71)),"")</f>
        <v/>
      </c>
      <c r="V56" s="133" t="n">
        <f aca="false">Budget!H71</f>
        <v>0</v>
      </c>
      <c r="W56" s="133" t="str">
        <f aca="false">IF(OR(6&gt;$B$3,ISBLANK(Actuals!H71)),"",Actuals!H71)</f>
        <v/>
      </c>
      <c r="X56" s="134" t="str">
        <f aca="false">IF(OR(6&gt;$B$3,ISBLANK(Actuals!H71)),"",Budget!H71-Actuals!H71)</f>
        <v/>
      </c>
      <c r="Y56" s="134" t="str">
        <f aca="false">IFERROR(IF(OR(6&gt;$B$3,ISBLANK(Actuals!H71)),"",(Budget!H71-Actuals!H71)/ABS(Budget!H71)),"")</f>
        <v/>
      </c>
      <c r="Z56" s="133" t="n">
        <f aca="false">Budget!I71</f>
        <v>0</v>
      </c>
      <c r="AA56" s="133" t="str">
        <f aca="false">IF(OR(7&gt;$B$3,ISBLANK(Actuals!I71)),"",Actuals!I71)</f>
        <v/>
      </c>
      <c r="AB56" s="134" t="str">
        <f aca="false">IF(OR(7&gt;$B$3,ISBLANK(Actuals!I71)),"",Budget!I71-Actuals!I71)</f>
        <v/>
      </c>
      <c r="AC56" s="134" t="str">
        <f aca="false">IFERROR(IF(OR(7&gt;$B$3,ISBLANK(Actuals!I71)),"",(Budget!I71-Actuals!I71)/ABS(Budget!I71)),"")</f>
        <v/>
      </c>
      <c r="AD56" s="133" t="n">
        <f aca="false">Budget!J71</f>
        <v>0</v>
      </c>
      <c r="AE56" s="133" t="str">
        <f aca="false">IF(OR(8&gt;$B$3,ISBLANK(Actuals!J71)),"",Actuals!J71)</f>
        <v/>
      </c>
      <c r="AF56" s="134" t="str">
        <f aca="false">IF(OR(8&gt;$B$3,ISBLANK(Actuals!J71)),"",Budget!J71-Actuals!J71)</f>
        <v/>
      </c>
      <c r="AG56" s="134" t="str">
        <f aca="false">IFERROR(IF(OR(8&gt;$B$3,ISBLANK(Actuals!J71)),"",(Budget!J71-Actuals!J71)/ABS(Budget!J71)),"")</f>
        <v/>
      </c>
      <c r="AH56" s="133" t="n">
        <f aca="false">Budget!K71</f>
        <v>0</v>
      </c>
      <c r="AI56" s="133" t="str">
        <f aca="false">IF(OR(9&gt;$B$3,ISBLANK(Actuals!K71)),"",Actuals!K71)</f>
        <v/>
      </c>
      <c r="AJ56" s="134" t="str">
        <f aca="false">IF(OR(9&gt;$B$3,ISBLANK(Actuals!K71)),"",Budget!K71-Actuals!K71)</f>
        <v/>
      </c>
      <c r="AK56" s="134" t="str">
        <f aca="false">IFERROR(IF(OR(9&gt;$B$3,ISBLANK(Actuals!K71)),"",(Budget!K71-Actuals!K71)/ABS(Budget!K71)),"")</f>
        <v/>
      </c>
      <c r="AL56" s="133" t="n">
        <f aca="false">Budget!L71</f>
        <v>0</v>
      </c>
      <c r="AM56" s="133" t="str">
        <f aca="false">IF(OR(10&gt;$B$3,ISBLANK(Actuals!L71)),"",Actuals!L71)</f>
        <v/>
      </c>
      <c r="AN56" s="134" t="str">
        <f aca="false">IF(OR(10&gt;$B$3,ISBLANK(Actuals!L71)),"",Budget!L71-Actuals!L71)</f>
        <v/>
      </c>
      <c r="AO56" s="134" t="str">
        <f aca="false">IFERROR(IF(OR(10&gt;$B$3,ISBLANK(Actuals!L71)),"",(Budget!L71-Actuals!L71)/ABS(Budget!L71)),"")</f>
        <v/>
      </c>
      <c r="AP56" s="133" t="n">
        <f aca="false">Budget!M71</f>
        <v>0</v>
      </c>
      <c r="AQ56" s="133" t="str">
        <f aca="false">IF(OR(11&gt;$B$3,ISBLANK(Actuals!M71)),"",Actuals!M71)</f>
        <v/>
      </c>
      <c r="AR56" s="134" t="str">
        <f aca="false">IF(OR(11&gt;$B$3,ISBLANK(Actuals!M71)),"",Budget!M71-Actuals!M71)</f>
        <v/>
      </c>
      <c r="AS56" s="134" t="str">
        <f aca="false">IFERROR(IF(OR(11&gt;$B$3,ISBLANK(Actuals!M71)),"",(Budget!M71-Actuals!M71)/ABS(Budget!M71)),"")</f>
        <v/>
      </c>
      <c r="AT56" s="133" t="n">
        <f aca="false">Budget!N71</f>
        <v>0</v>
      </c>
      <c r="AU56" s="133" t="str">
        <f aca="false">IF(OR(12&gt;$B$3,ISBLANK(Actuals!N71)),"",Actuals!N71)</f>
        <v/>
      </c>
      <c r="AV56" s="134" t="str">
        <f aca="false">IF(OR(12&gt;$B$3,ISBLANK(Actuals!N71)),"",Budget!N71-Actuals!N71)</f>
        <v/>
      </c>
      <c r="AW56" s="134" t="str">
        <f aca="false">IFERROR(IF(OR(12&gt;$B$3,ISBLANK(Actuals!N71)),"",(Budget!N71-Actuals!N71)/ABS(Budget!N71)),"")</f>
        <v/>
      </c>
      <c r="AX56" s="135" t="n">
        <f aca="false">SUMPRODUCT((Actuals!C71:N71&lt;&gt;"")*(Budget!C71:N71))</f>
        <v>0</v>
      </c>
      <c r="AY56" s="135" t="n">
        <f aca="false">SUM(Actuals!C71:N71)</f>
        <v>0</v>
      </c>
      <c r="AZ56" s="136" t="n">
        <f aca="false">AX56-AY56</f>
        <v>0</v>
      </c>
    </row>
    <row r="57" customFormat="false" ht="15" hidden="false" customHeight="true" outlineLevel="0" collapsed="false">
      <c r="A57" s="132" t="s">
        <v>109</v>
      </c>
      <c r="B57" s="133" t="n">
        <f aca="false">Budget!C72</f>
        <v>0</v>
      </c>
      <c r="C57" s="133" t="str">
        <f aca="false">IF(OR(1&gt;$B$3,ISBLANK(Actuals!C72)),"",Actuals!C72)</f>
        <v/>
      </c>
      <c r="D57" s="134" t="str">
        <f aca="false">IF(OR(1&gt;$B$3,ISBLANK(Actuals!C72)),"",Budget!C72-Actuals!C72)</f>
        <v/>
      </c>
      <c r="E57" s="134" t="str">
        <f aca="false">IFERROR(IF(OR(1&gt;$B$3,ISBLANK(Actuals!C72)),"",(Budget!C72-Actuals!C72)/ABS(Budget!C72)),"")</f>
        <v/>
      </c>
      <c r="F57" s="133" t="n">
        <f aca="false">Budget!D72</f>
        <v>0</v>
      </c>
      <c r="G57" s="133" t="str">
        <f aca="false">IF(OR(2&gt;$B$3,ISBLANK(Actuals!D72)),"",Actuals!D72)</f>
        <v/>
      </c>
      <c r="H57" s="134" t="str">
        <f aca="false">IF(OR(2&gt;$B$3,ISBLANK(Actuals!D72)),"",Budget!D72-Actuals!D72)</f>
        <v/>
      </c>
      <c r="I57" s="134" t="str">
        <f aca="false">IFERROR(IF(OR(2&gt;$B$3,ISBLANK(Actuals!D72)),"",(Budget!D72-Actuals!D72)/ABS(Budget!D72)),"")</f>
        <v/>
      </c>
      <c r="J57" s="133" t="n">
        <f aca="false">Budget!E72</f>
        <v>0</v>
      </c>
      <c r="K57" s="133" t="str">
        <f aca="false">IF(OR(3&gt;$B$3,ISBLANK(Actuals!E72)),"",Actuals!E72)</f>
        <v/>
      </c>
      <c r="L57" s="134" t="str">
        <f aca="false">IF(OR(3&gt;$B$3,ISBLANK(Actuals!E72)),"",Budget!E72-Actuals!E72)</f>
        <v/>
      </c>
      <c r="M57" s="134" t="str">
        <f aca="false">IFERROR(IF(OR(3&gt;$B$3,ISBLANK(Actuals!E72)),"",(Budget!E72-Actuals!E72)/ABS(Budget!E72)),"")</f>
        <v/>
      </c>
      <c r="N57" s="133" t="n">
        <f aca="false">Budget!F72</f>
        <v>0</v>
      </c>
      <c r="O57" s="133" t="str">
        <f aca="false">IF(OR(4&gt;$B$3,ISBLANK(Actuals!F72)),"",Actuals!F72)</f>
        <v/>
      </c>
      <c r="P57" s="134" t="str">
        <f aca="false">IF(OR(4&gt;$B$3,ISBLANK(Actuals!F72)),"",Budget!F72-Actuals!F72)</f>
        <v/>
      </c>
      <c r="Q57" s="134" t="str">
        <f aca="false">IFERROR(IF(OR(4&gt;$B$3,ISBLANK(Actuals!F72)),"",(Budget!F72-Actuals!F72)/ABS(Budget!F72)),"")</f>
        <v/>
      </c>
      <c r="R57" s="133" t="n">
        <f aca="false">Budget!G72</f>
        <v>0</v>
      </c>
      <c r="S57" s="133" t="str">
        <f aca="false">IF(OR(5&gt;$B$3,ISBLANK(Actuals!G72)),"",Actuals!G72)</f>
        <v/>
      </c>
      <c r="T57" s="134" t="str">
        <f aca="false">IF(OR(5&gt;$B$3,ISBLANK(Actuals!G72)),"",Budget!G72-Actuals!G72)</f>
        <v/>
      </c>
      <c r="U57" s="134" t="str">
        <f aca="false">IFERROR(IF(OR(5&gt;$B$3,ISBLANK(Actuals!G72)),"",(Budget!G72-Actuals!G72)/ABS(Budget!G72)),"")</f>
        <v/>
      </c>
      <c r="V57" s="133" t="n">
        <f aca="false">Budget!H72</f>
        <v>0</v>
      </c>
      <c r="W57" s="133" t="str">
        <f aca="false">IF(OR(6&gt;$B$3,ISBLANK(Actuals!H72)),"",Actuals!H72)</f>
        <v/>
      </c>
      <c r="X57" s="134" t="str">
        <f aca="false">IF(OR(6&gt;$B$3,ISBLANK(Actuals!H72)),"",Budget!H72-Actuals!H72)</f>
        <v/>
      </c>
      <c r="Y57" s="134" t="str">
        <f aca="false">IFERROR(IF(OR(6&gt;$B$3,ISBLANK(Actuals!H72)),"",(Budget!H72-Actuals!H72)/ABS(Budget!H72)),"")</f>
        <v/>
      </c>
      <c r="Z57" s="133" t="n">
        <f aca="false">Budget!I72</f>
        <v>0</v>
      </c>
      <c r="AA57" s="133" t="str">
        <f aca="false">IF(OR(7&gt;$B$3,ISBLANK(Actuals!I72)),"",Actuals!I72)</f>
        <v/>
      </c>
      <c r="AB57" s="134" t="str">
        <f aca="false">IF(OR(7&gt;$B$3,ISBLANK(Actuals!I72)),"",Budget!I72-Actuals!I72)</f>
        <v/>
      </c>
      <c r="AC57" s="134" t="str">
        <f aca="false">IFERROR(IF(OR(7&gt;$B$3,ISBLANK(Actuals!I72)),"",(Budget!I72-Actuals!I72)/ABS(Budget!I72)),"")</f>
        <v/>
      </c>
      <c r="AD57" s="133" t="n">
        <f aca="false">Budget!J72</f>
        <v>0</v>
      </c>
      <c r="AE57" s="133" t="str">
        <f aca="false">IF(OR(8&gt;$B$3,ISBLANK(Actuals!J72)),"",Actuals!J72)</f>
        <v/>
      </c>
      <c r="AF57" s="134" t="str">
        <f aca="false">IF(OR(8&gt;$B$3,ISBLANK(Actuals!J72)),"",Budget!J72-Actuals!J72)</f>
        <v/>
      </c>
      <c r="AG57" s="134" t="str">
        <f aca="false">IFERROR(IF(OR(8&gt;$B$3,ISBLANK(Actuals!J72)),"",(Budget!J72-Actuals!J72)/ABS(Budget!J72)),"")</f>
        <v/>
      </c>
      <c r="AH57" s="133" t="n">
        <f aca="false">Budget!K72</f>
        <v>0</v>
      </c>
      <c r="AI57" s="133" t="str">
        <f aca="false">IF(OR(9&gt;$B$3,ISBLANK(Actuals!K72)),"",Actuals!K72)</f>
        <v/>
      </c>
      <c r="AJ57" s="134" t="str">
        <f aca="false">IF(OR(9&gt;$B$3,ISBLANK(Actuals!K72)),"",Budget!K72-Actuals!K72)</f>
        <v/>
      </c>
      <c r="AK57" s="134" t="str">
        <f aca="false">IFERROR(IF(OR(9&gt;$B$3,ISBLANK(Actuals!K72)),"",(Budget!K72-Actuals!K72)/ABS(Budget!K72)),"")</f>
        <v/>
      </c>
      <c r="AL57" s="133" t="n">
        <f aca="false">Budget!L72</f>
        <v>0</v>
      </c>
      <c r="AM57" s="133" t="str">
        <f aca="false">IF(OR(10&gt;$B$3,ISBLANK(Actuals!L72)),"",Actuals!L72)</f>
        <v/>
      </c>
      <c r="AN57" s="134" t="str">
        <f aca="false">IF(OR(10&gt;$B$3,ISBLANK(Actuals!L72)),"",Budget!L72-Actuals!L72)</f>
        <v/>
      </c>
      <c r="AO57" s="134" t="str">
        <f aca="false">IFERROR(IF(OR(10&gt;$B$3,ISBLANK(Actuals!L72)),"",(Budget!L72-Actuals!L72)/ABS(Budget!L72)),"")</f>
        <v/>
      </c>
      <c r="AP57" s="133" t="n">
        <f aca="false">Budget!M72</f>
        <v>0</v>
      </c>
      <c r="AQ57" s="133" t="str">
        <f aca="false">IF(OR(11&gt;$B$3,ISBLANK(Actuals!M72)),"",Actuals!M72)</f>
        <v/>
      </c>
      <c r="AR57" s="134" t="str">
        <f aca="false">IF(OR(11&gt;$B$3,ISBLANK(Actuals!M72)),"",Budget!M72-Actuals!M72)</f>
        <v/>
      </c>
      <c r="AS57" s="134" t="str">
        <f aca="false">IFERROR(IF(OR(11&gt;$B$3,ISBLANK(Actuals!M72)),"",(Budget!M72-Actuals!M72)/ABS(Budget!M72)),"")</f>
        <v/>
      </c>
      <c r="AT57" s="133" t="n">
        <f aca="false">Budget!N72</f>
        <v>0</v>
      </c>
      <c r="AU57" s="133" t="str">
        <f aca="false">IF(OR(12&gt;$B$3,ISBLANK(Actuals!N72)),"",Actuals!N72)</f>
        <v/>
      </c>
      <c r="AV57" s="134" t="str">
        <f aca="false">IF(OR(12&gt;$B$3,ISBLANK(Actuals!N72)),"",Budget!N72-Actuals!N72)</f>
        <v/>
      </c>
      <c r="AW57" s="134" t="str">
        <f aca="false">IFERROR(IF(OR(12&gt;$B$3,ISBLANK(Actuals!N72)),"",(Budget!N72-Actuals!N72)/ABS(Budget!N72)),"")</f>
        <v/>
      </c>
      <c r="AX57" s="135" t="n">
        <f aca="false">SUMPRODUCT((Actuals!C72:N72&lt;&gt;"")*(Budget!C72:N72))</f>
        <v>0</v>
      </c>
      <c r="AY57" s="135" t="n">
        <f aca="false">SUM(Actuals!C72:N72)</f>
        <v>0</v>
      </c>
      <c r="AZ57" s="136" t="n">
        <f aca="false">AX57-AY57</f>
        <v>0</v>
      </c>
    </row>
    <row r="58" customFormat="false" ht="15" hidden="false" customHeight="true" outlineLevel="0" collapsed="false">
      <c r="A58" s="132" t="s">
        <v>110</v>
      </c>
      <c r="B58" s="133" t="n">
        <f aca="false">Budget!C73</f>
        <v>0</v>
      </c>
      <c r="C58" s="133" t="str">
        <f aca="false">IF(OR(1&gt;$B$3,ISBLANK(Actuals!C73)),"",Actuals!C73)</f>
        <v/>
      </c>
      <c r="D58" s="134" t="str">
        <f aca="false">IF(OR(1&gt;$B$3,ISBLANK(Actuals!C73)),"",Budget!C73-Actuals!C73)</f>
        <v/>
      </c>
      <c r="E58" s="134" t="str">
        <f aca="false">IFERROR(IF(OR(1&gt;$B$3,ISBLANK(Actuals!C73)),"",(Budget!C73-Actuals!C73)/ABS(Budget!C73)),"")</f>
        <v/>
      </c>
      <c r="F58" s="133" t="n">
        <f aca="false">Budget!D73</f>
        <v>0</v>
      </c>
      <c r="G58" s="133" t="str">
        <f aca="false">IF(OR(2&gt;$B$3,ISBLANK(Actuals!D73)),"",Actuals!D73)</f>
        <v/>
      </c>
      <c r="H58" s="134" t="str">
        <f aca="false">IF(OR(2&gt;$B$3,ISBLANK(Actuals!D73)),"",Budget!D73-Actuals!D73)</f>
        <v/>
      </c>
      <c r="I58" s="134" t="str">
        <f aca="false">IFERROR(IF(OR(2&gt;$B$3,ISBLANK(Actuals!D73)),"",(Budget!D73-Actuals!D73)/ABS(Budget!D73)),"")</f>
        <v/>
      </c>
      <c r="J58" s="133" t="n">
        <f aca="false">Budget!E73</f>
        <v>0</v>
      </c>
      <c r="K58" s="133" t="str">
        <f aca="false">IF(OR(3&gt;$B$3,ISBLANK(Actuals!E73)),"",Actuals!E73)</f>
        <v/>
      </c>
      <c r="L58" s="134" t="str">
        <f aca="false">IF(OR(3&gt;$B$3,ISBLANK(Actuals!E73)),"",Budget!E73-Actuals!E73)</f>
        <v/>
      </c>
      <c r="M58" s="134" t="str">
        <f aca="false">IFERROR(IF(OR(3&gt;$B$3,ISBLANK(Actuals!E73)),"",(Budget!E73-Actuals!E73)/ABS(Budget!E73)),"")</f>
        <v/>
      </c>
      <c r="N58" s="133" t="n">
        <f aca="false">Budget!F73</f>
        <v>0</v>
      </c>
      <c r="O58" s="133" t="str">
        <f aca="false">IF(OR(4&gt;$B$3,ISBLANK(Actuals!F73)),"",Actuals!F73)</f>
        <v/>
      </c>
      <c r="P58" s="134" t="str">
        <f aca="false">IF(OR(4&gt;$B$3,ISBLANK(Actuals!F73)),"",Budget!F73-Actuals!F73)</f>
        <v/>
      </c>
      <c r="Q58" s="134" t="str">
        <f aca="false">IFERROR(IF(OR(4&gt;$B$3,ISBLANK(Actuals!F73)),"",(Budget!F73-Actuals!F73)/ABS(Budget!F73)),"")</f>
        <v/>
      </c>
      <c r="R58" s="133" t="n">
        <f aca="false">Budget!G73</f>
        <v>0</v>
      </c>
      <c r="S58" s="133" t="str">
        <f aca="false">IF(OR(5&gt;$B$3,ISBLANK(Actuals!G73)),"",Actuals!G73)</f>
        <v/>
      </c>
      <c r="T58" s="134" t="str">
        <f aca="false">IF(OR(5&gt;$B$3,ISBLANK(Actuals!G73)),"",Budget!G73-Actuals!G73)</f>
        <v/>
      </c>
      <c r="U58" s="134" t="str">
        <f aca="false">IFERROR(IF(OR(5&gt;$B$3,ISBLANK(Actuals!G73)),"",(Budget!G73-Actuals!G73)/ABS(Budget!G73)),"")</f>
        <v/>
      </c>
      <c r="V58" s="133" t="n">
        <f aca="false">Budget!H73</f>
        <v>0</v>
      </c>
      <c r="W58" s="133" t="str">
        <f aca="false">IF(OR(6&gt;$B$3,ISBLANK(Actuals!H73)),"",Actuals!H73)</f>
        <v/>
      </c>
      <c r="X58" s="134" t="str">
        <f aca="false">IF(OR(6&gt;$B$3,ISBLANK(Actuals!H73)),"",Budget!H73-Actuals!H73)</f>
        <v/>
      </c>
      <c r="Y58" s="134" t="str">
        <f aca="false">IFERROR(IF(OR(6&gt;$B$3,ISBLANK(Actuals!H73)),"",(Budget!H73-Actuals!H73)/ABS(Budget!H73)),"")</f>
        <v/>
      </c>
      <c r="Z58" s="133" t="n">
        <f aca="false">Budget!I73</f>
        <v>0</v>
      </c>
      <c r="AA58" s="133" t="str">
        <f aca="false">IF(OR(7&gt;$B$3,ISBLANK(Actuals!I73)),"",Actuals!I73)</f>
        <v/>
      </c>
      <c r="AB58" s="134" t="str">
        <f aca="false">IF(OR(7&gt;$B$3,ISBLANK(Actuals!I73)),"",Budget!I73-Actuals!I73)</f>
        <v/>
      </c>
      <c r="AC58" s="134" t="str">
        <f aca="false">IFERROR(IF(OR(7&gt;$B$3,ISBLANK(Actuals!I73)),"",(Budget!I73-Actuals!I73)/ABS(Budget!I73)),"")</f>
        <v/>
      </c>
      <c r="AD58" s="133" t="n">
        <f aca="false">Budget!J73</f>
        <v>0</v>
      </c>
      <c r="AE58" s="133" t="str">
        <f aca="false">IF(OR(8&gt;$B$3,ISBLANK(Actuals!J73)),"",Actuals!J73)</f>
        <v/>
      </c>
      <c r="AF58" s="134" t="str">
        <f aca="false">IF(OR(8&gt;$B$3,ISBLANK(Actuals!J73)),"",Budget!J73-Actuals!J73)</f>
        <v/>
      </c>
      <c r="AG58" s="134" t="str">
        <f aca="false">IFERROR(IF(OR(8&gt;$B$3,ISBLANK(Actuals!J73)),"",(Budget!J73-Actuals!J73)/ABS(Budget!J73)),"")</f>
        <v/>
      </c>
      <c r="AH58" s="133" t="n">
        <f aca="false">Budget!K73</f>
        <v>0</v>
      </c>
      <c r="AI58" s="133" t="str">
        <f aca="false">IF(OR(9&gt;$B$3,ISBLANK(Actuals!K73)),"",Actuals!K73)</f>
        <v/>
      </c>
      <c r="AJ58" s="134" t="str">
        <f aca="false">IF(OR(9&gt;$B$3,ISBLANK(Actuals!K73)),"",Budget!K73-Actuals!K73)</f>
        <v/>
      </c>
      <c r="AK58" s="134" t="str">
        <f aca="false">IFERROR(IF(OR(9&gt;$B$3,ISBLANK(Actuals!K73)),"",(Budget!K73-Actuals!K73)/ABS(Budget!K73)),"")</f>
        <v/>
      </c>
      <c r="AL58" s="133" t="n">
        <f aca="false">Budget!L73</f>
        <v>0</v>
      </c>
      <c r="AM58" s="133" t="str">
        <f aca="false">IF(OR(10&gt;$B$3,ISBLANK(Actuals!L73)),"",Actuals!L73)</f>
        <v/>
      </c>
      <c r="AN58" s="134" t="str">
        <f aca="false">IF(OR(10&gt;$B$3,ISBLANK(Actuals!L73)),"",Budget!L73-Actuals!L73)</f>
        <v/>
      </c>
      <c r="AO58" s="134" t="str">
        <f aca="false">IFERROR(IF(OR(10&gt;$B$3,ISBLANK(Actuals!L73)),"",(Budget!L73-Actuals!L73)/ABS(Budget!L73)),"")</f>
        <v/>
      </c>
      <c r="AP58" s="133" t="n">
        <f aca="false">Budget!M73</f>
        <v>0</v>
      </c>
      <c r="AQ58" s="133" t="str">
        <f aca="false">IF(OR(11&gt;$B$3,ISBLANK(Actuals!M73)),"",Actuals!M73)</f>
        <v/>
      </c>
      <c r="AR58" s="134" t="str">
        <f aca="false">IF(OR(11&gt;$B$3,ISBLANK(Actuals!M73)),"",Budget!M73-Actuals!M73)</f>
        <v/>
      </c>
      <c r="AS58" s="134" t="str">
        <f aca="false">IFERROR(IF(OR(11&gt;$B$3,ISBLANK(Actuals!M73)),"",(Budget!M73-Actuals!M73)/ABS(Budget!M73)),"")</f>
        <v/>
      </c>
      <c r="AT58" s="133" t="n">
        <f aca="false">Budget!N73</f>
        <v>0</v>
      </c>
      <c r="AU58" s="133" t="str">
        <f aca="false">IF(OR(12&gt;$B$3,ISBLANK(Actuals!N73)),"",Actuals!N73)</f>
        <v/>
      </c>
      <c r="AV58" s="134" t="str">
        <f aca="false">IF(OR(12&gt;$B$3,ISBLANK(Actuals!N73)),"",Budget!N73-Actuals!N73)</f>
        <v/>
      </c>
      <c r="AW58" s="134" t="str">
        <f aca="false">IFERROR(IF(OR(12&gt;$B$3,ISBLANK(Actuals!N73)),"",(Budget!N73-Actuals!N73)/ABS(Budget!N73)),"")</f>
        <v/>
      </c>
      <c r="AX58" s="135" t="n">
        <f aca="false">SUMPRODUCT((Actuals!C73:N73&lt;&gt;"")*(Budget!C73:N73))</f>
        <v>0</v>
      </c>
      <c r="AY58" s="135" t="n">
        <f aca="false">SUM(Actuals!C73:N73)</f>
        <v>0</v>
      </c>
      <c r="AZ58" s="136" t="n">
        <f aca="false">AX58-AY58</f>
        <v>0</v>
      </c>
    </row>
    <row r="59" customFormat="false" ht="15" hidden="false" customHeight="true" outlineLevel="0" collapsed="false">
      <c r="A59" s="132" t="s">
        <v>111</v>
      </c>
      <c r="B59" s="133" t="n">
        <f aca="false">Budget!C74</f>
        <v>0</v>
      </c>
      <c r="C59" s="133" t="str">
        <f aca="false">IF(OR(1&gt;$B$3,ISBLANK(Actuals!C74)),"",Actuals!C74)</f>
        <v/>
      </c>
      <c r="D59" s="134" t="str">
        <f aca="false">IF(OR(1&gt;$B$3,ISBLANK(Actuals!C74)),"",Budget!C74-Actuals!C74)</f>
        <v/>
      </c>
      <c r="E59" s="134" t="str">
        <f aca="false">IFERROR(IF(OR(1&gt;$B$3,ISBLANK(Actuals!C74)),"",(Budget!C74-Actuals!C74)/ABS(Budget!C74)),"")</f>
        <v/>
      </c>
      <c r="F59" s="133" t="n">
        <f aca="false">Budget!D74</f>
        <v>0</v>
      </c>
      <c r="G59" s="133" t="str">
        <f aca="false">IF(OR(2&gt;$B$3,ISBLANK(Actuals!D74)),"",Actuals!D74)</f>
        <v/>
      </c>
      <c r="H59" s="134" t="str">
        <f aca="false">IF(OR(2&gt;$B$3,ISBLANK(Actuals!D74)),"",Budget!D74-Actuals!D74)</f>
        <v/>
      </c>
      <c r="I59" s="134" t="str">
        <f aca="false">IFERROR(IF(OR(2&gt;$B$3,ISBLANK(Actuals!D74)),"",(Budget!D74-Actuals!D74)/ABS(Budget!D74)),"")</f>
        <v/>
      </c>
      <c r="J59" s="133" t="n">
        <f aca="false">Budget!E74</f>
        <v>0</v>
      </c>
      <c r="K59" s="133" t="str">
        <f aca="false">IF(OR(3&gt;$B$3,ISBLANK(Actuals!E74)),"",Actuals!E74)</f>
        <v/>
      </c>
      <c r="L59" s="134" t="str">
        <f aca="false">IF(OR(3&gt;$B$3,ISBLANK(Actuals!E74)),"",Budget!E74-Actuals!E74)</f>
        <v/>
      </c>
      <c r="M59" s="134" t="str">
        <f aca="false">IFERROR(IF(OR(3&gt;$B$3,ISBLANK(Actuals!E74)),"",(Budget!E74-Actuals!E74)/ABS(Budget!E74)),"")</f>
        <v/>
      </c>
      <c r="N59" s="133" t="n">
        <f aca="false">Budget!F74</f>
        <v>0</v>
      </c>
      <c r="O59" s="133" t="str">
        <f aca="false">IF(OR(4&gt;$B$3,ISBLANK(Actuals!F74)),"",Actuals!F74)</f>
        <v/>
      </c>
      <c r="P59" s="134" t="str">
        <f aca="false">IF(OR(4&gt;$B$3,ISBLANK(Actuals!F74)),"",Budget!F74-Actuals!F74)</f>
        <v/>
      </c>
      <c r="Q59" s="134" t="str">
        <f aca="false">IFERROR(IF(OR(4&gt;$B$3,ISBLANK(Actuals!F74)),"",(Budget!F74-Actuals!F74)/ABS(Budget!F74)),"")</f>
        <v/>
      </c>
      <c r="R59" s="133" t="n">
        <f aca="false">Budget!G74</f>
        <v>0</v>
      </c>
      <c r="S59" s="133" t="str">
        <f aca="false">IF(OR(5&gt;$B$3,ISBLANK(Actuals!G74)),"",Actuals!G74)</f>
        <v/>
      </c>
      <c r="T59" s="134" t="str">
        <f aca="false">IF(OR(5&gt;$B$3,ISBLANK(Actuals!G74)),"",Budget!G74-Actuals!G74)</f>
        <v/>
      </c>
      <c r="U59" s="134" t="str">
        <f aca="false">IFERROR(IF(OR(5&gt;$B$3,ISBLANK(Actuals!G74)),"",(Budget!G74-Actuals!G74)/ABS(Budget!G74)),"")</f>
        <v/>
      </c>
      <c r="V59" s="133" t="n">
        <f aca="false">Budget!H74</f>
        <v>0</v>
      </c>
      <c r="W59" s="133" t="str">
        <f aca="false">IF(OR(6&gt;$B$3,ISBLANK(Actuals!H74)),"",Actuals!H74)</f>
        <v/>
      </c>
      <c r="X59" s="134" t="str">
        <f aca="false">IF(OR(6&gt;$B$3,ISBLANK(Actuals!H74)),"",Budget!H74-Actuals!H74)</f>
        <v/>
      </c>
      <c r="Y59" s="134" t="str">
        <f aca="false">IFERROR(IF(OR(6&gt;$B$3,ISBLANK(Actuals!H74)),"",(Budget!H74-Actuals!H74)/ABS(Budget!H74)),"")</f>
        <v/>
      </c>
      <c r="Z59" s="133" t="n">
        <f aca="false">Budget!I74</f>
        <v>0</v>
      </c>
      <c r="AA59" s="133" t="str">
        <f aca="false">IF(OR(7&gt;$B$3,ISBLANK(Actuals!I74)),"",Actuals!I74)</f>
        <v/>
      </c>
      <c r="AB59" s="134" t="str">
        <f aca="false">IF(OR(7&gt;$B$3,ISBLANK(Actuals!I74)),"",Budget!I74-Actuals!I74)</f>
        <v/>
      </c>
      <c r="AC59" s="134" t="str">
        <f aca="false">IFERROR(IF(OR(7&gt;$B$3,ISBLANK(Actuals!I74)),"",(Budget!I74-Actuals!I74)/ABS(Budget!I74)),"")</f>
        <v/>
      </c>
      <c r="AD59" s="133" t="n">
        <f aca="false">Budget!J74</f>
        <v>0</v>
      </c>
      <c r="AE59" s="133" t="str">
        <f aca="false">IF(OR(8&gt;$B$3,ISBLANK(Actuals!J74)),"",Actuals!J74)</f>
        <v/>
      </c>
      <c r="AF59" s="134" t="str">
        <f aca="false">IF(OR(8&gt;$B$3,ISBLANK(Actuals!J74)),"",Budget!J74-Actuals!J74)</f>
        <v/>
      </c>
      <c r="AG59" s="134" t="str">
        <f aca="false">IFERROR(IF(OR(8&gt;$B$3,ISBLANK(Actuals!J74)),"",(Budget!J74-Actuals!J74)/ABS(Budget!J74)),"")</f>
        <v/>
      </c>
      <c r="AH59" s="133" t="n">
        <f aca="false">Budget!K74</f>
        <v>0</v>
      </c>
      <c r="AI59" s="133" t="str">
        <f aca="false">IF(OR(9&gt;$B$3,ISBLANK(Actuals!K74)),"",Actuals!K74)</f>
        <v/>
      </c>
      <c r="AJ59" s="134" t="str">
        <f aca="false">IF(OR(9&gt;$B$3,ISBLANK(Actuals!K74)),"",Budget!K74-Actuals!K74)</f>
        <v/>
      </c>
      <c r="AK59" s="134" t="str">
        <f aca="false">IFERROR(IF(OR(9&gt;$B$3,ISBLANK(Actuals!K74)),"",(Budget!K74-Actuals!K74)/ABS(Budget!K74)),"")</f>
        <v/>
      </c>
      <c r="AL59" s="133" t="n">
        <f aca="false">Budget!L74</f>
        <v>0</v>
      </c>
      <c r="AM59" s="133" t="str">
        <f aca="false">IF(OR(10&gt;$B$3,ISBLANK(Actuals!L74)),"",Actuals!L74)</f>
        <v/>
      </c>
      <c r="AN59" s="134" t="str">
        <f aca="false">IF(OR(10&gt;$B$3,ISBLANK(Actuals!L74)),"",Budget!L74-Actuals!L74)</f>
        <v/>
      </c>
      <c r="AO59" s="134" t="str">
        <f aca="false">IFERROR(IF(OR(10&gt;$B$3,ISBLANK(Actuals!L74)),"",(Budget!L74-Actuals!L74)/ABS(Budget!L74)),"")</f>
        <v/>
      </c>
      <c r="AP59" s="133" t="n">
        <f aca="false">Budget!M74</f>
        <v>0</v>
      </c>
      <c r="AQ59" s="133" t="str">
        <f aca="false">IF(OR(11&gt;$B$3,ISBLANK(Actuals!M74)),"",Actuals!M74)</f>
        <v/>
      </c>
      <c r="AR59" s="134" t="str">
        <f aca="false">IF(OR(11&gt;$B$3,ISBLANK(Actuals!M74)),"",Budget!M74-Actuals!M74)</f>
        <v/>
      </c>
      <c r="AS59" s="134" t="str">
        <f aca="false">IFERROR(IF(OR(11&gt;$B$3,ISBLANK(Actuals!M74)),"",(Budget!M74-Actuals!M74)/ABS(Budget!M74)),"")</f>
        <v/>
      </c>
      <c r="AT59" s="133" t="n">
        <f aca="false">Budget!N74</f>
        <v>0</v>
      </c>
      <c r="AU59" s="133" t="str">
        <f aca="false">IF(OR(12&gt;$B$3,ISBLANK(Actuals!N74)),"",Actuals!N74)</f>
        <v/>
      </c>
      <c r="AV59" s="134" t="str">
        <f aca="false">IF(OR(12&gt;$B$3,ISBLANK(Actuals!N74)),"",Budget!N74-Actuals!N74)</f>
        <v/>
      </c>
      <c r="AW59" s="134" t="str">
        <f aca="false">IFERROR(IF(OR(12&gt;$B$3,ISBLANK(Actuals!N74)),"",(Budget!N74-Actuals!N74)/ABS(Budget!N74)),"")</f>
        <v/>
      </c>
      <c r="AX59" s="135" t="n">
        <f aca="false">SUMPRODUCT((Actuals!C74:N74&lt;&gt;"")*(Budget!C74:N74))</f>
        <v>0</v>
      </c>
      <c r="AY59" s="135" t="n">
        <f aca="false">SUM(Actuals!C74:N74)</f>
        <v>0</v>
      </c>
      <c r="AZ59" s="136" t="n">
        <f aca="false">AX59-AY59</f>
        <v>0</v>
      </c>
    </row>
    <row r="60" customFormat="false" ht="15" hidden="false" customHeight="true" outlineLevel="0" collapsed="false">
      <c r="A60" s="132" t="s">
        <v>112</v>
      </c>
      <c r="B60" s="133" t="n">
        <f aca="false">Budget!C75</f>
        <v>0</v>
      </c>
      <c r="C60" s="133" t="str">
        <f aca="false">IF(OR(1&gt;$B$3,ISBLANK(Actuals!C75)),"",Actuals!C75)</f>
        <v/>
      </c>
      <c r="D60" s="134" t="str">
        <f aca="false">IF(OR(1&gt;$B$3,ISBLANK(Actuals!C75)),"",Budget!C75-Actuals!C75)</f>
        <v/>
      </c>
      <c r="E60" s="134" t="str">
        <f aca="false">IFERROR(IF(OR(1&gt;$B$3,ISBLANK(Actuals!C75)),"",(Budget!C75-Actuals!C75)/ABS(Budget!C75)),"")</f>
        <v/>
      </c>
      <c r="F60" s="133" t="n">
        <f aca="false">Budget!D75</f>
        <v>0</v>
      </c>
      <c r="G60" s="133" t="str">
        <f aca="false">IF(OR(2&gt;$B$3,ISBLANK(Actuals!D75)),"",Actuals!D75)</f>
        <v/>
      </c>
      <c r="H60" s="134" t="str">
        <f aca="false">IF(OR(2&gt;$B$3,ISBLANK(Actuals!D75)),"",Budget!D75-Actuals!D75)</f>
        <v/>
      </c>
      <c r="I60" s="134" t="str">
        <f aca="false">IFERROR(IF(OR(2&gt;$B$3,ISBLANK(Actuals!D75)),"",(Budget!D75-Actuals!D75)/ABS(Budget!D75)),"")</f>
        <v/>
      </c>
      <c r="J60" s="133" t="n">
        <f aca="false">Budget!E75</f>
        <v>0</v>
      </c>
      <c r="K60" s="133" t="str">
        <f aca="false">IF(OR(3&gt;$B$3,ISBLANK(Actuals!E75)),"",Actuals!E75)</f>
        <v/>
      </c>
      <c r="L60" s="134" t="str">
        <f aca="false">IF(OR(3&gt;$B$3,ISBLANK(Actuals!E75)),"",Budget!E75-Actuals!E75)</f>
        <v/>
      </c>
      <c r="M60" s="134" t="str">
        <f aca="false">IFERROR(IF(OR(3&gt;$B$3,ISBLANK(Actuals!E75)),"",(Budget!E75-Actuals!E75)/ABS(Budget!E75)),"")</f>
        <v/>
      </c>
      <c r="N60" s="133" t="n">
        <f aca="false">Budget!F75</f>
        <v>0</v>
      </c>
      <c r="O60" s="133" t="str">
        <f aca="false">IF(OR(4&gt;$B$3,ISBLANK(Actuals!F75)),"",Actuals!F75)</f>
        <v/>
      </c>
      <c r="P60" s="134" t="str">
        <f aca="false">IF(OR(4&gt;$B$3,ISBLANK(Actuals!F75)),"",Budget!F75-Actuals!F75)</f>
        <v/>
      </c>
      <c r="Q60" s="134" t="str">
        <f aca="false">IFERROR(IF(OR(4&gt;$B$3,ISBLANK(Actuals!F75)),"",(Budget!F75-Actuals!F75)/ABS(Budget!F75)),"")</f>
        <v/>
      </c>
      <c r="R60" s="133" t="n">
        <f aca="false">Budget!G75</f>
        <v>0</v>
      </c>
      <c r="S60" s="133" t="str">
        <f aca="false">IF(OR(5&gt;$B$3,ISBLANK(Actuals!G75)),"",Actuals!G75)</f>
        <v/>
      </c>
      <c r="T60" s="134" t="str">
        <f aca="false">IF(OR(5&gt;$B$3,ISBLANK(Actuals!G75)),"",Budget!G75-Actuals!G75)</f>
        <v/>
      </c>
      <c r="U60" s="134" t="str">
        <f aca="false">IFERROR(IF(OR(5&gt;$B$3,ISBLANK(Actuals!G75)),"",(Budget!G75-Actuals!G75)/ABS(Budget!G75)),"")</f>
        <v/>
      </c>
      <c r="V60" s="133" t="n">
        <f aca="false">Budget!H75</f>
        <v>0</v>
      </c>
      <c r="W60" s="133" t="str">
        <f aca="false">IF(OR(6&gt;$B$3,ISBLANK(Actuals!H75)),"",Actuals!H75)</f>
        <v/>
      </c>
      <c r="X60" s="134" t="str">
        <f aca="false">IF(OR(6&gt;$B$3,ISBLANK(Actuals!H75)),"",Budget!H75-Actuals!H75)</f>
        <v/>
      </c>
      <c r="Y60" s="134" t="str">
        <f aca="false">IFERROR(IF(OR(6&gt;$B$3,ISBLANK(Actuals!H75)),"",(Budget!H75-Actuals!H75)/ABS(Budget!H75)),"")</f>
        <v/>
      </c>
      <c r="Z60" s="133" t="n">
        <f aca="false">Budget!I75</f>
        <v>0</v>
      </c>
      <c r="AA60" s="133" t="str">
        <f aca="false">IF(OR(7&gt;$B$3,ISBLANK(Actuals!I75)),"",Actuals!I75)</f>
        <v/>
      </c>
      <c r="AB60" s="134" t="str">
        <f aca="false">IF(OR(7&gt;$B$3,ISBLANK(Actuals!I75)),"",Budget!I75-Actuals!I75)</f>
        <v/>
      </c>
      <c r="AC60" s="134" t="str">
        <f aca="false">IFERROR(IF(OR(7&gt;$B$3,ISBLANK(Actuals!I75)),"",(Budget!I75-Actuals!I75)/ABS(Budget!I75)),"")</f>
        <v/>
      </c>
      <c r="AD60" s="133" t="n">
        <f aca="false">Budget!J75</f>
        <v>0</v>
      </c>
      <c r="AE60" s="133" t="str">
        <f aca="false">IF(OR(8&gt;$B$3,ISBLANK(Actuals!J75)),"",Actuals!J75)</f>
        <v/>
      </c>
      <c r="AF60" s="134" t="str">
        <f aca="false">IF(OR(8&gt;$B$3,ISBLANK(Actuals!J75)),"",Budget!J75-Actuals!J75)</f>
        <v/>
      </c>
      <c r="AG60" s="134" t="str">
        <f aca="false">IFERROR(IF(OR(8&gt;$B$3,ISBLANK(Actuals!J75)),"",(Budget!J75-Actuals!J75)/ABS(Budget!J75)),"")</f>
        <v/>
      </c>
      <c r="AH60" s="133" t="n">
        <f aca="false">Budget!K75</f>
        <v>0</v>
      </c>
      <c r="AI60" s="133" t="str">
        <f aca="false">IF(OR(9&gt;$B$3,ISBLANK(Actuals!K75)),"",Actuals!K75)</f>
        <v/>
      </c>
      <c r="AJ60" s="134" t="str">
        <f aca="false">IF(OR(9&gt;$B$3,ISBLANK(Actuals!K75)),"",Budget!K75-Actuals!K75)</f>
        <v/>
      </c>
      <c r="AK60" s="134" t="str">
        <f aca="false">IFERROR(IF(OR(9&gt;$B$3,ISBLANK(Actuals!K75)),"",(Budget!K75-Actuals!K75)/ABS(Budget!K75)),"")</f>
        <v/>
      </c>
      <c r="AL60" s="133" t="n">
        <f aca="false">Budget!L75</f>
        <v>0</v>
      </c>
      <c r="AM60" s="133" t="str">
        <f aca="false">IF(OR(10&gt;$B$3,ISBLANK(Actuals!L75)),"",Actuals!L75)</f>
        <v/>
      </c>
      <c r="AN60" s="134" t="str">
        <f aca="false">IF(OR(10&gt;$B$3,ISBLANK(Actuals!L75)),"",Budget!L75-Actuals!L75)</f>
        <v/>
      </c>
      <c r="AO60" s="134" t="str">
        <f aca="false">IFERROR(IF(OR(10&gt;$B$3,ISBLANK(Actuals!L75)),"",(Budget!L75-Actuals!L75)/ABS(Budget!L75)),"")</f>
        <v/>
      </c>
      <c r="AP60" s="133" t="n">
        <f aca="false">Budget!M75</f>
        <v>0</v>
      </c>
      <c r="AQ60" s="133" t="str">
        <f aca="false">IF(OR(11&gt;$B$3,ISBLANK(Actuals!M75)),"",Actuals!M75)</f>
        <v/>
      </c>
      <c r="AR60" s="134" t="str">
        <f aca="false">IF(OR(11&gt;$B$3,ISBLANK(Actuals!M75)),"",Budget!M75-Actuals!M75)</f>
        <v/>
      </c>
      <c r="AS60" s="134" t="str">
        <f aca="false">IFERROR(IF(OR(11&gt;$B$3,ISBLANK(Actuals!M75)),"",(Budget!M75-Actuals!M75)/ABS(Budget!M75)),"")</f>
        <v/>
      </c>
      <c r="AT60" s="133" t="n">
        <f aca="false">Budget!N75</f>
        <v>0</v>
      </c>
      <c r="AU60" s="133" t="str">
        <f aca="false">IF(OR(12&gt;$B$3,ISBLANK(Actuals!N75)),"",Actuals!N75)</f>
        <v/>
      </c>
      <c r="AV60" s="134" t="str">
        <f aca="false">IF(OR(12&gt;$B$3,ISBLANK(Actuals!N75)),"",Budget!N75-Actuals!N75)</f>
        <v/>
      </c>
      <c r="AW60" s="134" t="str">
        <f aca="false">IFERROR(IF(OR(12&gt;$B$3,ISBLANK(Actuals!N75)),"",(Budget!N75-Actuals!N75)/ABS(Budget!N75)),"")</f>
        <v/>
      </c>
      <c r="AX60" s="135" t="n">
        <f aca="false">SUMPRODUCT((Actuals!C75:N75&lt;&gt;"")*(Budget!C75:N75))</f>
        <v>0</v>
      </c>
      <c r="AY60" s="135" t="n">
        <f aca="false">SUM(Actuals!C75:N75)</f>
        <v>0</v>
      </c>
      <c r="AZ60" s="136" t="n">
        <f aca="false">AX60-AY60</f>
        <v>0</v>
      </c>
    </row>
    <row r="61" customFormat="false" ht="15" hidden="false" customHeight="true" outlineLevel="0" collapsed="false">
      <c r="A61" s="132" t="s">
        <v>113</v>
      </c>
      <c r="B61" s="133" t="n">
        <f aca="false">Budget!C76</f>
        <v>0</v>
      </c>
      <c r="C61" s="133" t="str">
        <f aca="false">IF(OR(1&gt;$B$3,ISBLANK(Actuals!C76)),"",Actuals!C76)</f>
        <v/>
      </c>
      <c r="D61" s="134" t="str">
        <f aca="false">IF(OR(1&gt;$B$3,ISBLANK(Actuals!C76)),"",Budget!C76-Actuals!C76)</f>
        <v/>
      </c>
      <c r="E61" s="134" t="str">
        <f aca="false">IFERROR(IF(OR(1&gt;$B$3,ISBLANK(Actuals!C76)),"",(Budget!C76-Actuals!C76)/ABS(Budget!C76)),"")</f>
        <v/>
      </c>
      <c r="F61" s="133" t="n">
        <f aca="false">Budget!D76</f>
        <v>0</v>
      </c>
      <c r="G61" s="133" t="str">
        <f aca="false">IF(OR(2&gt;$B$3,ISBLANK(Actuals!D76)),"",Actuals!D76)</f>
        <v/>
      </c>
      <c r="H61" s="134" t="str">
        <f aca="false">IF(OR(2&gt;$B$3,ISBLANK(Actuals!D76)),"",Budget!D76-Actuals!D76)</f>
        <v/>
      </c>
      <c r="I61" s="134" t="str">
        <f aca="false">IFERROR(IF(OR(2&gt;$B$3,ISBLANK(Actuals!D76)),"",(Budget!D76-Actuals!D76)/ABS(Budget!D76)),"")</f>
        <v/>
      </c>
      <c r="J61" s="133" t="n">
        <f aca="false">Budget!E76</f>
        <v>0</v>
      </c>
      <c r="K61" s="133" t="str">
        <f aca="false">IF(OR(3&gt;$B$3,ISBLANK(Actuals!E76)),"",Actuals!E76)</f>
        <v/>
      </c>
      <c r="L61" s="134" t="str">
        <f aca="false">IF(OR(3&gt;$B$3,ISBLANK(Actuals!E76)),"",Budget!E76-Actuals!E76)</f>
        <v/>
      </c>
      <c r="M61" s="134" t="str">
        <f aca="false">IFERROR(IF(OR(3&gt;$B$3,ISBLANK(Actuals!E76)),"",(Budget!E76-Actuals!E76)/ABS(Budget!E76)),"")</f>
        <v/>
      </c>
      <c r="N61" s="133" t="n">
        <f aca="false">Budget!F76</f>
        <v>0</v>
      </c>
      <c r="O61" s="133" t="str">
        <f aca="false">IF(OR(4&gt;$B$3,ISBLANK(Actuals!F76)),"",Actuals!F76)</f>
        <v/>
      </c>
      <c r="P61" s="134" t="str">
        <f aca="false">IF(OR(4&gt;$B$3,ISBLANK(Actuals!F76)),"",Budget!F76-Actuals!F76)</f>
        <v/>
      </c>
      <c r="Q61" s="134" t="str">
        <f aca="false">IFERROR(IF(OR(4&gt;$B$3,ISBLANK(Actuals!F76)),"",(Budget!F76-Actuals!F76)/ABS(Budget!F76)),"")</f>
        <v/>
      </c>
      <c r="R61" s="133" t="n">
        <f aca="false">Budget!G76</f>
        <v>0</v>
      </c>
      <c r="S61" s="133" t="str">
        <f aca="false">IF(OR(5&gt;$B$3,ISBLANK(Actuals!G76)),"",Actuals!G76)</f>
        <v/>
      </c>
      <c r="T61" s="134" t="str">
        <f aca="false">IF(OR(5&gt;$B$3,ISBLANK(Actuals!G76)),"",Budget!G76-Actuals!G76)</f>
        <v/>
      </c>
      <c r="U61" s="134" t="str">
        <f aca="false">IFERROR(IF(OR(5&gt;$B$3,ISBLANK(Actuals!G76)),"",(Budget!G76-Actuals!G76)/ABS(Budget!G76)),"")</f>
        <v/>
      </c>
      <c r="V61" s="133" t="n">
        <f aca="false">Budget!H76</f>
        <v>0</v>
      </c>
      <c r="W61" s="133" t="str">
        <f aca="false">IF(OR(6&gt;$B$3,ISBLANK(Actuals!H76)),"",Actuals!H76)</f>
        <v/>
      </c>
      <c r="X61" s="134" t="str">
        <f aca="false">IF(OR(6&gt;$B$3,ISBLANK(Actuals!H76)),"",Budget!H76-Actuals!H76)</f>
        <v/>
      </c>
      <c r="Y61" s="134" t="str">
        <f aca="false">IFERROR(IF(OR(6&gt;$B$3,ISBLANK(Actuals!H76)),"",(Budget!H76-Actuals!H76)/ABS(Budget!H76)),"")</f>
        <v/>
      </c>
      <c r="Z61" s="133" t="n">
        <f aca="false">Budget!I76</f>
        <v>0</v>
      </c>
      <c r="AA61" s="133" t="str">
        <f aca="false">IF(OR(7&gt;$B$3,ISBLANK(Actuals!I76)),"",Actuals!I76)</f>
        <v/>
      </c>
      <c r="AB61" s="134" t="str">
        <f aca="false">IF(OR(7&gt;$B$3,ISBLANK(Actuals!I76)),"",Budget!I76-Actuals!I76)</f>
        <v/>
      </c>
      <c r="AC61" s="134" t="str">
        <f aca="false">IFERROR(IF(OR(7&gt;$B$3,ISBLANK(Actuals!I76)),"",(Budget!I76-Actuals!I76)/ABS(Budget!I76)),"")</f>
        <v/>
      </c>
      <c r="AD61" s="133" t="n">
        <f aca="false">Budget!J76</f>
        <v>0</v>
      </c>
      <c r="AE61" s="133" t="str">
        <f aca="false">IF(OR(8&gt;$B$3,ISBLANK(Actuals!J76)),"",Actuals!J76)</f>
        <v/>
      </c>
      <c r="AF61" s="134" t="str">
        <f aca="false">IF(OR(8&gt;$B$3,ISBLANK(Actuals!J76)),"",Budget!J76-Actuals!J76)</f>
        <v/>
      </c>
      <c r="AG61" s="134" t="str">
        <f aca="false">IFERROR(IF(OR(8&gt;$B$3,ISBLANK(Actuals!J76)),"",(Budget!J76-Actuals!J76)/ABS(Budget!J76)),"")</f>
        <v/>
      </c>
      <c r="AH61" s="133" t="n">
        <f aca="false">Budget!K76</f>
        <v>0</v>
      </c>
      <c r="AI61" s="133" t="str">
        <f aca="false">IF(OR(9&gt;$B$3,ISBLANK(Actuals!K76)),"",Actuals!K76)</f>
        <v/>
      </c>
      <c r="AJ61" s="134" t="str">
        <f aca="false">IF(OR(9&gt;$B$3,ISBLANK(Actuals!K76)),"",Budget!K76-Actuals!K76)</f>
        <v/>
      </c>
      <c r="AK61" s="134" t="str">
        <f aca="false">IFERROR(IF(OR(9&gt;$B$3,ISBLANK(Actuals!K76)),"",(Budget!K76-Actuals!K76)/ABS(Budget!K76)),"")</f>
        <v/>
      </c>
      <c r="AL61" s="133" t="n">
        <f aca="false">Budget!L76</f>
        <v>0</v>
      </c>
      <c r="AM61" s="133" t="str">
        <f aca="false">IF(OR(10&gt;$B$3,ISBLANK(Actuals!L76)),"",Actuals!L76)</f>
        <v/>
      </c>
      <c r="AN61" s="134" t="str">
        <f aca="false">IF(OR(10&gt;$B$3,ISBLANK(Actuals!L76)),"",Budget!L76-Actuals!L76)</f>
        <v/>
      </c>
      <c r="AO61" s="134" t="str">
        <f aca="false">IFERROR(IF(OR(10&gt;$B$3,ISBLANK(Actuals!L76)),"",(Budget!L76-Actuals!L76)/ABS(Budget!L76)),"")</f>
        <v/>
      </c>
      <c r="AP61" s="133" t="n">
        <f aca="false">Budget!M76</f>
        <v>0</v>
      </c>
      <c r="AQ61" s="133" t="str">
        <f aca="false">IF(OR(11&gt;$B$3,ISBLANK(Actuals!M76)),"",Actuals!M76)</f>
        <v/>
      </c>
      <c r="AR61" s="134" t="str">
        <f aca="false">IF(OR(11&gt;$B$3,ISBLANK(Actuals!M76)),"",Budget!M76-Actuals!M76)</f>
        <v/>
      </c>
      <c r="AS61" s="134" t="str">
        <f aca="false">IFERROR(IF(OR(11&gt;$B$3,ISBLANK(Actuals!M76)),"",(Budget!M76-Actuals!M76)/ABS(Budget!M76)),"")</f>
        <v/>
      </c>
      <c r="AT61" s="133" t="n">
        <f aca="false">Budget!N76</f>
        <v>0</v>
      </c>
      <c r="AU61" s="133" t="str">
        <f aca="false">IF(OR(12&gt;$B$3,ISBLANK(Actuals!N76)),"",Actuals!N76)</f>
        <v/>
      </c>
      <c r="AV61" s="134" t="str">
        <f aca="false">IF(OR(12&gt;$B$3,ISBLANK(Actuals!N76)),"",Budget!N76-Actuals!N76)</f>
        <v/>
      </c>
      <c r="AW61" s="134" t="str">
        <f aca="false">IFERROR(IF(OR(12&gt;$B$3,ISBLANK(Actuals!N76)),"",(Budget!N76-Actuals!N76)/ABS(Budget!N76)),"")</f>
        <v/>
      </c>
      <c r="AX61" s="135" t="n">
        <f aca="false">SUMPRODUCT((Actuals!C76:N76&lt;&gt;"")*(Budget!C76:N76))</f>
        <v>0</v>
      </c>
      <c r="AY61" s="135" t="n">
        <f aca="false">SUM(Actuals!C76:N76)</f>
        <v>0</v>
      </c>
      <c r="AZ61" s="136" t="n">
        <f aca="false">AX61-AY61</f>
        <v>0</v>
      </c>
    </row>
    <row r="62" customFormat="false" ht="15" hidden="false" customHeight="true" outlineLevel="0" collapsed="false">
      <c r="A62" s="132" t="s">
        <v>114</v>
      </c>
      <c r="B62" s="133" t="n">
        <f aca="false">Budget!C77</f>
        <v>0</v>
      </c>
      <c r="C62" s="133" t="str">
        <f aca="false">IF(OR(1&gt;$B$3,ISBLANK(Actuals!C77)),"",Actuals!C77)</f>
        <v/>
      </c>
      <c r="D62" s="134" t="str">
        <f aca="false">IF(OR(1&gt;$B$3,ISBLANK(Actuals!C77)),"",Budget!C77-Actuals!C77)</f>
        <v/>
      </c>
      <c r="E62" s="134" t="str">
        <f aca="false">IFERROR(IF(OR(1&gt;$B$3,ISBLANK(Actuals!C77)),"",(Budget!C77-Actuals!C77)/ABS(Budget!C77)),"")</f>
        <v/>
      </c>
      <c r="F62" s="133" t="n">
        <f aca="false">Budget!D77</f>
        <v>0</v>
      </c>
      <c r="G62" s="133" t="str">
        <f aca="false">IF(OR(2&gt;$B$3,ISBLANK(Actuals!D77)),"",Actuals!D77)</f>
        <v/>
      </c>
      <c r="H62" s="134" t="str">
        <f aca="false">IF(OR(2&gt;$B$3,ISBLANK(Actuals!D77)),"",Budget!D77-Actuals!D77)</f>
        <v/>
      </c>
      <c r="I62" s="134" t="str">
        <f aca="false">IFERROR(IF(OR(2&gt;$B$3,ISBLANK(Actuals!D77)),"",(Budget!D77-Actuals!D77)/ABS(Budget!D77)),"")</f>
        <v/>
      </c>
      <c r="J62" s="133" t="n">
        <f aca="false">Budget!E77</f>
        <v>0</v>
      </c>
      <c r="K62" s="133" t="str">
        <f aca="false">IF(OR(3&gt;$B$3,ISBLANK(Actuals!E77)),"",Actuals!E77)</f>
        <v/>
      </c>
      <c r="L62" s="134" t="str">
        <f aca="false">IF(OR(3&gt;$B$3,ISBLANK(Actuals!E77)),"",Budget!E77-Actuals!E77)</f>
        <v/>
      </c>
      <c r="M62" s="134" t="str">
        <f aca="false">IFERROR(IF(OR(3&gt;$B$3,ISBLANK(Actuals!E77)),"",(Budget!E77-Actuals!E77)/ABS(Budget!E77)),"")</f>
        <v/>
      </c>
      <c r="N62" s="133" t="n">
        <f aca="false">Budget!F77</f>
        <v>0</v>
      </c>
      <c r="O62" s="133" t="str">
        <f aca="false">IF(OR(4&gt;$B$3,ISBLANK(Actuals!F77)),"",Actuals!F77)</f>
        <v/>
      </c>
      <c r="P62" s="134" t="str">
        <f aca="false">IF(OR(4&gt;$B$3,ISBLANK(Actuals!F77)),"",Budget!F77-Actuals!F77)</f>
        <v/>
      </c>
      <c r="Q62" s="134" t="str">
        <f aca="false">IFERROR(IF(OR(4&gt;$B$3,ISBLANK(Actuals!F77)),"",(Budget!F77-Actuals!F77)/ABS(Budget!F77)),"")</f>
        <v/>
      </c>
      <c r="R62" s="133" t="n">
        <f aca="false">Budget!G77</f>
        <v>0</v>
      </c>
      <c r="S62" s="133" t="str">
        <f aca="false">IF(OR(5&gt;$B$3,ISBLANK(Actuals!G77)),"",Actuals!G77)</f>
        <v/>
      </c>
      <c r="T62" s="134" t="str">
        <f aca="false">IF(OR(5&gt;$B$3,ISBLANK(Actuals!G77)),"",Budget!G77-Actuals!G77)</f>
        <v/>
      </c>
      <c r="U62" s="134" t="str">
        <f aca="false">IFERROR(IF(OR(5&gt;$B$3,ISBLANK(Actuals!G77)),"",(Budget!G77-Actuals!G77)/ABS(Budget!G77)),"")</f>
        <v/>
      </c>
      <c r="V62" s="133" t="n">
        <f aca="false">Budget!H77</f>
        <v>0</v>
      </c>
      <c r="W62" s="133" t="str">
        <f aca="false">IF(OR(6&gt;$B$3,ISBLANK(Actuals!H77)),"",Actuals!H77)</f>
        <v/>
      </c>
      <c r="X62" s="134" t="str">
        <f aca="false">IF(OR(6&gt;$B$3,ISBLANK(Actuals!H77)),"",Budget!H77-Actuals!H77)</f>
        <v/>
      </c>
      <c r="Y62" s="134" t="str">
        <f aca="false">IFERROR(IF(OR(6&gt;$B$3,ISBLANK(Actuals!H77)),"",(Budget!H77-Actuals!H77)/ABS(Budget!H77)),"")</f>
        <v/>
      </c>
      <c r="Z62" s="133" t="n">
        <f aca="false">Budget!I77</f>
        <v>0</v>
      </c>
      <c r="AA62" s="133" t="str">
        <f aca="false">IF(OR(7&gt;$B$3,ISBLANK(Actuals!I77)),"",Actuals!I77)</f>
        <v/>
      </c>
      <c r="AB62" s="134" t="str">
        <f aca="false">IF(OR(7&gt;$B$3,ISBLANK(Actuals!I77)),"",Budget!I77-Actuals!I77)</f>
        <v/>
      </c>
      <c r="AC62" s="134" t="str">
        <f aca="false">IFERROR(IF(OR(7&gt;$B$3,ISBLANK(Actuals!I77)),"",(Budget!I77-Actuals!I77)/ABS(Budget!I77)),"")</f>
        <v/>
      </c>
      <c r="AD62" s="133" t="n">
        <f aca="false">Budget!J77</f>
        <v>0</v>
      </c>
      <c r="AE62" s="133" t="n">
        <f aca="false">IF(OR(8&gt;$B$3,ISBLANK(Actuals!J77)),"",Actuals!J77)</f>
        <v>127514</v>
      </c>
      <c r="AF62" s="134" t="n">
        <f aca="false">IF(OR(8&gt;$B$3,ISBLANK(Actuals!J77)),"",Budget!J77-Actuals!J77)</f>
        <v>-127514</v>
      </c>
      <c r="AG62" s="134" t="str">
        <f aca="false">IFERROR(IF(OR(8&gt;$B$3,ISBLANK(Actuals!J77)),"",(Budget!J77-Actuals!J77)/ABS(Budget!J77)),"")</f>
        <v/>
      </c>
      <c r="AH62" s="133" t="n">
        <f aca="false">Budget!K77</f>
        <v>0</v>
      </c>
      <c r="AI62" s="133" t="str">
        <f aca="false">IF(OR(9&gt;$B$3,ISBLANK(Actuals!K77)),"",Actuals!K77)</f>
        <v/>
      </c>
      <c r="AJ62" s="134" t="str">
        <f aca="false">IF(OR(9&gt;$B$3,ISBLANK(Actuals!K77)),"",Budget!K77-Actuals!K77)</f>
        <v/>
      </c>
      <c r="AK62" s="134" t="str">
        <f aca="false">IFERROR(IF(OR(9&gt;$B$3,ISBLANK(Actuals!K77)),"",(Budget!K77-Actuals!K77)/ABS(Budget!K77)),"")</f>
        <v/>
      </c>
      <c r="AL62" s="133" t="n">
        <f aca="false">Budget!L77</f>
        <v>0</v>
      </c>
      <c r="AM62" s="133" t="str">
        <f aca="false">IF(OR(10&gt;$B$3,ISBLANK(Actuals!L77)),"",Actuals!L77)</f>
        <v/>
      </c>
      <c r="AN62" s="134" t="str">
        <f aca="false">IF(OR(10&gt;$B$3,ISBLANK(Actuals!L77)),"",Budget!L77-Actuals!L77)</f>
        <v/>
      </c>
      <c r="AO62" s="134" t="str">
        <f aca="false">IFERROR(IF(OR(10&gt;$B$3,ISBLANK(Actuals!L77)),"",(Budget!L77-Actuals!L77)/ABS(Budget!L77)),"")</f>
        <v/>
      </c>
      <c r="AP62" s="133" t="n">
        <f aca="false">Budget!M77</f>
        <v>0</v>
      </c>
      <c r="AQ62" s="133" t="str">
        <f aca="false">IF(OR(11&gt;$B$3,ISBLANK(Actuals!M77)),"",Actuals!M77)</f>
        <v/>
      </c>
      <c r="AR62" s="134" t="str">
        <f aca="false">IF(OR(11&gt;$B$3,ISBLANK(Actuals!M77)),"",Budget!M77-Actuals!M77)</f>
        <v/>
      </c>
      <c r="AS62" s="134" t="str">
        <f aca="false">IFERROR(IF(OR(11&gt;$B$3,ISBLANK(Actuals!M77)),"",(Budget!M77-Actuals!M77)/ABS(Budget!M77)),"")</f>
        <v/>
      </c>
      <c r="AT62" s="133" t="n">
        <f aca="false">Budget!N77</f>
        <v>0</v>
      </c>
      <c r="AU62" s="133" t="str">
        <f aca="false">IF(OR(12&gt;$B$3,ISBLANK(Actuals!N77)),"",Actuals!N77)</f>
        <v/>
      </c>
      <c r="AV62" s="134" t="str">
        <f aca="false">IF(OR(12&gt;$B$3,ISBLANK(Actuals!N77)),"",Budget!N77-Actuals!N77)</f>
        <v/>
      </c>
      <c r="AW62" s="134" t="str">
        <f aca="false">IFERROR(IF(OR(12&gt;$B$3,ISBLANK(Actuals!N77)),"",(Budget!N77-Actuals!N77)/ABS(Budget!N77)),"")</f>
        <v/>
      </c>
      <c r="AX62" s="135" t="n">
        <f aca="false">SUMPRODUCT((Actuals!C77:N77&lt;&gt;"")*(Budget!C77:N77))</f>
        <v>0</v>
      </c>
      <c r="AY62" s="135" t="n">
        <f aca="false">SUM(Actuals!C77:N77)</f>
        <v>127514</v>
      </c>
      <c r="AZ62" s="136" t="n">
        <f aca="false">AX62-AY62</f>
        <v>-127514</v>
      </c>
    </row>
    <row r="63" customFormat="false" ht="15" hidden="false" customHeight="true" outlineLevel="0" collapsed="false">
      <c r="A63" s="132" t="s">
        <v>115</v>
      </c>
      <c r="B63" s="133" t="n">
        <f aca="false">Budget!C78</f>
        <v>0</v>
      </c>
      <c r="C63" s="133" t="str">
        <f aca="false">IF(OR(1&gt;$B$3,ISBLANK(Actuals!C78)),"",Actuals!C78)</f>
        <v/>
      </c>
      <c r="D63" s="134" t="str">
        <f aca="false">IF(OR(1&gt;$B$3,ISBLANK(Actuals!C78)),"",Budget!C78-Actuals!C78)</f>
        <v/>
      </c>
      <c r="E63" s="134" t="str">
        <f aca="false">IFERROR(IF(OR(1&gt;$B$3,ISBLANK(Actuals!C78)),"",(Budget!C78-Actuals!C78)/ABS(Budget!C78)),"")</f>
        <v/>
      </c>
      <c r="F63" s="133" t="n">
        <f aca="false">Budget!D78</f>
        <v>0</v>
      </c>
      <c r="G63" s="133" t="str">
        <f aca="false">IF(OR(2&gt;$B$3,ISBLANK(Actuals!D78)),"",Actuals!D78)</f>
        <v/>
      </c>
      <c r="H63" s="134" t="str">
        <f aca="false">IF(OR(2&gt;$B$3,ISBLANK(Actuals!D78)),"",Budget!D78-Actuals!D78)</f>
        <v/>
      </c>
      <c r="I63" s="134" t="str">
        <f aca="false">IFERROR(IF(OR(2&gt;$B$3,ISBLANK(Actuals!D78)),"",(Budget!D78-Actuals!D78)/ABS(Budget!D78)),"")</f>
        <v/>
      </c>
      <c r="J63" s="133" t="n">
        <f aca="false">Budget!E78</f>
        <v>0</v>
      </c>
      <c r="K63" s="133" t="str">
        <f aca="false">IF(OR(3&gt;$B$3,ISBLANK(Actuals!E78)),"",Actuals!E78)</f>
        <v/>
      </c>
      <c r="L63" s="134" t="str">
        <f aca="false">IF(OR(3&gt;$B$3,ISBLANK(Actuals!E78)),"",Budget!E78-Actuals!E78)</f>
        <v/>
      </c>
      <c r="M63" s="134" t="str">
        <f aca="false">IFERROR(IF(OR(3&gt;$B$3,ISBLANK(Actuals!E78)),"",(Budget!E78-Actuals!E78)/ABS(Budget!E78)),"")</f>
        <v/>
      </c>
      <c r="N63" s="133" t="n">
        <f aca="false">Budget!F78</f>
        <v>0</v>
      </c>
      <c r="O63" s="133" t="str">
        <f aca="false">IF(OR(4&gt;$B$3,ISBLANK(Actuals!F78)),"",Actuals!F78)</f>
        <v/>
      </c>
      <c r="P63" s="134" t="str">
        <f aca="false">IF(OR(4&gt;$B$3,ISBLANK(Actuals!F78)),"",Budget!F78-Actuals!F78)</f>
        <v/>
      </c>
      <c r="Q63" s="134" t="str">
        <f aca="false">IFERROR(IF(OR(4&gt;$B$3,ISBLANK(Actuals!F78)),"",(Budget!F78-Actuals!F78)/ABS(Budget!F78)),"")</f>
        <v/>
      </c>
      <c r="R63" s="133" t="n">
        <f aca="false">Budget!G78</f>
        <v>0</v>
      </c>
      <c r="S63" s="133" t="str">
        <f aca="false">IF(OR(5&gt;$B$3,ISBLANK(Actuals!G78)),"",Actuals!G78)</f>
        <v/>
      </c>
      <c r="T63" s="134" t="str">
        <f aca="false">IF(OR(5&gt;$B$3,ISBLANK(Actuals!G78)),"",Budget!G78-Actuals!G78)</f>
        <v/>
      </c>
      <c r="U63" s="134" t="str">
        <f aca="false">IFERROR(IF(OR(5&gt;$B$3,ISBLANK(Actuals!G78)),"",(Budget!G78-Actuals!G78)/ABS(Budget!G78)),"")</f>
        <v/>
      </c>
      <c r="V63" s="133" t="n">
        <f aca="false">Budget!H78</f>
        <v>0</v>
      </c>
      <c r="W63" s="133" t="str">
        <f aca="false">IF(OR(6&gt;$B$3,ISBLANK(Actuals!H78)),"",Actuals!H78)</f>
        <v/>
      </c>
      <c r="X63" s="134" t="str">
        <f aca="false">IF(OR(6&gt;$B$3,ISBLANK(Actuals!H78)),"",Budget!H78-Actuals!H78)</f>
        <v/>
      </c>
      <c r="Y63" s="134" t="str">
        <f aca="false">IFERROR(IF(OR(6&gt;$B$3,ISBLANK(Actuals!H78)),"",(Budget!H78-Actuals!H78)/ABS(Budget!H78)),"")</f>
        <v/>
      </c>
      <c r="Z63" s="133" t="n">
        <f aca="false">Budget!I78</f>
        <v>0</v>
      </c>
      <c r="AA63" s="133" t="str">
        <f aca="false">IF(OR(7&gt;$B$3,ISBLANK(Actuals!I78)),"",Actuals!I78)</f>
        <v/>
      </c>
      <c r="AB63" s="134" t="str">
        <f aca="false">IF(OR(7&gt;$B$3,ISBLANK(Actuals!I78)),"",Budget!I78-Actuals!I78)</f>
        <v/>
      </c>
      <c r="AC63" s="134" t="str">
        <f aca="false">IFERROR(IF(OR(7&gt;$B$3,ISBLANK(Actuals!I78)),"",(Budget!I78-Actuals!I78)/ABS(Budget!I78)),"")</f>
        <v/>
      </c>
      <c r="AD63" s="133" t="n">
        <f aca="false">Budget!J78</f>
        <v>0</v>
      </c>
      <c r="AE63" s="133" t="str">
        <f aca="false">IF(OR(8&gt;$B$3,ISBLANK(Actuals!J78)),"",Actuals!J78)</f>
        <v/>
      </c>
      <c r="AF63" s="134" t="str">
        <f aca="false">IF(OR(8&gt;$B$3,ISBLANK(Actuals!J78)),"",Budget!J78-Actuals!J78)</f>
        <v/>
      </c>
      <c r="AG63" s="134" t="str">
        <f aca="false">IFERROR(IF(OR(8&gt;$B$3,ISBLANK(Actuals!J78)),"",(Budget!J78-Actuals!J78)/ABS(Budget!J78)),"")</f>
        <v/>
      </c>
      <c r="AH63" s="133" t="n">
        <f aca="false">Budget!K78</f>
        <v>0</v>
      </c>
      <c r="AI63" s="133" t="str">
        <f aca="false">IF(OR(9&gt;$B$3,ISBLANK(Actuals!K78)),"",Actuals!K78)</f>
        <v/>
      </c>
      <c r="AJ63" s="134" t="str">
        <f aca="false">IF(OR(9&gt;$B$3,ISBLANK(Actuals!K78)),"",Budget!K78-Actuals!K78)</f>
        <v/>
      </c>
      <c r="AK63" s="134" t="str">
        <f aca="false">IFERROR(IF(OR(9&gt;$B$3,ISBLANK(Actuals!K78)),"",(Budget!K78-Actuals!K78)/ABS(Budget!K78)),"")</f>
        <v/>
      </c>
      <c r="AL63" s="133" t="n">
        <f aca="false">Budget!L78</f>
        <v>0</v>
      </c>
      <c r="AM63" s="133" t="str">
        <f aca="false">IF(OR(10&gt;$B$3,ISBLANK(Actuals!L78)),"",Actuals!L78)</f>
        <v/>
      </c>
      <c r="AN63" s="134" t="str">
        <f aca="false">IF(OR(10&gt;$B$3,ISBLANK(Actuals!L78)),"",Budget!L78-Actuals!L78)</f>
        <v/>
      </c>
      <c r="AO63" s="134" t="str">
        <f aca="false">IFERROR(IF(OR(10&gt;$B$3,ISBLANK(Actuals!L78)),"",(Budget!L78-Actuals!L78)/ABS(Budget!L78)),"")</f>
        <v/>
      </c>
      <c r="AP63" s="133" t="n">
        <f aca="false">Budget!M78</f>
        <v>0</v>
      </c>
      <c r="AQ63" s="133" t="str">
        <f aca="false">IF(OR(11&gt;$B$3,ISBLANK(Actuals!M78)),"",Actuals!M78)</f>
        <v/>
      </c>
      <c r="AR63" s="134" t="str">
        <f aca="false">IF(OR(11&gt;$B$3,ISBLANK(Actuals!M78)),"",Budget!M78-Actuals!M78)</f>
        <v/>
      </c>
      <c r="AS63" s="134" t="str">
        <f aca="false">IFERROR(IF(OR(11&gt;$B$3,ISBLANK(Actuals!M78)),"",(Budget!M78-Actuals!M78)/ABS(Budget!M78)),"")</f>
        <v/>
      </c>
      <c r="AT63" s="133" t="n">
        <f aca="false">Budget!N78</f>
        <v>0</v>
      </c>
      <c r="AU63" s="133" t="str">
        <f aca="false">IF(OR(12&gt;$B$3,ISBLANK(Actuals!N78)),"",Actuals!N78)</f>
        <v/>
      </c>
      <c r="AV63" s="134" t="str">
        <f aca="false">IF(OR(12&gt;$B$3,ISBLANK(Actuals!N78)),"",Budget!N78-Actuals!N78)</f>
        <v/>
      </c>
      <c r="AW63" s="134" t="str">
        <f aca="false">IFERROR(IF(OR(12&gt;$B$3,ISBLANK(Actuals!N78)),"",(Budget!N78-Actuals!N78)/ABS(Budget!N78)),"")</f>
        <v/>
      </c>
      <c r="AX63" s="135" t="n">
        <f aca="false">SUMPRODUCT((Actuals!C78:N78&lt;&gt;"")*(Budget!C78:N78))</f>
        <v>0</v>
      </c>
      <c r="AY63" s="135" t="n">
        <f aca="false">SUM(Actuals!C78:N78)</f>
        <v>0</v>
      </c>
      <c r="AZ63" s="136" t="n">
        <f aca="false">AX63-AY63</f>
        <v>0</v>
      </c>
    </row>
    <row r="64" customFormat="false" ht="15" hidden="false" customHeight="true" outlineLevel="0" collapsed="false">
      <c r="A64" s="132" t="s">
        <v>116</v>
      </c>
      <c r="B64" s="133" t="n">
        <f aca="false">Budget!C79</f>
        <v>0</v>
      </c>
      <c r="C64" s="133" t="str">
        <f aca="false">IF(OR(1&gt;$B$3,ISBLANK(Actuals!C79)),"",Actuals!C79)</f>
        <v/>
      </c>
      <c r="D64" s="134" t="str">
        <f aca="false">IF(OR(1&gt;$B$3,ISBLANK(Actuals!C79)),"",Budget!C79-Actuals!C79)</f>
        <v/>
      </c>
      <c r="E64" s="134" t="str">
        <f aca="false">IFERROR(IF(OR(1&gt;$B$3,ISBLANK(Actuals!C79)),"",(Budget!C79-Actuals!C79)/ABS(Budget!C79)),"")</f>
        <v/>
      </c>
      <c r="F64" s="133" t="n">
        <f aca="false">Budget!D79</f>
        <v>0</v>
      </c>
      <c r="G64" s="133" t="str">
        <f aca="false">IF(OR(2&gt;$B$3,ISBLANK(Actuals!D79)),"",Actuals!D79)</f>
        <v/>
      </c>
      <c r="H64" s="134" t="str">
        <f aca="false">IF(OR(2&gt;$B$3,ISBLANK(Actuals!D79)),"",Budget!D79-Actuals!D79)</f>
        <v/>
      </c>
      <c r="I64" s="134" t="str">
        <f aca="false">IFERROR(IF(OR(2&gt;$B$3,ISBLANK(Actuals!D79)),"",(Budget!D79-Actuals!D79)/ABS(Budget!D79)),"")</f>
        <v/>
      </c>
      <c r="J64" s="133" t="n">
        <f aca="false">Budget!E79</f>
        <v>0</v>
      </c>
      <c r="K64" s="133" t="str">
        <f aca="false">IF(OR(3&gt;$B$3,ISBLANK(Actuals!E79)),"",Actuals!E79)</f>
        <v/>
      </c>
      <c r="L64" s="134" t="str">
        <f aca="false">IF(OR(3&gt;$B$3,ISBLANK(Actuals!E79)),"",Budget!E79-Actuals!E79)</f>
        <v/>
      </c>
      <c r="M64" s="134" t="str">
        <f aca="false">IFERROR(IF(OR(3&gt;$B$3,ISBLANK(Actuals!E79)),"",(Budget!E79-Actuals!E79)/ABS(Budget!E79)),"")</f>
        <v/>
      </c>
      <c r="N64" s="133" t="n">
        <f aca="false">Budget!F79</f>
        <v>0</v>
      </c>
      <c r="O64" s="133" t="str">
        <f aca="false">IF(OR(4&gt;$B$3,ISBLANK(Actuals!F79)),"",Actuals!F79)</f>
        <v/>
      </c>
      <c r="P64" s="134" t="str">
        <f aca="false">IF(OR(4&gt;$B$3,ISBLANK(Actuals!F79)),"",Budget!F79-Actuals!F79)</f>
        <v/>
      </c>
      <c r="Q64" s="134" t="str">
        <f aca="false">IFERROR(IF(OR(4&gt;$B$3,ISBLANK(Actuals!F79)),"",(Budget!F79-Actuals!F79)/ABS(Budget!F79)),"")</f>
        <v/>
      </c>
      <c r="R64" s="133" t="n">
        <f aca="false">Budget!G79</f>
        <v>0</v>
      </c>
      <c r="S64" s="133" t="str">
        <f aca="false">IF(OR(5&gt;$B$3,ISBLANK(Actuals!G79)),"",Actuals!G79)</f>
        <v/>
      </c>
      <c r="T64" s="134" t="str">
        <f aca="false">IF(OR(5&gt;$B$3,ISBLANK(Actuals!G79)),"",Budget!G79-Actuals!G79)</f>
        <v/>
      </c>
      <c r="U64" s="134" t="str">
        <f aca="false">IFERROR(IF(OR(5&gt;$B$3,ISBLANK(Actuals!G79)),"",(Budget!G79-Actuals!G79)/ABS(Budget!G79)),"")</f>
        <v/>
      </c>
      <c r="V64" s="133" t="n">
        <f aca="false">Budget!H79</f>
        <v>0</v>
      </c>
      <c r="W64" s="133" t="str">
        <f aca="false">IF(OR(6&gt;$B$3,ISBLANK(Actuals!H79)),"",Actuals!H79)</f>
        <v/>
      </c>
      <c r="X64" s="134" t="str">
        <f aca="false">IF(OR(6&gt;$B$3,ISBLANK(Actuals!H79)),"",Budget!H79-Actuals!H79)</f>
        <v/>
      </c>
      <c r="Y64" s="134" t="str">
        <f aca="false">IFERROR(IF(OR(6&gt;$B$3,ISBLANK(Actuals!H79)),"",(Budget!H79-Actuals!H79)/ABS(Budget!H79)),"")</f>
        <v/>
      </c>
      <c r="Z64" s="133" t="n">
        <f aca="false">Budget!I79</f>
        <v>0</v>
      </c>
      <c r="AA64" s="133" t="str">
        <f aca="false">IF(OR(7&gt;$B$3,ISBLANK(Actuals!I79)),"",Actuals!I79)</f>
        <v/>
      </c>
      <c r="AB64" s="134" t="str">
        <f aca="false">IF(OR(7&gt;$B$3,ISBLANK(Actuals!I79)),"",Budget!I79-Actuals!I79)</f>
        <v/>
      </c>
      <c r="AC64" s="134" t="str">
        <f aca="false">IFERROR(IF(OR(7&gt;$B$3,ISBLANK(Actuals!I79)),"",(Budget!I79-Actuals!I79)/ABS(Budget!I79)),"")</f>
        <v/>
      </c>
      <c r="AD64" s="133" t="n">
        <f aca="false">Budget!J79</f>
        <v>0</v>
      </c>
      <c r="AE64" s="133" t="str">
        <f aca="false">IF(OR(8&gt;$B$3,ISBLANK(Actuals!J79)),"",Actuals!J79)</f>
        <v/>
      </c>
      <c r="AF64" s="134" t="str">
        <f aca="false">IF(OR(8&gt;$B$3,ISBLANK(Actuals!J79)),"",Budget!J79-Actuals!J79)</f>
        <v/>
      </c>
      <c r="AG64" s="134" t="str">
        <f aca="false">IFERROR(IF(OR(8&gt;$B$3,ISBLANK(Actuals!J79)),"",(Budget!J79-Actuals!J79)/ABS(Budget!J79)),"")</f>
        <v/>
      </c>
      <c r="AH64" s="133" t="n">
        <f aca="false">Budget!K79</f>
        <v>0</v>
      </c>
      <c r="AI64" s="133" t="str">
        <f aca="false">IF(OR(9&gt;$B$3,ISBLANK(Actuals!K79)),"",Actuals!K79)</f>
        <v/>
      </c>
      <c r="AJ64" s="134" t="str">
        <f aca="false">IF(OR(9&gt;$B$3,ISBLANK(Actuals!K79)),"",Budget!K79-Actuals!K79)</f>
        <v/>
      </c>
      <c r="AK64" s="134" t="str">
        <f aca="false">IFERROR(IF(OR(9&gt;$B$3,ISBLANK(Actuals!K79)),"",(Budget!K79-Actuals!K79)/ABS(Budget!K79)),"")</f>
        <v/>
      </c>
      <c r="AL64" s="133" t="n">
        <f aca="false">Budget!L79</f>
        <v>0</v>
      </c>
      <c r="AM64" s="133" t="str">
        <f aca="false">IF(OR(10&gt;$B$3,ISBLANK(Actuals!L79)),"",Actuals!L79)</f>
        <v/>
      </c>
      <c r="AN64" s="134" t="str">
        <f aca="false">IF(OR(10&gt;$B$3,ISBLANK(Actuals!L79)),"",Budget!L79-Actuals!L79)</f>
        <v/>
      </c>
      <c r="AO64" s="134" t="str">
        <f aca="false">IFERROR(IF(OR(10&gt;$B$3,ISBLANK(Actuals!L79)),"",(Budget!L79-Actuals!L79)/ABS(Budget!L79)),"")</f>
        <v/>
      </c>
      <c r="AP64" s="133" t="n">
        <f aca="false">Budget!M79</f>
        <v>0</v>
      </c>
      <c r="AQ64" s="133" t="str">
        <f aca="false">IF(OR(11&gt;$B$3,ISBLANK(Actuals!M79)),"",Actuals!M79)</f>
        <v/>
      </c>
      <c r="AR64" s="134" t="str">
        <f aca="false">IF(OR(11&gt;$B$3,ISBLANK(Actuals!M79)),"",Budget!M79-Actuals!M79)</f>
        <v/>
      </c>
      <c r="AS64" s="134" t="str">
        <f aca="false">IFERROR(IF(OR(11&gt;$B$3,ISBLANK(Actuals!M79)),"",(Budget!M79-Actuals!M79)/ABS(Budget!M79)),"")</f>
        <v/>
      </c>
      <c r="AT64" s="133" t="n">
        <f aca="false">Budget!N79</f>
        <v>0</v>
      </c>
      <c r="AU64" s="133" t="str">
        <f aca="false">IF(OR(12&gt;$B$3,ISBLANK(Actuals!N79)),"",Actuals!N79)</f>
        <v/>
      </c>
      <c r="AV64" s="134" t="str">
        <f aca="false">IF(OR(12&gt;$B$3,ISBLANK(Actuals!N79)),"",Budget!N79-Actuals!N79)</f>
        <v/>
      </c>
      <c r="AW64" s="134" t="str">
        <f aca="false">IFERROR(IF(OR(12&gt;$B$3,ISBLANK(Actuals!N79)),"",(Budget!N79-Actuals!N79)/ABS(Budget!N79)),"")</f>
        <v/>
      </c>
      <c r="AX64" s="135" t="n">
        <f aca="false">SUMPRODUCT((Actuals!C79:N79&lt;&gt;"")*(Budget!C79:N79))</f>
        <v>0</v>
      </c>
      <c r="AY64" s="135" t="n">
        <f aca="false">SUM(Actuals!C79:N79)</f>
        <v>0</v>
      </c>
      <c r="AZ64" s="136" t="n">
        <f aca="false">AX64-AY64</f>
        <v>0</v>
      </c>
    </row>
    <row r="65" customFormat="false" ht="15" hidden="false" customHeight="true" outlineLevel="0" collapsed="false">
      <c r="A65" s="132" t="s">
        <v>117</v>
      </c>
      <c r="B65" s="133" t="n">
        <f aca="false">Budget!C80</f>
        <v>0</v>
      </c>
      <c r="C65" s="133" t="str">
        <f aca="false">IF(OR(1&gt;$B$3,ISBLANK(Actuals!C80)),"",Actuals!C80)</f>
        <v/>
      </c>
      <c r="D65" s="134" t="str">
        <f aca="false">IF(OR(1&gt;$B$3,ISBLANK(Actuals!C80)),"",Budget!C80-Actuals!C80)</f>
        <v/>
      </c>
      <c r="E65" s="134" t="str">
        <f aca="false">IFERROR(IF(OR(1&gt;$B$3,ISBLANK(Actuals!C80)),"",(Budget!C80-Actuals!C80)/ABS(Budget!C80)),"")</f>
        <v/>
      </c>
      <c r="F65" s="133" t="n">
        <f aca="false">Budget!D80</f>
        <v>0</v>
      </c>
      <c r="G65" s="133" t="str">
        <f aca="false">IF(OR(2&gt;$B$3,ISBLANK(Actuals!D80)),"",Actuals!D80)</f>
        <v/>
      </c>
      <c r="H65" s="134" t="str">
        <f aca="false">IF(OR(2&gt;$B$3,ISBLANK(Actuals!D80)),"",Budget!D80-Actuals!D80)</f>
        <v/>
      </c>
      <c r="I65" s="134" t="str">
        <f aca="false">IFERROR(IF(OR(2&gt;$B$3,ISBLANK(Actuals!D80)),"",(Budget!D80-Actuals!D80)/ABS(Budget!D80)),"")</f>
        <v/>
      </c>
      <c r="J65" s="133" t="n">
        <f aca="false">Budget!E80</f>
        <v>0</v>
      </c>
      <c r="K65" s="133" t="str">
        <f aca="false">IF(OR(3&gt;$B$3,ISBLANK(Actuals!E80)),"",Actuals!E80)</f>
        <v/>
      </c>
      <c r="L65" s="134" t="str">
        <f aca="false">IF(OR(3&gt;$B$3,ISBLANK(Actuals!E80)),"",Budget!E80-Actuals!E80)</f>
        <v/>
      </c>
      <c r="M65" s="134" t="str">
        <f aca="false">IFERROR(IF(OR(3&gt;$B$3,ISBLANK(Actuals!E80)),"",(Budget!E80-Actuals!E80)/ABS(Budget!E80)),"")</f>
        <v/>
      </c>
      <c r="N65" s="133" t="n">
        <f aca="false">Budget!F80</f>
        <v>0</v>
      </c>
      <c r="O65" s="133" t="str">
        <f aca="false">IF(OR(4&gt;$B$3,ISBLANK(Actuals!F80)),"",Actuals!F80)</f>
        <v/>
      </c>
      <c r="P65" s="134" t="str">
        <f aca="false">IF(OR(4&gt;$B$3,ISBLANK(Actuals!F80)),"",Budget!F80-Actuals!F80)</f>
        <v/>
      </c>
      <c r="Q65" s="134" t="str">
        <f aca="false">IFERROR(IF(OR(4&gt;$B$3,ISBLANK(Actuals!F80)),"",(Budget!F80-Actuals!F80)/ABS(Budget!F80)),"")</f>
        <v/>
      </c>
      <c r="R65" s="133" t="n">
        <f aca="false">Budget!G80</f>
        <v>0</v>
      </c>
      <c r="S65" s="133" t="str">
        <f aca="false">IF(OR(5&gt;$B$3,ISBLANK(Actuals!G80)),"",Actuals!G80)</f>
        <v/>
      </c>
      <c r="T65" s="134" t="str">
        <f aca="false">IF(OR(5&gt;$B$3,ISBLANK(Actuals!G80)),"",Budget!G80-Actuals!G80)</f>
        <v/>
      </c>
      <c r="U65" s="134" t="str">
        <f aca="false">IFERROR(IF(OR(5&gt;$B$3,ISBLANK(Actuals!G80)),"",(Budget!G80-Actuals!G80)/ABS(Budget!G80)),"")</f>
        <v/>
      </c>
      <c r="V65" s="133" t="n">
        <f aca="false">Budget!H80</f>
        <v>0</v>
      </c>
      <c r="W65" s="133" t="str">
        <f aca="false">IF(OR(6&gt;$B$3,ISBLANK(Actuals!H80)),"",Actuals!H80)</f>
        <v/>
      </c>
      <c r="X65" s="134" t="str">
        <f aca="false">IF(OR(6&gt;$B$3,ISBLANK(Actuals!H80)),"",Budget!H80-Actuals!H80)</f>
        <v/>
      </c>
      <c r="Y65" s="134" t="str">
        <f aca="false">IFERROR(IF(OR(6&gt;$B$3,ISBLANK(Actuals!H80)),"",(Budget!H80-Actuals!H80)/ABS(Budget!H80)),"")</f>
        <v/>
      </c>
      <c r="Z65" s="133" t="n">
        <f aca="false">Budget!I80</f>
        <v>0</v>
      </c>
      <c r="AA65" s="133" t="str">
        <f aca="false">IF(OR(7&gt;$B$3,ISBLANK(Actuals!I80)),"",Actuals!I80)</f>
        <v/>
      </c>
      <c r="AB65" s="134" t="str">
        <f aca="false">IF(OR(7&gt;$B$3,ISBLANK(Actuals!I80)),"",Budget!I80-Actuals!I80)</f>
        <v/>
      </c>
      <c r="AC65" s="134" t="str">
        <f aca="false">IFERROR(IF(OR(7&gt;$B$3,ISBLANK(Actuals!I80)),"",(Budget!I80-Actuals!I80)/ABS(Budget!I80)),"")</f>
        <v/>
      </c>
      <c r="AD65" s="133" t="n">
        <f aca="false">Budget!J80</f>
        <v>0</v>
      </c>
      <c r="AE65" s="133" t="str">
        <f aca="false">IF(OR(8&gt;$B$3,ISBLANK(Actuals!J80)),"",Actuals!J80)</f>
        <v/>
      </c>
      <c r="AF65" s="134" t="str">
        <f aca="false">IF(OR(8&gt;$B$3,ISBLANK(Actuals!J80)),"",Budget!J80-Actuals!J80)</f>
        <v/>
      </c>
      <c r="AG65" s="134" t="str">
        <f aca="false">IFERROR(IF(OR(8&gt;$B$3,ISBLANK(Actuals!J80)),"",(Budget!J80-Actuals!J80)/ABS(Budget!J80)),"")</f>
        <v/>
      </c>
      <c r="AH65" s="133" t="n">
        <f aca="false">Budget!K80</f>
        <v>0</v>
      </c>
      <c r="AI65" s="133" t="str">
        <f aca="false">IF(OR(9&gt;$B$3,ISBLANK(Actuals!K80)),"",Actuals!K80)</f>
        <v/>
      </c>
      <c r="AJ65" s="134" t="str">
        <f aca="false">IF(OR(9&gt;$B$3,ISBLANK(Actuals!K80)),"",Budget!K80-Actuals!K80)</f>
        <v/>
      </c>
      <c r="AK65" s="134" t="str">
        <f aca="false">IFERROR(IF(OR(9&gt;$B$3,ISBLANK(Actuals!K80)),"",(Budget!K80-Actuals!K80)/ABS(Budget!K80)),"")</f>
        <v/>
      </c>
      <c r="AL65" s="133" t="n">
        <f aca="false">Budget!L80</f>
        <v>0</v>
      </c>
      <c r="AM65" s="133" t="str">
        <f aca="false">IF(OR(10&gt;$B$3,ISBLANK(Actuals!L80)),"",Actuals!L80)</f>
        <v/>
      </c>
      <c r="AN65" s="134" t="str">
        <f aca="false">IF(OR(10&gt;$B$3,ISBLANK(Actuals!L80)),"",Budget!L80-Actuals!L80)</f>
        <v/>
      </c>
      <c r="AO65" s="134" t="str">
        <f aca="false">IFERROR(IF(OR(10&gt;$B$3,ISBLANK(Actuals!L80)),"",(Budget!L80-Actuals!L80)/ABS(Budget!L80)),"")</f>
        <v/>
      </c>
      <c r="AP65" s="133" t="n">
        <f aca="false">Budget!M80</f>
        <v>0</v>
      </c>
      <c r="AQ65" s="133" t="str">
        <f aca="false">IF(OR(11&gt;$B$3,ISBLANK(Actuals!M80)),"",Actuals!M80)</f>
        <v/>
      </c>
      <c r="AR65" s="134" t="str">
        <f aca="false">IF(OR(11&gt;$B$3,ISBLANK(Actuals!M80)),"",Budget!M80-Actuals!M80)</f>
        <v/>
      </c>
      <c r="AS65" s="134" t="str">
        <f aca="false">IFERROR(IF(OR(11&gt;$B$3,ISBLANK(Actuals!M80)),"",(Budget!M80-Actuals!M80)/ABS(Budget!M80)),"")</f>
        <v/>
      </c>
      <c r="AT65" s="133" t="n">
        <f aca="false">Budget!N80</f>
        <v>0</v>
      </c>
      <c r="AU65" s="133" t="str">
        <f aca="false">IF(OR(12&gt;$B$3,ISBLANK(Actuals!N80)),"",Actuals!N80)</f>
        <v/>
      </c>
      <c r="AV65" s="134" t="str">
        <f aca="false">IF(OR(12&gt;$B$3,ISBLANK(Actuals!N80)),"",Budget!N80-Actuals!N80)</f>
        <v/>
      </c>
      <c r="AW65" s="134" t="str">
        <f aca="false">IFERROR(IF(OR(12&gt;$B$3,ISBLANK(Actuals!N80)),"",(Budget!N80-Actuals!N80)/ABS(Budget!N80)),"")</f>
        <v/>
      </c>
      <c r="AX65" s="135" t="n">
        <f aca="false">SUMPRODUCT((Actuals!C80:N80&lt;&gt;"")*(Budget!C80:N80))</f>
        <v>0</v>
      </c>
      <c r="AY65" s="135" t="n">
        <f aca="false">SUM(Actuals!C80:N80)</f>
        <v>0</v>
      </c>
      <c r="AZ65" s="136" t="n">
        <f aca="false">AX65-AY65</f>
        <v>0</v>
      </c>
    </row>
    <row r="66" customFormat="false" ht="15" hidden="false" customHeight="true" outlineLevel="0" collapsed="false">
      <c r="A66" s="90" t="s">
        <v>118</v>
      </c>
      <c r="B66" s="133" t="n">
        <f aca="false">Budget!C63</f>
        <v>0</v>
      </c>
      <c r="C66" s="133" t="str">
        <f aca="false">IF(OR(1&gt;$B$3,ISBLANK(Actuals!C63)),"",Actuals!C63)</f>
        <v/>
      </c>
      <c r="D66" s="134" t="str">
        <f aca="false">IF(OR(1&gt;$B$3,ISBLANK(Actuals!C63)),"",Budget!C63-Actuals!C63)</f>
        <v/>
      </c>
      <c r="E66" s="134" t="str">
        <f aca="false">IFERROR(IF(OR(1&gt;$B$3,ISBLANK(Actuals!C63)),"",(Budget!C63-Actuals!C63)/ABS(Budget!C63)),"")</f>
        <v/>
      </c>
      <c r="F66" s="133" t="n">
        <f aca="false">Budget!D63</f>
        <v>0</v>
      </c>
      <c r="G66" s="133" t="str">
        <f aca="false">IF(OR(2&gt;$B$3,ISBLANK(Actuals!D63)),"",Actuals!D63)</f>
        <v/>
      </c>
      <c r="H66" s="134" t="str">
        <f aca="false">IF(OR(2&gt;$B$3,ISBLANK(Actuals!D63)),"",Budget!D63-Actuals!D63)</f>
        <v/>
      </c>
      <c r="I66" s="134" t="str">
        <f aca="false">IFERROR(IF(OR(2&gt;$B$3,ISBLANK(Actuals!D63)),"",(Budget!D63-Actuals!D63)/ABS(Budget!D63)),"")</f>
        <v/>
      </c>
      <c r="J66" s="133" t="n">
        <f aca="false">Budget!E63</f>
        <v>0</v>
      </c>
      <c r="K66" s="133" t="str">
        <f aca="false">IF(OR(3&gt;$B$3,ISBLANK(Actuals!E63)),"",Actuals!E63)</f>
        <v/>
      </c>
      <c r="L66" s="134" t="str">
        <f aca="false">IF(OR(3&gt;$B$3,ISBLANK(Actuals!E63)),"",Budget!E63-Actuals!E63)</f>
        <v/>
      </c>
      <c r="M66" s="134" t="str">
        <f aca="false">IFERROR(IF(OR(3&gt;$B$3,ISBLANK(Actuals!E63)),"",(Budget!E63-Actuals!E63)/ABS(Budget!E63)),"")</f>
        <v/>
      </c>
      <c r="N66" s="133" t="n">
        <f aca="false">Budget!F63</f>
        <v>0</v>
      </c>
      <c r="O66" s="133" t="str">
        <f aca="false">IF(OR(4&gt;$B$3,ISBLANK(Actuals!F63)),"",Actuals!F63)</f>
        <v/>
      </c>
      <c r="P66" s="134" t="str">
        <f aca="false">IF(OR(4&gt;$B$3,ISBLANK(Actuals!F63)),"",Budget!F63-Actuals!F63)</f>
        <v/>
      </c>
      <c r="Q66" s="134" t="str">
        <f aca="false">IFERROR(IF(OR(4&gt;$B$3,ISBLANK(Actuals!F63)),"",(Budget!F63-Actuals!F63)/ABS(Budget!F63)),"")</f>
        <v/>
      </c>
      <c r="R66" s="133" t="n">
        <f aca="false">Budget!G63</f>
        <v>0</v>
      </c>
      <c r="S66" s="133" t="str">
        <f aca="false">IF(OR(5&gt;$B$3,ISBLANK(Actuals!G63)),"",Actuals!G63)</f>
        <v/>
      </c>
      <c r="T66" s="134" t="str">
        <f aca="false">IF(OR(5&gt;$B$3,ISBLANK(Actuals!G63)),"",Budget!G63-Actuals!G63)</f>
        <v/>
      </c>
      <c r="U66" s="134" t="str">
        <f aca="false">IFERROR(IF(OR(5&gt;$B$3,ISBLANK(Actuals!G63)),"",(Budget!G63-Actuals!G63)/ABS(Budget!G63)),"")</f>
        <v/>
      </c>
      <c r="V66" s="133" t="n">
        <f aca="false">Budget!H63</f>
        <v>0</v>
      </c>
      <c r="W66" s="133" t="n">
        <f aca="false">IF(OR(6&gt;$B$3,ISBLANK(Actuals!H63)),"",Actuals!H63)</f>
        <v>299000</v>
      </c>
      <c r="X66" s="134" t="n">
        <f aca="false">IF(OR(6&gt;$B$3,ISBLANK(Actuals!H63)),"",Budget!H63-Actuals!H63)</f>
        <v>-299000</v>
      </c>
      <c r="Y66" s="134" t="str">
        <f aca="false">IFERROR(IF(OR(6&gt;$B$3,ISBLANK(Actuals!H63)),"",(Budget!H63-Actuals!H63)/ABS(Budget!H63)),"")</f>
        <v/>
      </c>
      <c r="Z66" s="133" t="n">
        <f aca="false">Budget!I63</f>
        <v>0</v>
      </c>
      <c r="AA66" s="133" t="n">
        <f aca="false">IF(OR(7&gt;$B$3,ISBLANK(Actuals!I63)),"",Actuals!I63)</f>
        <v>0</v>
      </c>
      <c r="AB66" s="134" t="n">
        <f aca="false">IF(OR(7&gt;$B$3,ISBLANK(Actuals!I63)),"",Budget!I63-Actuals!I63)</f>
        <v>0</v>
      </c>
      <c r="AC66" s="134" t="str">
        <f aca="false">IFERROR(IF(OR(7&gt;$B$3,ISBLANK(Actuals!I63)),"",(Budget!I63-Actuals!I63)/ABS(Budget!I63)),"")</f>
        <v/>
      </c>
      <c r="AD66" s="133" t="n">
        <f aca="false">Budget!J63</f>
        <v>0</v>
      </c>
      <c r="AE66" s="133" t="n">
        <f aca="false">IF(OR(8&gt;$B$3,ISBLANK(Actuals!J63)),"",Actuals!J63)</f>
        <v>0</v>
      </c>
      <c r="AF66" s="134" t="n">
        <f aca="false">IF(OR(8&gt;$B$3,ISBLANK(Actuals!J63)),"",Budget!J63-Actuals!J63)</f>
        <v>0</v>
      </c>
      <c r="AG66" s="134" t="str">
        <f aca="false">IFERROR(IF(OR(8&gt;$B$3,ISBLANK(Actuals!J63)),"",(Budget!J63-Actuals!J63)/ABS(Budget!J63)),"")</f>
        <v/>
      </c>
      <c r="AH66" s="133" t="n">
        <f aca="false">Budget!K63</f>
        <v>0</v>
      </c>
      <c r="AI66" s="133" t="str">
        <f aca="false">IF(OR(9&gt;$B$3,ISBLANK(Actuals!K63)),"",Actuals!K63)</f>
        <v/>
      </c>
      <c r="AJ66" s="134" t="str">
        <f aca="false">IF(OR(9&gt;$B$3,ISBLANK(Actuals!K63)),"",Budget!K63-Actuals!K63)</f>
        <v/>
      </c>
      <c r="AK66" s="134" t="str">
        <f aca="false">IFERROR(IF(OR(9&gt;$B$3,ISBLANK(Actuals!K63)),"",(Budget!K63-Actuals!K63)/ABS(Budget!K63)),"")</f>
        <v/>
      </c>
      <c r="AL66" s="133" t="n">
        <f aca="false">Budget!L63</f>
        <v>0</v>
      </c>
      <c r="AM66" s="133" t="str">
        <f aca="false">IF(OR(10&gt;$B$3,ISBLANK(Actuals!L63)),"",Actuals!L63)</f>
        <v/>
      </c>
      <c r="AN66" s="134" t="str">
        <f aca="false">IF(OR(10&gt;$B$3,ISBLANK(Actuals!L63)),"",Budget!L63-Actuals!L63)</f>
        <v/>
      </c>
      <c r="AO66" s="134" t="str">
        <f aca="false">IFERROR(IF(OR(10&gt;$B$3,ISBLANK(Actuals!L63)),"",(Budget!L63-Actuals!L63)/ABS(Budget!L63)),"")</f>
        <v/>
      </c>
      <c r="AP66" s="133" t="n">
        <f aca="false">Budget!M63</f>
        <v>0</v>
      </c>
      <c r="AQ66" s="133" t="str">
        <f aca="false">IF(OR(11&gt;$B$3,ISBLANK(Actuals!M63)),"",Actuals!M63)</f>
        <v/>
      </c>
      <c r="AR66" s="134" t="str">
        <f aca="false">IF(OR(11&gt;$B$3,ISBLANK(Actuals!M63)),"",Budget!M63-Actuals!M63)</f>
        <v/>
      </c>
      <c r="AS66" s="134" t="str">
        <f aca="false">IFERROR(IF(OR(11&gt;$B$3,ISBLANK(Actuals!M63)),"",(Budget!M63-Actuals!M63)/ABS(Budget!M63)),"")</f>
        <v/>
      </c>
      <c r="AT66" s="133" t="n">
        <f aca="false">Budget!N63</f>
        <v>0</v>
      </c>
      <c r="AU66" s="133" t="str">
        <f aca="false">IF(OR(12&gt;$B$3,ISBLANK(Actuals!N63)),"",Actuals!N63)</f>
        <v/>
      </c>
      <c r="AV66" s="134" t="str">
        <f aca="false">IF(OR(12&gt;$B$3,ISBLANK(Actuals!N63)),"",Budget!N63-Actuals!N63)</f>
        <v/>
      </c>
      <c r="AW66" s="134" t="str">
        <f aca="false">IFERROR(IF(OR(12&gt;$B$3,ISBLANK(Actuals!N63)),"",(Budget!N63-Actuals!N63)/ABS(Budget!N63)),"")</f>
        <v/>
      </c>
      <c r="AX66" s="135" t="n">
        <f aca="false">SUMPRODUCT((Actuals!C63:N66&lt;&gt;"")*(Budget!C63:N66))</f>
        <v>298974.32</v>
      </c>
      <c r="AY66" s="135" t="n">
        <f aca="false">SUM(Actuals!C63:N66)</f>
        <v>496916.64</v>
      </c>
      <c r="AZ66" s="136" t="n">
        <f aca="false">AX66-AY66</f>
        <v>-197942.32</v>
      </c>
    </row>
    <row r="67" customFormat="false" ht="15" hidden="false" customHeight="true" outlineLevel="0" collapsed="false">
      <c r="A67" s="132" t="s">
        <v>64</v>
      </c>
      <c r="B67" s="133" t="n">
        <f aca="false">Budget!C83</f>
        <v>-90233.32</v>
      </c>
      <c r="C67" s="133" t="n">
        <f aca="false">IF(OR(1&gt;$B$3,ISBLANK(Actuals!C83)),"",Actuals!C83)</f>
        <v>-54421</v>
      </c>
      <c r="D67" s="134" t="n">
        <f aca="false">IF(OR(1&gt;$B$3,ISBLANK(Actuals!C83)),"",Budget!C83-Actuals!C83)</f>
        <v>-35812.32</v>
      </c>
      <c r="E67" s="134" t="n">
        <f aca="false">IFERROR(IF(OR(1&gt;$B$3,ISBLANK(Actuals!C83)),"",(Budget!C83-Actuals!C83)/ABS(Budget!C83)),"")</f>
        <v>-0.396885762376914</v>
      </c>
      <c r="F67" s="133" t="n">
        <f aca="false">Budget!D83</f>
        <v>-90233.32</v>
      </c>
      <c r="G67" s="133" t="n">
        <f aca="false">IF(OR(2&gt;$B$3,ISBLANK(Actuals!D83)),"",Actuals!D83)</f>
        <v>-54166.68</v>
      </c>
      <c r="H67" s="134" t="n">
        <f aca="false">IF(OR(2&gt;$B$3,ISBLANK(Actuals!D83)),"",Budget!D83-Actuals!D83)</f>
        <v>-36066.64</v>
      </c>
      <c r="I67" s="134" t="n">
        <f aca="false">IFERROR(IF(OR(2&gt;$B$3,ISBLANK(Actuals!D83)),"",(Budget!D83-Actuals!D83)/ABS(Budget!D83)),"")</f>
        <v>-0.399704233425081</v>
      </c>
      <c r="J67" s="133" t="n">
        <f aca="false">Budget!E83</f>
        <v>-90233.32</v>
      </c>
      <c r="K67" s="133" t="n">
        <f aca="false">IF(OR(3&gt;$B$3,ISBLANK(Actuals!E83)),"",Actuals!E83)</f>
        <v>-54166.68</v>
      </c>
      <c r="L67" s="134" t="n">
        <f aca="false">IF(OR(3&gt;$B$3,ISBLANK(Actuals!E83)),"",Budget!E83-Actuals!E83)</f>
        <v>-36066.64</v>
      </c>
      <c r="M67" s="134" t="n">
        <f aca="false">IFERROR(IF(OR(3&gt;$B$3,ISBLANK(Actuals!E83)),"",(Budget!E83-Actuals!E83)/ABS(Budget!E83)),"")</f>
        <v>-0.399704233425081</v>
      </c>
      <c r="N67" s="133" t="n">
        <f aca="false">Budget!F83</f>
        <v>-90233.32</v>
      </c>
      <c r="O67" s="133" t="n">
        <f aca="false">IF(OR(4&gt;$B$3,ISBLANK(Actuals!F83)),"",Actuals!F83)</f>
        <v>-54166.68</v>
      </c>
      <c r="P67" s="134" t="n">
        <f aca="false">IF(OR(4&gt;$B$3,ISBLANK(Actuals!F83)),"",Budget!F83-Actuals!F83)</f>
        <v>-36066.64</v>
      </c>
      <c r="Q67" s="134" t="n">
        <f aca="false">IFERROR(IF(OR(4&gt;$B$3,ISBLANK(Actuals!F83)),"",(Budget!F83-Actuals!F83)/ABS(Budget!F83)),"")</f>
        <v>-0.399704233425081</v>
      </c>
      <c r="R67" s="133" t="n">
        <f aca="false">Budget!G83</f>
        <v>-90233.32</v>
      </c>
      <c r="S67" s="133" t="n">
        <f aca="false">IF(OR(5&gt;$B$3,ISBLANK(Actuals!G83)),"",Actuals!G83)</f>
        <v>-54166.68</v>
      </c>
      <c r="T67" s="134" t="n">
        <f aca="false">IF(OR(5&gt;$B$3,ISBLANK(Actuals!G83)),"",Budget!G83-Actuals!G83)</f>
        <v>-36066.64</v>
      </c>
      <c r="U67" s="134" t="n">
        <f aca="false">IFERROR(IF(OR(5&gt;$B$3,ISBLANK(Actuals!G83)),"",(Budget!G83-Actuals!G83)/ABS(Budget!G83)),"")</f>
        <v>-0.399704233425081</v>
      </c>
      <c r="V67" s="133" t="n">
        <f aca="false">Budget!H83</f>
        <v>-90233.32</v>
      </c>
      <c r="W67" s="133" t="n">
        <f aca="false">IF(OR(6&gt;$B$3,ISBLANK(Actuals!H83)),"",Actuals!H83)</f>
        <v>-54166.68</v>
      </c>
      <c r="X67" s="134" t="n">
        <f aca="false">IF(OR(6&gt;$B$3,ISBLANK(Actuals!H83)),"",Budget!H83-Actuals!H83)</f>
        <v>-36066.64</v>
      </c>
      <c r="Y67" s="134" t="n">
        <f aca="false">IFERROR(IF(OR(6&gt;$B$3,ISBLANK(Actuals!H83)),"",(Budget!H83-Actuals!H83)/ABS(Budget!H83)),"")</f>
        <v>-0.399704233425081</v>
      </c>
      <c r="Z67" s="133" t="n">
        <f aca="false">Budget!I83</f>
        <v>-89059.65</v>
      </c>
      <c r="AA67" s="133" t="n">
        <f aca="false">IF(OR(7&gt;$B$3,ISBLANK(Actuals!I83)),"",Actuals!I83)</f>
        <v>-54166.68</v>
      </c>
      <c r="AB67" s="134" t="n">
        <f aca="false">IF(OR(7&gt;$B$3,ISBLANK(Actuals!I83)),"",Budget!I83-Actuals!I83)</f>
        <v>-34892.97</v>
      </c>
      <c r="AC67" s="134" t="n">
        <f aca="false">IFERROR(IF(OR(7&gt;$B$3,ISBLANK(Actuals!I83)),"",(Budget!I83-Actuals!I83)/ABS(Budget!I83)),"")</f>
        <v>-0.391793253173575</v>
      </c>
      <c r="AD67" s="133" t="n">
        <f aca="false">Budget!J83</f>
        <v>-89059.65</v>
      </c>
      <c r="AE67" s="133" t="n">
        <f aca="false">IF(OR(8&gt;$B$3,ISBLANK(Actuals!J83)),"",Actuals!J83)</f>
        <v>-54166.68</v>
      </c>
      <c r="AF67" s="134" t="n">
        <f aca="false">IF(OR(8&gt;$B$3,ISBLANK(Actuals!J83)),"",Budget!J83-Actuals!J83)</f>
        <v>-34892.97</v>
      </c>
      <c r="AG67" s="134" t="n">
        <f aca="false">IFERROR(IF(OR(8&gt;$B$3,ISBLANK(Actuals!J83)),"",(Budget!J83-Actuals!J83)/ABS(Budget!J83)),"")</f>
        <v>-0.391793253173575</v>
      </c>
      <c r="AH67" s="133" t="n">
        <f aca="false">Budget!K83</f>
        <v>-89059.65</v>
      </c>
      <c r="AI67" s="133" t="str">
        <f aca="false">IF(OR(9&gt;$B$3,ISBLANK(Actuals!K83)),"",Actuals!K83)</f>
        <v/>
      </c>
      <c r="AJ67" s="134" t="str">
        <f aca="false">IF(OR(9&gt;$B$3,ISBLANK(Actuals!K83)),"",Budget!K83-Actuals!K83)</f>
        <v/>
      </c>
      <c r="AK67" s="134" t="str">
        <f aca="false">IFERROR(IF(OR(9&gt;$B$3,ISBLANK(Actuals!K83)),"",(Budget!K83-Actuals!K83)/ABS(Budget!K83)),"")</f>
        <v/>
      </c>
      <c r="AL67" s="133" t="n">
        <f aca="false">Budget!L83</f>
        <v>-89059.65</v>
      </c>
      <c r="AM67" s="133" t="str">
        <f aca="false">IF(OR(10&gt;$B$3,ISBLANK(Actuals!L83)),"",Actuals!L83)</f>
        <v/>
      </c>
      <c r="AN67" s="134" t="str">
        <f aca="false">IF(OR(10&gt;$B$3,ISBLANK(Actuals!L83)),"",Budget!L83-Actuals!L83)</f>
        <v/>
      </c>
      <c r="AO67" s="134" t="str">
        <f aca="false">IFERROR(IF(OR(10&gt;$B$3,ISBLANK(Actuals!L83)),"",(Budget!L83-Actuals!L83)/ABS(Budget!L83)),"")</f>
        <v/>
      </c>
      <c r="AP67" s="133" t="n">
        <f aca="false">Budget!M83</f>
        <v>-89059.65</v>
      </c>
      <c r="AQ67" s="133" t="str">
        <f aca="false">IF(OR(11&gt;$B$3,ISBLANK(Actuals!M83)),"",Actuals!M83)</f>
        <v/>
      </c>
      <c r="AR67" s="134" t="str">
        <f aca="false">IF(OR(11&gt;$B$3,ISBLANK(Actuals!M83)),"",Budget!M83-Actuals!M83)</f>
        <v/>
      </c>
      <c r="AS67" s="134" t="str">
        <f aca="false">IFERROR(IF(OR(11&gt;$B$3,ISBLANK(Actuals!M83)),"",(Budget!M83-Actuals!M83)/ABS(Budget!M83)),"")</f>
        <v/>
      </c>
      <c r="AT67" s="133" t="n">
        <f aca="false">Budget!N83</f>
        <v>-89059.65</v>
      </c>
      <c r="AU67" s="133" t="str">
        <f aca="false">IF(OR(12&gt;$B$3,ISBLANK(Actuals!N83)),"",Actuals!N83)</f>
        <v/>
      </c>
      <c r="AV67" s="134" t="str">
        <f aca="false">IF(OR(12&gt;$B$3,ISBLANK(Actuals!N83)),"",Budget!N83-Actuals!N83)</f>
        <v/>
      </c>
      <c r="AW67" s="134" t="str">
        <f aca="false">IFERROR(IF(OR(12&gt;$B$3,ISBLANK(Actuals!N83)),"",(Budget!N83-Actuals!N83)/ABS(Budget!N83)),"")</f>
        <v/>
      </c>
      <c r="AX67" s="135" t="n">
        <f aca="false">SUMPRODUCT((Actuals!C83:N83&lt;&gt;"")*(Budget!C83:N83))</f>
        <v>-719519.22</v>
      </c>
      <c r="AY67" s="135" t="n">
        <f aca="false">SUM(Actuals!C83:N83)</f>
        <v>-433587.76</v>
      </c>
      <c r="AZ67" s="136" t="n">
        <f aca="false">AX67-AY67</f>
        <v>-285931.46</v>
      </c>
    </row>
    <row r="68" customFormat="false" ht="15" hidden="false" customHeight="true" outlineLevel="0" collapsed="false">
      <c r="A68" s="132" t="s">
        <v>65</v>
      </c>
      <c r="B68" s="133" t="n">
        <f aca="false">Budget!C84</f>
        <v>-8125</v>
      </c>
      <c r="C68" s="133" t="n">
        <f aca="false">IF(OR(1&gt;$B$3,ISBLANK(Actuals!C84)),"",Actuals!C84)</f>
        <v>-5302</v>
      </c>
      <c r="D68" s="134" t="n">
        <f aca="false">IF(OR(1&gt;$B$3,ISBLANK(Actuals!C84)),"",Budget!C84-Actuals!C84)</f>
        <v>-2823</v>
      </c>
      <c r="E68" s="134" t="n">
        <f aca="false">IFERROR(IF(OR(1&gt;$B$3,ISBLANK(Actuals!C84)),"",(Budget!C84-Actuals!C84)/ABS(Budget!C84)),"")</f>
        <v>-0.347446153846154</v>
      </c>
      <c r="F68" s="133" t="n">
        <f aca="false">Budget!D84</f>
        <v>-8125</v>
      </c>
      <c r="G68" s="133" t="n">
        <f aca="false">IF(OR(2&gt;$B$3,ISBLANK(Actuals!D84)),"",Actuals!D84)</f>
        <v>-4279.79</v>
      </c>
      <c r="H68" s="134" t="n">
        <f aca="false">IF(OR(2&gt;$B$3,ISBLANK(Actuals!D84)),"",Budget!D84-Actuals!D84)</f>
        <v>-3845.21</v>
      </c>
      <c r="I68" s="134" t="n">
        <f aca="false">IFERROR(IF(OR(2&gt;$B$3,ISBLANK(Actuals!D84)),"",(Budget!D84-Actuals!D84)/ABS(Budget!D84)),"")</f>
        <v>-0.473256615384615</v>
      </c>
      <c r="J68" s="133" t="n">
        <f aca="false">Budget!E84</f>
        <v>-8125</v>
      </c>
      <c r="K68" s="133" t="n">
        <f aca="false">IF(OR(3&gt;$B$3,ISBLANK(Actuals!E84)),"",Actuals!E84)</f>
        <v>-4145.97</v>
      </c>
      <c r="L68" s="134" t="n">
        <f aca="false">IF(OR(3&gt;$B$3,ISBLANK(Actuals!E84)),"",Budget!E84-Actuals!E84)</f>
        <v>-3979.03</v>
      </c>
      <c r="M68" s="134" t="n">
        <f aca="false">IFERROR(IF(OR(3&gt;$B$3,ISBLANK(Actuals!E84)),"",(Budget!E84-Actuals!E84)/ABS(Budget!E84)),"")</f>
        <v>-0.489726769230769</v>
      </c>
      <c r="N68" s="133" t="n">
        <f aca="false">Budget!F84</f>
        <v>-8125</v>
      </c>
      <c r="O68" s="133" t="n">
        <f aca="false">IF(OR(4&gt;$B$3,ISBLANK(Actuals!F84)),"",Actuals!F84)</f>
        <v>-4145.96</v>
      </c>
      <c r="P68" s="134" t="n">
        <f aca="false">IF(OR(4&gt;$B$3,ISBLANK(Actuals!F84)),"",Budget!F84-Actuals!F84)</f>
        <v>-3979.04</v>
      </c>
      <c r="Q68" s="134" t="n">
        <f aca="false">IFERROR(IF(OR(4&gt;$B$3,ISBLANK(Actuals!F84)),"",(Budget!F84-Actuals!F84)/ABS(Budget!F84)),"")</f>
        <v>-0.489728</v>
      </c>
      <c r="R68" s="133" t="n">
        <f aca="false">Budget!G84</f>
        <v>-8125</v>
      </c>
      <c r="S68" s="133" t="n">
        <f aca="false">IF(OR(5&gt;$B$3,ISBLANK(Actuals!G84)),"",Actuals!G84)</f>
        <v>-4145.99</v>
      </c>
      <c r="T68" s="134" t="n">
        <f aca="false">IF(OR(5&gt;$B$3,ISBLANK(Actuals!G84)),"",Budget!G84-Actuals!G84)</f>
        <v>-3979.01</v>
      </c>
      <c r="U68" s="134" t="n">
        <f aca="false">IFERROR(IF(OR(5&gt;$B$3,ISBLANK(Actuals!G84)),"",(Budget!G84-Actuals!G84)/ABS(Budget!G84)),"")</f>
        <v>-0.489724307692308</v>
      </c>
      <c r="V68" s="133" t="n">
        <f aca="false">Budget!H84</f>
        <v>-8125</v>
      </c>
      <c r="W68" s="133" t="n">
        <f aca="false">IF(OR(6&gt;$B$3,ISBLANK(Actuals!H84)),"",Actuals!H84)</f>
        <v>-4145.95</v>
      </c>
      <c r="X68" s="134" t="n">
        <f aca="false">IF(OR(6&gt;$B$3,ISBLANK(Actuals!H84)),"",Budget!H84-Actuals!H84)</f>
        <v>-3979.05</v>
      </c>
      <c r="Y68" s="134" t="n">
        <f aca="false">IFERROR(IF(OR(6&gt;$B$3,ISBLANK(Actuals!H84)),"",(Budget!H84-Actuals!H84)/ABS(Budget!H84)),"")</f>
        <v>-0.489729230769231</v>
      </c>
      <c r="Z68" s="133" t="n">
        <f aca="false">Budget!I84</f>
        <v>-8125</v>
      </c>
      <c r="AA68" s="133" t="n">
        <f aca="false">IF(OR(7&gt;$B$3,ISBLANK(Actuals!I84)),"",Actuals!I84)</f>
        <v>-4145.97</v>
      </c>
      <c r="AB68" s="134" t="n">
        <f aca="false">IF(OR(7&gt;$B$3,ISBLANK(Actuals!I84)),"",Budget!I84-Actuals!I84)</f>
        <v>-3979.03</v>
      </c>
      <c r="AC68" s="134" t="n">
        <f aca="false">IFERROR(IF(OR(7&gt;$B$3,ISBLANK(Actuals!I84)),"",(Budget!I84-Actuals!I84)/ABS(Budget!I84)),"")</f>
        <v>-0.489726769230769</v>
      </c>
      <c r="AD68" s="133" t="n">
        <f aca="false">Budget!J84</f>
        <v>-8125</v>
      </c>
      <c r="AE68" s="133" t="n">
        <f aca="false">IF(OR(8&gt;$B$3,ISBLANK(Actuals!J84)),"",Actuals!J84)</f>
        <v>-4145.97</v>
      </c>
      <c r="AF68" s="134" t="n">
        <f aca="false">IF(OR(8&gt;$B$3,ISBLANK(Actuals!J84)),"",Budget!J84-Actuals!J84)</f>
        <v>-3979.03</v>
      </c>
      <c r="AG68" s="134" t="n">
        <f aca="false">IFERROR(IF(OR(8&gt;$B$3,ISBLANK(Actuals!J84)),"",(Budget!J84-Actuals!J84)/ABS(Budget!J84)),"")</f>
        <v>-0.489726769230769</v>
      </c>
      <c r="AH68" s="133" t="n">
        <f aca="false">Budget!K84</f>
        <v>-8125</v>
      </c>
      <c r="AI68" s="133" t="str">
        <f aca="false">IF(OR(9&gt;$B$3,ISBLANK(Actuals!K84)),"",Actuals!K84)</f>
        <v/>
      </c>
      <c r="AJ68" s="134" t="str">
        <f aca="false">IF(OR(9&gt;$B$3,ISBLANK(Actuals!K84)),"",Budget!K84-Actuals!K84)</f>
        <v/>
      </c>
      <c r="AK68" s="134" t="str">
        <f aca="false">IFERROR(IF(OR(9&gt;$B$3,ISBLANK(Actuals!K84)),"",(Budget!K84-Actuals!K84)/ABS(Budget!K84)),"")</f>
        <v/>
      </c>
      <c r="AL68" s="133" t="n">
        <f aca="false">Budget!L84</f>
        <v>-8125</v>
      </c>
      <c r="AM68" s="133" t="str">
        <f aca="false">IF(OR(10&gt;$B$3,ISBLANK(Actuals!L84)),"",Actuals!L84)</f>
        <v/>
      </c>
      <c r="AN68" s="134" t="str">
        <f aca="false">IF(OR(10&gt;$B$3,ISBLANK(Actuals!L84)),"",Budget!L84-Actuals!L84)</f>
        <v/>
      </c>
      <c r="AO68" s="134" t="str">
        <f aca="false">IFERROR(IF(OR(10&gt;$B$3,ISBLANK(Actuals!L84)),"",(Budget!L84-Actuals!L84)/ABS(Budget!L84)),"")</f>
        <v/>
      </c>
      <c r="AP68" s="133" t="n">
        <f aca="false">Budget!M84</f>
        <v>-8125</v>
      </c>
      <c r="AQ68" s="133" t="str">
        <f aca="false">IF(OR(11&gt;$B$3,ISBLANK(Actuals!M84)),"",Actuals!M84)</f>
        <v/>
      </c>
      <c r="AR68" s="134" t="str">
        <f aca="false">IF(OR(11&gt;$B$3,ISBLANK(Actuals!M84)),"",Budget!M84-Actuals!M84)</f>
        <v/>
      </c>
      <c r="AS68" s="134" t="str">
        <f aca="false">IFERROR(IF(OR(11&gt;$B$3,ISBLANK(Actuals!M84)),"",(Budget!M84-Actuals!M84)/ABS(Budget!M84)),"")</f>
        <v/>
      </c>
      <c r="AT68" s="133" t="n">
        <f aca="false">Budget!N84</f>
        <v>-8125</v>
      </c>
      <c r="AU68" s="133" t="str">
        <f aca="false">IF(OR(12&gt;$B$3,ISBLANK(Actuals!N84)),"",Actuals!N84)</f>
        <v/>
      </c>
      <c r="AV68" s="134" t="str">
        <f aca="false">IF(OR(12&gt;$B$3,ISBLANK(Actuals!N84)),"",Budget!N84-Actuals!N84)</f>
        <v/>
      </c>
      <c r="AW68" s="134" t="str">
        <f aca="false">IFERROR(IF(OR(12&gt;$B$3,ISBLANK(Actuals!N84)),"",(Budget!N84-Actuals!N84)/ABS(Budget!N84)),"")</f>
        <v/>
      </c>
      <c r="AX68" s="135" t="n">
        <f aca="false">SUMPRODUCT((Actuals!C84:N84&lt;&gt;"")*(Budget!C84:N84))</f>
        <v>-65000</v>
      </c>
      <c r="AY68" s="135" t="n">
        <f aca="false">SUM(Actuals!C84:N84)</f>
        <v>-34457.6</v>
      </c>
      <c r="AZ68" s="136" t="n">
        <f aca="false">AX68-AY68</f>
        <v>-30542.4</v>
      </c>
    </row>
    <row r="69" customFormat="false" ht="15" hidden="false" customHeight="true" outlineLevel="0" collapsed="false">
      <c r="A69" s="132" t="s">
        <v>67</v>
      </c>
      <c r="B69" s="133" t="n">
        <f aca="false">Budget!C85</f>
        <v>-6554.17</v>
      </c>
      <c r="C69" s="133" t="n">
        <f aca="false">IF(OR(1&gt;$B$3,ISBLANK(Actuals!C85)),"",Actuals!C85)</f>
        <v>-12137.77</v>
      </c>
      <c r="D69" s="134" t="n">
        <f aca="false">IF(OR(1&gt;$B$3,ISBLANK(Actuals!C85)),"",Budget!C85-Actuals!C85)</f>
        <v>5583.6</v>
      </c>
      <c r="E69" s="134" t="n">
        <f aca="false">IFERROR(IF(OR(1&gt;$B$3,ISBLANK(Actuals!C85)),"",(Budget!C85-Actuals!C85)/ABS(Budget!C85)),"")</f>
        <v>0.85191565064684</v>
      </c>
      <c r="F69" s="133" t="n">
        <f aca="false">Budget!D85</f>
        <v>-6554.17</v>
      </c>
      <c r="G69" s="133" t="n">
        <f aca="false">IF(OR(2&gt;$B$3,ISBLANK(Actuals!D85)),"",Actuals!D85)</f>
        <v>-12137.78</v>
      </c>
      <c r="H69" s="134" t="n">
        <f aca="false">IF(OR(2&gt;$B$3,ISBLANK(Actuals!D85)),"",Budget!D85-Actuals!D85)</f>
        <v>5583.61</v>
      </c>
      <c r="I69" s="134" t="n">
        <f aca="false">IFERROR(IF(OR(2&gt;$B$3,ISBLANK(Actuals!D85)),"",(Budget!D85-Actuals!D85)/ABS(Budget!D85)),"")</f>
        <v>0.851917176393045</v>
      </c>
      <c r="J69" s="133" t="n">
        <f aca="false">Budget!E85</f>
        <v>-6554.17</v>
      </c>
      <c r="K69" s="133" t="n">
        <f aca="false">IF(OR(3&gt;$B$3,ISBLANK(Actuals!E85)),"",Actuals!E85)</f>
        <v>-12137.78</v>
      </c>
      <c r="L69" s="134" t="n">
        <f aca="false">IF(OR(3&gt;$B$3,ISBLANK(Actuals!E85)),"",Budget!E85-Actuals!E85)</f>
        <v>5583.61</v>
      </c>
      <c r="M69" s="134" t="n">
        <f aca="false">IFERROR(IF(OR(3&gt;$B$3,ISBLANK(Actuals!E85)),"",(Budget!E85-Actuals!E85)/ABS(Budget!E85)),"")</f>
        <v>0.851917176393045</v>
      </c>
      <c r="N69" s="133" t="n">
        <f aca="false">Budget!F85</f>
        <v>-6554.17</v>
      </c>
      <c r="O69" s="133" t="n">
        <f aca="false">IF(OR(4&gt;$B$3,ISBLANK(Actuals!F85)),"",Actuals!F85)</f>
        <v>-12137.78</v>
      </c>
      <c r="P69" s="134" t="n">
        <f aca="false">IF(OR(4&gt;$B$3,ISBLANK(Actuals!F85)),"",Budget!F85-Actuals!F85)</f>
        <v>5583.61</v>
      </c>
      <c r="Q69" s="134" t="n">
        <f aca="false">IFERROR(IF(OR(4&gt;$B$3,ISBLANK(Actuals!F85)),"",(Budget!F85-Actuals!F85)/ABS(Budget!F85)),"")</f>
        <v>0.851917176393045</v>
      </c>
      <c r="R69" s="133" t="n">
        <f aca="false">Budget!G85</f>
        <v>-6554.17</v>
      </c>
      <c r="S69" s="133" t="n">
        <f aca="false">IF(OR(5&gt;$B$3,ISBLANK(Actuals!G85)),"",Actuals!G85)</f>
        <v>-12137.78</v>
      </c>
      <c r="T69" s="134" t="n">
        <f aca="false">IF(OR(5&gt;$B$3,ISBLANK(Actuals!G85)),"",Budget!G85-Actuals!G85)</f>
        <v>5583.61</v>
      </c>
      <c r="U69" s="134" t="n">
        <f aca="false">IFERROR(IF(OR(5&gt;$B$3,ISBLANK(Actuals!G85)),"",(Budget!G85-Actuals!G85)/ABS(Budget!G85)),"")</f>
        <v>0.851917176393045</v>
      </c>
      <c r="V69" s="133" t="n">
        <f aca="false">Budget!H85</f>
        <v>-6554.17</v>
      </c>
      <c r="W69" s="133" t="n">
        <f aca="false">IF(OR(6&gt;$B$3,ISBLANK(Actuals!H85)),"",Actuals!H85)</f>
        <v>-12137.78</v>
      </c>
      <c r="X69" s="134" t="n">
        <f aca="false">IF(OR(6&gt;$B$3,ISBLANK(Actuals!H85)),"",Budget!H85-Actuals!H85)</f>
        <v>5583.61</v>
      </c>
      <c r="Y69" s="134" t="n">
        <f aca="false">IFERROR(IF(OR(6&gt;$B$3,ISBLANK(Actuals!H85)),"",(Budget!H85-Actuals!H85)/ABS(Budget!H85)),"")</f>
        <v>0.851917176393045</v>
      </c>
      <c r="Z69" s="133" t="n">
        <f aca="false">Budget!I85</f>
        <v>-6554.17</v>
      </c>
      <c r="AA69" s="133" t="n">
        <f aca="false">IF(OR(7&gt;$B$3,ISBLANK(Actuals!I85)),"",Actuals!I85)</f>
        <v>-12137.78</v>
      </c>
      <c r="AB69" s="134" t="n">
        <f aca="false">IF(OR(7&gt;$B$3,ISBLANK(Actuals!I85)),"",Budget!I85-Actuals!I85)</f>
        <v>5583.61</v>
      </c>
      <c r="AC69" s="134" t="n">
        <f aca="false">IFERROR(IF(OR(7&gt;$B$3,ISBLANK(Actuals!I85)),"",(Budget!I85-Actuals!I85)/ABS(Budget!I85)),"")</f>
        <v>0.851917176393045</v>
      </c>
      <c r="AD69" s="133" t="n">
        <f aca="false">Budget!J85</f>
        <v>-6554.17</v>
      </c>
      <c r="AE69" s="133" t="n">
        <f aca="false">IF(OR(8&gt;$B$3,ISBLANK(Actuals!J85)),"",Actuals!J85)</f>
        <v>-12137.78</v>
      </c>
      <c r="AF69" s="134" t="n">
        <f aca="false">IF(OR(8&gt;$B$3,ISBLANK(Actuals!J85)),"",Budget!J85-Actuals!J85)</f>
        <v>5583.61</v>
      </c>
      <c r="AG69" s="134" t="n">
        <f aca="false">IFERROR(IF(OR(8&gt;$B$3,ISBLANK(Actuals!J85)),"",(Budget!J85-Actuals!J85)/ABS(Budget!J85)),"")</f>
        <v>0.851917176393045</v>
      </c>
      <c r="AH69" s="133" t="n">
        <f aca="false">Budget!K85</f>
        <v>-6554.17</v>
      </c>
      <c r="AI69" s="133" t="str">
        <f aca="false">IF(OR(9&gt;$B$3,ISBLANK(Actuals!K85)),"",Actuals!K85)</f>
        <v/>
      </c>
      <c r="AJ69" s="134" t="str">
        <f aca="false">IF(OR(9&gt;$B$3,ISBLANK(Actuals!K85)),"",Budget!K85-Actuals!K85)</f>
        <v/>
      </c>
      <c r="AK69" s="134" t="str">
        <f aca="false">IFERROR(IF(OR(9&gt;$B$3,ISBLANK(Actuals!K85)),"",(Budget!K85-Actuals!K85)/ABS(Budget!K85)),"")</f>
        <v/>
      </c>
      <c r="AL69" s="133" t="n">
        <f aca="false">Budget!L85</f>
        <v>-6554.17</v>
      </c>
      <c r="AM69" s="133" t="str">
        <f aca="false">IF(OR(10&gt;$B$3,ISBLANK(Actuals!L85)),"",Actuals!L85)</f>
        <v/>
      </c>
      <c r="AN69" s="134" t="str">
        <f aca="false">IF(OR(10&gt;$B$3,ISBLANK(Actuals!L85)),"",Budget!L85-Actuals!L85)</f>
        <v/>
      </c>
      <c r="AO69" s="134" t="str">
        <f aca="false">IFERROR(IF(OR(10&gt;$B$3,ISBLANK(Actuals!L85)),"",(Budget!L85-Actuals!L85)/ABS(Budget!L85)),"")</f>
        <v/>
      </c>
      <c r="AP69" s="133" t="n">
        <f aca="false">Budget!M85</f>
        <v>-6554.17</v>
      </c>
      <c r="AQ69" s="133" t="str">
        <f aca="false">IF(OR(11&gt;$B$3,ISBLANK(Actuals!M85)),"",Actuals!M85)</f>
        <v/>
      </c>
      <c r="AR69" s="134" t="str">
        <f aca="false">IF(OR(11&gt;$B$3,ISBLANK(Actuals!M85)),"",Budget!M85-Actuals!M85)</f>
        <v/>
      </c>
      <c r="AS69" s="134" t="str">
        <f aca="false">IFERROR(IF(OR(11&gt;$B$3,ISBLANK(Actuals!M85)),"",(Budget!M85-Actuals!M85)/ABS(Budget!M85)),"")</f>
        <v/>
      </c>
      <c r="AT69" s="133" t="n">
        <f aca="false">Budget!N85</f>
        <v>-6554.17</v>
      </c>
      <c r="AU69" s="133" t="str">
        <f aca="false">IF(OR(12&gt;$B$3,ISBLANK(Actuals!N85)),"",Actuals!N85)</f>
        <v/>
      </c>
      <c r="AV69" s="134" t="str">
        <f aca="false">IF(OR(12&gt;$B$3,ISBLANK(Actuals!N85)),"",Budget!N85-Actuals!N85)</f>
        <v/>
      </c>
      <c r="AW69" s="134" t="str">
        <f aca="false">IFERROR(IF(OR(12&gt;$B$3,ISBLANK(Actuals!N85)),"",(Budget!N85-Actuals!N85)/ABS(Budget!N85)),"")</f>
        <v/>
      </c>
      <c r="AX69" s="135" t="n">
        <f aca="false">SUMPRODUCT((Actuals!C85:N85&lt;&gt;"")*(Budget!C85:N85))</f>
        <v>-52433.36</v>
      </c>
      <c r="AY69" s="135" t="n">
        <f aca="false">SUM(Actuals!C85:N85)</f>
        <v>-97102.23</v>
      </c>
      <c r="AZ69" s="136" t="n">
        <f aca="false">AX69-AY69</f>
        <v>44668.87</v>
      </c>
    </row>
    <row r="70" customFormat="false" ht="15" hidden="false" customHeight="true" outlineLevel="0" collapsed="false">
      <c r="A70" s="132" t="s">
        <v>68</v>
      </c>
      <c r="B70" s="133" t="n">
        <f aca="false">Budget!C86</f>
        <v>-487.5</v>
      </c>
      <c r="C70" s="133" t="n">
        <f aca="false">IF(OR(1&gt;$B$3,ISBLANK(Actuals!C86)),"",Actuals!C86)</f>
        <v>-475.76</v>
      </c>
      <c r="D70" s="134" t="n">
        <f aca="false">IF(OR(1&gt;$B$3,ISBLANK(Actuals!C86)),"",Budget!C86-Actuals!C86)</f>
        <v>-11.74</v>
      </c>
      <c r="E70" s="134" t="n">
        <f aca="false">IFERROR(IF(OR(1&gt;$B$3,ISBLANK(Actuals!C86)),"",(Budget!C86-Actuals!C86)/ABS(Budget!C86)),"")</f>
        <v>-0.0240820512820513</v>
      </c>
      <c r="F70" s="133" t="n">
        <f aca="false">Budget!D86</f>
        <v>-487.5</v>
      </c>
      <c r="G70" s="133" t="n">
        <f aca="false">IF(OR(2&gt;$B$3,ISBLANK(Actuals!D86)),"",Actuals!D86)</f>
        <v>-475.76</v>
      </c>
      <c r="H70" s="134" t="n">
        <f aca="false">IF(OR(2&gt;$B$3,ISBLANK(Actuals!D86)),"",Budget!D86-Actuals!D86)</f>
        <v>-11.74</v>
      </c>
      <c r="I70" s="134" t="n">
        <f aca="false">IFERROR(IF(OR(2&gt;$B$3,ISBLANK(Actuals!D86)),"",(Budget!D86-Actuals!D86)/ABS(Budget!D86)),"")</f>
        <v>-0.0240820512820513</v>
      </c>
      <c r="J70" s="133" t="n">
        <f aca="false">Budget!E86</f>
        <v>-487.5</v>
      </c>
      <c r="K70" s="133" t="n">
        <f aca="false">IF(OR(3&gt;$B$3,ISBLANK(Actuals!E86)),"",Actuals!E86)</f>
        <v>-475.76</v>
      </c>
      <c r="L70" s="134" t="n">
        <f aca="false">IF(OR(3&gt;$B$3,ISBLANK(Actuals!E86)),"",Budget!E86-Actuals!E86)</f>
        <v>-11.74</v>
      </c>
      <c r="M70" s="134" t="n">
        <f aca="false">IFERROR(IF(OR(3&gt;$B$3,ISBLANK(Actuals!E86)),"",(Budget!E86-Actuals!E86)/ABS(Budget!E86)),"")</f>
        <v>-0.0240820512820513</v>
      </c>
      <c r="N70" s="133" t="n">
        <f aca="false">Budget!F86</f>
        <v>-487.5</v>
      </c>
      <c r="O70" s="133" t="n">
        <f aca="false">IF(OR(4&gt;$B$3,ISBLANK(Actuals!F86)),"",Actuals!F86)</f>
        <v>-475.76</v>
      </c>
      <c r="P70" s="134" t="n">
        <f aca="false">IF(OR(4&gt;$B$3,ISBLANK(Actuals!F86)),"",Budget!F86-Actuals!F86)</f>
        <v>-11.74</v>
      </c>
      <c r="Q70" s="134" t="n">
        <f aca="false">IFERROR(IF(OR(4&gt;$B$3,ISBLANK(Actuals!F86)),"",(Budget!F86-Actuals!F86)/ABS(Budget!F86)),"")</f>
        <v>-0.0240820512820513</v>
      </c>
      <c r="R70" s="133" t="n">
        <f aca="false">Budget!G86</f>
        <v>-487.5</v>
      </c>
      <c r="S70" s="133" t="n">
        <f aca="false">IF(OR(5&gt;$B$3,ISBLANK(Actuals!G86)),"",Actuals!G86)</f>
        <v>-475.76</v>
      </c>
      <c r="T70" s="134" t="n">
        <f aca="false">IF(OR(5&gt;$B$3,ISBLANK(Actuals!G86)),"",Budget!G86-Actuals!G86)</f>
        <v>-11.74</v>
      </c>
      <c r="U70" s="134" t="n">
        <f aca="false">IFERROR(IF(OR(5&gt;$B$3,ISBLANK(Actuals!G86)),"",(Budget!G86-Actuals!G86)/ABS(Budget!G86)),"")</f>
        <v>-0.0240820512820513</v>
      </c>
      <c r="V70" s="133" t="n">
        <f aca="false">Budget!H86</f>
        <v>-487.5</v>
      </c>
      <c r="W70" s="133" t="n">
        <f aca="false">IF(OR(6&gt;$B$3,ISBLANK(Actuals!H86)),"",Actuals!H86)</f>
        <v>-475.76</v>
      </c>
      <c r="X70" s="134" t="n">
        <f aca="false">IF(OR(6&gt;$B$3,ISBLANK(Actuals!H86)),"",Budget!H86-Actuals!H86)</f>
        <v>-11.74</v>
      </c>
      <c r="Y70" s="134" t="n">
        <f aca="false">IFERROR(IF(OR(6&gt;$B$3,ISBLANK(Actuals!H86)),"",(Budget!H86-Actuals!H86)/ABS(Budget!H86)),"")</f>
        <v>-0.0240820512820513</v>
      </c>
      <c r="Z70" s="133" t="n">
        <f aca="false">Budget!I86</f>
        <v>-487.5</v>
      </c>
      <c r="AA70" s="133" t="n">
        <f aca="false">IF(OR(7&gt;$B$3,ISBLANK(Actuals!I86)),"",Actuals!I86)</f>
        <v>-475.76</v>
      </c>
      <c r="AB70" s="134" t="n">
        <f aca="false">IF(OR(7&gt;$B$3,ISBLANK(Actuals!I86)),"",Budget!I86-Actuals!I86)</f>
        <v>-11.74</v>
      </c>
      <c r="AC70" s="134" t="n">
        <f aca="false">IFERROR(IF(OR(7&gt;$B$3,ISBLANK(Actuals!I86)),"",(Budget!I86-Actuals!I86)/ABS(Budget!I86)),"")</f>
        <v>-0.0240820512820513</v>
      </c>
      <c r="AD70" s="133" t="n">
        <f aca="false">Budget!J86</f>
        <v>-487.5</v>
      </c>
      <c r="AE70" s="133" t="n">
        <f aca="false">IF(OR(8&gt;$B$3,ISBLANK(Actuals!J86)),"",Actuals!J86)</f>
        <v>-475.76</v>
      </c>
      <c r="AF70" s="134" t="n">
        <f aca="false">IF(OR(8&gt;$B$3,ISBLANK(Actuals!J86)),"",Budget!J86-Actuals!J86)</f>
        <v>-11.74</v>
      </c>
      <c r="AG70" s="134" t="n">
        <f aca="false">IFERROR(IF(OR(8&gt;$B$3,ISBLANK(Actuals!J86)),"",(Budget!J86-Actuals!J86)/ABS(Budget!J86)),"")</f>
        <v>-0.0240820512820513</v>
      </c>
      <c r="AH70" s="133" t="n">
        <f aca="false">Budget!K86</f>
        <v>-487.5</v>
      </c>
      <c r="AI70" s="133" t="str">
        <f aca="false">IF(OR(9&gt;$B$3,ISBLANK(Actuals!K86)),"",Actuals!K86)</f>
        <v/>
      </c>
      <c r="AJ70" s="134" t="str">
        <f aca="false">IF(OR(9&gt;$B$3,ISBLANK(Actuals!K86)),"",Budget!K86-Actuals!K86)</f>
        <v/>
      </c>
      <c r="AK70" s="134" t="str">
        <f aca="false">IFERROR(IF(OR(9&gt;$B$3,ISBLANK(Actuals!K86)),"",(Budget!K86-Actuals!K86)/ABS(Budget!K86)),"")</f>
        <v/>
      </c>
      <c r="AL70" s="133" t="n">
        <f aca="false">Budget!L86</f>
        <v>-487.5</v>
      </c>
      <c r="AM70" s="133" t="str">
        <f aca="false">IF(OR(10&gt;$B$3,ISBLANK(Actuals!L86)),"",Actuals!L86)</f>
        <v/>
      </c>
      <c r="AN70" s="134" t="str">
        <f aca="false">IF(OR(10&gt;$B$3,ISBLANK(Actuals!L86)),"",Budget!L86-Actuals!L86)</f>
        <v/>
      </c>
      <c r="AO70" s="134" t="str">
        <f aca="false">IFERROR(IF(OR(10&gt;$B$3,ISBLANK(Actuals!L86)),"",(Budget!L86-Actuals!L86)/ABS(Budget!L86)),"")</f>
        <v/>
      </c>
      <c r="AP70" s="133" t="n">
        <f aca="false">Budget!M86</f>
        <v>-487.5</v>
      </c>
      <c r="AQ70" s="133" t="str">
        <f aca="false">IF(OR(11&gt;$B$3,ISBLANK(Actuals!M86)),"",Actuals!M86)</f>
        <v/>
      </c>
      <c r="AR70" s="134" t="str">
        <f aca="false">IF(OR(11&gt;$B$3,ISBLANK(Actuals!M86)),"",Budget!M86-Actuals!M86)</f>
        <v/>
      </c>
      <c r="AS70" s="134" t="str">
        <f aca="false">IFERROR(IF(OR(11&gt;$B$3,ISBLANK(Actuals!M86)),"",(Budget!M86-Actuals!M86)/ABS(Budget!M86)),"")</f>
        <v/>
      </c>
      <c r="AT70" s="133" t="n">
        <f aca="false">Budget!N86</f>
        <v>-487.5</v>
      </c>
      <c r="AU70" s="133" t="str">
        <f aca="false">IF(OR(12&gt;$B$3,ISBLANK(Actuals!N86)),"",Actuals!N86)</f>
        <v/>
      </c>
      <c r="AV70" s="134" t="str">
        <f aca="false">IF(OR(12&gt;$B$3,ISBLANK(Actuals!N86)),"",Budget!N86-Actuals!N86)</f>
        <v/>
      </c>
      <c r="AW70" s="134" t="str">
        <f aca="false">IFERROR(IF(OR(12&gt;$B$3,ISBLANK(Actuals!N86)),"",(Budget!N86-Actuals!N86)/ABS(Budget!N86)),"")</f>
        <v/>
      </c>
      <c r="AX70" s="135" t="n">
        <f aca="false">SUMPRODUCT((Actuals!C86:N86&lt;&gt;"")*(Budget!C86:N86))</f>
        <v>-3900</v>
      </c>
      <c r="AY70" s="135" t="n">
        <f aca="false">SUM(Actuals!C86:N86)</f>
        <v>-3806.08</v>
      </c>
      <c r="AZ70" s="136" t="n">
        <f aca="false">AX70-AY70</f>
        <v>-93.9200000000001</v>
      </c>
    </row>
    <row r="71" customFormat="false" ht="15" hidden="false" customHeight="true" outlineLevel="0" collapsed="false">
      <c r="A71" s="132" t="s">
        <v>69</v>
      </c>
      <c r="B71" s="133" t="n">
        <f aca="false">Budget!C87</f>
        <v>-270.83</v>
      </c>
      <c r="C71" s="133" t="n">
        <f aca="false">IF(OR(1&gt;$B$3,ISBLANK(Actuals!C87)),"",Actuals!C87)</f>
        <v>-2200.12</v>
      </c>
      <c r="D71" s="134" t="n">
        <f aca="false">IF(OR(1&gt;$B$3,ISBLANK(Actuals!C87)),"",Budget!C87-Actuals!C87)</f>
        <v>1929.29</v>
      </c>
      <c r="E71" s="134" t="n">
        <f aca="false">IFERROR(IF(OR(1&gt;$B$3,ISBLANK(Actuals!C87)),"",(Budget!C87-Actuals!C87)/ABS(Budget!C87)),"")</f>
        <v>7.12361998301518</v>
      </c>
      <c r="F71" s="133" t="n">
        <f aca="false">Budget!D87</f>
        <v>-270.83</v>
      </c>
      <c r="G71" s="133" t="n">
        <f aca="false">IF(OR(2&gt;$B$3,ISBLANK(Actuals!D87)),"",Actuals!D87)</f>
        <v>-2200.12</v>
      </c>
      <c r="H71" s="134" t="n">
        <f aca="false">IF(OR(2&gt;$B$3,ISBLANK(Actuals!D87)),"",Budget!D87-Actuals!D87)</f>
        <v>1929.29</v>
      </c>
      <c r="I71" s="134" t="n">
        <f aca="false">IFERROR(IF(OR(2&gt;$B$3,ISBLANK(Actuals!D87)),"",(Budget!D87-Actuals!D87)/ABS(Budget!D87)),"")</f>
        <v>7.12361998301518</v>
      </c>
      <c r="J71" s="133" t="n">
        <f aca="false">Budget!E87</f>
        <v>-270.83</v>
      </c>
      <c r="K71" s="133" t="n">
        <f aca="false">IF(OR(3&gt;$B$3,ISBLANK(Actuals!E87)),"",Actuals!E87)</f>
        <v>-2200.12</v>
      </c>
      <c r="L71" s="134" t="n">
        <f aca="false">IF(OR(3&gt;$B$3,ISBLANK(Actuals!E87)),"",Budget!E87-Actuals!E87)</f>
        <v>1929.29</v>
      </c>
      <c r="M71" s="134" t="n">
        <f aca="false">IFERROR(IF(OR(3&gt;$B$3,ISBLANK(Actuals!E87)),"",(Budget!E87-Actuals!E87)/ABS(Budget!E87)),"")</f>
        <v>7.12361998301518</v>
      </c>
      <c r="N71" s="133" t="n">
        <f aca="false">Budget!F87</f>
        <v>-270.83</v>
      </c>
      <c r="O71" s="133" t="n">
        <f aca="false">IF(OR(4&gt;$B$3,ISBLANK(Actuals!F87)),"",Actuals!F87)</f>
        <v>-2200.12</v>
      </c>
      <c r="P71" s="134" t="n">
        <f aca="false">IF(OR(4&gt;$B$3,ISBLANK(Actuals!F87)),"",Budget!F87-Actuals!F87)</f>
        <v>1929.29</v>
      </c>
      <c r="Q71" s="134" t="n">
        <f aca="false">IFERROR(IF(OR(4&gt;$B$3,ISBLANK(Actuals!F87)),"",(Budget!F87-Actuals!F87)/ABS(Budget!F87)),"")</f>
        <v>7.12361998301518</v>
      </c>
      <c r="R71" s="133" t="n">
        <f aca="false">Budget!G87</f>
        <v>-270.83</v>
      </c>
      <c r="S71" s="133" t="n">
        <f aca="false">IF(OR(5&gt;$B$3,ISBLANK(Actuals!G87)),"",Actuals!G87)</f>
        <v>-2200.12</v>
      </c>
      <c r="T71" s="134" t="n">
        <f aca="false">IF(OR(5&gt;$B$3,ISBLANK(Actuals!G87)),"",Budget!G87-Actuals!G87)</f>
        <v>1929.29</v>
      </c>
      <c r="U71" s="134" t="n">
        <f aca="false">IFERROR(IF(OR(5&gt;$B$3,ISBLANK(Actuals!G87)),"",(Budget!G87-Actuals!G87)/ABS(Budget!G87)),"")</f>
        <v>7.12361998301518</v>
      </c>
      <c r="V71" s="133" t="n">
        <f aca="false">Budget!H87</f>
        <v>-270.83</v>
      </c>
      <c r="W71" s="133" t="n">
        <f aca="false">IF(OR(6&gt;$B$3,ISBLANK(Actuals!H87)),"",Actuals!H87)</f>
        <v>-2200.12</v>
      </c>
      <c r="X71" s="134" t="n">
        <f aca="false">IF(OR(6&gt;$B$3,ISBLANK(Actuals!H87)),"",Budget!H87-Actuals!H87)</f>
        <v>1929.29</v>
      </c>
      <c r="Y71" s="134" t="n">
        <f aca="false">IFERROR(IF(OR(6&gt;$B$3,ISBLANK(Actuals!H87)),"",(Budget!H87-Actuals!H87)/ABS(Budget!H87)),"")</f>
        <v>7.12361998301518</v>
      </c>
      <c r="Z71" s="133" t="n">
        <f aca="false">Budget!I87</f>
        <v>-270.83</v>
      </c>
      <c r="AA71" s="133" t="n">
        <f aca="false">IF(OR(7&gt;$B$3,ISBLANK(Actuals!I87)),"",Actuals!I87)</f>
        <v>-2200.12</v>
      </c>
      <c r="AB71" s="134" t="n">
        <f aca="false">IF(OR(7&gt;$B$3,ISBLANK(Actuals!I87)),"",Budget!I87-Actuals!I87)</f>
        <v>1929.29</v>
      </c>
      <c r="AC71" s="134" t="n">
        <f aca="false">IFERROR(IF(OR(7&gt;$B$3,ISBLANK(Actuals!I87)),"",(Budget!I87-Actuals!I87)/ABS(Budget!I87)),"")</f>
        <v>7.12361998301518</v>
      </c>
      <c r="AD71" s="133" t="n">
        <f aca="false">Budget!J87</f>
        <v>-270.83</v>
      </c>
      <c r="AE71" s="133" t="n">
        <f aca="false">IF(OR(8&gt;$B$3,ISBLANK(Actuals!J87)),"",Actuals!J87)</f>
        <v>-2200.12</v>
      </c>
      <c r="AF71" s="134" t="n">
        <f aca="false">IF(OR(8&gt;$B$3,ISBLANK(Actuals!J87)),"",Budget!J87-Actuals!J87)</f>
        <v>1929.29</v>
      </c>
      <c r="AG71" s="134" t="n">
        <f aca="false">IFERROR(IF(OR(8&gt;$B$3,ISBLANK(Actuals!J87)),"",(Budget!J87-Actuals!J87)/ABS(Budget!J87)),"")</f>
        <v>7.12361998301518</v>
      </c>
      <c r="AH71" s="133" t="n">
        <f aca="false">Budget!K87</f>
        <v>-270.83</v>
      </c>
      <c r="AI71" s="133" t="str">
        <f aca="false">IF(OR(9&gt;$B$3,ISBLANK(Actuals!K87)),"",Actuals!K87)</f>
        <v/>
      </c>
      <c r="AJ71" s="134" t="str">
        <f aca="false">IF(OR(9&gt;$B$3,ISBLANK(Actuals!K87)),"",Budget!K87-Actuals!K87)</f>
        <v/>
      </c>
      <c r="AK71" s="134" t="str">
        <f aca="false">IFERROR(IF(OR(9&gt;$B$3,ISBLANK(Actuals!K87)),"",(Budget!K87-Actuals!K87)/ABS(Budget!K87)),"")</f>
        <v/>
      </c>
      <c r="AL71" s="133" t="n">
        <f aca="false">Budget!L87</f>
        <v>-270.83</v>
      </c>
      <c r="AM71" s="133" t="str">
        <f aca="false">IF(OR(10&gt;$B$3,ISBLANK(Actuals!L87)),"",Actuals!L87)</f>
        <v/>
      </c>
      <c r="AN71" s="134" t="str">
        <f aca="false">IF(OR(10&gt;$B$3,ISBLANK(Actuals!L87)),"",Budget!L87-Actuals!L87)</f>
        <v/>
      </c>
      <c r="AO71" s="134" t="str">
        <f aca="false">IFERROR(IF(OR(10&gt;$B$3,ISBLANK(Actuals!L87)),"",(Budget!L87-Actuals!L87)/ABS(Budget!L87)),"")</f>
        <v/>
      </c>
      <c r="AP71" s="133" t="n">
        <f aca="false">Budget!M87</f>
        <v>-270.83</v>
      </c>
      <c r="AQ71" s="133" t="str">
        <f aca="false">IF(OR(11&gt;$B$3,ISBLANK(Actuals!M87)),"",Actuals!M87)</f>
        <v/>
      </c>
      <c r="AR71" s="134" t="str">
        <f aca="false">IF(OR(11&gt;$B$3,ISBLANK(Actuals!M87)),"",Budget!M87-Actuals!M87)</f>
        <v/>
      </c>
      <c r="AS71" s="134" t="str">
        <f aca="false">IFERROR(IF(OR(11&gt;$B$3,ISBLANK(Actuals!M87)),"",(Budget!M87-Actuals!M87)/ABS(Budget!M87)),"")</f>
        <v/>
      </c>
      <c r="AT71" s="133" t="n">
        <f aca="false">Budget!N87</f>
        <v>-270.83</v>
      </c>
      <c r="AU71" s="133" t="str">
        <f aca="false">IF(OR(12&gt;$B$3,ISBLANK(Actuals!N87)),"",Actuals!N87)</f>
        <v/>
      </c>
      <c r="AV71" s="134" t="str">
        <f aca="false">IF(OR(12&gt;$B$3,ISBLANK(Actuals!N87)),"",Budget!N87-Actuals!N87)</f>
        <v/>
      </c>
      <c r="AW71" s="134" t="str">
        <f aca="false">IFERROR(IF(OR(12&gt;$B$3,ISBLANK(Actuals!N87)),"",(Budget!N87-Actuals!N87)/ABS(Budget!N87)),"")</f>
        <v/>
      </c>
      <c r="AX71" s="135" t="n">
        <f aca="false">SUMPRODUCT((Actuals!C87:N87&lt;&gt;"")*(Budget!C87:N87))</f>
        <v>-2166.64</v>
      </c>
      <c r="AY71" s="135" t="n">
        <f aca="false">SUM(Actuals!C87:N87)</f>
        <v>-17600.96</v>
      </c>
      <c r="AZ71" s="136" t="n">
        <f aca="false">AX71-AY71</f>
        <v>15434.32</v>
      </c>
    </row>
    <row r="72" customFormat="false" ht="15" hidden="false" customHeight="true" outlineLevel="0" collapsed="false">
      <c r="A72" s="132" t="s">
        <v>72</v>
      </c>
      <c r="B72" s="133" t="n">
        <f aca="false">Budget!C88</f>
        <v>-8000</v>
      </c>
      <c r="C72" s="133" t="n">
        <f aca="false">IF(OR(1&gt;$B$3,ISBLANK(Actuals!C88)),"",Actuals!C88)</f>
        <v>-8848.65</v>
      </c>
      <c r="D72" s="134" t="n">
        <f aca="false">IF(OR(1&gt;$B$3,ISBLANK(Actuals!C88)),"",Budget!C88-Actuals!C88)</f>
        <v>848.65</v>
      </c>
      <c r="E72" s="134" t="n">
        <f aca="false">IFERROR(IF(OR(1&gt;$B$3,ISBLANK(Actuals!C88)),"",(Budget!C88-Actuals!C88)/ABS(Budget!C88)),"")</f>
        <v>0.10608125</v>
      </c>
      <c r="F72" s="133" t="n">
        <f aca="false">Budget!D88</f>
        <v>-8000</v>
      </c>
      <c r="G72" s="133" t="n">
        <f aca="false">IF(OR(2&gt;$B$3,ISBLANK(Actuals!D88)),"",Actuals!D88)</f>
        <v>-8817.63</v>
      </c>
      <c r="H72" s="134" t="n">
        <f aca="false">IF(OR(2&gt;$B$3,ISBLANK(Actuals!D88)),"",Budget!D88-Actuals!D88)</f>
        <v>817.629999999999</v>
      </c>
      <c r="I72" s="134" t="n">
        <f aca="false">IFERROR(IF(OR(2&gt;$B$3,ISBLANK(Actuals!D88)),"",(Budget!D88-Actuals!D88)/ABS(Budget!D88)),"")</f>
        <v>0.10220375</v>
      </c>
      <c r="J72" s="133" t="n">
        <f aca="false">Budget!E88</f>
        <v>-8000</v>
      </c>
      <c r="K72" s="133" t="n">
        <f aca="false">IF(OR(3&gt;$B$3,ISBLANK(Actuals!E88)),"",Actuals!E88)</f>
        <v>-3775.91</v>
      </c>
      <c r="L72" s="134" t="n">
        <f aca="false">IF(OR(3&gt;$B$3,ISBLANK(Actuals!E88)),"",Budget!E88-Actuals!E88)</f>
        <v>-4224.09</v>
      </c>
      <c r="M72" s="134" t="n">
        <f aca="false">IFERROR(IF(OR(3&gt;$B$3,ISBLANK(Actuals!E88)),"",(Budget!E88-Actuals!E88)/ABS(Budget!E88)),"")</f>
        <v>-0.52801125</v>
      </c>
      <c r="N72" s="133" t="n">
        <f aca="false">Budget!F88</f>
        <v>-8000</v>
      </c>
      <c r="O72" s="133" t="n">
        <f aca="false">IF(OR(4&gt;$B$3,ISBLANK(Actuals!F88)),"",Actuals!F88)</f>
        <v>-8731.12</v>
      </c>
      <c r="P72" s="134" t="n">
        <f aca="false">IF(OR(4&gt;$B$3,ISBLANK(Actuals!F88)),"",Budget!F88-Actuals!F88)</f>
        <v>731.120000000001</v>
      </c>
      <c r="Q72" s="134" t="n">
        <f aca="false">IFERROR(IF(OR(4&gt;$B$3,ISBLANK(Actuals!F88)),"",(Budget!F88-Actuals!F88)/ABS(Budget!F88)),"")</f>
        <v>0.0913900000000001</v>
      </c>
      <c r="R72" s="133" t="n">
        <f aca="false">Budget!G88</f>
        <v>-8000</v>
      </c>
      <c r="S72" s="133" t="n">
        <f aca="false">IF(OR(5&gt;$B$3,ISBLANK(Actuals!G88)),"",Actuals!G88)</f>
        <v>-8739.17</v>
      </c>
      <c r="T72" s="134" t="n">
        <f aca="false">IF(OR(5&gt;$B$3,ISBLANK(Actuals!G88)),"",Budget!G88-Actuals!G88)</f>
        <v>739.17</v>
      </c>
      <c r="U72" s="134" t="n">
        <f aca="false">IFERROR(IF(OR(5&gt;$B$3,ISBLANK(Actuals!G88)),"",(Budget!G88-Actuals!G88)/ABS(Budget!G88)),"")</f>
        <v>0.09239625</v>
      </c>
      <c r="V72" s="133" t="n">
        <f aca="false">Budget!H88</f>
        <v>-8000</v>
      </c>
      <c r="W72" s="133" t="n">
        <f aca="false">IF(OR(6&gt;$B$3,ISBLANK(Actuals!H88)),"",Actuals!H88)</f>
        <v>-8771.99</v>
      </c>
      <c r="X72" s="134" t="n">
        <f aca="false">IF(OR(6&gt;$B$3,ISBLANK(Actuals!H88)),"",Budget!H88-Actuals!H88)</f>
        <v>771.99</v>
      </c>
      <c r="Y72" s="134" t="n">
        <f aca="false">IFERROR(IF(OR(6&gt;$B$3,ISBLANK(Actuals!H88)),"",(Budget!H88-Actuals!H88)/ABS(Budget!H88)),"")</f>
        <v>0.09649875</v>
      </c>
      <c r="Z72" s="133" t="n">
        <f aca="false">Budget!I88</f>
        <v>-8160</v>
      </c>
      <c r="AA72" s="133" t="n">
        <f aca="false">IF(OR(7&gt;$B$3,ISBLANK(Actuals!I88)),"",Actuals!I88)</f>
        <v>-13832.56</v>
      </c>
      <c r="AB72" s="134" t="n">
        <f aca="false">IF(OR(7&gt;$B$3,ISBLANK(Actuals!I88)),"",Budget!I88-Actuals!I88)</f>
        <v>5672.56</v>
      </c>
      <c r="AC72" s="134" t="n">
        <f aca="false">IFERROR(IF(OR(7&gt;$B$3,ISBLANK(Actuals!I88)),"",(Budget!I88-Actuals!I88)/ABS(Budget!I88)),"")</f>
        <v>0.695166666666667</v>
      </c>
      <c r="AD72" s="133" t="n">
        <f aca="false">Budget!J88</f>
        <v>-8160</v>
      </c>
      <c r="AE72" s="133" t="n">
        <f aca="false">IF(OR(8&gt;$B$3,ISBLANK(Actuals!J88)),"",Actuals!J88)</f>
        <v>-3870.05</v>
      </c>
      <c r="AF72" s="134" t="n">
        <f aca="false">IF(OR(8&gt;$B$3,ISBLANK(Actuals!J88)),"",Budget!J88-Actuals!J88)</f>
        <v>-4289.95</v>
      </c>
      <c r="AG72" s="134" t="n">
        <f aca="false">IFERROR(IF(OR(8&gt;$B$3,ISBLANK(Actuals!J88)),"",(Budget!J88-Actuals!J88)/ABS(Budget!J88)),"")</f>
        <v>-0.525729166666667</v>
      </c>
      <c r="AH72" s="133" t="n">
        <f aca="false">Budget!K88</f>
        <v>-8160</v>
      </c>
      <c r="AI72" s="133" t="str">
        <f aca="false">IF(OR(9&gt;$B$3,ISBLANK(Actuals!K88)),"",Actuals!K88)</f>
        <v/>
      </c>
      <c r="AJ72" s="134" t="str">
        <f aca="false">IF(OR(9&gt;$B$3,ISBLANK(Actuals!K88)),"",Budget!K88-Actuals!K88)</f>
        <v/>
      </c>
      <c r="AK72" s="134" t="str">
        <f aca="false">IFERROR(IF(OR(9&gt;$B$3,ISBLANK(Actuals!K88)),"",(Budget!K88-Actuals!K88)/ABS(Budget!K88)),"")</f>
        <v/>
      </c>
      <c r="AL72" s="133" t="n">
        <f aca="false">Budget!L88</f>
        <v>-8160</v>
      </c>
      <c r="AM72" s="133" t="str">
        <f aca="false">IF(OR(10&gt;$B$3,ISBLANK(Actuals!L88)),"",Actuals!L88)</f>
        <v/>
      </c>
      <c r="AN72" s="134" t="str">
        <f aca="false">IF(OR(10&gt;$B$3,ISBLANK(Actuals!L88)),"",Budget!L88-Actuals!L88)</f>
        <v/>
      </c>
      <c r="AO72" s="134" t="str">
        <f aca="false">IFERROR(IF(OR(10&gt;$B$3,ISBLANK(Actuals!L88)),"",(Budget!L88-Actuals!L88)/ABS(Budget!L88)),"")</f>
        <v/>
      </c>
      <c r="AP72" s="133" t="n">
        <f aca="false">Budget!M88</f>
        <v>-8160</v>
      </c>
      <c r="AQ72" s="133" t="str">
        <f aca="false">IF(OR(11&gt;$B$3,ISBLANK(Actuals!M88)),"",Actuals!M88)</f>
        <v/>
      </c>
      <c r="AR72" s="134" t="str">
        <f aca="false">IF(OR(11&gt;$B$3,ISBLANK(Actuals!M88)),"",Budget!M88-Actuals!M88)</f>
        <v/>
      </c>
      <c r="AS72" s="134" t="str">
        <f aca="false">IFERROR(IF(OR(11&gt;$B$3,ISBLANK(Actuals!M88)),"",(Budget!M88-Actuals!M88)/ABS(Budget!M88)),"")</f>
        <v/>
      </c>
      <c r="AT72" s="133" t="n">
        <f aca="false">Budget!N88</f>
        <v>-8160</v>
      </c>
      <c r="AU72" s="133" t="str">
        <f aca="false">IF(OR(12&gt;$B$3,ISBLANK(Actuals!N88)),"",Actuals!N88)</f>
        <v/>
      </c>
      <c r="AV72" s="134" t="str">
        <f aca="false">IF(OR(12&gt;$B$3,ISBLANK(Actuals!N88)),"",Budget!N88-Actuals!N88)</f>
        <v/>
      </c>
      <c r="AW72" s="134" t="str">
        <f aca="false">IFERROR(IF(OR(12&gt;$B$3,ISBLANK(Actuals!N88)),"",(Budget!N88-Actuals!N88)/ABS(Budget!N88)),"")</f>
        <v/>
      </c>
      <c r="AX72" s="135" t="n">
        <f aca="false">SUMPRODUCT((Actuals!C88:N88&lt;&gt;"")*(Budget!C88:N88))</f>
        <v>-64320</v>
      </c>
      <c r="AY72" s="135" t="n">
        <f aca="false">SUM(Actuals!C88:N88)</f>
        <v>-65387.08</v>
      </c>
      <c r="AZ72" s="136" t="n">
        <f aca="false">AX72-AY72</f>
        <v>1067.08</v>
      </c>
    </row>
    <row r="73" customFormat="false" ht="15" hidden="false" customHeight="true" outlineLevel="0" collapsed="false">
      <c r="A73" s="132" t="s">
        <v>73</v>
      </c>
      <c r="B73" s="133" t="n">
        <f aca="false">Budget!C89</f>
        <v>-183.33</v>
      </c>
      <c r="C73" s="133" t="n">
        <f aca="false">IF(OR(1&gt;$B$3,ISBLANK(Actuals!C89)),"",Actuals!C89)</f>
        <v>-1722.9</v>
      </c>
      <c r="D73" s="134" t="n">
        <f aca="false">IF(OR(1&gt;$B$3,ISBLANK(Actuals!C89)),"",Budget!C89-Actuals!C89)</f>
        <v>1539.57</v>
      </c>
      <c r="E73" s="134" t="n">
        <f aca="false">IFERROR(IF(OR(1&gt;$B$3,ISBLANK(Actuals!C89)),"",(Budget!C89-Actuals!C89)/ABS(Budget!C89)),"")</f>
        <v>8.39780723285878</v>
      </c>
      <c r="F73" s="133" t="n">
        <f aca="false">Budget!D89</f>
        <v>-183.33</v>
      </c>
      <c r="G73" s="133" t="n">
        <f aca="false">IF(OR(2&gt;$B$3,ISBLANK(Actuals!D89)),"",Actuals!D89)</f>
        <v>0</v>
      </c>
      <c r="H73" s="134" t="n">
        <f aca="false">IF(OR(2&gt;$B$3,ISBLANK(Actuals!D89)),"",Budget!D89-Actuals!D89)</f>
        <v>-183.33</v>
      </c>
      <c r="I73" s="134" t="n">
        <f aca="false">IFERROR(IF(OR(2&gt;$B$3,ISBLANK(Actuals!D89)),"",(Budget!D89-Actuals!D89)/ABS(Budget!D89)),"")</f>
        <v>-1</v>
      </c>
      <c r="J73" s="133" t="n">
        <f aca="false">Budget!E89</f>
        <v>-183.33</v>
      </c>
      <c r="K73" s="133" t="n">
        <f aca="false">IF(OR(3&gt;$B$3,ISBLANK(Actuals!E89)),"",Actuals!E89)</f>
        <v>-28.51</v>
      </c>
      <c r="L73" s="134" t="n">
        <f aca="false">IF(OR(3&gt;$B$3,ISBLANK(Actuals!E89)),"",Budget!E89-Actuals!E89)</f>
        <v>-154.82</v>
      </c>
      <c r="M73" s="134" t="n">
        <f aca="false">IFERROR(IF(OR(3&gt;$B$3,ISBLANK(Actuals!E89)),"",(Budget!E89-Actuals!E89)/ABS(Budget!E89)),"")</f>
        <v>-0.844488081601484</v>
      </c>
      <c r="N73" s="133" t="n">
        <f aca="false">Budget!F89</f>
        <v>-183.33</v>
      </c>
      <c r="O73" s="133" t="n">
        <f aca="false">IF(OR(4&gt;$B$3,ISBLANK(Actuals!F89)),"",Actuals!F89)</f>
        <v>0</v>
      </c>
      <c r="P73" s="134" t="n">
        <f aca="false">IF(OR(4&gt;$B$3,ISBLANK(Actuals!F89)),"",Budget!F89-Actuals!F89)</f>
        <v>-183.33</v>
      </c>
      <c r="Q73" s="134" t="n">
        <f aca="false">IFERROR(IF(OR(4&gt;$B$3,ISBLANK(Actuals!F89)),"",(Budget!F89-Actuals!F89)/ABS(Budget!F89)),"")</f>
        <v>-1</v>
      </c>
      <c r="R73" s="133" t="n">
        <f aca="false">Budget!G89</f>
        <v>-183.33</v>
      </c>
      <c r="S73" s="133" t="n">
        <f aca="false">IF(OR(5&gt;$B$3,ISBLANK(Actuals!G89)),"",Actuals!G89)</f>
        <v>-212.12</v>
      </c>
      <c r="T73" s="134" t="n">
        <f aca="false">IF(OR(5&gt;$B$3,ISBLANK(Actuals!G89)),"",Budget!G89-Actuals!G89)</f>
        <v>28.79</v>
      </c>
      <c r="U73" s="134" t="n">
        <f aca="false">IFERROR(IF(OR(5&gt;$B$3,ISBLANK(Actuals!G89)),"",(Budget!G89-Actuals!G89)/ABS(Budget!G89)),"")</f>
        <v>0.157039218894889</v>
      </c>
      <c r="V73" s="133" t="n">
        <f aca="false">Budget!H89</f>
        <v>-183.33</v>
      </c>
      <c r="W73" s="133" t="n">
        <f aca="false">IF(OR(6&gt;$B$3,ISBLANK(Actuals!H89)),"",Actuals!H89)</f>
        <v>-83.92</v>
      </c>
      <c r="X73" s="134" t="n">
        <f aca="false">IF(OR(6&gt;$B$3,ISBLANK(Actuals!H89)),"",Budget!H89-Actuals!H89)</f>
        <v>-99.41</v>
      </c>
      <c r="Y73" s="134" t="n">
        <f aca="false">IFERROR(IF(OR(6&gt;$B$3,ISBLANK(Actuals!H89)),"",(Budget!H89-Actuals!H89)/ABS(Budget!H89)),"")</f>
        <v>-0.542246222658594</v>
      </c>
      <c r="Z73" s="133" t="n">
        <f aca="false">Budget!I89</f>
        <v>-187</v>
      </c>
      <c r="AA73" s="133" t="n">
        <f aca="false">IF(OR(7&gt;$B$3,ISBLANK(Actuals!I89)),"",Actuals!I89)</f>
        <v>-530</v>
      </c>
      <c r="AB73" s="134" t="n">
        <f aca="false">IF(OR(7&gt;$B$3,ISBLANK(Actuals!I89)),"",Budget!I89-Actuals!I89)</f>
        <v>343</v>
      </c>
      <c r="AC73" s="134" t="n">
        <f aca="false">IFERROR(IF(OR(7&gt;$B$3,ISBLANK(Actuals!I89)),"",(Budget!I89-Actuals!I89)/ABS(Budget!I89)),"")</f>
        <v>1.83422459893048</v>
      </c>
      <c r="AD73" s="133" t="n">
        <f aca="false">Budget!J89</f>
        <v>-187</v>
      </c>
      <c r="AE73" s="133" t="n">
        <f aca="false">IF(OR(8&gt;$B$3,ISBLANK(Actuals!J89)),"",Actuals!J89)</f>
        <v>-180.23</v>
      </c>
      <c r="AF73" s="134" t="n">
        <f aca="false">IF(OR(8&gt;$B$3,ISBLANK(Actuals!J89)),"",Budget!J89-Actuals!J89)</f>
        <v>-6.77000000000001</v>
      </c>
      <c r="AG73" s="134" t="n">
        <f aca="false">IFERROR(IF(OR(8&gt;$B$3,ISBLANK(Actuals!J89)),"",(Budget!J89-Actuals!J89)/ABS(Budget!J89)),"")</f>
        <v>-0.0362032085561498</v>
      </c>
      <c r="AH73" s="133" t="n">
        <f aca="false">Budget!K89</f>
        <v>-187</v>
      </c>
      <c r="AI73" s="133" t="str">
        <f aca="false">IF(OR(9&gt;$B$3,ISBLANK(Actuals!K89)),"",Actuals!K89)</f>
        <v/>
      </c>
      <c r="AJ73" s="134" t="str">
        <f aca="false">IF(OR(9&gt;$B$3,ISBLANK(Actuals!K89)),"",Budget!K89-Actuals!K89)</f>
        <v/>
      </c>
      <c r="AK73" s="134" t="str">
        <f aca="false">IFERROR(IF(OR(9&gt;$B$3,ISBLANK(Actuals!K89)),"",(Budget!K89-Actuals!K89)/ABS(Budget!K89)),"")</f>
        <v/>
      </c>
      <c r="AL73" s="133" t="n">
        <f aca="false">Budget!L89</f>
        <v>-187</v>
      </c>
      <c r="AM73" s="133" t="str">
        <f aca="false">IF(OR(10&gt;$B$3,ISBLANK(Actuals!L89)),"",Actuals!L89)</f>
        <v/>
      </c>
      <c r="AN73" s="134" t="str">
        <f aca="false">IF(OR(10&gt;$B$3,ISBLANK(Actuals!L89)),"",Budget!L89-Actuals!L89)</f>
        <v/>
      </c>
      <c r="AO73" s="134" t="str">
        <f aca="false">IFERROR(IF(OR(10&gt;$B$3,ISBLANK(Actuals!L89)),"",(Budget!L89-Actuals!L89)/ABS(Budget!L89)),"")</f>
        <v/>
      </c>
      <c r="AP73" s="133" t="n">
        <f aca="false">Budget!M89</f>
        <v>-187</v>
      </c>
      <c r="AQ73" s="133" t="str">
        <f aca="false">IF(OR(11&gt;$B$3,ISBLANK(Actuals!M89)),"",Actuals!M89)</f>
        <v/>
      </c>
      <c r="AR73" s="134" t="str">
        <f aca="false">IF(OR(11&gt;$B$3,ISBLANK(Actuals!M89)),"",Budget!M89-Actuals!M89)</f>
        <v/>
      </c>
      <c r="AS73" s="134" t="str">
        <f aca="false">IFERROR(IF(OR(11&gt;$B$3,ISBLANK(Actuals!M89)),"",(Budget!M89-Actuals!M89)/ABS(Budget!M89)),"")</f>
        <v/>
      </c>
      <c r="AT73" s="133" t="n">
        <f aca="false">Budget!N89</f>
        <v>-187</v>
      </c>
      <c r="AU73" s="133" t="str">
        <f aca="false">IF(OR(12&gt;$B$3,ISBLANK(Actuals!N89)),"",Actuals!N89)</f>
        <v/>
      </c>
      <c r="AV73" s="134" t="str">
        <f aca="false">IF(OR(12&gt;$B$3,ISBLANK(Actuals!N89)),"",Budget!N89-Actuals!N89)</f>
        <v/>
      </c>
      <c r="AW73" s="134" t="str">
        <f aca="false">IFERROR(IF(OR(12&gt;$B$3,ISBLANK(Actuals!N89)),"",(Budget!N89-Actuals!N89)/ABS(Budget!N89)),"")</f>
        <v/>
      </c>
      <c r="AX73" s="135" t="n">
        <f aca="false">SUMPRODUCT((Actuals!C89:N89&lt;&gt;"")*(Budget!C89:N89))</f>
        <v>-1473.98</v>
      </c>
      <c r="AY73" s="135" t="n">
        <f aca="false">SUM(Actuals!C89:N89)</f>
        <v>-2757.68</v>
      </c>
      <c r="AZ73" s="136" t="n">
        <f aca="false">AX73-AY73</f>
        <v>1283.7</v>
      </c>
    </row>
    <row r="74" customFormat="false" ht="15" hidden="false" customHeight="true" outlineLevel="0" collapsed="false">
      <c r="A74" s="132" t="s">
        <v>76</v>
      </c>
      <c r="B74" s="133" t="n">
        <f aca="false">Budget!C90</f>
        <v>-3000</v>
      </c>
      <c r="C74" s="133" t="n">
        <f aca="false">IF(OR(1&gt;$B$3,ISBLANK(Actuals!C90)),"",Actuals!C90)</f>
        <v>-246.85</v>
      </c>
      <c r="D74" s="134" t="n">
        <f aca="false">IF(OR(1&gt;$B$3,ISBLANK(Actuals!C90)),"",Budget!C90-Actuals!C90)</f>
        <v>-2753.15</v>
      </c>
      <c r="E74" s="134" t="n">
        <f aca="false">IFERROR(IF(OR(1&gt;$B$3,ISBLANK(Actuals!C90)),"",(Budget!C90-Actuals!C90)/ABS(Budget!C90)),"")</f>
        <v>-0.917716666666667</v>
      </c>
      <c r="F74" s="133" t="n">
        <f aca="false">Budget!D90</f>
        <v>-3000</v>
      </c>
      <c r="G74" s="133" t="n">
        <f aca="false">IF(OR(2&gt;$B$3,ISBLANK(Actuals!D90)),"",Actuals!D90)</f>
        <v>0</v>
      </c>
      <c r="H74" s="134" t="n">
        <f aca="false">IF(OR(2&gt;$B$3,ISBLANK(Actuals!D90)),"",Budget!D90-Actuals!D90)</f>
        <v>-3000</v>
      </c>
      <c r="I74" s="134" t="n">
        <f aca="false">IFERROR(IF(OR(2&gt;$B$3,ISBLANK(Actuals!D90)),"",(Budget!D90-Actuals!D90)/ABS(Budget!D90)),"")</f>
        <v>-1</v>
      </c>
      <c r="J74" s="133" t="n">
        <f aca="false">Budget!E90</f>
        <v>-3000</v>
      </c>
      <c r="K74" s="133" t="n">
        <f aca="false">IF(OR(3&gt;$B$3,ISBLANK(Actuals!E90)),"",Actuals!E90)</f>
        <v>-4246.73</v>
      </c>
      <c r="L74" s="134" t="n">
        <f aca="false">IF(OR(3&gt;$B$3,ISBLANK(Actuals!E90)),"",Budget!E90-Actuals!E90)</f>
        <v>1246.73</v>
      </c>
      <c r="M74" s="134" t="n">
        <f aca="false">IFERROR(IF(OR(3&gt;$B$3,ISBLANK(Actuals!E90)),"",(Budget!E90-Actuals!E90)/ABS(Budget!E90)),"")</f>
        <v>0.415576666666667</v>
      </c>
      <c r="N74" s="133" t="n">
        <f aca="false">Budget!F90</f>
        <v>-3000</v>
      </c>
      <c r="O74" s="133" t="n">
        <f aca="false">IF(OR(4&gt;$B$3,ISBLANK(Actuals!F90)),"",Actuals!F90)</f>
        <v>-3123.87</v>
      </c>
      <c r="P74" s="134" t="n">
        <f aca="false">IF(OR(4&gt;$B$3,ISBLANK(Actuals!F90)),"",Budget!F90-Actuals!F90)</f>
        <v>123.87</v>
      </c>
      <c r="Q74" s="134" t="n">
        <f aca="false">IFERROR(IF(OR(4&gt;$B$3,ISBLANK(Actuals!F90)),"",(Budget!F90-Actuals!F90)/ABS(Budget!F90)),"")</f>
        <v>0.04129</v>
      </c>
      <c r="R74" s="133" t="n">
        <f aca="false">Budget!G90</f>
        <v>-3000</v>
      </c>
      <c r="S74" s="133" t="n">
        <f aca="false">IF(OR(5&gt;$B$3,ISBLANK(Actuals!G90)),"",Actuals!G90)</f>
        <v>-3184.88</v>
      </c>
      <c r="T74" s="134" t="n">
        <f aca="false">IF(OR(5&gt;$B$3,ISBLANK(Actuals!G90)),"",Budget!G90-Actuals!G90)</f>
        <v>184.88</v>
      </c>
      <c r="U74" s="134" t="n">
        <f aca="false">IFERROR(IF(OR(5&gt;$B$3,ISBLANK(Actuals!G90)),"",(Budget!G90-Actuals!G90)/ABS(Budget!G90)),"")</f>
        <v>0.0616266666666667</v>
      </c>
      <c r="V74" s="133" t="n">
        <f aca="false">Budget!H90</f>
        <v>-3000</v>
      </c>
      <c r="W74" s="133" t="n">
        <f aca="false">IF(OR(6&gt;$B$3,ISBLANK(Actuals!H90)),"",Actuals!H90)</f>
        <v>-4015.94</v>
      </c>
      <c r="X74" s="134" t="n">
        <f aca="false">IF(OR(6&gt;$B$3,ISBLANK(Actuals!H90)),"",Budget!H90-Actuals!H90)</f>
        <v>1015.94</v>
      </c>
      <c r="Y74" s="134" t="n">
        <f aca="false">IFERROR(IF(OR(6&gt;$B$3,ISBLANK(Actuals!H90)),"",(Budget!H90-Actuals!H90)/ABS(Budget!H90)),"")</f>
        <v>0.338646666666667</v>
      </c>
      <c r="Z74" s="133" t="n">
        <f aca="false">Budget!I90</f>
        <v>-3060</v>
      </c>
      <c r="AA74" s="133" t="n">
        <f aca="false">IF(OR(7&gt;$B$3,ISBLANK(Actuals!I90)),"",Actuals!I90)</f>
        <v>-759.45</v>
      </c>
      <c r="AB74" s="134" t="n">
        <f aca="false">IF(OR(7&gt;$B$3,ISBLANK(Actuals!I90)),"",Budget!I90-Actuals!I90)</f>
        <v>-2300.55</v>
      </c>
      <c r="AC74" s="134" t="n">
        <f aca="false">IFERROR(IF(OR(7&gt;$B$3,ISBLANK(Actuals!I90)),"",(Budget!I90-Actuals!I90)/ABS(Budget!I90)),"")</f>
        <v>-0.751813725490196</v>
      </c>
      <c r="AD74" s="133" t="n">
        <f aca="false">Budget!J90</f>
        <v>-3060</v>
      </c>
      <c r="AE74" s="133" t="n">
        <f aca="false">IF(OR(8&gt;$B$3,ISBLANK(Actuals!J90)),"",Actuals!J90)</f>
        <v>-6023.52</v>
      </c>
      <c r="AF74" s="134" t="n">
        <f aca="false">IF(OR(8&gt;$B$3,ISBLANK(Actuals!J90)),"",Budget!J90-Actuals!J90)</f>
        <v>2963.52</v>
      </c>
      <c r="AG74" s="134" t="n">
        <f aca="false">IFERROR(IF(OR(8&gt;$B$3,ISBLANK(Actuals!J90)),"",(Budget!J90-Actuals!J90)/ABS(Budget!J90)),"")</f>
        <v>0.968470588235294</v>
      </c>
      <c r="AH74" s="133" t="n">
        <f aca="false">Budget!K90</f>
        <v>-3060</v>
      </c>
      <c r="AI74" s="133" t="str">
        <f aca="false">IF(OR(9&gt;$B$3,ISBLANK(Actuals!K90)),"",Actuals!K90)</f>
        <v/>
      </c>
      <c r="AJ74" s="134" t="str">
        <f aca="false">IF(OR(9&gt;$B$3,ISBLANK(Actuals!K90)),"",Budget!K90-Actuals!K90)</f>
        <v/>
      </c>
      <c r="AK74" s="134" t="str">
        <f aca="false">IFERROR(IF(OR(9&gt;$B$3,ISBLANK(Actuals!K90)),"",(Budget!K90-Actuals!K90)/ABS(Budget!K90)),"")</f>
        <v/>
      </c>
      <c r="AL74" s="133" t="n">
        <f aca="false">Budget!L90</f>
        <v>-3060</v>
      </c>
      <c r="AM74" s="133" t="str">
        <f aca="false">IF(OR(10&gt;$B$3,ISBLANK(Actuals!L90)),"",Actuals!L90)</f>
        <v/>
      </c>
      <c r="AN74" s="134" t="str">
        <f aca="false">IF(OR(10&gt;$B$3,ISBLANK(Actuals!L90)),"",Budget!L90-Actuals!L90)</f>
        <v/>
      </c>
      <c r="AO74" s="134" t="str">
        <f aca="false">IFERROR(IF(OR(10&gt;$B$3,ISBLANK(Actuals!L90)),"",(Budget!L90-Actuals!L90)/ABS(Budget!L90)),"")</f>
        <v/>
      </c>
      <c r="AP74" s="133" t="n">
        <f aca="false">Budget!M90</f>
        <v>-3060</v>
      </c>
      <c r="AQ74" s="133" t="str">
        <f aca="false">IF(OR(11&gt;$B$3,ISBLANK(Actuals!M90)),"",Actuals!M90)</f>
        <v/>
      </c>
      <c r="AR74" s="134" t="str">
        <f aca="false">IF(OR(11&gt;$B$3,ISBLANK(Actuals!M90)),"",Budget!M90-Actuals!M90)</f>
        <v/>
      </c>
      <c r="AS74" s="134" t="str">
        <f aca="false">IFERROR(IF(OR(11&gt;$B$3,ISBLANK(Actuals!M90)),"",(Budget!M90-Actuals!M90)/ABS(Budget!M90)),"")</f>
        <v/>
      </c>
      <c r="AT74" s="133" t="n">
        <f aca="false">Budget!N90</f>
        <v>-3060</v>
      </c>
      <c r="AU74" s="133" t="str">
        <f aca="false">IF(OR(12&gt;$B$3,ISBLANK(Actuals!N90)),"",Actuals!N90)</f>
        <v/>
      </c>
      <c r="AV74" s="134" t="str">
        <f aca="false">IF(OR(12&gt;$B$3,ISBLANK(Actuals!N90)),"",Budget!N90-Actuals!N90)</f>
        <v/>
      </c>
      <c r="AW74" s="134" t="str">
        <f aca="false">IFERROR(IF(OR(12&gt;$B$3,ISBLANK(Actuals!N90)),"",(Budget!N90-Actuals!N90)/ABS(Budget!N90)),"")</f>
        <v/>
      </c>
      <c r="AX74" s="135" t="n">
        <f aca="false">SUMPRODUCT((Actuals!C90:N90&lt;&gt;"")*(Budget!C90:N90))</f>
        <v>-24120</v>
      </c>
      <c r="AY74" s="135" t="n">
        <f aca="false">SUM(Actuals!C90:N90)</f>
        <v>-21601.24</v>
      </c>
      <c r="AZ74" s="136" t="n">
        <f aca="false">AX74-AY74</f>
        <v>-2518.76</v>
      </c>
    </row>
    <row r="75" customFormat="false" ht="15" hidden="false" customHeight="true" outlineLevel="0" collapsed="false">
      <c r="A75" s="132" t="s">
        <v>123</v>
      </c>
      <c r="B75" s="133" t="n">
        <f aca="false">Budget!C91</f>
        <v>0</v>
      </c>
      <c r="C75" s="133" t="n">
        <f aca="false">IF(OR(1&gt;$B$3,ISBLANK(Actuals!C91)),"",Actuals!C91)</f>
        <v>0</v>
      </c>
      <c r="D75" s="134" t="n">
        <f aca="false">IF(OR(1&gt;$B$3,ISBLANK(Actuals!C91)),"",Budget!C91-Actuals!C91)</f>
        <v>0</v>
      </c>
      <c r="E75" s="134" t="str">
        <f aca="false">IFERROR(IF(OR(1&gt;$B$3,ISBLANK(Actuals!C91)),"",(Budget!C91-Actuals!C91)/ABS(Budget!C91)),"")</f>
        <v/>
      </c>
      <c r="F75" s="133" t="n">
        <f aca="false">Budget!D91</f>
        <v>0</v>
      </c>
      <c r="G75" s="133" t="n">
        <f aca="false">IF(OR(2&gt;$B$3,ISBLANK(Actuals!D91)),"",Actuals!D91)</f>
        <v>0</v>
      </c>
      <c r="H75" s="134" t="n">
        <f aca="false">IF(OR(2&gt;$B$3,ISBLANK(Actuals!D91)),"",Budget!D91-Actuals!D91)</f>
        <v>0</v>
      </c>
      <c r="I75" s="134" t="str">
        <f aca="false">IFERROR(IF(OR(2&gt;$B$3,ISBLANK(Actuals!D91)),"",(Budget!D91-Actuals!D91)/ABS(Budget!D91)),"")</f>
        <v/>
      </c>
      <c r="J75" s="133" t="n">
        <f aca="false">Budget!E91</f>
        <v>0</v>
      </c>
      <c r="K75" s="133" t="n">
        <f aca="false">IF(OR(3&gt;$B$3,ISBLANK(Actuals!E91)),"",Actuals!E91)</f>
        <v>-870</v>
      </c>
      <c r="L75" s="134" t="n">
        <f aca="false">IF(OR(3&gt;$B$3,ISBLANK(Actuals!E91)),"",Budget!E91-Actuals!E91)</f>
        <v>870</v>
      </c>
      <c r="M75" s="134" t="str">
        <f aca="false">IFERROR(IF(OR(3&gt;$B$3,ISBLANK(Actuals!E91)),"",(Budget!E91-Actuals!E91)/ABS(Budget!E91)),"")</f>
        <v/>
      </c>
      <c r="N75" s="133" t="n">
        <f aca="false">Budget!F91</f>
        <v>0</v>
      </c>
      <c r="O75" s="133" t="n">
        <f aca="false">IF(OR(4&gt;$B$3,ISBLANK(Actuals!F91)),"",Actuals!F91)</f>
        <v>0</v>
      </c>
      <c r="P75" s="134" t="n">
        <f aca="false">IF(OR(4&gt;$B$3,ISBLANK(Actuals!F91)),"",Budget!F91-Actuals!F91)</f>
        <v>0</v>
      </c>
      <c r="Q75" s="134" t="str">
        <f aca="false">IFERROR(IF(OR(4&gt;$B$3,ISBLANK(Actuals!F91)),"",(Budget!F91-Actuals!F91)/ABS(Budget!F91)),"")</f>
        <v/>
      </c>
      <c r="R75" s="133" t="n">
        <f aca="false">Budget!G91</f>
        <v>0</v>
      </c>
      <c r="S75" s="133" t="n">
        <f aca="false">IF(OR(5&gt;$B$3,ISBLANK(Actuals!G91)),"",Actuals!G91)</f>
        <v>0</v>
      </c>
      <c r="T75" s="134" t="n">
        <f aca="false">IF(OR(5&gt;$B$3,ISBLANK(Actuals!G91)),"",Budget!G91-Actuals!G91)</f>
        <v>0</v>
      </c>
      <c r="U75" s="134" t="str">
        <f aca="false">IFERROR(IF(OR(5&gt;$B$3,ISBLANK(Actuals!G91)),"",(Budget!G91-Actuals!G91)/ABS(Budget!G91)),"")</f>
        <v/>
      </c>
      <c r="V75" s="133" t="n">
        <f aca="false">Budget!H91</f>
        <v>0</v>
      </c>
      <c r="W75" s="133" t="n">
        <f aca="false">IF(OR(6&gt;$B$3,ISBLANK(Actuals!H91)),"",Actuals!H91)</f>
        <v>0</v>
      </c>
      <c r="X75" s="134" t="n">
        <f aca="false">IF(OR(6&gt;$B$3,ISBLANK(Actuals!H91)),"",Budget!H91-Actuals!H91)</f>
        <v>0</v>
      </c>
      <c r="Y75" s="134" t="str">
        <f aca="false">IFERROR(IF(OR(6&gt;$B$3,ISBLANK(Actuals!H91)),"",(Budget!H91-Actuals!H91)/ABS(Budget!H91)),"")</f>
        <v/>
      </c>
      <c r="Z75" s="133" t="n">
        <f aca="false">Budget!I91</f>
        <v>0</v>
      </c>
      <c r="AA75" s="133" t="n">
        <f aca="false">IF(OR(7&gt;$B$3,ISBLANK(Actuals!I91)),"",Actuals!I91)</f>
        <v>0</v>
      </c>
      <c r="AB75" s="134" t="n">
        <f aca="false">IF(OR(7&gt;$B$3,ISBLANK(Actuals!I91)),"",Budget!I91-Actuals!I91)</f>
        <v>0</v>
      </c>
      <c r="AC75" s="134" t="str">
        <f aca="false">IFERROR(IF(OR(7&gt;$B$3,ISBLANK(Actuals!I91)),"",(Budget!I91-Actuals!I91)/ABS(Budget!I91)),"")</f>
        <v/>
      </c>
      <c r="AD75" s="133" t="n">
        <f aca="false">Budget!J91</f>
        <v>0</v>
      </c>
      <c r="AE75" s="133" t="n">
        <f aca="false">IF(OR(8&gt;$B$3,ISBLANK(Actuals!J91)),"",Actuals!J91)</f>
        <v>0</v>
      </c>
      <c r="AF75" s="134" t="n">
        <f aca="false">IF(OR(8&gt;$B$3,ISBLANK(Actuals!J91)),"",Budget!J91-Actuals!J91)</f>
        <v>0</v>
      </c>
      <c r="AG75" s="134" t="str">
        <f aca="false">IFERROR(IF(OR(8&gt;$B$3,ISBLANK(Actuals!J91)),"",(Budget!J91-Actuals!J91)/ABS(Budget!J91)),"")</f>
        <v/>
      </c>
      <c r="AH75" s="133" t="n">
        <f aca="false">Budget!K91</f>
        <v>0</v>
      </c>
      <c r="AI75" s="133" t="str">
        <f aca="false">IF(OR(9&gt;$B$3,ISBLANK(Actuals!K91)),"",Actuals!K91)</f>
        <v/>
      </c>
      <c r="AJ75" s="134" t="str">
        <f aca="false">IF(OR(9&gt;$B$3,ISBLANK(Actuals!K91)),"",Budget!K91-Actuals!K91)</f>
        <v/>
      </c>
      <c r="AK75" s="134" t="str">
        <f aca="false">IFERROR(IF(OR(9&gt;$B$3,ISBLANK(Actuals!K91)),"",(Budget!K91-Actuals!K91)/ABS(Budget!K91)),"")</f>
        <v/>
      </c>
      <c r="AL75" s="133" t="n">
        <f aca="false">Budget!L91</f>
        <v>0</v>
      </c>
      <c r="AM75" s="133" t="str">
        <f aca="false">IF(OR(10&gt;$B$3,ISBLANK(Actuals!L91)),"",Actuals!L91)</f>
        <v/>
      </c>
      <c r="AN75" s="134" t="str">
        <f aca="false">IF(OR(10&gt;$B$3,ISBLANK(Actuals!L91)),"",Budget!L91-Actuals!L91)</f>
        <v/>
      </c>
      <c r="AO75" s="134" t="str">
        <f aca="false">IFERROR(IF(OR(10&gt;$B$3,ISBLANK(Actuals!L91)),"",(Budget!L91-Actuals!L91)/ABS(Budget!L91)),"")</f>
        <v/>
      </c>
      <c r="AP75" s="133" t="n">
        <f aca="false">Budget!M91</f>
        <v>0</v>
      </c>
      <c r="AQ75" s="133" t="str">
        <f aca="false">IF(OR(11&gt;$B$3,ISBLANK(Actuals!M91)),"",Actuals!M91)</f>
        <v/>
      </c>
      <c r="AR75" s="134" t="str">
        <f aca="false">IF(OR(11&gt;$B$3,ISBLANK(Actuals!M91)),"",Budget!M91-Actuals!M91)</f>
        <v/>
      </c>
      <c r="AS75" s="134" t="str">
        <f aca="false">IFERROR(IF(OR(11&gt;$B$3,ISBLANK(Actuals!M91)),"",(Budget!M91-Actuals!M91)/ABS(Budget!M91)),"")</f>
        <v/>
      </c>
      <c r="AT75" s="133" t="n">
        <f aca="false">Budget!N91</f>
        <v>0</v>
      </c>
      <c r="AU75" s="133" t="str">
        <f aca="false">IF(OR(12&gt;$B$3,ISBLANK(Actuals!N91)),"",Actuals!N91)</f>
        <v/>
      </c>
      <c r="AV75" s="134" t="str">
        <f aca="false">IF(OR(12&gt;$B$3,ISBLANK(Actuals!N91)),"",Budget!N91-Actuals!N91)</f>
        <v/>
      </c>
      <c r="AW75" s="134" t="str">
        <f aca="false">IFERROR(IF(OR(12&gt;$B$3,ISBLANK(Actuals!N91)),"",(Budget!N91-Actuals!N91)/ABS(Budget!N91)),"")</f>
        <v/>
      </c>
      <c r="AX75" s="135" t="n">
        <f aca="false">SUMPRODUCT((Actuals!C91:N91&lt;&gt;"")*(Budget!C91:N91))</f>
        <v>0</v>
      </c>
      <c r="AY75" s="135" t="n">
        <f aca="false">SUM(Actuals!C91:N91)</f>
        <v>-870</v>
      </c>
      <c r="AZ75" s="136" t="n">
        <f aca="false">AX75-AY75</f>
        <v>870</v>
      </c>
    </row>
    <row r="76" customFormat="false" ht="15" hidden="false" customHeight="true" outlineLevel="0" collapsed="false">
      <c r="A76" s="132" t="s">
        <v>124</v>
      </c>
      <c r="B76" s="133" t="n">
        <f aca="false">Budget!C92</f>
        <v>0</v>
      </c>
      <c r="C76" s="133" t="n">
        <f aca="false">IF(OR(1&gt;$B$3,ISBLANK(Actuals!C92)),"",Actuals!C92)</f>
        <v>-245</v>
      </c>
      <c r="D76" s="134" t="n">
        <f aca="false">IF(OR(1&gt;$B$3,ISBLANK(Actuals!C92)),"",Budget!C92-Actuals!C92)</f>
        <v>245</v>
      </c>
      <c r="E76" s="134" t="str">
        <f aca="false">IFERROR(IF(OR(1&gt;$B$3,ISBLANK(Actuals!C92)),"",(Budget!C92-Actuals!C92)/ABS(Budget!C92)),"")</f>
        <v/>
      </c>
      <c r="F76" s="133" t="n">
        <f aca="false">Budget!D92</f>
        <v>0</v>
      </c>
      <c r="G76" s="133" t="n">
        <f aca="false">IF(OR(2&gt;$B$3,ISBLANK(Actuals!D92)),"",Actuals!D92)</f>
        <v>-245</v>
      </c>
      <c r="H76" s="134" t="n">
        <f aca="false">IF(OR(2&gt;$B$3,ISBLANK(Actuals!D92)),"",Budget!D92-Actuals!D92)</f>
        <v>245</v>
      </c>
      <c r="I76" s="134" t="str">
        <f aca="false">IFERROR(IF(OR(2&gt;$B$3,ISBLANK(Actuals!D92)),"",(Budget!D92-Actuals!D92)/ABS(Budget!D92)),"")</f>
        <v/>
      </c>
      <c r="J76" s="133" t="n">
        <f aca="false">Budget!E92</f>
        <v>0</v>
      </c>
      <c r="K76" s="133" t="n">
        <f aca="false">IF(OR(3&gt;$B$3,ISBLANK(Actuals!E92)),"",Actuals!E92)</f>
        <v>-245</v>
      </c>
      <c r="L76" s="134" t="n">
        <f aca="false">IF(OR(3&gt;$B$3,ISBLANK(Actuals!E92)),"",Budget!E92-Actuals!E92)</f>
        <v>245</v>
      </c>
      <c r="M76" s="134" t="str">
        <f aca="false">IFERROR(IF(OR(3&gt;$B$3,ISBLANK(Actuals!E92)),"",(Budget!E92-Actuals!E92)/ABS(Budget!E92)),"")</f>
        <v/>
      </c>
      <c r="N76" s="133" t="n">
        <f aca="false">Budget!F92</f>
        <v>0</v>
      </c>
      <c r="O76" s="133" t="n">
        <f aca="false">IF(OR(4&gt;$B$3,ISBLANK(Actuals!F92)),"",Actuals!F92)</f>
        <v>-245</v>
      </c>
      <c r="P76" s="134" t="n">
        <f aca="false">IF(OR(4&gt;$B$3,ISBLANK(Actuals!F92)),"",Budget!F92-Actuals!F92)</f>
        <v>245</v>
      </c>
      <c r="Q76" s="134" t="str">
        <f aca="false">IFERROR(IF(OR(4&gt;$B$3,ISBLANK(Actuals!F92)),"",(Budget!F92-Actuals!F92)/ABS(Budget!F92)),"")</f>
        <v/>
      </c>
      <c r="R76" s="133" t="n">
        <f aca="false">Budget!G92</f>
        <v>0</v>
      </c>
      <c r="S76" s="133" t="n">
        <f aca="false">IF(OR(5&gt;$B$3,ISBLANK(Actuals!G92)),"",Actuals!G92)</f>
        <v>-245</v>
      </c>
      <c r="T76" s="134" t="n">
        <f aca="false">IF(OR(5&gt;$B$3,ISBLANK(Actuals!G92)),"",Budget!G92-Actuals!G92)</f>
        <v>245</v>
      </c>
      <c r="U76" s="134" t="str">
        <f aca="false">IFERROR(IF(OR(5&gt;$B$3,ISBLANK(Actuals!G92)),"",(Budget!G92-Actuals!G92)/ABS(Budget!G92)),"")</f>
        <v/>
      </c>
      <c r="V76" s="133" t="n">
        <f aca="false">Budget!H92</f>
        <v>0</v>
      </c>
      <c r="W76" s="133" t="n">
        <f aca="false">IF(OR(6&gt;$B$3,ISBLANK(Actuals!H92)),"",Actuals!H92)</f>
        <v>-245</v>
      </c>
      <c r="X76" s="134" t="n">
        <f aca="false">IF(OR(6&gt;$B$3,ISBLANK(Actuals!H92)),"",Budget!H92-Actuals!H92)</f>
        <v>245</v>
      </c>
      <c r="Y76" s="134" t="str">
        <f aca="false">IFERROR(IF(OR(6&gt;$B$3,ISBLANK(Actuals!H92)),"",(Budget!H92-Actuals!H92)/ABS(Budget!H92)),"")</f>
        <v/>
      </c>
      <c r="Z76" s="133" t="n">
        <f aca="false">Budget!I92</f>
        <v>0</v>
      </c>
      <c r="AA76" s="133" t="n">
        <f aca="false">IF(OR(7&gt;$B$3,ISBLANK(Actuals!I92)),"",Actuals!I92)</f>
        <v>-245</v>
      </c>
      <c r="AB76" s="134" t="n">
        <f aca="false">IF(OR(7&gt;$B$3,ISBLANK(Actuals!I92)),"",Budget!I92-Actuals!I92)</f>
        <v>245</v>
      </c>
      <c r="AC76" s="134" t="str">
        <f aca="false">IFERROR(IF(OR(7&gt;$B$3,ISBLANK(Actuals!I92)),"",(Budget!I92-Actuals!I92)/ABS(Budget!I92)),"")</f>
        <v/>
      </c>
      <c r="AD76" s="133" t="n">
        <f aca="false">Budget!J92</f>
        <v>0</v>
      </c>
      <c r="AE76" s="133" t="n">
        <f aca="false">IF(OR(8&gt;$B$3,ISBLANK(Actuals!J92)),"",Actuals!J92)</f>
        <v>0</v>
      </c>
      <c r="AF76" s="134" t="n">
        <f aca="false">IF(OR(8&gt;$B$3,ISBLANK(Actuals!J92)),"",Budget!J92-Actuals!J92)</f>
        <v>0</v>
      </c>
      <c r="AG76" s="134" t="str">
        <f aca="false">IFERROR(IF(OR(8&gt;$B$3,ISBLANK(Actuals!J92)),"",(Budget!J92-Actuals!J92)/ABS(Budget!J92)),"")</f>
        <v/>
      </c>
      <c r="AH76" s="133" t="n">
        <f aca="false">Budget!K92</f>
        <v>0</v>
      </c>
      <c r="AI76" s="133" t="str">
        <f aca="false">IF(OR(9&gt;$B$3,ISBLANK(Actuals!K92)),"",Actuals!K92)</f>
        <v/>
      </c>
      <c r="AJ76" s="134" t="str">
        <f aca="false">IF(OR(9&gt;$B$3,ISBLANK(Actuals!K92)),"",Budget!K92-Actuals!K92)</f>
        <v/>
      </c>
      <c r="AK76" s="134" t="str">
        <f aca="false">IFERROR(IF(OR(9&gt;$B$3,ISBLANK(Actuals!K92)),"",(Budget!K92-Actuals!K92)/ABS(Budget!K92)),"")</f>
        <v/>
      </c>
      <c r="AL76" s="133" t="n">
        <f aca="false">Budget!L92</f>
        <v>0</v>
      </c>
      <c r="AM76" s="133" t="str">
        <f aca="false">IF(OR(10&gt;$B$3,ISBLANK(Actuals!L92)),"",Actuals!L92)</f>
        <v/>
      </c>
      <c r="AN76" s="134" t="str">
        <f aca="false">IF(OR(10&gt;$B$3,ISBLANK(Actuals!L92)),"",Budget!L92-Actuals!L92)</f>
        <v/>
      </c>
      <c r="AO76" s="134" t="str">
        <f aca="false">IFERROR(IF(OR(10&gt;$B$3,ISBLANK(Actuals!L92)),"",(Budget!L92-Actuals!L92)/ABS(Budget!L92)),"")</f>
        <v/>
      </c>
      <c r="AP76" s="133" t="n">
        <f aca="false">Budget!M92</f>
        <v>0</v>
      </c>
      <c r="AQ76" s="133" t="str">
        <f aca="false">IF(OR(11&gt;$B$3,ISBLANK(Actuals!M92)),"",Actuals!M92)</f>
        <v/>
      </c>
      <c r="AR76" s="134" t="str">
        <f aca="false">IF(OR(11&gt;$B$3,ISBLANK(Actuals!M92)),"",Budget!M92-Actuals!M92)</f>
        <v/>
      </c>
      <c r="AS76" s="134" t="str">
        <f aca="false">IFERROR(IF(OR(11&gt;$B$3,ISBLANK(Actuals!M92)),"",(Budget!M92-Actuals!M92)/ABS(Budget!M92)),"")</f>
        <v/>
      </c>
      <c r="AT76" s="133" t="n">
        <f aca="false">Budget!N92</f>
        <v>0</v>
      </c>
      <c r="AU76" s="133" t="str">
        <f aca="false">IF(OR(12&gt;$B$3,ISBLANK(Actuals!N92)),"",Actuals!N92)</f>
        <v/>
      </c>
      <c r="AV76" s="134" t="str">
        <f aca="false">IF(OR(12&gt;$B$3,ISBLANK(Actuals!N92)),"",Budget!N92-Actuals!N92)</f>
        <v/>
      </c>
      <c r="AW76" s="134" t="str">
        <f aca="false">IFERROR(IF(OR(12&gt;$B$3,ISBLANK(Actuals!N92)),"",(Budget!N92-Actuals!N92)/ABS(Budget!N92)),"")</f>
        <v/>
      </c>
      <c r="AX76" s="135" t="n">
        <f aca="false">SUMPRODUCT((Actuals!C92:N92&lt;&gt;"")*(Budget!C92:N92))</f>
        <v>0</v>
      </c>
      <c r="AY76" s="135" t="n">
        <f aca="false">SUM(Actuals!C92:N92)</f>
        <v>-1715</v>
      </c>
      <c r="AZ76" s="136" t="n">
        <f aca="false">AX76-AY76</f>
        <v>1715</v>
      </c>
    </row>
    <row r="77" customFormat="false" ht="15" hidden="false" customHeight="true" outlineLevel="0" collapsed="false">
      <c r="A77" s="132" t="s">
        <v>125</v>
      </c>
      <c r="B77" s="133" t="n">
        <f aca="false">Budget!C93</f>
        <v>-3000</v>
      </c>
      <c r="C77" s="133" t="n">
        <f aca="false">IF(OR(1&gt;$B$3,ISBLANK(Actuals!C93)),"",Actuals!C93)</f>
        <v>-986.57</v>
      </c>
      <c r="D77" s="134" t="n">
        <f aca="false">IF(OR(1&gt;$B$3,ISBLANK(Actuals!C93)),"",Budget!C93-Actuals!C93)</f>
        <v>-2013.43</v>
      </c>
      <c r="E77" s="134" t="n">
        <f aca="false">IFERROR(IF(OR(1&gt;$B$3,ISBLANK(Actuals!C93)),"",(Budget!C93-Actuals!C93)/ABS(Budget!C93)),"")</f>
        <v>-0.671143333333333</v>
      </c>
      <c r="F77" s="133" t="n">
        <f aca="false">Budget!D93</f>
        <v>-3000</v>
      </c>
      <c r="G77" s="133" t="n">
        <f aca="false">IF(OR(2&gt;$B$3,ISBLANK(Actuals!D93)),"",Actuals!D93)</f>
        <v>-1254.61</v>
      </c>
      <c r="H77" s="134" t="n">
        <f aca="false">IF(OR(2&gt;$B$3,ISBLANK(Actuals!D93)),"",Budget!D93-Actuals!D93)</f>
        <v>-1745.39</v>
      </c>
      <c r="I77" s="134" t="n">
        <f aca="false">IFERROR(IF(OR(2&gt;$B$3,ISBLANK(Actuals!D93)),"",(Budget!D93-Actuals!D93)/ABS(Budget!D93)),"")</f>
        <v>-0.581796666666667</v>
      </c>
      <c r="J77" s="133" t="n">
        <f aca="false">Budget!E93</f>
        <v>-3000</v>
      </c>
      <c r="K77" s="133" t="n">
        <f aca="false">IF(OR(3&gt;$B$3,ISBLANK(Actuals!E93)),"",Actuals!E93)</f>
        <v>-1297.31</v>
      </c>
      <c r="L77" s="134" t="n">
        <f aca="false">IF(OR(3&gt;$B$3,ISBLANK(Actuals!E93)),"",Budget!E93-Actuals!E93)</f>
        <v>-1702.69</v>
      </c>
      <c r="M77" s="134" t="n">
        <f aca="false">IFERROR(IF(OR(3&gt;$B$3,ISBLANK(Actuals!E93)),"",(Budget!E93-Actuals!E93)/ABS(Budget!E93)),"")</f>
        <v>-0.567563333333333</v>
      </c>
      <c r="N77" s="133" t="n">
        <f aca="false">Budget!F93</f>
        <v>-3000</v>
      </c>
      <c r="O77" s="133" t="n">
        <f aca="false">IF(OR(4&gt;$B$3,ISBLANK(Actuals!F93)),"",Actuals!F93)</f>
        <v>-48.78</v>
      </c>
      <c r="P77" s="134" t="n">
        <f aca="false">IF(OR(4&gt;$B$3,ISBLANK(Actuals!F93)),"",Budget!F93-Actuals!F93)</f>
        <v>-2951.22</v>
      </c>
      <c r="Q77" s="134" t="n">
        <f aca="false">IFERROR(IF(OR(4&gt;$B$3,ISBLANK(Actuals!F93)),"",(Budget!F93-Actuals!F93)/ABS(Budget!F93)),"")</f>
        <v>-0.98374</v>
      </c>
      <c r="R77" s="133" t="n">
        <f aca="false">Budget!G93</f>
        <v>-3000</v>
      </c>
      <c r="S77" s="133" t="n">
        <f aca="false">IF(OR(5&gt;$B$3,ISBLANK(Actuals!G93)),"",Actuals!G93)</f>
        <v>-4199.86</v>
      </c>
      <c r="T77" s="134" t="n">
        <f aca="false">IF(OR(5&gt;$B$3,ISBLANK(Actuals!G93)),"",Budget!G93-Actuals!G93)</f>
        <v>1199.86</v>
      </c>
      <c r="U77" s="134" t="n">
        <f aca="false">IFERROR(IF(OR(5&gt;$B$3,ISBLANK(Actuals!G93)),"",(Budget!G93-Actuals!G93)/ABS(Budget!G93)),"")</f>
        <v>0.399953333333333</v>
      </c>
      <c r="V77" s="133" t="n">
        <f aca="false">Budget!H93</f>
        <v>-3000</v>
      </c>
      <c r="W77" s="133" t="n">
        <f aca="false">IF(OR(6&gt;$B$3,ISBLANK(Actuals!H93)),"",Actuals!H93)</f>
        <v>-3433.39</v>
      </c>
      <c r="X77" s="134" t="n">
        <f aca="false">IF(OR(6&gt;$B$3,ISBLANK(Actuals!H93)),"",Budget!H93-Actuals!H93)</f>
        <v>433.39</v>
      </c>
      <c r="Y77" s="134" t="n">
        <f aca="false">IFERROR(IF(OR(6&gt;$B$3,ISBLANK(Actuals!H93)),"",(Budget!H93-Actuals!H93)/ABS(Budget!H93)),"")</f>
        <v>0.144463333333333</v>
      </c>
      <c r="Z77" s="133" t="n">
        <f aca="false">Budget!I93</f>
        <v>-3060</v>
      </c>
      <c r="AA77" s="133" t="n">
        <f aca="false">IF(OR(7&gt;$B$3,ISBLANK(Actuals!I93)),"",Actuals!I93)</f>
        <v>0</v>
      </c>
      <c r="AB77" s="134" t="n">
        <f aca="false">IF(OR(7&gt;$B$3,ISBLANK(Actuals!I93)),"",Budget!I93-Actuals!I93)</f>
        <v>-3060</v>
      </c>
      <c r="AC77" s="134" t="n">
        <f aca="false">IFERROR(IF(OR(7&gt;$B$3,ISBLANK(Actuals!I93)),"",(Budget!I93-Actuals!I93)/ABS(Budget!I93)),"")</f>
        <v>-1</v>
      </c>
      <c r="AD77" s="133" t="n">
        <f aca="false">Budget!J93</f>
        <v>-3060</v>
      </c>
      <c r="AE77" s="133" t="n">
        <f aca="false">IF(OR(8&gt;$B$3,ISBLANK(Actuals!J93)),"",Actuals!J93)</f>
        <v>-9.99</v>
      </c>
      <c r="AF77" s="134" t="n">
        <f aca="false">IF(OR(8&gt;$B$3,ISBLANK(Actuals!J93)),"",Budget!J93-Actuals!J93)</f>
        <v>-3050.01</v>
      </c>
      <c r="AG77" s="134" t="n">
        <f aca="false">IFERROR(IF(OR(8&gt;$B$3,ISBLANK(Actuals!J93)),"",(Budget!J93-Actuals!J93)/ABS(Budget!J93)),"")</f>
        <v>-0.996735294117647</v>
      </c>
      <c r="AH77" s="133" t="n">
        <f aca="false">Budget!K93</f>
        <v>-3060</v>
      </c>
      <c r="AI77" s="133" t="str">
        <f aca="false">IF(OR(9&gt;$B$3,ISBLANK(Actuals!K93)),"",Actuals!K93)</f>
        <v/>
      </c>
      <c r="AJ77" s="134" t="str">
        <f aca="false">IF(OR(9&gt;$B$3,ISBLANK(Actuals!K93)),"",Budget!K93-Actuals!K93)</f>
        <v/>
      </c>
      <c r="AK77" s="134" t="str">
        <f aca="false">IFERROR(IF(OR(9&gt;$B$3,ISBLANK(Actuals!K93)),"",(Budget!K93-Actuals!K93)/ABS(Budget!K93)),"")</f>
        <v/>
      </c>
      <c r="AL77" s="133" t="n">
        <f aca="false">Budget!L93</f>
        <v>-3060</v>
      </c>
      <c r="AM77" s="133" t="str">
        <f aca="false">IF(OR(10&gt;$B$3,ISBLANK(Actuals!L93)),"",Actuals!L93)</f>
        <v/>
      </c>
      <c r="AN77" s="134" t="str">
        <f aca="false">IF(OR(10&gt;$B$3,ISBLANK(Actuals!L93)),"",Budget!L93-Actuals!L93)</f>
        <v/>
      </c>
      <c r="AO77" s="134" t="str">
        <f aca="false">IFERROR(IF(OR(10&gt;$B$3,ISBLANK(Actuals!L93)),"",(Budget!L93-Actuals!L93)/ABS(Budget!L93)),"")</f>
        <v/>
      </c>
      <c r="AP77" s="133" t="n">
        <f aca="false">Budget!M93</f>
        <v>-3060</v>
      </c>
      <c r="AQ77" s="133" t="str">
        <f aca="false">IF(OR(11&gt;$B$3,ISBLANK(Actuals!M93)),"",Actuals!M93)</f>
        <v/>
      </c>
      <c r="AR77" s="134" t="str">
        <f aca="false">IF(OR(11&gt;$B$3,ISBLANK(Actuals!M93)),"",Budget!M93-Actuals!M93)</f>
        <v/>
      </c>
      <c r="AS77" s="134" t="str">
        <f aca="false">IFERROR(IF(OR(11&gt;$B$3,ISBLANK(Actuals!M93)),"",(Budget!M93-Actuals!M93)/ABS(Budget!M93)),"")</f>
        <v/>
      </c>
      <c r="AT77" s="133" t="n">
        <f aca="false">Budget!N93</f>
        <v>-3060</v>
      </c>
      <c r="AU77" s="133" t="str">
        <f aca="false">IF(OR(12&gt;$B$3,ISBLANK(Actuals!N93)),"",Actuals!N93)</f>
        <v/>
      </c>
      <c r="AV77" s="134" t="str">
        <f aca="false">IF(OR(12&gt;$B$3,ISBLANK(Actuals!N93)),"",Budget!N93-Actuals!N93)</f>
        <v/>
      </c>
      <c r="AW77" s="134" t="str">
        <f aca="false">IFERROR(IF(OR(12&gt;$B$3,ISBLANK(Actuals!N93)),"",(Budget!N93-Actuals!N93)/ABS(Budget!N93)),"")</f>
        <v/>
      </c>
      <c r="AX77" s="135" t="n">
        <f aca="false">SUMPRODUCT((Actuals!C93:N93&lt;&gt;"")*(Budget!C93:N93))</f>
        <v>-24120</v>
      </c>
      <c r="AY77" s="135" t="n">
        <f aca="false">SUM(Actuals!C93:N93)</f>
        <v>-11230.51</v>
      </c>
      <c r="AZ77" s="136" t="n">
        <f aca="false">AX77-AY77</f>
        <v>-12889.49</v>
      </c>
    </row>
    <row r="78" customFormat="false" ht="15" hidden="false" customHeight="true" outlineLevel="0" collapsed="false">
      <c r="A78" s="132" t="s">
        <v>126</v>
      </c>
      <c r="B78" s="133" t="n">
        <f aca="false">Budget!C94</f>
        <v>-833.33</v>
      </c>
      <c r="C78" s="133" t="n">
        <f aca="false">IF(OR(1&gt;$B$3,ISBLANK(Actuals!C94)),"",Actuals!C94)</f>
        <v>-588.66</v>
      </c>
      <c r="D78" s="134" t="n">
        <f aca="false">IF(OR(1&gt;$B$3,ISBLANK(Actuals!C94)),"",Budget!C94-Actuals!C94)</f>
        <v>-244.67</v>
      </c>
      <c r="E78" s="134" t="n">
        <f aca="false">IFERROR(IF(OR(1&gt;$B$3,ISBLANK(Actuals!C94)),"",(Budget!C94-Actuals!C94)/ABS(Budget!C94)),"")</f>
        <v>-0.293605174420698</v>
      </c>
      <c r="F78" s="133" t="n">
        <f aca="false">Budget!D94</f>
        <v>-833.33</v>
      </c>
      <c r="G78" s="133" t="n">
        <f aca="false">IF(OR(2&gt;$B$3,ISBLANK(Actuals!D94)),"",Actuals!D94)</f>
        <v>-22.94</v>
      </c>
      <c r="H78" s="134" t="n">
        <f aca="false">IF(OR(2&gt;$B$3,ISBLANK(Actuals!D94)),"",Budget!D94-Actuals!D94)</f>
        <v>-810.39</v>
      </c>
      <c r="I78" s="134" t="n">
        <f aca="false">IFERROR(IF(OR(2&gt;$B$3,ISBLANK(Actuals!D94)),"",(Budget!D94-Actuals!D94)/ABS(Budget!D94)),"")</f>
        <v>-0.97247188988756</v>
      </c>
      <c r="J78" s="133" t="n">
        <f aca="false">Budget!E94</f>
        <v>-833.33</v>
      </c>
      <c r="K78" s="133" t="n">
        <f aca="false">IF(OR(3&gt;$B$3,ISBLANK(Actuals!E94)),"",Actuals!E94)</f>
        <v>-487.3</v>
      </c>
      <c r="L78" s="134" t="n">
        <f aca="false">IF(OR(3&gt;$B$3,ISBLANK(Actuals!E94)),"",Budget!E94-Actuals!E94)</f>
        <v>-346.03</v>
      </c>
      <c r="M78" s="134" t="n">
        <f aca="false">IFERROR(IF(OR(3&gt;$B$3,ISBLANK(Actuals!E94)),"",(Budget!E94-Actuals!E94)/ABS(Budget!E94)),"")</f>
        <v>-0.415237660950644</v>
      </c>
      <c r="N78" s="133" t="n">
        <f aca="false">Budget!F94</f>
        <v>-833.33</v>
      </c>
      <c r="O78" s="133" t="n">
        <f aca="false">IF(OR(4&gt;$B$3,ISBLANK(Actuals!F94)),"",Actuals!F94)</f>
        <v>-399.98</v>
      </c>
      <c r="P78" s="134" t="n">
        <f aca="false">IF(OR(4&gt;$B$3,ISBLANK(Actuals!F94)),"",Budget!F94-Actuals!F94)</f>
        <v>-433.35</v>
      </c>
      <c r="Q78" s="134" t="n">
        <f aca="false">IFERROR(IF(OR(4&gt;$B$3,ISBLANK(Actuals!F94)),"",(Budget!F94-Actuals!F94)/ABS(Budget!F94)),"")</f>
        <v>-0.52002208008832</v>
      </c>
      <c r="R78" s="133" t="n">
        <f aca="false">Budget!G94</f>
        <v>-833.33</v>
      </c>
      <c r="S78" s="133" t="n">
        <f aca="false">IF(OR(5&gt;$B$3,ISBLANK(Actuals!G94)),"",Actuals!G94)</f>
        <v>-216.15</v>
      </c>
      <c r="T78" s="134" t="n">
        <f aca="false">IF(OR(5&gt;$B$3,ISBLANK(Actuals!G94)),"",Budget!G94-Actuals!G94)</f>
        <v>-617.18</v>
      </c>
      <c r="U78" s="134" t="n">
        <f aca="false">IFERROR(IF(OR(5&gt;$B$3,ISBLANK(Actuals!G94)),"",(Budget!G94-Actuals!G94)/ABS(Budget!G94)),"")</f>
        <v>-0.74061896247585</v>
      </c>
      <c r="V78" s="133" t="n">
        <f aca="false">Budget!H94</f>
        <v>-833.33</v>
      </c>
      <c r="W78" s="133" t="n">
        <f aca="false">IF(OR(6&gt;$B$3,ISBLANK(Actuals!H94)),"",Actuals!H94)</f>
        <v>-936.05</v>
      </c>
      <c r="X78" s="134" t="n">
        <f aca="false">IF(OR(6&gt;$B$3,ISBLANK(Actuals!H94)),"",Budget!H94-Actuals!H94)</f>
        <v>102.72</v>
      </c>
      <c r="Y78" s="134" t="n">
        <f aca="false">IFERROR(IF(OR(6&gt;$B$3,ISBLANK(Actuals!H94)),"",(Budget!H94-Actuals!H94)/ABS(Budget!H94)),"")</f>
        <v>0.123264493057972</v>
      </c>
      <c r="Z78" s="133" t="n">
        <f aca="false">Budget!I94</f>
        <v>-850</v>
      </c>
      <c r="AA78" s="133" t="n">
        <f aca="false">IF(OR(7&gt;$B$3,ISBLANK(Actuals!I94)),"",Actuals!I94)</f>
        <v>-9.99</v>
      </c>
      <c r="AB78" s="134" t="n">
        <f aca="false">IF(OR(7&gt;$B$3,ISBLANK(Actuals!I94)),"",Budget!I94-Actuals!I94)</f>
        <v>-840.01</v>
      </c>
      <c r="AC78" s="134" t="n">
        <f aca="false">IFERROR(IF(OR(7&gt;$B$3,ISBLANK(Actuals!I94)),"",(Budget!I94-Actuals!I94)/ABS(Budget!I94)),"")</f>
        <v>-0.988247058823529</v>
      </c>
      <c r="AD78" s="133" t="n">
        <f aca="false">Budget!J94</f>
        <v>-850</v>
      </c>
      <c r="AE78" s="133" t="n">
        <f aca="false">IF(OR(8&gt;$B$3,ISBLANK(Actuals!J94)),"",Actuals!J94)</f>
        <v>-32.2</v>
      </c>
      <c r="AF78" s="134" t="n">
        <f aca="false">IF(OR(8&gt;$B$3,ISBLANK(Actuals!J94)),"",Budget!J94-Actuals!J94)</f>
        <v>-817.8</v>
      </c>
      <c r="AG78" s="134" t="n">
        <f aca="false">IFERROR(IF(OR(8&gt;$B$3,ISBLANK(Actuals!J94)),"",(Budget!J94-Actuals!J94)/ABS(Budget!J94)),"")</f>
        <v>-0.962117647058824</v>
      </c>
      <c r="AH78" s="133" t="n">
        <f aca="false">Budget!K94</f>
        <v>-850</v>
      </c>
      <c r="AI78" s="133" t="str">
        <f aca="false">IF(OR(9&gt;$B$3,ISBLANK(Actuals!K94)),"",Actuals!K94)</f>
        <v/>
      </c>
      <c r="AJ78" s="134" t="str">
        <f aca="false">IF(OR(9&gt;$B$3,ISBLANK(Actuals!K94)),"",Budget!K94-Actuals!K94)</f>
        <v/>
      </c>
      <c r="AK78" s="134" t="str">
        <f aca="false">IFERROR(IF(OR(9&gt;$B$3,ISBLANK(Actuals!K94)),"",(Budget!K94-Actuals!K94)/ABS(Budget!K94)),"")</f>
        <v/>
      </c>
      <c r="AL78" s="133" t="n">
        <f aca="false">Budget!L94</f>
        <v>-850</v>
      </c>
      <c r="AM78" s="133" t="str">
        <f aca="false">IF(OR(10&gt;$B$3,ISBLANK(Actuals!L94)),"",Actuals!L94)</f>
        <v/>
      </c>
      <c r="AN78" s="134" t="str">
        <f aca="false">IF(OR(10&gt;$B$3,ISBLANK(Actuals!L94)),"",Budget!L94-Actuals!L94)</f>
        <v/>
      </c>
      <c r="AO78" s="134" t="str">
        <f aca="false">IFERROR(IF(OR(10&gt;$B$3,ISBLANK(Actuals!L94)),"",(Budget!L94-Actuals!L94)/ABS(Budget!L94)),"")</f>
        <v/>
      </c>
      <c r="AP78" s="133" t="n">
        <f aca="false">Budget!M94</f>
        <v>-850</v>
      </c>
      <c r="AQ78" s="133" t="str">
        <f aca="false">IF(OR(11&gt;$B$3,ISBLANK(Actuals!M94)),"",Actuals!M94)</f>
        <v/>
      </c>
      <c r="AR78" s="134" t="str">
        <f aca="false">IF(OR(11&gt;$B$3,ISBLANK(Actuals!M94)),"",Budget!M94-Actuals!M94)</f>
        <v/>
      </c>
      <c r="AS78" s="134" t="str">
        <f aca="false">IFERROR(IF(OR(11&gt;$B$3,ISBLANK(Actuals!M94)),"",(Budget!M94-Actuals!M94)/ABS(Budget!M94)),"")</f>
        <v/>
      </c>
      <c r="AT78" s="133" t="n">
        <f aca="false">Budget!N94</f>
        <v>-850</v>
      </c>
      <c r="AU78" s="133" t="str">
        <f aca="false">IF(OR(12&gt;$B$3,ISBLANK(Actuals!N94)),"",Actuals!N94)</f>
        <v/>
      </c>
      <c r="AV78" s="134" t="str">
        <f aca="false">IF(OR(12&gt;$B$3,ISBLANK(Actuals!N94)),"",Budget!N94-Actuals!N94)</f>
        <v/>
      </c>
      <c r="AW78" s="134" t="str">
        <f aca="false">IFERROR(IF(OR(12&gt;$B$3,ISBLANK(Actuals!N94)),"",(Budget!N94-Actuals!N94)/ABS(Budget!N94)),"")</f>
        <v/>
      </c>
      <c r="AX78" s="135" t="n">
        <f aca="false">SUMPRODUCT((Actuals!C94:N94&lt;&gt;"")*(Budget!C94:N94))</f>
        <v>-6699.98</v>
      </c>
      <c r="AY78" s="135" t="n">
        <f aca="false">SUM(Actuals!C94:N94)</f>
        <v>-2693.27</v>
      </c>
      <c r="AZ78" s="136" t="n">
        <f aca="false">AX78-AY78</f>
        <v>-4006.71</v>
      </c>
    </row>
    <row r="79" customFormat="false" ht="15" hidden="false" customHeight="true" outlineLevel="0" collapsed="false">
      <c r="A79" s="132" t="s">
        <v>127</v>
      </c>
      <c r="B79" s="133" t="n">
        <f aca="false">Budget!C95</f>
        <v>0</v>
      </c>
      <c r="C79" s="133" t="n">
        <f aca="false">IF(OR(1&gt;$B$3,ISBLANK(Actuals!C95)),"",Actuals!C95)</f>
        <v>0</v>
      </c>
      <c r="D79" s="134" t="n">
        <f aca="false">IF(OR(1&gt;$B$3,ISBLANK(Actuals!C95)),"",Budget!C95-Actuals!C95)</f>
        <v>0</v>
      </c>
      <c r="E79" s="134" t="str">
        <f aca="false">IFERROR(IF(OR(1&gt;$B$3,ISBLANK(Actuals!C95)),"",(Budget!C95-Actuals!C95)/ABS(Budget!C95)),"")</f>
        <v/>
      </c>
      <c r="F79" s="133" t="n">
        <f aca="false">Budget!D95</f>
        <v>0</v>
      </c>
      <c r="G79" s="133" t="n">
        <f aca="false">IF(OR(2&gt;$B$3,ISBLANK(Actuals!D95)),"",Actuals!D95)</f>
        <v>-92.75</v>
      </c>
      <c r="H79" s="134" t="n">
        <f aca="false">IF(OR(2&gt;$B$3,ISBLANK(Actuals!D95)),"",Budget!D95-Actuals!D95)</f>
        <v>92.75</v>
      </c>
      <c r="I79" s="134" t="str">
        <f aca="false">IFERROR(IF(OR(2&gt;$B$3,ISBLANK(Actuals!D95)),"",(Budget!D95-Actuals!D95)/ABS(Budget!D95)),"")</f>
        <v/>
      </c>
      <c r="J79" s="133" t="n">
        <f aca="false">Budget!E95</f>
        <v>0</v>
      </c>
      <c r="K79" s="133" t="n">
        <f aca="false">IF(OR(3&gt;$B$3,ISBLANK(Actuals!E95)),"",Actuals!E95)</f>
        <v>-57.46</v>
      </c>
      <c r="L79" s="134" t="n">
        <f aca="false">IF(OR(3&gt;$B$3,ISBLANK(Actuals!E95)),"",Budget!E95-Actuals!E95)</f>
        <v>57.46</v>
      </c>
      <c r="M79" s="134" t="str">
        <f aca="false">IFERROR(IF(OR(3&gt;$B$3,ISBLANK(Actuals!E95)),"",(Budget!E95-Actuals!E95)/ABS(Budget!E95)),"")</f>
        <v/>
      </c>
      <c r="N79" s="133" t="n">
        <f aca="false">Budget!F95</f>
        <v>0</v>
      </c>
      <c r="O79" s="133" t="n">
        <f aca="false">IF(OR(4&gt;$B$3,ISBLANK(Actuals!F95)),"",Actuals!F95)</f>
        <v>0</v>
      </c>
      <c r="P79" s="134" t="n">
        <f aca="false">IF(OR(4&gt;$B$3,ISBLANK(Actuals!F95)),"",Budget!F95-Actuals!F95)</f>
        <v>0</v>
      </c>
      <c r="Q79" s="134" t="str">
        <f aca="false">IFERROR(IF(OR(4&gt;$B$3,ISBLANK(Actuals!F95)),"",(Budget!F95-Actuals!F95)/ABS(Budget!F95)),"")</f>
        <v/>
      </c>
      <c r="R79" s="133" t="n">
        <f aca="false">Budget!G95</f>
        <v>0</v>
      </c>
      <c r="S79" s="133" t="n">
        <f aca="false">IF(OR(5&gt;$B$3,ISBLANK(Actuals!G95)),"",Actuals!G95)</f>
        <v>-24.3</v>
      </c>
      <c r="T79" s="134" t="n">
        <f aca="false">IF(OR(5&gt;$B$3,ISBLANK(Actuals!G95)),"",Budget!G95-Actuals!G95)</f>
        <v>24.3</v>
      </c>
      <c r="U79" s="134" t="str">
        <f aca="false">IFERROR(IF(OR(5&gt;$B$3,ISBLANK(Actuals!G95)),"",(Budget!G95-Actuals!G95)/ABS(Budget!G95)),"")</f>
        <v/>
      </c>
      <c r="V79" s="133" t="n">
        <f aca="false">Budget!H95</f>
        <v>0</v>
      </c>
      <c r="W79" s="133" t="n">
        <f aca="false">IF(OR(6&gt;$B$3,ISBLANK(Actuals!H95)),"",Actuals!H95)</f>
        <v>-917.7</v>
      </c>
      <c r="X79" s="134" t="n">
        <f aca="false">IF(OR(6&gt;$B$3,ISBLANK(Actuals!H95)),"",Budget!H95-Actuals!H95)</f>
        <v>917.7</v>
      </c>
      <c r="Y79" s="134" t="str">
        <f aca="false">IFERROR(IF(OR(6&gt;$B$3,ISBLANK(Actuals!H95)),"",(Budget!H95-Actuals!H95)/ABS(Budget!H95)),"")</f>
        <v/>
      </c>
      <c r="Z79" s="133" t="n">
        <f aca="false">Budget!I95</f>
        <v>0</v>
      </c>
      <c r="AA79" s="133" t="n">
        <f aca="false">IF(OR(7&gt;$B$3,ISBLANK(Actuals!I95)),"",Actuals!I95)</f>
        <v>0</v>
      </c>
      <c r="AB79" s="134" t="n">
        <f aca="false">IF(OR(7&gt;$B$3,ISBLANK(Actuals!I95)),"",Budget!I95-Actuals!I95)</f>
        <v>0</v>
      </c>
      <c r="AC79" s="134" t="str">
        <f aca="false">IFERROR(IF(OR(7&gt;$B$3,ISBLANK(Actuals!I95)),"",(Budget!I95-Actuals!I95)/ABS(Budget!I95)),"")</f>
        <v/>
      </c>
      <c r="AD79" s="133" t="n">
        <f aca="false">Budget!J95</f>
        <v>0</v>
      </c>
      <c r="AE79" s="133" t="n">
        <f aca="false">IF(OR(8&gt;$B$3,ISBLANK(Actuals!J95)),"",Actuals!J95)</f>
        <v>-70.35</v>
      </c>
      <c r="AF79" s="134" t="n">
        <f aca="false">IF(OR(8&gt;$B$3,ISBLANK(Actuals!J95)),"",Budget!J95-Actuals!J95)</f>
        <v>70.35</v>
      </c>
      <c r="AG79" s="134" t="str">
        <f aca="false">IFERROR(IF(OR(8&gt;$B$3,ISBLANK(Actuals!J95)),"",(Budget!J95-Actuals!J95)/ABS(Budget!J95)),"")</f>
        <v/>
      </c>
      <c r="AH79" s="133" t="n">
        <f aca="false">Budget!K95</f>
        <v>0</v>
      </c>
      <c r="AI79" s="133" t="str">
        <f aca="false">IF(OR(9&gt;$B$3,ISBLANK(Actuals!K95)),"",Actuals!K95)</f>
        <v/>
      </c>
      <c r="AJ79" s="134" t="str">
        <f aca="false">IF(OR(9&gt;$B$3,ISBLANK(Actuals!K95)),"",Budget!K95-Actuals!K95)</f>
        <v/>
      </c>
      <c r="AK79" s="134" t="str">
        <f aca="false">IFERROR(IF(OR(9&gt;$B$3,ISBLANK(Actuals!K95)),"",(Budget!K95-Actuals!K95)/ABS(Budget!K95)),"")</f>
        <v/>
      </c>
      <c r="AL79" s="133" t="n">
        <f aca="false">Budget!L95</f>
        <v>0</v>
      </c>
      <c r="AM79" s="133" t="str">
        <f aca="false">IF(OR(10&gt;$B$3,ISBLANK(Actuals!L95)),"",Actuals!L95)</f>
        <v/>
      </c>
      <c r="AN79" s="134" t="str">
        <f aca="false">IF(OR(10&gt;$B$3,ISBLANK(Actuals!L95)),"",Budget!L95-Actuals!L95)</f>
        <v/>
      </c>
      <c r="AO79" s="134" t="str">
        <f aca="false">IFERROR(IF(OR(10&gt;$B$3,ISBLANK(Actuals!L95)),"",(Budget!L95-Actuals!L95)/ABS(Budget!L95)),"")</f>
        <v/>
      </c>
      <c r="AP79" s="133" t="n">
        <f aca="false">Budget!M95</f>
        <v>0</v>
      </c>
      <c r="AQ79" s="133" t="str">
        <f aca="false">IF(OR(11&gt;$B$3,ISBLANK(Actuals!M95)),"",Actuals!M95)</f>
        <v/>
      </c>
      <c r="AR79" s="134" t="str">
        <f aca="false">IF(OR(11&gt;$B$3,ISBLANK(Actuals!M95)),"",Budget!M95-Actuals!M95)</f>
        <v/>
      </c>
      <c r="AS79" s="134" t="str">
        <f aca="false">IFERROR(IF(OR(11&gt;$B$3,ISBLANK(Actuals!M95)),"",(Budget!M95-Actuals!M95)/ABS(Budget!M95)),"")</f>
        <v/>
      </c>
      <c r="AT79" s="133" t="n">
        <f aca="false">Budget!N95</f>
        <v>0</v>
      </c>
      <c r="AU79" s="133" t="str">
        <f aca="false">IF(OR(12&gt;$B$3,ISBLANK(Actuals!N95)),"",Actuals!N95)</f>
        <v/>
      </c>
      <c r="AV79" s="134" t="str">
        <f aca="false">IF(OR(12&gt;$B$3,ISBLANK(Actuals!N95)),"",Budget!N95-Actuals!N95)</f>
        <v/>
      </c>
      <c r="AW79" s="134" t="str">
        <f aca="false">IFERROR(IF(OR(12&gt;$B$3,ISBLANK(Actuals!N95)),"",(Budget!N95-Actuals!N95)/ABS(Budget!N95)),"")</f>
        <v/>
      </c>
      <c r="AX79" s="135" t="n">
        <f aca="false">SUMPRODUCT((Actuals!C95:N95&lt;&gt;"")*(Budget!C95:N95))</f>
        <v>0</v>
      </c>
      <c r="AY79" s="135" t="n">
        <f aca="false">SUM(Actuals!C95:N95)</f>
        <v>-1162.56</v>
      </c>
      <c r="AZ79" s="136" t="n">
        <f aca="false">AX79-AY79</f>
        <v>1162.56</v>
      </c>
    </row>
    <row r="80" customFormat="false" ht="15" hidden="false" customHeight="true" outlineLevel="0" collapsed="false">
      <c r="A80" s="132" t="s">
        <v>78</v>
      </c>
      <c r="B80" s="133" t="n">
        <f aca="false">Budget!C96</f>
        <v>-3000</v>
      </c>
      <c r="C80" s="133" t="n">
        <f aca="false">IF(OR(1&gt;$B$3,ISBLANK(Actuals!C96)),"",Actuals!C96)</f>
        <v>-640.88</v>
      </c>
      <c r="D80" s="134" t="n">
        <f aca="false">IF(OR(1&gt;$B$3,ISBLANK(Actuals!C96)),"",Budget!C96-Actuals!C96)</f>
        <v>-2359.12</v>
      </c>
      <c r="E80" s="134" t="n">
        <f aca="false">IFERROR(IF(OR(1&gt;$B$3,ISBLANK(Actuals!C96)),"",(Budget!C96-Actuals!C96)/ABS(Budget!C96)),"")</f>
        <v>-0.786373333333333</v>
      </c>
      <c r="F80" s="133" t="n">
        <f aca="false">Budget!D96</f>
        <v>-3000</v>
      </c>
      <c r="G80" s="133" t="n">
        <f aca="false">IF(OR(2&gt;$B$3,ISBLANK(Actuals!D96)),"",Actuals!D96)</f>
        <v>-872.64</v>
      </c>
      <c r="H80" s="134" t="n">
        <f aca="false">IF(OR(2&gt;$B$3,ISBLANK(Actuals!D96)),"",Budget!D96-Actuals!D96)</f>
        <v>-2127.36</v>
      </c>
      <c r="I80" s="134" t="n">
        <f aca="false">IFERROR(IF(OR(2&gt;$B$3,ISBLANK(Actuals!D96)),"",(Budget!D96-Actuals!D96)/ABS(Budget!D96)),"")</f>
        <v>-0.70912</v>
      </c>
      <c r="J80" s="133" t="n">
        <f aca="false">Budget!E96</f>
        <v>-3000</v>
      </c>
      <c r="K80" s="133" t="n">
        <f aca="false">IF(OR(3&gt;$B$3,ISBLANK(Actuals!E96)),"",Actuals!E96)</f>
        <v>-1175.78</v>
      </c>
      <c r="L80" s="134" t="n">
        <f aca="false">IF(OR(3&gt;$B$3,ISBLANK(Actuals!E96)),"",Budget!E96-Actuals!E96)</f>
        <v>-1824.22</v>
      </c>
      <c r="M80" s="134" t="n">
        <f aca="false">IFERROR(IF(OR(3&gt;$B$3,ISBLANK(Actuals!E96)),"",(Budget!E96-Actuals!E96)/ABS(Budget!E96)),"")</f>
        <v>-0.608073333333333</v>
      </c>
      <c r="N80" s="133" t="n">
        <f aca="false">Budget!F96</f>
        <v>-3000</v>
      </c>
      <c r="O80" s="133" t="n">
        <f aca="false">IF(OR(4&gt;$B$3,ISBLANK(Actuals!F96)),"",Actuals!F96)</f>
        <v>-471.38</v>
      </c>
      <c r="P80" s="134" t="n">
        <f aca="false">IF(OR(4&gt;$B$3,ISBLANK(Actuals!F96)),"",Budget!F96-Actuals!F96)</f>
        <v>-2528.62</v>
      </c>
      <c r="Q80" s="134" t="n">
        <f aca="false">IFERROR(IF(OR(4&gt;$B$3,ISBLANK(Actuals!F96)),"",(Budget!F96-Actuals!F96)/ABS(Budget!F96)),"")</f>
        <v>-0.842873333333333</v>
      </c>
      <c r="R80" s="133" t="n">
        <f aca="false">Budget!G96</f>
        <v>-3000</v>
      </c>
      <c r="S80" s="133" t="n">
        <f aca="false">IF(OR(5&gt;$B$3,ISBLANK(Actuals!G96)),"",Actuals!G96)</f>
        <v>-1307.57</v>
      </c>
      <c r="T80" s="134" t="n">
        <f aca="false">IF(OR(5&gt;$B$3,ISBLANK(Actuals!G96)),"",Budget!G96-Actuals!G96)</f>
        <v>-1692.43</v>
      </c>
      <c r="U80" s="134" t="n">
        <f aca="false">IFERROR(IF(OR(5&gt;$B$3,ISBLANK(Actuals!G96)),"",(Budget!G96-Actuals!G96)/ABS(Budget!G96)),"")</f>
        <v>-0.564143333333333</v>
      </c>
      <c r="V80" s="133" t="n">
        <f aca="false">Budget!H96</f>
        <v>-3000</v>
      </c>
      <c r="W80" s="133" t="n">
        <f aca="false">IF(OR(6&gt;$B$3,ISBLANK(Actuals!H96)),"",Actuals!H96)</f>
        <v>-3067.11</v>
      </c>
      <c r="X80" s="134" t="n">
        <f aca="false">IF(OR(6&gt;$B$3,ISBLANK(Actuals!H96)),"",Budget!H96-Actuals!H96)</f>
        <v>67.1100000000001</v>
      </c>
      <c r="Y80" s="134" t="n">
        <f aca="false">IFERROR(IF(OR(6&gt;$B$3,ISBLANK(Actuals!H96)),"",(Budget!H96-Actuals!H96)/ABS(Budget!H96)),"")</f>
        <v>0.02237</v>
      </c>
      <c r="Z80" s="133" t="n">
        <f aca="false">Budget!I96</f>
        <v>-3060</v>
      </c>
      <c r="AA80" s="133" t="n">
        <f aca="false">IF(OR(7&gt;$B$3,ISBLANK(Actuals!I96)),"",Actuals!I96)</f>
        <v>-131.02</v>
      </c>
      <c r="AB80" s="134" t="n">
        <f aca="false">IF(OR(7&gt;$B$3,ISBLANK(Actuals!I96)),"",Budget!I96-Actuals!I96)</f>
        <v>-2928.98</v>
      </c>
      <c r="AC80" s="134" t="n">
        <f aca="false">IFERROR(IF(OR(7&gt;$B$3,ISBLANK(Actuals!I96)),"",(Budget!I96-Actuals!I96)/ABS(Budget!I96)),"")</f>
        <v>-0.957183006535948</v>
      </c>
      <c r="AD80" s="133" t="n">
        <f aca="false">Budget!J96</f>
        <v>-3060</v>
      </c>
      <c r="AE80" s="133" t="n">
        <f aca="false">IF(OR(8&gt;$B$3,ISBLANK(Actuals!J96)),"",Actuals!J96)</f>
        <v>-13.5</v>
      </c>
      <c r="AF80" s="134" t="n">
        <f aca="false">IF(OR(8&gt;$B$3,ISBLANK(Actuals!J96)),"",Budget!J96-Actuals!J96)</f>
        <v>-3046.5</v>
      </c>
      <c r="AG80" s="134" t="n">
        <f aca="false">IFERROR(IF(OR(8&gt;$B$3,ISBLANK(Actuals!J96)),"",(Budget!J96-Actuals!J96)/ABS(Budget!J96)),"")</f>
        <v>-0.995588235294118</v>
      </c>
      <c r="AH80" s="133" t="n">
        <f aca="false">Budget!K96</f>
        <v>-3060</v>
      </c>
      <c r="AI80" s="133" t="str">
        <f aca="false">IF(OR(9&gt;$B$3,ISBLANK(Actuals!K96)),"",Actuals!K96)</f>
        <v/>
      </c>
      <c r="AJ80" s="134" t="str">
        <f aca="false">IF(OR(9&gt;$B$3,ISBLANK(Actuals!K96)),"",Budget!K96-Actuals!K96)</f>
        <v/>
      </c>
      <c r="AK80" s="134" t="str">
        <f aca="false">IFERROR(IF(OR(9&gt;$B$3,ISBLANK(Actuals!K96)),"",(Budget!K96-Actuals!K96)/ABS(Budget!K96)),"")</f>
        <v/>
      </c>
      <c r="AL80" s="133" t="n">
        <f aca="false">Budget!L96</f>
        <v>-3060</v>
      </c>
      <c r="AM80" s="133" t="str">
        <f aca="false">IF(OR(10&gt;$B$3,ISBLANK(Actuals!L96)),"",Actuals!L96)</f>
        <v/>
      </c>
      <c r="AN80" s="134" t="str">
        <f aca="false">IF(OR(10&gt;$B$3,ISBLANK(Actuals!L96)),"",Budget!L96-Actuals!L96)</f>
        <v/>
      </c>
      <c r="AO80" s="134" t="str">
        <f aca="false">IFERROR(IF(OR(10&gt;$B$3,ISBLANK(Actuals!L96)),"",(Budget!L96-Actuals!L96)/ABS(Budget!L96)),"")</f>
        <v/>
      </c>
      <c r="AP80" s="133" t="n">
        <f aca="false">Budget!M96</f>
        <v>-3060</v>
      </c>
      <c r="AQ80" s="133" t="str">
        <f aca="false">IF(OR(11&gt;$B$3,ISBLANK(Actuals!M96)),"",Actuals!M96)</f>
        <v/>
      </c>
      <c r="AR80" s="134" t="str">
        <f aca="false">IF(OR(11&gt;$B$3,ISBLANK(Actuals!M96)),"",Budget!M96-Actuals!M96)</f>
        <v/>
      </c>
      <c r="AS80" s="134" t="str">
        <f aca="false">IFERROR(IF(OR(11&gt;$B$3,ISBLANK(Actuals!M96)),"",(Budget!M96-Actuals!M96)/ABS(Budget!M96)),"")</f>
        <v/>
      </c>
      <c r="AT80" s="133" t="n">
        <f aca="false">Budget!N96</f>
        <v>-3060</v>
      </c>
      <c r="AU80" s="133" t="str">
        <f aca="false">IF(OR(12&gt;$B$3,ISBLANK(Actuals!N96)),"",Actuals!N96)</f>
        <v/>
      </c>
      <c r="AV80" s="134" t="str">
        <f aca="false">IF(OR(12&gt;$B$3,ISBLANK(Actuals!N96)),"",Budget!N96-Actuals!N96)</f>
        <v/>
      </c>
      <c r="AW80" s="134" t="str">
        <f aca="false">IFERROR(IF(OR(12&gt;$B$3,ISBLANK(Actuals!N96)),"",(Budget!N96-Actuals!N96)/ABS(Budget!N96)),"")</f>
        <v/>
      </c>
      <c r="AX80" s="135" t="n">
        <f aca="false">SUMPRODUCT((Actuals!C96:N96&lt;&gt;"")*(Budget!C96:N96))</f>
        <v>-24120</v>
      </c>
      <c r="AY80" s="135" t="n">
        <f aca="false">SUM(Actuals!C96:N96)</f>
        <v>-7679.88</v>
      </c>
      <c r="AZ80" s="136" t="n">
        <f aca="false">AX80-AY80</f>
        <v>-16440.12</v>
      </c>
    </row>
    <row r="81" customFormat="false" ht="15" hidden="false" customHeight="true" outlineLevel="0" collapsed="false">
      <c r="A81" s="132" t="s">
        <v>79</v>
      </c>
      <c r="B81" s="133" t="n">
        <f aca="false">Budget!C97</f>
        <v>-500</v>
      </c>
      <c r="C81" s="133" t="n">
        <f aca="false">IF(OR(1&gt;$B$3,ISBLANK(Actuals!C97)),"",Actuals!C97)</f>
        <v>0</v>
      </c>
      <c r="D81" s="134" t="n">
        <f aca="false">IF(OR(1&gt;$B$3,ISBLANK(Actuals!C97)),"",Budget!C97-Actuals!C97)</f>
        <v>-500</v>
      </c>
      <c r="E81" s="134" t="n">
        <f aca="false">IFERROR(IF(OR(1&gt;$B$3,ISBLANK(Actuals!C97)),"",(Budget!C97-Actuals!C97)/ABS(Budget!C97)),"")</f>
        <v>-1</v>
      </c>
      <c r="F81" s="133" t="n">
        <f aca="false">Budget!D97</f>
        <v>-500</v>
      </c>
      <c r="G81" s="133" t="n">
        <f aca="false">IF(OR(2&gt;$B$3,ISBLANK(Actuals!D97)),"",Actuals!D97)</f>
        <v>0</v>
      </c>
      <c r="H81" s="134" t="n">
        <f aca="false">IF(OR(2&gt;$B$3,ISBLANK(Actuals!D97)),"",Budget!D97-Actuals!D97)</f>
        <v>-500</v>
      </c>
      <c r="I81" s="134" t="n">
        <f aca="false">IFERROR(IF(OR(2&gt;$B$3,ISBLANK(Actuals!D97)),"",(Budget!D97-Actuals!D97)/ABS(Budget!D97)),"")</f>
        <v>-1</v>
      </c>
      <c r="J81" s="133" t="n">
        <f aca="false">Budget!E97</f>
        <v>-500</v>
      </c>
      <c r="K81" s="133" t="n">
        <f aca="false">IF(OR(3&gt;$B$3,ISBLANK(Actuals!E97)),"",Actuals!E97)</f>
        <v>-38050.5</v>
      </c>
      <c r="L81" s="134" t="n">
        <f aca="false">IF(OR(3&gt;$B$3,ISBLANK(Actuals!E97)),"",Budget!E97-Actuals!E97)</f>
        <v>37550.5</v>
      </c>
      <c r="M81" s="134" t="n">
        <f aca="false">IFERROR(IF(OR(3&gt;$B$3,ISBLANK(Actuals!E97)),"",(Budget!E97-Actuals!E97)/ABS(Budget!E97)),"")</f>
        <v>75.101</v>
      </c>
      <c r="N81" s="133" t="n">
        <f aca="false">Budget!F97</f>
        <v>-500</v>
      </c>
      <c r="O81" s="133" t="n">
        <f aca="false">IF(OR(4&gt;$B$3,ISBLANK(Actuals!F97)),"",Actuals!F97)</f>
        <v>0</v>
      </c>
      <c r="P81" s="134" t="n">
        <f aca="false">IF(OR(4&gt;$B$3,ISBLANK(Actuals!F97)),"",Budget!F97-Actuals!F97)</f>
        <v>-500</v>
      </c>
      <c r="Q81" s="134" t="n">
        <f aca="false">IFERROR(IF(OR(4&gt;$B$3,ISBLANK(Actuals!F97)),"",(Budget!F97-Actuals!F97)/ABS(Budget!F97)),"")</f>
        <v>-1</v>
      </c>
      <c r="R81" s="133" t="n">
        <f aca="false">Budget!G97</f>
        <v>-500</v>
      </c>
      <c r="S81" s="133" t="n">
        <f aca="false">IF(OR(5&gt;$B$3,ISBLANK(Actuals!G97)),"",Actuals!G97)</f>
        <v>-986.5</v>
      </c>
      <c r="T81" s="134" t="n">
        <f aca="false">IF(OR(5&gt;$B$3,ISBLANK(Actuals!G97)),"",Budget!G97-Actuals!G97)</f>
        <v>486.5</v>
      </c>
      <c r="U81" s="134" t="n">
        <f aca="false">IFERROR(IF(OR(5&gt;$B$3,ISBLANK(Actuals!G97)),"",(Budget!G97-Actuals!G97)/ABS(Budget!G97)),"")</f>
        <v>0.973</v>
      </c>
      <c r="V81" s="133" t="n">
        <f aca="false">Budget!H97</f>
        <v>-500</v>
      </c>
      <c r="W81" s="133" t="n">
        <f aca="false">IF(OR(6&gt;$B$3,ISBLANK(Actuals!H97)),"",Actuals!H97)</f>
        <v>-4830</v>
      </c>
      <c r="X81" s="134" t="n">
        <f aca="false">IF(OR(6&gt;$B$3,ISBLANK(Actuals!H97)),"",Budget!H97-Actuals!H97)</f>
        <v>4330</v>
      </c>
      <c r="Y81" s="134" t="n">
        <f aca="false">IFERROR(IF(OR(6&gt;$B$3,ISBLANK(Actuals!H97)),"",(Budget!H97-Actuals!H97)/ABS(Budget!H97)),"")</f>
        <v>8.66</v>
      </c>
      <c r="Z81" s="133" t="n">
        <f aca="false">Budget!I97</f>
        <v>-510</v>
      </c>
      <c r="AA81" s="133" t="n">
        <f aca="false">IF(OR(7&gt;$B$3,ISBLANK(Actuals!I97)),"",Actuals!I97)</f>
        <v>0</v>
      </c>
      <c r="AB81" s="134" t="n">
        <f aca="false">IF(OR(7&gt;$B$3,ISBLANK(Actuals!I97)),"",Budget!I97-Actuals!I97)</f>
        <v>-510</v>
      </c>
      <c r="AC81" s="134" t="n">
        <f aca="false">IFERROR(IF(OR(7&gt;$B$3,ISBLANK(Actuals!I97)),"",(Budget!I97-Actuals!I97)/ABS(Budget!I97)),"")</f>
        <v>-1</v>
      </c>
      <c r="AD81" s="133" t="n">
        <f aca="false">Budget!J97</f>
        <v>-510</v>
      </c>
      <c r="AE81" s="133" t="n">
        <f aca="false">IF(OR(8&gt;$B$3,ISBLANK(Actuals!J97)),"",Actuals!J97)</f>
        <v>0</v>
      </c>
      <c r="AF81" s="134" t="n">
        <f aca="false">IF(OR(8&gt;$B$3,ISBLANK(Actuals!J97)),"",Budget!J97-Actuals!J97)</f>
        <v>-510</v>
      </c>
      <c r="AG81" s="134" t="n">
        <f aca="false">IFERROR(IF(OR(8&gt;$B$3,ISBLANK(Actuals!J97)),"",(Budget!J97-Actuals!J97)/ABS(Budget!J97)),"")</f>
        <v>-1</v>
      </c>
      <c r="AH81" s="133" t="n">
        <f aca="false">Budget!K97</f>
        <v>-510</v>
      </c>
      <c r="AI81" s="133" t="str">
        <f aca="false">IF(OR(9&gt;$B$3,ISBLANK(Actuals!K97)),"",Actuals!K97)</f>
        <v/>
      </c>
      <c r="AJ81" s="134" t="str">
        <f aca="false">IF(OR(9&gt;$B$3,ISBLANK(Actuals!K97)),"",Budget!K97-Actuals!K97)</f>
        <v/>
      </c>
      <c r="AK81" s="134" t="str">
        <f aca="false">IFERROR(IF(OR(9&gt;$B$3,ISBLANK(Actuals!K97)),"",(Budget!K97-Actuals!K97)/ABS(Budget!K97)),"")</f>
        <v/>
      </c>
      <c r="AL81" s="133" t="n">
        <f aca="false">Budget!L97</f>
        <v>-510</v>
      </c>
      <c r="AM81" s="133" t="str">
        <f aca="false">IF(OR(10&gt;$B$3,ISBLANK(Actuals!L97)),"",Actuals!L97)</f>
        <v/>
      </c>
      <c r="AN81" s="134" t="str">
        <f aca="false">IF(OR(10&gt;$B$3,ISBLANK(Actuals!L97)),"",Budget!L97-Actuals!L97)</f>
        <v/>
      </c>
      <c r="AO81" s="134" t="str">
        <f aca="false">IFERROR(IF(OR(10&gt;$B$3,ISBLANK(Actuals!L97)),"",(Budget!L97-Actuals!L97)/ABS(Budget!L97)),"")</f>
        <v/>
      </c>
      <c r="AP81" s="133" t="n">
        <f aca="false">Budget!M97</f>
        <v>-510</v>
      </c>
      <c r="AQ81" s="133" t="str">
        <f aca="false">IF(OR(11&gt;$B$3,ISBLANK(Actuals!M97)),"",Actuals!M97)</f>
        <v/>
      </c>
      <c r="AR81" s="134" t="str">
        <f aca="false">IF(OR(11&gt;$B$3,ISBLANK(Actuals!M97)),"",Budget!M97-Actuals!M97)</f>
        <v/>
      </c>
      <c r="AS81" s="134" t="str">
        <f aca="false">IFERROR(IF(OR(11&gt;$B$3,ISBLANK(Actuals!M97)),"",(Budget!M97-Actuals!M97)/ABS(Budget!M97)),"")</f>
        <v/>
      </c>
      <c r="AT81" s="133" t="n">
        <f aca="false">Budget!N97</f>
        <v>-510</v>
      </c>
      <c r="AU81" s="133" t="str">
        <f aca="false">IF(OR(12&gt;$B$3,ISBLANK(Actuals!N97)),"",Actuals!N97)</f>
        <v/>
      </c>
      <c r="AV81" s="134" t="str">
        <f aca="false">IF(OR(12&gt;$B$3,ISBLANK(Actuals!N97)),"",Budget!N97-Actuals!N97)</f>
        <v/>
      </c>
      <c r="AW81" s="134" t="str">
        <f aca="false">IFERROR(IF(OR(12&gt;$B$3,ISBLANK(Actuals!N97)),"",(Budget!N97-Actuals!N97)/ABS(Budget!N97)),"")</f>
        <v/>
      </c>
      <c r="AX81" s="135" t="n">
        <f aca="false">SUMPRODUCT((Actuals!C97:N97&lt;&gt;"")*(Budget!C97:N97))</f>
        <v>-4020</v>
      </c>
      <c r="AY81" s="135" t="n">
        <f aca="false">SUM(Actuals!C97:N97)</f>
        <v>-43867</v>
      </c>
      <c r="AZ81" s="136" t="n">
        <f aca="false">AX81-AY81</f>
        <v>39847</v>
      </c>
    </row>
    <row r="82" customFormat="false" ht="15" hidden="false" customHeight="true" outlineLevel="0" collapsed="false">
      <c r="A82" s="132" t="s">
        <v>80</v>
      </c>
      <c r="B82" s="133" t="n">
        <f aca="false">Budget!C98</f>
        <v>-5500</v>
      </c>
      <c r="C82" s="133" t="n">
        <f aca="false">IF(OR(1&gt;$B$3,ISBLANK(Actuals!C98)),"",Actuals!C98)</f>
        <v>-4097.78</v>
      </c>
      <c r="D82" s="134" t="n">
        <f aca="false">IF(OR(1&gt;$B$3,ISBLANK(Actuals!C98)),"",Budget!C98-Actuals!C98)</f>
        <v>-1402.22</v>
      </c>
      <c r="E82" s="134" t="n">
        <f aca="false">IFERROR(IF(OR(1&gt;$B$3,ISBLANK(Actuals!C98)),"",(Budget!C98-Actuals!C98)/ABS(Budget!C98)),"")</f>
        <v>-0.254949090909091</v>
      </c>
      <c r="F82" s="133" t="n">
        <f aca="false">Budget!D98</f>
        <v>-5500</v>
      </c>
      <c r="G82" s="133" t="n">
        <f aca="false">IF(OR(2&gt;$B$3,ISBLANK(Actuals!D98)),"",Actuals!D98)</f>
        <v>-1950.2</v>
      </c>
      <c r="H82" s="134" t="n">
        <f aca="false">IF(OR(2&gt;$B$3,ISBLANK(Actuals!D98)),"",Budget!D98-Actuals!D98)</f>
        <v>-3549.8</v>
      </c>
      <c r="I82" s="134" t="n">
        <f aca="false">IFERROR(IF(OR(2&gt;$B$3,ISBLANK(Actuals!D98)),"",(Budget!D98-Actuals!D98)/ABS(Budget!D98)),"")</f>
        <v>-0.645418181818182</v>
      </c>
      <c r="J82" s="133" t="n">
        <f aca="false">Budget!E98</f>
        <v>-5500</v>
      </c>
      <c r="K82" s="133" t="n">
        <f aca="false">IF(OR(3&gt;$B$3,ISBLANK(Actuals!E98)),"",Actuals!E98)</f>
        <v>-1978.2</v>
      </c>
      <c r="L82" s="134" t="n">
        <f aca="false">IF(OR(3&gt;$B$3,ISBLANK(Actuals!E98)),"",Budget!E98-Actuals!E98)</f>
        <v>-3521.8</v>
      </c>
      <c r="M82" s="134" t="n">
        <f aca="false">IFERROR(IF(OR(3&gt;$B$3,ISBLANK(Actuals!E98)),"",(Budget!E98-Actuals!E98)/ABS(Budget!E98)),"")</f>
        <v>-0.640327272727273</v>
      </c>
      <c r="N82" s="133" t="n">
        <f aca="false">Budget!F98</f>
        <v>-5500</v>
      </c>
      <c r="O82" s="133" t="n">
        <f aca="false">IF(OR(4&gt;$B$3,ISBLANK(Actuals!F98)),"",Actuals!F98)</f>
        <v>-1970.2</v>
      </c>
      <c r="P82" s="134" t="n">
        <f aca="false">IF(OR(4&gt;$B$3,ISBLANK(Actuals!F98)),"",Budget!F98-Actuals!F98)</f>
        <v>-3529.8</v>
      </c>
      <c r="Q82" s="134" t="n">
        <f aca="false">IFERROR(IF(OR(4&gt;$B$3,ISBLANK(Actuals!F98)),"",(Budget!F98-Actuals!F98)/ABS(Budget!F98)),"")</f>
        <v>-0.641781818181818</v>
      </c>
      <c r="R82" s="133" t="n">
        <f aca="false">Budget!G98</f>
        <v>-5500</v>
      </c>
      <c r="S82" s="133" t="n">
        <f aca="false">IF(OR(5&gt;$B$3,ISBLANK(Actuals!G98)),"",Actuals!G98)</f>
        <v>-6126.2</v>
      </c>
      <c r="T82" s="134" t="n">
        <f aca="false">IF(OR(5&gt;$B$3,ISBLANK(Actuals!G98)),"",Budget!G98-Actuals!G98)</f>
        <v>626.2</v>
      </c>
      <c r="U82" s="134" t="n">
        <f aca="false">IFERROR(IF(OR(5&gt;$B$3,ISBLANK(Actuals!G98)),"",(Budget!G98-Actuals!G98)/ABS(Budget!G98)),"")</f>
        <v>0.113854545454545</v>
      </c>
      <c r="V82" s="133" t="n">
        <f aca="false">Budget!H98</f>
        <v>-5500</v>
      </c>
      <c r="W82" s="133" t="n">
        <f aca="false">IF(OR(6&gt;$B$3,ISBLANK(Actuals!H98)),"",Actuals!H98)</f>
        <v>-1993.2</v>
      </c>
      <c r="X82" s="134" t="n">
        <f aca="false">IF(OR(6&gt;$B$3,ISBLANK(Actuals!H98)),"",Budget!H98-Actuals!H98)</f>
        <v>-3506.8</v>
      </c>
      <c r="Y82" s="134" t="n">
        <f aca="false">IFERROR(IF(OR(6&gt;$B$3,ISBLANK(Actuals!H98)),"",(Budget!H98-Actuals!H98)/ABS(Budget!H98)),"")</f>
        <v>-0.6376</v>
      </c>
      <c r="Z82" s="133" t="n">
        <f aca="false">Budget!I98</f>
        <v>-5610</v>
      </c>
      <c r="AA82" s="133" t="n">
        <f aca="false">IF(OR(7&gt;$B$3,ISBLANK(Actuals!I98)),"",Actuals!I98)</f>
        <v>-2040.2</v>
      </c>
      <c r="AB82" s="134" t="n">
        <f aca="false">IF(OR(7&gt;$B$3,ISBLANK(Actuals!I98)),"",Budget!I98-Actuals!I98)</f>
        <v>-3569.8</v>
      </c>
      <c r="AC82" s="134" t="n">
        <f aca="false">IFERROR(IF(OR(7&gt;$B$3,ISBLANK(Actuals!I98)),"",(Budget!I98-Actuals!I98)/ABS(Budget!I98)),"")</f>
        <v>-0.636327985739751</v>
      </c>
      <c r="AD82" s="133" t="n">
        <f aca="false">Budget!J98</f>
        <v>-5610</v>
      </c>
      <c r="AE82" s="133" t="n">
        <f aca="false">IF(OR(8&gt;$B$3,ISBLANK(Actuals!J98)),"",Actuals!J98)</f>
        <v>-2271.2</v>
      </c>
      <c r="AF82" s="134" t="n">
        <f aca="false">IF(OR(8&gt;$B$3,ISBLANK(Actuals!J98)),"",Budget!J98-Actuals!J98)</f>
        <v>-3338.8</v>
      </c>
      <c r="AG82" s="134" t="n">
        <f aca="false">IFERROR(IF(OR(8&gt;$B$3,ISBLANK(Actuals!J98)),"",(Budget!J98-Actuals!J98)/ABS(Budget!J98)),"")</f>
        <v>-0.595151515151515</v>
      </c>
      <c r="AH82" s="133" t="n">
        <f aca="false">Budget!K98</f>
        <v>-5610</v>
      </c>
      <c r="AI82" s="133" t="str">
        <f aca="false">IF(OR(9&gt;$B$3,ISBLANK(Actuals!K98)),"",Actuals!K98)</f>
        <v/>
      </c>
      <c r="AJ82" s="134" t="str">
        <f aca="false">IF(OR(9&gt;$B$3,ISBLANK(Actuals!K98)),"",Budget!K98-Actuals!K98)</f>
        <v/>
      </c>
      <c r="AK82" s="134" t="str">
        <f aca="false">IFERROR(IF(OR(9&gt;$B$3,ISBLANK(Actuals!K98)),"",(Budget!K98-Actuals!K98)/ABS(Budget!K98)),"")</f>
        <v/>
      </c>
      <c r="AL82" s="133" t="n">
        <f aca="false">Budget!L98</f>
        <v>-5610</v>
      </c>
      <c r="AM82" s="133" t="str">
        <f aca="false">IF(OR(10&gt;$B$3,ISBLANK(Actuals!L98)),"",Actuals!L98)</f>
        <v/>
      </c>
      <c r="AN82" s="134" t="str">
        <f aca="false">IF(OR(10&gt;$B$3,ISBLANK(Actuals!L98)),"",Budget!L98-Actuals!L98)</f>
        <v/>
      </c>
      <c r="AO82" s="134" t="str">
        <f aca="false">IFERROR(IF(OR(10&gt;$B$3,ISBLANK(Actuals!L98)),"",(Budget!L98-Actuals!L98)/ABS(Budget!L98)),"")</f>
        <v/>
      </c>
      <c r="AP82" s="133" t="n">
        <f aca="false">Budget!M98</f>
        <v>-5610</v>
      </c>
      <c r="AQ82" s="133" t="str">
        <f aca="false">IF(OR(11&gt;$B$3,ISBLANK(Actuals!M98)),"",Actuals!M98)</f>
        <v/>
      </c>
      <c r="AR82" s="134" t="str">
        <f aca="false">IF(OR(11&gt;$B$3,ISBLANK(Actuals!M98)),"",Budget!M98-Actuals!M98)</f>
        <v/>
      </c>
      <c r="AS82" s="134" t="str">
        <f aca="false">IFERROR(IF(OR(11&gt;$B$3,ISBLANK(Actuals!M98)),"",(Budget!M98-Actuals!M98)/ABS(Budget!M98)),"")</f>
        <v/>
      </c>
      <c r="AT82" s="133" t="n">
        <f aca="false">Budget!N98</f>
        <v>-5610</v>
      </c>
      <c r="AU82" s="133" t="str">
        <f aca="false">IF(OR(12&gt;$B$3,ISBLANK(Actuals!N98)),"",Actuals!N98)</f>
        <v/>
      </c>
      <c r="AV82" s="134" t="str">
        <f aca="false">IF(OR(12&gt;$B$3,ISBLANK(Actuals!N98)),"",Budget!N98-Actuals!N98)</f>
        <v/>
      </c>
      <c r="AW82" s="134" t="str">
        <f aca="false">IFERROR(IF(OR(12&gt;$B$3,ISBLANK(Actuals!N98)),"",(Budget!N98-Actuals!N98)/ABS(Budget!N98)),"")</f>
        <v/>
      </c>
      <c r="AX82" s="135" t="n">
        <f aca="false">SUMPRODUCT((Actuals!C98:N98&lt;&gt;"")*(Budget!C98:N98))</f>
        <v>-44220</v>
      </c>
      <c r="AY82" s="135" t="n">
        <f aca="false">SUM(Actuals!C98:N98)</f>
        <v>-22427.18</v>
      </c>
      <c r="AZ82" s="136" t="n">
        <f aca="false">AX82-AY82</f>
        <v>-21792.82</v>
      </c>
    </row>
    <row r="83" customFormat="false" ht="15" hidden="false" customHeight="true" outlineLevel="0" collapsed="false">
      <c r="A83" s="132" t="s">
        <v>81</v>
      </c>
      <c r="B83" s="133" t="n">
        <f aca="false">Budget!C99</f>
        <v>-2083.33</v>
      </c>
      <c r="C83" s="133" t="n">
        <f aca="false">IF(OR(1&gt;$B$3,ISBLANK(Actuals!C99)),"",Actuals!C99)</f>
        <v>-28038</v>
      </c>
      <c r="D83" s="134" t="n">
        <f aca="false">IF(OR(1&gt;$B$3,ISBLANK(Actuals!C99)),"",Budget!C99-Actuals!C99)</f>
        <v>25954.67</v>
      </c>
      <c r="E83" s="134" t="n">
        <f aca="false">IFERROR(IF(OR(1&gt;$B$3,ISBLANK(Actuals!C99)),"",(Budget!C99-Actuals!C99)/ABS(Budget!C99)),"")</f>
        <v>12.4582615332185</v>
      </c>
      <c r="F83" s="133" t="n">
        <f aca="false">Budget!D99</f>
        <v>-2083.33</v>
      </c>
      <c r="G83" s="133" t="n">
        <f aca="false">IF(OR(2&gt;$B$3,ISBLANK(Actuals!D99)),"",Actuals!D99)</f>
        <v>-29387.5</v>
      </c>
      <c r="H83" s="134" t="n">
        <f aca="false">IF(OR(2&gt;$B$3,ISBLANK(Actuals!D99)),"",Budget!D99-Actuals!D99)</f>
        <v>27304.17</v>
      </c>
      <c r="I83" s="134" t="n">
        <f aca="false">IFERROR(IF(OR(2&gt;$B$3,ISBLANK(Actuals!D99)),"",(Budget!D99-Actuals!D99)/ABS(Budget!D99)),"")</f>
        <v>13.1060225696361</v>
      </c>
      <c r="J83" s="133" t="n">
        <f aca="false">Budget!E99</f>
        <v>-2083.33</v>
      </c>
      <c r="K83" s="133" t="n">
        <f aca="false">IF(OR(3&gt;$B$3,ISBLANK(Actuals!E99)),"",Actuals!E99)</f>
        <v>-28083</v>
      </c>
      <c r="L83" s="134" t="n">
        <f aca="false">IF(OR(3&gt;$B$3,ISBLANK(Actuals!E99)),"",Budget!E99-Actuals!E99)</f>
        <v>25999.67</v>
      </c>
      <c r="M83" s="134" t="n">
        <f aca="false">IFERROR(IF(OR(3&gt;$B$3,ISBLANK(Actuals!E99)),"",(Budget!E99-Actuals!E99)/ABS(Budget!E99)),"")</f>
        <v>12.4798615677785</v>
      </c>
      <c r="N83" s="133" t="n">
        <f aca="false">Budget!F99</f>
        <v>-2083.33</v>
      </c>
      <c r="O83" s="133" t="n">
        <f aca="false">IF(OR(4&gt;$B$3,ISBLANK(Actuals!F99)),"",Actuals!F99)</f>
        <v>-28083</v>
      </c>
      <c r="P83" s="134" t="n">
        <f aca="false">IF(OR(4&gt;$B$3,ISBLANK(Actuals!F99)),"",Budget!F99-Actuals!F99)</f>
        <v>25999.67</v>
      </c>
      <c r="Q83" s="134" t="n">
        <f aca="false">IFERROR(IF(OR(4&gt;$B$3,ISBLANK(Actuals!F99)),"",(Budget!F99-Actuals!F99)/ABS(Budget!F99)),"")</f>
        <v>12.4798615677785</v>
      </c>
      <c r="R83" s="133" t="n">
        <f aca="false">Budget!G99</f>
        <v>-2083.33</v>
      </c>
      <c r="S83" s="133" t="n">
        <f aca="false">IF(OR(5&gt;$B$3,ISBLANK(Actuals!G99)),"",Actuals!G99)</f>
        <v>-69333</v>
      </c>
      <c r="T83" s="134" t="n">
        <f aca="false">IF(OR(5&gt;$B$3,ISBLANK(Actuals!G99)),"",Budget!G99-Actuals!G99)</f>
        <v>67249.67</v>
      </c>
      <c r="U83" s="134" t="n">
        <f aca="false">IFERROR(IF(OR(5&gt;$B$3,ISBLANK(Actuals!G99)),"",(Budget!G99-Actuals!G99)/ABS(Budget!G99)),"")</f>
        <v>32.2798932478292</v>
      </c>
      <c r="V83" s="133" t="n">
        <f aca="false">Budget!H99</f>
        <v>-2083.33</v>
      </c>
      <c r="W83" s="133" t="n">
        <f aca="false">IF(OR(6&gt;$B$3,ISBLANK(Actuals!H99)),"",Actuals!H99)</f>
        <v>-28083</v>
      </c>
      <c r="X83" s="134" t="n">
        <f aca="false">IF(OR(6&gt;$B$3,ISBLANK(Actuals!H99)),"",Budget!H99-Actuals!H99)</f>
        <v>25999.67</v>
      </c>
      <c r="Y83" s="134" t="n">
        <f aca="false">IFERROR(IF(OR(6&gt;$B$3,ISBLANK(Actuals!H99)),"",(Budget!H99-Actuals!H99)/ABS(Budget!H99)),"")</f>
        <v>12.4798615677785</v>
      </c>
      <c r="Z83" s="133" t="n">
        <f aca="false">Budget!I99</f>
        <v>-2125</v>
      </c>
      <c r="AA83" s="133" t="n">
        <f aca="false">IF(OR(7&gt;$B$3,ISBLANK(Actuals!I99)),"",Actuals!I99)</f>
        <v>-28628</v>
      </c>
      <c r="AB83" s="134" t="n">
        <f aca="false">IF(OR(7&gt;$B$3,ISBLANK(Actuals!I99)),"",Budget!I99-Actuals!I99)</f>
        <v>26503</v>
      </c>
      <c r="AC83" s="134" t="n">
        <f aca="false">IFERROR(IF(OR(7&gt;$B$3,ISBLANK(Actuals!I99)),"",(Budget!I99-Actuals!I99)/ABS(Budget!I99)),"")</f>
        <v>12.472</v>
      </c>
      <c r="AD83" s="133" t="n">
        <f aca="false">Budget!J99</f>
        <v>-2125</v>
      </c>
      <c r="AE83" s="133" t="n">
        <f aca="false">IF(OR(8&gt;$B$3,ISBLANK(Actuals!J99)),"",Actuals!J99)</f>
        <v>-28083</v>
      </c>
      <c r="AF83" s="134" t="n">
        <f aca="false">IF(OR(8&gt;$B$3,ISBLANK(Actuals!J99)),"",Budget!J99-Actuals!J99)</f>
        <v>25958</v>
      </c>
      <c r="AG83" s="134" t="n">
        <f aca="false">IFERROR(IF(OR(8&gt;$B$3,ISBLANK(Actuals!J99)),"",(Budget!J99-Actuals!J99)/ABS(Budget!J99)),"")</f>
        <v>12.2155294117647</v>
      </c>
      <c r="AH83" s="133" t="n">
        <f aca="false">Budget!K99</f>
        <v>-2125</v>
      </c>
      <c r="AI83" s="133" t="str">
        <f aca="false">IF(OR(9&gt;$B$3,ISBLANK(Actuals!K99)),"",Actuals!K99)</f>
        <v/>
      </c>
      <c r="AJ83" s="134" t="str">
        <f aca="false">IF(OR(9&gt;$B$3,ISBLANK(Actuals!K99)),"",Budget!K99-Actuals!K99)</f>
        <v/>
      </c>
      <c r="AK83" s="134" t="str">
        <f aca="false">IFERROR(IF(OR(9&gt;$B$3,ISBLANK(Actuals!K99)),"",(Budget!K99-Actuals!K99)/ABS(Budget!K99)),"")</f>
        <v/>
      </c>
      <c r="AL83" s="133" t="n">
        <f aca="false">Budget!L99</f>
        <v>-2125</v>
      </c>
      <c r="AM83" s="133" t="str">
        <f aca="false">IF(OR(10&gt;$B$3,ISBLANK(Actuals!L99)),"",Actuals!L99)</f>
        <v/>
      </c>
      <c r="AN83" s="134" t="str">
        <f aca="false">IF(OR(10&gt;$B$3,ISBLANK(Actuals!L99)),"",Budget!L99-Actuals!L99)</f>
        <v/>
      </c>
      <c r="AO83" s="134" t="str">
        <f aca="false">IFERROR(IF(OR(10&gt;$B$3,ISBLANK(Actuals!L99)),"",(Budget!L99-Actuals!L99)/ABS(Budget!L99)),"")</f>
        <v/>
      </c>
      <c r="AP83" s="133" t="n">
        <f aca="false">Budget!M99</f>
        <v>-2125</v>
      </c>
      <c r="AQ83" s="133" t="str">
        <f aca="false">IF(OR(11&gt;$B$3,ISBLANK(Actuals!M99)),"",Actuals!M99)</f>
        <v/>
      </c>
      <c r="AR83" s="134" t="str">
        <f aca="false">IF(OR(11&gt;$B$3,ISBLANK(Actuals!M99)),"",Budget!M99-Actuals!M99)</f>
        <v/>
      </c>
      <c r="AS83" s="134" t="str">
        <f aca="false">IFERROR(IF(OR(11&gt;$B$3,ISBLANK(Actuals!M99)),"",(Budget!M99-Actuals!M99)/ABS(Budget!M99)),"")</f>
        <v/>
      </c>
      <c r="AT83" s="133" t="n">
        <f aca="false">Budget!N99</f>
        <v>-2125</v>
      </c>
      <c r="AU83" s="133" t="str">
        <f aca="false">IF(OR(12&gt;$B$3,ISBLANK(Actuals!N99)),"",Actuals!N99)</f>
        <v/>
      </c>
      <c r="AV83" s="134" t="str">
        <f aca="false">IF(OR(12&gt;$B$3,ISBLANK(Actuals!N99)),"",Budget!N99-Actuals!N99)</f>
        <v/>
      </c>
      <c r="AW83" s="134" t="str">
        <f aca="false">IFERROR(IF(OR(12&gt;$B$3,ISBLANK(Actuals!N99)),"",(Budget!N99-Actuals!N99)/ABS(Budget!N99)),"")</f>
        <v/>
      </c>
      <c r="AX83" s="135" t="n">
        <f aca="false">SUMPRODUCT((Actuals!C99:N99&lt;&gt;"")*(Budget!C99:N99))</f>
        <v>-16749.98</v>
      </c>
      <c r="AY83" s="135" t="n">
        <f aca="false">SUM(Actuals!C99:N99)</f>
        <v>-267718.5</v>
      </c>
      <c r="AZ83" s="136" t="n">
        <f aca="false">AX83-AY83</f>
        <v>250968.52</v>
      </c>
    </row>
    <row r="84" customFormat="false" ht="15" hidden="false" customHeight="true" outlineLevel="0" collapsed="false">
      <c r="A84" s="132" t="s">
        <v>128</v>
      </c>
      <c r="B84" s="133" t="n">
        <f aca="false">Budget!C100</f>
        <v>-500</v>
      </c>
      <c r="C84" s="133" t="n">
        <f aca="false">IF(OR(1&gt;$B$3,ISBLANK(Actuals!C100)),"",Actuals!C100)</f>
        <v>-268</v>
      </c>
      <c r="D84" s="134" t="n">
        <f aca="false">IF(OR(1&gt;$B$3,ISBLANK(Actuals!C100)),"",Budget!C100-Actuals!C100)</f>
        <v>-232</v>
      </c>
      <c r="E84" s="134" t="n">
        <f aca="false">IFERROR(IF(OR(1&gt;$B$3,ISBLANK(Actuals!C100)),"",(Budget!C100-Actuals!C100)/ABS(Budget!C100)),"")</f>
        <v>-0.464</v>
      </c>
      <c r="F84" s="133" t="n">
        <f aca="false">Budget!D100</f>
        <v>-500</v>
      </c>
      <c r="G84" s="133" t="n">
        <f aca="false">IF(OR(2&gt;$B$3,ISBLANK(Actuals!D100)),"",Actuals!D100)</f>
        <v>-2088.75</v>
      </c>
      <c r="H84" s="134" t="n">
        <f aca="false">IF(OR(2&gt;$B$3,ISBLANK(Actuals!D100)),"",Budget!D100-Actuals!D100)</f>
        <v>1588.75</v>
      </c>
      <c r="I84" s="134" t="n">
        <f aca="false">IFERROR(IF(OR(2&gt;$B$3,ISBLANK(Actuals!D100)),"",(Budget!D100-Actuals!D100)/ABS(Budget!D100)),"")</f>
        <v>3.1775</v>
      </c>
      <c r="J84" s="133" t="n">
        <f aca="false">Budget!E100</f>
        <v>-500</v>
      </c>
      <c r="K84" s="133" t="n">
        <f aca="false">IF(OR(3&gt;$B$3,ISBLANK(Actuals!E100)),"",Actuals!E100)</f>
        <v>-2401.75</v>
      </c>
      <c r="L84" s="134" t="n">
        <f aca="false">IF(OR(3&gt;$B$3,ISBLANK(Actuals!E100)),"",Budget!E100-Actuals!E100)</f>
        <v>1901.75</v>
      </c>
      <c r="M84" s="134" t="n">
        <f aca="false">IFERROR(IF(OR(3&gt;$B$3,ISBLANK(Actuals!E100)),"",(Budget!E100-Actuals!E100)/ABS(Budget!E100)),"")</f>
        <v>3.8035</v>
      </c>
      <c r="N84" s="133" t="n">
        <f aca="false">Budget!F100</f>
        <v>-500</v>
      </c>
      <c r="O84" s="133" t="n">
        <f aca="false">IF(OR(4&gt;$B$3,ISBLANK(Actuals!F100)),"",Actuals!F100)</f>
        <v>-4209.5</v>
      </c>
      <c r="P84" s="134" t="n">
        <f aca="false">IF(OR(4&gt;$B$3,ISBLANK(Actuals!F100)),"",Budget!F100-Actuals!F100)</f>
        <v>3709.5</v>
      </c>
      <c r="Q84" s="134" t="n">
        <f aca="false">IFERROR(IF(OR(4&gt;$B$3,ISBLANK(Actuals!F100)),"",(Budget!F100-Actuals!F100)/ABS(Budget!F100)),"")</f>
        <v>7.419</v>
      </c>
      <c r="R84" s="133" t="n">
        <f aca="false">Budget!G100</f>
        <v>-500</v>
      </c>
      <c r="S84" s="133" t="n">
        <f aca="false">IF(OR(5&gt;$B$3,ISBLANK(Actuals!G100)),"",Actuals!G100)</f>
        <v>-2377.59</v>
      </c>
      <c r="T84" s="134" t="n">
        <f aca="false">IF(OR(5&gt;$B$3,ISBLANK(Actuals!G100)),"",Budget!G100-Actuals!G100)</f>
        <v>1877.59</v>
      </c>
      <c r="U84" s="134" t="n">
        <f aca="false">IFERROR(IF(OR(5&gt;$B$3,ISBLANK(Actuals!G100)),"",(Budget!G100-Actuals!G100)/ABS(Budget!G100)),"")</f>
        <v>3.75518</v>
      </c>
      <c r="V84" s="133" t="n">
        <f aca="false">Budget!H100</f>
        <v>-500</v>
      </c>
      <c r="W84" s="133" t="n">
        <f aca="false">IF(OR(6&gt;$B$3,ISBLANK(Actuals!H100)),"",Actuals!H100)</f>
        <v>-16</v>
      </c>
      <c r="X84" s="134" t="n">
        <f aca="false">IF(OR(6&gt;$B$3,ISBLANK(Actuals!H100)),"",Budget!H100-Actuals!H100)</f>
        <v>-484</v>
      </c>
      <c r="Y84" s="134" t="n">
        <f aca="false">IFERROR(IF(OR(6&gt;$B$3,ISBLANK(Actuals!H100)),"",(Budget!H100-Actuals!H100)/ABS(Budget!H100)),"")</f>
        <v>-0.968</v>
      </c>
      <c r="Z84" s="133" t="n">
        <f aca="false">Budget!I100</f>
        <v>-510</v>
      </c>
      <c r="AA84" s="133" t="n">
        <f aca="false">IF(OR(7&gt;$B$3,ISBLANK(Actuals!I100)),"",Actuals!I100)</f>
        <v>-4592.5</v>
      </c>
      <c r="AB84" s="134" t="n">
        <f aca="false">IF(OR(7&gt;$B$3,ISBLANK(Actuals!I100)),"",Budget!I100-Actuals!I100)</f>
        <v>4082.5</v>
      </c>
      <c r="AC84" s="134" t="n">
        <f aca="false">IFERROR(IF(OR(7&gt;$B$3,ISBLANK(Actuals!I100)),"",(Budget!I100-Actuals!I100)/ABS(Budget!I100)),"")</f>
        <v>8.00490196078432</v>
      </c>
      <c r="AD84" s="133" t="n">
        <f aca="false">Budget!J100</f>
        <v>-510</v>
      </c>
      <c r="AE84" s="133" t="n">
        <f aca="false">IF(OR(8&gt;$B$3,ISBLANK(Actuals!J100)),"",Actuals!J100)</f>
        <v>-268</v>
      </c>
      <c r="AF84" s="134" t="n">
        <f aca="false">IF(OR(8&gt;$B$3,ISBLANK(Actuals!J100)),"",Budget!J100-Actuals!J100)</f>
        <v>-242</v>
      </c>
      <c r="AG84" s="134" t="n">
        <f aca="false">IFERROR(IF(OR(8&gt;$B$3,ISBLANK(Actuals!J100)),"",(Budget!J100-Actuals!J100)/ABS(Budget!J100)),"")</f>
        <v>-0.474509803921569</v>
      </c>
      <c r="AH84" s="133" t="n">
        <f aca="false">Budget!K100</f>
        <v>-510</v>
      </c>
      <c r="AI84" s="133" t="str">
        <f aca="false">IF(OR(9&gt;$B$3,ISBLANK(Actuals!K100)),"",Actuals!K100)</f>
        <v/>
      </c>
      <c r="AJ84" s="134" t="str">
        <f aca="false">IF(OR(9&gt;$B$3,ISBLANK(Actuals!K100)),"",Budget!K100-Actuals!K100)</f>
        <v/>
      </c>
      <c r="AK84" s="134" t="str">
        <f aca="false">IFERROR(IF(OR(9&gt;$B$3,ISBLANK(Actuals!K100)),"",(Budget!K100-Actuals!K100)/ABS(Budget!K100)),"")</f>
        <v/>
      </c>
      <c r="AL84" s="133" t="n">
        <f aca="false">Budget!L100</f>
        <v>-510</v>
      </c>
      <c r="AM84" s="133" t="str">
        <f aca="false">IF(OR(10&gt;$B$3,ISBLANK(Actuals!L100)),"",Actuals!L100)</f>
        <v/>
      </c>
      <c r="AN84" s="134" t="str">
        <f aca="false">IF(OR(10&gt;$B$3,ISBLANK(Actuals!L100)),"",Budget!L100-Actuals!L100)</f>
        <v/>
      </c>
      <c r="AO84" s="134" t="str">
        <f aca="false">IFERROR(IF(OR(10&gt;$B$3,ISBLANK(Actuals!L100)),"",(Budget!L100-Actuals!L100)/ABS(Budget!L100)),"")</f>
        <v/>
      </c>
      <c r="AP84" s="133" t="n">
        <f aca="false">Budget!M100</f>
        <v>-510</v>
      </c>
      <c r="AQ84" s="133" t="str">
        <f aca="false">IF(OR(11&gt;$B$3,ISBLANK(Actuals!M100)),"",Actuals!M100)</f>
        <v/>
      </c>
      <c r="AR84" s="134" t="str">
        <f aca="false">IF(OR(11&gt;$B$3,ISBLANK(Actuals!M100)),"",Budget!M100-Actuals!M100)</f>
        <v/>
      </c>
      <c r="AS84" s="134" t="str">
        <f aca="false">IFERROR(IF(OR(11&gt;$B$3,ISBLANK(Actuals!M100)),"",(Budget!M100-Actuals!M100)/ABS(Budget!M100)),"")</f>
        <v/>
      </c>
      <c r="AT84" s="133" t="n">
        <f aca="false">Budget!N100</f>
        <v>-510</v>
      </c>
      <c r="AU84" s="133" t="str">
        <f aca="false">IF(OR(12&gt;$B$3,ISBLANK(Actuals!N100)),"",Actuals!N100)</f>
        <v/>
      </c>
      <c r="AV84" s="134" t="str">
        <f aca="false">IF(OR(12&gt;$B$3,ISBLANK(Actuals!N100)),"",Budget!N100-Actuals!N100)</f>
        <v/>
      </c>
      <c r="AW84" s="134" t="str">
        <f aca="false">IFERROR(IF(OR(12&gt;$B$3,ISBLANK(Actuals!N100)),"",(Budget!N100-Actuals!N100)/ABS(Budget!N100)),"")</f>
        <v/>
      </c>
      <c r="AX84" s="135" t="n">
        <f aca="false">SUMPRODUCT((Actuals!C100:N100&lt;&gt;"")*(Budget!C100:N100))</f>
        <v>-4020</v>
      </c>
      <c r="AY84" s="135" t="n">
        <f aca="false">SUM(Actuals!C100:N100)</f>
        <v>-16222.09</v>
      </c>
      <c r="AZ84" s="136" t="n">
        <f aca="false">AX84-AY84</f>
        <v>12202.09</v>
      </c>
    </row>
    <row r="85" customFormat="false" ht="15" hidden="false" customHeight="true" outlineLevel="0" collapsed="false">
      <c r="A85" s="132" t="s">
        <v>129</v>
      </c>
      <c r="B85" s="133" t="n">
        <f aca="false">Budget!C101</f>
        <v>-2000</v>
      </c>
      <c r="C85" s="133" t="n">
        <f aca="false">IF(OR(1&gt;$B$3,ISBLANK(Actuals!C101)),"",Actuals!C101)</f>
        <v>-341.83</v>
      </c>
      <c r="D85" s="134" t="n">
        <f aca="false">IF(OR(1&gt;$B$3,ISBLANK(Actuals!C101)),"",Budget!C101-Actuals!C101)</f>
        <v>-1658.17</v>
      </c>
      <c r="E85" s="134" t="n">
        <f aca="false">IFERROR(IF(OR(1&gt;$B$3,ISBLANK(Actuals!C101)),"",(Budget!C101-Actuals!C101)/ABS(Budget!C101)),"")</f>
        <v>-0.829085</v>
      </c>
      <c r="F85" s="133" t="n">
        <f aca="false">Budget!D101</f>
        <v>-2000</v>
      </c>
      <c r="G85" s="133" t="n">
        <f aca="false">IF(OR(2&gt;$B$3,ISBLANK(Actuals!D101)),"",Actuals!D101)</f>
        <v>-728</v>
      </c>
      <c r="H85" s="134" t="n">
        <f aca="false">IF(OR(2&gt;$B$3,ISBLANK(Actuals!D101)),"",Budget!D101-Actuals!D101)</f>
        <v>-1272</v>
      </c>
      <c r="I85" s="134" t="n">
        <f aca="false">IFERROR(IF(OR(2&gt;$B$3,ISBLANK(Actuals!D101)),"",(Budget!D101-Actuals!D101)/ABS(Budget!D101)),"")</f>
        <v>-0.636</v>
      </c>
      <c r="J85" s="133" t="n">
        <f aca="false">Budget!E101</f>
        <v>-2000</v>
      </c>
      <c r="K85" s="133" t="n">
        <f aca="false">IF(OR(3&gt;$B$3,ISBLANK(Actuals!E101)),"",Actuals!E101)</f>
        <v>-15256.75</v>
      </c>
      <c r="L85" s="134" t="n">
        <f aca="false">IF(OR(3&gt;$B$3,ISBLANK(Actuals!E101)),"",Budget!E101-Actuals!E101)</f>
        <v>13256.75</v>
      </c>
      <c r="M85" s="134" t="n">
        <f aca="false">IFERROR(IF(OR(3&gt;$B$3,ISBLANK(Actuals!E101)),"",(Budget!E101-Actuals!E101)/ABS(Budget!E101)),"")</f>
        <v>6.628375</v>
      </c>
      <c r="N85" s="133" t="n">
        <f aca="false">Budget!F101</f>
        <v>-2000</v>
      </c>
      <c r="O85" s="133" t="n">
        <f aca="false">IF(OR(4&gt;$B$3,ISBLANK(Actuals!F101)),"",Actuals!F101)</f>
        <v>-1033.41</v>
      </c>
      <c r="P85" s="134" t="n">
        <f aca="false">IF(OR(4&gt;$B$3,ISBLANK(Actuals!F101)),"",Budget!F101-Actuals!F101)</f>
        <v>-966.59</v>
      </c>
      <c r="Q85" s="134" t="n">
        <f aca="false">IFERROR(IF(OR(4&gt;$B$3,ISBLANK(Actuals!F101)),"",(Budget!F101-Actuals!F101)/ABS(Budget!F101)),"")</f>
        <v>-0.483295</v>
      </c>
      <c r="R85" s="133" t="n">
        <f aca="false">Budget!G101</f>
        <v>-2000</v>
      </c>
      <c r="S85" s="133" t="n">
        <f aca="false">IF(OR(5&gt;$B$3,ISBLANK(Actuals!G101)),"",Actuals!G101)</f>
        <v>-3499</v>
      </c>
      <c r="T85" s="134" t="n">
        <f aca="false">IF(OR(5&gt;$B$3,ISBLANK(Actuals!G101)),"",Budget!G101-Actuals!G101)</f>
        <v>1499</v>
      </c>
      <c r="U85" s="134" t="n">
        <f aca="false">IFERROR(IF(OR(5&gt;$B$3,ISBLANK(Actuals!G101)),"",(Budget!G101-Actuals!G101)/ABS(Budget!G101)),"")</f>
        <v>0.7495</v>
      </c>
      <c r="V85" s="133" t="n">
        <f aca="false">Budget!H101</f>
        <v>-2000</v>
      </c>
      <c r="W85" s="133" t="n">
        <f aca="false">IF(OR(6&gt;$B$3,ISBLANK(Actuals!H101)),"",Actuals!H101)</f>
        <v>-1033.41</v>
      </c>
      <c r="X85" s="134" t="n">
        <f aca="false">IF(OR(6&gt;$B$3,ISBLANK(Actuals!H101)),"",Budget!H101-Actuals!H101)</f>
        <v>-966.59</v>
      </c>
      <c r="Y85" s="134" t="n">
        <f aca="false">IFERROR(IF(OR(6&gt;$B$3,ISBLANK(Actuals!H101)),"",(Budget!H101-Actuals!H101)/ABS(Budget!H101)),"")</f>
        <v>-0.483295</v>
      </c>
      <c r="Z85" s="133" t="n">
        <f aca="false">Budget!I101</f>
        <v>-2040</v>
      </c>
      <c r="AA85" s="133" t="n">
        <f aca="false">IF(OR(7&gt;$B$3,ISBLANK(Actuals!I101)),"",Actuals!I101)</f>
        <v>-537.06</v>
      </c>
      <c r="AB85" s="134" t="n">
        <f aca="false">IF(OR(7&gt;$B$3,ISBLANK(Actuals!I101)),"",Budget!I101-Actuals!I101)</f>
        <v>-1502.94</v>
      </c>
      <c r="AC85" s="134" t="n">
        <f aca="false">IFERROR(IF(OR(7&gt;$B$3,ISBLANK(Actuals!I101)),"",(Budget!I101-Actuals!I101)/ABS(Budget!I101)),"")</f>
        <v>-0.736735294117647</v>
      </c>
      <c r="AD85" s="133" t="n">
        <f aca="false">Budget!J101</f>
        <v>-2040</v>
      </c>
      <c r="AE85" s="133" t="n">
        <f aca="false">IF(OR(8&gt;$B$3,ISBLANK(Actuals!J101)),"",Actuals!J101)</f>
        <v>-1903.22</v>
      </c>
      <c r="AF85" s="134" t="n">
        <f aca="false">IF(OR(8&gt;$B$3,ISBLANK(Actuals!J101)),"",Budget!J101-Actuals!J101)</f>
        <v>-136.78</v>
      </c>
      <c r="AG85" s="134" t="n">
        <f aca="false">IFERROR(IF(OR(8&gt;$B$3,ISBLANK(Actuals!J101)),"",(Budget!J101-Actuals!J101)/ABS(Budget!J101)),"")</f>
        <v>-0.0670490196078431</v>
      </c>
      <c r="AH85" s="133" t="n">
        <f aca="false">Budget!K101</f>
        <v>-2040</v>
      </c>
      <c r="AI85" s="133" t="str">
        <f aca="false">IF(OR(9&gt;$B$3,ISBLANK(Actuals!K101)),"",Actuals!K101)</f>
        <v/>
      </c>
      <c r="AJ85" s="134" t="str">
        <f aca="false">IF(OR(9&gt;$B$3,ISBLANK(Actuals!K101)),"",Budget!K101-Actuals!K101)</f>
        <v/>
      </c>
      <c r="AK85" s="134" t="str">
        <f aca="false">IFERROR(IF(OR(9&gt;$B$3,ISBLANK(Actuals!K101)),"",(Budget!K101-Actuals!K101)/ABS(Budget!K101)),"")</f>
        <v/>
      </c>
      <c r="AL85" s="133" t="n">
        <f aca="false">Budget!L101</f>
        <v>-2040</v>
      </c>
      <c r="AM85" s="133" t="str">
        <f aca="false">IF(OR(10&gt;$B$3,ISBLANK(Actuals!L101)),"",Actuals!L101)</f>
        <v/>
      </c>
      <c r="AN85" s="134" t="str">
        <f aca="false">IF(OR(10&gt;$B$3,ISBLANK(Actuals!L101)),"",Budget!L101-Actuals!L101)</f>
        <v/>
      </c>
      <c r="AO85" s="134" t="str">
        <f aca="false">IFERROR(IF(OR(10&gt;$B$3,ISBLANK(Actuals!L101)),"",(Budget!L101-Actuals!L101)/ABS(Budget!L101)),"")</f>
        <v/>
      </c>
      <c r="AP85" s="133" t="n">
        <f aca="false">Budget!M101</f>
        <v>-2040</v>
      </c>
      <c r="AQ85" s="133" t="str">
        <f aca="false">IF(OR(11&gt;$B$3,ISBLANK(Actuals!M101)),"",Actuals!M101)</f>
        <v/>
      </c>
      <c r="AR85" s="134" t="str">
        <f aca="false">IF(OR(11&gt;$B$3,ISBLANK(Actuals!M101)),"",Budget!M101-Actuals!M101)</f>
        <v/>
      </c>
      <c r="AS85" s="134" t="str">
        <f aca="false">IFERROR(IF(OR(11&gt;$B$3,ISBLANK(Actuals!M101)),"",(Budget!M101-Actuals!M101)/ABS(Budget!M101)),"")</f>
        <v/>
      </c>
      <c r="AT85" s="133" t="n">
        <f aca="false">Budget!N101</f>
        <v>-2040</v>
      </c>
      <c r="AU85" s="133" t="str">
        <f aca="false">IF(OR(12&gt;$B$3,ISBLANK(Actuals!N101)),"",Actuals!N101)</f>
        <v/>
      </c>
      <c r="AV85" s="134" t="str">
        <f aca="false">IF(OR(12&gt;$B$3,ISBLANK(Actuals!N101)),"",Budget!N101-Actuals!N101)</f>
        <v/>
      </c>
      <c r="AW85" s="134" t="str">
        <f aca="false">IFERROR(IF(OR(12&gt;$B$3,ISBLANK(Actuals!N101)),"",(Budget!N101-Actuals!N101)/ABS(Budget!N101)),"")</f>
        <v/>
      </c>
      <c r="AX85" s="135" t="n">
        <f aca="false">SUMPRODUCT((Actuals!C101:N101&lt;&gt;"")*(Budget!C101:N101))</f>
        <v>-16080</v>
      </c>
      <c r="AY85" s="135" t="n">
        <f aca="false">SUM(Actuals!C101:N101)</f>
        <v>-24332.68</v>
      </c>
      <c r="AZ85" s="136" t="n">
        <f aca="false">AX85-AY85</f>
        <v>8252.68</v>
      </c>
    </row>
    <row r="86" customFormat="false" ht="15" hidden="false" customHeight="true" outlineLevel="0" collapsed="false">
      <c r="A86" s="132" t="s">
        <v>130</v>
      </c>
      <c r="B86" s="133" t="n">
        <f aca="false">Budget!C102</f>
        <v>-1541.67</v>
      </c>
      <c r="C86" s="133" t="n">
        <f aca="false">IF(OR(1&gt;$B$3,ISBLANK(Actuals!C102)),"",Actuals!C102)</f>
        <v>-1905.31</v>
      </c>
      <c r="D86" s="134" t="n">
        <f aca="false">IF(OR(1&gt;$B$3,ISBLANK(Actuals!C102)),"",Budget!C102-Actuals!C102)</f>
        <v>363.64</v>
      </c>
      <c r="E86" s="134" t="n">
        <f aca="false">IFERROR(IF(OR(1&gt;$B$3,ISBLANK(Actuals!C102)),"",(Budget!C102-Actuals!C102)/ABS(Budget!C102)),"")</f>
        <v>0.235874084596574</v>
      </c>
      <c r="F86" s="133" t="n">
        <f aca="false">Budget!D102</f>
        <v>-1541.67</v>
      </c>
      <c r="G86" s="133" t="n">
        <f aca="false">IF(OR(2&gt;$B$3,ISBLANK(Actuals!D102)),"",Actuals!D102)</f>
        <v>-1905.31</v>
      </c>
      <c r="H86" s="134" t="n">
        <f aca="false">IF(OR(2&gt;$B$3,ISBLANK(Actuals!D102)),"",Budget!D102-Actuals!D102)</f>
        <v>363.64</v>
      </c>
      <c r="I86" s="134" t="n">
        <f aca="false">IFERROR(IF(OR(2&gt;$B$3,ISBLANK(Actuals!D102)),"",(Budget!D102-Actuals!D102)/ABS(Budget!D102)),"")</f>
        <v>0.235874084596574</v>
      </c>
      <c r="J86" s="133" t="n">
        <f aca="false">Budget!E102</f>
        <v>-1541.67</v>
      </c>
      <c r="K86" s="133" t="n">
        <f aca="false">IF(OR(3&gt;$B$3,ISBLANK(Actuals!E102)),"",Actuals!E102)</f>
        <v>-1905.31</v>
      </c>
      <c r="L86" s="134" t="n">
        <f aca="false">IF(OR(3&gt;$B$3,ISBLANK(Actuals!E102)),"",Budget!E102-Actuals!E102)</f>
        <v>363.64</v>
      </c>
      <c r="M86" s="134" t="n">
        <f aca="false">IFERROR(IF(OR(3&gt;$B$3,ISBLANK(Actuals!E102)),"",(Budget!E102-Actuals!E102)/ABS(Budget!E102)),"")</f>
        <v>0.235874084596574</v>
      </c>
      <c r="N86" s="133" t="n">
        <f aca="false">Budget!F102</f>
        <v>-1541.67</v>
      </c>
      <c r="O86" s="133" t="n">
        <f aca="false">IF(OR(4&gt;$B$3,ISBLANK(Actuals!F102)),"",Actuals!F102)</f>
        <v>-1905.31</v>
      </c>
      <c r="P86" s="134" t="n">
        <f aca="false">IF(OR(4&gt;$B$3,ISBLANK(Actuals!F102)),"",Budget!F102-Actuals!F102)</f>
        <v>363.64</v>
      </c>
      <c r="Q86" s="134" t="n">
        <f aca="false">IFERROR(IF(OR(4&gt;$B$3,ISBLANK(Actuals!F102)),"",(Budget!F102-Actuals!F102)/ABS(Budget!F102)),"")</f>
        <v>0.235874084596574</v>
      </c>
      <c r="R86" s="133" t="n">
        <f aca="false">Budget!G102</f>
        <v>-1541.67</v>
      </c>
      <c r="S86" s="133" t="n">
        <f aca="false">IF(OR(5&gt;$B$3,ISBLANK(Actuals!G102)),"",Actuals!G102)</f>
        <v>-1905.31</v>
      </c>
      <c r="T86" s="134" t="n">
        <f aca="false">IF(OR(5&gt;$B$3,ISBLANK(Actuals!G102)),"",Budget!G102-Actuals!G102)</f>
        <v>363.64</v>
      </c>
      <c r="U86" s="134" t="n">
        <f aca="false">IFERROR(IF(OR(5&gt;$B$3,ISBLANK(Actuals!G102)),"",(Budget!G102-Actuals!G102)/ABS(Budget!G102)),"")</f>
        <v>0.235874084596574</v>
      </c>
      <c r="V86" s="133" t="n">
        <f aca="false">Budget!H102</f>
        <v>-1541.67</v>
      </c>
      <c r="W86" s="133" t="n">
        <f aca="false">IF(OR(6&gt;$B$3,ISBLANK(Actuals!H102)),"",Actuals!H102)</f>
        <v>-1905.31</v>
      </c>
      <c r="X86" s="134" t="n">
        <f aca="false">IF(OR(6&gt;$B$3,ISBLANK(Actuals!H102)),"",Budget!H102-Actuals!H102)</f>
        <v>363.64</v>
      </c>
      <c r="Y86" s="134" t="n">
        <f aca="false">IFERROR(IF(OR(6&gt;$B$3,ISBLANK(Actuals!H102)),"",(Budget!H102-Actuals!H102)/ABS(Budget!H102)),"")</f>
        <v>0.235874084596574</v>
      </c>
      <c r="Z86" s="133" t="n">
        <f aca="false">Budget!I102</f>
        <v>-1572.5</v>
      </c>
      <c r="AA86" s="133" t="n">
        <f aca="false">IF(OR(7&gt;$B$3,ISBLANK(Actuals!I102)),"",Actuals!I102)</f>
        <v>-1905.31</v>
      </c>
      <c r="AB86" s="134" t="n">
        <f aca="false">IF(OR(7&gt;$B$3,ISBLANK(Actuals!I102)),"",Budget!I102-Actuals!I102)</f>
        <v>332.81</v>
      </c>
      <c r="AC86" s="134" t="n">
        <f aca="false">IFERROR(IF(OR(7&gt;$B$3,ISBLANK(Actuals!I102)),"",(Budget!I102-Actuals!I102)/ABS(Budget!I102)),"")</f>
        <v>0.211643879173291</v>
      </c>
      <c r="AD86" s="133" t="n">
        <f aca="false">Budget!J102</f>
        <v>-1572.5</v>
      </c>
      <c r="AE86" s="133" t="n">
        <f aca="false">IF(OR(8&gt;$B$3,ISBLANK(Actuals!J102)),"",Actuals!J102)</f>
        <v>-1905.31</v>
      </c>
      <c r="AF86" s="134" t="n">
        <f aca="false">IF(OR(8&gt;$B$3,ISBLANK(Actuals!J102)),"",Budget!J102-Actuals!J102)</f>
        <v>332.81</v>
      </c>
      <c r="AG86" s="134" t="n">
        <f aca="false">IFERROR(IF(OR(8&gt;$B$3,ISBLANK(Actuals!J102)),"",(Budget!J102-Actuals!J102)/ABS(Budget!J102)),"")</f>
        <v>0.211643879173291</v>
      </c>
      <c r="AH86" s="133" t="n">
        <f aca="false">Budget!K102</f>
        <v>-1572.5</v>
      </c>
      <c r="AI86" s="133" t="str">
        <f aca="false">IF(OR(9&gt;$B$3,ISBLANK(Actuals!K102)),"",Actuals!K102)</f>
        <v/>
      </c>
      <c r="AJ86" s="134" t="str">
        <f aca="false">IF(OR(9&gt;$B$3,ISBLANK(Actuals!K102)),"",Budget!K102-Actuals!K102)</f>
        <v/>
      </c>
      <c r="AK86" s="134" t="str">
        <f aca="false">IFERROR(IF(OR(9&gt;$B$3,ISBLANK(Actuals!K102)),"",(Budget!K102-Actuals!K102)/ABS(Budget!K102)),"")</f>
        <v/>
      </c>
      <c r="AL86" s="133" t="n">
        <f aca="false">Budget!L102</f>
        <v>-1572.5</v>
      </c>
      <c r="AM86" s="133" t="str">
        <f aca="false">IF(OR(10&gt;$B$3,ISBLANK(Actuals!L102)),"",Actuals!L102)</f>
        <v/>
      </c>
      <c r="AN86" s="134" t="str">
        <f aca="false">IF(OR(10&gt;$B$3,ISBLANK(Actuals!L102)),"",Budget!L102-Actuals!L102)</f>
        <v/>
      </c>
      <c r="AO86" s="134" t="str">
        <f aca="false">IFERROR(IF(OR(10&gt;$B$3,ISBLANK(Actuals!L102)),"",(Budget!L102-Actuals!L102)/ABS(Budget!L102)),"")</f>
        <v/>
      </c>
      <c r="AP86" s="133" t="n">
        <f aca="false">Budget!M102</f>
        <v>-1572.5</v>
      </c>
      <c r="AQ86" s="133" t="str">
        <f aca="false">IF(OR(11&gt;$B$3,ISBLANK(Actuals!M102)),"",Actuals!M102)</f>
        <v/>
      </c>
      <c r="AR86" s="134" t="str">
        <f aca="false">IF(OR(11&gt;$B$3,ISBLANK(Actuals!M102)),"",Budget!M102-Actuals!M102)</f>
        <v/>
      </c>
      <c r="AS86" s="134" t="str">
        <f aca="false">IFERROR(IF(OR(11&gt;$B$3,ISBLANK(Actuals!M102)),"",(Budget!M102-Actuals!M102)/ABS(Budget!M102)),"")</f>
        <v/>
      </c>
      <c r="AT86" s="133" t="n">
        <f aca="false">Budget!N102</f>
        <v>-1572.5</v>
      </c>
      <c r="AU86" s="133" t="str">
        <f aca="false">IF(OR(12&gt;$B$3,ISBLANK(Actuals!N102)),"",Actuals!N102)</f>
        <v/>
      </c>
      <c r="AV86" s="134" t="str">
        <f aca="false">IF(OR(12&gt;$B$3,ISBLANK(Actuals!N102)),"",Budget!N102-Actuals!N102)</f>
        <v/>
      </c>
      <c r="AW86" s="134" t="str">
        <f aca="false">IFERROR(IF(OR(12&gt;$B$3,ISBLANK(Actuals!N102)),"",(Budget!N102-Actuals!N102)/ABS(Budget!N102)),"")</f>
        <v/>
      </c>
      <c r="AX86" s="135" t="n">
        <f aca="false">SUMPRODUCT((Actuals!C102:N102&lt;&gt;"")*(Budget!C102:N102))</f>
        <v>-12395.02</v>
      </c>
      <c r="AY86" s="135" t="n">
        <f aca="false">SUM(Actuals!C102:N102)</f>
        <v>-15242.48</v>
      </c>
      <c r="AZ86" s="136" t="n">
        <f aca="false">AX86-AY86</f>
        <v>2847.46</v>
      </c>
    </row>
    <row r="87" customFormat="false" ht="15" hidden="false" customHeight="true" outlineLevel="0" collapsed="false">
      <c r="A87" s="132" t="s">
        <v>131</v>
      </c>
      <c r="B87" s="133" t="n">
        <f aca="false">Budget!C103</f>
        <v>-2100</v>
      </c>
      <c r="C87" s="133" t="n">
        <f aca="false">IF(OR(1&gt;$B$3,ISBLANK(Actuals!C103)),"",Actuals!C103)</f>
        <v>-2100</v>
      </c>
      <c r="D87" s="134" t="n">
        <f aca="false">IF(OR(1&gt;$B$3,ISBLANK(Actuals!C103)),"",Budget!C103-Actuals!C103)</f>
        <v>0</v>
      </c>
      <c r="E87" s="134" t="n">
        <f aca="false">IFERROR(IF(OR(1&gt;$B$3,ISBLANK(Actuals!C103)),"",(Budget!C103-Actuals!C103)/ABS(Budget!C103)),"")</f>
        <v>0</v>
      </c>
      <c r="F87" s="133" t="n">
        <f aca="false">Budget!D103</f>
        <v>-2100</v>
      </c>
      <c r="G87" s="133" t="n">
        <f aca="false">IF(OR(2&gt;$B$3,ISBLANK(Actuals!D103)),"",Actuals!D103)</f>
        <v>-2100</v>
      </c>
      <c r="H87" s="134" t="n">
        <f aca="false">IF(OR(2&gt;$B$3,ISBLANK(Actuals!D103)),"",Budget!D103-Actuals!D103)</f>
        <v>0</v>
      </c>
      <c r="I87" s="134" t="n">
        <f aca="false">IFERROR(IF(OR(2&gt;$B$3,ISBLANK(Actuals!D103)),"",(Budget!D103-Actuals!D103)/ABS(Budget!D103)),"")</f>
        <v>0</v>
      </c>
      <c r="J87" s="133" t="n">
        <f aca="false">Budget!E103</f>
        <v>-2100</v>
      </c>
      <c r="K87" s="133" t="n">
        <f aca="false">IF(OR(3&gt;$B$3,ISBLANK(Actuals!E103)),"",Actuals!E103)</f>
        <v>-2100</v>
      </c>
      <c r="L87" s="134" t="n">
        <f aca="false">IF(OR(3&gt;$B$3,ISBLANK(Actuals!E103)),"",Budget!E103-Actuals!E103)</f>
        <v>0</v>
      </c>
      <c r="M87" s="134" t="n">
        <f aca="false">IFERROR(IF(OR(3&gt;$B$3,ISBLANK(Actuals!E103)),"",(Budget!E103-Actuals!E103)/ABS(Budget!E103)),"")</f>
        <v>0</v>
      </c>
      <c r="N87" s="133" t="n">
        <f aca="false">Budget!F103</f>
        <v>-2100</v>
      </c>
      <c r="O87" s="133" t="n">
        <f aca="false">IF(OR(4&gt;$B$3,ISBLANK(Actuals!F103)),"",Actuals!F103)</f>
        <v>-2100</v>
      </c>
      <c r="P87" s="134" t="n">
        <f aca="false">IF(OR(4&gt;$B$3,ISBLANK(Actuals!F103)),"",Budget!F103-Actuals!F103)</f>
        <v>0</v>
      </c>
      <c r="Q87" s="134" t="n">
        <f aca="false">IFERROR(IF(OR(4&gt;$B$3,ISBLANK(Actuals!F103)),"",(Budget!F103-Actuals!F103)/ABS(Budget!F103)),"")</f>
        <v>0</v>
      </c>
      <c r="R87" s="133" t="n">
        <f aca="false">Budget!G103</f>
        <v>-2100</v>
      </c>
      <c r="S87" s="133" t="n">
        <f aca="false">IF(OR(5&gt;$B$3,ISBLANK(Actuals!G103)),"",Actuals!G103)</f>
        <v>-2100</v>
      </c>
      <c r="T87" s="134" t="n">
        <f aca="false">IF(OR(5&gt;$B$3,ISBLANK(Actuals!G103)),"",Budget!G103-Actuals!G103)</f>
        <v>0</v>
      </c>
      <c r="U87" s="134" t="n">
        <f aca="false">IFERROR(IF(OR(5&gt;$B$3,ISBLANK(Actuals!G103)),"",(Budget!G103-Actuals!G103)/ABS(Budget!G103)),"")</f>
        <v>0</v>
      </c>
      <c r="V87" s="133" t="n">
        <f aca="false">Budget!H103</f>
        <v>-2100</v>
      </c>
      <c r="W87" s="133" t="n">
        <f aca="false">IF(OR(6&gt;$B$3,ISBLANK(Actuals!H103)),"",Actuals!H103)</f>
        <v>-2100</v>
      </c>
      <c r="X87" s="134" t="n">
        <f aca="false">IF(OR(6&gt;$B$3,ISBLANK(Actuals!H103)),"",Budget!H103-Actuals!H103)</f>
        <v>0</v>
      </c>
      <c r="Y87" s="134" t="n">
        <f aca="false">IFERROR(IF(OR(6&gt;$B$3,ISBLANK(Actuals!H103)),"",(Budget!H103-Actuals!H103)/ABS(Budget!H103)),"")</f>
        <v>0</v>
      </c>
      <c r="Z87" s="133" t="n">
        <f aca="false">Budget!I103</f>
        <v>-2142</v>
      </c>
      <c r="AA87" s="133" t="n">
        <f aca="false">IF(OR(7&gt;$B$3,ISBLANK(Actuals!I103)),"",Actuals!I103)</f>
        <v>-2100</v>
      </c>
      <c r="AB87" s="134" t="n">
        <f aca="false">IF(OR(7&gt;$B$3,ISBLANK(Actuals!I103)),"",Budget!I103-Actuals!I103)</f>
        <v>-42</v>
      </c>
      <c r="AC87" s="134" t="n">
        <f aca="false">IFERROR(IF(OR(7&gt;$B$3,ISBLANK(Actuals!I103)),"",(Budget!I103-Actuals!I103)/ABS(Budget!I103)),"")</f>
        <v>-0.0196078431372549</v>
      </c>
      <c r="AD87" s="133" t="n">
        <f aca="false">Budget!J103</f>
        <v>-2142</v>
      </c>
      <c r="AE87" s="133" t="n">
        <f aca="false">IF(OR(8&gt;$B$3,ISBLANK(Actuals!J103)),"",Actuals!J103)</f>
        <v>-2100</v>
      </c>
      <c r="AF87" s="134" t="n">
        <f aca="false">IF(OR(8&gt;$B$3,ISBLANK(Actuals!J103)),"",Budget!J103-Actuals!J103)</f>
        <v>-42</v>
      </c>
      <c r="AG87" s="134" t="n">
        <f aca="false">IFERROR(IF(OR(8&gt;$B$3,ISBLANK(Actuals!J103)),"",(Budget!J103-Actuals!J103)/ABS(Budget!J103)),"")</f>
        <v>-0.0196078431372549</v>
      </c>
      <c r="AH87" s="133" t="n">
        <f aca="false">Budget!K103</f>
        <v>-2142</v>
      </c>
      <c r="AI87" s="133" t="str">
        <f aca="false">IF(OR(9&gt;$B$3,ISBLANK(Actuals!K103)),"",Actuals!K103)</f>
        <v/>
      </c>
      <c r="AJ87" s="134" t="str">
        <f aca="false">IF(OR(9&gt;$B$3,ISBLANK(Actuals!K103)),"",Budget!K103-Actuals!K103)</f>
        <v/>
      </c>
      <c r="AK87" s="134" t="str">
        <f aca="false">IFERROR(IF(OR(9&gt;$B$3,ISBLANK(Actuals!K103)),"",(Budget!K103-Actuals!K103)/ABS(Budget!K103)),"")</f>
        <v/>
      </c>
      <c r="AL87" s="133" t="n">
        <f aca="false">Budget!L103</f>
        <v>-2142</v>
      </c>
      <c r="AM87" s="133" t="str">
        <f aca="false">IF(OR(10&gt;$B$3,ISBLANK(Actuals!L103)),"",Actuals!L103)</f>
        <v/>
      </c>
      <c r="AN87" s="134" t="str">
        <f aca="false">IF(OR(10&gt;$B$3,ISBLANK(Actuals!L103)),"",Budget!L103-Actuals!L103)</f>
        <v/>
      </c>
      <c r="AO87" s="134" t="str">
        <f aca="false">IFERROR(IF(OR(10&gt;$B$3,ISBLANK(Actuals!L103)),"",(Budget!L103-Actuals!L103)/ABS(Budget!L103)),"")</f>
        <v/>
      </c>
      <c r="AP87" s="133" t="n">
        <f aca="false">Budget!M103</f>
        <v>-2142</v>
      </c>
      <c r="AQ87" s="133" t="str">
        <f aca="false">IF(OR(11&gt;$B$3,ISBLANK(Actuals!M103)),"",Actuals!M103)</f>
        <v/>
      </c>
      <c r="AR87" s="134" t="str">
        <f aca="false">IF(OR(11&gt;$B$3,ISBLANK(Actuals!M103)),"",Budget!M103-Actuals!M103)</f>
        <v/>
      </c>
      <c r="AS87" s="134" t="str">
        <f aca="false">IFERROR(IF(OR(11&gt;$B$3,ISBLANK(Actuals!M103)),"",(Budget!M103-Actuals!M103)/ABS(Budget!M103)),"")</f>
        <v/>
      </c>
      <c r="AT87" s="133" t="n">
        <f aca="false">Budget!N103</f>
        <v>-2142</v>
      </c>
      <c r="AU87" s="133" t="str">
        <f aca="false">IF(OR(12&gt;$B$3,ISBLANK(Actuals!N103)),"",Actuals!N103)</f>
        <v/>
      </c>
      <c r="AV87" s="134" t="str">
        <f aca="false">IF(OR(12&gt;$B$3,ISBLANK(Actuals!N103)),"",Budget!N103-Actuals!N103)</f>
        <v/>
      </c>
      <c r="AW87" s="134" t="str">
        <f aca="false">IFERROR(IF(OR(12&gt;$B$3,ISBLANK(Actuals!N103)),"",(Budget!N103-Actuals!N103)/ABS(Budget!N103)),"")</f>
        <v/>
      </c>
      <c r="AX87" s="135" t="n">
        <f aca="false">SUMPRODUCT((Actuals!C103:N103&lt;&gt;"")*(Budget!C103:N103))</f>
        <v>-16884</v>
      </c>
      <c r="AY87" s="135" t="n">
        <f aca="false">SUM(Actuals!C103:N103)</f>
        <v>-16800</v>
      </c>
      <c r="AZ87" s="136" t="n">
        <f aca="false">AX87-AY87</f>
        <v>-84</v>
      </c>
    </row>
    <row r="88" customFormat="false" ht="15" hidden="false" customHeight="true" outlineLevel="0" collapsed="false">
      <c r="A88" s="132" t="s">
        <v>84</v>
      </c>
      <c r="B88" s="133" t="n">
        <f aca="false">Budget!C104</f>
        <v>0</v>
      </c>
      <c r="C88" s="133" t="n">
        <f aca="false">IF(OR(1&gt;$B$3,ISBLANK(Actuals!C104)),"",Actuals!C104)</f>
        <v>-66666.66</v>
      </c>
      <c r="D88" s="134" t="n">
        <f aca="false">IF(OR(1&gt;$B$3,ISBLANK(Actuals!C104)),"",Budget!C104-Actuals!C104)</f>
        <v>66666.66</v>
      </c>
      <c r="E88" s="134" t="str">
        <f aca="false">IFERROR(IF(OR(1&gt;$B$3,ISBLANK(Actuals!C104)),"",(Budget!C104-Actuals!C104)/ABS(Budget!C104)),"")</f>
        <v/>
      </c>
      <c r="F88" s="133" t="n">
        <f aca="false">Budget!D104</f>
        <v>0</v>
      </c>
      <c r="G88" s="133" t="n">
        <f aca="false">IF(OR(2&gt;$B$3,ISBLANK(Actuals!D104)),"",Actuals!D104)</f>
        <v>-66666.66</v>
      </c>
      <c r="H88" s="134" t="n">
        <f aca="false">IF(OR(2&gt;$B$3,ISBLANK(Actuals!D104)),"",Budget!D104-Actuals!D104)</f>
        <v>66666.66</v>
      </c>
      <c r="I88" s="134" t="str">
        <f aca="false">IFERROR(IF(OR(2&gt;$B$3,ISBLANK(Actuals!D104)),"",(Budget!D104-Actuals!D104)/ABS(Budget!D104)),"")</f>
        <v/>
      </c>
      <c r="J88" s="133" t="n">
        <f aca="false">Budget!E104</f>
        <v>0</v>
      </c>
      <c r="K88" s="133" t="n">
        <f aca="false">IF(OR(3&gt;$B$3,ISBLANK(Actuals!E104)),"",Actuals!E104)</f>
        <v>-66666.66</v>
      </c>
      <c r="L88" s="134" t="n">
        <f aca="false">IF(OR(3&gt;$B$3,ISBLANK(Actuals!E104)),"",Budget!E104-Actuals!E104)</f>
        <v>66666.66</v>
      </c>
      <c r="M88" s="134" t="str">
        <f aca="false">IFERROR(IF(OR(3&gt;$B$3,ISBLANK(Actuals!E104)),"",(Budget!E104-Actuals!E104)/ABS(Budget!E104)),"")</f>
        <v/>
      </c>
      <c r="N88" s="133" t="n">
        <f aca="false">Budget!F104</f>
        <v>0</v>
      </c>
      <c r="O88" s="133" t="n">
        <f aca="false">IF(OR(4&gt;$B$3,ISBLANK(Actuals!F104)),"",Actuals!F104)</f>
        <v>-66666.66</v>
      </c>
      <c r="P88" s="134" t="n">
        <f aca="false">IF(OR(4&gt;$B$3,ISBLANK(Actuals!F104)),"",Budget!F104-Actuals!F104)</f>
        <v>66666.66</v>
      </c>
      <c r="Q88" s="134" t="str">
        <f aca="false">IFERROR(IF(OR(4&gt;$B$3,ISBLANK(Actuals!F104)),"",(Budget!F104-Actuals!F104)/ABS(Budget!F104)),"")</f>
        <v/>
      </c>
      <c r="R88" s="133" t="n">
        <f aca="false">Budget!G104</f>
        <v>0</v>
      </c>
      <c r="S88" s="133" t="n">
        <f aca="false">IF(OR(5&gt;$B$3,ISBLANK(Actuals!G104)),"",Actuals!G104)</f>
        <v>-66666.66</v>
      </c>
      <c r="T88" s="134" t="n">
        <f aca="false">IF(OR(5&gt;$B$3,ISBLANK(Actuals!G104)),"",Budget!G104-Actuals!G104)</f>
        <v>66666.66</v>
      </c>
      <c r="U88" s="134" t="str">
        <f aca="false">IFERROR(IF(OR(5&gt;$B$3,ISBLANK(Actuals!G104)),"",(Budget!G104-Actuals!G104)/ABS(Budget!G104)),"")</f>
        <v/>
      </c>
      <c r="V88" s="133" t="n">
        <f aca="false">Budget!H104</f>
        <v>0</v>
      </c>
      <c r="W88" s="133" t="n">
        <f aca="false">IF(OR(6&gt;$B$3,ISBLANK(Actuals!H104)),"",Actuals!H104)</f>
        <v>-66666.66</v>
      </c>
      <c r="X88" s="134" t="n">
        <f aca="false">IF(OR(6&gt;$B$3,ISBLANK(Actuals!H104)),"",Budget!H104-Actuals!H104)</f>
        <v>66666.66</v>
      </c>
      <c r="Y88" s="134" t="str">
        <f aca="false">IFERROR(IF(OR(6&gt;$B$3,ISBLANK(Actuals!H104)),"",(Budget!H104-Actuals!H104)/ABS(Budget!H104)),"")</f>
        <v/>
      </c>
      <c r="Z88" s="133" t="n">
        <f aca="false">Budget!I104</f>
        <v>0</v>
      </c>
      <c r="AA88" s="133" t="n">
        <f aca="false">IF(OR(7&gt;$B$3,ISBLANK(Actuals!I104)),"",Actuals!I104)</f>
        <v>-66666.66</v>
      </c>
      <c r="AB88" s="134" t="n">
        <f aca="false">IF(OR(7&gt;$B$3,ISBLANK(Actuals!I104)),"",Budget!I104-Actuals!I104)</f>
        <v>66666.66</v>
      </c>
      <c r="AC88" s="134" t="str">
        <f aca="false">IFERROR(IF(OR(7&gt;$B$3,ISBLANK(Actuals!I104)),"",(Budget!I104-Actuals!I104)/ABS(Budget!I104)),"")</f>
        <v/>
      </c>
      <c r="AD88" s="133" t="n">
        <f aca="false">Budget!J104</f>
        <v>0</v>
      </c>
      <c r="AE88" s="133" t="n">
        <f aca="false">IF(OR(8&gt;$B$3,ISBLANK(Actuals!J104)),"",Actuals!J104)</f>
        <v>-66666.66</v>
      </c>
      <c r="AF88" s="134" t="n">
        <f aca="false">IF(OR(8&gt;$B$3,ISBLANK(Actuals!J104)),"",Budget!J104-Actuals!J104)</f>
        <v>66666.66</v>
      </c>
      <c r="AG88" s="134" t="str">
        <f aca="false">IFERROR(IF(OR(8&gt;$B$3,ISBLANK(Actuals!J104)),"",(Budget!J104-Actuals!J104)/ABS(Budget!J104)),"")</f>
        <v/>
      </c>
      <c r="AH88" s="133" t="n">
        <f aca="false">Budget!K104</f>
        <v>0</v>
      </c>
      <c r="AI88" s="133" t="str">
        <f aca="false">IF(OR(9&gt;$B$3,ISBLANK(Actuals!K104)),"",Actuals!K104)</f>
        <v/>
      </c>
      <c r="AJ88" s="134" t="str">
        <f aca="false">IF(OR(9&gt;$B$3,ISBLANK(Actuals!K104)),"",Budget!K104-Actuals!K104)</f>
        <v/>
      </c>
      <c r="AK88" s="134" t="str">
        <f aca="false">IFERROR(IF(OR(9&gt;$B$3,ISBLANK(Actuals!K104)),"",(Budget!K104-Actuals!K104)/ABS(Budget!K104)),"")</f>
        <v/>
      </c>
      <c r="AL88" s="133" t="n">
        <f aca="false">Budget!L104</f>
        <v>0</v>
      </c>
      <c r="AM88" s="133" t="str">
        <f aca="false">IF(OR(10&gt;$B$3,ISBLANK(Actuals!L104)),"",Actuals!L104)</f>
        <v/>
      </c>
      <c r="AN88" s="134" t="str">
        <f aca="false">IF(OR(10&gt;$B$3,ISBLANK(Actuals!L104)),"",Budget!L104-Actuals!L104)</f>
        <v/>
      </c>
      <c r="AO88" s="134" t="str">
        <f aca="false">IFERROR(IF(OR(10&gt;$B$3,ISBLANK(Actuals!L104)),"",(Budget!L104-Actuals!L104)/ABS(Budget!L104)),"")</f>
        <v/>
      </c>
      <c r="AP88" s="133" t="n">
        <f aca="false">Budget!M104</f>
        <v>0</v>
      </c>
      <c r="AQ88" s="133" t="str">
        <f aca="false">IF(OR(11&gt;$B$3,ISBLANK(Actuals!M104)),"",Actuals!M104)</f>
        <v/>
      </c>
      <c r="AR88" s="134" t="str">
        <f aca="false">IF(OR(11&gt;$B$3,ISBLANK(Actuals!M104)),"",Budget!M104-Actuals!M104)</f>
        <v/>
      </c>
      <c r="AS88" s="134" t="str">
        <f aca="false">IFERROR(IF(OR(11&gt;$B$3,ISBLANK(Actuals!M104)),"",(Budget!M104-Actuals!M104)/ABS(Budget!M104)),"")</f>
        <v/>
      </c>
      <c r="AT88" s="133" t="n">
        <f aca="false">Budget!N104</f>
        <v>0</v>
      </c>
      <c r="AU88" s="133" t="str">
        <f aca="false">IF(OR(12&gt;$B$3,ISBLANK(Actuals!N104)),"",Actuals!N104)</f>
        <v/>
      </c>
      <c r="AV88" s="134" t="str">
        <f aca="false">IF(OR(12&gt;$B$3,ISBLANK(Actuals!N104)),"",Budget!N104-Actuals!N104)</f>
        <v/>
      </c>
      <c r="AW88" s="134" t="str">
        <f aca="false">IFERROR(IF(OR(12&gt;$B$3,ISBLANK(Actuals!N104)),"",(Budget!N104-Actuals!N104)/ABS(Budget!N104)),"")</f>
        <v/>
      </c>
      <c r="AX88" s="135" t="n">
        <f aca="false">SUMPRODUCT((Actuals!C104:N104&lt;&gt;"")*(Budget!C104:N104))</f>
        <v>0</v>
      </c>
      <c r="AY88" s="135" t="n">
        <f aca="false">SUM(Actuals!C104:N104)</f>
        <v>-533333.28</v>
      </c>
      <c r="AZ88" s="136" t="n">
        <f aca="false">AX88-AY88</f>
        <v>533333.28</v>
      </c>
    </row>
    <row r="89" customFormat="false" ht="15" hidden="false" customHeight="true" outlineLevel="0" collapsed="false">
      <c r="A89" s="132" t="s">
        <v>92</v>
      </c>
      <c r="B89" s="133" t="n">
        <f aca="false">Budget!C105</f>
        <v>0</v>
      </c>
      <c r="C89" s="133" t="n">
        <f aca="false">IF(OR(1&gt;$B$3,ISBLANK(Actuals!C105)),"",Actuals!C105)</f>
        <v>-6935.84</v>
      </c>
      <c r="D89" s="134" t="n">
        <f aca="false">IF(OR(1&gt;$B$3,ISBLANK(Actuals!C105)),"",Budget!C105-Actuals!C105)</f>
        <v>6935.84</v>
      </c>
      <c r="E89" s="134" t="str">
        <f aca="false">IFERROR(IF(OR(1&gt;$B$3,ISBLANK(Actuals!C105)),"",(Budget!C105-Actuals!C105)/ABS(Budget!C105)),"")</f>
        <v/>
      </c>
      <c r="F89" s="133" t="n">
        <f aca="false">Budget!D105</f>
        <v>0</v>
      </c>
      <c r="G89" s="133" t="n">
        <f aca="false">IF(OR(2&gt;$B$3,ISBLANK(Actuals!D105)),"",Actuals!D105)</f>
        <v>-2799.88</v>
      </c>
      <c r="H89" s="134" t="n">
        <f aca="false">IF(OR(2&gt;$B$3,ISBLANK(Actuals!D105)),"",Budget!D105-Actuals!D105)</f>
        <v>2799.88</v>
      </c>
      <c r="I89" s="134" t="str">
        <f aca="false">IFERROR(IF(OR(2&gt;$B$3,ISBLANK(Actuals!D105)),"",(Budget!D105-Actuals!D105)/ABS(Budget!D105)),"")</f>
        <v/>
      </c>
      <c r="J89" s="133" t="n">
        <f aca="false">Budget!E105</f>
        <v>0</v>
      </c>
      <c r="K89" s="133" t="n">
        <f aca="false">IF(OR(3&gt;$B$3,ISBLANK(Actuals!E105)),"",Actuals!E105)</f>
        <v>-12899.88</v>
      </c>
      <c r="L89" s="134" t="n">
        <f aca="false">IF(OR(3&gt;$B$3,ISBLANK(Actuals!E105)),"",Budget!E105-Actuals!E105)</f>
        <v>12899.88</v>
      </c>
      <c r="M89" s="134" t="str">
        <f aca="false">IFERROR(IF(OR(3&gt;$B$3,ISBLANK(Actuals!E105)),"",(Budget!E105-Actuals!E105)/ABS(Budget!E105)),"")</f>
        <v/>
      </c>
      <c r="N89" s="133" t="n">
        <f aca="false">Budget!F105</f>
        <v>0</v>
      </c>
      <c r="O89" s="133" t="n">
        <f aca="false">IF(OR(4&gt;$B$3,ISBLANK(Actuals!F105)),"",Actuals!F105)</f>
        <v>-2932.88</v>
      </c>
      <c r="P89" s="134" t="n">
        <f aca="false">IF(OR(4&gt;$B$3,ISBLANK(Actuals!F105)),"",Budget!F105-Actuals!F105)</f>
        <v>2932.88</v>
      </c>
      <c r="Q89" s="134" t="str">
        <f aca="false">IFERROR(IF(OR(4&gt;$B$3,ISBLANK(Actuals!F105)),"",(Budget!F105-Actuals!F105)/ABS(Budget!F105)),"")</f>
        <v/>
      </c>
      <c r="R89" s="133" t="n">
        <f aca="false">Budget!G105</f>
        <v>0</v>
      </c>
      <c r="S89" s="133" t="n">
        <f aca="false">IF(OR(5&gt;$B$3,ISBLANK(Actuals!G105)),"",Actuals!G105)</f>
        <v>-5474.88</v>
      </c>
      <c r="T89" s="134" t="n">
        <f aca="false">IF(OR(5&gt;$B$3,ISBLANK(Actuals!G105)),"",Budget!G105-Actuals!G105)</f>
        <v>5474.88</v>
      </c>
      <c r="U89" s="134" t="str">
        <f aca="false">IFERROR(IF(OR(5&gt;$B$3,ISBLANK(Actuals!G105)),"",(Budget!G105-Actuals!G105)/ABS(Budget!G105)),"")</f>
        <v/>
      </c>
      <c r="V89" s="133" t="n">
        <f aca="false">Budget!H105</f>
        <v>0</v>
      </c>
      <c r="W89" s="133" t="n">
        <f aca="false">IF(OR(6&gt;$B$3,ISBLANK(Actuals!H105)),"",Actuals!H105)</f>
        <v>-5</v>
      </c>
      <c r="X89" s="134" t="n">
        <f aca="false">IF(OR(6&gt;$B$3,ISBLANK(Actuals!H105)),"",Budget!H105-Actuals!H105)</f>
        <v>5</v>
      </c>
      <c r="Y89" s="134" t="str">
        <f aca="false">IFERROR(IF(OR(6&gt;$B$3,ISBLANK(Actuals!H105)),"",(Budget!H105-Actuals!H105)/ABS(Budget!H105)),"")</f>
        <v/>
      </c>
      <c r="Z89" s="133" t="n">
        <f aca="false">Budget!I105</f>
        <v>0</v>
      </c>
      <c r="AA89" s="133" t="n">
        <f aca="false">IF(OR(7&gt;$B$3,ISBLANK(Actuals!I105)),"",Actuals!I105)</f>
        <v>-255</v>
      </c>
      <c r="AB89" s="134" t="n">
        <f aca="false">IF(OR(7&gt;$B$3,ISBLANK(Actuals!I105)),"",Budget!I105-Actuals!I105)</f>
        <v>255</v>
      </c>
      <c r="AC89" s="134" t="str">
        <f aca="false">IFERROR(IF(OR(7&gt;$B$3,ISBLANK(Actuals!I105)),"",(Budget!I105-Actuals!I105)/ABS(Budget!I105)),"")</f>
        <v/>
      </c>
      <c r="AD89" s="133" t="n">
        <f aca="false">Budget!J105</f>
        <v>0</v>
      </c>
      <c r="AE89" s="133" t="n">
        <f aca="false">IF(OR(8&gt;$B$3,ISBLANK(Actuals!J105)),"",Actuals!J105)</f>
        <v>4520.8</v>
      </c>
      <c r="AF89" s="134" t="n">
        <f aca="false">IF(OR(8&gt;$B$3,ISBLANK(Actuals!J105)),"",Budget!J105-Actuals!J105)</f>
        <v>-4520.8</v>
      </c>
      <c r="AG89" s="134" t="str">
        <f aca="false">IFERROR(IF(OR(8&gt;$B$3,ISBLANK(Actuals!J105)),"",(Budget!J105-Actuals!J105)/ABS(Budget!J105)),"")</f>
        <v/>
      </c>
      <c r="AH89" s="133" t="n">
        <f aca="false">Budget!K105</f>
        <v>0</v>
      </c>
      <c r="AI89" s="133" t="str">
        <f aca="false">IF(OR(9&gt;$B$3,ISBLANK(Actuals!K105)),"",Actuals!K105)</f>
        <v/>
      </c>
      <c r="AJ89" s="134" t="str">
        <f aca="false">IF(OR(9&gt;$B$3,ISBLANK(Actuals!K105)),"",Budget!K105-Actuals!K105)</f>
        <v/>
      </c>
      <c r="AK89" s="134" t="str">
        <f aca="false">IFERROR(IF(OR(9&gt;$B$3,ISBLANK(Actuals!K105)),"",(Budget!K105-Actuals!K105)/ABS(Budget!K105)),"")</f>
        <v/>
      </c>
      <c r="AL89" s="133" t="n">
        <f aca="false">Budget!L105</f>
        <v>0</v>
      </c>
      <c r="AM89" s="133" t="str">
        <f aca="false">IF(OR(10&gt;$B$3,ISBLANK(Actuals!L105)),"",Actuals!L105)</f>
        <v/>
      </c>
      <c r="AN89" s="134" t="str">
        <f aca="false">IF(OR(10&gt;$B$3,ISBLANK(Actuals!L105)),"",Budget!L105-Actuals!L105)</f>
        <v/>
      </c>
      <c r="AO89" s="134" t="str">
        <f aca="false">IFERROR(IF(OR(10&gt;$B$3,ISBLANK(Actuals!L105)),"",(Budget!L105-Actuals!L105)/ABS(Budget!L105)),"")</f>
        <v/>
      </c>
      <c r="AP89" s="133" t="n">
        <f aca="false">Budget!M105</f>
        <v>0</v>
      </c>
      <c r="AQ89" s="133" t="str">
        <f aca="false">IF(OR(11&gt;$B$3,ISBLANK(Actuals!M105)),"",Actuals!M105)</f>
        <v/>
      </c>
      <c r="AR89" s="134" t="str">
        <f aca="false">IF(OR(11&gt;$B$3,ISBLANK(Actuals!M105)),"",Budget!M105-Actuals!M105)</f>
        <v/>
      </c>
      <c r="AS89" s="134" t="str">
        <f aca="false">IFERROR(IF(OR(11&gt;$B$3,ISBLANK(Actuals!M105)),"",(Budget!M105-Actuals!M105)/ABS(Budget!M105)),"")</f>
        <v/>
      </c>
      <c r="AT89" s="133" t="n">
        <f aca="false">Budget!N105</f>
        <v>0</v>
      </c>
      <c r="AU89" s="133" t="str">
        <f aca="false">IF(OR(12&gt;$B$3,ISBLANK(Actuals!N105)),"",Actuals!N105)</f>
        <v/>
      </c>
      <c r="AV89" s="134" t="str">
        <f aca="false">IF(OR(12&gt;$B$3,ISBLANK(Actuals!N105)),"",Budget!N105-Actuals!N105)</f>
        <v/>
      </c>
      <c r="AW89" s="134" t="str">
        <f aca="false">IFERROR(IF(OR(12&gt;$B$3,ISBLANK(Actuals!N105)),"",(Budget!N105-Actuals!N105)/ABS(Budget!N105)),"")</f>
        <v/>
      </c>
      <c r="AX89" s="135" t="n">
        <f aca="false">SUMPRODUCT((Actuals!C105:N105&lt;&gt;"")*(Budget!C105:N105))</f>
        <v>0</v>
      </c>
      <c r="AY89" s="135" t="n">
        <f aca="false">SUM(Actuals!C105:N105)</f>
        <v>-26782.56</v>
      </c>
      <c r="AZ89" s="136" t="n">
        <f aca="false">AX89-AY89</f>
        <v>26782.56</v>
      </c>
    </row>
    <row r="90" customFormat="false" ht="15" hidden="false" customHeight="true" outlineLevel="0" collapsed="false">
      <c r="A90" s="132" t="s">
        <v>93</v>
      </c>
      <c r="B90" s="133" t="n">
        <f aca="false">Budget!C106</f>
        <v>-500</v>
      </c>
      <c r="C90" s="133" t="n">
        <f aca="false">IF(OR(1&gt;$B$3,ISBLANK(Actuals!C106)),"",Actuals!C106)</f>
        <v>-658.14</v>
      </c>
      <c r="D90" s="134" t="n">
        <f aca="false">IF(OR(1&gt;$B$3,ISBLANK(Actuals!C106)),"",Budget!C106-Actuals!C106)</f>
        <v>158.14</v>
      </c>
      <c r="E90" s="134" t="n">
        <f aca="false">IFERROR(IF(OR(1&gt;$B$3,ISBLANK(Actuals!C106)),"",(Budget!C106-Actuals!C106)/ABS(Budget!C106)),"")</f>
        <v>0.31628</v>
      </c>
      <c r="F90" s="133" t="n">
        <f aca="false">Budget!D106</f>
        <v>-500</v>
      </c>
      <c r="G90" s="133" t="n">
        <f aca="false">IF(OR(2&gt;$B$3,ISBLANK(Actuals!D106)),"",Actuals!D106)</f>
        <v>-310</v>
      </c>
      <c r="H90" s="134" t="n">
        <f aca="false">IF(OR(2&gt;$B$3,ISBLANK(Actuals!D106)),"",Budget!D106-Actuals!D106)</f>
        <v>-190</v>
      </c>
      <c r="I90" s="134" t="n">
        <f aca="false">IFERROR(IF(OR(2&gt;$B$3,ISBLANK(Actuals!D106)),"",(Budget!D106-Actuals!D106)/ABS(Budget!D106)),"")</f>
        <v>-0.38</v>
      </c>
      <c r="J90" s="133" t="n">
        <f aca="false">Budget!E106</f>
        <v>-500</v>
      </c>
      <c r="K90" s="133" t="n">
        <f aca="false">IF(OR(3&gt;$B$3,ISBLANK(Actuals!E106)),"",Actuals!E106)</f>
        <v>-371.74</v>
      </c>
      <c r="L90" s="134" t="n">
        <f aca="false">IF(OR(3&gt;$B$3,ISBLANK(Actuals!E106)),"",Budget!E106-Actuals!E106)</f>
        <v>-128.26</v>
      </c>
      <c r="M90" s="134" t="n">
        <f aca="false">IFERROR(IF(OR(3&gt;$B$3,ISBLANK(Actuals!E106)),"",(Budget!E106-Actuals!E106)/ABS(Budget!E106)),"")</f>
        <v>-0.25652</v>
      </c>
      <c r="N90" s="133" t="n">
        <f aca="false">Budget!F106</f>
        <v>-500</v>
      </c>
      <c r="O90" s="133" t="n">
        <f aca="false">IF(OR(4&gt;$B$3,ISBLANK(Actuals!F106)),"",Actuals!F106)</f>
        <v>-857.33</v>
      </c>
      <c r="P90" s="134" t="n">
        <f aca="false">IF(OR(4&gt;$B$3,ISBLANK(Actuals!F106)),"",Budget!F106-Actuals!F106)</f>
        <v>357.33</v>
      </c>
      <c r="Q90" s="134" t="n">
        <f aca="false">IFERROR(IF(OR(4&gt;$B$3,ISBLANK(Actuals!F106)),"",(Budget!F106-Actuals!F106)/ABS(Budget!F106)),"")</f>
        <v>0.71466</v>
      </c>
      <c r="R90" s="133" t="n">
        <f aca="false">Budget!G106</f>
        <v>-500</v>
      </c>
      <c r="S90" s="133" t="n">
        <f aca="false">IF(OR(5&gt;$B$3,ISBLANK(Actuals!G106)),"",Actuals!G106)</f>
        <v>-305</v>
      </c>
      <c r="T90" s="134" t="n">
        <f aca="false">IF(OR(5&gt;$B$3,ISBLANK(Actuals!G106)),"",Budget!G106-Actuals!G106)</f>
        <v>-195</v>
      </c>
      <c r="U90" s="134" t="n">
        <f aca="false">IFERROR(IF(OR(5&gt;$B$3,ISBLANK(Actuals!G106)),"",(Budget!G106-Actuals!G106)/ABS(Budget!G106)),"")</f>
        <v>-0.39</v>
      </c>
      <c r="V90" s="133" t="n">
        <f aca="false">Budget!H106</f>
        <v>-500</v>
      </c>
      <c r="W90" s="133" t="n">
        <f aca="false">IF(OR(6&gt;$B$3,ISBLANK(Actuals!H106)),"",Actuals!H106)</f>
        <v>-352.5</v>
      </c>
      <c r="X90" s="134" t="n">
        <f aca="false">IF(OR(6&gt;$B$3,ISBLANK(Actuals!H106)),"",Budget!H106-Actuals!H106)</f>
        <v>-147.5</v>
      </c>
      <c r="Y90" s="134" t="n">
        <f aca="false">IFERROR(IF(OR(6&gt;$B$3,ISBLANK(Actuals!H106)),"",(Budget!H106-Actuals!H106)/ABS(Budget!H106)),"")</f>
        <v>-0.295</v>
      </c>
      <c r="Z90" s="133" t="n">
        <f aca="false">Budget!I106</f>
        <v>-510</v>
      </c>
      <c r="AA90" s="133" t="n">
        <f aca="false">IF(OR(7&gt;$B$3,ISBLANK(Actuals!I106)),"",Actuals!I106)</f>
        <v>-204</v>
      </c>
      <c r="AB90" s="134" t="n">
        <f aca="false">IF(OR(7&gt;$B$3,ISBLANK(Actuals!I106)),"",Budget!I106-Actuals!I106)</f>
        <v>-306</v>
      </c>
      <c r="AC90" s="134" t="n">
        <f aca="false">IFERROR(IF(OR(7&gt;$B$3,ISBLANK(Actuals!I106)),"",(Budget!I106-Actuals!I106)/ABS(Budget!I106)),"")</f>
        <v>-0.6</v>
      </c>
      <c r="AD90" s="133" t="n">
        <f aca="false">Budget!J106</f>
        <v>-510</v>
      </c>
      <c r="AE90" s="133" t="n">
        <f aca="false">IF(OR(8&gt;$B$3,ISBLANK(Actuals!J106)),"",Actuals!J106)</f>
        <v>-1477.65</v>
      </c>
      <c r="AF90" s="134" t="n">
        <f aca="false">IF(OR(8&gt;$B$3,ISBLANK(Actuals!J106)),"",Budget!J106-Actuals!J106)</f>
        <v>967.65</v>
      </c>
      <c r="AG90" s="134" t="n">
        <f aca="false">IFERROR(IF(OR(8&gt;$B$3,ISBLANK(Actuals!J106)),"",(Budget!J106-Actuals!J106)/ABS(Budget!J106)),"")</f>
        <v>1.89735294117647</v>
      </c>
      <c r="AH90" s="133" t="n">
        <f aca="false">Budget!K106</f>
        <v>-510</v>
      </c>
      <c r="AI90" s="133" t="str">
        <f aca="false">IF(OR(9&gt;$B$3,ISBLANK(Actuals!K106)),"",Actuals!K106)</f>
        <v/>
      </c>
      <c r="AJ90" s="134" t="str">
        <f aca="false">IF(OR(9&gt;$B$3,ISBLANK(Actuals!K106)),"",Budget!K106-Actuals!K106)</f>
        <v/>
      </c>
      <c r="AK90" s="134" t="str">
        <f aca="false">IFERROR(IF(OR(9&gt;$B$3,ISBLANK(Actuals!K106)),"",(Budget!K106-Actuals!K106)/ABS(Budget!K106)),"")</f>
        <v/>
      </c>
      <c r="AL90" s="133" t="n">
        <f aca="false">Budget!L106</f>
        <v>-510</v>
      </c>
      <c r="AM90" s="133" t="str">
        <f aca="false">IF(OR(10&gt;$B$3,ISBLANK(Actuals!L106)),"",Actuals!L106)</f>
        <v/>
      </c>
      <c r="AN90" s="134" t="str">
        <f aca="false">IF(OR(10&gt;$B$3,ISBLANK(Actuals!L106)),"",Budget!L106-Actuals!L106)</f>
        <v/>
      </c>
      <c r="AO90" s="134" t="str">
        <f aca="false">IFERROR(IF(OR(10&gt;$B$3,ISBLANK(Actuals!L106)),"",(Budget!L106-Actuals!L106)/ABS(Budget!L106)),"")</f>
        <v/>
      </c>
      <c r="AP90" s="133" t="n">
        <f aca="false">Budget!M106</f>
        <v>-510</v>
      </c>
      <c r="AQ90" s="133" t="str">
        <f aca="false">IF(OR(11&gt;$B$3,ISBLANK(Actuals!M106)),"",Actuals!M106)</f>
        <v/>
      </c>
      <c r="AR90" s="134" t="str">
        <f aca="false">IF(OR(11&gt;$B$3,ISBLANK(Actuals!M106)),"",Budget!M106-Actuals!M106)</f>
        <v/>
      </c>
      <c r="AS90" s="134" t="str">
        <f aca="false">IFERROR(IF(OR(11&gt;$B$3,ISBLANK(Actuals!M106)),"",(Budget!M106-Actuals!M106)/ABS(Budget!M106)),"")</f>
        <v/>
      </c>
      <c r="AT90" s="133" t="n">
        <f aca="false">Budget!N106</f>
        <v>-510</v>
      </c>
      <c r="AU90" s="133" t="str">
        <f aca="false">IF(OR(12&gt;$B$3,ISBLANK(Actuals!N106)),"",Actuals!N106)</f>
        <v/>
      </c>
      <c r="AV90" s="134" t="str">
        <f aca="false">IF(OR(12&gt;$B$3,ISBLANK(Actuals!N106)),"",Budget!N106-Actuals!N106)</f>
        <v/>
      </c>
      <c r="AW90" s="134" t="str">
        <f aca="false">IFERROR(IF(OR(12&gt;$B$3,ISBLANK(Actuals!N106)),"",(Budget!N106-Actuals!N106)/ABS(Budget!N106)),"")</f>
        <v/>
      </c>
      <c r="AX90" s="135" t="n">
        <f aca="false">SUMPRODUCT((Actuals!C106:N106&lt;&gt;"")*(Budget!C106:N106))</f>
        <v>-4020</v>
      </c>
      <c r="AY90" s="135" t="n">
        <f aca="false">SUM(Actuals!C106:N106)</f>
        <v>-4536.36</v>
      </c>
      <c r="AZ90" s="136" t="n">
        <f aca="false">AX90-AY90</f>
        <v>516.360000000001</v>
      </c>
    </row>
    <row r="91" customFormat="false" ht="15" hidden="false" customHeight="true" outlineLevel="0" collapsed="false">
      <c r="A91" s="132" t="s">
        <v>132</v>
      </c>
      <c r="B91" s="133" t="n">
        <f aca="false">Budget!C107</f>
        <v>0</v>
      </c>
      <c r="C91" s="133" t="str">
        <f aca="false">IF(OR(1&gt;$B$3,ISBLANK(Actuals!C107)),"",Actuals!C107)</f>
        <v/>
      </c>
      <c r="D91" s="134" t="str">
        <f aca="false">IF(OR(1&gt;$B$3,ISBLANK(Actuals!C107)),"",Budget!C107-Actuals!C107)</f>
        <v/>
      </c>
      <c r="E91" s="134" t="str">
        <f aca="false">IFERROR(IF(OR(1&gt;$B$3,ISBLANK(Actuals!C107)),"",(Budget!C107-Actuals!C107)/ABS(Budget!C107)),"")</f>
        <v/>
      </c>
      <c r="F91" s="133" t="n">
        <f aca="false">Budget!D107</f>
        <v>0</v>
      </c>
      <c r="G91" s="133" t="str">
        <f aca="false">IF(OR(2&gt;$B$3,ISBLANK(Actuals!D107)),"",Actuals!D107)</f>
        <v/>
      </c>
      <c r="H91" s="134" t="str">
        <f aca="false">IF(OR(2&gt;$B$3,ISBLANK(Actuals!D107)),"",Budget!D107-Actuals!D107)</f>
        <v/>
      </c>
      <c r="I91" s="134" t="str">
        <f aca="false">IFERROR(IF(OR(2&gt;$B$3,ISBLANK(Actuals!D107)),"",(Budget!D107-Actuals!D107)/ABS(Budget!D107)),"")</f>
        <v/>
      </c>
      <c r="J91" s="133" t="n">
        <f aca="false">Budget!E107</f>
        <v>0</v>
      </c>
      <c r="K91" s="133" t="str">
        <f aca="false">IF(OR(3&gt;$B$3,ISBLANK(Actuals!E107)),"",Actuals!E107)</f>
        <v/>
      </c>
      <c r="L91" s="134" t="str">
        <f aca="false">IF(OR(3&gt;$B$3,ISBLANK(Actuals!E107)),"",Budget!E107-Actuals!E107)</f>
        <v/>
      </c>
      <c r="M91" s="134" t="str">
        <f aca="false">IFERROR(IF(OR(3&gt;$B$3,ISBLANK(Actuals!E107)),"",(Budget!E107-Actuals!E107)/ABS(Budget!E107)),"")</f>
        <v/>
      </c>
      <c r="N91" s="133" t="n">
        <f aca="false">Budget!F107</f>
        <v>0</v>
      </c>
      <c r="O91" s="133" t="str">
        <f aca="false">IF(OR(4&gt;$B$3,ISBLANK(Actuals!F107)),"",Actuals!F107)</f>
        <v/>
      </c>
      <c r="P91" s="134" t="str">
        <f aca="false">IF(OR(4&gt;$B$3,ISBLANK(Actuals!F107)),"",Budget!F107-Actuals!F107)</f>
        <v/>
      </c>
      <c r="Q91" s="134" t="str">
        <f aca="false">IFERROR(IF(OR(4&gt;$B$3,ISBLANK(Actuals!F107)),"",(Budget!F107-Actuals!F107)/ABS(Budget!F107)),"")</f>
        <v/>
      </c>
      <c r="R91" s="133" t="n">
        <f aca="false">Budget!G107</f>
        <v>0</v>
      </c>
      <c r="S91" s="133" t="str">
        <f aca="false">IF(OR(5&gt;$B$3,ISBLANK(Actuals!G107)),"",Actuals!G107)</f>
        <v/>
      </c>
      <c r="T91" s="134" t="str">
        <f aca="false">IF(OR(5&gt;$B$3,ISBLANK(Actuals!G107)),"",Budget!G107-Actuals!G107)</f>
        <v/>
      </c>
      <c r="U91" s="134" t="str">
        <f aca="false">IFERROR(IF(OR(5&gt;$B$3,ISBLANK(Actuals!G107)),"",(Budget!G107-Actuals!G107)/ABS(Budget!G107)),"")</f>
        <v/>
      </c>
      <c r="V91" s="133" t="n">
        <f aca="false">Budget!H107</f>
        <v>0</v>
      </c>
      <c r="W91" s="133" t="str">
        <f aca="false">IF(OR(6&gt;$B$3,ISBLANK(Actuals!H107)),"",Actuals!H107)</f>
        <v/>
      </c>
      <c r="X91" s="134" t="str">
        <f aca="false">IF(OR(6&gt;$B$3,ISBLANK(Actuals!H107)),"",Budget!H107-Actuals!H107)</f>
        <v/>
      </c>
      <c r="Y91" s="134" t="str">
        <f aca="false">IFERROR(IF(OR(6&gt;$B$3,ISBLANK(Actuals!H107)),"",(Budget!H107-Actuals!H107)/ABS(Budget!H107)),"")</f>
        <v/>
      </c>
      <c r="Z91" s="133" t="n">
        <f aca="false">Budget!I107</f>
        <v>0</v>
      </c>
      <c r="AA91" s="133" t="str">
        <f aca="false">IF(OR(7&gt;$B$3,ISBLANK(Actuals!I107)),"",Actuals!I107)</f>
        <v/>
      </c>
      <c r="AB91" s="134" t="str">
        <f aca="false">IF(OR(7&gt;$B$3,ISBLANK(Actuals!I107)),"",Budget!I107-Actuals!I107)</f>
        <v/>
      </c>
      <c r="AC91" s="134" t="str">
        <f aca="false">IFERROR(IF(OR(7&gt;$B$3,ISBLANK(Actuals!I107)),"",(Budget!I107-Actuals!I107)/ABS(Budget!I107)),"")</f>
        <v/>
      </c>
      <c r="AD91" s="133" t="n">
        <f aca="false">Budget!J107</f>
        <v>0</v>
      </c>
      <c r="AE91" s="133" t="str">
        <f aca="false">IF(OR(8&gt;$B$3,ISBLANK(Actuals!J107)),"",Actuals!J107)</f>
        <v/>
      </c>
      <c r="AF91" s="134" t="str">
        <f aca="false">IF(OR(8&gt;$B$3,ISBLANK(Actuals!J107)),"",Budget!J107-Actuals!J107)</f>
        <v/>
      </c>
      <c r="AG91" s="134" t="str">
        <f aca="false">IFERROR(IF(OR(8&gt;$B$3,ISBLANK(Actuals!J107)),"",(Budget!J107-Actuals!J107)/ABS(Budget!J107)),"")</f>
        <v/>
      </c>
      <c r="AH91" s="133" t="n">
        <f aca="false">Budget!K107</f>
        <v>0</v>
      </c>
      <c r="AI91" s="133" t="str">
        <f aca="false">IF(OR(9&gt;$B$3,ISBLANK(Actuals!K107)),"",Actuals!K107)</f>
        <v/>
      </c>
      <c r="AJ91" s="134" t="str">
        <f aca="false">IF(OR(9&gt;$B$3,ISBLANK(Actuals!K107)),"",Budget!K107-Actuals!K107)</f>
        <v/>
      </c>
      <c r="AK91" s="134" t="str">
        <f aca="false">IFERROR(IF(OR(9&gt;$B$3,ISBLANK(Actuals!K107)),"",(Budget!K107-Actuals!K107)/ABS(Budget!K107)),"")</f>
        <v/>
      </c>
      <c r="AL91" s="133" t="n">
        <f aca="false">Budget!L107</f>
        <v>0</v>
      </c>
      <c r="AM91" s="133" t="str">
        <f aca="false">IF(OR(10&gt;$B$3,ISBLANK(Actuals!L107)),"",Actuals!L107)</f>
        <v/>
      </c>
      <c r="AN91" s="134" t="str">
        <f aca="false">IF(OR(10&gt;$B$3,ISBLANK(Actuals!L107)),"",Budget!L107-Actuals!L107)</f>
        <v/>
      </c>
      <c r="AO91" s="134" t="str">
        <f aca="false">IFERROR(IF(OR(10&gt;$B$3,ISBLANK(Actuals!L107)),"",(Budget!L107-Actuals!L107)/ABS(Budget!L107)),"")</f>
        <v/>
      </c>
      <c r="AP91" s="133" t="n">
        <f aca="false">Budget!M107</f>
        <v>0</v>
      </c>
      <c r="AQ91" s="133" t="str">
        <f aca="false">IF(OR(11&gt;$B$3,ISBLANK(Actuals!M107)),"",Actuals!M107)</f>
        <v/>
      </c>
      <c r="AR91" s="134" t="str">
        <f aca="false">IF(OR(11&gt;$B$3,ISBLANK(Actuals!M107)),"",Budget!M107-Actuals!M107)</f>
        <v/>
      </c>
      <c r="AS91" s="134" t="str">
        <f aca="false">IFERROR(IF(OR(11&gt;$B$3,ISBLANK(Actuals!M107)),"",(Budget!M107-Actuals!M107)/ABS(Budget!M107)),"")</f>
        <v/>
      </c>
      <c r="AT91" s="133" t="n">
        <f aca="false">Budget!N107</f>
        <v>0</v>
      </c>
      <c r="AU91" s="133" t="str">
        <f aca="false">IF(OR(12&gt;$B$3,ISBLANK(Actuals!N107)),"",Actuals!N107)</f>
        <v/>
      </c>
      <c r="AV91" s="134" t="str">
        <f aca="false">IF(OR(12&gt;$B$3,ISBLANK(Actuals!N107)),"",Budget!N107-Actuals!N107)</f>
        <v/>
      </c>
      <c r="AW91" s="134" t="str">
        <f aca="false">IFERROR(IF(OR(12&gt;$B$3,ISBLANK(Actuals!N107)),"",(Budget!N107-Actuals!N107)/ABS(Budget!N107)),"")</f>
        <v/>
      </c>
      <c r="AX91" s="135" t="n">
        <f aca="false">SUMPRODUCT((Actuals!C107:N107&lt;&gt;"")*(Budget!C107:N107))</f>
        <v>0</v>
      </c>
      <c r="AY91" s="135" t="n">
        <f aca="false">SUM(Actuals!C107:N107)</f>
        <v>0</v>
      </c>
      <c r="AZ91" s="136" t="n">
        <f aca="false">AX91-AY91</f>
        <v>0</v>
      </c>
    </row>
    <row r="92" customFormat="false" ht="15" hidden="false" customHeight="true" outlineLevel="0" collapsed="false">
      <c r="A92" s="132" t="s">
        <v>133</v>
      </c>
      <c r="B92" s="133" t="n">
        <f aca="false">Budget!C108</f>
        <v>0</v>
      </c>
      <c r="C92" s="133" t="str">
        <f aca="false">IF(OR(1&gt;$B$3,ISBLANK(Actuals!C108)),"",Actuals!C108)</f>
        <v/>
      </c>
      <c r="D92" s="134" t="str">
        <f aca="false">IF(OR(1&gt;$B$3,ISBLANK(Actuals!C108)),"",Budget!C108-Actuals!C108)</f>
        <v/>
      </c>
      <c r="E92" s="134" t="str">
        <f aca="false">IFERROR(IF(OR(1&gt;$B$3,ISBLANK(Actuals!C108)),"",(Budget!C108-Actuals!C108)/ABS(Budget!C108)),"")</f>
        <v/>
      </c>
      <c r="F92" s="133" t="n">
        <f aca="false">Budget!D108</f>
        <v>0</v>
      </c>
      <c r="G92" s="133" t="str">
        <f aca="false">IF(OR(2&gt;$B$3,ISBLANK(Actuals!D108)),"",Actuals!D108)</f>
        <v/>
      </c>
      <c r="H92" s="134" t="str">
        <f aca="false">IF(OR(2&gt;$B$3,ISBLANK(Actuals!D108)),"",Budget!D108-Actuals!D108)</f>
        <v/>
      </c>
      <c r="I92" s="134" t="str">
        <f aca="false">IFERROR(IF(OR(2&gt;$B$3,ISBLANK(Actuals!D108)),"",(Budget!D108-Actuals!D108)/ABS(Budget!D108)),"")</f>
        <v/>
      </c>
      <c r="J92" s="133" t="n">
        <f aca="false">Budget!E108</f>
        <v>0</v>
      </c>
      <c r="K92" s="133" t="str">
        <f aca="false">IF(OR(3&gt;$B$3,ISBLANK(Actuals!E108)),"",Actuals!E108)</f>
        <v/>
      </c>
      <c r="L92" s="134" t="str">
        <f aca="false">IF(OR(3&gt;$B$3,ISBLANK(Actuals!E108)),"",Budget!E108-Actuals!E108)</f>
        <v/>
      </c>
      <c r="M92" s="134" t="str">
        <f aca="false">IFERROR(IF(OR(3&gt;$B$3,ISBLANK(Actuals!E108)),"",(Budget!E108-Actuals!E108)/ABS(Budget!E108)),"")</f>
        <v/>
      </c>
      <c r="N92" s="133" t="n">
        <f aca="false">Budget!F108</f>
        <v>0</v>
      </c>
      <c r="O92" s="133" t="str">
        <f aca="false">IF(OR(4&gt;$B$3,ISBLANK(Actuals!F108)),"",Actuals!F108)</f>
        <v/>
      </c>
      <c r="P92" s="134" t="str">
        <f aca="false">IF(OR(4&gt;$B$3,ISBLANK(Actuals!F108)),"",Budget!F108-Actuals!F108)</f>
        <v/>
      </c>
      <c r="Q92" s="134" t="str">
        <f aca="false">IFERROR(IF(OR(4&gt;$B$3,ISBLANK(Actuals!F108)),"",(Budget!F108-Actuals!F108)/ABS(Budget!F108)),"")</f>
        <v/>
      </c>
      <c r="R92" s="133" t="n">
        <f aca="false">Budget!G108</f>
        <v>0</v>
      </c>
      <c r="S92" s="133" t="str">
        <f aca="false">IF(OR(5&gt;$B$3,ISBLANK(Actuals!G108)),"",Actuals!G108)</f>
        <v/>
      </c>
      <c r="T92" s="134" t="str">
        <f aca="false">IF(OR(5&gt;$B$3,ISBLANK(Actuals!G108)),"",Budget!G108-Actuals!G108)</f>
        <v/>
      </c>
      <c r="U92" s="134" t="str">
        <f aca="false">IFERROR(IF(OR(5&gt;$B$3,ISBLANK(Actuals!G108)),"",(Budget!G108-Actuals!G108)/ABS(Budget!G108)),"")</f>
        <v/>
      </c>
      <c r="V92" s="133" t="n">
        <f aca="false">Budget!H108</f>
        <v>0</v>
      </c>
      <c r="W92" s="133" t="str">
        <f aca="false">IF(OR(6&gt;$B$3,ISBLANK(Actuals!H108)),"",Actuals!H108)</f>
        <v/>
      </c>
      <c r="X92" s="134" t="str">
        <f aca="false">IF(OR(6&gt;$B$3,ISBLANK(Actuals!H108)),"",Budget!H108-Actuals!H108)</f>
        <v/>
      </c>
      <c r="Y92" s="134" t="str">
        <f aca="false">IFERROR(IF(OR(6&gt;$B$3,ISBLANK(Actuals!H108)),"",(Budget!H108-Actuals!H108)/ABS(Budget!H108)),"")</f>
        <v/>
      </c>
      <c r="Z92" s="133" t="n">
        <f aca="false">Budget!I108</f>
        <v>0</v>
      </c>
      <c r="AA92" s="133" t="str">
        <f aca="false">IF(OR(7&gt;$B$3,ISBLANK(Actuals!I108)),"",Actuals!I108)</f>
        <v/>
      </c>
      <c r="AB92" s="134" t="str">
        <f aca="false">IF(OR(7&gt;$B$3,ISBLANK(Actuals!I108)),"",Budget!I108-Actuals!I108)</f>
        <v/>
      </c>
      <c r="AC92" s="134" t="str">
        <f aca="false">IFERROR(IF(OR(7&gt;$B$3,ISBLANK(Actuals!I108)),"",(Budget!I108-Actuals!I108)/ABS(Budget!I108)),"")</f>
        <v/>
      </c>
      <c r="AD92" s="133" t="n">
        <f aca="false">Budget!J108</f>
        <v>0</v>
      </c>
      <c r="AE92" s="133" t="str">
        <f aca="false">IF(OR(8&gt;$B$3,ISBLANK(Actuals!J108)),"",Actuals!J108)</f>
        <v/>
      </c>
      <c r="AF92" s="134" t="str">
        <f aca="false">IF(OR(8&gt;$B$3,ISBLANK(Actuals!J108)),"",Budget!J108-Actuals!J108)</f>
        <v/>
      </c>
      <c r="AG92" s="134" t="str">
        <f aca="false">IFERROR(IF(OR(8&gt;$B$3,ISBLANK(Actuals!J108)),"",(Budget!J108-Actuals!J108)/ABS(Budget!J108)),"")</f>
        <v/>
      </c>
      <c r="AH92" s="133" t="n">
        <f aca="false">Budget!K108</f>
        <v>0</v>
      </c>
      <c r="AI92" s="133" t="str">
        <f aca="false">IF(OR(9&gt;$B$3,ISBLANK(Actuals!K108)),"",Actuals!K108)</f>
        <v/>
      </c>
      <c r="AJ92" s="134" t="str">
        <f aca="false">IF(OR(9&gt;$B$3,ISBLANK(Actuals!K108)),"",Budget!K108-Actuals!K108)</f>
        <v/>
      </c>
      <c r="AK92" s="134" t="str">
        <f aca="false">IFERROR(IF(OR(9&gt;$B$3,ISBLANK(Actuals!K108)),"",(Budget!K108-Actuals!K108)/ABS(Budget!K108)),"")</f>
        <v/>
      </c>
      <c r="AL92" s="133" t="n">
        <f aca="false">Budget!L108</f>
        <v>0</v>
      </c>
      <c r="AM92" s="133" t="str">
        <f aca="false">IF(OR(10&gt;$B$3,ISBLANK(Actuals!L108)),"",Actuals!L108)</f>
        <v/>
      </c>
      <c r="AN92" s="134" t="str">
        <f aca="false">IF(OR(10&gt;$B$3,ISBLANK(Actuals!L108)),"",Budget!L108-Actuals!L108)</f>
        <v/>
      </c>
      <c r="AO92" s="134" t="str">
        <f aca="false">IFERROR(IF(OR(10&gt;$B$3,ISBLANK(Actuals!L108)),"",(Budget!L108-Actuals!L108)/ABS(Budget!L108)),"")</f>
        <v/>
      </c>
      <c r="AP92" s="133" t="n">
        <f aca="false">Budget!M108</f>
        <v>0</v>
      </c>
      <c r="AQ92" s="133" t="str">
        <f aca="false">IF(OR(11&gt;$B$3,ISBLANK(Actuals!M108)),"",Actuals!M108)</f>
        <v/>
      </c>
      <c r="AR92" s="134" t="str">
        <f aca="false">IF(OR(11&gt;$B$3,ISBLANK(Actuals!M108)),"",Budget!M108-Actuals!M108)</f>
        <v/>
      </c>
      <c r="AS92" s="134" t="str">
        <f aca="false">IFERROR(IF(OR(11&gt;$B$3,ISBLANK(Actuals!M108)),"",(Budget!M108-Actuals!M108)/ABS(Budget!M108)),"")</f>
        <v/>
      </c>
      <c r="AT92" s="133" t="n">
        <f aca="false">Budget!N108</f>
        <v>0</v>
      </c>
      <c r="AU92" s="133" t="str">
        <f aca="false">IF(OR(12&gt;$B$3,ISBLANK(Actuals!N108)),"",Actuals!N108)</f>
        <v/>
      </c>
      <c r="AV92" s="134" t="str">
        <f aca="false">IF(OR(12&gt;$B$3,ISBLANK(Actuals!N108)),"",Budget!N108-Actuals!N108)</f>
        <v/>
      </c>
      <c r="AW92" s="134" t="str">
        <f aca="false">IFERROR(IF(OR(12&gt;$B$3,ISBLANK(Actuals!N108)),"",(Budget!N108-Actuals!N108)/ABS(Budget!N108)),"")</f>
        <v/>
      </c>
      <c r="AX92" s="135" t="n">
        <f aca="false">SUMPRODUCT((Actuals!C108:N108&lt;&gt;"")*(Budget!C108:N108))</f>
        <v>0</v>
      </c>
      <c r="AY92" s="135" t="n">
        <f aca="false">SUM(Actuals!C108:N108)</f>
        <v>0</v>
      </c>
      <c r="AZ92" s="136" t="n">
        <f aca="false">AX92-AY92</f>
        <v>0</v>
      </c>
    </row>
    <row r="93" customFormat="false" ht="15" hidden="false" customHeight="true" outlineLevel="0" collapsed="false">
      <c r="A93" s="132" t="s">
        <v>134</v>
      </c>
      <c r="B93" s="133" t="n">
        <f aca="false">Budget!C109</f>
        <v>0</v>
      </c>
      <c r="C93" s="133" t="str">
        <f aca="false">IF(OR(1&gt;$B$3,ISBLANK(Actuals!C109)),"",Actuals!C109)</f>
        <v/>
      </c>
      <c r="D93" s="134" t="str">
        <f aca="false">IF(OR(1&gt;$B$3,ISBLANK(Actuals!C109)),"",Budget!C109-Actuals!C109)</f>
        <v/>
      </c>
      <c r="E93" s="134" t="str">
        <f aca="false">IFERROR(IF(OR(1&gt;$B$3,ISBLANK(Actuals!C109)),"",(Budget!C109-Actuals!C109)/ABS(Budget!C109)),"")</f>
        <v/>
      </c>
      <c r="F93" s="133" t="n">
        <f aca="false">Budget!D109</f>
        <v>0</v>
      </c>
      <c r="G93" s="133" t="str">
        <f aca="false">IF(OR(2&gt;$B$3,ISBLANK(Actuals!D109)),"",Actuals!D109)</f>
        <v/>
      </c>
      <c r="H93" s="134" t="str">
        <f aca="false">IF(OR(2&gt;$B$3,ISBLANK(Actuals!D109)),"",Budget!D109-Actuals!D109)</f>
        <v/>
      </c>
      <c r="I93" s="134" t="str">
        <f aca="false">IFERROR(IF(OR(2&gt;$B$3,ISBLANK(Actuals!D109)),"",(Budget!D109-Actuals!D109)/ABS(Budget!D109)),"")</f>
        <v/>
      </c>
      <c r="J93" s="133" t="n">
        <f aca="false">Budget!E109</f>
        <v>0</v>
      </c>
      <c r="K93" s="133" t="str">
        <f aca="false">IF(OR(3&gt;$B$3,ISBLANK(Actuals!E109)),"",Actuals!E109)</f>
        <v/>
      </c>
      <c r="L93" s="134" t="str">
        <f aca="false">IF(OR(3&gt;$B$3,ISBLANK(Actuals!E109)),"",Budget!E109-Actuals!E109)</f>
        <v/>
      </c>
      <c r="M93" s="134" t="str">
        <f aca="false">IFERROR(IF(OR(3&gt;$B$3,ISBLANK(Actuals!E109)),"",(Budget!E109-Actuals!E109)/ABS(Budget!E109)),"")</f>
        <v/>
      </c>
      <c r="N93" s="133" t="n">
        <f aca="false">Budget!F109</f>
        <v>0</v>
      </c>
      <c r="O93" s="133" t="str">
        <f aca="false">IF(OR(4&gt;$B$3,ISBLANK(Actuals!F109)),"",Actuals!F109)</f>
        <v/>
      </c>
      <c r="P93" s="134" t="str">
        <f aca="false">IF(OR(4&gt;$B$3,ISBLANK(Actuals!F109)),"",Budget!F109-Actuals!F109)</f>
        <v/>
      </c>
      <c r="Q93" s="134" t="str">
        <f aca="false">IFERROR(IF(OR(4&gt;$B$3,ISBLANK(Actuals!F109)),"",(Budget!F109-Actuals!F109)/ABS(Budget!F109)),"")</f>
        <v/>
      </c>
      <c r="R93" s="133" t="n">
        <f aca="false">Budget!G109</f>
        <v>0</v>
      </c>
      <c r="S93" s="133" t="str">
        <f aca="false">IF(OR(5&gt;$B$3,ISBLANK(Actuals!G109)),"",Actuals!G109)</f>
        <v/>
      </c>
      <c r="T93" s="134" t="str">
        <f aca="false">IF(OR(5&gt;$B$3,ISBLANK(Actuals!G109)),"",Budget!G109-Actuals!G109)</f>
        <v/>
      </c>
      <c r="U93" s="134" t="str">
        <f aca="false">IFERROR(IF(OR(5&gt;$B$3,ISBLANK(Actuals!G109)),"",(Budget!G109-Actuals!G109)/ABS(Budget!G109)),"")</f>
        <v/>
      </c>
      <c r="V93" s="133" t="n">
        <f aca="false">Budget!H109</f>
        <v>0</v>
      </c>
      <c r="W93" s="133" t="str">
        <f aca="false">IF(OR(6&gt;$B$3,ISBLANK(Actuals!H109)),"",Actuals!H109)</f>
        <v/>
      </c>
      <c r="X93" s="134" t="str">
        <f aca="false">IF(OR(6&gt;$B$3,ISBLANK(Actuals!H109)),"",Budget!H109-Actuals!H109)</f>
        <v/>
      </c>
      <c r="Y93" s="134" t="str">
        <f aca="false">IFERROR(IF(OR(6&gt;$B$3,ISBLANK(Actuals!H109)),"",(Budget!H109-Actuals!H109)/ABS(Budget!H109)),"")</f>
        <v/>
      </c>
      <c r="Z93" s="133" t="n">
        <f aca="false">Budget!I109</f>
        <v>0</v>
      </c>
      <c r="AA93" s="133" t="str">
        <f aca="false">IF(OR(7&gt;$B$3,ISBLANK(Actuals!I109)),"",Actuals!I109)</f>
        <v/>
      </c>
      <c r="AB93" s="134" t="str">
        <f aca="false">IF(OR(7&gt;$B$3,ISBLANK(Actuals!I109)),"",Budget!I109-Actuals!I109)</f>
        <v/>
      </c>
      <c r="AC93" s="134" t="str">
        <f aca="false">IFERROR(IF(OR(7&gt;$B$3,ISBLANK(Actuals!I109)),"",(Budget!I109-Actuals!I109)/ABS(Budget!I109)),"")</f>
        <v/>
      </c>
      <c r="AD93" s="133" t="n">
        <f aca="false">Budget!J109</f>
        <v>0</v>
      </c>
      <c r="AE93" s="133" t="n">
        <f aca="false">IF(OR(8&gt;$B$3,ISBLANK(Actuals!J109)),"",Actuals!J109)</f>
        <v>0</v>
      </c>
      <c r="AF93" s="134" t="n">
        <f aca="false">IF(OR(8&gt;$B$3,ISBLANK(Actuals!J109)),"",Budget!J109-Actuals!J109)</f>
        <v>0</v>
      </c>
      <c r="AG93" s="134" t="str">
        <f aca="false">IFERROR(IF(OR(8&gt;$B$3,ISBLANK(Actuals!J109)),"",(Budget!J109-Actuals!J109)/ABS(Budget!J109)),"")</f>
        <v/>
      </c>
      <c r="AH93" s="133" t="n">
        <f aca="false">Budget!K109</f>
        <v>0</v>
      </c>
      <c r="AI93" s="133" t="str">
        <f aca="false">IF(OR(9&gt;$B$3,ISBLANK(Actuals!K109)),"",Actuals!K109)</f>
        <v/>
      </c>
      <c r="AJ93" s="134" t="str">
        <f aca="false">IF(OR(9&gt;$B$3,ISBLANK(Actuals!K109)),"",Budget!K109-Actuals!K109)</f>
        <v/>
      </c>
      <c r="AK93" s="134" t="str">
        <f aca="false">IFERROR(IF(OR(9&gt;$B$3,ISBLANK(Actuals!K109)),"",(Budget!K109-Actuals!K109)/ABS(Budget!K109)),"")</f>
        <v/>
      </c>
      <c r="AL93" s="133" t="n">
        <f aca="false">Budget!L109</f>
        <v>0</v>
      </c>
      <c r="AM93" s="133" t="str">
        <f aca="false">IF(OR(10&gt;$B$3,ISBLANK(Actuals!L109)),"",Actuals!L109)</f>
        <v/>
      </c>
      <c r="AN93" s="134" t="str">
        <f aca="false">IF(OR(10&gt;$B$3,ISBLANK(Actuals!L109)),"",Budget!L109-Actuals!L109)</f>
        <v/>
      </c>
      <c r="AO93" s="134" t="str">
        <f aca="false">IFERROR(IF(OR(10&gt;$B$3,ISBLANK(Actuals!L109)),"",(Budget!L109-Actuals!L109)/ABS(Budget!L109)),"")</f>
        <v/>
      </c>
      <c r="AP93" s="133" t="n">
        <f aca="false">Budget!M109</f>
        <v>0</v>
      </c>
      <c r="AQ93" s="133" t="str">
        <f aca="false">IF(OR(11&gt;$B$3,ISBLANK(Actuals!M109)),"",Actuals!M109)</f>
        <v/>
      </c>
      <c r="AR93" s="134" t="str">
        <f aca="false">IF(OR(11&gt;$B$3,ISBLANK(Actuals!M109)),"",Budget!M109-Actuals!M109)</f>
        <v/>
      </c>
      <c r="AS93" s="134" t="str">
        <f aca="false">IFERROR(IF(OR(11&gt;$B$3,ISBLANK(Actuals!M109)),"",(Budget!M109-Actuals!M109)/ABS(Budget!M109)),"")</f>
        <v/>
      </c>
      <c r="AT93" s="133" t="n">
        <f aca="false">Budget!N109</f>
        <v>0</v>
      </c>
      <c r="AU93" s="133" t="str">
        <f aca="false">IF(OR(12&gt;$B$3,ISBLANK(Actuals!N109)),"",Actuals!N109)</f>
        <v/>
      </c>
      <c r="AV93" s="134" t="str">
        <f aca="false">IF(OR(12&gt;$B$3,ISBLANK(Actuals!N109)),"",Budget!N109-Actuals!N109)</f>
        <v/>
      </c>
      <c r="AW93" s="134" t="str">
        <f aca="false">IFERROR(IF(OR(12&gt;$B$3,ISBLANK(Actuals!N109)),"",(Budget!N109-Actuals!N109)/ABS(Budget!N109)),"")</f>
        <v/>
      </c>
      <c r="AX93" s="135" t="n">
        <f aca="false">SUMPRODUCT((Actuals!C109:N109&lt;&gt;"")*(Budget!C109:N109))</f>
        <v>0</v>
      </c>
      <c r="AY93" s="135" t="n">
        <f aca="false">SUM(Actuals!C109:N109)</f>
        <v>0</v>
      </c>
      <c r="AZ93" s="136" t="n">
        <f aca="false">AX93-AY93</f>
        <v>0</v>
      </c>
    </row>
    <row r="94" customFormat="false" ht="15" hidden="false" customHeight="true" outlineLevel="0" collapsed="false">
      <c r="A94" s="132" t="s">
        <v>135</v>
      </c>
      <c r="B94" s="133" t="n">
        <f aca="false">Budget!C110</f>
        <v>0</v>
      </c>
      <c r="C94" s="133" t="str">
        <f aca="false">IF(OR(1&gt;$B$3,ISBLANK(Actuals!C110)),"",Actuals!C110)</f>
        <v/>
      </c>
      <c r="D94" s="134" t="str">
        <f aca="false">IF(OR(1&gt;$B$3,ISBLANK(Actuals!C110)),"",Budget!C110-Actuals!C110)</f>
        <v/>
      </c>
      <c r="E94" s="134" t="str">
        <f aca="false">IFERROR(IF(OR(1&gt;$B$3,ISBLANK(Actuals!C110)),"",(Budget!C110-Actuals!C110)/ABS(Budget!C110)),"")</f>
        <v/>
      </c>
      <c r="F94" s="133" t="n">
        <f aca="false">Budget!D110</f>
        <v>0</v>
      </c>
      <c r="G94" s="133" t="str">
        <f aca="false">IF(OR(2&gt;$B$3,ISBLANK(Actuals!D110)),"",Actuals!D110)</f>
        <v/>
      </c>
      <c r="H94" s="134" t="str">
        <f aca="false">IF(OR(2&gt;$B$3,ISBLANK(Actuals!D110)),"",Budget!D110-Actuals!D110)</f>
        <v/>
      </c>
      <c r="I94" s="134" t="str">
        <f aca="false">IFERROR(IF(OR(2&gt;$B$3,ISBLANK(Actuals!D110)),"",(Budget!D110-Actuals!D110)/ABS(Budget!D110)),"")</f>
        <v/>
      </c>
      <c r="J94" s="133" t="n">
        <f aca="false">Budget!E110</f>
        <v>0</v>
      </c>
      <c r="K94" s="133" t="str">
        <f aca="false">IF(OR(3&gt;$B$3,ISBLANK(Actuals!E110)),"",Actuals!E110)</f>
        <v/>
      </c>
      <c r="L94" s="134" t="str">
        <f aca="false">IF(OR(3&gt;$B$3,ISBLANK(Actuals!E110)),"",Budget!E110-Actuals!E110)</f>
        <v/>
      </c>
      <c r="M94" s="134" t="str">
        <f aca="false">IFERROR(IF(OR(3&gt;$B$3,ISBLANK(Actuals!E110)),"",(Budget!E110-Actuals!E110)/ABS(Budget!E110)),"")</f>
        <v/>
      </c>
      <c r="N94" s="133" t="n">
        <f aca="false">Budget!F110</f>
        <v>0</v>
      </c>
      <c r="O94" s="133" t="str">
        <f aca="false">IF(OR(4&gt;$B$3,ISBLANK(Actuals!F110)),"",Actuals!F110)</f>
        <v/>
      </c>
      <c r="P94" s="134" t="str">
        <f aca="false">IF(OR(4&gt;$B$3,ISBLANK(Actuals!F110)),"",Budget!F110-Actuals!F110)</f>
        <v/>
      </c>
      <c r="Q94" s="134" t="str">
        <f aca="false">IFERROR(IF(OR(4&gt;$B$3,ISBLANK(Actuals!F110)),"",(Budget!F110-Actuals!F110)/ABS(Budget!F110)),"")</f>
        <v/>
      </c>
      <c r="R94" s="133" t="n">
        <f aca="false">Budget!G110</f>
        <v>0</v>
      </c>
      <c r="S94" s="133" t="str">
        <f aca="false">IF(OR(5&gt;$B$3,ISBLANK(Actuals!G110)),"",Actuals!G110)</f>
        <v/>
      </c>
      <c r="T94" s="134" t="str">
        <f aca="false">IF(OR(5&gt;$B$3,ISBLANK(Actuals!G110)),"",Budget!G110-Actuals!G110)</f>
        <v/>
      </c>
      <c r="U94" s="134" t="str">
        <f aca="false">IFERROR(IF(OR(5&gt;$B$3,ISBLANK(Actuals!G110)),"",(Budget!G110-Actuals!G110)/ABS(Budget!G110)),"")</f>
        <v/>
      </c>
      <c r="V94" s="133" t="n">
        <f aca="false">Budget!H110</f>
        <v>0</v>
      </c>
      <c r="W94" s="133" t="str">
        <f aca="false">IF(OR(6&gt;$B$3,ISBLANK(Actuals!H110)),"",Actuals!H110)</f>
        <v/>
      </c>
      <c r="X94" s="134" t="str">
        <f aca="false">IF(OR(6&gt;$B$3,ISBLANK(Actuals!H110)),"",Budget!H110-Actuals!H110)</f>
        <v/>
      </c>
      <c r="Y94" s="134" t="str">
        <f aca="false">IFERROR(IF(OR(6&gt;$B$3,ISBLANK(Actuals!H110)),"",(Budget!H110-Actuals!H110)/ABS(Budget!H110)),"")</f>
        <v/>
      </c>
      <c r="Z94" s="133" t="n">
        <f aca="false">Budget!I110</f>
        <v>0</v>
      </c>
      <c r="AA94" s="133" t="str">
        <f aca="false">IF(OR(7&gt;$B$3,ISBLANK(Actuals!I110)),"",Actuals!I110)</f>
        <v/>
      </c>
      <c r="AB94" s="134" t="str">
        <f aca="false">IF(OR(7&gt;$B$3,ISBLANK(Actuals!I110)),"",Budget!I110-Actuals!I110)</f>
        <v/>
      </c>
      <c r="AC94" s="134" t="str">
        <f aca="false">IFERROR(IF(OR(7&gt;$B$3,ISBLANK(Actuals!I110)),"",(Budget!I110-Actuals!I110)/ABS(Budget!I110)),"")</f>
        <v/>
      </c>
      <c r="AD94" s="133" t="n">
        <f aca="false">Budget!J110</f>
        <v>0</v>
      </c>
      <c r="AE94" s="133" t="str">
        <f aca="false">IF(OR(8&gt;$B$3,ISBLANK(Actuals!J110)),"",Actuals!J110)</f>
        <v/>
      </c>
      <c r="AF94" s="134" t="str">
        <f aca="false">IF(OR(8&gt;$B$3,ISBLANK(Actuals!J110)),"",Budget!J110-Actuals!J110)</f>
        <v/>
      </c>
      <c r="AG94" s="134" t="str">
        <f aca="false">IFERROR(IF(OR(8&gt;$B$3,ISBLANK(Actuals!J110)),"",(Budget!J110-Actuals!J110)/ABS(Budget!J110)),"")</f>
        <v/>
      </c>
      <c r="AH94" s="133" t="n">
        <f aca="false">Budget!K110</f>
        <v>0</v>
      </c>
      <c r="AI94" s="133" t="str">
        <f aca="false">IF(OR(9&gt;$B$3,ISBLANK(Actuals!K110)),"",Actuals!K110)</f>
        <v/>
      </c>
      <c r="AJ94" s="134" t="str">
        <f aca="false">IF(OR(9&gt;$B$3,ISBLANK(Actuals!K110)),"",Budget!K110-Actuals!K110)</f>
        <v/>
      </c>
      <c r="AK94" s="134" t="str">
        <f aca="false">IFERROR(IF(OR(9&gt;$B$3,ISBLANK(Actuals!K110)),"",(Budget!K110-Actuals!K110)/ABS(Budget!K110)),"")</f>
        <v/>
      </c>
      <c r="AL94" s="133" t="n">
        <f aca="false">Budget!L110</f>
        <v>0</v>
      </c>
      <c r="AM94" s="133" t="str">
        <f aca="false">IF(OR(10&gt;$B$3,ISBLANK(Actuals!L110)),"",Actuals!L110)</f>
        <v/>
      </c>
      <c r="AN94" s="134" t="str">
        <f aca="false">IF(OR(10&gt;$B$3,ISBLANK(Actuals!L110)),"",Budget!L110-Actuals!L110)</f>
        <v/>
      </c>
      <c r="AO94" s="134" t="str">
        <f aca="false">IFERROR(IF(OR(10&gt;$B$3,ISBLANK(Actuals!L110)),"",(Budget!L110-Actuals!L110)/ABS(Budget!L110)),"")</f>
        <v/>
      </c>
      <c r="AP94" s="133" t="n">
        <f aca="false">Budget!M110</f>
        <v>0</v>
      </c>
      <c r="AQ94" s="133" t="str">
        <f aca="false">IF(OR(11&gt;$B$3,ISBLANK(Actuals!M110)),"",Actuals!M110)</f>
        <v/>
      </c>
      <c r="AR94" s="134" t="str">
        <f aca="false">IF(OR(11&gt;$B$3,ISBLANK(Actuals!M110)),"",Budget!M110-Actuals!M110)</f>
        <v/>
      </c>
      <c r="AS94" s="134" t="str">
        <f aca="false">IFERROR(IF(OR(11&gt;$B$3,ISBLANK(Actuals!M110)),"",(Budget!M110-Actuals!M110)/ABS(Budget!M110)),"")</f>
        <v/>
      </c>
      <c r="AT94" s="133" t="n">
        <f aca="false">Budget!N110</f>
        <v>0</v>
      </c>
      <c r="AU94" s="133" t="str">
        <f aca="false">IF(OR(12&gt;$B$3,ISBLANK(Actuals!N110)),"",Actuals!N110)</f>
        <v/>
      </c>
      <c r="AV94" s="134" t="str">
        <f aca="false">IF(OR(12&gt;$B$3,ISBLANK(Actuals!N110)),"",Budget!N110-Actuals!N110)</f>
        <v/>
      </c>
      <c r="AW94" s="134" t="str">
        <f aca="false">IFERROR(IF(OR(12&gt;$B$3,ISBLANK(Actuals!N110)),"",(Budget!N110-Actuals!N110)/ABS(Budget!N110)),"")</f>
        <v/>
      </c>
      <c r="AX94" s="135" t="n">
        <f aca="false">SUMPRODUCT((Actuals!C110:N110&lt;&gt;"")*(Budget!C110:N110))</f>
        <v>0</v>
      </c>
      <c r="AY94" s="135" t="n">
        <f aca="false">SUM(Actuals!C110:N110)</f>
        <v>0</v>
      </c>
      <c r="AZ94" s="136" t="n">
        <f aca="false">AX94-AY94</f>
        <v>0</v>
      </c>
    </row>
    <row r="95" customFormat="false" ht="15" hidden="false" customHeight="true" outlineLevel="0" collapsed="false">
      <c r="A95" s="132" t="s">
        <v>136</v>
      </c>
      <c r="B95" s="133" t="n">
        <f aca="false">Budget!C111</f>
        <v>0</v>
      </c>
      <c r="C95" s="133" t="str">
        <f aca="false">IF(OR(1&gt;$B$3,ISBLANK(Actuals!C111)),"",Actuals!C111)</f>
        <v/>
      </c>
      <c r="D95" s="134" t="str">
        <f aca="false">IF(OR(1&gt;$B$3,ISBLANK(Actuals!C111)),"",Budget!C111-Actuals!C111)</f>
        <v/>
      </c>
      <c r="E95" s="134" t="str">
        <f aca="false">IFERROR(IF(OR(1&gt;$B$3,ISBLANK(Actuals!C111)),"",(Budget!C111-Actuals!C111)/ABS(Budget!C111)),"")</f>
        <v/>
      </c>
      <c r="F95" s="133" t="n">
        <f aca="false">Budget!D111</f>
        <v>0</v>
      </c>
      <c r="G95" s="133" t="str">
        <f aca="false">IF(OR(2&gt;$B$3,ISBLANK(Actuals!D111)),"",Actuals!D111)</f>
        <v/>
      </c>
      <c r="H95" s="134" t="str">
        <f aca="false">IF(OR(2&gt;$B$3,ISBLANK(Actuals!D111)),"",Budget!D111-Actuals!D111)</f>
        <v/>
      </c>
      <c r="I95" s="134" t="str">
        <f aca="false">IFERROR(IF(OR(2&gt;$B$3,ISBLANK(Actuals!D111)),"",(Budget!D111-Actuals!D111)/ABS(Budget!D111)),"")</f>
        <v/>
      </c>
      <c r="J95" s="133" t="n">
        <f aca="false">Budget!E111</f>
        <v>0</v>
      </c>
      <c r="K95" s="133" t="str">
        <f aca="false">IF(OR(3&gt;$B$3,ISBLANK(Actuals!E111)),"",Actuals!E111)</f>
        <v/>
      </c>
      <c r="L95" s="134" t="str">
        <f aca="false">IF(OR(3&gt;$B$3,ISBLANK(Actuals!E111)),"",Budget!E111-Actuals!E111)</f>
        <v/>
      </c>
      <c r="M95" s="134" t="str">
        <f aca="false">IFERROR(IF(OR(3&gt;$B$3,ISBLANK(Actuals!E111)),"",(Budget!E111-Actuals!E111)/ABS(Budget!E111)),"")</f>
        <v/>
      </c>
      <c r="N95" s="133" t="n">
        <f aca="false">Budget!F111</f>
        <v>0</v>
      </c>
      <c r="O95" s="133" t="str">
        <f aca="false">IF(OR(4&gt;$B$3,ISBLANK(Actuals!F111)),"",Actuals!F111)</f>
        <v/>
      </c>
      <c r="P95" s="134" t="str">
        <f aca="false">IF(OR(4&gt;$B$3,ISBLANK(Actuals!F111)),"",Budget!F111-Actuals!F111)</f>
        <v/>
      </c>
      <c r="Q95" s="134" t="str">
        <f aca="false">IFERROR(IF(OR(4&gt;$B$3,ISBLANK(Actuals!F111)),"",(Budget!F111-Actuals!F111)/ABS(Budget!F111)),"")</f>
        <v/>
      </c>
      <c r="R95" s="133" t="n">
        <f aca="false">Budget!G111</f>
        <v>0</v>
      </c>
      <c r="S95" s="133" t="str">
        <f aca="false">IF(OR(5&gt;$B$3,ISBLANK(Actuals!G111)),"",Actuals!G111)</f>
        <v/>
      </c>
      <c r="T95" s="134" t="str">
        <f aca="false">IF(OR(5&gt;$B$3,ISBLANK(Actuals!G111)),"",Budget!G111-Actuals!G111)</f>
        <v/>
      </c>
      <c r="U95" s="134" t="str">
        <f aca="false">IFERROR(IF(OR(5&gt;$B$3,ISBLANK(Actuals!G111)),"",(Budget!G111-Actuals!G111)/ABS(Budget!G111)),"")</f>
        <v/>
      </c>
      <c r="V95" s="133" t="n">
        <f aca="false">Budget!H111</f>
        <v>0</v>
      </c>
      <c r="W95" s="133" t="str">
        <f aca="false">IF(OR(6&gt;$B$3,ISBLANK(Actuals!H111)),"",Actuals!H111)</f>
        <v/>
      </c>
      <c r="X95" s="134" t="str">
        <f aca="false">IF(OR(6&gt;$B$3,ISBLANK(Actuals!H111)),"",Budget!H111-Actuals!H111)</f>
        <v/>
      </c>
      <c r="Y95" s="134" t="str">
        <f aca="false">IFERROR(IF(OR(6&gt;$B$3,ISBLANK(Actuals!H111)),"",(Budget!H111-Actuals!H111)/ABS(Budget!H111)),"")</f>
        <v/>
      </c>
      <c r="Z95" s="133" t="n">
        <f aca="false">Budget!I111</f>
        <v>0</v>
      </c>
      <c r="AA95" s="133" t="str">
        <f aca="false">IF(OR(7&gt;$B$3,ISBLANK(Actuals!I111)),"",Actuals!I111)</f>
        <v/>
      </c>
      <c r="AB95" s="134" t="str">
        <f aca="false">IF(OR(7&gt;$B$3,ISBLANK(Actuals!I111)),"",Budget!I111-Actuals!I111)</f>
        <v/>
      </c>
      <c r="AC95" s="134" t="str">
        <f aca="false">IFERROR(IF(OR(7&gt;$B$3,ISBLANK(Actuals!I111)),"",(Budget!I111-Actuals!I111)/ABS(Budget!I111)),"")</f>
        <v/>
      </c>
      <c r="AD95" s="133" t="n">
        <f aca="false">Budget!J111</f>
        <v>0</v>
      </c>
      <c r="AE95" s="133" t="str">
        <f aca="false">IF(OR(8&gt;$B$3,ISBLANK(Actuals!J111)),"",Actuals!J111)</f>
        <v/>
      </c>
      <c r="AF95" s="134" t="str">
        <f aca="false">IF(OR(8&gt;$B$3,ISBLANK(Actuals!J111)),"",Budget!J111-Actuals!J111)</f>
        <v/>
      </c>
      <c r="AG95" s="134" t="str">
        <f aca="false">IFERROR(IF(OR(8&gt;$B$3,ISBLANK(Actuals!J111)),"",(Budget!J111-Actuals!J111)/ABS(Budget!J111)),"")</f>
        <v/>
      </c>
      <c r="AH95" s="133" t="n">
        <f aca="false">Budget!K111</f>
        <v>0</v>
      </c>
      <c r="AI95" s="133" t="str">
        <f aca="false">IF(OR(9&gt;$B$3,ISBLANK(Actuals!K111)),"",Actuals!K111)</f>
        <v/>
      </c>
      <c r="AJ95" s="134" t="str">
        <f aca="false">IF(OR(9&gt;$B$3,ISBLANK(Actuals!K111)),"",Budget!K111-Actuals!K111)</f>
        <v/>
      </c>
      <c r="AK95" s="134" t="str">
        <f aca="false">IFERROR(IF(OR(9&gt;$B$3,ISBLANK(Actuals!K111)),"",(Budget!K111-Actuals!K111)/ABS(Budget!K111)),"")</f>
        <v/>
      </c>
      <c r="AL95" s="133" t="n">
        <f aca="false">Budget!L111</f>
        <v>0</v>
      </c>
      <c r="AM95" s="133" t="str">
        <f aca="false">IF(OR(10&gt;$B$3,ISBLANK(Actuals!L111)),"",Actuals!L111)</f>
        <v/>
      </c>
      <c r="AN95" s="134" t="str">
        <f aca="false">IF(OR(10&gt;$B$3,ISBLANK(Actuals!L111)),"",Budget!L111-Actuals!L111)</f>
        <v/>
      </c>
      <c r="AO95" s="134" t="str">
        <f aca="false">IFERROR(IF(OR(10&gt;$B$3,ISBLANK(Actuals!L111)),"",(Budget!L111-Actuals!L111)/ABS(Budget!L111)),"")</f>
        <v/>
      </c>
      <c r="AP95" s="133" t="n">
        <f aca="false">Budget!M111</f>
        <v>0</v>
      </c>
      <c r="AQ95" s="133" t="str">
        <f aca="false">IF(OR(11&gt;$B$3,ISBLANK(Actuals!M111)),"",Actuals!M111)</f>
        <v/>
      </c>
      <c r="AR95" s="134" t="str">
        <f aca="false">IF(OR(11&gt;$B$3,ISBLANK(Actuals!M111)),"",Budget!M111-Actuals!M111)</f>
        <v/>
      </c>
      <c r="AS95" s="134" t="str">
        <f aca="false">IFERROR(IF(OR(11&gt;$B$3,ISBLANK(Actuals!M111)),"",(Budget!M111-Actuals!M111)/ABS(Budget!M111)),"")</f>
        <v/>
      </c>
      <c r="AT95" s="133" t="n">
        <f aca="false">Budget!N111</f>
        <v>0</v>
      </c>
      <c r="AU95" s="133" t="str">
        <f aca="false">IF(OR(12&gt;$B$3,ISBLANK(Actuals!N111)),"",Actuals!N111)</f>
        <v/>
      </c>
      <c r="AV95" s="134" t="str">
        <f aca="false">IF(OR(12&gt;$B$3,ISBLANK(Actuals!N111)),"",Budget!N111-Actuals!N111)</f>
        <v/>
      </c>
      <c r="AW95" s="134" t="str">
        <f aca="false">IFERROR(IF(OR(12&gt;$B$3,ISBLANK(Actuals!N111)),"",(Budget!N111-Actuals!N111)/ABS(Budget!N111)),"")</f>
        <v/>
      </c>
      <c r="AX95" s="135" t="n">
        <f aca="false">SUMPRODUCT((Actuals!C111:N111&lt;&gt;"")*(Budget!C111:N111))</f>
        <v>0</v>
      </c>
      <c r="AY95" s="135" t="n">
        <f aca="false">SUM(Actuals!C111:N111)</f>
        <v>0</v>
      </c>
      <c r="AZ95" s="136" t="n">
        <f aca="false">AX95-AY95</f>
        <v>0</v>
      </c>
    </row>
    <row r="96" customFormat="false" ht="15" hidden="false" customHeight="true" outlineLevel="0" collapsed="false">
      <c r="B96" s="109"/>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c r="AH96" s="109"/>
      <c r="AI96" s="109"/>
      <c r="AJ96" s="109"/>
      <c r="AK96" s="109"/>
      <c r="AL96" s="109"/>
      <c r="AM96" s="109"/>
      <c r="AN96" s="109"/>
      <c r="AO96" s="109"/>
      <c r="AP96" s="109"/>
      <c r="AQ96" s="109"/>
      <c r="AR96" s="109"/>
      <c r="AS96" s="109"/>
      <c r="AT96" s="109"/>
      <c r="AU96" s="109"/>
      <c r="AV96" s="109"/>
      <c r="AW96" s="109"/>
      <c r="AX96" s="109"/>
      <c r="AY96" s="109"/>
      <c r="AZ96" s="109"/>
    </row>
    <row r="97" customFormat="false" ht="15" hidden="false" customHeight="true" outlineLevel="0" collapsed="false">
      <c r="A97" s="137" t="s">
        <v>501</v>
      </c>
      <c r="B97" s="138" t="n">
        <f aca="false">SUM(B6:B13)+SUM(B15:B95)</f>
        <v>-88218.8299999999</v>
      </c>
      <c r="C97" s="138" t="n">
        <f aca="false">SUM(C6:C13)+SUM(C15:C95)</f>
        <v>-206557.78</v>
      </c>
      <c r="D97" s="138" t="n">
        <f aca="false">SUM(D6:D13)+SUM(D15:D95)</f>
        <v>177022.28</v>
      </c>
      <c r="E97" s="138"/>
      <c r="F97" s="138" t="n">
        <f aca="false">SUM(F6:F13)+SUM(F15:F95)</f>
        <v>-72974.1700000002</v>
      </c>
      <c r="G97" s="138" t="n">
        <f aca="false">SUM(G6:G13)+SUM(G15:G95)</f>
        <v>-469696.73</v>
      </c>
      <c r="H97" s="138" t="n">
        <f aca="false">SUM(H6:H13)+SUM(H15:H95)</f>
        <v>455405.89</v>
      </c>
      <c r="I97" s="138"/>
      <c r="J97" s="138" t="n">
        <f aca="false">SUM(J6:J13)+SUM(J15:J95)</f>
        <v>-57798.7600000001</v>
      </c>
      <c r="K97" s="138" t="n">
        <f aca="false">SUM(K6:K13)+SUM(K15:K95)</f>
        <v>21337.2600000002</v>
      </c>
      <c r="L97" s="138" t="n">
        <f aca="false">SUM(L6:L13)+SUM(L15:L95)</f>
        <v>-20452.6900000003</v>
      </c>
      <c r="M97" s="138"/>
      <c r="N97" s="138" t="n">
        <f aca="false">SUM(N6:N13)+SUM(N15:N95)</f>
        <v>-31421.3600000002</v>
      </c>
      <c r="O97" s="138" t="n">
        <f aca="false">SUM(O6:O13)+SUM(O15:O95)</f>
        <v>212136.55</v>
      </c>
      <c r="P97" s="138" t="n">
        <f aca="false">SUM(P6:P13)+SUM(P15:P95)</f>
        <v>-255432.91</v>
      </c>
      <c r="Q97" s="138"/>
      <c r="R97" s="138" t="n">
        <f aca="false">SUM(R6:R13)+SUM(R15:R95)</f>
        <v>122738.83</v>
      </c>
      <c r="S97" s="138" t="n">
        <f aca="false">SUM(S6:S13)+SUM(S15:S95)</f>
        <v>-188293.09</v>
      </c>
      <c r="T97" s="138" t="n">
        <f aca="false">SUM(T6:T13)+SUM(T15:T95)</f>
        <v>299156.92</v>
      </c>
      <c r="U97" s="138"/>
      <c r="V97" s="138" t="n">
        <f aca="false">SUM(V6:V13)+SUM(V15:V95)</f>
        <v>139414.41</v>
      </c>
      <c r="W97" s="138" t="n">
        <f aca="false">SUM(W6:W13)+SUM(W15:W95)</f>
        <v>449429.350000001</v>
      </c>
      <c r="X97" s="138" t="n">
        <f aca="false">SUM(X6:X13)+SUM(X15:X95)</f>
        <v>-321889.940000001</v>
      </c>
      <c r="Y97" s="138"/>
      <c r="Z97" s="138" t="n">
        <f aca="false">SUM(Z6:Z13)+SUM(Z15:Z95)</f>
        <v>153517.41</v>
      </c>
      <c r="AA97" s="138" t="n">
        <f aca="false">SUM(AA6:AA13)+SUM(AA15:AA95)</f>
        <v>1327689.46</v>
      </c>
      <c r="AB97" s="138" t="n">
        <f aca="false">SUM(AB6:AB13)+SUM(AB15:AB95)</f>
        <v>-1174172.05</v>
      </c>
      <c r="AC97" s="138"/>
      <c r="AD97" s="138" t="n">
        <f aca="false">SUM(AD6:AD13)+SUM(AD15:AD95)</f>
        <v>164629.55</v>
      </c>
      <c r="AE97" s="138" t="n">
        <f aca="false">SUM(AE6:AE13)+SUM(AE15:AE95)</f>
        <v>172720.41</v>
      </c>
      <c r="AF97" s="138" t="n">
        <f aca="false">SUM(AF6:AF13)+SUM(AF15:AF95)</f>
        <v>-8090.86000000005</v>
      </c>
      <c r="AG97" s="138"/>
      <c r="AH97" s="138" t="n">
        <f aca="false">SUM(AH6:AH13)+SUM(AH15:AH95)</f>
        <v>172088.91</v>
      </c>
      <c r="AI97" s="138" t="n">
        <f aca="false">SUM(AI6:AI13)+SUM(AI15:AI95)</f>
        <v>0</v>
      </c>
      <c r="AJ97" s="138" t="n">
        <f aca="false">SUM(AJ6:AJ13)+SUM(AJ15:AJ95)</f>
        <v>0</v>
      </c>
      <c r="AK97" s="138"/>
      <c r="AL97" s="138" t="n">
        <f aca="false">SUM(AL6:AL13)+SUM(AL15:AL95)</f>
        <v>165342.57</v>
      </c>
      <c r="AM97" s="138" t="n">
        <f aca="false">SUM(AM6:AM13)+SUM(AM15:AM95)</f>
        <v>0</v>
      </c>
      <c r="AN97" s="138" t="n">
        <f aca="false">SUM(AN6:AN13)+SUM(AN15:AN95)</f>
        <v>0</v>
      </c>
      <c r="AO97" s="138"/>
      <c r="AP97" s="138" t="n">
        <f aca="false">SUM(AP6:AP13)+SUM(AP15:AP95)</f>
        <v>164759.67</v>
      </c>
      <c r="AQ97" s="138" t="n">
        <f aca="false">SUM(AQ6:AQ13)+SUM(AQ15:AQ95)</f>
        <v>0</v>
      </c>
      <c r="AR97" s="138" t="n">
        <f aca="false">SUM(AR6:AR13)+SUM(AR15:AR95)</f>
        <v>0</v>
      </c>
      <c r="AS97" s="138"/>
      <c r="AT97" s="138" t="n">
        <f aca="false">SUM(AT6:AT13)+SUM(AT15:AT95)</f>
        <v>115877.35</v>
      </c>
      <c r="AU97" s="138" t="n">
        <f aca="false">SUM(AU6:AU13)+SUM(AU15:AU95)</f>
        <v>0</v>
      </c>
      <c r="AV97" s="138" t="n">
        <f aca="false">SUM(AV6:AV13)+SUM(AV15:AV95)</f>
        <v>0</v>
      </c>
      <c r="AW97" s="138"/>
      <c r="AX97" s="138" t="n">
        <f aca="false">SUM(AX6:AX13)+SUM(AX15:AX95)</f>
        <v>769286.389999997</v>
      </c>
      <c r="AY97" s="138" t="n">
        <f aca="false">SUM(AY6:AY13)+SUM(AY15:AY95)</f>
        <v>1516682.07</v>
      </c>
      <c r="AZ97" s="138" t="n">
        <f aca="false">SUM(AZ6:AZ13)+SUM(AZ15:AZ95)</f>
        <v>-747395.68</v>
      </c>
    </row>
    <row r="98" customFormat="false" ht="15" hidden="false" customHeight="true" outlineLevel="0" collapsed="false">
      <c r="B98" s="139"/>
      <c r="C98" s="139"/>
      <c r="D98" s="139"/>
      <c r="E98" s="139"/>
      <c r="F98" s="139"/>
      <c r="G98" s="139"/>
      <c r="H98" s="139"/>
      <c r="I98" s="139"/>
      <c r="J98" s="139"/>
      <c r="K98" s="139"/>
      <c r="L98" s="139"/>
      <c r="M98" s="139"/>
      <c r="N98" s="139"/>
      <c r="O98" s="139"/>
      <c r="P98" s="139"/>
      <c r="Q98" s="139"/>
      <c r="R98" s="139"/>
      <c r="S98" s="139"/>
      <c r="T98" s="139"/>
      <c r="U98" s="139"/>
      <c r="V98" s="139"/>
      <c r="W98" s="139"/>
      <c r="X98" s="139"/>
      <c r="Y98" s="139"/>
      <c r="Z98" s="139"/>
      <c r="AA98" s="139"/>
      <c r="AB98" s="139"/>
      <c r="AC98" s="139"/>
      <c r="AD98" s="139"/>
      <c r="AE98" s="139"/>
      <c r="AF98" s="139"/>
      <c r="AG98" s="139"/>
      <c r="AH98" s="139"/>
      <c r="AI98" s="139"/>
      <c r="AJ98" s="139"/>
      <c r="AK98" s="139"/>
      <c r="AL98" s="139"/>
      <c r="AM98" s="139"/>
      <c r="AN98" s="139"/>
      <c r="AO98" s="139"/>
      <c r="AP98" s="139"/>
      <c r="AQ98" s="139"/>
      <c r="AR98" s="139"/>
      <c r="AS98" s="139"/>
      <c r="AT98" s="139"/>
      <c r="AU98" s="139"/>
      <c r="AV98" s="139"/>
      <c r="AW98" s="139"/>
      <c r="AX98" s="139"/>
      <c r="AY98" s="139"/>
      <c r="AZ98" s="139"/>
    </row>
    <row r="99" customFormat="false" ht="15" hidden="false" customHeight="true" outlineLevel="0" collapsed="false">
      <c r="B99" s="139"/>
      <c r="C99" s="139"/>
      <c r="D99" s="139"/>
      <c r="E99" s="139"/>
      <c r="F99" s="139"/>
      <c r="G99" s="139"/>
      <c r="H99" s="139"/>
      <c r="I99" s="139"/>
      <c r="J99" s="139"/>
      <c r="K99" s="139"/>
      <c r="L99" s="139"/>
      <c r="M99" s="139"/>
      <c r="N99" s="139"/>
      <c r="O99" s="139"/>
      <c r="P99" s="139"/>
      <c r="Q99" s="139"/>
      <c r="R99" s="139"/>
      <c r="S99" s="139"/>
      <c r="T99" s="139"/>
      <c r="U99" s="139"/>
      <c r="V99" s="139"/>
      <c r="W99" s="139"/>
      <c r="X99" s="139"/>
      <c r="Y99" s="139"/>
      <c r="Z99" s="139"/>
      <c r="AA99" s="139"/>
      <c r="AB99" s="139"/>
      <c r="AC99" s="139"/>
      <c r="AD99" s="139"/>
      <c r="AE99" s="139"/>
      <c r="AF99" s="139"/>
      <c r="AG99" s="139"/>
      <c r="AH99" s="139"/>
      <c r="AI99" s="139"/>
      <c r="AJ99" s="139"/>
      <c r="AK99" s="139"/>
      <c r="AL99" s="139"/>
      <c r="AM99" s="139"/>
      <c r="AN99" s="139"/>
      <c r="AO99" s="139"/>
      <c r="AP99" s="139"/>
      <c r="AQ99" s="139"/>
      <c r="AR99" s="139"/>
      <c r="AS99" s="139"/>
      <c r="AT99" s="139"/>
      <c r="AU99" s="139"/>
      <c r="AV99" s="139"/>
      <c r="AW99" s="139"/>
      <c r="AX99" s="139"/>
      <c r="AY99" s="139"/>
      <c r="AZ99" s="139"/>
    </row>
    <row r="100" customFormat="false" ht="15" hidden="false" customHeight="true" outlineLevel="0" collapsed="false">
      <c r="B100" s="139"/>
      <c r="C100" s="139"/>
      <c r="D100" s="139"/>
      <c r="E100" s="139"/>
      <c r="F100" s="139"/>
      <c r="G100" s="139"/>
      <c r="H100" s="139"/>
      <c r="I100" s="139"/>
      <c r="J100" s="139"/>
      <c r="K100" s="139"/>
      <c r="L100" s="139"/>
      <c r="M100" s="139"/>
      <c r="N100" s="139"/>
      <c r="O100" s="139"/>
      <c r="P100" s="139"/>
      <c r="Q100" s="139"/>
      <c r="R100" s="139"/>
      <c r="S100" s="139"/>
      <c r="T100" s="139"/>
      <c r="U100" s="139"/>
      <c r="V100" s="139"/>
      <c r="W100" s="139"/>
      <c r="X100" s="139"/>
      <c r="Y100" s="139"/>
      <c r="Z100" s="139"/>
      <c r="AA100" s="139"/>
      <c r="AB100" s="139"/>
      <c r="AC100" s="139"/>
      <c r="AD100" s="139"/>
      <c r="AE100" s="139"/>
      <c r="AF100" s="139"/>
      <c r="AG100" s="139"/>
      <c r="AH100" s="139"/>
      <c r="AI100" s="139"/>
      <c r="AJ100" s="139"/>
      <c r="AK100" s="139"/>
      <c r="AL100" s="139"/>
      <c r="AM100" s="139"/>
      <c r="AN100" s="139"/>
      <c r="AO100" s="139"/>
      <c r="AP100" s="139"/>
      <c r="AQ100" s="139"/>
      <c r="AR100" s="139"/>
      <c r="AS100" s="139"/>
      <c r="AT100" s="139"/>
      <c r="AU100" s="139"/>
      <c r="AV100" s="139"/>
      <c r="AW100" s="139"/>
      <c r="AX100" s="139"/>
      <c r="AY100" s="139"/>
      <c r="AZ100" s="139"/>
    </row>
    <row r="101" customFormat="false" ht="15" hidden="false" customHeight="true" outlineLevel="0" collapsed="false">
      <c r="B101" s="139"/>
      <c r="C101" s="139"/>
      <c r="D101" s="139"/>
      <c r="E101" s="139"/>
      <c r="F101" s="139"/>
      <c r="G101" s="139"/>
      <c r="H101" s="139"/>
      <c r="I101" s="139"/>
      <c r="J101" s="139"/>
      <c r="K101" s="139"/>
      <c r="L101" s="139"/>
      <c r="M101" s="139"/>
      <c r="N101" s="139"/>
      <c r="O101" s="139"/>
      <c r="P101" s="139"/>
      <c r="Q101" s="139"/>
      <c r="R101" s="139"/>
      <c r="S101" s="139"/>
      <c r="T101" s="139"/>
      <c r="U101" s="139"/>
      <c r="V101" s="139"/>
      <c r="W101" s="139"/>
      <c r="X101" s="139"/>
      <c r="Y101" s="139"/>
      <c r="Z101" s="139"/>
      <c r="AA101" s="139"/>
      <c r="AB101" s="139"/>
      <c r="AC101" s="139"/>
      <c r="AD101" s="139"/>
      <c r="AE101" s="139"/>
      <c r="AF101" s="139"/>
      <c r="AG101" s="139"/>
      <c r="AH101" s="139"/>
      <c r="AI101" s="139"/>
      <c r="AJ101" s="139"/>
      <c r="AK101" s="139"/>
      <c r="AL101" s="139"/>
      <c r="AM101" s="139"/>
      <c r="AN101" s="139"/>
      <c r="AO101" s="139"/>
      <c r="AP101" s="139"/>
      <c r="AQ101" s="139"/>
      <c r="AR101" s="139"/>
      <c r="AS101" s="139"/>
      <c r="AT101" s="139"/>
      <c r="AU101" s="139"/>
      <c r="AV101" s="139"/>
      <c r="AW101" s="139"/>
      <c r="AX101" s="139"/>
      <c r="AY101" s="139"/>
      <c r="AZ101" s="139"/>
    </row>
    <row r="102" customFormat="false" ht="15" hidden="false" customHeight="true" outlineLevel="0" collapsed="false">
      <c r="B102" s="139"/>
      <c r="C102" s="139"/>
      <c r="D102" s="139"/>
      <c r="E102" s="139"/>
      <c r="F102" s="139"/>
      <c r="G102" s="139"/>
      <c r="H102" s="139"/>
      <c r="I102" s="139"/>
      <c r="J102" s="139"/>
      <c r="K102" s="139"/>
      <c r="L102" s="139"/>
      <c r="M102" s="139"/>
      <c r="N102" s="139"/>
      <c r="O102" s="139"/>
      <c r="P102" s="139"/>
      <c r="Q102" s="139"/>
      <c r="R102" s="139"/>
      <c r="S102" s="139"/>
      <c r="T102" s="139"/>
      <c r="U102" s="139"/>
      <c r="V102" s="139"/>
      <c r="W102" s="139"/>
      <c r="X102" s="139"/>
      <c r="Y102" s="139"/>
      <c r="Z102" s="139"/>
      <c r="AA102" s="139"/>
      <c r="AB102" s="139"/>
      <c r="AC102" s="139"/>
      <c r="AD102" s="139"/>
      <c r="AE102" s="139"/>
      <c r="AF102" s="139"/>
      <c r="AG102" s="139"/>
      <c r="AH102" s="139"/>
      <c r="AI102" s="139"/>
      <c r="AJ102" s="139"/>
      <c r="AK102" s="139"/>
      <c r="AL102" s="139"/>
      <c r="AM102" s="139"/>
      <c r="AN102" s="139"/>
      <c r="AO102" s="139"/>
      <c r="AP102" s="139"/>
      <c r="AQ102" s="139"/>
      <c r="AR102" s="139"/>
      <c r="AS102" s="139"/>
      <c r="AT102" s="139"/>
      <c r="AU102" s="139"/>
      <c r="AV102" s="139"/>
      <c r="AW102" s="139"/>
      <c r="AX102" s="139"/>
      <c r="AY102" s="139"/>
      <c r="AZ102" s="139"/>
    </row>
    <row r="103" customFormat="false" ht="15" hidden="false" customHeight="true" outlineLevel="0" collapsed="false">
      <c r="B103" s="139"/>
      <c r="C103" s="139"/>
      <c r="D103" s="139"/>
      <c r="E103" s="139"/>
      <c r="F103" s="139"/>
      <c r="G103" s="139"/>
      <c r="H103" s="139"/>
      <c r="I103" s="139"/>
      <c r="J103" s="139"/>
      <c r="K103" s="139"/>
      <c r="L103" s="139"/>
      <c r="M103" s="139"/>
      <c r="N103" s="139"/>
      <c r="O103" s="139"/>
      <c r="P103" s="139"/>
      <c r="Q103" s="139"/>
      <c r="R103" s="139"/>
      <c r="S103" s="139"/>
      <c r="T103" s="139"/>
      <c r="U103" s="139"/>
      <c r="V103" s="139"/>
      <c r="W103" s="139"/>
      <c r="X103" s="139"/>
      <c r="Y103" s="139"/>
      <c r="Z103" s="139"/>
      <c r="AA103" s="139"/>
      <c r="AB103" s="139"/>
      <c r="AC103" s="139"/>
      <c r="AD103" s="139"/>
      <c r="AE103" s="139"/>
      <c r="AF103" s="139"/>
      <c r="AG103" s="139"/>
      <c r="AH103" s="139"/>
      <c r="AI103" s="139"/>
      <c r="AJ103" s="139"/>
      <c r="AK103" s="139"/>
      <c r="AL103" s="139"/>
      <c r="AM103" s="139"/>
      <c r="AN103" s="139"/>
      <c r="AO103" s="139"/>
      <c r="AP103" s="139"/>
      <c r="AQ103" s="139"/>
      <c r="AR103" s="139"/>
      <c r="AS103" s="139"/>
      <c r="AT103" s="139"/>
      <c r="AU103" s="139"/>
      <c r="AV103" s="139"/>
      <c r="AW103" s="139"/>
      <c r="AX103" s="139"/>
      <c r="AY103" s="139"/>
      <c r="AZ103" s="139"/>
    </row>
    <row r="104" customFormat="false" ht="15" hidden="false" customHeight="true" outlineLevel="0" collapsed="false">
      <c r="B104" s="139"/>
      <c r="C104" s="139"/>
      <c r="D104" s="139"/>
      <c r="E104" s="139"/>
      <c r="F104" s="139"/>
      <c r="G104" s="139"/>
      <c r="H104" s="139"/>
      <c r="I104" s="139"/>
      <c r="J104" s="139"/>
      <c r="K104" s="139"/>
      <c r="L104" s="139"/>
      <c r="M104" s="139"/>
      <c r="N104" s="139"/>
      <c r="O104" s="139"/>
      <c r="P104" s="139"/>
      <c r="Q104" s="139"/>
      <c r="R104" s="139"/>
      <c r="S104" s="139"/>
      <c r="T104" s="139"/>
      <c r="U104" s="139"/>
      <c r="V104" s="139"/>
      <c r="W104" s="139"/>
      <c r="X104" s="139"/>
      <c r="Y104" s="139"/>
      <c r="Z104" s="139"/>
      <c r="AA104" s="139"/>
      <c r="AB104" s="139"/>
      <c r="AC104" s="139"/>
      <c r="AD104" s="139"/>
      <c r="AE104" s="139"/>
      <c r="AF104" s="139"/>
      <c r="AG104" s="139"/>
      <c r="AH104" s="139"/>
      <c r="AI104" s="139"/>
      <c r="AJ104" s="139"/>
      <c r="AK104" s="139"/>
      <c r="AL104" s="139"/>
      <c r="AM104" s="139"/>
      <c r="AN104" s="139"/>
      <c r="AO104" s="139"/>
      <c r="AP104" s="139"/>
      <c r="AQ104" s="139"/>
      <c r="AR104" s="139"/>
      <c r="AS104" s="139"/>
      <c r="AT104" s="139"/>
      <c r="AU104" s="139"/>
      <c r="AV104" s="139"/>
      <c r="AW104" s="139"/>
      <c r="AX104" s="139"/>
      <c r="AY104" s="139"/>
      <c r="AZ104" s="139"/>
    </row>
    <row r="105" customFormat="false" ht="15" hidden="false" customHeight="true" outlineLevel="0" collapsed="false">
      <c r="B105" s="139"/>
      <c r="C105" s="139"/>
      <c r="D105" s="139"/>
      <c r="E105" s="139"/>
      <c r="F105" s="139"/>
      <c r="G105" s="139"/>
      <c r="H105" s="139"/>
      <c r="I105" s="139"/>
      <c r="J105" s="139"/>
      <c r="K105" s="139"/>
      <c r="L105" s="139"/>
      <c r="M105" s="139"/>
      <c r="N105" s="139"/>
      <c r="O105" s="139"/>
      <c r="P105" s="139"/>
      <c r="Q105" s="139"/>
      <c r="R105" s="139"/>
      <c r="S105" s="139"/>
      <c r="T105" s="139"/>
      <c r="U105" s="139"/>
      <c r="V105" s="139"/>
      <c r="W105" s="139"/>
      <c r="X105" s="139"/>
      <c r="Y105" s="139"/>
      <c r="Z105" s="139"/>
      <c r="AA105" s="139"/>
      <c r="AB105" s="139"/>
      <c r="AC105" s="139"/>
      <c r="AD105" s="139"/>
      <c r="AE105" s="139"/>
      <c r="AF105" s="139"/>
      <c r="AG105" s="139"/>
      <c r="AH105" s="139"/>
      <c r="AI105" s="139"/>
      <c r="AJ105" s="139"/>
      <c r="AK105" s="139"/>
      <c r="AL105" s="139"/>
      <c r="AM105" s="139"/>
      <c r="AN105" s="139"/>
      <c r="AO105" s="139"/>
      <c r="AP105" s="139"/>
      <c r="AQ105" s="139"/>
      <c r="AR105" s="139"/>
      <c r="AS105" s="139"/>
      <c r="AT105" s="139"/>
      <c r="AU105" s="139"/>
      <c r="AV105" s="139"/>
      <c r="AW105" s="139"/>
      <c r="AX105" s="139"/>
      <c r="AY105" s="139"/>
      <c r="AZ105" s="139"/>
    </row>
    <row r="106" customFormat="false" ht="15" hidden="false" customHeight="true" outlineLevel="0" collapsed="false">
      <c r="B106" s="139"/>
      <c r="C106" s="139"/>
      <c r="D106" s="139"/>
      <c r="E106" s="139"/>
      <c r="F106" s="139"/>
      <c r="G106" s="139"/>
      <c r="H106" s="139"/>
      <c r="I106" s="139"/>
      <c r="J106" s="139"/>
      <c r="K106" s="139"/>
      <c r="L106" s="139"/>
      <c r="M106" s="139"/>
      <c r="N106" s="139"/>
      <c r="O106" s="139"/>
      <c r="P106" s="139"/>
      <c r="Q106" s="139"/>
      <c r="R106" s="139"/>
      <c r="S106" s="139"/>
      <c r="T106" s="139"/>
      <c r="U106" s="139"/>
      <c r="V106" s="139"/>
      <c r="W106" s="139"/>
      <c r="X106" s="139"/>
      <c r="Y106" s="139"/>
      <c r="Z106" s="139"/>
      <c r="AA106" s="139"/>
      <c r="AB106" s="139"/>
      <c r="AC106" s="139"/>
      <c r="AD106" s="139"/>
      <c r="AE106" s="139"/>
      <c r="AF106" s="139"/>
      <c r="AG106" s="139"/>
      <c r="AH106" s="139"/>
      <c r="AI106" s="139"/>
      <c r="AJ106" s="139"/>
      <c r="AK106" s="139"/>
      <c r="AL106" s="139"/>
      <c r="AM106" s="139"/>
      <c r="AN106" s="139"/>
      <c r="AO106" s="139"/>
      <c r="AP106" s="139"/>
      <c r="AQ106" s="139"/>
      <c r="AR106" s="139"/>
      <c r="AS106" s="139"/>
      <c r="AT106" s="139"/>
      <c r="AU106" s="139"/>
      <c r="AV106" s="139"/>
      <c r="AW106" s="139"/>
      <c r="AX106" s="139"/>
      <c r="AY106" s="139"/>
      <c r="AZ106" s="139"/>
    </row>
    <row r="107" customFormat="false" ht="15" hidden="false" customHeight="true" outlineLevel="0" collapsed="false">
      <c r="B107" s="139"/>
      <c r="C107" s="139"/>
      <c r="D107" s="139"/>
      <c r="E107" s="139"/>
      <c r="F107" s="139"/>
      <c r="G107" s="139"/>
      <c r="H107" s="139"/>
      <c r="I107" s="139"/>
      <c r="J107" s="139"/>
      <c r="K107" s="139"/>
      <c r="L107" s="139"/>
      <c r="M107" s="139"/>
      <c r="N107" s="139"/>
      <c r="O107" s="139"/>
      <c r="P107" s="139"/>
      <c r="Q107" s="139"/>
      <c r="R107" s="139"/>
      <c r="S107" s="139"/>
      <c r="T107" s="139"/>
      <c r="U107" s="139"/>
      <c r="V107" s="139"/>
      <c r="W107" s="139"/>
      <c r="X107" s="139"/>
      <c r="Y107" s="139"/>
      <c r="Z107" s="139"/>
      <c r="AA107" s="139"/>
      <c r="AB107" s="139"/>
      <c r="AC107" s="139"/>
      <c r="AD107" s="139"/>
      <c r="AE107" s="139"/>
      <c r="AF107" s="139"/>
      <c r="AG107" s="139"/>
      <c r="AH107" s="139"/>
      <c r="AI107" s="139"/>
      <c r="AJ107" s="139"/>
      <c r="AK107" s="139"/>
      <c r="AL107" s="139"/>
      <c r="AM107" s="139"/>
      <c r="AN107" s="139"/>
      <c r="AO107" s="139"/>
      <c r="AP107" s="139"/>
      <c r="AQ107" s="139"/>
      <c r="AR107" s="139"/>
      <c r="AS107" s="139"/>
      <c r="AT107" s="139"/>
      <c r="AU107" s="139"/>
      <c r="AV107" s="139"/>
      <c r="AW107" s="139"/>
      <c r="AX107" s="139"/>
      <c r="AY107" s="139"/>
      <c r="AZ107" s="139"/>
    </row>
    <row r="108" customFormat="false" ht="15" hidden="false" customHeight="true" outlineLevel="0" collapsed="false">
      <c r="B108" s="139"/>
      <c r="C108" s="139"/>
      <c r="D108" s="139"/>
      <c r="E108" s="139"/>
      <c r="F108" s="139"/>
      <c r="G108" s="139"/>
      <c r="H108" s="139"/>
      <c r="I108" s="139"/>
      <c r="J108" s="139"/>
      <c r="K108" s="139"/>
      <c r="L108" s="139"/>
      <c r="M108" s="139"/>
      <c r="N108" s="139"/>
      <c r="O108" s="139"/>
      <c r="P108" s="139"/>
      <c r="Q108" s="139"/>
      <c r="R108" s="139"/>
      <c r="S108" s="139"/>
      <c r="T108" s="139"/>
      <c r="U108" s="139"/>
      <c r="V108" s="139"/>
      <c r="W108" s="139"/>
      <c r="X108" s="139"/>
      <c r="Y108" s="139"/>
      <c r="Z108" s="139"/>
      <c r="AA108" s="139"/>
      <c r="AB108" s="139"/>
      <c r="AC108" s="139"/>
      <c r="AD108" s="139"/>
      <c r="AE108" s="139"/>
      <c r="AF108" s="139"/>
      <c r="AG108" s="139"/>
      <c r="AH108" s="139"/>
      <c r="AI108" s="139"/>
      <c r="AJ108" s="139"/>
      <c r="AK108" s="139"/>
      <c r="AL108" s="139"/>
      <c r="AM108" s="139"/>
      <c r="AN108" s="139"/>
      <c r="AO108" s="139"/>
      <c r="AP108" s="139"/>
      <c r="AQ108" s="139"/>
      <c r="AR108" s="139"/>
      <c r="AS108" s="139"/>
      <c r="AT108" s="139"/>
      <c r="AU108" s="139"/>
      <c r="AV108" s="139"/>
      <c r="AW108" s="139"/>
      <c r="AX108" s="139"/>
      <c r="AY108" s="139"/>
      <c r="AZ108" s="139"/>
    </row>
    <row r="109" customFormat="false" ht="15" hidden="false" customHeight="true" outlineLevel="0" collapsed="false">
      <c r="B109" s="139"/>
      <c r="C109" s="139"/>
      <c r="D109" s="139"/>
      <c r="E109" s="139"/>
      <c r="F109" s="139"/>
      <c r="G109" s="139"/>
      <c r="H109" s="139"/>
      <c r="I109" s="139"/>
      <c r="J109" s="139"/>
      <c r="K109" s="139"/>
      <c r="L109" s="139"/>
      <c r="M109" s="139"/>
      <c r="N109" s="139"/>
      <c r="O109" s="139"/>
      <c r="P109" s="139"/>
      <c r="Q109" s="139"/>
      <c r="R109" s="139"/>
      <c r="S109" s="139"/>
      <c r="T109" s="139"/>
      <c r="U109" s="139"/>
      <c r="V109" s="139"/>
      <c r="W109" s="139"/>
      <c r="X109" s="139"/>
      <c r="Y109" s="139"/>
      <c r="Z109" s="139"/>
      <c r="AA109" s="139"/>
      <c r="AB109" s="139"/>
      <c r="AC109" s="139"/>
      <c r="AD109" s="139"/>
      <c r="AE109" s="139"/>
      <c r="AF109" s="139"/>
      <c r="AG109" s="139"/>
      <c r="AH109" s="139"/>
      <c r="AI109" s="139"/>
      <c r="AJ109" s="139"/>
      <c r="AK109" s="139"/>
      <c r="AL109" s="139"/>
      <c r="AM109" s="139"/>
      <c r="AN109" s="139"/>
      <c r="AO109" s="139"/>
      <c r="AP109" s="139"/>
      <c r="AQ109" s="139"/>
      <c r="AR109" s="139"/>
      <c r="AS109" s="139"/>
      <c r="AT109" s="139"/>
      <c r="AU109" s="139"/>
      <c r="AV109" s="139"/>
      <c r="AW109" s="139"/>
      <c r="AX109" s="139"/>
      <c r="AY109" s="139"/>
      <c r="AZ109" s="139"/>
    </row>
  </sheetData>
  <mergeCells count="13">
    <mergeCell ref="B4:E4"/>
    <mergeCell ref="F4:I4"/>
    <mergeCell ref="J4:M4"/>
    <mergeCell ref="N4:Q4"/>
    <mergeCell ref="R4:U4"/>
    <mergeCell ref="V4:Y4"/>
    <mergeCell ref="Z4:AC4"/>
    <mergeCell ref="AD4:AG4"/>
    <mergeCell ref="AH4:AK4"/>
    <mergeCell ref="AL4:AO4"/>
    <mergeCell ref="AP4:AS4"/>
    <mergeCell ref="AT4:AW4"/>
    <mergeCell ref="AX4:AZ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AZ109"/>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P96" activeCellId="0" sqref="P96"/>
    </sheetView>
  </sheetViews>
  <sheetFormatPr defaultColWidth="8.7109375" defaultRowHeight="13.5" zeroHeight="false" outlineLevelRow="0" outlineLevelCol="0"/>
  <cols>
    <col collapsed="false" customWidth="true" hidden="false" outlineLevel="0" max="1" min="1" style="1" width="38"/>
    <col collapsed="false" customWidth="true" hidden="false" outlineLevel="0" max="52" min="2" style="1" width="12.42"/>
  </cols>
  <sheetData>
    <row r="1" customFormat="false" ht="17.25" hidden="false" customHeight="true" outlineLevel="0" collapsed="false">
      <c r="A1" s="94" t="s">
        <v>502</v>
      </c>
    </row>
    <row r="2" customFormat="false" ht="15" hidden="false" customHeight="true" outlineLevel="0" collapsed="false">
      <c r="A2" s="72" t="s">
        <v>482</v>
      </c>
    </row>
    <row r="3" customFormat="false" ht="15" hidden="false" customHeight="true" outlineLevel="0" collapsed="false">
      <c r="A3" s="1" t="s">
        <v>385</v>
      </c>
      <c r="B3" s="1" t="n">
        <f aca="false">SUMPRODUCT(--(Actuals!$C$21:$N$21&lt;&gt;""))</f>
        <v>8</v>
      </c>
    </row>
    <row r="4" customFormat="false" ht="15" hidden="false" customHeight="true" outlineLevel="0" collapsed="false">
      <c r="B4" s="128" t="s">
        <v>483</v>
      </c>
      <c r="C4" s="128"/>
      <c r="D4" s="128"/>
      <c r="E4" s="128"/>
      <c r="F4" s="128" t="s">
        <v>484</v>
      </c>
      <c r="G4" s="128"/>
      <c r="H4" s="128"/>
      <c r="I4" s="128"/>
      <c r="J4" s="128" t="s">
        <v>485</v>
      </c>
      <c r="K4" s="128"/>
      <c r="L4" s="128"/>
      <c r="M4" s="128"/>
      <c r="N4" s="128" t="s">
        <v>486</v>
      </c>
      <c r="O4" s="128"/>
      <c r="P4" s="128"/>
      <c r="Q4" s="128"/>
      <c r="R4" s="128" t="s">
        <v>487</v>
      </c>
      <c r="S4" s="128"/>
      <c r="T4" s="128"/>
      <c r="U4" s="128"/>
      <c r="V4" s="128" t="s">
        <v>488</v>
      </c>
      <c r="W4" s="128"/>
      <c r="X4" s="128"/>
      <c r="Y4" s="128"/>
      <c r="Z4" s="128" t="s">
        <v>489</v>
      </c>
      <c r="AA4" s="128"/>
      <c r="AB4" s="128"/>
      <c r="AC4" s="128"/>
      <c r="AD4" s="128" t="s">
        <v>490</v>
      </c>
      <c r="AE4" s="128"/>
      <c r="AF4" s="128"/>
      <c r="AG4" s="128"/>
      <c r="AH4" s="128" t="s">
        <v>491</v>
      </c>
      <c r="AI4" s="128"/>
      <c r="AJ4" s="128"/>
      <c r="AK4" s="128"/>
      <c r="AL4" s="128" t="s">
        <v>492</v>
      </c>
      <c r="AM4" s="128"/>
      <c r="AN4" s="128"/>
      <c r="AO4" s="128"/>
      <c r="AP4" s="128" t="s">
        <v>493</v>
      </c>
      <c r="AQ4" s="128"/>
      <c r="AR4" s="128"/>
      <c r="AS4" s="128"/>
      <c r="AT4" s="128" t="s">
        <v>494</v>
      </c>
      <c r="AU4" s="128"/>
      <c r="AV4" s="128"/>
      <c r="AW4" s="128"/>
      <c r="AX4" s="129" t="s">
        <v>495</v>
      </c>
      <c r="AY4" s="129"/>
      <c r="AZ4" s="129"/>
    </row>
    <row r="5" customFormat="false" ht="15" hidden="false" customHeight="true" outlineLevel="0" collapsed="false">
      <c r="A5" s="130" t="s">
        <v>387</v>
      </c>
      <c r="B5" s="130" t="s">
        <v>480</v>
      </c>
      <c r="C5" s="130" t="s">
        <v>388</v>
      </c>
      <c r="D5" s="130" t="s">
        <v>496</v>
      </c>
      <c r="E5" s="130" t="s">
        <v>497</v>
      </c>
      <c r="F5" s="130" t="s">
        <v>480</v>
      </c>
      <c r="G5" s="130" t="s">
        <v>388</v>
      </c>
      <c r="H5" s="130" t="s">
        <v>496</v>
      </c>
      <c r="I5" s="130" t="s">
        <v>497</v>
      </c>
      <c r="J5" s="130" t="s">
        <v>480</v>
      </c>
      <c r="K5" s="130" t="s">
        <v>388</v>
      </c>
      <c r="L5" s="130" t="s">
        <v>496</v>
      </c>
      <c r="M5" s="130" t="s">
        <v>497</v>
      </c>
      <c r="N5" s="130" t="s">
        <v>480</v>
      </c>
      <c r="O5" s="130" t="s">
        <v>388</v>
      </c>
      <c r="P5" s="130" t="s">
        <v>496</v>
      </c>
      <c r="Q5" s="130" t="s">
        <v>497</v>
      </c>
      <c r="R5" s="130" t="s">
        <v>480</v>
      </c>
      <c r="S5" s="130" t="s">
        <v>388</v>
      </c>
      <c r="T5" s="130" t="s">
        <v>496</v>
      </c>
      <c r="U5" s="130" t="s">
        <v>497</v>
      </c>
      <c r="V5" s="130" t="s">
        <v>480</v>
      </c>
      <c r="W5" s="130" t="s">
        <v>388</v>
      </c>
      <c r="X5" s="130" t="s">
        <v>496</v>
      </c>
      <c r="Y5" s="130" t="s">
        <v>497</v>
      </c>
      <c r="Z5" s="130" t="s">
        <v>480</v>
      </c>
      <c r="AA5" s="130" t="s">
        <v>388</v>
      </c>
      <c r="AB5" s="130" t="s">
        <v>496</v>
      </c>
      <c r="AC5" s="130" t="s">
        <v>497</v>
      </c>
      <c r="AD5" s="130" t="s">
        <v>480</v>
      </c>
      <c r="AE5" s="130" t="s">
        <v>388</v>
      </c>
      <c r="AF5" s="130" t="s">
        <v>496</v>
      </c>
      <c r="AG5" s="130" t="s">
        <v>497</v>
      </c>
      <c r="AH5" s="130" t="s">
        <v>480</v>
      </c>
      <c r="AI5" s="130" t="s">
        <v>388</v>
      </c>
      <c r="AJ5" s="130" t="s">
        <v>496</v>
      </c>
      <c r="AK5" s="130" t="s">
        <v>497</v>
      </c>
      <c r="AL5" s="130" t="s">
        <v>480</v>
      </c>
      <c r="AM5" s="130" t="s">
        <v>388</v>
      </c>
      <c r="AN5" s="130" t="s">
        <v>496</v>
      </c>
      <c r="AO5" s="130" t="s">
        <v>497</v>
      </c>
      <c r="AP5" s="130" t="s">
        <v>480</v>
      </c>
      <c r="AQ5" s="130" t="s">
        <v>388</v>
      </c>
      <c r="AR5" s="130" t="s">
        <v>496</v>
      </c>
      <c r="AS5" s="130" t="s">
        <v>497</v>
      </c>
      <c r="AT5" s="130" t="s">
        <v>480</v>
      </c>
      <c r="AU5" s="130" t="s">
        <v>388</v>
      </c>
      <c r="AV5" s="130" t="s">
        <v>496</v>
      </c>
      <c r="AW5" s="130" t="s">
        <v>497</v>
      </c>
      <c r="AX5" s="131" t="s">
        <v>358</v>
      </c>
      <c r="AY5" s="131" t="s">
        <v>359</v>
      </c>
      <c r="AZ5" s="131" t="s">
        <v>498</v>
      </c>
    </row>
    <row r="6" customFormat="false" ht="15" hidden="false" customHeight="true" outlineLevel="0" collapsed="false">
      <c r="A6" s="132" t="s">
        <v>4</v>
      </c>
      <c r="B6" s="133" t="n">
        <f aca="false">'Reforecast Q1 2026'!C8</f>
        <v>116363.3</v>
      </c>
      <c r="C6" s="133" t="n">
        <f aca="false">IF(OR(1&gt;$B$3,ISBLANK(Actuals!C8)),"",Actuals!C8)</f>
        <v>116367.35</v>
      </c>
      <c r="D6" s="134" t="n">
        <f aca="false">IF(OR(1&gt;$B$3,ISBLANK(Actuals!C8)),"",'Reforecast Q1 2026'!C8-Actuals!C8)</f>
        <v>-4.05000000000291</v>
      </c>
      <c r="E6" s="134" t="n">
        <f aca="false">IFERROR(IF(OR(1&gt;$B$3,ISBLANK(Actuals!C8)),"",('Reforecast Q1 2026'!C8-Actuals!C8)/ABS('Reforecast Q1 2026'!C8)),"")</f>
        <v>-3.48047881076156E-005</v>
      </c>
      <c r="F6" s="133" t="n">
        <f aca="false">'Reforecast Q1 2026'!D8</f>
        <v>138801.52</v>
      </c>
      <c r="G6" s="133" t="n">
        <f aca="false">IF(OR(2&gt;$B$3,ISBLANK(Actuals!D8)),"",Actuals!D8)</f>
        <v>138804.22</v>
      </c>
      <c r="H6" s="134" t="n">
        <f aca="false">IF(OR(2&gt;$B$3,ISBLANK(Actuals!D8)),"",'Reforecast Q1 2026'!D8-Actuals!D8)</f>
        <v>-2.70000000001164</v>
      </c>
      <c r="I6" s="134" t="n">
        <f aca="false">IFERROR(IF(OR(2&gt;$B$3,ISBLANK(Actuals!D8)),"",('Reforecast Q1 2026'!D8-Actuals!D8)/ABS('Reforecast Q1 2026'!D8)),"")</f>
        <v>-1.94522365461966E-005</v>
      </c>
      <c r="J6" s="133" t="n">
        <f aca="false">'Reforecast Q1 2026'!E8</f>
        <v>219366.88</v>
      </c>
      <c r="K6" s="133" t="n">
        <f aca="false">IF(OR(3&gt;$B$3,ISBLANK(Actuals!E8)),"",Actuals!E8)</f>
        <v>219366.88</v>
      </c>
      <c r="L6" s="134" t="n">
        <f aca="false">IF(OR(3&gt;$B$3,ISBLANK(Actuals!E8)),"",'Reforecast Q1 2026'!E8-Actuals!E8)</f>
        <v>0</v>
      </c>
      <c r="M6" s="134" t="n">
        <f aca="false">IFERROR(IF(OR(3&gt;$B$3,ISBLANK(Actuals!E8)),"",('Reforecast Q1 2026'!E8-Actuals!E8)/ABS('Reforecast Q1 2026'!E8)),"")</f>
        <v>0</v>
      </c>
      <c r="N6" s="133" t="n">
        <f aca="false">'Reforecast Q1 2026'!F8</f>
        <v>267934.879957489</v>
      </c>
      <c r="O6" s="133" t="n">
        <f aca="false">IF(OR(4&gt;$B$3,ISBLANK(Actuals!F8)),"",Actuals!F8)</f>
        <v>212079.14</v>
      </c>
      <c r="P6" s="134" t="n">
        <f aca="false">IF(OR(4&gt;$B$3,ISBLANK(Actuals!F8)),"",'Reforecast Q1 2026'!F8-Actuals!F8)</f>
        <v>55855.739957489</v>
      </c>
      <c r="Q6" s="134" t="n">
        <f aca="false">IFERROR(IF(OR(4&gt;$B$3,ISBLANK(Actuals!F8)),"",('Reforecast Q1 2026'!F8-Actuals!F8)/ABS('Reforecast Q1 2026'!F8)),"")</f>
        <v>0.208467594687004</v>
      </c>
      <c r="R6" s="133" t="n">
        <f aca="false">'Reforecast Q1 2026'!G8</f>
        <v>267934.879957489</v>
      </c>
      <c r="S6" s="133" t="n">
        <f aca="false">IF(OR(5&gt;$B$3,ISBLANK(Actuals!G8)),"",Actuals!G8)</f>
        <v>267726.14</v>
      </c>
      <c r="T6" s="134" t="n">
        <f aca="false">IF(OR(5&gt;$B$3,ISBLANK(Actuals!G8)),"",'Reforecast Q1 2026'!G8-Actuals!G8)</f>
        <v>208.739957489015</v>
      </c>
      <c r="U6" s="134" t="n">
        <f aca="false">IFERROR(IF(OR(5&gt;$B$3,ISBLANK(Actuals!G8)),"",('Reforecast Q1 2026'!G8-Actuals!G8)/ABS('Reforecast Q1 2026'!G8)),"")</f>
        <v>0.000779069740834542</v>
      </c>
      <c r="V6" s="133" t="n">
        <f aca="false">'Reforecast Q1 2026'!H8</f>
        <v>267934.879957489</v>
      </c>
      <c r="W6" s="133" t="n">
        <f aca="false">IF(OR(6&gt;$B$3,ISBLANK(Actuals!H8)),"",Actuals!H8)</f>
        <v>374773.89</v>
      </c>
      <c r="X6" s="134" t="n">
        <f aca="false">IF(OR(6&gt;$B$3,ISBLANK(Actuals!H8)),"",'Reforecast Q1 2026'!H8-Actuals!H8)</f>
        <v>-106839.010042511</v>
      </c>
      <c r="Y6" s="134" t="n">
        <f aca="false">IFERROR(IF(OR(6&gt;$B$3,ISBLANK(Actuals!H8)),"",('Reforecast Q1 2026'!H8-Actuals!H8)/ABS('Reforecast Q1 2026'!H8)),"")</f>
        <v>-0.398749912887274</v>
      </c>
      <c r="Z6" s="133" t="n">
        <f aca="false">'Reforecast Q1 2026'!I8</f>
        <v>361542.001995889</v>
      </c>
      <c r="AA6" s="133" t="n">
        <f aca="false">IF(OR(7&gt;$B$3,ISBLANK(Actuals!I8)),"",Actuals!I8)</f>
        <v>344954.34</v>
      </c>
      <c r="AB6" s="134" t="n">
        <f aca="false">IF(OR(7&gt;$B$3,ISBLANK(Actuals!I8)),"",'Reforecast Q1 2026'!I8-Actuals!I8)</f>
        <v>16587.661995889</v>
      </c>
      <c r="AC6" s="134" t="n">
        <f aca="false">IFERROR(IF(OR(7&gt;$B$3,ISBLANK(Actuals!I8)),"",('Reforecast Q1 2026'!I8-Actuals!I8)/ABS('Reforecast Q1 2026'!I8)),"")</f>
        <v>0.0458803179279778</v>
      </c>
      <c r="AD6" s="133" t="n">
        <f aca="false">'Reforecast Q1 2026'!J8</f>
        <v>361542.001995889</v>
      </c>
      <c r="AE6" s="133" t="n">
        <f aca="false">IF(OR(8&gt;$B$3,ISBLANK(Actuals!J8)),"",Actuals!J8)</f>
        <v>470819.03</v>
      </c>
      <c r="AF6" s="134" t="n">
        <f aca="false">IF(OR(8&gt;$B$3,ISBLANK(Actuals!J8)),"",'Reforecast Q1 2026'!J8-Actuals!J8)</f>
        <v>-109277.028004111</v>
      </c>
      <c r="AG6" s="134" t="n">
        <f aca="false">IFERROR(IF(OR(8&gt;$B$3,ISBLANK(Actuals!J8)),"",('Reforecast Q1 2026'!J8-Actuals!J8)/ABS('Reforecast Q1 2026'!J8)),"")</f>
        <v>-0.302252649487054</v>
      </c>
      <c r="AH6" s="133" t="n">
        <f aca="false">'Reforecast Q1 2026'!K8</f>
        <v>361542.001995889</v>
      </c>
      <c r="AI6" s="133" t="str">
        <f aca="false">IF(OR(9&gt;$B$3,ISBLANK(Actuals!K8)),"",Actuals!K8)</f>
        <v/>
      </c>
      <c r="AJ6" s="134" t="str">
        <f aca="false">IF(OR(9&gt;$B$3,ISBLANK(Actuals!K8)),"",'Reforecast Q1 2026'!K8-Actuals!K8)</f>
        <v/>
      </c>
      <c r="AK6" s="134" t="str">
        <f aca="false">IFERROR(IF(OR(9&gt;$B$3,ISBLANK(Actuals!K8)),"",('Reforecast Q1 2026'!K8-Actuals!K8)/ABS('Reforecast Q1 2026'!K8)),"")</f>
        <v/>
      </c>
      <c r="AL6" s="133" t="n">
        <f aca="false">'Reforecast Q1 2026'!L8</f>
        <v>442929.46088908</v>
      </c>
      <c r="AM6" s="133" t="str">
        <f aca="false">IF(OR(10&gt;$B$3,ISBLANK(Actuals!L8)),"",Actuals!L8)</f>
        <v/>
      </c>
      <c r="AN6" s="134" t="str">
        <f aca="false">IF(OR(10&gt;$B$3,ISBLANK(Actuals!L8)),"",'Reforecast Q1 2026'!L8-Actuals!L8)</f>
        <v/>
      </c>
      <c r="AO6" s="134" t="str">
        <f aca="false">IFERROR(IF(OR(10&gt;$B$3,ISBLANK(Actuals!L8)),"",('Reforecast Q1 2026'!L8-Actuals!L8)/ABS('Reforecast Q1 2026'!L8)),"")</f>
        <v/>
      </c>
      <c r="AP6" s="133" t="n">
        <f aca="false">'Reforecast Q1 2026'!M8</f>
        <v>525344.508604757</v>
      </c>
      <c r="AQ6" s="133" t="str">
        <f aca="false">IF(OR(11&gt;$B$3,ISBLANK(Actuals!M8)),"",Actuals!M8)</f>
        <v/>
      </c>
      <c r="AR6" s="134" t="str">
        <f aca="false">IF(OR(11&gt;$B$3,ISBLANK(Actuals!M8)),"",'Reforecast Q1 2026'!M8-Actuals!M8)</f>
        <v/>
      </c>
      <c r="AS6" s="134" t="str">
        <f aca="false">IFERROR(IF(OR(11&gt;$B$3,ISBLANK(Actuals!M8)),"",('Reforecast Q1 2026'!M8-Actuals!M8)/ABS('Reforecast Q1 2026'!M8)),"")</f>
        <v/>
      </c>
      <c r="AT6" s="133" t="n">
        <f aca="false">'Reforecast Q1 2026'!N8</f>
        <v>442616.790480539</v>
      </c>
      <c r="AU6" s="133" t="str">
        <f aca="false">IF(OR(12&gt;$B$3,ISBLANK(Actuals!N8)),"",Actuals!N8)</f>
        <v/>
      </c>
      <c r="AV6" s="134" t="str">
        <f aca="false">IF(OR(12&gt;$B$3,ISBLANK(Actuals!N8)),"",'Reforecast Q1 2026'!N8-Actuals!N8)</f>
        <v/>
      </c>
      <c r="AW6" s="134" t="str">
        <f aca="false">IFERROR(IF(OR(12&gt;$B$3,ISBLANK(Actuals!N8)),"",('Reforecast Q1 2026'!N8-Actuals!N8)/ABS('Reforecast Q1 2026'!N8)),"")</f>
        <v/>
      </c>
      <c r="AX6" s="135" t="n">
        <f aca="false">SUMPRODUCT((Actuals!C8:N8&lt;&gt;"")*('Reforecast Q1 2026'!C8:N8))</f>
        <v>2001420.34386425</v>
      </c>
      <c r="AY6" s="135" t="n">
        <f aca="false">SUM(Actuals!C8:N8)</f>
        <v>2144890.99</v>
      </c>
      <c r="AZ6" s="136" t="n">
        <f aca="false">AX6-AY6</f>
        <v>-143470.646135755</v>
      </c>
    </row>
    <row r="7" customFormat="false" ht="15" hidden="false" customHeight="true" outlineLevel="0" collapsed="false">
      <c r="A7" s="132" t="s">
        <v>343</v>
      </c>
      <c r="B7" s="133" t="n">
        <f aca="false">'Reforecast Q1 2026'!C9</f>
        <v>0</v>
      </c>
      <c r="C7" s="133" t="n">
        <f aca="false">IF(OR(1&gt;$B$3,ISBLANK(Actuals!C9)),"",Actuals!C9)</f>
        <v>0</v>
      </c>
      <c r="D7" s="134" t="n">
        <f aca="false">IF(OR(1&gt;$B$3,ISBLANK(Actuals!C9)),"",'Reforecast Q1 2026'!C9-Actuals!C9)</f>
        <v>0</v>
      </c>
      <c r="E7" s="134" t="str">
        <f aca="false">IFERROR(IF(OR(1&gt;$B$3,ISBLANK(Actuals!C9)),"",('Reforecast Q1 2026'!C9-Actuals!C9)/ABS('Reforecast Q1 2026'!C9)),"")</f>
        <v/>
      </c>
      <c r="F7" s="133" t="n">
        <f aca="false">'Reforecast Q1 2026'!D9</f>
        <v>0</v>
      </c>
      <c r="G7" s="133" t="n">
        <f aca="false">IF(OR(2&gt;$B$3,ISBLANK(Actuals!D9)),"",Actuals!D9)</f>
        <v>0</v>
      </c>
      <c r="H7" s="134" t="n">
        <f aca="false">IF(OR(2&gt;$B$3,ISBLANK(Actuals!D9)),"",'Reforecast Q1 2026'!D9-Actuals!D9)</f>
        <v>0</v>
      </c>
      <c r="I7" s="134" t="str">
        <f aca="false">IFERROR(IF(OR(2&gt;$B$3,ISBLANK(Actuals!D9)),"",('Reforecast Q1 2026'!D9-Actuals!D9)/ABS('Reforecast Q1 2026'!D9)),"")</f>
        <v/>
      </c>
      <c r="J7" s="133" t="n">
        <f aca="false">'Reforecast Q1 2026'!E9</f>
        <v>0</v>
      </c>
      <c r="K7" s="133" t="n">
        <f aca="false">IF(OR(3&gt;$B$3,ISBLANK(Actuals!E9)),"",Actuals!E9)</f>
        <v>0</v>
      </c>
      <c r="L7" s="134" t="n">
        <f aca="false">IF(OR(3&gt;$B$3,ISBLANK(Actuals!E9)),"",'Reforecast Q1 2026'!E9-Actuals!E9)</f>
        <v>0</v>
      </c>
      <c r="M7" s="134" t="str">
        <f aca="false">IFERROR(IF(OR(3&gt;$B$3,ISBLANK(Actuals!E9)),"",('Reforecast Q1 2026'!E9-Actuals!E9)/ABS('Reforecast Q1 2026'!E9)),"")</f>
        <v/>
      </c>
      <c r="N7" s="133" t="n">
        <f aca="false">'Reforecast Q1 2026'!F9</f>
        <v>0</v>
      </c>
      <c r="O7" s="133" t="n">
        <f aca="false">IF(OR(4&gt;$B$3,ISBLANK(Actuals!F9)),"",Actuals!F9)</f>
        <v>0</v>
      </c>
      <c r="P7" s="134" t="n">
        <f aca="false">IF(OR(4&gt;$B$3,ISBLANK(Actuals!F9)),"",'Reforecast Q1 2026'!F9-Actuals!F9)</f>
        <v>0</v>
      </c>
      <c r="Q7" s="134" t="str">
        <f aca="false">IFERROR(IF(OR(4&gt;$B$3,ISBLANK(Actuals!F9)),"",('Reforecast Q1 2026'!F9-Actuals!F9)/ABS('Reforecast Q1 2026'!F9)),"")</f>
        <v/>
      </c>
      <c r="R7" s="133" t="n">
        <f aca="false">'Reforecast Q1 2026'!G9</f>
        <v>0</v>
      </c>
      <c r="S7" s="133" t="n">
        <f aca="false">IF(OR(5&gt;$B$3,ISBLANK(Actuals!G9)),"",Actuals!G9)</f>
        <v>0</v>
      </c>
      <c r="T7" s="134" t="n">
        <f aca="false">IF(OR(5&gt;$B$3,ISBLANK(Actuals!G9)),"",'Reforecast Q1 2026'!G9-Actuals!G9)</f>
        <v>0</v>
      </c>
      <c r="U7" s="134" t="str">
        <f aca="false">IFERROR(IF(OR(5&gt;$B$3,ISBLANK(Actuals!G9)),"",('Reforecast Q1 2026'!G9-Actuals!G9)/ABS('Reforecast Q1 2026'!G9)),"")</f>
        <v/>
      </c>
      <c r="V7" s="133" t="n">
        <f aca="false">'Reforecast Q1 2026'!H9</f>
        <v>0</v>
      </c>
      <c r="W7" s="133" t="n">
        <f aca="false">IF(OR(6&gt;$B$3,ISBLANK(Actuals!H9)),"",Actuals!H9)</f>
        <v>0</v>
      </c>
      <c r="X7" s="134" t="n">
        <f aca="false">IF(OR(6&gt;$B$3,ISBLANK(Actuals!H9)),"",'Reforecast Q1 2026'!H9-Actuals!H9)</f>
        <v>0</v>
      </c>
      <c r="Y7" s="134" t="str">
        <f aca="false">IFERROR(IF(OR(6&gt;$B$3,ISBLANK(Actuals!H9)),"",('Reforecast Q1 2026'!H9-Actuals!H9)/ABS('Reforecast Q1 2026'!H9)),"")</f>
        <v/>
      </c>
      <c r="Z7" s="133" t="n">
        <f aca="false">'Reforecast Q1 2026'!I9</f>
        <v>0</v>
      </c>
      <c r="AA7" s="133" t="n">
        <f aca="false">IF(OR(7&gt;$B$3,ISBLANK(Actuals!I9)),"",Actuals!I9)</f>
        <v>0</v>
      </c>
      <c r="AB7" s="134" t="n">
        <f aca="false">IF(OR(7&gt;$B$3,ISBLANK(Actuals!I9)),"",'Reforecast Q1 2026'!I9-Actuals!I9)</f>
        <v>0</v>
      </c>
      <c r="AC7" s="134" t="str">
        <f aca="false">IFERROR(IF(OR(7&gt;$B$3,ISBLANK(Actuals!I9)),"",('Reforecast Q1 2026'!I9-Actuals!I9)/ABS('Reforecast Q1 2026'!I9)),"")</f>
        <v/>
      </c>
      <c r="AD7" s="133" t="n">
        <f aca="false">'Reforecast Q1 2026'!J9</f>
        <v>0</v>
      </c>
      <c r="AE7" s="133" t="n">
        <f aca="false">IF(OR(8&gt;$B$3,ISBLANK(Actuals!J9)),"",Actuals!J9)</f>
        <v>0</v>
      </c>
      <c r="AF7" s="134" t="n">
        <f aca="false">IF(OR(8&gt;$B$3,ISBLANK(Actuals!J9)),"",'Reforecast Q1 2026'!J9-Actuals!J9)</f>
        <v>0</v>
      </c>
      <c r="AG7" s="134" t="str">
        <f aca="false">IFERROR(IF(OR(8&gt;$B$3,ISBLANK(Actuals!J9)),"",('Reforecast Q1 2026'!J9-Actuals!J9)/ABS('Reforecast Q1 2026'!J9)),"")</f>
        <v/>
      </c>
      <c r="AH7" s="133" t="n">
        <f aca="false">'Reforecast Q1 2026'!K9</f>
        <v>0</v>
      </c>
      <c r="AI7" s="133" t="str">
        <f aca="false">IF(OR(9&gt;$B$3,ISBLANK(Actuals!K9)),"",Actuals!K9)</f>
        <v/>
      </c>
      <c r="AJ7" s="134" t="str">
        <f aca="false">IF(OR(9&gt;$B$3,ISBLANK(Actuals!K9)),"",'Reforecast Q1 2026'!K9-Actuals!K9)</f>
        <v/>
      </c>
      <c r="AK7" s="134" t="str">
        <f aca="false">IFERROR(IF(OR(9&gt;$B$3,ISBLANK(Actuals!K9)),"",('Reforecast Q1 2026'!K9-Actuals!K9)/ABS('Reforecast Q1 2026'!K9)),"")</f>
        <v/>
      </c>
      <c r="AL7" s="133" t="n">
        <f aca="false">'Reforecast Q1 2026'!L9</f>
        <v>0</v>
      </c>
      <c r="AM7" s="133" t="str">
        <f aca="false">IF(OR(10&gt;$B$3,ISBLANK(Actuals!L9)),"",Actuals!L9)</f>
        <v/>
      </c>
      <c r="AN7" s="134" t="str">
        <f aca="false">IF(OR(10&gt;$B$3,ISBLANK(Actuals!L9)),"",'Reforecast Q1 2026'!L9-Actuals!L9)</f>
        <v/>
      </c>
      <c r="AO7" s="134" t="str">
        <f aca="false">IFERROR(IF(OR(10&gt;$B$3,ISBLANK(Actuals!L9)),"",('Reforecast Q1 2026'!L9-Actuals!L9)/ABS('Reforecast Q1 2026'!L9)),"")</f>
        <v/>
      </c>
      <c r="AP7" s="133" t="n">
        <f aca="false">'Reforecast Q1 2026'!M9</f>
        <v>0</v>
      </c>
      <c r="AQ7" s="133" t="str">
        <f aca="false">IF(OR(11&gt;$B$3,ISBLANK(Actuals!M9)),"",Actuals!M9)</f>
        <v/>
      </c>
      <c r="AR7" s="134" t="str">
        <f aca="false">IF(OR(11&gt;$B$3,ISBLANK(Actuals!M9)),"",'Reforecast Q1 2026'!M9-Actuals!M9)</f>
        <v/>
      </c>
      <c r="AS7" s="134" t="str">
        <f aca="false">IFERROR(IF(OR(11&gt;$B$3,ISBLANK(Actuals!M9)),"",('Reforecast Q1 2026'!M9-Actuals!M9)/ABS('Reforecast Q1 2026'!M9)),"")</f>
        <v/>
      </c>
      <c r="AT7" s="133" t="n">
        <f aca="false">'Reforecast Q1 2026'!N9</f>
        <v>0</v>
      </c>
      <c r="AU7" s="133" t="str">
        <f aca="false">IF(OR(12&gt;$B$3,ISBLANK(Actuals!N9)),"",Actuals!N9)</f>
        <v/>
      </c>
      <c r="AV7" s="134" t="str">
        <f aca="false">IF(OR(12&gt;$B$3,ISBLANK(Actuals!N9)),"",'Reforecast Q1 2026'!N9-Actuals!N9)</f>
        <v/>
      </c>
      <c r="AW7" s="134" t="str">
        <f aca="false">IFERROR(IF(OR(12&gt;$B$3,ISBLANK(Actuals!N9)),"",('Reforecast Q1 2026'!N9-Actuals!N9)/ABS('Reforecast Q1 2026'!N9)),"")</f>
        <v/>
      </c>
      <c r="AX7" s="135" t="n">
        <f aca="false">SUMPRODUCT((Actuals!C9:N9&lt;&gt;"")*('Reforecast Q1 2026'!C9:N9))</f>
        <v>0</v>
      </c>
      <c r="AY7" s="135" t="n">
        <f aca="false">SUM(Actuals!C9:N9)</f>
        <v>0</v>
      </c>
      <c r="AZ7" s="136" t="n">
        <f aca="false">AX7-AY7</f>
        <v>0</v>
      </c>
    </row>
    <row r="8" customFormat="false" ht="15" hidden="false" customHeight="true" outlineLevel="0" collapsed="false">
      <c r="A8" s="132" t="s">
        <v>5</v>
      </c>
      <c r="B8" s="133" t="n">
        <f aca="false">'Reforecast Q1 2026'!C10</f>
        <v>95370.25</v>
      </c>
      <c r="C8" s="133" t="n">
        <f aca="false">IF(OR(1&gt;$B$3,ISBLANK(Actuals!C10)),"",Actuals!C10)</f>
        <v>95370.25</v>
      </c>
      <c r="D8" s="134" t="n">
        <f aca="false">IF(OR(1&gt;$B$3,ISBLANK(Actuals!C10)),"",'Reforecast Q1 2026'!C10-Actuals!C10)</f>
        <v>0</v>
      </c>
      <c r="E8" s="134" t="n">
        <f aca="false">IFERROR(IF(OR(1&gt;$B$3,ISBLANK(Actuals!C10)),"",('Reforecast Q1 2026'!C10-Actuals!C10)/ABS('Reforecast Q1 2026'!C10)),"")</f>
        <v>0</v>
      </c>
      <c r="F8" s="133" t="n">
        <f aca="false">'Reforecast Q1 2026'!D10</f>
        <v>173282.89</v>
      </c>
      <c r="G8" s="133" t="n">
        <f aca="false">IF(OR(2&gt;$B$3,ISBLANK(Actuals!D10)),"",Actuals!D10)</f>
        <v>173282.89</v>
      </c>
      <c r="H8" s="134" t="n">
        <f aca="false">IF(OR(2&gt;$B$3,ISBLANK(Actuals!D10)),"",'Reforecast Q1 2026'!D10-Actuals!D10)</f>
        <v>0</v>
      </c>
      <c r="I8" s="134" t="n">
        <f aca="false">IFERROR(IF(OR(2&gt;$B$3,ISBLANK(Actuals!D10)),"",('Reforecast Q1 2026'!D10-Actuals!D10)/ABS('Reforecast Q1 2026'!D10)),"")</f>
        <v>0</v>
      </c>
      <c r="J8" s="133" t="n">
        <f aca="false">'Reforecast Q1 2026'!E10</f>
        <v>50438.85</v>
      </c>
      <c r="K8" s="133" t="n">
        <f aca="false">IF(OR(3&gt;$B$3,ISBLANK(Actuals!E10)),"",Actuals!E10)</f>
        <v>50438.85</v>
      </c>
      <c r="L8" s="134" t="n">
        <f aca="false">IF(OR(3&gt;$B$3,ISBLANK(Actuals!E10)),"",'Reforecast Q1 2026'!E10-Actuals!E10)</f>
        <v>0</v>
      </c>
      <c r="M8" s="134" t="n">
        <f aca="false">IFERROR(IF(OR(3&gt;$B$3,ISBLANK(Actuals!E10)),"",('Reforecast Q1 2026'!E10-Actuals!E10)/ABS('Reforecast Q1 2026'!E10)),"")</f>
        <v>0</v>
      </c>
      <c r="N8" s="133" t="n">
        <f aca="false">'Reforecast Q1 2026'!F10</f>
        <v>200950.186296774</v>
      </c>
      <c r="O8" s="133" t="n">
        <f aca="false">IF(OR(4&gt;$B$3,ISBLANK(Actuals!F10)),"",Actuals!F10)</f>
        <v>167518.85</v>
      </c>
      <c r="P8" s="134" t="n">
        <f aca="false">IF(OR(4&gt;$B$3,ISBLANK(Actuals!F10)),"",'Reforecast Q1 2026'!F10-Actuals!F10)</f>
        <v>33431.336296774</v>
      </c>
      <c r="Q8" s="134" t="n">
        <f aca="false">IFERROR(IF(OR(4&gt;$B$3,ISBLANK(Actuals!F10)),"",('Reforecast Q1 2026'!F10-Actuals!F10)/ABS('Reforecast Q1 2026'!F10)),"")</f>
        <v>0.166366286654747</v>
      </c>
      <c r="R8" s="133" t="n">
        <f aca="false">'Reforecast Q1 2026'!G10</f>
        <v>200950.186296774</v>
      </c>
      <c r="S8" s="133" t="n">
        <f aca="false">IF(OR(5&gt;$B$3,ISBLANK(Actuals!G10)),"",Actuals!G10)</f>
        <v>209057.26</v>
      </c>
      <c r="T8" s="134" t="n">
        <f aca="false">IF(OR(5&gt;$B$3,ISBLANK(Actuals!G10)),"",'Reforecast Q1 2026'!G10-Actuals!G10)</f>
        <v>-8107.07370322602</v>
      </c>
      <c r="U8" s="134" t="n">
        <f aca="false">IFERROR(IF(OR(5&gt;$B$3,ISBLANK(Actuals!G10)),"",('Reforecast Q1 2026'!G10-Actuals!G10)/ABS('Reforecast Q1 2026'!G10)),"")</f>
        <v>-0.0403436983693713</v>
      </c>
      <c r="V8" s="133" t="n">
        <f aca="false">'Reforecast Q1 2026'!H10</f>
        <v>200950.186296774</v>
      </c>
      <c r="W8" s="133" t="n">
        <f aca="false">IF(OR(6&gt;$B$3,ISBLANK(Actuals!H10)),"",Actuals!H10)</f>
        <v>292966.36</v>
      </c>
      <c r="X8" s="134" t="n">
        <f aca="false">IF(OR(6&gt;$B$3,ISBLANK(Actuals!H10)),"",'Reforecast Q1 2026'!H10-Actuals!H10)</f>
        <v>-92016.173703226</v>
      </c>
      <c r="Y8" s="134" t="n">
        <f aca="false">IFERROR(IF(OR(6&gt;$B$3,ISBLANK(Actuals!H10)),"",('Reforecast Q1 2026'!H10-Actuals!H10)/ABS('Reforecast Q1 2026'!H10)),"")</f>
        <v>-0.45790539137561</v>
      </c>
      <c r="Z8" s="133" t="n">
        <f aca="false">'Reforecast Q1 2026'!I10</f>
        <v>271155.187658694</v>
      </c>
      <c r="AA8" s="133" t="n">
        <f aca="false">IF(OR(7&gt;$B$3,ISBLANK(Actuals!I10)),"",Actuals!I10)</f>
        <v>271584.24</v>
      </c>
      <c r="AB8" s="134" t="n">
        <f aca="false">IF(OR(7&gt;$B$3,ISBLANK(Actuals!I10)),"",'Reforecast Q1 2026'!I10-Actuals!I10)</f>
        <v>-429.052341306</v>
      </c>
      <c r="AC8" s="134" t="n">
        <f aca="false">IFERROR(IF(OR(7&gt;$B$3,ISBLANK(Actuals!I10)),"",('Reforecast Q1 2026'!I10-Actuals!I10)/ABS('Reforecast Q1 2026'!I10)),"")</f>
        <v>-0.00158231286301648</v>
      </c>
      <c r="AD8" s="133" t="n">
        <f aca="false">'Reforecast Q1 2026'!J10</f>
        <v>271155.187658694</v>
      </c>
      <c r="AE8" s="133" t="n">
        <f aca="false">IF(OR(8&gt;$B$3,ISBLANK(Actuals!J10)),"",Actuals!J10)</f>
        <v>289785.36</v>
      </c>
      <c r="AF8" s="134" t="n">
        <f aca="false">IF(OR(8&gt;$B$3,ISBLANK(Actuals!J10)),"",'Reforecast Q1 2026'!J10-Actuals!J10)</f>
        <v>-18630.172341306</v>
      </c>
      <c r="AG8" s="134" t="n">
        <f aca="false">IFERROR(IF(OR(8&gt;$B$3,ISBLANK(Actuals!J10)),"",('Reforecast Q1 2026'!J10-Actuals!J10)/ABS('Reforecast Q1 2026'!J10)),"")</f>
        <v>-0.0687066786446881</v>
      </c>
      <c r="AH8" s="133" t="n">
        <f aca="false">'Reforecast Q1 2026'!K10</f>
        <v>271155.187658694</v>
      </c>
      <c r="AI8" s="133" t="str">
        <f aca="false">IF(OR(9&gt;$B$3,ISBLANK(Actuals!K10)),"",Actuals!K10)</f>
        <v/>
      </c>
      <c r="AJ8" s="134" t="str">
        <f aca="false">IF(OR(9&gt;$B$3,ISBLANK(Actuals!K10)),"",'Reforecast Q1 2026'!K10-Actuals!K10)</f>
        <v/>
      </c>
      <c r="AK8" s="134" t="str">
        <f aca="false">IFERROR(IF(OR(9&gt;$B$3,ISBLANK(Actuals!K10)),"",('Reforecast Q1 2026'!K10-Actuals!K10)/ABS('Reforecast Q1 2026'!K10)),"")</f>
        <v/>
      </c>
      <c r="AL8" s="133" t="n">
        <f aca="false">'Reforecast Q1 2026'!L10</f>
        <v>332195.486067781</v>
      </c>
      <c r="AM8" s="133" t="str">
        <f aca="false">IF(OR(10&gt;$B$3,ISBLANK(Actuals!L10)),"",Actuals!L10)</f>
        <v/>
      </c>
      <c r="AN8" s="134" t="str">
        <f aca="false">IF(OR(10&gt;$B$3,ISBLANK(Actuals!L10)),"",'Reforecast Q1 2026'!L10-Actuals!L10)</f>
        <v/>
      </c>
      <c r="AO8" s="134" t="str">
        <f aca="false">IFERROR(IF(OR(10&gt;$B$3,ISBLANK(Actuals!L10)),"",('Reforecast Q1 2026'!L10-Actuals!L10)/ABS('Reforecast Q1 2026'!L10)),"")</f>
        <v/>
      </c>
      <c r="AP8" s="133" t="n">
        <f aca="false">'Reforecast Q1 2026'!M10</f>
        <v>394006.472359489</v>
      </c>
      <c r="AQ8" s="133" t="str">
        <f aca="false">IF(OR(11&gt;$B$3,ISBLANK(Actuals!M10)),"",Actuals!M10)</f>
        <v/>
      </c>
      <c r="AR8" s="134" t="str">
        <f aca="false">IF(OR(11&gt;$B$3,ISBLANK(Actuals!M10)),"",'Reforecast Q1 2026'!M10-Actuals!M10)</f>
        <v/>
      </c>
      <c r="AS8" s="134" t="str">
        <f aca="false">IFERROR(IF(OR(11&gt;$B$3,ISBLANK(Actuals!M10)),"",('Reforecast Q1 2026'!M10-Actuals!M10)/ABS('Reforecast Q1 2026'!M10)),"")</f>
        <v/>
      </c>
      <c r="AT8" s="133" t="n">
        <f aca="false">'Reforecast Q1 2026'!N10</f>
        <v>331960.984397614</v>
      </c>
      <c r="AU8" s="133" t="str">
        <f aca="false">IF(OR(12&gt;$B$3,ISBLANK(Actuals!N10)),"",Actuals!N10)</f>
        <v/>
      </c>
      <c r="AV8" s="134" t="str">
        <f aca="false">IF(OR(12&gt;$B$3,ISBLANK(Actuals!N10)),"",'Reforecast Q1 2026'!N10-Actuals!N10)</f>
        <v/>
      </c>
      <c r="AW8" s="134" t="str">
        <f aca="false">IFERROR(IF(OR(12&gt;$B$3,ISBLANK(Actuals!N10)),"",('Reforecast Q1 2026'!N10-Actuals!N10)/ABS('Reforecast Q1 2026'!N10)),"")</f>
        <v/>
      </c>
      <c r="AX8" s="135" t="n">
        <f aca="false">SUMPRODUCT((Actuals!C10:N10&lt;&gt;"")*('Reforecast Q1 2026'!C10:N10))</f>
        <v>1464252.92420771</v>
      </c>
      <c r="AY8" s="135" t="n">
        <f aca="false">SUM(Actuals!C10:N10)</f>
        <v>1550004.06</v>
      </c>
      <c r="AZ8" s="136" t="n">
        <f aca="false">AX8-AY8</f>
        <v>-85751.1357922901</v>
      </c>
    </row>
    <row r="9" customFormat="false" ht="15" hidden="false" customHeight="true" outlineLevel="0" collapsed="false">
      <c r="A9" s="132" t="s">
        <v>344</v>
      </c>
      <c r="B9" s="133" t="n">
        <f aca="false">'Reforecast Q1 2026'!C11</f>
        <v>0</v>
      </c>
      <c r="C9" s="133" t="n">
        <f aca="false">IF(OR(1&gt;$B$3,ISBLANK(Actuals!C11)),"",Actuals!C11)</f>
        <v>0</v>
      </c>
      <c r="D9" s="134" t="n">
        <f aca="false">IF(OR(1&gt;$B$3,ISBLANK(Actuals!C11)),"",'Reforecast Q1 2026'!C11-Actuals!C11)</f>
        <v>0</v>
      </c>
      <c r="E9" s="134" t="str">
        <f aca="false">IFERROR(IF(OR(1&gt;$B$3,ISBLANK(Actuals!C11)),"",('Reforecast Q1 2026'!C11-Actuals!C11)/ABS('Reforecast Q1 2026'!C11)),"")</f>
        <v/>
      </c>
      <c r="F9" s="133" t="n">
        <f aca="false">'Reforecast Q1 2026'!D11</f>
        <v>0</v>
      </c>
      <c r="G9" s="133" t="n">
        <f aca="false">IF(OR(2&gt;$B$3,ISBLANK(Actuals!D11)),"",Actuals!D11)</f>
        <v>0</v>
      </c>
      <c r="H9" s="134" t="n">
        <f aca="false">IF(OR(2&gt;$B$3,ISBLANK(Actuals!D11)),"",'Reforecast Q1 2026'!D11-Actuals!D11)</f>
        <v>0</v>
      </c>
      <c r="I9" s="134" t="str">
        <f aca="false">IFERROR(IF(OR(2&gt;$B$3,ISBLANK(Actuals!D11)),"",('Reforecast Q1 2026'!D11-Actuals!D11)/ABS('Reforecast Q1 2026'!D11)),"")</f>
        <v/>
      </c>
      <c r="J9" s="133" t="n">
        <f aca="false">'Reforecast Q1 2026'!E11</f>
        <v>0</v>
      </c>
      <c r="K9" s="133" t="n">
        <f aca="false">IF(OR(3&gt;$B$3,ISBLANK(Actuals!E11)),"",Actuals!E11)</f>
        <v>0</v>
      </c>
      <c r="L9" s="134" t="n">
        <f aca="false">IF(OR(3&gt;$B$3,ISBLANK(Actuals!E11)),"",'Reforecast Q1 2026'!E11-Actuals!E11)</f>
        <v>0</v>
      </c>
      <c r="M9" s="134" t="str">
        <f aca="false">IFERROR(IF(OR(3&gt;$B$3,ISBLANK(Actuals!E11)),"",('Reforecast Q1 2026'!E11-Actuals!E11)/ABS('Reforecast Q1 2026'!E11)),"")</f>
        <v/>
      </c>
      <c r="N9" s="133" t="n">
        <f aca="false">'Reforecast Q1 2026'!F11</f>
        <v>0</v>
      </c>
      <c r="O9" s="133" t="n">
        <f aca="false">IF(OR(4&gt;$B$3,ISBLANK(Actuals!F11)),"",Actuals!F11)</f>
        <v>0</v>
      </c>
      <c r="P9" s="134" t="n">
        <f aca="false">IF(OR(4&gt;$B$3,ISBLANK(Actuals!F11)),"",'Reforecast Q1 2026'!F11-Actuals!F11)</f>
        <v>0</v>
      </c>
      <c r="Q9" s="134" t="str">
        <f aca="false">IFERROR(IF(OR(4&gt;$B$3,ISBLANK(Actuals!F11)),"",('Reforecast Q1 2026'!F11-Actuals!F11)/ABS('Reforecast Q1 2026'!F11)),"")</f>
        <v/>
      </c>
      <c r="R9" s="133" t="n">
        <f aca="false">'Reforecast Q1 2026'!G11</f>
        <v>0</v>
      </c>
      <c r="S9" s="133" t="n">
        <f aca="false">IF(OR(5&gt;$B$3,ISBLANK(Actuals!G11)),"",Actuals!G11)</f>
        <v>0</v>
      </c>
      <c r="T9" s="134" t="n">
        <f aca="false">IF(OR(5&gt;$B$3,ISBLANK(Actuals!G11)),"",'Reforecast Q1 2026'!G11-Actuals!G11)</f>
        <v>0</v>
      </c>
      <c r="U9" s="134" t="str">
        <f aca="false">IFERROR(IF(OR(5&gt;$B$3,ISBLANK(Actuals!G11)),"",('Reforecast Q1 2026'!G11-Actuals!G11)/ABS('Reforecast Q1 2026'!G11)),"")</f>
        <v/>
      </c>
      <c r="V9" s="133" t="n">
        <f aca="false">'Reforecast Q1 2026'!H11</f>
        <v>0</v>
      </c>
      <c r="W9" s="133" t="n">
        <f aca="false">IF(OR(6&gt;$B$3,ISBLANK(Actuals!H11)),"",Actuals!H11)</f>
        <v>0</v>
      </c>
      <c r="X9" s="134" t="n">
        <f aca="false">IF(OR(6&gt;$B$3,ISBLANK(Actuals!H11)),"",'Reforecast Q1 2026'!H11-Actuals!H11)</f>
        <v>0</v>
      </c>
      <c r="Y9" s="134" t="str">
        <f aca="false">IFERROR(IF(OR(6&gt;$B$3,ISBLANK(Actuals!H11)),"",('Reforecast Q1 2026'!H11-Actuals!H11)/ABS('Reforecast Q1 2026'!H11)),"")</f>
        <v/>
      </c>
      <c r="Z9" s="133" t="n">
        <f aca="false">'Reforecast Q1 2026'!I11</f>
        <v>0</v>
      </c>
      <c r="AA9" s="133" t="n">
        <f aca="false">IF(OR(7&gt;$B$3,ISBLANK(Actuals!I11)),"",Actuals!I11)</f>
        <v>0</v>
      </c>
      <c r="AB9" s="134" t="n">
        <f aca="false">IF(OR(7&gt;$B$3,ISBLANK(Actuals!I11)),"",'Reforecast Q1 2026'!I11-Actuals!I11)</f>
        <v>0</v>
      </c>
      <c r="AC9" s="134" t="str">
        <f aca="false">IFERROR(IF(OR(7&gt;$B$3,ISBLANK(Actuals!I11)),"",('Reforecast Q1 2026'!I11-Actuals!I11)/ABS('Reforecast Q1 2026'!I11)),"")</f>
        <v/>
      </c>
      <c r="AD9" s="133" t="n">
        <f aca="false">'Reforecast Q1 2026'!J11</f>
        <v>0</v>
      </c>
      <c r="AE9" s="133" t="n">
        <f aca="false">IF(OR(8&gt;$B$3,ISBLANK(Actuals!J11)),"",Actuals!J11)</f>
        <v>0</v>
      </c>
      <c r="AF9" s="134" t="n">
        <f aca="false">IF(OR(8&gt;$B$3,ISBLANK(Actuals!J11)),"",'Reforecast Q1 2026'!J11-Actuals!J11)</f>
        <v>0</v>
      </c>
      <c r="AG9" s="134" t="str">
        <f aca="false">IFERROR(IF(OR(8&gt;$B$3,ISBLANK(Actuals!J11)),"",('Reforecast Q1 2026'!J11-Actuals!J11)/ABS('Reforecast Q1 2026'!J11)),"")</f>
        <v/>
      </c>
      <c r="AH9" s="133" t="n">
        <f aca="false">'Reforecast Q1 2026'!K11</f>
        <v>0</v>
      </c>
      <c r="AI9" s="133" t="str">
        <f aca="false">IF(OR(9&gt;$B$3,ISBLANK(Actuals!K11)),"",Actuals!K11)</f>
        <v/>
      </c>
      <c r="AJ9" s="134" t="str">
        <f aca="false">IF(OR(9&gt;$B$3,ISBLANK(Actuals!K11)),"",'Reforecast Q1 2026'!K11-Actuals!K11)</f>
        <v/>
      </c>
      <c r="AK9" s="134" t="str">
        <f aca="false">IFERROR(IF(OR(9&gt;$B$3,ISBLANK(Actuals!K11)),"",('Reforecast Q1 2026'!K11-Actuals!K11)/ABS('Reforecast Q1 2026'!K11)),"")</f>
        <v/>
      </c>
      <c r="AL9" s="133" t="n">
        <f aca="false">'Reforecast Q1 2026'!L11</f>
        <v>0</v>
      </c>
      <c r="AM9" s="133" t="str">
        <f aca="false">IF(OR(10&gt;$B$3,ISBLANK(Actuals!L11)),"",Actuals!L11)</f>
        <v/>
      </c>
      <c r="AN9" s="134" t="str">
        <f aca="false">IF(OR(10&gt;$B$3,ISBLANK(Actuals!L11)),"",'Reforecast Q1 2026'!L11-Actuals!L11)</f>
        <v/>
      </c>
      <c r="AO9" s="134" t="str">
        <f aca="false">IFERROR(IF(OR(10&gt;$B$3,ISBLANK(Actuals!L11)),"",('Reforecast Q1 2026'!L11-Actuals!L11)/ABS('Reforecast Q1 2026'!L11)),"")</f>
        <v/>
      </c>
      <c r="AP9" s="133" t="n">
        <f aca="false">'Reforecast Q1 2026'!M11</f>
        <v>0</v>
      </c>
      <c r="AQ9" s="133" t="str">
        <f aca="false">IF(OR(11&gt;$B$3,ISBLANK(Actuals!M11)),"",Actuals!M11)</f>
        <v/>
      </c>
      <c r="AR9" s="134" t="str">
        <f aca="false">IF(OR(11&gt;$B$3,ISBLANK(Actuals!M11)),"",'Reforecast Q1 2026'!M11-Actuals!M11)</f>
        <v/>
      </c>
      <c r="AS9" s="134" t="str">
        <f aca="false">IFERROR(IF(OR(11&gt;$B$3,ISBLANK(Actuals!M11)),"",('Reforecast Q1 2026'!M11-Actuals!M11)/ABS('Reforecast Q1 2026'!M11)),"")</f>
        <v/>
      </c>
      <c r="AT9" s="133" t="n">
        <f aca="false">'Reforecast Q1 2026'!N11</f>
        <v>0</v>
      </c>
      <c r="AU9" s="133" t="str">
        <f aca="false">IF(OR(12&gt;$B$3,ISBLANK(Actuals!N11)),"",Actuals!N11)</f>
        <v/>
      </c>
      <c r="AV9" s="134" t="str">
        <f aca="false">IF(OR(12&gt;$B$3,ISBLANK(Actuals!N11)),"",'Reforecast Q1 2026'!N11-Actuals!N11)</f>
        <v/>
      </c>
      <c r="AW9" s="134" t="str">
        <f aca="false">IFERROR(IF(OR(12&gt;$B$3,ISBLANK(Actuals!N11)),"",('Reforecast Q1 2026'!N11-Actuals!N11)/ABS('Reforecast Q1 2026'!N11)),"")</f>
        <v/>
      </c>
      <c r="AX9" s="135" t="n">
        <f aca="false">SUMPRODUCT((Actuals!C11:N11&lt;&gt;"")*('Reforecast Q1 2026'!C11:N11))</f>
        <v>0</v>
      </c>
      <c r="AY9" s="135" t="n">
        <f aca="false">SUM(Actuals!C11:N11)</f>
        <v>0</v>
      </c>
      <c r="AZ9" s="136" t="n">
        <f aca="false">AX9-AY9</f>
        <v>0</v>
      </c>
    </row>
    <row r="10" customFormat="false" ht="15" hidden="false" customHeight="true" outlineLevel="0" collapsed="false">
      <c r="A10" s="132" t="s">
        <v>6</v>
      </c>
      <c r="B10" s="133" t="n">
        <f aca="false">'Reforecast Q1 2026'!C12</f>
        <v>1242053.19</v>
      </c>
      <c r="C10" s="133" t="n">
        <f aca="false">IF(OR(1&gt;$B$3,ISBLANK(Actuals!C12)),"",Actuals!C12)</f>
        <v>1242053.19</v>
      </c>
      <c r="D10" s="134" t="n">
        <f aca="false">IF(OR(1&gt;$B$3,ISBLANK(Actuals!C12)),"",'Reforecast Q1 2026'!C12-Actuals!C12)</f>
        <v>0</v>
      </c>
      <c r="E10" s="134" t="n">
        <f aca="false">IFERROR(IF(OR(1&gt;$B$3,ISBLANK(Actuals!C12)),"",('Reforecast Q1 2026'!C12-Actuals!C12)/ABS('Reforecast Q1 2026'!C12)),"")</f>
        <v>0</v>
      </c>
      <c r="F10" s="133" t="n">
        <f aca="false">'Reforecast Q1 2026'!D12</f>
        <v>2710434.48</v>
      </c>
      <c r="G10" s="133" t="n">
        <f aca="false">IF(OR(2&gt;$B$3,ISBLANK(Actuals!D12)),"",Actuals!D12)</f>
        <v>2710434.48</v>
      </c>
      <c r="H10" s="134" t="n">
        <f aca="false">IF(OR(2&gt;$B$3,ISBLANK(Actuals!D12)),"",'Reforecast Q1 2026'!D12-Actuals!D12)</f>
        <v>0</v>
      </c>
      <c r="I10" s="134" t="n">
        <f aca="false">IFERROR(IF(OR(2&gt;$B$3,ISBLANK(Actuals!D12)),"",('Reforecast Q1 2026'!D12-Actuals!D12)/ABS('Reforecast Q1 2026'!D12)),"")</f>
        <v>0</v>
      </c>
      <c r="J10" s="133" t="n">
        <f aca="false">'Reforecast Q1 2026'!E12</f>
        <v>2402410.43</v>
      </c>
      <c r="K10" s="133" t="n">
        <f aca="false">IF(OR(3&gt;$B$3,ISBLANK(Actuals!E12)),"",Actuals!E12)</f>
        <v>2402410.43</v>
      </c>
      <c r="L10" s="134" t="n">
        <f aca="false">IF(OR(3&gt;$B$3,ISBLANK(Actuals!E12)),"",'Reforecast Q1 2026'!E12-Actuals!E12)</f>
        <v>0</v>
      </c>
      <c r="M10" s="134" t="n">
        <f aca="false">IFERROR(IF(OR(3&gt;$B$3,ISBLANK(Actuals!E12)),"",('Reforecast Q1 2026'!E12-Actuals!E12)/ABS('Reforecast Q1 2026'!E12)),"")</f>
        <v>0</v>
      </c>
      <c r="N10" s="133" t="n">
        <f aca="false">'Reforecast Q1 2026'!F12</f>
        <v>3985482.58</v>
      </c>
      <c r="O10" s="133" t="n">
        <f aca="false">IF(OR(4&gt;$B$3,ISBLANK(Actuals!F12)),"",Actuals!F12)</f>
        <v>3312759.91</v>
      </c>
      <c r="P10" s="134" t="n">
        <f aca="false">IF(OR(4&gt;$B$3,ISBLANK(Actuals!F12)),"",'Reforecast Q1 2026'!F12-Actuals!F12)</f>
        <v>672722.67</v>
      </c>
      <c r="Q10" s="134" t="n">
        <f aca="false">IFERROR(IF(OR(4&gt;$B$3,ISBLANK(Actuals!F12)),"",('Reforecast Q1 2026'!F12-Actuals!F12)/ABS('Reforecast Q1 2026'!F12)),"")</f>
        <v>0.168793278228304</v>
      </c>
      <c r="R10" s="133" t="n">
        <f aca="false">'Reforecast Q1 2026'!G12</f>
        <v>4178441.93</v>
      </c>
      <c r="S10" s="133" t="n">
        <f aca="false">IF(OR(5&gt;$B$3,ISBLANK(Actuals!G12)),"",Actuals!G12)</f>
        <v>3939278.23</v>
      </c>
      <c r="T10" s="134" t="n">
        <f aca="false">IF(OR(5&gt;$B$3,ISBLANK(Actuals!G12)),"",'Reforecast Q1 2026'!G12-Actuals!G12)</f>
        <v>239163.7</v>
      </c>
      <c r="U10" s="134" t="n">
        <f aca="false">IFERROR(IF(OR(5&gt;$B$3,ISBLANK(Actuals!G12)),"",('Reforecast Q1 2026'!G12-Actuals!G12)/ABS('Reforecast Q1 2026'!G12)),"")</f>
        <v>0.057237531119644</v>
      </c>
      <c r="V10" s="133" t="n">
        <f aca="false">'Reforecast Q1 2026'!H12</f>
        <v>4314673.98</v>
      </c>
      <c r="W10" s="133" t="n">
        <f aca="false">IF(OR(6&gt;$B$3,ISBLANK(Actuals!H12)),"",Actuals!H12)</f>
        <v>5584522.73</v>
      </c>
      <c r="X10" s="134" t="n">
        <f aca="false">IF(OR(6&gt;$B$3,ISBLANK(Actuals!H12)),"",'Reforecast Q1 2026'!H12-Actuals!H12)</f>
        <v>-1269848.75</v>
      </c>
      <c r="Y10" s="134" t="n">
        <f aca="false">IFERROR(IF(OR(6&gt;$B$3,ISBLANK(Actuals!H12)),"",('Reforecast Q1 2026'!H12-Actuals!H12)/ABS('Reforecast Q1 2026'!H12)),"")</f>
        <v>-0.294309316505995</v>
      </c>
      <c r="Z10" s="133" t="n">
        <f aca="false">'Reforecast Q1 2026'!I12</f>
        <v>5100719.4</v>
      </c>
      <c r="AA10" s="133" t="n">
        <f aca="false">IF(OR(7&gt;$B$3,ISBLANK(Actuals!I12)),"",Actuals!I12)</f>
        <v>6409057.07</v>
      </c>
      <c r="AB10" s="134" t="n">
        <f aca="false">IF(OR(7&gt;$B$3,ISBLANK(Actuals!I12)),"",'Reforecast Q1 2026'!I12-Actuals!I12)</f>
        <v>-1308337.67</v>
      </c>
      <c r="AC10" s="134" t="n">
        <f aca="false">IFERROR(IF(OR(7&gt;$B$3,ISBLANK(Actuals!I12)),"",('Reforecast Q1 2026'!I12-Actuals!I12)/ABS('Reforecast Q1 2026'!I12)),"")</f>
        <v>-0.256500616364037</v>
      </c>
      <c r="AD10" s="133" t="n">
        <f aca="false">'Reforecast Q1 2026'!J12</f>
        <v>5260214.26</v>
      </c>
      <c r="AE10" s="133" t="n">
        <f aca="false">IF(OR(8&gt;$B$3,ISBLANK(Actuals!J12)),"",Actuals!J12)</f>
        <v>5304128.59</v>
      </c>
      <c r="AF10" s="134" t="n">
        <f aca="false">IF(OR(8&gt;$B$3,ISBLANK(Actuals!J12)),"",'Reforecast Q1 2026'!J12-Actuals!J12)</f>
        <v>-43914.3300000001</v>
      </c>
      <c r="AG10" s="134" t="n">
        <f aca="false">IFERROR(IF(OR(8&gt;$B$3,ISBLANK(Actuals!J12)),"",('Reforecast Q1 2026'!J12-Actuals!J12)/ABS('Reforecast Q1 2026'!J12)),"")</f>
        <v>-0.00834839187710199</v>
      </c>
      <c r="AH10" s="133" t="n">
        <f aca="false">'Reforecast Q1 2026'!K12</f>
        <v>5352854.32</v>
      </c>
      <c r="AI10" s="133" t="str">
        <f aca="false">IF(OR(9&gt;$B$3,ISBLANK(Actuals!K12)),"",Actuals!K12)</f>
        <v/>
      </c>
      <c r="AJ10" s="134" t="str">
        <f aca="false">IF(OR(9&gt;$B$3,ISBLANK(Actuals!K12)),"",'Reforecast Q1 2026'!K12-Actuals!K12)</f>
        <v/>
      </c>
      <c r="AK10" s="134" t="str">
        <f aca="false">IFERROR(IF(OR(9&gt;$B$3,ISBLANK(Actuals!K12)),"",('Reforecast Q1 2026'!K12-Actuals!K12)/ABS('Reforecast Q1 2026'!K12)),"")</f>
        <v/>
      </c>
      <c r="AL10" s="133" t="n">
        <f aca="false">'Reforecast Q1 2026'!L12</f>
        <v>5849570.15</v>
      </c>
      <c r="AM10" s="133" t="str">
        <f aca="false">IF(OR(10&gt;$B$3,ISBLANK(Actuals!L12)),"",Actuals!L12)</f>
        <v/>
      </c>
      <c r="AN10" s="134" t="str">
        <f aca="false">IF(OR(10&gt;$B$3,ISBLANK(Actuals!L12)),"",'Reforecast Q1 2026'!L12-Actuals!L12)</f>
        <v/>
      </c>
      <c r="AO10" s="134" t="str">
        <f aca="false">IFERROR(IF(OR(10&gt;$B$3,ISBLANK(Actuals!L12)),"",('Reforecast Q1 2026'!L12-Actuals!L12)/ABS('Reforecast Q1 2026'!L12)),"")</f>
        <v/>
      </c>
      <c r="AP10" s="133" t="n">
        <f aca="false">'Reforecast Q1 2026'!M12</f>
        <v>6345476.13</v>
      </c>
      <c r="AQ10" s="133" t="str">
        <f aca="false">IF(OR(11&gt;$B$3,ISBLANK(Actuals!M12)),"",Actuals!M12)</f>
        <v/>
      </c>
      <c r="AR10" s="134" t="str">
        <f aca="false">IF(OR(11&gt;$B$3,ISBLANK(Actuals!M12)),"",'Reforecast Q1 2026'!M12-Actuals!M12)</f>
        <v/>
      </c>
      <c r="AS10" s="134" t="str">
        <f aca="false">IFERROR(IF(OR(11&gt;$B$3,ISBLANK(Actuals!M12)),"",('Reforecast Q1 2026'!M12-Actuals!M12)/ABS('Reforecast Q1 2026'!M12)),"")</f>
        <v/>
      </c>
      <c r="AT10" s="133" t="n">
        <f aca="false">'Reforecast Q1 2026'!N12</f>
        <v>6208239.26</v>
      </c>
      <c r="AU10" s="133" t="str">
        <f aca="false">IF(OR(12&gt;$B$3,ISBLANK(Actuals!N12)),"",Actuals!N12)</f>
        <v/>
      </c>
      <c r="AV10" s="134" t="str">
        <f aca="false">IF(OR(12&gt;$B$3,ISBLANK(Actuals!N12)),"",'Reforecast Q1 2026'!N12-Actuals!N12)</f>
        <v/>
      </c>
      <c r="AW10" s="134" t="str">
        <f aca="false">IFERROR(IF(OR(12&gt;$B$3,ISBLANK(Actuals!N12)),"",('Reforecast Q1 2026'!N12-Actuals!N12)/ABS('Reforecast Q1 2026'!N12)),"")</f>
        <v/>
      </c>
      <c r="AX10" s="135" t="n">
        <f aca="false">SUMPRODUCT((Actuals!C12:N12&lt;&gt;"")*('Reforecast Q1 2026'!C12:N12))</f>
        <v>29194430.25</v>
      </c>
      <c r="AY10" s="135" t="n">
        <f aca="false">SUM(Actuals!C12:N12)</f>
        <v>30904644.63</v>
      </c>
      <c r="AZ10" s="136" t="n">
        <f aca="false">AX10-AY10</f>
        <v>-1710214.38</v>
      </c>
    </row>
    <row r="11" customFormat="false" ht="15" hidden="false" customHeight="true" outlineLevel="0" collapsed="false">
      <c r="A11" s="132" t="s">
        <v>345</v>
      </c>
      <c r="B11" s="133" t="n">
        <f aca="false">'Reforecast Q1 2026'!C14</f>
        <v>-1233067.43</v>
      </c>
      <c r="C11" s="133" t="n">
        <f aca="false">IF(OR(1&gt;$B$3,ISBLANK(Actuals!C14)),"",Actuals!C14)</f>
        <v>-1235033.93</v>
      </c>
      <c r="D11" s="134" t="n">
        <f aca="false">IF(OR(1&gt;$B$3,ISBLANK(Actuals!C14)),"",'Reforecast Q1 2026'!C14-Actuals!C14)</f>
        <v>1966.5</v>
      </c>
      <c r="E11" s="134" t="n">
        <f aca="false">IFERROR(IF(OR(1&gt;$B$3,ISBLANK(Actuals!C14)),"",('Reforecast Q1 2026'!C14-Actuals!C14)/ABS('Reforecast Q1 2026'!C14)),"")</f>
        <v>0.00159480329473953</v>
      </c>
      <c r="F11" s="133" t="n">
        <f aca="false">'Reforecast Q1 2026'!D14</f>
        <v>-3073522.36</v>
      </c>
      <c r="G11" s="133" t="n">
        <f aca="false">IF(OR(2&gt;$B$3,ISBLANK(Actuals!D14)),"",Actuals!D14)</f>
        <v>-3073522.36</v>
      </c>
      <c r="H11" s="134" t="n">
        <f aca="false">IF(OR(2&gt;$B$3,ISBLANK(Actuals!D14)),"",'Reforecast Q1 2026'!D14-Actuals!D14)</f>
        <v>0</v>
      </c>
      <c r="I11" s="134" t="n">
        <f aca="false">IFERROR(IF(OR(2&gt;$B$3,ISBLANK(Actuals!D14)),"",('Reforecast Q1 2026'!D14-Actuals!D14)/ABS('Reforecast Q1 2026'!D14)),"")</f>
        <v>0</v>
      </c>
      <c r="J11" s="133" t="n">
        <f aca="false">'Reforecast Q1 2026'!E14</f>
        <v>-2078031.64</v>
      </c>
      <c r="K11" s="133" t="n">
        <f aca="false">IF(OR(3&gt;$B$3,ISBLANK(Actuals!E14)),"",Actuals!E14)</f>
        <v>-2078031.64</v>
      </c>
      <c r="L11" s="134" t="n">
        <f aca="false">IF(OR(3&gt;$B$3,ISBLANK(Actuals!E14)),"",'Reforecast Q1 2026'!E14-Actuals!E14)</f>
        <v>0</v>
      </c>
      <c r="M11" s="134" t="n">
        <f aca="false">IFERROR(IF(OR(3&gt;$B$3,ISBLANK(Actuals!E14)),"",('Reforecast Q1 2026'!E14-Actuals!E14)/ABS('Reforecast Q1 2026'!E14)),"")</f>
        <v>0</v>
      </c>
      <c r="N11" s="133" t="n">
        <f aca="false">'Reforecast Q1 2026'!F14</f>
        <v>-3985482.58403402</v>
      </c>
      <c r="O11" s="133" t="n">
        <f aca="false">IF(OR(4&gt;$B$3,ISBLANK(Actuals!F14)),"",Actuals!F14)</f>
        <v>-3244999.65</v>
      </c>
      <c r="P11" s="134" t="n">
        <f aca="false">IF(OR(4&gt;$B$3,ISBLANK(Actuals!F14)),"",'Reforecast Q1 2026'!F14-Actuals!F14)</f>
        <v>-740482.93403402</v>
      </c>
      <c r="Q11" s="134" t="n">
        <f aca="false">IFERROR(IF(OR(4&gt;$B$3,ISBLANK(Actuals!F14)),"",('Reforecast Q1 2026'!F14-Actuals!F14)/ABS('Reforecast Q1 2026'!F14)),"")</f>
        <v>-0.185795049513055</v>
      </c>
      <c r="R11" s="133" t="n">
        <f aca="false">'Reforecast Q1 2026'!G14</f>
        <v>-4178441.93467641</v>
      </c>
      <c r="S11" s="133" t="n">
        <f aca="false">IF(OR(5&gt;$B$3,ISBLANK(Actuals!G14)),"",Actuals!G14)</f>
        <v>-3950524.93</v>
      </c>
      <c r="T11" s="134" t="n">
        <f aca="false">IF(OR(5&gt;$B$3,ISBLANK(Actuals!G14)),"",'Reforecast Q1 2026'!G14-Actuals!G14)</f>
        <v>-227917.00467641</v>
      </c>
      <c r="U11" s="134" t="n">
        <f aca="false">IFERROR(IF(OR(5&gt;$B$3,ISBLANK(Actuals!G14)),"",('Reforecast Q1 2026'!G14-Actuals!G14)/ABS('Reforecast Q1 2026'!G14)),"")</f>
        <v>-0.0545459308133381</v>
      </c>
      <c r="V11" s="133" t="n">
        <f aca="false">'Reforecast Q1 2026'!H14</f>
        <v>-4314673.98179329</v>
      </c>
      <c r="W11" s="133" t="n">
        <f aca="false">IF(OR(6&gt;$B$3,ISBLANK(Actuals!H14)),"",Actuals!H14)</f>
        <v>-5610911.85</v>
      </c>
      <c r="X11" s="134" t="n">
        <f aca="false">IF(OR(6&gt;$B$3,ISBLANK(Actuals!H14)),"",'Reforecast Q1 2026'!H14-Actuals!H14)</f>
        <v>1296237.86820671</v>
      </c>
      <c r="Y11" s="134" t="n">
        <f aca="false">IFERROR(IF(OR(6&gt;$B$3,ISBLANK(Actuals!H14)),"",('Reforecast Q1 2026'!H14-Actuals!H14)/ABS('Reforecast Q1 2026'!H14)),"")</f>
        <v>0.300425448985594</v>
      </c>
      <c r="Z11" s="133" t="n">
        <f aca="false">'Reforecast Q1 2026'!I14</f>
        <v>-5100719.40418529</v>
      </c>
      <c r="AA11" s="133" t="n">
        <f aca="false">IF(OR(7&gt;$B$3,ISBLANK(Actuals!I14)),"",Actuals!I14)</f>
        <v>-5258946.14</v>
      </c>
      <c r="AB11" s="134" t="n">
        <f aca="false">IF(OR(7&gt;$B$3,ISBLANK(Actuals!I14)),"",'Reforecast Q1 2026'!I14-Actuals!I14)</f>
        <v>158226.735814709</v>
      </c>
      <c r="AC11" s="134" t="n">
        <f aca="false">IFERROR(IF(OR(7&gt;$B$3,ISBLANK(Actuals!I14)),"",('Reforecast Q1 2026'!I14-Actuals!I14)/ABS('Reforecast Q1 2026'!I14)),"")</f>
        <v>0.0310204744226627</v>
      </c>
      <c r="AD11" s="133" t="n">
        <f aca="false">'Reforecast Q1 2026'!J14</f>
        <v>-5260214.25623971</v>
      </c>
      <c r="AE11" s="133" t="n">
        <f aca="false">IF(OR(8&gt;$B$3,ISBLANK(Actuals!J14)),"",Actuals!J14)</f>
        <v>-5503997.59</v>
      </c>
      <c r="AF11" s="134" t="n">
        <f aca="false">IF(OR(8&gt;$B$3,ISBLANK(Actuals!J14)),"",'Reforecast Q1 2026'!J14-Actuals!J14)</f>
        <v>243783.333760289</v>
      </c>
      <c r="AG11" s="134" t="n">
        <f aca="false">IFERROR(IF(OR(8&gt;$B$3,ISBLANK(Actuals!J14)),"",('Reforecast Q1 2026'!J14-Actuals!J14)/ABS('Reforecast Q1 2026'!J14)),"")</f>
        <v>0.0463447536326323</v>
      </c>
      <c r="AH11" s="133" t="n">
        <f aca="false">'Reforecast Q1 2026'!K14</f>
        <v>-5352854.31833945</v>
      </c>
      <c r="AI11" s="133" t="str">
        <f aca="false">IF(OR(9&gt;$B$3,ISBLANK(Actuals!K14)),"",Actuals!K14)</f>
        <v/>
      </c>
      <c r="AJ11" s="134" t="str">
        <f aca="false">IF(OR(9&gt;$B$3,ISBLANK(Actuals!K14)),"",'Reforecast Q1 2026'!K14-Actuals!K14)</f>
        <v/>
      </c>
      <c r="AK11" s="134" t="str">
        <f aca="false">IFERROR(IF(OR(9&gt;$B$3,ISBLANK(Actuals!K14)),"",('Reforecast Q1 2026'!K14-Actuals!K14)/ABS('Reforecast Q1 2026'!K14)),"")</f>
        <v/>
      </c>
      <c r="AL11" s="133" t="n">
        <f aca="false">'Reforecast Q1 2026'!L14</f>
        <v>-5849570.14613038</v>
      </c>
      <c r="AM11" s="133" t="str">
        <f aca="false">IF(OR(10&gt;$B$3,ISBLANK(Actuals!L14)),"",Actuals!L14)</f>
        <v/>
      </c>
      <c r="AN11" s="134" t="str">
        <f aca="false">IF(OR(10&gt;$B$3,ISBLANK(Actuals!L14)),"",'Reforecast Q1 2026'!L14-Actuals!L14)</f>
        <v/>
      </c>
      <c r="AO11" s="134" t="str">
        <f aca="false">IFERROR(IF(OR(10&gt;$B$3,ISBLANK(Actuals!L14)),"",('Reforecast Q1 2026'!L14-Actuals!L14)/ABS('Reforecast Q1 2026'!L14)),"")</f>
        <v/>
      </c>
      <c r="AP11" s="133" t="n">
        <f aca="false">'Reforecast Q1 2026'!M14</f>
        <v>-6345476.13239193</v>
      </c>
      <c r="AQ11" s="133" t="str">
        <f aca="false">IF(OR(11&gt;$B$3,ISBLANK(Actuals!M14)),"",Actuals!M14)</f>
        <v/>
      </c>
      <c r="AR11" s="134" t="str">
        <f aca="false">IF(OR(11&gt;$B$3,ISBLANK(Actuals!M14)),"",'Reforecast Q1 2026'!M14-Actuals!M14)</f>
        <v/>
      </c>
      <c r="AS11" s="134" t="str">
        <f aca="false">IFERROR(IF(OR(11&gt;$B$3,ISBLANK(Actuals!M14)),"",('Reforecast Q1 2026'!M14-Actuals!M14)/ABS('Reforecast Q1 2026'!M14)),"")</f>
        <v/>
      </c>
      <c r="AT11" s="133" t="n">
        <f aca="false">'Reforecast Q1 2026'!N14</f>
        <v>-6208239.26255321</v>
      </c>
      <c r="AU11" s="133" t="str">
        <f aca="false">IF(OR(12&gt;$B$3,ISBLANK(Actuals!N14)),"",Actuals!N14)</f>
        <v/>
      </c>
      <c r="AV11" s="134" t="str">
        <f aca="false">IF(OR(12&gt;$B$3,ISBLANK(Actuals!N14)),"",'Reforecast Q1 2026'!N14-Actuals!N14)</f>
        <v/>
      </c>
      <c r="AW11" s="134" t="str">
        <f aca="false">IFERROR(IF(OR(12&gt;$B$3,ISBLANK(Actuals!N14)),"",('Reforecast Q1 2026'!N14-Actuals!N14)/ABS('Reforecast Q1 2026'!N14)),"")</f>
        <v/>
      </c>
      <c r="AX11" s="135" t="n">
        <f aca="false">SUMPRODUCT((Actuals!C14:N14&lt;&gt;"")*('Reforecast Q1 2026'!C14:N14))</f>
        <v>-29224153.5909287</v>
      </c>
      <c r="AY11" s="135" t="n">
        <f aca="false">SUM(Actuals!C14:N14)</f>
        <v>-29955968.09</v>
      </c>
      <c r="AZ11" s="136" t="n">
        <f aca="false">AX11-AY11</f>
        <v>731814.499071278</v>
      </c>
    </row>
    <row r="12" customFormat="false" ht="15" hidden="false" customHeight="true" outlineLevel="0" collapsed="false">
      <c r="A12" s="132" t="s">
        <v>397</v>
      </c>
      <c r="B12" s="133" t="n">
        <f aca="false">'Reforecast Q1 2026'!C15</f>
        <v>0</v>
      </c>
      <c r="C12" s="133" t="n">
        <f aca="false">IF(OR(1&gt;$B$3,ISBLANK(Actuals!C15)),"",Actuals!C15)</f>
        <v>0</v>
      </c>
      <c r="D12" s="134" t="n">
        <f aca="false">IF(OR(1&gt;$B$3,ISBLANK(Actuals!C15)),"",'Reforecast Q1 2026'!C15-Actuals!C15)</f>
        <v>0</v>
      </c>
      <c r="E12" s="134" t="str">
        <f aca="false">IFERROR(IF(OR(1&gt;$B$3,ISBLANK(Actuals!C15)),"",('Reforecast Q1 2026'!C15-Actuals!C15)/ABS('Reforecast Q1 2026'!C15)),"")</f>
        <v/>
      </c>
      <c r="F12" s="133" t="n">
        <f aca="false">'Reforecast Q1 2026'!D15</f>
        <v>0</v>
      </c>
      <c r="G12" s="133" t="n">
        <f aca="false">IF(OR(2&gt;$B$3,ISBLANK(Actuals!D15)),"",Actuals!D15)</f>
        <v>0</v>
      </c>
      <c r="H12" s="134" t="n">
        <f aca="false">IF(OR(2&gt;$B$3,ISBLANK(Actuals!D15)),"",'Reforecast Q1 2026'!D15-Actuals!D15)</f>
        <v>0</v>
      </c>
      <c r="I12" s="134" t="str">
        <f aca="false">IFERROR(IF(OR(2&gt;$B$3,ISBLANK(Actuals!D15)),"",('Reforecast Q1 2026'!D15-Actuals!D15)/ABS('Reforecast Q1 2026'!D15)),"")</f>
        <v/>
      </c>
      <c r="J12" s="133" t="n">
        <f aca="false">'Reforecast Q1 2026'!E15</f>
        <v>0</v>
      </c>
      <c r="K12" s="133" t="n">
        <f aca="false">IF(OR(3&gt;$B$3,ISBLANK(Actuals!E15)),"",Actuals!E15)</f>
        <v>0</v>
      </c>
      <c r="L12" s="134" t="n">
        <f aca="false">IF(OR(3&gt;$B$3,ISBLANK(Actuals!E15)),"",'Reforecast Q1 2026'!E15-Actuals!E15)</f>
        <v>0</v>
      </c>
      <c r="M12" s="134" t="str">
        <f aca="false">IFERROR(IF(OR(3&gt;$B$3,ISBLANK(Actuals!E15)),"",('Reforecast Q1 2026'!E15-Actuals!E15)/ABS('Reforecast Q1 2026'!E15)),"")</f>
        <v/>
      </c>
      <c r="N12" s="133" t="n">
        <f aca="false">'Reforecast Q1 2026'!F15</f>
        <v>0</v>
      </c>
      <c r="O12" s="133" t="n">
        <f aca="false">IF(OR(4&gt;$B$3,ISBLANK(Actuals!F15)),"",Actuals!F15)</f>
        <v>0</v>
      </c>
      <c r="P12" s="134" t="n">
        <f aca="false">IF(OR(4&gt;$B$3,ISBLANK(Actuals!F15)),"",'Reforecast Q1 2026'!F15-Actuals!F15)</f>
        <v>0</v>
      </c>
      <c r="Q12" s="134" t="str">
        <f aca="false">IFERROR(IF(OR(4&gt;$B$3,ISBLANK(Actuals!F15)),"",('Reforecast Q1 2026'!F15-Actuals!F15)/ABS('Reforecast Q1 2026'!F15)),"")</f>
        <v/>
      </c>
      <c r="R12" s="133" t="n">
        <f aca="false">'Reforecast Q1 2026'!G15</f>
        <v>0</v>
      </c>
      <c r="S12" s="133" t="n">
        <f aca="false">IF(OR(5&gt;$B$3,ISBLANK(Actuals!G15)),"",Actuals!G15)</f>
        <v>0</v>
      </c>
      <c r="T12" s="134" t="n">
        <f aca="false">IF(OR(5&gt;$B$3,ISBLANK(Actuals!G15)),"",'Reforecast Q1 2026'!G15-Actuals!G15)</f>
        <v>0</v>
      </c>
      <c r="U12" s="134" t="str">
        <f aca="false">IFERROR(IF(OR(5&gt;$B$3,ISBLANK(Actuals!G15)),"",('Reforecast Q1 2026'!G15-Actuals!G15)/ABS('Reforecast Q1 2026'!G15)),"")</f>
        <v/>
      </c>
      <c r="V12" s="133" t="n">
        <f aca="false">'Reforecast Q1 2026'!H15</f>
        <v>0</v>
      </c>
      <c r="W12" s="133" t="n">
        <f aca="false">IF(OR(6&gt;$B$3,ISBLANK(Actuals!H15)),"",Actuals!H15)</f>
        <v>0</v>
      </c>
      <c r="X12" s="134" t="n">
        <f aca="false">IF(OR(6&gt;$B$3,ISBLANK(Actuals!H15)),"",'Reforecast Q1 2026'!H15-Actuals!H15)</f>
        <v>0</v>
      </c>
      <c r="Y12" s="134" t="str">
        <f aca="false">IFERROR(IF(OR(6&gt;$B$3,ISBLANK(Actuals!H15)),"",('Reforecast Q1 2026'!H15-Actuals!H15)/ABS('Reforecast Q1 2026'!H15)),"")</f>
        <v/>
      </c>
      <c r="Z12" s="133" t="n">
        <f aca="false">'Reforecast Q1 2026'!I15</f>
        <v>644526.72</v>
      </c>
      <c r="AA12" s="133" t="n">
        <f aca="false">IF(OR(7&gt;$B$3,ISBLANK(Actuals!I15)),"",Actuals!I15)</f>
        <v>0</v>
      </c>
      <c r="AB12" s="134" t="n">
        <f aca="false">IF(OR(7&gt;$B$3,ISBLANK(Actuals!I15)),"",'Reforecast Q1 2026'!I15-Actuals!I15)</f>
        <v>644526.72</v>
      </c>
      <c r="AC12" s="134" t="n">
        <f aca="false">IFERROR(IF(OR(7&gt;$B$3,ISBLANK(Actuals!I15)),"",('Reforecast Q1 2026'!I15-Actuals!I15)/ABS('Reforecast Q1 2026'!I15)),"")</f>
        <v>1</v>
      </c>
      <c r="AD12" s="133" t="n">
        <f aca="false">'Reforecast Q1 2026'!J15</f>
        <v>0</v>
      </c>
      <c r="AE12" s="133" t="n">
        <f aca="false">IF(OR(8&gt;$B$3,ISBLANK(Actuals!J15)),"",Actuals!J15)</f>
        <v>0</v>
      </c>
      <c r="AF12" s="134" t="n">
        <f aca="false">IF(OR(8&gt;$B$3,ISBLANK(Actuals!J15)),"",'Reforecast Q1 2026'!J15-Actuals!J15)</f>
        <v>0</v>
      </c>
      <c r="AG12" s="134" t="str">
        <f aca="false">IFERROR(IF(OR(8&gt;$B$3,ISBLANK(Actuals!J15)),"",('Reforecast Q1 2026'!J15-Actuals!J15)/ABS('Reforecast Q1 2026'!J15)),"")</f>
        <v/>
      </c>
      <c r="AH12" s="133" t="n">
        <f aca="false">'Reforecast Q1 2026'!K15</f>
        <v>0</v>
      </c>
      <c r="AI12" s="133" t="str">
        <f aca="false">IF(OR(9&gt;$B$3,ISBLANK(Actuals!K15)),"",Actuals!K15)</f>
        <v/>
      </c>
      <c r="AJ12" s="134" t="str">
        <f aca="false">IF(OR(9&gt;$B$3,ISBLANK(Actuals!K15)),"",'Reforecast Q1 2026'!K15-Actuals!K15)</f>
        <v/>
      </c>
      <c r="AK12" s="134" t="str">
        <f aca="false">IFERROR(IF(OR(9&gt;$B$3,ISBLANK(Actuals!K15)),"",('Reforecast Q1 2026'!K15-Actuals!K15)/ABS('Reforecast Q1 2026'!K15)),"")</f>
        <v/>
      </c>
      <c r="AL12" s="133" t="n">
        <f aca="false">'Reforecast Q1 2026'!L15</f>
        <v>442059.825</v>
      </c>
      <c r="AM12" s="133" t="str">
        <f aca="false">IF(OR(10&gt;$B$3,ISBLANK(Actuals!L15)),"",Actuals!L15)</f>
        <v/>
      </c>
      <c r="AN12" s="134" t="str">
        <f aca="false">IF(OR(10&gt;$B$3,ISBLANK(Actuals!L15)),"",'Reforecast Q1 2026'!L15-Actuals!L15)</f>
        <v/>
      </c>
      <c r="AO12" s="134" t="str">
        <f aca="false">IFERROR(IF(OR(10&gt;$B$3,ISBLANK(Actuals!L15)),"",('Reforecast Q1 2026'!L15-Actuals!L15)/ABS('Reforecast Q1 2026'!L15)),"")</f>
        <v/>
      </c>
      <c r="AP12" s="133" t="n">
        <f aca="false">'Reforecast Q1 2026'!M15</f>
        <v>318951.075</v>
      </c>
      <c r="AQ12" s="133" t="str">
        <f aca="false">IF(OR(11&gt;$B$3,ISBLANK(Actuals!M15)),"",Actuals!M15)</f>
        <v/>
      </c>
      <c r="AR12" s="134" t="str">
        <f aca="false">IF(OR(11&gt;$B$3,ISBLANK(Actuals!M15)),"",'Reforecast Q1 2026'!M15-Actuals!M15)</f>
        <v/>
      </c>
      <c r="AS12" s="134" t="str">
        <f aca="false">IFERROR(IF(OR(11&gt;$B$3,ISBLANK(Actuals!M15)),"",('Reforecast Q1 2026'!M15-Actuals!M15)/ABS('Reforecast Q1 2026'!M15)),"")</f>
        <v/>
      </c>
      <c r="AT12" s="133" t="n">
        <f aca="false">'Reforecast Q1 2026'!N15</f>
        <v>0</v>
      </c>
      <c r="AU12" s="133" t="str">
        <f aca="false">IF(OR(12&gt;$B$3,ISBLANK(Actuals!N15)),"",Actuals!N15)</f>
        <v/>
      </c>
      <c r="AV12" s="134" t="str">
        <f aca="false">IF(OR(12&gt;$B$3,ISBLANK(Actuals!N15)),"",'Reforecast Q1 2026'!N15-Actuals!N15)</f>
        <v/>
      </c>
      <c r="AW12" s="134" t="str">
        <f aca="false">IFERROR(IF(OR(12&gt;$B$3,ISBLANK(Actuals!N15)),"",('Reforecast Q1 2026'!N15-Actuals!N15)/ABS('Reforecast Q1 2026'!N15)),"")</f>
        <v/>
      </c>
      <c r="AX12" s="135" t="n">
        <f aca="false">SUMPRODUCT((Actuals!C15:N15&lt;&gt;"")*('Reforecast Q1 2026'!C15:N15))</f>
        <v>644526.72</v>
      </c>
      <c r="AY12" s="135" t="n">
        <f aca="false">SUM(Actuals!C15:N15)</f>
        <v>0</v>
      </c>
      <c r="AZ12" s="136" t="n">
        <f aca="false">AX12-AY12</f>
        <v>644526.72</v>
      </c>
    </row>
    <row r="13" customFormat="false" ht="15" hidden="false" customHeight="true" outlineLevel="0" collapsed="false">
      <c r="A13" s="132" t="s">
        <v>399</v>
      </c>
      <c r="B13" s="133" t="n">
        <f aca="false">'Reforecast Q1 2026'!C16</f>
        <v>-1966.5</v>
      </c>
      <c r="C13" s="133" t="n">
        <f aca="false">IF(OR(1&gt;$B$3,ISBLANK(Actuals!C16)),"",Actuals!C16)</f>
        <v>0</v>
      </c>
      <c r="D13" s="134" t="n">
        <f aca="false">IF(OR(1&gt;$B$3,ISBLANK(Actuals!C16)),"",'Reforecast Q1 2026'!C16-Actuals!C16)</f>
        <v>-1966.5</v>
      </c>
      <c r="E13" s="134" t="n">
        <f aca="false">IFERROR(IF(OR(1&gt;$B$3,ISBLANK(Actuals!C16)),"",('Reforecast Q1 2026'!C16-Actuals!C16)/ABS('Reforecast Q1 2026'!C16)),"")</f>
        <v>-1</v>
      </c>
      <c r="F13" s="133" t="n">
        <f aca="false">'Reforecast Q1 2026'!D16</f>
        <v>0</v>
      </c>
      <c r="G13" s="133" t="n">
        <f aca="false">IF(OR(2&gt;$B$3,ISBLANK(Actuals!D16)),"",Actuals!D16)</f>
        <v>0</v>
      </c>
      <c r="H13" s="134" t="n">
        <f aca="false">IF(OR(2&gt;$B$3,ISBLANK(Actuals!D16)),"",'Reforecast Q1 2026'!D16-Actuals!D16)</f>
        <v>0</v>
      </c>
      <c r="I13" s="134" t="str">
        <f aca="false">IFERROR(IF(OR(2&gt;$B$3,ISBLANK(Actuals!D16)),"",('Reforecast Q1 2026'!D16-Actuals!D16)/ABS('Reforecast Q1 2026'!D16)),"")</f>
        <v/>
      </c>
      <c r="J13" s="133" t="n">
        <f aca="false">'Reforecast Q1 2026'!E16</f>
        <v>0</v>
      </c>
      <c r="K13" s="133" t="n">
        <f aca="false">IF(OR(3&gt;$B$3,ISBLANK(Actuals!E16)),"",Actuals!E16)</f>
        <v>0</v>
      </c>
      <c r="L13" s="134" t="n">
        <f aca="false">IF(OR(3&gt;$B$3,ISBLANK(Actuals!E16)),"",'Reforecast Q1 2026'!E16-Actuals!E16)</f>
        <v>0</v>
      </c>
      <c r="M13" s="134" t="str">
        <f aca="false">IFERROR(IF(OR(3&gt;$B$3,ISBLANK(Actuals!E16)),"",('Reforecast Q1 2026'!E16-Actuals!E16)/ABS('Reforecast Q1 2026'!E16)),"")</f>
        <v/>
      </c>
      <c r="N13" s="133" t="n">
        <f aca="false">'Reforecast Q1 2026'!F16</f>
        <v>0</v>
      </c>
      <c r="O13" s="133" t="n">
        <f aca="false">IF(OR(4&gt;$B$3,ISBLANK(Actuals!F16)),"",Actuals!F16)</f>
        <v>0</v>
      </c>
      <c r="P13" s="134" t="n">
        <f aca="false">IF(OR(4&gt;$B$3,ISBLANK(Actuals!F16)),"",'Reforecast Q1 2026'!F16-Actuals!F16)</f>
        <v>0</v>
      </c>
      <c r="Q13" s="134" t="str">
        <f aca="false">IFERROR(IF(OR(4&gt;$B$3,ISBLANK(Actuals!F16)),"",('Reforecast Q1 2026'!F16-Actuals!F16)/ABS('Reforecast Q1 2026'!F16)),"")</f>
        <v/>
      </c>
      <c r="R13" s="133" t="n">
        <f aca="false">'Reforecast Q1 2026'!G16</f>
        <v>0</v>
      </c>
      <c r="S13" s="133" t="n">
        <f aca="false">IF(OR(5&gt;$B$3,ISBLANK(Actuals!G16)),"",Actuals!G16)</f>
        <v>0</v>
      </c>
      <c r="T13" s="134" t="n">
        <f aca="false">IF(OR(5&gt;$B$3,ISBLANK(Actuals!G16)),"",'Reforecast Q1 2026'!G16-Actuals!G16)</f>
        <v>0</v>
      </c>
      <c r="U13" s="134" t="str">
        <f aca="false">IFERROR(IF(OR(5&gt;$B$3,ISBLANK(Actuals!G16)),"",('Reforecast Q1 2026'!G16-Actuals!G16)/ABS('Reforecast Q1 2026'!G16)),"")</f>
        <v/>
      </c>
      <c r="V13" s="133" t="n">
        <f aca="false">'Reforecast Q1 2026'!H16</f>
        <v>0</v>
      </c>
      <c r="W13" s="133" t="n">
        <f aca="false">IF(OR(6&gt;$B$3,ISBLANK(Actuals!H16)),"",Actuals!H16)</f>
        <v>0</v>
      </c>
      <c r="X13" s="134" t="n">
        <f aca="false">IF(OR(6&gt;$B$3,ISBLANK(Actuals!H16)),"",'Reforecast Q1 2026'!H16-Actuals!H16)</f>
        <v>0</v>
      </c>
      <c r="Y13" s="134" t="str">
        <f aca="false">IFERROR(IF(OR(6&gt;$B$3,ISBLANK(Actuals!H16)),"",('Reforecast Q1 2026'!H16-Actuals!H16)/ABS('Reforecast Q1 2026'!H16)),"")</f>
        <v/>
      </c>
      <c r="Z13" s="133" t="n">
        <f aca="false">'Reforecast Q1 2026'!I16</f>
        <v>-317966.5152</v>
      </c>
      <c r="AA13" s="133" t="n">
        <f aca="false">IF(OR(7&gt;$B$3,ISBLANK(Actuals!I16)),"",Actuals!I16)</f>
        <v>0</v>
      </c>
      <c r="AB13" s="134" t="n">
        <f aca="false">IF(OR(7&gt;$B$3,ISBLANK(Actuals!I16)),"",'Reforecast Q1 2026'!I16-Actuals!I16)</f>
        <v>-317966.5152</v>
      </c>
      <c r="AC13" s="134" t="n">
        <f aca="false">IFERROR(IF(OR(7&gt;$B$3,ISBLANK(Actuals!I16)),"",('Reforecast Q1 2026'!I16-Actuals!I16)/ABS('Reforecast Q1 2026'!I16)),"")</f>
        <v>-1</v>
      </c>
      <c r="AD13" s="133" t="n">
        <f aca="false">'Reforecast Q1 2026'!J16</f>
        <v>0</v>
      </c>
      <c r="AE13" s="133" t="n">
        <f aca="false">IF(OR(8&gt;$B$3,ISBLANK(Actuals!J16)),"",Actuals!J16)</f>
        <v>0</v>
      </c>
      <c r="AF13" s="134" t="n">
        <f aca="false">IF(OR(8&gt;$B$3,ISBLANK(Actuals!J16)),"",'Reforecast Q1 2026'!J16-Actuals!J16)</f>
        <v>0</v>
      </c>
      <c r="AG13" s="134" t="str">
        <f aca="false">IFERROR(IF(OR(8&gt;$B$3,ISBLANK(Actuals!J16)),"",('Reforecast Q1 2026'!J16-Actuals!J16)/ABS('Reforecast Q1 2026'!J16)),"")</f>
        <v/>
      </c>
      <c r="AH13" s="133" t="n">
        <f aca="false">'Reforecast Q1 2026'!K16</f>
        <v>0</v>
      </c>
      <c r="AI13" s="133" t="str">
        <f aca="false">IF(OR(9&gt;$B$3,ISBLANK(Actuals!K16)),"",Actuals!K16)</f>
        <v/>
      </c>
      <c r="AJ13" s="134" t="str">
        <f aca="false">IF(OR(9&gt;$B$3,ISBLANK(Actuals!K16)),"",'Reforecast Q1 2026'!K16-Actuals!K16)</f>
        <v/>
      </c>
      <c r="AK13" s="134" t="str">
        <f aca="false">IFERROR(IF(OR(9&gt;$B$3,ISBLANK(Actuals!K16)),"",('Reforecast Q1 2026'!K16-Actuals!K16)/ABS('Reforecast Q1 2026'!K16)),"")</f>
        <v/>
      </c>
      <c r="AL13" s="133" t="n">
        <f aca="false">'Reforecast Q1 2026'!L16</f>
        <v>-218082.847</v>
      </c>
      <c r="AM13" s="133" t="str">
        <f aca="false">IF(OR(10&gt;$B$3,ISBLANK(Actuals!L16)),"",Actuals!L16)</f>
        <v/>
      </c>
      <c r="AN13" s="134" t="str">
        <f aca="false">IF(OR(10&gt;$B$3,ISBLANK(Actuals!L16)),"",'Reforecast Q1 2026'!L16-Actuals!L16)</f>
        <v/>
      </c>
      <c r="AO13" s="134" t="str">
        <f aca="false">IFERROR(IF(OR(10&gt;$B$3,ISBLANK(Actuals!L16)),"",('Reforecast Q1 2026'!L16-Actuals!L16)/ABS('Reforecast Q1 2026'!L16)),"")</f>
        <v/>
      </c>
      <c r="AP13" s="133" t="n">
        <f aca="false">'Reforecast Q1 2026'!M16</f>
        <v>-157349.197</v>
      </c>
      <c r="AQ13" s="133" t="str">
        <f aca="false">IF(OR(11&gt;$B$3,ISBLANK(Actuals!M16)),"",Actuals!M16)</f>
        <v/>
      </c>
      <c r="AR13" s="134" t="str">
        <f aca="false">IF(OR(11&gt;$B$3,ISBLANK(Actuals!M16)),"",'Reforecast Q1 2026'!M16-Actuals!M16)</f>
        <v/>
      </c>
      <c r="AS13" s="134" t="str">
        <f aca="false">IFERROR(IF(OR(11&gt;$B$3,ISBLANK(Actuals!M16)),"",('Reforecast Q1 2026'!M16-Actuals!M16)/ABS('Reforecast Q1 2026'!M16)),"")</f>
        <v/>
      </c>
      <c r="AT13" s="133" t="n">
        <f aca="false">'Reforecast Q1 2026'!N16</f>
        <v>0</v>
      </c>
      <c r="AU13" s="133" t="str">
        <f aca="false">IF(OR(12&gt;$B$3,ISBLANK(Actuals!N16)),"",Actuals!N16)</f>
        <v/>
      </c>
      <c r="AV13" s="134" t="str">
        <f aca="false">IF(OR(12&gt;$B$3,ISBLANK(Actuals!N16)),"",'Reforecast Q1 2026'!N16-Actuals!N16)</f>
        <v/>
      </c>
      <c r="AW13" s="134" t="str">
        <f aca="false">IFERROR(IF(OR(12&gt;$B$3,ISBLANK(Actuals!N16)),"",('Reforecast Q1 2026'!N16-Actuals!N16)/ABS('Reforecast Q1 2026'!N16)),"")</f>
        <v/>
      </c>
      <c r="AX13" s="135" t="n">
        <f aca="false">SUMPRODUCT((Actuals!C16:N16&lt;&gt;"")*('Reforecast Q1 2026'!C16:N16))</f>
        <v>-319933.0152</v>
      </c>
      <c r="AY13" s="135" t="n">
        <f aca="false">SUM(Actuals!C16:N16)</f>
        <v>0</v>
      </c>
      <c r="AZ13" s="136" t="n">
        <f aca="false">AX13-AY13</f>
        <v>-319933.0152</v>
      </c>
    </row>
    <row r="14" customFormat="false" ht="15" hidden="false" customHeight="true" outlineLevel="0" collapsed="false">
      <c r="A14" s="132" t="s">
        <v>61</v>
      </c>
      <c r="B14" s="133" t="n">
        <f aca="false">'Reforecast Q1 2026'!C17</f>
        <v>218752.81</v>
      </c>
      <c r="C14" s="133" t="n">
        <f aca="false">IF(OR(1&gt;$B$3,ISBLANK(Actuals!C17)),"",Actuals!C17)</f>
        <v>218756.86</v>
      </c>
      <c r="D14" s="134" t="n">
        <f aca="false">IF(OR(1&gt;$B$3,ISBLANK(Actuals!C17)),"",'Reforecast Q1 2026'!C17-Actuals!C17)</f>
        <v>-4.05000000004657</v>
      </c>
      <c r="E14" s="134" t="n">
        <f aca="false">IFERROR(IF(OR(1&gt;$B$3,ISBLANK(Actuals!C17)),"",('Reforecast Q1 2026'!C17-Actuals!C17)/ABS('Reforecast Q1 2026'!C17)),"")</f>
        <v>-1.85140478883291E-005</v>
      </c>
      <c r="F14" s="133" t="n">
        <f aca="false">'Reforecast Q1 2026'!D17</f>
        <v>-51003.4699999997</v>
      </c>
      <c r="G14" s="133" t="n">
        <f aca="false">IF(OR(2&gt;$B$3,ISBLANK(Actuals!D17)),"",Actuals!D17)</f>
        <v>-51000.77</v>
      </c>
      <c r="H14" s="134" t="n">
        <f aca="false">IF(OR(2&gt;$B$3,ISBLANK(Actuals!D17)),"",'Reforecast Q1 2026'!D17-Actuals!D17)</f>
        <v>-2.6999999997206</v>
      </c>
      <c r="I14" s="134" t="n">
        <f aca="false">IFERROR(IF(OR(2&gt;$B$3,ISBLANK(Actuals!D17)),"",('Reforecast Q1 2026'!D17-Actuals!D17)/ABS('Reforecast Q1 2026'!D17)),"")</f>
        <v>-5.29375746340517E-005</v>
      </c>
      <c r="J14" s="133" t="n">
        <f aca="false">'Reforecast Q1 2026'!E17</f>
        <v>594184.52</v>
      </c>
      <c r="K14" s="133" t="n">
        <f aca="false">IF(OR(3&gt;$B$3,ISBLANK(Actuals!E17)),"",Actuals!E17)</f>
        <v>594184.52</v>
      </c>
      <c r="L14" s="134" t="n">
        <f aca="false">IF(OR(3&gt;$B$3,ISBLANK(Actuals!E17)),"",'Reforecast Q1 2026'!E17-Actuals!E17)</f>
        <v>0</v>
      </c>
      <c r="M14" s="134" t="n">
        <f aca="false">IFERROR(IF(OR(3&gt;$B$3,ISBLANK(Actuals!E17)),"",('Reforecast Q1 2026'!E17-Actuals!E17)/ABS('Reforecast Q1 2026'!E17)),"")</f>
        <v>0</v>
      </c>
      <c r="N14" s="133" t="n">
        <f aca="false">'Reforecast Q1 2026'!F17</f>
        <v>468885.062220243</v>
      </c>
      <c r="O14" s="133" t="n">
        <f aca="false">IF(OR(4&gt;$B$3,ISBLANK(Actuals!F17)),"",Actuals!F17)</f>
        <v>447358.25</v>
      </c>
      <c r="P14" s="134" t="n">
        <f aca="false">IF(OR(4&gt;$B$3,ISBLANK(Actuals!F17)),"",'Reforecast Q1 2026'!F17-Actuals!F17)</f>
        <v>21526.8122202423</v>
      </c>
      <c r="Q14" s="134" t="n">
        <f aca="false">IFERROR(IF(OR(4&gt;$B$3,ISBLANK(Actuals!F17)),"",('Reforecast Q1 2026'!F17-Actuals!F17)/ABS('Reforecast Q1 2026'!F17)),"")</f>
        <v>0.045910637712171</v>
      </c>
      <c r="R14" s="133" t="n">
        <f aca="false">'Reforecast Q1 2026'!G17</f>
        <v>468885.061577853</v>
      </c>
      <c r="S14" s="133" t="n">
        <f aca="false">IF(OR(5&gt;$B$3,ISBLANK(Actuals!G17)),"",Actuals!G17)</f>
        <v>465536.7</v>
      </c>
      <c r="T14" s="134" t="n">
        <f aca="false">IF(OR(5&gt;$B$3,ISBLANK(Actuals!G17)),"",'Reforecast Q1 2026'!G17-Actuals!G17)</f>
        <v>3348.36157785356</v>
      </c>
      <c r="U14" s="134" t="n">
        <f aca="false">IFERROR(IF(OR(5&gt;$B$3,ISBLANK(Actuals!G17)),"",('Reforecast Q1 2026'!G17-Actuals!G17)/ABS('Reforecast Q1 2026'!G17)),"")</f>
        <v>0.0071411137872167</v>
      </c>
      <c r="V14" s="133" t="n">
        <f aca="false">'Reforecast Q1 2026'!H17</f>
        <v>468885.064460973</v>
      </c>
      <c r="W14" s="133" t="n">
        <f aca="false">IF(OR(6&gt;$B$3,ISBLANK(Actuals!H17)),"",Actuals!H17)</f>
        <v>641351.130000001</v>
      </c>
      <c r="X14" s="134" t="n">
        <f aca="false">IF(OR(6&gt;$B$3,ISBLANK(Actuals!H17)),"",'Reforecast Q1 2026'!H17-Actuals!H17)</f>
        <v>-172466.065539028</v>
      </c>
      <c r="Y14" s="134" t="n">
        <f aca="false">IFERROR(IF(OR(6&gt;$B$3,ISBLANK(Actuals!H17)),"",('Reforecast Q1 2026'!H17-Actuals!H17)/ABS('Reforecast Q1 2026'!H17)),"")</f>
        <v>-0.367821623274124</v>
      </c>
      <c r="Z14" s="133" t="n">
        <f aca="false">'Reforecast Q1 2026'!I17</f>
        <v>959257.390269293</v>
      </c>
      <c r="AA14" s="133" t="n">
        <f aca="false">IF(OR(7&gt;$B$3,ISBLANK(Actuals!I17)),"",Actuals!I17)</f>
        <v>1766649.51</v>
      </c>
      <c r="AB14" s="134" t="n">
        <f aca="false">IF(OR(7&gt;$B$3,ISBLANK(Actuals!I17)),"",'Reforecast Q1 2026'!I17-Actuals!I17)</f>
        <v>-807392.119730708</v>
      </c>
      <c r="AC14" s="134" t="n">
        <f aca="false">IFERROR(IF(OR(7&gt;$B$3,ISBLANK(Actuals!I17)),"",('Reforecast Q1 2026'!I17-Actuals!I17)/ABS('Reforecast Q1 2026'!I17)),"")</f>
        <v>-0.84168454464974</v>
      </c>
      <c r="AD14" s="133" t="n">
        <f aca="false">'Reforecast Q1 2026'!J17</f>
        <v>632697.193414873</v>
      </c>
      <c r="AE14" s="133" t="n">
        <f aca="false">IF(OR(8&gt;$B$3,ISBLANK(Actuals!J17)),"",Actuals!J17)</f>
        <v>560735.39</v>
      </c>
      <c r="AF14" s="134" t="n">
        <f aca="false">IF(OR(8&gt;$B$3,ISBLANK(Actuals!J17)),"",'Reforecast Q1 2026'!J17-Actuals!J17)</f>
        <v>71961.8034148729</v>
      </c>
      <c r="AG14" s="134" t="n">
        <f aca="false">IFERROR(IF(OR(8&gt;$B$3,ISBLANK(Actuals!J17)),"",('Reforecast Q1 2026'!J17-Actuals!J17)/ABS('Reforecast Q1 2026'!J17)),"")</f>
        <v>0.113738142295956</v>
      </c>
      <c r="AH14" s="133" t="n">
        <f aca="false">'Reforecast Q1 2026'!K17</f>
        <v>632697.191315133</v>
      </c>
      <c r="AI14" s="133" t="str">
        <f aca="false">IF(OR(9&gt;$B$3,ISBLANK(Actuals!K17)),"",Actuals!K17)</f>
        <v/>
      </c>
      <c r="AJ14" s="134" t="str">
        <f aca="false">IF(OR(9&gt;$B$3,ISBLANK(Actuals!K17)),"",'Reforecast Q1 2026'!K17-Actuals!K17)</f>
        <v/>
      </c>
      <c r="AK14" s="134" t="str">
        <f aca="false">IFERROR(IF(OR(9&gt;$B$3,ISBLANK(Actuals!K17)),"",('Reforecast Q1 2026'!K17-Actuals!K17)/ABS('Reforecast Q1 2026'!K17)),"")</f>
        <v/>
      </c>
      <c r="AL14" s="133" t="n">
        <f aca="false">'Reforecast Q1 2026'!L17</f>
        <v>999101.928826481</v>
      </c>
      <c r="AM14" s="133" t="str">
        <f aca="false">IF(OR(10&gt;$B$3,ISBLANK(Actuals!L17)),"",Actuals!L17)</f>
        <v/>
      </c>
      <c r="AN14" s="134" t="str">
        <f aca="false">IF(OR(10&gt;$B$3,ISBLANK(Actuals!L17)),"",'Reforecast Q1 2026'!L17-Actuals!L17)</f>
        <v/>
      </c>
      <c r="AO14" s="134" t="str">
        <f aca="false">IFERROR(IF(OR(10&gt;$B$3,ISBLANK(Actuals!L17)),"",('Reforecast Q1 2026'!L17-Actuals!L17)/ABS('Reforecast Q1 2026'!L17)),"")</f>
        <v/>
      </c>
      <c r="AP14" s="133" t="n">
        <f aca="false">'Reforecast Q1 2026'!M17</f>
        <v>1080952.85657232</v>
      </c>
      <c r="AQ14" s="133" t="str">
        <f aca="false">IF(OR(11&gt;$B$3,ISBLANK(Actuals!M17)),"",Actuals!M17)</f>
        <v/>
      </c>
      <c r="AR14" s="134" t="str">
        <f aca="false">IF(OR(11&gt;$B$3,ISBLANK(Actuals!M17)),"",'Reforecast Q1 2026'!M17-Actuals!M17)</f>
        <v/>
      </c>
      <c r="AS14" s="134" t="str">
        <f aca="false">IFERROR(IF(OR(11&gt;$B$3,ISBLANK(Actuals!M17)),"",('Reforecast Q1 2026'!M17-Actuals!M17)/ABS('Reforecast Q1 2026'!M17)),"")</f>
        <v/>
      </c>
      <c r="AT14" s="133" t="n">
        <f aca="false">'Reforecast Q1 2026'!N17</f>
        <v>774577.772324943</v>
      </c>
      <c r="AU14" s="133" t="str">
        <f aca="false">IF(OR(12&gt;$B$3,ISBLANK(Actuals!N17)),"",Actuals!N17)</f>
        <v/>
      </c>
      <c r="AV14" s="134" t="str">
        <f aca="false">IF(OR(12&gt;$B$3,ISBLANK(Actuals!N17)),"",'Reforecast Q1 2026'!N17-Actuals!N17)</f>
        <v/>
      </c>
      <c r="AW14" s="134" t="str">
        <f aca="false">IFERROR(IF(OR(12&gt;$B$3,ISBLANK(Actuals!N17)),"",('Reforecast Q1 2026'!N17-Actuals!N17)/ABS('Reforecast Q1 2026'!N17)),"")</f>
        <v/>
      </c>
      <c r="AX14" s="135" t="n">
        <f aca="false">SUMPRODUCT((Actuals!C17:N17&lt;&gt;"")*('Reforecast Q1 2026'!C17:N17))</f>
        <v>7247873.38098211</v>
      </c>
      <c r="AY14" s="135" t="n">
        <f aca="false">SUM(Actuals!C17:N17)</f>
        <v>4643571.59</v>
      </c>
      <c r="AZ14" s="136" t="n">
        <f aca="false">AX14-AY14</f>
        <v>2604301.79098211</v>
      </c>
    </row>
    <row r="15" customFormat="false" ht="15" hidden="false" customHeight="true" outlineLevel="0" collapsed="false">
      <c r="A15" s="132" t="s">
        <v>64</v>
      </c>
      <c r="B15" s="133" t="n">
        <f aca="false">'Reforecast Q1 2026'!C21</f>
        <v>-144550.9</v>
      </c>
      <c r="C15" s="133" t="n">
        <f aca="false">IF(OR(1&gt;$B$3,ISBLANK(Actuals!C21)),"",Actuals!C21)</f>
        <v>-144550.9</v>
      </c>
      <c r="D15" s="134" t="n">
        <f aca="false">IF(OR(1&gt;$B$3,ISBLANK(Actuals!C21)),"",'Reforecast Q1 2026'!C21-Actuals!C21)</f>
        <v>0</v>
      </c>
      <c r="E15" s="134" t="n">
        <f aca="false">IFERROR(IF(OR(1&gt;$B$3,ISBLANK(Actuals!C21)),"",('Reforecast Q1 2026'!C21-Actuals!C21)/ABS('Reforecast Q1 2026'!C21)),"")</f>
        <v>0</v>
      </c>
      <c r="F15" s="133" t="n">
        <f aca="false">'Reforecast Q1 2026'!D21</f>
        <v>-150672.84</v>
      </c>
      <c r="G15" s="133" t="n">
        <f aca="false">IF(OR(2&gt;$B$3,ISBLANK(Actuals!D21)),"",Actuals!D21)</f>
        <v>-150672.84</v>
      </c>
      <c r="H15" s="134" t="n">
        <f aca="false">IF(OR(2&gt;$B$3,ISBLANK(Actuals!D21)),"",'Reforecast Q1 2026'!D21-Actuals!D21)</f>
        <v>0</v>
      </c>
      <c r="I15" s="134" t="n">
        <f aca="false">IFERROR(IF(OR(2&gt;$B$3,ISBLANK(Actuals!D21)),"",('Reforecast Q1 2026'!D21-Actuals!D21)/ABS('Reforecast Q1 2026'!D21)),"")</f>
        <v>0</v>
      </c>
      <c r="J15" s="133" t="n">
        <f aca="false">'Reforecast Q1 2026'!E21</f>
        <v>-178867.86</v>
      </c>
      <c r="K15" s="133" t="n">
        <f aca="false">IF(OR(3&gt;$B$3,ISBLANK(Actuals!E21)),"",Actuals!E21)</f>
        <v>-178867.86</v>
      </c>
      <c r="L15" s="134" t="n">
        <f aca="false">IF(OR(3&gt;$B$3,ISBLANK(Actuals!E21)),"",'Reforecast Q1 2026'!E21-Actuals!E21)</f>
        <v>0</v>
      </c>
      <c r="M15" s="134" t="n">
        <f aca="false">IFERROR(IF(OR(3&gt;$B$3,ISBLANK(Actuals!E21)),"",('Reforecast Q1 2026'!E21-Actuals!E21)/ABS('Reforecast Q1 2026'!E21)),"")</f>
        <v>0</v>
      </c>
      <c r="N15" s="133" t="n">
        <f aca="false">'Reforecast Q1 2026'!F21</f>
        <v>-164791.666666667</v>
      </c>
      <c r="O15" s="133" t="n">
        <f aca="false">IF(OR(4&gt;$B$3,ISBLANK(Actuals!F21)),"",Actuals!F21)</f>
        <v>-187693.63</v>
      </c>
      <c r="P15" s="134" t="n">
        <f aca="false">IF(OR(4&gt;$B$3,ISBLANK(Actuals!F21)),"",'Reforecast Q1 2026'!F21-Actuals!F21)</f>
        <v>22901.963333333</v>
      </c>
      <c r="Q15" s="134" t="n">
        <f aca="false">IFERROR(IF(OR(4&gt;$B$3,ISBLANK(Actuals!F21)),"",('Reforecast Q1 2026'!F21-Actuals!F21)/ABS('Reforecast Q1 2026'!F21)),"")</f>
        <v>0.138975251580276</v>
      </c>
      <c r="R15" s="133" t="n">
        <f aca="false">'Reforecast Q1 2026'!G21</f>
        <v>-189375</v>
      </c>
      <c r="S15" s="133" t="n">
        <f aca="false">IF(OR(5&gt;$B$3,ISBLANK(Actuals!G21)),"",Actuals!G21)</f>
        <v>-295949.1</v>
      </c>
      <c r="T15" s="134" t="n">
        <f aca="false">IF(OR(5&gt;$B$3,ISBLANK(Actuals!G21)),"",'Reforecast Q1 2026'!G21-Actuals!G21)</f>
        <v>106574.1</v>
      </c>
      <c r="U15" s="134" t="n">
        <f aca="false">IFERROR(IF(OR(5&gt;$B$3,ISBLANK(Actuals!G21)),"",('Reforecast Q1 2026'!G21-Actuals!G21)/ABS('Reforecast Q1 2026'!G21)),"")</f>
        <v>0.562767524752475</v>
      </c>
      <c r="V15" s="133" t="n">
        <f aca="false">'Reforecast Q1 2026'!H21</f>
        <v>-214375</v>
      </c>
      <c r="W15" s="133" t="n">
        <f aca="false">IF(OR(6&gt;$B$3,ISBLANK(Actuals!H21)),"",Actuals!H21)</f>
        <v>-198645.92</v>
      </c>
      <c r="X15" s="134" t="n">
        <f aca="false">IF(OR(6&gt;$B$3,ISBLANK(Actuals!H21)),"",'Reforecast Q1 2026'!H21-Actuals!H21)</f>
        <v>-15729.08</v>
      </c>
      <c r="Y15" s="134" t="n">
        <f aca="false">IFERROR(IF(OR(6&gt;$B$3,ISBLANK(Actuals!H21)),"",('Reforecast Q1 2026'!H21-Actuals!H21)/ABS('Reforecast Q1 2026'!H21)),"")</f>
        <v>-0.0733718017492711</v>
      </c>
      <c r="Z15" s="133" t="n">
        <f aca="false">'Reforecast Q1 2026'!I21</f>
        <v>-225208.333333333</v>
      </c>
      <c r="AA15" s="133" t="n">
        <f aca="false">IF(OR(7&gt;$B$3,ISBLANK(Actuals!I21)),"",Actuals!I21)</f>
        <v>-215851.71</v>
      </c>
      <c r="AB15" s="134" t="n">
        <f aca="false">IF(OR(7&gt;$B$3,ISBLANK(Actuals!I21)),"",'Reforecast Q1 2026'!I21-Actuals!I21)</f>
        <v>-9356.623333333</v>
      </c>
      <c r="AC15" s="134" t="n">
        <f aca="false">IFERROR(IF(OR(7&gt;$B$3,ISBLANK(Actuals!I21)),"",('Reforecast Q1 2026'!I21-Actuals!I21)/ABS('Reforecast Q1 2026'!I21)),"")</f>
        <v>-0.0415465235892678</v>
      </c>
      <c r="AD15" s="133" t="n">
        <f aca="false">'Reforecast Q1 2026'!J21</f>
        <v>-225208.333333333</v>
      </c>
      <c r="AE15" s="133" t="n">
        <f aca="false">IF(OR(8&gt;$B$3,ISBLANK(Actuals!J21)),"",Actuals!J21)</f>
        <v>-217610.65</v>
      </c>
      <c r="AF15" s="134" t="n">
        <f aca="false">IF(OR(8&gt;$B$3,ISBLANK(Actuals!J21)),"",'Reforecast Q1 2026'!J21-Actuals!J21)</f>
        <v>-7597.683333333</v>
      </c>
      <c r="AG15" s="134" t="n">
        <f aca="false">IFERROR(IF(OR(8&gt;$B$3,ISBLANK(Actuals!J21)),"",('Reforecast Q1 2026'!J21-Actuals!J21)/ABS('Reforecast Q1 2026'!J21)),"")</f>
        <v>-0.0337362442183149</v>
      </c>
      <c r="AH15" s="133" t="n">
        <f aca="false">'Reforecast Q1 2026'!K21</f>
        <v>-225208.333333333</v>
      </c>
      <c r="AI15" s="133" t="str">
        <f aca="false">IF(OR(9&gt;$B$3,ISBLANK(Actuals!K21)),"",Actuals!K21)</f>
        <v/>
      </c>
      <c r="AJ15" s="134" t="str">
        <f aca="false">IF(OR(9&gt;$B$3,ISBLANK(Actuals!K21)),"",'Reforecast Q1 2026'!K21-Actuals!K21)</f>
        <v/>
      </c>
      <c r="AK15" s="134" t="str">
        <f aca="false">IFERROR(IF(OR(9&gt;$B$3,ISBLANK(Actuals!K21)),"",('Reforecast Q1 2026'!K21-Actuals!K21)/ABS('Reforecast Q1 2026'!K21)),"")</f>
        <v/>
      </c>
      <c r="AL15" s="133" t="n">
        <f aca="false">'Reforecast Q1 2026'!L21</f>
        <v>-246041.666666667</v>
      </c>
      <c r="AM15" s="133" t="str">
        <f aca="false">IF(OR(10&gt;$B$3,ISBLANK(Actuals!L21)),"",Actuals!L21)</f>
        <v/>
      </c>
      <c r="AN15" s="134" t="str">
        <f aca="false">IF(OR(10&gt;$B$3,ISBLANK(Actuals!L21)),"",'Reforecast Q1 2026'!L21-Actuals!L21)</f>
        <v/>
      </c>
      <c r="AO15" s="134" t="str">
        <f aca="false">IFERROR(IF(OR(10&gt;$B$3,ISBLANK(Actuals!L21)),"",('Reforecast Q1 2026'!L21-Actuals!L21)/ABS('Reforecast Q1 2026'!L21)),"")</f>
        <v/>
      </c>
      <c r="AP15" s="133" t="n">
        <f aca="false">'Reforecast Q1 2026'!M21</f>
        <v>-276041.666666667</v>
      </c>
      <c r="AQ15" s="133" t="str">
        <f aca="false">IF(OR(11&gt;$B$3,ISBLANK(Actuals!M21)),"",Actuals!M21)</f>
        <v/>
      </c>
      <c r="AR15" s="134" t="str">
        <f aca="false">IF(OR(11&gt;$B$3,ISBLANK(Actuals!M21)),"",'Reforecast Q1 2026'!M21-Actuals!M21)</f>
        <v/>
      </c>
      <c r="AS15" s="134" t="str">
        <f aca="false">IFERROR(IF(OR(11&gt;$B$3,ISBLANK(Actuals!M21)),"",('Reforecast Q1 2026'!M21-Actuals!M21)/ABS('Reforecast Q1 2026'!M21)),"")</f>
        <v/>
      </c>
      <c r="AT15" s="133" t="n">
        <f aca="false">'Reforecast Q1 2026'!N21</f>
        <v>-276041.666666667</v>
      </c>
      <c r="AU15" s="133" t="str">
        <f aca="false">IF(OR(12&gt;$B$3,ISBLANK(Actuals!N21)),"",Actuals!N21)</f>
        <v/>
      </c>
      <c r="AV15" s="134" t="str">
        <f aca="false">IF(OR(12&gt;$B$3,ISBLANK(Actuals!N21)),"",'Reforecast Q1 2026'!N21-Actuals!N21)</f>
        <v/>
      </c>
      <c r="AW15" s="134" t="str">
        <f aca="false">IFERROR(IF(OR(12&gt;$B$3,ISBLANK(Actuals!N21)),"",('Reforecast Q1 2026'!N21-Actuals!N21)/ABS('Reforecast Q1 2026'!N21)),"")</f>
        <v/>
      </c>
      <c r="AX15" s="135" t="n">
        <f aca="false">SUMPRODUCT((Actuals!C21:N21&lt;&gt;"")*('Reforecast Q1 2026'!C21:N21))</f>
        <v>-1493049.93333333</v>
      </c>
      <c r="AY15" s="135" t="n">
        <f aca="false">SUM(Actuals!C21:N21)</f>
        <v>-1589842.61</v>
      </c>
      <c r="AZ15" s="136" t="n">
        <f aca="false">AX15-AY15</f>
        <v>96792.676666667</v>
      </c>
    </row>
    <row r="16" customFormat="false" ht="15" hidden="false" customHeight="true" outlineLevel="0" collapsed="false">
      <c r="A16" s="132" t="s">
        <v>65</v>
      </c>
      <c r="B16" s="133" t="n">
        <f aca="false">'Reforecast Q1 2026'!C22</f>
        <v>-7450.37</v>
      </c>
      <c r="C16" s="133" t="n">
        <f aca="false">IF(OR(1&gt;$B$3,ISBLANK(Actuals!C22)),"",Actuals!C22)</f>
        <v>-7450.37</v>
      </c>
      <c r="D16" s="134" t="n">
        <f aca="false">IF(OR(1&gt;$B$3,ISBLANK(Actuals!C22)),"",'Reforecast Q1 2026'!C22-Actuals!C22)</f>
        <v>0</v>
      </c>
      <c r="E16" s="134" t="n">
        <f aca="false">IFERROR(IF(OR(1&gt;$B$3,ISBLANK(Actuals!C22)),"",('Reforecast Q1 2026'!C22-Actuals!C22)/ABS('Reforecast Q1 2026'!C22)),"")</f>
        <v>0</v>
      </c>
      <c r="F16" s="133" t="n">
        <f aca="false">'Reforecast Q1 2026'!D22</f>
        <v>-10567.2</v>
      </c>
      <c r="G16" s="133" t="n">
        <f aca="false">IF(OR(2&gt;$B$3,ISBLANK(Actuals!D22)),"",Actuals!D22)</f>
        <v>-10567.2</v>
      </c>
      <c r="H16" s="134" t="n">
        <f aca="false">IF(OR(2&gt;$B$3,ISBLANK(Actuals!D22)),"",'Reforecast Q1 2026'!D22-Actuals!D22)</f>
        <v>0</v>
      </c>
      <c r="I16" s="134" t="n">
        <f aca="false">IFERROR(IF(OR(2&gt;$B$3,ISBLANK(Actuals!D22)),"",('Reforecast Q1 2026'!D22-Actuals!D22)/ABS('Reforecast Q1 2026'!D22)),"")</f>
        <v>0</v>
      </c>
      <c r="J16" s="133" t="n">
        <f aca="false">'Reforecast Q1 2026'!E22</f>
        <v>-17033.3</v>
      </c>
      <c r="K16" s="133" t="n">
        <f aca="false">IF(OR(3&gt;$B$3,ISBLANK(Actuals!E22)),"",Actuals!E22)</f>
        <v>-17033.3</v>
      </c>
      <c r="L16" s="134" t="n">
        <f aca="false">IF(OR(3&gt;$B$3,ISBLANK(Actuals!E22)),"",'Reforecast Q1 2026'!E22-Actuals!E22)</f>
        <v>0</v>
      </c>
      <c r="M16" s="134" t="n">
        <f aca="false">IFERROR(IF(OR(3&gt;$B$3,ISBLANK(Actuals!E22)),"",('Reforecast Q1 2026'!E22-Actuals!E22)/ABS('Reforecast Q1 2026'!E22)),"")</f>
        <v>0</v>
      </c>
      <c r="N16" s="133" t="n">
        <f aca="false">'Reforecast Q1 2026'!F22</f>
        <v>-15327.0833333333</v>
      </c>
      <c r="O16" s="133" t="n">
        <f aca="false">IF(OR(4&gt;$B$3,ISBLANK(Actuals!F22)),"",Actuals!F22)</f>
        <v>-14599.57</v>
      </c>
      <c r="P16" s="134" t="n">
        <f aca="false">IF(OR(4&gt;$B$3,ISBLANK(Actuals!F22)),"",'Reforecast Q1 2026'!F22-Actuals!F22)</f>
        <v>-727.5133333333</v>
      </c>
      <c r="Q16" s="134" t="n">
        <f aca="false">IFERROR(IF(OR(4&gt;$B$3,ISBLANK(Actuals!F22)),"",('Reforecast Q1 2026'!F22-Actuals!F22)/ABS('Reforecast Q1 2026'!F22)),"")</f>
        <v>-0.0474658692401773</v>
      </c>
      <c r="R16" s="133" t="n">
        <f aca="false">'Reforecast Q1 2026'!G22</f>
        <v>-17047.9166666667</v>
      </c>
      <c r="S16" s="133" t="n">
        <f aca="false">IF(OR(5&gt;$B$3,ISBLANK(Actuals!G22)),"",Actuals!G22)</f>
        <v>-23689.02</v>
      </c>
      <c r="T16" s="134" t="n">
        <f aca="false">IF(OR(5&gt;$B$3,ISBLANK(Actuals!G22)),"",'Reforecast Q1 2026'!G22-Actuals!G22)</f>
        <v>6641.1033333333</v>
      </c>
      <c r="U16" s="134" t="n">
        <f aca="false">IFERROR(IF(OR(5&gt;$B$3,ISBLANK(Actuals!G22)),"",('Reforecast Q1 2026'!G22-Actuals!G22)/ABS('Reforecast Q1 2026'!G22)),"")</f>
        <v>0.389555126481728</v>
      </c>
      <c r="V16" s="133" t="n">
        <f aca="false">'Reforecast Q1 2026'!H22</f>
        <v>-18797.9166666667</v>
      </c>
      <c r="W16" s="133" t="n">
        <f aca="false">IF(OR(6&gt;$B$3,ISBLANK(Actuals!H22)),"",Actuals!H22)</f>
        <v>-14793.67</v>
      </c>
      <c r="X16" s="134" t="n">
        <f aca="false">IF(OR(6&gt;$B$3,ISBLANK(Actuals!H22)),"",'Reforecast Q1 2026'!H22-Actuals!H22)</f>
        <v>-4004.2466666667</v>
      </c>
      <c r="Y16" s="134" t="n">
        <f aca="false">IFERROR(IF(OR(6&gt;$B$3,ISBLANK(Actuals!H22)),"",('Reforecast Q1 2026'!H22-Actuals!H22)/ABS('Reforecast Q1 2026'!H22)),"")</f>
        <v>-0.213015449407072</v>
      </c>
      <c r="Z16" s="133" t="n">
        <f aca="false">'Reforecast Q1 2026'!I22</f>
        <v>-19556.25</v>
      </c>
      <c r="AA16" s="133" t="n">
        <f aca="false">IF(OR(7&gt;$B$3,ISBLANK(Actuals!I22)),"",Actuals!I22)</f>
        <v>-16311.09</v>
      </c>
      <c r="AB16" s="134" t="n">
        <f aca="false">IF(OR(7&gt;$B$3,ISBLANK(Actuals!I22)),"",'Reforecast Q1 2026'!I22-Actuals!I22)</f>
        <v>-3245.16</v>
      </c>
      <c r="AC16" s="134" t="n">
        <f aca="false">IFERROR(IF(OR(7&gt;$B$3,ISBLANK(Actuals!I22)),"",('Reforecast Q1 2026'!I22-Actuals!I22)/ABS('Reforecast Q1 2026'!I22)),"")</f>
        <v>-0.16593978906999</v>
      </c>
      <c r="AD16" s="133" t="n">
        <f aca="false">'Reforecast Q1 2026'!J22</f>
        <v>-19556.25</v>
      </c>
      <c r="AE16" s="133" t="n">
        <f aca="false">IF(OR(8&gt;$B$3,ISBLANK(Actuals!J22)),"",Actuals!J22)</f>
        <v>-16725.56</v>
      </c>
      <c r="AF16" s="134" t="n">
        <f aca="false">IF(OR(8&gt;$B$3,ISBLANK(Actuals!J22)),"",'Reforecast Q1 2026'!J22-Actuals!J22)</f>
        <v>-2830.69</v>
      </c>
      <c r="AG16" s="134" t="n">
        <f aca="false">IFERROR(IF(OR(8&gt;$B$3,ISBLANK(Actuals!J22)),"",('Reforecast Q1 2026'!J22-Actuals!J22)/ABS('Reforecast Q1 2026'!J22)),"")</f>
        <v>-0.144746053052093</v>
      </c>
      <c r="AH16" s="133" t="n">
        <f aca="false">'Reforecast Q1 2026'!K22</f>
        <v>-19556.25</v>
      </c>
      <c r="AI16" s="133" t="str">
        <f aca="false">IF(OR(9&gt;$B$3,ISBLANK(Actuals!K22)),"",Actuals!K22)</f>
        <v/>
      </c>
      <c r="AJ16" s="134" t="str">
        <f aca="false">IF(OR(9&gt;$B$3,ISBLANK(Actuals!K22)),"",'Reforecast Q1 2026'!K22-Actuals!K22)</f>
        <v/>
      </c>
      <c r="AK16" s="134" t="str">
        <f aca="false">IFERROR(IF(OR(9&gt;$B$3,ISBLANK(Actuals!K22)),"",('Reforecast Q1 2026'!K22-Actuals!K22)/ABS('Reforecast Q1 2026'!K22)),"")</f>
        <v/>
      </c>
      <c r="AL16" s="133" t="n">
        <f aca="false">'Reforecast Q1 2026'!L22</f>
        <v>-21014.5833333333</v>
      </c>
      <c r="AM16" s="133" t="str">
        <f aca="false">IF(OR(10&gt;$B$3,ISBLANK(Actuals!L22)),"",Actuals!L22)</f>
        <v/>
      </c>
      <c r="AN16" s="134" t="str">
        <f aca="false">IF(OR(10&gt;$B$3,ISBLANK(Actuals!L22)),"",'Reforecast Q1 2026'!L22-Actuals!L22)</f>
        <v/>
      </c>
      <c r="AO16" s="134" t="str">
        <f aca="false">IFERROR(IF(OR(10&gt;$B$3,ISBLANK(Actuals!L22)),"",('Reforecast Q1 2026'!L22-Actuals!L22)/ABS('Reforecast Q1 2026'!L22)),"")</f>
        <v/>
      </c>
      <c r="AP16" s="133" t="n">
        <f aca="false">'Reforecast Q1 2026'!M22</f>
        <v>-23114.5833333333</v>
      </c>
      <c r="AQ16" s="133" t="str">
        <f aca="false">IF(OR(11&gt;$B$3,ISBLANK(Actuals!M22)),"",Actuals!M22)</f>
        <v/>
      </c>
      <c r="AR16" s="134" t="str">
        <f aca="false">IF(OR(11&gt;$B$3,ISBLANK(Actuals!M22)),"",'Reforecast Q1 2026'!M22-Actuals!M22)</f>
        <v/>
      </c>
      <c r="AS16" s="134" t="str">
        <f aca="false">IFERROR(IF(OR(11&gt;$B$3,ISBLANK(Actuals!M22)),"",('Reforecast Q1 2026'!M22-Actuals!M22)/ABS('Reforecast Q1 2026'!M22)),"")</f>
        <v/>
      </c>
      <c r="AT16" s="133" t="n">
        <f aca="false">'Reforecast Q1 2026'!N22</f>
        <v>-23114.5833333333</v>
      </c>
      <c r="AU16" s="133" t="str">
        <f aca="false">IF(OR(12&gt;$B$3,ISBLANK(Actuals!N22)),"",Actuals!N22)</f>
        <v/>
      </c>
      <c r="AV16" s="134" t="str">
        <f aca="false">IF(OR(12&gt;$B$3,ISBLANK(Actuals!N22)),"",'Reforecast Q1 2026'!N22-Actuals!N22)</f>
        <v/>
      </c>
      <c r="AW16" s="134" t="str">
        <f aca="false">IFERROR(IF(OR(12&gt;$B$3,ISBLANK(Actuals!N22)),"",('Reforecast Q1 2026'!N22-Actuals!N22)/ABS('Reforecast Q1 2026'!N22)),"")</f>
        <v/>
      </c>
      <c r="AX16" s="135" t="n">
        <f aca="false">SUMPRODUCT((Actuals!C22:N22&lt;&gt;"")*('Reforecast Q1 2026'!C22:N22))</f>
        <v>-125336.286666667</v>
      </c>
      <c r="AY16" s="135" t="n">
        <f aca="false">SUM(Actuals!C22:N22)</f>
        <v>-121169.78</v>
      </c>
      <c r="AZ16" s="136" t="n">
        <f aca="false">AX16-AY16</f>
        <v>-4166.5066666667</v>
      </c>
    </row>
    <row r="17" customFormat="false" ht="15" hidden="false" customHeight="true" outlineLevel="0" collapsed="false">
      <c r="A17" s="132" t="s">
        <v>66</v>
      </c>
      <c r="B17" s="133" t="n">
        <f aca="false">'Reforecast Q1 2026'!C23</f>
        <v>0</v>
      </c>
      <c r="C17" s="133" t="str">
        <f aca="false">IF(OR(1&gt;$B$3,ISBLANK(Actuals!C23)),"",Actuals!C23)</f>
        <v/>
      </c>
      <c r="D17" s="134" t="str">
        <f aca="false">IF(OR(1&gt;$B$3,ISBLANK(Actuals!C23)),"",'Reforecast Q1 2026'!C23-Actuals!C23)</f>
        <v/>
      </c>
      <c r="E17" s="134" t="str">
        <f aca="false">IFERROR(IF(OR(1&gt;$B$3,ISBLANK(Actuals!C23)),"",('Reforecast Q1 2026'!C23-Actuals!C23)/ABS('Reforecast Q1 2026'!C23)),"")</f>
        <v/>
      </c>
      <c r="F17" s="133" t="n">
        <f aca="false">'Reforecast Q1 2026'!D23</f>
        <v>0</v>
      </c>
      <c r="G17" s="133" t="str">
        <f aca="false">IF(OR(2&gt;$B$3,ISBLANK(Actuals!D23)),"",Actuals!D23)</f>
        <v/>
      </c>
      <c r="H17" s="134" t="str">
        <f aca="false">IF(OR(2&gt;$B$3,ISBLANK(Actuals!D23)),"",'Reforecast Q1 2026'!D23-Actuals!D23)</f>
        <v/>
      </c>
      <c r="I17" s="134" t="str">
        <f aca="false">IFERROR(IF(OR(2&gt;$B$3,ISBLANK(Actuals!D23)),"",('Reforecast Q1 2026'!D23-Actuals!D23)/ABS('Reforecast Q1 2026'!D23)),"")</f>
        <v/>
      </c>
      <c r="J17" s="133" t="n">
        <f aca="false">'Reforecast Q1 2026'!E23</f>
        <v>0</v>
      </c>
      <c r="K17" s="133" t="str">
        <f aca="false">IF(OR(3&gt;$B$3,ISBLANK(Actuals!E23)),"",Actuals!E23)</f>
        <v/>
      </c>
      <c r="L17" s="134" t="str">
        <f aca="false">IF(OR(3&gt;$B$3,ISBLANK(Actuals!E23)),"",'Reforecast Q1 2026'!E23-Actuals!E23)</f>
        <v/>
      </c>
      <c r="M17" s="134" t="str">
        <f aca="false">IFERROR(IF(OR(3&gt;$B$3,ISBLANK(Actuals!E23)),"",('Reforecast Q1 2026'!E23-Actuals!E23)/ABS('Reforecast Q1 2026'!E23)),"")</f>
        <v/>
      </c>
      <c r="N17" s="133" t="n">
        <f aca="false">'Reforecast Q1 2026'!F23</f>
        <v>-103833.333333333</v>
      </c>
      <c r="O17" s="133" t="n">
        <f aca="false">IF(OR(4&gt;$B$3,ISBLANK(Actuals!F23)),"",Actuals!F23)</f>
        <v>0</v>
      </c>
      <c r="P17" s="134" t="n">
        <f aca="false">IF(OR(4&gt;$B$3,ISBLANK(Actuals!F23)),"",'Reforecast Q1 2026'!F23-Actuals!F23)</f>
        <v>-103833.333333333</v>
      </c>
      <c r="Q17" s="134" t="n">
        <f aca="false">IFERROR(IF(OR(4&gt;$B$3,ISBLANK(Actuals!F23)),"",('Reforecast Q1 2026'!F23-Actuals!F23)/ABS('Reforecast Q1 2026'!F23)),"")</f>
        <v>-1</v>
      </c>
      <c r="R17" s="133" t="n">
        <f aca="false">'Reforecast Q1 2026'!G23</f>
        <v>-103833.333333333</v>
      </c>
      <c r="S17" s="133" t="n">
        <f aca="false">IF(OR(5&gt;$B$3,ISBLANK(Actuals!G23)),"",Actuals!G23)</f>
        <v>0</v>
      </c>
      <c r="T17" s="134" t="n">
        <f aca="false">IF(OR(5&gt;$B$3,ISBLANK(Actuals!G23)),"",'Reforecast Q1 2026'!G23-Actuals!G23)</f>
        <v>-103833.333333333</v>
      </c>
      <c r="U17" s="134" t="n">
        <f aca="false">IFERROR(IF(OR(5&gt;$B$3,ISBLANK(Actuals!G23)),"",('Reforecast Q1 2026'!G23-Actuals!G23)/ABS('Reforecast Q1 2026'!G23)),"")</f>
        <v>-1</v>
      </c>
      <c r="V17" s="133" t="n">
        <f aca="false">'Reforecast Q1 2026'!H23</f>
        <v>-103833.333333333</v>
      </c>
      <c r="W17" s="133" t="n">
        <f aca="false">IF(OR(6&gt;$B$3,ISBLANK(Actuals!H23)),"",Actuals!H23)</f>
        <v>0</v>
      </c>
      <c r="X17" s="134" t="n">
        <f aca="false">IF(OR(6&gt;$B$3,ISBLANK(Actuals!H23)),"",'Reforecast Q1 2026'!H23-Actuals!H23)</f>
        <v>-103833.333333333</v>
      </c>
      <c r="Y17" s="134" t="n">
        <f aca="false">IFERROR(IF(OR(6&gt;$B$3,ISBLANK(Actuals!H23)),"",('Reforecast Q1 2026'!H23-Actuals!H23)/ABS('Reforecast Q1 2026'!H23)),"")</f>
        <v>-1</v>
      </c>
      <c r="Z17" s="133" t="n">
        <f aca="false">'Reforecast Q1 2026'!I23</f>
        <v>-103833.333333333</v>
      </c>
      <c r="AA17" s="133" t="n">
        <f aca="false">IF(OR(7&gt;$B$3,ISBLANK(Actuals!I23)),"",Actuals!I23)</f>
        <v>0</v>
      </c>
      <c r="AB17" s="134" t="n">
        <f aca="false">IF(OR(7&gt;$B$3,ISBLANK(Actuals!I23)),"",'Reforecast Q1 2026'!I23-Actuals!I23)</f>
        <v>-103833.333333333</v>
      </c>
      <c r="AC17" s="134" t="n">
        <f aca="false">IFERROR(IF(OR(7&gt;$B$3,ISBLANK(Actuals!I23)),"",('Reforecast Q1 2026'!I23-Actuals!I23)/ABS('Reforecast Q1 2026'!I23)),"")</f>
        <v>-1</v>
      </c>
      <c r="AD17" s="133" t="n">
        <f aca="false">'Reforecast Q1 2026'!J23</f>
        <v>-103833.333333333</v>
      </c>
      <c r="AE17" s="133" t="n">
        <f aca="false">IF(OR(8&gt;$B$3,ISBLANK(Actuals!J23)),"",Actuals!J23)</f>
        <v>0</v>
      </c>
      <c r="AF17" s="134" t="n">
        <f aca="false">IF(OR(8&gt;$B$3,ISBLANK(Actuals!J23)),"",'Reforecast Q1 2026'!J23-Actuals!J23)</f>
        <v>-103833.333333333</v>
      </c>
      <c r="AG17" s="134" t="n">
        <f aca="false">IFERROR(IF(OR(8&gt;$B$3,ISBLANK(Actuals!J23)),"",('Reforecast Q1 2026'!J23-Actuals!J23)/ABS('Reforecast Q1 2026'!J23)),"")</f>
        <v>-1</v>
      </c>
      <c r="AH17" s="133" t="n">
        <f aca="false">'Reforecast Q1 2026'!K23</f>
        <v>-103833.333333333</v>
      </c>
      <c r="AI17" s="133" t="str">
        <f aca="false">IF(OR(9&gt;$B$3,ISBLANK(Actuals!K23)),"",Actuals!K23)</f>
        <v/>
      </c>
      <c r="AJ17" s="134" t="str">
        <f aca="false">IF(OR(9&gt;$B$3,ISBLANK(Actuals!K23)),"",'Reforecast Q1 2026'!K23-Actuals!K23)</f>
        <v/>
      </c>
      <c r="AK17" s="134" t="str">
        <f aca="false">IFERROR(IF(OR(9&gt;$B$3,ISBLANK(Actuals!K23)),"",('Reforecast Q1 2026'!K23-Actuals!K23)/ABS('Reforecast Q1 2026'!K23)),"")</f>
        <v/>
      </c>
      <c r="AL17" s="133" t="n">
        <f aca="false">'Reforecast Q1 2026'!L23</f>
        <v>-103833.333333333</v>
      </c>
      <c r="AM17" s="133" t="str">
        <f aca="false">IF(OR(10&gt;$B$3,ISBLANK(Actuals!L23)),"",Actuals!L23)</f>
        <v/>
      </c>
      <c r="AN17" s="134" t="str">
        <f aca="false">IF(OR(10&gt;$B$3,ISBLANK(Actuals!L23)),"",'Reforecast Q1 2026'!L23-Actuals!L23)</f>
        <v/>
      </c>
      <c r="AO17" s="134" t="str">
        <f aca="false">IFERROR(IF(OR(10&gt;$B$3,ISBLANK(Actuals!L23)),"",('Reforecast Q1 2026'!L23-Actuals!L23)/ABS('Reforecast Q1 2026'!L23)),"")</f>
        <v/>
      </c>
      <c r="AP17" s="133" t="n">
        <f aca="false">'Reforecast Q1 2026'!M23</f>
        <v>-103833.333333333</v>
      </c>
      <c r="AQ17" s="133" t="str">
        <f aca="false">IF(OR(11&gt;$B$3,ISBLANK(Actuals!M23)),"",Actuals!M23)</f>
        <v/>
      </c>
      <c r="AR17" s="134" t="str">
        <f aca="false">IF(OR(11&gt;$B$3,ISBLANK(Actuals!M23)),"",'Reforecast Q1 2026'!M23-Actuals!M23)</f>
        <v/>
      </c>
      <c r="AS17" s="134" t="str">
        <f aca="false">IFERROR(IF(OR(11&gt;$B$3,ISBLANK(Actuals!M23)),"",('Reforecast Q1 2026'!M23-Actuals!M23)/ABS('Reforecast Q1 2026'!M23)),"")</f>
        <v/>
      </c>
      <c r="AT17" s="133" t="n">
        <f aca="false">'Reforecast Q1 2026'!N23</f>
        <v>-103833.333333333</v>
      </c>
      <c r="AU17" s="133" t="str">
        <f aca="false">IF(OR(12&gt;$B$3,ISBLANK(Actuals!N23)),"",Actuals!N23)</f>
        <v/>
      </c>
      <c r="AV17" s="134" t="str">
        <f aca="false">IF(OR(12&gt;$B$3,ISBLANK(Actuals!N23)),"",'Reforecast Q1 2026'!N23-Actuals!N23)</f>
        <v/>
      </c>
      <c r="AW17" s="134" t="str">
        <f aca="false">IFERROR(IF(OR(12&gt;$B$3,ISBLANK(Actuals!N23)),"",('Reforecast Q1 2026'!N23-Actuals!N23)/ABS('Reforecast Q1 2026'!N23)),"")</f>
        <v/>
      </c>
      <c r="AX17" s="135" t="n">
        <f aca="false">SUMPRODUCT((Actuals!C23:N23&lt;&gt;"")*('Reforecast Q1 2026'!C23:N23))</f>
        <v>-519166.666666665</v>
      </c>
      <c r="AY17" s="135" t="n">
        <f aca="false">SUM(Actuals!C23:N23)</f>
        <v>0</v>
      </c>
      <c r="AZ17" s="136" t="n">
        <f aca="false">AX17-AY17</f>
        <v>-519166.666666665</v>
      </c>
    </row>
    <row r="18" customFormat="false" ht="15" hidden="false" customHeight="true" outlineLevel="0" collapsed="false">
      <c r="A18" s="132" t="s">
        <v>67</v>
      </c>
      <c r="B18" s="133" t="n">
        <f aca="false">'Reforecast Q1 2026'!C24</f>
        <v>-9482.97</v>
      </c>
      <c r="C18" s="133" t="n">
        <f aca="false">IF(OR(1&gt;$B$3,ISBLANK(Actuals!C24)),"",Actuals!C24)</f>
        <v>-9482.97</v>
      </c>
      <c r="D18" s="134" t="n">
        <f aca="false">IF(OR(1&gt;$B$3,ISBLANK(Actuals!C24)),"",'Reforecast Q1 2026'!C24-Actuals!C24)</f>
        <v>0</v>
      </c>
      <c r="E18" s="134" t="n">
        <f aca="false">IFERROR(IF(OR(1&gt;$B$3,ISBLANK(Actuals!C24)),"",('Reforecast Q1 2026'!C24-Actuals!C24)/ABS('Reforecast Q1 2026'!C24)),"")</f>
        <v>0</v>
      </c>
      <c r="F18" s="133" t="n">
        <f aca="false">'Reforecast Q1 2026'!D24</f>
        <v>-10343.29</v>
      </c>
      <c r="G18" s="133" t="n">
        <f aca="false">IF(OR(2&gt;$B$3,ISBLANK(Actuals!D24)),"",Actuals!D24)</f>
        <v>-10343.29</v>
      </c>
      <c r="H18" s="134" t="n">
        <f aca="false">IF(OR(2&gt;$B$3,ISBLANK(Actuals!D24)),"",'Reforecast Q1 2026'!D24-Actuals!D24)</f>
        <v>0</v>
      </c>
      <c r="I18" s="134" t="n">
        <f aca="false">IFERROR(IF(OR(2&gt;$B$3,ISBLANK(Actuals!D24)),"",('Reforecast Q1 2026'!D24-Actuals!D24)/ABS('Reforecast Q1 2026'!D24)),"")</f>
        <v>0</v>
      </c>
      <c r="J18" s="133" t="n">
        <f aca="false">'Reforecast Q1 2026'!E24</f>
        <v>-3729.48</v>
      </c>
      <c r="K18" s="133" t="n">
        <f aca="false">IF(OR(3&gt;$B$3,ISBLANK(Actuals!E24)),"",Actuals!E24)</f>
        <v>-3729.48</v>
      </c>
      <c r="L18" s="134" t="n">
        <f aca="false">IF(OR(3&gt;$B$3,ISBLANK(Actuals!E24)),"",'Reforecast Q1 2026'!E24-Actuals!E24)</f>
        <v>0</v>
      </c>
      <c r="M18" s="134" t="n">
        <f aca="false">IFERROR(IF(OR(3&gt;$B$3,ISBLANK(Actuals!E24)),"",('Reforecast Q1 2026'!E24-Actuals!E24)/ABS('Reforecast Q1 2026'!E24)),"")</f>
        <v>0</v>
      </c>
      <c r="N18" s="133" t="n">
        <f aca="false">'Reforecast Q1 2026'!F24</f>
        <v>-10947.9166666667</v>
      </c>
      <c r="O18" s="133" t="n">
        <f aca="false">IF(OR(4&gt;$B$3,ISBLANK(Actuals!F24)),"",Actuals!F24)</f>
        <v>-3206.79</v>
      </c>
      <c r="P18" s="134" t="n">
        <f aca="false">IF(OR(4&gt;$B$3,ISBLANK(Actuals!F24)),"",'Reforecast Q1 2026'!F24-Actuals!F24)</f>
        <v>-7741.1266666667</v>
      </c>
      <c r="Q18" s="134" t="n">
        <f aca="false">IFERROR(IF(OR(4&gt;$B$3,ISBLANK(Actuals!F24)),"",('Reforecast Q1 2026'!F24-Actuals!F24)/ABS('Reforecast Q1 2026'!F24)),"")</f>
        <v>-0.707086736441485</v>
      </c>
      <c r="R18" s="133" t="n">
        <f aca="false">'Reforecast Q1 2026'!G24</f>
        <v>-12177.0833333333</v>
      </c>
      <c r="S18" s="133" t="n">
        <f aca="false">IF(OR(5&gt;$B$3,ISBLANK(Actuals!G24)),"",Actuals!G24)</f>
        <v>10942.55</v>
      </c>
      <c r="T18" s="134" t="n">
        <f aca="false">IF(OR(5&gt;$B$3,ISBLANK(Actuals!G24)),"",'Reforecast Q1 2026'!G24-Actuals!G24)</f>
        <v>-23119.6333333333</v>
      </c>
      <c r="U18" s="134" t="n">
        <f aca="false">IFERROR(IF(OR(5&gt;$B$3,ISBLANK(Actuals!G24)),"",('Reforecast Q1 2026'!G24-Actuals!G24)/ABS('Reforecast Q1 2026'!G24)),"")</f>
        <v>-1.89861830624466</v>
      </c>
      <c r="V18" s="133" t="n">
        <f aca="false">'Reforecast Q1 2026'!H24</f>
        <v>-13427.0833333333</v>
      </c>
      <c r="W18" s="133" t="n">
        <f aca="false">IF(OR(6&gt;$B$3,ISBLANK(Actuals!H24)),"",Actuals!H24)</f>
        <v>-8982.91</v>
      </c>
      <c r="X18" s="134" t="n">
        <f aca="false">IF(OR(6&gt;$B$3,ISBLANK(Actuals!H24)),"",'Reforecast Q1 2026'!H24-Actuals!H24)</f>
        <v>-4444.1733333333</v>
      </c>
      <c r="Y18" s="134" t="n">
        <f aca="false">IFERROR(IF(OR(6&gt;$B$3,ISBLANK(Actuals!H24)),"",('Reforecast Q1 2026'!H24-Actuals!H24)/ABS('Reforecast Q1 2026'!H24)),"")</f>
        <v>-0.330985756400309</v>
      </c>
      <c r="Z18" s="133" t="n">
        <f aca="false">'Reforecast Q1 2026'!I24</f>
        <v>-13968.75</v>
      </c>
      <c r="AA18" s="133" t="n">
        <f aca="false">IF(OR(7&gt;$B$3,ISBLANK(Actuals!I24)),"",Actuals!I24)</f>
        <v>-14712.5</v>
      </c>
      <c r="AB18" s="134" t="n">
        <f aca="false">IF(OR(7&gt;$B$3,ISBLANK(Actuals!I24)),"",'Reforecast Q1 2026'!I24-Actuals!I24)</f>
        <v>743.75</v>
      </c>
      <c r="AC18" s="134" t="n">
        <f aca="false">IFERROR(IF(OR(7&gt;$B$3,ISBLANK(Actuals!I24)),"",('Reforecast Q1 2026'!I24-Actuals!I24)/ABS('Reforecast Q1 2026'!I24)),"")</f>
        <v>0.0532438478747204</v>
      </c>
      <c r="AD18" s="133" t="n">
        <f aca="false">'Reforecast Q1 2026'!J24</f>
        <v>-13968.75</v>
      </c>
      <c r="AE18" s="133" t="n">
        <f aca="false">IF(OR(8&gt;$B$3,ISBLANK(Actuals!J24)),"",Actuals!J24)</f>
        <v>-12426.27</v>
      </c>
      <c r="AF18" s="134" t="n">
        <f aca="false">IF(OR(8&gt;$B$3,ISBLANK(Actuals!J24)),"",'Reforecast Q1 2026'!J24-Actuals!J24)</f>
        <v>-1542.48</v>
      </c>
      <c r="AG18" s="134" t="n">
        <f aca="false">IFERROR(IF(OR(8&gt;$B$3,ISBLANK(Actuals!J24)),"",('Reforecast Q1 2026'!J24-Actuals!J24)/ABS('Reforecast Q1 2026'!J24)),"")</f>
        <v>-0.110423624161074</v>
      </c>
      <c r="AH18" s="133" t="n">
        <f aca="false">'Reforecast Q1 2026'!K24</f>
        <v>-13968.75</v>
      </c>
      <c r="AI18" s="133" t="str">
        <f aca="false">IF(OR(9&gt;$B$3,ISBLANK(Actuals!K24)),"",Actuals!K24)</f>
        <v/>
      </c>
      <c r="AJ18" s="134" t="str">
        <f aca="false">IF(OR(9&gt;$B$3,ISBLANK(Actuals!K24)),"",'Reforecast Q1 2026'!K24-Actuals!K24)</f>
        <v/>
      </c>
      <c r="AK18" s="134" t="str">
        <f aca="false">IFERROR(IF(OR(9&gt;$B$3,ISBLANK(Actuals!K24)),"",('Reforecast Q1 2026'!K24-Actuals!K24)/ABS('Reforecast Q1 2026'!K24)),"")</f>
        <v/>
      </c>
      <c r="AL18" s="133" t="n">
        <f aca="false">'Reforecast Q1 2026'!L24</f>
        <v>-15010.4166666667</v>
      </c>
      <c r="AM18" s="133" t="str">
        <f aca="false">IF(OR(10&gt;$B$3,ISBLANK(Actuals!L24)),"",Actuals!L24)</f>
        <v/>
      </c>
      <c r="AN18" s="134" t="str">
        <f aca="false">IF(OR(10&gt;$B$3,ISBLANK(Actuals!L24)),"",'Reforecast Q1 2026'!L24-Actuals!L24)</f>
        <v/>
      </c>
      <c r="AO18" s="134" t="str">
        <f aca="false">IFERROR(IF(OR(10&gt;$B$3,ISBLANK(Actuals!L24)),"",('Reforecast Q1 2026'!L24-Actuals!L24)/ABS('Reforecast Q1 2026'!L24)),"")</f>
        <v/>
      </c>
      <c r="AP18" s="133" t="n">
        <f aca="false">'Reforecast Q1 2026'!M24</f>
        <v>-16510.4166666667</v>
      </c>
      <c r="AQ18" s="133" t="str">
        <f aca="false">IF(OR(11&gt;$B$3,ISBLANK(Actuals!M24)),"",Actuals!M24)</f>
        <v/>
      </c>
      <c r="AR18" s="134" t="str">
        <f aca="false">IF(OR(11&gt;$B$3,ISBLANK(Actuals!M24)),"",'Reforecast Q1 2026'!M24-Actuals!M24)</f>
        <v/>
      </c>
      <c r="AS18" s="134" t="str">
        <f aca="false">IFERROR(IF(OR(11&gt;$B$3,ISBLANK(Actuals!M24)),"",('Reforecast Q1 2026'!M24-Actuals!M24)/ABS('Reforecast Q1 2026'!M24)),"")</f>
        <v/>
      </c>
      <c r="AT18" s="133" t="n">
        <f aca="false">'Reforecast Q1 2026'!N24</f>
        <v>-16510.4166666667</v>
      </c>
      <c r="AU18" s="133" t="str">
        <f aca="false">IF(OR(12&gt;$B$3,ISBLANK(Actuals!N24)),"",Actuals!N24)</f>
        <v/>
      </c>
      <c r="AV18" s="134" t="str">
        <f aca="false">IF(OR(12&gt;$B$3,ISBLANK(Actuals!N24)),"",'Reforecast Q1 2026'!N24-Actuals!N24)</f>
        <v/>
      </c>
      <c r="AW18" s="134" t="str">
        <f aca="false">IFERROR(IF(OR(12&gt;$B$3,ISBLANK(Actuals!N24)),"",('Reforecast Q1 2026'!N24-Actuals!N24)/ABS('Reforecast Q1 2026'!N24)),"")</f>
        <v/>
      </c>
      <c r="AX18" s="135" t="n">
        <f aca="false">SUMPRODUCT((Actuals!C24:N24&lt;&gt;"")*('Reforecast Q1 2026'!C24:N24))</f>
        <v>-88045.3233333333</v>
      </c>
      <c r="AY18" s="135" t="n">
        <f aca="false">SUM(Actuals!C24:N24)</f>
        <v>-51941.66</v>
      </c>
      <c r="AZ18" s="136" t="n">
        <f aca="false">AX18-AY18</f>
        <v>-36103.6633333333</v>
      </c>
    </row>
    <row r="19" customFormat="false" ht="15" hidden="false" customHeight="true" outlineLevel="0" collapsed="false">
      <c r="A19" s="132" t="s">
        <v>68</v>
      </c>
      <c r="B19" s="133" t="n">
        <f aca="false">'Reforecast Q1 2026'!C25</f>
        <v>-2542.47</v>
      </c>
      <c r="C19" s="133" t="n">
        <f aca="false">IF(OR(1&gt;$B$3,ISBLANK(Actuals!C25)),"",Actuals!C25)</f>
        <v>-2542.47</v>
      </c>
      <c r="D19" s="134" t="n">
        <f aca="false">IF(OR(1&gt;$B$3,ISBLANK(Actuals!C25)),"",'Reforecast Q1 2026'!C25-Actuals!C25)</f>
        <v>0</v>
      </c>
      <c r="E19" s="134" t="n">
        <f aca="false">IFERROR(IF(OR(1&gt;$B$3,ISBLANK(Actuals!C25)),"",('Reforecast Q1 2026'!C25-Actuals!C25)/ABS('Reforecast Q1 2026'!C25)),"")</f>
        <v>0</v>
      </c>
      <c r="F19" s="133" t="n">
        <f aca="false">'Reforecast Q1 2026'!D25</f>
        <v>-1618.75</v>
      </c>
      <c r="G19" s="133" t="n">
        <f aca="false">IF(OR(2&gt;$B$3,ISBLANK(Actuals!D25)),"",Actuals!D25)</f>
        <v>-1618.75</v>
      </c>
      <c r="H19" s="134" t="n">
        <f aca="false">IF(OR(2&gt;$B$3,ISBLANK(Actuals!D25)),"",'Reforecast Q1 2026'!D25-Actuals!D25)</f>
        <v>0</v>
      </c>
      <c r="I19" s="134" t="n">
        <f aca="false">IFERROR(IF(OR(2&gt;$B$3,ISBLANK(Actuals!D25)),"",('Reforecast Q1 2026'!D25-Actuals!D25)/ABS('Reforecast Q1 2026'!D25)),"")</f>
        <v>0</v>
      </c>
      <c r="J19" s="133" t="n">
        <f aca="false">'Reforecast Q1 2026'!E25</f>
        <v>3406.77</v>
      </c>
      <c r="K19" s="133" t="n">
        <f aca="false">IF(OR(3&gt;$B$3,ISBLANK(Actuals!E25)),"",Actuals!E25)</f>
        <v>3406.77</v>
      </c>
      <c r="L19" s="134" t="n">
        <f aca="false">IF(OR(3&gt;$B$3,ISBLANK(Actuals!E25)),"",'Reforecast Q1 2026'!E25-Actuals!E25)</f>
        <v>0</v>
      </c>
      <c r="M19" s="134" t="n">
        <f aca="false">IFERROR(IF(OR(3&gt;$B$3,ISBLANK(Actuals!E25)),"",('Reforecast Q1 2026'!E25-Actuals!E25)/ABS('Reforecast Q1 2026'!E25)),"")</f>
        <v>0</v>
      </c>
      <c r="N19" s="133" t="n">
        <f aca="false">'Reforecast Q1 2026'!F25</f>
        <v>-4379.16666666667</v>
      </c>
      <c r="O19" s="133" t="n">
        <f aca="false">IF(OR(4&gt;$B$3,ISBLANK(Actuals!F25)),"",Actuals!F25)</f>
        <v>2575.42</v>
      </c>
      <c r="P19" s="134" t="n">
        <f aca="false">IF(OR(4&gt;$B$3,ISBLANK(Actuals!F25)),"",'Reforecast Q1 2026'!F25-Actuals!F25)</f>
        <v>-6954.58666666667</v>
      </c>
      <c r="Q19" s="134" t="n">
        <f aca="false">IFERROR(IF(OR(4&gt;$B$3,ISBLANK(Actuals!F25)),"",('Reforecast Q1 2026'!F25-Actuals!F25)/ABS('Reforecast Q1 2026'!F25)),"")</f>
        <v>-1.58810732635585</v>
      </c>
      <c r="R19" s="133" t="n">
        <f aca="false">'Reforecast Q1 2026'!G25</f>
        <v>-4870.83333333333</v>
      </c>
      <c r="S19" s="133" t="n">
        <f aca="false">IF(OR(5&gt;$B$3,ISBLANK(Actuals!G25)),"",Actuals!G25)</f>
        <v>-1896.11</v>
      </c>
      <c r="T19" s="134" t="n">
        <f aca="false">IF(OR(5&gt;$B$3,ISBLANK(Actuals!G25)),"",'Reforecast Q1 2026'!G25-Actuals!G25)</f>
        <v>-2974.72333333333</v>
      </c>
      <c r="U19" s="134" t="n">
        <f aca="false">IFERROR(IF(OR(5&gt;$B$3,ISBLANK(Actuals!G25)),"",('Reforecast Q1 2026'!G25-Actuals!G25)/ABS('Reforecast Q1 2026'!G25)),"")</f>
        <v>-0.610721642429427</v>
      </c>
      <c r="V19" s="133" t="n">
        <f aca="false">'Reforecast Q1 2026'!H25</f>
        <v>-5370.83333333333</v>
      </c>
      <c r="W19" s="133" t="n">
        <f aca="false">IF(OR(6&gt;$B$3,ISBLANK(Actuals!H25)),"",Actuals!H25)</f>
        <v>-2888.37</v>
      </c>
      <c r="X19" s="134" t="n">
        <f aca="false">IF(OR(6&gt;$B$3,ISBLANK(Actuals!H25)),"",'Reforecast Q1 2026'!H25-Actuals!H25)</f>
        <v>-2482.46333333333</v>
      </c>
      <c r="Y19" s="134" t="n">
        <f aca="false">IFERROR(IF(OR(6&gt;$B$3,ISBLANK(Actuals!H25)),"",('Reforecast Q1 2026'!H25-Actuals!H25)/ABS('Reforecast Q1 2026'!H25)),"")</f>
        <v>-0.462211947245927</v>
      </c>
      <c r="Z19" s="133" t="n">
        <f aca="false">'Reforecast Q1 2026'!I25</f>
        <v>-5587.5</v>
      </c>
      <c r="AA19" s="133" t="n">
        <f aca="false">IF(OR(7&gt;$B$3,ISBLANK(Actuals!I25)),"",Actuals!I25)</f>
        <v>636.26</v>
      </c>
      <c r="AB19" s="134" t="n">
        <f aca="false">IF(OR(7&gt;$B$3,ISBLANK(Actuals!I25)),"",'Reforecast Q1 2026'!I25-Actuals!I25)</f>
        <v>-6223.76</v>
      </c>
      <c r="AC19" s="134" t="n">
        <f aca="false">IFERROR(IF(OR(7&gt;$B$3,ISBLANK(Actuals!I25)),"",('Reforecast Q1 2026'!I25-Actuals!I25)/ABS('Reforecast Q1 2026'!I25)),"")</f>
        <v>-1.11387203579418</v>
      </c>
      <c r="AD19" s="133" t="n">
        <f aca="false">'Reforecast Q1 2026'!J25</f>
        <v>-5587.5</v>
      </c>
      <c r="AE19" s="133" t="n">
        <f aca="false">IF(OR(8&gt;$B$3,ISBLANK(Actuals!J25)),"",Actuals!J25)</f>
        <v>-2370.43</v>
      </c>
      <c r="AF19" s="134" t="n">
        <f aca="false">IF(OR(8&gt;$B$3,ISBLANK(Actuals!J25)),"",'Reforecast Q1 2026'!J25-Actuals!J25)</f>
        <v>-3217.07</v>
      </c>
      <c r="AG19" s="134" t="n">
        <f aca="false">IFERROR(IF(OR(8&gt;$B$3,ISBLANK(Actuals!J25)),"",('Reforecast Q1 2026'!J25-Actuals!J25)/ABS('Reforecast Q1 2026'!J25)),"")</f>
        <v>-0.57576196868009</v>
      </c>
      <c r="AH19" s="133" t="n">
        <f aca="false">'Reforecast Q1 2026'!K25</f>
        <v>-5587.5</v>
      </c>
      <c r="AI19" s="133" t="str">
        <f aca="false">IF(OR(9&gt;$B$3,ISBLANK(Actuals!K25)),"",Actuals!K25)</f>
        <v/>
      </c>
      <c r="AJ19" s="134" t="str">
        <f aca="false">IF(OR(9&gt;$B$3,ISBLANK(Actuals!K25)),"",'Reforecast Q1 2026'!K25-Actuals!K25)</f>
        <v/>
      </c>
      <c r="AK19" s="134" t="str">
        <f aca="false">IFERROR(IF(OR(9&gt;$B$3,ISBLANK(Actuals!K25)),"",('Reforecast Q1 2026'!K25-Actuals!K25)/ABS('Reforecast Q1 2026'!K25)),"")</f>
        <v/>
      </c>
      <c r="AL19" s="133" t="n">
        <f aca="false">'Reforecast Q1 2026'!L25</f>
        <v>-6004.16666666667</v>
      </c>
      <c r="AM19" s="133" t="str">
        <f aca="false">IF(OR(10&gt;$B$3,ISBLANK(Actuals!L25)),"",Actuals!L25)</f>
        <v/>
      </c>
      <c r="AN19" s="134" t="str">
        <f aca="false">IF(OR(10&gt;$B$3,ISBLANK(Actuals!L25)),"",'Reforecast Q1 2026'!L25-Actuals!L25)</f>
        <v/>
      </c>
      <c r="AO19" s="134" t="str">
        <f aca="false">IFERROR(IF(OR(10&gt;$B$3,ISBLANK(Actuals!L25)),"",('Reforecast Q1 2026'!L25-Actuals!L25)/ABS('Reforecast Q1 2026'!L25)),"")</f>
        <v/>
      </c>
      <c r="AP19" s="133" t="n">
        <f aca="false">'Reforecast Q1 2026'!M25</f>
        <v>-6604.16666666666</v>
      </c>
      <c r="AQ19" s="133" t="str">
        <f aca="false">IF(OR(11&gt;$B$3,ISBLANK(Actuals!M25)),"",Actuals!M25)</f>
        <v/>
      </c>
      <c r="AR19" s="134" t="str">
        <f aca="false">IF(OR(11&gt;$B$3,ISBLANK(Actuals!M25)),"",'Reforecast Q1 2026'!M25-Actuals!M25)</f>
        <v/>
      </c>
      <c r="AS19" s="134" t="str">
        <f aca="false">IFERROR(IF(OR(11&gt;$B$3,ISBLANK(Actuals!M25)),"",('Reforecast Q1 2026'!M25-Actuals!M25)/ABS('Reforecast Q1 2026'!M25)),"")</f>
        <v/>
      </c>
      <c r="AT19" s="133" t="n">
        <f aca="false">'Reforecast Q1 2026'!N25</f>
        <v>-6604.16666666666</v>
      </c>
      <c r="AU19" s="133" t="str">
        <f aca="false">IF(OR(12&gt;$B$3,ISBLANK(Actuals!N25)),"",Actuals!N25)</f>
        <v/>
      </c>
      <c r="AV19" s="134" t="str">
        <f aca="false">IF(OR(12&gt;$B$3,ISBLANK(Actuals!N25)),"",'Reforecast Q1 2026'!N25-Actuals!N25)</f>
        <v/>
      </c>
      <c r="AW19" s="134" t="str">
        <f aca="false">IFERROR(IF(OR(12&gt;$B$3,ISBLANK(Actuals!N25)),"",('Reforecast Q1 2026'!N25-Actuals!N25)/ABS('Reforecast Q1 2026'!N25)),"")</f>
        <v/>
      </c>
      <c r="AX19" s="135" t="n">
        <f aca="false">SUMPRODUCT((Actuals!C25:N25&lt;&gt;"")*('Reforecast Q1 2026'!C25:N25))</f>
        <v>-26550.2833333333</v>
      </c>
      <c r="AY19" s="135" t="n">
        <f aca="false">SUM(Actuals!C25:N25)</f>
        <v>-4697.68</v>
      </c>
      <c r="AZ19" s="136" t="n">
        <f aca="false">AX19-AY19</f>
        <v>-21852.6033333333</v>
      </c>
    </row>
    <row r="20" customFormat="false" ht="15" hidden="false" customHeight="true" outlineLevel="0" collapsed="false">
      <c r="A20" s="132" t="s">
        <v>69</v>
      </c>
      <c r="B20" s="133" t="n">
        <f aca="false">'Reforecast Q1 2026'!C26</f>
        <v>-195</v>
      </c>
      <c r="C20" s="133" t="n">
        <f aca="false">IF(OR(1&gt;$B$3,ISBLANK(Actuals!C26)),"",Actuals!C26)</f>
        <v>-195</v>
      </c>
      <c r="D20" s="134" t="n">
        <f aca="false">IF(OR(1&gt;$B$3,ISBLANK(Actuals!C26)),"",'Reforecast Q1 2026'!C26-Actuals!C26)</f>
        <v>0</v>
      </c>
      <c r="E20" s="134" t="n">
        <f aca="false">IFERROR(IF(OR(1&gt;$B$3,ISBLANK(Actuals!C26)),"",('Reforecast Q1 2026'!C26-Actuals!C26)/ABS('Reforecast Q1 2026'!C26)),"")</f>
        <v>0</v>
      </c>
      <c r="F20" s="133" t="n">
        <f aca="false">'Reforecast Q1 2026'!D26</f>
        <v>-200</v>
      </c>
      <c r="G20" s="133" t="n">
        <f aca="false">IF(OR(2&gt;$B$3,ISBLANK(Actuals!D26)),"",Actuals!D26)</f>
        <v>-200</v>
      </c>
      <c r="H20" s="134" t="n">
        <f aca="false">IF(OR(2&gt;$B$3,ISBLANK(Actuals!D26)),"",'Reforecast Q1 2026'!D26-Actuals!D26)</f>
        <v>0</v>
      </c>
      <c r="I20" s="134" t="n">
        <f aca="false">IFERROR(IF(OR(2&gt;$B$3,ISBLANK(Actuals!D26)),"",('Reforecast Q1 2026'!D26-Actuals!D26)/ABS('Reforecast Q1 2026'!D26)),"")</f>
        <v>0</v>
      </c>
      <c r="J20" s="133" t="n">
        <f aca="false">'Reforecast Q1 2026'!E26</f>
        <v>0</v>
      </c>
      <c r="K20" s="133" t="n">
        <f aca="false">IF(OR(3&gt;$B$3,ISBLANK(Actuals!E26)),"",Actuals!E26)</f>
        <v>0</v>
      </c>
      <c r="L20" s="134" t="n">
        <f aca="false">IF(OR(3&gt;$B$3,ISBLANK(Actuals!E26)),"",'Reforecast Q1 2026'!E26-Actuals!E26)</f>
        <v>0</v>
      </c>
      <c r="M20" s="134" t="str">
        <f aca="false">IFERROR(IF(OR(3&gt;$B$3,ISBLANK(Actuals!E26)),"",('Reforecast Q1 2026'!E26-Actuals!E26)/ABS('Reforecast Q1 2026'!E26)),"")</f>
        <v/>
      </c>
      <c r="N20" s="133" t="n">
        <f aca="false">'Reforecast Q1 2026'!F26</f>
        <v>-1094.79166666667</v>
      </c>
      <c r="O20" s="133" t="n">
        <f aca="false">IF(OR(4&gt;$B$3,ISBLANK(Actuals!F26)),"",Actuals!F26)</f>
        <v>0</v>
      </c>
      <c r="P20" s="134" t="n">
        <f aca="false">IF(OR(4&gt;$B$3,ISBLANK(Actuals!F26)),"",'Reforecast Q1 2026'!F26-Actuals!F26)</f>
        <v>-1094.79166666667</v>
      </c>
      <c r="Q20" s="134" t="n">
        <f aca="false">IFERROR(IF(OR(4&gt;$B$3,ISBLANK(Actuals!F26)),"",('Reforecast Q1 2026'!F26-Actuals!F26)/ABS('Reforecast Q1 2026'!F26)),"")</f>
        <v>-1</v>
      </c>
      <c r="R20" s="133" t="n">
        <f aca="false">'Reforecast Q1 2026'!G26</f>
        <v>-1217.70833333333</v>
      </c>
      <c r="S20" s="133" t="n">
        <f aca="false">IF(OR(5&gt;$B$3,ISBLANK(Actuals!G26)),"",Actuals!G26)</f>
        <v>0</v>
      </c>
      <c r="T20" s="134" t="n">
        <f aca="false">IF(OR(5&gt;$B$3,ISBLANK(Actuals!G26)),"",'Reforecast Q1 2026'!G26-Actuals!G26)</f>
        <v>-1217.70833333333</v>
      </c>
      <c r="U20" s="134" t="n">
        <f aca="false">IFERROR(IF(OR(5&gt;$B$3,ISBLANK(Actuals!G26)),"",('Reforecast Q1 2026'!G26-Actuals!G26)/ABS('Reforecast Q1 2026'!G26)),"")</f>
        <v>-1</v>
      </c>
      <c r="V20" s="133" t="n">
        <f aca="false">'Reforecast Q1 2026'!H26</f>
        <v>-1342.70833333333</v>
      </c>
      <c r="W20" s="133" t="n">
        <f aca="false">IF(OR(6&gt;$B$3,ISBLANK(Actuals!H26)),"",Actuals!H26)</f>
        <v>0</v>
      </c>
      <c r="X20" s="134" t="n">
        <f aca="false">IF(OR(6&gt;$B$3,ISBLANK(Actuals!H26)),"",'Reforecast Q1 2026'!H26-Actuals!H26)</f>
        <v>-1342.70833333333</v>
      </c>
      <c r="Y20" s="134" t="n">
        <f aca="false">IFERROR(IF(OR(6&gt;$B$3,ISBLANK(Actuals!H26)),"",('Reforecast Q1 2026'!H26-Actuals!H26)/ABS('Reforecast Q1 2026'!H26)),"")</f>
        <v>-1</v>
      </c>
      <c r="Z20" s="133" t="n">
        <f aca="false">'Reforecast Q1 2026'!I26</f>
        <v>-1396.875</v>
      </c>
      <c r="AA20" s="133" t="n">
        <f aca="false">IF(OR(7&gt;$B$3,ISBLANK(Actuals!I26)),"",Actuals!I26)</f>
        <v>0</v>
      </c>
      <c r="AB20" s="134" t="n">
        <f aca="false">IF(OR(7&gt;$B$3,ISBLANK(Actuals!I26)),"",'Reforecast Q1 2026'!I26-Actuals!I26)</f>
        <v>-1396.875</v>
      </c>
      <c r="AC20" s="134" t="n">
        <f aca="false">IFERROR(IF(OR(7&gt;$B$3,ISBLANK(Actuals!I26)),"",('Reforecast Q1 2026'!I26-Actuals!I26)/ABS('Reforecast Q1 2026'!I26)),"")</f>
        <v>-1</v>
      </c>
      <c r="AD20" s="133" t="n">
        <f aca="false">'Reforecast Q1 2026'!J26</f>
        <v>-1396.875</v>
      </c>
      <c r="AE20" s="133" t="n">
        <f aca="false">IF(OR(8&gt;$B$3,ISBLANK(Actuals!J26)),"",Actuals!J26)</f>
        <v>0</v>
      </c>
      <c r="AF20" s="134" t="n">
        <f aca="false">IF(OR(8&gt;$B$3,ISBLANK(Actuals!J26)),"",'Reforecast Q1 2026'!J26-Actuals!J26)</f>
        <v>-1396.875</v>
      </c>
      <c r="AG20" s="134" t="n">
        <f aca="false">IFERROR(IF(OR(8&gt;$B$3,ISBLANK(Actuals!J26)),"",('Reforecast Q1 2026'!J26-Actuals!J26)/ABS('Reforecast Q1 2026'!J26)),"")</f>
        <v>-1</v>
      </c>
      <c r="AH20" s="133" t="n">
        <f aca="false">'Reforecast Q1 2026'!K26</f>
        <v>-1396.875</v>
      </c>
      <c r="AI20" s="133" t="str">
        <f aca="false">IF(OR(9&gt;$B$3,ISBLANK(Actuals!K26)),"",Actuals!K26)</f>
        <v/>
      </c>
      <c r="AJ20" s="134" t="str">
        <f aca="false">IF(OR(9&gt;$B$3,ISBLANK(Actuals!K26)),"",'Reforecast Q1 2026'!K26-Actuals!K26)</f>
        <v/>
      </c>
      <c r="AK20" s="134" t="str">
        <f aca="false">IFERROR(IF(OR(9&gt;$B$3,ISBLANK(Actuals!K26)),"",('Reforecast Q1 2026'!K26-Actuals!K26)/ABS('Reforecast Q1 2026'!K26)),"")</f>
        <v/>
      </c>
      <c r="AL20" s="133" t="n">
        <f aca="false">'Reforecast Q1 2026'!L26</f>
        <v>-1501.04166666667</v>
      </c>
      <c r="AM20" s="133" t="str">
        <f aca="false">IF(OR(10&gt;$B$3,ISBLANK(Actuals!L26)),"",Actuals!L26)</f>
        <v/>
      </c>
      <c r="AN20" s="134" t="str">
        <f aca="false">IF(OR(10&gt;$B$3,ISBLANK(Actuals!L26)),"",'Reforecast Q1 2026'!L26-Actuals!L26)</f>
        <v/>
      </c>
      <c r="AO20" s="134" t="str">
        <f aca="false">IFERROR(IF(OR(10&gt;$B$3,ISBLANK(Actuals!L26)),"",('Reforecast Q1 2026'!L26-Actuals!L26)/ABS('Reforecast Q1 2026'!L26)),"")</f>
        <v/>
      </c>
      <c r="AP20" s="133" t="n">
        <f aca="false">'Reforecast Q1 2026'!M26</f>
        <v>-1651.04166666667</v>
      </c>
      <c r="AQ20" s="133" t="str">
        <f aca="false">IF(OR(11&gt;$B$3,ISBLANK(Actuals!M26)),"",Actuals!M26)</f>
        <v/>
      </c>
      <c r="AR20" s="134" t="str">
        <f aca="false">IF(OR(11&gt;$B$3,ISBLANK(Actuals!M26)),"",'Reforecast Q1 2026'!M26-Actuals!M26)</f>
        <v/>
      </c>
      <c r="AS20" s="134" t="str">
        <f aca="false">IFERROR(IF(OR(11&gt;$B$3,ISBLANK(Actuals!M26)),"",('Reforecast Q1 2026'!M26-Actuals!M26)/ABS('Reforecast Q1 2026'!M26)),"")</f>
        <v/>
      </c>
      <c r="AT20" s="133" t="n">
        <f aca="false">'Reforecast Q1 2026'!N26</f>
        <v>-1651.04166666667</v>
      </c>
      <c r="AU20" s="133" t="str">
        <f aca="false">IF(OR(12&gt;$B$3,ISBLANK(Actuals!N26)),"",Actuals!N26)</f>
        <v/>
      </c>
      <c r="AV20" s="134" t="str">
        <f aca="false">IF(OR(12&gt;$B$3,ISBLANK(Actuals!N26)),"",'Reforecast Q1 2026'!N26-Actuals!N26)</f>
        <v/>
      </c>
      <c r="AW20" s="134" t="str">
        <f aca="false">IFERROR(IF(OR(12&gt;$B$3,ISBLANK(Actuals!N26)),"",('Reforecast Q1 2026'!N26-Actuals!N26)/ABS('Reforecast Q1 2026'!N26)),"")</f>
        <v/>
      </c>
      <c r="AX20" s="135" t="n">
        <f aca="false">SUMPRODUCT((Actuals!C26:N26&lt;&gt;"")*('Reforecast Q1 2026'!C26:N26))</f>
        <v>-6843.95833333333</v>
      </c>
      <c r="AY20" s="135" t="n">
        <f aca="false">SUM(Actuals!C26:N26)</f>
        <v>-395</v>
      </c>
      <c r="AZ20" s="136" t="n">
        <f aca="false">AX20-AY20</f>
        <v>-6448.95833333333</v>
      </c>
    </row>
    <row r="21" customFormat="false" ht="15" hidden="false" customHeight="true" outlineLevel="0" collapsed="false">
      <c r="A21" s="132" t="s">
        <v>70</v>
      </c>
      <c r="B21" s="133" t="n">
        <f aca="false">'Reforecast Q1 2026'!C27</f>
        <v>-33002.28</v>
      </c>
      <c r="C21" s="133" t="n">
        <f aca="false">IF(OR(1&gt;$B$3,ISBLANK(Actuals!C27)),"",Actuals!C27)</f>
        <v>-33002.28</v>
      </c>
      <c r="D21" s="134" t="n">
        <f aca="false">IF(OR(1&gt;$B$3,ISBLANK(Actuals!C27)),"",'Reforecast Q1 2026'!C27-Actuals!C27)</f>
        <v>0</v>
      </c>
      <c r="E21" s="134" t="n">
        <f aca="false">IFERROR(IF(OR(1&gt;$B$3,ISBLANK(Actuals!C27)),"",('Reforecast Q1 2026'!C27-Actuals!C27)/ABS('Reforecast Q1 2026'!C27)),"")</f>
        <v>0</v>
      </c>
      <c r="F21" s="133" t="n">
        <f aca="false">'Reforecast Q1 2026'!D27</f>
        <v>-29166.66</v>
      </c>
      <c r="G21" s="133" t="n">
        <f aca="false">IF(OR(2&gt;$B$3,ISBLANK(Actuals!D27)),"",Actuals!D27)</f>
        <v>-29166.66</v>
      </c>
      <c r="H21" s="134" t="n">
        <f aca="false">IF(OR(2&gt;$B$3,ISBLANK(Actuals!D27)),"",'Reforecast Q1 2026'!D27-Actuals!D27)</f>
        <v>0</v>
      </c>
      <c r="I21" s="134" t="n">
        <f aca="false">IFERROR(IF(OR(2&gt;$B$3,ISBLANK(Actuals!D27)),"",('Reforecast Q1 2026'!D27-Actuals!D27)/ABS('Reforecast Q1 2026'!D27)),"")</f>
        <v>0</v>
      </c>
      <c r="J21" s="133" t="n">
        <f aca="false">'Reforecast Q1 2026'!E27</f>
        <v>-41666.66</v>
      </c>
      <c r="K21" s="133" t="n">
        <f aca="false">IF(OR(3&gt;$B$3,ISBLANK(Actuals!E27)),"",Actuals!E27)</f>
        <v>-41666.66</v>
      </c>
      <c r="L21" s="134" t="n">
        <f aca="false">IF(OR(3&gt;$B$3,ISBLANK(Actuals!E27)),"",'Reforecast Q1 2026'!E27-Actuals!E27)</f>
        <v>0</v>
      </c>
      <c r="M21" s="134" t="n">
        <f aca="false">IFERROR(IF(OR(3&gt;$B$3,ISBLANK(Actuals!E27)),"",('Reforecast Q1 2026'!E27-Actuals!E27)/ABS('Reforecast Q1 2026'!E27)),"")</f>
        <v>0</v>
      </c>
      <c r="N21" s="133" t="n">
        <f aca="false">'Reforecast Q1 2026'!F27</f>
        <v>-29166.66</v>
      </c>
      <c r="O21" s="133" t="n">
        <f aca="false">IF(OR(4&gt;$B$3,ISBLANK(Actuals!F27)),"",Actuals!F27)</f>
        <v>-29166.66</v>
      </c>
      <c r="P21" s="134" t="n">
        <f aca="false">IF(OR(4&gt;$B$3,ISBLANK(Actuals!F27)),"",'Reforecast Q1 2026'!F27-Actuals!F27)</f>
        <v>0</v>
      </c>
      <c r="Q21" s="134" t="n">
        <f aca="false">IFERROR(IF(OR(4&gt;$B$3,ISBLANK(Actuals!F27)),"",('Reforecast Q1 2026'!F27-Actuals!F27)/ABS('Reforecast Q1 2026'!F27)),"")</f>
        <v>0</v>
      </c>
      <c r="R21" s="133" t="n">
        <f aca="false">'Reforecast Q1 2026'!G27</f>
        <v>-29166.66</v>
      </c>
      <c r="S21" s="133" t="n">
        <f aca="false">IF(OR(5&gt;$B$3,ISBLANK(Actuals!G27)),"",Actuals!G27)</f>
        <v>-29166.66</v>
      </c>
      <c r="T21" s="134" t="n">
        <f aca="false">IF(OR(5&gt;$B$3,ISBLANK(Actuals!G27)),"",'Reforecast Q1 2026'!G27-Actuals!G27)</f>
        <v>0</v>
      </c>
      <c r="U21" s="134" t="n">
        <f aca="false">IFERROR(IF(OR(5&gt;$B$3,ISBLANK(Actuals!G27)),"",('Reforecast Q1 2026'!G27-Actuals!G27)/ABS('Reforecast Q1 2026'!G27)),"")</f>
        <v>0</v>
      </c>
      <c r="V21" s="133" t="n">
        <f aca="false">'Reforecast Q1 2026'!H27</f>
        <v>-29166.66</v>
      </c>
      <c r="W21" s="133" t="n">
        <f aca="false">IF(OR(6&gt;$B$3,ISBLANK(Actuals!H27)),"",Actuals!H27)</f>
        <v>-29166.66</v>
      </c>
      <c r="X21" s="134" t="n">
        <f aca="false">IF(OR(6&gt;$B$3,ISBLANK(Actuals!H27)),"",'Reforecast Q1 2026'!H27-Actuals!H27)</f>
        <v>0</v>
      </c>
      <c r="Y21" s="134" t="n">
        <f aca="false">IFERROR(IF(OR(6&gt;$B$3,ISBLANK(Actuals!H27)),"",('Reforecast Q1 2026'!H27-Actuals!H27)/ABS('Reforecast Q1 2026'!H27)),"")</f>
        <v>0</v>
      </c>
      <c r="Z21" s="133" t="n">
        <f aca="false">'Reforecast Q1 2026'!I27</f>
        <v>-29166.66</v>
      </c>
      <c r="AA21" s="133" t="n">
        <f aca="false">IF(OR(7&gt;$B$3,ISBLANK(Actuals!I27)),"",Actuals!I27)</f>
        <v>-29166.66</v>
      </c>
      <c r="AB21" s="134" t="n">
        <f aca="false">IF(OR(7&gt;$B$3,ISBLANK(Actuals!I27)),"",'Reforecast Q1 2026'!I27-Actuals!I27)</f>
        <v>0</v>
      </c>
      <c r="AC21" s="134" t="n">
        <f aca="false">IFERROR(IF(OR(7&gt;$B$3,ISBLANK(Actuals!I27)),"",('Reforecast Q1 2026'!I27-Actuals!I27)/ABS('Reforecast Q1 2026'!I27)),"")</f>
        <v>0</v>
      </c>
      <c r="AD21" s="133" t="n">
        <f aca="false">'Reforecast Q1 2026'!J27</f>
        <v>-29166.66</v>
      </c>
      <c r="AE21" s="133" t="n">
        <f aca="false">IF(OR(8&gt;$B$3,ISBLANK(Actuals!J27)),"",Actuals!J27)</f>
        <v>-29166.66</v>
      </c>
      <c r="AF21" s="134" t="n">
        <f aca="false">IF(OR(8&gt;$B$3,ISBLANK(Actuals!J27)),"",'Reforecast Q1 2026'!J27-Actuals!J27)</f>
        <v>0</v>
      </c>
      <c r="AG21" s="134" t="n">
        <f aca="false">IFERROR(IF(OR(8&gt;$B$3,ISBLANK(Actuals!J27)),"",('Reforecast Q1 2026'!J27-Actuals!J27)/ABS('Reforecast Q1 2026'!J27)),"")</f>
        <v>0</v>
      </c>
      <c r="AH21" s="133" t="n">
        <f aca="false">'Reforecast Q1 2026'!K27</f>
        <v>-29166.66</v>
      </c>
      <c r="AI21" s="133" t="str">
        <f aca="false">IF(OR(9&gt;$B$3,ISBLANK(Actuals!K27)),"",Actuals!K27)</f>
        <v/>
      </c>
      <c r="AJ21" s="134" t="str">
        <f aca="false">IF(OR(9&gt;$B$3,ISBLANK(Actuals!K27)),"",'Reforecast Q1 2026'!K27-Actuals!K27)</f>
        <v/>
      </c>
      <c r="AK21" s="134" t="str">
        <f aca="false">IFERROR(IF(OR(9&gt;$B$3,ISBLANK(Actuals!K27)),"",('Reforecast Q1 2026'!K27-Actuals!K27)/ABS('Reforecast Q1 2026'!K27)),"")</f>
        <v/>
      </c>
      <c r="AL21" s="133" t="n">
        <f aca="false">'Reforecast Q1 2026'!L27</f>
        <v>-29166.66</v>
      </c>
      <c r="AM21" s="133" t="str">
        <f aca="false">IF(OR(10&gt;$B$3,ISBLANK(Actuals!L27)),"",Actuals!L27)</f>
        <v/>
      </c>
      <c r="AN21" s="134" t="str">
        <f aca="false">IF(OR(10&gt;$B$3,ISBLANK(Actuals!L27)),"",'Reforecast Q1 2026'!L27-Actuals!L27)</f>
        <v/>
      </c>
      <c r="AO21" s="134" t="str">
        <f aca="false">IFERROR(IF(OR(10&gt;$B$3,ISBLANK(Actuals!L27)),"",('Reforecast Q1 2026'!L27-Actuals!L27)/ABS('Reforecast Q1 2026'!L27)),"")</f>
        <v/>
      </c>
      <c r="AP21" s="133" t="n">
        <f aca="false">'Reforecast Q1 2026'!M27</f>
        <v>-29166.66</v>
      </c>
      <c r="AQ21" s="133" t="str">
        <f aca="false">IF(OR(11&gt;$B$3,ISBLANK(Actuals!M27)),"",Actuals!M27)</f>
        <v/>
      </c>
      <c r="AR21" s="134" t="str">
        <f aca="false">IF(OR(11&gt;$B$3,ISBLANK(Actuals!M27)),"",'Reforecast Q1 2026'!M27-Actuals!M27)</f>
        <v/>
      </c>
      <c r="AS21" s="134" t="str">
        <f aca="false">IFERROR(IF(OR(11&gt;$B$3,ISBLANK(Actuals!M27)),"",('Reforecast Q1 2026'!M27-Actuals!M27)/ABS('Reforecast Q1 2026'!M27)),"")</f>
        <v/>
      </c>
      <c r="AT21" s="133" t="n">
        <f aca="false">'Reforecast Q1 2026'!N27</f>
        <v>-29166.66</v>
      </c>
      <c r="AU21" s="133" t="str">
        <f aca="false">IF(OR(12&gt;$B$3,ISBLANK(Actuals!N27)),"",Actuals!N27)</f>
        <v/>
      </c>
      <c r="AV21" s="134" t="str">
        <f aca="false">IF(OR(12&gt;$B$3,ISBLANK(Actuals!N27)),"",'Reforecast Q1 2026'!N27-Actuals!N27)</f>
        <v/>
      </c>
      <c r="AW21" s="134" t="str">
        <f aca="false">IFERROR(IF(OR(12&gt;$B$3,ISBLANK(Actuals!N27)),"",('Reforecast Q1 2026'!N27-Actuals!N27)/ABS('Reforecast Q1 2026'!N27)),"")</f>
        <v/>
      </c>
      <c r="AX21" s="135" t="n">
        <f aca="false">SUMPRODUCT((Actuals!C27:N27&lt;&gt;"")*('Reforecast Q1 2026'!C27:N27))</f>
        <v>-249668.9</v>
      </c>
      <c r="AY21" s="135" t="n">
        <f aca="false">SUM(Actuals!C27:N27)</f>
        <v>-249668.9</v>
      </c>
      <c r="AZ21" s="136" t="n">
        <f aca="false">AX21-AY21</f>
        <v>0</v>
      </c>
    </row>
    <row r="22" customFormat="false" ht="15" hidden="false" customHeight="true" outlineLevel="0" collapsed="false">
      <c r="A22" s="132" t="s">
        <v>71</v>
      </c>
      <c r="B22" s="133" t="n">
        <f aca="false">'Reforecast Q1 2026'!C28</f>
        <v>0</v>
      </c>
      <c r="C22" s="133" t="n">
        <f aca="false">IF(OR(1&gt;$B$3,ISBLANK(Actuals!C28)),"",Actuals!C28)</f>
        <v>0</v>
      </c>
      <c r="D22" s="134" t="n">
        <f aca="false">IF(OR(1&gt;$B$3,ISBLANK(Actuals!C28)),"",'Reforecast Q1 2026'!C28-Actuals!C28)</f>
        <v>0</v>
      </c>
      <c r="E22" s="134" t="str">
        <f aca="false">IFERROR(IF(OR(1&gt;$B$3,ISBLANK(Actuals!C28)),"",('Reforecast Q1 2026'!C28-Actuals!C28)/ABS('Reforecast Q1 2026'!C28)),"")</f>
        <v/>
      </c>
      <c r="F22" s="133" t="n">
        <f aca="false">'Reforecast Q1 2026'!D28</f>
        <v>0</v>
      </c>
      <c r="G22" s="133" t="n">
        <f aca="false">IF(OR(2&gt;$B$3,ISBLANK(Actuals!D28)),"",Actuals!D28)</f>
        <v>0</v>
      </c>
      <c r="H22" s="134" t="n">
        <f aca="false">IF(OR(2&gt;$B$3,ISBLANK(Actuals!D28)),"",'Reforecast Q1 2026'!D28-Actuals!D28)</f>
        <v>0</v>
      </c>
      <c r="I22" s="134" t="str">
        <f aca="false">IFERROR(IF(OR(2&gt;$B$3,ISBLANK(Actuals!D28)),"",('Reforecast Q1 2026'!D28-Actuals!D28)/ABS('Reforecast Q1 2026'!D28)),"")</f>
        <v/>
      </c>
      <c r="J22" s="133" t="n">
        <f aca="false">'Reforecast Q1 2026'!E28</f>
        <v>0</v>
      </c>
      <c r="K22" s="133" t="n">
        <f aca="false">IF(OR(3&gt;$B$3,ISBLANK(Actuals!E28)),"",Actuals!E28)</f>
        <v>0</v>
      </c>
      <c r="L22" s="134" t="n">
        <f aca="false">IF(OR(3&gt;$B$3,ISBLANK(Actuals!E28)),"",'Reforecast Q1 2026'!E28-Actuals!E28)</f>
        <v>0</v>
      </c>
      <c r="M22" s="134" t="str">
        <f aca="false">IFERROR(IF(OR(3&gt;$B$3,ISBLANK(Actuals!E28)),"",('Reforecast Q1 2026'!E28-Actuals!E28)/ABS('Reforecast Q1 2026'!E28)),"")</f>
        <v/>
      </c>
      <c r="N22" s="133" t="n">
        <f aca="false">'Reforecast Q1 2026'!F28</f>
        <v>0</v>
      </c>
      <c r="O22" s="133" t="n">
        <f aca="false">IF(OR(4&gt;$B$3,ISBLANK(Actuals!F28)),"",Actuals!F28)</f>
        <v>251304.48</v>
      </c>
      <c r="P22" s="134" t="n">
        <f aca="false">IF(OR(4&gt;$B$3,ISBLANK(Actuals!F28)),"",'Reforecast Q1 2026'!F28-Actuals!F28)</f>
        <v>-251304.48</v>
      </c>
      <c r="Q22" s="134" t="str">
        <f aca="false">IFERROR(IF(OR(4&gt;$B$3,ISBLANK(Actuals!F28)),"",('Reforecast Q1 2026'!F28-Actuals!F28)/ABS('Reforecast Q1 2026'!F28)),"")</f>
        <v/>
      </c>
      <c r="R22" s="133" t="n">
        <f aca="false">'Reforecast Q1 2026'!G28</f>
        <v>0</v>
      </c>
      <c r="S22" s="133" t="n">
        <f aca="false">IF(OR(5&gt;$B$3,ISBLANK(Actuals!G28)),"",Actuals!G28)</f>
        <v>81510</v>
      </c>
      <c r="T22" s="134" t="n">
        <f aca="false">IF(OR(5&gt;$B$3,ISBLANK(Actuals!G28)),"",'Reforecast Q1 2026'!G28-Actuals!G28)</f>
        <v>-81510</v>
      </c>
      <c r="U22" s="134" t="str">
        <f aca="false">IFERROR(IF(OR(5&gt;$B$3,ISBLANK(Actuals!G28)),"",('Reforecast Q1 2026'!G28-Actuals!G28)/ABS('Reforecast Q1 2026'!G28)),"")</f>
        <v/>
      </c>
      <c r="V22" s="133" t="n">
        <f aca="false">'Reforecast Q1 2026'!H28</f>
        <v>0</v>
      </c>
      <c r="W22" s="133" t="n">
        <f aca="false">IF(OR(6&gt;$B$3,ISBLANK(Actuals!H28)),"",Actuals!H28)</f>
        <v>0</v>
      </c>
      <c r="X22" s="134" t="n">
        <f aca="false">IF(OR(6&gt;$B$3,ISBLANK(Actuals!H28)),"",'Reforecast Q1 2026'!H28-Actuals!H28)</f>
        <v>0</v>
      </c>
      <c r="Y22" s="134" t="str">
        <f aca="false">IFERROR(IF(OR(6&gt;$B$3,ISBLANK(Actuals!H28)),"",('Reforecast Q1 2026'!H28-Actuals!H28)/ABS('Reforecast Q1 2026'!H28)),"")</f>
        <v/>
      </c>
      <c r="Z22" s="133" t="n">
        <f aca="false">'Reforecast Q1 2026'!I28</f>
        <v>0</v>
      </c>
      <c r="AA22" s="133" t="n">
        <f aca="false">IF(OR(7&gt;$B$3,ISBLANK(Actuals!I28)),"",Actuals!I28)</f>
        <v>0</v>
      </c>
      <c r="AB22" s="134" t="n">
        <f aca="false">IF(OR(7&gt;$B$3,ISBLANK(Actuals!I28)),"",'Reforecast Q1 2026'!I28-Actuals!I28)</f>
        <v>0</v>
      </c>
      <c r="AC22" s="134" t="str">
        <f aca="false">IFERROR(IF(OR(7&gt;$B$3,ISBLANK(Actuals!I28)),"",('Reforecast Q1 2026'!I28-Actuals!I28)/ABS('Reforecast Q1 2026'!I28)),"")</f>
        <v/>
      </c>
      <c r="AD22" s="133" t="n">
        <f aca="false">'Reforecast Q1 2026'!J28</f>
        <v>0</v>
      </c>
      <c r="AE22" s="133" t="n">
        <f aca="false">IF(OR(8&gt;$B$3,ISBLANK(Actuals!J28)),"",Actuals!J28)</f>
        <v>0</v>
      </c>
      <c r="AF22" s="134" t="n">
        <f aca="false">IF(OR(8&gt;$B$3,ISBLANK(Actuals!J28)),"",'Reforecast Q1 2026'!J28-Actuals!J28)</f>
        <v>0</v>
      </c>
      <c r="AG22" s="134" t="str">
        <f aca="false">IFERROR(IF(OR(8&gt;$B$3,ISBLANK(Actuals!J28)),"",('Reforecast Q1 2026'!J28-Actuals!J28)/ABS('Reforecast Q1 2026'!J28)),"")</f>
        <v/>
      </c>
      <c r="AH22" s="133" t="n">
        <f aca="false">'Reforecast Q1 2026'!K28</f>
        <v>0</v>
      </c>
      <c r="AI22" s="133" t="str">
        <f aca="false">IF(OR(9&gt;$B$3,ISBLANK(Actuals!K28)),"",Actuals!K28)</f>
        <v/>
      </c>
      <c r="AJ22" s="134" t="str">
        <f aca="false">IF(OR(9&gt;$B$3,ISBLANK(Actuals!K28)),"",'Reforecast Q1 2026'!K28-Actuals!K28)</f>
        <v/>
      </c>
      <c r="AK22" s="134" t="str">
        <f aca="false">IFERROR(IF(OR(9&gt;$B$3,ISBLANK(Actuals!K28)),"",('Reforecast Q1 2026'!K28-Actuals!K28)/ABS('Reforecast Q1 2026'!K28)),"")</f>
        <v/>
      </c>
      <c r="AL22" s="133" t="n">
        <f aca="false">'Reforecast Q1 2026'!L28</f>
        <v>0</v>
      </c>
      <c r="AM22" s="133" t="str">
        <f aca="false">IF(OR(10&gt;$B$3,ISBLANK(Actuals!L28)),"",Actuals!L28)</f>
        <v/>
      </c>
      <c r="AN22" s="134" t="str">
        <f aca="false">IF(OR(10&gt;$B$3,ISBLANK(Actuals!L28)),"",'Reforecast Q1 2026'!L28-Actuals!L28)</f>
        <v/>
      </c>
      <c r="AO22" s="134" t="str">
        <f aca="false">IFERROR(IF(OR(10&gt;$B$3,ISBLANK(Actuals!L28)),"",('Reforecast Q1 2026'!L28-Actuals!L28)/ABS('Reforecast Q1 2026'!L28)),"")</f>
        <v/>
      </c>
      <c r="AP22" s="133" t="n">
        <f aca="false">'Reforecast Q1 2026'!M28</f>
        <v>0</v>
      </c>
      <c r="AQ22" s="133" t="str">
        <f aca="false">IF(OR(11&gt;$B$3,ISBLANK(Actuals!M28)),"",Actuals!M28)</f>
        <v/>
      </c>
      <c r="AR22" s="134" t="str">
        <f aca="false">IF(OR(11&gt;$B$3,ISBLANK(Actuals!M28)),"",'Reforecast Q1 2026'!M28-Actuals!M28)</f>
        <v/>
      </c>
      <c r="AS22" s="134" t="str">
        <f aca="false">IFERROR(IF(OR(11&gt;$B$3,ISBLANK(Actuals!M28)),"",('Reforecast Q1 2026'!M28-Actuals!M28)/ABS('Reforecast Q1 2026'!M28)),"")</f>
        <v/>
      </c>
      <c r="AT22" s="133" t="n">
        <f aca="false">'Reforecast Q1 2026'!N28</f>
        <v>0</v>
      </c>
      <c r="AU22" s="133" t="str">
        <f aca="false">IF(OR(12&gt;$B$3,ISBLANK(Actuals!N28)),"",Actuals!N28)</f>
        <v/>
      </c>
      <c r="AV22" s="134" t="str">
        <f aca="false">IF(OR(12&gt;$B$3,ISBLANK(Actuals!N28)),"",'Reforecast Q1 2026'!N28-Actuals!N28)</f>
        <v/>
      </c>
      <c r="AW22" s="134" t="str">
        <f aca="false">IFERROR(IF(OR(12&gt;$B$3,ISBLANK(Actuals!N28)),"",('Reforecast Q1 2026'!N28-Actuals!N28)/ABS('Reforecast Q1 2026'!N28)),"")</f>
        <v/>
      </c>
      <c r="AX22" s="135" t="n">
        <f aca="false">SUMPRODUCT((Actuals!C28:N28&lt;&gt;"")*('Reforecast Q1 2026'!C28:N28))</f>
        <v>0</v>
      </c>
      <c r="AY22" s="135" t="n">
        <f aca="false">SUM(Actuals!C28:N28)</f>
        <v>332814.48</v>
      </c>
      <c r="AZ22" s="136" t="n">
        <f aca="false">AX22-AY22</f>
        <v>-332814.48</v>
      </c>
    </row>
    <row r="23" customFormat="false" ht="15" hidden="false" customHeight="true" outlineLevel="0" collapsed="false">
      <c r="A23" s="132" t="s">
        <v>72</v>
      </c>
      <c r="B23" s="133" t="n">
        <f aca="false">'Reforecast Q1 2026'!C29</f>
        <v>-10400</v>
      </c>
      <c r="C23" s="133" t="n">
        <f aca="false">IF(OR(1&gt;$B$3,ISBLANK(Actuals!C29)),"",Actuals!C29)</f>
        <v>-10400</v>
      </c>
      <c r="D23" s="134" t="n">
        <f aca="false">IF(OR(1&gt;$B$3,ISBLANK(Actuals!C29)),"",'Reforecast Q1 2026'!C29-Actuals!C29)</f>
        <v>0</v>
      </c>
      <c r="E23" s="134" t="n">
        <f aca="false">IFERROR(IF(OR(1&gt;$B$3,ISBLANK(Actuals!C29)),"",('Reforecast Q1 2026'!C29-Actuals!C29)/ABS('Reforecast Q1 2026'!C29)),"")</f>
        <v>0</v>
      </c>
      <c r="F23" s="133" t="n">
        <f aca="false">'Reforecast Q1 2026'!D29</f>
        <v>-10400</v>
      </c>
      <c r="G23" s="133" t="n">
        <f aca="false">IF(OR(2&gt;$B$3,ISBLANK(Actuals!D29)),"",Actuals!D29)</f>
        <v>-10400</v>
      </c>
      <c r="H23" s="134" t="n">
        <f aca="false">IF(OR(2&gt;$B$3,ISBLANK(Actuals!D29)),"",'Reforecast Q1 2026'!D29-Actuals!D29)</f>
        <v>0</v>
      </c>
      <c r="I23" s="134" t="n">
        <f aca="false">IFERROR(IF(OR(2&gt;$B$3,ISBLANK(Actuals!D29)),"",('Reforecast Q1 2026'!D29-Actuals!D29)/ABS('Reforecast Q1 2026'!D29)),"")</f>
        <v>0</v>
      </c>
      <c r="J23" s="133" t="n">
        <f aca="false">'Reforecast Q1 2026'!E29</f>
        <v>-400</v>
      </c>
      <c r="K23" s="133" t="n">
        <f aca="false">IF(OR(3&gt;$B$3,ISBLANK(Actuals!E29)),"",Actuals!E29)</f>
        <v>-400</v>
      </c>
      <c r="L23" s="134" t="n">
        <f aca="false">IF(OR(3&gt;$B$3,ISBLANK(Actuals!E29)),"",'Reforecast Q1 2026'!E29-Actuals!E29)</f>
        <v>0</v>
      </c>
      <c r="M23" s="134" t="n">
        <f aca="false">IFERROR(IF(OR(3&gt;$B$3,ISBLANK(Actuals!E29)),"",('Reforecast Q1 2026'!E29-Actuals!E29)/ABS('Reforecast Q1 2026'!E29)),"")</f>
        <v>0</v>
      </c>
      <c r="N23" s="133" t="n">
        <f aca="false">'Reforecast Q1 2026'!F29</f>
        <v>-10400</v>
      </c>
      <c r="O23" s="133" t="n">
        <f aca="false">IF(OR(4&gt;$B$3,ISBLANK(Actuals!F29)),"",Actuals!F29)</f>
        <v>-10400</v>
      </c>
      <c r="P23" s="134" t="n">
        <f aca="false">IF(OR(4&gt;$B$3,ISBLANK(Actuals!F29)),"",'Reforecast Q1 2026'!F29-Actuals!F29)</f>
        <v>0</v>
      </c>
      <c r="Q23" s="134" t="n">
        <f aca="false">IFERROR(IF(OR(4&gt;$B$3,ISBLANK(Actuals!F29)),"",('Reforecast Q1 2026'!F29-Actuals!F29)/ABS('Reforecast Q1 2026'!F29)),"")</f>
        <v>0</v>
      </c>
      <c r="R23" s="133" t="n">
        <f aca="false">'Reforecast Q1 2026'!G29</f>
        <v>-10400</v>
      </c>
      <c r="S23" s="133" t="n">
        <f aca="false">IF(OR(5&gt;$B$3,ISBLANK(Actuals!G29)),"",Actuals!G29)</f>
        <v>-20400</v>
      </c>
      <c r="T23" s="134" t="n">
        <f aca="false">IF(OR(5&gt;$B$3,ISBLANK(Actuals!G29)),"",'Reforecast Q1 2026'!G29-Actuals!G29)</f>
        <v>10000</v>
      </c>
      <c r="U23" s="134" t="n">
        <f aca="false">IFERROR(IF(OR(5&gt;$B$3,ISBLANK(Actuals!G29)),"",('Reforecast Q1 2026'!G29-Actuals!G29)/ABS('Reforecast Q1 2026'!G29)),"")</f>
        <v>0.961538461538462</v>
      </c>
      <c r="V23" s="133" t="n">
        <f aca="false">'Reforecast Q1 2026'!H29</f>
        <v>-10400</v>
      </c>
      <c r="W23" s="133" t="n">
        <f aca="false">IF(OR(6&gt;$B$3,ISBLANK(Actuals!H29)),"",Actuals!H29)</f>
        <v>-20405</v>
      </c>
      <c r="X23" s="134" t="n">
        <f aca="false">IF(OR(6&gt;$B$3,ISBLANK(Actuals!H29)),"",'Reforecast Q1 2026'!H29-Actuals!H29)</f>
        <v>10005</v>
      </c>
      <c r="Y23" s="134" t="n">
        <f aca="false">IFERROR(IF(OR(6&gt;$B$3,ISBLANK(Actuals!H29)),"",('Reforecast Q1 2026'!H29-Actuals!H29)/ABS('Reforecast Q1 2026'!H29)),"")</f>
        <v>0.962019230769231</v>
      </c>
      <c r="Z23" s="133" t="n">
        <f aca="false">'Reforecast Q1 2026'!I29</f>
        <v>-10400</v>
      </c>
      <c r="AA23" s="133" t="n">
        <f aca="false">IF(OR(7&gt;$B$3,ISBLANK(Actuals!I29)),"",Actuals!I29)</f>
        <v>-20405</v>
      </c>
      <c r="AB23" s="134" t="n">
        <f aca="false">IF(OR(7&gt;$B$3,ISBLANK(Actuals!I29)),"",'Reforecast Q1 2026'!I29-Actuals!I29)</f>
        <v>10005</v>
      </c>
      <c r="AC23" s="134" t="n">
        <f aca="false">IFERROR(IF(OR(7&gt;$B$3,ISBLANK(Actuals!I29)),"",('Reforecast Q1 2026'!I29-Actuals!I29)/ABS('Reforecast Q1 2026'!I29)),"")</f>
        <v>0.962019230769231</v>
      </c>
      <c r="AD23" s="133" t="n">
        <f aca="false">'Reforecast Q1 2026'!J29</f>
        <v>-10400</v>
      </c>
      <c r="AE23" s="133" t="n">
        <f aca="false">IF(OR(8&gt;$B$3,ISBLANK(Actuals!J29)),"",Actuals!J29)</f>
        <v>-20405</v>
      </c>
      <c r="AF23" s="134" t="n">
        <f aca="false">IF(OR(8&gt;$B$3,ISBLANK(Actuals!J29)),"",'Reforecast Q1 2026'!J29-Actuals!J29)</f>
        <v>10005</v>
      </c>
      <c r="AG23" s="134" t="n">
        <f aca="false">IFERROR(IF(OR(8&gt;$B$3,ISBLANK(Actuals!J29)),"",('Reforecast Q1 2026'!J29-Actuals!J29)/ABS('Reforecast Q1 2026'!J29)),"")</f>
        <v>0.962019230769231</v>
      </c>
      <c r="AH23" s="133" t="n">
        <f aca="false">'Reforecast Q1 2026'!K29</f>
        <v>-10400</v>
      </c>
      <c r="AI23" s="133" t="str">
        <f aca="false">IF(OR(9&gt;$B$3,ISBLANK(Actuals!K29)),"",Actuals!K29)</f>
        <v/>
      </c>
      <c r="AJ23" s="134" t="str">
        <f aca="false">IF(OR(9&gt;$B$3,ISBLANK(Actuals!K29)),"",'Reforecast Q1 2026'!K29-Actuals!K29)</f>
        <v/>
      </c>
      <c r="AK23" s="134" t="str">
        <f aca="false">IFERROR(IF(OR(9&gt;$B$3,ISBLANK(Actuals!K29)),"",('Reforecast Q1 2026'!K29-Actuals!K29)/ABS('Reforecast Q1 2026'!K29)),"")</f>
        <v/>
      </c>
      <c r="AL23" s="133" t="n">
        <f aca="false">'Reforecast Q1 2026'!L29</f>
        <v>-10400</v>
      </c>
      <c r="AM23" s="133" t="str">
        <f aca="false">IF(OR(10&gt;$B$3,ISBLANK(Actuals!L29)),"",Actuals!L29)</f>
        <v/>
      </c>
      <c r="AN23" s="134" t="str">
        <f aca="false">IF(OR(10&gt;$B$3,ISBLANK(Actuals!L29)),"",'Reforecast Q1 2026'!L29-Actuals!L29)</f>
        <v/>
      </c>
      <c r="AO23" s="134" t="str">
        <f aca="false">IFERROR(IF(OR(10&gt;$B$3,ISBLANK(Actuals!L29)),"",('Reforecast Q1 2026'!L29-Actuals!L29)/ABS('Reforecast Q1 2026'!L29)),"")</f>
        <v/>
      </c>
      <c r="AP23" s="133" t="n">
        <f aca="false">'Reforecast Q1 2026'!M29</f>
        <v>-10400</v>
      </c>
      <c r="AQ23" s="133" t="str">
        <f aca="false">IF(OR(11&gt;$B$3,ISBLANK(Actuals!M29)),"",Actuals!M29)</f>
        <v/>
      </c>
      <c r="AR23" s="134" t="str">
        <f aca="false">IF(OR(11&gt;$B$3,ISBLANK(Actuals!M29)),"",'Reforecast Q1 2026'!M29-Actuals!M29)</f>
        <v/>
      </c>
      <c r="AS23" s="134" t="str">
        <f aca="false">IFERROR(IF(OR(11&gt;$B$3,ISBLANK(Actuals!M29)),"",('Reforecast Q1 2026'!M29-Actuals!M29)/ABS('Reforecast Q1 2026'!M29)),"")</f>
        <v/>
      </c>
      <c r="AT23" s="133" t="n">
        <f aca="false">'Reforecast Q1 2026'!N29</f>
        <v>-10400</v>
      </c>
      <c r="AU23" s="133" t="str">
        <f aca="false">IF(OR(12&gt;$B$3,ISBLANK(Actuals!N29)),"",Actuals!N29)</f>
        <v/>
      </c>
      <c r="AV23" s="134" t="str">
        <f aca="false">IF(OR(12&gt;$B$3,ISBLANK(Actuals!N29)),"",'Reforecast Q1 2026'!N29-Actuals!N29)</f>
        <v/>
      </c>
      <c r="AW23" s="134" t="str">
        <f aca="false">IFERROR(IF(OR(12&gt;$B$3,ISBLANK(Actuals!N29)),"",('Reforecast Q1 2026'!N29-Actuals!N29)/ABS('Reforecast Q1 2026'!N29)),"")</f>
        <v/>
      </c>
      <c r="AX23" s="135" t="n">
        <f aca="false">SUMPRODUCT((Actuals!C29:N29&lt;&gt;"")*('Reforecast Q1 2026'!C29:N29))</f>
        <v>-73200</v>
      </c>
      <c r="AY23" s="135" t="n">
        <f aca="false">SUM(Actuals!C29:N29)</f>
        <v>-113215</v>
      </c>
      <c r="AZ23" s="136" t="n">
        <f aca="false">AX23-AY23</f>
        <v>40015</v>
      </c>
    </row>
    <row r="24" customFormat="false" ht="15" hidden="false" customHeight="true" outlineLevel="0" collapsed="false">
      <c r="A24" s="132" t="s">
        <v>73</v>
      </c>
      <c r="B24" s="133" t="n">
        <f aca="false">'Reforecast Q1 2026'!C30</f>
        <v>-1988</v>
      </c>
      <c r="C24" s="133" t="n">
        <f aca="false">IF(OR(1&gt;$B$3,ISBLANK(Actuals!C30)),"",Actuals!C30)</f>
        <v>-1988</v>
      </c>
      <c r="D24" s="134" t="n">
        <f aca="false">IF(OR(1&gt;$B$3,ISBLANK(Actuals!C30)),"",'Reforecast Q1 2026'!C30-Actuals!C30)</f>
        <v>0</v>
      </c>
      <c r="E24" s="134" t="n">
        <f aca="false">IFERROR(IF(OR(1&gt;$B$3,ISBLANK(Actuals!C30)),"",('Reforecast Q1 2026'!C30-Actuals!C30)/ABS('Reforecast Q1 2026'!C30)),"")</f>
        <v>0</v>
      </c>
      <c r="F24" s="133" t="n">
        <f aca="false">'Reforecast Q1 2026'!D30</f>
        <v>-955.32</v>
      </c>
      <c r="G24" s="133" t="n">
        <f aca="false">IF(OR(2&gt;$B$3,ISBLANK(Actuals!D30)),"",Actuals!D30)</f>
        <v>-955.32</v>
      </c>
      <c r="H24" s="134" t="n">
        <f aca="false">IF(OR(2&gt;$B$3,ISBLANK(Actuals!D30)),"",'Reforecast Q1 2026'!D30-Actuals!D30)</f>
        <v>0</v>
      </c>
      <c r="I24" s="134" t="n">
        <f aca="false">IFERROR(IF(OR(2&gt;$B$3,ISBLANK(Actuals!D30)),"",('Reforecast Q1 2026'!D30-Actuals!D30)/ABS('Reforecast Q1 2026'!D30)),"")</f>
        <v>0</v>
      </c>
      <c r="J24" s="133" t="n">
        <f aca="false">'Reforecast Q1 2026'!E30</f>
        <v>-9130.61</v>
      </c>
      <c r="K24" s="133" t="n">
        <f aca="false">IF(OR(3&gt;$B$3,ISBLANK(Actuals!E30)),"",Actuals!E30)</f>
        <v>-9130.61</v>
      </c>
      <c r="L24" s="134" t="n">
        <f aca="false">IF(OR(3&gt;$B$3,ISBLANK(Actuals!E30)),"",'Reforecast Q1 2026'!E30-Actuals!E30)</f>
        <v>0</v>
      </c>
      <c r="M24" s="134" t="n">
        <f aca="false">IFERROR(IF(OR(3&gt;$B$3,ISBLANK(Actuals!E30)),"",('Reforecast Q1 2026'!E30-Actuals!E30)/ABS('Reforecast Q1 2026'!E30)),"")</f>
        <v>0</v>
      </c>
      <c r="N24" s="133" t="n">
        <f aca="false">'Reforecast Q1 2026'!F30</f>
        <v>-4024.64</v>
      </c>
      <c r="O24" s="133" t="n">
        <f aca="false">IF(OR(4&gt;$B$3,ISBLANK(Actuals!F30)),"",Actuals!F30)</f>
        <v>-1028.89</v>
      </c>
      <c r="P24" s="134" t="n">
        <f aca="false">IF(OR(4&gt;$B$3,ISBLANK(Actuals!F30)),"",'Reforecast Q1 2026'!F30-Actuals!F30)</f>
        <v>-2995.75</v>
      </c>
      <c r="Q24" s="134" t="n">
        <f aca="false">IFERROR(IF(OR(4&gt;$B$3,ISBLANK(Actuals!F30)),"",('Reforecast Q1 2026'!F30-Actuals!F30)/ABS('Reforecast Q1 2026'!F30)),"")</f>
        <v>-0.744352289894251</v>
      </c>
      <c r="R24" s="133" t="n">
        <f aca="false">'Reforecast Q1 2026'!G30</f>
        <v>-4024.64</v>
      </c>
      <c r="S24" s="133" t="n">
        <f aca="false">IF(OR(5&gt;$B$3,ISBLANK(Actuals!G30)),"",Actuals!G30)</f>
        <v>-7005.14</v>
      </c>
      <c r="T24" s="134" t="n">
        <f aca="false">IF(OR(5&gt;$B$3,ISBLANK(Actuals!G30)),"",'Reforecast Q1 2026'!G30-Actuals!G30)</f>
        <v>2980.5</v>
      </c>
      <c r="U24" s="134" t="n">
        <f aca="false">IFERROR(IF(OR(5&gt;$B$3,ISBLANK(Actuals!G30)),"",('Reforecast Q1 2026'!G30-Actuals!G30)/ABS('Reforecast Q1 2026'!G30)),"")</f>
        <v>0.740563131112348</v>
      </c>
      <c r="V24" s="133" t="n">
        <f aca="false">'Reforecast Q1 2026'!H30</f>
        <v>-4024.64</v>
      </c>
      <c r="W24" s="133" t="n">
        <f aca="false">IF(OR(6&gt;$B$3,ISBLANK(Actuals!H30)),"",Actuals!H30)</f>
        <v>-4121.06</v>
      </c>
      <c r="X24" s="134" t="n">
        <f aca="false">IF(OR(6&gt;$B$3,ISBLANK(Actuals!H30)),"",'Reforecast Q1 2026'!H30-Actuals!H30)</f>
        <v>96.4200000000005</v>
      </c>
      <c r="Y24" s="134" t="n">
        <f aca="false">IFERROR(IF(OR(6&gt;$B$3,ISBLANK(Actuals!H30)),"",('Reforecast Q1 2026'!H30-Actuals!H30)/ABS('Reforecast Q1 2026'!H30)),"")</f>
        <v>0.023957422278763</v>
      </c>
      <c r="Z24" s="133" t="n">
        <f aca="false">'Reforecast Q1 2026'!I30</f>
        <v>-4024.64</v>
      </c>
      <c r="AA24" s="133" t="n">
        <f aca="false">IF(OR(7&gt;$B$3,ISBLANK(Actuals!I30)),"",Actuals!I30)</f>
        <v>-2683.91</v>
      </c>
      <c r="AB24" s="134" t="n">
        <f aca="false">IF(OR(7&gt;$B$3,ISBLANK(Actuals!I30)),"",'Reforecast Q1 2026'!I30-Actuals!I30)</f>
        <v>-1340.73</v>
      </c>
      <c r="AC24" s="134" t="n">
        <f aca="false">IFERROR(IF(OR(7&gt;$B$3,ISBLANK(Actuals!I30)),"",('Reforecast Q1 2026'!I30-Actuals!I30)/ABS('Reforecast Q1 2026'!I30)),"")</f>
        <v>-0.333130416633537</v>
      </c>
      <c r="AD24" s="133" t="n">
        <f aca="false">'Reforecast Q1 2026'!J30</f>
        <v>-4024.64</v>
      </c>
      <c r="AE24" s="133" t="n">
        <f aca="false">IF(OR(8&gt;$B$3,ISBLANK(Actuals!J30)),"",Actuals!J30)</f>
        <v>-17047.56</v>
      </c>
      <c r="AF24" s="134" t="n">
        <f aca="false">IF(OR(8&gt;$B$3,ISBLANK(Actuals!J30)),"",'Reforecast Q1 2026'!J30-Actuals!J30)</f>
        <v>13022.92</v>
      </c>
      <c r="AG24" s="134" t="n">
        <f aca="false">IFERROR(IF(OR(8&gt;$B$3,ISBLANK(Actuals!J30)),"",('Reforecast Q1 2026'!J30-Actuals!J30)/ABS('Reforecast Q1 2026'!J30)),"")</f>
        <v>3.23579748747714</v>
      </c>
      <c r="AH24" s="133" t="n">
        <f aca="false">'Reforecast Q1 2026'!K30</f>
        <v>-4024.64</v>
      </c>
      <c r="AI24" s="133" t="str">
        <f aca="false">IF(OR(9&gt;$B$3,ISBLANK(Actuals!K30)),"",Actuals!K30)</f>
        <v/>
      </c>
      <c r="AJ24" s="134" t="str">
        <f aca="false">IF(OR(9&gt;$B$3,ISBLANK(Actuals!K30)),"",'Reforecast Q1 2026'!K30-Actuals!K30)</f>
        <v/>
      </c>
      <c r="AK24" s="134" t="str">
        <f aca="false">IFERROR(IF(OR(9&gt;$B$3,ISBLANK(Actuals!K30)),"",('Reforecast Q1 2026'!K30-Actuals!K30)/ABS('Reforecast Q1 2026'!K30)),"")</f>
        <v/>
      </c>
      <c r="AL24" s="133" t="n">
        <f aca="false">'Reforecast Q1 2026'!L30</f>
        <v>-4024.64</v>
      </c>
      <c r="AM24" s="133" t="str">
        <f aca="false">IF(OR(10&gt;$B$3,ISBLANK(Actuals!L30)),"",Actuals!L30)</f>
        <v/>
      </c>
      <c r="AN24" s="134" t="str">
        <f aca="false">IF(OR(10&gt;$B$3,ISBLANK(Actuals!L30)),"",'Reforecast Q1 2026'!L30-Actuals!L30)</f>
        <v/>
      </c>
      <c r="AO24" s="134" t="str">
        <f aca="false">IFERROR(IF(OR(10&gt;$B$3,ISBLANK(Actuals!L30)),"",('Reforecast Q1 2026'!L30-Actuals!L30)/ABS('Reforecast Q1 2026'!L30)),"")</f>
        <v/>
      </c>
      <c r="AP24" s="133" t="n">
        <f aca="false">'Reforecast Q1 2026'!M30</f>
        <v>-4024.64</v>
      </c>
      <c r="AQ24" s="133" t="str">
        <f aca="false">IF(OR(11&gt;$B$3,ISBLANK(Actuals!M30)),"",Actuals!M30)</f>
        <v/>
      </c>
      <c r="AR24" s="134" t="str">
        <f aca="false">IF(OR(11&gt;$B$3,ISBLANK(Actuals!M30)),"",'Reforecast Q1 2026'!M30-Actuals!M30)</f>
        <v/>
      </c>
      <c r="AS24" s="134" t="str">
        <f aca="false">IFERROR(IF(OR(11&gt;$B$3,ISBLANK(Actuals!M30)),"",('Reforecast Q1 2026'!M30-Actuals!M30)/ABS('Reforecast Q1 2026'!M30)),"")</f>
        <v/>
      </c>
      <c r="AT24" s="133" t="n">
        <f aca="false">'Reforecast Q1 2026'!N30</f>
        <v>-4024.64</v>
      </c>
      <c r="AU24" s="133" t="str">
        <f aca="false">IF(OR(12&gt;$B$3,ISBLANK(Actuals!N30)),"",Actuals!N30)</f>
        <v/>
      </c>
      <c r="AV24" s="134" t="str">
        <f aca="false">IF(OR(12&gt;$B$3,ISBLANK(Actuals!N30)),"",'Reforecast Q1 2026'!N30-Actuals!N30)</f>
        <v/>
      </c>
      <c r="AW24" s="134" t="str">
        <f aca="false">IFERROR(IF(OR(12&gt;$B$3,ISBLANK(Actuals!N30)),"",('Reforecast Q1 2026'!N30-Actuals!N30)/ABS('Reforecast Q1 2026'!N30)),"")</f>
        <v/>
      </c>
      <c r="AX24" s="135" t="n">
        <f aca="false">SUMPRODUCT((Actuals!C30:N30&lt;&gt;"")*('Reforecast Q1 2026'!C30:N30))</f>
        <v>-32197.13</v>
      </c>
      <c r="AY24" s="135" t="n">
        <f aca="false">SUM(Actuals!C30:N30)</f>
        <v>-43960.49</v>
      </c>
      <c r="AZ24" s="136" t="n">
        <f aca="false">AX24-AY24</f>
        <v>11763.36</v>
      </c>
    </row>
    <row r="25" customFormat="false" ht="15" hidden="false" customHeight="true" outlineLevel="0" collapsed="false">
      <c r="A25" s="132" t="s">
        <v>74</v>
      </c>
      <c r="B25" s="133" t="n">
        <f aca="false">'Reforecast Q1 2026'!C31</f>
        <v>0</v>
      </c>
      <c r="C25" s="133" t="n">
        <f aca="false">IF(OR(1&gt;$B$3,ISBLANK(Actuals!C31)),"",Actuals!C31)</f>
        <v>0</v>
      </c>
      <c r="D25" s="134" t="n">
        <f aca="false">IF(OR(1&gt;$B$3,ISBLANK(Actuals!C31)),"",'Reforecast Q1 2026'!C31-Actuals!C31)</f>
        <v>0</v>
      </c>
      <c r="E25" s="134" t="str">
        <f aca="false">IFERROR(IF(OR(1&gt;$B$3,ISBLANK(Actuals!C31)),"",('Reforecast Q1 2026'!C31-Actuals!C31)/ABS('Reforecast Q1 2026'!C31)),"")</f>
        <v/>
      </c>
      <c r="F25" s="133" t="n">
        <f aca="false">'Reforecast Q1 2026'!D31</f>
        <v>0</v>
      </c>
      <c r="G25" s="133" t="n">
        <f aca="false">IF(OR(2&gt;$B$3,ISBLANK(Actuals!D31)),"",Actuals!D31)</f>
        <v>0</v>
      </c>
      <c r="H25" s="134" t="n">
        <f aca="false">IF(OR(2&gt;$B$3,ISBLANK(Actuals!D31)),"",'Reforecast Q1 2026'!D31-Actuals!D31)</f>
        <v>0</v>
      </c>
      <c r="I25" s="134" t="str">
        <f aca="false">IFERROR(IF(OR(2&gt;$B$3,ISBLANK(Actuals!D31)),"",('Reforecast Q1 2026'!D31-Actuals!D31)/ABS('Reforecast Q1 2026'!D31)),"")</f>
        <v/>
      </c>
      <c r="J25" s="133" t="n">
        <f aca="false">'Reforecast Q1 2026'!E31</f>
        <v>-1077.38</v>
      </c>
      <c r="K25" s="133" t="n">
        <f aca="false">IF(OR(3&gt;$B$3,ISBLANK(Actuals!E31)),"",Actuals!E31)</f>
        <v>-1077.38</v>
      </c>
      <c r="L25" s="134" t="n">
        <f aca="false">IF(OR(3&gt;$B$3,ISBLANK(Actuals!E31)),"",'Reforecast Q1 2026'!E31-Actuals!E31)</f>
        <v>0</v>
      </c>
      <c r="M25" s="134" t="n">
        <f aca="false">IFERROR(IF(OR(3&gt;$B$3,ISBLANK(Actuals!E31)),"",('Reforecast Q1 2026'!E31-Actuals!E31)/ABS('Reforecast Q1 2026'!E31)),"")</f>
        <v>0</v>
      </c>
      <c r="N25" s="133" t="n">
        <f aca="false">'Reforecast Q1 2026'!F31</f>
        <v>-359.13</v>
      </c>
      <c r="O25" s="133" t="n">
        <f aca="false">IF(OR(4&gt;$B$3,ISBLANK(Actuals!F31)),"",Actuals!F31)</f>
        <v>-211.28</v>
      </c>
      <c r="P25" s="134" t="n">
        <f aca="false">IF(OR(4&gt;$B$3,ISBLANK(Actuals!F31)),"",'Reforecast Q1 2026'!F31-Actuals!F31)</f>
        <v>-147.85</v>
      </c>
      <c r="Q25" s="134" t="n">
        <f aca="false">IFERROR(IF(OR(4&gt;$B$3,ISBLANK(Actuals!F31)),"",('Reforecast Q1 2026'!F31-Actuals!F31)/ABS('Reforecast Q1 2026'!F31)),"")</f>
        <v>-0.411689360398741</v>
      </c>
      <c r="R25" s="133" t="n">
        <f aca="false">'Reforecast Q1 2026'!G31</f>
        <v>-359.13</v>
      </c>
      <c r="S25" s="133" t="n">
        <f aca="false">IF(OR(5&gt;$B$3,ISBLANK(Actuals!G31)),"",Actuals!G31)</f>
        <v>-1254.17</v>
      </c>
      <c r="T25" s="134" t="n">
        <f aca="false">IF(OR(5&gt;$B$3,ISBLANK(Actuals!G31)),"",'Reforecast Q1 2026'!G31-Actuals!G31)</f>
        <v>895.04</v>
      </c>
      <c r="U25" s="134" t="n">
        <f aca="false">IFERROR(IF(OR(5&gt;$B$3,ISBLANK(Actuals!G31)),"",('Reforecast Q1 2026'!G31-Actuals!G31)/ABS('Reforecast Q1 2026'!G31)),"")</f>
        <v>2.49224514799655</v>
      </c>
      <c r="V25" s="133" t="n">
        <f aca="false">'Reforecast Q1 2026'!H31</f>
        <v>-359.13</v>
      </c>
      <c r="W25" s="133" t="n">
        <f aca="false">IF(OR(6&gt;$B$3,ISBLANK(Actuals!H31)),"",Actuals!H31)</f>
        <v>0</v>
      </c>
      <c r="X25" s="134" t="n">
        <f aca="false">IF(OR(6&gt;$B$3,ISBLANK(Actuals!H31)),"",'Reforecast Q1 2026'!H31-Actuals!H31)</f>
        <v>-359.13</v>
      </c>
      <c r="Y25" s="134" t="n">
        <f aca="false">IFERROR(IF(OR(6&gt;$B$3,ISBLANK(Actuals!H31)),"",('Reforecast Q1 2026'!H31-Actuals!H31)/ABS('Reforecast Q1 2026'!H31)),"")</f>
        <v>-1</v>
      </c>
      <c r="Z25" s="133" t="n">
        <f aca="false">'Reforecast Q1 2026'!I31</f>
        <v>-359.13</v>
      </c>
      <c r="AA25" s="133" t="n">
        <f aca="false">IF(OR(7&gt;$B$3,ISBLANK(Actuals!I31)),"",Actuals!I31)</f>
        <v>-169.62</v>
      </c>
      <c r="AB25" s="134" t="n">
        <f aca="false">IF(OR(7&gt;$B$3,ISBLANK(Actuals!I31)),"",'Reforecast Q1 2026'!I31-Actuals!I31)</f>
        <v>-189.51</v>
      </c>
      <c r="AC25" s="134" t="n">
        <f aca="false">IFERROR(IF(OR(7&gt;$B$3,ISBLANK(Actuals!I31)),"",('Reforecast Q1 2026'!I31-Actuals!I31)/ABS('Reforecast Q1 2026'!I31)),"")</f>
        <v>-0.527691922145184</v>
      </c>
      <c r="AD25" s="133" t="n">
        <f aca="false">'Reforecast Q1 2026'!J31</f>
        <v>-359.13</v>
      </c>
      <c r="AE25" s="133" t="n">
        <f aca="false">IF(OR(8&gt;$B$3,ISBLANK(Actuals!J31)),"",Actuals!J31)</f>
        <v>-2331.88</v>
      </c>
      <c r="AF25" s="134" t="n">
        <f aca="false">IF(OR(8&gt;$B$3,ISBLANK(Actuals!J31)),"",'Reforecast Q1 2026'!J31-Actuals!J31)</f>
        <v>1972.75</v>
      </c>
      <c r="AG25" s="134" t="n">
        <f aca="false">IFERROR(IF(OR(8&gt;$B$3,ISBLANK(Actuals!J31)),"",('Reforecast Q1 2026'!J31-Actuals!J31)/ABS('Reforecast Q1 2026'!J31)),"")</f>
        <v>5.49313619023752</v>
      </c>
      <c r="AH25" s="133" t="n">
        <f aca="false">'Reforecast Q1 2026'!K31</f>
        <v>-359.13</v>
      </c>
      <c r="AI25" s="133" t="str">
        <f aca="false">IF(OR(9&gt;$B$3,ISBLANK(Actuals!K31)),"",Actuals!K31)</f>
        <v/>
      </c>
      <c r="AJ25" s="134" t="str">
        <f aca="false">IF(OR(9&gt;$B$3,ISBLANK(Actuals!K31)),"",'Reforecast Q1 2026'!K31-Actuals!K31)</f>
        <v/>
      </c>
      <c r="AK25" s="134" t="str">
        <f aca="false">IFERROR(IF(OR(9&gt;$B$3,ISBLANK(Actuals!K31)),"",('Reforecast Q1 2026'!K31-Actuals!K31)/ABS('Reforecast Q1 2026'!K31)),"")</f>
        <v/>
      </c>
      <c r="AL25" s="133" t="n">
        <f aca="false">'Reforecast Q1 2026'!L31</f>
        <v>-359.13</v>
      </c>
      <c r="AM25" s="133" t="str">
        <f aca="false">IF(OR(10&gt;$B$3,ISBLANK(Actuals!L31)),"",Actuals!L31)</f>
        <v/>
      </c>
      <c r="AN25" s="134" t="str">
        <f aca="false">IF(OR(10&gt;$B$3,ISBLANK(Actuals!L31)),"",'Reforecast Q1 2026'!L31-Actuals!L31)</f>
        <v/>
      </c>
      <c r="AO25" s="134" t="str">
        <f aca="false">IFERROR(IF(OR(10&gt;$B$3,ISBLANK(Actuals!L31)),"",('Reforecast Q1 2026'!L31-Actuals!L31)/ABS('Reforecast Q1 2026'!L31)),"")</f>
        <v/>
      </c>
      <c r="AP25" s="133" t="n">
        <f aca="false">'Reforecast Q1 2026'!M31</f>
        <v>-359.13</v>
      </c>
      <c r="AQ25" s="133" t="str">
        <f aca="false">IF(OR(11&gt;$B$3,ISBLANK(Actuals!M31)),"",Actuals!M31)</f>
        <v/>
      </c>
      <c r="AR25" s="134" t="str">
        <f aca="false">IF(OR(11&gt;$B$3,ISBLANK(Actuals!M31)),"",'Reforecast Q1 2026'!M31-Actuals!M31)</f>
        <v/>
      </c>
      <c r="AS25" s="134" t="str">
        <f aca="false">IFERROR(IF(OR(11&gt;$B$3,ISBLANK(Actuals!M31)),"",('Reforecast Q1 2026'!M31-Actuals!M31)/ABS('Reforecast Q1 2026'!M31)),"")</f>
        <v/>
      </c>
      <c r="AT25" s="133" t="n">
        <f aca="false">'Reforecast Q1 2026'!N31</f>
        <v>-359.13</v>
      </c>
      <c r="AU25" s="133" t="str">
        <f aca="false">IF(OR(12&gt;$B$3,ISBLANK(Actuals!N31)),"",Actuals!N31)</f>
        <v/>
      </c>
      <c r="AV25" s="134" t="str">
        <f aca="false">IF(OR(12&gt;$B$3,ISBLANK(Actuals!N31)),"",'Reforecast Q1 2026'!N31-Actuals!N31)</f>
        <v/>
      </c>
      <c r="AW25" s="134" t="str">
        <f aca="false">IFERROR(IF(OR(12&gt;$B$3,ISBLANK(Actuals!N31)),"",('Reforecast Q1 2026'!N31-Actuals!N31)/ABS('Reforecast Q1 2026'!N31)),"")</f>
        <v/>
      </c>
      <c r="AX25" s="135" t="n">
        <f aca="false">SUMPRODUCT((Actuals!C31:N31&lt;&gt;"")*('Reforecast Q1 2026'!C31:N31))</f>
        <v>-2873.03</v>
      </c>
      <c r="AY25" s="135" t="n">
        <f aca="false">SUM(Actuals!C31:N31)</f>
        <v>-5044.33</v>
      </c>
      <c r="AZ25" s="136" t="n">
        <f aca="false">AX25-AY25</f>
        <v>2171.3</v>
      </c>
    </row>
    <row r="26" customFormat="false" ht="15" hidden="false" customHeight="true" outlineLevel="0" collapsed="false">
      <c r="A26" s="132" t="s">
        <v>75</v>
      </c>
      <c r="B26" s="133" t="n">
        <f aca="false">'Reforecast Q1 2026'!C32</f>
        <v>-79</v>
      </c>
      <c r="C26" s="133" t="n">
        <f aca="false">IF(OR(1&gt;$B$3,ISBLANK(Actuals!C32)),"",Actuals!C32)</f>
        <v>-79</v>
      </c>
      <c r="D26" s="134" t="n">
        <f aca="false">IF(OR(1&gt;$B$3,ISBLANK(Actuals!C32)),"",'Reforecast Q1 2026'!C32-Actuals!C32)</f>
        <v>0</v>
      </c>
      <c r="E26" s="134" t="n">
        <f aca="false">IFERROR(IF(OR(1&gt;$B$3,ISBLANK(Actuals!C32)),"",('Reforecast Q1 2026'!C32-Actuals!C32)/ABS('Reforecast Q1 2026'!C32)),"")</f>
        <v>0</v>
      </c>
      <c r="F26" s="133" t="n">
        <f aca="false">'Reforecast Q1 2026'!D32</f>
        <v>0</v>
      </c>
      <c r="G26" s="133" t="n">
        <f aca="false">IF(OR(2&gt;$B$3,ISBLANK(Actuals!D32)),"",Actuals!D32)</f>
        <v>0</v>
      </c>
      <c r="H26" s="134" t="n">
        <f aca="false">IF(OR(2&gt;$B$3,ISBLANK(Actuals!D32)),"",'Reforecast Q1 2026'!D32-Actuals!D32)</f>
        <v>0</v>
      </c>
      <c r="I26" s="134" t="str">
        <f aca="false">IFERROR(IF(OR(2&gt;$B$3,ISBLANK(Actuals!D32)),"",('Reforecast Q1 2026'!D32-Actuals!D32)/ABS('Reforecast Q1 2026'!D32)),"")</f>
        <v/>
      </c>
      <c r="J26" s="133" t="n">
        <f aca="false">'Reforecast Q1 2026'!E32</f>
        <v>0</v>
      </c>
      <c r="K26" s="133" t="n">
        <f aca="false">IF(OR(3&gt;$B$3,ISBLANK(Actuals!E32)),"",Actuals!E32)</f>
        <v>0</v>
      </c>
      <c r="L26" s="134" t="n">
        <f aca="false">IF(OR(3&gt;$B$3,ISBLANK(Actuals!E32)),"",'Reforecast Q1 2026'!E32-Actuals!E32)</f>
        <v>0</v>
      </c>
      <c r="M26" s="134" t="str">
        <f aca="false">IFERROR(IF(OR(3&gt;$B$3,ISBLANK(Actuals!E32)),"",('Reforecast Q1 2026'!E32-Actuals!E32)/ABS('Reforecast Q1 2026'!E32)),"")</f>
        <v/>
      </c>
      <c r="N26" s="133" t="n">
        <f aca="false">'Reforecast Q1 2026'!F32</f>
        <v>-26.33</v>
      </c>
      <c r="O26" s="133" t="n">
        <f aca="false">IF(OR(4&gt;$B$3,ISBLANK(Actuals!F32)),"",Actuals!F32)</f>
        <v>0</v>
      </c>
      <c r="P26" s="134" t="n">
        <f aca="false">IF(OR(4&gt;$B$3,ISBLANK(Actuals!F32)),"",'Reforecast Q1 2026'!F32-Actuals!F32)</f>
        <v>-26.33</v>
      </c>
      <c r="Q26" s="134" t="n">
        <f aca="false">IFERROR(IF(OR(4&gt;$B$3,ISBLANK(Actuals!F32)),"",('Reforecast Q1 2026'!F32-Actuals!F32)/ABS('Reforecast Q1 2026'!F32)),"")</f>
        <v>-1</v>
      </c>
      <c r="R26" s="133" t="n">
        <f aca="false">'Reforecast Q1 2026'!G32</f>
        <v>-26.33</v>
      </c>
      <c r="S26" s="133" t="n">
        <f aca="false">IF(OR(5&gt;$B$3,ISBLANK(Actuals!G32)),"",Actuals!G32)</f>
        <v>0</v>
      </c>
      <c r="T26" s="134" t="n">
        <f aca="false">IF(OR(5&gt;$B$3,ISBLANK(Actuals!G32)),"",'Reforecast Q1 2026'!G32-Actuals!G32)</f>
        <v>-26.33</v>
      </c>
      <c r="U26" s="134" t="n">
        <f aca="false">IFERROR(IF(OR(5&gt;$B$3,ISBLANK(Actuals!G32)),"",('Reforecast Q1 2026'!G32-Actuals!G32)/ABS('Reforecast Q1 2026'!G32)),"")</f>
        <v>-1</v>
      </c>
      <c r="V26" s="133" t="n">
        <f aca="false">'Reforecast Q1 2026'!H32</f>
        <v>-26.33</v>
      </c>
      <c r="W26" s="133" t="n">
        <f aca="false">IF(OR(6&gt;$B$3,ISBLANK(Actuals!H32)),"",Actuals!H32)</f>
        <v>0</v>
      </c>
      <c r="X26" s="134" t="n">
        <f aca="false">IF(OR(6&gt;$B$3,ISBLANK(Actuals!H32)),"",'Reforecast Q1 2026'!H32-Actuals!H32)</f>
        <v>-26.33</v>
      </c>
      <c r="Y26" s="134" t="n">
        <f aca="false">IFERROR(IF(OR(6&gt;$B$3,ISBLANK(Actuals!H32)),"",('Reforecast Q1 2026'!H32-Actuals!H32)/ABS('Reforecast Q1 2026'!H32)),"")</f>
        <v>-1</v>
      </c>
      <c r="Z26" s="133" t="n">
        <f aca="false">'Reforecast Q1 2026'!I32</f>
        <v>-26.33</v>
      </c>
      <c r="AA26" s="133" t="n">
        <f aca="false">IF(OR(7&gt;$B$3,ISBLANK(Actuals!I32)),"",Actuals!I32)</f>
        <v>0</v>
      </c>
      <c r="AB26" s="134" t="n">
        <f aca="false">IF(OR(7&gt;$B$3,ISBLANK(Actuals!I32)),"",'Reforecast Q1 2026'!I32-Actuals!I32)</f>
        <v>-26.33</v>
      </c>
      <c r="AC26" s="134" t="n">
        <f aca="false">IFERROR(IF(OR(7&gt;$B$3,ISBLANK(Actuals!I32)),"",('Reforecast Q1 2026'!I32-Actuals!I32)/ABS('Reforecast Q1 2026'!I32)),"")</f>
        <v>-1</v>
      </c>
      <c r="AD26" s="133" t="n">
        <f aca="false">'Reforecast Q1 2026'!J32</f>
        <v>-26.33</v>
      </c>
      <c r="AE26" s="133" t="n">
        <f aca="false">IF(OR(8&gt;$B$3,ISBLANK(Actuals!J32)),"",Actuals!J32)</f>
        <v>-89</v>
      </c>
      <c r="AF26" s="134" t="n">
        <f aca="false">IF(OR(8&gt;$B$3,ISBLANK(Actuals!J32)),"",'Reforecast Q1 2026'!J32-Actuals!J32)</f>
        <v>62.67</v>
      </c>
      <c r="AG26" s="134" t="n">
        <f aca="false">IFERROR(IF(OR(8&gt;$B$3,ISBLANK(Actuals!J32)),"",('Reforecast Q1 2026'!J32-Actuals!J32)/ABS('Reforecast Q1 2026'!J32)),"")</f>
        <v>2.38017470565894</v>
      </c>
      <c r="AH26" s="133" t="n">
        <f aca="false">'Reforecast Q1 2026'!K32</f>
        <v>-26.33</v>
      </c>
      <c r="AI26" s="133" t="str">
        <f aca="false">IF(OR(9&gt;$B$3,ISBLANK(Actuals!K32)),"",Actuals!K32)</f>
        <v/>
      </c>
      <c r="AJ26" s="134" t="str">
        <f aca="false">IF(OR(9&gt;$B$3,ISBLANK(Actuals!K32)),"",'Reforecast Q1 2026'!K32-Actuals!K32)</f>
        <v/>
      </c>
      <c r="AK26" s="134" t="str">
        <f aca="false">IFERROR(IF(OR(9&gt;$B$3,ISBLANK(Actuals!K32)),"",('Reforecast Q1 2026'!K32-Actuals!K32)/ABS('Reforecast Q1 2026'!K32)),"")</f>
        <v/>
      </c>
      <c r="AL26" s="133" t="n">
        <f aca="false">'Reforecast Q1 2026'!L32</f>
        <v>-26.33</v>
      </c>
      <c r="AM26" s="133" t="str">
        <f aca="false">IF(OR(10&gt;$B$3,ISBLANK(Actuals!L32)),"",Actuals!L32)</f>
        <v/>
      </c>
      <c r="AN26" s="134" t="str">
        <f aca="false">IF(OR(10&gt;$B$3,ISBLANK(Actuals!L32)),"",'Reforecast Q1 2026'!L32-Actuals!L32)</f>
        <v/>
      </c>
      <c r="AO26" s="134" t="str">
        <f aca="false">IFERROR(IF(OR(10&gt;$B$3,ISBLANK(Actuals!L32)),"",('Reforecast Q1 2026'!L32-Actuals!L32)/ABS('Reforecast Q1 2026'!L32)),"")</f>
        <v/>
      </c>
      <c r="AP26" s="133" t="n">
        <f aca="false">'Reforecast Q1 2026'!M32</f>
        <v>-26.33</v>
      </c>
      <c r="AQ26" s="133" t="str">
        <f aca="false">IF(OR(11&gt;$B$3,ISBLANK(Actuals!M32)),"",Actuals!M32)</f>
        <v/>
      </c>
      <c r="AR26" s="134" t="str">
        <f aca="false">IF(OR(11&gt;$B$3,ISBLANK(Actuals!M32)),"",'Reforecast Q1 2026'!M32-Actuals!M32)</f>
        <v/>
      </c>
      <c r="AS26" s="134" t="str">
        <f aca="false">IFERROR(IF(OR(11&gt;$B$3,ISBLANK(Actuals!M32)),"",('Reforecast Q1 2026'!M32-Actuals!M32)/ABS('Reforecast Q1 2026'!M32)),"")</f>
        <v/>
      </c>
      <c r="AT26" s="133" t="n">
        <f aca="false">'Reforecast Q1 2026'!N32</f>
        <v>-26.33</v>
      </c>
      <c r="AU26" s="133" t="str">
        <f aca="false">IF(OR(12&gt;$B$3,ISBLANK(Actuals!N32)),"",Actuals!N32)</f>
        <v/>
      </c>
      <c r="AV26" s="134" t="str">
        <f aca="false">IF(OR(12&gt;$B$3,ISBLANK(Actuals!N32)),"",'Reforecast Q1 2026'!N32-Actuals!N32)</f>
        <v/>
      </c>
      <c r="AW26" s="134" t="str">
        <f aca="false">IFERROR(IF(OR(12&gt;$B$3,ISBLANK(Actuals!N32)),"",('Reforecast Q1 2026'!N32-Actuals!N32)/ABS('Reforecast Q1 2026'!N32)),"")</f>
        <v/>
      </c>
      <c r="AX26" s="135" t="n">
        <f aca="false">SUMPRODUCT((Actuals!C32:N32&lt;&gt;"")*('Reforecast Q1 2026'!C32:N32))</f>
        <v>-210.65</v>
      </c>
      <c r="AY26" s="135" t="n">
        <f aca="false">SUM(Actuals!C32:N32)</f>
        <v>-168</v>
      </c>
      <c r="AZ26" s="136" t="n">
        <f aca="false">AX26-AY26</f>
        <v>-42.65</v>
      </c>
    </row>
    <row r="27" customFormat="false" ht="15" hidden="false" customHeight="true" outlineLevel="0" collapsed="false">
      <c r="A27" s="132" t="s">
        <v>76</v>
      </c>
      <c r="B27" s="133" t="n">
        <f aca="false">'Reforecast Q1 2026'!C33</f>
        <v>-3405.64</v>
      </c>
      <c r="C27" s="133" t="n">
        <f aca="false">IF(OR(1&gt;$B$3,ISBLANK(Actuals!C33)),"",Actuals!C33)</f>
        <v>-3405.64</v>
      </c>
      <c r="D27" s="134" t="n">
        <f aca="false">IF(OR(1&gt;$B$3,ISBLANK(Actuals!C33)),"",'Reforecast Q1 2026'!C33-Actuals!C33)</f>
        <v>0</v>
      </c>
      <c r="E27" s="134" t="n">
        <f aca="false">IFERROR(IF(OR(1&gt;$B$3,ISBLANK(Actuals!C33)),"",('Reforecast Q1 2026'!C33-Actuals!C33)/ABS('Reforecast Q1 2026'!C33)),"")</f>
        <v>0</v>
      </c>
      <c r="F27" s="133" t="n">
        <f aca="false">'Reforecast Q1 2026'!D33</f>
        <v>-5015.38</v>
      </c>
      <c r="G27" s="133" t="n">
        <f aca="false">IF(OR(2&gt;$B$3,ISBLANK(Actuals!D33)),"",Actuals!D33)</f>
        <v>-5015.38</v>
      </c>
      <c r="H27" s="134" t="n">
        <f aca="false">IF(OR(2&gt;$B$3,ISBLANK(Actuals!D33)),"",'Reforecast Q1 2026'!D33-Actuals!D33)</f>
        <v>0</v>
      </c>
      <c r="I27" s="134" t="n">
        <f aca="false">IFERROR(IF(OR(2&gt;$B$3,ISBLANK(Actuals!D33)),"",('Reforecast Q1 2026'!D33-Actuals!D33)/ABS('Reforecast Q1 2026'!D33)),"")</f>
        <v>0</v>
      </c>
      <c r="J27" s="133" t="n">
        <f aca="false">'Reforecast Q1 2026'!E33</f>
        <v>-7481.39</v>
      </c>
      <c r="K27" s="133" t="n">
        <f aca="false">IF(OR(3&gt;$B$3,ISBLANK(Actuals!E33)),"",Actuals!E33)</f>
        <v>-7481.39</v>
      </c>
      <c r="L27" s="134" t="n">
        <f aca="false">IF(OR(3&gt;$B$3,ISBLANK(Actuals!E33)),"",'Reforecast Q1 2026'!E33-Actuals!E33)</f>
        <v>0</v>
      </c>
      <c r="M27" s="134" t="n">
        <f aca="false">IFERROR(IF(OR(3&gt;$B$3,ISBLANK(Actuals!E33)),"",('Reforecast Q1 2026'!E33-Actuals!E33)/ABS('Reforecast Q1 2026'!E33)),"")</f>
        <v>0</v>
      </c>
      <c r="N27" s="133" t="n">
        <f aca="false">'Reforecast Q1 2026'!F33</f>
        <v>-5300.8</v>
      </c>
      <c r="O27" s="133" t="n">
        <f aca="false">IF(OR(4&gt;$B$3,ISBLANK(Actuals!F33)),"",Actuals!F33)</f>
        <v>-5111.12</v>
      </c>
      <c r="P27" s="134" t="n">
        <f aca="false">IF(OR(4&gt;$B$3,ISBLANK(Actuals!F33)),"",'Reforecast Q1 2026'!F33-Actuals!F33)</f>
        <v>-189.68</v>
      </c>
      <c r="Q27" s="134" t="n">
        <f aca="false">IFERROR(IF(OR(4&gt;$B$3,ISBLANK(Actuals!F33)),"",('Reforecast Q1 2026'!F33-Actuals!F33)/ABS('Reforecast Q1 2026'!F33)),"")</f>
        <v>-0.0357832779957743</v>
      </c>
      <c r="R27" s="133" t="n">
        <f aca="false">'Reforecast Q1 2026'!G33</f>
        <v>-5300.8</v>
      </c>
      <c r="S27" s="133" t="n">
        <f aca="false">IF(OR(5&gt;$B$3,ISBLANK(Actuals!G33)),"",Actuals!G33)</f>
        <v>-4038.48</v>
      </c>
      <c r="T27" s="134" t="n">
        <f aca="false">IF(OR(5&gt;$B$3,ISBLANK(Actuals!G33)),"",'Reforecast Q1 2026'!G33-Actuals!G33)</f>
        <v>-1262.32</v>
      </c>
      <c r="U27" s="134" t="n">
        <f aca="false">IFERROR(IF(OR(5&gt;$B$3,ISBLANK(Actuals!G33)),"",('Reforecast Q1 2026'!G33-Actuals!G33)/ABS('Reforecast Q1 2026'!G33)),"")</f>
        <v>-0.23813763960157</v>
      </c>
      <c r="V27" s="133" t="n">
        <f aca="false">'Reforecast Q1 2026'!H33</f>
        <v>-5300.8</v>
      </c>
      <c r="W27" s="133" t="n">
        <f aca="false">IF(OR(6&gt;$B$3,ISBLANK(Actuals!H33)),"",Actuals!H33)</f>
        <v>-6114.98</v>
      </c>
      <c r="X27" s="134" t="n">
        <f aca="false">IF(OR(6&gt;$B$3,ISBLANK(Actuals!H33)),"",'Reforecast Q1 2026'!H33-Actuals!H33)</f>
        <v>814.179999999999</v>
      </c>
      <c r="Y27" s="134" t="n">
        <f aca="false">IFERROR(IF(OR(6&gt;$B$3,ISBLANK(Actuals!H33)),"",('Reforecast Q1 2026'!H33-Actuals!H33)/ABS('Reforecast Q1 2026'!H33)),"")</f>
        <v>0.153595683670389</v>
      </c>
      <c r="Z27" s="133" t="n">
        <f aca="false">'Reforecast Q1 2026'!I33</f>
        <v>-5300.8</v>
      </c>
      <c r="AA27" s="133" t="n">
        <f aca="false">IF(OR(7&gt;$B$3,ISBLANK(Actuals!I33)),"",Actuals!I33)</f>
        <v>-12545.93</v>
      </c>
      <c r="AB27" s="134" t="n">
        <f aca="false">IF(OR(7&gt;$B$3,ISBLANK(Actuals!I33)),"",'Reforecast Q1 2026'!I33-Actuals!I33)</f>
        <v>7245.13</v>
      </c>
      <c r="AC27" s="134" t="n">
        <f aca="false">IFERROR(IF(OR(7&gt;$B$3,ISBLANK(Actuals!I33)),"",('Reforecast Q1 2026'!I33-Actuals!I33)/ABS('Reforecast Q1 2026'!I33)),"")</f>
        <v>1.36679935104135</v>
      </c>
      <c r="AD27" s="133" t="n">
        <f aca="false">'Reforecast Q1 2026'!J33</f>
        <v>-5300.8</v>
      </c>
      <c r="AE27" s="133" t="n">
        <f aca="false">IF(OR(8&gt;$B$3,ISBLANK(Actuals!J33)),"",Actuals!J33)</f>
        <v>-5885.72</v>
      </c>
      <c r="AF27" s="134" t="n">
        <f aca="false">IF(OR(8&gt;$B$3,ISBLANK(Actuals!J33)),"",'Reforecast Q1 2026'!J33-Actuals!J33)</f>
        <v>584.92</v>
      </c>
      <c r="AG27" s="134" t="n">
        <f aca="false">IFERROR(IF(OR(8&gt;$B$3,ISBLANK(Actuals!J33)),"",('Reforecast Q1 2026'!J33-Actuals!J33)/ABS('Reforecast Q1 2026'!J33)),"")</f>
        <v>0.110345608210082</v>
      </c>
      <c r="AH27" s="133" t="n">
        <f aca="false">'Reforecast Q1 2026'!K33</f>
        <v>-5300.8</v>
      </c>
      <c r="AI27" s="133" t="str">
        <f aca="false">IF(OR(9&gt;$B$3,ISBLANK(Actuals!K33)),"",Actuals!K33)</f>
        <v/>
      </c>
      <c r="AJ27" s="134" t="str">
        <f aca="false">IF(OR(9&gt;$B$3,ISBLANK(Actuals!K33)),"",'Reforecast Q1 2026'!K33-Actuals!K33)</f>
        <v/>
      </c>
      <c r="AK27" s="134" t="str">
        <f aca="false">IFERROR(IF(OR(9&gt;$B$3,ISBLANK(Actuals!K33)),"",('Reforecast Q1 2026'!K33-Actuals!K33)/ABS('Reforecast Q1 2026'!K33)),"")</f>
        <v/>
      </c>
      <c r="AL27" s="133" t="n">
        <f aca="false">'Reforecast Q1 2026'!L33</f>
        <v>-5300.8</v>
      </c>
      <c r="AM27" s="133" t="str">
        <f aca="false">IF(OR(10&gt;$B$3,ISBLANK(Actuals!L33)),"",Actuals!L33)</f>
        <v/>
      </c>
      <c r="AN27" s="134" t="str">
        <f aca="false">IF(OR(10&gt;$B$3,ISBLANK(Actuals!L33)),"",'Reforecast Q1 2026'!L33-Actuals!L33)</f>
        <v/>
      </c>
      <c r="AO27" s="134" t="str">
        <f aca="false">IFERROR(IF(OR(10&gt;$B$3,ISBLANK(Actuals!L33)),"",('Reforecast Q1 2026'!L33-Actuals!L33)/ABS('Reforecast Q1 2026'!L33)),"")</f>
        <v/>
      </c>
      <c r="AP27" s="133" t="n">
        <f aca="false">'Reforecast Q1 2026'!M33</f>
        <v>-5300.8</v>
      </c>
      <c r="AQ27" s="133" t="str">
        <f aca="false">IF(OR(11&gt;$B$3,ISBLANK(Actuals!M33)),"",Actuals!M33)</f>
        <v/>
      </c>
      <c r="AR27" s="134" t="str">
        <f aca="false">IF(OR(11&gt;$B$3,ISBLANK(Actuals!M33)),"",'Reforecast Q1 2026'!M33-Actuals!M33)</f>
        <v/>
      </c>
      <c r="AS27" s="134" t="str">
        <f aca="false">IFERROR(IF(OR(11&gt;$B$3,ISBLANK(Actuals!M33)),"",('Reforecast Q1 2026'!M33-Actuals!M33)/ABS('Reforecast Q1 2026'!M33)),"")</f>
        <v/>
      </c>
      <c r="AT27" s="133" t="n">
        <f aca="false">'Reforecast Q1 2026'!N33</f>
        <v>-5300.8</v>
      </c>
      <c r="AU27" s="133" t="str">
        <f aca="false">IF(OR(12&gt;$B$3,ISBLANK(Actuals!N33)),"",Actuals!N33)</f>
        <v/>
      </c>
      <c r="AV27" s="134" t="str">
        <f aca="false">IF(OR(12&gt;$B$3,ISBLANK(Actuals!N33)),"",'Reforecast Q1 2026'!N33-Actuals!N33)</f>
        <v/>
      </c>
      <c r="AW27" s="134" t="str">
        <f aca="false">IFERROR(IF(OR(12&gt;$B$3,ISBLANK(Actuals!N33)),"",('Reforecast Q1 2026'!N33-Actuals!N33)/ABS('Reforecast Q1 2026'!N33)),"")</f>
        <v/>
      </c>
      <c r="AX27" s="135" t="n">
        <f aca="false">SUMPRODUCT((Actuals!C33:N33&lt;&gt;"")*('Reforecast Q1 2026'!C33:N33))</f>
        <v>-42406.41</v>
      </c>
      <c r="AY27" s="135" t="n">
        <f aca="false">SUM(Actuals!C33:N33)</f>
        <v>-49598.64</v>
      </c>
      <c r="AZ27" s="136" t="n">
        <f aca="false">AX27-AY27</f>
        <v>7192.23</v>
      </c>
    </row>
    <row r="28" customFormat="false" ht="15" hidden="false" customHeight="true" outlineLevel="0" collapsed="false">
      <c r="A28" s="132" t="s">
        <v>77</v>
      </c>
      <c r="B28" s="133" t="n">
        <f aca="false">'Reforecast Q1 2026'!C34</f>
        <v>0</v>
      </c>
      <c r="C28" s="133" t="n">
        <f aca="false">IF(OR(1&gt;$B$3,ISBLANK(Actuals!C34)),"",Actuals!C34)</f>
        <v>0</v>
      </c>
      <c r="D28" s="134" t="n">
        <f aca="false">IF(OR(1&gt;$B$3,ISBLANK(Actuals!C34)),"",'Reforecast Q1 2026'!C34-Actuals!C34)</f>
        <v>0</v>
      </c>
      <c r="E28" s="134" t="str">
        <f aca="false">IFERROR(IF(OR(1&gt;$B$3,ISBLANK(Actuals!C34)),"",('Reforecast Q1 2026'!C34-Actuals!C34)/ABS('Reforecast Q1 2026'!C34)),"")</f>
        <v/>
      </c>
      <c r="F28" s="133" t="n">
        <f aca="false">'Reforecast Q1 2026'!D34</f>
        <v>-1766.48</v>
      </c>
      <c r="G28" s="133" t="n">
        <f aca="false">IF(OR(2&gt;$B$3,ISBLANK(Actuals!D34)),"",Actuals!D34)</f>
        <v>-1766.48</v>
      </c>
      <c r="H28" s="134" t="n">
        <f aca="false">IF(OR(2&gt;$B$3,ISBLANK(Actuals!D34)),"",'Reforecast Q1 2026'!D34-Actuals!D34)</f>
        <v>0</v>
      </c>
      <c r="I28" s="134" t="n">
        <f aca="false">IFERROR(IF(OR(2&gt;$B$3,ISBLANK(Actuals!D34)),"",('Reforecast Q1 2026'!D34-Actuals!D34)/ABS('Reforecast Q1 2026'!D34)),"")</f>
        <v>0</v>
      </c>
      <c r="J28" s="133" t="n">
        <f aca="false">'Reforecast Q1 2026'!E34</f>
        <v>-441.62</v>
      </c>
      <c r="K28" s="133" t="n">
        <f aca="false">IF(OR(3&gt;$B$3,ISBLANK(Actuals!E34)),"",Actuals!E34)</f>
        <v>-441.62</v>
      </c>
      <c r="L28" s="134" t="n">
        <f aca="false">IF(OR(3&gt;$B$3,ISBLANK(Actuals!E34)),"",'Reforecast Q1 2026'!E34-Actuals!E34)</f>
        <v>0</v>
      </c>
      <c r="M28" s="134" t="n">
        <f aca="false">IFERROR(IF(OR(3&gt;$B$3,ISBLANK(Actuals!E34)),"",('Reforecast Q1 2026'!E34-Actuals!E34)/ABS('Reforecast Q1 2026'!E34)),"")</f>
        <v>0</v>
      </c>
      <c r="N28" s="133" t="n">
        <f aca="false">'Reforecast Q1 2026'!F34</f>
        <v>-736.03</v>
      </c>
      <c r="O28" s="133" t="n">
        <f aca="false">IF(OR(4&gt;$B$3,ISBLANK(Actuals!F34)),"",Actuals!F34)</f>
        <v>-441.62</v>
      </c>
      <c r="P28" s="134" t="n">
        <f aca="false">IF(OR(4&gt;$B$3,ISBLANK(Actuals!F34)),"",'Reforecast Q1 2026'!F34-Actuals!F34)</f>
        <v>-294.41</v>
      </c>
      <c r="Q28" s="134" t="n">
        <f aca="false">IFERROR(IF(OR(4&gt;$B$3,ISBLANK(Actuals!F34)),"",('Reforecast Q1 2026'!F34-Actuals!F34)/ABS('Reforecast Q1 2026'!F34)),"")</f>
        <v>-0.399997282719454</v>
      </c>
      <c r="R28" s="133" t="n">
        <f aca="false">'Reforecast Q1 2026'!G34</f>
        <v>-736.03</v>
      </c>
      <c r="S28" s="133" t="n">
        <f aca="false">IF(OR(5&gt;$B$3,ISBLANK(Actuals!G34)),"",Actuals!G34)</f>
        <v>-578.62</v>
      </c>
      <c r="T28" s="134" t="n">
        <f aca="false">IF(OR(5&gt;$B$3,ISBLANK(Actuals!G34)),"",'Reforecast Q1 2026'!G34-Actuals!G34)</f>
        <v>-157.41</v>
      </c>
      <c r="U28" s="134" t="n">
        <f aca="false">IFERROR(IF(OR(5&gt;$B$3,ISBLANK(Actuals!G34)),"",('Reforecast Q1 2026'!G34-Actuals!G34)/ABS('Reforecast Q1 2026'!G34)),"")</f>
        <v>-0.213863565343804</v>
      </c>
      <c r="V28" s="133" t="n">
        <f aca="false">'Reforecast Q1 2026'!H34</f>
        <v>-736.03</v>
      </c>
      <c r="W28" s="133" t="n">
        <f aca="false">IF(OR(6&gt;$B$3,ISBLANK(Actuals!H34)),"",Actuals!H34)</f>
        <v>-491.62</v>
      </c>
      <c r="X28" s="134" t="n">
        <f aca="false">IF(OR(6&gt;$B$3,ISBLANK(Actuals!H34)),"",'Reforecast Q1 2026'!H34-Actuals!H34)</f>
        <v>-244.41</v>
      </c>
      <c r="Y28" s="134" t="n">
        <f aca="false">IFERROR(IF(OR(6&gt;$B$3,ISBLANK(Actuals!H34)),"",('Reforecast Q1 2026'!H34-Actuals!H34)/ABS('Reforecast Q1 2026'!H34)),"")</f>
        <v>-0.332065269078706</v>
      </c>
      <c r="Z28" s="133" t="n">
        <f aca="false">'Reforecast Q1 2026'!I34</f>
        <v>-736.03</v>
      </c>
      <c r="AA28" s="133" t="n">
        <f aca="false">IF(OR(7&gt;$B$3,ISBLANK(Actuals!I34)),"",Actuals!I34)</f>
        <v>-491.62</v>
      </c>
      <c r="AB28" s="134" t="n">
        <f aca="false">IF(OR(7&gt;$B$3,ISBLANK(Actuals!I34)),"",'Reforecast Q1 2026'!I34-Actuals!I34)</f>
        <v>-244.41</v>
      </c>
      <c r="AC28" s="134" t="n">
        <f aca="false">IFERROR(IF(OR(7&gt;$B$3,ISBLANK(Actuals!I34)),"",('Reforecast Q1 2026'!I34-Actuals!I34)/ABS('Reforecast Q1 2026'!I34)),"")</f>
        <v>-0.332065269078706</v>
      </c>
      <c r="AD28" s="133" t="n">
        <f aca="false">'Reforecast Q1 2026'!J34</f>
        <v>-736.03</v>
      </c>
      <c r="AE28" s="133" t="n">
        <f aca="false">IF(OR(8&gt;$B$3,ISBLANK(Actuals!J34)),"",Actuals!J34)</f>
        <v>-491.62</v>
      </c>
      <c r="AF28" s="134" t="n">
        <f aca="false">IF(OR(8&gt;$B$3,ISBLANK(Actuals!J34)),"",'Reforecast Q1 2026'!J34-Actuals!J34)</f>
        <v>-244.41</v>
      </c>
      <c r="AG28" s="134" t="n">
        <f aca="false">IFERROR(IF(OR(8&gt;$B$3,ISBLANK(Actuals!J34)),"",('Reforecast Q1 2026'!J34-Actuals!J34)/ABS('Reforecast Q1 2026'!J34)),"")</f>
        <v>-0.332065269078706</v>
      </c>
      <c r="AH28" s="133" t="n">
        <f aca="false">'Reforecast Q1 2026'!K34</f>
        <v>-736.03</v>
      </c>
      <c r="AI28" s="133" t="str">
        <f aca="false">IF(OR(9&gt;$B$3,ISBLANK(Actuals!K34)),"",Actuals!K34)</f>
        <v/>
      </c>
      <c r="AJ28" s="134" t="str">
        <f aca="false">IF(OR(9&gt;$B$3,ISBLANK(Actuals!K34)),"",'Reforecast Q1 2026'!K34-Actuals!K34)</f>
        <v/>
      </c>
      <c r="AK28" s="134" t="str">
        <f aca="false">IFERROR(IF(OR(9&gt;$B$3,ISBLANK(Actuals!K34)),"",('Reforecast Q1 2026'!K34-Actuals!K34)/ABS('Reforecast Q1 2026'!K34)),"")</f>
        <v/>
      </c>
      <c r="AL28" s="133" t="n">
        <f aca="false">'Reforecast Q1 2026'!L34</f>
        <v>-736.03</v>
      </c>
      <c r="AM28" s="133" t="str">
        <f aca="false">IF(OR(10&gt;$B$3,ISBLANK(Actuals!L34)),"",Actuals!L34)</f>
        <v/>
      </c>
      <c r="AN28" s="134" t="str">
        <f aca="false">IF(OR(10&gt;$B$3,ISBLANK(Actuals!L34)),"",'Reforecast Q1 2026'!L34-Actuals!L34)</f>
        <v/>
      </c>
      <c r="AO28" s="134" t="str">
        <f aca="false">IFERROR(IF(OR(10&gt;$B$3,ISBLANK(Actuals!L34)),"",('Reforecast Q1 2026'!L34-Actuals!L34)/ABS('Reforecast Q1 2026'!L34)),"")</f>
        <v/>
      </c>
      <c r="AP28" s="133" t="n">
        <f aca="false">'Reforecast Q1 2026'!M34</f>
        <v>-736.03</v>
      </c>
      <c r="AQ28" s="133" t="str">
        <f aca="false">IF(OR(11&gt;$B$3,ISBLANK(Actuals!M34)),"",Actuals!M34)</f>
        <v/>
      </c>
      <c r="AR28" s="134" t="str">
        <f aca="false">IF(OR(11&gt;$B$3,ISBLANK(Actuals!M34)),"",'Reforecast Q1 2026'!M34-Actuals!M34)</f>
        <v/>
      </c>
      <c r="AS28" s="134" t="str">
        <f aca="false">IFERROR(IF(OR(11&gt;$B$3,ISBLANK(Actuals!M34)),"",('Reforecast Q1 2026'!M34-Actuals!M34)/ABS('Reforecast Q1 2026'!M34)),"")</f>
        <v/>
      </c>
      <c r="AT28" s="133" t="n">
        <f aca="false">'Reforecast Q1 2026'!N34</f>
        <v>-736.03</v>
      </c>
      <c r="AU28" s="133" t="str">
        <f aca="false">IF(OR(12&gt;$B$3,ISBLANK(Actuals!N34)),"",Actuals!N34)</f>
        <v/>
      </c>
      <c r="AV28" s="134" t="str">
        <f aca="false">IF(OR(12&gt;$B$3,ISBLANK(Actuals!N34)),"",'Reforecast Q1 2026'!N34-Actuals!N34)</f>
        <v/>
      </c>
      <c r="AW28" s="134" t="str">
        <f aca="false">IFERROR(IF(OR(12&gt;$B$3,ISBLANK(Actuals!N34)),"",('Reforecast Q1 2026'!N34-Actuals!N34)/ABS('Reforecast Q1 2026'!N34)),"")</f>
        <v/>
      </c>
      <c r="AX28" s="135" t="n">
        <f aca="false">SUMPRODUCT((Actuals!C34:N34&lt;&gt;"")*('Reforecast Q1 2026'!C34:N34))</f>
        <v>-5888.25</v>
      </c>
      <c r="AY28" s="135" t="n">
        <f aca="false">SUM(Actuals!C34:N34)</f>
        <v>-4703.2</v>
      </c>
      <c r="AZ28" s="136" t="n">
        <f aca="false">AX28-AY28</f>
        <v>-1185.05</v>
      </c>
    </row>
    <row r="29" customFormat="false" ht="15" hidden="false" customHeight="true" outlineLevel="0" collapsed="false">
      <c r="A29" s="132" t="s">
        <v>78</v>
      </c>
      <c r="B29" s="133" t="n">
        <f aca="false">'Reforecast Q1 2026'!C35</f>
        <v>-681.77</v>
      </c>
      <c r="C29" s="133" t="n">
        <f aca="false">IF(OR(1&gt;$B$3,ISBLANK(Actuals!C35)),"",Actuals!C35)</f>
        <v>-681.77</v>
      </c>
      <c r="D29" s="134" t="n">
        <f aca="false">IF(OR(1&gt;$B$3,ISBLANK(Actuals!C35)),"",'Reforecast Q1 2026'!C35-Actuals!C35)</f>
        <v>0</v>
      </c>
      <c r="E29" s="134" t="n">
        <f aca="false">IFERROR(IF(OR(1&gt;$B$3,ISBLANK(Actuals!C35)),"",('Reforecast Q1 2026'!C35-Actuals!C35)/ABS('Reforecast Q1 2026'!C35)),"")</f>
        <v>0</v>
      </c>
      <c r="F29" s="133" t="n">
        <f aca="false">'Reforecast Q1 2026'!D35</f>
        <v>-600.14</v>
      </c>
      <c r="G29" s="133" t="n">
        <f aca="false">IF(OR(2&gt;$B$3,ISBLANK(Actuals!D35)),"",Actuals!D35)</f>
        <v>-600.14</v>
      </c>
      <c r="H29" s="134" t="n">
        <f aca="false">IF(OR(2&gt;$B$3,ISBLANK(Actuals!D35)),"",'Reforecast Q1 2026'!D35-Actuals!D35)</f>
        <v>0</v>
      </c>
      <c r="I29" s="134" t="n">
        <f aca="false">IFERROR(IF(OR(2&gt;$B$3,ISBLANK(Actuals!D35)),"",('Reforecast Q1 2026'!D35-Actuals!D35)/ABS('Reforecast Q1 2026'!D35)),"")</f>
        <v>0</v>
      </c>
      <c r="J29" s="133" t="n">
        <f aca="false">'Reforecast Q1 2026'!E35</f>
        <v>-2121.95</v>
      </c>
      <c r="K29" s="133" t="n">
        <f aca="false">IF(OR(3&gt;$B$3,ISBLANK(Actuals!E35)),"",Actuals!E35)</f>
        <v>-2121.95</v>
      </c>
      <c r="L29" s="134" t="n">
        <f aca="false">IF(OR(3&gt;$B$3,ISBLANK(Actuals!E35)),"",'Reforecast Q1 2026'!E35-Actuals!E35)</f>
        <v>0</v>
      </c>
      <c r="M29" s="134" t="n">
        <f aca="false">IFERROR(IF(OR(3&gt;$B$3,ISBLANK(Actuals!E35)),"",('Reforecast Q1 2026'!E35-Actuals!E35)/ABS('Reforecast Q1 2026'!E35)),"")</f>
        <v>0</v>
      </c>
      <c r="N29" s="133" t="n">
        <f aca="false">'Reforecast Q1 2026'!F35</f>
        <v>-1134.62</v>
      </c>
      <c r="O29" s="133" t="n">
        <f aca="false">IF(OR(4&gt;$B$3,ISBLANK(Actuals!F35)),"",Actuals!F35)</f>
        <v>-840.49</v>
      </c>
      <c r="P29" s="134" t="n">
        <f aca="false">IF(OR(4&gt;$B$3,ISBLANK(Actuals!F35)),"",'Reforecast Q1 2026'!F35-Actuals!F35)</f>
        <v>-294.13</v>
      </c>
      <c r="Q29" s="134" t="n">
        <f aca="false">IFERROR(IF(OR(4&gt;$B$3,ISBLANK(Actuals!F35)),"",('Reforecast Q1 2026'!F35-Actuals!F35)/ABS('Reforecast Q1 2026'!F35)),"")</f>
        <v>-0.259232165835258</v>
      </c>
      <c r="R29" s="133" t="n">
        <f aca="false">'Reforecast Q1 2026'!G35</f>
        <v>-1134.62</v>
      </c>
      <c r="S29" s="133" t="n">
        <f aca="false">IF(OR(5&gt;$B$3,ISBLANK(Actuals!G35)),"",Actuals!G35)</f>
        <v>-847.85</v>
      </c>
      <c r="T29" s="134" t="n">
        <f aca="false">IF(OR(5&gt;$B$3,ISBLANK(Actuals!G35)),"",'Reforecast Q1 2026'!G35-Actuals!G35)</f>
        <v>-286.77</v>
      </c>
      <c r="U29" s="134" t="n">
        <f aca="false">IFERROR(IF(OR(5&gt;$B$3,ISBLANK(Actuals!G35)),"",('Reforecast Q1 2026'!G35-Actuals!G35)/ABS('Reforecast Q1 2026'!G35)),"")</f>
        <v>-0.252745412561034</v>
      </c>
      <c r="V29" s="133" t="n">
        <f aca="false">'Reforecast Q1 2026'!H35</f>
        <v>-1134.62</v>
      </c>
      <c r="W29" s="133" t="n">
        <f aca="false">IF(OR(6&gt;$B$3,ISBLANK(Actuals!H35)),"",Actuals!H35)</f>
        <v>-486.63</v>
      </c>
      <c r="X29" s="134" t="n">
        <f aca="false">IF(OR(6&gt;$B$3,ISBLANK(Actuals!H35)),"",'Reforecast Q1 2026'!H35-Actuals!H35)</f>
        <v>-647.99</v>
      </c>
      <c r="Y29" s="134" t="n">
        <f aca="false">IFERROR(IF(OR(6&gt;$B$3,ISBLANK(Actuals!H35)),"",('Reforecast Q1 2026'!H35-Actuals!H35)/ABS('Reforecast Q1 2026'!H35)),"")</f>
        <v>-0.571107507359292</v>
      </c>
      <c r="Z29" s="133" t="n">
        <f aca="false">'Reforecast Q1 2026'!I35</f>
        <v>-1134.62</v>
      </c>
      <c r="AA29" s="133" t="n">
        <f aca="false">IF(OR(7&gt;$B$3,ISBLANK(Actuals!I35)),"",Actuals!I35)</f>
        <v>-871.37</v>
      </c>
      <c r="AB29" s="134" t="n">
        <f aca="false">IF(OR(7&gt;$B$3,ISBLANK(Actuals!I35)),"",'Reforecast Q1 2026'!I35-Actuals!I35)</f>
        <v>-263.25</v>
      </c>
      <c r="AC29" s="134" t="n">
        <f aca="false">IFERROR(IF(OR(7&gt;$B$3,ISBLANK(Actuals!I35)),"",('Reforecast Q1 2026'!I35-Actuals!I35)/ABS('Reforecast Q1 2026'!I35)),"")</f>
        <v>-0.232016005358622</v>
      </c>
      <c r="AD29" s="133" t="n">
        <f aca="false">'Reforecast Q1 2026'!J35</f>
        <v>-1134.62</v>
      </c>
      <c r="AE29" s="133" t="n">
        <f aca="false">IF(OR(8&gt;$B$3,ISBLANK(Actuals!J35)),"",Actuals!J35)</f>
        <v>-1025.7</v>
      </c>
      <c r="AF29" s="134" t="n">
        <f aca="false">IF(OR(8&gt;$B$3,ISBLANK(Actuals!J35)),"",'Reforecast Q1 2026'!J35-Actuals!J35)</f>
        <v>-108.92</v>
      </c>
      <c r="AG29" s="134" t="n">
        <f aca="false">IFERROR(IF(OR(8&gt;$B$3,ISBLANK(Actuals!J35)),"",('Reforecast Q1 2026'!J35-Actuals!J35)/ABS('Reforecast Q1 2026'!J35)),"")</f>
        <v>-0.0959968976397383</v>
      </c>
      <c r="AH29" s="133" t="n">
        <f aca="false">'Reforecast Q1 2026'!K35</f>
        <v>-1134.62</v>
      </c>
      <c r="AI29" s="133" t="str">
        <f aca="false">IF(OR(9&gt;$B$3,ISBLANK(Actuals!K35)),"",Actuals!K35)</f>
        <v/>
      </c>
      <c r="AJ29" s="134" t="str">
        <f aca="false">IF(OR(9&gt;$B$3,ISBLANK(Actuals!K35)),"",'Reforecast Q1 2026'!K35-Actuals!K35)</f>
        <v/>
      </c>
      <c r="AK29" s="134" t="str">
        <f aca="false">IFERROR(IF(OR(9&gt;$B$3,ISBLANK(Actuals!K35)),"",('Reforecast Q1 2026'!K35-Actuals!K35)/ABS('Reforecast Q1 2026'!K35)),"")</f>
        <v/>
      </c>
      <c r="AL29" s="133" t="n">
        <f aca="false">'Reforecast Q1 2026'!L35</f>
        <v>-1134.62</v>
      </c>
      <c r="AM29" s="133" t="str">
        <f aca="false">IF(OR(10&gt;$B$3,ISBLANK(Actuals!L35)),"",Actuals!L35)</f>
        <v/>
      </c>
      <c r="AN29" s="134" t="str">
        <f aca="false">IF(OR(10&gt;$B$3,ISBLANK(Actuals!L35)),"",'Reforecast Q1 2026'!L35-Actuals!L35)</f>
        <v/>
      </c>
      <c r="AO29" s="134" t="str">
        <f aca="false">IFERROR(IF(OR(10&gt;$B$3,ISBLANK(Actuals!L35)),"",('Reforecast Q1 2026'!L35-Actuals!L35)/ABS('Reforecast Q1 2026'!L35)),"")</f>
        <v/>
      </c>
      <c r="AP29" s="133" t="n">
        <f aca="false">'Reforecast Q1 2026'!M35</f>
        <v>-1134.62</v>
      </c>
      <c r="AQ29" s="133" t="str">
        <f aca="false">IF(OR(11&gt;$B$3,ISBLANK(Actuals!M35)),"",Actuals!M35)</f>
        <v/>
      </c>
      <c r="AR29" s="134" t="str">
        <f aca="false">IF(OR(11&gt;$B$3,ISBLANK(Actuals!M35)),"",'Reforecast Q1 2026'!M35-Actuals!M35)</f>
        <v/>
      </c>
      <c r="AS29" s="134" t="str">
        <f aca="false">IFERROR(IF(OR(11&gt;$B$3,ISBLANK(Actuals!M35)),"",('Reforecast Q1 2026'!M35-Actuals!M35)/ABS('Reforecast Q1 2026'!M35)),"")</f>
        <v/>
      </c>
      <c r="AT29" s="133" t="n">
        <f aca="false">'Reforecast Q1 2026'!N35</f>
        <v>-1134.62</v>
      </c>
      <c r="AU29" s="133" t="str">
        <f aca="false">IF(OR(12&gt;$B$3,ISBLANK(Actuals!N35)),"",Actuals!N35)</f>
        <v/>
      </c>
      <c r="AV29" s="134" t="str">
        <f aca="false">IF(OR(12&gt;$B$3,ISBLANK(Actuals!N35)),"",'Reforecast Q1 2026'!N35-Actuals!N35)</f>
        <v/>
      </c>
      <c r="AW29" s="134" t="str">
        <f aca="false">IFERROR(IF(OR(12&gt;$B$3,ISBLANK(Actuals!N35)),"",('Reforecast Q1 2026'!N35-Actuals!N35)/ABS('Reforecast Q1 2026'!N35)),"")</f>
        <v/>
      </c>
      <c r="AX29" s="135" t="n">
        <f aca="false">SUMPRODUCT((Actuals!C35:N35&lt;&gt;"")*('Reforecast Q1 2026'!C35:N35))</f>
        <v>-9076.96</v>
      </c>
      <c r="AY29" s="135" t="n">
        <f aca="false">SUM(Actuals!C35:N35)</f>
        <v>-7475.9</v>
      </c>
      <c r="AZ29" s="136" t="n">
        <f aca="false">AX29-AY29</f>
        <v>-1601.06</v>
      </c>
    </row>
    <row r="30" customFormat="false" ht="15" hidden="false" customHeight="true" outlineLevel="0" collapsed="false">
      <c r="A30" s="132" t="s">
        <v>79</v>
      </c>
      <c r="B30" s="133" t="n">
        <f aca="false">'Reforecast Q1 2026'!C36</f>
        <v>-2187.5</v>
      </c>
      <c r="C30" s="133" t="n">
        <f aca="false">IF(OR(1&gt;$B$3,ISBLANK(Actuals!C36)),"",Actuals!C36)</f>
        <v>-2187.5</v>
      </c>
      <c r="D30" s="134" t="n">
        <f aca="false">IF(OR(1&gt;$B$3,ISBLANK(Actuals!C36)),"",'Reforecast Q1 2026'!C36-Actuals!C36)</f>
        <v>0</v>
      </c>
      <c r="E30" s="134" t="n">
        <f aca="false">IFERROR(IF(OR(1&gt;$B$3,ISBLANK(Actuals!C36)),"",('Reforecast Q1 2026'!C36-Actuals!C36)/ABS('Reforecast Q1 2026'!C36)),"")</f>
        <v>0</v>
      </c>
      <c r="F30" s="133" t="n">
        <f aca="false">'Reforecast Q1 2026'!D36</f>
        <v>0</v>
      </c>
      <c r="G30" s="133" t="n">
        <f aca="false">IF(OR(2&gt;$B$3,ISBLANK(Actuals!D36)),"",Actuals!D36)</f>
        <v>0</v>
      </c>
      <c r="H30" s="134" t="n">
        <f aca="false">IF(OR(2&gt;$B$3,ISBLANK(Actuals!D36)),"",'Reforecast Q1 2026'!D36-Actuals!D36)</f>
        <v>0</v>
      </c>
      <c r="I30" s="134" t="str">
        <f aca="false">IFERROR(IF(OR(2&gt;$B$3,ISBLANK(Actuals!D36)),"",('Reforecast Q1 2026'!D36-Actuals!D36)/ABS('Reforecast Q1 2026'!D36)),"")</f>
        <v/>
      </c>
      <c r="J30" s="133" t="n">
        <f aca="false">'Reforecast Q1 2026'!E36</f>
        <v>-1625</v>
      </c>
      <c r="K30" s="133" t="n">
        <f aca="false">IF(OR(3&gt;$B$3,ISBLANK(Actuals!E36)),"",Actuals!E36)</f>
        <v>-1625</v>
      </c>
      <c r="L30" s="134" t="n">
        <f aca="false">IF(OR(3&gt;$B$3,ISBLANK(Actuals!E36)),"",'Reforecast Q1 2026'!E36-Actuals!E36)</f>
        <v>0</v>
      </c>
      <c r="M30" s="134" t="n">
        <f aca="false">IFERROR(IF(OR(3&gt;$B$3,ISBLANK(Actuals!E36)),"",('Reforecast Q1 2026'!E36-Actuals!E36)/ABS('Reforecast Q1 2026'!E36)),"")</f>
        <v>0</v>
      </c>
      <c r="N30" s="133" t="n">
        <f aca="false">'Reforecast Q1 2026'!F36</f>
        <v>-1270.83</v>
      </c>
      <c r="O30" s="133" t="n">
        <f aca="false">IF(OR(4&gt;$B$3,ISBLANK(Actuals!F36)),"",Actuals!F36)</f>
        <v>0</v>
      </c>
      <c r="P30" s="134" t="n">
        <f aca="false">IF(OR(4&gt;$B$3,ISBLANK(Actuals!F36)),"",'Reforecast Q1 2026'!F36-Actuals!F36)</f>
        <v>-1270.83</v>
      </c>
      <c r="Q30" s="134" t="n">
        <f aca="false">IFERROR(IF(OR(4&gt;$B$3,ISBLANK(Actuals!F36)),"",('Reforecast Q1 2026'!F36-Actuals!F36)/ABS('Reforecast Q1 2026'!F36)),"")</f>
        <v>-1</v>
      </c>
      <c r="R30" s="133" t="n">
        <f aca="false">'Reforecast Q1 2026'!G36</f>
        <v>-1270.83</v>
      </c>
      <c r="S30" s="133" t="n">
        <f aca="false">IF(OR(5&gt;$B$3,ISBLANK(Actuals!G36)),"",Actuals!G36)</f>
        <v>0</v>
      </c>
      <c r="T30" s="134" t="n">
        <f aca="false">IF(OR(5&gt;$B$3,ISBLANK(Actuals!G36)),"",'Reforecast Q1 2026'!G36-Actuals!G36)</f>
        <v>-1270.83</v>
      </c>
      <c r="U30" s="134" t="n">
        <f aca="false">IFERROR(IF(OR(5&gt;$B$3,ISBLANK(Actuals!G36)),"",('Reforecast Q1 2026'!G36-Actuals!G36)/ABS('Reforecast Q1 2026'!G36)),"")</f>
        <v>-1</v>
      </c>
      <c r="V30" s="133" t="n">
        <f aca="false">'Reforecast Q1 2026'!H36</f>
        <v>-1270.83</v>
      </c>
      <c r="W30" s="133" t="n">
        <f aca="false">IF(OR(6&gt;$B$3,ISBLANK(Actuals!H36)),"",Actuals!H36)</f>
        <v>0</v>
      </c>
      <c r="X30" s="134" t="n">
        <f aca="false">IF(OR(6&gt;$B$3,ISBLANK(Actuals!H36)),"",'Reforecast Q1 2026'!H36-Actuals!H36)</f>
        <v>-1270.83</v>
      </c>
      <c r="Y30" s="134" t="n">
        <f aca="false">IFERROR(IF(OR(6&gt;$B$3,ISBLANK(Actuals!H36)),"",('Reforecast Q1 2026'!H36-Actuals!H36)/ABS('Reforecast Q1 2026'!H36)),"")</f>
        <v>-1</v>
      </c>
      <c r="Z30" s="133" t="n">
        <f aca="false">'Reforecast Q1 2026'!I36</f>
        <v>-1270.83</v>
      </c>
      <c r="AA30" s="133" t="n">
        <f aca="false">IF(OR(7&gt;$B$3,ISBLANK(Actuals!I36)),"",Actuals!I36)</f>
        <v>0</v>
      </c>
      <c r="AB30" s="134" t="n">
        <f aca="false">IF(OR(7&gt;$B$3,ISBLANK(Actuals!I36)),"",'Reforecast Q1 2026'!I36-Actuals!I36)</f>
        <v>-1270.83</v>
      </c>
      <c r="AC30" s="134" t="n">
        <f aca="false">IFERROR(IF(OR(7&gt;$B$3,ISBLANK(Actuals!I36)),"",('Reforecast Q1 2026'!I36-Actuals!I36)/ABS('Reforecast Q1 2026'!I36)),"")</f>
        <v>-1</v>
      </c>
      <c r="AD30" s="133" t="n">
        <f aca="false">'Reforecast Q1 2026'!J36</f>
        <v>-1270.83</v>
      </c>
      <c r="AE30" s="133" t="n">
        <f aca="false">IF(OR(8&gt;$B$3,ISBLANK(Actuals!J36)),"",Actuals!J36)</f>
        <v>-1560</v>
      </c>
      <c r="AF30" s="134" t="n">
        <f aca="false">IF(OR(8&gt;$B$3,ISBLANK(Actuals!J36)),"",'Reforecast Q1 2026'!J36-Actuals!J36)</f>
        <v>289.17</v>
      </c>
      <c r="AG30" s="134" t="n">
        <f aca="false">IFERROR(IF(OR(8&gt;$B$3,ISBLANK(Actuals!J36)),"",('Reforecast Q1 2026'!J36-Actuals!J36)/ABS('Reforecast Q1 2026'!J36)),"")</f>
        <v>0.227544203394632</v>
      </c>
      <c r="AH30" s="133" t="n">
        <f aca="false">'Reforecast Q1 2026'!K36</f>
        <v>-1270.83</v>
      </c>
      <c r="AI30" s="133" t="str">
        <f aca="false">IF(OR(9&gt;$B$3,ISBLANK(Actuals!K36)),"",Actuals!K36)</f>
        <v/>
      </c>
      <c r="AJ30" s="134" t="str">
        <f aca="false">IF(OR(9&gt;$B$3,ISBLANK(Actuals!K36)),"",'Reforecast Q1 2026'!K36-Actuals!K36)</f>
        <v/>
      </c>
      <c r="AK30" s="134" t="str">
        <f aca="false">IFERROR(IF(OR(9&gt;$B$3,ISBLANK(Actuals!K36)),"",('Reforecast Q1 2026'!K36-Actuals!K36)/ABS('Reforecast Q1 2026'!K36)),"")</f>
        <v/>
      </c>
      <c r="AL30" s="133" t="n">
        <f aca="false">'Reforecast Q1 2026'!L36</f>
        <v>-1270.83</v>
      </c>
      <c r="AM30" s="133" t="str">
        <f aca="false">IF(OR(10&gt;$B$3,ISBLANK(Actuals!L36)),"",Actuals!L36)</f>
        <v/>
      </c>
      <c r="AN30" s="134" t="str">
        <f aca="false">IF(OR(10&gt;$B$3,ISBLANK(Actuals!L36)),"",'Reforecast Q1 2026'!L36-Actuals!L36)</f>
        <v/>
      </c>
      <c r="AO30" s="134" t="str">
        <f aca="false">IFERROR(IF(OR(10&gt;$B$3,ISBLANK(Actuals!L36)),"",('Reforecast Q1 2026'!L36-Actuals!L36)/ABS('Reforecast Q1 2026'!L36)),"")</f>
        <v/>
      </c>
      <c r="AP30" s="133" t="n">
        <f aca="false">'Reforecast Q1 2026'!M36</f>
        <v>-1270.83</v>
      </c>
      <c r="AQ30" s="133" t="str">
        <f aca="false">IF(OR(11&gt;$B$3,ISBLANK(Actuals!M36)),"",Actuals!M36)</f>
        <v/>
      </c>
      <c r="AR30" s="134" t="str">
        <f aca="false">IF(OR(11&gt;$B$3,ISBLANK(Actuals!M36)),"",'Reforecast Q1 2026'!M36-Actuals!M36)</f>
        <v/>
      </c>
      <c r="AS30" s="134" t="str">
        <f aca="false">IFERROR(IF(OR(11&gt;$B$3,ISBLANK(Actuals!M36)),"",('Reforecast Q1 2026'!M36-Actuals!M36)/ABS('Reforecast Q1 2026'!M36)),"")</f>
        <v/>
      </c>
      <c r="AT30" s="133" t="n">
        <f aca="false">'Reforecast Q1 2026'!N36</f>
        <v>-1270.83</v>
      </c>
      <c r="AU30" s="133" t="str">
        <f aca="false">IF(OR(12&gt;$B$3,ISBLANK(Actuals!N36)),"",Actuals!N36)</f>
        <v/>
      </c>
      <c r="AV30" s="134" t="str">
        <f aca="false">IF(OR(12&gt;$B$3,ISBLANK(Actuals!N36)),"",'Reforecast Q1 2026'!N36-Actuals!N36)</f>
        <v/>
      </c>
      <c r="AW30" s="134" t="str">
        <f aca="false">IFERROR(IF(OR(12&gt;$B$3,ISBLANK(Actuals!N36)),"",('Reforecast Q1 2026'!N36-Actuals!N36)/ABS('Reforecast Q1 2026'!N36)),"")</f>
        <v/>
      </c>
      <c r="AX30" s="135" t="n">
        <f aca="false">SUMPRODUCT((Actuals!C36:N36&lt;&gt;"")*('Reforecast Q1 2026'!C36:N36))</f>
        <v>-10166.65</v>
      </c>
      <c r="AY30" s="135" t="n">
        <f aca="false">SUM(Actuals!C36:N36)</f>
        <v>-5372.5</v>
      </c>
      <c r="AZ30" s="136" t="n">
        <f aca="false">AX30-AY30</f>
        <v>-4794.15</v>
      </c>
    </row>
    <row r="31" customFormat="false" ht="15" hidden="false" customHeight="true" outlineLevel="0" collapsed="false">
      <c r="A31" s="132" t="s">
        <v>80</v>
      </c>
      <c r="B31" s="133" t="n">
        <f aca="false">'Reforecast Q1 2026'!C37</f>
        <v>0</v>
      </c>
      <c r="C31" s="133" t="n">
        <f aca="false">IF(OR(1&gt;$B$3,ISBLANK(Actuals!C37)),"",Actuals!C37)</f>
        <v>0</v>
      </c>
      <c r="D31" s="134" t="n">
        <f aca="false">IF(OR(1&gt;$B$3,ISBLANK(Actuals!C37)),"",'Reforecast Q1 2026'!C37-Actuals!C37)</f>
        <v>0</v>
      </c>
      <c r="E31" s="134" t="str">
        <f aca="false">IFERROR(IF(OR(1&gt;$B$3,ISBLANK(Actuals!C37)),"",('Reforecast Q1 2026'!C37-Actuals!C37)/ABS('Reforecast Q1 2026'!C37)),"")</f>
        <v/>
      </c>
      <c r="F31" s="133" t="n">
        <f aca="false">'Reforecast Q1 2026'!D37</f>
        <v>-12349</v>
      </c>
      <c r="G31" s="133" t="n">
        <f aca="false">IF(OR(2&gt;$B$3,ISBLANK(Actuals!D37)),"",Actuals!D37)</f>
        <v>-12349</v>
      </c>
      <c r="H31" s="134" t="n">
        <f aca="false">IF(OR(2&gt;$B$3,ISBLANK(Actuals!D37)),"",'Reforecast Q1 2026'!D37-Actuals!D37)</f>
        <v>0</v>
      </c>
      <c r="I31" s="134" t="n">
        <f aca="false">IFERROR(IF(OR(2&gt;$B$3,ISBLANK(Actuals!D37)),"",('Reforecast Q1 2026'!D37-Actuals!D37)/ABS('Reforecast Q1 2026'!D37)),"")</f>
        <v>0</v>
      </c>
      <c r="J31" s="133" t="n">
        <f aca="false">'Reforecast Q1 2026'!E37</f>
        <v>-5400</v>
      </c>
      <c r="K31" s="133" t="n">
        <f aca="false">IF(OR(3&gt;$B$3,ISBLANK(Actuals!E37)),"",Actuals!E37)</f>
        <v>-5400</v>
      </c>
      <c r="L31" s="134" t="n">
        <f aca="false">IF(OR(3&gt;$B$3,ISBLANK(Actuals!E37)),"",'Reforecast Q1 2026'!E37-Actuals!E37)</f>
        <v>0</v>
      </c>
      <c r="M31" s="134" t="n">
        <f aca="false">IFERROR(IF(OR(3&gt;$B$3,ISBLANK(Actuals!E37)),"",('Reforecast Q1 2026'!E37-Actuals!E37)/ABS('Reforecast Q1 2026'!E37)),"")</f>
        <v>0</v>
      </c>
      <c r="N31" s="133" t="n">
        <f aca="false">'Reforecast Q1 2026'!F37</f>
        <v>-5916.33</v>
      </c>
      <c r="O31" s="133" t="n">
        <f aca="false">IF(OR(4&gt;$B$3,ISBLANK(Actuals!F37)),"",Actuals!F37)</f>
        <v>-4377</v>
      </c>
      <c r="P31" s="134" t="n">
        <f aca="false">IF(OR(4&gt;$B$3,ISBLANK(Actuals!F37)),"",'Reforecast Q1 2026'!F37-Actuals!F37)</f>
        <v>-1539.33</v>
      </c>
      <c r="Q31" s="134" t="n">
        <f aca="false">IFERROR(IF(OR(4&gt;$B$3,ISBLANK(Actuals!F37)),"",('Reforecast Q1 2026'!F37-Actuals!F37)/ABS('Reforecast Q1 2026'!F37)),"")</f>
        <v>-0.260183255497919</v>
      </c>
      <c r="R31" s="133" t="n">
        <f aca="false">'Reforecast Q1 2026'!G37</f>
        <v>-5916.33</v>
      </c>
      <c r="S31" s="133" t="n">
        <f aca="false">IF(OR(5&gt;$B$3,ISBLANK(Actuals!G37)),"",Actuals!G37)</f>
        <v>-11750</v>
      </c>
      <c r="T31" s="134" t="n">
        <f aca="false">IF(OR(5&gt;$B$3,ISBLANK(Actuals!G37)),"",'Reforecast Q1 2026'!G37-Actuals!G37)</f>
        <v>5833.67</v>
      </c>
      <c r="U31" s="134" t="n">
        <f aca="false">IFERROR(IF(OR(5&gt;$B$3,ISBLANK(Actuals!G37)),"",('Reforecast Q1 2026'!G37-Actuals!G37)/ABS('Reforecast Q1 2026'!G37)),"")</f>
        <v>0.986028500776664</v>
      </c>
      <c r="V31" s="133" t="n">
        <f aca="false">'Reforecast Q1 2026'!H37</f>
        <v>-5916.33</v>
      </c>
      <c r="W31" s="133" t="n">
        <f aca="false">IF(OR(6&gt;$B$3,ISBLANK(Actuals!H37)),"",Actuals!H37)</f>
        <v>0</v>
      </c>
      <c r="X31" s="134" t="n">
        <f aca="false">IF(OR(6&gt;$B$3,ISBLANK(Actuals!H37)),"",'Reforecast Q1 2026'!H37-Actuals!H37)</f>
        <v>-5916.33</v>
      </c>
      <c r="Y31" s="134" t="n">
        <f aca="false">IFERROR(IF(OR(6&gt;$B$3,ISBLANK(Actuals!H37)),"",('Reforecast Q1 2026'!H37-Actuals!H37)/ABS('Reforecast Q1 2026'!H37)),"")</f>
        <v>-1</v>
      </c>
      <c r="Z31" s="133" t="n">
        <f aca="false">'Reforecast Q1 2026'!I37</f>
        <v>-5916.33</v>
      </c>
      <c r="AA31" s="133" t="n">
        <f aca="false">IF(OR(7&gt;$B$3,ISBLANK(Actuals!I37)),"",Actuals!I37)</f>
        <v>0</v>
      </c>
      <c r="AB31" s="134" t="n">
        <f aca="false">IF(OR(7&gt;$B$3,ISBLANK(Actuals!I37)),"",'Reforecast Q1 2026'!I37-Actuals!I37)</f>
        <v>-5916.33</v>
      </c>
      <c r="AC31" s="134" t="n">
        <f aca="false">IFERROR(IF(OR(7&gt;$B$3,ISBLANK(Actuals!I37)),"",('Reforecast Q1 2026'!I37-Actuals!I37)/ABS('Reforecast Q1 2026'!I37)),"")</f>
        <v>-1</v>
      </c>
      <c r="AD31" s="133" t="n">
        <f aca="false">'Reforecast Q1 2026'!J37</f>
        <v>-5916.33</v>
      </c>
      <c r="AE31" s="133" t="n">
        <f aca="false">IF(OR(8&gt;$B$3,ISBLANK(Actuals!J37)),"",Actuals!J37)</f>
        <v>-26000</v>
      </c>
      <c r="AF31" s="134" t="n">
        <f aca="false">IF(OR(8&gt;$B$3,ISBLANK(Actuals!J37)),"",'Reforecast Q1 2026'!J37-Actuals!J37)</f>
        <v>20083.67</v>
      </c>
      <c r="AG31" s="134" t="n">
        <f aca="false">IFERROR(IF(OR(8&gt;$B$3,ISBLANK(Actuals!J37)),"",('Reforecast Q1 2026'!J37-Actuals!J37)/ABS('Reforecast Q1 2026'!J37)),"")</f>
        <v>3.39461625703772</v>
      </c>
      <c r="AH31" s="133" t="n">
        <f aca="false">'Reforecast Q1 2026'!K37</f>
        <v>-5916.33</v>
      </c>
      <c r="AI31" s="133" t="str">
        <f aca="false">IF(OR(9&gt;$B$3,ISBLANK(Actuals!K37)),"",Actuals!K37)</f>
        <v/>
      </c>
      <c r="AJ31" s="134" t="str">
        <f aca="false">IF(OR(9&gt;$B$3,ISBLANK(Actuals!K37)),"",'Reforecast Q1 2026'!K37-Actuals!K37)</f>
        <v/>
      </c>
      <c r="AK31" s="134" t="str">
        <f aca="false">IFERROR(IF(OR(9&gt;$B$3,ISBLANK(Actuals!K37)),"",('Reforecast Q1 2026'!K37-Actuals!K37)/ABS('Reforecast Q1 2026'!K37)),"")</f>
        <v/>
      </c>
      <c r="AL31" s="133" t="n">
        <f aca="false">'Reforecast Q1 2026'!L37</f>
        <v>-5916.33</v>
      </c>
      <c r="AM31" s="133" t="str">
        <f aca="false">IF(OR(10&gt;$B$3,ISBLANK(Actuals!L37)),"",Actuals!L37)</f>
        <v/>
      </c>
      <c r="AN31" s="134" t="str">
        <f aca="false">IF(OR(10&gt;$B$3,ISBLANK(Actuals!L37)),"",'Reforecast Q1 2026'!L37-Actuals!L37)</f>
        <v/>
      </c>
      <c r="AO31" s="134" t="str">
        <f aca="false">IFERROR(IF(OR(10&gt;$B$3,ISBLANK(Actuals!L37)),"",('Reforecast Q1 2026'!L37-Actuals!L37)/ABS('Reforecast Q1 2026'!L37)),"")</f>
        <v/>
      </c>
      <c r="AP31" s="133" t="n">
        <f aca="false">'Reforecast Q1 2026'!M37</f>
        <v>-5916.33</v>
      </c>
      <c r="AQ31" s="133" t="str">
        <f aca="false">IF(OR(11&gt;$B$3,ISBLANK(Actuals!M37)),"",Actuals!M37)</f>
        <v/>
      </c>
      <c r="AR31" s="134" t="str">
        <f aca="false">IF(OR(11&gt;$B$3,ISBLANK(Actuals!M37)),"",'Reforecast Q1 2026'!M37-Actuals!M37)</f>
        <v/>
      </c>
      <c r="AS31" s="134" t="str">
        <f aca="false">IFERROR(IF(OR(11&gt;$B$3,ISBLANK(Actuals!M37)),"",('Reforecast Q1 2026'!M37-Actuals!M37)/ABS('Reforecast Q1 2026'!M37)),"")</f>
        <v/>
      </c>
      <c r="AT31" s="133" t="n">
        <f aca="false">'Reforecast Q1 2026'!N37</f>
        <v>-5916.33</v>
      </c>
      <c r="AU31" s="133" t="str">
        <f aca="false">IF(OR(12&gt;$B$3,ISBLANK(Actuals!N37)),"",Actuals!N37)</f>
        <v/>
      </c>
      <c r="AV31" s="134" t="str">
        <f aca="false">IF(OR(12&gt;$B$3,ISBLANK(Actuals!N37)),"",'Reforecast Q1 2026'!N37-Actuals!N37)</f>
        <v/>
      </c>
      <c r="AW31" s="134" t="str">
        <f aca="false">IFERROR(IF(OR(12&gt;$B$3,ISBLANK(Actuals!N37)),"",('Reforecast Q1 2026'!N37-Actuals!N37)/ABS('Reforecast Q1 2026'!N37)),"")</f>
        <v/>
      </c>
      <c r="AX31" s="135" t="n">
        <f aca="false">SUMPRODUCT((Actuals!C37:N37&lt;&gt;"")*('Reforecast Q1 2026'!C37:N37))</f>
        <v>-47330.65</v>
      </c>
      <c r="AY31" s="135" t="n">
        <f aca="false">SUM(Actuals!C37:N37)</f>
        <v>-59876</v>
      </c>
      <c r="AZ31" s="136" t="n">
        <f aca="false">AX31-AY31</f>
        <v>12545.35</v>
      </c>
    </row>
    <row r="32" customFormat="false" ht="15" hidden="false" customHeight="true" outlineLevel="0" collapsed="false">
      <c r="A32" s="132" t="s">
        <v>81</v>
      </c>
      <c r="B32" s="133" t="n">
        <f aca="false">'Reforecast Q1 2026'!C38</f>
        <v>0</v>
      </c>
      <c r="C32" s="133" t="n">
        <f aca="false">IF(OR(1&gt;$B$3,ISBLANK(Actuals!C38)),"",Actuals!C38)</f>
        <v>0</v>
      </c>
      <c r="D32" s="134" t="n">
        <f aca="false">IF(OR(1&gt;$B$3,ISBLANK(Actuals!C38)),"",'Reforecast Q1 2026'!C38-Actuals!C38)</f>
        <v>0</v>
      </c>
      <c r="E32" s="134" t="str">
        <f aca="false">IFERROR(IF(OR(1&gt;$B$3,ISBLANK(Actuals!C38)),"",('Reforecast Q1 2026'!C38-Actuals!C38)/ABS('Reforecast Q1 2026'!C38)),"")</f>
        <v/>
      </c>
      <c r="F32" s="133" t="n">
        <f aca="false">'Reforecast Q1 2026'!D38</f>
        <v>0</v>
      </c>
      <c r="G32" s="133" t="n">
        <f aca="false">IF(OR(2&gt;$B$3,ISBLANK(Actuals!D38)),"",Actuals!D38)</f>
        <v>0</v>
      </c>
      <c r="H32" s="134" t="n">
        <f aca="false">IF(OR(2&gt;$B$3,ISBLANK(Actuals!D38)),"",'Reforecast Q1 2026'!D38-Actuals!D38)</f>
        <v>0</v>
      </c>
      <c r="I32" s="134" t="str">
        <f aca="false">IFERROR(IF(OR(2&gt;$B$3,ISBLANK(Actuals!D38)),"",('Reforecast Q1 2026'!D38-Actuals!D38)/ABS('Reforecast Q1 2026'!D38)),"")</f>
        <v/>
      </c>
      <c r="J32" s="133" t="n">
        <f aca="false">'Reforecast Q1 2026'!E38</f>
        <v>-750.4</v>
      </c>
      <c r="K32" s="133" t="n">
        <f aca="false">IF(OR(3&gt;$B$3,ISBLANK(Actuals!E38)),"",Actuals!E38)</f>
        <v>-750.4</v>
      </c>
      <c r="L32" s="134" t="n">
        <f aca="false">IF(OR(3&gt;$B$3,ISBLANK(Actuals!E38)),"",'Reforecast Q1 2026'!E38-Actuals!E38)</f>
        <v>0</v>
      </c>
      <c r="M32" s="134" t="n">
        <f aca="false">IFERROR(IF(OR(3&gt;$B$3,ISBLANK(Actuals!E38)),"",('Reforecast Q1 2026'!E38-Actuals!E38)/ABS('Reforecast Q1 2026'!E38)),"")</f>
        <v>0</v>
      </c>
      <c r="N32" s="133" t="n">
        <f aca="false">'Reforecast Q1 2026'!F38</f>
        <v>-250.13</v>
      </c>
      <c r="O32" s="133" t="n">
        <f aca="false">IF(OR(4&gt;$B$3,ISBLANK(Actuals!F38)),"",Actuals!F38)</f>
        <v>0</v>
      </c>
      <c r="P32" s="134" t="n">
        <f aca="false">IF(OR(4&gt;$B$3,ISBLANK(Actuals!F38)),"",'Reforecast Q1 2026'!F38-Actuals!F38)</f>
        <v>-250.13</v>
      </c>
      <c r="Q32" s="134" t="n">
        <f aca="false">IFERROR(IF(OR(4&gt;$B$3,ISBLANK(Actuals!F38)),"",('Reforecast Q1 2026'!F38-Actuals!F38)/ABS('Reforecast Q1 2026'!F38)),"")</f>
        <v>-1</v>
      </c>
      <c r="R32" s="133" t="n">
        <f aca="false">'Reforecast Q1 2026'!G38</f>
        <v>-250.13</v>
      </c>
      <c r="S32" s="133" t="n">
        <f aca="false">IF(OR(5&gt;$B$3,ISBLANK(Actuals!G38)),"",Actuals!G38)</f>
        <v>0</v>
      </c>
      <c r="T32" s="134" t="n">
        <f aca="false">IF(OR(5&gt;$B$3,ISBLANK(Actuals!G38)),"",'Reforecast Q1 2026'!G38-Actuals!G38)</f>
        <v>-250.13</v>
      </c>
      <c r="U32" s="134" t="n">
        <f aca="false">IFERROR(IF(OR(5&gt;$B$3,ISBLANK(Actuals!G38)),"",('Reforecast Q1 2026'!G38-Actuals!G38)/ABS('Reforecast Q1 2026'!G38)),"")</f>
        <v>-1</v>
      </c>
      <c r="V32" s="133" t="n">
        <f aca="false">'Reforecast Q1 2026'!H38</f>
        <v>-250.13</v>
      </c>
      <c r="W32" s="133" t="n">
        <f aca="false">IF(OR(6&gt;$B$3,ISBLANK(Actuals!H38)),"",Actuals!H38)</f>
        <v>0</v>
      </c>
      <c r="X32" s="134" t="n">
        <f aca="false">IF(OR(6&gt;$B$3,ISBLANK(Actuals!H38)),"",'Reforecast Q1 2026'!H38-Actuals!H38)</f>
        <v>-250.13</v>
      </c>
      <c r="Y32" s="134" t="n">
        <f aca="false">IFERROR(IF(OR(6&gt;$B$3,ISBLANK(Actuals!H38)),"",('Reforecast Q1 2026'!H38-Actuals!H38)/ABS('Reforecast Q1 2026'!H38)),"")</f>
        <v>-1</v>
      </c>
      <c r="Z32" s="133" t="n">
        <f aca="false">'Reforecast Q1 2026'!I38</f>
        <v>-250.13</v>
      </c>
      <c r="AA32" s="133" t="n">
        <f aca="false">IF(OR(7&gt;$B$3,ISBLANK(Actuals!I38)),"",Actuals!I38)</f>
        <v>0</v>
      </c>
      <c r="AB32" s="134" t="n">
        <f aca="false">IF(OR(7&gt;$B$3,ISBLANK(Actuals!I38)),"",'Reforecast Q1 2026'!I38-Actuals!I38)</f>
        <v>-250.13</v>
      </c>
      <c r="AC32" s="134" t="n">
        <f aca="false">IFERROR(IF(OR(7&gt;$B$3,ISBLANK(Actuals!I38)),"",('Reforecast Q1 2026'!I38-Actuals!I38)/ABS('Reforecast Q1 2026'!I38)),"")</f>
        <v>-1</v>
      </c>
      <c r="AD32" s="133" t="n">
        <f aca="false">'Reforecast Q1 2026'!J38</f>
        <v>-250.13</v>
      </c>
      <c r="AE32" s="133" t="n">
        <f aca="false">IF(OR(8&gt;$B$3,ISBLANK(Actuals!J38)),"",Actuals!J38)</f>
        <v>0</v>
      </c>
      <c r="AF32" s="134" t="n">
        <f aca="false">IF(OR(8&gt;$B$3,ISBLANK(Actuals!J38)),"",'Reforecast Q1 2026'!J38-Actuals!J38)</f>
        <v>-250.13</v>
      </c>
      <c r="AG32" s="134" t="n">
        <f aca="false">IFERROR(IF(OR(8&gt;$B$3,ISBLANK(Actuals!J38)),"",('Reforecast Q1 2026'!J38-Actuals!J38)/ABS('Reforecast Q1 2026'!J38)),"")</f>
        <v>-1</v>
      </c>
      <c r="AH32" s="133" t="n">
        <f aca="false">'Reforecast Q1 2026'!K38</f>
        <v>-250.13</v>
      </c>
      <c r="AI32" s="133" t="str">
        <f aca="false">IF(OR(9&gt;$B$3,ISBLANK(Actuals!K38)),"",Actuals!K38)</f>
        <v/>
      </c>
      <c r="AJ32" s="134" t="str">
        <f aca="false">IF(OR(9&gt;$B$3,ISBLANK(Actuals!K38)),"",'Reforecast Q1 2026'!K38-Actuals!K38)</f>
        <v/>
      </c>
      <c r="AK32" s="134" t="str">
        <f aca="false">IFERROR(IF(OR(9&gt;$B$3,ISBLANK(Actuals!K38)),"",('Reforecast Q1 2026'!K38-Actuals!K38)/ABS('Reforecast Q1 2026'!K38)),"")</f>
        <v/>
      </c>
      <c r="AL32" s="133" t="n">
        <f aca="false">'Reforecast Q1 2026'!L38</f>
        <v>-250.13</v>
      </c>
      <c r="AM32" s="133" t="str">
        <f aca="false">IF(OR(10&gt;$B$3,ISBLANK(Actuals!L38)),"",Actuals!L38)</f>
        <v/>
      </c>
      <c r="AN32" s="134" t="str">
        <f aca="false">IF(OR(10&gt;$B$3,ISBLANK(Actuals!L38)),"",'Reforecast Q1 2026'!L38-Actuals!L38)</f>
        <v/>
      </c>
      <c r="AO32" s="134" t="str">
        <f aca="false">IFERROR(IF(OR(10&gt;$B$3,ISBLANK(Actuals!L38)),"",('Reforecast Q1 2026'!L38-Actuals!L38)/ABS('Reforecast Q1 2026'!L38)),"")</f>
        <v/>
      </c>
      <c r="AP32" s="133" t="n">
        <f aca="false">'Reforecast Q1 2026'!M38</f>
        <v>-250.13</v>
      </c>
      <c r="AQ32" s="133" t="str">
        <f aca="false">IF(OR(11&gt;$B$3,ISBLANK(Actuals!M38)),"",Actuals!M38)</f>
        <v/>
      </c>
      <c r="AR32" s="134" t="str">
        <f aca="false">IF(OR(11&gt;$B$3,ISBLANK(Actuals!M38)),"",'Reforecast Q1 2026'!M38-Actuals!M38)</f>
        <v/>
      </c>
      <c r="AS32" s="134" t="str">
        <f aca="false">IFERROR(IF(OR(11&gt;$B$3,ISBLANK(Actuals!M38)),"",('Reforecast Q1 2026'!M38-Actuals!M38)/ABS('Reforecast Q1 2026'!M38)),"")</f>
        <v/>
      </c>
      <c r="AT32" s="133" t="n">
        <f aca="false">'Reforecast Q1 2026'!N38</f>
        <v>-250.13</v>
      </c>
      <c r="AU32" s="133" t="str">
        <f aca="false">IF(OR(12&gt;$B$3,ISBLANK(Actuals!N38)),"",Actuals!N38)</f>
        <v/>
      </c>
      <c r="AV32" s="134" t="str">
        <f aca="false">IF(OR(12&gt;$B$3,ISBLANK(Actuals!N38)),"",'Reforecast Q1 2026'!N38-Actuals!N38)</f>
        <v/>
      </c>
      <c r="AW32" s="134" t="str">
        <f aca="false">IFERROR(IF(OR(12&gt;$B$3,ISBLANK(Actuals!N38)),"",('Reforecast Q1 2026'!N38-Actuals!N38)/ABS('Reforecast Q1 2026'!N38)),"")</f>
        <v/>
      </c>
      <c r="AX32" s="135" t="n">
        <f aca="false">SUMPRODUCT((Actuals!C38:N38&lt;&gt;"")*('Reforecast Q1 2026'!C38:N38))</f>
        <v>-2001.05</v>
      </c>
      <c r="AY32" s="135" t="n">
        <f aca="false">SUM(Actuals!C38:N38)</f>
        <v>-750.4</v>
      </c>
      <c r="AZ32" s="136" t="n">
        <f aca="false">AX32-AY32</f>
        <v>-1250.65</v>
      </c>
    </row>
    <row r="33" customFormat="false" ht="15" hidden="false" customHeight="true" outlineLevel="0" collapsed="false">
      <c r="A33" s="132" t="s">
        <v>82</v>
      </c>
      <c r="B33" s="133" t="n">
        <f aca="false">'Reforecast Q1 2026'!C39</f>
        <v>-1474.63</v>
      </c>
      <c r="C33" s="133" t="n">
        <f aca="false">IF(OR(1&gt;$B$3,ISBLANK(Actuals!C39)),"",Actuals!C39)</f>
        <v>-1474.63</v>
      </c>
      <c r="D33" s="134" t="n">
        <f aca="false">IF(OR(1&gt;$B$3,ISBLANK(Actuals!C39)),"",'Reforecast Q1 2026'!C39-Actuals!C39)</f>
        <v>0</v>
      </c>
      <c r="E33" s="134" t="n">
        <f aca="false">IFERROR(IF(OR(1&gt;$B$3,ISBLANK(Actuals!C39)),"",('Reforecast Q1 2026'!C39-Actuals!C39)/ABS('Reforecast Q1 2026'!C39)),"")</f>
        <v>0</v>
      </c>
      <c r="F33" s="133" t="n">
        <f aca="false">'Reforecast Q1 2026'!D39</f>
        <v>-1449.33</v>
      </c>
      <c r="G33" s="133" t="n">
        <f aca="false">IF(OR(2&gt;$B$3,ISBLANK(Actuals!D39)),"",Actuals!D39)</f>
        <v>-1449.33</v>
      </c>
      <c r="H33" s="134" t="n">
        <f aca="false">IF(OR(2&gt;$B$3,ISBLANK(Actuals!D39)),"",'Reforecast Q1 2026'!D39-Actuals!D39)</f>
        <v>0</v>
      </c>
      <c r="I33" s="134" t="n">
        <f aca="false">IFERROR(IF(OR(2&gt;$B$3,ISBLANK(Actuals!D39)),"",('Reforecast Q1 2026'!D39-Actuals!D39)/ABS('Reforecast Q1 2026'!D39)),"")</f>
        <v>0</v>
      </c>
      <c r="J33" s="133" t="n">
        <f aca="false">'Reforecast Q1 2026'!E39</f>
        <v>-2328.76</v>
      </c>
      <c r="K33" s="133" t="n">
        <f aca="false">IF(OR(3&gt;$B$3,ISBLANK(Actuals!E39)),"",Actuals!E39)</f>
        <v>-2328.76</v>
      </c>
      <c r="L33" s="134" t="n">
        <f aca="false">IF(OR(3&gt;$B$3,ISBLANK(Actuals!E39)),"",'Reforecast Q1 2026'!E39-Actuals!E39)</f>
        <v>0</v>
      </c>
      <c r="M33" s="134" t="n">
        <f aca="false">IFERROR(IF(OR(3&gt;$B$3,ISBLANK(Actuals!E39)),"",('Reforecast Q1 2026'!E39-Actuals!E39)/ABS('Reforecast Q1 2026'!E39)),"")</f>
        <v>0</v>
      </c>
      <c r="N33" s="133" t="n">
        <f aca="false">'Reforecast Q1 2026'!F39</f>
        <v>-1750.91</v>
      </c>
      <c r="O33" s="133" t="n">
        <f aca="false">IF(OR(4&gt;$B$3,ISBLANK(Actuals!F39)),"",Actuals!F39)</f>
        <v>-2249.56</v>
      </c>
      <c r="P33" s="134" t="n">
        <f aca="false">IF(OR(4&gt;$B$3,ISBLANK(Actuals!F39)),"",'Reforecast Q1 2026'!F39-Actuals!F39)</f>
        <v>498.65</v>
      </c>
      <c r="Q33" s="134" t="n">
        <f aca="false">IFERROR(IF(OR(4&gt;$B$3,ISBLANK(Actuals!F39)),"",('Reforecast Q1 2026'!F39-Actuals!F39)/ABS('Reforecast Q1 2026'!F39)),"")</f>
        <v>0.284794763865647</v>
      </c>
      <c r="R33" s="133" t="n">
        <f aca="false">'Reforecast Q1 2026'!G39</f>
        <v>-1750.91</v>
      </c>
      <c r="S33" s="133" t="n">
        <f aca="false">IF(OR(5&gt;$B$3,ISBLANK(Actuals!G39)),"",Actuals!G39)</f>
        <v>-2759.48</v>
      </c>
      <c r="T33" s="134" t="n">
        <f aca="false">IF(OR(5&gt;$B$3,ISBLANK(Actuals!G39)),"",'Reforecast Q1 2026'!G39-Actuals!G39)</f>
        <v>1008.57</v>
      </c>
      <c r="U33" s="134" t="n">
        <f aca="false">IFERROR(IF(OR(5&gt;$B$3,ISBLANK(Actuals!G39)),"",('Reforecast Q1 2026'!G39-Actuals!G39)/ABS('Reforecast Q1 2026'!G39)),"")</f>
        <v>0.576026180671765</v>
      </c>
      <c r="V33" s="133" t="n">
        <f aca="false">'Reforecast Q1 2026'!H39</f>
        <v>-1750.91</v>
      </c>
      <c r="W33" s="133" t="n">
        <f aca="false">IF(OR(6&gt;$B$3,ISBLANK(Actuals!H39)),"",Actuals!H39)</f>
        <v>-2749.12</v>
      </c>
      <c r="X33" s="134" t="n">
        <f aca="false">IF(OR(6&gt;$B$3,ISBLANK(Actuals!H39)),"",'Reforecast Q1 2026'!H39-Actuals!H39)</f>
        <v>998.21</v>
      </c>
      <c r="Y33" s="134" t="n">
        <f aca="false">IFERROR(IF(OR(6&gt;$B$3,ISBLANK(Actuals!H39)),"",('Reforecast Q1 2026'!H39-Actuals!H39)/ABS('Reforecast Q1 2026'!H39)),"")</f>
        <v>0.570109257471829</v>
      </c>
      <c r="Z33" s="133" t="n">
        <f aca="false">'Reforecast Q1 2026'!I39</f>
        <v>-1750.91</v>
      </c>
      <c r="AA33" s="133" t="n">
        <f aca="false">IF(OR(7&gt;$B$3,ISBLANK(Actuals!I39)),"",Actuals!I39)</f>
        <v>-2384.6</v>
      </c>
      <c r="AB33" s="134" t="n">
        <f aca="false">IF(OR(7&gt;$B$3,ISBLANK(Actuals!I39)),"",'Reforecast Q1 2026'!I39-Actuals!I39)</f>
        <v>633.69</v>
      </c>
      <c r="AC33" s="134" t="n">
        <f aca="false">IFERROR(IF(OR(7&gt;$B$3,ISBLANK(Actuals!I39)),"",('Reforecast Q1 2026'!I39-Actuals!I39)/ABS('Reforecast Q1 2026'!I39)),"")</f>
        <v>0.361920372834697</v>
      </c>
      <c r="AD33" s="133" t="n">
        <f aca="false">'Reforecast Q1 2026'!J39</f>
        <v>-1750.91</v>
      </c>
      <c r="AE33" s="133" t="n">
        <f aca="false">IF(OR(8&gt;$B$3,ISBLANK(Actuals!J39)),"",Actuals!J39)</f>
        <v>-4264.89</v>
      </c>
      <c r="AF33" s="134" t="n">
        <f aca="false">IF(OR(8&gt;$B$3,ISBLANK(Actuals!J39)),"",'Reforecast Q1 2026'!J39-Actuals!J39)</f>
        <v>2513.98</v>
      </c>
      <c r="AG33" s="134" t="n">
        <f aca="false">IFERROR(IF(OR(8&gt;$B$3,ISBLANK(Actuals!J39)),"",('Reforecast Q1 2026'!J39-Actuals!J39)/ABS('Reforecast Q1 2026'!J39)),"")</f>
        <v>1.43581337704394</v>
      </c>
      <c r="AH33" s="133" t="n">
        <f aca="false">'Reforecast Q1 2026'!K39</f>
        <v>-1750.91</v>
      </c>
      <c r="AI33" s="133" t="str">
        <f aca="false">IF(OR(9&gt;$B$3,ISBLANK(Actuals!K39)),"",Actuals!K39)</f>
        <v/>
      </c>
      <c r="AJ33" s="134" t="str">
        <f aca="false">IF(OR(9&gt;$B$3,ISBLANK(Actuals!K39)),"",'Reforecast Q1 2026'!K39-Actuals!K39)</f>
        <v/>
      </c>
      <c r="AK33" s="134" t="str">
        <f aca="false">IFERROR(IF(OR(9&gt;$B$3,ISBLANK(Actuals!K39)),"",('Reforecast Q1 2026'!K39-Actuals!K39)/ABS('Reforecast Q1 2026'!K39)),"")</f>
        <v/>
      </c>
      <c r="AL33" s="133" t="n">
        <f aca="false">'Reforecast Q1 2026'!L39</f>
        <v>-1750.91</v>
      </c>
      <c r="AM33" s="133" t="str">
        <f aca="false">IF(OR(10&gt;$B$3,ISBLANK(Actuals!L39)),"",Actuals!L39)</f>
        <v/>
      </c>
      <c r="AN33" s="134" t="str">
        <f aca="false">IF(OR(10&gt;$B$3,ISBLANK(Actuals!L39)),"",'Reforecast Q1 2026'!L39-Actuals!L39)</f>
        <v/>
      </c>
      <c r="AO33" s="134" t="str">
        <f aca="false">IFERROR(IF(OR(10&gt;$B$3,ISBLANK(Actuals!L39)),"",('Reforecast Q1 2026'!L39-Actuals!L39)/ABS('Reforecast Q1 2026'!L39)),"")</f>
        <v/>
      </c>
      <c r="AP33" s="133" t="n">
        <f aca="false">'Reforecast Q1 2026'!M39</f>
        <v>-1750.91</v>
      </c>
      <c r="AQ33" s="133" t="str">
        <f aca="false">IF(OR(11&gt;$B$3,ISBLANK(Actuals!M39)),"",Actuals!M39)</f>
        <v/>
      </c>
      <c r="AR33" s="134" t="str">
        <f aca="false">IF(OR(11&gt;$B$3,ISBLANK(Actuals!M39)),"",'Reforecast Q1 2026'!M39-Actuals!M39)</f>
        <v/>
      </c>
      <c r="AS33" s="134" t="str">
        <f aca="false">IFERROR(IF(OR(11&gt;$B$3,ISBLANK(Actuals!M39)),"",('Reforecast Q1 2026'!M39-Actuals!M39)/ABS('Reforecast Q1 2026'!M39)),"")</f>
        <v/>
      </c>
      <c r="AT33" s="133" t="n">
        <f aca="false">'Reforecast Q1 2026'!N39</f>
        <v>-1750.91</v>
      </c>
      <c r="AU33" s="133" t="str">
        <f aca="false">IF(OR(12&gt;$B$3,ISBLANK(Actuals!N39)),"",Actuals!N39)</f>
        <v/>
      </c>
      <c r="AV33" s="134" t="str">
        <f aca="false">IF(OR(12&gt;$B$3,ISBLANK(Actuals!N39)),"",'Reforecast Q1 2026'!N39-Actuals!N39)</f>
        <v/>
      </c>
      <c r="AW33" s="134" t="str">
        <f aca="false">IFERROR(IF(OR(12&gt;$B$3,ISBLANK(Actuals!N39)),"",('Reforecast Q1 2026'!N39-Actuals!N39)/ABS('Reforecast Q1 2026'!N39)),"")</f>
        <v/>
      </c>
      <c r="AX33" s="135" t="n">
        <f aca="false">SUMPRODUCT((Actuals!C39:N39&lt;&gt;"")*('Reforecast Q1 2026'!C39:N39))</f>
        <v>-14007.27</v>
      </c>
      <c r="AY33" s="135" t="n">
        <f aca="false">SUM(Actuals!C39:N39)</f>
        <v>-19660.37</v>
      </c>
      <c r="AZ33" s="136" t="n">
        <f aca="false">AX33-AY33</f>
        <v>5653.1</v>
      </c>
    </row>
    <row r="34" customFormat="false" ht="15" hidden="false" customHeight="true" outlineLevel="0" collapsed="false">
      <c r="A34" s="132" t="s">
        <v>83</v>
      </c>
      <c r="B34" s="133" t="n">
        <f aca="false">'Reforecast Q1 2026'!C40</f>
        <v>-1417.61</v>
      </c>
      <c r="C34" s="133" t="n">
        <f aca="false">IF(OR(1&gt;$B$3,ISBLANK(Actuals!C40)),"",Actuals!C40)</f>
        <v>-1417.61</v>
      </c>
      <c r="D34" s="134" t="n">
        <f aca="false">IF(OR(1&gt;$B$3,ISBLANK(Actuals!C40)),"",'Reforecast Q1 2026'!C40-Actuals!C40)</f>
        <v>0</v>
      </c>
      <c r="E34" s="134" t="n">
        <f aca="false">IFERROR(IF(OR(1&gt;$B$3,ISBLANK(Actuals!C40)),"",('Reforecast Q1 2026'!C40-Actuals!C40)/ABS('Reforecast Q1 2026'!C40)),"")</f>
        <v>0</v>
      </c>
      <c r="F34" s="133" t="n">
        <f aca="false">'Reforecast Q1 2026'!D40</f>
        <v>-2730.36</v>
      </c>
      <c r="G34" s="133" t="n">
        <f aca="false">IF(OR(2&gt;$B$3,ISBLANK(Actuals!D40)),"",Actuals!D40)</f>
        <v>-2730.36</v>
      </c>
      <c r="H34" s="134" t="n">
        <f aca="false">IF(OR(2&gt;$B$3,ISBLANK(Actuals!D40)),"",'Reforecast Q1 2026'!D40-Actuals!D40)</f>
        <v>0</v>
      </c>
      <c r="I34" s="134" t="n">
        <f aca="false">IFERROR(IF(OR(2&gt;$B$3,ISBLANK(Actuals!D40)),"",('Reforecast Q1 2026'!D40-Actuals!D40)/ABS('Reforecast Q1 2026'!D40)),"")</f>
        <v>0</v>
      </c>
      <c r="J34" s="133" t="n">
        <f aca="false">'Reforecast Q1 2026'!E40</f>
        <v>-1818.05</v>
      </c>
      <c r="K34" s="133" t="n">
        <f aca="false">IF(OR(3&gt;$B$3,ISBLANK(Actuals!E40)),"",Actuals!E40)</f>
        <v>-1818.05</v>
      </c>
      <c r="L34" s="134" t="n">
        <f aca="false">IF(OR(3&gt;$B$3,ISBLANK(Actuals!E40)),"",'Reforecast Q1 2026'!E40-Actuals!E40)</f>
        <v>0</v>
      </c>
      <c r="M34" s="134" t="n">
        <f aca="false">IFERROR(IF(OR(3&gt;$B$3,ISBLANK(Actuals!E40)),"",('Reforecast Q1 2026'!E40-Actuals!E40)/ABS('Reforecast Q1 2026'!E40)),"")</f>
        <v>0</v>
      </c>
      <c r="N34" s="133" t="n">
        <f aca="false">'Reforecast Q1 2026'!F40</f>
        <v>-1988.67</v>
      </c>
      <c r="O34" s="133" t="n">
        <f aca="false">IF(OR(4&gt;$B$3,ISBLANK(Actuals!F40)),"",Actuals!F40)</f>
        <v>-3307.74</v>
      </c>
      <c r="P34" s="134" t="n">
        <f aca="false">IF(OR(4&gt;$B$3,ISBLANK(Actuals!F40)),"",'Reforecast Q1 2026'!F40-Actuals!F40)</f>
        <v>1319.07</v>
      </c>
      <c r="Q34" s="134" t="n">
        <f aca="false">IFERROR(IF(OR(4&gt;$B$3,ISBLANK(Actuals!F40)),"",('Reforecast Q1 2026'!F40-Actuals!F40)/ABS('Reforecast Q1 2026'!F40)),"")</f>
        <v>0.663292552308829</v>
      </c>
      <c r="R34" s="133" t="n">
        <f aca="false">'Reforecast Q1 2026'!G40</f>
        <v>-1988.67</v>
      </c>
      <c r="S34" s="133" t="n">
        <f aca="false">IF(OR(5&gt;$B$3,ISBLANK(Actuals!G40)),"",Actuals!G40)</f>
        <v>-1257.74</v>
      </c>
      <c r="T34" s="134" t="n">
        <f aca="false">IF(OR(5&gt;$B$3,ISBLANK(Actuals!G40)),"",'Reforecast Q1 2026'!G40-Actuals!G40)</f>
        <v>-730.93</v>
      </c>
      <c r="U34" s="134" t="n">
        <f aca="false">IFERROR(IF(OR(5&gt;$B$3,ISBLANK(Actuals!G40)),"",('Reforecast Q1 2026'!G40-Actuals!G40)/ABS('Reforecast Q1 2026'!G40)),"")</f>
        <v>-0.367547154630985</v>
      </c>
      <c r="V34" s="133" t="n">
        <f aca="false">'Reforecast Q1 2026'!H40</f>
        <v>-1988.67</v>
      </c>
      <c r="W34" s="133" t="n">
        <f aca="false">IF(OR(6&gt;$B$3,ISBLANK(Actuals!H40)),"",Actuals!H40)</f>
        <v>-3372.74</v>
      </c>
      <c r="X34" s="134" t="n">
        <f aca="false">IF(OR(6&gt;$B$3,ISBLANK(Actuals!H40)),"",'Reforecast Q1 2026'!H40-Actuals!H40)</f>
        <v>1384.07</v>
      </c>
      <c r="Y34" s="134" t="n">
        <f aca="false">IFERROR(IF(OR(6&gt;$B$3,ISBLANK(Actuals!H40)),"",('Reforecast Q1 2026'!H40-Actuals!H40)/ABS('Reforecast Q1 2026'!H40)),"")</f>
        <v>0.695977713748385</v>
      </c>
      <c r="Z34" s="133" t="n">
        <f aca="false">'Reforecast Q1 2026'!I40</f>
        <v>-1988.67</v>
      </c>
      <c r="AA34" s="133" t="n">
        <f aca="false">IF(OR(7&gt;$B$3,ISBLANK(Actuals!I40)),"",Actuals!I40)</f>
        <v>-1434.83</v>
      </c>
      <c r="AB34" s="134" t="n">
        <f aca="false">IF(OR(7&gt;$B$3,ISBLANK(Actuals!I40)),"",'Reforecast Q1 2026'!I40-Actuals!I40)</f>
        <v>-553.84</v>
      </c>
      <c r="AC34" s="134" t="n">
        <f aca="false">IFERROR(IF(OR(7&gt;$B$3,ISBLANK(Actuals!I40)),"",('Reforecast Q1 2026'!I40-Actuals!I40)/ABS('Reforecast Q1 2026'!I40)),"")</f>
        <v>-0.278497689410511</v>
      </c>
      <c r="AD34" s="133" t="n">
        <f aca="false">'Reforecast Q1 2026'!J40</f>
        <v>-1988.67</v>
      </c>
      <c r="AE34" s="133" t="n">
        <f aca="false">IF(OR(8&gt;$B$3,ISBLANK(Actuals!J40)),"",Actuals!J40)</f>
        <v>-3520.23</v>
      </c>
      <c r="AF34" s="134" t="n">
        <f aca="false">IF(OR(8&gt;$B$3,ISBLANK(Actuals!J40)),"",'Reforecast Q1 2026'!J40-Actuals!J40)</f>
        <v>1531.56</v>
      </c>
      <c r="AG34" s="134" t="n">
        <f aca="false">IFERROR(IF(OR(8&gt;$B$3,ISBLANK(Actuals!J40)),"",('Reforecast Q1 2026'!J40-Actuals!J40)/ABS('Reforecast Q1 2026'!J40)),"")</f>
        <v>0.770142859297923</v>
      </c>
      <c r="AH34" s="133" t="n">
        <f aca="false">'Reforecast Q1 2026'!K40</f>
        <v>-1988.67</v>
      </c>
      <c r="AI34" s="133" t="str">
        <f aca="false">IF(OR(9&gt;$B$3,ISBLANK(Actuals!K40)),"",Actuals!K40)</f>
        <v/>
      </c>
      <c r="AJ34" s="134" t="str">
        <f aca="false">IF(OR(9&gt;$B$3,ISBLANK(Actuals!K40)),"",'Reforecast Q1 2026'!K40-Actuals!K40)</f>
        <v/>
      </c>
      <c r="AK34" s="134" t="str">
        <f aca="false">IFERROR(IF(OR(9&gt;$B$3,ISBLANK(Actuals!K40)),"",('Reforecast Q1 2026'!K40-Actuals!K40)/ABS('Reforecast Q1 2026'!K40)),"")</f>
        <v/>
      </c>
      <c r="AL34" s="133" t="n">
        <f aca="false">'Reforecast Q1 2026'!L40</f>
        <v>-1988.67</v>
      </c>
      <c r="AM34" s="133" t="str">
        <f aca="false">IF(OR(10&gt;$B$3,ISBLANK(Actuals!L40)),"",Actuals!L40)</f>
        <v/>
      </c>
      <c r="AN34" s="134" t="str">
        <f aca="false">IF(OR(10&gt;$B$3,ISBLANK(Actuals!L40)),"",'Reforecast Q1 2026'!L40-Actuals!L40)</f>
        <v/>
      </c>
      <c r="AO34" s="134" t="str">
        <f aca="false">IFERROR(IF(OR(10&gt;$B$3,ISBLANK(Actuals!L40)),"",('Reforecast Q1 2026'!L40-Actuals!L40)/ABS('Reforecast Q1 2026'!L40)),"")</f>
        <v/>
      </c>
      <c r="AP34" s="133" t="n">
        <f aca="false">'Reforecast Q1 2026'!M40</f>
        <v>-1988.67</v>
      </c>
      <c r="AQ34" s="133" t="str">
        <f aca="false">IF(OR(11&gt;$B$3,ISBLANK(Actuals!M40)),"",Actuals!M40)</f>
        <v/>
      </c>
      <c r="AR34" s="134" t="str">
        <f aca="false">IF(OR(11&gt;$B$3,ISBLANK(Actuals!M40)),"",'Reforecast Q1 2026'!M40-Actuals!M40)</f>
        <v/>
      </c>
      <c r="AS34" s="134" t="str">
        <f aca="false">IFERROR(IF(OR(11&gt;$B$3,ISBLANK(Actuals!M40)),"",('Reforecast Q1 2026'!M40-Actuals!M40)/ABS('Reforecast Q1 2026'!M40)),"")</f>
        <v/>
      </c>
      <c r="AT34" s="133" t="n">
        <f aca="false">'Reforecast Q1 2026'!N40</f>
        <v>-1988.67</v>
      </c>
      <c r="AU34" s="133" t="str">
        <f aca="false">IF(OR(12&gt;$B$3,ISBLANK(Actuals!N40)),"",Actuals!N40)</f>
        <v/>
      </c>
      <c r="AV34" s="134" t="str">
        <f aca="false">IF(OR(12&gt;$B$3,ISBLANK(Actuals!N40)),"",'Reforecast Q1 2026'!N40-Actuals!N40)</f>
        <v/>
      </c>
      <c r="AW34" s="134" t="str">
        <f aca="false">IFERROR(IF(OR(12&gt;$B$3,ISBLANK(Actuals!N40)),"",('Reforecast Q1 2026'!N40-Actuals!N40)/ABS('Reforecast Q1 2026'!N40)),"")</f>
        <v/>
      </c>
      <c r="AX34" s="135" t="n">
        <f aca="false">SUMPRODUCT((Actuals!C40:N40&lt;&gt;"")*('Reforecast Q1 2026'!C40:N40))</f>
        <v>-15909.37</v>
      </c>
      <c r="AY34" s="135" t="n">
        <f aca="false">SUM(Actuals!C40:N40)</f>
        <v>-18859.3</v>
      </c>
      <c r="AZ34" s="136" t="n">
        <f aca="false">AX34-AY34</f>
        <v>2949.93</v>
      </c>
    </row>
    <row r="35" customFormat="false" ht="15" hidden="false" customHeight="true" outlineLevel="0" collapsed="false">
      <c r="A35" s="132" t="s">
        <v>84</v>
      </c>
      <c r="B35" s="133" t="n">
        <f aca="false">'Reforecast Q1 2026'!C41</f>
        <v>0</v>
      </c>
      <c r="C35" s="133" t="n">
        <f aca="false">IF(OR(1&gt;$B$3,ISBLANK(Actuals!C41)),"",Actuals!C41)</f>
        <v>0</v>
      </c>
      <c r="D35" s="134" t="n">
        <f aca="false">IF(OR(1&gt;$B$3,ISBLANK(Actuals!C41)),"",'Reforecast Q1 2026'!C41-Actuals!C41)</f>
        <v>0</v>
      </c>
      <c r="E35" s="134" t="str">
        <f aca="false">IFERROR(IF(OR(1&gt;$B$3,ISBLANK(Actuals!C41)),"",('Reforecast Q1 2026'!C41-Actuals!C41)/ABS('Reforecast Q1 2026'!C41)),"")</f>
        <v/>
      </c>
      <c r="F35" s="133" t="n">
        <f aca="false">'Reforecast Q1 2026'!D41</f>
        <v>0</v>
      </c>
      <c r="G35" s="133" t="n">
        <f aca="false">IF(OR(2&gt;$B$3,ISBLANK(Actuals!D41)),"",Actuals!D41)</f>
        <v>0</v>
      </c>
      <c r="H35" s="134" t="n">
        <f aca="false">IF(OR(2&gt;$B$3,ISBLANK(Actuals!D41)),"",'Reforecast Q1 2026'!D41-Actuals!D41)</f>
        <v>0</v>
      </c>
      <c r="I35" s="134" t="str">
        <f aca="false">IFERROR(IF(OR(2&gt;$B$3,ISBLANK(Actuals!D41)),"",('Reforecast Q1 2026'!D41-Actuals!D41)/ABS('Reforecast Q1 2026'!D41)),"")</f>
        <v/>
      </c>
      <c r="J35" s="133" t="n">
        <f aca="false">'Reforecast Q1 2026'!E41</f>
        <v>-41990</v>
      </c>
      <c r="K35" s="133" t="n">
        <f aca="false">IF(OR(3&gt;$B$3,ISBLANK(Actuals!E41)),"",Actuals!E41)</f>
        <v>-41990</v>
      </c>
      <c r="L35" s="134" t="n">
        <f aca="false">IF(OR(3&gt;$B$3,ISBLANK(Actuals!E41)),"",'Reforecast Q1 2026'!E41-Actuals!E41)</f>
        <v>0</v>
      </c>
      <c r="M35" s="134" t="n">
        <f aca="false">IFERROR(IF(OR(3&gt;$B$3,ISBLANK(Actuals!E41)),"",('Reforecast Q1 2026'!E41-Actuals!E41)/ABS('Reforecast Q1 2026'!E41)),"")</f>
        <v>0</v>
      </c>
      <c r="N35" s="133" t="n">
        <f aca="false">'Reforecast Q1 2026'!F41</f>
        <v>0</v>
      </c>
      <c r="O35" s="133" t="n">
        <f aca="false">IF(OR(4&gt;$B$3,ISBLANK(Actuals!F41)),"",Actuals!F41)</f>
        <v>-42500</v>
      </c>
      <c r="P35" s="134" t="n">
        <f aca="false">IF(OR(4&gt;$B$3,ISBLANK(Actuals!F41)),"",'Reforecast Q1 2026'!F41-Actuals!F41)</f>
        <v>42500</v>
      </c>
      <c r="Q35" s="134" t="str">
        <f aca="false">IFERROR(IF(OR(4&gt;$B$3,ISBLANK(Actuals!F41)),"",('Reforecast Q1 2026'!F41-Actuals!F41)/ABS('Reforecast Q1 2026'!F41)),"")</f>
        <v/>
      </c>
      <c r="R35" s="133" t="n">
        <f aca="false">'Reforecast Q1 2026'!G41</f>
        <v>-44250</v>
      </c>
      <c r="S35" s="133" t="n">
        <f aca="false">IF(OR(5&gt;$B$3,ISBLANK(Actuals!G41)),"",Actuals!G41)</f>
        <v>-21000</v>
      </c>
      <c r="T35" s="134" t="n">
        <f aca="false">IF(OR(5&gt;$B$3,ISBLANK(Actuals!G41)),"",'Reforecast Q1 2026'!G41-Actuals!G41)</f>
        <v>-23250</v>
      </c>
      <c r="U35" s="134" t="n">
        <f aca="false">IFERROR(IF(OR(5&gt;$B$3,ISBLANK(Actuals!G41)),"",('Reforecast Q1 2026'!G41-Actuals!G41)/ABS('Reforecast Q1 2026'!G41)),"")</f>
        <v>-0.525423728813559</v>
      </c>
      <c r="V35" s="133" t="n">
        <f aca="false">'Reforecast Q1 2026'!H41</f>
        <v>-45000</v>
      </c>
      <c r="W35" s="133" t="n">
        <f aca="false">IF(OR(6&gt;$B$3,ISBLANK(Actuals!H41)),"",Actuals!H41)</f>
        <v>0</v>
      </c>
      <c r="X35" s="134" t="n">
        <f aca="false">IF(OR(6&gt;$B$3,ISBLANK(Actuals!H41)),"",'Reforecast Q1 2026'!H41-Actuals!H41)</f>
        <v>-45000</v>
      </c>
      <c r="Y35" s="134" t="n">
        <f aca="false">IFERROR(IF(OR(6&gt;$B$3,ISBLANK(Actuals!H41)),"",('Reforecast Q1 2026'!H41-Actuals!H41)/ABS('Reforecast Q1 2026'!H41)),"")</f>
        <v>-1</v>
      </c>
      <c r="Z35" s="133" t="n">
        <f aca="false">'Reforecast Q1 2026'!I41</f>
        <v>-19500</v>
      </c>
      <c r="AA35" s="133" t="n">
        <f aca="false">IF(OR(7&gt;$B$3,ISBLANK(Actuals!I41)),"",Actuals!I41)</f>
        <v>0</v>
      </c>
      <c r="AB35" s="134" t="n">
        <f aca="false">IF(OR(7&gt;$B$3,ISBLANK(Actuals!I41)),"",'Reforecast Q1 2026'!I41-Actuals!I41)</f>
        <v>-19500</v>
      </c>
      <c r="AC35" s="134" t="n">
        <f aca="false">IFERROR(IF(OR(7&gt;$B$3,ISBLANK(Actuals!I41)),"",('Reforecast Q1 2026'!I41-Actuals!I41)/ABS('Reforecast Q1 2026'!I41)),"")</f>
        <v>-1</v>
      </c>
      <c r="AD35" s="133" t="n">
        <f aca="false">'Reforecast Q1 2026'!J41</f>
        <v>0</v>
      </c>
      <c r="AE35" s="133" t="n">
        <f aca="false">IF(OR(8&gt;$B$3,ISBLANK(Actuals!J41)),"",Actuals!J41)</f>
        <v>0</v>
      </c>
      <c r="AF35" s="134" t="n">
        <f aca="false">IF(OR(8&gt;$B$3,ISBLANK(Actuals!J41)),"",'Reforecast Q1 2026'!J41-Actuals!J41)</f>
        <v>0</v>
      </c>
      <c r="AG35" s="134" t="str">
        <f aca="false">IFERROR(IF(OR(8&gt;$B$3,ISBLANK(Actuals!J41)),"",('Reforecast Q1 2026'!J41-Actuals!J41)/ABS('Reforecast Q1 2026'!J41)),"")</f>
        <v/>
      </c>
      <c r="AH35" s="133" t="n">
        <f aca="false">'Reforecast Q1 2026'!K41</f>
        <v>0</v>
      </c>
      <c r="AI35" s="133" t="str">
        <f aca="false">IF(OR(9&gt;$B$3,ISBLANK(Actuals!K41)),"",Actuals!K41)</f>
        <v/>
      </c>
      <c r="AJ35" s="134" t="str">
        <f aca="false">IF(OR(9&gt;$B$3,ISBLANK(Actuals!K41)),"",'Reforecast Q1 2026'!K41-Actuals!K41)</f>
        <v/>
      </c>
      <c r="AK35" s="134" t="str">
        <f aca="false">IFERROR(IF(OR(9&gt;$B$3,ISBLANK(Actuals!K41)),"",('Reforecast Q1 2026'!K41-Actuals!K41)/ABS('Reforecast Q1 2026'!K41)),"")</f>
        <v/>
      </c>
      <c r="AL35" s="133" t="n">
        <f aca="false">'Reforecast Q1 2026'!L41</f>
        <v>-37500</v>
      </c>
      <c r="AM35" s="133" t="str">
        <f aca="false">IF(OR(10&gt;$B$3,ISBLANK(Actuals!L41)),"",Actuals!L41)</f>
        <v/>
      </c>
      <c r="AN35" s="134" t="str">
        <f aca="false">IF(OR(10&gt;$B$3,ISBLANK(Actuals!L41)),"",'Reforecast Q1 2026'!L41-Actuals!L41)</f>
        <v/>
      </c>
      <c r="AO35" s="134" t="str">
        <f aca="false">IFERROR(IF(OR(10&gt;$B$3,ISBLANK(Actuals!L41)),"",('Reforecast Q1 2026'!L41-Actuals!L41)/ABS('Reforecast Q1 2026'!L41)),"")</f>
        <v/>
      </c>
      <c r="AP35" s="133" t="n">
        <f aca="false">'Reforecast Q1 2026'!M41</f>
        <v>-54000</v>
      </c>
      <c r="AQ35" s="133" t="str">
        <f aca="false">IF(OR(11&gt;$B$3,ISBLANK(Actuals!M41)),"",Actuals!M41)</f>
        <v/>
      </c>
      <c r="AR35" s="134" t="str">
        <f aca="false">IF(OR(11&gt;$B$3,ISBLANK(Actuals!M41)),"",'Reforecast Q1 2026'!M41-Actuals!M41)</f>
        <v/>
      </c>
      <c r="AS35" s="134" t="str">
        <f aca="false">IFERROR(IF(OR(11&gt;$B$3,ISBLANK(Actuals!M41)),"",('Reforecast Q1 2026'!M41-Actuals!M41)/ABS('Reforecast Q1 2026'!M41)),"")</f>
        <v/>
      </c>
      <c r="AT35" s="133" t="n">
        <f aca="false">'Reforecast Q1 2026'!N41</f>
        <v>0</v>
      </c>
      <c r="AU35" s="133" t="str">
        <f aca="false">IF(OR(12&gt;$B$3,ISBLANK(Actuals!N41)),"",Actuals!N41)</f>
        <v/>
      </c>
      <c r="AV35" s="134" t="str">
        <f aca="false">IF(OR(12&gt;$B$3,ISBLANK(Actuals!N41)),"",'Reforecast Q1 2026'!N41-Actuals!N41)</f>
        <v/>
      </c>
      <c r="AW35" s="134" t="str">
        <f aca="false">IFERROR(IF(OR(12&gt;$B$3,ISBLANK(Actuals!N41)),"",('Reforecast Q1 2026'!N41-Actuals!N41)/ABS('Reforecast Q1 2026'!N41)),"")</f>
        <v/>
      </c>
      <c r="AX35" s="135" t="n">
        <f aca="false">SUMPRODUCT((Actuals!C41:N41&lt;&gt;"")*('Reforecast Q1 2026'!C41:N41))</f>
        <v>-150740</v>
      </c>
      <c r="AY35" s="135" t="n">
        <f aca="false">SUM(Actuals!C41:N41)</f>
        <v>-105490</v>
      </c>
      <c r="AZ35" s="136" t="n">
        <f aca="false">AX35-AY35</f>
        <v>-45250</v>
      </c>
    </row>
    <row r="36" customFormat="false" ht="15" hidden="false" customHeight="true" outlineLevel="0" collapsed="false">
      <c r="A36" s="132" t="s">
        <v>85</v>
      </c>
      <c r="B36" s="133" t="n">
        <f aca="false">'Reforecast Q1 2026'!C42</f>
        <v>-165</v>
      </c>
      <c r="C36" s="133" t="n">
        <f aca="false">IF(OR(1&gt;$B$3,ISBLANK(Actuals!C42)),"",Actuals!C42)</f>
        <v>-165</v>
      </c>
      <c r="D36" s="134" t="n">
        <f aca="false">IF(OR(1&gt;$B$3,ISBLANK(Actuals!C42)),"",'Reforecast Q1 2026'!C42-Actuals!C42)</f>
        <v>0</v>
      </c>
      <c r="E36" s="134" t="n">
        <f aca="false">IFERROR(IF(OR(1&gt;$B$3,ISBLANK(Actuals!C42)),"",('Reforecast Q1 2026'!C42-Actuals!C42)/ABS('Reforecast Q1 2026'!C42)),"")</f>
        <v>0</v>
      </c>
      <c r="F36" s="133" t="n">
        <f aca="false">'Reforecast Q1 2026'!D42</f>
        <v>0</v>
      </c>
      <c r="G36" s="133" t="n">
        <f aca="false">IF(OR(2&gt;$B$3,ISBLANK(Actuals!D42)),"",Actuals!D42)</f>
        <v>0</v>
      </c>
      <c r="H36" s="134" t="n">
        <f aca="false">IF(OR(2&gt;$B$3,ISBLANK(Actuals!D42)),"",'Reforecast Q1 2026'!D42-Actuals!D42)</f>
        <v>0</v>
      </c>
      <c r="I36" s="134" t="str">
        <f aca="false">IFERROR(IF(OR(2&gt;$B$3,ISBLANK(Actuals!D42)),"",('Reforecast Q1 2026'!D42-Actuals!D42)/ABS('Reforecast Q1 2026'!D42)),"")</f>
        <v/>
      </c>
      <c r="J36" s="133" t="n">
        <f aca="false">'Reforecast Q1 2026'!E42</f>
        <v>0</v>
      </c>
      <c r="K36" s="133" t="n">
        <f aca="false">IF(OR(3&gt;$B$3,ISBLANK(Actuals!E42)),"",Actuals!E42)</f>
        <v>0</v>
      </c>
      <c r="L36" s="134" t="n">
        <f aca="false">IF(OR(3&gt;$B$3,ISBLANK(Actuals!E42)),"",'Reforecast Q1 2026'!E42-Actuals!E42)</f>
        <v>0</v>
      </c>
      <c r="M36" s="134" t="str">
        <f aca="false">IFERROR(IF(OR(3&gt;$B$3,ISBLANK(Actuals!E42)),"",('Reforecast Q1 2026'!E42-Actuals!E42)/ABS('Reforecast Q1 2026'!E42)),"")</f>
        <v/>
      </c>
      <c r="N36" s="133" t="n">
        <f aca="false">'Reforecast Q1 2026'!F42</f>
        <v>-55</v>
      </c>
      <c r="O36" s="133" t="n">
        <f aca="false">IF(OR(4&gt;$B$3,ISBLANK(Actuals!F42)),"",Actuals!F42)</f>
        <v>-165</v>
      </c>
      <c r="P36" s="134" t="n">
        <f aca="false">IF(OR(4&gt;$B$3,ISBLANK(Actuals!F42)),"",'Reforecast Q1 2026'!F42-Actuals!F42)</f>
        <v>110</v>
      </c>
      <c r="Q36" s="134" t="n">
        <f aca="false">IFERROR(IF(OR(4&gt;$B$3,ISBLANK(Actuals!F42)),"",('Reforecast Q1 2026'!F42-Actuals!F42)/ABS('Reforecast Q1 2026'!F42)),"")</f>
        <v>2</v>
      </c>
      <c r="R36" s="133" t="n">
        <f aca="false">'Reforecast Q1 2026'!G42</f>
        <v>-55</v>
      </c>
      <c r="S36" s="133" t="n">
        <f aca="false">IF(OR(5&gt;$B$3,ISBLANK(Actuals!G42)),"",Actuals!G42)</f>
        <v>0</v>
      </c>
      <c r="T36" s="134" t="n">
        <f aca="false">IF(OR(5&gt;$B$3,ISBLANK(Actuals!G42)),"",'Reforecast Q1 2026'!G42-Actuals!G42)</f>
        <v>-55</v>
      </c>
      <c r="U36" s="134" t="n">
        <f aca="false">IFERROR(IF(OR(5&gt;$B$3,ISBLANK(Actuals!G42)),"",('Reforecast Q1 2026'!G42-Actuals!G42)/ABS('Reforecast Q1 2026'!G42)),"")</f>
        <v>-1</v>
      </c>
      <c r="V36" s="133" t="n">
        <f aca="false">'Reforecast Q1 2026'!H42</f>
        <v>-55</v>
      </c>
      <c r="W36" s="133" t="n">
        <f aca="false">IF(OR(6&gt;$B$3,ISBLANK(Actuals!H42)),"",Actuals!H42)</f>
        <v>-165</v>
      </c>
      <c r="X36" s="134" t="n">
        <f aca="false">IF(OR(6&gt;$B$3,ISBLANK(Actuals!H42)),"",'Reforecast Q1 2026'!H42-Actuals!H42)</f>
        <v>110</v>
      </c>
      <c r="Y36" s="134" t="n">
        <f aca="false">IFERROR(IF(OR(6&gt;$B$3,ISBLANK(Actuals!H42)),"",('Reforecast Q1 2026'!H42-Actuals!H42)/ABS('Reforecast Q1 2026'!H42)),"")</f>
        <v>2</v>
      </c>
      <c r="Z36" s="133" t="n">
        <f aca="false">'Reforecast Q1 2026'!I42</f>
        <v>-55</v>
      </c>
      <c r="AA36" s="133" t="n">
        <f aca="false">IF(OR(7&gt;$B$3,ISBLANK(Actuals!I42)),"",Actuals!I42)</f>
        <v>0</v>
      </c>
      <c r="AB36" s="134" t="n">
        <f aca="false">IF(OR(7&gt;$B$3,ISBLANK(Actuals!I42)),"",'Reforecast Q1 2026'!I42-Actuals!I42)</f>
        <v>-55</v>
      </c>
      <c r="AC36" s="134" t="n">
        <f aca="false">IFERROR(IF(OR(7&gt;$B$3,ISBLANK(Actuals!I42)),"",('Reforecast Q1 2026'!I42-Actuals!I42)/ABS('Reforecast Q1 2026'!I42)),"")</f>
        <v>-1</v>
      </c>
      <c r="AD36" s="133" t="n">
        <f aca="false">'Reforecast Q1 2026'!J42</f>
        <v>-55</v>
      </c>
      <c r="AE36" s="133" t="n">
        <f aca="false">IF(OR(8&gt;$B$3,ISBLANK(Actuals!J42)),"",Actuals!J42)</f>
        <v>0</v>
      </c>
      <c r="AF36" s="134" t="n">
        <f aca="false">IF(OR(8&gt;$B$3,ISBLANK(Actuals!J42)),"",'Reforecast Q1 2026'!J42-Actuals!J42)</f>
        <v>-55</v>
      </c>
      <c r="AG36" s="134" t="n">
        <f aca="false">IFERROR(IF(OR(8&gt;$B$3,ISBLANK(Actuals!J42)),"",('Reforecast Q1 2026'!J42-Actuals!J42)/ABS('Reforecast Q1 2026'!J42)),"")</f>
        <v>-1</v>
      </c>
      <c r="AH36" s="133" t="n">
        <f aca="false">'Reforecast Q1 2026'!K42</f>
        <v>-55</v>
      </c>
      <c r="AI36" s="133" t="str">
        <f aca="false">IF(OR(9&gt;$B$3,ISBLANK(Actuals!K42)),"",Actuals!K42)</f>
        <v/>
      </c>
      <c r="AJ36" s="134" t="str">
        <f aca="false">IF(OR(9&gt;$B$3,ISBLANK(Actuals!K42)),"",'Reforecast Q1 2026'!K42-Actuals!K42)</f>
        <v/>
      </c>
      <c r="AK36" s="134" t="str">
        <f aca="false">IFERROR(IF(OR(9&gt;$B$3,ISBLANK(Actuals!K42)),"",('Reforecast Q1 2026'!K42-Actuals!K42)/ABS('Reforecast Q1 2026'!K42)),"")</f>
        <v/>
      </c>
      <c r="AL36" s="133" t="n">
        <f aca="false">'Reforecast Q1 2026'!L42</f>
        <v>-55</v>
      </c>
      <c r="AM36" s="133" t="str">
        <f aca="false">IF(OR(10&gt;$B$3,ISBLANK(Actuals!L42)),"",Actuals!L42)</f>
        <v/>
      </c>
      <c r="AN36" s="134" t="str">
        <f aca="false">IF(OR(10&gt;$B$3,ISBLANK(Actuals!L42)),"",'Reforecast Q1 2026'!L42-Actuals!L42)</f>
        <v/>
      </c>
      <c r="AO36" s="134" t="str">
        <f aca="false">IFERROR(IF(OR(10&gt;$B$3,ISBLANK(Actuals!L42)),"",('Reforecast Q1 2026'!L42-Actuals!L42)/ABS('Reforecast Q1 2026'!L42)),"")</f>
        <v/>
      </c>
      <c r="AP36" s="133" t="n">
        <f aca="false">'Reforecast Q1 2026'!M42</f>
        <v>-55</v>
      </c>
      <c r="AQ36" s="133" t="str">
        <f aca="false">IF(OR(11&gt;$B$3,ISBLANK(Actuals!M42)),"",Actuals!M42)</f>
        <v/>
      </c>
      <c r="AR36" s="134" t="str">
        <f aca="false">IF(OR(11&gt;$B$3,ISBLANK(Actuals!M42)),"",'Reforecast Q1 2026'!M42-Actuals!M42)</f>
        <v/>
      </c>
      <c r="AS36" s="134" t="str">
        <f aca="false">IFERROR(IF(OR(11&gt;$B$3,ISBLANK(Actuals!M42)),"",('Reforecast Q1 2026'!M42-Actuals!M42)/ABS('Reforecast Q1 2026'!M42)),"")</f>
        <v/>
      </c>
      <c r="AT36" s="133" t="n">
        <f aca="false">'Reforecast Q1 2026'!N42</f>
        <v>-55</v>
      </c>
      <c r="AU36" s="133" t="str">
        <f aca="false">IF(OR(12&gt;$B$3,ISBLANK(Actuals!N42)),"",Actuals!N42)</f>
        <v/>
      </c>
      <c r="AV36" s="134" t="str">
        <f aca="false">IF(OR(12&gt;$B$3,ISBLANK(Actuals!N42)),"",'Reforecast Q1 2026'!N42-Actuals!N42)</f>
        <v/>
      </c>
      <c r="AW36" s="134" t="str">
        <f aca="false">IFERROR(IF(OR(12&gt;$B$3,ISBLANK(Actuals!N42)),"",('Reforecast Q1 2026'!N42-Actuals!N42)/ABS('Reforecast Q1 2026'!N42)),"")</f>
        <v/>
      </c>
      <c r="AX36" s="135" t="n">
        <f aca="false">SUMPRODUCT((Actuals!C42:N42&lt;&gt;"")*('Reforecast Q1 2026'!C42:N42))</f>
        <v>-440</v>
      </c>
      <c r="AY36" s="135" t="n">
        <f aca="false">SUM(Actuals!C42:N42)</f>
        <v>-495</v>
      </c>
      <c r="AZ36" s="136" t="n">
        <f aca="false">AX36-AY36</f>
        <v>55</v>
      </c>
    </row>
    <row r="37" customFormat="false" ht="15" hidden="false" customHeight="true" outlineLevel="0" collapsed="false">
      <c r="A37" s="132" t="s">
        <v>86</v>
      </c>
      <c r="B37" s="133" t="n">
        <f aca="false">'Reforecast Q1 2026'!C43</f>
        <v>0</v>
      </c>
      <c r="C37" s="133" t="n">
        <f aca="false">IF(OR(1&gt;$B$3,ISBLANK(Actuals!C43)),"",Actuals!C43)</f>
        <v>0</v>
      </c>
      <c r="D37" s="134" t="n">
        <f aca="false">IF(OR(1&gt;$B$3,ISBLANK(Actuals!C43)),"",'Reforecast Q1 2026'!C43-Actuals!C43)</f>
        <v>0</v>
      </c>
      <c r="E37" s="134" t="str">
        <f aca="false">IFERROR(IF(OR(1&gt;$B$3,ISBLANK(Actuals!C43)),"",('Reforecast Q1 2026'!C43-Actuals!C43)/ABS('Reforecast Q1 2026'!C43)),"")</f>
        <v/>
      </c>
      <c r="F37" s="133" t="n">
        <f aca="false">'Reforecast Q1 2026'!D43</f>
        <v>0</v>
      </c>
      <c r="G37" s="133" t="n">
        <f aca="false">IF(OR(2&gt;$B$3,ISBLANK(Actuals!D43)),"",Actuals!D43)</f>
        <v>0</v>
      </c>
      <c r="H37" s="134" t="n">
        <f aca="false">IF(OR(2&gt;$B$3,ISBLANK(Actuals!D43)),"",'Reforecast Q1 2026'!D43-Actuals!D43)</f>
        <v>0</v>
      </c>
      <c r="I37" s="134" t="str">
        <f aca="false">IFERROR(IF(OR(2&gt;$B$3,ISBLANK(Actuals!D43)),"",('Reforecast Q1 2026'!D43-Actuals!D43)/ABS('Reforecast Q1 2026'!D43)),"")</f>
        <v/>
      </c>
      <c r="J37" s="133" t="n">
        <f aca="false">'Reforecast Q1 2026'!E43</f>
        <v>0</v>
      </c>
      <c r="K37" s="133" t="n">
        <f aca="false">IF(OR(3&gt;$B$3,ISBLANK(Actuals!E43)),"",Actuals!E43)</f>
        <v>0</v>
      </c>
      <c r="L37" s="134" t="n">
        <f aca="false">IF(OR(3&gt;$B$3,ISBLANK(Actuals!E43)),"",'Reforecast Q1 2026'!E43-Actuals!E43)</f>
        <v>0</v>
      </c>
      <c r="M37" s="134" t="str">
        <f aca="false">IFERROR(IF(OR(3&gt;$B$3,ISBLANK(Actuals!E43)),"",('Reforecast Q1 2026'!E43-Actuals!E43)/ABS('Reforecast Q1 2026'!E43)),"")</f>
        <v/>
      </c>
      <c r="N37" s="133" t="n">
        <f aca="false">'Reforecast Q1 2026'!F43</f>
        <v>0</v>
      </c>
      <c r="O37" s="133" t="n">
        <f aca="false">IF(OR(4&gt;$B$3,ISBLANK(Actuals!F43)),"",Actuals!F43)</f>
        <v>-1036.49</v>
      </c>
      <c r="P37" s="134" t="n">
        <f aca="false">IF(OR(4&gt;$B$3,ISBLANK(Actuals!F43)),"",'Reforecast Q1 2026'!F43-Actuals!F43)</f>
        <v>1036.49</v>
      </c>
      <c r="Q37" s="134" t="str">
        <f aca="false">IFERROR(IF(OR(4&gt;$B$3,ISBLANK(Actuals!F43)),"",('Reforecast Q1 2026'!F43-Actuals!F43)/ABS('Reforecast Q1 2026'!F43)),"")</f>
        <v/>
      </c>
      <c r="R37" s="133" t="n">
        <f aca="false">'Reforecast Q1 2026'!G43</f>
        <v>0</v>
      </c>
      <c r="S37" s="133" t="n">
        <f aca="false">IF(OR(5&gt;$B$3,ISBLANK(Actuals!G43)),"",Actuals!G43)</f>
        <v>0</v>
      </c>
      <c r="T37" s="134" t="n">
        <f aca="false">IF(OR(5&gt;$B$3,ISBLANK(Actuals!G43)),"",'Reforecast Q1 2026'!G43-Actuals!G43)</f>
        <v>0</v>
      </c>
      <c r="U37" s="134" t="str">
        <f aca="false">IFERROR(IF(OR(5&gt;$B$3,ISBLANK(Actuals!G43)),"",('Reforecast Q1 2026'!G43-Actuals!G43)/ABS('Reforecast Q1 2026'!G43)),"")</f>
        <v/>
      </c>
      <c r="V37" s="133" t="n">
        <f aca="false">'Reforecast Q1 2026'!H43</f>
        <v>0</v>
      </c>
      <c r="W37" s="133" t="n">
        <f aca="false">IF(OR(6&gt;$B$3,ISBLANK(Actuals!H43)),"",Actuals!H43)</f>
        <v>-4308.58</v>
      </c>
      <c r="X37" s="134" t="n">
        <f aca="false">IF(OR(6&gt;$B$3,ISBLANK(Actuals!H43)),"",'Reforecast Q1 2026'!H43-Actuals!H43)</f>
        <v>4308.58</v>
      </c>
      <c r="Y37" s="134" t="str">
        <f aca="false">IFERROR(IF(OR(6&gt;$B$3,ISBLANK(Actuals!H43)),"",('Reforecast Q1 2026'!H43-Actuals!H43)/ABS('Reforecast Q1 2026'!H43)),"")</f>
        <v/>
      </c>
      <c r="Z37" s="133" t="n">
        <f aca="false">'Reforecast Q1 2026'!I43</f>
        <v>0</v>
      </c>
      <c r="AA37" s="133" t="n">
        <f aca="false">IF(OR(7&gt;$B$3,ISBLANK(Actuals!I43)),"",Actuals!I43)</f>
        <v>-362.98</v>
      </c>
      <c r="AB37" s="134" t="n">
        <f aca="false">IF(OR(7&gt;$B$3,ISBLANK(Actuals!I43)),"",'Reforecast Q1 2026'!I43-Actuals!I43)</f>
        <v>362.98</v>
      </c>
      <c r="AC37" s="134" t="str">
        <f aca="false">IFERROR(IF(OR(7&gt;$B$3,ISBLANK(Actuals!I43)),"",('Reforecast Q1 2026'!I43-Actuals!I43)/ABS('Reforecast Q1 2026'!I43)),"")</f>
        <v/>
      </c>
      <c r="AD37" s="133" t="n">
        <f aca="false">'Reforecast Q1 2026'!J43</f>
        <v>0</v>
      </c>
      <c r="AE37" s="133" t="n">
        <f aca="false">IF(OR(8&gt;$B$3,ISBLANK(Actuals!J43)),"",Actuals!J43)</f>
        <v>0</v>
      </c>
      <c r="AF37" s="134" t="n">
        <f aca="false">IF(OR(8&gt;$B$3,ISBLANK(Actuals!J43)),"",'Reforecast Q1 2026'!J43-Actuals!J43)</f>
        <v>0</v>
      </c>
      <c r="AG37" s="134" t="str">
        <f aca="false">IFERROR(IF(OR(8&gt;$B$3,ISBLANK(Actuals!J43)),"",('Reforecast Q1 2026'!J43-Actuals!J43)/ABS('Reforecast Q1 2026'!J43)),"")</f>
        <v/>
      </c>
      <c r="AH37" s="133" t="n">
        <f aca="false">'Reforecast Q1 2026'!K43</f>
        <v>0</v>
      </c>
      <c r="AI37" s="133" t="str">
        <f aca="false">IF(OR(9&gt;$B$3,ISBLANK(Actuals!K43)),"",Actuals!K43)</f>
        <v/>
      </c>
      <c r="AJ37" s="134" t="str">
        <f aca="false">IF(OR(9&gt;$B$3,ISBLANK(Actuals!K43)),"",'Reforecast Q1 2026'!K43-Actuals!K43)</f>
        <v/>
      </c>
      <c r="AK37" s="134" t="str">
        <f aca="false">IFERROR(IF(OR(9&gt;$B$3,ISBLANK(Actuals!K43)),"",('Reforecast Q1 2026'!K43-Actuals!K43)/ABS('Reforecast Q1 2026'!K43)),"")</f>
        <v/>
      </c>
      <c r="AL37" s="133" t="n">
        <f aca="false">'Reforecast Q1 2026'!L43</f>
        <v>0</v>
      </c>
      <c r="AM37" s="133" t="str">
        <f aca="false">IF(OR(10&gt;$B$3,ISBLANK(Actuals!L43)),"",Actuals!L43)</f>
        <v/>
      </c>
      <c r="AN37" s="134" t="str">
        <f aca="false">IF(OR(10&gt;$B$3,ISBLANK(Actuals!L43)),"",'Reforecast Q1 2026'!L43-Actuals!L43)</f>
        <v/>
      </c>
      <c r="AO37" s="134" t="str">
        <f aca="false">IFERROR(IF(OR(10&gt;$B$3,ISBLANK(Actuals!L43)),"",('Reforecast Q1 2026'!L43-Actuals!L43)/ABS('Reforecast Q1 2026'!L43)),"")</f>
        <v/>
      </c>
      <c r="AP37" s="133" t="n">
        <f aca="false">'Reforecast Q1 2026'!M43</f>
        <v>0</v>
      </c>
      <c r="AQ37" s="133" t="str">
        <f aca="false">IF(OR(11&gt;$B$3,ISBLANK(Actuals!M43)),"",Actuals!M43)</f>
        <v/>
      </c>
      <c r="AR37" s="134" t="str">
        <f aca="false">IF(OR(11&gt;$B$3,ISBLANK(Actuals!M43)),"",'Reforecast Q1 2026'!M43-Actuals!M43)</f>
        <v/>
      </c>
      <c r="AS37" s="134" t="str">
        <f aca="false">IFERROR(IF(OR(11&gt;$B$3,ISBLANK(Actuals!M43)),"",('Reforecast Q1 2026'!M43-Actuals!M43)/ABS('Reforecast Q1 2026'!M43)),"")</f>
        <v/>
      </c>
      <c r="AT37" s="133" t="n">
        <f aca="false">'Reforecast Q1 2026'!N43</f>
        <v>0</v>
      </c>
      <c r="AU37" s="133" t="str">
        <f aca="false">IF(OR(12&gt;$B$3,ISBLANK(Actuals!N43)),"",Actuals!N43)</f>
        <v/>
      </c>
      <c r="AV37" s="134" t="str">
        <f aca="false">IF(OR(12&gt;$B$3,ISBLANK(Actuals!N43)),"",'Reforecast Q1 2026'!N43-Actuals!N43)</f>
        <v/>
      </c>
      <c r="AW37" s="134" t="str">
        <f aca="false">IFERROR(IF(OR(12&gt;$B$3,ISBLANK(Actuals!N43)),"",('Reforecast Q1 2026'!N43-Actuals!N43)/ABS('Reforecast Q1 2026'!N43)),"")</f>
        <v/>
      </c>
      <c r="AX37" s="135" t="n">
        <f aca="false">SUMPRODUCT((Actuals!C43:N43&lt;&gt;"")*('Reforecast Q1 2026'!C43:N43))</f>
        <v>0</v>
      </c>
      <c r="AY37" s="135" t="n">
        <f aca="false">SUM(Actuals!C43:N43)</f>
        <v>-5708.05</v>
      </c>
      <c r="AZ37" s="136" t="n">
        <f aca="false">AX37-AY37</f>
        <v>5708.05</v>
      </c>
    </row>
    <row r="38" customFormat="false" ht="15" hidden="false" customHeight="true" outlineLevel="0" collapsed="false">
      <c r="A38" s="132" t="s">
        <v>87</v>
      </c>
      <c r="B38" s="133" t="n">
        <f aca="false">'Reforecast Q1 2026'!C44</f>
        <v>-550</v>
      </c>
      <c r="C38" s="133" t="n">
        <f aca="false">IF(OR(1&gt;$B$3,ISBLANK(Actuals!C44)),"",Actuals!C44)</f>
        <v>-550</v>
      </c>
      <c r="D38" s="134" t="n">
        <f aca="false">IF(OR(1&gt;$B$3,ISBLANK(Actuals!C44)),"",'Reforecast Q1 2026'!C44-Actuals!C44)</f>
        <v>0</v>
      </c>
      <c r="E38" s="134" t="n">
        <f aca="false">IFERROR(IF(OR(1&gt;$B$3,ISBLANK(Actuals!C44)),"",('Reforecast Q1 2026'!C44-Actuals!C44)/ABS('Reforecast Q1 2026'!C44)),"")</f>
        <v>0</v>
      </c>
      <c r="F38" s="133" t="n">
        <f aca="false">'Reforecast Q1 2026'!D44</f>
        <v>-550</v>
      </c>
      <c r="G38" s="133" t="n">
        <f aca="false">IF(OR(2&gt;$B$3,ISBLANK(Actuals!D44)),"",Actuals!D44)</f>
        <v>-550</v>
      </c>
      <c r="H38" s="134" t="n">
        <f aca="false">IF(OR(2&gt;$B$3,ISBLANK(Actuals!D44)),"",'Reforecast Q1 2026'!D44-Actuals!D44)</f>
        <v>0</v>
      </c>
      <c r="I38" s="134" t="n">
        <f aca="false">IFERROR(IF(OR(2&gt;$B$3,ISBLANK(Actuals!D44)),"",('Reforecast Q1 2026'!D44-Actuals!D44)/ABS('Reforecast Q1 2026'!D44)),"")</f>
        <v>0</v>
      </c>
      <c r="J38" s="133" t="n">
        <f aca="false">'Reforecast Q1 2026'!E44</f>
        <v>-550</v>
      </c>
      <c r="K38" s="133" t="n">
        <f aca="false">IF(OR(3&gt;$B$3,ISBLANK(Actuals!E44)),"",Actuals!E44)</f>
        <v>-550</v>
      </c>
      <c r="L38" s="134" t="n">
        <f aca="false">IF(OR(3&gt;$B$3,ISBLANK(Actuals!E44)),"",'Reforecast Q1 2026'!E44-Actuals!E44)</f>
        <v>0</v>
      </c>
      <c r="M38" s="134" t="n">
        <f aca="false">IFERROR(IF(OR(3&gt;$B$3,ISBLANK(Actuals!E44)),"",('Reforecast Q1 2026'!E44-Actuals!E44)/ABS('Reforecast Q1 2026'!E44)),"")</f>
        <v>0</v>
      </c>
      <c r="N38" s="133" t="n">
        <f aca="false">'Reforecast Q1 2026'!F44</f>
        <v>-550</v>
      </c>
      <c r="O38" s="133" t="n">
        <f aca="false">IF(OR(4&gt;$B$3,ISBLANK(Actuals!F44)),"",Actuals!F44)</f>
        <v>-600</v>
      </c>
      <c r="P38" s="134" t="n">
        <f aca="false">IF(OR(4&gt;$B$3,ISBLANK(Actuals!F44)),"",'Reforecast Q1 2026'!F44-Actuals!F44)</f>
        <v>50</v>
      </c>
      <c r="Q38" s="134" t="n">
        <f aca="false">IFERROR(IF(OR(4&gt;$B$3,ISBLANK(Actuals!F44)),"",('Reforecast Q1 2026'!F44-Actuals!F44)/ABS('Reforecast Q1 2026'!F44)),"")</f>
        <v>0.0909090909090909</v>
      </c>
      <c r="R38" s="133" t="n">
        <f aca="false">'Reforecast Q1 2026'!G44</f>
        <v>-550</v>
      </c>
      <c r="S38" s="133" t="n">
        <f aca="false">IF(OR(5&gt;$B$3,ISBLANK(Actuals!G44)),"",Actuals!G44)</f>
        <v>-650</v>
      </c>
      <c r="T38" s="134" t="n">
        <f aca="false">IF(OR(5&gt;$B$3,ISBLANK(Actuals!G44)),"",'Reforecast Q1 2026'!G44-Actuals!G44)</f>
        <v>100</v>
      </c>
      <c r="U38" s="134" t="n">
        <f aca="false">IFERROR(IF(OR(5&gt;$B$3,ISBLANK(Actuals!G44)),"",('Reforecast Q1 2026'!G44-Actuals!G44)/ABS('Reforecast Q1 2026'!G44)),"")</f>
        <v>0.181818181818182</v>
      </c>
      <c r="V38" s="133" t="n">
        <f aca="false">'Reforecast Q1 2026'!H44</f>
        <v>-550</v>
      </c>
      <c r="W38" s="133" t="n">
        <f aca="false">IF(OR(6&gt;$B$3,ISBLANK(Actuals!H44)),"",Actuals!H44)</f>
        <v>-575</v>
      </c>
      <c r="X38" s="134" t="n">
        <f aca="false">IF(OR(6&gt;$B$3,ISBLANK(Actuals!H44)),"",'Reforecast Q1 2026'!H44-Actuals!H44)</f>
        <v>25</v>
      </c>
      <c r="Y38" s="134" t="n">
        <f aca="false">IFERROR(IF(OR(6&gt;$B$3,ISBLANK(Actuals!H44)),"",('Reforecast Q1 2026'!H44-Actuals!H44)/ABS('Reforecast Q1 2026'!H44)),"")</f>
        <v>0.0454545454545455</v>
      </c>
      <c r="Z38" s="133" t="n">
        <f aca="false">'Reforecast Q1 2026'!I44</f>
        <v>-550</v>
      </c>
      <c r="AA38" s="133" t="n">
        <f aca="false">IF(OR(7&gt;$B$3,ISBLANK(Actuals!I44)),"",Actuals!I44)</f>
        <v>-1300</v>
      </c>
      <c r="AB38" s="134" t="n">
        <f aca="false">IF(OR(7&gt;$B$3,ISBLANK(Actuals!I44)),"",'Reforecast Q1 2026'!I44-Actuals!I44)</f>
        <v>750</v>
      </c>
      <c r="AC38" s="134" t="n">
        <f aca="false">IFERROR(IF(OR(7&gt;$B$3,ISBLANK(Actuals!I44)),"",('Reforecast Q1 2026'!I44-Actuals!I44)/ABS('Reforecast Q1 2026'!I44)),"")</f>
        <v>1.36363636363636</v>
      </c>
      <c r="AD38" s="133" t="n">
        <f aca="false">'Reforecast Q1 2026'!J44</f>
        <v>-550</v>
      </c>
      <c r="AE38" s="133" t="n">
        <f aca="false">IF(OR(8&gt;$B$3,ISBLANK(Actuals!J44)),"",Actuals!J44)</f>
        <v>-325</v>
      </c>
      <c r="AF38" s="134" t="n">
        <f aca="false">IF(OR(8&gt;$B$3,ISBLANK(Actuals!J44)),"",'Reforecast Q1 2026'!J44-Actuals!J44)</f>
        <v>-225</v>
      </c>
      <c r="AG38" s="134" t="n">
        <f aca="false">IFERROR(IF(OR(8&gt;$B$3,ISBLANK(Actuals!J44)),"",('Reforecast Q1 2026'!J44-Actuals!J44)/ABS('Reforecast Q1 2026'!J44)),"")</f>
        <v>-0.409090909090909</v>
      </c>
      <c r="AH38" s="133" t="n">
        <f aca="false">'Reforecast Q1 2026'!K44</f>
        <v>-550</v>
      </c>
      <c r="AI38" s="133" t="str">
        <f aca="false">IF(OR(9&gt;$B$3,ISBLANK(Actuals!K44)),"",Actuals!K44)</f>
        <v/>
      </c>
      <c r="AJ38" s="134" t="str">
        <f aca="false">IF(OR(9&gt;$B$3,ISBLANK(Actuals!K44)),"",'Reforecast Q1 2026'!K44-Actuals!K44)</f>
        <v/>
      </c>
      <c r="AK38" s="134" t="str">
        <f aca="false">IFERROR(IF(OR(9&gt;$B$3,ISBLANK(Actuals!K44)),"",('Reforecast Q1 2026'!K44-Actuals!K44)/ABS('Reforecast Q1 2026'!K44)),"")</f>
        <v/>
      </c>
      <c r="AL38" s="133" t="n">
        <f aca="false">'Reforecast Q1 2026'!L44</f>
        <v>-550</v>
      </c>
      <c r="AM38" s="133" t="str">
        <f aca="false">IF(OR(10&gt;$B$3,ISBLANK(Actuals!L44)),"",Actuals!L44)</f>
        <v/>
      </c>
      <c r="AN38" s="134" t="str">
        <f aca="false">IF(OR(10&gt;$B$3,ISBLANK(Actuals!L44)),"",'Reforecast Q1 2026'!L44-Actuals!L44)</f>
        <v/>
      </c>
      <c r="AO38" s="134" t="str">
        <f aca="false">IFERROR(IF(OR(10&gt;$B$3,ISBLANK(Actuals!L44)),"",('Reforecast Q1 2026'!L44-Actuals!L44)/ABS('Reforecast Q1 2026'!L44)),"")</f>
        <v/>
      </c>
      <c r="AP38" s="133" t="n">
        <f aca="false">'Reforecast Q1 2026'!M44</f>
        <v>-550</v>
      </c>
      <c r="AQ38" s="133" t="str">
        <f aca="false">IF(OR(11&gt;$B$3,ISBLANK(Actuals!M44)),"",Actuals!M44)</f>
        <v/>
      </c>
      <c r="AR38" s="134" t="str">
        <f aca="false">IF(OR(11&gt;$B$3,ISBLANK(Actuals!M44)),"",'Reforecast Q1 2026'!M44-Actuals!M44)</f>
        <v/>
      </c>
      <c r="AS38" s="134" t="str">
        <f aca="false">IFERROR(IF(OR(11&gt;$B$3,ISBLANK(Actuals!M44)),"",('Reforecast Q1 2026'!M44-Actuals!M44)/ABS('Reforecast Q1 2026'!M44)),"")</f>
        <v/>
      </c>
      <c r="AT38" s="133" t="n">
        <f aca="false">'Reforecast Q1 2026'!N44</f>
        <v>-550</v>
      </c>
      <c r="AU38" s="133" t="str">
        <f aca="false">IF(OR(12&gt;$B$3,ISBLANK(Actuals!N44)),"",Actuals!N44)</f>
        <v/>
      </c>
      <c r="AV38" s="134" t="str">
        <f aca="false">IF(OR(12&gt;$B$3,ISBLANK(Actuals!N44)),"",'Reforecast Q1 2026'!N44-Actuals!N44)</f>
        <v/>
      </c>
      <c r="AW38" s="134" t="str">
        <f aca="false">IFERROR(IF(OR(12&gt;$B$3,ISBLANK(Actuals!N44)),"",('Reforecast Q1 2026'!N44-Actuals!N44)/ABS('Reforecast Q1 2026'!N44)),"")</f>
        <v/>
      </c>
      <c r="AX38" s="135" t="n">
        <f aca="false">SUMPRODUCT((Actuals!C44:N44&lt;&gt;"")*('Reforecast Q1 2026'!C44:N44))</f>
        <v>-4400</v>
      </c>
      <c r="AY38" s="135" t="n">
        <f aca="false">SUM(Actuals!C44:N44)</f>
        <v>-5100</v>
      </c>
      <c r="AZ38" s="136" t="n">
        <f aca="false">AX38-AY38</f>
        <v>700</v>
      </c>
    </row>
    <row r="39" customFormat="false" ht="15" hidden="false" customHeight="true" outlineLevel="0" collapsed="false">
      <c r="A39" s="132" t="s">
        <v>88</v>
      </c>
      <c r="B39" s="133" t="n">
        <f aca="false">'Reforecast Q1 2026'!C45</f>
        <v>-19223.75</v>
      </c>
      <c r="C39" s="133" t="n">
        <f aca="false">IF(OR(1&gt;$B$3,ISBLANK(Actuals!C45)),"",Actuals!C45)</f>
        <v>-19223.75</v>
      </c>
      <c r="D39" s="134" t="n">
        <f aca="false">IF(OR(1&gt;$B$3,ISBLANK(Actuals!C45)),"",'Reforecast Q1 2026'!C45-Actuals!C45)</f>
        <v>0</v>
      </c>
      <c r="E39" s="134" t="n">
        <f aca="false">IFERROR(IF(OR(1&gt;$B$3,ISBLANK(Actuals!C45)),"",('Reforecast Q1 2026'!C45-Actuals!C45)/ABS('Reforecast Q1 2026'!C45)),"")</f>
        <v>0</v>
      </c>
      <c r="F39" s="133" t="n">
        <f aca="false">'Reforecast Q1 2026'!D45</f>
        <v>-13381.97</v>
      </c>
      <c r="G39" s="133" t="n">
        <f aca="false">IF(OR(2&gt;$B$3,ISBLANK(Actuals!D45)),"",Actuals!D45)</f>
        <v>-13381.97</v>
      </c>
      <c r="H39" s="134" t="n">
        <f aca="false">IF(OR(2&gt;$B$3,ISBLANK(Actuals!D45)),"",'Reforecast Q1 2026'!D45-Actuals!D45)</f>
        <v>0</v>
      </c>
      <c r="I39" s="134" t="n">
        <f aca="false">IFERROR(IF(OR(2&gt;$B$3,ISBLANK(Actuals!D45)),"",('Reforecast Q1 2026'!D45-Actuals!D45)/ABS('Reforecast Q1 2026'!D45)),"")</f>
        <v>0</v>
      </c>
      <c r="J39" s="133" t="n">
        <f aca="false">'Reforecast Q1 2026'!E45</f>
        <v>-20308.69</v>
      </c>
      <c r="K39" s="133" t="n">
        <f aca="false">IF(OR(3&gt;$B$3,ISBLANK(Actuals!E45)),"",Actuals!E45)</f>
        <v>-20308.69</v>
      </c>
      <c r="L39" s="134" t="n">
        <f aca="false">IF(OR(3&gt;$B$3,ISBLANK(Actuals!E45)),"",'Reforecast Q1 2026'!E45-Actuals!E45)</f>
        <v>0</v>
      </c>
      <c r="M39" s="134" t="n">
        <f aca="false">IFERROR(IF(OR(3&gt;$B$3,ISBLANK(Actuals!E45)),"",('Reforecast Q1 2026'!E45-Actuals!E45)/ABS('Reforecast Q1 2026'!E45)),"")</f>
        <v>0</v>
      </c>
      <c r="N39" s="133" t="n">
        <f aca="false">'Reforecast Q1 2026'!F45</f>
        <v>-17638.14</v>
      </c>
      <c r="O39" s="133" t="n">
        <f aca="false">IF(OR(4&gt;$B$3,ISBLANK(Actuals!F45)),"",Actuals!F45)</f>
        <v>-16948.76</v>
      </c>
      <c r="P39" s="134" t="n">
        <f aca="false">IF(OR(4&gt;$B$3,ISBLANK(Actuals!F45)),"",'Reforecast Q1 2026'!F45-Actuals!F45)</f>
        <v>-689.380000000001</v>
      </c>
      <c r="Q39" s="134" t="n">
        <f aca="false">IFERROR(IF(OR(4&gt;$B$3,ISBLANK(Actuals!F45)),"",('Reforecast Q1 2026'!F45-Actuals!F45)/ABS('Reforecast Q1 2026'!F45)),"")</f>
        <v>-0.0390846200336317</v>
      </c>
      <c r="R39" s="133" t="n">
        <f aca="false">'Reforecast Q1 2026'!G45</f>
        <v>-17638.14</v>
      </c>
      <c r="S39" s="133" t="n">
        <f aca="false">IF(OR(5&gt;$B$3,ISBLANK(Actuals!G45)),"",Actuals!G45)</f>
        <v>-29716.98</v>
      </c>
      <c r="T39" s="134" t="n">
        <f aca="false">IF(OR(5&gt;$B$3,ISBLANK(Actuals!G45)),"",'Reforecast Q1 2026'!G45-Actuals!G45)</f>
        <v>12078.84</v>
      </c>
      <c r="U39" s="134" t="n">
        <f aca="false">IFERROR(IF(OR(5&gt;$B$3,ISBLANK(Actuals!G45)),"",('Reforecast Q1 2026'!G45-Actuals!G45)/ABS('Reforecast Q1 2026'!G45)),"")</f>
        <v>0.684813704846429</v>
      </c>
      <c r="V39" s="133" t="n">
        <f aca="false">'Reforecast Q1 2026'!H45</f>
        <v>-17638.14</v>
      </c>
      <c r="W39" s="133" t="n">
        <f aca="false">IF(OR(6&gt;$B$3,ISBLANK(Actuals!H45)),"",Actuals!H45)</f>
        <v>-11335.64</v>
      </c>
      <c r="X39" s="134" t="n">
        <f aca="false">IF(OR(6&gt;$B$3,ISBLANK(Actuals!H45)),"",'Reforecast Q1 2026'!H45-Actuals!H45)</f>
        <v>-6302.5</v>
      </c>
      <c r="Y39" s="134" t="n">
        <f aca="false">IFERROR(IF(OR(6&gt;$B$3,ISBLANK(Actuals!H45)),"",('Reforecast Q1 2026'!H45-Actuals!H45)/ABS('Reforecast Q1 2026'!H45)),"")</f>
        <v>-0.357322257335524</v>
      </c>
      <c r="Z39" s="133" t="n">
        <f aca="false">'Reforecast Q1 2026'!I45</f>
        <v>-17638.14</v>
      </c>
      <c r="AA39" s="133" t="n">
        <f aca="false">IF(OR(7&gt;$B$3,ISBLANK(Actuals!I45)),"",Actuals!I45)</f>
        <v>-11387.12</v>
      </c>
      <c r="AB39" s="134" t="n">
        <f aca="false">IF(OR(7&gt;$B$3,ISBLANK(Actuals!I45)),"",'Reforecast Q1 2026'!I45-Actuals!I45)</f>
        <v>-6251.02</v>
      </c>
      <c r="AC39" s="134" t="n">
        <f aca="false">IFERROR(IF(OR(7&gt;$B$3,ISBLANK(Actuals!I45)),"",('Reforecast Q1 2026'!I45-Actuals!I45)/ABS('Reforecast Q1 2026'!I45)),"")</f>
        <v>-0.354403582237129</v>
      </c>
      <c r="AD39" s="133" t="n">
        <f aca="false">'Reforecast Q1 2026'!J45</f>
        <v>-17638.14</v>
      </c>
      <c r="AE39" s="133" t="n">
        <f aca="false">IF(OR(8&gt;$B$3,ISBLANK(Actuals!J45)),"",Actuals!J45)</f>
        <v>-19873.14</v>
      </c>
      <c r="AF39" s="134" t="n">
        <f aca="false">IF(OR(8&gt;$B$3,ISBLANK(Actuals!J45)),"",'Reforecast Q1 2026'!J45-Actuals!J45)</f>
        <v>2235</v>
      </c>
      <c r="AG39" s="134" t="n">
        <f aca="false">IFERROR(IF(OR(8&gt;$B$3,ISBLANK(Actuals!J45)),"",('Reforecast Q1 2026'!J45-Actuals!J45)/ABS('Reforecast Q1 2026'!J45)),"")</f>
        <v>0.126714041276461</v>
      </c>
      <c r="AH39" s="133" t="n">
        <f aca="false">'Reforecast Q1 2026'!K45</f>
        <v>-17638.14</v>
      </c>
      <c r="AI39" s="133" t="str">
        <f aca="false">IF(OR(9&gt;$B$3,ISBLANK(Actuals!K45)),"",Actuals!K45)</f>
        <v/>
      </c>
      <c r="AJ39" s="134" t="str">
        <f aca="false">IF(OR(9&gt;$B$3,ISBLANK(Actuals!K45)),"",'Reforecast Q1 2026'!K45-Actuals!K45)</f>
        <v/>
      </c>
      <c r="AK39" s="134" t="str">
        <f aca="false">IFERROR(IF(OR(9&gt;$B$3,ISBLANK(Actuals!K45)),"",('Reforecast Q1 2026'!K45-Actuals!K45)/ABS('Reforecast Q1 2026'!K45)),"")</f>
        <v/>
      </c>
      <c r="AL39" s="133" t="n">
        <f aca="false">'Reforecast Q1 2026'!L45</f>
        <v>-17638.14</v>
      </c>
      <c r="AM39" s="133" t="str">
        <f aca="false">IF(OR(10&gt;$B$3,ISBLANK(Actuals!L45)),"",Actuals!L45)</f>
        <v/>
      </c>
      <c r="AN39" s="134" t="str">
        <f aca="false">IF(OR(10&gt;$B$3,ISBLANK(Actuals!L45)),"",'Reforecast Q1 2026'!L45-Actuals!L45)</f>
        <v/>
      </c>
      <c r="AO39" s="134" t="str">
        <f aca="false">IFERROR(IF(OR(10&gt;$B$3,ISBLANK(Actuals!L45)),"",('Reforecast Q1 2026'!L45-Actuals!L45)/ABS('Reforecast Q1 2026'!L45)),"")</f>
        <v/>
      </c>
      <c r="AP39" s="133" t="n">
        <f aca="false">'Reforecast Q1 2026'!M45</f>
        <v>-17638.14</v>
      </c>
      <c r="AQ39" s="133" t="str">
        <f aca="false">IF(OR(11&gt;$B$3,ISBLANK(Actuals!M45)),"",Actuals!M45)</f>
        <v/>
      </c>
      <c r="AR39" s="134" t="str">
        <f aca="false">IF(OR(11&gt;$B$3,ISBLANK(Actuals!M45)),"",'Reforecast Q1 2026'!M45-Actuals!M45)</f>
        <v/>
      </c>
      <c r="AS39" s="134" t="str">
        <f aca="false">IFERROR(IF(OR(11&gt;$B$3,ISBLANK(Actuals!M45)),"",('Reforecast Q1 2026'!M45-Actuals!M45)/ABS('Reforecast Q1 2026'!M45)),"")</f>
        <v/>
      </c>
      <c r="AT39" s="133" t="n">
        <f aca="false">'Reforecast Q1 2026'!N45</f>
        <v>-17638.14</v>
      </c>
      <c r="AU39" s="133" t="str">
        <f aca="false">IF(OR(12&gt;$B$3,ISBLANK(Actuals!N45)),"",Actuals!N45)</f>
        <v/>
      </c>
      <c r="AV39" s="134" t="str">
        <f aca="false">IF(OR(12&gt;$B$3,ISBLANK(Actuals!N45)),"",'Reforecast Q1 2026'!N45-Actuals!N45)</f>
        <v/>
      </c>
      <c r="AW39" s="134" t="str">
        <f aca="false">IFERROR(IF(OR(12&gt;$B$3,ISBLANK(Actuals!N45)),"",('Reforecast Q1 2026'!N45-Actuals!N45)/ABS('Reforecast Q1 2026'!N45)),"")</f>
        <v/>
      </c>
      <c r="AX39" s="135" t="n">
        <f aca="false">SUMPRODUCT((Actuals!C45:N45&lt;&gt;"")*('Reforecast Q1 2026'!C45:N45))</f>
        <v>-141105.11</v>
      </c>
      <c r="AY39" s="135" t="n">
        <f aca="false">SUM(Actuals!C45:N45)</f>
        <v>-142176.05</v>
      </c>
      <c r="AZ39" s="136" t="n">
        <f aca="false">AX39-AY39</f>
        <v>1070.94</v>
      </c>
    </row>
    <row r="40" customFormat="false" ht="15" hidden="false" customHeight="true" outlineLevel="0" collapsed="false">
      <c r="A40" s="132" t="s">
        <v>89</v>
      </c>
      <c r="B40" s="133" t="n">
        <f aca="false">'Reforecast Q1 2026'!C46</f>
        <v>-1909.98</v>
      </c>
      <c r="C40" s="133" t="n">
        <f aca="false">IF(OR(1&gt;$B$3,ISBLANK(Actuals!C46)),"",Actuals!C46)</f>
        <v>-1909.98</v>
      </c>
      <c r="D40" s="134" t="n">
        <f aca="false">IF(OR(1&gt;$B$3,ISBLANK(Actuals!C46)),"",'Reforecast Q1 2026'!C46-Actuals!C46)</f>
        <v>0</v>
      </c>
      <c r="E40" s="134" t="n">
        <f aca="false">IFERROR(IF(OR(1&gt;$B$3,ISBLANK(Actuals!C46)),"",('Reforecast Q1 2026'!C46-Actuals!C46)/ABS('Reforecast Q1 2026'!C46)),"")</f>
        <v>0</v>
      </c>
      <c r="F40" s="133" t="n">
        <f aca="false">'Reforecast Q1 2026'!D46</f>
        <v>-190.1</v>
      </c>
      <c r="G40" s="133" t="n">
        <f aca="false">IF(OR(2&gt;$B$3,ISBLANK(Actuals!D46)),"",Actuals!D46)</f>
        <v>-190.1</v>
      </c>
      <c r="H40" s="134" t="n">
        <f aca="false">IF(OR(2&gt;$B$3,ISBLANK(Actuals!D46)),"",'Reforecast Q1 2026'!D46-Actuals!D46)</f>
        <v>0</v>
      </c>
      <c r="I40" s="134" t="n">
        <f aca="false">IFERROR(IF(OR(2&gt;$B$3,ISBLANK(Actuals!D46)),"",('Reforecast Q1 2026'!D46-Actuals!D46)/ABS('Reforecast Q1 2026'!D46)),"")</f>
        <v>0</v>
      </c>
      <c r="J40" s="133" t="n">
        <f aca="false">'Reforecast Q1 2026'!E46</f>
        <v>-2166.92</v>
      </c>
      <c r="K40" s="133" t="n">
        <f aca="false">IF(OR(3&gt;$B$3,ISBLANK(Actuals!E46)),"",Actuals!E46)</f>
        <v>-2166.92</v>
      </c>
      <c r="L40" s="134" t="n">
        <f aca="false">IF(OR(3&gt;$B$3,ISBLANK(Actuals!E46)),"",'Reforecast Q1 2026'!E46-Actuals!E46)</f>
        <v>0</v>
      </c>
      <c r="M40" s="134" t="n">
        <f aca="false">IFERROR(IF(OR(3&gt;$B$3,ISBLANK(Actuals!E46)),"",('Reforecast Q1 2026'!E46-Actuals!E46)/ABS('Reforecast Q1 2026'!E46)),"")</f>
        <v>0</v>
      </c>
      <c r="N40" s="133" t="n">
        <f aca="false">'Reforecast Q1 2026'!F46</f>
        <v>-1422.33</v>
      </c>
      <c r="O40" s="133" t="n">
        <f aca="false">IF(OR(4&gt;$B$3,ISBLANK(Actuals!F46)),"",Actuals!F46)</f>
        <v>-1816.95</v>
      </c>
      <c r="P40" s="134" t="n">
        <f aca="false">IF(OR(4&gt;$B$3,ISBLANK(Actuals!F46)),"",'Reforecast Q1 2026'!F46-Actuals!F46)</f>
        <v>394.62</v>
      </c>
      <c r="Q40" s="134" t="n">
        <f aca="false">IFERROR(IF(OR(4&gt;$B$3,ISBLANK(Actuals!F46)),"",('Reforecast Q1 2026'!F46-Actuals!F46)/ABS('Reforecast Q1 2026'!F46)),"")</f>
        <v>0.277446162283015</v>
      </c>
      <c r="R40" s="133" t="n">
        <f aca="false">'Reforecast Q1 2026'!G46</f>
        <v>-1422.33</v>
      </c>
      <c r="S40" s="133" t="n">
        <f aca="false">IF(OR(5&gt;$B$3,ISBLANK(Actuals!G46)),"",Actuals!G46)</f>
        <v>-1452.9</v>
      </c>
      <c r="T40" s="134" t="n">
        <f aca="false">IF(OR(5&gt;$B$3,ISBLANK(Actuals!G46)),"",'Reforecast Q1 2026'!G46-Actuals!G46)</f>
        <v>30.5700000000002</v>
      </c>
      <c r="U40" s="134" t="n">
        <f aca="false">IFERROR(IF(OR(5&gt;$B$3,ISBLANK(Actuals!G46)),"",('Reforecast Q1 2026'!G46-Actuals!G46)/ABS('Reforecast Q1 2026'!G46)),"")</f>
        <v>0.0214929024909832</v>
      </c>
      <c r="V40" s="133" t="n">
        <f aca="false">'Reforecast Q1 2026'!H46</f>
        <v>-1422.33</v>
      </c>
      <c r="W40" s="133" t="n">
        <f aca="false">IF(OR(6&gt;$B$3,ISBLANK(Actuals!H46)),"",Actuals!H46)</f>
        <v>-13918.31</v>
      </c>
      <c r="X40" s="134" t="n">
        <f aca="false">IF(OR(6&gt;$B$3,ISBLANK(Actuals!H46)),"",'Reforecast Q1 2026'!H46-Actuals!H46)</f>
        <v>12495.98</v>
      </c>
      <c r="Y40" s="134" t="n">
        <f aca="false">IFERROR(IF(OR(6&gt;$B$3,ISBLANK(Actuals!H46)),"",('Reforecast Q1 2026'!H46-Actuals!H46)/ABS('Reforecast Q1 2026'!H46)),"")</f>
        <v>8.78557015601161</v>
      </c>
      <c r="Z40" s="133" t="n">
        <f aca="false">'Reforecast Q1 2026'!I46</f>
        <v>-1422.33</v>
      </c>
      <c r="AA40" s="133" t="n">
        <f aca="false">IF(OR(7&gt;$B$3,ISBLANK(Actuals!I46)),"",Actuals!I46)</f>
        <v>9546.02</v>
      </c>
      <c r="AB40" s="134" t="n">
        <f aca="false">IF(OR(7&gt;$B$3,ISBLANK(Actuals!I46)),"",'Reforecast Q1 2026'!I46-Actuals!I46)</f>
        <v>-10968.35</v>
      </c>
      <c r="AC40" s="134" t="n">
        <f aca="false">IFERROR(IF(OR(7&gt;$B$3,ISBLANK(Actuals!I46)),"",('Reforecast Q1 2026'!I46-Actuals!I46)/ABS('Reforecast Q1 2026'!I46)),"")</f>
        <v>-7.71153670385916</v>
      </c>
      <c r="AD40" s="133" t="n">
        <f aca="false">'Reforecast Q1 2026'!J46</f>
        <v>-1422.33</v>
      </c>
      <c r="AE40" s="133" t="n">
        <f aca="false">IF(OR(8&gt;$B$3,ISBLANK(Actuals!J46)),"",Actuals!J46)</f>
        <v>-840.61</v>
      </c>
      <c r="AF40" s="134" t="n">
        <f aca="false">IF(OR(8&gt;$B$3,ISBLANK(Actuals!J46)),"",'Reforecast Q1 2026'!J46-Actuals!J46)</f>
        <v>-581.72</v>
      </c>
      <c r="AG40" s="134" t="n">
        <f aca="false">IFERROR(IF(OR(8&gt;$B$3,ISBLANK(Actuals!J46)),"",('Reforecast Q1 2026'!J46-Actuals!J46)/ABS('Reforecast Q1 2026'!J46)),"")</f>
        <v>-0.408990881159787</v>
      </c>
      <c r="AH40" s="133" t="n">
        <f aca="false">'Reforecast Q1 2026'!K46</f>
        <v>-1422.33</v>
      </c>
      <c r="AI40" s="133" t="str">
        <f aca="false">IF(OR(9&gt;$B$3,ISBLANK(Actuals!K46)),"",Actuals!K46)</f>
        <v/>
      </c>
      <c r="AJ40" s="134" t="str">
        <f aca="false">IF(OR(9&gt;$B$3,ISBLANK(Actuals!K46)),"",'Reforecast Q1 2026'!K46-Actuals!K46)</f>
        <v/>
      </c>
      <c r="AK40" s="134" t="str">
        <f aca="false">IFERROR(IF(OR(9&gt;$B$3,ISBLANK(Actuals!K46)),"",('Reforecast Q1 2026'!K46-Actuals!K46)/ABS('Reforecast Q1 2026'!K46)),"")</f>
        <v/>
      </c>
      <c r="AL40" s="133" t="n">
        <f aca="false">'Reforecast Q1 2026'!L46</f>
        <v>-1422.33</v>
      </c>
      <c r="AM40" s="133" t="str">
        <f aca="false">IF(OR(10&gt;$B$3,ISBLANK(Actuals!L46)),"",Actuals!L46)</f>
        <v/>
      </c>
      <c r="AN40" s="134" t="str">
        <f aca="false">IF(OR(10&gt;$B$3,ISBLANK(Actuals!L46)),"",'Reforecast Q1 2026'!L46-Actuals!L46)</f>
        <v/>
      </c>
      <c r="AO40" s="134" t="str">
        <f aca="false">IFERROR(IF(OR(10&gt;$B$3,ISBLANK(Actuals!L46)),"",('Reforecast Q1 2026'!L46-Actuals!L46)/ABS('Reforecast Q1 2026'!L46)),"")</f>
        <v/>
      </c>
      <c r="AP40" s="133" t="n">
        <f aca="false">'Reforecast Q1 2026'!M46</f>
        <v>-1422.33</v>
      </c>
      <c r="AQ40" s="133" t="str">
        <f aca="false">IF(OR(11&gt;$B$3,ISBLANK(Actuals!M46)),"",Actuals!M46)</f>
        <v/>
      </c>
      <c r="AR40" s="134" t="str">
        <f aca="false">IF(OR(11&gt;$B$3,ISBLANK(Actuals!M46)),"",'Reforecast Q1 2026'!M46-Actuals!M46)</f>
        <v/>
      </c>
      <c r="AS40" s="134" t="str">
        <f aca="false">IFERROR(IF(OR(11&gt;$B$3,ISBLANK(Actuals!M46)),"",('Reforecast Q1 2026'!M46-Actuals!M46)/ABS('Reforecast Q1 2026'!M46)),"")</f>
        <v/>
      </c>
      <c r="AT40" s="133" t="n">
        <f aca="false">'Reforecast Q1 2026'!N46</f>
        <v>-1422.33</v>
      </c>
      <c r="AU40" s="133" t="str">
        <f aca="false">IF(OR(12&gt;$B$3,ISBLANK(Actuals!N46)),"",Actuals!N46)</f>
        <v/>
      </c>
      <c r="AV40" s="134" t="str">
        <f aca="false">IF(OR(12&gt;$B$3,ISBLANK(Actuals!N46)),"",'Reforecast Q1 2026'!N46-Actuals!N46)</f>
        <v/>
      </c>
      <c r="AW40" s="134" t="str">
        <f aca="false">IFERROR(IF(OR(12&gt;$B$3,ISBLANK(Actuals!N46)),"",('Reforecast Q1 2026'!N46-Actuals!N46)/ABS('Reforecast Q1 2026'!N46)),"")</f>
        <v/>
      </c>
      <c r="AX40" s="135" t="n">
        <f aca="false">SUMPRODUCT((Actuals!C46:N46&lt;&gt;"")*('Reforecast Q1 2026'!C46:N46))</f>
        <v>-11378.65</v>
      </c>
      <c r="AY40" s="135" t="n">
        <f aca="false">SUM(Actuals!C46:N46)</f>
        <v>-12749.75</v>
      </c>
      <c r="AZ40" s="136" t="n">
        <f aca="false">AX40-AY40</f>
        <v>1371.1</v>
      </c>
    </row>
    <row r="41" customFormat="false" ht="15" hidden="false" customHeight="true" outlineLevel="0" collapsed="false">
      <c r="A41" s="132" t="s">
        <v>90</v>
      </c>
      <c r="B41" s="133" t="n">
        <f aca="false">'Reforecast Q1 2026'!C47</f>
        <v>-320</v>
      </c>
      <c r="C41" s="133" t="n">
        <f aca="false">IF(OR(1&gt;$B$3,ISBLANK(Actuals!C47)),"",Actuals!C47)</f>
        <v>-320</v>
      </c>
      <c r="D41" s="134" t="n">
        <f aca="false">IF(OR(1&gt;$B$3,ISBLANK(Actuals!C47)),"",'Reforecast Q1 2026'!C47-Actuals!C47)</f>
        <v>0</v>
      </c>
      <c r="E41" s="134" t="n">
        <f aca="false">IFERROR(IF(OR(1&gt;$B$3,ISBLANK(Actuals!C47)),"",('Reforecast Q1 2026'!C47-Actuals!C47)/ABS('Reforecast Q1 2026'!C47)),"")</f>
        <v>0</v>
      </c>
      <c r="F41" s="133" t="n">
        <f aca="false">'Reforecast Q1 2026'!D47</f>
        <v>-160</v>
      </c>
      <c r="G41" s="133" t="n">
        <f aca="false">IF(OR(2&gt;$B$3,ISBLANK(Actuals!D47)),"",Actuals!D47)</f>
        <v>-160</v>
      </c>
      <c r="H41" s="134" t="n">
        <f aca="false">IF(OR(2&gt;$B$3,ISBLANK(Actuals!D47)),"",'Reforecast Q1 2026'!D47-Actuals!D47)</f>
        <v>0</v>
      </c>
      <c r="I41" s="134" t="n">
        <f aca="false">IFERROR(IF(OR(2&gt;$B$3,ISBLANK(Actuals!D47)),"",('Reforecast Q1 2026'!D47-Actuals!D47)/ABS('Reforecast Q1 2026'!D47)),"")</f>
        <v>0</v>
      </c>
      <c r="J41" s="133" t="n">
        <f aca="false">'Reforecast Q1 2026'!E47</f>
        <v>0</v>
      </c>
      <c r="K41" s="133" t="n">
        <f aca="false">IF(OR(3&gt;$B$3,ISBLANK(Actuals!E47)),"",Actuals!E47)</f>
        <v>0</v>
      </c>
      <c r="L41" s="134" t="n">
        <f aca="false">IF(OR(3&gt;$B$3,ISBLANK(Actuals!E47)),"",'Reforecast Q1 2026'!E47-Actuals!E47)</f>
        <v>0</v>
      </c>
      <c r="M41" s="134" t="str">
        <f aca="false">IFERROR(IF(OR(3&gt;$B$3,ISBLANK(Actuals!E47)),"",('Reforecast Q1 2026'!E47-Actuals!E47)/ABS('Reforecast Q1 2026'!E47)),"")</f>
        <v/>
      </c>
      <c r="N41" s="133" t="n">
        <f aca="false">'Reforecast Q1 2026'!F47</f>
        <v>-160</v>
      </c>
      <c r="O41" s="133" t="n">
        <f aca="false">IF(OR(4&gt;$B$3,ISBLANK(Actuals!F47)),"",Actuals!F47)</f>
        <v>0</v>
      </c>
      <c r="P41" s="134" t="n">
        <f aca="false">IF(OR(4&gt;$B$3,ISBLANK(Actuals!F47)),"",'Reforecast Q1 2026'!F47-Actuals!F47)</f>
        <v>-160</v>
      </c>
      <c r="Q41" s="134" t="n">
        <f aca="false">IFERROR(IF(OR(4&gt;$B$3,ISBLANK(Actuals!F47)),"",('Reforecast Q1 2026'!F47-Actuals!F47)/ABS('Reforecast Q1 2026'!F47)),"")</f>
        <v>-1</v>
      </c>
      <c r="R41" s="133" t="n">
        <f aca="false">'Reforecast Q1 2026'!G47</f>
        <v>-160</v>
      </c>
      <c r="S41" s="133" t="n">
        <f aca="false">IF(OR(5&gt;$B$3,ISBLANK(Actuals!G47)),"",Actuals!G47)</f>
        <v>-320</v>
      </c>
      <c r="T41" s="134" t="n">
        <f aca="false">IF(OR(5&gt;$B$3,ISBLANK(Actuals!G47)),"",'Reforecast Q1 2026'!G47-Actuals!G47)</f>
        <v>160</v>
      </c>
      <c r="U41" s="134" t="n">
        <f aca="false">IFERROR(IF(OR(5&gt;$B$3,ISBLANK(Actuals!G47)),"",('Reforecast Q1 2026'!G47-Actuals!G47)/ABS('Reforecast Q1 2026'!G47)),"")</f>
        <v>1</v>
      </c>
      <c r="V41" s="133" t="n">
        <f aca="false">'Reforecast Q1 2026'!H47</f>
        <v>-160</v>
      </c>
      <c r="W41" s="133" t="n">
        <f aca="false">IF(OR(6&gt;$B$3,ISBLANK(Actuals!H47)),"",Actuals!H47)</f>
        <v>-320</v>
      </c>
      <c r="X41" s="134" t="n">
        <f aca="false">IF(OR(6&gt;$B$3,ISBLANK(Actuals!H47)),"",'Reforecast Q1 2026'!H47-Actuals!H47)</f>
        <v>160</v>
      </c>
      <c r="Y41" s="134" t="n">
        <f aca="false">IFERROR(IF(OR(6&gt;$B$3,ISBLANK(Actuals!H47)),"",('Reforecast Q1 2026'!H47-Actuals!H47)/ABS('Reforecast Q1 2026'!H47)),"")</f>
        <v>1</v>
      </c>
      <c r="Z41" s="133" t="n">
        <f aca="false">'Reforecast Q1 2026'!I47</f>
        <v>-160</v>
      </c>
      <c r="AA41" s="133" t="n">
        <f aca="false">IF(OR(7&gt;$B$3,ISBLANK(Actuals!I47)),"",Actuals!I47)</f>
        <v>0</v>
      </c>
      <c r="AB41" s="134" t="n">
        <f aca="false">IF(OR(7&gt;$B$3,ISBLANK(Actuals!I47)),"",'Reforecast Q1 2026'!I47-Actuals!I47)</f>
        <v>-160</v>
      </c>
      <c r="AC41" s="134" t="n">
        <f aca="false">IFERROR(IF(OR(7&gt;$B$3,ISBLANK(Actuals!I47)),"",('Reforecast Q1 2026'!I47-Actuals!I47)/ABS('Reforecast Q1 2026'!I47)),"")</f>
        <v>-1</v>
      </c>
      <c r="AD41" s="133" t="n">
        <f aca="false">'Reforecast Q1 2026'!J47</f>
        <v>-160</v>
      </c>
      <c r="AE41" s="133" t="n">
        <f aca="false">IF(OR(8&gt;$B$3,ISBLANK(Actuals!J47)),"",Actuals!J47)</f>
        <v>-160</v>
      </c>
      <c r="AF41" s="134" t="n">
        <f aca="false">IF(OR(8&gt;$B$3,ISBLANK(Actuals!J47)),"",'Reforecast Q1 2026'!J47-Actuals!J47)</f>
        <v>0</v>
      </c>
      <c r="AG41" s="134" t="n">
        <f aca="false">IFERROR(IF(OR(8&gt;$B$3,ISBLANK(Actuals!J47)),"",('Reforecast Q1 2026'!J47-Actuals!J47)/ABS('Reforecast Q1 2026'!J47)),"")</f>
        <v>0</v>
      </c>
      <c r="AH41" s="133" t="n">
        <f aca="false">'Reforecast Q1 2026'!K47</f>
        <v>-160</v>
      </c>
      <c r="AI41" s="133" t="str">
        <f aca="false">IF(OR(9&gt;$B$3,ISBLANK(Actuals!K47)),"",Actuals!K47)</f>
        <v/>
      </c>
      <c r="AJ41" s="134" t="str">
        <f aca="false">IF(OR(9&gt;$B$3,ISBLANK(Actuals!K47)),"",'Reforecast Q1 2026'!K47-Actuals!K47)</f>
        <v/>
      </c>
      <c r="AK41" s="134" t="str">
        <f aca="false">IFERROR(IF(OR(9&gt;$B$3,ISBLANK(Actuals!K47)),"",('Reforecast Q1 2026'!K47-Actuals!K47)/ABS('Reforecast Q1 2026'!K47)),"")</f>
        <v/>
      </c>
      <c r="AL41" s="133" t="n">
        <f aca="false">'Reforecast Q1 2026'!L47</f>
        <v>-160</v>
      </c>
      <c r="AM41" s="133" t="str">
        <f aca="false">IF(OR(10&gt;$B$3,ISBLANK(Actuals!L47)),"",Actuals!L47)</f>
        <v/>
      </c>
      <c r="AN41" s="134" t="str">
        <f aca="false">IF(OR(10&gt;$B$3,ISBLANK(Actuals!L47)),"",'Reforecast Q1 2026'!L47-Actuals!L47)</f>
        <v/>
      </c>
      <c r="AO41" s="134" t="str">
        <f aca="false">IFERROR(IF(OR(10&gt;$B$3,ISBLANK(Actuals!L47)),"",('Reforecast Q1 2026'!L47-Actuals!L47)/ABS('Reforecast Q1 2026'!L47)),"")</f>
        <v/>
      </c>
      <c r="AP41" s="133" t="n">
        <f aca="false">'Reforecast Q1 2026'!M47</f>
        <v>-160</v>
      </c>
      <c r="AQ41" s="133" t="str">
        <f aca="false">IF(OR(11&gt;$B$3,ISBLANK(Actuals!M47)),"",Actuals!M47)</f>
        <v/>
      </c>
      <c r="AR41" s="134" t="str">
        <f aca="false">IF(OR(11&gt;$B$3,ISBLANK(Actuals!M47)),"",'Reforecast Q1 2026'!M47-Actuals!M47)</f>
        <v/>
      </c>
      <c r="AS41" s="134" t="str">
        <f aca="false">IFERROR(IF(OR(11&gt;$B$3,ISBLANK(Actuals!M47)),"",('Reforecast Q1 2026'!M47-Actuals!M47)/ABS('Reforecast Q1 2026'!M47)),"")</f>
        <v/>
      </c>
      <c r="AT41" s="133" t="n">
        <f aca="false">'Reforecast Q1 2026'!N47</f>
        <v>-160</v>
      </c>
      <c r="AU41" s="133" t="str">
        <f aca="false">IF(OR(12&gt;$B$3,ISBLANK(Actuals!N47)),"",Actuals!N47)</f>
        <v/>
      </c>
      <c r="AV41" s="134" t="str">
        <f aca="false">IF(OR(12&gt;$B$3,ISBLANK(Actuals!N47)),"",'Reforecast Q1 2026'!N47-Actuals!N47)</f>
        <v/>
      </c>
      <c r="AW41" s="134" t="str">
        <f aca="false">IFERROR(IF(OR(12&gt;$B$3,ISBLANK(Actuals!N47)),"",('Reforecast Q1 2026'!N47-Actuals!N47)/ABS('Reforecast Q1 2026'!N47)),"")</f>
        <v/>
      </c>
      <c r="AX41" s="135" t="n">
        <f aca="false">SUMPRODUCT((Actuals!C47:N47&lt;&gt;"")*('Reforecast Q1 2026'!C47:N47))</f>
        <v>-1280</v>
      </c>
      <c r="AY41" s="135" t="n">
        <f aca="false">SUM(Actuals!C47:N47)</f>
        <v>-1280</v>
      </c>
      <c r="AZ41" s="136" t="n">
        <f aca="false">AX41-AY41</f>
        <v>0</v>
      </c>
    </row>
    <row r="42" customFormat="false" ht="15" hidden="false" customHeight="true" outlineLevel="0" collapsed="false">
      <c r="A42" s="132" t="s">
        <v>91</v>
      </c>
      <c r="B42" s="133" t="n">
        <f aca="false">'Reforecast Q1 2026'!C48</f>
        <v>-17660.72</v>
      </c>
      <c r="C42" s="133" t="n">
        <f aca="false">IF(OR(1&gt;$B$3,ISBLANK(Actuals!C48)),"",Actuals!C48)</f>
        <v>-17660.72</v>
      </c>
      <c r="D42" s="134" t="n">
        <f aca="false">IF(OR(1&gt;$B$3,ISBLANK(Actuals!C48)),"",'Reforecast Q1 2026'!C48-Actuals!C48)</f>
        <v>0</v>
      </c>
      <c r="E42" s="134" t="n">
        <f aca="false">IFERROR(IF(OR(1&gt;$B$3,ISBLANK(Actuals!C48)),"",('Reforecast Q1 2026'!C48-Actuals!C48)/ABS('Reforecast Q1 2026'!C48)),"")</f>
        <v>0</v>
      </c>
      <c r="F42" s="133" t="n">
        <f aca="false">'Reforecast Q1 2026'!D48</f>
        <v>-5799</v>
      </c>
      <c r="G42" s="133" t="n">
        <f aca="false">IF(OR(2&gt;$B$3,ISBLANK(Actuals!D48)),"",Actuals!D48)</f>
        <v>-5799</v>
      </c>
      <c r="H42" s="134" t="n">
        <f aca="false">IF(OR(2&gt;$B$3,ISBLANK(Actuals!D48)),"",'Reforecast Q1 2026'!D48-Actuals!D48)</f>
        <v>0</v>
      </c>
      <c r="I42" s="134" t="n">
        <f aca="false">IFERROR(IF(OR(2&gt;$B$3,ISBLANK(Actuals!D48)),"",('Reforecast Q1 2026'!D48-Actuals!D48)/ABS('Reforecast Q1 2026'!D48)),"")</f>
        <v>0</v>
      </c>
      <c r="J42" s="133" t="n">
        <f aca="false">'Reforecast Q1 2026'!E48</f>
        <v>-3432.18</v>
      </c>
      <c r="K42" s="133" t="n">
        <f aca="false">IF(OR(3&gt;$B$3,ISBLANK(Actuals!E48)),"",Actuals!E48)</f>
        <v>-3432.18</v>
      </c>
      <c r="L42" s="134" t="n">
        <f aca="false">IF(OR(3&gt;$B$3,ISBLANK(Actuals!E48)),"",'Reforecast Q1 2026'!E48-Actuals!E48)</f>
        <v>0</v>
      </c>
      <c r="M42" s="134" t="n">
        <f aca="false">IFERROR(IF(OR(3&gt;$B$3,ISBLANK(Actuals!E48)),"",('Reforecast Q1 2026'!E48-Actuals!E48)/ABS('Reforecast Q1 2026'!E48)),"")</f>
        <v>0</v>
      </c>
      <c r="N42" s="133" t="n">
        <f aca="false">'Reforecast Q1 2026'!F48</f>
        <v>-5000</v>
      </c>
      <c r="O42" s="133" t="n">
        <f aca="false">IF(OR(4&gt;$B$3,ISBLANK(Actuals!F48)),"",Actuals!F48)</f>
        <v>0</v>
      </c>
      <c r="P42" s="134" t="n">
        <f aca="false">IF(OR(4&gt;$B$3,ISBLANK(Actuals!F48)),"",'Reforecast Q1 2026'!F48-Actuals!F48)</f>
        <v>-5000</v>
      </c>
      <c r="Q42" s="134" t="n">
        <f aca="false">IFERROR(IF(OR(4&gt;$B$3,ISBLANK(Actuals!F48)),"",('Reforecast Q1 2026'!F48-Actuals!F48)/ABS('Reforecast Q1 2026'!F48)),"")</f>
        <v>-1</v>
      </c>
      <c r="R42" s="133" t="n">
        <f aca="false">'Reforecast Q1 2026'!G48</f>
        <v>-5000</v>
      </c>
      <c r="S42" s="133" t="n">
        <f aca="false">IF(OR(5&gt;$B$3,ISBLANK(Actuals!G48)),"",Actuals!G48)</f>
        <v>-73874.29</v>
      </c>
      <c r="T42" s="134" t="n">
        <f aca="false">IF(OR(5&gt;$B$3,ISBLANK(Actuals!G48)),"",'Reforecast Q1 2026'!G48-Actuals!G48)</f>
        <v>68874.29</v>
      </c>
      <c r="U42" s="134" t="n">
        <f aca="false">IFERROR(IF(OR(5&gt;$B$3,ISBLANK(Actuals!G48)),"",('Reforecast Q1 2026'!G48-Actuals!G48)/ABS('Reforecast Q1 2026'!G48)),"")</f>
        <v>13.774858</v>
      </c>
      <c r="V42" s="133" t="n">
        <f aca="false">'Reforecast Q1 2026'!H48</f>
        <v>-5000</v>
      </c>
      <c r="W42" s="133" t="n">
        <f aca="false">IF(OR(6&gt;$B$3,ISBLANK(Actuals!H48)),"",Actuals!H48)</f>
        <v>0</v>
      </c>
      <c r="X42" s="134" t="n">
        <f aca="false">IF(OR(6&gt;$B$3,ISBLANK(Actuals!H48)),"",'Reforecast Q1 2026'!H48-Actuals!H48)</f>
        <v>-5000</v>
      </c>
      <c r="Y42" s="134" t="n">
        <f aca="false">IFERROR(IF(OR(6&gt;$B$3,ISBLANK(Actuals!H48)),"",('Reforecast Q1 2026'!H48-Actuals!H48)/ABS('Reforecast Q1 2026'!H48)),"")</f>
        <v>-1</v>
      </c>
      <c r="Z42" s="133" t="n">
        <f aca="false">'Reforecast Q1 2026'!I48</f>
        <v>-5000</v>
      </c>
      <c r="AA42" s="133" t="n">
        <f aca="false">IF(OR(7&gt;$B$3,ISBLANK(Actuals!I48)),"",Actuals!I48)</f>
        <v>0</v>
      </c>
      <c r="AB42" s="134" t="n">
        <f aca="false">IF(OR(7&gt;$B$3,ISBLANK(Actuals!I48)),"",'Reforecast Q1 2026'!I48-Actuals!I48)</f>
        <v>-5000</v>
      </c>
      <c r="AC42" s="134" t="n">
        <f aca="false">IFERROR(IF(OR(7&gt;$B$3,ISBLANK(Actuals!I48)),"",('Reforecast Q1 2026'!I48-Actuals!I48)/ABS('Reforecast Q1 2026'!I48)),"")</f>
        <v>-1</v>
      </c>
      <c r="AD42" s="133" t="n">
        <f aca="false">'Reforecast Q1 2026'!J48</f>
        <v>-5000</v>
      </c>
      <c r="AE42" s="133" t="n">
        <f aca="false">IF(OR(8&gt;$B$3,ISBLANK(Actuals!J48)),"",Actuals!J48)</f>
        <v>-1372.32</v>
      </c>
      <c r="AF42" s="134" t="n">
        <f aca="false">IF(OR(8&gt;$B$3,ISBLANK(Actuals!J48)),"",'Reforecast Q1 2026'!J48-Actuals!J48)</f>
        <v>-3627.68</v>
      </c>
      <c r="AG42" s="134" t="n">
        <f aca="false">IFERROR(IF(OR(8&gt;$B$3,ISBLANK(Actuals!J48)),"",('Reforecast Q1 2026'!J48-Actuals!J48)/ABS('Reforecast Q1 2026'!J48)),"")</f>
        <v>-0.725536</v>
      </c>
      <c r="AH42" s="133" t="n">
        <f aca="false">'Reforecast Q1 2026'!K48</f>
        <v>-5000</v>
      </c>
      <c r="AI42" s="133" t="str">
        <f aca="false">IF(OR(9&gt;$B$3,ISBLANK(Actuals!K48)),"",Actuals!K48)</f>
        <v/>
      </c>
      <c r="AJ42" s="134" t="str">
        <f aca="false">IF(OR(9&gt;$B$3,ISBLANK(Actuals!K48)),"",'Reforecast Q1 2026'!K48-Actuals!K48)</f>
        <v/>
      </c>
      <c r="AK42" s="134" t="str">
        <f aca="false">IFERROR(IF(OR(9&gt;$B$3,ISBLANK(Actuals!K48)),"",('Reforecast Q1 2026'!K48-Actuals!K48)/ABS('Reforecast Q1 2026'!K48)),"")</f>
        <v/>
      </c>
      <c r="AL42" s="133" t="n">
        <f aca="false">'Reforecast Q1 2026'!L48</f>
        <v>-5000</v>
      </c>
      <c r="AM42" s="133" t="str">
        <f aca="false">IF(OR(10&gt;$B$3,ISBLANK(Actuals!L48)),"",Actuals!L48)</f>
        <v/>
      </c>
      <c r="AN42" s="134" t="str">
        <f aca="false">IF(OR(10&gt;$B$3,ISBLANK(Actuals!L48)),"",'Reforecast Q1 2026'!L48-Actuals!L48)</f>
        <v/>
      </c>
      <c r="AO42" s="134" t="str">
        <f aca="false">IFERROR(IF(OR(10&gt;$B$3,ISBLANK(Actuals!L48)),"",('Reforecast Q1 2026'!L48-Actuals!L48)/ABS('Reforecast Q1 2026'!L48)),"")</f>
        <v/>
      </c>
      <c r="AP42" s="133" t="n">
        <f aca="false">'Reforecast Q1 2026'!M48</f>
        <v>-5000</v>
      </c>
      <c r="AQ42" s="133" t="str">
        <f aca="false">IF(OR(11&gt;$B$3,ISBLANK(Actuals!M48)),"",Actuals!M48)</f>
        <v/>
      </c>
      <c r="AR42" s="134" t="str">
        <f aca="false">IF(OR(11&gt;$B$3,ISBLANK(Actuals!M48)),"",'Reforecast Q1 2026'!M48-Actuals!M48)</f>
        <v/>
      </c>
      <c r="AS42" s="134" t="str">
        <f aca="false">IFERROR(IF(OR(11&gt;$B$3,ISBLANK(Actuals!M48)),"",('Reforecast Q1 2026'!M48-Actuals!M48)/ABS('Reforecast Q1 2026'!M48)),"")</f>
        <v/>
      </c>
      <c r="AT42" s="133" t="n">
        <f aca="false">'Reforecast Q1 2026'!N48</f>
        <v>-5000</v>
      </c>
      <c r="AU42" s="133" t="str">
        <f aca="false">IF(OR(12&gt;$B$3,ISBLANK(Actuals!N48)),"",Actuals!N48)</f>
        <v/>
      </c>
      <c r="AV42" s="134" t="str">
        <f aca="false">IF(OR(12&gt;$B$3,ISBLANK(Actuals!N48)),"",'Reforecast Q1 2026'!N48-Actuals!N48)</f>
        <v/>
      </c>
      <c r="AW42" s="134" t="str">
        <f aca="false">IFERROR(IF(OR(12&gt;$B$3,ISBLANK(Actuals!N48)),"",('Reforecast Q1 2026'!N48-Actuals!N48)/ABS('Reforecast Q1 2026'!N48)),"")</f>
        <v/>
      </c>
      <c r="AX42" s="135" t="n">
        <f aca="false">SUMPRODUCT((Actuals!C48:N48&lt;&gt;"")*('Reforecast Q1 2026'!C48:N48))</f>
        <v>-51891.9</v>
      </c>
      <c r="AY42" s="135" t="n">
        <f aca="false">SUM(Actuals!C48:N48)</f>
        <v>-102138.51</v>
      </c>
      <c r="AZ42" s="136" t="n">
        <f aca="false">AX42-AY42</f>
        <v>50246.61</v>
      </c>
    </row>
    <row r="43" customFormat="false" ht="15" hidden="false" customHeight="true" outlineLevel="0" collapsed="false">
      <c r="A43" s="132" t="s">
        <v>92</v>
      </c>
      <c r="B43" s="133" t="n">
        <f aca="false">'Reforecast Q1 2026'!C49</f>
        <v>-304</v>
      </c>
      <c r="C43" s="133" t="n">
        <f aca="false">IF(OR(1&gt;$B$3,ISBLANK(Actuals!C49)),"",Actuals!C49)</f>
        <v>-1913.91</v>
      </c>
      <c r="D43" s="134" t="n">
        <f aca="false">IF(OR(1&gt;$B$3,ISBLANK(Actuals!C49)),"",'Reforecast Q1 2026'!C49-Actuals!C49)</f>
        <v>1609.91</v>
      </c>
      <c r="E43" s="134" t="n">
        <f aca="false">IFERROR(IF(OR(1&gt;$B$3,ISBLANK(Actuals!C49)),"",('Reforecast Q1 2026'!C49-Actuals!C49)/ABS('Reforecast Q1 2026'!C49)),"")</f>
        <v>5.29575657894737</v>
      </c>
      <c r="F43" s="133" t="n">
        <f aca="false">'Reforecast Q1 2026'!D49</f>
        <v>-644.81</v>
      </c>
      <c r="G43" s="133" t="n">
        <f aca="false">IF(OR(2&gt;$B$3,ISBLANK(Actuals!D49)),"",Actuals!D49)</f>
        <v>-2254.72</v>
      </c>
      <c r="H43" s="134" t="n">
        <f aca="false">IF(OR(2&gt;$B$3,ISBLANK(Actuals!D49)),"",'Reforecast Q1 2026'!D49-Actuals!D49)</f>
        <v>1609.91</v>
      </c>
      <c r="I43" s="134" t="n">
        <f aca="false">IFERROR(IF(OR(2&gt;$B$3,ISBLANK(Actuals!D49)),"",('Reforecast Q1 2026'!D49-Actuals!D49)/ABS('Reforecast Q1 2026'!D49)),"")</f>
        <v>2.49671996402041</v>
      </c>
      <c r="J43" s="133" t="n">
        <f aca="false">'Reforecast Q1 2026'!E49</f>
        <v>-304</v>
      </c>
      <c r="K43" s="133" t="n">
        <f aca="false">IF(OR(3&gt;$B$3,ISBLANK(Actuals!E49)),"",Actuals!E49)</f>
        <v>-1913.91</v>
      </c>
      <c r="L43" s="134" t="n">
        <f aca="false">IF(OR(3&gt;$B$3,ISBLANK(Actuals!E49)),"",'Reforecast Q1 2026'!E49-Actuals!E49)</f>
        <v>1609.91</v>
      </c>
      <c r="M43" s="134" t="n">
        <f aca="false">IFERROR(IF(OR(3&gt;$B$3,ISBLANK(Actuals!E49)),"",('Reforecast Q1 2026'!E49-Actuals!E49)/ABS('Reforecast Q1 2026'!E49)),"")</f>
        <v>5.29575657894737</v>
      </c>
      <c r="N43" s="133" t="n">
        <f aca="false">'Reforecast Q1 2026'!F49</f>
        <v>-417.6</v>
      </c>
      <c r="O43" s="133" t="n">
        <f aca="false">IF(OR(4&gt;$B$3,ISBLANK(Actuals!F49)),"",Actuals!F49)</f>
        <v>-1609.91</v>
      </c>
      <c r="P43" s="134" t="n">
        <f aca="false">IF(OR(4&gt;$B$3,ISBLANK(Actuals!F49)),"",'Reforecast Q1 2026'!F49-Actuals!F49)</f>
        <v>1192.31</v>
      </c>
      <c r="Q43" s="134" t="n">
        <f aca="false">IFERROR(IF(OR(4&gt;$B$3,ISBLANK(Actuals!F49)),"",('Reforecast Q1 2026'!F49-Actuals!F49)/ABS('Reforecast Q1 2026'!F49)),"")</f>
        <v>2.85514846743295</v>
      </c>
      <c r="R43" s="133" t="n">
        <f aca="false">'Reforecast Q1 2026'!G49</f>
        <v>-417.6</v>
      </c>
      <c r="S43" s="133" t="n">
        <f aca="false">IF(OR(5&gt;$B$3,ISBLANK(Actuals!G49)),"",Actuals!G49)</f>
        <v>-2760.86</v>
      </c>
      <c r="T43" s="134" t="n">
        <f aca="false">IF(OR(5&gt;$B$3,ISBLANK(Actuals!G49)),"",'Reforecast Q1 2026'!G49-Actuals!G49)</f>
        <v>2343.26</v>
      </c>
      <c r="U43" s="134" t="n">
        <f aca="false">IFERROR(IF(OR(5&gt;$B$3,ISBLANK(Actuals!G49)),"",('Reforecast Q1 2026'!G49-Actuals!G49)/ABS('Reforecast Q1 2026'!G49)),"")</f>
        <v>5.61125478927203</v>
      </c>
      <c r="V43" s="133" t="n">
        <f aca="false">'Reforecast Q1 2026'!H49</f>
        <v>-417.6</v>
      </c>
      <c r="W43" s="133" t="n">
        <f aca="false">IF(OR(6&gt;$B$3,ISBLANK(Actuals!H49)),"",Actuals!H49)</f>
        <v>0</v>
      </c>
      <c r="X43" s="134" t="n">
        <f aca="false">IF(OR(6&gt;$B$3,ISBLANK(Actuals!H49)),"",'Reforecast Q1 2026'!H49-Actuals!H49)</f>
        <v>-417.6</v>
      </c>
      <c r="Y43" s="134" t="n">
        <f aca="false">IFERROR(IF(OR(6&gt;$B$3,ISBLANK(Actuals!H49)),"",('Reforecast Q1 2026'!H49-Actuals!H49)/ABS('Reforecast Q1 2026'!H49)),"")</f>
        <v>-1</v>
      </c>
      <c r="Z43" s="133" t="n">
        <f aca="false">'Reforecast Q1 2026'!I49</f>
        <v>-417.6</v>
      </c>
      <c r="AA43" s="133" t="n">
        <f aca="false">IF(OR(7&gt;$B$3,ISBLANK(Actuals!I49)),"",Actuals!I49)</f>
        <v>0</v>
      </c>
      <c r="AB43" s="134" t="n">
        <f aca="false">IF(OR(7&gt;$B$3,ISBLANK(Actuals!I49)),"",'Reforecast Q1 2026'!I49-Actuals!I49)</f>
        <v>-417.6</v>
      </c>
      <c r="AC43" s="134" t="n">
        <f aca="false">IFERROR(IF(OR(7&gt;$B$3,ISBLANK(Actuals!I49)),"",('Reforecast Q1 2026'!I49-Actuals!I49)/ABS('Reforecast Q1 2026'!I49)),"")</f>
        <v>-1</v>
      </c>
      <c r="AD43" s="133" t="n">
        <f aca="false">'Reforecast Q1 2026'!J49</f>
        <v>-417.6</v>
      </c>
      <c r="AE43" s="133" t="n">
        <f aca="false">IF(OR(8&gt;$B$3,ISBLANK(Actuals!J49)),"",Actuals!J49)</f>
        <v>-11.02</v>
      </c>
      <c r="AF43" s="134" t="n">
        <f aca="false">IF(OR(8&gt;$B$3,ISBLANK(Actuals!J49)),"",'Reforecast Q1 2026'!J49-Actuals!J49)</f>
        <v>-406.58</v>
      </c>
      <c r="AG43" s="134" t="n">
        <f aca="false">IFERROR(IF(OR(8&gt;$B$3,ISBLANK(Actuals!J49)),"",('Reforecast Q1 2026'!J49-Actuals!J49)/ABS('Reforecast Q1 2026'!J49)),"")</f>
        <v>-0.973611111111111</v>
      </c>
      <c r="AH43" s="133" t="n">
        <f aca="false">'Reforecast Q1 2026'!K49</f>
        <v>-417.6</v>
      </c>
      <c r="AI43" s="133" t="str">
        <f aca="false">IF(OR(9&gt;$B$3,ISBLANK(Actuals!K49)),"",Actuals!K49)</f>
        <v/>
      </c>
      <c r="AJ43" s="134" t="str">
        <f aca="false">IF(OR(9&gt;$B$3,ISBLANK(Actuals!K49)),"",'Reforecast Q1 2026'!K49-Actuals!K49)</f>
        <v/>
      </c>
      <c r="AK43" s="134" t="str">
        <f aca="false">IFERROR(IF(OR(9&gt;$B$3,ISBLANK(Actuals!K49)),"",('Reforecast Q1 2026'!K49-Actuals!K49)/ABS('Reforecast Q1 2026'!K49)),"")</f>
        <v/>
      </c>
      <c r="AL43" s="133" t="n">
        <f aca="false">'Reforecast Q1 2026'!L49</f>
        <v>-417.6</v>
      </c>
      <c r="AM43" s="133" t="str">
        <f aca="false">IF(OR(10&gt;$B$3,ISBLANK(Actuals!L49)),"",Actuals!L49)</f>
        <v/>
      </c>
      <c r="AN43" s="134" t="str">
        <f aca="false">IF(OR(10&gt;$B$3,ISBLANK(Actuals!L49)),"",'Reforecast Q1 2026'!L49-Actuals!L49)</f>
        <v/>
      </c>
      <c r="AO43" s="134" t="str">
        <f aca="false">IFERROR(IF(OR(10&gt;$B$3,ISBLANK(Actuals!L49)),"",('Reforecast Q1 2026'!L49-Actuals!L49)/ABS('Reforecast Q1 2026'!L49)),"")</f>
        <v/>
      </c>
      <c r="AP43" s="133" t="n">
        <f aca="false">'Reforecast Q1 2026'!M49</f>
        <v>-417.6</v>
      </c>
      <c r="AQ43" s="133" t="str">
        <f aca="false">IF(OR(11&gt;$B$3,ISBLANK(Actuals!M49)),"",Actuals!M49)</f>
        <v/>
      </c>
      <c r="AR43" s="134" t="str">
        <f aca="false">IF(OR(11&gt;$B$3,ISBLANK(Actuals!M49)),"",'Reforecast Q1 2026'!M49-Actuals!M49)</f>
        <v/>
      </c>
      <c r="AS43" s="134" t="str">
        <f aca="false">IFERROR(IF(OR(11&gt;$B$3,ISBLANK(Actuals!M49)),"",('Reforecast Q1 2026'!M49-Actuals!M49)/ABS('Reforecast Q1 2026'!M49)),"")</f>
        <v/>
      </c>
      <c r="AT43" s="133" t="n">
        <f aca="false">'Reforecast Q1 2026'!N49</f>
        <v>-417.6</v>
      </c>
      <c r="AU43" s="133" t="str">
        <f aca="false">IF(OR(12&gt;$B$3,ISBLANK(Actuals!N49)),"",Actuals!N49)</f>
        <v/>
      </c>
      <c r="AV43" s="134" t="str">
        <f aca="false">IF(OR(12&gt;$B$3,ISBLANK(Actuals!N49)),"",'Reforecast Q1 2026'!N49-Actuals!N49)</f>
        <v/>
      </c>
      <c r="AW43" s="134" t="str">
        <f aca="false">IFERROR(IF(OR(12&gt;$B$3,ISBLANK(Actuals!N49)),"",('Reforecast Q1 2026'!N49-Actuals!N49)/ABS('Reforecast Q1 2026'!N49)),"")</f>
        <v/>
      </c>
      <c r="AX43" s="135" t="n">
        <f aca="false">SUMPRODUCT((Actuals!C49:N49&lt;&gt;"")*('Reforecast Q1 2026'!C49:N49))</f>
        <v>-3340.81</v>
      </c>
      <c r="AY43" s="135" t="n">
        <f aca="false">SUM(Actuals!C49:N49)</f>
        <v>-10464.33</v>
      </c>
      <c r="AZ43" s="136" t="n">
        <f aca="false">AX43-AY43</f>
        <v>7123.52</v>
      </c>
    </row>
    <row r="44" customFormat="false" ht="15" hidden="false" customHeight="true" outlineLevel="0" collapsed="false">
      <c r="A44" s="132" t="s">
        <v>93</v>
      </c>
      <c r="B44" s="133" t="n">
        <f aca="false">'Reforecast Q1 2026'!C50</f>
        <v>0</v>
      </c>
      <c r="C44" s="133" t="n">
        <f aca="false">IF(OR(1&gt;$B$3,ISBLANK(Actuals!C50)),"",Actuals!C50)</f>
        <v>0</v>
      </c>
      <c r="D44" s="134" t="n">
        <f aca="false">IF(OR(1&gt;$B$3,ISBLANK(Actuals!C50)),"",'Reforecast Q1 2026'!C50-Actuals!C50)</f>
        <v>0</v>
      </c>
      <c r="E44" s="134" t="str">
        <f aca="false">IFERROR(IF(OR(1&gt;$B$3,ISBLANK(Actuals!C50)),"",('Reforecast Q1 2026'!C50-Actuals!C50)/ABS('Reforecast Q1 2026'!C50)),"")</f>
        <v/>
      </c>
      <c r="F44" s="133" t="n">
        <f aca="false">'Reforecast Q1 2026'!D50</f>
        <v>-75</v>
      </c>
      <c r="G44" s="133" t="n">
        <f aca="false">IF(OR(2&gt;$B$3,ISBLANK(Actuals!D50)),"",Actuals!D50)</f>
        <v>-75</v>
      </c>
      <c r="H44" s="134" t="n">
        <f aca="false">IF(OR(2&gt;$B$3,ISBLANK(Actuals!D50)),"",'Reforecast Q1 2026'!D50-Actuals!D50)</f>
        <v>0</v>
      </c>
      <c r="I44" s="134" t="n">
        <f aca="false">IFERROR(IF(OR(2&gt;$B$3,ISBLANK(Actuals!D50)),"",('Reforecast Q1 2026'!D50-Actuals!D50)/ABS('Reforecast Q1 2026'!D50)),"")</f>
        <v>0</v>
      </c>
      <c r="J44" s="133" t="n">
        <f aca="false">'Reforecast Q1 2026'!E50</f>
        <v>-5</v>
      </c>
      <c r="K44" s="133" t="n">
        <f aca="false">IF(OR(3&gt;$B$3,ISBLANK(Actuals!E50)),"",Actuals!E50)</f>
        <v>-5</v>
      </c>
      <c r="L44" s="134" t="n">
        <f aca="false">IF(OR(3&gt;$B$3,ISBLANK(Actuals!E50)),"",'Reforecast Q1 2026'!E50-Actuals!E50)</f>
        <v>0</v>
      </c>
      <c r="M44" s="134" t="n">
        <f aca="false">IFERROR(IF(OR(3&gt;$B$3,ISBLANK(Actuals!E50)),"",('Reforecast Q1 2026'!E50-Actuals!E50)/ABS('Reforecast Q1 2026'!E50)),"")</f>
        <v>0</v>
      </c>
      <c r="N44" s="133" t="n">
        <f aca="false">'Reforecast Q1 2026'!F50</f>
        <v>-26.67</v>
      </c>
      <c r="O44" s="133" t="n">
        <f aca="false">IF(OR(4&gt;$B$3,ISBLANK(Actuals!F50)),"",Actuals!F50)</f>
        <v>0</v>
      </c>
      <c r="P44" s="134" t="n">
        <f aca="false">IF(OR(4&gt;$B$3,ISBLANK(Actuals!F50)),"",'Reforecast Q1 2026'!F50-Actuals!F50)</f>
        <v>-26.67</v>
      </c>
      <c r="Q44" s="134" t="n">
        <f aca="false">IFERROR(IF(OR(4&gt;$B$3,ISBLANK(Actuals!F50)),"",('Reforecast Q1 2026'!F50-Actuals!F50)/ABS('Reforecast Q1 2026'!F50)),"")</f>
        <v>-1</v>
      </c>
      <c r="R44" s="133" t="n">
        <f aca="false">'Reforecast Q1 2026'!G50</f>
        <v>-26.67</v>
      </c>
      <c r="S44" s="133" t="n">
        <f aca="false">IF(OR(5&gt;$B$3,ISBLANK(Actuals!G50)),"",Actuals!G50)</f>
        <v>0</v>
      </c>
      <c r="T44" s="134" t="n">
        <f aca="false">IF(OR(5&gt;$B$3,ISBLANK(Actuals!G50)),"",'Reforecast Q1 2026'!G50-Actuals!G50)</f>
        <v>-26.67</v>
      </c>
      <c r="U44" s="134" t="n">
        <f aca="false">IFERROR(IF(OR(5&gt;$B$3,ISBLANK(Actuals!G50)),"",('Reforecast Q1 2026'!G50-Actuals!G50)/ABS('Reforecast Q1 2026'!G50)),"")</f>
        <v>-1</v>
      </c>
      <c r="V44" s="133" t="n">
        <f aca="false">'Reforecast Q1 2026'!H50</f>
        <v>-26.67</v>
      </c>
      <c r="W44" s="133" t="n">
        <f aca="false">IF(OR(6&gt;$B$3,ISBLANK(Actuals!H50)),"",Actuals!H50)</f>
        <v>0</v>
      </c>
      <c r="X44" s="134" t="n">
        <f aca="false">IF(OR(6&gt;$B$3,ISBLANK(Actuals!H50)),"",'Reforecast Q1 2026'!H50-Actuals!H50)</f>
        <v>-26.67</v>
      </c>
      <c r="Y44" s="134" t="n">
        <f aca="false">IFERROR(IF(OR(6&gt;$B$3,ISBLANK(Actuals!H50)),"",('Reforecast Q1 2026'!H50-Actuals!H50)/ABS('Reforecast Q1 2026'!H50)),"")</f>
        <v>-1</v>
      </c>
      <c r="Z44" s="133" t="n">
        <f aca="false">'Reforecast Q1 2026'!I50</f>
        <v>-26.67</v>
      </c>
      <c r="AA44" s="133" t="n">
        <f aca="false">IF(OR(7&gt;$B$3,ISBLANK(Actuals!I50)),"",Actuals!I50)</f>
        <v>-5</v>
      </c>
      <c r="AB44" s="134" t="n">
        <f aca="false">IF(OR(7&gt;$B$3,ISBLANK(Actuals!I50)),"",'Reforecast Q1 2026'!I50-Actuals!I50)</f>
        <v>-21.67</v>
      </c>
      <c r="AC44" s="134" t="n">
        <f aca="false">IFERROR(IF(OR(7&gt;$B$3,ISBLANK(Actuals!I50)),"",('Reforecast Q1 2026'!I50-Actuals!I50)/ABS('Reforecast Q1 2026'!I50)),"")</f>
        <v>-0.812523434570679</v>
      </c>
      <c r="AD44" s="133" t="n">
        <f aca="false">'Reforecast Q1 2026'!J50</f>
        <v>-26.67</v>
      </c>
      <c r="AE44" s="133" t="n">
        <f aca="false">IF(OR(8&gt;$B$3,ISBLANK(Actuals!J50)),"",Actuals!J50)</f>
        <v>-50</v>
      </c>
      <c r="AF44" s="134" t="n">
        <f aca="false">IF(OR(8&gt;$B$3,ISBLANK(Actuals!J50)),"",'Reforecast Q1 2026'!J50-Actuals!J50)</f>
        <v>23.33</v>
      </c>
      <c r="AG44" s="134" t="n">
        <f aca="false">IFERROR(IF(OR(8&gt;$B$3,ISBLANK(Actuals!J50)),"",('Reforecast Q1 2026'!J50-Actuals!J50)/ABS('Reforecast Q1 2026'!J50)),"")</f>
        <v>0.874765654293213</v>
      </c>
      <c r="AH44" s="133" t="n">
        <f aca="false">'Reforecast Q1 2026'!K50</f>
        <v>-26.67</v>
      </c>
      <c r="AI44" s="133" t="str">
        <f aca="false">IF(OR(9&gt;$B$3,ISBLANK(Actuals!K50)),"",Actuals!K50)</f>
        <v/>
      </c>
      <c r="AJ44" s="134" t="str">
        <f aca="false">IF(OR(9&gt;$B$3,ISBLANK(Actuals!K50)),"",'Reforecast Q1 2026'!K50-Actuals!K50)</f>
        <v/>
      </c>
      <c r="AK44" s="134" t="str">
        <f aca="false">IFERROR(IF(OR(9&gt;$B$3,ISBLANK(Actuals!K50)),"",('Reforecast Q1 2026'!K50-Actuals!K50)/ABS('Reforecast Q1 2026'!K50)),"")</f>
        <v/>
      </c>
      <c r="AL44" s="133" t="n">
        <f aca="false">'Reforecast Q1 2026'!L50</f>
        <v>-26.67</v>
      </c>
      <c r="AM44" s="133" t="str">
        <f aca="false">IF(OR(10&gt;$B$3,ISBLANK(Actuals!L50)),"",Actuals!L50)</f>
        <v/>
      </c>
      <c r="AN44" s="134" t="str">
        <f aca="false">IF(OR(10&gt;$B$3,ISBLANK(Actuals!L50)),"",'Reforecast Q1 2026'!L50-Actuals!L50)</f>
        <v/>
      </c>
      <c r="AO44" s="134" t="str">
        <f aca="false">IFERROR(IF(OR(10&gt;$B$3,ISBLANK(Actuals!L50)),"",('Reforecast Q1 2026'!L50-Actuals!L50)/ABS('Reforecast Q1 2026'!L50)),"")</f>
        <v/>
      </c>
      <c r="AP44" s="133" t="n">
        <f aca="false">'Reforecast Q1 2026'!M50</f>
        <v>-26.67</v>
      </c>
      <c r="AQ44" s="133" t="str">
        <f aca="false">IF(OR(11&gt;$B$3,ISBLANK(Actuals!M50)),"",Actuals!M50)</f>
        <v/>
      </c>
      <c r="AR44" s="134" t="str">
        <f aca="false">IF(OR(11&gt;$B$3,ISBLANK(Actuals!M50)),"",'Reforecast Q1 2026'!M50-Actuals!M50)</f>
        <v/>
      </c>
      <c r="AS44" s="134" t="str">
        <f aca="false">IFERROR(IF(OR(11&gt;$B$3,ISBLANK(Actuals!M50)),"",('Reforecast Q1 2026'!M50-Actuals!M50)/ABS('Reforecast Q1 2026'!M50)),"")</f>
        <v/>
      </c>
      <c r="AT44" s="133" t="n">
        <f aca="false">'Reforecast Q1 2026'!N50</f>
        <v>-26.67</v>
      </c>
      <c r="AU44" s="133" t="str">
        <f aca="false">IF(OR(12&gt;$B$3,ISBLANK(Actuals!N50)),"",Actuals!N50)</f>
        <v/>
      </c>
      <c r="AV44" s="134" t="str">
        <f aca="false">IF(OR(12&gt;$B$3,ISBLANK(Actuals!N50)),"",'Reforecast Q1 2026'!N50-Actuals!N50)</f>
        <v/>
      </c>
      <c r="AW44" s="134" t="str">
        <f aca="false">IFERROR(IF(OR(12&gt;$B$3,ISBLANK(Actuals!N50)),"",('Reforecast Q1 2026'!N50-Actuals!N50)/ABS('Reforecast Q1 2026'!N50)),"")</f>
        <v/>
      </c>
      <c r="AX44" s="135" t="n">
        <f aca="false">SUMPRODUCT((Actuals!C50:N50&lt;&gt;"")*('Reforecast Q1 2026'!C50:N50))</f>
        <v>-213.35</v>
      </c>
      <c r="AY44" s="135" t="n">
        <f aca="false">SUM(Actuals!C50:N50)</f>
        <v>-135</v>
      </c>
      <c r="AZ44" s="136" t="n">
        <f aca="false">AX44-AY44</f>
        <v>-78.35</v>
      </c>
    </row>
    <row r="45" customFormat="false" ht="15" hidden="false" customHeight="true" outlineLevel="0" collapsed="false">
      <c r="A45" s="132" t="s">
        <v>94</v>
      </c>
      <c r="B45" s="133" t="n">
        <f aca="false">'Reforecast Q1 2026'!C51</f>
        <v>0</v>
      </c>
      <c r="C45" s="133" t="n">
        <f aca="false">IF(OR(1&gt;$B$3,ISBLANK(Actuals!C51)),"",Actuals!C51)</f>
        <v>0</v>
      </c>
      <c r="D45" s="134" t="n">
        <f aca="false">IF(OR(1&gt;$B$3,ISBLANK(Actuals!C51)),"",'Reforecast Q1 2026'!C51-Actuals!C51)</f>
        <v>0</v>
      </c>
      <c r="E45" s="134" t="str">
        <f aca="false">IFERROR(IF(OR(1&gt;$B$3,ISBLANK(Actuals!C51)),"",('Reforecast Q1 2026'!C51-Actuals!C51)/ABS('Reforecast Q1 2026'!C51)),"")</f>
        <v/>
      </c>
      <c r="F45" s="133" t="n">
        <f aca="false">'Reforecast Q1 2026'!D51</f>
        <v>-63</v>
      </c>
      <c r="G45" s="133" t="n">
        <f aca="false">IF(OR(2&gt;$B$3,ISBLANK(Actuals!D51)),"",Actuals!D51)</f>
        <v>-63</v>
      </c>
      <c r="H45" s="134" t="n">
        <f aca="false">IF(OR(2&gt;$B$3,ISBLANK(Actuals!D51)),"",'Reforecast Q1 2026'!D51-Actuals!D51)</f>
        <v>0</v>
      </c>
      <c r="I45" s="134" t="n">
        <f aca="false">IFERROR(IF(OR(2&gt;$B$3,ISBLANK(Actuals!D51)),"",('Reforecast Q1 2026'!D51-Actuals!D51)/ABS('Reforecast Q1 2026'!D51)),"")</f>
        <v>0</v>
      </c>
      <c r="J45" s="133" t="n">
        <f aca="false">'Reforecast Q1 2026'!E51</f>
        <v>0</v>
      </c>
      <c r="K45" s="133" t="n">
        <f aca="false">IF(OR(3&gt;$B$3,ISBLANK(Actuals!E51)),"",Actuals!E51)</f>
        <v>0</v>
      </c>
      <c r="L45" s="134" t="n">
        <f aca="false">IF(OR(3&gt;$B$3,ISBLANK(Actuals!E51)),"",'Reforecast Q1 2026'!E51-Actuals!E51)</f>
        <v>0</v>
      </c>
      <c r="M45" s="134" t="str">
        <f aca="false">IFERROR(IF(OR(3&gt;$B$3,ISBLANK(Actuals!E51)),"",('Reforecast Q1 2026'!E51-Actuals!E51)/ABS('Reforecast Q1 2026'!E51)),"")</f>
        <v/>
      </c>
      <c r="N45" s="133" t="n">
        <f aca="false">'Reforecast Q1 2026'!F51</f>
        <v>-21</v>
      </c>
      <c r="O45" s="133" t="n">
        <f aca="false">IF(OR(4&gt;$B$3,ISBLANK(Actuals!F51)),"",Actuals!F51)</f>
        <v>0</v>
      </c>
      <c r="P45" s="134" t="n">
        <f aca="false">IF(OR(4&gt;$B$3,ISBLANK(Actuals!F51)),"",'Reforecast Q1 2026'!F51-Actuals!F51)</f>
        <v>-21</v>
      </c>
      <c r="Q45" s="134" t="n">
        <f aca="false">IFERROR(IF(OR(4&gt;$B$3,ISBLANK(Actuals!F51)),"",('Reforecast Q1 2026'!F51-Actuals!F51)/ABS('Reforecast Q1 2026'!F51)),"")</f>
        <v>-1</v>
      </c>
      <c r="R45" s="133" t="n">
        <f aca="false">'Reforecast Q1 2026'!G51</f>
        <v>-21</v>
      </c>
      <c r="S45" s="133" t="n">
        <f aca="false">IF(OR(5&gt;$B$3,ISBLANK(Actuals!G51)),"",Actuals!G51)</f>
        <v>0</v>
      </c>
      <c r="T45" s="134" t="n">
        <f aca="false">IF(OR(5&gt;$B$3,ISBLANK(Actuals!G51)),"",'Reforecast Q1 2026'!G51-Actuals!G51)</f>
        <v>-21</v>
      </c>
      <c r="U45" s="134" t="n">
        <f aca="false">IFERROR(IF(OR(5&gt;$B$3,ISBLANK(Actuals!G51)),"",('Reforecast Q1 2026'!G51-Actuals!G51)/ABS('Reforecast Q1 2026'!G51)),"")</f>
        <v>-1</v>
      </c>
      <c r="V45" s="133" t="n">
        <f aca="false">'Reforecast Q1 2026'!H51</f>
        <v>-21</v>
      </c>
      <c r="W45" s="133" t="n">
        <f aca="false">IF(OR(6&gt;$B$3,ISBLANK(Actuals!H51)),"",Actuals!H51)</f>
        <v>0</v>
      </c>
      <c r="X45" s="134" t="n">
        <f aca="false">IF(OR(6&gt;$B$3,ISBLANK(Actuals!H51)),"",'Reforecast Q1 2026'!H51-Actuals!H51)</f>
        <v>-21</v>
      </c>
      <c r="Y45" s="134" t="n">
        <f aca="false">IFERROR(IF(OR(6&gt;$B$3,ISBLANK(Actuals!H51)),"",('Reforecast Q1 2026'!H51-Actuals!H51)/ABS('Reforecast Q1 2026'!H51)),"")</f>
        <v>-1</v>
      </c>
      <c r="Z45" s="133" t="n">
        <f aca="false">'Reforecast Q1 2026'!I51</f>
        <v>-21</v>
      </c>
      <c r="AA45" s="133" t="n">
        <f aca="false">IF(OR(7&gt;$B$3,ISBLANK(Actuals!I51)),"",Actuals!I51)</f>
        <v>0</v>
      </c>
      <c r="AB45" s="134" t="n">
        <f aca="false">IF(OR(7&gt;$B$3,ISBLANK(Actuals!I51)),"",'Reforecast Q1 2026'!I51-Actuals!I51)</f>
        <v>-21</v>
      </c>
      <c r="AC45" s="134" t="n">
        <f aca="false">IFERROR(IF(OR(7&gt;$B$3,ISBLANK(Actuals!I51)),"",('Reforecast Q1 2026'!I51-Actuals!I51)/ABS('Reforecast Q1 2026'!I51)),"")</f>
        <v>-1</v>
      </c>
      <c r="AD45" s="133" t="n">
        <f aca="false">'Reforecast Q1 2026'!J51</f>
        <v>-21</v>
      </c>
      <c r="AE45" s="133" t="n">
        <f aca="false">IF(OR(8&gt;$B$3,ISBLANK(Actuals!J51)),"",Actuals!J51)</f>
        <v>0</v>
      </c>
      <c r="AF45" s="134" t="n">
        <f aca="false">IF(OR(8&gt;$B$3,ISBLANK(Actuals!J51)),"",'Reforecast Q1 2026'!J51-Actuals!J51)</f>
        <v>-21</v>
      </c>
      <c r="AG45" s="134" t="n">
        <f aca="false">IFERROR(IF(OR(8&gt;$B$3,ISBLANK(Actuals!J51)),"",('Reforecast Q1 2026'!J51-Actuals!J51)/ABS('Reforecast Q1 2026'!J51)),"")</f>
        <v>-1</v>
      </c>
      <c r="AH45" s="133" t="n">
        <f aca="false">'Reforecast Q1 2026'!K51</f>
        <v>-21</v>
      </c>
      <c r="AI45" s="133" t="str">
        <f aca="false">IF(OR(9&gt;$B$3,ISBLANK(Actuals!K51)),"",Actuals!K51)</f>
        <v/>
      </c>
      <c r="AJ45" s="134" t="str">
        <f aca="false">IF(OR(9&gt;$B$3,ISBLANK(Actuals!K51)),"",'Reforecast Q1 2026'!K51-Actuals!K51)</f>
        <v/>
      </c>
      <c r="AK45" s="134" t="str">
        <f aca="false">IFERROR(IF(OR(9&gt;$B$3,ISBLANK(Actuals!K51)),"",('Reforecast Q1 2026'!K51-Actuals!K51)/ABS('Reforecast Q1 2026'!K51)),"")</f>
        <v/>
      </c>
      <c r="AL45" s="133" t="n">
        <f aca="false">'Reforecast Q1 2026'!L51</f>
        <v>-21</v>
      </c>
      <c r="AM45" s="133" t="str">
        <f aca="false">IF(OR(10&gt;$B$3,ISBLANK(Actuals!L51)),"",Actuals!L51)</f>
        <v/>
      </c>
      <c r="AN45" s="134" t="str">
        <f aca="false">IF(OR(10&gt;$B$3,ISBLANK(Actuals!L51)),"",'Reforecast Q1 2026'!L51-Actuals!L51)</f>
        <v/>
      </c>
      <c r="AO45" s="134" t="str">
        <f aca="false">IFERROR(IF(OR(10&gt;$B$3,ISBLANK(Actuals!L51)),"",('Reforecast Q1 2026'!L51-Actuals!L51)/ABS('Reforecast Q1 2026'!L51)),"")</f>
        <v/>
      </c>
      <c r="AP45" s="133" t="n">
        <f aca="false">'Reforecast Q1 2026'!M51</f>
        <v>-21</v>
      </c>
      <c r="AQ45" s="133" t="str">
        <f aca="false">IF(OR(11&gt;$B$3,ISBLANK(Actuals!M51)),"",Actuals!M51)</f>
        <v/>
      </c>
      <c r="AR45" s="134" t="str">
        <f aca="false">IF(OR(11&gt;$B$3,ISBLANK(Actuals!M51)),"",'Reforecast Q1 2026'!M51-Actuals!M51)</f>
        <v/>
      </c>
      <c r="AS45" s="134" t="str">
        <f aca="false">IFERROR(IF(OR(11&gt;$B$3,ISBLANK(Actuals!M51)),"",('Reforecast Q1 2026'!M51-Actuals!M51)/ABS('Reforecast Q1 2026'!M51)),"")</f>
        <v/>
      </c>
      <c r="AT45" s="133" t="n">
        <f aca="false">'Reforecast Q1 2026'!N51</f>
        <v>-21</v>
      </c>
      <c r="AU45" s="133" t="str">
        <f aca="false">IF(OR(12&gt;$B$3,ISBLANK(Actuals!N51)),"",Actuals!N51)</f>
        <v/>
      </c>
      <c r="AV45" s="134" t="str">
        <f aca="false">IF(OR(12&gt;$B$3,ISBLANK(Actuals!N51)),"",'Reforecast Q1 2026'!N51-Actuals!N51)</f>
        <v/>
      </c>
      <c r="AW45" s="134" t="str">
        <f aca="false">IFERROR(IF(OR(12&gt;$B$3,ISBLANK(Actuals!N51)),"",('Reforecast Q1 2026'!N51-Actuals!N51)/ABS('Reforecast Q1 2026'!N51)),"")</f>
        <v/>
      </c>
      <c r="AX45" s="135" t="n">
        <f aca="false">SUMPRODUCT((Actuals!C51:N51&lt;&gt;"")*('Reforecast Q1 2026'!C51:N51))</f>
        <v>-168</v>
      </c>
      <c r="AY45" s="135" t="n">
        <f aca="false">SUM(Actuals!C51:N51)</f>
        <v>-63</v>
      </c>
      <c r="AZ45" s="136" t="n">
        <f aca="false">AX45-AY45</f>
        <v>-105</v>
      </c>
    </row>
    <row r="46" customFormat="false" ht="15" hidden="false" customHeight="true" outlineLevel="0" collapsed="false">
      <c r="A46" s="132" t="s">
        <v>499</v>
      </c>
      <c r="B46" s="133" t="n">
        <f aca="false">'Reforecast Q1 2026'!C52</f>
        <v>0</v>
      </c>
      <c r="C46" s="133" t="str">
        <f aca="false">IF(OR(1&gt;$B$3,ISBLANK(Actuals!C52)),"",Actuals!C52)</f>
        <v/>
      </c>
      <c r="D46" s="134" t="str">
        <f aca="false">IF(OR(1&gt;$B$3,ISBLANK(Actuals!C52)),"",'Reforecast Q1 2026'!C52-Actuals!C52)</f>
        <v/>
      </c>
      <c r="E46" s="134" t="str">
        <f aca="false">IFERROR(IF(OR(1&gt;$B$3,ISBLANK(Actuals!C52)),"",('Reforecast Q1 2026'!C52-Actuals!C52)/ABS('Reforecast Q1 2026'!C52)),"")</f>
        <v/>
      </c>
      <c r="F46" s="133" t="n">
        <f aca="false">'Reforecast Q1 2026'!D52</f>
        <v>0</v>
      </c>
      <c r="G46" s="133" t="str">
        <f aca="false">IF(OR(2&gt;$B$3,ISBLANK(Actuals!D52)),"",Actuals!D52)</f>
        <v/>
      </c>
      <c r="H46" s="134" t="str">
        <f aca="false">IF(OR(2&gt;$B$3,ISBLANK(Actuals!D52)),"",'Reforecast Q1 2026'!D52-Actuals!D52)</f>
        <v/>
      </c>
      <c r="I46" s="134" t="str">
        <f aca="false">IFERROR(IF(OR(2&gt;$B$3,ISBLANK(Actuals!D52)),"",('Reforecast Q1 2026'!D52-Actuals!D52)/ABS('Reforecast Q1 2026'!D52)),"")</f>
        <v/>
      </c>
      <c r="J46" s="133" t="n">
        <f aca="false">'Reforecast Q1 2026'!E52</f>
        <v>0</v>
      </c>
      <c r="K46" s="133" t="str">
        <f aca="false">IF(OR(3&gt;$B$3,ISBLANK(Actuals!E52)),"",Actuals!E52)</f>
        <v/>
      </c>
      <c r="L46" s="134" t="str">
        <f aca="false">IF(OR(3&gt;$B$3,ISBLANK(Actuals!E52)),"",'Reforecast Q1 2026'!E52-Actuals!E52)</f>
        <v/>
      </c>
      <c r="M46" s="134" t="str">
        <f aca="false">IFERROR(IF(OR(3&gt;$B$3,ISBLANK(Actuals!E52)),"",('Reforecast Q1 2026'!E52-Actuals!E52)/ABS('Reforecast Q1 2026'!E52)),"")</f>
        <v/>
      </c>
      <c r="N46" s="133" t="n">
        <f aca="false">'Reforecast Q1 2026'!F52</f>
        <v>0</v>
      </c>
      <c r="O46" s="133" t="str">
        <f aca="false">IF(OR(4&gt;$B$3,ISBLANK(Actuals!F52)),"",Actuals!F52)</f>
        <v/>
      </c>
      <c r="P46" s="134" t="str">
        <f aca="false">IF(OR(4&gt;$B$3,ISBLANK(Actuals!F52)),"",'Reforecast Q1 2026'!F52-Actuals!F52)</f>
        <v/>
      </c>
      <c r="Q46" s="134" t="str">
        <f aca="false">IFERROR(IF(OR(4&gt;$B$3,ISBLANK(Actuals!F52)),"",('Reforecast Q1 2026'!F52-Actuals!F52)/ABS('Reforecast Q1 2026'!F52)),"")</f>
        <v/>
      </c>
      <c r="R46" s="133" t="n">
        <f aca="false">'Reforecast Q1 2026'!G52</f>
        <v>0</v>
      </c>
      <c r="S46" s="133" t="str">
        <f aca="false">IF(OR(5&gt;$B$3,ISBLANK(Actuals!G52)),"",Actuals!G52)</f>
        <v/>
      </c>
      <c r="T46" s="134" t="str">
        <f aca="false">IF(OR(5&gt;$B$3,ISBLANK(Actuals!G52)),"",'Reforecast Q1 2026'!G52-Actuals!G52)</f>
        <v/>
      </c>
      <c r="U46" s="134" t="str">
        <f aca="false">IFERROR(IF(OR(5&gt;$B$3,ISBLANK(Actuals!G52)),"",('Reforecast Q1 2026'!G52-Actuals!G52)/ABS('Reforecast Q1 2026'!G52)),"")</f>
        <v/>
      </c>
      <c r="V46" s="133" t="n">
        <f aca="false">'Reforecast Q1 2026'!H52</f>
        <v>0</v>
      </c>
      <c r="W46" s="133" t="str">
        <f aca="false">IF(OR(6&gt;$B$3,ISBLANK(Actuals!H52)),"",Actuals!H52)</f>
        <v/>
      </c>
      <c r="X46" s="134" t="str">
        <f aca="false">IF(OR(6&gt;$B$3,ISBLANK(Actuals!H52)),"",'Reforecast Q1 2026'!H52-Actuals!H52)</f>
        <v/>
      </c>
      <c r="Y46" s="134" t="str">
        <f aca="false">IFERROR(IF(OR(6&gt;$B$3,ISBLANK(Actuals!H52)),"",('Reforecast Q1 2026'!H52-Actuals!H52)/ABS('Reforecast Q1 2026'!H52)),"")</f>
        <v/>
      </c>
      <c r="Z46" s="133" t="n">
        <f aca="false">'Reforecast Q1 2026'!I52</f>
        <v>0</v>
      </c>
      <c r="AA46" s="133" t="str">
        <f aca="false">IF(OR(7&gt;$B$3,ISBLANK(Actuals!I52)),"",Actuals!I52)</f>
        <v/>
      </c>
      <c r="AB46" s="134" t="str">
        <f aca="false">IF(OR(7&gt;$B$3,ISBLANK(Actuals!I52)),"",'Reforecast Q1 2026'!I52-Actuals!I52)</f>
        <v/>
      </c>
      <c r="AC46" s="134" t="str">
        <f aca="false">IFERROR(IF(OR(7&gt;$B$3,ISBLANK(Actuals!I52)),"",('Reforecast Q1 2026'!I52-Actuals!I52)/ABS('Reforecast Q1 2026'!I52)),"")</f>
        <v/>
      </c>
      <c r="AD46" s="133" t="n">
        <f aca="false">'Reforecast Q1 2026'!J52</f>
        <v>0</v>
      </c>
      <c r="AE46" s="133" t="str">
        <f aca="false">IF(OR(8&gt;$B$3,ISBLANK(Actuals!J52)),"",Actuals!J52)</f>
        <v/>
      </c>
      <c r="AF46" s="134" t="str">
        <f aca="false">IF(OR(8&gt;$B$3,ISBLANK(Actuals!J52)),"",'Reforecast Q1 2026'!J52-Actuals!J52)</f>
        <v/>
      </c>
      <c r="AG46" s="134" t="str">
        <f aca="false">IFERROR(IF(OR(8&gt;$B$3,ISBLANK(Actuals!J52)),"",('Reforecast Q1 2026'!J52-Actuals!J52)/ABS('Reforecast Q1 2026'!J52)),"")</f>
        <v/>
      </c>
      <c r="AH46" s="133" t="n">
        <f aca="false">'Reforecast Q1 2026'!K52</f>
        <v>0</v>
      </c>
      <c r="AI46" s="133" t="str">
        <f aca="false">IF(OR(9&gt;$B$3,ISBLANK(Actuals!K52)),"",Actuals!K52)</f>
        <v/>
      </c>
      <c r="AJ46" s="134" t="str">
        <f aca="false">IF(OR(9&gt;$B$3,ISBLANK(Actuals!K52)),"",'Reforecast Q1 2026'!K52-Actuals!K52)</f>
        <v/>
      </c>
      <c r="AK46" s="134" t="str">
        <f aca="false">IFERROR(IF(OR(9&gt;$B$3,ISBLANK(Actuals!K52)),"",('Reforecast Q1 2026'!K52-Actuals!K52)/ABS('Reforecast Q1 2026'!K52)),"")</f>
        <v/>
      </c>
      <c r="AL46" s="133" t="n">
        <f aca="false">'Reforecast Q1 2026'!L52</f>
        <v>0</v>
      </c>
      <c r="AM46" s="133" t="str">
        <f aca="false">IF(OR(10&gt;$B$3,ISBLANK(Actuals!L52)),"",Actuals!L52)</f>
        <v/>
      </c>
      <c r="AN46" s="134" t="str">
        <f aca="false">IF(OR(10&gt;$B$3,ISBLANK(Actuals!L52)),"",'Reforecast Q1 2026'!L52-Actuals!L52)</f>
        <v/>
      </c>
      <c r="AO46" s="134" t="str">
        <f aca="false">IFERROR(IF(OR(10&gt;$B$3,ISBLANK(Actuals!L52)),"",('Reforecast Q1 2026'!L52-Actuals!L52)/ABS('Reforecast Q1 2026'!L52)),"")</f>
        <v/>
      </c>
      <c r="AP46" s="133" t="n">
        <f aca="false">'Reforecast Q1 2026'!M52</f>
        <v>0</v>
      </c>
      <c r="AQ46" s="133" t="str">
        <f aca="false">IF(OR(11&gt;$B$3,ISBLANK(Actuals!M52)),"",Actuals!M52)</f>
        <v/>
      </c>
      <c r="AR46" s="134" t="str">
        <f aca="false">IF(OR(11&gt;$B$3,ISBLANK(Actuals!M52)),"",'Reforecast Q1 2026'!M52-Actuals!M52)</f>
        <v/>
      </c>
      <c r="AS46" s="134" t="str">
        <f aca="false">IFERROR(IF(OR(11&gt;$B$3,ISBLANK(Actuals!M52)),"",('Reforecast Q1 2026'!M52-Actuals!M52)/ABS('Reforecast Q1 2026'!M52)),"")</f>
        <v/>
      </c>
      <c r="AT46" s="133" t="n">
        <f aca="false">'Reforecast Q1 2026'!N52</f>
        <v>0</v>
      </c>
      <c r="AU46" s="133" t="str">
        <f aca="false">IF(OR(12&gt;$B$3,ISBLANK(Actuals!N52)),"",Actuals!N52)</f>
        <v/>
      </c>
      <c r="AV46" s="134" t="str">
        <f aca="false">IF(OR(12&gt;$B$3,ISBLANK(Actuals!N52)),"",'Reforecast Q1 2026'!N52-Actuals!N52)</f>
        <v/>
      </c>
      <c r="AW46" s="134" t="str">
        <f aca="false">IFERROR(IF(OR(12&gt;$B$3,ISBLANK(Actuals!N52)),"",('Reforecast Q1 2026'!N52-Actuals!N52)/ABS('Reforecast Q1 2026'!N52)),"")</f>
        <v/>
      </c>
      <c r="AX46" s="135" t="n">
        <f aca="false">SUMPRODUCT((Actuals!C52:N52&lt;&gt;"")*('Reforecast Q1 2026'!C52:N52))</f>
        <v>0</v>
      </c>
      <c r="AY46" s="135" t="n">
        <f aca="false">SUM(Actuals!C52:N52)</f>
        <v>0</v>
      </c>
      <c r="AZ46" s="136" t="n">
        <f aca="false">AX46-AY46</f>
        <v>0</v>
      </c>
    </row>
    <row r="47" customFormat="false" ht="15" hidden="false" customHeight="true" outlineLevel="0" collapsed="false">
      <c r="A47" s="132" t="s">
        <v>96</v>
      </c>
      <c r="B47" s="133" t="n">
        <f aca="false">'Reforecast Q1 2026'!C53</f>
        <v>0</v>
      </c>
      <c r="C47" s="133" t="n">
        <f aca="false">IF(OR(1&gt;$B$3,ISBLANK(Actuals!C53)),"",Actuals!C53)</f>
        <v>0</v>
      </c>
      <c r="D47" s="134" t="n">
        <f aca="false">IF(OR(1&gt;$B$3,ISBLANK(Actuals!C53)),"",'Reforecast Q1 2026'!C53-Actuals!C53)</f>
        <v>0</v>
      </c>
      <c r="E47" s="134" t="str">
        <f aca="false">IFERROR(IF(OR(1&gt;$B$3,ISBLANK(Actuals!C53)),"",('Reforecast Q1 2026'!C53-Actuals!C53)/ABS('Reforecast Q1 2026'!C53)),"")</f>
        <v/>
      </c>
      <c r="F47" s="133" t="n">
        <f aca="false">'Reforecast Q1 2026'!D53</f>
        <v>0</v>
      </c>
      <c r="G47" s="133" t="n">
        <f aca="false">IF(OR(2&gt;$B$3,ISBLANK(Actuals!D53)),"",Actuals!D53)</f>
        <v>0</v>
      </c>
      <c r="H47" s="134" t="n">
        <f aca="false">IF(OR(2&gt;$B$3,ISBLANK(Actuals!D53)),"",'Reforecast Q1 2026'!D53-Actuals!D53)</f>
        <v>0</v>
      </c>
      <c r="I47" s="134" t="str">
        <f aca="false">IFERROR(IF(OR(2&gt;$B$3,ISBLANK(Actuals!D53)),"",('Reforecast Q1 2026'!D53-Actuals!D53)/ABS('Reforecast Q1 2026'!D53)),"")</f>
        <v/>
      </c>
      <c r="J47" s="133" t="n">
        <f aca="false">'Reforecast Q1 2026'!E53</f>
        <v>-11105.35</v>
      </c>
      <c r="K47" s="133" t="n">
        <f aca="false">IF(OR(3&gt;$B$3,ISBLANK(Actuals!E53)),"",Actuals!E53)</f>
        <v>-11105.35</v>
      </c>
      <c r="L47" s="134" t="n">
        <f aca="false">IF(OR(3&gt;$B$3,ISBLANK(Actuals!E53)),"",'Reforecast Q1 2026'!E53-Actuals!E53)</f>
        <v>0</v>
      </c>
      <c r="M47" s="134" t="n">
        <f aca="false">IFERROR(IF(OR(3&gt;$B$3,ISBLANK(Actuals!E53)),"",('Reforecast Q1 2026'!E53-Actuals!E53)/ABS('Reforecast Q1 2026'!E53)),"")</f>
        <v>0</v>
      </c>
      <c r="N47" s="133" t="n">
        <f aca="false">'Reforecast Q1 2026'!F53</f>
        <v>-3701.78</v>
      </c>
      <c r="O47" s="133" t="n">
        <f aca="false">IF(OR(4&gt;$B$3,ISBLANK(Actuals!F53)),"",Actuals!F53)</f>
        <v>0</v>
      </c>
      <c r="P47" s="134" t="n">
        <f aca="false">IF(OR(4&gt;$B$3,ISBLANK(Actuals!F53)),"",'Reforecast Q1 2026'!F53-Actuals!F53)</f>
        <v>-3701.78</v>
      </c>
      <c r="Q47" s="134" t="n">
        <f aca="false">IFERROR(IF(OR(4&gt;$B$3,ISBLANK(Actuals!F53)),"",('Reforecast Q1 2026'!F53-Actuals!F53)/ABS('Reforecast Q1 2026'!F53)),"")</f>
        <v>-1</v>
      </c>
      <c r="R47" s="133" t="n">
        <f aca="false">'Reforecast Q1 2026'!G53</f>
        <v>-3701.78</v>
      </c>
      <c r="S47" s="133" t="n">
        <f aca="false">IF(OR(5&gt;$B$3,ISBLANK(Actuals!G53)),"",Actuals!G53)</f>
        <v>0</v>
      </c>
      <c r="T47" s="134" t="n">
        <f aca="false">IF(OR(5&gt;$B$3,ISBLANK(Actuals!G53)),"",'Reforecast Q1 2026'!G53-Actuals!G53)</f>
        <v>-3701.78</v>
      </c>
      <c r="U47" s="134" t="n">
        <f aca="false">IFERROR(IF(OR(5&gt;$B$3,ISBLANK(Actuals!G53)),"",('Reforecast Q1 2026'!G53-Actuals!G53)/ABS('Reforecast Q1 2026'!G53)),"")</f>
        <v>-1</v>
      </c>
      <c r="V47" s="133" t="n">
        <f aca="false">'Reforecast Q1 2026'!H53</f>
        <v>-3701.78</v>
      </c>
      <c r="W47" s="133" t="n">
        <f aca="false">IF(OR(6&gt;$B$3,ISBLANK(Actuals!H53)),"",Actuals!H53)</f>
        <v>0</v>
      </c>
      <c r="X47" s="134" t="n">
        <f aca="false">IF(OR(6&gt;$B$3,ISBLANK(Actuals!H53)),"",'Reforecast Q1 2026'!H53-Actuals!H53)</f>
        <v>-3701.78</v>
      </c>
      <c r="Y47" s="134" t="n">
        <f aca="false">IFERROR(IF(OR(6&gt;$B$3,ISBLANK(Actuals!H53)),"",('Reforecast Q1 2026'!H53-Actuals!H53)/ABS('Reforecast Q1 2026'!H53)),"")</f>
        <v>-1</v>
      </c>
      <c r="Z47" s="133" t="n">
        <f aca="false">'Reforecast Q1 2026'!I53</f>
        <v>-3701.78</v>
      </c>
      <c r="AA47" s="133" t="n">
        <f aca="false">IF(OR(7&gt;$B$3,ISBLANK(Actuals!I53)),"",Actuals!I53)</f>
        <v>0</v>
      </c>
      <c r="AB47" s="134" t="n">
        <f aca="false">IF(OR(7&gt;$B$3,ISBLANK(Actuals!I53)),"",'Reforecast Q1 2026'!I53-Actuals!I53)</f>
        <v>-3701.78</v>
      </c>
      <c r="AC47" s="134" t="n">
        <f aca="false">IFERROR(IF(OR(7&gt;$B$3,ISBLANK(Actuals!I53)),"",('Reforecast Q1 2026'!I53-Actuals!I53)/ABS('Reforecast Q1 2026'!I53)),"")</f>
        <v>-1</v>
      </c>
      <c r="AD47" s="133" t="n">
        <f aca="false">'Reforecast Q1 2026'!J53</f>
        <v>-3701.78</v>
      </c>
      <c r="AE47" s="133" t="n">
        <f aca="false">IF(OR(8&gt;$B$3,ISBLANK(Actuals!J53)),"",Actuals!J53)</f>
        <v>0</v>
      </c>
      <c r="AF47" s="134" t="n">
        <f aca="false">IF(OR(8&gt;$B$3,ISBLANK(Actuals!J53)),"",'Reforecast Q1 2026'!J53-Actuals!J53)</f>
        <v>-3701.78</v>
      </c>
      <c r="AG47" s="134" t="n">
        <f aca="false">IFERROR(IF(OR(8&gt;$B$3,ISBLANK(Actuals!J53)),"",('Reforecast Q1 2026'!J53-Actuals!J53)/ABS('Reforecast Q1 2026'!J53)),"")</f>
        <v>-1</v>
      </c>
      <c r="AH47" s="133" t="n">
        <f aca="false">'Reforecast Q1 2026'!K53</f>
        <v>-3701.78</v>
      </c>
      <c r="AI47" s="133" t="str">
        <f aca="false">IF(OR(9&gt;$B$3,ISBLANK(Actuals!K53)),"",Actuals!K53)</f>
        <v/>
      </c>
      <c r="AJ47" s="134" t="str">
        <f aca="false">IF(OR(9&gt;$B$3,ISBLANK(Actuals!K53)),"",'Reforecast Q1 2026'!K53-Actuals!K53)</f>
        <v/>
      </c>
      <c r="AK47" s="134" t="str">
        <f aca="false">IFERROR(IF(OR(9&gt;$B$3,ISBLANK(Actuals!K53)),"",('Reforecast Q1 2026'!K53-Actuals!K53)/ABS('Reforecast Q1 2026'!K53)),"")</f>
        <v/>
      </c>
      <c r="AL47" s="133" t="n">
        <f aca="false">'Reforecast Q1 2026'!L53</f>
        <v>-3701.78</v>
      </c>
      <c r="AM47" s="133" t="str">
        <f aca="false">IF(OR(10&gt;$B$3,ISBLANK(Actuals!L53)),"",Actuals!L53)</f>
        <v/>
      </c>
      <c r="AN47" s="134" t="str">
        <f aca="false">IF(OR(10&gt;$B$3,ISBLANK(Actuals!L53)),"",'Reforecast Q1 2026'!L53-Actuals!L53)</f>
        <v/>
      </c>
      <c r="AO47" s="134" t="str">
        <f aca="false">IFERROR(IF(OR(10&gt;$B$3,ISBLANK(Actuals!L53)),"",('Reforecast Q1 2026'!L53-Actuals!L53)/ABS('Reforecast Q1 2026'!L53)),"")</f>
        <v/>
      </c>
      <c r="AP47" s="133" t="n">
        <f aca="false">'Reforecast Q1 2026'!M53</f>
        <v>-3701.78</v>
      </c>
      <c r="AQ47" s="133" t="str">
        <f aca="false">IF(OR(11&gt;$B$3,ISBLANK(Actuals!M53)),"",Actuals!M53)</f>
        <v/>
      </c>
      <c r="AR47" s="134" t="str">
        <f aca="false">IF(OR(11&gt;$B$3,ISBLANK(Actuals!M53)),"",'Reforecast Q1 2026'!M53-Actuals!M53)</f>
        <v/>
      </c>
      <c r="AS47" s="134" t="str">
        <f aca="false">IFERROR(IF(OR(11&gt;$B$3,ISBLANK(Actuals!M53)),"",('Reforecast Q1 2026'!M53-Actuals!M53)/ABS('Reforecast Q1 2026'!M53)),"")</f>
        <v/>
      </c>
      <c r="AT47" s="133" t="n">
        <f aca="false">'Reforecast Q1 2026'!N53</f>
        <v>-3701.78</v>
      </c>
      <c r="AU47" s="133" t="str">
        <f aca="false">IF(OR(12&gt;$B$3,ISBLANK(Actuals!N53)),"",Actuals!N53)</f>
        <v/>
      </c>
      <c r="AV47" s="134" t="str">
        <f aca="false">IF(OR(12&gt;$B$3,ISBLANK(Actuals!N53)),"",'Reforecast Q1 2026'!N53-Actuals!N53)</f>
        <v/>
      </c>
      <c r="AW47" s="134" t="str">
        <f aca="false">IFERROR(IF(OR(12&gt;$B$3,ISBLANK(Actuals!N53)),"",('Reforecast Q1 2026'!N53-Actuals!N53)/ABS('Reforecast Q1 2026'!N53)),"")</f>
        <v/>
      </c>
      <c r="AX47" s="135" t="n">
        <f aca="false">SUMPRODUCT((Actuals!C53:N53&lt;&gt;"")*('Reforecast Q1 2026'!C53:N53))</f>
        <v>-29614.25</v>
      </c>
      <c r="AY47" s="135" t="n">
        <f aca="false">SUM(Actuals!C53:N53)</f>
        <v>-11105.35</v>
      </c>
      <c r="AZ47" s="136" t="n">
        <f aca="false">AX47-AY47</f>
        <v>-18508.9</v>
      </c>
    </row>
    <row r="48" customFormat="false" ht="15" hidden="false" customHeight="true" outlineLevel="0" collapsed="false">
      <c r="A48" s="132" t="s">
        <v>500</v>
      </c>
      <c r="B48" s="133" t="n">
        <f aca="false">'Reforecast Q1 2026'!C54</f>
        <v>0</v>
      </c>
      <c r="C48" s="133" t="str">
        <f aca="false">IF(OR(1&gt;$B$3,ISBLANK(Actuals!C54)),"",Actuals!C54)</f>
        <v/>
      </c>
      <c r="D48" s="134" t="str">
        <f aca="false">IF(OR(1&gt;$B$3,ISBLANK(Actuals!C54)),"",'Reforecast Q1 2026'!C54-Actuals!C54)</f>
        <v/>
      </c>
      <c r="E48" s="134" t="str">
        <f aca="false">IFERROR(IF(OR(1&gt;$B$3,ISBLANK(Actuals!C54)),"",('Reforecast Q1 2026'!C54-Actuals!C54)/ABS('Reforecast Q1 2026'!C54)),"")</f>
        <v/>
      </c>
      <c r="F48" s="133" t="n">
        <f aca="false">'Reforecast Q1 2026'!D54</f>
        <v>0</v>
      </c>
      <c r="G48" s="133" t="str">
        <f aca="false">IF(OR(2&gt;$B$3,ISBLANK(Actuals!D54)),"",Actuals!D54)</f>
        <v/>
      </c>
      <c r="H48" s="134" t="str">
        <f aca="false">IF(OR(2&gt;$B$3,ISBLANK(Actuals!D54)),"",'Reforecast Q1 2026'!D54-Actuals!D54)</f>
        <v/>
      </c>
      <c r="I48" s="134" t="str">
        <f aca="false">IFERROR(IF(OR(2&gt;$B$3,ISBLANK(Actuals!D54)),"",('Reforecast Q1 2026'!D54-Actuals!D54)/ABS('Reforecast Q1 2026'!D54)),"")</f>
        <v/>
      </c>
      <c r="J48" s="133" t="n">
        <f aca="false">'Reforecast Q1 2026'!E54</f>
        <v>0</v>
      </c>
      <c r="K48" s="133" t="str">
        <f aca="false">IF(OR(3&gt;$B$3,ISBLANK(Actuals!E54)),"",Actuals!E54)</f>
        <v/>
      </c>
      <c r="L48" s="134" t="str">
        <f aca="false">IF(OR(3&gt;$B$3,ISBLANK(Actuals!E54)),"",'Reforecast Q1 2026'!E54-Actuals!E54)</f>
        <v/>
      </c>
      <c r="M48" s="134" t="str">
        <f aca="false">IFERROR(IF(OR(3&gt;$B$3,ISBLANK(Actuals!E54)),"",('Reforecast Q1 2026'!E54-Actuals!E54)/ABS('Reforecast Q1 2026'!E54)),"")</f>
        <v/>
      </c>
      <c r="N48" s="133" t="n">
        <f aca="false">'Reforecast Q1 2026'!F54</f>
        <v>0</v>
      </c>
      <c r="O48" s="133" t="str">
        <f aca="false">IF(OR(4&gt;$B$3,ISBLANK(Actuals!F54)),"",Actuals!F54)</f>
        <v/>
      </c>
      <c r="P48" s="134" t="str">
        <f aca="false">IF(OR(4&gt;$B$3,ISBLANK(Actuals!F54)),"",'Reforecast Q1 2026'!F54-Actuals!F54)</f>
        <v/>
      </c>
      <c r="Q48" s="134" t="str">
        <f aca="false">IFERROR(IF(OR(4&gt;$B$3,ISBLANK(Actuals!F54)),"",('Reforecast Q1 2026'!F54-Actuals!F54)/ABS('Reforecast Q1 2026'!F54)),"")</f>
        <v/>
      </c>
      <c r="R48" s="133" t="n">
        <f aca="false">'Reforecast Q1 2026'!G54</f>
        <v>0</v>
      </c>
      <c r="S48" s="133" t="str">
        <f aca="false">IF(OR(5&gt;$B$3,ISBLANK(Actuals!G54)),"",Actuals!G54)</f>
        <v/>
      </c>
      <c r="T48" s="134" t="str">
        <f aca="false">IF(OR(5&gt;$B$3,ISBLANK(Actuals!G54)),"",'Reforecast Q1 2026'!G54-Actuals!G54)</f>
        <v/>
      </c>
      <c r="U48" s="134" t="str">
        <f aca="false">IFERROR(IF(OR(5&gt;$B$3,ISBLANK(Actuals!G54)),"",('Reforecast Q1 2026'!G54-Actuals!G54)/ABS('Reforecast Q1 2026'!G54)),"")</f>
        <v/>
      </c>
      <c r="V48" s="133" t="n">
        <f aca="false">'Reforecast Q1 2026'!H54</f>
        <v>0</v>
      </c>
      <c r="W48" s="133" t="n">
        <f aca="false">IF(OR(6&gt;$B$3,ISBLANK(Actuals!H54)),"",Actuals!H54)</f>
        <v>-612.68</v>
      </c>
      <c r="X48" s="134" t="n">
        <f aca="false">IF(OR(6&gt;$B$3,ISBLANK(Actuals!H54)),"",'Reforecast Q1 2026'!H54-Actuals!H54)</f>
        <v>612.68</v>
      </c>
      <c r="Y48" s="134" t="str">
        <f aca="false">IFERROR(IF(OR(6&gt;$B$3,ISBLANK(Actuals!H54)),"",('Reforecast Q1 2026'!H54-Actuals!H54)/ABS('Reforecast Q1 2026'!H54)),"")</f>
        <v/>
      </c>
      <c r="Z48" s="133" t="n">
        <f aca="false">'Reforecast Q1 2026'!I54</f>
        <v>0</v>
      </c>
      <c r="AA48" s="133" t="n">
        <f aca="false">IF(OR(7&gt;$B$3,ISBLANK(Actuals!I54)),"",Actuals!I54)</f>
        <v>-1609.91</v>
      </c>
      <c r="AB48" s="134" t="n">
        <f aca="false">IF(OR(7&gt;$B$3,ISBLANK(Actuals!I54)),"",'Reforecast Q1 2026'!I54-Actuals!I54)</f>
        <v>1609.91</v>
      </c>
      <c r="AC48" s="134" t="str">
        <f aca="false">IFERROR(IF(OR(7&gt;$B$3,ISBLANK(Actuals!I54)),"",('Reforecast Q1 2026'!I54-Actuals!I54)/ABS('Reforecast Q1 2026'!I54)),"")</f>
        <v/>
      </c>
      <c r="AD48" s="133" t="n">
        <f aca="false">'Reforecast Q1 2026'!J54</f>
        <v>0</v>
      </c>
      <c r="AE48" s="133" t="n">
        <f aca="false">IF(OR(8&gt;$B$3,ISBLANK(Actuals!J54)),"",Actuals!J54)</f>
        <v>-1609.91</v>
      </c>
      <c r="AF48" s="134" t="n">
        <f aca="false">IF(OR(8&gt;$B$3,ISBLANK(Actuals!J54)),"",'Reforecast Q1 2026'!J54-Actuals!J54)</f>
        <v>1609.91</v>
      </c>
      <c r="AG48" s="134" t="str">
        <f aca="false">IFERROR(IF(OR(8&gt;$B$3,ISBLANK(Actuals!J54)),"",('Reforecast Q1 2026'!J54-Actuals!J54)/ABS('Reforecast Q1 2026'!J54)),"")</f>
        <v/>
      </c>
      <c r="AH48" s="133" t="n">
        <f aca="false">'Reforecast Q1 2026'!K54</f>
        <v>0</v>
      </c>
      <c r="AI48" s="133" t="str">
        <f aca="false">IF(OR(9&gt;$B$3,ISBLANK(Actuals!K54)),"",Actuals!K54)</f>
        <v/>
      </c>
      <c r="AJ48" s="134" t="str">
        <f aca="false">IF(OR(9&gt;$B$3,ISBLANK(Actuals!K54)),"",'Reforecast Q1 2026'!K54-Actuals!K54)</f>
        <v/>
      </c>
      <c r="AK48" s="134" t="str">
        <f aca="false">IFERROR(IF(OR(9&gt;$B$3,ISBLANK(Actuals!K54)),"",('Reforecast Q1 2026'!K54-Actuals!K54)/ABS('Reforecast Q1 2026'!K54)),"")</f>
        <v/>
      </c>
      <c r="AL48" s="133" t="n">
        <f aca="false">'Reforecast Q1 2026'!L54</f>
        <v>0</v>
      </c>
      <c r="AM48" s="133" t="str">
        <f aca="false">IF(OR(10&gt;$B$3,ISBLANK(Actuals!L54)),"",Actuals!L54)</f>
        <v/>
      </c>
      <c r="AN48" s="134" t="str">
        <f aca="false">IF(OR(10&gt;$B$3,ISBLANK(Actuals!L54)),"",'Reforecast Q1 2026'!L54-Actuals!L54)</f>
        <v/>
      </c>
      <c r="AO48" s="134" t="str">
        <f aca="false">IFERROR(IF(OR(10&gt;$B$3,ISBLANK(Actuals!L54)),"",('Reforecast Q1 2026'!L54-Actuals!L54)/ABS('Reforecast Q1 2026'!L54)),"")</f>
        <v/>
      </c>
      <c r="AP48" s="133" t="n">
        <f aca="false">'Reforecast Q1 2026'!M54</f>
        <v>0</v>
      </c>
      <c r="AQ48" s="133" t="str">
        <f aca="false">IF(OR(11&gt;$B$3,ISBLANK(Actuals!M54)),"",Actuals!M54)</f>
        <v/>
      </c>
      <c r="AR48" s="134" t="str">
        <f aca="false">IF(OR(11&gt;$B$3,ISBLANK(Actuals!M54)),"",'Reforecast Q1 2026'!M54-Actuals!M54)</f>
        <v/>
      </c>
      <c r="AS48" s="134" t="str">
        <f aca="false">IFERROR(IF(OR(11&gt;$B$3,ISBLANK(Actuals!M54)),"",('Reforecast Q1 2026'!M54-Actuals!M54)/ABS('Reforecast Q1 2026'!M54)),"")</f>
        <v/>
      </c>
      <c r="AT48" s="133" t="n">
        <f aca="false">'Reforecast Q1 2026'!N54</f>
        <v>0</v>
      </c>
      <c r="AU48" s="133" t="str">
        <f aca="false">IF(OR(12&gt;$B$3,ISBLANK(Actuals!N54)),"",Actuals!N54)</f>
        <v/>
      </c>
      <c r="AV48" s="134" t="str">
        <f aca="false">IF(OR(12&gt;$B$3,ISBLANK(Actuals!N54)),"",'Reforecast Q1 2026'!N54-Actuals!N54)</f>
        <v/>
      </c>
      <c r="AW48" s="134" t="str">
        <f aca="false">IFERROR(IF(OR(12&gt;$B$3,ISBLANK(Actuals!N54)),"",('Reforecast Q1 2026'!N54-Actuals!N54)/ABS('Reforecast Q1 2026'!N54)),"")</f>
        <v/>
      </c>
      <c r="AX48" s="135" t="n">
        <f aca="false">SUMPRODUCT((Actuals!C54:N54&lt;&gt;"")*('Reforecast Q1 2026'!C54:N54))</f>
        <v>0</v>
      </c>
      <c r="AY48" s="135" t="n">
        <f aca="false">SUM(Actuals!C54:N54)</f>
        <v>-3832.5</v>
      </c>
      <c r="AZ48" s="136" t="n">
        <f aca="false">AX48-AY48</f>
        <v>3832.5</v>
      </c>
    </row>
    <row r="49" customFormat="false" ht="15" hidden="false" customHeight="true" outlineLevel="0" collapsed="false">
      <c r="A49" s="132" t="s">
        <v>101</v>
      </c>
      <c r="B49" s="133" t="n">
        <f aca="false">'Reforecast Q1 2026'!C64</f>
        <v>833.33</v>
      </c>
      <c r="C49" s="133" t="n">
        <f aca="false">IF(OR(1&gt;$B$3,ISBLANK(Actuals!C64)),"",Actuals!C64)</f>
        <v>833.33</v>
      </c>
      <c r="D49" s="134" t="n">
        <f aca="false">IF(OR(1&gt;$B$3,ISBLANK(Actuals!C64)),"",'Reforecast Q1 2026'!C64-Actuals!C64)</f>
        <v>0</v>
      </c>
      <c r="E49" s="134" t="n">
        <f aca="false">IFERROR(IF(OR(1&gt;$B$3,ISBLANK(Actuals!C64)),"",('Reforecast Q1 2026'!C64-Actuals!C64)/ABS('Reforecast Q1 2026'!C64)),"")</f>
        <v>0</v>
      </c>
      <c r="F49" s="133" t="n">
        <f aca="false">'Reforecast Q1 2026'!D64</f>
        <v>833.33</v>
      </c>
      <c r="G49" s="133" t="n">
        <f aca="false">IF(OR(2&gt;$B$3,ISBLANK(Actuals!D64)),"",Actuals!D64)</f>
        <v>833.33</v>
      </c>
      <c r="H49" s="134" t="n">
        <f aca="false">IF(OR(2&gt;$B$3,ISBLANK(Actuals!D64)),"",'Reforecast Q1 2026'!D64-Actuals!D64)</f>
        <v>0</v>
      </c>
      <c r="I49" s="134" t="n">
        <f aca="false">IFERROR(IF(OR(2&gt;$B$3,ISBLANK(Actuals!D64)),"",('Reforecast Q1 2026'!D64-Actuals!D64)/ABS('Reforecast Q1 2026'!D64)),"")</f>
        <v>0</v>
      </c>
      <c r="J49" s="133" t="n">
        <f aca="false">'Reforecast Q1 2026'!E64</f>
        <v>833.33</v>
      </c>
      <c r="K49" s="133" t="n">
        <f aca="false">IF(OR(3&gt;$B$3,ISBLANK(Actuals!E64)),"",Actuals!E64)</f>
        <v>833.33</v>
      </c>
      <c r="L49" s="134" t="n">
        <f aca="false">IF(OR(3&gt;$B$3,ISBLANK(Actuals!E64)),"",'Reforecast Q1 2026'!E64-Actuals!E64)</f>
        <v>0</v>
      </c>
      <c r="M49" s="134" t="n">
        <f aca="false">IFERROR(IF(OR(3&gt;$B$3,ISBLANK(Actuals!E64)),"",('Reforecast Q1 2026'!E64-Actuals!E64)/ABS('Reforecast Q1 2026'!E64)),"")</f>
        <v>0</v>
      </c>
      <c r="N49" s="133" t="n">
        <f aca="false">'Reforecast Q1 2026'!F64</f>
        <v>833.33</v>
      </c>
      <c r="O49" s="133" t="n">
        <f aca="false">IF(OR(4&gt;$B$3,ISBLANK(Actuals!F64)),"",Actuals!F64)</f>
        <v>833.33</v>
      </c>
      <c r="P49" s="134" t="n">
        <f aca="false">IF(OR(4&gt;$B$3,ISBLANK(Actuals!F64)),"",'Reforecast Q1 2026'!F64-Actuals!F64)</f>
        <v>0</v>
      </c>
      <c r="Q49" s="134" t="n">
        <f aca="false">IFERROR(IF(OR(4&gt;$B$3,ISBLANK(Actuals!F64)),"",('Reforecast Q1 2026'!F64-Actuals!F64)/ABS('Reforecast Q1 2026'!F64)),"")</f>
        <v>0</v>
      </c>
      <c r="R49" s="133" t="n">
        <f aca="false">'Reforecast Q1 2026'!G64</f>
        <v>833.33</v>
      </c>
      <c r="S49" s="133" t="n">
        <f aca="false">IF(OR(5&gt;$B$3,ISBLANK(Actuals!G64)),"",Actuals!G64)</f>
        <v>833.33</v>
      </c>
      <c r="T49" s="134" t="n">
        <f aca="false">IF(OR(5&gt;$B$3,ISBLANK(Actuals!G64)),"",'Reforecast Q1 2026'!G64-Actuals!G64)</f>
        <v>0</v>
      </c>
      <c r="U49" s="134" t="n">
        <f aca="false">IFERROR(IF(OR(5&gt;$B$3,ISBLANK(Actuals!G64)),"",('Reforecast Q1 2026'!G64-Actuals!G64)/ABS('Reforecast Q1 2026'!G64)),"")</f>
        <v>0</v>
      </c>
      <c r="V49" s="133" t="n">
        <f aca="false">'Reforecast Q1 2026'!H64</f>
        <v>833.33</v>
      </c>
      <c r="W49" s="133" t="n">
        <f aca="false">IF(OR(6&gt;$B$3,ISBLANK(Actuals!H64)),"",Actuals!H64)</f>
        <v>833.33</v>
      </c>
      <c r="X49" s="134" t="n">
        <f aca="false">IF(OR(6&gt;$B$3,ISBLANK(Actuals!H64)),"",'Reforecast Q1 2026'!H64-Actuals!H64)</f>
        <v>0</v>
      </c>
      <c r="Y49" s="134" t="n">
        <f aca="false">IFERROR(IF(OR(6&gt;$B$3,ISBLANK(Actuals!H64)),"",('Reforecast Q1 2026'!H64-Actuals!H64)/ABS('Reforecast Q1 2026'!H64)),"")</f>
        <v>0</v>
      </c>
      <c r="Z49" s="133" t="n">
        <f aca="false">'Reforecast Q1 2026'!I64</f>
        <v>833.33</v>
      </c>
      <c r="AA49" s="133" t="n">
        <f aca="false">IF(OR(7&gt;$B$3,ISBLANK(Actuals!I64)),"",Actuals!I64)</f>
        <v>833.33</v>
      </c>
      <c r="AB49" s="134" t="n">
        <f aca="false">IF(OR(7&gt;$B$3,ISBLANK(Actuals!I64)),"",'Reforecast Q1 2026'!I64-Actuals!I64)</f>
        <v>0</v>
      </c>
      <c r="AC49" s="134" t="n">
        <f aca="false">IFERROR(IF(OR(7&gt;$B$3,ISBLANK(Actuals!I64)),"",('Reforecast Q1 2026'!I64-Actuals!I64)/ABS('Reforecast Q1 2026'!I64)),"")</f>
        <v>0</v>
      </c>
      <c r="AD49" s="133" t="n">
        <f aca="false">'Reforecast Q1 2026'!J64</f>
        <v>833.33</v>
      </c>
      <c r="AE49" s="133" t="n">
        <f aca="false">IF(OR(8&gt;$B$3,ISBLANK(Actuals!J64)),"",Actuals!J64)</f>
        <v>833.33</v>
      </c>
      <c r="AF49" s="134" t="n">
        <f aca="false">IF(OR(8&gt;$B$3,ISBLANK(Actuals!J64)),"",'Reforecast Q1 2026'!J64-Actuals!J64)</f>
        <v>0</v>
      </c>
      <c r="AG49" s="134" t="n">
        <f aca="false">IFERROR(IF(OR(8&gt;$B$3,ISBLANK(Actuals!J64)),"",('Reforecast Q1 2026'!J64-Actuals!J64)/ABS('Reforecast Q1 2026'!J64)),"")</f>
        <v>0</v>
      </c>
      <c r="AH49" s="133" t="n">
        <f aca="false">'Reforecast Q1 2026'!K64</f>
        <v>0</v>
      </c>
      <c r="AI49" s="133" t="str">
        <f aca="false">IF(OR(9&gt;$B$3,ISBLANK(Actuals!K64)),"",Actuals!K64)</f>
        <v/>
      </c>
      <c r="AJ49" s="134" t="str">
        <f aca="false">IF(OR(9&gt;$B$3,ISBLANK(Actuals!K64)),"",'Reforecast Q1 2026'!K64-Actuals!K64)</f>
        <v/>
      </c>
      <c r="AK49" s="134" t="str">
        <f aca="false">IFERROR(IF(OR(9&gt;$B$3,ISBLANK(Actuals!K64)),"",('Reforecast Q1 2026'!K64-Actuals!K64)/ABS('Reforecast Q1 2026'!K64)),"")</f>
        <v/>
      </c>
      <c r="AL49" s="133" t="n">
        <f aca="false">'Reforecast Q1 2026'!L64</f>
        <v>0</v>
      </c>
      <c r="AM49" s="133" t="str">
        <f aca="false">IF(OR(10&gt;$B$3,ISBLANK(Actuals!L64)),"",Actuals!L64)</f>
        <v/>
      </c>
      <c r="AN49" s="134" t="str">
        <f aca="false">IF(OR(10&gt;$B$3,ISBLANK(Actuals!L64)),"",'Reforecast Q1 2026'!L64-Actuals!L64)</f>
        <v/>
      </c>
      <c r="AO49" s="134" t="str">
        <f aca="false">IFERROR(IF(OR(10&gt;$B$3,ISBLANK(Actuals!L64)),"",('Reforecast Q1 2026'!L64-Actuals!L64)/ABS('Reforecast Q1 2026'!L64)),"")</f>
        <v/>
      </c>
      <c r="AP49" s="133" t="n">
        <f aca="false">'Reforecast Q1 2026'!M64</f>
        <v>0</v>
      </c>
      <c r="AQ49" s="133" t="str">
        <f aca="false">IF(OR(11&gt;$B$3,ISBLANK(Actuals!M64)),"",Actuals!M64)</f>
        <v/>
      </c>
      <c r="AR49" s="134" t="str">
        <f aca="false">IF(OR(11&gt;$B$3,ISBLANK(Actuals!M64)),"",'Reforecast Q1 2026'!M64-Actuals!M64)</f>
        <v/>
      </c>
      <c r="AS49" s="134" t="str">
        <f aca="false">IFERROR(IF(OR(11&gt;$B$3,ISBLANK(Actuals!M64)),"",('Reforecast Q1 2026'!M64-Actuals!M64)/ABS('Reforecast Q1 2026'!M64)),"")</f>
        <v/>
      </c>
      <c r="AT49" s="133" t="n">
        <f aca="false">'Reforecast Q1 2026'!N64</f>
        <v>0</v>
      </c>
      <c r="AU49" s="133" t="str">
        <f aca="false">IF(OR(12&gt;$B$3,ISBLANK(Actuals!N64)),"",Actuals!N64)</f>
        <v/>
      </c>
      <c r="AV49" s="134" t="str">
        <f aca="false">IF(OR(12&gt;$B$3,ISBLANK(Actuals!N64)),"",'Reforecast Q1 2026'!N64-Actuals!N64)</f>
        <v/>
      </c>
      <c r="AW49" s="134" t="str">
        <f aca="false">IFERROR(IF(OR(12&gt;$B$3,ISBLANK(Actuals!N64)),"",('Reforecast Q1 2026'!N64-Actuals!N64)/ABS('Reforecast Q1 2026'!N64)),"")</f>
        <v/>
      </c>
      <c r="AX49" s="135" t="n">
        <f aca="false">SUMPRODUCT((Actuals!C64:N64&lt;&gt;"")*('Reforecast Q1 2026'!C64:N64))</f>
        <v>6666.64</v>
      </c>
      <c r="AY49" s="135" t="n">
        <f aca="false">SUM(Actuals!C64:N64)</f>
        <v>6666.64</v>
      </c>
      <c r="AZ49" s="136" t="n">
        <f aca="false">AX49-AY49</f>
        <v>0</v>
      </c>
    </row>
    <row r="50" customFormat="false" ht="15" hidden="false" customHeight="true" outlineLevel="0" collapsed="false">
      <c r="A50" s="132" t="s">
        <v>102</v>
      </c>
      <c r="B50" s="133" t="n">
        <f aca="false">'Reforecast Q1 2026'!C65</f>
        <v>23906.25</v>
      </c>
      <c r="C50" s="133" t="n">
        <f aca="false">IF(OR(1&gt;$B$3,ISBLANK(Actuals!C65)),"",Actuals!C65)</f>
        <v>23906.25</v>
      </c>
      <c r="D50" s="134" t="n">
        <f aca="false">IF(OR(1&gt;$B$3,ISBLANK(Actuals!C65)),"",'Reforecast Q1 2026'!C65-Actuals!C65)</f>
        <v>0</v>
      </c>
      <c r="E50" s="134" t="n">
        <f aca="false">IFERROR(IF(OR(1&gt;$B$3,ISBLANK(Actuals!C65)),"",('Reforecast Q1 2026'!C65-Actuals!C65)/ABS('Reforecast Q1 2026'!C65)),"")</f>
        <v>0</v>
      </c>
      <c r="F50" s="133" t="n">
        <f aca="false">'Reforecast Q1 2026'!D65</f>
        <v>23906.25</v>
      </c>
      <c r="G50" s="133" t="n">
        <f aca="false">IF(OR(2&gt;$B$3,ISBLANK(Actuals!D65)),"",Actuals!D65)</f>
        <v>23906.25</v>
      </c>
      <c r="H50" s="134" t="n">
        <f aca="false">IF(OR(2&gt;$B$3,ISBLANK(Actuals!D65)),"",'Reforecast Q1 2026'!D65-Actuals!D65)</f>
        <v>0</v>
      </c>
      <c r="I50" s="134" t="n">
        <f aca="false">IFERROR(IF(OR(2&gt;$B$3,ISBLANK(Actuals!D65)),"",('Reforecast Q1 2026'!D65-Actuals!D65)/ABS('Reforecast Q1 2026'!D65)),"")</f>
        <v>0</v>
      </c>
      <c r="J50" s="133" t="n">
        <f aca="false">'Reforecast Q1 2026'!E65</f>
        <v>23906.25</v>
      </c>
      <c r="K50" s="133" t="n">
        <f aca="false">IF(OR(3&gt;$B$3,ISBLANK(Actuals!E65)),"",Actuals!E65)</f>
        <v>23906.25</v>
      </c>
      <c r="L50" s="134" t="n">
        <f aca="false">IF(OR(3&gt;$B$3,ISBLANK(Actuals!E65)),"",'Reforecast Q1 2026'!E65-Actuals!E65)</f>
        <v>0</v>
      </c>
      <c r="M50" s="134" t="n">
        <f aca="false">IFERROR(IF(OR(3&gt;$B$3,ISBLANK(Actuals!E65)),"",('Reforecast Q1 2026'!E65-Actuals!E65)/ABS('Reforecast Q1 2026'!E65)),"")</f>
        <v>0</v>
      </c>
      <c r="N50" s="133" t="n">
        <f aca="false">'Reforecast Q1 2026'!F65</f>
        <v>23906.25</v>
      </c>
      <c r="O50" s="133" t="n">
        <f aca="false">IF(OR(4&gt;$B$3,ISBLANK(Actuals!F65)),"",Actuals!F65)</f>
        <v>23906.25</v>
      </c>
      <c r="P50" s="134" t="n">
        <f aca="false">IF(OR(4&gt;$B$3,ISBLANK(Actuals!F65)),"",'Reforecast Q1 2026'!F65-Actuals!F65)</f>
        <v>0</v>
      </c>
      <c r="Q50" s="134" t="n">
        <f aca="false">IFERROR(IF(OR(4&gt;$B$3,ISBLANK(Actuals!F65)),"",('Reforecast Q1 2026'!F65-Actuals!F65)/ABS('Reforecast Q1 2026'!F65)),"")</f>
        <v>0</v>
      </c>
      <c r="R50" s="133" t="n">
        <f aca="false">'Reforecast Q1 2026'!G65</f>
        <v>23906.25</v>
      </c>
      <c r="S50" s="133" t="n">
        <f aca="false">IF(OR(5&gt;$B$3,ISBLANK(Actuals!G65)),"",Actuals!G65)</f>
        <v>23906.25</v>
      </c>
      <c r="T50" s="134" t="n">
        <f aca="false">IF(OR(5&gt;$B$3,ISBLANK(Actuals!G65)),"",'Reforecast Q1 2026'!G65-Actuals!G65)</f>
        <v>0</v>
      </c>
      <c r="U50" s="134" t="n">
        <f aca="false">IFERROR(IF(OR(5&gt;$B$3,ISBLANK(Actuals!G65)),"",('Reforecast Q1 2026'!G65-Actuals!G65)/ABS('Reforecast Q1 2026'!G65)),"")</f>
        <v>0</v>
      </c>
      <c r="V50" s="133" t="n">
        <f aca="false">'Reforecast Q1 2026'!H65</f>
        <v>23906.25</v>
      </c>
      <c r="W50" s="133" t="n">
        <f aca="false">IF(OR(6&gt;$B$3,ISBLANK(Actuals!H65)),"",Actuals!H65)</f>
        <v>23906.25</v>
      </c>
      <c r="X50" s="134" t="n">
        <f aca="false">IF(OR(6&gt;$B$3,ISBLANK(Actuals!H65)),"",'Reforecast Q1 2026'!H65-Actuals!H65)</f>
        <v>0</v>
      </c>
      <c r="Y50" s="134" t="n">
        <f aca="false">IFERROR(IF(OR(6&gt;$B$3,ISBLANK(Actuals!H65)),"",('Reforecast Q1 2026'!H65-Actuals!H65)/ABS('Reforecast Q1 2026'!H65)),"")</f>
        <v>0</v>
      </c>
      <c r="Z50" s="133" t="n">
        <f aca="false">'Reforecast Q1 2026'!I65</f>
        <v>23906.25</v>
      </c>
      <c r="AA50" s="133" t="n">
        <f aca="false">IF(OR(7&gt;$B$3,ISBLANK(Actuals!I65)),"",Actuals!I65)</f>
        <v>23906.25</v>
      </c>
      <c r="AB50" s="134" t="n">
        <f aca="false">IF(OR(7&gt;$B$3,ISBLANK(Actuals!I65)),"",'Reforecast Q1 2026'!I65-Actuals!I65)</f>
        <v>0</v>
      </c>
      <c r="AC50" s="134" t="n">
        <f aca="false">IFERROR(IF(OR(7&gt;$B$3,ISBLANK(Actuals!I65)),"",('Reforecast Q1 2026'!I65-Actuals!I65)/ABS('Reforecast Q1 2026'!I65)),"")</f>
        <v>0</v>
      </c>
      <c r="AD50" s="133" t="n">
        <f aca="false">'Reforecast Q1 2026'!J65</f>
        <v>23906.25</v>
      </c>
      <c r="AE50" s="133" t="n">
        <f aca="false">IF(OR(8&gt;$B$3,ISBLANK(Actuals!J65)),"",Actuals!J65)</f>
        <v>23906.25</v>
      </c>
      <c r="AF50" s="134" t="n">
        <f aca="false">IF(OR(8&gt;$B$3,ISBLANK(Actuals!J65)),"",'Reforecast Q1 2026'!J65-Actuals!J65)</f>
        <v>0</v>
      </c>
      <c r="AG50" s="134" t="n">
        <f aca="false">IFERROR(IF(OR(8&gt;$B$3,ISBLANK(Actuals!J65)),"",('Reforecast Q1 2026'!J65-Actuals!J65)/ABS('Reforecast Q1 2026'!J65)),"")</f>
        <v>0</v>
      </c>
      <c r="AH50" s="133" t="n">
        <f aca="false">'Reforecast Q1 2026'!K65</f>
        <v>23906.25</v>
      </c>
      <c r="AI50" s="133" t="str">
        <f aca="false">IF(OR(9&gt;$B$3,ISBLANK(Actuals!K65)),"",Actuals!K65)</f>
        <v/>
      </c>
      <c r="AJ50" s="134" t="str">
        <f aca="false">IF(OR(9&gt;$B$3,ISBLANK(Actuals!K65)),"",'Reforecast Q1 2026'!K65-Actuals!K65)</f>
        <v/>
      </c>
      <c r="AK50" s="134" t="str">
        <f aca="false">IFERROR(IF(OR(9&gt;$B$3,ISBLANK(Actuals!K65)),"",('Reforecast Q1 2026'!K65-Actuals!K65)/ABS('Reforecast Q1 2026'!K65)),"")</f>
        <v/>
      </c>
      <c r="AL50" s="133" t="n">
        <f aca="false">'Reforecast Q1 2026'!L65</f>
        <v>23906.25</v>
      </c>
      <c r="AM50" s="133" t="str">
        <f aca="false">IF(OR(10&gt;$B$3,ISBLANK(Actuals!L65)),"",Actuals!L65)</f>
        <v/>
      </c>
      <c r="AN50" s="134" t="str">
        <f aca="false">IF(OR(10&gt;$B$3,ISBLANK(Actuals!L65)),"",'Reforecast Q1 2026'!L65-Actuals!L65)</f>
        <v/>
      </c>
      <c r="AO50" s="134" t="str">
        <f aca="false">IFERROR(IF(OR(10&gt;$B$3,ISBLANK(Actuals!L65)),"",('Reforecast Q1 2026'!L65-Actuals!L65)/ABS('Reforecast Q1 2026'!L65)),"")</f>
        <v/>
      </c>
      <c r="AP50" s="133" t="n">
        <f aca="false">'Reforecast Q1 2026'!M65</f>
        <v>23906.25</v>
      </c>
      <c r="AQ50" s="133" t="str">
        <f aca="false">IF(OR(11&gt;$B$3,ISBLANK(Actuals!M65)),"",Actuals!M65)</f>
        <v/>
      </c>
      <c r="AR50" s="134" t="str">
        <f aca="false">IF(OR(11&gt;$B$3,ISBLANK(Actuals!M65)),"",'Reforecast Q1 2026'!M65-Actuals!M65)</f>
        <v/>
      </c>
      <c r="AS50" s="134" t="str">
        <f aca="false">IFERROR(IF(OR(11&gt;$B$3,ISBLANK(Actuals!M65)),"",('Reforecast Q1 2026'!M65-Actuals!M65)/ABS('Reforecast Q1 2026'!M65)),"")</f>
        <v/>
      </c>
      <c r="AT50" s="133" t="n">
        <f aca="false">'Reforecast Q1 2026'!N65</f>
        <v>23906.25</v>
      </c>
      <c r="AU50" s="133" t="str">
        <f aca="false">IF(OR(12&gt;$B$3,ISBLANK(Actuals!N65)),"",Actuals!N65)</f>
        <v/>
      </c>
      <c r="AV50" s="134" t="str">
        <f aca="false">IF(OR(12&gt;$B$3,ISBLANK(Actuals!N65)),"",'Reforecast Q1 2026'!N65-Actuals!N65)</f>
        <v/>
      </c>
      <c r="AW50" s="134" t="str">
        <f aca="false">IFERROR(IF(OR(12&gt;$B$3,ISBLANK(Actuals!N65)),"",('Reforecast Q1 2026'!N65-Actuals!N65)/ABS('Reforecast Q1 2026'!N65)),"")</f>
        <v/>
      </c>
      <c r="AX50" s="135" t="n">
        <f aca="false">SUMPRODUCT((Actuals!C65:N65&lt;&gt;"")*('Reforecast Q1 2026'!C65:N65))</f>
        <v>191250</v>
      </c>
      <c r="AY50" s="135" t="n">
        <f aca="false">SUM(Actuals!C65:N65)</f>
        <v>191250</v>
      </c>
      <c r="AZ50" s="136" t="n">
        <f aca="false">AX50-AY50</f>
        <v>0</v>
      </c>
    </row>
    <row r="51" customFormat="false" ht="15" hidden="false" customHeight="true" outlineLevel="0" collapsed="false">
      <c r="A51" s="132" t="s">
        <v>103</v>
      </c>
      <c r="B51" s="133" t="n">
        <f aca="false">'Reforecast Q1 2026'!C66</f>
        <v>0</v>
      </c>
      <c r="C51" s="133" t="str">
        <f aca="false">IF(OR(1&gt;$B$3,ISBLANK(Actuals!C66)),"",Actuals!C66)</f>
        <v/>
      </c>
      <c r="D51" s="134" t="str">
        <f aca="false">IF(OR(1&gt;$B$3,ISBLANK(Actuals!C66)),"",'Reforecast Q1 2026'!C66-Actuals!C66)</f>
        <v/>
      </c>
      <c r="E51" s="134" t="str">
        <f aca="false">IFERROR(IF(OR(1&gt;$B$3,ISBLANK(Actuals!C66)),"",('Reforecast Q1 2026'!C66-Actuals!C66)/ABS('Reforecast Q1 2026'!C66)),"")</f>
        <v/>
      </c>
      <c r="F51" s="133" t="n">
        <f aca="false">'Reforecast Q1 2026'!D66</f>
        <v>0</v>
      </c>
      <c r="G51" s="133" t="str">
        <f aca="false">IF(OR(2&gt;$B$3,ISBLANK(Actuals!D66)),"",Actuals!D66)</f>
        <v/>
      </c>
      <c r="H51" s="134" t="str">
        <f aca="false">IF(OR(2&gt;$B$3,ISBLANK(Actuals!D66)),"",'Reforecast Q1 2026'!D66-Actuals!D66)</f>
        <v/>
      </c>
      <c r="I51" s="134" t="str">
        <f aca="false">IFERROR(IF(OR(2&gt;$B$3,ISBLANK(Actuals!D66)),"",('Reforecast Q1 2026'!D66-Actuals!D66)/ABS('Reforecast Q1 2026'!D66)),"")</f>
        <v/>
      </c>
      <c r="J51" s="133" t="n">
        <f aca="false">'Reforecast Q1 2026'!E66</f>
        <v>0</v>
      </c>
      <c r="K51" s="133" t="str">
        <f aca="false">IF(OR(3&gt;$B$3,ISBLANK(Actuals!E66)),"",Actuals!E66)</f>
        <v/>
      </c>
      <c r="L51" s="134" t="str">
        <f aca="false">IF(OR(3&gt;$B$3,ISBLANK(Actuals!E66)),"",'Reforecast Q1 2026'!E66-Actuals!E66)</f>
        <v/>
      </c>
      <c r="M51" s="134" t="str">
        <f aca="false">IFERROR(IF(OR(3&gt;$B$3,ISBLANK(Actuals!E66)),"",('Reforecast Q1 2026'!E66-Actuals!E66)/ABS('Reforecast Q1 2026'!E66)),"")</f>
        <v/>
      </c>
      <c r="N51" s="133" t="n">
        <f aca="false">'Reforecast Q1 2026'!F66</f>
        <v>0</v>
      </c>
      <c r="O51" s="133" t="str">
        <f aca="false">IF(OR(4&gt;$B$3,ISBLANK(Actuals!F66)),"",Actuals!F66)</f>
        <v/>
      </c>
      <c r="P51" s="134" t="str">
        <f aca="false">IF(OR(4&gt;$B$3,ISBLANK(Actuals!F66)),"",'Reforecast Q1 2026'!F66-Actuals!F66)</f>
        <v/>
      </c>
      <c r="Q51" s="134" t="str">
        <f aca="false">IFERROR(IF(OR(4&gt;$B$3,ISBLANK(Actuals!F66)),"",('Reforecast Q1 2026'!F66-Actuals!F66)/ABS('Reforecast Q1 2026'!F66)),"")</f>
        <v/>
      </c>
      <c r="R51" s="133" t="n">
        <f aca="false">'Reforecast Q1 2026'!G66</f>
        <v>0</v>
      </c>
      <c r="S51" s="133" t="str">
        <f aca="false">IF(OR(5&gt;$B$3,ISBLANK(Actuals!G66)),"",Actuals!G66)</f>
        <v/>
      </c>
      <c r="T51" s="134" t="str">
        <f aca="false">IF(OR(5&gt;$B$3,ISBLANK(Actuals!G66)),"",'Reforecast Q1 2026'!G66-Actuals!G66)</f>
        <v/>
      </c>
      <c r="U51" s="134" t="str">
        <f aca="false">IFERROR(IF(OR(5&gt;$B$3,ISBLANK(Actuals!G66)),"",('Reforecast Q1 2026'!G66-Actuals!G66)/ABS('Reforecast Q1 2026'!G66)),"")</f>
        <v/>
      </c>
      <c r="V51" s="133" t="n">
        <f aca="false">'Reforecast Q1 2026'!H66</f>
        <v>0</v>
      </c>
      <c r="W51" s="133" t="str">
        <f aca="false">IF(OR(6&gt;$B$3,ISBLANK(Actuals!H66)),"",Actuals!H66)</f>
        <v/>
      </c>
      <c r="X51" s="134" t="str">
        <f aca="false">IF(OR(6&gt;$B$3,ISBLANK(Actuals!H66)),"",'Reforecast Q1 2026'!H66-Actuals!H66)</f>
        <v/>
      </c>
      <c r="Y51" s="134" t="str">
        <f aca="false">IFERROR(IF(OR(6&gt;$B$3,ISBLANK(Actuals!H66)),"",('Reforecast Q1 2026'!H66-Actuals!H66)/ABS('Reforecast Q1 2026'!H66)),"")</f>
        <v/>
      </c>
      <c r="Z51" s="133" t="n">
        <f aca="false">'Reforecast Q1 2026'!I66</f>
        <v>0</v>
      </c>
      <c r="AA51" s="133" t="str">
        <f aca="false">IF(OR(7&gt;$B$3,ISBLANK(Actuals!I66)),"",Actuals!I66)</f>
        <v/>
      </c>
      <c r="AB51" s="134" t="str">
        <f aca="false">IF(OR(7&gt;$B$3,ISBLANK(Actuals!I66)),"",'Reforecast Q1 2026'!I66-Actuals!I66)</f>
        <v/>
      </c>
      <c r="AC51" s="134" t="str">
        <f aca="false">IFERROR(IF(OR(7&gt;$B$3,ISBLANK(Actuals!I66)),"",('Reforecast Q1 2026'!I66-Actuals!I66)/ABS('Reforecast Q1 2026'!I66)),"")</f>
        <v/>
      </c>
      <c r="AD51" s="133" t="n">
        <f aca="false">'Reforecast Q1 2026'!J66</f>
        <v>0</v>
      </c>
      <c r="AE51" s="133" t="str">
        <f aca="false">IF(OR(8&gt;$B$3,ISBLANK(Actuals!J66)),"",Actuals!J66)</f>
        <v/>
      </c>
      <c r="AF51" s="134" t="str">
        <f aca="false">IF(OR(8&gt;$B$3,ISBLANK(Actuals!J66)),"",'Reforecast Q1 2026'!J66-Actuals!J66)</f>
        <v/>
      </c>
      <c r="AG51" s="134" t="str">
        <f aca="false">IFERROR(IF(OR(8&gt;$B$3,ISBLANK(Actuals!J66)),"",('Reforecast Q1 2026'!J66-Actuals!J66)/ABS('Reforecast Q1 2026'!J66)),"")</f>
        <v/>
      </c>
      <c r="AH51" s="133" t="n">
        <f aca="false">'Reforecast Q1 2026'!K66</f>
        <v>0</v>
      </c>
      <c r="AI51" s="133" t="str">
        <f aca="false">IF(OR(9&gt;$B$3,ISBLANK(Actuals!K66)),"",Actuals!K66)</f>
        <v/>
      </c>
      <c r="AJ51" s="134" t="str">
        <f aca="false">IF(OR(9&gt;$B$3,ISBLANK(Actuals!K66)),"",'Reforecast Q1 2026'!K66-Actuals!K66)</f>
        <v/>
      </c>
      <c r="AK51" s="134" t="str">
        <f aca="false">IFERROR(IF(OR(9&gt;$B$3,ISBLANK(Actuals!K66)),"",('Reforecast Q1 2026'!K66-Actuals!K66)/ABS('Reforecast Q1 2026'!K66)),"")</f>
        <v/>
      </c>
      <c r="AL51" s="133" t="n">
        <f aca="false">'Reforecast Q1 2026'!L66</f>
        <v>0</v>
      </c>
      <c r="AM51" s="133" t="str">
        <f aca="false">IF(OR(10&gt;$B$3,ISBLANK(Actuals!L66)),"",Actuals!L66)</f>
        <v/>
      </c>
      <c r="AN51" s="134" t="str">
        <f aca="false">IF(OR(10&gt;$B$3,ISBLANK(Actuals!L66)),"",'Reforecast Q1 2026'!L66-Actuals!L66)</f>
        <v/>
      </c>
      <c r="AO51" s="134" t="str">
        <f aca="false">IFERROR(IF(OR(10&gt;$B$3,ISBLANK(Actuals!L66)),"",('Reforecast Q1 2026'!L66-Actuals!L66)/ABS('Reforecast Q1 2026'!L66)),"")</f>
        <v/>
      </c>
      <c r="AP51" s="133" t="n">
        <f aca="false">'Reforecast Q1 2026'!M66</f>
        <v>0</v>
      </c>
      <c r="AQ51" s="133" t="str">
        <f aca="false">IF(OR(11&gt;$B$3,ISBLANK(Actuals!M66)),"",Actuals!M66)</f>
        <v/>
      </c>
      <c r="AR51" s="134" t="str">
        <f aca="false">IF(OR(11&gt;$B$3,ISBLANK(Actuals!M66)),"",'Reforecast Q1 2026'!M66-Actuals!M66)</f>
        <v/>
      </c>
      <c r="AS51" s="134" t="str">
        <f aca="false">IFERROR(IF(OR(11&gt;$B$3,ISBLANK(Actuals!M66)),"",('Reforecast Q1 2026'!M66-Actuals!M66)/ABS('Reforecast Q1 2026'!M66)),"")</f>
        <v/>
      </c>
      <c r="AT51" s="133" t="n">
        <f aca="false">'Reforecast Q1 2026'!N66</f>
        <v>0</v>
      </c>
      <c r="AU51" s="133" t="str">
        <f aca="false">IF(OR(12&gt;$B$3,ISBLANK(Actuals!N66)),"",Actuals!N66)</f>
        <v/>
      </c>
      <c r="AV51" s="134" t="str">
        <f aca="false">IF(OR(12&gt;$B$3,ISBLANK(Actuals!N66)),"",'Reforecast Q1 2026'!N66-Actuals!N66)</f>
        <v/>
      </c>
      <c r="AW51" s="134" t="str">
        <f aca="false">IFERROR(IF(OR(12&gt;$B$3,ISBLANK(Actuals!N66)),"",('Reforecast Q1 2026'!N66-Actuals!N66)/ABS('Reforecast Q1 2026'!N66)),"")</f>
        <v/>
      </c>
      <c r="AX51" s="135" t="n">
        <f aca="false">SUMPRODUCT((Actuals!C66:N66&lt;&gt;"")*('Reforecast Q1 2026'!C66:N66))</f>
        <v>0</v>
      </c>
      <c r="AY51" s="135" t="n">
        <f aca="false">SUM(Actuals!C66:N66)</f>
        <v>0</v>
      </c>
      <c r="AZ51" s="136" t="n">
        <f aca="false">AX51-AY51</f>
        <v>0</v>
      </c>
    </row>
    <row r="52" customFormat="false" ht="15" hidden="false" customHeight="true" outlineLevel="0" collapsed="false">
      <c r="A52" s="132" t="s">
        <v>104</v>
      </c>
      <c r="B52" s="133" t="n">
        <f aca="false">'Reforecast Q1 2026'!C67</f>
        <v>0</v>
      </c>
      <c r="C52" s="133" t="str">
        <f aca="false">IF(OR(1&gt;$B$3,ISBLANK(Actuals!C67)),"",Actuals!C67)</f>
        <v/>
      </c>
      <c r="D52" s="134" t="str">
        <f aca="false">IF(OR(1&gt;$B$3,ISBLANK(Actuals!C67)),"",'Reforecast Q1 2026'!C67-Actuals!C67)</f>
        <v/>
      </c>
      <c r="E52" s="134" t="str">
        <f aca="false">IFERROR(IF(OR(1&gt;$B$3,ISBLANK(Actuals!C67)),"",('Reforecast Q1 2026'!C67-Actuals!C67)/ABS('Reforecast Q1 2026'!C67)),"")</f>
        <v/>
      </c>
      <c r="F52" s="133" t="n">
        <f aca="false">'Reforecast Q1 2026'!D67</f>
        <v>0</v>
      </c>
      <c r="G52" s="133" t="str">
        <f aca="false">IF(OR(2&gt;$B$3,ISBLANK(Actuals!D67)),"",Actuals!D67)</f>
        <v/>
      </c>
      <c r="H52" s="134" t="str">
        <f aca="false">IF(OR(2&gt;$B$3,ISBLANK(Actuals!D67)),"",'Reforecast Q1 2026'!D67-Actuals!D67)</f>
        <v/>
      </c>
      <c r="I52" s="134" t="str">
        <f aca="false">IFERROR(IF(OR(2&gt;$B$3,ISBLANK(Actuals!D67)),"",('Reforecast Q1 2026'!D67-Actuals!D67)/ABS('Reforecast Q1 2026'!D67)),"")</f>
        <v/>
      </c>
      <c r="J52" s="133" t="n">
        <f aca="false">'Reforecast Q1 2026'!E67</f>
        <v>0</v>
      </c>
      <c r="K52" s="133" t="str">
        <f aca="false">IF(OR(3&gt;$B$3,ISBLANK(Actuals!E67)),"",Actuals!E67)</f>
        <v/>
      </c>
      <c r="L52" s="134" t="str">
        <f aca="false">IF(OR(3&gt;$B$3,ISBLANK(Actuals!E67)),"",'Reforecast Q1 2026'!E67-Actuals!E67)</f>
        <v/>
      </c>
      <c r="M52" s="134" t="str">
        <f aca="false">IFERROR(IF(OR(3&gt;$B$3,ISBLANK(Actuals!E67)),"",('Reforecast Q1 2026'!E67-Actuals!E67)/ABS('Reforecast Q1 2026'!E67)),"")</f>
        <v/>
      </c>
      <c r="N52" s="133" t="n">
        <f aca="false">'Reforecast Q1 2026'!F67</f>
        <v>0</v>
      </c>
      <c r="O52" s="133" t="str">
        <f aca="false">IF(OR(4&gt;$B$3,ISBLANK(Actuals!F67)),"",Actuals!F67)</f>
        <v/>
      </c>
      <c r="P52" s="134" t="str">
        <f aca="false">IF(OR(4&gt;$B$3,ISBLANK(Actuals!F67)),"",'Reforecast Q1 2026'!F67-Actuals!F67)</f>
        <v/>
      </c>
      <c r="Q52" s="134" t="str">
        <f aca="false">IFERROR(IF(OR(4&gt;$B$3,ISBLANK(Actuals!F67)),"",('Reforecast Q1 2026'!F67-Actuals!F67)/ABS('Reforecast Q1 2026'!F67)),"")</f>
        <v/>
      </c>
      <c r="R52" s="133" t="n">
        <f aca="false">'Reforecast Q1 2026'!G67</f>
        <v>0</v>
      </c>
      <c r="S52" s="133" t="str">
        <f aca="false">IF(OR(5&gt;$B$3,ISBLANK(Actuals!G67)),"",Actuals!G67)</f>
        <v/>
      </c>
      <c r="T52" s="134" t="str">
        <f aca="false">IF(OR(5&gt;$B$3,ISBLANK(Actuals!G67)),"",'Reforecast Q1 2026'!G67-Actuals!G67)</f>
        <v/>
      </c>
      <c r="U52" s="134" t="str">
        <f aca="false">IFERROR(IF(OR(5&gt;$B$3,ISBLANK(Actuals!G67)),"",('Reforecast Q1 2026'!G67-Actuals!G67)/ABS('Reforecast Q1 2026'!G67)),"")</f>
        <v/>
      </c>
      <c r="V52" s="133" t="n">
        <f aca="false">'Reforecast Q1 2026'!H67</f>
        <v>0</v>
      </c>
      <c r="W52" s="133" t="str">
        <f aca="false">IF(OR(6&gt;$B$3,ISBLANK(Actuals!H67)),"",Actuals!H67)</f>
        <v/>
      </c>
      <c r="X52" s="134" t="str">
        <f aca="false">IF(OR(6&gt;$B$3,ISBLANK(Actuals!H67)),"",'Reforecast Q1 2026'!H67-Actuals!H67)</f>
        <v/>
      </c>
      <c r="Y52" s="134" t="str">
        <f aca="false">IFERROR(IF(OR(6&gt;$B$3,ISBLANK(Actuals!H67)),"",('Reforecast Q1 2026'!H67-Actuals!H67)/ABS('Reforecast Q1 2026'!H67)),"")</f>
        <v/>
      </c>
      <c r="Z52" s="133" t="n">
        <f aca="false">'Reforecast Q1 2026'!I67</f>
        <v>0</v>
      </c>
      <c r="AA52" s="133" t="str">
        <f aca="false">IF(OR(7&gt;$B$3,ISBLANK(Actuals!I67)),"",Actuals!I67)</f>
        <v/>
      </c>
      <c r="AB52" s="134" t="str">
        <f aca="false">IF(OR(7&gt;$B$3,ISBLANK(Actuals!I67)),"",'Reforecast Q1 2026'!I67-Actuals!I67)</f>
        <v/>
      </c>
      <c r="AC52" s="134" t="str">
        <f aca="false">IFERROR(IF(OR(7&gt;$B$3,ISBLANK(Actuals!I67)),"",('Reforecast Q1 2026'!I67-Actuals!I67)/ABS('Reforecast Q1 2026'!I67)),"")</f>
        <v/>
      </c>
      <c r="AD52" s="133" t="n">
        <f aca="false">'Reforecast Q1 2026'!J67</f>
        <v>0</v>
      </c>
      <c r="AE52" s="133" t="str">
        <f aca="false">IF(OR(8&gt;$B$3,ISBLANK(Actuals!J67)),"",Actuals!J67)</f>
        <v/>
      </c>
      <c r="AF52" s="134" t="str">
        <f aca="false">IF(OR(8&gt;$B$3,ISBLANK(Actuals!J67)),"",'Reforecast Q1 2026'!J67-Actuals!J67)</f>
        <v/>
      </c>
      <c r="AG52" s="134" t="str">
        <f aca="false">IFERROR(IF(OR(8&gt;$B$3,ISBLANK(Actuals!J67)),"",('Reforecast Q1 2026'!J67-Actuals!J67)/ABS('Reforecast Q1 2026'!J67)),"")</f>
        <v/>
      </c>
      <c r="AH52" s="133" t="n">
        <f aca="false">'Reforecast Q1 2026'!K67</f>
        <v>0</v>
      </c>
      <c r="AI52" s="133" t="str">
        <f aca="false">IF(OR(9&gt;$B$3,ISBLANK(Actuals!K67)),"",Actuals!K67)</f>
        <v/>
      </c>
      <c r="AJ52" s="134" t="str">
        <f aca="false">IF(OR(9&gt;$B$3,ISBLANK(Actuals!K67)),"",'Reforecast Q1 2026'!K67-Actuals!K67)</f>
        <v/>
      </c>
      <c r="AK52" s="134" t="str">
        <f aca="false">IFERROR(IF(OR(9&gt;$B$3,ISBLANK(Actuals!K67)),"",('Reforecast Q1 2026'!K67-Actuals!K67)/ABS('Reforecast Q1 2026'!K67)),"")</f>
        <v/>
      </c>
      <c r="AL52" s="133" t="n">
        <f aca="false">'Reforecast Q1 2026'!L67</f>
        <v>0</v>
      </c>
      <c r="AM52" s="133" t="str">
        <f aca="false">IF(OR(10&gt;$B$3,ISBLANK(Actuals!L67)),"",Actuals!L67)</f>
        <v/>
      </c>
      <c r="AN52" s="134" t="str">
        <f aca="false">IF(OR(10&gt;$B$3,ISBLANK(Actuals!L67)),"",'Reforecast Q1 2026'!L67-Actuals!L67)</f>
        <v/>
      </c>
      <c r="AO52" s="134" t="str">
        <f aca="false">IFERROR(IF(OR(10&gt;$B$3,ISBLANK(Actuals!L67)),"",('Reforecast Q1 2026'!L67-Actuals!L67)/ABS('Reforecast Q1 2026'!L67)),"")</f>
        <v/>
      </c>
      <c r="AP52" s="133" t="n">
        <f aca="false">'Reforecast Q1 2026'!M67</f>
        <v>0</v>
      </c>
      <c r="AQ52" s="133" t="str">
        <f aca="false">IF(OR(11&gt;$B$3,ISBLANK(Actuals!M67)),"",Actuals!M67)</f>
        <v/>
      </c>
      <c r="AR52" s="134" t="str">
        <f aca="false">IF(OR(11&gt;$B$3,ISBLANK(Actuals!M67)),"",'Reforecast Q1 2026'!M67-Actuals!M67)</f>
        <v/>
      </c>
      <c r="AS52" s="134" t="str">
        <f aca="false">IFERROR(IF(OR(11&gt;$B$3,ISBLANK(Actuals!M67)),"",('Reforecast Q1 2026'!M67-Actuals!M67)/ABS('Reforecast Q1 2026'!M67)),"")</f>
        <v/>
      </c>
      <c r="AT52" s="133" t="n">
        <f aca="false">'Reforecast Q1 2026'!N67</f>
        <v>0</v>
      </c>
      <c r="AU52" s="133" t="str">
        <f aca="false">IF(OR(12&gt;$B$3,ISBLANK(Actuals!N67)),"",Actuals!N67)</f>
        <v/>
      </c>
      <c r="AV52" s="134" t="str">
        <f aca="false">IF(OR(12&gt;$B$3,ISBLANK(Actuals!N67)),"",'Reforecast Q1 2026'!N67-Actuals!N67)</f>
        <v/>
      </c>
      <c r="AW52" s="134" t="str">
        <f aca="false">IFERROR(IF(OR(12&gt;$B$3,ISBLANK(Actuals!N67)),"",('Reforecast Q1 2026'!N67-Actuals!N67)/ABS('Reforecast Q1 2026'!N67)),"")</f>
        <v/>
      </c>
      <c r="AX52" s="135" t="n">
        <f aca="false">SUMPRODUCT((Actuals!C67:N67&lt;&gt;"")*('Reforecast Q1 2026'!C67:N67))</f>
        <v>0</v>
      </c>
      <c r="AY52" s="135" t="n">
        <f aca="false">SUM(Actuals!C67:N67)</f>
        <v>0</v>
      </c>
      <c r="AZ52" s="136" t="n">
        <f aca="false">AX52-AY52</f>
        <v>0</v>
      </c>
    </row>
    <row r="53" customFormat="false" ht="15" hidden="false" customHeight="true" outlineLevel="0" collapsed="false">
      <c r="A53" s="132" t="s">
        <v>105</v>
      </c>
      <c r="B53" s="133" t="n">
        <f aca="false">'Reforecast Q1 2026'!C68</f>
        <v>0</v>
      </c>
      <c r="C53" s="133" t="str">
        <f aca="false">IF(OR(1&gt;$B$3,ISBLANK(Actuals!C68)),"",Actuals!C68)</f>
        <v/>
      </c>
      <c r="D53" s="134" t="str">
        <f aca="false">IF(OR(1&gt;$B$3,ISBLANK(Actuals!C68)),"",'Reforecast Q1 2026'!C68-Actuals!C68)</f>
        <v/>
      </c>
      <c r="E53" s="134" t="str">
        <f aca="false">IFERROR(IF(OR(1&gt;$B$3,ISBLANK(Actuals!C68)),"",('Reforecast Q1 2026'!C68-Actuals!C68)/ABS('Reforecast Q1 2026'!C68)),"")</f>
        <v/>
      </c>
      <c r="F53" s="133" t="n">
        <f aca="false">'Reforecast Q1 2026'!D68</f>
        <v>0</v>
      </c>
      <c r="G53" s="133" t="str">
        <f aca="false">IF(OR(2&gt;$B$3,ISBLANK(Actuals!D68)),"",Actuals!D68)</f>
        <v/>
      </c>
      <c r="H53" s="134" t="str">
        <f aca="false">IF(OR(2&gt;$B$3,ISBLANK(Actuals!D68)),"",'Reforecast Q1 2026'!D68-Actuals!D68)</f>
        <v/>
      </c>
      <c r="I53" s="134" t="str">
        <f aca="false">IFERROR(IF(OR(2&gt;$B$3,ISBLANK(Actuals!D68)),"",('Reforecast Q1 2026'!D68-Actuals!D68)/ABS('Reforecast Q1 2026'!D68)),"")</f>
        <v/>
      </c>
      <c r="J53" s="133" t="n">
        <f aca="false">'Reforecast Q1 2026'!E68</f>
        <v>0</v>
      </c>
      <c r="K53" s="133" t="str">
        <f aca="false">IF(OR(3&gt;$B$3,ISBLANK(Actuals!E68)),"",Actuals!E68)</f>
        <v/>
      </c>
      <c r="L53" s="134" t="str">
        <f aca="false">IF(OR(3&gt;$B$3,ISBLANK(Actuals!E68)),"",'Reforecast Q1 2026'!E68-Actuals!E68)</f>
        <v/>
      </c>
      <c r="M53" s="134" t="str">
        <f aca="false">IFERROR(IF(OR(3&gt;$B$3,ISBLANK(Actuals!E68)),"",('Reforecast Q1 2026'!E68-Actuals!E68)/ABS('Reforecast Q1 2026'!E68)),"")</f>
        <v/>
      </c>
      <c r="N53" s="133" t="n">
        <f aca="false">'Reforecast Q1 2026'!F68</f>
        <v>0</v>
      </c>
      <c r="O53" s="133" t="str">
        <f aca="false">IF(OR(4&gt;$B$3,ISBLANK(Actuals!F68)),"",Actuals!F68)</f>
        <v/>
      </c>
      <c r="P53" s="134" t="str">
        <f aca="false">IF(OR(4&gt;$B$3,ISBLANK(Actuals!F68)),"",'Reforecast Q1 2026'!F68-Actuals!F68)</f>
        <v/>
      </c>
      <c r="Q53" s="134" t="str">
        <f aca="false">IFERROR(IF(OR(4&gt;$B$3,ISBLANK(Actuals!F68)),"",('Reforecast Q1 2026'!F68-Actuals!F68)/ABS('Reforecast Q1 2026'!F68)),"")</f>
        <v/>
      </c>
      <c r="R53" s="133" t="n">
        <f aca="false">'Reforecast Q1 2026'!G68</f>
        <v>0</v>
      </c>
      <c r="S53" s="133" t="str">
        <f aca="false">IF(OR(5&gt;$B$3,ISBLANK(Actuals!G68)),"",Actuals!G68)</f>
        <v/>
      </c>
      <c r="T53" s="134" t="str">
        <f aca="false">IF(OR(5&gt;$B$3,ISBLANK(Actuals!G68)),"",'Reforecast Q1 2026'!G68-Actuals!G68)</f>
        <v/>
      </c>
      <c r="U53" s="134" t="str">
        <f aca="false">IFERROR(IF(OR(5&gt;$B$3,ISBLANK(Actuals!G68)),"",('Reforecast Q1 2026'!G68-Actuals!G68)/ABS('Reforecast Q1 2026'!G68)),"")</f>
        <v/>
      </c>
      <c r="V53" s="133" t="n">
        <f aca="false">'Reforecast Q1 2026'!H68</f>
        <v>0</v>
      </c>
      <c r="W53" s="133" t="str">
        <f aca="false">IF(OR(6&gt;$B$3,ISBLANK(Actuals!H68)),"",Actuals!H68)</f>
        <v/>
      </c>
      <c r="X53" s="134" t="str">
        <f aca="false">IF(OR(6&gt;$B$3,ISBLANK(Actuals!H68)),"",'Reforecast Q1 2026'!H68-Actuals!H68)</f>
        <v/>
      </c>
      <c r="Y53" s="134" t="str">
        <f aca="false">IFERROR(IF(OR(6&gt;$B$3,ISBLANK(Actuals!H68)),"",('Reforecast Q1 2026'!H68-Actuals!H68)/ABS('Reforecast Q1 2026'!H68)),"")</f>
        <v/>
      </c>
      <c r="Z53" s="133" t="n">
        <f aca="false">'Reforecast Q1 2026'!I68</f>
        <v>0</v>
      </c>
      <c r="AA53" s="133" t="str">
        <f aca="false">IF(OR(7&gt;$B$3,ISBLANK(Actuals!I68)),"",Actuals!I68)</f>
        <v/>
      </c>
      <c r="AB53" s="134" t="str">
        <f aca="false">IF(OR(7&gt;$B$3,ISBLANK(Actuals!I68)),"",'Reforecast Q1 2026'!I68-Actuals!I68)</f>
        <v/>
      </c>
      <c r="AC53" s="134" t="str">
        <f aca="false">IFERROR(IF(OR(7&gt;$B$3,ISBLANK(Actuals!I68)),"",('Reforecast Q1 2026'!I68-Actuals!I68)/ABS('Reforecast Q1 2026'!I68)),"")</f>
        <v/>
      </c>
      <c r="AD53" s="133" t="n">
        <f aca="false">'Reforecast Q1 2026'!J68</f>
        <v>0</v>
      </c>
      <c r="AE53" s="133" t="str">
        <f aca="false">IF(OR(8&gt;$B$3,ISBLANK(Actuals!J68)),"",Actuals!J68)</f>
        <v/>
      </c>
      <c r="AF53" s="134" t="str">
        <f aca="false">IF(OR(8&gt;$B$3,ISBLANK(Actuals!J68)),"",'Reforecast Q1 2026'!J68-Actuals!J68)</f>
        <v/>
      </c>
      <c r="AG53" s="134" t="str">
        <f aca="false">IFERROR(IF(OR(8&gt;$B$3,ISBLANK(Actuals!J68)),"",('Reforecast Q1 2026'!J68-Actuals!J68)/ABS('Reforecast Q1 2026'!J68)),"")</f>
        <v/>
      </c>
      <c r="AH53" s="133" t="n">
        <f aca="false">'Reforecast Q1 2026'!K68</f>
        <v>0</v>
      </c>
      <c r="AI53" s="133" t="str">
        <f aca="false">IF(OR(9&gt;$B$3,ISBLANK(Actuals!K68)),"",Actuals!K68)</f>
        <v/>
      </c>
      <c r="AJ53" s="134" t="str">
        <f aca="false">IF(OR(9&gt;$B$3,ISBLANK(Actuals!K68)),"",'Reforecast Q1 2026'!K68-Actuals!K68)</f>
        <v/>
      </c>
      <c r="AK53" s="134" t="str">
        <f aca="false">IFERROR(IF(OR(9&gt;$B$3,ISBLANK(Actuals!K68)),"",('Reforecast Q1 2026'!K68-Actuals!K68)/ABS('Reforecast Q1 2026'!K68)),"")</f>
        <v/>
      </c>
      <c r="AL53" s="133" t="n">
        <f aca="false">'Reforecast Q1 2026'!L68</f>
        <v>0</v>
      </c>
      <c r="AM53" s="133" t="str">
        <f aca="false">IF(OR(10&gt;$B$3,ISBLANK(Actuals!L68)),"",Actuals!L68)</f>
        <v/>
      </c>
      <c r="AN53" s="134" t="str">
        <f aca="false">IF(OR(10&gt;$B$3,ISBLANK(Actuals!L68)),"",'Reforecast Q1 2026'!L68-Actuals!L68)</f>
        <v/>
      </c>
      <c r="AO53" s="134" t="str">
        <f aca="false">IFERROR(IF(OR(10&gt;$B$3,ISBLANK(Actuals!L68)),"",('Reforecast Q1 2026'!L68-Actuals!L68)/ABS('Reforecast Q1 2026'!L68)),"")</f>
        <v/>
      </c>
      <c r="AP53" s="133" t="n">
        <f aca="false">'Reforecast Q1 2026'!M68</f>
        <v>0</v>
      </c>
      <c r="AQ53" s="133" t="str">
        <f aca="false">IF(OR(11&gt;$B$3,ISBLANK(Actuals!M68)),"",Actuals!M68)</f>
        <v/>
      </c>
      <c r="AR53" s="134" t="str">
        <f aca="false">IF(OR(11&gt;$B$3,ISBLANK(Actuals!M68)),"",'Reforecast Q1 2026'!M68-Actuals!M68)</f>
        <v/>
      </c>
      <c r="AS53" s="134" t="str">
        <f aca="false">IFERROR(IF(OR(11&gt;$B$3,ISBLANK(Actuals!M68)),"",('Reforecast Q1 2026'!M68-Actuals!M68)/ABS('Reforecast Q1 2026'!M68)),"")</f>
        <v/>
      </c>
      <c r="AT53" s="133" t="n">
        <f aca="false">'Reforecast Q1 2026'!N68</f>
        <v>0</v>
      </c>
      <c r="AU53" s="133" t="str">
        <f aca="false">IF(OR(12&gt;$B$3,ISBLANK(Actuals!N68)),"",Actuals!N68)</f>
        <v/>
      </c>
      <c r="AV53" s="134" t="str">
        <f aca="false">IF(OR(12&gt;$B$3,ISBLANK(Actuals!N68)),"",'Reforecast Q1 2026'!N68-Actuals!N68)</f>
        <v/>
      </c>
      <c r="AW53" s="134" t="str">
        <f aca="false">IFERROR(IF(OR(12&gt;$B$3,ISBLANK(Actuals!N68)),"",('Reforecast Q1 2026'!N68-Actuals!N68)/ABS('Reforecast Q1 2026'!N68)),"")</f>
        <v/>
      </c>
      <c r="AX53" s="135" t="n">
        <f aca="false">SUMPRODUCT((Actuals!C68:N68&lt;&gt;"")*('Reforecast Q1 2026'!C68:N68))</f>
        <v>0</v>
      </c>
      <c r="AY53" s="135" t="n">
        <f aca="false">SUM(Actuals!C68:N68)</f>
        <v>0</v>
      </c>
      <c r="AZ53" s="136" t="n">
        <f aca="false">AX53-AY53</f>
        <v>0</v>
      </c>
    </row>
    <row r="54" customFormat="false" ht="15" hidden="false" customHeight="true" outlineLevel="0" collapsed="false">
      <c r="A54" s="132" t="s">
        <v>106</v>
      </c>
      <c r="B54" s="133" t="n">
        <f aca="false">'Reforecast Q1 2026'!C69</f>
        <v>9375</v>
      </c>
      <c r="C54" s="133" t="n">
        <f aca="false">IF(OR(1&gt;$B$3,ISBLANK(Actuals!C69)),"",Actuals!C69)</f>
        <v>9375</v>
      </c>
      <c r="D54" s="134" t="n">
        <f aca="false">IF(OR(1&gt;$B$3,ISBLANK(Actuals!C69)),"",'Reforecast Q1 2026'!C69-Actuals!C69)</f>
        <v>0</v>
      </c>
      <c r="E54" s="134" t="n">
        <f aca="false">IFERROR(IF(OR(1&gt;$B$3,ISBLANK(Actuals!C69)),"",('Reforecast Q1 2026'!C69-Actuals!C69)/ABS('Reforecast Q1 2026'!C69)),"")</f>
        <v>0</v>
      </c>
      <c r="F54" s="133" t="n">
        <f aca="false">'Reforecast Q1 2026'!D69</f>
        <v>9375</v>
      </c>
      <c r="G54" s="133" t="n">
        <f aca="false">IF(OR(2&gt;$B$3,ISBLANK(Actuals!D69)),"",Actuals!D69)</f>
        <v>9375</v>
      </c>
      <c r="H54" s="134" t="n">
        <f aca="false">IF(OR(2&gt;$B$3,ISBLANK(Actuals!D69)),"",'Reforecast Q1 2026'!D69-Actuals!D69)</f>
        <v>0</v>
      </c>
      <c r="I54" s="134" t="n">
        <f aca="false">IFERROR(IF(OR(2&gt;$B$3,ISBLANK(Actuals!D69)),"",('Reforecast Q1 2026'!D69-Actuals!D69)/ABS('Reforecast Q1 2026'!D69)),"")</f>
        <v>0</v>
      </c>
      <c r="J54" s="133" t="n">
        <f aca="false">'Reforecast Q1 2026'!E69</f>
        <v>9375</v>
      </c>
      <c r="K54" s="133" t="n">
        <f aca="false">IF(OR(3&gt;$B$3,ISBLANK(Actuals!E69)),"",Actuals!E69)</f>
        <v>9375</v>
      </c>
      <c r="L54" s="134" t="n">
        <f aca="false">IF(OR(3&gt;$B$3,ISBLANK(Actuals!E69)),"",'Reforecast Q1 2026'!E69-Actuals!E69)</f>
        <v>0</v>
      </c>
      <c r="M54" s="134" t="n">
        <f aca="false">IFERROR(IF(OR(3&gt;$B$3,ISBLANK(Actuals!E69)),"",('Reforecast Q1 2026'!E69-Actuals!E69)/ABS('Reforecast Q1 2026'!E69)),"")</f>
        <v>0</v>
      </c>
      <c r="N54" s="133" t="n">
        <f aca="false">'Reforecast Q1 2026'!F69</f>
        <v>9375</v>
      </c>
      <c r="O54" s="133" t="n">
        <f aca="false">IF(OR(4&gt;$B$3,ISBLANK(Actuals!F69)),"",Actuals!F69)</f>
        <v>9375</v>
      </c>
      <c r="P54" s="134" t="n">
        <f aca="false">IF(OR(4&gt;$B$3,ISBLANK(Actuals!F69)),"",'Reforecast Q1 2026'!F69-Actuals!F69)</f>
        <v>0</v>
      </c>
      <c r="Q54" s="134" t="n">
        <f aca="false">IFERROR(IF(OR(4&gt;$B$3,ISBLANK(Actuals!F69)),"",('Reforecast Q1 2026'!F69-Actuals!F69)/ABS('Reforecast Q1 2026'!F69)),"")</f>
        <v>0</v>
      </c>
      <c r="R54" s="133" t="n">
        <f aca="false">'Reforecast Q1 2026'!G69</f>
        <v>9375</v>
      </c>
      <c r="S54" s="133" t="n">
        <f aca="false">IF(OR(5&gt;$B$3,ISBLANK(Actuals!G69)),"",Actuals!G69)</f>
        <v>9375</v>
      </c>
      <c r="T54" s="134" t="n">
        <f aca="false">IF(OR(5&gt;$B$3,ISBLANK(Actuals!G69)),"",'Reforecast Q1 2026'!G69-Actuals!G69)</f>
        <v>0</v>
      </c>
      <c r="U54" s="134" t="n">
        <f aca="false">IFERROR(IF(OR(5&gt;$B$3,ISBLANK(Actuals!G69)),"",('Reforecast Q1 2026'!G69-Actuals!G69)/ABS('Reforecast Q1 2026'!G69)),"")</f>
        <v>0</v>
      </c>
      <c r="V54" s="133" t="n">
        <f aca="false">'Reforecast Q1 2026'!H69</f>
        <v>9375</v>
      </c>
      <c r="W54" s="133" t="n">
        <f aca="false">IF(OR(6&gt;$B$3,ISBLANK(Actuals!H69)),"",Actuals!H69)</f>
        <v>9375</v>
      </c>
      <c r="X54" s="134" t="n">
        <f aca="false">IF(OR(6&gt;$B$3,ISBLANK(Actuals!H69)),"",'Reforecast Q1 2026'!H69-Actuals!H69)</f>
        <v>0</v>
      </c>
      <c r="Y54" s="134" t="n">
        <f aca="false">IFERROR(IF(OR(6&gt;$B$3,ISBLANK(Actuals!H69)),"",('Reforecast Q1 2026'!H69-Actuals!H69)/ABS('Reforecast Q1 2026'!H69)),"")</f>
        <v>0</v>
      </c>
      <c r="Z54" s="133" t="n">
        <f aca="false">'Reforecast Q1 2026'!I69</f>
        <v>9375</v>
      </c>
      <c r="AA54" s="133" t="n">
        <f aca="false">IF(OR(7&gt;$B$3,ISBLANK(Actuals!I69)),"",Actuals!I69)</f>
        <v>9375</v>
      </c>
      <c r="AB54" s="134" t="n">
        <f aca="false">IF(OR(7&gt;$B$3,ISBLANK(Actuals!I69)),"",'Reforecast Q1 2026'!I69-Actuals!I69)</f>
        <v>0</v>
      </c>
      <c r="AC54" s="134" t="n">
        <f aca="false">IFERROR(IF(OR(7&gt;$B$3,ISBLANK(Actuals!I69)),"",('Reforecast Q1 2026'!I69-Actuals!I69)/ABS('Reforecast Q1 2026'!I69)),"")</f>
        <v>0</v>
      </c>
      <c r="AD54" s="133" t="n">
        <f aca="false">'Reforecast Q1 2026'!J69</f>
        <v>9375</v>
      </c>
      <c r="AE54" s="133" t="n">
        <f aca="false">IF(OR(8&gt;$B$3,ISBLANK(Actuals!J69)),"",Actuals!J69)</f>
        <v>9375</v>
      </c>
      <c r="AF54" s="134" t="n">
        <f aca="false">IF(OR(8&gt;$B$3,ISBLANK(Actuals!J69)),"",'Reforecast Q1 2026'!J69-Actuals!J69)</f>
        <v>0</v>
      </c>
      <c r="AG54" s="134" t="n">
        <f aca="false">IFERROR(IF(OR(8&gt;$B$3,ISBLANK(Actuals!J69)),"",('Reforecast Q1 2026'!J69-Actuals!J69)/ABS('Reforecast Q1 2026'!J69)),"")</f>
        <v>0</v>
      </c>
      <c r="AH54" s="133" t="n">
        <f aca="false">'Reforecast Q1 2026'!K69</f>
        <v>9375</v>
      </c>
      <c r="AI54" s="133" t="str">
        <f aca="false">IF(OR(9&gt;$B$3,ISBLANK(Actuals!K69)),"",Actuals!K69)</f>
        <v/>
      </c>
      <c r="AJ54" s="134" t="str">
        <f aca="false">IF(OR(9&gt;$B$3,ISBLANK(Actuals!K69)),"",'Reforecast Q1 2026'!K69-Actuals!K69)</f>
        <v/>
      </c>
      <c r="AK54" s="134" t="str">
        <f aca="false">IFERROR(IF(OR(9&gt;$B$3,ISBLANK(Actuals!K69)),"",('Reforecast Q1 2026'!K69-Actuals!K69)/ABS('Reforecast Q1 2026'!K69)),"")</f>
        <v/>
      </c>
      <c r="AL54" s="133" t="n">
        <f aca="false">'Reforecast Q1 2026'!L69</f>
        <v>9375</v>
      </c>
      <c r="AM54" s="133" t="str">
        <f aca="false">IF(OR(10&gt;$B$3,ISBLANK(Actuals!L69)),"",Actuals!L69)</f>
        <v/>
      </c>
      <c r="AN54" s="134" t="str">
        <f aca="false">IF(OR(10&gt;$B$3,ISBLANK(Actuals!L69)),"",'Reforecast Q1 2026'!L69-Actuals!L69)</f>
        <v/>
      </c>
      <c r="AO54" s="134" t="str">
        <f aca="false">IFERROR(IF(OR(10&gt;$B$3,ISBLANK(Actuals!L69)),"",('Reforecast Q1 2026'!L69-Actuals!L69)/ABS('Reforecast Q1 2026'!L69)),"")</f>
        <v/>
      </c>
      <c r="AP54" s="133" t="n">
        <f aca="false">'Reforecast Q1 2026'!M69</f>
        <v>0</v>
      </c>
      <c r="AQ54" s="133" t="str">
        <f aca="false">IF(OR(11&gt;$B$3,ISBLANK(Actuals!M69)),"",Actuals!M69)</f>
        <v/>
      </c>
      <c r="AR54" s="134" t="str">
        <f aca="false">IF(OR(11&gt;$B$3,ISBLANK(Actuals!M69)),"",'Reforecast Q1 2026'!M69-Actuals!M69)</f>
        <v/>
      </c>
      <c r="AS54" s="134" t="str">
        <f aca="false">IFERROR(IF(OR(11&gt;$B$3,ISBLANK(Actuals!M69)),"",('Reforecast Q1 2026'!M69-Actuals!M69)/ABS('Reforecast Q1 2026'!M69)),"")</f>
        <v/>
      </c>
      <c r="AT54" s="133" t="n">
        <f aca="false">'Reforecast Q1 2026'!N69</f>
        <v>0</v>
      </c>
      <c r="AU54" s="133" t="str">
        <f aca="false">IF(OR(12&gt;$B$3,ISBLANK(Actuals!N69)),"",Actuals!N69)</f>
        <v/>
      </c>
      <c r="AV54" s="134" t="str">
        <f aca="false">IF(OR(12&gt;$B$3,ISBLANK(Actuals!N69)),"",'Reforecast Q1 2026'!N69-Actuals!N69)</f>
        <v/>
      </c>
      <c r="AW54" s="134" t="str">
        <f aca="false">IFERROR(IF(OR(12&gt;$B$3,ISBLANK(Actuals!N69)),"",('Reforecast Q1 2026'!N69-Actuals!N69)/ABS('Reforecast Q1 2026'!N69)),"")</f>
        <v/>
      </c>
      <c r="AX54" s="135" t="n">
        <f aca="false">SUMPRODUCT((Actuals!C69:N69&lt;&gt;"")*('Reforecast Q1 2026'!C69:N69))</f>
        <v>75000</v>
      </c>
      <c r="AY54" s="135" t="n">
        <f aca="false">SUM(Actuals!C69:N69)</f>
        <v>75000</v>
      </c>
      <c r="AZ54" s="136" t="n">
        <f aca="false">AX54-AY54</f>
        <v>0</v>
      </c>
    </row>
    <row r="55" customFormat="false" ht="15" hidden="false" customHeight="true" outlineLevel="0" collapsed="false">
      <c r="A55" s="132" t="s">
        <v>107</v>
      </c>
      <c r="B55" s="133" t="n">
        <f aca="false">'Reforecast Q1 2026'!C70</f>
        <v>0</v>
      </c>
      <c r="C55" s="133" t="str">
        <f aca="false">IF(OR(1&gt;$B$3,ISBLANK(Actuals!C70)),"",Actuals!C70)</f>
        <v/>
      </c>
      <c r="D55" s="134" t="str">
        <f aca="false">IF(OR(1&gt;$B$3,ISBLANK(Actuals!C70)),"",'Reforecast Q1 2026'!C70-Actuals!C70)</f>
        <v/>
      </c>
      <c r="E55" s="134" t="str">
        <f aca="false">IFERROR(IF(OR(1&gt;$B$3,ISBLANK(Actuals!C70)),"",('Reforecast Q1 2026'!C70-Actuals!C70)/ABS('Reforecast Q1 2026'!C70)),"")</f>
        <v/>
      </c>
      <c r="F55" s="133" t="n">
        <f aca="false">'Reforecast Q1 2026'!D70</f>
        <v>0</v>
      </c>
      <c r="G55" s="133" t="str">
        <f aca="false">IF(OR(2&gt;$B$3,ISBLANK(Actuals!D70)),"",Actuals!D70)</f>
        <v/>
      </c>
      <c r="H55" s="134" t="str">
        <f aca="false">IF(OR(2&gt;$B$3,ISBLANK(Actuals!D70)),"",'Reforecast Q1 2026'!D70-Actuals!D70)</f>
        <v/>
      </c>
      <c r="I55" s="134" t="str">
        <f aca="false">IFERROR(IF(OR(2&gt;$B$3,ISBLANK(Actuals!D70)),"",('Reforecast Q1 2026'!D70-Actuals!D70)/ABS('Reforecast Q1 2026'!D70)),"")</f>
        <v/>
      </c>
      <c r="J55" s="133" t="n">
        <f aca="false">'Reforecast Q1 2026'!E70</f>
        <v>0</v>
      </c>
      <c r="K55" s="133" t="str">
        <f aca="false">IF(OR(3&gt;$B$3,ISBLANK(Actuals!E70)),"",Actuals!E70)</f>
        <v/>
      </c>
      <c r="L55" s="134" t="str">
        <f aca="false">IF(OR(3&gt;$B$3,ISBLANK(Actuals!E70)),"",'Reforecast Q1 2026'!E70-Actuals!E70)</f>
        <v/>
      </c>
      <c r="M55" s="134" t="str">
        <f aca="false">IFERROR(IF(OR(3&gt;$B$3,ISBLANK(Actuals!E70)),"",('Reforecast Q1 2026'!E70-Actuals!E70)/ABS('Reforecast Q1 2026'!E70)),"")</f>
        <v/>
      </c>
      <c r="N55" s="133" t="n">
        <f aca="false">'Reforecast Q1 2026'!F70</f>
        <v>9500</v>
      </c>
      <c r="O55" s="133" t="str">
        <f aca="false">IF(OR(4&gt;$B$3,ISBLANK(Actuals!F70)),"",Actuals!F70)</f>
        <v/>
      </c>
      <c r="P55" s="134" t="str">
        <f aca="false">IF(OR(4&gt;$B$3,ISBLANK(Actuals!F70)),"",'Reforecast Q1 2026'!F70-Actuals!F70)</f>
        <v/>
      </c>
      <c r="Q55" s="134" t="str">
        <f aca="false">IFERROR(IF(OR(4&gt;$B$3,ISBLANK(Actuals!F70)),"",('Reforecast Q1 2026'!F70-Actuals!F70)/ABS('Reforecast Q1 2026'!F70)),"")</f>
        <v/>
      </c>
      <c r="R55" s="133" t="n">
        <f aca="false">'Reforecast Q1 2026'!G70</f>
        <v>9500</v>
      </c>
      <c r="S55" s="133" t="str">
        <f aca="false">IF(OR(5&gt;$B$3,ISBLANK(Actuals!G70)),"",Actuals!G70)</f>
        <v/>
      </c>
      <c r="T55" s="134" t="str">
        <f aca="false">IF(OR(5&gt;$B$3,ISBLANK(Actuals!G70)),"",'Reforecast Q1 2026'!G70-Actuals!G70)</f>
        <v/>
      </c>
      <c r="U55" s="134" t="str">
        <f aca="false">IFERROR(IF(OR(5&gt;$B$3,ISBLANK(Actuals!G70)),"",('Reforecast Q1 2026'!G70-Actuals!G70)/ABS('Reforecast Q1 2026'!G70)),"")</f>
        <v/>
      </c>
      <c r="V55" s="133" t="n">
        <f aca="false">'Reforecast Q1 2026'!H70</f>
        <v>9500</v>
      </c>
      <c r="W55" s="133" t="str">
        <f aca="false">IF(OR(6&gt;$B$3,ISBLANK(Actuals!H70)),"",Actuals!H70)</f>
        <v/>
      </c>
      <c r="X55" s="134" t="str">
        <f aca="false">IF(OR(6&gt;$B$3,ISBLANK(Actuals!H70)),"",'Reforecast Q1 2026'!H70-Actuals!H70)</f>
        <v/>
      </c>
      <c r="Y55" s="134" t="str">
        <f aca="false">IFERROR(IF(OR(6&gt;$B$3,ISBLANK(Actuals!H70)),"",('Reforecast Q1 2026'!H70-Actuals!H70)/ABS('Reforecast Q1 2026'!H70)),"")</f>
        <v/>
      </c>
      <c r="Z55" s="133" t="n">
        <f aca="false">'Reforecast Q1 2026'!I70</f>
        <v>9500</v>
      </c>
      <c r="AA55" s="133" t="n">
        <f aca="false">IF(OR(7&gt;$B$3,ISBLANK(Actuals!I70)),"",Actuals!I70)</f>
        <v>44000</v>
      </c>
      <c r="AB55" s="134" t="n">
        <f aca="false">IF(OR(7&gt;$B$3,ISBLANK(Actuals!I70)),"",'Reforecast Q1 2026'!I70-Actuals!I70)</f>
        <v>-34500</v>
      </c>
      <c r="AC55" s="134" t="n">
        <f aca="false">IFERROR(IF(OR(7&gt;$B$3,ISBLANK(Actuals!I70)),"",('Reforecast Q1 2026'!I70-Actuals!I70)/ABS('Reforecast Q1 2026'!I70)),"")</f>
        <v>-3.63157894736842</v>
      </c>
      <c r="AD55" s="133" t="n">
        <f aca="false">'Reforecast Q1 2026'!J70</f>
        <v>9500</v>
      </c>
      <c r="AE55" s="133" t="n">
        <f aca="false">IF(OR(8&gt;$B$3,ISBLANK(Actuals!J70)),"",Actuals!J70)</f>
        <v>19000</v>
      </c>
      <c r="AF55" s="134" t="n">
        <f aca="false">IF(OR(8&gt;$B$3,ISBLANK(Actuals!J70)),"",'Reforecast Q1 2026'!J70-Actuals!J70)</f>
        <v>-9500</v>
      </c>
      <c r="AG55" s="134" t="n">
        <f aca="false">IFERROR(IF(OR(8&gt;$B$3,ISBLANK(Actuals!J70)),"",('Reforecast Q1 2026'!J70-Actuals!J70)/ABS('Reforecast Q1 2026'!J70)),"")</f>
        <v>-1</v>
      </c>
      <c r="AH55" s="133" t="n">
        <f aca="false">'Reforecast Q1 2026'!K70</f>
        <v>9500</v>
      </c>
      <c r="AI55" s="133" t="str">
        <f aca="false">IF(OR(9&gt;$B$3,ISBLANK(Actuals!K70)),"",Actuals!K70)</f>
        <v/>
      </c>
      <c r="AJ55" s="134" t="str">
        <f aca="false">IF(OR(9&gt;$B$3,ISBLANK(Actuals!K70)),"",'Reforecast Q1 2026'!K70-Actuals!K70)</f>
        <v/>
      </c>
      <c r="AK55" s="134" t="str">
        <f aca="false">IFERROR(IF(OR(9&gt;$B$3,ISBLANK(Actuals!K70)),"",('Reforecast Q1 2026'!K70-Actuals!K70)/ABS('Reforecast Q1 2026'!K70)),"")</f>
        <v/>
      </c>
      <c r="AL55" s="133" t="n">
        <f aca="false">'Reforecast Q1 2026'!L70</f>
        <v>9500</v>
      </c>
      <c r="AM55" s="133" t="str">
        <f aca="false">IF(OR(10&gt;$B$3,ISBLANK(Actuals!L70)),"",Actuals!L70)</f>
        <v/>
      </c>
      <c r="AN55" s="134" t="str">
        <f aca="false">IF(OR(10&gt;$B$3,ISBLANK(Actuals!L70)),"",'Reforecast Q1 2026'!L70-Actuals!L70)</f>
        <v/>
      </c>
      <c r="AO55" s="134" t="str">
        <f aca="false">IFERROR(IF(OR(10&gt;$B$3,ISBLANK(Actuals!L70)),"",('Reforecast Q1 2026'!L70-Actuals!L70)/ABS('Reforecast Q1 2026'!L70)),"")</f>
        <v/>
      </c>
      <c r="AP55" s="133" t="n">
        <f aca="false">'Reforecast Q1 2026'!M70</f>
        <v>9500</v>
      </c>
      <c r="AQ55" s="133" t="str">
        <f aca="false">IF(OR(11&gt;$B$3,ISBLANK(Actuals!M70)),"",Actuals!M70)</f>
        <v/>
      </c>
      <c r="AR55" s="134" t="str">
        <f aca="false">IF(OR(11&gt;$B$3,ISBLANK(Actuals!M70)),"",'Reforecast Q1 2026'!M70-Actuals!M70)</f>
        <v/>
      </c>
      <c r="AS55" s="134" t="str">
        <f aca="false">IFERROR(IF(OR(11&gt;$B$3,ISBLANK(Actuals!M70)),"",('Reforecast Q1 2026'!M70-Actuals!M70)/ABS('Reforecast Q1 2026'!M70)),"")</f>
        <v/>
      </c>
      <c r="AT55" s="133" t="n">
        <f aca="false">'Reforecast Q1 2026'!N70</f>
        <v>9500</v>
      </c>
      <c r="AU55" s="133" t="str">
        <f aca="false">IF(OR(12&gt;$B$3,ISBLANK(Actuals!N70)),"",Actuals!N70)</f>
        <v/>
      </c>
      <c r="AV55" s="134" t="str">
        <f aca="false">IF(OR(12&gt;$B$3,ISBLANK(Actuals!N70)),"",'Reforecast Q1 2026'!N70-Actuals!N70)</f>
        <v/>
      </c>
      <c r="AW55" s="134" t="str">
        <f aca="false">IFERROR(IF(OR(12&gt;$B$3,ISBLANK(Actuals!N70)),"",('Reforecast Q1 2026'!N70-Actuals!N70)/ABS('Reforecast Q1 2026'!N70)),"")</f>
        <v/>
      </c>
      <c r="AX55" s="135" t="n">
        <f aca="false">SUMPRODUCT((Actuals!C70:N70&lt;&gt;"")*('Reforecast Q1 2026'!C70:N70))</f>
        <v>19000</v>
      </c>
      <c r="AY55" s="135" t="n">
        <f aca="false">SUM(Actuals!C70:N70)</f>
        <v>63000</v>
      </c>
      <c r="AZ55" s="136" t="n">
        <f aca="false">AX55-AY55</f>
        <v>-44000</v>
      </c>
    </row>
    <row r="56" customFormat="false" ht="15" hidden="false" customHeight="true" outlineLevel="0" collapsed="false">
      <c r="A56" s="132" t="s">
        <v>108</v>
      </c>
      <c r="B56" s="133" t="n">
        <f aca="false">'Reforecast Q1 2026'!C71</f>
        <v>0</v>
      </c>
      <c r="C56" s="133" t="str">
        <f aca="false">IF(OR(1&gt;$B$3,ISBLANK(Actuals!C71)),"",Actuals!C71)</f>
        <v/>
      </c>
      <c r="D56" s="134" t="str">
        <f aca="false">IF(OR(1&gt;$B$3,ISBLANK(Actuals!C71)),"",'Reforecast Q1 2026'!C71-Actuals!C71)</f>
        <v/>
      </c>
      <c r="E56" s="134" t="str">
        <f aca="false">IFERROR(IF(OR(1&gt;$B$3,ISBLANK(Actuals!C71)),"",('Reforecast Q1 2026'!C71-Actuals!C71)/ABS('Reforecast Q1 2026'!C71)),"")</f>
        <v/>
      </c>
      <c r="F56" s="133" t="n">
        <f aca="false">'Reforecast Q1 2026'!D71</f>
        <v>0</v>
      </c>
      <c r="G56" s="133" t="str">
        <f aca="false">IF(OR(2&gt;$B$3,ISBLANK(Actuals!D71)),"",Actuals!D71)</f>
        <v/>
      </c>
      <c r="H56" s="134" t="str">
        <f aca="false">IF(OR(2&gt;$B$3,ISBLANK(Actuals!D71)),"",'Reforecast Q1 2026'!D71-Actuals!D71)</f>
        <v/>
      </c>
      <c r="I56" s="134" t="str">
        <f aca="false">IFERROR(IF(OR(2&gt;$B$3,ISBLANK(Actuals!D71)),"",('Reforecast Q1 2026'!D71-Actuals!D71)/ABS('Reforecast Q1 2026'!D71)),"")</f>
        <v/>
      </c>
      <c r="J56" s="133" t="n">
        <f aca="false">'Reforecast Q1 2026'!E71</f>
        <v>0</v>
      </c>
      <c r="K56" s="133" t="str">
        <f aca="false">IF(OR(3&gt;$B$3,ISBLANK(Actuals!E71)),"",Actuals!E71)</f>
        <v/>
      </c>
      <c r="L56" s="134" t="str">
        <f aca="false">IF(OR(3&gt;$B$3,ISBLANK(Actuals!E71)),"",'Reforecast Q1 2026'!E71-Actuals!E71)</f>
        <v/>
      </c>
      <c r="M56" s="134" t="str">
        <f aca="false">IFERROR(IF(OR(3&gt;$B$3,ISBLANK(Actuals!E71)),"",('Reforecast Q1 2026'!E71-Actuals!E71)/ABS('Reforecast Q1 2026'!E71)),"")</f>
        <v/>
      </c>
      <c r="N56" s="133" t="n">
        <f aca="false">'Reforecast Q1 2026'!F71</f>
        <v>0</v>
      </c>
      <c r="O56" s="133" t="str">
        <f aca="false">IF(OR(4&gt;$B$3,ISBLANK(Actuals!F71)),"",Actuals!F71)</f>
        <v/>
      </c>
      <c r="P56" s="134" t="str">
        <f aca="false">IF(OR(4&gt;$B$3,ISBLANK(Actuals!F71)),"",'Reforecast Q1 2026'!F71-Actuals!F71)</f>
        <v/>
      </c>
      <c r="Q56" s="134" t="str">
        <f aca="false">IFERROR(IF(OR(4&gt;$B$3,ISBLANK(Actuals!F71)),"",('Reforecast Q1 2026'!F71-Actuals!F71)/ABS('Reforecast Q1 2026'!F71)),"")</f>
        <v/>
      </c>
      <c r="R56" s="133" t="n">
        <f aca="false">'Reforecast Q1 2026'!G71</f>
        <v>0</v>
      </c>
      <c r="S56" s="133" t="str">
        <f aca="false">IF(OR(5&gt;$B$3,ISBLANK(Actuals!G71)),"",Actuals!G71)</f>
        <v/>
      </c>
      <c r="T56" s="134" t="str">
        <f aca="false">IF(OR(5&gt;$B$3,ISBLANK(Actuals!G71)),"",'Reforecast Q1 2026'!G71-Actuals!G71)</f>
        <v/>
      </c>
      <c r="U56" s="134" t="str">
        <f aca="false">IFERROR(IF(OR(5&gt;$B$3,ISBLANK(Actuals!G71)),"",('Reforecast Q1 2026'!G71-Actuals!G71)/ABS('Reforecast Q1 2026'!G71)),"")</f>
        <v/>
      </c>
      <c r="V56" s="133" t="n">
        <f aca="false">'Reforecast Q1 2026'!H71</f>
        <v>0</v>
      </c>
      <c r="W56" s="133" t="str">
        <f aca="false">IF(OR(6&gt;$B$3,ISBLANK(Actuals!H71)),"",Actuals!H71)</f>
        <v/>
      </c>
      <c r="X56" s="134" t="str">
        <f aca="false">IF(OR(6&gt;$B$3,ISBLANK(Actuals!H71)),"",'Reforecast Q1 2026'!H71-Actuals!H71)</f>
        <v/>
      </c>
      <c r="Y56" s="134" t="str">
        <f aca="false">IFERROR(IF(OR(6&gt;$B$3,ISBLANK(Actuals!H71)),"",('Reforecast Q1 2026'!H71-Actuals!H71)/ABS('Reforecast Q1 2026'!H71)),"")</f>
        <v/>
      </c>
      <c r="Z56" s="133" t="n">
        <f aca="false">'Reforecast Q1 2026'!I71</f>
        <v>0</v>
      </c>
      <c r="AA56" s="133" t="str">
        <f aca="false">IF(OR(7&gt;$B$3,ISBLANK(Actuals!I71)),"",Actuals!I71)</f>
        <v/>
      </c>
      <c r="AB56" s="134" t="str">
        <f aca="false">IF(OR(7&gt;$B$3,ISBLANK(Actuals!I71)),"",'Reforecast Q1 2026'!I71-Actuals!I71)</f>
        <v/>
      </c>
      <c r="AC56" s="134" t="str">
        <f aca="false">IFERROR(IF(OR(7&gt;$B$3,ISBLANK(Actuals!I71)),"",('Reforecast Q1 2026'!I71-Actuals!I71)/ABS('Reforecast Q1 2026'!I71)),"")</f>
        <v/>
      </c>
      <c r="AD56" s="133" t="n">
        <f aca="false">'Reforecast Q1 2026'!J71</f>
        <v>0</v>
      </c>
      <c r="AE56" s="133" t="str">
        <f aca="false">IF(OR(8&gt;$B$3,ISBLANK(Actuals!J71)),"",Actuals!J71)</f>
        <v/>
      </c>
      <c r="AF56" s="134" t="str">
        <f aca="false">IF(OR(8&gt;$B$3,ISBLANK(Actuals!J71)),"",'Reforecast Q1 2026'!J71-Actuals!J71)</f>
        <v/>
      </c>
      <c r="AG56" s="134" t="str">
        <f aca="false">IFERROR(IF(OR(8&gt;$B$3,ISBLANK(Actuals!J71)),"",('Reforecast Q1 2026'!J71-Actuals!J71)/ABS('Reforecast Q1 2026'!J71)),"")</f>
        <v/>
      </c>
      <c r="AH56" s="133" t="n">
        <f aca="false">'Reforecast Q1 2026'!K71</f>
        <v>0</v>
      </c>
      <c r="AI56" s="133" t="str">
        <f aca="false">IF(OR(9&gt;$B$3,ISBLANK(Actuals!K71)),"",Actuals!K71)</f>
        <v/>
      </c>
      <c r="AJ56" s="134" t="str">
        <f aca="false">IF(OR(9&gt;$B$3,ISBLANK(Actuals!K71)),"",'Reforecast Q1 2026'!K71-Actuals!K71)</f>
        <v/>
      </c>
      <c r="AK56" s="134" t="str">
        <f aca="false">IFERROR(IF(OR(9&gt;$B$3,ISBLANK(Actuals!K71)),"",('Reforecast Q1 2026'!K71-Actuals!K71)/ABS('Reforecast Q1 2026'!K71)),"")</f>
        <v/>
      </c>
      <c r="AL56" s="133" t="n">
        <f aca="false">'Reforecast Q1 2026'!L71</f>
        <v>0</v>
      </c>
      <c r="AM56" s="133" t="str">
        <f aca="false">IF(OR(10&gt;$B$3,ISBLANK(Actuals!L71)),"",Actuals!L71)</f>
        <v/>
      </c>
      <c r="AN56" s="134" t="str">
        <f aca="false">IF(OR(10&gt;$B$3,ISBLANK(Actuals!L71)),"",'Reforecast Q1 2026'!L71-Actuals!L71)</f>
        <v/>
      </c>
      <c r="AO56" s="134" t="str">
        <f aca="false">IFERROR(IF(OR(10&gt;$B$3,ISBLANK(Actuals!L71)),"",('Reforecast Q1 2026'!L71-Actuals!L71)/ABS('Reforecast Q1 2026'!L71)),"")</f>
        <v/>
      </c>
      <c r="AP56" s="133" t="n">
        <f aca="false">'Reforecast Q1 2026'!M71</f>
        <v>0</v>
      </c>
      <c r="AQ56" s="133" t="str">
        <f aca="false">IF(OR(11&gt;$B$3,ISBLANK(Actuals!M71)),"",Actuals!M71)</f>
        <v/>
      </c>
      <c r="AR56" s="134" t="str">
        <f aca="false">IF(OR(11&gt;$B$3,ISBLANK(Actuals!M71)),"",'Reforecast Q1 2026'!M71-Actuals!M71)</f>
        <v/>
      </c>
      <c r="AS56" s="134" t="str">
        <f aca="false">IFERROR(IF(OR(11&gt;$B$3,ISBLANK(Actuals!M71)),"",('Reforecast Q1 2026'!M71-Actuals!M71)/ABS('Reforecast Q1 2026'!M71)),"")</f>
        <v/>
      </c>
      <c r="AT56" s="133" t="n">
        <f aca="false">'Reforecast Q1 2026'!N71</f>
        <v>0</v>
      </c>
      <c r="AU56" s="133" t="str">
        <f aca="false">IF(OR(12&gt;$B$3,ISBLANK(Actuals!N71)),"",Actuals!N71)</f>
        <v/>
      </c>
      <c r="AV56" s="134" t="str">
        <f aca="false">IF(OR(12&gt;$B$3,ISBLANK(Actuals!N71)),"",'Reforecast Q1 2026'!N71-Actuals!N71)</f>
        <v/>
      </c>
      <c r="AW56" s="134" t="str">
        <f aca="false">IFERROR(IF(OR(12&gt;$B$3,ISBLANK(Actuals!N71)),"",('Reforecast Q1 2026'!N71-Actuals!N71)/ABS('Reforecast Q1 2026'!N71)),"")</f>
        <v/>
      </c>
      <c r="AX56" s="135" t="n">
        <f aca="false">SUMPRODUCT((Actuals!C71:N71&lt;&gt;"")*('Reforecast Q1 2026'!C71:N71))</f>
        <v>0</v>
      </c>
      <c r="AY56" s="135" t="n">
        <f aca="false">SUM(Actuals!C71:N71)</f>
        <v>0</v>
      </c>
      <c r="AZ56" s="136" t="n">
        <f aca="false">AX56-AY56</f>
        <v>0</v>
      </c>
    </row>
    <row r="57" customFormat="false" ht="15" hidden="false" customHeight="true" outlineLevel="0" collapsed="false">
      <c r="A57" s="132" t="s">
        <v>109</v>
      </c>
      <c r="B57" s="133" t="n">
        <f aca="false">'Reforecast Q1 2026'!C72</f>
        <v>0</v>
      </c>
      <c r="C57" s="133" t="str">
        <f aca="false">IF(OR(1&gt;$B$3,ISBLANK(Actuals!C72)),"",Actuals!C72)</f>
        <v/>
      </c>
      <c r="D57" s="134" t="str">
        <f aca="false">IF(OR(1&gt;$B$3,ISBLANK(Actuals!C72)),"",'Reforecast Q1 2026'!C72-Actuals!C72)</f>
        <v/>
      </c>
      <c r="E57" s="134" t="str">
        <f aca="false">IFERROR(IF(OR(1&gt;$B$3,ISBLANK(Actuals!C72)),"",('Reforecast Q1 2026'!C72-Actuals!C72)/ABS('Reforecast Q1 2026'!C72)),"")</f>
        <v/>
      </c>
      <c r="F57" s="133" t="n">
        <f aca="false">'Reforecast Q1 2026'!D72</f>
        <v>0</v>
      </c>
      <c r="G57" s="133" t="str">
        <f aca="false">IF(OR(2&gt;$B$3,ISBLANK(Actuals!D72)),"",Actuals!D72)</f>
        <v/>
      </c>
      <c r="H57" s="134" t="str">
        <f aca="false">IF(OR(2&gt;$B$3,ISBLANK(Actuals!D72)),"",'Reforecast Q1 2026'!D72-Actuals!D72)</f>
        <v/>
      </c>
      <c r="I57" s="134" t="str">
        <f aca="false">IFERROR(IF(OR(2&gt;$B$3,ISBLANK(Actuals!D72)),"",('Reforecast Q1 2026'!D72-Actuals!D72)/ABS('Reforecast Q1 2026'!D72)),"")</f>
        <v/>
      </c>
      <c r="J57" s="133" t="n">
        <f aca="false">'Reforecast Q1 2026'!E72</f>
        <v>0</v>
      </c>
      <c r="K57" s="133" t="str">
        <f aca="false">IF(OR(3&gt;$B$3,ISBLANK(Actuals!E72)),"",Actuals!E72)</f>
        <v/>
      </c>
      <c r="L57" s="134" t="str">
        <f aca="false">IF(OR(3&gt;$B$3,ISBLANK(Actuals!E72)),"",'Reforecast Q1 2026'!E72-Actuals!E72)</f>
        <v/>
      </c>
      <c r="M57" s="134" t="str">
        <f aca="false">IFERROR(IF(OR(3&gt;$B$3,ISBLANK(Actuals!E72)),"",('Reforecast Q1 2026'!E72-Actuals!E72)/ABS('Reforecast Q1 2026'!E72)),"")</f>
        <v/>
      </c>
      <c r="N57" s="133" t="n">
        <f aca="false">'Reforecast Q1 2026'!F72</f>
        <v>0</v>
      </c>
      <c r="O57" s="133" t="str">
        <f aca="false">IF(OR(4&gt;$B$3,ISBLANK(Actuals!F72)),"",Actuals!F72)</f>
        <v/>
      </c>
      <c r="P57" s="134" t="str">
        <f aca="false">IF(OR(4&gt;$B$3,ISBLANK(Actuals!F72)),"",'Reforecast Q1 2026'!F72-Actuals!F72)</f>
        <v/>
      </c>
      <c r="Q57" s="134" t="str">
        <f aca="false">IFERROR(IF(OR(4&gt;$B$3,ISBLANK(Actuals!F72)),"",('Reforecast Q1 2026'!F72-Actuals!F72)/ABS('Reforecast Q1 2026'!F72)),"")</f>
        <v/>
      </c>
      <c r="R57" s="133" t="n">
        <f aca="false">'Reforecast Q1 2026'!G72</f>
        <v>0</v>
      </c>
      <c r="S57" s="133" t="str">
        <f aca="false">IF(OR(5&gt;$B$3,ISBLANK(Actuals!G72)),"",Actuals!G72)</f>
        <v/>
      </c>
      <c r="T57" s="134" t="str">
        <f aca="false">IF(OR(5&gt;$B$3,ISBLANK(Actuals!G72)),"",'Reforecast Q1 2026'!G72-Actuals!G72)</f>
        <v/>
      </c>
      <c r="U57" s="134" t="str">
        <f aca="false">IFERROR(IF(OR(5&gt;$B$3,ISBLANK(Actuals!G72)),"",('Reforecast Q1 2026'!G72-Actuals!G72)/ABS('Reforecast Q1 2026'!G72)),"")</f>
        <v/>
      </c>
      <c r="V57" s="133" t="n">
        <f aca="false">'Reforecast Q1 2026'!H72</f>
        <v>0</v>
      </c>
      <c r="W57" s="133" t="str">
        <f aca="false">IF(OR(6&gt;$B$3,ISBLANK(Actuals!H72)),"",Actuals!H72)</f>
        <v/>
      </c>
      <c r="X57" s="134" t="str">
        <f aca="false">IF(OR(6&gt;$B$3,ISBLANK(Actuals!H72)),"",'Reforecast Q1 2026'!H72-Actuals!H72)</f>
        <v/>
      </c>
      <c r="Y57" s="134" t="str">
        <f aca="false">IFERROR(IF(OR(6&gt;$B$3,ISBLANK(Actuals!H72)),"",('Reforecast Q1 2026'!H72-Actuals!H72)/ABS('Reforecast Q1 2026'!H72)),"")</f>
        <v/>
      </c>
      <c r="Z57" s="133" t="n">
        <f aca="false">'Reforecast Q1 2026'!I72</f>
        <v>0</v>
      </c>
      <c r="AA57" s="133" t="str">
        <f aca="false">IF(OR(7&gt;$B$3,ISBLANK(Actuals!I72)),"",Actuals!I72)</f>
        <v/>
      </c>
      <c r="AB57" s="134" t="str">
        <f aca="false">IF(OR(7&gt;$B$3,ISBLANK(Actuals!I72)),"",'Reforecast Q1 2026'!I72-Actuals!I72)</f>
        <v/>
      </c>
      <c r="AC57" s="134" t="str">
        <f aca="false">IFERROR(IF(OR(7&gt;$B$3,ISBLANK(Actuals!I72)),"",('Reforecast Q1 2026'!I72-Actuals!I72)/ABS('Reforecast Q1 2026'!I72)),"")</f>
        <v/>
      </c>
      <c r="AD57" s="133" t="n">
        <f aca="false">'Reforecast Q1 2026'!J72</f>
        <v>0</v>
      </c>
      <c r="AE57" s="133" t="str">
        <f aca="false">IF(OR(8&gt;$B$3,ISBLANK(Actuals!J72)),"",Actuals!J72)</f>
        <v/>
      </c>
      <c r="AF57" s="134" t="str">
        <f aca="false">IF(OR(8&gt;$B$3,ISBLANK(Actuals!J72)),"",'Reforecast Q1 2026'!J72-Actuals!J72)</f>
        <v/>
      </c>
      <c r="AG57" s="134" t="str">
        <f aca="false">IFERROR(IF(OR(8&gt;$B$3,ISBLANK(Actuals!J72)),"",('Reforecast Q1 2026'!J72-Actuals!J72)/ABS('Reforecast Q1 2026'!J72)),"")</f>
        <v/>
      </c>
      <c r="AH57" s="133" t="n">
        <f aca="false">'Reforecast Q1 2026'!K72</f>
        <v>0</v>
      </c>
      <c r="AI57" s="133" t="str">
        <f aca="false">IF(OR(9&gt;$B$3,ISBLANK(Actuals!K72)),"",Actuals!K72)</f>
        <v/>
      </c>
      <c r="AJ57" s="134" t="str">
        <f aca="false">IF(OR(9&gt;$B$3,ISBLANK(Actuals!K72)),"",'Reforecast Q1 2026'!K72-Actuals!K72)</f>
        <v/>
      </c>
      <c r="AK57" s="134" t="str">
        <f aca="false">IFERROR(IF(OR(9&gt;$B$3,ISBLANK(Actuals!K72)),"",('Reforecast Q1 2026'!K72-Actuals!K72)/ABS('Reforecast Q1 2026'!K72)),"")</f>
        <v/>
      </c>
      <c r="AL57" s="133" t="n">
        <f aca="false">'Reforecast Q1 2026'!L72</f>
        <v>0</v>
      </c>
      <c r="AM57" s="133" t="str">
        <f aca="false">IF(OR(10&gt;$B$3,ISBLANK(Actuals!L72)),"",Actuals!L72)</f>
        <v/>
      </c>
      <c r="AN57" s="134" t="str">
        <f aca="false">IF(OR(10&gt;$B$3,ISBLANK(Actuals!L72)),"",'Reforecast Q1 2026'!L72-Actuals!L72)</f>
        <v/>
      </c>
      <c r="AO57" s="134" t="str">
        <f aca="false">IFERROR(IF(OR(10&gt;$B$3,ISBLANK(Actuals!L72)),"",('Reforecast Q1 2026'!L72-Actuals!L72)/ABS('Reforecast Q1 2026'!L72)),"")</f>
        <v/>
      </c>
      <c r="AP57" s="133" t="n">
        <f aca="false">'Reforecast Q1 2026'!M72</f>
        <v>0</v>
      </c>
      <c r="AQ57" s="133" t="str">
        <f aca="false">IF(OR(11&gt;$B$3,ISBLANK(Actuals!M72)),"",Actuals!M72)</f>
        <v/>
      </c>
      <c r="AR57" s="134" t="str">
        <f aca="false">IF(OR(11&gt;$B$3,ISBLANK(Actuals!M72)),"",'Reforecast Q1 2026'!M72-Actuals!M72)</f>
        <v/>
      </c>
      <c r="AS57" s="134" t="str">
        <f aca="false">IFERROR(IF(OR(11&gt;$B$3,ISBLANK(Actuals!M72)),"",('Reforecast Q1 2026'!M72-Actuals!M72)/ABS('Reforecast Q1 2026'!M72)),"")</f>
        <v/>
      </c>
      <c r="AT57" s="133" t="n">
        <f aca="false">'Reforecast Q1 2026'!N72</f>
        <v>0</v>
      </c>
      <c r="AU57" s="133" t="str">
        <f aca="false">IF(OR(12&gt;$B$3,ISBLANK(Actuals!N72)),"",Actuals!N72)</f>
        <v/>
      </c>
      <c r="AV57" s="134" t="str">
        <f aca="false">IF(OR(12&gt;$B$3,ISBLANK(Actuals!N72)),"",'Reforecast Q1 2026'!N72-Actuals!N72)</f>
        <v/>
      </c>
      <c r="AW57" s="134" t="str">
        <f aca="false">IFERROR(IF(OR(12&gt;$B$3,ISBLANK(Actuals!N72)),"",('Reforecast Q1 2026'!N72-Actuals!N72)/ABS('Reforecast Q1 2026'!N72)),"")</f>
        <v/>
      </c>
      <c r="AX57" s="135" t="n">
        <f aca="false">SUMPRODUCT((Actuals!C72:N72&lt;&gt;"")*('Reforecast Q1 2026'!C72:N72))</f>
        <v>0</v>
      </c>
      <c r="AY57" s="135" t="n">
        <f aca="false">SUM(Actuals!C72:N72)</f>
        <v>0</v>
      </c>
      <c r="AZ57" s="136" t="n">
        <f aca="false">AX57-AY57</f>
        <v>0</v>
      </c>
    </row>
    <row r="58" customFormat="false" ht="15" hidden="false" customHeight="true" outlineLevel="0" collapsed="false">
      <c r="A58" s="132" t="s">
        <v>110</v>
      </c>
      <c r="B58" s="133" t="n">
        <f aca="false">'Reforecast Q1 2026'!C73</f>
        <v>0</v>
      </c>
      <c r="C58" s="133" t="str">
        <f aca="false">IF(OR(1&gt;$B$3,ISBLANK(Actuals!C73)),"",Actuals!C73)</f>
        <v/>
      </c>
      <c r="D58" s="134" t="str">
        <f aca="false">IF(OR(1&gt;$B$3,ISBLANK(Actuals!C73)),"",'Reforecast Q1 2026'!C73-Actuals!C73)</f>
        <v/>
      </c>
      <c r="E58" s="134" t="str">
        <f aca="false">IFERROR(IF(OR(1&gt;$B$3,ISBLANK(Actuals!C73)),"",('Reforecast Q1 2026'!C73-Actuals!C73)/ABS('Reforecast Q1 2026'!C73)),"")</f>
        <v/>
      </c>
      <c r="F58" s="133" t="n">
        <f aca="false">'Reforecast Q1 2026'!D73</f>
        <v>0</v>
      </c>
      <c r="G58" s="133" t="str">
        <f aca="false">IF(OR(2&gt;$B$3,ISBLANK(Actuals!D73)),"",Actuals!D73)</f>
        <v/>
      </c>
      <c r="H58" s="134" t="str">
        <f aca="false">IF(OR(2&gt;$B$3,ISBLANK(Actuals!D73)),"",'Reforecast Q1 2026'!D73-Actuals!D73)</f>
        <v/>
      </c>
      <c r="I58" s="134" t="str">
        <f aca="false">IFERROR(IF(OR(2&gt;$B$3,ISBLANK(Actuals!D73)),"",('Reforecast Q1 2026'!D73-Actuals!D73)/ABS('Reforecast Q1 2026'!D73)),"")</f>
        <v/>
      </c>
      <c r="J58" s="133" t="n">
        <f aca="false">'Reforecast Q1 2026'!E73</f>
        <v>0</v>
      </c>
      <c r="K58" s="133" t="str">
        <f aca="false">IF(OR(3&gt;$B$3,ISBLANK(Actuals!E73)),"",Actuals!E73)</f>
        <v/>
      </c>
      <c r="L58" s="134" t="str">
        <f aca="false">IF(OR(3&gt;$B$3,ISBLANK(Actuals!E73)),"",'Reforecast Q1 2026'!E73-Actuals!E73)</f>
        <v/>
      </c>
      <c r="M58" s="134" t="str">
        <f aca="false">IFERROR(IF(OR(3&gt;$B$3,ISBLANK(Actuals!E73)),"",('Reforecast Q1 2026'!E73-Actuals!E73)/ABS('Reforecast Q1 2026'!E73)),"")</f>
        <v/>
      </c>
      <c r="N58" s="133" t="n">
        <f aca="false">'Reforecast Q1 2026'!F73</f>
        <v>0</v>
      </c>
      <c r="O58" s="133" t="str">
        <f aca="false">IF(OR(4&gt;$B$3,ISBLANK(Actuals!F73)),"",Actuals!F73)</f>
        <v/>
      </c>
      <c r="P58" s="134" t="str">
        <f aca="false">IF(OR(4&gt;$B$3,ISBLANK(Actuals!F73)),"",'Reforecast Q1 2026'!F73-Actuals!F73)</f>
        <v/>
      </c>
      <c r="Q58" s="134" t="str">
        <f aca="false">IFERROR(IF(OR(4&gt;$B$3,ISBLANK(Actuals!F73)),"",('Reforecast Q1 2026'!F73-Actuals!F73)/ABS('Reforecast Q1 2026'!F73)),"")</f>
        <v/>
      </c>
      <c r="R58" s="133" t="n">
        <f aca="false">'Reforecast Q1 2026'!G73</f>
        <v>0</v>
      </c>
      <c r="S58" s="133" t="str">
        <f aca="false">IF(OR(5&gt;$B$3,ISBLANK(Actuals!G73)),"",Actuals!G73)</f>
        <v/>
      </c>
      <c r="T58" s="134" t="str">
        <f aca="false">IF(OR(5&gt;$B$3,ISBLANK(Actuals!G73)),"",'Reforecast Q1 2026'!G73-Actuals!G73)</f>
        <v/>
      </c>
      <c r="U58" s="134" t="str">
        <f aca="false">IFERROR(IF(OR(5&gt;$B$3,ISBLANK(Actuals!G73)),"",('Reforecast Q1 2026'!G73-Actuals!G73)/ABS('Reforecast Q1 2026'!G73)),"")</f>
        <v/>
      </c>
      <c r="V58" s="133" t="n">
        <f aca="false">'Reforecast Q1 2026'!H73</f>
        <v>0</v>
      </c>
      <c r="W58" s="133" t="str">
        <f aca="false">IF(OR(6&gt;$B$3,ISBLANK(Actuals!H73)),"",Actuals!H73)</f>
        <v/>
      </c>
      <c r="X58" s="134" t="str">
        <f aca="false">IF(OR(6&gt;$B$3,ISBLANK(Actuals!H73)),"",'Reforecast Q1 2026'!H73-Actuals!H73)</f>
        <v/>
      </c>
      <c r="Y58" s="134" t="str">
        <f aca="false">IFERROR(IF(OR(6&gt;$B$3,ISBLANK(Actuals!H73)),"",('Reforecast Q1 2026'!H73-Actuals!H73)/ABS('Reforecast Q1 2026'!H73)),"")</f>
        <v/>
      </c>
      <c r="Z58" s="133" t="n">
        <f aca="false">'Reforecast Q1 2026'!I73</f>
        <v>0</v>
      </c>
      <c r="AA58" s="133" t="str">
        <f aca="false">IF(OR(7&gt;$B$3,ISBLANK(Actuals!I73)),"",Actuals!I73)</f>
        <v/>
      </c>
      <c r="AB58" s="134" t="str">
        <f aca="false">IF(OR(7&gt;$B$3,ISBLANK(Actuals!I73)),"",'Reforecast Q1 2026'!I73-Actuals!I73)</f>
        <v/>
      </c>
      <c r="AC58" s="134" t="str">
        <f aca="false">IFERROR(IF(OR(7&gt;$B$3,ISBLANK(Actuals!I73)),"",('Reforecast Q1 2026'!I73-Actuals!I73)/ABS('Reforecast Q1 2026'!I73)),"")</f>
        <v/>
      </c>
      <c r="AD58" s="133" t="n">
        <f aca="false">'Reforecast Q1 2026'!J73</f>
        <v>0</v>
      </c>
      <c r="AE58" s="133" t="str">
        <f aca="false">IF(OR(8&gt;$B$3,ISBLANK(Actuals!J73)),"",Actuals!J73)</f>
        <v/>
      </c>
      <c r="AF58" s="134" t="str">
        <f aca="false">IF(OR(8&gt;$B$3,ISBLANK(Actuals!J73)),"",'Reforecast Q1 2026'!J73-Actuals!J73)</f>
        <v/>
      </c>
      <c r="AG58" s="134" t="str">
        <f aca="false">IFERROR(IF(OR(8&gt;$B$3,ISBLANK(Actuals!J73)),"",('Reforecast Q1 2026'!J73-Actuals!J73)/ABS('Reforecast Q1 2026'!J73)),"")</f>
        <v/>
      </c>
      <c r="AH58" s="133" t="n">
        <f aca="false">'Reforecast Q1 2026'!K73</f>
        <v>0</v>
      </c>
      <c r="AI58" s="133" t="str">
        <f aca="false">IF(OR(9&gt;$B$3,ISBLANK(Actuals!K73)),"",Actuals!K73)</f>
        <v/>
      </c>
      <c r="AJ58" s="134" t="str">
        <f aca="false">IF(OR(9&gt;$B$3,ISBLANK(Actuals!K73)),"",'Reforecast Q1 2026'!K73-Actuals!K73)</f>
        <v/>
      </c>
      <c r="AK58" s="134" t="str">
        <f aca="false">IFERROR(IF(OR(9&gt;$B$3,ISBLANK(Actuals!K73)),"",('Reforecast Q1 2026'!K73-Actuals!K73)/ABS('Reforecast Q1 2026'!K73)),"")</f>
        <v/>
      </c>
      <c r="AL58" s="133" t="n">
        <f aca="false">'Reforecast Q1 2026'!L73</f>
        <v>0</v>
      </c>
      <c r="AM58" s="133" t="str">
        <f aca="false">IF(OR(10&gt;$B$3,ISBLANK(Actuals!L73)),"",Actuals!L73)</f>
        <v/>
      </c>
      <c r="AN58" s="134" t="str">
        <f aca="false">IF(OR(10&gt;$B$3,ISBLANK(Actuals!L73)),"",'Reforecast Q1 2026'!L73-Actuals!L73)</f>
        <v/>
      </c>
      <c r="AO58" s="134" t="str">
        <f aca="false">IFERROR(IF(OR(10&gt;$B$3,ISBLANK(Actuals!L73)),"",('Reforecast Q1 2026'!L73-Actuals!L73)/ABS('Reforecast Q1 2026'!L73)),"")</f>
        <v/>
      </c>
      <c r="AP58" s="133" t="n">
        <f aca="false">'Reforecast Q1 2026'!M73</f>
        <v>0</v>
      </c>
      <c r="AQ58" s="133" t="str">
        <f aca="false">IF(OR(11&gt;$B$3,ISBLANK(Actuals!M73)),"",Actuals!M73)</f>
        <v/>
      </c>
      <c r="AR58" s="134" t="str">
        <f aca="false">IF(OR(11&gt;$B$3,ISBLANK(Actuals!M73)),"",'Reforecast Q1 2026'!M73-Actuals!M73)</f>
        <v/>
      </c>
      <c r="AS58" s="134" t="str">
        <f aca="false">IFERROR(IF(OR(11&gt;$B$3,ISBLANK(Actuals!M73)),"",('Reforecast Q1 2026'!M73-Actuals!M73)/ABS('Reforecast Q1 2026'!M73)),"")</f>
        <v/>
      </c>
      <c r="AT58" s="133" t="n">
        <f aca="false">'Reforecast Q1 2026'!N73</f>
        <v>0</v>
      </c>
      <c r="AU58" s="133" t="str">
        <f aca="false">IF(OR(12&gt;$B$3,ISBLANK(Actuals!N73)),"",Actuals!N73)</f>
        <v/>
      </c>
      <c r="AV58" s="134" t="str">
        <f aca="false">IF(OR(12&gt;$B$3,ISBLANK(Actuals!N73)),"",'Reforecast Q1 2026'!N73-Actuals!N73)</f>
        <v/>
      </c>
      <c r="AW58" s="134" t="str">
        <f aca="false">IFERROR(IF(OR(12&gt;$B$3,ISBLANK(Actuals!N73)),"",('Reforecast Q1 2026'!N73-Actuals!N73)/ABS('Reforecast Q1 2026'!N73)),"")</f>
        <v/>
      </c>
      <c r="AX58" s="135" t="n">
        <f aca="false">SUMPRODUCT((Actuals!C73:N73&lt;&gt;"")*('Reforecast Q1 2026'!C73:N73))</f>
        <v>0</v>
      </c>
      <c r="AY58" s="135" t="n">
        <f aca="false">SUM(Actuals!C73:N73)</f>
        <v>0</v>
      </c>
      <c r="AZ58" s="136" t="n">
        <f aca="false">AX58-AY58</f>
        <v>0</v>
      </c>
    </row>
    <row r="59" customFormat="false" ht="15" hidden="false" customHeight="true" outlineLevel="0" collapsed="false">
      <c r="A59" s="132" t="s">
        <v>111</v>
      </c>
      <c r="B59" s="133" t="n">
        <f aca="false">'Reforecast Q1 2026'!C74</f>
        <v>0</v>
      </c>
      <c r="C59" s="133" t="str">
        <f aca="false">IF(OR(1&gt;$B$3,ISBLANK(Actuals!C74)),"",Actuals!C74)</f>
        <v/>
      </c>
      <c r="D59" s="134" t="str">
        <f aca="false">IF(OR(1&gt;$B$3,ISBLANK(Actuals!C74)),"",'Reforecast Q1 2026'!C74-Actuals!C74)</f>
        <v/>
      </c>
      <c r="E59" s="134" t="str">
        <f aca="false">IFERROR(IF(OR(1&gt;$B$3,ISBLANK(Actuals!C74)),"",('Reforecast Q1 2026'!C74-Actuals!C74)/ABS('Reforecast Q1 2026'!C74)),"")</f>
        <v/>
      </c>
      <c r="F59" s="133" t="n">
        <f aca="false">'Reforecast Q1 2026'!D74</f>
        <v>0</v>
      </c>
      <c r="G59" s="133" t="str">
        <f aca="false">IF(OR(2&gt;$B$3,ISBLANK(Actuals!D74)),"",Actuals!D74)</f>
        <v/>
      </c>
      <c r="H59" s="134" t="str">
        <f aca="false">IF(OR(2&gt;$B$3,ISBLANK(Actuals!D74)),"",'Reforecast Q1 2026'!D74-Actuals!D74)</f>
        <v/>
      </c>
      <c r="I59" s="134" t="str">
        <f aca="false">IFERROR(IF(OR(2&gt;$B$3,ISBLANK(Actuals!D74)),"",('Reforecast Q1 2026'!D74-Actuals!D74)/ABS('Reforecast Q1 2026'!D74)),"")</f>
        <v/>
      </c>
      <c r="J59" s="133" t="n">
        <f aca="false">'Reforecast Q1 2026'!E74</f>
        <v>0</v>
      </c>
      <c r="K59" s="133" t="str">
        <f aca="false">IF(OR(3&gt;$B$3,ISBLANK(Actuals!E74)),"",Actuals!E74)</f>
        <v/>
      </c>
      <c r="L59" s="134" t="str">
        <f aca="false">IF(OR(3&gt;$B$3,ISBLANK(Actuals!E74)),"",'Reforecast Q1 2026'!E74-Actuals!E74)</f>
        <v/>
      </c>
      <c r="M59" s="134" t="str">
        <f aca="false">IFERROR(IF(OR(3&gt;$B$3,ISBLANK(Actuals!E74)),"",('Reforecast Q1 2026'!E74-Actuals!E74)/ABS('Reforecast Q1 2026'!E74)),"")</f>
        <v/>
      </c>
      <c r="N59" s="133" t="n">
        <f aca="false">'Reforecast Q1 2026'!F74</f>
        <v>0</v>
      </c>
      <c r="O59" s="133" t="str">
        <f aca="false">IF(OR(4&gt;$B$3,ISBLANK(Actuals!F74)),"",Actuals!F74)</f>
        <v/>
      </c>
      <c r="P59" s="134" t="str">
        <f aca="false">IF(OR(4&gt;$B$3,ISBLANK(Actuals!F74)),"",'Reforecast Q1 2026'!F74-Actuals!F74)</f>
        <v/>
      </c>
      <c r="Q59" s="134" t="str">
        <f aca="false">IFERROR(IF(OR(4&gt;$B$3,ISBLANK(Actuals!F74)),"",('Reforecast Q1 2026'!F74-Actuals!F74)/ABS('Reforecast Q1 2026'!F74)),"")</f>
        <v/>
      </c>
      <c r="R59" s="133" t="n">
        <f aca="false">'Reforecast Q1 2026'!G74</f>
        <v>0</v>
      </c>
      <c r="S59" s="133" t="str">
        <f aca="false">IF(OR(5&gt;$B$3,ISBLANK(Actuals!G74)),"",Actuals!G74)</f>
        <v/>
      </c>
      <c r="T59" s="134" t="str">
        <f aca="false">IF(OR(5&gt;$B$3,ISBLANK(Actuals!G74)),"",'Reforecast Q1 2026'!G74-Actuals!G74)</f>
        <v/>
      </c>
      <c r="U59" s="134" t="str">
        <f aca="false">IFERROR(IF(OR(5&gt;$B$3,ISBLANK(Actuals!G74)),"",('Reforecast Q1 2026'!G74-Actuals!G74)/ABS('Reforecast Q1 2026'!G74)),"")</f>
        <v/>
      </c>
      <c r="V59" s="133" t="n">
        <f aca="false">'Reforecast Q1 2026'!H74</f>
        <v>0</v>
      </c>
      <c r="W59" s="133" t="str">
        <f aca="false">IF(OR(6&gt;$B$3,ISBLANK(Actuals!H74)),"",Actuals!H74)</f>
        <v/>
      </c>
      <c r="X59" s="134" t="str">
        <f aca="false">IF(OR(6&gt;$B$3,ISBLANK(Actuals!H74)),"",'Reforecast Q1 2026'!H74-Actuals!H74)</f>
        <v/>
      </c>
      <c r="Y59" s="134" t="str">
        <f aca="false">IFERROR(IF(OR(6&gt;$B$3,ISBLANK(Actuals!H74)),"",('Reforecast Q1 2026'!H74-Actuals!H74)/ABS('Reforecast Q1 2026'!H74)),"")</f>
        <v/>
      </c>
      <c r="Z59" s="133" t="n">
        <f aca="false">'Reforecast Q1 2026'!I74</f>
        <v>0</v>
      </c>
      <c r="AA59" s="133" t="str">
        <f aca="false">IF(OR(7&gt;$B$3,ISBLANK(Actuals!I74)),"",Actuals!I74)</f>
        <v/>
      </c>
      <c r="AB59" s="134" t="str">
        <f aca="false">IF(OR(7&gt;$B$3,ISBLANK(Actuals!I74)),"",'Reforecast Q1 2026'!I74-Actuals!I74)</f>
        <v/>
      </c>
      <c r="AC59" s="134" t="str">
        <f aca="false">IFERROR(IF(OR(7&gt;$B$3,ISBLANK(Actuals!I74)),"",('Reforecast Q1 2026'!I74-Actuals!I74)/ABS('Reforecast Q1 2026'!I74)),"")</f>
        <v/>
      </c>
      <c r="AD59" s="133" t="n">
        <f aca="false">'Reforecast Q1 2026'!J74</f>
        <v>0</v>
      </c>
      <c r="AE59" s="133" t="str">
        <f aca="false">IF(OR(8&gt;$B$3,ISBLANK(Actuals!J74)),"",Actuals!J74)</f>
        <v/>
      </c>
      <c r="AF59" s="134" t="str">
        <f aca="false">IF(OR(8&gt;$B$3,ISBLANK(Actuals!J74)),"",'Reforecast Q1 2026'!J74-Actuals!J74)</f>
        <v/>
      </c>
      <c r="AG59" s="134" t="str">
        <f aca="false">IFERROR(IF(OR(8&gt;$B$3,ISBLANK(Actuals!J74)),"",('Reforecast Q1 2026'!J74-Actuals!J74)/ABS('Reforecast Q1 2026'!J74)),"")</f>
        <v/>
      </c>
      <c r="AH59" s="133" t="n">
        <f aca="false">'Reforecast Q1 2026'!K74</f>
        <v>0</v>
      </c>
      <c r="AI59" s="133" t="str">
        <f aca="false">IF(OR(9&gt;$B$3,ISBLANK(Actuals!K74)),"",Actuals!K74)</f>
        <v/>
      </c>
      <c r="AJ59" s="134" t="str">
        <f aca="false">IF(OR(9&gt;$B$3,ISBLANK(Actuals!K74)),"",'Reforecast Q1 2026'!K74-Actuals!K74)</f>
        <v/>
      </c>
      <c r="AK59" s="134" t="str">
        <f aca="false">IFERROR(IF(OR(9&gt;$B$3,ISBLANK(Actuals!K74)),"",('Reforecast Q1 2026'!K74-Actuals!K74)/ABS('Reforecast Q1 2026'!K74)),"")</f>
        <v/>
      </c>
      <c r="AL59" s="133" t="n">
        <f aca="false">'Reforecast Q1 2026'!L74</f>
        <v>0</v>
      </c>
      <c r="AM59" s="133" t="str">
        <f aca="false">IF(OR(10&gt;$B$3,ISBLANK(Actuals!L74)),"",Actuals!L74)</f>
        <v/>
      </c>
      <c r="AN59" s="134" t="str">
        <f aca="false">IF(OR(10&gt;$B$3,ISBLANK(Actuals!L74)),"",'Reforecast Q1 2026'!L74-Actuals!L74)</f>
        <v/>
      </c>
      <c r="AO59" s="134" t="str">
        <f aca="false">IFERROR(IF(OR(10&gt;$B$3,ISBLANK(Actuals!L74)),"",('Reforecast Q1 2026'!L74-Actuals!L74)/ABS('Reforecast Q1 2026'!L74)),"")</f>
        <v/>
      </c>
      <c r="AP59" s="133" t="n">
        <f aca="false">'Reforecast Q1 2026'!M74</f>
        <v>0</v>
      </c>
      <c r="AQ59" s="133" t="str">
        <f aca="false">IF(OR(11&gt;$B$3,ISBLANK(Actuals!M74)),"",Actuals!M74)</f>
        <v/>
      </c>
      <c r="AR59" s="134" t="str">
        <f aca="false">IF(OR(11&gt;$B$3,ISBLANK(Actuals!M74)),"",'Reforecast Q1 2026'!M74-Actuals!M74)</f>
        <v/>
      </c>
      <c r="AS59" s="134" t="str">
        <f aca="false">IFERROR(IF(OR(11&gt;$B$3,ISBLANK(Actuals!M74)),"",('Reforecast Q1 2026'!M74-Actuals!M74)/ABS('Reforecast Q1 2026'!M74)),"")</f>
        <v/>
      </c>
      <c r="AT59" s="133" t="n">
        <f aca="false">'Reforecast Q1 2026'!N74</f>
        <v>0</v>
      </c>
      <c r="AU59" s="133" t="str">
        <f aca="false">IF(OR(12&gt;$B$3,ISBLANK(Actuals!N74)),"",Actuals!N74)</f>
        <v/>
      </c>
      <c r="AV59" s="134" t="str">
        <f aca="false">IF(OR(12&gt;$B$3,ISBLANK(Actuals!N74)),"",'Reforecast Q1 2026'!N74-Actuals!N74)</f>
        <v/>
      </c>
      <c r="AW59" s="134" t="str">
        <f aca="false">IFERROR(IF(OR(12&gt;$B$3,ISBLANK(Actuals!N74)),"",('Reforecast Q1 2026'!N74-Actuals!N74)/ABS('Reforecast Q1 2026'!N74)),"")</f>
        <v/>
      </c>
      <c r="AX59" s="135" t="n">
        <f aca="false">SUMPRODUCT((Actuals!C74:N74&lt;&gt;"")*('Reforecast Q1 2026'!C74:N74))</f>
        <v>0</v>
      </c>
      <c r="AY59" s="135" t="n">
        <f aca="false">SUM(Actuals!C74:N74)</f>
        <v>0</v>
      </c>
      <c r="AZ59" s="136" t="n">
        <f aca="false">AX59-AY59</f>
        <v>0</v>
      </c>
    </row>
    <row r="60" customFormat="false" ht="15" hidden="false" customHeight="true" outlineLevel="0" collapsed="false">
      <c r="A60" s="132" t="s">
        <v>112</v>
      </c>
      <c r="B60" s="133" t="n">
        <f aca="false">'Reforecast Q1 2026'!C75</f>
        <v>0</v>
      </c>
      <c r="C60" s="133" t="str">
        <f aca="false">IF(OR(1&gt;$B$3,ISBLANK(Actuals!C75)),"",Actuals!C75)</f>
        <v/>
      </c>
      <c r="D60" s="134" t="str">
        <f aca="false">IF(OR(1&gt;$B$3,ISBLANK(Actuals!C75)),"",'Reforecast Q1 2026'!C75-Actuals!C75)</f>
        <v/>
      </c>
      <c r="E60" s="134" t="str">
        <f aca="false">IFERROR(IF(OR(1&gt;$B$3,ISBLANK(Actuals!C75)),"",('Reforecast Q1 2026'!C75-Actuals!C75)/ABS('Reforecast Q1 2026'!C75)),"")</f>
        <v/>
      </c>
      <c r="F60" s="133" t="n">
        <f aca="false">'Reforecast Q1 2026'!D75</f>
        <v>0</v>
      </c>
      <c r="G60" s="133" t="str">
        <f aca="false">IF(OR(2&gt;$B$3,ISBLANK(Actuals!D75)),"",Actuals!D75)</f>
        <v/>
      </c>
      <c r="H60" s="134" t="str">
        <f aca="false">IF(OR(2&gt;$B$3,ISBLANK(Actuals!D75)),"",'Reforecast Q1 2026'!D75-Actuals!D75)</f>
        <v/>
      </c>
      <c r="I60" s="134" t="str">
        <f aca="false">IFERROR(IF(OR(2&gt;$B$3,ISBLANK(Actuals!D75)),"",('Reforecast Q1 2026'!D75-Actuals!D75)/ABS('Reforecast Q1 2026'!D75)),"")</f>
        <v/>
      </c>
      <c r="J60" s="133" t="n">
        <f aca="false">'Reforecast Q1 2026'!E75</f>
        <v>0</v>
      </c>
      <c r="K60" s="133" t="str">
        <f aca="false">IF(OR(3&gt;$B$3,ISBLANK(Actuals!E75)),"",Actuals!E75)</f>
        <v/>
      </c>
      <c r="L60" s="134" t="str">
        <f aca="false">IF(OR(3&gt;$B$3,ISBLANK(Actuals!E75)),"",'Reforecast Q1 2026'!E75-Actuals!E75)</f>
        <v/>
      </c>
      <c r="M60" s="134" t="str">
        <f aca="false">IFERROR(IF(OR(3&gt;$B$3,ISBLANK(Actuals!E75)),"",('Reforecast Q1 2026'!E75-Actuals!E75)/ABS('Reforecast Q1 2026'!E75)),"")</f>
        <v/>
      </c>
      <c r="N60" s="133" t="n">
        <f aca="false">'Reforecast Q1 2026'!F75</f>
        <v>0</v>
      </c>
      <c r="O60" s="133" t="str">
        <f aca="false">IF(OR(4&gt;$B$3,ISBLANK(Actuals!F75)),"",Actuals!F75)</f>
        <v/>
      </c>
      <c r="P60" s="134" t="str">
        <f aca="false">IF(OR(4&gt;$B$3,ISBLANK(Actuals!F75)),"",'Reforecast Q1 2026'!F75-Actuals!F75)</f>
        <v/>
      </c>
      <c r="Q60" s="134" t="str">
        <f aca="false">IFERROR(IF(OR(4&gt;$B$3,ISBLANK(Actuals!F75)),"",('Reforecast Q1 2026'!F75-Actuals!F75)/ABS('Reforecast Q1 2026'!F75)),"")</f>
        <v/>
      </c>
      <c r="R60" s="133" t="n">
        <f aca="false">'Reforecast Q1 2026'!G75</f>
        <v>0</v>
      </c>
      <c r="S60" s="133" t="str">
        <f aca="false">IF(OR(5&gt;$B$3,ISBLANK(Actuals!G75)),"",Actuals!G75)</f>
        <v/>
      </c>
      <c r="T60" s="134" t="str">
        <f aca="false">IF(OR(5&gt;$B$3,ISBLANK(Actuals!G75)),"",'Reforecast Q1 2026'!G75-Actuals!G75)</f>
        <v/>
      </c>
      <c r="U60" s="134" t="str">
        <f aca="false">IFERROR(IF(OR(5&gt;$B$3,ISBLANK(Actuals!G75)),"",('Reforecast Q1 2026'!G75-Actuals!G75)/ABS('Reforecast Q1 2026'!G75)),"")</f>
        <v/>
      </c>
      <c r="V60" s="133" t="n">
        <f aca="false">'Reforecast Q1 2026'!H75</f>
        <v>0</v>
      </c>
      <c r="W60" s="133" t="str">
        <f aca="false">IF(OR(6&gt;$B$3,ISBLANK(Actuals!H75)),"",Actuals!H75)</f>
        <v/>
      </c>
      <c r="X60" s="134" t="str">
        <f aca="false">IF(OR(6&gt;$B$3,ISBLANK(Actuals!H75)),"",'Reforecast Q1 2026'!H75-Actuals!H75)</f>
        <v/>
      </c>
      <c r="Y60" s="134" t="str">
        <f aca="false">IFERROR(IF(OR(6&gt;$B$3,ISBLANK(Actuals!H75)),"",('Reforecast Q1 2026'!H75-Actuals!H75)/ABS('Reforecast Q1 2026'!H75)),"")</f>
        <v/>
      </c>
      <c r="Z60" s="133" t="n">
        <f aca="false">'Reforecast Q1 2026'!I75</f>
        <v>0</v>
      </c>
      <c r="AA60" s="133" t="str">
        <f aca="false">IF(OR(7&gt;$B$3,ISBLANK(Actuals!I75)),"",Actuals!I75)</f>
        <v/>
      </c>
      <c r="AB60" s="134" t="str">
        <f aca="false">IF(OR(7&gt;$B$3,ISBLANK(Actuals!I75)),"",'Reforecast Q1 2026'!I75-Actuals!I75)</f>
        <v/>
      </c>
      <c r="AC60" s="134" t="str">
        <f aca="false">IFERROR(IF(OR(7&gt;$B$3,ISBLANK(Actuals!I75)),"",('Reforecast Q1 2026'!I75-Actuals!I75)/ABS('Reforecast Q1 2026'!I75)),"")</f>
        <v/>
      </c>
      <c r="AD60" s="133" t="n">
        <f aca="false">'Reforecast Q1 2026'!J75</f>
        <v>0</v>
      </c>
      <c r="AE60" s="133" t="str">
        <f aca="false">IF(OR(8&gt;$B$3,ISBLANK(Actuals!J75)),"",Actuals!J75)</f>
        <v/>
      </c>
      <c r="AF60" s="134" t="str">
        <f aca="false">IF(OR(8&gt;$B$3,ISBLANK(Actuals!J75)),"",'Reforecast Q1 2026'!J75-Actuals!J75)</f>
        <v/>
      </c>
      <c r="AG60" s="134" t="str">
        <f aca="false">IFERROR(IF(OR(8&gt;$B$3,ISBLANK(Actuals!J75)),"",('Reforecast Q1 2026'!J75-Actuals!J75)/ABS('Reforecast Q1 2026'!J75)),"")</f>
        <v/>
      </c>
      <c r="AH60" s="133" t="n">
        <f aca="false">'Reforecast Q1 2026'!K75</f>
        <v>0</v>
      </c>
      <c r="AI60" s="133" t="str">
        <f aca="false">IF(OR(9&gt;$B$3,ISBLANK(Actuals!K75)),"",Actuals!K75)</f>
        <v/>
      </c>
      <c r="AJ60" s="134" t="str">
        <f aca="false">IF(OR(9&gt;$B$3,ISBLANK(Actuals!K75)),"",'Reforecast Q1 2026'!K75-Actuals!K75)</f>
        <v/>
      </c>
      <c r="AK60" s="134" t="str">
        <f aca="false">IFERROR(IF(OR(9&gt;$B$3,ISBLANK(Actuals!K75)),"",('Reforecast Q1 2026'!K75-Actuals!K75)/ABS('Reforecast Q1 2026'!K75)),"")</f>
        <v/>
      </c>
      <c r="AL60" s="133" t="n">
        <f aca="false">'Reforecast Q1 2026'!L75</f>
        <v>0</v>
      </c>
      <c r="AM60" s="133" t="str">
        <f aca="false">IF(OR(10&gt;$B$3,ISBLANK(Actuals!L75)),"",Actuals!L75)</f>
        <v/>
      </c>
      <c r="AN60" s="134" t="str">
        <f aca="false">IF(OR(10&gt;$B$3,ISBLANK(Actuals!L75)),"",'Reforecast Q1 2026'!L75-Actuals!L75)</f>
        <v/>
      </c>
      <c r="AO60" s="134" t="str">
        <f aca="false">IFERROR(IF(OR(10&gt;$B$3,ISBLANK(Actuals!L75)),"",('Reforecast Q1 2026'!L75-Actuals!L75)/ABS('Reforecast Q1 2026'!L75)),"")</f>
        <v/>
      </c>
      <c r="AP60" s="133" t="n">
        <f aca="false">'Reforecast Q1 2026'!M75</f>
        <v>0</v>
      </c>
      <c r="AQ60" s="133" t="str">
        <f aca="false">IF(OR(11&gt;$B$3,ISBLANK(Actuals!M75)),"",Actuals!M75)</f>
        <v/>
      </c>
      <c r="AR60" s="134" t="str">
        <f aca="false">IF(OR(11&gt;$B$3,ISBLANK(Actuals!M75)),"",'Reforecast Q1 2026'!M75-Actuals!M75)</f>
        <v/>
      </c>
      <c r="AS60" s="134" t="str">
        <f aca="false">IFERROR(IF(OR(11&gt;$B$3,ISBLANK(Actuals!M75)),"",('Reforecast Q1 2026'!M75-Actuals!M75)/ABS('Reforecast Q1 2026'!M75)),"")</f>
        <v/>
      </c>
      <c r="AT60" s="133" t="n">
        <f aca="false">'Reforecast Q1 2026'!N75</f>
        <v>0</v>
      </c>
      <c r="AU60" s="133" t="str">
        <f aca="false">IF(OR(12&gt;$B$3,ISBLANK(Actuals!N75)),"",Actuals!N75)</f>
        <v/>
      </c>
      <c r="AV60" s="134" t="str">
        <f aca="false">IF(OR(12&gt;$B$3,ISBLANK(Actuals!N75)),"",'Reforecast Q1 2026'!N75-Actuals!N75)</f>
        <v/>
      </c>
      <c r="AW60" s="134" t="str">
        <f aca="false">IFERROR(IF(OR(12&gt;$B$3,ISBLANK(Actuals!N75)),"",('Reforecast Q1 2026'!N75-Actuals!N75)/ABS('Reforecast Q1 2026'!N75)),"")</f>
        <v/>
      </c>
      <c r="AX60" s="135" t="n">
        <f aca="false">SUMPRODUCT((Actuals!C75:N75&lt;&gt;"")*('Reforecast Q1 2026'!C75:N75))</f>
        <v>0</v>
      </c>
      <c r="AY60" s="135" t="n">
        <f aca="false">SUM(Actuals!C75:N75)</f>
        <v>0</v>
      </c>
      <c r="AZ60" s="136" t="n">
        <f aca="false">AX60-AY60</f>
        <v>0</v>
      </c>
    </row>
    <row r="61" customFormat="false" ht="15" hidden="false" customHeight="true" outlineLevel="0" collapsed="false">
      <c r="A61" s="132" t="s">
        <v>113</v>
      </c>
      <c r="B61" s="133" t="n">
        <f aca="false">'Reforecast Q1 2026'!C76</f>
        <v>0</v>
      </c>
      <c r="C61" s="133" t="str">
        <f aca="false">IF(OR(1&gt;$B$3,ISBLANK(Actuals!C76)),"",Actuals!C76)</f>
        <v/>
      </c>
      <c r="D61" s="134" t="str">
        <f aca="false">IF(OR(1&gt;$B$3,ISBLANK(Actuals!C76)),"",'Reforecast Q1 2026'!C76-Actuals!C76)</f>
        <v/>
      </c>
      <c r="E61" s="134" t="str">
        <f aca="false">IFERROR(IF(OR(1&gt;$B$3,ISBLANK(Actuals!C76)),"",('Reforecast Q1 2026'!C76-Actuals!C76)/ABS('Reforecast Q1 2026'!C76)),"")</f>
        <v/>
      </c>
      <c r="F61" s="133" t="n">
        <f aca="false">'Reforecast Q1 2026'!D76</f>
        <v>0</v>
      </c>
      <c r="G61" s="133" t="str">
        <f aca="false">IF(OR(2&gt;$B$3,ISBLANK(Actuals!D76)),"",Actuals!D76)</f>
        <v/>
      </c>
      <c r="H61" s="134" t="str">
        <f aca="false">IF(OR(2&gt;$B$3,ISBLANK(Actuals!D76)),"",'Reforecast Q1 2026'!D76-Actuals!D76)</f>
        <v/>
      </c>
      <c r="I61" s="134" t="str">
        <f aca="false">IFERROR(IF(OR(2&gt;$B$3,ISBLANK(Actuals!D76)),"",('Reforecast Q1 2026'!D76-Actuals!D76)/ABS('Reforecast Q1 2026'!D76)),"")</f>
        <v/>
      </c>
      <c r="J61" s="133" t="n">
        <f aca="false">'Reforecast Q1 2026'!E76</f>
        <v>0</v>
      </c>
      <c r="K61" s="133" t="str">
        <f aca="false">IF(OR(3&gt;$B$3,ISBLANK(Actuals!E76)),"",Actuals!E76)</f>
        <v/>
      </c>
      <c r="L61" s="134" t="str">
        <f aca="false">IF(OR(3&gt;$B$3,ISBLANK(Actuals!E76)),"",'Reforecast Q1 2026'!E76-Actuals!E76)</f>
        <v/>
      </c>
      <c r="M61" s="134" t="str">
        <f aca="false">IFERROR(IF(OR(3&gt;$B$3,ISBLANK(Actuals!E76)),"",('Reforecast Q1 2026'!E76-Actuals!E76)/ABS('Reforecast Q1 2026'!E76)),"")</f>
        <v/>
      </c>
      <c r="N61" s="133" t="n">
        <f aca="false">'Reforecast Q1 2026'!F76</f>
        <v>0</v>
      </c>
      <c r="O61" s="133" t="str">
        <f aca="false">IF(OR(4&gt;$B$3,ISBLANK(Actuals!F76)),"",Actuals!F76)</f>
        <v/>
      </c>
      <c r="P61" s="134" t="str">
        <f aca="false">IF(OR(4&gt;$B$3,ISBLANK(Actuals!F76)),"",'Reforecast Q1 2026'!F76-Actuals!F76)</f>
        <v/>
      </c>
      <c r="Q61" s="134" t="str">
        <f aca="false">IFERROR(IF(OR(4&gt;$B$3,ISBLANK(Actuals!F76)),"",('Reforecast Q1 2026'!F76-Actuals!F76)/ABS('Reforecast Q1 2026'!F76)),"")</f>
        <v/>
      </c>
      <c r="R61" s="133" t="n">
        <f aca="false">'Reforecast Q1 2026'!G76</f>
        <v>0</v>
      </c>
      <c r="S61" s="133" t="str">
        <f aca="false">IF(OR(5&gt;$B$3,ISBLANK(Actuals!G76)),"",Actuals!G76)</f>
        <v/>
      </c>
      <c r="T61" s="134" t="str">
        <f aca="false">IF(OR(5&gt;$B$3,ISBLANK(Actuals!G76)),"",'Reforecast Q1 2026'!G76-Actuals!G76)</f>
        <v/>
      </c>
      <c r="U61" s="134" t="str">
        <f aca="false">IFERROR(IF(OR(5&gt;$B$3,ISBLANK(Actuals!G76)),"",('Reforecast Q1 2026'!G76-Actuals!G76)/ABS('Reforecast Q1 2026'!G76)),"")</f>
        <v/>
      </c>
      <c r="V61" s="133" t="n">
        <f aca="false">'Reforecast Q1 2026'!H76</f>
        <v>0</v>
      </c>
      <c r="W61" s="133" t="str">
        <f aca="false">IF(OR(6&gt;$B$3,ISBLANK(Actuals!H76)),"",Actuals!H76)</f>
        <v/>
      </c>
      <c r="X61" s="134" t="str">
        <f aca="false">IF(OR(6&gt;$B$3,ISBLANK(Actuals!H76)),"",'Reforecast Q1 2026'!H76-Actuals!H76)</f>
        <v/>
      </c>
      <c r="Y61" s="134" t="str">
        <f aca="false">IFERROR(IF(OR(6&gt;$B$3,ISBLANK(Actuals!H76)),"",('Reforecast Q1 2026'!H76-Actuals!H76)/ABS('Reforecast Q1 2026'!H76)),"")</f>
        <v/>
      </c>
      <c r="Z61" s="133" t="n">
        <f aca="false">'Reforecast Q1 2026'!I76</f>
        <v>0</v>
      </c>
      <c r="AA61" s="133" t="str">
        <f aca="false">IF(OR(7&gt;$B$3,ISBLANK(Actuals!I76)),"",Actuals!I76)</f>
        <v/>
      </c>
      <c r="AB61" s="134" t="str">
        <f aca="false">IF(OR(7&gt;$B$3,ISBLANK(Actuals!I76)),"",'Reforecast Q1 2026'!I76-Actuals!I76)</f>
        <v/>
      </c>
      <c r="AC61" s="134" t="str">
        <f aca="false">IFERROR(IF(OR(7&gt;$B$3,ISBLANK(Actuals!I76)),"",('Reforecast Q1 2026'!I76-Actuals!I76)/ABS('Reforecast Q1 2026'!I76)),"")</f>
        <v/>
      </c>
      <c r="AD61" s="133" t="n">
        <f aca="false">'Reforecast Q1 2026'!J76</f>
        <v>0</v>
      </c>
      <c r="AE61" s="133" t="str">
        <f aca="false">IF(OR(8&gt;$B$3,ISBLANK(Actuals!J76)),"",Actuals!J76)</f>
        <v/>
      </c>
      <c r="AF61" s="134" t="str">
        <f aca="false">IF(OR(8&gt;$B$3,ISBLANK(Actuals!J76)),"",'Reforecast Q1 2026'!J76-Actuals!J76)</f>
        <v/>
      </c>
      <c r="AG61" s="134" t="str">
        <f aca="false">IFERROR(IF(OR(8&gt;$B$3,ISBLANK(Actuals!J76)),"",('Reforecast Q1 2026'!J76-Actuals!J76)/ABS('Reforecast Q1 2026'!J76)),"")</f>
        <v/>
      </c>
      <c r="AH61" s="133" t="n">
        <f aca="false">'Reforecast Q1 2026'!K76</f>
        <v>0</v>
      </c>
      <c r="AI61" s="133" t="str">
        <f aca="false">IF(OR(9&gt;$B$3,ISBLANK(Actuals!K76)),"",Actuals!K76)</f>
        <v/>
      </c>
      <c r="AJ61" s="134" t="str">
        <f aca="false">IF(OR(9&gt;$B$3,ISBLANK(Actuals!K76)),"",'Reforecast Q1 2026'!K76-Actuals!K76)</f>
        <v/>
      </c>
      <c r="AK61" s="134" t="str">
        <f aca="false">IFERROR(IF(OR(9&gt;$B$3,ISBLANK(Actuals!K76)),"",('Reforecast Q1 2026'!K76-Actuals!K76)/ABS('Reforecast Q1 2026'!K76)),"")</f>
        <v/>
      </c>
      <c r="AL61" s="133" t="n">
        <f aca="false">'Reforecast Q1 2026'!L76</f>
        <v>0</v>
      </c>
      <c r="AM61" s="133" t="str">
        <f aca="false">IF(OR(10&gt;$B$3,ISBLANK(Actuals!L76)),"",Actuals!L76)</f>
        <v/>
      </c>
      <c r="AN61" s="134" t="str">
        <f aca="false">IF(OR(10&gt;$B$3,ISBLANK(Actuals!L76)),"",'Reforecast Q1 2026'!L76-Actuals!L76)</f>
        <v/>
      </c>
      <c r="AO61" s="134" t="str">
        <f aca="false">IFERROR(IF(OR(10&gt;$B$3,ISBLANK(Actuals!L76)),"",('Reforecast Q1 2026'!L76-Actuals!L76)/ABS('Reforecast Q1 2026'!L76)),"")</f>
        <v/>
      </c>
      <c r="AP61" s="133" t="n">
        <f aca="false">'Reforecast Q1 2026'!M76</f>
        <v>0</v>
      </c>
      <c r="AQ61" s="133" t="str">
        <f aca="false">IF(OR(11&gt;$B$3,ISBLANK(Actuals!M76)),"",Actuals!M76)</f>
        <v/>
      </c>
      <c r="AR61" s="134" t="str">
        <f aca="false">IF(OR(11&gt;$B$3,ISBLANK(Actuals!M76)),"",'Reforecast Q1 2026'!M76-Actuals!M76)</f>
        <v/>
      </c>
      <c r="AS61" s="134" t="str">
        <f aca="false">IFERROR(IF(OR(11&gt;$B$3,ISBLANK(Actuals!M76)),"",('Reforecast Q1 2026'!M76-Actuals!M76)/ABS('Reforecast Q1 2026'!M76)),"")</f>
        <v/>
      </c>
      <c r="AT61" s="133" t="n">
        <f aca="false">'Reforecast Q1 2026'!N76</f>
        <v>0</v>
      </c>
      <c r="AU61" s="133" t="str">
        <f aca="false">IF(OR(12&gt;$B$3,ISBLANK(Actuals!N76)),"",Actuals!N76)</f>
        <v/>
      </c>
      <c r="AV61" s="134" t="str">
        <f aca="false">IF(OR(12&gt;$B$3,ISBLANK(Actuals!N76)),"",'Reforecast Q1 2026'!N76-Actuals!N76)</f>
        <v/>
      </c>
      <c r="AW61" s="134" t="str">
        <f aca="false">IFERROR(IF(OR(12&gt;$B$3,ISBLANK(Actuals!N76)),"",('Reforecast Q1 2026'!N76-Actuals!N76)/ABS('Reforecast Q1 2026'!N76)),"")</f>
        <v/>
      </c>
      <c r="AX61" s="135" t="n">
        <f aca="false">SUMPRODUCT((Actuals!C76:N76&lt;&gt;"")*('Reforecast Q1 2026'!C76:N76))</f>
        <v>0</v>
      </c>
      <c r="AY61" s="135" t="n">
        <f aca="false">SUM(Actuals!C76:N76)</f>
        <v>0</v>
      </c>
      <c r="AZ61" s="136" t="n">
        <f aca="false">AX61-AY61</f>
        <v>0</v>
      </c>
    </row>
    <row r="62" customFormat="false" ht="15" hidden="false" customHeight="true" outlineLevel="0" collapsed="false">
      <c r="A62" s="132" t="s">
        <v>114</v>
      </c>
      <c r="B62" s="133" t="n">
        <f aca="false">'Reforecast Q1 2026'!C77</f>
        <v>0</v>
      </c>
      <c r="C62" s="133" t="str">
        <f aca="false">IF(OR(1&gt;$B$3,ISBLANK(Actuals!C77)),"",Actuals!C77)</f>
        <v/>
      </c>
      <c r="D62" s="134" t="str">
        <f aca="false">IF(OR(1&gt;$B$3,ISBLANK(Actuals!C77)),"",'Reforecast Q1 2026'!C77-Actuals!C77)</f>
        <v/>
      </c>
      <c r="E62" s="134" t="str">
        <f aca="false">IFERROR(IF(OR(1&gt;$B$3,ISBLANK(Actuals!C77)),"",('Reforecast Q1 2026'!C77-Actuals!C77)/ABS('Reforecast Q1 2026'!C77)),"")</f>
        <v/>
      </c>
      <c r="F62" s="133" t="n">
        <f aca="false">'Reforecast Q1 2026'!D77</f>
        <v>0</v>
      </c>
      <c r="G62" s="133" t="str">
        <f aca="false">IF(OR(2&gt;$B$3,ISBLANK(Actuals!D77)),"",Actuals!D77)</f>
        <v/>
      </c>
      <c r="H62" s="134" t="str">
        <f aca="false">IF(OR(2&gt;$B$3,ISBLANK(Actuals!D77)),"",'Reforecast Q1 2026'!D77-Actuals!D77)</f>
        <v/>
      </c>
      <c r="I62" s="134" t="str">
        <f aca="false">IFERROR(IF(OR(2&gt;$B$3,ISBLANK(Actuals!D77)),"",('Reforecast Q1 2026'!D77-Actuals!D77)/ABS('Reforecast Q1 2026'!D77)),"")</f>
        <v/>
      </c>
      <c r="J62" s="133" t="n">
        <f aca="false">'Reforecast Q1 2026'!E77</f>
        <v>0</v>
      </c>
      <c r="K62" s="133" t="str">
        <f aca="false">IF(OR(3&gt;$B$3,ISBLANK(Actuals!E77)),"",Actuals!E77)</f>
        <v/>
      </c>
      <c r="L62" s="134" t="str">
        <f aca="false">IF(OR(3&gt;$B$3,ISBLANK(Actuals!E77)),"",'Reforecast Q1 2026'!E77-Actuals!E77)</f>
        <v/>
      </c>
      <c r="M62" s="134" t="str">
        <f aca="false">IFERROR(IF(OR(3&gt;$B$3,ISBLANK(Actuals!E77)),"",('Reforecast Q1 2026'!E77-Actuals!E77)/ABS('Reforecast Q1 2026'!E77)),"")</f>
        <v/>
      </c>
      <c r="N62" s="133" t="n">
        <f aca="false">'Reforecast Q1 2026'!F77</f>
        <v>0</v>
      </c>
      <c r="O62" s="133" t="str">
        <f aca="false">IF(OR(4&gt;$B$3,ISBLANK(Actuals!F77)),"",Actuals!F77)</f>
        <v/>
      </c>
      <c r="P62" s="134" t="str">
        <f aca="false">IF(OR(4&gt;$B$3,ISBLANK(Actuals!F77)),"",'Reforecast Q1 2026'!F77-Actuals!F77)</f>
        <v/>
      </c>
      <c r="Q62" s="134" t="str">
        <f aca="false">IFERROR(IF(OR(4&gt;$B$3,ISBLANK(Actuals!F77)),"",('Reforecast Q1 2026'!F77-Actuals!F77)/ABS('Reforecast Q1 2026'!F77)),"")</f>
        <v/>
      </c>
      <c r="R62" s="133" t="n">
        <f aca="false">'Reforecast Q1 2026'!G77</f>
        <v>0</v>
      </c>
      <c r="S62" s="133" t="str">
        <f aca="false">IF(OR(5&gt;$B$3,ISBLANK(Actuals!G77)),"",Actuals!G77)</f>
        <v/>
      </c>
      <c r="T62" s="134" t="str">
        <f aca="false">IF(OR(5&gt;$B$3,ISBLANK(Actuals!G77)),"",'Reforecast Q1 2026'!G77-Actuals!G77)</f>
        <v/>
      </c>
      <c r="U62" s="134" t="str">
        <f aca="false">IFERROR(IF(OR(5&gt;$B$3,ISBLANK(Actuals!G77)),"",('Reforecast Q1 2026'!G77-Actuals!G77)/ABS('Reforecast Q1 2026'!G77)),"")</f>
        <v/>
      </c>
      <c r="V62" s="133" t="n">
        <f aca="false">'Reforecast Q1 2026'!H77</f>
        <v>0</v>
      </c>
      <c r="W62" s="133" t="str">
        <f aca="false">IF(OR(6&gt;$B$3,ISBLANK(Actuals!H77)),"",Actuals!H77)</f>
        <v/>
      </c>
      <c r="X62" s="134" t="str">
        <f aca="false">IF(OR(6&gt;$B$3,ISBLANK(Actuals!H77)),"",'Reforecast Q1 2026'!H77-Actuals!H77)</f>
        <v/>
      </c>
      <c r="Y62" s="134" t="str">
        <f aca="false">IFERROR(IF(OR(6&gt;$B$3,ISBLANK(Actuals!H77)),"",('Reforecast Q1 2026'!H77-Actuals!H77)/ABS('Reforecast Q1 2026'!H77)),"")</f>
        <v/>
      </c>
      <c r="Z62" s="133" t="n">
        <f aca="false">'Reforecast Q1 2026'!I77</f>
        <v>0</v>
      </c>
      <c r="AA62" s="133" t="str">
        <f aca="false">IF(OR(7&gt;$B$3,ISBLANK(Actuals!I77)),"",Actuals!I77)</f>
        <v/>
      </c>
      <c r="AB62" s="134" t="str">
        <f aca="false">IF(OR(7&gt;$B$3,ISBLANK(Actuals!I77)),"",'Reforecast Q1 2026'!I77-Actuals!I77)</f>
        <v/>
      </c>
      <c r="AC62" s="134" t="str">
        <f aca="false">IFERROR(IF(OR(7&gt;$B$3,ISBLANK(Actuals!I77)),"",('Reforecast Q1 2026'!I77-Actuals!I77)/ABS('Reforecast Q1 2026'!I77)),"")</f>
        <v/>
      </c>
      <c r="AD62" s="133" t="n">
        <f aca="false">'Reforecast Q1 2026'!J77</f>
        <v>0</v>
      </c>
      <c r="AE62" s="133" t="n">
        <f aca="false">IF(OR(8&gt;$B$3,ISBLANK(Actuals!J77)),"",Actuals!J77)</f>
        <v>127514</v>
      </c>
      <c r="AF62" s="134" t="n">
        <f aca="false">IF(OR(8&gt;$B$3,ISBLANK(Actuals!J77)),"",'Reforecast Q1 2026'!J77-Actuals!J77)</f>
        <v>-127514</v>
      </c>
      <c r="AG62" s="134" t="str">
        <f aca="false">IFERROR(IF(OR(8&gt;$B$3,ISBLANK(Actuals!J77)),"",('Reforecast Q1 2026'!J77-Actuals!J77)/ABS('Reforecast Q1 2026'!J77)),"")</f>
        <v/>
      </c>
      <c r="AH62" s="133" t="n">
        <f aca="false">'Reforecast Q1 2026'!K77</f>
        <v>0</v>
      </c>
      <c r="AI62" s="133" t="str">
        <f aca="false">IF(OR(9&gt;$B$3,ISBLANK(Actuals!K77)),"",Actuals!K77)</f>
        <v/>
      </c>
      <c r="AJ62" s="134" t="str">
        <f aca="false">IF(OR(9&gt;$B$3,ISBLANK(Actuals!K77)),"",'Reforecast Q1 2026'!K77-Actuals!K77)</f>
        <v/>
      </c>
      <c r="AK62" s="134" t="str">
        <f aca="false">IFERROR(IF(OR(9&gt;$B$3,ISBLANK(Actuals!K77)),"",('Reforecast Q1 2026'!K77-Actuals!K77)/ABS('Reforecast Q1 2026'!K77)),"")</f>
        <v/>
      </c>
      <c r="AL62" s="133" t="n">
        <f aca="false">'Reforecast Q1 2026'!L77</f>
        <v>0</v>
      </c>
      <c r="AM62" s="133" t="str">
        <f aca="false">IF(OR(10&gt;$B$3,ISBLANK(Actuals!L77)),"",Actuals!L77)</f>
        <v/>
      </c>
      <c r="AN62" s="134" t="str">
        <f aca="false">IF(OR(10&gt;$B$3,ISBLANK(Actuals!L77)),"",'Reforecast Q1 2026'!L77-Actuals!L77)</f>
        <v/>
      </c>
      <c r="AO62" s="134" t="str">
        <f aca="false">IFERROR(IF(OR(10&gt;$B$3,ISBLANK(Actuals!L77)),"",('Reforecast Q1 2026'!L77-Actuals!L77)/ABS('Reforecast Q1 2026'!L77)),"")</f>
        <v/>
      </c>
      <c r="AP62" s="133" t="n">
        <f aca="false">'Reforecast Q1 2026'!M77</f>
        <v>0</v>
      </c>
      <c r="AQ62" s="133" t="str">
        <f aca="false">IF(OR(11&gt;$B$3,ISBLANK(Actuals!M77)),"",Actuals!M77)</f>
        <v/>
      </c>
      <c r="AR62" s="134" t="str">
        <f aca="false">IF(OR(11&gt;$B$3,ISBLANK(Actuals!M77)),"",'Reforecast Q1 2026'!M77-Actuals!M77)</f>
        <v/>
      </c>
      <c r="AS62" s="134" t="str">
        <f aca="false">IFERROR(IF(OR(11&gt;$B$3,ISBLANK(Actuals!M77)),"",('Reforecast Q1 2026'!M77-Actuals!M77)/ABS('Reforecast Q1 2026'!M77)),"")</f>
        <v/>
      </c>
      <c r="AT62" s="133" t="n">
        <f aca="false">'Reforecast Q1 2026'!N77</f>
        <v>0</v>
      </c>
      <c r="AU62" s="133" t="str">
        <f aca="false">IF(OR(12&gt;$B$3,ISBLANK(Actuals!N77)),"",Actuals!N77)</f>
        <v/>
      </c>
      <c r="AV62" s="134" t="str">
        <f aca="false">IF(OR(12&gt;$B$3,ISBLANK(Actuals!N77)),"",'Reforecast Q1 2026'!N77-Actuals!N77)</f>
        <v/>
      </c>
      <c r="AW62" s="134" t="str">
        <f aca="false">IFERROR(IF(OR(12&gt;$B$3,ISBLANK(Actuals!N77)),"",('Reforecast Q1 2026'!N77-Actuals!N77)/ABS('Reforecast Q1 2026'!N77)),"")</f>
        <v/>
      </c>
      <c r="AX62" s="135" t="n">
        <f aca="false">SUMPRODUCT((Actuals!C77:N77&lt;&gt;"")*('Reforecast Q1 2026'!C77:N77))</f>
        <v>0</v>
      </c>
      <c r="AY62" s="135" t="n">
        <f aca="false">SUM(Actuals!C77:N77)</f>
        <v>127514</v>
      </c>
      <c r="AZ62" s="136" t="n">
        <f aca="false">AX62-AY62</f>
        <v>-127514</v>
      </c>
    </row>
    <row r="63" customFormat="false" ht="15" hidden="false" customHeight="true" outlineLevel="0" collapsed="false">
      <c r="A63" s="132" t="s">
        <v>115</v>
      </c>
      <c r="B63" s="133" t="n">
        <f aca="false">'Reforecast Q1 2026'!C78</f>
        <v>0</v>
      </c>
      <c r="C63" s="133" t="str">
        <f aca="false">IF(OR(1&gt;$B$3,ISBLANK(Actuals!C78)),"",Actuals!C78)</f>
        <v/>
      </c>
      <c r="D63" s="134" t="str">
        <f aca="false">IF(OR(1&gt;$B$3,ISBLANK(Actuals!C78)),"",'Reforecast Q1 2026'!C78-Actuals!C78)</f>
        <v/>
      </c>
      <c r="E63" s="134" t="str">
        <f aca="false">IFERROR(IF(OR(1&gt;$B$3,ISBLANK(Actuals!C78)),"",('Reforecast Q1 2026'!C78-Actuals!C78)/ABS('Reforecast Q1 2026'!C78)),"")</f>
        <v/>
      </c>
      <c r="F63" s="133" t="n">
        <f aca="false">'Reforecast Q1 2026'!D78</f>
        <v>0</v>
      </c>
      <c r="G63" s="133" t="str">
        <f aca="false">IF(OR(2&gt;$B$3,ISBLANK(Actuals!D78)),"",Actuals!D78)</f>
        <v/>
      </c>
      <c r="H63" s="134" t="str">
        <f aca="false">IF(OR(2&gt;$B$3,ISBLANK(Actuals!D78)),"",'Reforecast Q1 2026'!D78-Actuals!D78)</f>
        <v/>
      </c>
      <c r="I63" s="134" t="str">
        <f aca="false">IFERROR(IF(OR(2&gt;$B$3,ISBLANK(Actuals!D78)),"",('Reforecast Q1 2026'!D78-Actuals!D78)/ABS('Reforecast Q1 2026'!D78)),"")</f>
        <v/>
      </c>
      <c r="J63" s="133" t="n">
        <f aca="false">'Reforecast Q1 2026'!E78</f>
        <v>0</v>
      </c>
      <c r="K63" s="133" t="str">
        <f aca="false">IF(OR(3&gt;$B$3,ISBLANK(Actuals!E78)),"",Actuals!E78)</f>
        <v/>
      </c>
      <c r="L63" s="134" t="str">
        <f aca="false">IF(OR(3&gt;$B$3,ISBLANK(Actuals!E78)),"",'Reforecast Q1 2026'!E78-Actuals!E78)</f>
        <v/>
      </c>
      <c r="M63" s="134" t="str">
        <f aca="false">IFERROR(IF(OR(3&gt;$B$3,ISBLANK(Actuals!E78)),"",('Reforecast Q1 2026'!E78-Actuals!E78)/ABS('Reforecast Q1 2026'!E78)),"")</f>
        <v/>
      </c>
      <c r="N63" s="133" t="n">
        <f aca="false">'Reforecast Q1 2026'!F78</f>
        <v>0</v>
      </c>
      <c r="O63" s="133" t="str">
        <f aca="false">IF(OR(4&gt;$B$3,ISBLANK(Actuals!F78)),"",Actuals!F78)</f>
        <v/>
      </c>
      <c r="P63" s="134" t="str">
        <f aca="false">IF(OR(4&gt;$B$3,ISBLANK(Actuals!F78)),"",'Reforecast Q1 2026'!F78-Actuals!F78)</f>
        <v/>
      </c>
      <c r="Q63" s="134" t="str">
        <f aca="false">IFERROR(IF(OR(4&gt;$B$3,ISBLANK(Actuals!F78)),"",('Reforecast Q1 2026'!F78-Actuals!F78)/ABS('Reforecast Q1 2026'!F78)),"")</f>
        <v/>
      </c>
      <c r="R63" s="133" t="n">
        <f aca="false">'Reforecast Q1 2026'!G78</f>
        <v>0</v>
      </c>
      <c r="S63" s="133" t="str">
        <f aca="false">IF(OR(5&gt;$B$3,ISBLANK(Actuals!G78)),"",Actuals!G78)</f>
        <v/>
      </c>
      <c r="T63" s="134" t="str">
        <f aca="false">IF(OR(5&gt;$B$3,ISBLANK(Actuals!G78)),"",'Reforecast Q1 2026'!G78-Actuals!G78)</f>
        <v/>
      </c>
      <c r="U63" s="134" t="str">
        <f aca="false">IFERROR(IF(OR(5&gt;$B$3,ISBLANK(Actuals!G78)),"",('Reforecast Q1 2026'!G78-Actuals!G78)/ABS('Reforecast Q1 2026'!G78)),"")</f>
        <v/>
      </c>
      <c r="V63" s="133" t="n">
        <f aca="false">'Reforecast Q1 2026'!H78</f>
        <v>0</v>
      </c>
      <c r="W63" s="133" t="str">
        <f aca="false">IF(OR(6&gt;$B$3,ISBLANK(Actuals!H78)),"",Actuals!H78)</f>
        <v/>
      </c>
      <c r="X63" s="134" t="str">
        <f aca="false">IF(OR(6&gt;$B$3,ISBLANK(Actuals!H78)),"",'Reforecast Q1 2026'!H78-Actuals!H78)</f>
        <v/>
      </c>
      <c r="Y63" s="134" t="str">
        <f aca="false">IFERROR(IF(OR(6&gt;$B$3,ISBLANK(Actuals!H78)),"",('Reforecast Q1 2026'!H78-Actuals!H78)/ABS('Reforecast Q1 2026'!H78)),"")</f>
        <v/>
      </c>
      <c r="Z63" s="133" t="n">
        <f aca="false">'Reforecast Q1 2026'!I78</f>
        <v>0</v>
      </c>
      <c r="AA63" s="133" t="str">
        <f aca="false">IF(OR(7&gt;$B$3,ISBLANK(Actuals!I78)),"",Actuals!I78)</f>
        <v/>
      </c>
      <c r="AB63" s="134" t="str">
        <f aca="false">IF(OR(7&gt;$B$3,ISBLANK(Actuals!I78)),"",'Reforecast Q1 2026'!I78-Actuals!I78)</f>
        <v/>
      </c>
      <c r="AC63" s="134" t="str">
        <f aca="false">IFERROR(IF(OR(7&gt;$B$3,ISBLANK(Actuals!I78)),"",('Reforecast Q1 2026'!I78-Actuals!I78)/ABS('Reforecast Q1 2026'!I78)),"")</f>
        <v/>
      </c>
      <c r="AD63" s="133" t="n">
        <f aca="false">'Reforecast Q1 2026'!J78</f>
        <v>0</v>
      </c>
      <c r="AE63" s="133" t="str">
        <f aca="false">IF(OR(8&gt;$B$3,ISBLANK(Actuals!J78)),"",Actuals!J78)</f>
        <v/>
      </c>
      <c r="AF63" s="134" t="str">
        <f aca="false">IF(OR(8&gt;$B$3,ISBLANK(Actuals!J78)),"",'Reforecast Q1 2026'!J78-Actuals!J78)</f>
        <v/>
      </c>
      <c r="AG63" s="134" t="str">
        <f aca="false">IFERROR(IF(OR(8&gt;$B$3,ISBLANK(Actuals!J78)),"",('Reforecast Q1 2026'!J78-Actuals!J78)/ABS('Reforecast Q1 2026'!J78)),"")</f>
        <v/>
      </c>
      <c r="AH63" s="133" t="n">
        <f aca="false">'Reforecast Q1 2026'!K78</f>
        <v>0</v>
      </c>
      <c r="AI63" s="133" t="str">
        <f aca="false">IF(OR(9&gt;$B$3,ISBLANK(Actuals!K78)),"",Actuals!K78)</f>
        <v/>
      </c>
      <c r="AJ63" s="134" t="str">
        <f aca="false">IF(OR(9&gt;$B$3,ISBLANK(Actuals!K78)),"",'Reforecast Q1 2026'!K78-Actuals!K78)</f>
        <v/>
      </c>
      <c r="AK63" s="134" t="str">
        <f aca="false">IFERROR(IF(OR(9&gt;$B$3,ISBLANK(Actuals!K78)),"",('Reforecast Q1 2026'!K78-Actuals!K78)/ABS('Reforecast Q1 2026'!K78)),"")</f>
        <v/>
      </c>
      <c r="AL63" s="133" t="n">
        <f aca="false">'Reforecast Q1 2026'!L78</f>
        <v>0</v>
      </c>
      <c r="AM63" s="133" t="str">
        <f aca="false">IF(OR(10&gt;$B$3,ISBLANK(Actuals!L78)),"",Actuals!L78)</f>
        <v/>
      </c>
      <c r="AN63" s="134" t="str">
        <f aca="false">IF(OR(10&gt;$B$3,ISBLANK(Actuals!L78)),"",'Reforecast Q1 2026'!L78-Actuals!L78)</f>
        <v/>
      </c>
      <c r="AO63" s="134" t="str">
        <f aca="false">IFERROR(IF(OR(10&gt;$B$3,ISBLANK(Actuals!L78)),"",('Reforecast Q1 2026'!L78-Actuals!L78)/ABS('Reforecast Q1 2026'!L78)),"")</f>
        <v/>
      </c>
      <c r="AP63" s="133" t="n">
        <f aca="false">'Reforecast Q1 2026'!M78</f>
        <v>0</v>
      </c>
      <c r="AQ63" s="133" t="str">
        <f aca="false">IF(OR(11&gt;$B$3,ISBLANK(Actuals!M78)),"",Actuals!M78)</f>
        <v/>
      </c>
      <c r="AR63" s="134" t="str">
        <f aca="false">IF(OR(11&gt;$B$3,ISBLANK(Actuals!M78)),"",'Reforecast Q1 2026'!M78-Actuals!M78)</f>
        <v/>
      </c>
      <c r="AS63" s="134" t="str">
        <f aca="false">IFERROR(IF(OR(11&gt;$B$3,ISBLANK(Actuals!M78)),"",('Reforecast Q1 2026'!M78-Actuals!M78)/ABS('Reforecast Q1 2026'!M78)),"")</f>
        <v/>
      </c>
      <c r="AT63" s="133" t="n">
        <f aca="false">'Reforecast Q1 2026'!N78</f>
        <v>0</v>
      </c>
      <c r="AU63" s="133" t="str">
        <f aca="false">IF(OR(12&gt;$B$3,ISBLANK(Actuals!N78)),"",Actuals!N78)</f>
        <v/>
      </c>
      <c r="AV63" s="134" t="str">
        <f aca="false">IF(OR(12&gt;$B$3,ISBLANK(Actuals!N78)),"",'Reforecast Q1 2026'!N78-Actuals!N78)</f>
        <v/>
      </c>
      <c r="AW63" s="134" t="str">
        <f aca="false">IFERROR(IF(OR(12&gt;$B$3,ISBLANK(Actuals!N78)),"",('Reforecast Q1 2026'!N78-Actuals!N78)/ABS('Reforecast Q1 2026'!N78)),"")</f>
        <v/>
      </c>
      <c r="AX63" s="135" t="n">
        <f aca="false">SUMPRODUCT((Actuals!C78:N78&lt;&gt;"")*('Reforecast Q1 2026'!C78:N78))</f>
        <v>0</v>
      </c>
      <c r="AY63" s="135" t="n">
        <f aca="false">SUM(Actuals!C78:N78)</f>
        <v>0</v>
      </c>
      <c r="AZ63" s="136" t="n">
        <f aca="false">AX63-AY63</f>
        <v>0</v>
      </c>
    </row>
    <row r="64" customFormat="false" ht="15" hidden="false" customHeight="true" outlineLevel="0" collapsed="false">
      <c r="A64" s="132" t="s">
        <v>116</v>
      </c>
      <c r="B64" s="133" t="n">
        <f aca="false">'Reforecast Q1 2026'!C79</f>
        <v>0</v>
      </c>
      <c r="C64" s="133" t="str">
        <f aca="false">IF(OR(1&gt;$B$3,ISBLANK(Actuals!C79)),"",Actuals!C79)</f>
        <v/>
      </c>
      <c r="D64" s="134" t="str">
        <f aca="false">IF(OR(1&gt;$B$3,ISBLANK(Actuals!C79)),"",'Reforecast Q1 2026'!C79-Actuals!C79)</f>
        <v/>
      </c>
      <c r="E64" s="134" t="str">
        <f aca="false">IFERROR(IF(OR(1&gt;$B$3,ISBLANK(Actuals!C79)),"",('Reforecast Q1 2026'!C79-Actuals!C79)/ABS('Reforecast Q1 2026'!C79)),"")</f>
        <v/>
      </c>
      <c r="F64" s="133" t="n">
        <f aca="false">'Reforecast Q1 2026'!D79</f>
        <v>0</v>
      </c>
      <c r="G64" s="133" t="str">
        <f aca="false">IF(OR(2&gt;$B$3,ISBLANK(Actuals!D79)),"",Actuals!D79)</f>
        <v/>
      </c>
      <c r="H64" s="134" t="str">
        <f aca="false">IF(OR(2&gt;$B$3,ISBLANK(Actuals!D79)),"",'Reforecast Q1 2026'!D79-Actuals!D79)</f>
        <v/>
      </c>
      <c r="I64" s="134" t="str">
        <f aca="false">IFERROR(IF(OR(2&gt;$B$3,ISBLANK(Actuals!D79)),"",('Reforecast Q1 2026'!D79-Actuals!D79)/ABS('Reforecast Q1 2026'!D79)),"")</f>
        <v/>
      </c>
      <c r="J64" s="133" t="n">
        <f aca="false">'Reforecast Q1 2026'!E79</f>
        <v>0</v>
      </c>
      <c r="K64" s="133" t="str">
        <f aca="false">IF(OR(3&gt;$B$3,ISBLANK(Actuals!E79)),"",Actuals!E79)</f>
        <v/>
      </c>
      <c r="L64" s="134" t="str">
        <f aca="false">IF(OR(3&gt;$B$3,ISBLANK(Actuals!E79)),"",'Reforecast Q1 2026'!E79-Actuals!E79)</f>
        <v/>
      </c>
      <c r="M64" s="134" t="str">
        <f aca="false">IFERROR(IF(OR(3&gt;$B$3,ISBLANK(Actuals!E79)),"",('Reforecast Q1 2026'!E79-Actuals!E79)/ABS('Reforecast Q1 2026'!E79)),"")</f>
        <v/>
      </c>
      <c r="N64" s="133" t="n">
        <f aca="false">'Reforecast Q1 2026'!F79</f>
        <v>0</v>
      </c>
      <c r="O64" s="133" t="str">
        <f aca="false">IF(OR(4&gt;$B$3,ISBLANK(Actuals!F79)),"",Actuals!F79)</f>
        <v/>
      </c>
      <c r="P64" s="134" t="str">
        <f aca="false">IF(OR(4&gt;$B$3,ISBLANK(Actuals!F79)),"",'Reforecast Q1 2026'!F79-Actuals!F79)</f>
        <v/>
      </c>
      <c r="Q64" s="134" t="str">
        <f aca="false">IFERROR(IF(OR(4&gt;$B$3,ISBLANK(Actuals!F79)),"",('Reforecast Q1 2026'!F79-Actuals!F79)/ABS('Reforecast Q1 2026'!F79)),"")</f>
        <v/>
      </c>
      <c r="R64" s="133" t="n">
        <f aca="false">'Reforecast Q1 2026'!G79</f>
        <v>0</v>
      </c>
      <c r="S64" s="133" t="str">
        <f aca="false">IF(OR(5&gt;$B$3,ISBLANK(Actuals!G79)),"",Actuals!G79)</f>
        <v/>
      </c>
      <c r="T64" s="134" t="str">
        <f aca="false">IF(OR(5&gt;$B$3,ISBLANK(Actuals!G79)),"",'Reforecast Q1 2026'!G79-Actuals!G79)</f>
        <v/>
      </c>
      <c r="U64" s="134" t="str">
        <f aca="false">IFERROR(IF(OR(5&gt;$B$3,ISBLANK(Actuals!G79)),"",('Reforecast Q1 2026'!G79-Actuals!G79)/ABS('Reforecast Q1 2026'!G79)),"")</f>
        <v/>
      </c>
      <c r="V64" s="133" t="n">
        <f aca="false">'Reforecast Q1 2026'!H79</f>
        <v>0</v>
      </c>
      <c r="W64" s="133" t="str">
        <f aca="false">IF(OR(6&gt;$B$3,ISBLANK(Actuals!H79)),"",Actuals!H79)</f>
        <v/>
      </c>
      <c r="X64" s="134" t="str">
        <f aca="false">IF(OR(6&gt;$B$3,ISBLANK(Actuals!H79)),"",'Reforecast Q1 2026'!H79-Actuals!H79)</f>
        <v/>
      </c>
      <c r="Y64" s="134" t="str">
        <f aca="false">IFERROR(IF(OR(6&gt;$B$3,ISBLANK(Actuals!H79)),"",('Reforecast Q1 2026'!H79-Actuals!H79)/ABS('Reforecast Q1 2026'!H79)),"")</f>
        <v/>
      </c>
      <c r="Z64" s="133" t="n">
        <f aca="false">'Reforecast Q1 2026'!I79</f>
        <v>0</v>
      </c>
      <c r="AA64" s="133" t="str">
        <f aca="false">IF(OR(7&gt;$B$3,ISBLANK(Actuals!I79)),"",Actuals!I79)</f>
        <v/>
      </c>
      <c r="AB64" s="134" t="str">
        <f aca="false">IF(OR(7&gt;$B$3,ISBLANK(Actuals!I79)),"",'Reforecast Q1 2026'!I79-Actuals!I79)</f>
        <v/>
      </c>
      <c r="AC64" s="134" t="str">
        <f aca="false">IFERROR(IF(OR(7&gt;$B$3,ISBLANK(Actuals!I79)),"",('Reforecast Q1 2026'!I79-Actuals!I79)/ABS('Reforecast Q1 2026'!I79)),"")</f>
        <v/>
      </c>
      <c r="AD64" s="133" t="n">
        <f aca="false">'Reforecast Q1 2026'!J79</f>
        <v>0</v>
      </c>
      <c r="AE64" s="133" t="str">
        <f aca="false">IF(OR(8&gt;$B$3,ISBLANK(Actuals!J79)),"",Actuals!J79)</f>
        <v/>
      </c>
      <c r="AF64" s="134" t="str">
        <f aca="false">IF(OR(8&gt;$B$3,ISBLANK(Actuals!J79)),"",'Reforecast Q1 2026'!J79-Actuals!J79)</f>
        <v/>
      </c>
      <c r="AG64" s="134" t="str">
        <f aca="false">IFERROR(IF(OR(8&gt;$B$3,ISBLANK(Actuals!J79)),"",('Reforecast Q1 2026'!J79-Actuals!J79)/ABS('Reforecast Q1 2026'!J79)),"")</f>
        <v/>
      </c>
      <c r="AH64" s="133" t="n">
        <f aca="false">'Reforecast Q1 2026'!K79</f>
        <v>0</v>
      </c>
      <c r="AI64" s="133" t="str">
        <f aca="false">IF(OR(9&gt;$B$3,ISBLANK(Actuals!K79)),"",Actuals!K79)</f>
        <v/>
      </c>
      <c r="AJ64" s="134" t="str">
        <f aca="false">IF(OR(9&gt;$B$3,ISBLANK(Actuals!K79)),"",'Reforecast Q1 2026'!K79-Actuals!K79)</f>
        <v/>
      </c>
      <c r="AK64" s="134" t="str">
        <f aca="false">IFERROR(IF(OR(9&gt;$B$3,ISBLANK(Actuals!K79)),"",('Reforecast Q1 2026'!K79-Actuals!K79)/ABS('Reforecast Q1 2026'!K79)),"")</f>
        <v/>
      </c>
      <c r="AL64" s="133" t="n">
        <f aca="false">'Reforecast Q1 2026'!L79</f>
        <v>0</v>
      </c>
      <c r="AM64" s="133" t="str">
        <f aca="false">IF(OR(10&gt;$B$3,ISBLANK(Actuals!L79)),"",Actuals!L79)</f>
        <v/>
      </c>
      <c r="AN64" s="134" t="str">
        <f aca="false">IF(OR(10&gt;$B$3,ISBLANK(Actuals!L79)),"",'Reforecast Q1 2026'!L79-Actuals!L79)</f>
        <v/>
      </c>
      <c r="AO64" s="134" t="str">
        <f aca="false">IFERROR(IF(OR(10&gt;$B$3,ISBLANK(Actuals!L79)),"",('Reforecast Q1 2026'!L79-Actuals!L79)/ABS('Reforecast Q1 2026'!L79)),"")</f>
        <v/>
      </c>
      <c r="AP64" s="133" t="n">
        <f aca="false">'Reforecast Q1 2026'!M79</f>
        <v>0</v>
      </c>
      <c r="AQ64" s="133" t="str">
        <f aca="false">IF(OR(11&gt;$B$3,ISBLANK(Actuals!M79)),"",Actuals!M79)</f>
        <v/>
      </c>
      <c r="AR64" s="134" t="str">
        <f aca="false">IF(OR(11&gt;$B$3,ISBLANK(Actuals!M79)),"",'Reforecast Q1 2026'!M79-Actuals!M79)</f>
        <v/>
      </c>
      <c r="AS64" s="134" t="str">
        <f aca="false">IFERROR(IF(OR(11&gt;$B$3,ISBLANK(Actuals!M79)),"",('Reforecast Q1 2026'!M79-Actuals!M79)/ABS('Reforecast Q1 2026'!M79)),"")</f>
        <v/>
      </c>
      <c r="AT64" s="133" t="n">
        <f aca="false">'Reforecast Q1 2026'!N79</f>
        <v>0</v>
      </c>
      <c r="AU64" s="133" t="str">
        <f aca="false">IF(OR(12&gt;$B$3,ISBLANK(Actuals!N79)),"",Actuals!N79)</f>
        <v/>
      </c>
      <c r="AV64" s="134" t="str">
        <f aca="false">IF(OR(12&gt;$B$3,ISBLANK(Actuals!N79)),"",'Reforecast Q1 2026'!N79-Actuals!N79)</f>
        <v/>
      </c>
      <c r="AW64" s="134" t="str">
        <f aca="false">IFERROR(IF(OR(12&gt;$B$3,ISBLANK(Actuals!N79)),"",('Reforecast Q1 2026'!N79-Actuals!N79)/ABS('Reforecast Q1 2026'!N79)),"")</f>
        <v/>
      </c>
      <c r="AX64" s="135" t="n">
        <f aca="false">SUMPRODUCT((Actuals!C79:N79&lt;&gt;"")*('Reforecast Q1 2026'!C79:N79))</f>
        <v>0</v>
      </c>
      <c r="AY64" s="135" t="n">
        <f aca="false">SUM(Actuals!C79:N79)</f>
        <v>0</v>
      </c>
      <c r="AZ64" s="136" t="n">
        <f aca="false">AX64-AY64</f>
        <v>0</v>
      </c>
    </row>
    <row r="65" customFormat="false" ht="15" hidden="false" customHeight="true" outlineLevel="0" collapsed="false">
      <c r="A65" s="132" t="s">
        <v>117</v>
      </c>
      <c r="B65" s="133" t="n">
        <f aca="false">'Reforecast Q1 2026'!C80</f>
        <v>0</v>
      </c>
      <c r="C65" s="133" t="str">
        <f aca="false">IF(OR(1&gt;$B$3,ISBLANK(Actuals!C80)),"",Actuals!C80)</f>
        <v/>
      </c>
      <c r="D65" s="134" t="str">
        <f aca="false">IF(OR(1&gt;$B$3,ISBLANK(Actuals!C80)),"",'Reforecast Q1 2026'!C80-Actuals!C80)</f>
        <v/>
      </c>
      <c r="E65" s="134" t="str">
        <f aca="false">IFERROR(IF(OR(1&gt;$B$3,ISBLANK(Actuals!C80)),"",('Reforecast Q1 2026'!C80-Actuals!C80)/ABS('Reforecast Q1 2026'!C80)),"")</f>
        <v/>
      </c>
      <c r="F65" s="133" t="n">
        <f aca="false">'Reforecast Q1 2026'!D80</f>
        <v>0</v>
      </c>
      <c r="G65" s="133" t="str">
        <f aca="false">IF(OR(2&gt;$B$3,ISBLANK(Actuals!D80)),"",Actuals!D80)</f>
        <v/>
      </c>
      <c r="H65" s="134" t="str">
        <f aca="false">IF(OR(2&gt;$B$3,ISBLANK(Actuals!D80)),"",'Reforecast Q1 2026'!D80-Actuals!D80)</f>
        <v/>
      </c>
      <c r="I65" s="134" t="str">
        <f aca="false">IFERROR(IF(OR(2&gt;$B$3,ISBLANK(Actuals!D80)),"",('Reforecast Q1 2026'!D80-Actuals!D80)/ABS('Reforecast Q1 2026'!D80)),"")</f>
        <v/>
      </c>
      <c r="J65" s="133" t="n">
        <f aca="false">'Reforecast Q1 2026'!E80</f>
        <v>0</v>
      </c>
      <c r="K65" s="133" t="str">
        <f aca="false">IF(OR(3&gt;$B$3,ISBLANK(Actuals!E80)),"",Actuals!E80)</f>
        <v/>
      </c>
      <c r="L65" s="134" t="str">
        <f aca="false">IF(OR(3&gt;$B$3,ISBLANK(Actuals!E80)),"",'Reforecast Q1 2026'!E80-Actuals!E80)</f>
        <v/>
      </c>
      <c r="M65" s="134" t="str">
        <f aca="false">IFERROR(IF(OR(3&gt;$B$3,ISBLANK(Actuals!E80)),"",('Reforecast Q1 2026'!E80-Actuals!E80)/ABS('Reforecast Q1 2026'!E80)),"")</f>
        <v/>
      </c>
      <c r="N65" s="133" t="n">
        <f aca="false">'Reforecast Q1 2026'!F80</f>
        <v>0</v>
      </c>
      <c r="O65" s="133" t="str">
        <f aca="false">IF(OR(4&gt;$B$3,ISBLANK(Actuals!F80)),"",Actuals!F80)</f>
        <v/>
      </c>
      <c r="P65" s="134" t="str">
        <f aca="false">IF(OR(4&gt;$B$3,ISBLANK(Actuals!F80)),"",'Reforecast Q1 2026'!F80-Actuals!F80)</f>
        <v/>
      </c>
      <c r="Q65" s="134" t="str">
        <f aca="false">IFERROR(IF(OR(4&gt;$B$3,ISBLANK(Actuals!F80)),"",('Reforecast Q1 2026'!F80-Actuals!F80)/ABS('Reforecast Q1 2026'!F80)),"")</f>
        <v/>
      </c>
      <c r="R65" s="133" t="n">
        <f aca="false">'Reforecast Q1 2026'!G80</f>
        <v>0</v>
      </c>
      <c r="S65" s="133" t="str">
        <f aca="false">IF(OR(5&gt;$B$3,ISBLANK(Actuals!G80)),"",Actuals!G80)</f>
        <v/>
      </c>
      <c r="T65" s="134" t="str">
        <f aca="false">IF(OR(5&gt;$B$3,ISBLANK(Actuals!G80)),"",'Reforecast Q1 2026'!G80-Actuals!G80)</f>
        <v/>
      </c>
      <c r="U65" s="134" t="str">
        <f aca="false">IFERROR(IF(OR(5&gt;$B$3,ISBLANK(Actuals!G80)),"",('Reforecast Q1 2026'!G80-Actuals!G80)/ABS('Reforecast Q1 2026'!G80)),"")</f>
        <v/>
      </c>
      <c r="V65" s="133" t="n">
        <f aca="false">'Reforecast Q1 2026'!H80</f>
        <v>0</v>
      </c>
      <c r="W65" s="133" t="str">
        <f aca="false">IF(OR(6&gt;$B$3,ISBLANK(Actuals!H80)),"",Actuals!H80)</f>
        <v/>
      </c>
      <c r="X65" s="134" t="str">
        <f aca="false">IF(OR(6&gt;$B$3,ISBLANK(Actuals!H80)),"",'Reforecast Q1 2026'!H80-Actuals!H80)</f>
        <v/>
      </c>
      <c r="Y65" s="134" t="str">
        <f aca="false">IFERROR(IF(OR(6&gt;$B$3,ISBLANK(Actuals!H80)),"",('Reforecast Q1 2026'!H80-Actuals!H80)/ABS('Reforecast Q1 2026'!H80)),"")</f>
        <v/>
      </c>
      <c r="Z65" s="133" t="n">
        <f aca="false">'Reforecast Q1 2026'!I80</f>
        <v>0</v>
      </c>
      <c r="AA65" s="133" t="str">
        <f aca="false">IF(OR(7&gt;$B$3,ISBLANK(Actuals!I80)),"",Actuals!I80)</f>
        <v/>
      </c>
      <c r="AB65" s="134" t="str">
        <f aca="false">IF(OR(7&gt;$B$3,ISBLANK(Actuals!I80)),"",'Reforecast Q1 2026'!I80-Actuals!I80)</f>
        <v/>
      </c>
      <c r="AC65" s="134" t="str">
        <f aca="false">IFERROR(IF(OR(7&gt;$B$3,ISBLANK(Actuals!I80)),"",('Reforecast Q1 2026'!I80-Actuals!I80)/ABS('Reforecast Q1 2026'!I80)),"")</f>
        <v/>
      </c>
      <c r="AD65" s="133" t="n">
        <f aca="false">'Reforecast Q1 2026'!J80</f>
        <v>0</v>
      </c>
      <c r="AE65" s="133" t="str">
        <f aca="false">IF(OR(8&gt;$B$3,ISBLANK(Actuals!J80)),"",Actuals!J80)</f>
        <v/>
      </c>
      <c r="AF65" s="134" t="str">
        <f aca="false">IF(OR(8&gt;$B$3,ISBLANK(Actuals!J80)),"",'Reforecast Q1 2026'!J80-Actuals!J80)</f>
        <v/>
      </c>
      <c r="AG65" s="134" t="str">
        <f aca="false">IFERROR(IF(OR(8&gt;$B$3,ISBLANK(Actuals!J80)),"",('Reforecast Q1 2026'!J80-Actuals!J80)/ABS('Reforecast Q1 2026'!J80)),"")</f>
        <v/>
      </c>
      <c r="AH65" s="133" t="n">
        <f aca="false">'Reforecast Q1 2026'!K80</f>
        <v>0</v>
      </c>
      <c r="AI65" s="133" t="str">
        <f aca="false">IF(OR(9&gt;$B$3,ISBLANK(Actuals!K80)),"",Actuals!K80)</f>
        <v/>
      </c>
      <c r="AJ65" s="134" t="str">
        <f aca="false">IF(OR(9&gt;$B$3,ISBLANK(Actuals!K80)),"",'Reforecast Q1 2026'!K80-Actuals!K80)</f>
        <v/>
      </c>
      <c r="AK65" s="134" t="str">
        <f aca="false">IFERROR(IF(OR(9&gt;$B$3,ISBLANK(Actuals!K80)),"",('Reforecast Q1 2026'!K80-Actuals!K80)/ABS('Reforecast Q1 2026'!K80)),"")</f>
        <v/>
      </c>
      <c r="AL65" s="133" t="n">
        <f aca="false">'Reforecast Q1 2026'!L80</f>
        <v>0</v>
      </c>
      <c r="AM65" s="133" t="str">
        <f aca="false">IF(OR(10&gt;$B$3,ISBLANK(Actuals!L80)),"",Actuals!L80)</f>
        <v/>
      </c>
      <c r="AN65" s="134" t="str">
        <f aca="false">IF(OR(10&gt;$B$3,ISBLANK(Actuals!L80)),"",'Reforecast Q1 2026'!L80-Actuals!L80)</f>
        <v/>
      </c>
      <c r="AO65" s="134" t="str">
        <f aca="false">IFERROR(IF(OR(10&gt;$B$3,ISBLANK(Actuals!L80)),"",('Reforecast Q1 2026'!L80-Actuals!L80)/ABS('Reforecast Q1 2026'!L80)),"")</f>
        <v/>
      </c>
      <c r="AP65" s="133" t="n">
        <f aca="false">'Reforecast Q1 2026'!M80</f>
        <v>0</v>
      </c>
      <c r="AQ65" s="133" t="str">
        <f aca="false">IF(OR(11&gt;$B$3,ISBLANK(Actuals!M80)),"",Actuals!M80)</f>
        <v/>
      </c>
      <c r="AR65" s="134" t="str">
        <f aca="false">IF(OR(11&gt;$B$3,ISBLANK(Actuals!M80)),"",'Reforecast Q1 2026'!M80-Actuals!M80)</f>
        <v/>
      </c>
      <c r="AS65" s="134" t="str">
        <f aca="false">IFERROR(IF(OR(11&gt;$B$3,ISBLANK(Actuals!M80)),"",('Reforecast Q1 2026'!M80-Actuals!M80)/ABS('Reforecast Q1 2026'!M80)),"")</f>
        <v/>
      </c>
      <c r="AT65" s="133" t="n">
        <f aca="false">'Reforecast Q1 2026'!N80</f>
        <v>0</v>
      </c>
      <c r="AU65" s="133" t="str">
        <f aca="false">IF(OR(12&gt;$B$3,ISBLANK(Actuals!N80)),"",Actuals!N80)</f>
        <v/>
      </c>
      <c r="AV65" s="134" t="str">
        <f aca="false">IF(OR(12&gt;$B$3,ISBLANK(Actuals!N80)),"",'Reforecast Q1 2026'!N80-Actuals!N80)</f>
        <v/>
      </c>
      <c r="AW65" s="134" t="str">
        <f aca="false">IFERROR(IF(OR(12&gt;$B$3,ISBLANK(Actuals!N80)),"",('Reforecast Q1 2026'!N80-Actuals!N80)/ABS('Reforecast Q1 2026'!N80)),"")</f>
        <v/>
      </c>
      <c r="AX65" s="135" t="n">
        <f aca="false">SUMPRODUCT((Actuals!C80:N80&lt;&gt;"")*('Reforecast Q1 2026'!C80:N80))</f>
        <v>0</v>
      </c>
      <c r="AY65" s="135" t="n">
        <f aca="false">SUM(Actuals!C80:N80)</f>
        <v>0</v>
      </c>
      <c r="AZ65" s="136" t="n">
        <f aca="false">AX65-AY65</f>
        <v>0</v>
      </c>
    </row>
    <row r="66" customFormat="false" ht="15" hidden="false" customHeight="true" outlineLevel="0" collapsed="false">
      <c r="A66" s="90" t="s">
        <v>118</v>
      </c>
      <c r="B66" s="133" t="n">
        <f aca="false">'Reforecast Q1 2026'!C63</f>
        <v>0</v>
      </c>
      <c r="C66" s="133" t="str">
        <f aca="false">IF(OR(1&gt;$B$3,ISBLANK(Actuals!C63)),"",Actuals!C63)</f>
        <v/>
      </c>
      <c r="D66" s="134" t="str">
        <f aca="false">IF(OR(1&gt;$B$3,ISBLANK(Actuals!C63)),"",'Reforecast Q1 2026'!C63-Actuals!C63)</f>
        <v/>
      </c>
      <c r="E66" s="134" t="str">
        <f aca="false">IFERROR(IF(OR(1&gt;$B$3,ISBLANK(Actuals!C63)),"",('Reforecast Q1 2026'!C63-Actuals!C63)/ABS('Reforecast Q1 2026'!C63)),"")</f>
        <v/>
      </c>
      <c r="F66" s="133" t="n">
        <f aca="false">'Reforecast Q1 2026'!D63</f>
        <v>0</v>
      </c>
      <c r="G66" s="133" t="str">
        <f aca="false">IF(OR(2&gt;$B$3,ISBLANK(Actuals!D63)),"",Actuals!D63)</f>
        <v/>
      </c>
      <c r="H66" s="134" t="str">
        <f aca="false">IF(OR(2&gt;$B$3,ISBLANK(Actuals!D63)),"",'Reforecast Q1 2026'!D63-Actuals!D63)</f>
        <v/>
      </c>
      <c r="I66" s="134" t="str">
        <f aca="false">IFERROR(IF(OR(2&gt;$B$3,ISBLANK(Actuals!D63)),"",('Reforecast Q1 2026'!D63-Actuals!D63)/ABS('Reforecast Q1 2026'!D63)),"")</f>
        <v/>
      </c>
      <c r="J66" s="133" t="n">
        <f aca="false">'Reforecast Q1 2026'!E63</f>
        <v>0</v>
      </c>
      <c r="K66" s="133" t="str">
        <f aca="false">IF(OR(3&gt;$B$3,ISBLANK(Actuals!E63)),"",Actuals!E63)</f>
        <v/>
      </c>
      <c r="L66" s="134" t="str">
        <f aca="false">IF(OR(3&gt;$B$3,ISBLANK(Actuals!E63)),"",'Reforecast Q1 2026'!E63-Actuals!E63)</f>
        <v/>
      </c>
      <c r="M66" s="134" t="str">
        <f aca="false">IFERROR(IF(OR(3&gt;$B$3,ISBLANK(Actuals!E63)),"",('Reforecast Q1 2026'!E63-Actuals!E63)/ABS('Reforecast Q1 2026'!E63)),"")</f>
        <v/>
      </c>
      <c r="N66" s="133" t="n">
        <f aca="false">'Reforecast Q1 2026'!F63</f>
        <v>0</v>
      </c>
      <c r="O66" s="133" t="str">
        <f aca="false">IF(OR(4&gt;$B$3,ISBLANK(Actuals!F63)),"",Actuals!F63)</f>
        <v/>
      </c>
      <c r="P66" s="134" t="str">
        <f aca="false">IF(OR(4&gt;$B$3,ISBLANK(Actuals!F63)),"",'Reforecast Q1 2026'!F63-Actuals!F63)</f>
        <v/>
      </c>
      <c r="Q66" s="134" t="str">
        <f aca="false">IFERROR(IF(OR(4&gt;$B$3,ISBLANK(Actuals!F63)),"",('Reforecast Q1 2026'!F63-Actuals!F63)/ABS('Reforecast Q1 2026'!F63)),"")</f>
        <v/>
      </c>
      <c r="R66" s="133" t="n">
        <f aca="false">'Reforecast Q1 2026'!G63</f>
        <v>0</v>
      </c>
      <c r="S66" s="133" t="str">
        <f aca="false">IF(OR(5&gt;$B$3,ISBLANK(Actuals!G63)),"",Actuals!G63)</f>
        <v/>
      </c>
      <c r="T66" s="134" t="str">
        <f aca="false">IF(OR(5&gt;$B$3,ISBLANK(Actuals!G63)),"",'Reforecast Q1 2026'!G63-Actuals!G63)</f>
        <v/>
      </c>
      <c r="U66" s="134" t="str">
        <f aca="false">IFERROR(IF(OR(5&gt;$B$3,ISBLANK(Actuals!G63)),"",('Reforecast Q1 2026'!G63-Actuals!G63)/ABS('Reforecast Q1 2026'!G63)),"")</f>
        <v/>
      </c>
      <c r="V66" s="133" t="n">
        <f aca="false">'Reforecast Q1 2026'!H63</f>
        <v>0</v>
      </c>
      <c r="W66" s="133" t="n">
        <f aca="false">IF(OR(6&gt;$B$3,ISBLANK(Actuals!H63)),"",Actuals!H63)</f>
        <v>299000</v>
      </c>
      <c r="X66" s="134" t="n">
        <f aca="false">IF(OR(6&gt;$B$3,ISBLANK(Actuals!H63)),"",'Reforecast Q1 2026'!H63-Actuals!H63)</f>
        <v>-299000</v>
      </c>
      <c r="Y66" s="134" t="str">
        <f aca="false">IFERROR(IF(OR(6&gt;$B$3,ISBLANK(Actuals!H63)),"",('Reforecast Q1 2026'!H63-Actuals!H63)/ABS('Reforecast Q1 2026'!H63)),"")</f>
        <v/>
      </c>
      <c r="Z66" s="133" t="n">
        <f aca="false">'Reforecast Q1 2026'!I63</f>
        <v>0</v>
      </c>
      <c r="AA66" s="133" t="n">
        <f aca="false">IF(OR(7&gt;$B$3,ISBLANK(Actuals!I63)),"",Actuals!I63)</f>
        <v>0</v>
      </c>
      <c r="AB66" s="134" t="n">
        <f aca="false">IF(OR(7&gt;$B$3,ISBLANK(Actuals!I63)),"",'Reforecast Q1 2026'!I63-Actuals!I63)</f>
        <v>0</v>
      </c>
      <c r="AC66" s="134" t="str">
        <f aca="false">IFERROR(IF(OR(7&gt;$B$3,ISBLANK(Actuals!I63)),"",('Reforecast Q1 2026'!I63-Actuals!I63)/ABS('Reforecast Q1 2026'!I63)),"")</f>
        <v/>
      </c>
      <c r="AD66" s="133" t="n">
        <f aca="false">'Reforecast Q1 2026'!J63</f>
        <v>0</v>
      </c>
      <c r="AE66" s="133" t="n">
        <f aca="false">IF(OR(8&gt;$B$3,ISBLANK(Actuals!J63)),"",Actuals!J63)</f>
        <v>0</v>
      </c>
      <c r="AF66" s="134" t="n">
        <f aca="false">IF(OR(8&gt;$B$3,ISBLANK(Actuals!J63)),"",'Reforecast Q1 2026'!J63-Actuals!J63)</f>
        <v>0</v>
      </c>
      <c r="AG66" s="134" t="str">
        <f aca="false">IFERROR(IF(OR(8&gt;$B$3,ISBLANK(Actuals!J63)),"",('Reforecast Q1 2026'!J63-Actuals!J63)/ABS('Reforecast Q1 2026'!J63)),"")</f>
        <v/>
      </c>
      <c r="AH66" s="133" t="n">
        <f aca="false">'Reforecast Q1 2026'!K63</f>
        <v>0</v>
      </c>
      <c r="AI66" s="133" t="str">
        <f aca="false">IF(OR(9&gt;$B$3,ISBLANK(Actuals!K63)),"",Actuals!K63)</f>
        <v/>
      </c>
      <c r="AJ66" s="134" t="str">
        <f aca="false">IF(OR(9&gt;$B$3,ISBLANK(Actuals!K63)),"",'Reforecast Q1 2026'!K63-Actuals!K63)</f>
        <v/>
      </c>
      <c r="AK66" s="134" t="str">
        <f aca="false">IFERROR(IF(OR(9&gt;$B$3,ISBLANK(Actuals!K63)),"",('Reforecast Q1 2026'!K63-Actuals!K63)/ABS('Reforecast Q1 2026'!K63)),"")</f>
        <v/>
      </c>
      <c r="AL66" s="133" t="n">
        <f aca="false">'Reforecast Q1 2026'!L63</f>
        <v>0</v>
      </c>
      <c r="AM66" s="133" t="str">
        <f aca="false">IF(OR(10&gt;$B$3,ISBLANK(Actuals!L63)),"",Actuals!L63)</f>
        <v/>
      </c>
      <c r="AN66" s="134" t="str">
        <f aca="false">IF(OR(10&gt;$B$3,ISBLANK(Actuals!L63)),"",'Reforecast Q1 2026'!L63-Actuals!L63)</f>
        <v/>
      </c>
      <c r="AO66" s="134" t="str">
        <f aca="false">IFERROR(IF(OR(10&gt;$B$3,ISBLANK(Actuals!L63)),"",('Reforecast Q1 2026'!L63-Actuals!L63)/ABS('Reforecast Q1 2026'!L63)),"")</f>
        <v/>
      </c>
      <c r="AP66" s="133" t="n">
        <f aca="false">'Reforecast Q1 2026'!M63</f>
        <v>0</v>
      </c>
      <c r="AQ66" s="133" t="str">
        <f aca="false">IF(OR(11&gt;$B$3,ISBLANK(Actuals!M63)),"",Actuals!M63)</f>
        <v/>
      </c>
      <c r="AR66" s="134" t="str">
        <f aca="false">IF(OR(11&gt;$B$3,ISBLANK(Actuals!M63)),"",'Reforecast Q1 2026'!M63-Actuals!M63)</f>
        <v/>
      </c>
      <c r="AS66" s="134" t="str">
        <f aca="false">IFERROR(IF(OR(11&gt;$B$3,ISBLANK(Actuals!M63)),"",('Reforecast Q1 2026'!M63-Actuals!M63)/ABS('Reforecast Q1 2026'!M63)),"")</f>
        <v/>
      </c>
      <c r="AT66" s="133" t="n">
        <f aca="false">'Reforecast Q1 2026'!N63</f>
        <v>0</v>
      </c>
      <c r="AU66" s="133" t="str">
        <f aca="false">IF(OR(12&gt;$B$3,ISBLANK(Actuals!N63)),"",Actuals!N63)</f>
        <v/>
      </c>
      <c r="AV66" s="134" t="str">
        <f aca="false">IF(OR(12&gt;$B$3,ISBLANK(Actuals!N63)),"",'Reforecast Q1 2026'!N63-Actuals!N63)</f>
        <v/>
      </c>
      <c r="AW66" s="134" t="str">
        <f aca="false">IFERROR(IF(OR(12&gt;$B$3,ISBLANK(Actuals!N63)),"",('Reforecast Q1 2026'!N63-Actuals!N63)/ABS('Reforecast Q1 2026'!N63)),"")</f>
        <v/>
      </c>
      <c r="AX66" s="135" t="n">
        <f aca="false">SUMPRODUCT((Actuals!C63:N66&lt;&gt;"")*('Reforecast Q1 2026'!C63:N66))</f>
        <v>197916.64</v>
      </c>
      <c r="AY66" s="135" t="n">
        <f aca="false">SUM(Actuals!C63:N66)</f>
        <v>496916.64</v>
      </c>
      <c r="AZ66" s="136" t="n">
        <f aca="false">AX66-AY66</f>
        <v>-299000</v>
      </c>
    </row>
    <row r="67" customFormat="false" ht="15" hidden="false" customHeight="true" outlineLevel="0" collapsed="false">
      <c r="A67" s="132" t="s">
        <v>64</v>
      </c>
      <c r="B67" s="133" t="n">
        <f aca="false">'Reforecast Q1 2026'!C83</f>
        <v>-54421</v>
      </c>
      <c r="C67" s="133" t="n">
        <f aca="false">IF(OR(1&gt;$B$3,ISBLANK(Actuals!C83)),"",Actuals!C83)</f>
        <v>-54421</v>
      </c>
      <c r="D67" s="134" t="n">
        <f aca="false">IF(OR(1&gt;$B$3,ISBLANK(Actuals!C83)),"",'Reforecast Q1 2026'!C83-Actuals!C83)</f>
        <v>0</v>
      </c>
      <c r="E67" s="134" t="n">
        <f aca="false">IFERROR(IF(OR(1&gt;$B$3,ISBLANK(Actuals!C83)),"",('Reforecast Q1 2026'!C83-Actuals!C83)/ABS('Reforecast Q1 2026'!C83)),"")</f>
        <v>0</v>
      </c>
      <c r="F67" s="133" t="n">
        <f aca="false">'Reforecast Q1 2026'!D83</f>
        <v>-54166.68</v>
      </c>
      <c r="G67" s="133" t="n">
        <f aca="false">IF(OR(2&gt;$B$3,ISBLANK(Actuals!D83)),"",Actuals!D83)</f>
        <v>-54166.68</v>
      </c>
      <c r="H67" s="134" t="n">
        <f aca="false">IF(OR(2&gt;$B$3,ISBLANK(Actuals!D83)),"",'Reforecast Q1 2026'!D83-Actuals!D83)</f>
        <v>0</v>
      </c>
      <c r="I67" s="134" t="n">
        <f aca="false">IFERROR(IF(OR(2&gt;$B$3,ISBLANK(Actuals!D83)),"",('Reforecast Q1 2026'!D83-Actuals!D83)/ABS('Reforecast Q1 2026'!D83)),"")</f>
        <v>0</v>
      </c>
      <c r="J67" s="133" t="n">
        <f aca="false">'Reforecast Q1 2026'!E83</f>
        <v>-54166.68</v>
      </c>
      <c r="K67" s="133" t="n">
        <f aca="false">IF(OR(3&gt;$B$3,ISBLANK(Actuals!E83)),"",Actuals!E83)</f>
        <v>-54166.68</v>
      </c>
      <c r="L67" s="134" t="n">
        <f aca="false">IF(OR(3&gt;$B$3,ISBLANK(Actuals!E83)),"",'Reforecast Q1 2026'!E83-Actuals!E83)</f>
        <v>0</v>
      </c>
      <c r="M67" s="134" t="n">
        <f aca="false">IFERROR(IF(OR(3&gt;$B$3,ISBLANK(Actuals!E83)),"",('Reforecast Q1 2026'!E83-Actuals!E83)/ABS('Reforecast Q1 2026'!E83)),"")</f>
        <v>0</v>
      </c>
      <c r="N67" s="133" t="n">
        <f aca="false">'Reforecast Q1 2026'!F83</f>
        <v>-11458.3333333333</v>
      </c>
      <c r="O67" s="133" t="n">
        <f aca="false">IF(OR(4&gt;$B$3,ISBLANK(Actuals!F83)),"",Actuals!F83)</f>
        <v>-54166.68</v>
      </c>
      <c r="P67" s="134" t="n">
        <f aca="false">IF(OR(4&gt;$B$3,ISBLANK(Actuals!F83)),"",'Reforecast Q1 2026'!F83-Actuals!F83)</f>
        <v>42708.3466666667</v>
      </c>
      <c r="Q67" s="134" t="n">
        <f aca="false">IFERROR(IF(OR(4&gt;$B$3,ISBLANK(Actuals!F83)),"",('Reforecast Q1 2026'!F83-Actuals!F83)/ABS('Reforecast Q1 2026'!F83)),"")</f>
        <v>3.72727389090911</v>
      </c>
      <c r="R67" s="133" t="n">
        <f aca="false">'Reforecast Q1 2026'!G83</f>
        <v>-11458.3333333333</v>
      </c>
      <c r="S67" s="133" t="n">
        <f aca="false">IF(OR(5&gt;$B$3,ISBLANK(Actuals!G83)),"",Actuals!G83)</f>
        <v>-54166.68</v>
      </c>
      <c r="T67" s="134" t="n">
        <f aca="false">IF(OR(5&gt;$B$3,ISBLANK(Actuals!G83)),"",'Reforecast Q1 2026'!G83-Actuals!G83)</f>
        <v>42708.3466666667</v>
      </c>
      <c r="U67" s="134" t="n">
        <f aca="false">IFERROR(IF(OR(5&gt;$B$3,ISBLANK(Actuals!G83)),"",('Reforecast Q1 2026'!G83-Actuals!G83)/ABS('Reforecast Q1 2026'!G83)),"")</f>
        <v>3.72727389090911</v>
      </c>
      <c r="V67" s="133" t="n">
        <f aca="false">'Reforecast Q1 2026'!H83</f>
        <v>-11458.3333333333</v>
      </c>
      <c r="W67" s="133" t="n">
        <f aca="false">IF(OR(6&gt;$B$3,ISBLANK(Actuals!H83)),"",Actuals!H83)</f>
        <v>-54166.68</v>
      </c>
      <c r="X67" s="134" t="n">
        <f aca="false">IF(OR(6&gt;$B$3,ISBLANK(Actuals!H83)),"",'Reforecast Q1 2026'!H83-Actuals!H83)</f>
        <v>42708.3466666667</v>
      </c>
      <c r="Y67" s="134" t="n">
        <f aca="false">IFERROR(IF(OR(6&gt;$B$3,ISBLANK(Actuals!H83)),"",('Reforecast Q1 2026'!H83-Actuals!H83)/ABS('Reforecast Q1 2026'!H83)),"")</f>
        <v>3.72727389090911</v>
      </c>
      <c r="Z67" s="133" t="n">
        <f aca="false">'Reforecast Q1 2026'!I83</f>
        <v>-11458.3333333333</v>
      </c>
      <c r="AA67" s="133" t="n">
        <f aca="false">IF(OR(7&gt;$B$3,ISBLANK(Actuals!I83)),"",Actuals!I83)</f>
        <v>-54166.68</v>
      </c>
      <c r="AB67" s="134" t="n">
        <f aca="false">IF(OR(7&gt;$B$3,ISBLANK(Actuals!I83)),"",'Reforecast Q1 2026'!I83-Actuals!I83)</f>
        <v>42708.3466666667</v>
      </c>
      <c r="AC67" s="134" t="n">
        <f aca="false">IFERROR(IF(OR(7&gt;$B$3,ISBLANK(Actuals!I83)),"",('Reforecast Q1 2026'!I83-Actuals!I83)/ABS('Reforecast Q1 2026'!I83)),"")</f>
        <v>3.72727389090911</v>
      </c>
      <c r="AD67" s="133" t="n">
        <f aca="false">'Reforecast Q1 2026'!J83</f>
        <v>-11458.3333333333</v>
      </c>
      <c r="AE67" s="133" t="n">
        <f aca="false">IF(OR(8&gt;$B$3,ISBLANK(Actuals!J83)),"",Actuals!J83)</f>
        <v>-54166.68</v>
      </c>
      <c r="AF67" s="134" t="n">
        <f aca="false">IF(OR(8&gt;$B$3,ISBLANK(Actuals!J83)),"",'Reforecast Q1 2026'!J83-Actuals!J83)</f>
        <v>42708.3466666667</v>
      </c>
      <c r="AG67" s="134" t="n">
        <f aca="false">IFERROR(IF(OR(8&gt;$B$3,ISBLANK(Actuals!J83)),"",('Reforecast Q1 2026'!J83-Actuals!J83)/ABS('Reforecast Q1 2026'!J83)),"")</f>
        <v>3.72727389090911</v>
      </c>
      <c r="AH67" s="133" t="n">
        <f aca="false">'Reforecast Q1 2026'!K83</f>
        <v>-11458.3333333333</v>
      </c>
      <c r="AI67" s="133" t="str">
        <f aca="false">IF(OR(9&gt;$B$3,ISBLANK(Actuals!K83)),"",Actuals!K83)</f>
        <v/>
      </c>
      <c r="AJ67" s="134" t="str">
        <f aca="false">IF(OR(9&gt;$B$3,ISBLANK(Actuals!K83)),"",'Reforecast Q1 2026'!K83-Actuals!K83)</f>
        <v/>
      </c>
      <c r="AK67" s="134" t="str">
        <f aca="false">IFERROR(IF(OR(9&gt;$B$3,ISBLANK(Actuals!K83)),"",('Reforecast Q1 2026'!K83-Actuals!K83)/ABS('Reforecast Q1 2026'!K83)),"")</f>
        <v/>
      </c>
      <c r="AL67" s="133" t="n">
        <f aca="false">'Reforecast Q1 2026'!L83</f>
        <v>-11458.3333333333</v>
      </c>
      <c r="AM67" s="133" t="str">
        <f aca="false">IF(OR(10&gt;$B$3,ISBLANK(Actuals!L83)),"",Actuals!L83)</f>
        <v/>
      </c>
      <c r="AN67" s="134" t="str">
        <f aca="false">IF(OR(10&gt;$B$3,ISBLANK(Actuals!L83)),"",'Reforecast Q1 2026'!L83-Actuals!L83)</f>
        <v/>
      </c>
      <c r="AO67" s="134" t="str">
        <f aca="false">IFERROR(IF(OR(10&gt;$B$3,ISBLANK(Actuals!L83)),"",('Reforecast Q1 2026'!L83-Actuals!L83)/ABS('Reforecast Q1 2026'!L83)),"")</f>
        <v/>
      </c>
      <c r="AP67" s="133" t="n">
        <f aca="false">'Reforecast Q1 2026'!M83</f>
        <v>-11458.3333333333</v>
      </c>
      <c r="AQ67" s="133" t="str">
        <f aca="false">IF(OR(11&gt;$B$3,ISBLANK(Actuals!M83)),"",Actuals!M83)</f>
        <v/>
      </c>
      <c r="AR67" s="134" t="str">
        <f aca="false">IF(OR(11&gt;$B$3,ISBLANK(Actuals!M83)),"",'Reforecast Q1 2026'!M83-Actuals!M83)</f>
        <v/>
      </c>
      <c r="AS67" s="134" t="str">
        <f aca="false">IFERROR(IF(OR(11&gt;$B$3,ISBLANK(Actuals!M83)),"",('Reforecast Q1 2026'!M83-Actuals!M83)/ABS('Reforecast Q1 2026'!M83)),"")</f>
        <v/>
      </c>
      <c r="AT67" s="133" t="n">
        <f aca="false">'Reforecast Q1 2026'!N83</f>
        <v>-11458.3333333333</v>
      </c>
      <c r="AU67" s="133" t="str">
        <f aca="false">IF(OR(12&gt;$B$3,ISBLANK(Actuals!N83)),"",Actuals!N83)</f>
        <v/>
      </c>
      <c r="AV67" s="134" t="str">
        <f aca="false">IF(OR(12&gt;$B$3,ISBLANK(Actuals!N83)),"",'Reforecast Q1 2026'!N83-Actuals!N83)</f>
        <v/>
      </c>
      <c r="AW67" s="134" t="str">
        <f aca="false">IFERROR(IF(OR(12&gt;$B$3,ISBLANK(Actuals!N83)),"",('Reforecast Q1 2026'!N83-Actuals!N83)/ABS('Reforecast Q1 2026'!N83)),"")</f>
        <v/>
      </c>
      <c r="AX67" s="135" t="n">
        <f aca="false">SUMPRODUCT((Actuals!C83:N83&lt;&gt;"")*('Reforecast Q1 2026'!C83:N83))</f>
        <v>-220046.026666667</v>
      </c>
      <c r="AY67" s="135" t="n">
        <f aca="false">SUM(Actuals!C83:N83)</f>
        <v>-433587.76</v>
      </c>
      <c r="AZ67" s="136" t="n">
        <f aca="false">AX67-AY67</f>
        <v>213541.733333334</v>
      </c>
    </row>
    <row r="68" customFormat="false" ht="15" hidden="false" customHeight="true" outlineLevel="0" collapsed="false">
      <c r="A68" s="132" t="s">
        <v>65</v>
      </c>
      <c r="B68" s="133" t="n">
        <f aca="false">'Reforecast Q1 2026'!C84</f>
        <v>-5302</v>
      </c>
      <c r="C68" s="133" t="n">
        <f aca="false">IF(OR(1&gt;$B$3,ISBLANK(Actuals!C84)),"",Actuals!C84)</f>
        <v>-5302</v>
      </c>
      <c r="D68" s="134" t="n">
        <f aca="false">IF(OR(1&gt;$B$3,ISBLANK(Actuals!C84)),"",'Reforecast Q1 2026'!C84-Actuals!C84)</f>
        <v>0</v>
      </c>
      <c r="E68" s="134" t="n">
        <f aca="false">IFERROR(IF(OR(1&gt;$B$3,ISBLANK(Actuals!C84)),"",('Reforecast Q1 2026'!C84-Actuals!C84)/ABS('Reforecast Q1 2026'!C84)),"")</f>
        <v>0</v>
      </c>
      <c r="F68" s="133" t="n">
        <f aca="false">'Reforecast Q1 2026'!D84</f>
        <v>-4279.79</v>
      </c>
      <c r="G68" s="133" t="n">
        <f aca="false">IF(OR(2&gt;$B$3,ISBLANK(Actuals!D84)),"",Actuals!D84)</f>
        <v>-4279.79</v>
      </c>
      <c r="H68" s="134" t="n">
        <f aca="false">IF(OR(2&gt;$B$3,ISBLANK(Actuals!D84)),"",'Reforecast Q1 2026'!D84-Actuals!D84)</f>
        <v>0</v>
      </c>
      <c r="I68" s="134" t="n">
        <f aca="false">IFERROR(IF(OR(2&gt;$B$3,ISBLANK(Actuals!D84)),"",('Reforecast Q1 2026'!D84-Actuals!D84)/ABS('Reforecast Q1 2026'!D84)),"")</f>
        <v>0</v>
      </c>
      <c r="J68" s="133" t="n">
        <f aca="false">'Reforecast Q1 2026'!E84</f>
        <v>-4145.97</v>
      </c>
      <c r="K68" s="133" t="n">
        <f aca="false">IF(OR(3&gt;$B$3,ISBLANK(Actuals!E84)),"",Actuals!E84)</f>
        <v>-4145.97</v>
      </c>
      <c r="L68" s="134" t="n">
        <f aca="false">IF(OR(3&gt;$B$3,ISBLANK(Actuals!E84)),"",'Reforecast Q1 2026'!E84-Actuals!E84)</f>
        <v>0</v>
      </c>
      <c r="M68" s="134" t="n">
        <f aca="false">IFERROR(IF(OR(3&gt;$B$3,ISBLANK(Actuals!E84)),"",('Reforecast Q1 2026'!E84-Actuals!E84)/ABS('Reforecast Q1 2026'!E84)),"")</f>
        <v>0</v>
      </c>
      <c r="N68" s="133" t="n">
        <f aca="false">'Reforecast Q1 2026'!F84</f>
        <v>-802.083333333334</v>
      </c>
      <c r="O68" s="133" t="n">
        <f aca="false">IF(OR(4&gt;$B$3,ISBLANK(Actuals!F84)),"",Actuals!F84)</f>
        <v>-4145.96</v>
      </c>
      <c r="P68" s="134" t="n">
        <f aca="false">IF(OR(4&gt;$B$3,ISBLANK(Actuals!F84)),"",'Reforecast Q1 2026'!F84-Actuals!F84)</f>
        <v>3343.87666666667</v>
      </c>
      <c r="Q68" s="134" t="n">
        <f aca="false">IFERROR(IF(OR(4&gt;$B$3,ISBLANK(Actuals!F84)),"",('Reforecast Q1 2026'!F84-Actuals!F84)/ABS('Reforecast Q1 2026'!F84)),"")</f>
        <v>4.16898909090909</v>
      </c>
      <c r="R68" s="133" t="n">
        <f aca="false">'Reforecast Q1 2026'!G84</f>
        <v>-802.083333333334</v>
      </c>
      <c r="S68" s="133" t="n">
        <f aca="false">IF(OR(5&gt;$B$3,ISBLANK(Actuals!G84)),"",Actuals!G84)</f>
        <v>-4145.99</v>
      </c>
      <c r="T68" s="134" t="n">
        <f aca="false">IF(OR(5&gt;$B$3,ISBLANK(Actuals!G84)),"",'Reforecast Q1 2026'!G84-Actuals!G84)</f>
        <v>3343.90666666667</v>
      </c>
      <c r="U68" s="134" t="n">
        <f aca="false">IFERROR(IF(OR(5&gt;$B$3,ISBLANK(Actuals!G84)),"",('Reforecast Q1 2026'!G84-Actuals!G84)/ABS('Reforecast Q1 2026'!G84)),"")</f>
        <v>4.16902649350649</v>
      </c>
      <c r="V68" s="133" t="n">
        <f aca="false">'Reforecast Q1 2026'!H84</f>
        <v>-802.083333333334</v>
      </c>
      <c r="W68" s="133" t="n">
        <f aca="false">IF(OR(6&gt;$B$3,ISBLANK(Actuals!H84)),"",Actuals!H84)</f>
        <v>-4145.95</v>
      </c>
      <c r="X68" s="134" t="n">
        <f aca="false">IF(OR(6&gt;$B$3,ISBLANK(Actuals!H84)),"",'Reforecast Q1 2026'!H84-Actuals!H84)</f>
        <v>3343.86666666667</v>
      </c>
      <c r="Y68" s="134" t="n">
        <f aca="false">IFERROR(IF(OR(6&gt;$B$3,ISBLANK(Actuals!H84)),"",('Reforecast Q1 2026'!H84-Actuals!H84)/ABS('Reforecast Q1 2026'!H84)),"")</f>
        <v>4.16897662337662</v>
      </c>
      <c r="Z68" s="133" t="n">
        <f aca="false">'Reforecast Q1 2026'!I84</f>
        <v>-802.083333333334</v>
      </c>
      <c r="AA68" s="133" t="n">
        <f aca="false">IF(OR(7&gt;$B$3,ISBLANK(Actuals!I84)),"",Actuals!I84)</f>
        <v>-4145.97</v>
      </c>
      <c r="AB68" s="134" t="n">
        <f aca="false">IF(OR(7&gt;$B$3,ISBLANK(Actuals!I84)),"",'Reforecast Q1 2026'!I84-Actuals!I84)</f>
        <v>3343.88666666667</v>
      </c>
      <c r="AC68" s="134" t="n">
        <f aca="false">IFERROR(IF(OR(7&gt;$B$3,ISBLANK(Actuals!I84)),"",('Reforecast Q1 2026'!I84-Actuals!I84)/ABS('Reforecast Q1 2026'!I84)),"")</f>
        <v>4.16900155844155</v>
      </c>
      <c r="AD68" s="133" t="n">
        <f aca="false">'Reforecast Q1 2026'!J84</f>
        <v>-802.083333333334</v>
      </c>
      <c r="AE68" s="133" t="n">
        <f aca="false">IF(OR(8&gt;$B$3,ISBLANK(Actuals!J84)),"",Actuals!J84)</f>
        <v>-4145.97</v>
      </c>
      <c r="AF68" s="134" t="n">
        <f aca="false">IF(OR(8&gt;$B$3,ISBLANK(Actuals!J84)),"",'Reforecast Q1 2026'!J84-Actuals!J84)</f>
        <v>3343.88666666667</v>
      </c>
      <c r="AG68" s="134" t="n">
        <f aca="false">IFERROR(IF(OR(8&gt;$B$3,ISBLANK(Actuals!J84)),"",('Reforecast Q1 2026'!J84-Actuals!J84)/ABS('Reforecast Q1 2026'!J84)),"")</f>
        <v>4.16900155844155</v>
      </c>
      <c r="AH68" s="133" t="n">
        <f aca="false">'Reforecast Q1 2026'!K84</f>
        <v>-802.083333333334</v>
      </c>
      <c r="AI68" s="133" t="str">
        <f aca="false">IF(OR(9&gt;$B$3,ISBLANK(Actuals!K84)),"",Actuals!K84)</f>
        <v/>
      </c>
      <c r="AJ68" s="134" t="str">
        <f aca="false">IF(OR(9&gt;$B$3,ISBLANK(Actuals!K84)),"",'Reforecast Q1 2026'!K84-Actuals!K84)</f>
        <v/>
      </c>
      <c r="AK68" s="134" t="str">
        <f aca="false">IFERROR(IF(OR(9&gt;$B$3,ISBLANK(Actuals!K84)),"",('Reforecast Q1 2026'!K84-Actuals!K84)/ABS('Reforecast Q1 2026'!K84)),"")</f>
        <v/>
      </c>
      <c r="AL68" s="133" t="n">
        <f aca="false">'Reforecast Q1 2026'!L84</f>
        <v>-802.083333333334</v>
      </c>
      <c r="AM68" s="133" t="str">
        <f aca="false">IF(OR(10&gt;$B$3,ISBLANK(Actuals!L84)),"",Actuals!L84)</f>
        <v/>
      </c>
      <c r="AN68" s="134" t="str">
        <f aca="false">IF(OR(10&gt;$B$3,ISBLANK(Actuals!L84)),"",'Reforecast Q1 2026'!L84-Actuals!L84)</f>
        <v/>
      </c>
      <c r="AO68" s="134" t="str">
        <f aca="false">IFERROR(IF(OR(10&gt;$B$3,ISBLANK(Actuals!L84)),"",('Reforecast Q1 2026'!L84-Actuals!L84)/ABS('Reforecast Q1 2026'!L84)),"")</f>
        <v/>
      </c>
      <c r="AP68" s="133" t="n">
        <f aca="false">'Reforecast Q1 2026'!M84</f>
        <v>-802.083333333334</v>
      </c>
      <c r="AQ68" s="133" t="str">
        <f aca="false">IF(OR(11&gt;$B$3,ISBLANK(Actuals!M84)),"",Actuals!M84)</f>
        <v/>
      </c>
      <c r="AR68" s="134" t="str">
        <f aca="false">IF(OR(11&gt;$B$3,ISBLANK(Actuals!M84)),"",'Reforecast Q1 2026'!M84-Actuals!M84)</f>
        <v/>
      </c>
      <c r="AS68" s="134" t="str">
        <f aca="false">IFERROR(IF(OR(11&gt;$B$3,ISBLANK(Actuals!M84)),"",('Reforecast Q1 2026'!M84-Actuals!M84)/ABS('Reforecast Q1 2026'!M84)),"")</f>
        <v/>
      </c>
      <c r="AT68" s="133" t="n">
        <f aca="false">'Reforecast Q1 2026'!N84</f>
        <v>-802.083333333334</v>
      </c>
      <c r="AU68" s="133" t="str">
        <f aca="false">IF(OR(12&gt;$B$3,ISBLANK(Actuals!N84)),"",Actuals!N84)</f>
        <v/>
      </c>
      <c r="AV68" s="134" t="str">
        <f aca="false">IF(OR(12&gt;$B$3,ISBLANK(Actuals!N84)),"",'Reforecast Q1 2026'!N84-Actuals!N84)</f>
        <v/>
      </c>
      <c r="AW68" s="134" t="str">
        <f aca="false">IFERROR(IF(OR(12&gt;$B$3,ISBLANK(Actuals!N84)),"",('Reforecast Q1 2026'!N84-Actuals!N84)/ABS('Reforecast Q1 2026'!N84)),"")</f>
        <v/>
      </c>
      <c r="AX68" s="135" t="n">
        <f aca="false">SUMPRODUCT((Actuals!C84:N84&lt;&gt;"")*('Reforecast Q1 2026'!C84:N84))</f>
        <v>-17738.1766666667</v>
      </c>
      <c r="AY68" s="135" t="n">
        <f aca="false">SUM(Actuals!C84:N84)</f>
        <v>-34457.6</v>
      </c>
      <c r="AZ68" s="136" t="n">
        <f aca="false">AX68-AY68</f>
        <v>16719.4233333333</v>
      </c>
    </row>
    <row r="69" customFormat="false" ht="15" hidden="false" customHeight="true" outlineLevel="0" collapsed="false">
      <c r="A69" s="132" t="s">
        <v>67</v>
      </c>
      <c r="B69" s="133" t="n">
        <f aca="false">'Reforecast Q1 2026'!C85</f>
        <v>-12137.77</v>
      </c>
      <c r="C69" s="133" t="n">
        <f aca="false">IF(OR(1&gt;$B$3,ISBLANK(Actuals!C85)),"",Actuals!C85)</f>
        <v>-12137.77</v>
      </c>
      <c r="D69" s="134" t="n">
        <f aca="false">IF(OR(1&gt;$B$3,ISBLANK(Actuals!C85)),"",'Reforecast Q1 2026'!C85-Actuals!C85)</f>
        <v>0</v>
      </c>
      <c r="E69" s="134" t="n">
        <f aca="false">IFERROR(IF(OR(1&gt;$B$3,ISBLANK(Actuals!C85)),"",('Reforecast Q1 2026'!C85-Actuals!C85)/ABS('Reforecast Q1 2026'!C85)),"")</f>
        <v>0</v>
      </c>
      <c r="F69" s="133" t="n">
        <f aca="false">'Reforecast Q1 2026'!D85</f>
        <v>-12137.78</v>
      </c>
      <c r="G69" s="133" t="n">
        <f aca="false">IF(OR(2&gt;$B$3,ISBLANK(Actuals!D85)),"",Actuals!D85)</f>
        <v>-12137.78</v>
      </c>
      <c r="H69" s="134" t="n">
        <f aca="false">IF(OR(2&gt;$B$3,ISBLANK(Actuals!D85)),"",'Reforecast Q1 2026'!D85-Actuals!D85)</f>
        <v>0</v>
      </c>
      <c r="I69" s="134" t="n">
        <f aca="false">IFERROR(IF(OR(2&gt;$B$3,ISBLANK(Actuals!D85)),"",('Reforecast Q1 2026'!D85-Actuals!D85)/ABS('Reforecast Q1 2026'!D85)),"")</f>
        <v>0</v>
      </c>
      <c r="J69" s="133" t="n">
        <f aca="false">'Reforecast Q1 2026'!E85</f>
        <v>-12137.78</v>
      </c>
      <c r="K69" s="133" t="n">
        <f aca="false">IF(OR(3&gt;$B$3,ISBLANK(Actuals!E85)),"",Actuals!E85)</f>
        <v>-12137.78</v>
      </c>
      <c r="L69" s="134" t="n">
        <f aca="false">IF(OR(3&gt;$B$3,ISBLANK(Actuals!E85)),"",'Reforecast Q1 2026'!E85-Actuals!E85)</f>
        <v>0</v>
      </c>
      <c r="M69" s="134" t="n">
        <f aca="false">IFERROR(IF(OR(3&gt;$B$3,ISBLANK(Actuals!E85)),"",('Reforecast Q1 2026'!E85-Actuals!E85)/ABS('Reforecast Q1 2026'!E85)),"")</f>
        <v>0</v>
      </c>
      <c r="N69" s="133" t="n">
        <f aca="false">'Reforecast Q1 2026'!F85</f>
        <v>-572.916666666667</v>
      </c>
      <c r="O69" s="133" t="n">
        <f aca="false">IF(OR(4&gt;$B$3,ISBLANK(Actuals!F85)),"",Actuals!F85)</f>
        <v>-12137.78</v>
      </c>
      <c r="P69" s="134" t="n">
        <f aca="false">IF(OR(4&gt;$B$3,ISBLANK(Actuals!F85)),"",'Reforecast Q1 2026'!F85-Actuals!F85)</f>
        <v>11564.8633333333</v>
      </c>
      <c r="Q69" s="134" t="n">
        <f aca="false">IFERROR(IF(OR(4&gt;$B$3,ISBLANK(Actuals!F85)),"",('Reforecast Q1 2026'!F85-Actuals!F85)/ABS('Reforecast Q1 2026'!F85)),"")</f>
        <v>20.1859432727273</v>
      </c>
      <c r="R69" s="133" t="n">
        <f aca="false">'Reforecast Q1 2026'!G85</f>
        <v>-572.916666666667</v>
      </c>
      <c r="S69" s="133" t="n">
        <f aca="false">IF(OR(5&gt;$B$3,ISBLANK(Actuals!G85)),"",Actuals!G85)</f>
        <v>-12137.78</v>
      </c>
      <c r="T69" s="134" t="n">
        <f aca="false">IF(OR(5&gt;$B$3,ISBLANK(Actuals!G85)),"",'Reforecast Q1 2026'!G85-Actuals!G85)</f>
        <v>11564.8633333333</v>
      </c>
      <c r="U69" s="134" t="n">
        <f aca="false">IFERROR(IF(OR(5&gt;$B$3,ISBLANK(Actuals!G85)),"",('Reforecast Q1 2026'!G85-Actuals!G85)/ABS('Reforecast Q1 2026'!G85)),"")</f>
        <v>20.1859432727273</v>
      </c>
      <c r="V69" s="133" t="n">
        <f aca="false">'Reforecast Q1 2026'!H85</f>
        <v>-572.916666666667</v>
      </c>
      <c r="W69" s="133" t="n">
        <f aca="false">IF(OR(6&gt;$B$3,ISBLANK(Actuals!H85)),"",Actuals!H85)</f>
        <v>-12137.78</v>
      </c>
      <c r="X69" s="134" t="n">
        <f aca="false">IF(OR(6&gt;$B$3,ISBLANK(Actuals!H85)),"",'Reforecast Q1 2026'!H85-Actuals!H85)</f>
        <v>11564.8633333333</v>
      </c>
      <c r="Y69" s="134" t="n">
        <f aca="false">IFERROR(IF(OR(6&gt;$B$3,ISBLANK(Actuals!H85)),"",('Reforecast Q1 2026'!H85-Actuals!H85)/ABS('Reforecast Q1 2026'!H85)),"")</f>
        <v>20.1859432727273</v>
      </c>
      <c r="Z69" s="133" t="n">
        <f aca="false">'Reforecast Q1 2026'!I85</f>
        <v>-572.916666666667</v>
      </c>
      <c r="AA69" s="133" t="n">
        <f aca="false">IF(OR(7&gt;$B$3,ISBLANK(Actuals!I85)),"",Actuals!I85)</f>
        <v>-12137.78</v>
      </c>
      <c r="AB69" s="134" t="n">
        <f aca="false">IF(OR(7&gt;$B$3,ISBLANK(Actuals!I85)),"",'Reforecast Q1 2026'!I85-Actuals!I85)</f>
        <v>11564.8633333333</v>
      </c>
      <c r="AC69" s="134" t="n">
        <f aca="false">IFERROR(IF(OR(7&gt;$B$3,ISBLANK(Actuals!I85)),"",('Reforecast Q1 2026'!I85-Actuals!I85)/ABS('Reforecast Q1 2026'!I85)),"")</f>
        <v>20.1859432727273</v>
      </c>
      <c r="AD69" s="133" t="n">
        <f aca="false">'Reforecast Q1 2026'!J85</f>
        <v>-572.916666666667</v>
      </c>
      <c r="AE69" s="133" t="n">
        <f aca="false">IF(OR(8&gt;$B$3,ISBLANK(Actuals!J85)),"",Actuals!J85)</f>
        <v>-12137.78</v>
      </c>
      <c r="AF69" s="134" t="n">
        <f aca="false">IF(OR(8&gt;$B$3,ISBLANK(Actuals!J85)),"",'Reforecast Q1 2026'!J85-Actuals!J85)</f>
        <v>11564.8633333333</v>
      </c>
      <c r="AG69" s="134" t="n">
        <f aca="false">IFERROR(IF(OR(8&gt;$B$3,ISBLANK(Actuals!J85)),"",('Reforecast Q1 2026'!J85-Actuals!J85)/ABS('Reforecast Q1 2026'!J85)),"")</f>
        <v>20.1859432727273</v>
      </c>
      <c r="AH69" s="133" t="n">
        <f aca="false">'Reforecast Q1 2026'!K85</f>
        <v>-572.916666666667</v>
      </c>
      <c r="AI69" s="133" t="str">
        <f aca="false">IF(OR(9&gt;$B$3,ISBLANK(Actuals!K85)),"",Actuals!K85)</f>
        <v/>
      </c>
      <c r="AJ69" s="134" t="str">
        <f aca="false">IF(OR(9&gt;$B$3,ISBLANK(Actuals!K85)),"",'Reforecast Q1 2026'!K85-Actuals!K85)</f>
        <v/>
      </c>
      <c r="AK69" s="134" t="str">
        <f aca="false">IFERROR(IF(OR(9&gt;$B$3,ISBLANK(Actuals!K85)),"",('Reforecast Q1 2026'!K85-Actuals!K85)/ABS('Reforecast Q1 2026'!K85)),"")</f>
        <v/>
      </c>
      <c r="AL69" s="133" t="n">
        <f aca="false">'Reforecast Q1 2026'!L85</f>
        <v>-572.916666666667</v>
      </c>
      <c r="AM69" s="133" t="str">
        <f aca="false">IF(OR(10&gt;$B$3,ISBLANK(Actuals!L85)),"",Actuals!L85)</f>
        <v/>
      </c>
      <c r="AN69" s="134" t="str">
        <f aca="false">IF(OR(10&gt;$B$3,ISBLANK(Actuals!L85)),"",'Reforecast Q1 2026'!L85-Actuals!L85)</f>
        <v/>
      </c>
      <c r="AO69" s="134" t="str">
        <f aca="false">IFERROR(IF(OR(10&gt;$B$3,ISBLANK(Actuals!L85)),"",('Reforecast Q1 2026'!L85-Actuals!L85)/ABS('Reforecast Q1 2026'!L85)),"")</f>
        <v/>
      </c>
      <c r="AP69" s="133" t="n">
        <f aca="false">'Reforecast Q1 2026'!M85</f>
        <v>-572.916666666667</v>
      </c>
      <c r="AQ69" s="133" t="str">
        <f aca="false">IF(OR(11&gt;$B$3,ISBLANK(Actuals!M85)),"",Actuals!M85)</f>
        <v/>
      </c>
      <c r="AR69" s="134" t="str">
        <f aca="false">IF(OR(11&gt;$B$3,ISBLANK(Actuals!M85)),"",'Reforecast Q1 2026'!M85-Actuals!M85)</f>
        <v/>
      </c>
      <c r="AS69" s="134" t="str">
        <f aca="false">IFERROR(IF(OR(11&gt;$B$3,ISBLANK(Actuals!M85)),"",('Reforecast Q1 2026'!M85-Actuals!M85)/ABS('Reforecast Q1 2026'!M85)),"")</f>
        <v/>
      </c>
      <c r="AT69" s="133" t="n">
        <f aca="false">'Reforecast Q1 2026'!N85</f>
        <v>-572.916666666667</v>
      </c>
      <c r="AU69" s="133" t="str">
        <f aca="false">IF(OR(12&gt;$B$3,ISBLANK(Actuals!N85)),"",Actuals!N85)</f>
        <v/>
      </c>
      <c r="AV69" s="134" t="str">
        <f aca="false">IF(OR(12&gt;$B$3,ISBLANK(Actuals!N85)),"",'Reforecast Q1 2026'!N85-Actuals!N85)</f>
        <v/>
      </c>
      <c r="AW69" s="134" t="str">
        <f aca="false">IFERROR(IF(OR(12&gt;$B$3,ISBLANK(Actuals!N85)),"",('Reforecast Q1 2026'!N85-Actuals!N85)/ABS('Reforecast Q1 2026'!N85)),"")</f>
        <v/>
      </c>
      <c r="AX69" s="135" t="n">
        <f aca="false">SUMPRODUCT((Actuals!C85:N85&lt;&gt;"")*('Reforecast Q1 2026'!C85:N85))</f>
        <v>-39277.9133333333</v>
      </c>
      <c r="AY69" s="135" t="n">
        <f aca="false">SUM(Actuals!C85:N85)</f>
        <v>-97102.23</v>
      </c>
      <c r="AZ69" s="136" t="n">
        <f aca="false">AX69-AY69</f>
        <v>57824.3166666667</v>
      </c>
    </row>
    <row r="70" customFormat="false" ht="15" hidden="false" customHeight="true" outlineLevel="0" collapsed="false">
      <c r="A70" s="132" t="s">
        <v>68</v>
      </c>
      <c r="B70" s="133" t="n">
        <f aca="false">'Reforecast Q1 2026'!C86</f>
        <v>-475.76</v>
      </c>
      <c r="C70" s="133" t="n">
        <f aca="false">IF(OR(1&gt;$B$3,ISBLANK(Actuals!C86)),"",Actuals!C86)</f>
        <v>-475.76</v>
      </c>
      <c r="D70" s="134" t="n">
        <f aca="false">IF(OR(1&gt;$B$3,ISBLANK(Actuals!C86)),"",'Reforecast Q1 2026'!C86-Actuals!C86)</f>
        <v>0</v>
      </c>
      <c r="E70" s="134" t="n">
        <f aca="false">IFERROR(IF(OR(1&gt;$B$3,ISBLANK(Actuals!C86)),"",('Reforecast Q1 2026'!C86-Actuals!C86)/ABS('Reforecast Q1 2026'!C86)),"")</f>
        <v>0</v>
      </c>
      <c r="F70" s="133" t="n">
        <f aca="false">'Reforecast Q1 2026'!D86</f>
        <v>-475.76</v>
      </c>
      <c r="G70" s="133" t="n">
        <f aca="false">IF(OR(2&gt;$B$3,ISBLANK(Actuals!D86)),"",Actuals!D86)</f>
        <v>-475.76</v>
      </c>
      <c r="H70" s="134" t="n">
        <f aca="false">IF(OR(2&gt;$B$3,ISBLANK(Actuals!D86)),"",'Reforecast Q1 2026'!D86-Actuals!D86)</f>
        <v>0</v>
      </c>
      <c r="I70" s="134" t="n">
        <f aca="false">IFERROR(IF(OR(2&gt;$B$3,ISBLANK(Actuals!D86)),"",('Reforecast Q1 2026'!D86-Actuals!D86)/ABS('Reforecast Q1 2026'!D86)),"")</f>
        <v>0</v>
      </c>
      <c r="J70" s="133" t="n">
        <f aca="false">'Reforecast Q1 2026'!E86</f>
        <v>-475.76</v>
      </c>
      <c r="K70" s="133" t="n">
        <f aca="false">IF(OR(3&gt;$B$3,ISBLANK(Actuals!E86)),"",Actuals!E86)</f>
        <v>-475.76</v>
      </c>
      <c r="L70" s="134" t="n">
        <f aca="false">IF(OR(3&gt;$B$3,ISBLANK(Actuals!E86)),"",'Reforecast Q1 2026'!E86-Actuals!E86)</f>
        <v>0</v>
      </c>
      <c r="M70" s="134" t="n">
        <f aca="false">IFERROR(IF(OR(3&gt;$B$3,ISBLANK(Actuals!E86)),"",('Reforecast Q1 2026'!E86-Actuals!E86)/ABS('Reforecast Q1 2026'!E86)),"")</f>
        <v>0</v>
      </c>
      <c r="N70" s="133" t="n">
        <f aca="false">'Reforecast Q1 2026'!F86</f>
        <v>-229.166666666667</v>
      </c>
      <c r="O70" s="133" t="n">
        <f aca="false">IF(OR(4&gt;$B$3,ISBLANK(Actuals!F86)),"",Actuals!F86)</f>
        <v>-475.76</v>
      </c>
      <c r="P70" s="134" t="n">
        <f aca="false">IF(OR(4&gt;$B$3,ISBLANK(Actuals!F86)),"",'Reforecast Q1 2026'!F86-Actuals!F86)</f>
        <v>246.593333333333</v>
      </c>
      <c r="Q70" s="134" t="n">
        <f aca="false">IFERROR(IF(OR(4&gt;$B$3,ISBLANK(Actuals!F86)),"",('Reforecast Q1 2026'!F86-Actuals!F86)/ABS('Reforecast Q1 2026'!F86)),"")</f>
        <v>1.07604363636363</v>
      </c>
      <c r="R70" s="133" t="n">
        <f aca="false">'Reforecast Q1 2026'!G86</f>
        <v>-229.166666666667</v>
      </c>
      <c r="S70" s="133" t="n">
        <f aca="false">IF(OR(5&gt;$B$3,ISBLANK(Actuals!G86)),"",Actuals!G86)</f>
        <v>-475.76</v>
      </c>
      <c r="T70" s="134" t="n">
        <f aca="false">IF(OR(5&gt;$B$3,ISBLANK(Actuals!G86)),"",'Reforecast Q1 2026'!G86-Actuals!G86)</f>
        <v>246.593333333333</v>
      </c>
      <c r="U70" s="134" t="n">
        <f aca="false">IFERROR(IF(OR(5&gt;$B$3,ISBLANK(Actuals!G86)),"",('Reforecast Q1 2026'!G86-Actuals!G86)/ABS('Reforecast Q1 2026'!G86)),"")</f>
        <v>1.07604363636363</v>
      </c>
      <c r="V70" s="133" t="n">
        <f aca="false">'Reforecast Q1 2026'!H86</f>
        <v>-229.166666666667</v>
      </c>
      <c r="W70" s="133" t="n">
        <f aca="false">IF(OR(6&gt;$B$3,ISBLANK(Actuals!H86)),"",Actuals!H86)</f>
        <v>-475.76</v>
      </c>
      <c r="X70" s="134" t="n">
        <f aca="false">IF(OR(6&gt;$B$3,ISBLANK(Actuals!H86)),"",'Reforecast Q1 2026'!H86-Actuals!H86)</f>
        <v>246.593333333333</v>
      </c>
      <c r="Y70" s="134" t="n">
        <f aca="false">IFERROR(IF(OR(6&gt;$B$3,ISBLANK(Actuals!H86)),"",('Reforecast Q1 2026'!H86-Actuals!H86)/ABS('Reforecast Q1 2026'!H86)),"")</f>
        <v>1.07604363636363</v>
      </c>
      <c r="Z70" s="133" t="n">
        <f aca="false">'Reforecast Q1 2026'!I86</f>
        <v>-229.166666666667</v>
      </c>
      <c r="AA70" s="133" t="n">
        <f aca="false">IF(OR(7&gt;$B$3,ISBLANK(Actuals!I86)),"",Actuals!I86)</f>
        <v>-475.76</v>
      </c>
      <c r="AB70" s="134" t="n">
        <f aca="false">IF(OR(7&gt;$B$3,ISBLANK(Actuals!I86)),"",'Reforecast Q1 2026'!I86-Actuals!I86)</f>
        <v>246.593333333333</v>
      </c>
      <c r="AC70" s="134" t="n">
        <f aca="false">IFERROR(IF(OR(7&gt;$B$3,ISBLANK(Actuals!I86)),"",('Reforecast Q1 2026'!I86-Actuals!I86)/ABS('Reforecast Q1 2026'!I86)),"")</f>
        <v>1.07604363636363</v>
      </c>
      <c r="AD70" s="133" t="n">
        <f aca="false">'Reforecast Q1 2026'!J86</f>
        <v>-229.166666666667</v>
      </c>
      <c r="AE70" s="133" t="n">
        <f aca="false">IF(OR(8&gt;$B$3,ISBLANK(Actuals!J86)),"",Actuals!J86)</f>
        <v>-475.76</v>
      </c>
      <c r="AF70" s="134" t="n">
        <f aca="false">IF(OR(8&gt;$B$3,ISBLANK(Actuals!J86)),"",'Reforecast Q1 2026'!J86-Actuals!J86)</f>
        <v>246.593333333333</v>
      </c>
      <c r="AG70" s="134" t="n">
        <f aca="false">IFERROR(IF(OR(8&gt;$B$3,ISBLANK(Actuals!J86)),"",('Reforecast Q1 2026'!J86-Actuals!J86)/ABS('Reforecast Q1 2026'!J86)),"")</f>
        <v>1.07604363636363</v>
      </c>
      <c r="AH70" s="133" t="n">
        <f aca="false">'Reforecast Q1 2026'!K86</f>
        <v>-229.166666666667</v>
      </c>
      <c r="AI70" s="133" t="str">
        <f aca="false">IF(OR(9&gt;$B$3,ISBLANK(Actuals!K86)),"",Actuals!K86)</f>
        <v/>
      </c>
      <c r="AJ70" s="134" t="str">
        <f aca="false">IF(OR(9&gt;$B$3,ISBLANK(Actuals!K86)),"",'Reforecast Q1 2026'!K86-Actuals!K86)</f>
        <v/>
      </c>
      <c r="AK70" s="134" t="str">
        <f aca="false">IFERROR(IF(OR(9&gt;$B$3,ISBLANK(Actuals!K86)),"",('Reforecast Q1 2026'!K86-Actuals!K86)/ABS('Reforecast Q1 2026'!K86)),"")</f>
        <v/>
      </c>
      <c r="AL70" s="133" t="n">
        <f aca="false">'Reforecast Q1 2026'!L86</f>
        <v>-229.166666666667</v>
      </c>
      <c r="AM70" s="133" t="str">
        <f aca="false">IF(OR(10&gt;$B$3,ISBLANK(Actuals!L86)),"",Actuals!L86)</f>
        <v/>
      </c>
      <c r="AN70" s="134" t="str">
        <f aca="false">IF(OR(10&gt;$B$3,ISBLANK(Actuals!L86)),"",'Reforecast Q1 2026'!L86-Actuals!L86)</f>
        <v/>
      </c>
      <c r="AO70" s="134" t="str">
        <f aca="false">IFERROR(IF(OR(10&gt;$B$3,ISBLANK(Actuals!L86)),"",('Reforecast Q1 2026'!L86-Actuals!L86)/ABS('Reforecast Q1 2026'!L86)),"")</f>
        <v/>
      </c>
      <c r="AP70" s="133" t="n">
        <f aca="false">'Reforecast Q1 2026'!M86</f>
        <v>-229.166666666667</v>
      </c>
      <c r="AQ70" s="133" t="str">
        <f aca="false">IF(OR(11&gt;$B$3,ISBLANK(Actuals!M86)),"",Actuals!M86)</f>
        <v/>
      </c>
      <c r="AR70" s="134" t="str">
        <f aca="false">IF(OR(11&gt;$B$3,ISBLANK(Actuals!M86)),"",'Reforecast Q1 2026'!M86-Actuals!M86)</f>
        <v/>
      </c>
      <c r="AS70" s="134" t="str">
        <f aca="false">IFERROR(IF(OR(11&gt;$B$3,ISBLANK(Actuals!M86)),"",('Reforecast Q1 2026'!M86-Actuals!M86)/ABS('Reforecast Q1 2026'!M86)),"")</f>
        <v/>
      </c>
      <c r="AT70" s="133" t="n">
        <f aca="false">'Reforecast Q1 2026'!N86</f>
        <v>-229.166666666667</v>
      </c>
      <c r="AU70" s="133" t="str">
        <f aca="false">IF(OR(12&gt;$B$3,ISBLANK(Actuals!N86)),"",Actuals!N86)</f>
        <v/>
      </c>
      <c r="AV70" s="134" t="str">
        <f aca="false">IF(OR(12&gt;$B$3,ISBLANK(Actuals!N86)),"",'Reforecast Q1 2026'!N86-Actuals!N86)</f>
        <v/>
      </c>
      <c r="AW70" s="134" t="str">
        <f aca="false">IFERROR(IF(OR(12&gt;$B$3,ISBLANK(Actuals!N86)),"",('Reforecast Q1 2026'!N86-Actuals!N86)/ABS('Reforecast Q1 2026'!N86)),"")</f>
        <v/>
      </c>
      <c r="AX70" s="135" t="n">
        <f aca="false">SUMPRODUCT((Actuals!C86:N86&lt;&gt;"")*('Reforecast Q1 2026'!C86:N86))</f>
        <v>-2573.11333333334</v>
      </c>
      <c r="AY70" s="135" t="n">
        <f aca="false">SUM(Actuals!C86:N86)</f>
        <v>-3806.08</v>
      </c>
      <c r="AZ70" s="136" t="n">
        <f aca="false">AX70-AY70</f>
        <v>1232.96666666666</v>
      </c>
    </row>
    <row r="71" customFormat="false" ht="15" hidden="false" customHeight="true" outlineLevel="0" collapsed="false">
      <c r="A71" s="132" t="s">
        <v>69</v>
      </c>
      <c r="B71" s="133" t="n">
        <f aca="false">'Reforecast Q1 2026'!C87</f>
        <v>-2200.12</v>
      </c>
      <c r="C71" s="133" t="n">
        <f aca="false">IF(OR(1&gt;$B$3,ISBLANK(Actuals!C87)),"",Actuals!C87)</f>
        <v>-2200.12</v>
      </c>
      <c r="D71" s="134" t="n">
        <f aca="false">IF(OR(1&gt;$B$3,ISBLANK(Actuals!C87)),"",'Reforecast Q1 2026'!C87-Actuals!C87)</f>
        <v>0</v>
      </c>
      <c r="E71" s="134" t="n">
        <f aca="false">IFERROR(IF(OR(1&gt;$B$3,ISBLANK(Actuals!C87)),"",('Reforecast Q1 2026'!C87-Actuals!C87)/ABS('Reforecast Q1 2026'!C87)),"")</f>
        <v>0</v>
      </c>
      <c r="F71" s="133" t="n">
        <f aca="false">'Reforecast Q1 2026'!D87</f>
        <v>-2200.12</v>
      </c>
      <c r="G71" s="133" t="n">
        <f aca="false">IF(OR(2&gt;$B$3,ISBLANK(Actuals!D87)),"",Actuals!D87)</f>
        <v>-2200.12</v>
      </c>
      <c r="H71" s="134" t="n">
        <f aca="false">IF(OR(2&gt;$B$3,ISBLANK(Actuals!D87)),"",'Reforecast Q1 2026'!D87-Actuals!D87)</f>
        <v>0</v>
      </c>
      <c r="I71" s="134" t="n">
        <f aca="false">IFERROR(IF(OR(2&gt;$B$3,ISBLANK(Actuals!D87)),"",('Reforecast Q1 2026'!D87-Actuals!D87)/ABS('Reforecast Q1 2026'!D87)),"")</f>
        <v>0</v>
      </c>
      <c r="J71" s="133" t="n">
        <f aca="false">'Reforecast Q1 2026'!E87</f>
        <v>-2200.12</v>
      </c>
      <c r="K71" s="133" t="n">
        <f aca="false">IF(OR(3&gt;$B$3,ISBLANK(Actuals!E87)),"",Actuals!E87)</f>
        <v>-2200.12</v>
      </c>
      <c r="L71" s="134" t="n">
        <f aca="false">IF(OR(3&gt;$B$3,ISBLANK(Actuals!E87)),"",'Reforecast Q1 2026'!E87-Actuals!E87)</f>
        <v>0</v>
      </c>
      <c r="M71" s="134" t="n">
        <f aca="false">IFERROR(IF(OR(3&gt;$B$3,ISBLANK(Actuals!E87)),"",('Reforecast Q1 2026'!E87-Actuals!E87)/ABS('Reforecast Q1 2026'!E87)),"")</f>
        <v>0</v>
      </c>
      <c r="N71" s="133" t="n">
        <f aca="false">'Reforecast Q1 2026'!F87</f>
        <v>-57.2916666666667</v>
      </c>
      <c r="O71" s="133" t="n">
        <f aca="false">IF(OR(4&gt;$B$3,ISBLANK(Actuals!F87)),"",Actuals!F87)</f>
        <v>-2200.12</v>
      </c>
      <c r="P71" s="134" t="n">
        <f aca="false">IF(OR(4&gt;$B$3,ISBLANK(Actuals!F87)),"",'Reforecast Q1 2026'!F87-Actuals!F87)</f>
        <v>2142.82833333333</v>
      </c>
      <c r="Q71" s="134" t="n">
        <f aca="false">IFERROR(IF(OR(4&gt;$B$3,ISBLANK(Actuals!F87)),"",('Reforecast Q1 2026'!F87-Actuals!F87)/ABS('Reforecast Q1 2026'!F87)),"")</f>
        <v>37.4020945454545</v>
      </c>
      <c r="R71" s="133" t="n">
        <f aca="false">'Reforecast Q1 2026'!G87</f>
        <v>-57.2916666666667</v>
      </c>
      <c r="S71" s="133" t="n">
        <f aca="false">IF(OR(5&gt;$B$3,ISBLANK(Actuals!G87)),"",Actuals!G87)</f>
        <v>-2200.12</v>
      </c>
      <c r="T71" s="134" t="n">
        <f aca="false">IF(OR(5&gt;$B$3,ISBLANK(Actuals!G87)),"",'Reforecast Q1 2026'!G87-Actuals!G87)</f>
        <v>2142.82833333333</v>
      </c>
      <c r="U71" s="134" t="n">
        <f aca="false">IFERROR(IF(OR(5&gt;$B$3,ISBLANK(Actuals!G87)),"",('Reforecast Q1 2026'!G87-Actuals!G87)/ABS('Reforecast Q1 2026'!G87)),"")</f>
        <v>37.4020945454545</v>
      </c>
      <c r="V71" s="133" t="n">
        <f aca="false">'Reforecast Q1 2026'!H87</f>
        <v>-57.2916666666667</v>
      </c>
      <c r="W71" s="133" t="n">
        <f aca="false">IF(OR(6&gt;$B$3,ISBLANK(Actuals!H87)),"",Actuals!H87)</f>
        <v>-2200.12</v>
      </c>
      <c r="X71" s="134" t="n">
        <f aca="false">IF(OR(6&gt;$B$3,ISBLANK(Actuals!H87)),"",'Reforecast Q1 2026'!H87-Actuals!H87)</f>
        <v>2142.82833333333</v>
      </c>
      <c r="Y71" s="134" t="n">
        <f aca="false">IFERROR(IF(OR(6&gt;$B$3,ISBLANK(Actuals!H87)),"",('Reforecast Q1 2026'!H87-Actuals!H87)/ABS('Reforecast Q1 2026'!H87)),"")</f>
        <v>37.4020945454545</v>
      </c>
      <c r="Z71" s="133" t="n">
        <f aca="false">'Reforecast Q1 2026'!I87</f>
        <v>-57.2916666666667</v>
      </c>
      <c r="AA71" s="133" t="n">
        <f aca="false">IF(OR(7&gt;$B$3,ISBLANK(Actuals!I87)),"",Actuals!I87)</f>
        <v>-2200.12</v>
      </c>
      <c r="AB71" s="134" t="n">
        <f aca="false">IF(OR(7&gt;$B$3,ISBLANK(Actuals!I87)),"",'Reforecast Q1 2026'!I87-Actuals!I87)</f>
        <v>2142.82833333333</v>
      </c>
      <c r="AC71" s="134" t="n">
        <f aca="false">IFERROR(IF(OR(7&gt;$B$3,ISBLANK(Actuals!I87)),"",('Reforecast Q1 2026'!I87-Actuals!I87)/ABS('Reforecast Q1 2026'!I87)),"")</f>
        <v>37.4020945454545</v>
      </c>
      <c r="AD71" s="133" t="n">
        <f aca="false">'Reforecast Q1 2026'!J87</f>
        <v>-57.2916666666667</v>
      </c>
      <c r="AE71" s="133" t="n">
        <f aca="false">IF(OR(8&gt;$B$3,ISBLANK(Actuals!J87)),"",Actuals!J87)</f>
        <v>-2200.12</v>
      </c>
      <c r="AF71" s="134" t="n">
        <f aca="false">IF(OR(8&gt;$B$3,ISBLANK(Actuals!J87)),"",'Reforecast Q1 2026'!J87-Actuals!J87)</f>
        <v>2142.82833333333</v>
      </c>
      <c r="AG71" s="134" t="n">
        <f aca="false">IFERROR(IF(OR(8&gt;$B$3,ISBLANK(Actuals!J87)),"",('Reforecast Q1 2026'!J87-Actuals!J87)/ABS('Reforecast Q1 2026'!J87)),"")</f>
        <v>37.4020945454545</v>
      </c>
      <c r="AH71" s="133" t="n">
        <f aca="false">'Reforecast Q1 2026'!K87</f>
        <v>-57.2916666666667</v>
      </c>
      <c r="AI71" s="133" t="str">
        <f aca="false">IF(OR(9&gt;$B$3,ISBLANK(Actuals!K87)),"",Actuals!K87)</f>
        <v/>
      </c>
      <c r="AJ71" s="134" t="str">
        <f aca="false">IF(OR(9&gt;$B$3,ISBLANK(Actuals!K87)),"",'Reforecast Q1 2026'!K87-Actuals!K87)</f>
        <v/>
      </c>
      <c r="AK71" s="134" t="str">
        <f aca="false">IFERROR(IF(OR(9&gt;$B$3,ISBLANK(Actuals!K87)),"",('Reforecast Q1 2026'!K87-Actuals!K87)/ABS('Reforecast Q1 2026'!K87)),"")</f>
        <v/>
      </c>
      <c r="AL71" s="133" t="n">
        <f aca="false">'Reforecast Q1 2026'!L87</f>
        <v>-57.2916666666667</v>
      </c>
      <c r="AM71" s="133" t="str">
        <f aca="false">IF(OR(10&gt;$B$3,ISBLANK(Actuals!L87)),"",Actuals!L87)</f>
        <v/>
      </c>
      <c r="AN71" s="134" t="str">
        <f aca="false">IF(OR(10&gt;$B$3,ISBLANK(Actuals!L87)),"",'Reforecast Q1 2026'!L87-Actuals!L87)</f>
        <v/>
      </c>
      <c r="AO71" s="134" t="str">
        <f aca="false">IFERROR(IF(OR(10&gt;$B$3,ISBLANK(Actuals!L87)),"",('Reforecast Q1 2026'!L87-Actuals!L87)/ABS('Reforecast Q1 2026'!L87)),"")</f>
        <v/>
      </c>
      <c r="AP71" s="133" t="n">
        <f aca="false">'Reforecast Q1 2026'!M87</f>
        <v>-57.2916666666667</v>
      </c>
      <c r="AQ71" s="133" t="str">
        <f aca="false">IF(OR(11&gt;$B$3,ISBLANK(Actuals!M87)),"",Actuals!M87)</f>
        <v/>
      </c>
      <c r="AR71" s="134" t="str">
        <f aca="false">IF(OR(11&gt;$B$3,ISBLANK(Actuals!M87)),"",'Reforecast Q1 2026'!M87-Actuals!M87)</f>
        <v/>
      </c>
      <c r="AS71" s="134" t="str">
        <f aca="false">IFERROR(IF(OR(11&gt;$B$3,ISBLANK(Actuals!M87)),"",('Reforecast Q1 2026'!M87-Actuals!M87)/ABS('Reforecast Q1 2026'!M87)),"")</f>
        <v/>
      </c>
      <c r="AT71" s="133" t="n">
        <f aca="false">'Reforecast Q1 2026'!N87</f>
        <v>-57.2916666666667</v>
      </c>
      <c r="AU71" s="133" t="str">
        <f aca="false">IF(OR(12&gt;$B$3,ISBLANK(Actuals!N87)),"",Actuals!N87)</f>
        <v/>
      </c>
      <c r="AV71" s="134" t="str">
        <f aca="false">IF(OR(12&gt;$B$3,ISBLANK(Actuals!N87)),"",'Reforecast Q1 2026'!N87-Actuals!N87)</f>
        <v/>
      </c>
      <c r="AW71" s="134" t="str">
        <f aca="false">IFERROR(IF(OR(12&gt;$B$3,ISBLANK(Actuals!N87)),"",('Reforecast Q1 2026'!N87-Actuals!N87)/ABS('Reforecast Q1 2026'!N87)),"")</f>
        <v/>
      </c>
      <c r="AX71" s="135" t="n">
        <f aca="false">SUMPRODUCT((Actuals!C87:N87&lt;&gt;"")*('Reforecast Q1 2026'!C87:N87))</f>
        <v>-6886.81833333333</v>
      </c>
      <c r="AY71" s="135" t="n">
        <f aca="false">SUM(Actuals!C87:N87)</f>
        <v>-17600.96</v>
      </c>
      <c r="AZ71" s="136" t="n">
        <f aca="false">AX71-AY71</f>
        <v>10714.1416666667</v>
      </c>
    </row>
    <row r="72" customFormat="false" ht="15" hidden="false" customHeight="true" outlineLevel="0" collapsed="false">
      <c r="A72" s="132" t="s">
        <v>72</v>
      </c>
      <c r="B72" s="133" t="n">
        <f aca="false">'Reforecast Q1 2026'!C88</f>
        <v>-8848.65</v>
      </c>
      <c r="C72" s="133" t="n">
        <f aca="false">IF(OR(1&gt;$B$3,ISBLANK(Actuals!C88)),"",Actuals!C88)</f>
        <v>-8848.65</v>
      </c>
      <c r="D72" s="134" t="n">
        <f aca="false">IF(OR(1&gt;$B$3,ISBLANK(Actuals!C88)),"",'Reforecast Q1 2026'!C88-Actuals!C88)</f>
        <v>0</v>
      </c>
      <c r="E72" s="134" t="n">
        <f aca="false">IFERROR(IF(OR(1&gt;$B$3,ISBLANK(Actuals!C88)),"",('Reforecast Q1 2026'!C88-Actuals!C88)/ABS('Reforecast Q1 2026'!C88)),"")</f>
        <v>0</v>
      </c>
      <c r="F72" s="133" t="n">
        <f aca="false">'Reforecast Q1 2026'!D88</f>
        <v>-8817.63</v>
      </c>
      <c r="G72" s="133" t="n">
        <f aca="false">IF(OR(2&gt;$B$3,ISBLANK(Actuals!D88)),"",Actuals!D88)</f>
        <v>-8817.63</v>
      </c>
      <c r="H72" s="134" t="n">
        <f aca="false">IF(OR(2&gt;$B$3,ISBLANK(Actuals!D88)),"",'Reforecast Q1 2026'!D88-Actuals!D88)</f>
        <v>0</v>
      </c>
      <c r="I72" s="134" t="n">
        <f aca="false">IFERROR(IF(OR(2&gt;$B$3,ISBLANK(Actuals!D88)),"",('Reforecast Q1 2026'!D88-Actuals!D88)/ABS('Reforecast Q1 2026'!D88)),"")</f>
        <v>0</v>
      </c>
      <c r="J72" s="133" t="n">
        <f aca="false">'Reforecast Q1 2026'!E88</f>
        <v>-3775.91</v>
      </c>
      <c r="K72" s="133" t="n">
        <f aca="false">IF(OR(3&gt;$B$3,ISBLANK(Actuals!E88)),"",Actuals!E88)</f>
        <v>-3775.91</v>
      </c>
      <c r="L72" s="134" t="n">
        <f aca="false">IF(OR(3&gt;$B$3,ISBLANK(Actuals!E88)),"",'Reforecast Q1 2026'!E88-Actuals!E88)</f>
        <v>0</v>
      </c>
      <c r="M72" s="134" t="n">
        <f aca="false">IFERROR(IF(OR(3&gt;$B$3,ISBLANK(Actuals!E88)),"",('Reforecast Q1 2026'!E88-Actuals!E88)/ABS('Reforecast Q1 2026'!E88)),"")</f>
        <v>0</v>
      </c>
      <c r="N72" s="133" t="n">
        <f aca="false">'Reforecast Q1 2026'!F88</f>
        <v>-8500</v>
      </c>
      <c r="O72" s="133" t="n">
        <f aca="false">IF(OR(4&gt;$B$3,ISBLANK(Actuals!F88)),"",Actuals!F88)</f>
        <v>-8731.12</v>
      </c>
      <c r="P72" s="134" t="n">
        <f aca="false">IF(OR(4&gt;$B$3,ISBLANK(Actuals!F88)),"",'Reforecast Q1 2026'!F88-Actuals!F88)</f>
        <v>231.120000000001</v>
      </c>
      <c r="Q72" s="134" t="n">
        <f aca="false">IFERROR(IF(OR(4&gt;$B$3,ISBLANK(Actuals!F88)),"",('Reforecast Q1 2026'!F88-Actuals!F88)/ABS('Reforecast Q1 2026'!F88)),"")</f>
        <v>0.0271905882352942</v>
      </c>
      <c r="R72" s="133" t="n">
        <f aca="false">'Reforecast Q1 2026'!G88</f>
        <v>-8500</v>
      </c>
      <c r="S72" s="133" t="n">
        <f aca="false">IF(OR(5&gt;$B$3,ISBLANK(Actuals!G88)),"",Actuals!G88)</f>
        <v>-8739.17</v>
      </c>
      <c r="T72" s="134" t="n">
        <f aca="false">IF(OR(5&gt;$B$3,ISBLANK(Actuals!G88)),"",'Reforecast Q1 2026'!G88-Actuals!G88)</f>
        <v>239.17</v>
      </c>
      <c r="U72" s="134" t="n">
        <f aca="false">IFERROR(IF(OR(5&gt;$B$3,ISBLANK(Actuals!G88)),"",('Reforecast Q1 2026'!G88-Actuals!G88)/ABS('Reforecast Q1 2026'!G88)),"")</f>
        <v>0.0281376470588235</v>
      </c>
      <c r="V72" s="133" t="n">
        <f aca="false">'Reforecast Q1 2026'!H88</f>
        <v>-8500</v>
      </c>
      <c r="W72" s="133" t="n">
        <f aca="false">IF(OR(6&gt;$B$3,ISBLANK(Actuals!H88)),"",Actuals!H88)</f>
        <v>-8771.99</v>
      </c>
      <c r="X72" s="134" t="n">
        <f aca="false">IF(OR(6&gt;$B$3,ISBLANK(Actuals!H88)),"",'Reforecast Q1 2026'!H88-Actuals!H88)</f>
        <v>271.99</v>
      </c>
      <c r="Y72" s="134" t="n">
        <f aca="false">IFERROR(IF(OR(6&gt;$B$3,ISBLANK(Actuals!H88)),"",('Reforecast Q1 2026'!H88-Actuals!H88)/ABS('Reforecast Q1 2026'!H88)),"")</f>
        <v>0.0319988235294117</v>
      </c>
      <c r="Z72" s="133" t="n">
        <f aca="false">'Reforecast Q1 2026'!I88</f>
        <v>-8500</v>
      </c>
      <c r="AA72" s="133" t="n">
        <f aca="false">IF(OR(7&gt;$B$3,ISBLANK(Actuals!I88)),"",Actuals!I88)</f>
        <v>-13832.56</v>
      </c>
      <c r="AB72" s="134" t="n">
        <f aca="false">IF(OR(7&gt;$B$3,ISBLANK(Actuals!I88)),"",'Reforecast Q1 2026'!I88-Actuals!I88)</f>
        <v>5332.56</v>
      </c>
      <c r="AC72" s="134" t="n">
        <f aca="false">IFERROR(IF(OR(7&gt;$B$3,ISBLANK(Actuals!I88)),"",('Reforecast Q1 2026'!I88-Actuals!I88)/ABS('Reforecast Q1 2026'!I88)),"")</f>
        <v>0.62736</v>
      </c>
      <c r="AD72" s="133" t="n">
        <f aca="false">'Reforecast Q1 2026'!J88</f>
        <v>-8500</v>
      </c>
      <c r="AE72" s="133" t="n">
        <f aca="false">IF(OR(8&gt;$B$3,ISBLANK(Actuals!J88)),"",Actuals!J88)</f>
        <v>-3870.05</v>
      </c>
      <c r="AF72" s="134" t="n">
        <f aca="false">IF(OR(8&gt;$B$3,ISBLANK(Actuals!J88)),"",'Reforecast Q1 2026'!J88-Actuals!J88)</f>
        <v>-4629.95</v>
      </c>
      <c r="AG72" s="134" t="n">
        <f aca="false">IFERROR(IF(OR(8&gt;$B$3,ISBLANK(Actuals!J88)),"",('Reforecast Q1 2026'!J88-Actuals!J88)/ABS('Reforecast Q1 2026'!J88)),"")</f>
        <v>-0.5447</v>
      </c>
      <c r="AH72" s="133" t="n">
        <f aca="false">'Reforecast Q1 2026'!K88</f>
        <v>-8500</v>
      </c>
      <c r="AI72" s="133" t="str">
        <f aca="false">IF(OR(9&gt;$B$3,ISBLANK(Actuals!K88)),"",Actuals!K88)</f>
        <v/>
      </c>
      <c r="AJ72" s="134" t="str">
        <f aca="false">IF(OR(9&gt;$B$3,ISBLANK(Actuals!K88)),"",'Reforecast Q1 2026'!K88-Actuals!K88)</f>
        <v/>
      </c>
      <c r="AK72" s="134" t="str">
        <f aca="false">IFERROR(IF(OR(9&gt;$B$3,ISBLANK(Actuals!K88)),"",('Reforecast Q1 2026'!K88-Actuals!K88)/ABS('Reforecast Q1 2026'!K88)),"")</f>
        <v/>
      </c>
      <c r="AL72" s="133" t="n">
        <f aca="false">'Reforecast Q1 2026'!L88</f>
        <v>-8500</v>
      </c>
      <c r="AM72" s="133" t="str">
        <f aca="false">IF(OR(10&gt;$B$3,ISBLANK(Actuals!L88)),"",Actuals!L88)</f>
        <v/>
      </c>
      <c r="AN72" s="134" t="str">
        <f aca="false">IF(OR(10&gt;$B$3,ISBLANK(Actuals!L88)),"",'Reforecast Q1 2026'!L88-Actuals!L88)</f>
        <v/>
      </c>
      <c r="AO72" s="134" t="str">
        <f aca="false">IFERROR(IF(OR(10&gt;$B$3,ISBLANK(Actuals!L88)),"",('Reforecast Q1 2026'!L88-Actuals!L88)/ABS('Reforecast Q1 2026'!L88)),"")</f>
        <v/>
      </c>
      <c r="AP72" s="133" t="n">
        <f aca="false">'Reforecast Q1 2026'!M88</f>
        <v>-8500</v>
      </c>
      <c r="AQ72" s="133" t="str">
        <f aca="false">IF(OR(11&gt;$B$3,ISBLANK(Actuals!M88)),"",Actuals!M88)</f>
        <v/>
      </c>
      <c r="AR72" s="134" t="str">
        <f aca="false">IF(OR(11&gt;$B$3,ISBLANK(Actuals!M88)),"",'Reforecast Q1 2026'!M88-Actuals!M88)</f>
        <v/>
      </c>
      <c r="AS72" s="134" t="str">
        <f aca="false">IFERROR(IF(OR(11&gt;$B$3,ISBLANK(Actuals!M88)),"",('Reforecast Q1 2026'!M88-Actuals!M88)/ABS('Reforecast Q1 2026'!M88)),"")</f>
        <v/>
      </c>
      <c r="AT72" s="133" t="n">
        <f aca="false">'Reforecast Q1 2026'!N88</f>
        <v>-8500</v>
      </c>
      <c r="AU72" s="133" t="str">
        <f aca="false">IF(OR(12&gt;$B$3,ISBLANK(Actuals!N88)),"",Actuals!N88)</f>
        <v/>
      </c>
      <c r="AV72" s="134" t="str">
        <f aca="false">IF(OR(12&gt;$B$3,ISBLANK(Actuals!N88)),"",'Reforecast Q1 2026'!N88-Actuals!N88)</f>
        <v/>
      </c>
      <c r="AW72" s="134" t="str">
        <f aca="false">IFERROR(IF(OR(12&gt;$B$3,ISBLANK(Actuals!N88)),"",('Reforecast Q1 2026'!N88-Actuals!N88)/ABS('Reforecast Q1 2026'!N88)),"")</f>
        <v/>
      </c>
      <c r="AX72" s="135" t="n">
        <f aca="false">SUMPRODUCT((Actuals!C88:N88&lt;&gt;"")*('Reforecast Q1 2026'!C88:N88))</f>
        <v>-63942.19</v>
      </c>
      <c r="AY72" s="135" t="n">
        <f aca="false">SUM(Actuals!C88:N88)</f>
        <v>-65387.08</v>
      </c>
      <c r="AZ72" s="136" t="n">
        <f aca="false">AX72-AY72</f>
        <v>1444.89</v>
      </c>
    </row>
    <row r="73" customFormat="false" ht="15" hidden="false" customHeight="true" outlineLevel="0" collapsed="false">
      <c r="A73" s="132" t="s">
        <v>73</v>
      </c>
      <c r="B73" s="133" t="n">
        <f aca="false">'Reforecast Q1 2026'!C89</f>
        <v>-1722.9</v>
      </c>
      <c r="C73" s="133" t="n">
        <f aca="false">IF(OR(1&gt;$B$3,ISBLANK(Actuals!C89)),"",Actuals!C89)</f>
        <v>-1722.9</v>
      </c>
      <c r="D73" s="134" t="n">
        <f aca="false">IF(OR(1&gt;$B$3,ISBLANK(Actuals!C89)),"",'Reforecast Q1 2026'!C89-Actuals!C89)</f>
        <v>0</v>
      </c>
      <c r="E73" s="134" t="n">
        <f aca="false">IFERROR(IF(OR(1&gt;$B$3,ISBLANK(Actuals!C89)),"",('Reforecast Q1 2026'!C89-Actuals!C89)/ABS('Reforecast Q1 2026'!C89)),"")</f>
        <v>0</v>
      </c>
      <c r="F73" s="133" t="n">
        <f aca="false">'Reforecast Q1 2026'!D89</f>
        <v>0</v>
      </c>
      <c r="G73" s="133" t="n">
        <f aca="false">IF(OR(2&gt;$B$3,ISBLANK(Actuals!D89)),"",Actuals!D89)</f>
        <v>0</v>
      </c>
      <c r="H73" s="134" t="n">
        <f aca="false">IF(OR(2&gt;$B$3,ISBLANK(Actuals!D89)),"",'Reforecast Q1 2026'!D89-Actuals!D89)</f>
        <v>0</v>
      </c>
      <c r="I73" s="134" t="str">
        <f aca="false">IFERROR(IF(OR(2&gt;$B$3,ISBLANK(Actuals!D89)),"",('Reforecast Q1 2026'!D89-Actuals!D89)/ABS('Reforecast Q1 2026'!D89)),"")</f>
        <v/>
      </c>
      <c r="J73" s="133" t="n">
        <f aca="false">'Reforecast Q1 2026'!E89</f>
        <v>-28.51</v>
      </c>
      <c r="K73" s="133" t="n">
        <f aca="false">IF(OR(3&gt;$B$3,ISBLANK(Actuals!E89)),"",Actuals!E89)</f>
        <v>-28.51</v>
      </c>
      <c r="L73" s="134" t="n">
        <f aca="false">IF(OR(3&gt;$B$3,ISBLANK(Actuals!E89)),"",'Reforecast Q1 2026'!E89-Actuals!E89)</f>
        <v>0</v>
      </c>
      <c r="M73" s="134" t="n">
        <f aca="false">IFERROR(IF(OR(3&gt;$B$3,ISBLANK(Actuals!E89)),"",('Reforecast Q1 2026'!E89-Actuals!E89)/ABS('Reforecast Q1 2026'!E89)),"")</f>
        <v>0</v>
      </c>
      <c r="N73" s="133" t="n">
        <f aca="false">'Reforecast Q1 2026'!F89</f>
        <v>-583.8</v>
      </c>
      <c r="O73" s="133" t="n">
        <f aca="false">IF(OR(4&gt;$B$3,ISBLANK(Actuals!F89)),"",Actuals!F89)</f>
        <v>0</v>
      </c>
      <c r="P73" s="134" t="n">
        <f aca="false">IF(OR(4&gt;$B$3,ISBLANK(Actuals!F89)),"",'Reforecast Q1 2026'!F89-Actuals!F89)</f>
        <v>-583.8</v>
      </c>
      <c r="Q73" s="134" t="n">
        <f aca="false">IFERROR(IF(OR(4&gt;$B$3,ISBLANK(Actuals!F89)),"",('Reforecast Q1 2026'!F89-Actuals!F89)/ABS('Reforecast Q1 2026'!F89)),"")</f>
        <v>-1</v>
      </c>
      <c r="R73" s="133" t="n">
        <f aca="false">'Reforecast Q1 2026'!G89</f>
        <v>-583.8</v>
      </c>
      <c r="S73" s="133" t="n">
        <f aca="false">IF(OR(5&gt;$B$3,ISBLANK(Actuals!G89)),"",Actuals!G89)</f>
        <v>-212.12</v>
      </c>
      <c r="T73" s="134" t="n">
        <f aca="false">IF(OR(5&gt;$B$3,ISBLANK(Actuals!G89)),"",'Reforecast Q1 2026'!G89-Actuals!G89)</f>
        <v>-371.68</v>
      </c>
      <c r="U73" s="134" t="n">
        <f aca="false">IFERROR(IF(OR(5&gt;$B$3,ISBLANK(Actuals!G89)),"",('Reforecast Q1 2026'!G89-Actuals!G89)/ABS('Reforecast Q1 2026'!G89)),"")</f>
        <v>-0.636656389174375</v>
      </c>
      <c r="V73" s="133" t="n">
        <f aca="false">'Reforecast Q1 2026'!H89</f>
        <v>-583.8</v>
      </c>
      <c r="W73" s="133" t="n">
        <f aca="false">IF(OR(6&gt;$B$3,ISBLANK(Actuals!H89)),"",Actuals!H89)</f>
        <v>-83.92</v>
      </c>
      <c r="X73" s="134" t="n">
        <f aca="false">IF(OR(6&gt;$B$3,ISBLANK(Actuals!H89)),"",'Reforecast Q1 2026'!H89-Actuals!H89)</f>
        <v>-499.88</v>
      </c>
      <c r="Y73" s="134" t="n">
        <f aca="false">IFERROR(IF(OR(6&gt;$B$3,ISBLANK(Actuals!H89)),"",('Reforecast Q1 2026'!H89-Actuals!H89)/ABS('Reforecast Q1 2026'!H89)),"")</f>
        <v>-0.856252141144227</v>
      </c>
      <c r="Z73" s="133" t="n">
        <f aca="false">'Reforecast Q1 2026'!I89</f>
        <v>-583.8</v>
      </c>
      <c r="AA73" s="133" t="n">
        <f aca="false">IF(OR(7&gt;$B$3,ISBLANK(Actuals!I89)),"",Actuals!I89)</f>
        <v>-530</v>
      </c>
      <c r="AB73" s="134" t="n">
        <f aca="false">IF(OR(7&gt;$B$3,ISBLANK(Actuals!I89)),"",'Reforecast Q1 2026'!I89-Actuals!I89)</f>
        <v>-53.8</v>
      </c>
      <c r="AC73" s="134" t="n">
        <f aca="false">IFERROR(IF(OR(7&gt;$B$3,ISBLANK(Actuals!I89)),"",('Reforecast Q1 2026'!I89-Actuals!I89)/ABS('Reforecast Q1 2026'!I89)),"")</f>
        <v>-0.0921548475505309</v>
      </c>
      <c r="AD73" s="133" t="n">
        <f aca="false">'Reforecast Q1 2026'!J89</f>
        <v>-583.8</v>
      </c>
      <c r="AE73" s="133" t="n">
        <f aca="false">IF(OR(8&gt;$B$3,ISBLANK(Actuals!J89)),"",Actuals!J89)</f>
        <v>-180.23</v>
      </c>
      <c r="AF73" s="134" t="n">
        <f aca="false">IF(OR(8&gt;$B$3,ISBLANK(Actuals!J89)),"",'Reforecast Q1 2026'!J89-Actuals!J89)</f>
        <v>-403.57</v>
      </c>
      <c r="AG73" s="134" t="n">
        <f aca="false">IFERROR(IF(OR(8&gt;$B$3,ISBLANK(Actuals!J89)),"",('Reforecast Q1 2026'!J89-Actuals!J89)/ABS('Reforecast Q1 2026'!J89)),"")</f>
        <v>-0.691281260705721</v>
      </c>
      <c r="AH73" s="133" t="n">
        <f aca="false">'Reforecast Q1 2026'!K89</f>
        <v>-583.8</v>
      </c>
      <c r="AI73" s="133" t="str">
        <f aca="false">IF(OR(9&gt;$B$3,ISBLANK(Actuals!K89)),"",Actuals!K89)</f>
        <v/>
      </c>
      <c r="AJ73" s="134" t="str">
        <f aca="false">IF(OR(9&gt;$B$3,ISBLANK(Actuals!K89)),"",'Reforecast Q1 2026'!K89-Actuals!K89)</f>
        <v/>
      </c>
      <c r="AK73" s="134" t="str">
        <f aca="false">IFERROR(IF(OR(9&gt;$B$3,ISBLANK(Actuals!K89)),"",('Reforecast Q1 2026'!K89-Actuals!K89)/ABS('Reforecast Q1 2026'!K89)),"")</f>
        <v/>
      </c>
      <c r="AL73" s="133" t="n">
        <f aca="false">'Reforecast Q1 2026'!L89</f>
        <v>-583.8</v>
      </c>
      <c r="AM73" s="133" t="str">
        <f aca="false">IF(OR(10&gt;$B$3,ISBLANK(Actuals!L89)),"",Actuals!L89)</f>
        <v/>
      </c>
      <c r="AN73" s="134" t="str">
        <f aca="false">IF(OR(10&gt;$B$3,ISBLANK(Actuals!L89)),"",'Reforecast Q1 2026'!L89-Actuals!L89)</f>
        <v/>
      </c>
      <c r="AO73" s="134" t="str">
        <f aca="false">IFERROR(IF(OR(10&gt;$B$3,ISBLANK(Actuals!L89)),"",('Reforecast Q1 2026'!L89-Actuals!L89)/ABS('Reforecast Q1 2026'!L89)),"")</f>
        <v/>
      </c>
      <c r="AP73" s="133" t="n">
        <f aca="false">'Reforecast Q1 2026'!M89</f>
        <v>-583.8</v>
      </c>
      <c r="AQ73" s="133" t="str">
        <f aca="false">IF(OR(11&gt;$B$3,ISBLANK(Actuals!M89)),"",Actuals!M89)</f>
        <v/>
      </c>
      <c r="AR73" s="134" t="str">
        <f aca="false">IF(OR(11&gt;$B$3,ISBLANK(Actuals!M89)),"",'Reforecast Q1 2026'!M89-Actuals!M89)</f>
        <v/>
      </c>
      <c r="AS73" s="134" t="str">
        <f aca="false">IFERROR(IF(OR(11&gt;$B$3,ISBLANK(Actuals!M89)),"",('Reforecast Q1 2026'!M89-Actuals!M89)/ABS('Reforecast Q1 2026'!M89)),"")</f>
        <v/>
      </c>
      <c r="AT73" s="133" t="n">
        <f aca="false">'Reforecast Q1 2026'!N89</f>
        <v>-583.8</v>
      </c>
      <c r="AU73" s="133" t="str">
        <f aca="false">IF(OR(12&gt;$B$3,ISBLANK(Actuals!N89)),"",Actuals!N89)</f>
        <v/>
      </c>
      <c r="AV73" s="134" t="str">
        <f aca="false">IF(OR(12&gt;$B$3,ISBLANK(Actuals!N89)),"",'Reforecast Q1 2026'!N89-Actuals!N89)</f>
        <v/>
      </c>
      <c r="AW73" s="134" t="str">
        <f aca="false">IFERROR(IF(OR(12&gt;$B$3,ISBLANK(Actuals!N89)),"",('Reforecast Q1 2026'!N89-Actuals!N89)/ABS('Reforecast Q1 2026'!N89)),"")</f>
        <v/>
      </c>
      <c r="AX73" s="135" t="n">
        <f aca="false">SUMPRODUCT((Actuals!C89:N89&lt;&gt;"")*('Reforecast Q1 2026'!C89:N89))</f>
        <v>-4670.41</v>
      </c>
      <c r="AY73" s="135" t="n">
        <f aca="false">SUM(Actuals!C89:N89)</f>
        <v>-2757.68</v>
      </c>
      <c r="AZ73" s="136" t="n">
        <f aca="false">AX73-AY73</f>
        <v>-1912.73</v>
      </c>
    </row>
    <row r="74" customFormat="false" ht="15" hidden="false" customHeight="true" outlineLevel="0" collapsed="false">
      <c r="A74" s="132" t="s">
        <v>76</v>
      </c>
      <c r="B74" s="133" t="n">
        <f aca="false">'Reforecast Q1 2026'!C90</f>
        <v>-246.85</v>
      </c>
      <c r="C74" s="133" t="n">
        <f aca="false">IF(OR(1&gt;$B$3,ISBLANK(Actuals!C90)),"",Actuals!C90)</f>
        <v>-246.85</v>
      </c>
      <c r="D74" s="134" t="n">
        <f aca="false">IF(OR(1&gt;$B$3,ISBLANK(Actuals!C90)),"",'Reforecast Q1 2026'!C90-Actuals!C90)</f>
        <v>0</v>
      </c>
      <c r="E74" s="134" t="n">
        <f aca="false">IFERROR(IF(OR(1&gt;$B$3,ISBLANK(Actuals!C90)),"",('Reforecast Q1 2026'!C90-Actuals!C90)/ABS('Reforecast Q1 2026'!C90)),"")</f>
        <v>0</v>
      </c>
      <c r="F74" s="133" t="n">
        <f aca="false">'Reforecast Q1 2026'!D90</f>
        <v>0</v>
      </c>
      <c r="G74" s="133" t="n">
        <f aca="false">IF(OR(2&gt;$B$3,ISBLANK(Actuals!D90)),"",Actuals!D90)</f>
        <v>0</v>
      </c>
      <c r="H74" s="134" t="n">
        <f aca="false">IF(OR(2&gt;$B$3,ISBLANK(Actuals!D90)),"",'Reforecast Q1 2026'!D90-Actuals!D90)</f>
        <v>0</v>
      </c>
      <c r="I74" s="134" t="str">
        <f aca="false">IFERROR(IF(OR(2&gt;$B$3,ISBLANK(Actuals!D90)),"",('Reforecast Q1 2026'!D90-Actuals!D90)/ABS('Reforecast Q1 2026'!D90)),"")</f>
        <v/>
      </c>
      <c r="J74" s="133" t="n">
        <f aca="false">'Reforecast Q1 2026'!E90</f>
        <v>-4246.73</v>
      </c>
      <c r="K74" s="133" t="n">
        <f aca="false">IF(OR(3&gt;$B$3,ISBLANK(Actuals!E90)),"",Actuals!E90)</f>
        <v>-4246.73</v>
      </c>
      <c r="L74" s="134" t="n">
        <f aca="false">IF(OR(3&gt;$B$3,ISBLANK(Actuals!E90)),"",'Reforecast Q1 2026'!E90-Actuals!E90)</f>
        <v>0</v>
      </c>
      <c r="M74" s="134" t="n">
        <f aca="false">IFERROR(IF(OR(3&gt;$B$3,ISBLANK(Actuals!E90)),"",('Reforecast Q1 2026'!E90-Actuals!E90)/ABS('Reforecast Q1 2026'!E90)),"")</f>
        <v>0</v>
      </c>
      <c r="N74" s="133" t="n">
        <f aca="false">'Reforecast Q1 2026'!F90</f>
        <v>-1497.86</v>
      </c>
      <c r="O74" s="133" t="n">
        <f aca="false">IF(OR(4&gt;$B$3,ISBLANK(Actuals!F90)),"",Actuals!F90)</f>
        <v>-3123.87</v>
      </c>
      <c r="P74" s="134" t="n">
        <f aca="false">IF(OR(4&gt;$B$3,ISBLANK(Actuals!F90)),"",'Reforecast Q1 2026'!F90-Actuals!F90)</f>
        <v>1626.01</v>
      </c>
      <c r="Q74" s="134" t="n">
        <f aca="false">IFERROR(IF(OR(4&gt;$B$3,ISBLANK(Actuals!F90)),"",('Reforecast Q1 2026'!F90-Actuals!F90)/ABS('Reforecast Q1 2026'!F90)),"")</f>
        <v>1.08555539235977</v>
      </c>
      <c r="R74" s="133" t="n">
        <f aca="false">'Reforecast Q1 2026'!G90</f>
        <v>-1497.86</v>
      </c>
      <c r="S74" s="133" t="n">
        <f aca="false">IF(OR(5&gt;$B$3,ISBLANK(Actuals!G90)),"",Actuals!G90)</f>
        <v>-3184.88</v>
      </c>
      <c r="T74" s="134" t="n">
        <f aca="false">IF(OR(5&gt;$B$3,ISBLANK(Actuals!G90)),"",'Reforecast Q1 2026'!G90-Actuals!G90)</f>
        <v>1687.02</v>
      </c>
      <c r="U74" s="134" t="n">
        <f aca="false">IFERROR(IF(OR(5&gt;$B$3,ISBLANK(Actuals!G90)),"",('Reforecast Q1 2026'!G90-Actuals!G90)/ABS('Reforecast Q1 2026'!G90)),"")</f>
        <v>1.12628683588586</v>
      </c>
      <c r="V74" s="133" t="n">
        <f aca="false">'Reforecast Q1 2026'!H90</f>
        <v>-1497.86</v>
      </c>
      <c r="W74" s="133" t="n">
        <f aca="false">IF(OR(6&gt;$B$3,ISBLANK(Actuals!H90)),"",Actuals!H90)</f>
        <v>-4015.94</v>
      </c>
      <c r="X74" s="134" t="n">
        <f aca="false">IF(OR(6&gt;$B$3,ISBLANK(Actuals!H90)),"",'Reforecast Q1 2026'!H90-Actuals!H90)</f>
        <v>2518.08</v>
      </c>
      <c r="Y74" s="134" t="n">
        <f aca="false">IFERROR(IF(OR(6&gt;$B$3,ISBLANK(Actuals!H90)),"",('Reforecast Q1 2026'!H90-Actuals!H90)/ABS('Reforecast Q1 2026'!H90)),"")</f>
        <v>1.68111839557769</v>
      </c>
      <c r="Z74" s="133" t="n">
        <f aca="false">'Reforecast Q1 2026'!I90</f>
        <v>-1497.86</v>
      </c>
      <c r="AA74" s="133" t="n">
        <f aca="false">IF(OR(7&gt;$B$3,ISBLANK(Actuals!I90)),"",Actuals!I90)</f>
        <v>-759.45</v>
      </c>
      <c r="AB74" s="134" t="n">
        <f aca="false">IF(OR(7&gt;$B$3,ISBLANK(Actuals!I90)),"",'Reforecast Q1 2026'!I90-Actuals!I90)</f>
        <v>-738.41</v>
      </c>
      <c r="AC74" s="134" t="n">
        <f aca="false">IFERROR(IF(OR(7&gt;$B$3,ISBLANK(Actuals!I90)),"",('Reforecast Q1 2026'!I90-Actuals!I90)/ABS('Reforecast Q1 2026'!I90)),"")</f>
        <v>-0.4929766466826</v>
      </c>
      <c r="AD74" s="133" t="n">
        <f aca="false">'Reforecast Q1 2026'!J90</f>
        <v>-1497.86</v>
      </c>
      <c r="AE74" s="133" t="n">
        <f aca="false">IF(OR(8&gt;$B$3,ISBLANK(Actuals!J90)),"",Actuals!J90)</f>
        <v>-6023.52</v>
      </c>
      <c r="AF74" s="134" t="n">
        <f aca="false">IF(OR(8&gt;$B$3,ISBLANK(Actuals!J90)),"",'Reforecast Q1 2026'!J90-Actuals!J90)</f>
        <v>4525.66</v>
      </c>
      <c r="AG74" s="134" t="n">
        <f aca="false">IFERROR(IF(OR(8&gt;$B$3,ISBLANK(Actuals!J90)),"",('Reforecast Q1 2026'!J90-Actuals!J90)/ABS('Reforecast Q1 2026'!J90)),"")</f>
        <v>3.02141722190325</v>
      </c>
      <c r="AH74" s="133" t="n">
        <f aca="false">'Reforecast Q1 2026'!K90</f>
        <v>-1497.86</v>
      </c>
      <c r="AI74" s="133" t="str">
        <f aca="false">IF(OR(9&gt;$B$3,ISBLANK(Actuals!K90)),"",Actuals!K90)</f>
        <v/>
      </c>
      <c r="AJ74" s="134" t="str">
        <f aca="false">IF(OR(9&gt;$B$3,ISBLANK(Actuals!K90)),"",'Reforecast Q1 2026'!K90-Actuals!K90)</f>
        <v/>
      </c>
      <c r="AK74" s="134" t="str">
        <f aca="false">IFERROR(IF(OR(9&gt;$B$3,ISBLANK(Actuals!K90)),"",('Reforecast Q1 2026'!K90-Actuals!K90)/ABS('Reforecast Q1 2026'!K90)),"")</f>
        <v/>
      </c>
      <c r="AL74" s="133" t="n">
        <f aca="false">'Reforecast Q1 2026'!L90</f>
        <v>-1497.86</v>
      </c>
      <c r="AM74" s="133" t="str">
        <f aca="false">IF(OR(10&gt;$B$3,ISBLANK(Actuals!L90)),"",Actuals!L90)</f>
        <v/>
      </c>
      <c r="AN74" s="134" t="str">
        <f aca="false">IF(OR(10&gt;$B$3,ISBLANK(Actuals!L90)),"",'Reforecast Q1 2026'!L90-Actuals!L90)</f>
        <v/>
      </c>
      <c r="AO74" s="134" t="str">
        <f aca="false">IFERROR(IF(OR(10&gt;$B$3,ISBLANK(Actuals!L90)),"",('Reforecast Q1 2026'!L90-Actuals!L90)/ABS('Reforecast Q1 2026'!L90)),"")</f>
        <v/>
      </c>
      <c r="AP74" s="133" t="n">
        <f aca="false">'Reforecast Q1 2026'!M90</f>
        <v>-1497.86</v>
      </c>
      <c r="AQ74" s="133" t="str">
        <f aca="false">IF(OR(11&gt;$B$3,ISBLANK(Actuals!M90)),"",Actuals!M90)</f>
        <v/>
      </c>
      <c r="AR74" s="134" t="str">
        <f aca="false">IF(OR(11&gt;$B$3,ISBLANK(Actuals!M90)),"",'Reforecast Q1 2026'!M90-Actuals!M90)</f>
        <v/>
      </c>
      <c r="AS74" s="134" t="str">
        <f aca="false">IFERROR(IF(OR(11&gt;$B$3,ISBLANK(Actuals!M90)),"",('Reforecast Q1 2026'!M90-Actuals!M90)/ABS('Reforecast Q1 2026'!M90)),"")</f>
        <v/>
      </c>
      <c r="AT74" s="133" t="n">
        <f aca="false">'Reforecast Q1 2026'!N90</f>
        <v>-1497.86</v>
      </c>
      <c r="AU74" s="133" t="str">
        <f aca="false">IF(OR(12&gt;$B$3,ISBLANK(Actuals!N90)),"",Actuals!N90)</f>
        <v/>
      </c>
      <c r="AV74" s="134" t="str">
        <f aca="false">IF(OR(12&gt;$B$3,ISBLANK(Actuals!N90)),"",'Reforecast Q1 2026'!N90-Actuals!N90)</f>
        <v/>
      </c>
      <c r="AW74" s="134" t="str">
        <f aca="false">IFERROR(IF(OR(12&gt;$B$3,ISBLANK(Actuals!N90)),"",('Reforecast Q1 2026'!N90-Actuals!N90)/ABS('Reforecast Q1 2026'!N90)),"")</f>
        <v/>
      </c>
      <c r="AX74" s="135" t="n">
        <f aca="false">SUMPRODUCT((Actuals!C90:N90&lt;&gt;"")*('Reforecast Q1 2026'!C90:N90))</f>
        <v>-11982.88</v>
      </c>
      <c r="AY74" s="135" t="n">
        <f aca="false">SUM(Actuals!C90:N90)</f>
        <v>-21601.24</v>
      </c>
      <c r="AZ74" s="136" t="n">
        <f aca="false">AX74-AY74</f>
        <v>9618.36</v>
      </c>
    </row>
    <row r="75" customFormat="false" ht="15" hidden="false" customHeight="true" outlineLevel="0" collapsed="false">
      <c r="A75" s="132" t="s">
        <v>123</v>
      </c>
      <c r="B75" s="133" t="n">
        <f aca="false">'Reforecast Q1 2026'!C91</f>
        <v>0</v>
      </c>
      <c r="C75" s="133" t="n">
        <f aca="false">IF(OR(1&gt;$B$3,ISBLANK(Actuals!C91)),"",Actuals!C91)</f>
        <v>0</v>
      </c>
      <c r="D75" s="134" t="n">
        <f aca="false">IF(OR(1&gt;$B$3,ISBLANK(Actuals!C91)),"",'Reforecast Q1 2026'!C91-Actuals!C91)</f>
        <v>0</v>
      </c>
      <c r="E75" s="134" t="str">
        <f aca="false">IFERROR(IF(OR(1&gt;$B$3,ISBLANK(Actuals!C91)),"",('Reforecast Q1 2026'!C91-Actuals!C91)/ABS('Reforecast Q1 2026'!C91)),"")</f>
        <v/>
      </c>
      <c r="F75" s="133" t="n">
        <f aca="false">'Reforecast Q1 2026'!D91</f>
        <v>0</v>
      </c>
      <c r="G75" s="133" t="n">
        <f aca="false">IF(OR(2&gt;$B$3,ISBLANK(Actuals!D91)),"",Actuals!D91)</f>
        <v>0</v>
      </c>
      <c r="H75" s="134" t="n">
        <f aca="false">IF(OR(2&gt;$B$3,ISBLANK(Actuals!D91)),"",'Reforecast Q1 2026'!D91-Actuals!D91)</f>
        <v>0</v>
      </c>
      <c r="I75" s="134" t="str">
        <f aca="false">IFERROR(IF(OR(2&gt;$B$3,ISBLANK(Actuals!D91)),"",('Reforecast Q1 2026'!D91-Actuals!D91)/ABS('Reforecast Q1 2026'!D91)),"")</f>
        <v/>
      </c>
      <c r="J75" s="133" t="n">
        <f aca="false">'Reforecast Q1 2026'!E91</f>
        <v>-870</v>
      </c>
      <c r="K75" s="133" t="n">
        <f aca="false">IF(OR(3&gt;$B$3,ISBLANK(Actuals!E91)),"",Actuals!E91)</f>
        <v>-870</v>
      </c>
      <c r="L75" s="134" t="n">
        <f aca="false">IF(OR(3&gt;$B$3,ISBLANK(Actuals!E91)),"",'Reforecast Q1 2026'!E91-Actuals!E91)</f>
        <v>0</v>
      </c>
      <c r="M75" s="134" t="n">
        <f aca="false">IFERROR(IF(OR(3&gt;$B$3,ISBLANK(Actuals!E91)),"",('Reforecast Q1 2026'!E91-Actuals!E91)/ABS('Reforecast Q1 2026'!E91)),"")</f>
        <v>0</v>
      </c>
      <c r="N75" s="133" t="n">
        <f aca="false">'Reforecast Q1 2026'!F91</f>
        <v>-290</v>
      </c>
      <c r="O75" s="133" t="n">
        <f aca="false">IF(OR(4&gt;$B$3,ISBLANK(Actuals!F91)),"",Actuals!F91)</f>
        <v>0</v>
      </c>
      <c r="P75" s="134" t="n">
        <f aca="false">IF(OR(4&gt;$B$3,ISBLANK(Actuals!F91)),"",'Reforecast Q1 2026'!F91-Actuals!F91)</f>
        <v>-290</v>
      </c>
      <c r="Q75" s="134" t="n">
        <f aca="false">IFERROR(IF(OR(4&gt;$B$3,ISBLANK(Actuals!F91)),"",('Reforecast Q1 2026'!F91-Actuals!F91)/ABS('Reforecast Q1 2026'!F91)),"")</f>
        <v>-1</v>
      </c>
      <c r="R75" s="133" t="n">
        <f aca="false">'Reforecast Q1 2026'!G91</f>
        <v>-290</v>
      </c>
      <c r="S75" s="133" t="n">
        <f aca="false">IF(OR(5&gt;$B$3,ISBLANK(Actuals!G91)),"",Actuals!G91)</f>
        <v>0</v>
      </c>
      <c r="T75" s="134" t="n">
        <f aca="false">IF(OR(5&gt;$B$3,ISBLANK(Actuals!G91)),"",'Reforecast Q1 2026'!G91-Actuals!G91)</f>
        <v>-290</v>
      </c>
      <c r="U75" s="134" t="n">
        <f aca="false">IFERROR(IF(OR(5&gt;$B$3,ISBLANK(Actuals!G91)),"",('Reforecast Q1 2026'!G91-Actuals!G91)/ABS('Reforecast Q1 2026'!G91)),"")</f>
        <v>-1</v>
      </c>
      <c r="V75" s="133" t="n">
        <f aca="false">'Reforecast Q1 2026'!H91</f>
        <v>-290</v>
      </c>
      <c r="W75" s="133" t="n">
        <f aca="false">IF(OR(6&gt;$B$3,ISBLANK(Actuals!H91)),"",Actuals!H91)</f>
        <v>0</v>
      </c>
      <c r="X75" s="134" t="n">
        <f aca="false">IF(OR(6&gt;$B$3,ISBLANK(Actuals!H91)),"",'Reforecast Q1 2026'!H91-Actuals!H91)</f>
        <v>-290</v>
      </c>
      <c r="Y75" s="134" t="n">
        <f aca="false">IFERROR(IF(OR(6&gt;$B$3,ISBLANK(Actuals!H91)),"",('Reforecast Q1 2026'!H91-Actuals!H91)/ABS('Reforecast Q1 2026'!H91)),"")</f>
        <v>-1</v>
      </c>
      <c r="Z75" s="133" t="n">
        <f aca="false">'Reforecast Q1 2026'!I91</f>
        <v>-290</v>
      </c>
      <c r="AA75" s="133" t="n">
        <f aca="false">IF(OR(7&gt;$B$3,ISBLANK(Actuals!I91)),"",Actuals!I91)</f>
        <v>0</v>
      </c>
      <c r="AB75" s="134" t="n">
        <f aca="false">IF(OR(7&gt;$B$3,ISBLANK(Actuals!I91)),"",'Reforecast Q1 2026'!I91-Actuals!I91)</f>
        <v>-290</v>
      </c>
      <c r="AC75" s="134" t="n">
        <f aca="false">IFERROR(IF(OR(7&gt;$B$3,ISBLANK(Actuals!I91)),"",('Reforecast Q1 2026'!I91-Actuals!I91)/ABS('Reforecast Q1 2026'!I91)),"")</f>
        <v>-1</v>
      </c>
      <c r="AD75" s="133" t="n">
        <f aca="false">'Reforecast Q1 2026'!J91</f>
        <v>-290</v>
      </c>
      <c r="AE75" s="133" t="n">
        <f aca="false">IF(OR(8&gt;$B$3,ISBLANK(Actuals!J91)),"",Actuals!J91)</f>
        <v>0</v>
      </c>
      <c r="AF75" s="134" t="n">
        <f aca="false">IF(OR(8&gt;$B$3,ISBLANK(Actuals!J91)),"",'Reforecast Q1 2026'!J91-Actuals!J91)</f>
        <v>-290</v>
      </c>
      <c r="AG75" s="134" t="n">
        <f aca="false">IFERROR(IF(OR(8&gt;$B$3,ISBLANK(Actuals!J91)),"",('Reforecast Q1 2026'!J91-Actuals!J91)/ABS('Reforecast Q1 2026'!J91)),"")</f>
        <v>-1</v>
      </c>
      <c r="AH75" s="133" t="n">
        <f aca="false">'Reforecast Q1 2026'!K91</f>
        <v>-290</v>
      </c>
      <c r="AI75" s="133" t="str">
        <f aca="false">IF(OR(9&gt;$B$3,ISBLANK(Actuals!K91)),"",Actuals!K91)</f>
        <v/>
      </c>
      <c r="AJ75" s="134" t="str">
        <f aca="false">IF(OR(9&gt;$B$3,ISBLANK(Actuals!K91)),"",'Reforecast Q1 2026'!K91-Actuals!K91)</f>
        <v/>
      </c>
      <c r="AK75" s="134" t="str">
        <f aca="false">IFERROR(IF(OR(9&gt;$B$3,ISBLANK(Actuals!K91)),"",('Reforecast Q1 2026'!K91-Actuals!K91)/ABS('Reforecast Q1 2026'!K91)),"")</f>
        <v/>
      </c>
      <c r="AL75" s="133" t="n">
        <f aca="false">'Reforecast Q1 2026'!L91</f>
        <v>-290</v>
      </c>
      <c r="AM75" s="133" t="str">
        <f aca="false">IF(OR(10&gt;$B$3,ISBLANK(Actuals!L91)),"",Actuals!L91)</f>
        <v/>
      </c>
      <c r="AN75" s="134" t="str">
        <f aca="false">IF(OR(10&gt;$B$3,ISBLANK(Actuals!L91)),"",'Reforecast Q1 2026'!L91-Actuals!L91)</f>
        <v/>
      </c>
      <c r="AO75" s="134" t="str">
        <f aca="false">IFERROR(IF(OR(10&gt;$B$3,ISBLANK(Actuals!L91)),"",('Reforecast Q1 2026'!L91-Actuals!L91)/ABS('Reforecast Q1 2026'!L91)),"")</f>
        <v/>
      </c>
      <c r="AP75" s="133" t="n">
        <f aca="false">'Reforecast Q1 2026'!M91</f>
        <v>-290</v>
      </c>
      <c r="AQ75" s="133" t="str">
        <f aca="false">IF(OR(11&gt;$B$3,ISBLANK(Actuals!M91)),"",Actuals!M91)</f>
        <v/>
      </c>
      <c r="AR75" s="134" t="str">
        <f aca="false">IF(OR(11&gt;$B$3,ISBLANK(Actuals!M91)),"",'Reforecast Q1 2026'!M91-Actuals!M91)</f>
        <v/>
      </c>
      <c r="AS75" s="134" t="str">
        <f aca="false">IFERROR(IF(OR(11&gt;$B$3,ISBLANK(Actuals!M91)),"",('Reforecast Q1 2026'!M91-Actuals!M91)/ABS('Reforecast Q1 2026'!M91)),"")</f>
        <v/>
      </c>
      <c r="AT75" s="133" t="n">
        <f aca="false">'Reforecast Q1 2026'!N91</f>
        <v>-290</v>
      </c>
      <c r="AU75" s="133" t="str">
        <f aca="false">IF(OR(12&gt;$B$3,ISBLANK(Actuals!N91)),"",Actuals!N91)</f>
        <v/>
      </c>
      <c r="AV75" s="134" t="str">
        <f aca="false">IF(OR(12&gt;$B$3,ISBLANK(Actuals!N91)),"",'Reforecast Q1 2026'!N91-Actuals!N91)</f>
        <v/>
      </c>
      <c r="AW75" s="134" t="str">
        <f aca="false">IFERROR(IF(OR(12&gt;$B$3,ISBLANK(Actuals!N91)),"",('Reforecast Q1 2026'!N91-Actuals!N91)/ABS('Reforecast Q1 2026'!N91)),"")</f>
        <v/>
      </c>
      <c r="AX75" s="135" t="n">
        <f aca="false">SUMPRODUCT((Actuals!C91:N91&lt;&gt;"")*('Reforecast Q1 2026'!C91:N91))</f>
        <v>-2320</v>
      </c>
      <c r="AY75" s="135" t="n">
        <f aca="false">SUM(Actuals!C91:N91)</f>
        <v>-870</v>
      </c>
      <c r="AZ75" s="136" t="n">
        <f aca="false">AX75-AY75</f>
        <v>-1450</v>
      </c>
    </row>
    <row r="76" customFormat="false" ht="15" hidden="false" customHeight="true" outlineLevel="0" collapsed="false">
      <c r="A76" s="132" t="s">
        <v>124</v>
      </c>
      <c r="B76" s="133" t="n">
        <f aca="false">'Reforecast Q1 2026'!C92</f>
        <v>-245</v>
      </c>
      <c r="C76" s="133" t="n">
        <f aca="false">IF(OR(1&gt;$B$3,ISBLANK(Actuals!C92)),"",Actuals!C92)</f>
        <v>-245</v>
      </c>
      <c r="D76" s="134" t="n">
        <f aca="false">IF(OR(1&gt;$B$3,ISBLANK(Actuals!C92)),"",'Reforecast Q1 2026'!C92-Actuals!C92)</f>
        <v>0</v>
      </c>
      <c r="E76" s="134" t="n">
        <f aca="false">IFERROR(IF(OR(1&gt;$B$3,ISBLANK(Actuals!C92)),"",('Reforecast Q1 2026'!C92-Actuals!C92)/ABS('Reforecast Q1 2026'!C92)),"")</f>
        <v>0</v>
      </c>
      <c r="F76" s="133" t="n">
        <f aca="false">'Reforecast Q1 2026'!D92</f>
        <v>-245</v>
      </c>
      <c r="G76" s="133" t="n">
        <f aca="false">IF(OR(2&gt;$B$3,ISBLANK(Actuals!D92)),"",Actuals!D92)</f>
        <v>-245</v>
      </c>
      <c r="H76" s="134" t="n">
        <f aca="false">IF(OR(2&gt;$B$3,ISBLANK(Actuals!D92)),"",'Reforecast Q1 2026'!D92-Actuals!D92)</f>
        <v>0</v>
      </c>
      <c r="I76" s="134" t="n">
        <f aca="false">IFERROR(IF(OR(2&gt;$B$3,ISBLANK(Actuals!D92)),"",('Reforecast Q1 2026'!D92-Actuals!D92)/ABS('Reforecast Q1 2026'!D92)),"")</f>
        <v>0</v>
      </c>
      <c r="J76" s="133" t="n">
        <f aca="false">'Reforecast Q1 2026'!E92</f>
        <v>-245</v>
      </c>
      <c r="K76" s="133" t="n">
        <f aca="false">IF(OR(3&gt;$B$3,ISBLANK(Actuals!E92)),"",Actuals!E92)</f>
        <v>-245</v>
      </c>
      <c r="L76" s="134" t="n">
        <f aca="false">IF(OR(3&gt;$B$3,ISBLANK(Actuals!E92)),"",'Reforecast Q1 2026'!E92-Actuals!E92)</f>
        <v>0</v>
      </c>
      <c r="M76" s="134" t="n">
        <f aca="false">IFERROR(IF(OR(3&gt;$B$3,ISBLANK(Actuals!E92)),"",('Reforecast Q1 2026'!E92-Actuals!E92)/ABS('Reforecast Q1 2026'!E92)),"")</f>
        <v>0</v>
      </c>
      <c r="N76" s="133" t="n">
        <f aca="false">'Reforecast Q1 2026'!F92</f>
        <v>-245</v>
      </c>
      <c r="O76" s="133" t="n">
        <f aca="false">IF(OR(4&gt;$B$3,ISBLANK(Actuals!F92)),"",Actuals!F92)</f>
        <v>-245</v>
      </c>
      <c r="P76" s="134" t="n">
        <f aca="false">IF(OR(4&gt;$B$3,ISBLANK(Actuals!F92)),"",'Reforecast Q1 2026'!F92-Actuals!F92)</f>
        <v>0</v>
      </c>
      <c r="Q76" s="134" t="n">
        <f aca="false">IFERROR(IF(OR(4&gt;$B$3,ISBLANK(Actuals!F92)),"",('Reforecast Q1 2026'!F92-Actuals!F92)/ABS('Reforecast Q1 2026'!F92)),"")</f>
        <v>0</v>
      </c>
      <c r="R76" s="133" t="n">
        <f aca="false">'Reforecast Q1 2026'!G92</f>
        <v>-245</v>
      </c>
      <c r="S76" s="133" t="n">
        <f aca="false">IF(OR(5&gt;$B$3,ISBLANK(Actuals!G92)),"",Actuals!G92)</f>
        <v>-245</v>
      </c>
      <c r="T76" s="134" t="n">
        <f aca="false">IF(OR(5&gt;$B$3,ISBLANK(Actuals!G92)),"",'Reforecast Q1 2026'!G92-Actuals!G92)</f>
        <v>0</v>
      </c>
      <c r="U76" s="134" t="n">
        <f aca="false">IFERROR(IF(OR(5&gt;$B$3,ISBLANK(Actuals!G92)),"",('Reforecast Q1 2026'!G92-Actuals!G92)/ABS('Reforecast Q1 2026'!G92)),"")</f>
        <v>0</v>
      </c>
      <c r="V76" s="133" t="n">
        <f aca="false">'Reforecast Q1 2026'!H92</f>
        <v>-245</v>
      </c>
      <c r="W76" s="133" t="n">
        <f aca="false">IF(OR(6&gt;$B$3,ISBLANK(Actuals!H92)),"",Actuals!H92)</f>
        <v>-245</v>
      </c>
      <c r="X76" s="134" t="n">
        <f aca="false">IF(OR(6&gt;$B$3,ISBLANK(Actuals!H92)),"",'Reforecast Q1 2026'!H92-Actuals!H92)</f>
        <v>0</v>
      </c>
      <c r="Y76" s="134" t="n">
        <f aca="false">IFERROR(IF(OR(6&gt;$B$3,ISBLANK(Actuals!H92)),"",('Reforecast Q1 2026'!H92-Actuals!H92)/ABS('Reforecast Q1 2026'!H92)),"")</f>
        <v>0</v>
      </c>
      <c r="Z76" s="133" t="n">
        <f aca="false">'Reforecast Q1 2026'!I92</f>
        <v>-245</v>
      </c>
      <c r="AA76" s="133" t="n">
        <f aca="false">IF(OR(7&gt;$B$3,ISBLANK(Actuals!I92)),"",Actuals!I92)</f>
        <v>-245</v>
      </c>
      <c r="AB76" s="134" t="n">
        <f aca="false">IF(OR(7&gt;$B$3,ISBLANK(Actuals!I92)),"",'Reforecast Q1 2026'!I92-Actuals!I92)</f>
        <v>0</v>
      </c>
      <c r="AC76" s="134" t="n">
        <f aca="false">IFERROR(IF(OR(7&gt;$B$3,ISBLANK(Actuals!I92)),"",('Reforecast Q1 2026'!I92-Actuals!I92)/ABS('Reforecast Q1 2026'!I92)),"")</f>
        <v>0</v>
      </c>
      <c r="AD76" s="133" t="n">
        <f aca="false">'Reforecast Q1 2026'!J92</f>
        <v>-245</v>
      </c>
      <c r="AE76" s="133" t="n">
        <f aca="false">IF(OR(8&gt;$B$3,ISBLANK(Actuals!J92)),"",Actuals!J92)</f>
        <v>0</v>
      </c>
      <c r="AF76" s="134" t="n">
        <f aca="false">IF(OR(8&gt;$B$3,ISBLANK(Actuals!J92)),"",'Reforecast Q1 2026'!J92-Actuals!J92)</f>
        <v>-245</v>
      </c>
      <c r="AG76" s="134" t="n">
        <f aca="false">IFERROR(IF(OR(8&gt;$B$3,ISBLANK(Actuals!J92)),"",('Reforecast Q1 2026'!J92-Actuals!J92)/ABS('Reforecast Q1 2026'!J92)),"")</f>
        <v>-1</v>
      </c>
      <c r="AH76" s="133" t="n">
        <f aca="false">'Reforecast Q1 2026'!K92</f>
        <v>-245</v>
      </c>
      <c r="AI76" s="133" t="str">
        <f aca="false">IF(OR(9&gt;$B$3,ISBLANK(Actuals!K92)),"",Actuals!K92)</f>
        <v/>
      </c>
      <c r="AJ76" s="134" t="str">
        <f aca="false">IF(OR(9&gt;$B$3,ISBLANK(Actuals!K92)),"",'Reforecast Q1 2026'!K92-Actuals!K92)</f>
        <v/>
      </c>
      <c r="AK76" s="134" t="str">
        <f aca="false">IFERROR(IF(OR(9&gt;$B$3,ISBLANK(Actuals!K92)),"",('Reforecast Q1 2026'!K92-Actuals!K92)/ABS('Reforecast Q1 2026'!K92)),"")</f>
        <v/>
      </c>
      <c r="AL76" s="133" t="n">
        <f aca="false">'Reforecast Q1 2026'!L92</f>
        <v>-245</v>
      </c>
      <c r="AM76" s="133" t="str">
        <f aca="false">IF(OR(10&gt;$B$3,ISBLANK(Actuals!L92)),"",Actuals!L92)</f>
        <v/>
      </c>
      <c r="AN76" s="134" t="str">
        <f aca="false">IF(OR(10&gt;$B$3,ISBLANK(Actuals!L92)),"",'Reforecast Q1 2026'!L92-Actuals!L92)</f>
        <v/>
      </c>
      <c r="AO76" s="134" t="str">
        <f aca="false">IFERROR(IF(OR(10&gt;$B$3,ISBLANK(Actuals!L92)),"",('Reforecast Q1 2026'!L92-Actuals!L92)/ABS('Reforecast Q1 2026'!L92)),"")</f>
        <v/>
      </c>
      <c r="AP76" s="133" t="n">
        <f aca="false">'Reforecast Q1 2026'!M92</f>
        <v>-245</v>
      </c>
      <c r="AQ76" s="133" t="str">
        <f aca="false">IF(OR(11&gt;$B$3,ISBLANK(Actuals!M92)),"",Actuals!M92)</f>
        <v/>
      </c>
      <c r="AR76" s="134" t="str">
        <f aca="false">IF(OR(11&gt;$B$3,ISBLANK(Actuals!M92)),"",'Reforecast Q1 2026'!M92-Actuals!M92)</f>
        <v/>
      </c>
      <c r="AS76" s="134" t="str">
        <f aca="false">IFERROR(IF(OR(11&gt;$B$3,ISBLANK(Actuals!M92)),"",('Reforecast Q1 2026'!M92-Actuals!M92)/ABS('Reforecast Q1 2026'!M92)),"")</f>
        <v/>
      </c>
      <c r="AT76" s="133" t="n">
        <f aca="false">'Reforecast Q1 2026'!N92</f>
        <v>-245</v>
      </c>
      <c r="AU76" s="133" t="str">
        <f aca="false">IF(OR(12&gt;$B$3,ISBLANK(Actuals!N92)),"",Actuals!N92)</f>
        <v/>
      </c>
      <c r="AV76" s="134" t="str">
        <f aca="false">IF(OR(12&gt;$B$3,ISBLANK(Actuals!N92)),"",'Reforecast Q1 2026'!N92-Actuals!N92)</f>
        <v/>
      </c>
      <c r="AW76" s="134" t="str">
        <f aca="false">IFERROR(IF(OR(12&gt;$B$3,ISBLANK(Actuals!N92)),"",('Reforecast Q1 2026'!N92-Actuals!N92)/ABS('Reforecast Q1 2026'!N92)),"")</f>
        <v/>
      </c>
      <c r="AX76" s="135" t="n">
        <f aca="false">SUMPRODUCT((Actuals!C92:N92&lt;&gt;"")*('Reforecast Q1 2026'!C92:N92))</f>
        <v>-1960</v>
      </c>
      <c r="AY76" s="135" t="n">
        <f aca="false">SUM(Actuals!C92:N92)</f>
        <v>-1715</v>
      </c>
      <c r="AZ76" s="136" t="n">
        <f aca="false">AX76-AY76</f>
        <v>-245</v>
      </c>
    </row>
    <row r="77" customFormat="false" ht="15" hidden="false" customHeight="true" outlineLevel="0" collapsed="false">
      <c r="A77" s="132" t="s">
        <v>125</v>
      </c>
      <c r="B77" s="133" t="n">
        <f aca="false">'Reforecast Q1 2026'!C93</f>
        <v>-986.57</v>
      </c>
      <c r="C77" s="133" t="n">
        <f aca="false">IF(OR(1&gt;$B$3,ISBLANK(Actuals!C93)),"",Actuals!C93)</f>
        <v>-986.57</v>
      </c>
      <c r="D77" s="134" t="n">
        <f aca="false">IF(OR(1&gt;$B$3,ISBLANK(Actuals!C93)),"",'Reforecast Q1 2026'!C93-Actuals!C93)</f>
        <v>0</v>
      </c>
      <c r="E77" s="134" t="n">
        <f aca="false">IFERROR(IF(OR(1&gt;$B$3,ISBLANK(Actuals!C93)),"",('Reforecast Q1 2026'!C93-Actuals!C93)/ABS('Reforecast Q1 2026'!C93)),"")</f>
        <v>0</v>
      </c>
      <c r="F77" s="133" t="n">
        <f aca="false">'Reforecast Q1 2026'!D93</f>
        <v>-1254.61</v>
      </c>
      <c r="G77" s="133" t="n">
        <f aca="false">IF(OR(2&gt;$B$3,ISBLANK(Actuals!D93)),"",Actuals!D93)</f>
        <v>-1254.61</v>
      </c>
      <c r="H77" s="134" t="n">
        <f aca="false">IF(OR(2&gt;$B$3,ISBLANK(Actuals!D93)),"",'Reforecast Q1 2026'!D93-Actuals!D93)</f>
        <v>0</v>
      </c>
      <c r="I77" s="134" t="n">
        <f aca="false">IFERROR(IF(OR(2&gt;$B$3,ISBLANK(Actuals!D93)),"",('Reforecast Q1 2026'!D93-Actuals!D93)/ABS('Reforecast Q1 2026'!D93)),"")</f>
        <v>0</v>
      </c>
      <c r="J77" s="133" t="n">
        <f aca="false">'Reforecast Q1 2026'!E93</f>
        <v>-1297.31</v>
      </c>
      <c r="K77" s="133" t="n">
        <f aca="false">IF(OR(3&gt;$B$3,ISBLANK(Actuals!E93)),"",Actuals!E93)</f>
        <v>-1297.31</v>
      </c>
      <c r="L77" s="134" t="n">
        <f aca="false">IF(OR(3&gt;$B$3,ISBLANK(Actuals!E93)),"",'Reforecast Q1 2026'!E93-Actuals!E93)</f>
        <v>0</v>
      </c>
      <c r="M77" s="134" t="n">
        <f aca="false">IFERROR(IF(OR(3&gt;$B$3,ISBLANK(Actuals!E93)),"",('Reforecast Q1 2026'!E93-Actuals!E93)/ABS('Reforecast Q1 2026'!E93)),"")</f>
        <v>0</v>
      </c>
      <c r="N77" s="133" t="n">
        <f aca="false">'Reforecast Q1 2026'!F93</f>
        <v>-1179.5</v>
      </c>
      <c r="O77" s="133" t="n">
        <f aca="false">IF(OR(4&gt;$B$3,ISBLANK(Actuals!F93)),"",Actuals!F93)</f>
        <v>-48.78</v>
      </c>
      <c r="P77" s="134" t="n">
        <f aca="false">IF(OR(4&gt;$B$3,ISBLANK(Actuals!F93)),"",'Reforecast Q1 2026'!F93-Actuals!F93)</f>
        <v>-1130.72</v>
      </c>
      <c r="Q77" s="134" t="n">
        <f aca="false">IFERROR(IF(OR(4&gt;$B$3,ISBLANK(Actuals!F93)),"",('Reforecast Q1 2026'!F93-Actuals!F93)/ABS('Reforecast Q1 2026'!F93)),"")</f>
        <v>-0.958643493005511</v>
      </c>
      <c r="R77" s="133" t="n">
        <f aca="false">'Reforecast Q1 2026'!G93</f>
        <v>-1179.5</v>
      </c>
      <c r="S77" s="133" t="n">
        <f aca="false">IF(OR(5&gt;$B$3,ISBLANK(Actuals!G93)),"",Actuals!G93)</f>
        <v>-4199.86</v>
      </c>
      <c r="T77" s="134" t="n">
        <f aca="false">IF(OR(5&gt;$B$3,ISBLANK(Actuals!G93)),"",'Reforecast Q1 2026'!G93-Actuals!G93)</f>
        <v>3020.36</v>
      </c>
      <c r="U77" s="134" t="n">
        <f aca="false">IFERROR(IF(OR(5&gt;$B$3,ISBLANK(Actuals!G93)),"",('Reforecast Q1 2026'!G93-Actuals!G93)/ABS('Reforecast Q1 2026'!G93)),"")</f>
        <v>2.56071216617211</v>
      </c>
      <c r="V77" s="133" t="n">
        <f aca="false">'Reforecast Q1 2026'!H93</f>
        <v>-1179.5</v>
      </c>
      <c r="W77" s="133" t="n">
        <f aca="false">IF(OR(6&gt;$B$3,ISBLANK(Actuals!H93)),"",Actuals!H93)</f>
        <v>-3433.39</v>
      </c>
      <c r="X77" s="134" t="n">
        <f aca="false">IF(OR(6&gt;$B$3,ISBLANK(Actuals!H93)),"",'Reforecast Q1 2026'!H93-Actuals!H93)</f>
        <v>2253.89</v>
      </c>
      <c r="Y77" s="134" t="n">
        <f aca="false">IFERROR(IF(OR(6&gt;$B$3,ISBLANK(Actuals!H93)),"",('Reforecast Q1 2026'!H93-Actuals!H93)/ABS('Reforecast Q1 2026'!H93)),"")</f>
        <v>1.91088596863078</v>
      </c>
      <c r="Z77" s="133" t="n">
        <f aca="false">'Reforecast Q1 2026'!I93</f>
        <v>-1179.5</v>
      </c>
      <c r="AA77" s="133" t="n">
        <f aca="false">IF(OR(7&gt;$B$3,ISBLANK(Actuals!I93)),"",Actuals!I93)</f>
        <v>0</v>
      </c>
      <c r="AB77" s="134" t="n">
        <f aca="false">IF(OR(7&gt;$B$3,ISBLANK(Actuals!I93)),"",'Reforecast Q1 2026'!I93-Actuals!I93)</f>
        <v>-1179.5</v>
      </c>
      <c r="AC77" s="134" t="n">
        <f aca="false">IFERROR(IF(OR(7&gt;$B$3,ISBLANK(Actuals!I93)),"",('Reforecast Q1 2026'!I93-Actuals!I93)/ABS('Reforecast Q1 2026'!I93)),"")</f>
        <v>-1</v>
      </c>
      <c r="AD77" s="133" t="n">
        <f aca="false">'Reforecast Q1 2026'!J93</f>
        <v>-1179.5</v>
      </c>
      <c r="AE77" s="133" t="n">
        <f aca="false">IF(OR(8&gt;$B$3,ISBLANK(Actuals!J93)),"",Actuals!J93)</f>
        <v>-9.99</v>
      </c>
      <c r="AF77" s="134" t="n">
        <f aca="false">IF(OR(8&gt;$B$3,ISBLANK(Actuals!J93)),"",'Reforecast Q1 2026'!J93-Actuals!J93)</f>
        <v>-1169.51</v>
      </c>
      <c r="AG77" s="134" t="n">
        <f aca="false">IFERROR(IF(OR(8&gt;$B$3,ISBLANK(Actuals!J93)),"",('Reforecast Q1 2026'!J93-Actuals!J93)/ABS('Reforecast Q1 2026'!J93)),"")</f>
        <v>-0.991530309453158</v>
      </c>
      <c r="AH77" s="133" t="n">
        <f aca="false">'Reforecast Q1 2026'!K93</f>
        <v>-1179.5</v>
      </c>
      <c r="AI77" s="133" t="str">
        <f aca="false">IF(OR(9&gt;$B$3,ISBLANK(Actuals!K93)),"",Actuals!K93)</f>
        <v/>
      </c>
      <c r="AJ77" s="134" t="str">
        <f aca="false">IF(OR(9&gt;$B$3,ISBLANK(Actuals!K93)),"",'Reforecast Q1 2026'!K93-Actuals!K93)</f>
        <v/>
      </c>
      <c r="AK77" s="134" t="str">
        <f aca="false">IFERROR(IF(OR(9&gt;$B$3,ISBLANK(Actuals!K93)),"",('Reforecast Q1 2026'!K93-Actuals!K93)/ABS('Reforecast Q1 2026'!K93)),"")</f>
        <v/>
      </c>
      <c r="AL77" s="133" t="n">
        <f aca="false">'Reforecast Q1 2026'!L93</f>
        <v>-1179.5</v>
      </c>
      <c r="AM77" s="133" t="str">
        <f aca="false">IF(OR(10&gt;$B$3,ISBLANK(Actuals!L93)),"",Actuals!L93)</f>
        <v/>
      </c>
      <c r="AN77" s="134" t="str">
        <f aca="false">IF(OR(10&gt;$B$3,ISBLANK(Actuals!L93)),"",'Reforecast Q1 2026'!L93-Actuals!L93)</f>
        <v/>
      </c>
      <c r="AO77" s="134" t="str">
        <f aca="false">IFERROR(IF(OR(10&gt;$B$3,ISBLANK(Actuals!L93)),"",('Reforecast Q1 2026'!L93-Actuals!L93)/ABS('Reforecast Q1 2026'!L93)),"")</f>
        <v/>
      </c>
      <c r="AP77" s="133" t="n">
        <f aca="false">'Reforecast Q1 2026'!M93</f>
        <v>-1179.5</v>
      </c>
      <c r="AQ77" s="133" t="str">
        <f aca="false">IF(OR(11&gt;$B$3,ISBLANK(Actuals!M93)),"",Actuals!M93)</f>
        <v/>
      </c>
      <c r="AR77" s="134" t="str">
        <f aca="false">IF(OR(11&gt;$B$3,ISBLANK(Actuals!M93)),"",'Reforecast Q1 2026'!M93-Actuals!M93)</f>
        <v/>
      </c>
      <c r="AS77" s="134" t="str">
        <f aca="false">IFERROR(IF(OR(11&gt;$B$3,ISBLANK(Actuals!M93)),"",('Reforecast Q1 2026'!M93-Actuals!M93)/ABS('Reforecast Q1 2026'!M93)),"")</f>
        <v/>
      </c>
      <c r="AT77" s="133" t="n">
        <f aca="false">'Reforecast Q1 2026'!N93</f>
        <v>-1179.5</v>
      </c>
      <c r="AU77" s="133" t="str">
        <f aca="false">IF(OR(12&gt;$B$3,ISBLANK(Actuals!N93)),"",Actuals!N93)</f>
        <v/>
      </c>
      <c r="AV77" s="134" t="str">
        <f aca="false">IF(OR(12&gt;$B$3,ISBLANK(Actuals!N93)),"",'Reforecast Q1 2026'!N93-Actuals!N93)</f>
        <v/>
      </c>
      <c r="AW77" s="134" t="str">
        <f aca="false">IFERROR(IF(OR(12&gt;$B$3,ISBLANK(Actuals!N93)),"",('Reforecast Q1 2026'!N93-Actuals!N93)/ABS('Reforecast Q1 2026'!N93)),"")</f>
        <v/>
      </c>
      <c r="AX77" s="135" t="n">
        <f aca="false">SUMPRODUCT((Actuals!C93:N93&lt;&gt;"")*('Reforecast Q1 2026'!C93:N93))</f>
        <v>-9435.99</v>
      </c>
      <c r="AY77" s="135" t="n">
        <f aca="false">SUM(Actuals!C93:N93)</f>
        <v>-11230.51</v>
      </c>
      <c r="AZ77" s="136" t="n">
        <f aca="false">AX77-AY77</f>
        <v>1794.52</v>
      </c>
    </row>
    <row r="78" customFormat="false" ht="15" hidden="false" customHeight="true" outlineLevel="0" collapsed="false">
      <c r="A78" s="132" t="s">
        <v>126</v>
      </c>
      <c r="B78" s="133" t="n">
        <f aca="false">'Reforecast Q1 2026'!C94</f>
        <v>-588.66</v>
      </c>
      <c r="C78" s="133" t="n">
        <f aca="false">IF(OR(1&gt;$B$3,ISBLANK(Actuals!C94)),"",Actuals!C94)</f>
        <v>-588.66</v>
      </c>
      <c r="D78" s="134" t="n">
        <f aca="false">IF(OR(1&gt;$B$3,ISBLANK(Actuals!C94)),"",'Reforecast Q1 2026'!C94-Actuals!C94)</f>
        <v>0</v>
      </c>
      <c r="E78" s="134" t="n">
        <f aca="false">IFERROR(IF(OR(1&gt;$B$3,ISBLANK(Actuals!C94)),"",('Reforecast Q1 2026'!C94-Actuals!C94)/ABS('Reforecast Q1 2026'!C94)),"")</f>
        <v>0</v>
      </c>
      <c r="F78" s="133" t="n">
        <f aca="false">'Reforecast Q1 2026'!D94</f>
        <v>-22.94</v>
      </c>
      <c r="G78" s="133" t="n">
        <f aca="false">IF(OR(2&gt;$B$3,ISBLANK(Actuals!D94)),"",Actuals!D94)</f>
        <v>-22.94</v>
      </c>
      <c r="H78" s="134" t="n">
        <f aca="false">IF(OR(2&gt;$B$3,ISBLANK(Actuals!D94)),"",'Reforecast Q1 2026'!D94-Actuals!D94)</f>
        <v>0</v>
      </c>
      <c r="I78" s="134" t="n">
        <f aca="false">IFERROR(IF(OR(2&gt;$B$3,ISBLANK(Actuals!D94)),"",('Reforecast Q1 2026'!D94-Actuals!D94)/ABS('Reforecast Q1 2026'!D94)),"")</f>
        <v>0</v>
      </c>
      <c r="J78" s="133" t="n">
        <f aca="false">'Reforecast Q1 2026'!E94</f>
        <v>-487.3</v>
      </c>
      <c r="K78" s="133" t="n">
        <f aca="false">IF(OR(3&gt;$B$3,ISBLANK(Actuals!E94)),"",Actuals!E94)</f>
        <v>-487.3</v>
      </c>
      <c r="L78" s="134" t="n">
        <f aca="false">IF(OR(3&gt;$B$3,ISBLANK(Actuals!E94)),"",'Reforecast Q1 2026'!E94-Actuals!E94)</f>
        <v>0</v>
      </c>
      <c r="M78" s="134" t="n">
        <f aca="false">IFERROR(IF(OR(3&gt;$B$3,ISBLANK(Actuals!E94)),"",('Reforecast Q1 2026'!E94-Actuals!E94)/ABS('Reforecast Q1 2026'!E94)),"")</f>
        <v>0</v>
      </c>
      <c r="N78" s="133" t="n">
        <f aca="false">'Reforecast Q1 2026'!F94</f>
        <v>-366.3</v>
      </c>
      <c r="O78" s="133" t="n">
        <f aca="false">IF(OR(4&gt;$B$3,ISBLANK(Actuals!F94)),"",Actuals!F94)</f>
        <v>-399.98</v>
      </c>
      <c r="P78" s="134" t="n">
        <f aca="false">IF(OR(4&gt;$B$3,ISBLANK(Actuals!F94)),"",'Reforecast Q1 2026'!F94-Actuals!F94)</f>
        <v>33.68</v>
      </c>
      <c r="Q78" s="134" t="n">
        <f aca="false">IFERROR(IF(OR(4&gt;$B$3,ISBLANK(Actuals!F94)),"",('Reforecast Q1 2026'!F94-Actuals!F94)/ABS('Reforecast Q1 2026'!F94)),"")</f>
        <v>0.091946491946492</v>
      </c>
      <c r="R78" s="133" t="n">
        <f aca="false">'Reforecast Q1 2026'!G94</f>
        <v>-366.3</v>
      </c>
      <c r="S78" s="133" t="n">
        <f aca="false">IF(OR(5&gt;$B$3,ISBLANK(Actuals!G94)),"",Actuals!G94)</f>
        <v>-216.15</v>
      </c>
      <c r="T78" s="134" t="n">
        <f aca="false">IF(OR(5&gt;$B$3,ISBLANK(Actuals!G94)),"",'Reforecast Q1 2026'!G94-Actuals!G94)</f>
        <v>-150.15</v>
      </c>
      <c r="U78" s="134" t="n">
        <f aca="false">IFERROR(IF(OR(5&gt;$B$3,ISBLANK(Actuals!G94)),"",('Reforecast Q1 2026'!G94-Actuals!G94)/ABS('Reforecast Q1 2026'!G94)),"")</f>
        <v>-0.40990990990991</v>
      </c>
      <c r="V78" s="133" t="n">
        <f aca="false">'Reforecast Q1 2026'!H94</f>
        <v>-366.3</v>
      </c>
      <c r="W78" s="133" t="n">
        <f aca="false">IF(OR(6&gt;$B$3,ISBLANK(Actuals!H94)),"",Actuals!H94)</f>
        <v>-936.05</v>
      </c>
      <c r="X78" s="134" t="n">
        <f aca="false">IF(OR(6&gt;$B$3,ISBLANK(Actuals!H94)),"",'Reforecast Q1 2026'!H94-Actuals!H94)</f>
        <v>569.75</v>
      </c>
      <c r="Y78" s="134" t="n">
        <f aca="false">IFERROR(IF(OR(6&gt;$B$3,ISBLANK(Actuals!H94)),"",('Reforecast Q1 2026'!H94-Actuals!H94)/ABS('Reforecast Q1 2026'!H94)),"")</f>
        <v>1.55541905541906</v>
      </c>
      <c r="Z78" s="133" t="n">
        <f aca="false">'Reforecast Q1 2026'!I94</f>
        <v>-366.3</v>
      </c>
      <c r="AA78" s="133" t="n">
        <f aca="false">IF(OR(7&gt;$B$3,ISBLANK(Actuals!I94)),"",Actuals!I94)</f>
        <v>-9.99</v>
      </c>
      <c r="AB78" s="134" t="n">
        <f aca="false">IF(OR(7&gt;$B$3,ISBLANK(Actuals!I94)),"",'Reforecast Q1 2026'!I94-Actuals!I94)</f>
        <v>-356.31</v>
      </c>
      <c r="AC78" s="134" t="n">
        <f aca="false">IFERROR(IF(OR(7&gt;$B$3,ISBLANK(Actuals!I94)),"",('Reforecast Q1 2026'!I94-Actuals!I94)/ABS('Reforecast Q1 2026'!I94)),"")</f>
        <v>-0.972727272727273</v>
      </c>
      <c r="AD78" s="133" t="n">
        <f aca="false">'Reforecast Q1 2026'!J94</f>
        <v>-366.3</v>
      </c>
      <c r="AE78" s="133" t="n">
        <f aca="false">IF(OR(8&gt;$B$3,ISBLANK(Actuals!J94)),"",Actuals!J94)</f>
        <v>-32.2</v>
      </c>
      <c r="AF78" s="134" t="n">
        <f aca="false">IF(OR(8&gt;$B$3,ISBLANK(Actuals!J94)),"",'Reforecast Q1 2026'!J94-Actuals!J94)</f>
        <v>-334.1</v>
      </c>
      <c r="AG78" s="134" t="n">
        <f aca="false">IFERROR(IF(OR(8&gt;$B$3,ISBLANK(Actuals!J94)),"",('Reforecast Q1 2026'!J94-Actuals!J94)/ABS('Reforecast Q1 2026'!J94)),"")</f>
        <v>-0.912093912093912</v>
      </c>
      <c r="AH78" s="133" t="n">
        <f aca="false">'Reforecast Q1 2026'!K94</f>
        <v>-366.3</v>
      </c>
      <c r="AI78" s="133" t="str">
        <f aca="false">IF(OR(9&gt;$B$3,ISBLANK(Actuals!K94)),"",Actuals!K94)</f>
        <v/>
      </c>
      <c r="AJ78" s="134" t="str">
        <f aca="false">IF(OR(9&gt;$B$3,ISBLANK(Actuals!K94)),"",'Reforecast Q1 2026'!K94-Actuals!K94)</f>
        <v/>
      </c>
      <c r="AK78" s="134" t="str">
        <f aca="false">IFERROR(IF(OR(9&gt;$B$3,ISBLANK(Actuals!K94)),"",('Reforecast Q1 2026'!K94-Actuals!K94)/ABS('Reforecast Q1 2026'!K94)),"")</f>
        <v/>
      </c>
      <c r="AL78" s="133" t="n">
        <f aca="false">'Reforecast Q1 2026'!L94</f>
        <v>-366.3</v>
      </c>
      <c r="AM78" s="133" t="str">
        <f aca="false">IF(OR(10&gt;$B$3,ISBLANK(Actuals!L94)),"",Actuals!L94)</f>
        <v/>
      </c>
      <c r="AN78" s="134" t="str">
        <f aca="false">IF(OR(10&gt;$B$3,ISBLANK(Actuals!L94)),"",'Reforecast Q1 2026'!L94-Actuals!L94)</f>
        <v/>
      </c>
      <c r="AO78" s="134" t="str">
        <f aca="false">IFERROR(IF(OR(10&gt;$B$3,ISBLANK(Actuals!L94)),"",('Reforecast Q1 2026'!L94-Actuals!L94)/ABS('Reforecast Q1 2026'!L94)),"")</f>
        <v/>
      </c>
      <c r="AP78" s="133" t="n">
        <f aca="false">'Reforecast Q1 2026'!M94</f>
        <v>-366.3</v>
      </c>
      <c r="AQ78" s="133" t="str">
        <f aca="false">IF(OR(11&gt;$B$3,ISBLANK(Actuals!M94)),"",Actuals!M94)</f>
        <v/>
      </c>
      <c r="AR78" s="134" t="str">
        <f aca="false">IF(OR(11&gt;$B$3,ISBLANK(Actuals!M94)),"",'Reforecast Q1 2026'!M94-Actuals!M94)</f>
        <v/>
      </c>
      <c r="AS78" s="134" t="str">
        <f aca="false">IFERROR(IF(OR(11&gt;$B$3,ISBLANK(Actuals!M94)),"",('Reforecast Q1 2026'!M94-Actuals!M94)/ABS('Reforecast Q1 2026'!M94)),"")</f>
        <v/>
      </c>
      <c r="AT78" s="133" t="n">
        <f aca="false">'Reforecast Q1 2026'!N94</f>
        <v>-366.3</v>
      </c>
      <c r="AU78" s="133" t="str">
        <f aca="false">IF(OR(12&gt;$B$3,ISBLANK(Actuals!N94)),"",Actuals!N94)</f>
        <v/>
      </c>
      <c r="AV78" s="134" t="str">
        <f aca="false">IF(OR(12&gt;$B$3,ISBLANK(Actuals!N94)),"",'Reforecast Q1 2026'!N94-Actuals!N94)</f>
        <v/>
      </c>
      <c r="AW78" s="134" t="str">
        <f aca="false">IFERROR(IF(OR(12&gt;$B$3,ISBLANK(Actuals!N94)),"",('Reforecast Q1 2026'!N94-Actuals!N94)/ABS('Reforecast Q1 2026'!N94)),"")</f>
        <v/>
      </c>
      <c r="AX78" s="135" t="n">
        <f aca="false">SUMPRODUCT((Actuals!C94:N94&lt;&gt;"")*('Reforecast Q1 2026'!C94:N94))</f>
        <v>-2930.4</v>
      </c>
      <c r="AY78" s="135" t="n">
        <f aca="false">SUM(Actuals!C94:N94)</f>
        <v>-2693.27</v>
      </c>
      <c r="AZ78" s="136" t="n">
        <f aca="false">AX78-AY78</f>
        <v>-237.13</v>
      </c>
    </row>
    <row r="79" customFormat="false" ht="15" hidden="false" customHeight="true" outlineLevel="0" collapsed="false">
      <c r="A79" s="132" t="s">
        <v>127</v>
      </c>
      <c r="B79" s="133" t="n">
        <f aca="false">'Reforecast Q1 2026'!C95</f>
        <v>0</v>
      </c>
      <c r="C79" s="133" t="n">
        <f aca="false">IF(OR(1&gt;$B$3,ISBLANK(Actuals!C95)),"",Actuals!C95)</f>
        <v>0</v>
      </c>
      <c r="D79" s="134" t="n">
        <f aca="false">IF(OR(1&gt;$B$3,ISBLANK(Actuals!C95)),"",'Reforecast Q1 2026'!C95-Actuals!C95)</f>
        <v>0</v>
      </c>
      <c r="E79" s="134" t="str">
        <f aca="false">IFERROR(IF(OR(1&gt;$B$3,ISBLANK(Actuals!C95)),"",('Reforecast Q1 2026'!C95-Actuals!C95)/ABS('Reforecast Q1 2026'!C95)),"")</f>
        <v/>
      </c>
      <c r="F79" s="133" t="n">
        <f aca="false">'Reforecast Q1 2026'!D95</f>
        <v>-92.75</v>
      </c>
      <c r="G79" s="133" t="n">
        <f aca="false">IF(OR(2&gt;$B$3,ISBLANK(Actuals!D95)),"",Actuals!D95)</f>
        <v>-92.75</v>
      </c>
      <c r="H79" s="134" t="n">
        <f aca="false">IF(OR(2&gt;$B$3,ISBLANK(Actuals!D95)),"",'Reforecast Q1 2026'!D95-Actuals!D95)</f>
        <v>0</v>
      </c>
      <c r="I79" s="134" t="n">
        <f aca="false">IFERROR(IF(OR(2&gt;$B$3,ISBLANK(Actuals!D95)),"",('Reforecast Q1 2026'!D95-Actuals!D95)/ABS('Reforecast Q1 2026'!D95)),"")</f>
        <v>0</v>
      </c>
      <c r="J79" s="133" t="n">
        <f aca="false">'Reforecast Q1 2026'!E95</f>
        <v>-57.46</v>
      </c>
      <c r="K79" s="133" t="n">
        <f aca="false">IF(OR(3&gt;$B$3,ISBLANK(Actuals!E95)),"",Actuals!E95)</f>
        <v>-57.46</v>
      </c>
      <c r="L79" s="134" t="n">
        <f aca="false">IF(OR(3&gt;$B$3,ISBLANK(Actuals!E95)),"",'Reforecast Q1 2026'!E95-Actuals!E95)</f>
        <v>0</v>
      </c>
      <c r="M79" s="134" t="n">
        <f aca="false">IFERROR(IF(OR(3&gt;$B$3,ISBLANK(Actuals!E95)),"",('Reforecast Q1 2026'!E95-Actuals!E95)/ABS('Reforecast Q1 2026'!E95)),"")</f>
        <v>0</v>
      </c>
      <c r="N79" s="133" t="n">
        <f aca="false">'Reforecast Q1 2026'!F95</f>
        <v>-50.07</v>
      </c>
      <c r="O79" s="133" t="n">
        <f aca="false">IF(OR(4&gt;$B$3,ISBLANK(Actuals!F95)),"",Actuals!F95)</f>
        <v>0</v>
      </c>
      <c r="P79" s="134" t="n">
        <f aca="false">IF(OR(4&gt;$B$3,ISBLANK(Actuals!F95)),"",'Reforecast Q1 2026'!F95-Actuals!F95)</f>
        <v>-50.07</v>
      </c>
      <c r="Q79" s="134" t="n">
        <f aca="false">IFERROR(IF(OR(4&gt;$B$3,ISBLANK(Actuals!F95)),"",('Reforecast Q1 2026'!F95-Actuals!F95)/ABS('Reforecast Q1 2026'!F95)),"")</f>
        <v>-1</v>
      </c>
      <c r="R79" s="133" t="n">
        <f aca="false">'Reforecast Q1 2026'!G95</f>
        <v>-50.07</v>
      </c>
      <c r="S79" s="133" t="n">
        <f aca="false">IF(OR(5&gt;$B$3,ISBLANK(Actuals!G95)),"",Actuals!G95)</f>
        <v>-24.3</v>
      </c>
      <c r="T79" s="134" t="n">
        <f aca="false">IF(OR(5&gt;$B$3,ISBLANK(Actuals!G95)),"",'Reforecast Q1 2026'!G95-Actuals!G95)</f>
        <v>-25.77</v>
      </c>
      <c r="U79" s="134" t="n">
        <f aca="false">IFERROR(IF(OR(5&gt;$B$3,ISBLANK(Actuals!G95)),"",('Reforecast Q1 2026'!G95-Actuals!G95)/ABS('Reforecast Q1 2026'!G95)),"")</f>
        <v>-0.51467944877172</v>
      </c>
      <c r="V79" s="133" t="n">
        <f aca="false">'Reforecast Q1 2026'!H95</f>
        <v>-50.07</v>
      </c>
      <c r="W79" s="133" t="n">
        <f aca="false">IF(OR(6&gt;$B$3,ISBLANK(Actuals!H95)),"",Actuals!H95)</f>
        <v>-917.7</v>
      </c>
      <c r="X79" s="134" t="n">
        <f aca="false">IF(OR(6&gt;$B$3,ISBLANK(Actuals!H95)),"",'Reforecast Q1 2026'!H95-Actuals!H95)</f>
        <v>867.63</v>
      </c>
      <c r="Y79" s="134" t="n">
        <f aca="false">IFERROR(IF(OR(6&gt;$B$3,ISBLANK(Actuals!H95)),"",('Reforecast Q1 2026'!H95-Actuals!H95)/ABS('Reforecast Q1 2026'!H95)),"")</f>
        <v>17.328340323547</v>
      </c>
      <c r="Z79" s="133" t="n">
        <f aca="false">'Reforecast Q1 2026'!I95</f>
        <v>-50.07</v>
      </c>
      <c r="AA79" s="133" t="n">
        <f aca="false">IF(OR(7&gt;$B$3,ISBLANK(Actuals!I95)),"",Actuals!I95)</f>
        <v>0</v>
      </c>
      <c r="AB79" s="134" t="n">
        <f aca="false">IF(OR(7&gt;$B$3,ISBLANK(Actuals!I95)),"",'Reforecast Q1 2026'!I95-Actuals!I95)</f>
        <v>-50.07</v>
      </c>
      <c r="AC79" s="134" t="n">
        <f aca="false">IFERROR(IF(OR(7&gt;$B$3,ISBLANK(Actuals!I95)),"",('Reforecast Q1 2026'!I95-Actuals!I95)/ABS('Reforecast Q1 2026'!I95)),"")</f>
        <v>-1</v>
      </c>
      <c r="AD79" s="133" t="n">
        <f aca="false">'Reforecast Q1 2026'!J95</f>
        <v>-50.07</v>
      </c>
      <c r="AE79" s="133" t="n">
        <f aca="false">IF(OR(8&gt;$B$3,ISBLANK(Actuals!J95)),"",Actuals!J95)</f>
        <v>-70.35</v>
      </c>
      <c r="AF79" s="134" t="n">
        <f aca="false">IF(OR(8&gt;$B$3,ISBLANK(Actuals!J95)),"",'Reforecast Q1 2026'!J95-Actuals!J95)</f>
        <v>20.28</v>
      </c>
      <c r="AG79" s="134" t="n">
        <f aca="false">IFERROR(IF(OR(8&gt;$B$3,ISBLANK(Actuals!J95)),"",('Reforecast Q1 2026'!J95-Actuals!J95)/ABS('Reforecast Q1 2026'!J95)),"")</f>
        <v>0.405032953864589</v>
      </c>
      <c r="AH79" s="133" t="n">
        <f aca="false">'Reforecast Q1 2026'!K95</f>
        <v>-50.07</v>
      </c>
      <c r="AI79" s="133" t="str">
        <f aca="false">IF(OR(9&gt;$B$3,ISBLANK(Actuals!K95)),"",Actuals!K95)</f>
        <v/>
      </c>
      <c r="AJ79" s="134" t="str">
        <f aca="false">IF(OR(9&gt;$B$3,ISBLANK(Actuals!K95)),"",'Reforecast Q1 2026'!K95-Actuals!K95)</f>
        <v/>
      </c>
      <c r="AK79" s="134" t="str">
        <f aca="false">IFERROR(IF(OR(9&gt;$B$3,ISBLANK(Actuals!K95)),"",('Reforecast Q1 2026'!K95-Actuals!K95)/ABS('Reforecast Q1 2026'!K95)),"")</f>
        <v/>
      </c>
      <c r="AL79" s="133" t="n">
        <f aca="false">'Reforecast Q1 2026'!L95</f>
        <v>-50.07</v>
      </c>
      <c r="AM79" s="133" t="str">
        <f aca="false">IF(OR(10&gt;$B$3,ISBLANK(Actuals!L95)),"",Actuals!L95)</f>
        <v/>
      </c>
      <c r="AN79" s="134" t="str">
        <f aca="false">IF(OR(10&gt;$B$3,ISBLANK(Actuals!L95)),"",'Reforecast Q1 2026'!L95-Actuals!L95)</f>
        <v/>
      </c>
      <c r="AO79" s="134" t="str">
        <f aca="false">IFERROR(IF(OR(10&gt;$B$3,ISBLANK(Actuals!L95)),"",('Reforecast Q1 2026'!L95-Actuals!L95)/ABS('Reforecast Q1 2026'!L95)),"")</f>
        <v/>
      </c>
      <c r="AP79" s="133" t="n">
        <f aca="false">'Reforecast Q1 2026'!M95</f>
        <v>-50.07</v>
      </c>
      <c r="AQ79" s="133" t="str">
        <f aca="false">IF(OR(11&gt;$B$3,ISBLANK(Actuals!M95)),"",Actuals!M95)</f>
        <v/>
      </c>
      <c r="AR79" s="134" t="str">
        <f aca="false">IF(OR(11&gt;$B$3,ISBLANK(Actuals!M95)),"",'Reforecast Q1 2026'!M95-Actuals!M95)</f>
        <v/>
      </c>
      <c r="AS79" s="134" t="str">
        <f aca="false">IFERROR(IF(OR(11&gt;$B$3,ISBLANK(Actuals!M95)),"",('Reforecast Q1 2026'!M95-Actuals!M95)/ABS('Reforecast Q1 2026'!M95)),"")</f>
        <v/>
      </c>
      <c r="AT79" s="133" t="n">
        <f aca="false">'Reforecast Q1 2026'!N95</f>
        <v>-50.07</v>
      </c>
      <c r="AU79" s="133" t="str">
        <f aca="false">IF(OR(12&gt;$B$3,ISBLANK(Actuals!N95)),"",Actuals!N95)</f>
        <v/>
      </c>
      <c r="AV79" s="134" t="str">
        <f aca="false">IF(OR(12&gt;$B$3,ISBLANK(Actuals!N95)),"",'Reforecast Q1 2026'!N95-Actuals!N95)</f>
        <v/>
      </c>
      <c r="AW79" s="134" t="str">
        <f aca="false">IFERROR(IF(OR(12&gt;$B$3,ISBLANK(Actuals!N95)),"",('Reforecast Q1 2026'!N95-Actuals!N95)/ABS('Reforecast Q1 2026'!N95)),"")</f>
        <v/>
      </c>
      <c r="AX79" s="135" t="n">
        <f aca="false">SUMPRODUCT((Actuals!C95:N95&lt;&gt;"")*('Reforecast Q1 2026'!C95:N95))</f>
        <v>-400.56</v>
      </c>
      <c r="AY79" s="135" t="n">
        <f aca="false">SUM(Actuals!C95:N95)</f>
        <v>-1162.56</v>
      </c>
      <c r="AZ79" s="136" t="n">
        <f aca="false">AX79-AY79</f>
        <v>762</v>
      </c>
    </row>
    <row r="80" customFormat="false" ht="15" hidden="false" customHeight="true" outlineLevel="0" collapsed="false">
      <c r="A80" s="132" t="s">
        <v>78</v>
      </c>
      <c r="B80" s="133" t="n">
        <f aca="false">'Reforecast Q1 2026'!C96</f>
        <v>-640.88</v>
      </c>
      <c r="C80" s="133" t="n">
        <f aca="false">IF(OR(1&gt;$B$3,ISBLANK(Actuals!C96)),"",Actuals!C96)</f>
        <v>-640.88</v>
      </c>
      <c r="D80" s="134" t="n">
        <f aca="false">IF(OR(1&gt;$B$3,ISBLANK(Actuals!C96)),"",'Reforecast Q1 2026'!C96-Actuals!C96)</f>
        <v>0</v>
      </c>
      <c r="E80" s="134" t="n">
        <f aca="false">IFERROR(IF(OR(1&gt;$B$3,ISBLANK(Actuals!C96)),"",('Reforecast Q1 2026'!C96-Actuals!C96)/ABS('Reforecast Q1 2026'!C96)),"")</f>
        <v>0</v>
      </c>
      <c r="F80" s="133" t="n">
        <f aca="false">'Reforecast Q1 2026'!D96</f>
        <v>-872.64</v>
      </c>
      <c r="G80" s="133" t="n">
        <f aca="false">IF(OR(2&gt;$B$3,ISBLANK(Actuals!D96)),"",Actuals!D96)</f>
        <v>-872.64</v>
      </c>
      <c r="H80" s="134" t="n">
        <f aca="false">IF(OR(2&gt;$B$3,ISBLANK(Actuals!D96)),"",'Reforecast Q1 2026'!D96-Actuals!D96)</f>
        <v>0</v>
      </c>
      <c r="I80" s="134" t="n">
        <f aca="false">IFERROR(IF(OR(2&gt;$B$3,ISBLANK(Actuals!D96)),"",('Reforecast Q1 2026'!D96-Actuals!D96)/ABS('Reforecast Q1 2026'!D96)),"")</f>
        <v>0</v>
      </c>
      <c r="J80" s="133" t="n">
        <f aca="false">'Reforecast Q1 2026'!E96</f>
        <v>-1175.78</v>
      </c>
      <c r="K80" s="133" t="n">
        <f aca="false">IF(OR(3&gt;$B$3,ISBLANK(Actuals!E96)),"",Actuals!E96)</f>
        <v>-1175.78</v>
      </c>
      <c r="L80" s="134" t="n">
        <f aca="false">IF(OR(3&gt;$B$3,ISBLANK(Actuals!E96)),"",'Reforecast Q1 2026'!E96-Actuals!E96)</f>
        <v>0</v>
      </c>
      <c r="M80" s="134" t="n">
        <f aca="false">IFERROR(IF(OR(3&gt;$B$3,ISBLANK(Actuals!E96)),"",('Reforecast Q1 2026'!E96-Actuals!E96)/ABS('Reforecast Q1 2026'!E96)),"")</f>
        <v>0</v>
      </c>
      <c r="N80" s="133" t="n">
        <f aca="false">'Reforecast Q1 2026'!F96</f>
        <v>-896.43</v>
      </c>
      <c r="O80" s="133" t="n">
        <f aca="false">IF(OR(4&gt;$B$3,ISBLANK(Actuals!F96)),"",Actuals!F96)</f>
        <v>-471.38</v>
      </c>
      <c r="P80" s="134" t="n">
        <f aca="false">IF(OR(4&gt;$B$3,ISBLANK(Actuals!F96)),"",'Reforecast Q1 2026'!F96-Actuals!F96)</f>
        <v>-425.05</v>
      </c>
      <c r="Q80" s="134" t="n">
        <f aca="false">IFERROR(IF(OR(4&gt;$B$3,ISBLANK(Actuals!F96)),"",('Reforecast Q1 2026'!F96-Actuals!F96)/ABS('Reforecast Q1 2026'!F96)),"")</f>
        <v>-0.474158606918555</v>
      </c>
      <c r="R80" s="133" t="n">
        <f aca="false">'Reforecast Q1 2026'!G96</f>
        <v>-896.43</v>
      </c>
      <c r="S80" s="133" t="n">
        <f aca="false">IF(OR(5&gt;$B$3,ISBLANK(Actuals!G96)),"",Actuals!G96)</f>
        <v>-1307.57</v>
      </c>
      <c r="T80" s="134" t="n">
        <f aca="false">IF(OR(5&gt;$B$3,ISBLANK(Actuals!G96)),"",'Reforecast Q1 2026'!G96-Actuals!G96)</f>
        <v>411.14</v>
      </c>
      <c r="U80" s="134" t="n">
        <f aca="false">IFERROR(IF(OR(5&gt;$B$3,ISBLANK(Actuals!G96)),"",('Reforecast Q1 2026'!G96-Actuals!G96)/ABS('Reforecast Q1 2026'!G96)),"")</f>
        <v>0.458641500172908</v>
      </c>
      <c r="V80" s="133" t="n">
        <f aca="false">'Reforecast Q1 2026'!H96</f>
        <v>-896.43</v>
      </c>
      <c r="W80" s="133" t="n">
        <f aca="false">IF(OR(6&gt;$B$3,ISBLANK(Actuals!H96)),"",Actuals!H96)</f>
        <v>-3067.11</v>
      </c>
      <c r="X80" s="134" t="n">
        <f aca="false">IF(OR(6&gt;$B$3,ISBLANK(Actuals!H96)),"",'Reforecast Q1 2026'!H96-Actuals!H96)</f>
        <v>2170.68</v>
      </c>
      <c r="Y80" s="134" t="n">
        <f aca="false">IFERROR(IF(OR(6&gt;$B$3,ISBLANK(Actuals!H96)),"",('Reforecast Q1 2026'!H96-Actuals!H96)/ABS('Reforecast Q1 2026'!H96)),"")</f>
        <v>2.42147183829189</v>
      </c>
      <c r="Z80" s="133" t="n">
        <f aca="false">'Reforecast Q1 2026'!I96</f>
        <v>-896.43</v>
      </c>
      <c r="AA80" s="133" t="n">
        <f aca="false">IF(OR(7&gt;$B$3,ISBLANK(Actuals!I96)),"",Actuals!I96)</f>
        <v>-131.02</v>
      </c>
      <c r="AB80" s="134" t="n">
        <f aca="false">IF(OR(7&gt;$B$3,ISBLANK(Actuals!I96)),"",'Reforecast Q1 2026'!I96-Actuals!I96)</f>
        <v>-765.41</v>
      </c>
      <c r="AC80" s="134" t="n">
        <f aca="false">IFERROR(IF(OR(7&gt;$B$3,ISBLANK(Actuals!I96)),"",('Reforecast Q1 2026'!I96-Actuals!I96)/ABS('Reforecast Q1 2026'!I96)),"")</f>
        <v>-0.853842463996073</v>
      </c>
      <c r="AD80" s="133" t="n">
        <f aca="false">'Reforecast Q1 2026'!J96</f>
        <v>-896.43</v>
      </c>
      <c r="AE80" s="133" t="n">
        <f aca="false">IF(OR(8&gt;$B$3,ISBLANK(Actuals!J96)),"",Actuals!J96)</f>
        <v>-13.5</v>
      </c>
      <c r="AF80" s="134" t="n">
        <f aca="false">IF(OR(8&gt;$B$3,ISBLANK(Actuals!J96)),"",'Reforecast Q1 2026'!J96-Actuals!J96)</f>
        <v>-882.93</v>
      </c>
      <c r="AG80" s="134" t="n">
        <f aca="false">IFERROR(IF(OR(8&gt;$B$3,ISBLANK(Actuals!J96)),"",('Reforecast Q1 2026'!J96-Actuals!J96)/ABS('Reforecast Q1 2026'!J96)),"")</f>
        <v>-0.984940263043406</v>
      </c>
      <c r="AH80" s="133" t="n">
        <f aca="false">'Reforecast Q1 2026'!K96</f>
        <v>-896.43</v>
      </c>
      <c r="AI80" s="133" t="str">
        <f aca="false">IF(OR(9&gt;$B$3,ISBLANK(Actuals!K96)),"",Actuals!K96)</f>
        <v/>
      </c>
      <c r="AJ80" s="134" t="str">
        <f aca="false">IF(OR(9&gt;$B$3,ISBLANK(Actuals!K96)),"",'Reforecast Q1 2026'!K96-Actuals!K96)</f>
        <v/>
      </c>
      <c r="AK80" s="134" t="str">
        <f aca="false">IFERROR(IF(OR(9&gt;$B$3,ISBLANK(Actuals!K96)),"",('Reforecast Q1 2026'!K96-Actuals!K96)/ABS('Reforecast Q1 2026'!K96)),"")</f>
        <v/>
      </c>
      <c r="AL80" s="133" t="n">
        <f aca="false">'Reforecast Q1 2026'!L96</f>
        <v>-896.43</v>
      </c>
      <c r="AM80" s="133" t="str">
        <f aca="false">IF(OR(10&gt;$B$3,ISBLANK(Actuals!L96)),"",Actuals!L96)</f>
        <v/>
      </c>
      <c r="AN80" s="134" t="str">
        <f aca="false">IF(OR(10&gt;$B$3,ISBLANK(Actuals!L96)),"",'Reforecast Q1 2026'!L96-Actuals!L96)</f>
        <v/>
      </c>
      <c r="AO80" s="134" t="str">
        <f aca="false">IFERROR(IF(OR(10&gt;$B$3,ISBLANK(Actuals!L96)),"",('Reforecast Q1 2026'!L96-Actuals!L96)/ABS('Reforecast Q1 2026'!L96)),"")</f>
        <v/>
      </c>
      <c r="AP80" s="133" t="n">
        <f aca="false">'Reforecast Q1 2026'!M96</f>
        <v>-896.43</v>
      </c>
      <c r="AQ80" s="133" t="str">
        <f aca="false">IF(OR(11&gt;$B$3,ISBLANK(Actuals!M96)),"",Actuals!M96)</f>
        <v/>
      </c>
      <c r="AR80" s="134" t="str">
        <f aca="false">IF(OR(11&gt;$B$3,ISBLANK(Actuals!M96)),"",'Reforecast Q1 2026'!M96-Actuals!M96)</f>
        <v/>
      </c>
      <c r="AS80" s="134" t="str">
        <f aca="false">IFERROR(IF(OR(11&gt;$B$3,ISBLANK(Actuals!M96)),"",('Reforecast Q1 2026'!M96-Actuals!M96)/ABS('Reforecast Q1 2026'!M96)),"")</f>
        <v/>
      </c>
      <c r="AT80" s="133" t="n">
        <f aca="false">'Reforecast Q1 2026'!N96</f>
        <v>-896.43</v>
      </c>
      <c r="AU80" s="133" t="str">
        <f aca="false">IF(OR(12&gt;$B$3,ISBLANK(Actuals!N96)),"",Actuals!N96)</f>
        <v/>
      </c>
      <c r="AV80" s="134" t="str">
        <f aca="false">IF(OR(12&gt;$B$3,ISBLANK(Actuals!N96)),"",'Reforecast Q1 2026'!N96-Actuals!N96)</f>
        <v/>
      </c>
      <c r="AW80" s="134" t="str">
        <f aca="false">IFERROR(IF(OR(12&gt;$B$3,ISBLANK(Actuals!N96)),"",('Reforecast Q1 2026'!N96-Actuals!N96)/ABS('Reforecast Q1 2026'!N96)),"")</f>
        <v/>
      </c>
      <c r="AX80" s="135" t="n">
        <f aca="false">SUMPRODUCT((Actuals!C96:N96&lt;&gt;"")*('Reforecast Q1 2026'!C96:N96))</f>
        <v>-7171.45</v>
      </c>
      <c r="AY80" s="135" t="n">
        <f aca="false">SUM(Actuals!C96:N96)</f>
        <v>-7679.88</v>
      </c>
      <c r="AZ80" s="136" t="n">
        <f aca="false">AX80-AY80</f>
        <v>508.43</v>
      </c>
    </row>
    <row r="81" customFormat="false" ht="15" hidden="false" customHeight="true" outlineLevel="0" collapsed="false">
      <c r="A81" s="132" t="s">
        <v>79</v>
      </c>
      <c r="B81" s="133" t="n">
        <f aca="false">'Reforecast Q1 2026'!C97</f>
        <v>0</v>
      </c>
      <c r="C81" s="133" t="n">
        <f aca="false">IF(OR(1&gt;$B$3,ISBLANK(Actuals!C97)),"",Actuals!C97)</f>
        <v>0</v>
      </c>
      <c r="D81" s="134" t="n">
        <f aca="false">IF(OR(1&gt;$B$3,ISBLANK(Actuals!C97)),"",'Reforecast Q1 2026'!C97-Actuals!C97)</f>
        <v>0</v>
      </c>
      <c r="E81" s="134" t="str">
        <f aca="false">IFERROR(IF(OR(1&gt;$B$3,ISBLANK(Actuals!C97)),"",('Reforecast Q1 2026'!C97-Actuals!C97)/ABS('Reforecast Q1 2026'!C97)),"")</f>
        <v/>
      </c>
      <c r="F81" s="133" t="n">
        <f aca="false">'Reforecast Q1 2026'!D97</f>
        <v>0</v>
      </c>
      <c r="G81" s="133" t="n">
        <f aca="false">IF(OR(2&gt;$B$3,ISBLANK(Actuals!D97)),"",Actuals!D97)</f>
        <v>0</v>
      </c>
      <c r="H81" s="134" t="n">
        <f aca="false">IF(OR(2&gt;$B$3,ISBLANK(Actuals!D97)),"",'Reforecast Q1 2026'!D97-Actuals!D97)</f>
        <v>0</v>
      </c>
      <c r="I81" s="134" t="str">
        <f aca="false">IFERROR(IF(OR(2&gt;$B$3,ISBLANK(Actuals!D97)),"",('Reforecast Q1 2026'!D97-Actuals!D97)/ABS('Reforecast Q1 2026'!D97)),"")</f>
        <v/>
      </c>
      <c r="J81" s="133" t="n">
        <f aca="false">'Reforecast Q1 2026'!E97</f>
        <v>-38050.5</v>
      </c>
      <c r="K81" s="133" t="n">
        <f aca="false">IF(OR(3&gt;$B$3,ISBLANK(Actuals!E97)),"",Actuals!E97)</f>
        <v>-38050.5</v>
      </c>
      <c r="L81" s="134" t="n">
        <f aca="false">IF(OR(3&gt;$B$3,ISBLANK(Actuals!E97)),"",'Reforecast Q1 2026'!E97-Actuals!E97)</f>
        <v>0</v>
      </c>
      <c r="M81" s="134" t="n">
        <f aca="false">IFERROR(IF(OR(3&gt;$B$3,ISBLANK(Actuals!E97)),"",('Reforecast Q1 2026'!E97-Actuals!E97)/ABS('Reforecast Q1 2026'!E97)),"")</f>
        <v>0</v>
      </c>
      <c r="N81" s="133" t="n">
        <f aca="false">'Reforecast Q1 2026'!F97</f>
        <v>-2000</v>
      </c>
      <c r="O81" s="133" t="n">
        <f aca="false">IF(OR(4&gt;$B$3,ISBLANK(Actuals!F97)),"",Actuals!F97)</f>
        <v>0</v>
      </c>
      <c r="P81" s="134" t="n">
        <f aca="false">IF(OR(4&gt;$B$3,ISBLANK(Actuals!F97)),"",'Reforecast Q1 2026'!F97-Actuals!F97)</f>
        <v>-2000</v>
      </c>
      <c r="Q81" s="134" t="n">
        <f aca="false">IFERROR(IF(OR(4&gt;$B$3,ISBLANK(Actuals!F97)),"",('Reforecast Q1 2026'!F97-Actuals!F97)/ABS('Reforecast Q1 2026'!F97)),"")</f>
        <v>-1</v>
      </c>
      <c r="R81" s="133" t="n">
        <f aca="false">'Reforecast Q1 2026'!G97</f>
        <v>-2000</v>
      </c>
      <c r="S81" s="133" t="n">
        <f aca="false">IF(OR(5&gt;$B$3,ISBLANK(Actuals!G97)),"",Actuals!G97)</f>
        <v>-986.5</v>
      </c>
      <c r="T81" s="134" t="n">
        <f aca="false">IF(OR(5&gt;$B$3,ISBLANK(Actuals!G97)),"",'Reforecast Q1 2026'!G97-Actuals!G97)</f>
        <v>-1013.5</v>
      </c>
      <c r="U81" s="134" t="n">
        <f aca="false">IFERROR(IF(OR(5&gt;$B$3,ISBLANK(Actuals!G97)),"",('Reforecast Q1 2026'!G97-Actuals!G97)/ABS('Reforecast Q1 2026'!G97)),"")</f>
        <v>-0.50675</v>
      </c>
      <c r="V81" s="133" t="n">
        <f aca="false">'Reforecast Q1 2026'!H97</f>
        <v>-2000</v>
      </c>
      <c r="W81" s="133" t="n">
        <f aca="false">IF(OR(6&gt;$B$3,ISBLANK(Actuals!H97)),"",Actuals!H97)</f>
        <v>-4830</v>
      </c>
      <c r="X81" s="134" t="n">
        <f aca="false">IF(OR(6&gt;$B$3,ISBLANK(Actuals!H97)),"",'Reforecast Q1 2026'!H97-Actuals!H97)</f>
        <v>2830</v>
      </c>
      <c r="Y81" s="134" t="n">
        <f aca="false">IFERROR(IF(OR(6&gt;$B$3,ISBLANK(Actuals!H97)),"",('Reforecast Q1 2026'!H97-Actuals!H97)/ABS('Reforecast Q1 2026'!H97)),"")</f>
        <v>1.415</v>
      </c>
      <c r="Z81" s="133" t="n">
        <f aca="false">'Reforecast Q1 2026'!I97</f>
        <v>-2000</v>
      </c>
      <c r="AA81" s="133" t="n">
        <f aca="false">IF(OR(7&gt;$B$3,ISBLANK(Actuals!I97)),"",Actuals!I97)</f>
        <v>0</v>
      </c>
      <c r="AB81" s="134" t="n">
        <f aca="false">IF(OR(7&gt;$B$3,ISBLANK(Actuals!I97)),"",'Reforecast Q1 2026'!I97-Actuals!I97)</f>
        <v>-2000</v>
      </c>
      <c r="AC81" s="134" t="n">
        <f aca="false">IFERROR(IF(OR(7&gt;$B$3,ISBLANK(Actuals!I97)),"",('Reforecast Q1 2026'!I97-Actuals!I97)/ABS('Reforecast Q1 2026'!I97)),"")</f>
        <v>-1</v>
      </c>
      <c r="AD81" s="133" t="n">
        <f aca="false">'Reforecast Q1 2026'!J97</f>
        <v>-2000</v>
      </c>
      <c r="AE81" s="133" t="n">
        <f aca="false">IF(OR(8&gt;$B$3,ISBLANK(Actuals!J97)),"",Actuals!J97)</f>
        <v>0</v>
      </c>
      <c r="AF81" s="134" t="n">
        <f aca="false">IF(OR(8&gt;$B$3,ISBLANK(Actuals!J97)),"",'Reforecast Q1 2026'!J97-Actuals!J97)</f>
        <v>-2000</v>
      </c>
      <c r="AG81" s="134" t="n">
        <f aca="false">IFERROR(IF(OR(8&gt;$B$3,ISBLANK(Actuals!J97)),"",('Reforecast Q1 2026'!J97-Actuals!J97)/ABS('Reforecast Q1 2026'!J97)),"")</f>
        <v>-1</v>
      </c>
      <c r="AH81" s="133" t="n">
        <f aca="false">'Reforecast Q1 2026'!K97</f>
        <v>-2000</v>
      </c>
      <c r="AI81" s="133" t="str">
        <f aca="false">IF(OR(9&gt;$B$3,ISBLANK(Actuals!K97)),"",Actuals!K97)</f>
        <v/>
      </c>
      <c r="AJ81" s="134" t="str">
        <f aca="false">IF(OR(9&gt;$B$3,ISBLANK(Actuals!K97)),"",'Reforecast Q1 2026'!K97-Actuals!K97)</f>
        <v/>
      </c>
      <c r="AK81" s="134" t="str">
        <f aca="false">IFERROR(IF(OR(9&gt;$B$3,ISBLANK(Actuals!K97)),"",('Reforecast Q1 2026'!K97-Actuals!K97)/ABS('Reforecast Q1 2026'!K97)),"")</f>
        <v/>
      </c>
      <c r="AL81" s="133" t="n">
        <f aca="false">'Reforecast Q1 2026'!L97</f>
        <v>-2000</v>
      </c>
      <c r="AM81" s="133" t="str">
        <f aca="false">IF(OR(10&gt;$B$3,ISBLANK(Actuals!L97)),"",Actuals!L97)</f>
        <v/>
      </c>
      <c r="AN81" s="134" t="str">
        <f aca="false">IF(OR(10&gt;$B$3,ISBLANK(Actuals!L97)),"",'Reforecast Q1 2026'!L97-Actuals!L97)</f>
        <v/>
      </c>
      <c r="AO81" s="134" t="str">
        <f aca="false">IFERROR(IF(OR(10&gt;$B$3,ISBLANK(Actuals!L97)),"",('Reforecast Q1 2026'!L97-Actuals!L97)/ABS('Reforecast Q1 2026'!L97)),"")</f>
        <v/>
      </c>
      <c r="AP81" s="133" t="n">
        <f aca="false">'Reforecast Q1 2026'!M97</f>
        <v>-2000</v>
      </c>
      <c r="AQ81" s="133" t="str">
        <f aca="false">IF(OR(11&gt;$B$3,ISBLANK(Actuals!M97)),"",Actuals!M97)</f>
        <v/>
      </c>
      <c r="AR81" s="134" t="str">
        <f aca="false">IF(OR(11&gt;$B$3,ISBLANK(Actuals!M97)),"",'Reforecast Q1 2026'!M97-Actuals!M97)</f>
        <v/>
      </c>
      <c r="AS81" s="134" t="str">
        <f aca="false">IFERROR(IF(OR(11&gt;$B$3,ISBLANK(Actuals!M97)),"",('Reforecast Q1 2026'!M97-Actuals!M97)/ABS('Reforecast Q1 2026'!M97)),"")</f>
        <v/>
      </c>
      <c r="AT81" s="133" t="n">
        <f aca="false">'Reforecast Q1 2026'!N97</f>
        <v>-2000</v>
      </c>
      <c r="AU81" s="133" t="str">
        <f aca="false">IF(OR(12&gt;$B$3,ISBLANK(Actuals!N97)),"",Actuals!N97)</f>
        <v/>
      </c>
      <c r="AV81" s="134" t="str">
        <f aca="false">IF(OR(12&gt;$B$3,ISBLANK(Actuals!N97)),"",'Reforecast Q1 2026'!N97-Actuals!N97)</f>
        <v/>
      </c>
      <c r="AW81" s="134" t="str">
        <f aca="false">IFERROR(IF(OR(12&gt;$B$3,ISBLANK(Actuals!N97)),"",('Reforecast Q1 2026'!N97-Actuals!N97)/ABS('Reforecast Q1 2026'!N97)),"")</f>
        <v/>
      </c>
      <c r="AX81" s="135" t="n">
        <f aca="false">SUMPRODUCT((Actuals!C97:N97&lt;&gt;"")*('Reforecast Q1 2026'!C97:N97))</f>
        <v>-48050.5</v>
      </c>
      <c r="AY81" s="135" t="n">
        <f aca="false">SUM(Actuals!C97:N97)</f>
        <v>-43867</v>
      </c>
      <c r="AZ81" s="136" t="n">
        <f aca="false">AX81-AY81</f>
        <v>-4183.5</v>
      </c>
    </row>
    <row r="82" customFormat="false" ht="15" hidden="false" customHeight="true" outlineLevel="0" collapsed="false">
      <c r="A82" s="132" t="s">
        <v>80</v>
      </c>
      <c r="B82" s="133" t="n">
        <f aca="false">'Reforecast Q1 2026'!C98</f>
        <v>-4097.78</v>
      </c>
      <c r="C82" s="133" t="n">
        <f aca="false">IF(OR(1&gt;$B$3,ISBLANK(Actuals!C98)),"",Actuals!C98)</f>
        <v>-4097.78</v>
      </c>
      <c r="D82" s="134" t="n">
        <f aca="false">IF(OR(1&gt;$B$3,ISBLANK(Actuals!C98)),"",'Reforecast Q1 2026'!C98-Actuals!C98)</f>
        <v>0</v>
      </c>
      <c r="E82" s="134" t="n">
        <f aca="false">IFERROR(IF(OR(1&gt;$B$3,ISBLANK(Actuals!C98)),"",('Reforecast Q1 2026'!C98-Actuals!C98)/ABS('Reforecast Q1 2026'!C98)),"")</f>
        <v>0</v>
      </c>
      <c r="F82" s="133" t="n">
        <f aca="false">'Reforecast Q1 2026'!D98</f>
        <v>-1950.2</v>
      </c>
      <c r="G82" s="133" t="n">
        <f aca="false">IF(OR(2&gt;$B$3,ISBLANK(Actuals!D98)),"",Actuals!D98)</f>
        <v>-1950.2</v>
      </c>
      <c r="H82" s="134" t="n">
        <f aca="false">IF(OR(2&gt;$B$3,ISBLANK(Actuals!D98)),"",'Reforecast Q1 2026'!D98-Actuals!D98)</f>
        <v>0</v>
      </c>
      <c r="I82" s="134" t="n">
        <f aca="false">IFERROR(IF(OR(2&gt;$B$3,ISBLANK(Actuals!D98)),"",('Reforecast Q1 2026'!D98-Actuals!D98)/ABS('Reforecast Q1 2026'!D98)),"")</f>
        <v>0</v>
      </c>
      <c r="J82" s="133" t="n">
        <f aca="false">'Reforecast Q1 2026'!E98</f>
        <v>-1978.2</v>
      </c>
      <c r="K82" s="133" t="n">
        <f aca="false">IF(OR(3&gt;$B$3,ISBLANK(Actuals!E98)),"",Actuals!E98)</f>
        <v>-1978.2</v>
      </c>
      <c r="L82" s="134" t="n">
        <f aca="false">IF(OR(3&gt;$B$3,ISBLANK(Actuals!E98)),"",'Reforecast Q1 2026'!E98-Actuals!E98)</f>
        <v>0</v>
      </c>
      <c r="M82" s="134" t="n">
        <f aca="false">IFERROR(IF(OR(3&gt;$B$3,ISBLANK(Actuals!E98)),"",('Reforecast Q1 2026'!E98-Actuals!E98)/ABS('Reforecast Q1 2026'!E98)),"")</f>
        <v>0</v>
      </c>
      <c r="N82" s="133" t="n">
        <f aca="false">'Reforecast Q1 2026'!F98</f>
        <v>-2675.39</v>
      </c>
      <c r="O82" s="133" t="n">
        <f aca="false">IF(OR(4&gt;$B$3,ISBLANK(Actuals!F98)),"",Actuals!F98)</f>
        <v>-1970.2</v>
      </c>
      <c r="P82" s="134" t="n">
        <f aca="false">IF(OR(4&gt;$B$3,ISBLANK(Actuals!F98)),"",'Reforecast Q1 2026'!F98-Actuals!F98)</f>
        <v>-705.19</v>
      </c>
      <c r="Q82" s="134" t="n">
        <f aca="false">IFERROR(IF(OR(4&gt;$B$3,ISBLANK(Actuals!F98)),"",('Reforecast Q1 2026'!F98-Actuals!F98)/ABS('Reforecast Q1 2026'!F98)),"")</f>
        <v>-0.263584000837261</v>
      </c>
      <c r="R82" s="133" t="n">
        <f aca="false">'Reforecast Q1 2026'!G98</f>
        <v>-2675.39</v>
      </c>
      <c r="S82" s="133" t="n">
        <f aca="false">IF(OR(5&gt;$B$3,ISBLANK(Actuals!G98)),"",Actuals!G98)</f>
        <v>-6126.2</v>
      </c>
      <c r="T82" s="134" t="n">
        <f aca="false">IF(OR(5&gt;$B$3,ISBLANK(Actuals!G98)),"",'Reforecast Q1 2026'!G98-Actuals!G98)</f>
        <v>3450.81</v>
      </c>
      <c r="U82" s="134" t="n">
        <f aca="false">IFERROR(IF(OR(5&gt;$B$3,ISBLANK(Actuals!G98)),"",('Reforecast Q1 2026'!G98-Actuals!G98)/ABS('Reforecast Q1 2026'!G98)),"")</f>
        <v>1.28983437928676</v>
      </c>
      <c r="V82" s="133" t="n">
        <f aca="false">'Reforecast Q1 2026'!H98</f>
        <v>-2675.39</v>
      </c>
      <c r="W82" s="133" t="n">
        <f aca="false">IF(OR(6&gt;$B$3,ISBLANK(Actuals!H98)),"",Actuals!H98)</f>
        <v>-1993.2</v>
      </c>
      <c r="X82" s="134" t="n">
        <f aca="false">IF(OR(6&gt;$B$3,ISBLANK(Actuals!H98)),"",'Reforecast Q1 2026'!H98-Actuals!H98)</f>
        <v>-682.19</v>
      </c>
      <c r="Y82" s="134" t="n">
        <f aca="false">IFERROR(IF(OR(6&gt;$B$3,ISBLANK(Actuals!H98)),"",('Reforecast Q1 2026'!H98-Actuals!H98)/ABS('Reforecast Q1 2026'!H98)),"")</f>
        <v>-0.254987123372667</v>
      </c>
      <c r="Z82" s="133" t="n">
        <f aca="false">'Reforecast Q1 2026'!I98</f>
        <v>-2675.39</v>
      </c>
      <c r="AA82" s="133" t="n">
        <f aca="false">IF(OR(7&gt;$B$3,ISBLANK(Actuals!I98)),"",Actuals!I98)</f>
        <v>-2040.2</v>
      </c>
      <c r="AB82" s="134" t="n">
        <f aca="false">IF(OR(7&gt;$B$3,ISBLANK(Actuals!I98)),"",'Reforecast Q1 2026'!I98-Actuals!I98)</f>
        <v>-635.19</v>
      </c>
      <c r="AC82" s="134" t="n">
        <f aca="false">IFERROR(IF(OR(7&gt;$B$3,ISBLANK(Actuals!I98)),"",('Reforecast Q1 2026'!I98-Actuals!I98)/ABS('Reforecast Q1 2026'!I98)),"")</f>
        <v>-0.23741959116241</v>
      </c>
      <c r="AD82" s="133" t="n">
        <f aca="false">'Reforecast Q1 2026'!J98</f>
        <v>-2675.39</v>
      </c>
      <c r="AE82" s="133" t="n">
        <f aca="false">IF(OR(8&gt;$B$3,ISBLANK(Actuals!J98)),"",Actuals!J98)</f>
        <v>-2271.2</v>
      </c>
      <c r="AF82" s="134" t="n">
        <f aca="false">IF(OR(8&gt;$B$3,ISBLANK(Actuals!J98)),"",'Reforecast Q1 2026'!J98-Actuals!J98)</f>
        <v>-404.19</v>
      </c>
      <c r="AG82" s="134" t="n">
        <f aca="false">IFERROR(IF(OR(8&gt;$B$3,ISBLANK(Actuals!J98)),"",('Reforecast Q1 2026'!J98-Actuals!J98)/ABS('Reforecast Q1 2026'!J98)),"")</f>
        <v>-0.151077039235401</v>
      </c>
      <c r="AH82" s="133" t="n">
        <f aca="false">'Reforecast Q1 2026'!K98</f>
        <v>-2675.39</v>
      </c>
      <c r="AI82" s="133" t="str">
        <f aca="false">IF(OR(9&gt;$B$3,ISBLANK(Actuals!K98)),"",Actuals!K98)</f>
        <v/>
      </c>
      <c r="AJ82" s="134" t="str">
        <f aca="false">IF(OR(9&gt;$B$3,ISBLANK(Actuals!K98)),"",'Reforecast Q1 2026'!K98-Actuals!K98)</f>
        <v/>
      </c>
      <c r="AK82" s="134" t="str">
        <f aca="false">IFERROR(IF(OR(9&gt;$B$3,ISBLANK(Actuals!K98)),"",('Reforecast Q1 2026'!K98-Actuals!K98)/ABS('Reforecast Q1 2026'!K98)),"")</f>
        <v/>
      </c>
      <c r="AL82" s="133" t="n">
        <f aca="false">'Reforecast Q1 2026'!L98</f>
        <v>-2675.39</v>
      </c>
      <c r="AM82" s="133" t="str">
        <f aca="false">IF(OR(10&gt;$B$3,ISBLANK(Actuals!L98)),"",Actuals!L98)</f>
        <v/>
      </c>
      <c r="AN82" s="134" t="str">
        <f aca="false">IF(OR(10&gt;$B$3,ISBLANK(Actuals!L98)),"",'Reforecast Q1 2026'!L98-Actuals!L98)</f>
        <v/>
      </c>
      <c r="AO82" s="134" t="str">
        <f aca="false">IFERROR(IF(OR(10&gt;$B$3,ISBLANK(Actuals!L98)),"",('Reforecast Q1 2026'!L98-Actuals!L98)/ABS('Reforecast Q1 2026'!L98)),"")</f>
        <v/>
      </c>
      <c r="AP82" s="133" t="n">
        <f aca="false">'Reforecast Q1 2026'!M98</f>
        <v>-2675.39</v>
      </c>
      <c r="AQ82" s="133" t="str">
        <f aca="false">IF(OR(11&gt;$B$3,ISBLANK(Actuals!M98)),"",Actuals!M98)</f>
        <v/>
      </c>
      <c r="AR82" s="134" t="str">
        <f aca="false">IF(OR(11&gt;$B$3,ISBLANK(Actuals!M98)),"",'Reforecast Q1 2026'!M98-Actuals!M98)</f>
        <v/>
      </c>
      <c r="AS82" s="134" t="str">
        <f aca="false">IFERROR(IF(OR(11&gt;$B$3,ISBLANK(Actuals!M98)),"",('Reforecast Q1 2026'!M98-Actuals!M98)/ABS('Reforecast Q1 2026'!M98)),"")</f>
        <v/>
      </c>
      <c r="AT82" s="133" t="n">
        <f aca="false">'Reforecast Q1 2026'!N98</f>
        <v>-2675.39</v>
      </c>
      <c r="AU82" s="133" t="str">
        <f aca="false">IF(OR(12&gt;$B$3,ISBLANK(Actuals!N98)),"",Actuals!N98)</f>
        <v/>
      </c>
      <c r="AV82" s="134" t="str">
        <f aca="false">IF(OR(12&gt;$B$3,ISBLANK(Actuals!N98)),"",'Reforecast Q1 2026'!N98-Actuals!N98)</f>
        <v/>
      </c>
      <c r="AW82" s="134" t="str">
        <f aca="false">IFERROR(IF(OR(12&gt;$B$3,ISBLANK(Actuals!N98)),"",('Reforecast Q1 2026'!N98-Actuals!N98)/ABS('Reforecast Q1 2026'!N98)),"")</f>
        <v/>
      </c>
      <c r="AX82" s="135" t="n">
        <f aca="false">SUMPRODUCT((Actuals!C98:N98&lt;&gt;"")*('Reforecast Q1 2026'!C98:N98))</f>
        <v>-21403.13</v>
      </c>
      <c r="AY82" s="135" t="n">
        <f aca="false">SUM(Actuals!C98:N98)</f>
        <v>-22427.18</v>
      </c>
      <c r="AZ82" s="136" t="n">
        <f aca="false">AX82-AY82</f>
        <v>1024.05</v>
      </c>
    </row>
    <row r="83" customFormat="false" ht="15" hidden="false" customHeight="true" outlineLevel="0" collapsed="false">
      <c r="A83" s="132" t="s">
        <v>81</v>
      </c>
      <c r="B83" s="133" t="n">
        <f aca="false">'Reforecast Q1 2026'!C99</f>
        <v>-28038</v>
      </c>
      <c r="C83" s="133" t="n">
        <f aca="false">IF(OR(1&gt;$B$3,ISBLANK(Actuals!C99)),"",Actuals!C99)</f>
        <v>-28038</v>
      </c>
      <c r="D83" s="134" t="n">
        <f aca="false">IF(OR(1&gt;$B$3,ISBLANK(Actuals!C99)),"",'Reforecast Q1 2026'!C99-Actuals!C99)</f>
        <v>0</v>
      </c>
      <c r="E83" s="134" t="n">
        <f aca="false">IFERROR(IF(OR(1&gt;$B$3,ISBLANK(Actuals!C99)),"",('Reforecast Q1 2026'!C99-Actuals!C99)/ABS('Reforecast Q1 2026'!C99)),"")</f>
        <v>0</v>
      </c>
      <c r="F83" s="133" t="n">
        <f aca="false">'Reforecast Q1 2026'!D99</f>
        <v>-29387.5</v>
      </c>
      <c r="G83" s="133" t="n">
        <f aca="false">IF(OR(2&gt;$B$3,ISBLANK(Actuals!D99)),"",Actuals!D99)</f>
        <v>-29387.5</v>
      </c>
      <c r="H83" s="134" t="n">
        <f aca="false">IF(OR(2&gt;$B$3,ISBLANK(Actuals!D99)),"",'Reforecast Q1 2026'!D99-Actuals!D99)</f>
        <v>0</v>
      </c>
      <c r="I83" s="134" t="n">
        <f aca="false">IFERROR(IF(OR(2&gt;$B$3,ISBLANK(Actuals!D99)),"",('Reforecast Q1 2026'!D99-Actuals!D99)/ABS('Reforecast Q1 2026'!D99)),"")</f>
        <v>0</v>
      </c>
      <c r="J83" s="133" t="n">
        <f aca="false">'Reforecast Q1 2026'!E99</f>
        <v>-28083</v>
      </c>
      <c r="K83" s="133" t="n">
        <f aca="false">IF(OR(3&gt;$B$3,ISBLANK(Actuals!E99)),"",Actuals!E99)</f>
        <v>-28083</v>
      </c>
      <c r="L83" s="134" t="n">
        <f aca="false">IF(OR(3&gt;$B$3,ISBLANK(Actuals!E99)),"",'Reforecast Q1 2026'!E99-Actuals!E99)</f>
        <v>0</v>
      </c>
      <c r="M83" s="134" t="n">
        <f aca="false">IFERROR(IF(OR(3&gt;$B$3,ISBLANK(Actuals!E99)),"",('Reforecast Q1 2026'!E99-Actuals!E99)/ABS('Reforecast Q1 2026'!E99)),"")</f>
        <v>0</v>
      </c>
      <c r="N83" s="133" t="n">
        <f aca="false">'Reforecast Q1 2026'!F99</f>
        <v>-8625</v>
      </c>
      <c r="O83" s="133" t="n">
        <f aca="false">IF(OR(4&gt;$B$3,ISBLANK(Actuals!F99)),"",Actuals!F99)</f>
        <v>-28083</v>
      </c>
      <c r="P83" s="134" t="n">
        <f aca="false">IF(OR(4&gt;$B$3,ISBLANK(Actuals!F99)),"",'Reforecast Q1 2026'!F99-Actuals!F99)</f>
        <v>19458</v>
      </c>
      <c r="Q83" s="134" t="n">
        <f aca="false">IFERROR(IF(OR(4&gt;$B$3,ISBLANK(Actuals!F99)),"",('Reforecast Q1 2026'!F99-Actuals!F99)/ABS('Reforecast Q1 2026'!F99)),"")</f>
        <v>2.256</v>
      </c>
      <c r="R83" s="133" t="n">
        <f aca="false">'Reforecast Q1 2026'!G99</f>
        <v>-8625</v>
      </c>
      <c r="S83" s="133" t="n">
        <f aca="false">IF(OR(5&gt;$B$3,ISBLANK(Actuals!G99)),"",Actuals!G99)</f>
        <v>-69333</v>
      </c>
      <c r="T83" s="134" t="n">
        <f aca="false">IF(OR(5&gt;$B$3,ISBLANK(Actuals!G99)),"",'Reforecast Q1 2026'!G99-Actuals!G99)</f>
        <v>60708</v>
      </c>
      <c r="U83" s="134" t="n">
        <f aca="false">IFERROR(IF(OR(5&gt;$B$3,ISBLANK(Actuals!G99)),"",('Reforecast Q1 2026'!G99-Actuals!G99)/ABS('Reforecast Q1 2026'!G99)),"")</f>
        <v>7.03860869565217</v>
      </c>
      <c r="V83" s="133" t="n">
        <f aca="false">'Reforecast Q1 2026'!H99</f>
        <v>-8625</v>
      </c>
      <c r="W83" s="133" t="n">
        <f aca="false">IF(OR(6&gt;$B$3,ISBLANK(Actuals!H99)),"",Actuals!H99)</f>
        <v>-28083</v>
      </c>
      <c r="X83" s="134" t="n">
        <f aca="false">IF(OR(6&gt;$B$3,ISBLANK(Actuals!H99)),"",'Reforecast Q1 2026'!H99-Actuals!H99)</f>
        <v>19458</v>
      </c>
      <c r="Y83" s="134" t="n">
        <f aca="false">IFERROR(IF(OR(6&gt;$B$3,ISBLANK(Actuals!H99)),"",('Reforecast Q1 2026'!H99-Actuals!H99)/ABS('Reforecast Q1 2026'!H99)),"")</f>
        <v>2.256</v>
      </c>
      <c r="Z83" s="133" t="n">
        <f aca="false">'Reforecast Q1 2026'!I99</f>
        <v>-8625</v>
      </c>
      <c r="AA83" s="133" t="n">
        <f aca="false">IF(OR(7&gt;$B$3,ISBLANK(Actuals!I99)),"",Actuals!I99)</f>
        <v>-28628</v>
      </c>
      <c r="AB83" s="134" t="n">
        <f aca="false">IF(OR(7&gt;$B$3,ISBLANK(Actuals!I99)),"",'Reforecast Q1 2026'!I99-Actuals!I99)</f>
        <v>20003</v>
      </c>
      <c r="AC83" s="134" t="n">
        <f aca="false">IFERROR(IF(OR(7&gt;$B$3,ISBLANK(Actuals!I99)),"",('Reforecast Q1 2026'!I99-Actuals!I99)/ABS('Reforecast Q1 2026'!I99)),"")</f>
        <v>2.3191884057971</v>
      </c>
      <c r="AD83" s="133" t="n">
        <f aca="false">'Reforecast Q1 2026'!J99</f>
        <v>-8625</v>
      </c>
      <c r="AE83" s="133" t="n">
        <f aca="false">IF(OR(8&gt;$B$3,ISBLANK(Actuals!J99)),"",Actuals!J99)</f>
        <v>-28083</v>
      </c>
      <c r="AF83" s="134" t="n">
        <f aca="false">IF(OR(8&gt;$B$3,ISBLANK(Actuals!J99)),"",'Reforecast Q1 2026'!J99-Actuals!J99)</f>
        <v>19458</v>
      </c>
      <c r="AG83" s="134" t="n">
        <f aca="false">IFERROR(IF(OR(8&gt;$B$3,ISBLANK(Actuals!J99)),"",('Reforecast Q1 2026'!J99-Actuals!J99)/ABS('Reforecast Q1 2026'!J99)),"")</f>
        <v>2.256</v>
      </c>
      <c r="AH83" s="133" t="n">
        <f aca="false">'Reforecast Q1 2026'!K99</f>
        <v>-8625</v>
      </c>
      <c r="AI83" s="133" t="str">
        <f aca="false">IF(OR(9&gt;$B$3,ISBLANK(Actuals!K99)),"",Actuals!K99)</f>
        <v/>
      </c>
      <c r="AJ83" s="134" t="str">
        <f aca="false">IF(OR(9&gt;$B$3,ISBLANK(Actuals!K99)),"",'Reforecast Q1 2026'!K99-Actuals!K99)</f>
        <v/>
      </c>
      <c r="AK83" s="134" t="str">
        <f aca="false">IFERROR(IF(OR(9&gt;$B$3,ISBLANK(Actuals!K99)),"",('Reforecast Q1 2026'!K99-Actuals!K99)/ABS('Reforecast Q1 2026'!K99)),"")</f>
        <v/>
      </c>
      <c r="AL83" s="133" t="n">
        <f aca="false">'Reforecast Q1 2026'!L99</f>
        <v>-8625</v>
      </c>
      <c r="AM83" s="133" t="str">
        <f aca="false">IF(OR(10&gt;$B$3,ISBLANK(Actuals!L99)),"",Actuals!L99)</f>
        <v/>
      </c>
      <c r="AN83" s="134" t="str">
        <f aca="false">IF(OR(10&gt;$B$3,ISBLANK(Actuals!L99)),"",'Reforecast Q1 2026'!L99-Actuals!L99)</f>
        <v/>
      </c>
      <c r="AO83" s="134" t="str">
        <f aca="false">IFERROR(IF(OR(10&gt;$B$3,ISBLANK(Actuals!L99)),"",('Reforecast Q1 2026'!L99-Actuals!L99)/ABS('Reforecast Q1 2026'!L99)),"")</f>
        <v/>
      </c>
      <c r="AP83" s="133" t="n">
        <f aca="false">'Reforecast Q1 2026'!M99</f>
        <v>-8625</v>
      </c>
      <c r="AQ83" s="133" t="str">
        <f aca="false">IF(OR(11&gt;$B$3,ISBLANK(Actuals!M99)),"",Actuals!M99)</f>
        <v/>
      </c>
      <c r="AR83" s="134" t="str">
        <f aca="false">IF(OR(11&gt;$B$3,ISBLANK(Actuals!M99)),"",'Reforecast Q1 2026'!M99-Actuals!M99)</f>
        <v/>
      </c>
      <c r="AS83" s="134" t="str">
        <f aca="false">IFERROR(IF(OR(11&gt;$B$3,ISBLANK(Actuals!M99)),"",('Reforecast Q1 2026'!M99-Actuals!M99)/ABS('Reforecast Q1 2026'!M99)),"")</f>
        <v/>
      </c>
      <c r="AT83" s="133" t="n">
        <f aca="false">'Reforecast Q1 2026'!N99</f>
        <v>-8625</v>
      </c>
      <c r="AU83" s="133" t="str">
        <f aca="false">IF(OR(12&gt;$B$3,ISBLANK(Actuals!N99)),"",Actuals!N99)</f>
        <v/>
      </c>
      <c r="AV83" s="134" t="str">
        <f aca="false">IF(OR(12&gt;$B$3,ISBLANK(Actuals!N99)),"",'Reforecast Q1 2026'!N99-Actuals!N99)</f>
        <v/>
      </c>
      <c r="AW83" s="134" t="str">
        <f aca="false">IFERROR(IF(OR(12&gt;$B$3,ISBLANK(Actuals!N99)),"",('Reforecast Q1 2026'!N99-Actuals!N99)/ABS('Reforecast Q1 2026'!N99)),"")</f>
        <v/>
      </c>
      <c r="AX83" s="135" t="n">
        <f aca="false">SUMPRODUCT((Actuals!C99:N99&lt;&gt;"")*('Reforecast Q1 2026'!C99:N99))</f>
        <v>-128633.5</v>
      </c>
      <c r="AY83" s="135" t="n">
        <f aca="false">SUM(Actuals!C99:N99)</f>
        <v>-267718.5</v>
      </c>
      <c r="AZ83" s="136" t="n">
        <f aca="false">AX83-AY83</f>
        <v>139085</v>
      </c>
    </row>
    <row r="84" customFormat="false" ht="15" hidden="false" customHeight="true" outlineLevel="0" collapsed="false">
      <c r="A84" s="132" t="s">
        <v>128</v>
      </c>
      <c r="B84" s="133" t="n">
        <f aca="false">'Reforecast Q1 2026'!C100</f>
        <v>-268</v>
      </c>
      <c r="C84" s="133" t="n">
        <f aca="false">IF(OR(1&gt;$B$3,ISBLANK(Actuals!C100)),"",Actuals!C100)</f>
        <v>-268</v>
      </c>
      <c r="D84" s="134" t="n">
        <f aca="false">IF(OR(1&gt;$B$3,ISBLANK(Actuals!C100)),"",'Reforecast Q1 2026'!C100-Actuals!C100)</f>
        <v>0</v>
      </c>
      <c r="E84" s="134" t="n">
        <f aca="false">IFERROR(IF(OR(1&gt;$B$3,ISBLANK(Actuals!C100)),"",('Reforecast Q1 2026'!C100-Actuals!C100)/ABS('Reforecast Q1 2026'!C100)),"")</f>
        <v>0</v>
      </c>
      <c r="F84" s="133" t="n">
        <f aca="false">'Reforecast Q1 2026'!D100</f>
        <v>-2088.75</v>
      </c>
      <c r="G84" s="133" t="n">
        <f aca="false">IF(OR(2&gt;$B$3,ISBLANK(Actuals!D100)),"",Actuals!D100)</f>
        <v>-2088.75</v>
      </c>
      <c r="H84" s="134" t="n">
        <f aca="false">IF(OR(2&gt;$B$3,ISBLANK(Actuals!D100)),"",'Reforecast Q1 2026'!D100-Actuals!D100)</f>
        <v>0</v>
      </c>
      <c r="I84" s="134" t="n">
        <f aca="false">IFERROR(IF(OR(2&gt;$B$3,ISBLANK(Actuals!D100)),"",('Reforecast Q1 2026'!D100-Actuals!D100)/ABS('Reforecast Q1 2026'!D100)),"")</f>
        <v>0</v>
      </c>
      <c r="J84" s="133" t="n">
        <f aca="false">'Reforecast Q1 2026'!E100</f>
        <v>-2401.75</v>
      </c>
      <c r="K84" s="133" t="n">
        <f aca="false">IF(OR(3&gt;$B$3,ISBLANK(Actuals!E100)),"",Actuals!E100)</f>
        <v>-2401.75</v>
      </c>
      <c r="L84" s="134" t="n">
        <f aca="false">IF(OR(3&gt;$B$3,ISBLANK(Actuals!E100)),"",'Reforecast Q1 2026'!E100-Actuals!E100)</f>
        <v>0</v>
      </c>
      <c r="M84" s="134" t="n">
        <f aca="false">IFERROR(IF(OR(3&gt;$B$3,ISBLANK(Actuals!E100)),"",('Reforecast Q1 2026'!E100-Actuals!E100)/ABS('Reforecast Q1 2026'!E100)),"")</f>
        <v>0</v>
      </c>
      <c r="N84" s="133" t="n">
        <f aca="false">'Reforecast Q1 2026'!F100</f>
        <v>-1586.17</v>
      </c>
      <c r="O84" s="133" t="n">
        <f aca="false">IF(OR(4&gt;$B$3,ISBLANK(Actuals!F100)),"",Actuals!F100)</f>
        <v>-4209.5</v>
      </c>
      <c r="P84" s="134" t="n">
        <f aca="false">IF(OR(4&gt;$B$3,ISBLANK(Actuals!F100)),"",'Reforecast Q1 2026'!F100-Actuals!F100)</f>
        <v>2623.33</v>
      </c>
      <c r="Q84" s="134" t="n">
        <f aca="false">IFERROR(IF(OR(4&gt;$B$3,ISBLANK(Actuals!F100)),"",('Reforecast Q1 2026'!F100-Actuals!F100)/ABS('Reforecast Q1 2026'!F100)),"")</f>
        <v>1.65387694887685</v>
      </c>
      <c r="R84" s="133" t="n">
        <f aca="false">'Reforecast Q1 2026'!G100</f>
        <v>-1586.17</v>
      </c>
      <c r="S84" s="133" t="n">
        <f aca="false">IF(OR(5&gt;$B$3,ISBLANK(Actuals!G100)),"",Actuals!G100)</f>
        <v>-2377.59</v>
      </c>
      <c r="T84" s="134" t="n">
        <f aca="false">IF(OR(5&gt;$B$3,ISBLANK(Actuals!G100)),"",'Reforecast Q1 2026'!G100-Actuals!G100)</f>
        <v>791.42</v>
      </c>
      <c r="U84" s="134" t="n">
        <f aca="false">IFERROR(IF(OR(5&gt;$B$3,ISBLANK(Actuals!G100)),"",('Reforecast Q1 2026'!G100-Actuals!G100)/ABS('Reforecast Q1 2026'!G100)),"")</f>
        <v>0.498950301670061</v>
      </c>
      <c r="V84" s="133" t="n">
        <f aca="false">'Reforecast Q1 2026'!H100</f>
        <v>-1586.17</v>
      </c>
      <c r="W84" s="133" t="n">
        <f aca="false">IF(OR(6&gt;$B$3,ISBLANK(Actuals!H100)),"",Actuals!H100)</f>
        <v>-16</v>
      </c>
      <c r="X84" s="134" t="n">
        <f aca="false">IF(OR(6&gt;$B$3,ISBLANK(Actuals!H100)),"",'Reforecast Q1 2026'!H100-Actuals!H100)</f>
        <v>-1570.17</v>
      </c>
      <c r="Y84" s="134" t="n">
        <f aca="false">IFERROR(IF(OR(6&gt;$B$3,ISBLANK(Actuals!H100)),"",('Reforecast Q1 2026'!H100-Actuals!H100)/ABS('Reforecast Q1 2026'!H100)),"")</f>
        <v>-0.989912808841423</v>
      </c>
      <c r="Z84" s="133" t="n">
        <f aca="false">'Reforecast Q1 2026'!I100</f>
        <v>-1586.17</v>
      </c>
      <c r="AA84" s="133" t="n">
        <f aca="false">IF(OR(7&gt;$B$3,ISBLANK(Actuals!I100)),"",Actuals!I100)</f>
        <v>-4592.5</v>
      </c>
      <c r="AB84" s="134" t="n">
        <f aca="false">IF(OR(7&gt;$B$3,ISBLANK(Actuals!I100)),"",'Reforecast Q1 2026'!I100-Actuals!I100)</f>
        <v>3006.33</v>
      </c>
      <c r="AC84" s="134" t="n">
        <f aca="false">IFERROR(IF(OR(7&gt;$B$3,ISBLANK(Actuals!I100)),"",('Reforecast Q1 2026'!I100-Actuals!I100)/ABS('Reforecast Q1 2026'!I100)),"")</f>
        <v>1.89533908723529</v>
      </c>
      <c r="AD84" s="133" t="n">
        <f aca="false">'Reforecast Q1 2026'!J100</f>
        <v>-1586.17</v>
      </c>
      <c r="AE84" s="133" t="n">
        <f aca="false">IF(OR(8&gt;$B$3,ISBLANK(Actuals!J100)),"",Actuals!J100)</f>
        <v>-268</v>
      </c>
      <c r="AF84" s="134" t="n">
        <f aca="false">IF(OR(8&gt;$B$3,ISBLANK(Actuals!J100)),"",'Reforecast Q1 2026'!J100-Actuals!J100)</f>
        <v>-1318.17</v>
      </c>
      <c r="AG84" s="134" t="n">
        <f aca="false">IFERROR(IF(OR(8&gt;$B$3,ISBLANK(Actuals!J100)),"",('Reforecast Q1 2026'!J100-Actuals!J100)/ABS('Reforecast Q1 2026'!J100)),"")</f>
        <v>-0.831039548093836</v>
      </c>
      <c r="AH84" s="133" t="n">
        <f aca="false">'Reforecast Q1 2026'!K100</f>
        <v>-1586.17</v>
      </c>
      <c r="AI84" s="133" t="str">
        <f aca="false">IF(OR(9&gt;$B$3,ISBLANK(Actuals!K100)),"",Actuals!K100)</f>
        <v/>
      </c>
      <c r="AJ84" s="134" t="str">
        <f aca="false">IF(OR(9&gt;$B$3,ISBLANK(Actuals!K100)),"",'Reforecast Q1 2026'!K100-Actuals!K100)</f>
        <v/>
      </c>
      <c r="AK84" s="134" t="str">
        <f aca="false">IFERROR(IF(OR(9&gt;$B$3,ISBLANK(Actuals!K100)),"",('Reforecast Q1 2026'!K100-Actuals!K100)/ABS('Reforecast Q1 2026'!K100)),"")</f>
        <v/>
      </c>
      <c r="AL84" s="133" t="n">
        <f aca="false">'Reforecast Q1 2026'!L100</f>
        <v>-1586.17</v>
      </c>
      <c r="AM84" s="133" t="str">
        <f aca="false">IF(OR(10&gt;$B$3,ISBLANK(Actuals!L100)),"",Actuals!L100)</f>
        <v/>
      </c>
      <c r="AN84" s="134" t="str">
        <f aca="false">IF(OR(10&gt;$B$3,ISBLANK(Actuals!L100)),"",'Reforecast Q1 2026'!L100-Actuals!L100)</f>
        <v/>
      </c>
      <c r="AO84" s="134" t="str">
        <f aca="false">IFERROR(IF(OR(10&gt;$B$3,ISBLANK(Actuals!L100)),"",('Reforecast Q1 2026'!L100-Actuals!L100)/ABS('Reforecast Q1 2026'!L100)),"")</f>
        <v/>
      </c>
      <c r="AP84" s="133" t="n">
        <f aca="false">'Reforecast Q1 2026'!M100</f>
        <v>-1586.17</v>
      </c>
      <c r="AQ84" s="133" t="str">
        <f aca="false">IF(OR(11&gt;$B$3,ISBLANK(Actuals!M100)),"",Actuals!M100)</f>
        <v/>
      </c>
      <c r="AR84" s="134" t="str">
        <f aca="false">IF(OR(11&gt;$B$3,ISBLANK(Actuals!M100)),"",'Reforecast Q1 2026'!M100-Actuals!M100)</f>
        <v/>
      </c>
      <c r="AS84" s="134" t="str">
        <f aca="false">IFERROR(IF(OR(11&gt;$B$3,ISBLANK(Actuals!M100)),"",('Reforecast Q1 2026'!M100-Actuals!M100)/ABS('Reforecast Q1 2026'!M100)),"")</f>
        <v/>
      </c>
      <c r="AT84" s="133" t="n">
        <f aca="false">'Reforecast Q1 2026'!N100</f>
        <v>-1586.17</v>
      </c>
      <c r="AU84" s="133" t="str">
        <f aca="false">IF(OR(12&gt;$B$3,ISBLANK(Actuals!N100)),"",Actuals!N100)</f>
        <v/>
      </c>
      <c r="AV84" s="134" t="str">
        <f aca="false">IF(OR(12&gt;$B$3,ISBLANK(Actuals!N100)),"",'Reforecast Q1 2026'!N100-Actuals!N100)</f>
        <v/>
      </c>
      <c r="AW84" s="134" t="str">
        <f aca="false">IFERROR(IF(OR(12&gt;$B$3,ISBLANK(Actuals!N100)),"",('Reforecast Q1 2026'!N100-Actuals!N100)/ABS('Reforecast Q1 2026'!N100)),"")</f>
        <v/>
      </c>
      <c r="AX84" s="135" t="n">
        <f aca="false">SUMPRODUCT((Actuals!C100:N100&lt;&gt;"")*('Reforecast Q1 2026'!C100:N100))</f>
        <v>-12689.35</v>
      </c>
      <c r="AY84" s="135" t="n">
        <f aca="false">SUM(Actuals!C100:N100)</f>
        <v>-16222.09</v>
      </c>
      <c r="AZ84" s="136" t="n">
        <f aca="false">AX84-AY84</f>
        <v>3532.74</v>
      </c>
    </row>
    <row r="85" customFormat="false" ht="15" hidden="false" customHeight="true" outlineLevel="0" collapsed="false">
      <c r="A85" s="132" t="s">
        <v>129</v>
      </c>
      <c r="B85" s="133" t="n">
        <f aca="false">'Reforecast Q1 2026'!C101</f>
        <v>-341.83</v>
      </c>
      <c r="C85" s="133" t="n">
        <f aca="false">IF(OR(1&gt;$B$3,ISBLANK(Actuals!C101)),"",Actuals!C101)</f>
        <v>-341.83</v>
      </c>
      <c r="D85" s="134" t="n">
        <f aca="false">IF(OR(1&gt;$B$3,ISBLANK(Actuals!C101)),"",'Reforecast Q1 2026'!C101-Actuals!C101)</f>
        <v>0</v>
      </c>
      <c r="E85" s="134" t="n">
        <f aca="false">IFERROR(IF(OR(1&gt;$B$3,ISBLANK(Actuals!C101)),"",('Reforecast Q1 2026'!C101-Actuals!C101)/ABS('Reforecast Q1 2026'!C101)),"")</f>
        <v>0</v>
      </c>
      <c r="F85" s="133" t="n">
        <f aca="false">'Reforecast Q1 2026'!D101</f>
        <v>-728</v>
      </c>
      <c r="G85" s="133" t="n">
        <f aca="false">IF(OR(2&gt;$B$3,ISBLANK(Actuals!D101)),"",Actuals!D101)</f>
        <v>-728</v>
      </c>
      <c r="H85" s="134" t="n">
        <f aca="false">IF(OR(2&gt;$B$3,ISBLANK(Actuals!D101)),"",'Reforecast Q1 2026'!D101-Actuals!D101)</f>
        <v>0</v>
      </c>
      <c r="I85" s="134" t="n">
        <f aca="false">IFERROR(IF(OR(2&gt;$B$3,ISBLANK(Actuals!D101)),"",('Reforecast Q1 2026'!D101-Actuals!D101)/ABS('Reforecast Q1 2026'!D101)),"")</f>
        <v>0</v>
      </c>
      <c r="J85" s="133" t="n">
        <f aca="false">'Reforecast Q1 2026'!E101</f>
        <v>-15256.75</v>
      </c>
      <c r="K85" s="133" t="n">
        <f aca="false">IF(OR(3&gt;$B$3,ISBLANK(Actuals!E101)),"",Actuals!E101)</f>
        <v>-15256.75</v>
      </c>
      <c r="L85" s="134" t="n">
        <f aca="false">IF(OR(3&gt;$B$3,ISBLANK(Actuals!E101)),"",'Reforecast Q1 2026'!E101-Actuals!E101)</f>
        <v>0</v>
      </c>
      <c r="M85" s="134" t="n">
        <f aca="false">IFERROR(IF(OR(3&gt;$B$3,ISBLANK(Actuals!E101)),"",('Reforecast Q1 2026'!E101-Actuals!E101)/ABS('Reforecast Q1 2026'!E101)),"")</f>
        <v>0</v>
      </c>
      <c r="N85" s="133" t="n">
        <f aca="false">'Reforecast Q1 2026'!F101</f>
        <v>-5442.19</v>
      </c>
      <c r="O85" s="133" t="n">
        <f aca="false">IF(OR(4&gt;$B$3,ISBLANK(Actuals!F101)),"",Actuals!F101)</f>
        <v>-1033.41</v>
      </c>
      <c r="P85" s="134" t="n">
        <f aca="false">IF(OR(4&gt;$B$3,ISBLANK(Actuals!F101)),"",'Reforecast Q1 2026'!F101-Actuals!F101)</f>
        <v>-4408.78</v>
      </c>
      <c r="Q85" s="134" t="n">
        <f aca="false">IFERROR(IF(OR(4&gt;$B$3,ISBLANK(Actuals!F101)),"",('Reforecast Q1 2026'!F101-Actuals!F101)/ABS('Reforecast Q1 2026'!F101)),"")</f>
        <v>-0.810111370606318</v>
      </c>
      <c r="R85" s="133" t="n">
        <f aca="false">'Reforecast Q1 2026'!G101</f>
        <v>-5442.19</v>
      </c>
      <c r="S85" s="133" t="n">
        <f aca="false">IF(OR(5&gt;$B$3,ISBLANK(Actuals!G101)),"",Actuals!G101)</f>
        <v>-3499</v>
      </c>
      <c r="T85" s="134" t="n">
        <f aca="false">IF(OR(5&gt;$B$3,ISBLANK(Actuals!G101)),"",'Reforecast Q1 2026'!G101-Actuals!G101)</f>
        <v>-1943.19</v>
      </c>
      <c r="U85" s="134" t="n">
        <f aca="false">IFERROR(IF(OR(5&gt;$B$3,ISBLANK(Actuals!G101)),"",('Reforecast Q1 2026'!G101-Actuals!G101)/ABS('Reforecast Q1 2026'!G101)),"")</f>
        <v>-0.357060301092024</v>
      </c>
      <c r="V85" s="133" t="n">
        <f aca="false">'Reforecast Q1 2026'!H101</f>
        <v>-5442.19</v>
      </c>
      <c r="W85" s="133" t="n">
        <f aca="false">IF(OR(6&gt;$B$3,ISBLANK(Actuals!H101)),"",Actuals!H101)</f>
        <v>-1033.41</v>
      </c>
      <c r="X85" s="134" t="n">
        <f aca="false">IF(OR(6&gt;$B$3,ISBLANK(Actuals!H101)),"",'Reforecast Q1 2026'!H101-Actuals!H101)</f>
        <v>-4408.78</v>
      </c>
      <c r="Y85" s="134" t="n">
        <f aca="false">IFERROR(IF(OR(6&gt;$B$3,ISBLANK(Actuals!H101)),"",('Reforecast Q1 2026'!H101-Actuals!H101)/ABS('Reforecast Q1 2026'!H101)),"")</f>
        <v>-0.810111370606318</v>
      </c>
      <c r="Z85" s="133" t="n">
        <f aca="false">'Reforecast Q1 2026'!I101</f>
        <v>-5442.19</v>
      </c>
      <c r="AA85" s="133" t="n">
        <f aca="false">IF(OR(7&gt;$B$3,ISBLANK(Actuals!I101)),"",Actuals!I101)</f>
        <v>-537.06</v>
      </c>
      <c r="AB85" s="134" t="n">
        <f aca="false">IF(OR(7&gt;$B$3,ISBLANK(Actuals!I101)),"",'Reforecast Q1 2026'!I101-Actuals!I101)</f>
        <v>-4905.13</v>
      </c>
      <c r="AC85" s="134" t="n">
        <f aca="false">IFERROR(IF(OR(7&gt;$B$3,ISBLANK(Actuals!I101)),"",('Reforecast Q1 2026'!I101-Actuals!I101)/ABS('Reforecast Q1 2026'!I101)),"")</f>
        <v>-0.901315463076445</v>
      </c>
      <c r="AD85" s="133" t="n">
        <f aca="false">'Reforecast Q1 2026'!J101</f>
        <v>-5442.19</v>
      </c>
      <c r="AE85" s="133" t="n">
        <f aca="false">IF(OR(8&gt;$B$3,ISBLANK(Actuals!J101)),"",Actuals!J101)</f>
        <v>-1903.22</v>
      </c>
      <c r="AF85" s="134" t="n">
        <f aca="false">IF(OR(8&gt;$B$3,ISBLANK(Actuals!J101)),"",'Reforecast Q1 2026'!J101-Actuals!J101)</f>
        <v>-3538.97</v>
      </c>
      <c r="AG85" s="134" t="n">
        <f aca="false">IFERROR(IF(OR(8&gt;$B$3,ISBLANK(Actuals!J101)),"",('Reforecast Q1 2026'!J101-Actuals!J101)/ABS('Reforecast Q1 2026'!J101)),"")</f>
        <v>-0.650284168689443</v>
      </c>
      <c r="AH85" s="133" t="n">
        <f aca="false">'Reforecast Q1 2026'!K101</f>
        <v>-5442.19</v>
      </c>
      <c r="AI85" s="133" t="str">
        <f aca="false">IF(OR(9&gt;$B$3,ISBLANK(Actuals!K101)),"",Actuals!K101)</f>
        <v/>
      </c>
      <c r="AJ85" s="134" t="str">
        <f aca="false">IF(OR(9&gt;$B$3,ISBLANK(Actuals!K101)),"",'Reforecast Q1 2026'!K101-Actuals!K101)</f>
        <v/>
      </c>
      <c r="AK85" s="134" t="str">
        <f aca="false">IFERROR(IF(OR(9&gt;$B$3,ISBLANK(Actuals!K101)),"",('Reforecast Q1 2026'!K101-Actuals!K101)/ABS('Reforecast Q1 2026'!K101)),"")</f>
        <v/>
      </c>
      <c r="AL85" s="133" t="n">
        <f aca="false">'Reforecast Q1 2026'!L101</f>
        <v>-5442.19</v>
      </c>
      <c r="AM85" s="133" t="str">
        <f aca="false">IF(OR(10&gt;$B$3,ISBLANK(Actuals!L101)),"",Actuals!L101)</f>
        <v/>
      </c>
      <c r="AN85" s="134" t="str">
        <f aca="false">IF(OR(10&gt;$B$3,ISBLANK(Actuals!L101)),"",'Reforecast Q1 2026'!L101-Actuals!L101)</f>
        <v/>
      </c>
      <c r="AO85" s="134" t="str">
        <f aca="false">IFERROR(IF(OR(10&gt;$B$3,ISBLANK(Actuals!L101)),"",('Reforecast Q1 2026'!L101-Actuals!L101)/ABS('Reforecast Q1 2026'!L101)),"")</f>
        <v/>
      </c>
      <c r="AP85" s="133" t="n">
        <f aca="false">'Reforecast Q1 2026'!M101</f>
        <v>-5442.19</v>
      </c>
      <c r="AQ85" s="133" t="str">
        <f aca="false">IF(OR(11&gt;$B$3,ISBLANK(Actuals!M101)),"",Actuals!M101)</f>
        <v/>
      </c>
      <c r="AR85" s="134" t="str">
        <f aca="false">IF(OR(11&gt;$B$3,ISBLANK(Actuals!M101)),"",'Reforecast Q1 2026'!M101-Actuals!M101)</f>
        <v/>
      </c>
      <c r="AS85" s="134" t="str">
        <f aca="false">IFERROR(IF(OR(11&gt;$B$3,ISBLANK(Actuals!M101)),"",('Reforecast Q1 2026'!M101-Actuals!M101)/ABS('Reforecast Q1 2026'!M101)),"")</f>
        <v/>
      </c>
      <c r="AT85" s="133" t="n">
        <f aca="false">'Reforecast Q1 2026'!N101</f>
        <v>-5442.19</v>
      </c>
      <c r="AU85" s="133" t="str">
        <f aca="false">IF(OR(12&gt;$B$3,ISBLANK(Actuals!N101)),"",Actuals!N101)</f>
        <v/>
      </c>
      <c r="AV85" s="134" t="str">
        <f aca="false">IF(OR(12&gt;$B$3,ISBLANK(Actuals!N101)),"",'Reforecast Q1 2026'!N101-Actuals!N101)</f>
        <v/>
      </c>
      <c r="AW85" s="134" t="str">
        <f aca="false">IFERROR(IF(OR(12&gt;$B$3,ISBLANK(Actuals!N101)),"",('Reforecast Q1 2026'!N101-Actuals!N101)/ABS('Reforecast Q1 2026'!N101)),"")</f>
        <v/>
      </c>
      <c r="AX85" s="135" t="n">
        <f aca="false">SUMPRODUCT((Actuals!C101:N101&lt;&gt;"")*('Reforecast Q1 2026'!C101:N101))</f>
        <v>-43537.53</v>
      </c>
      <c r="AY85" s="135" t="n">
        <f aca="false">SUM(Actuals!C101:N101)</f>
        <v>-24332.68</v>
      </c>
      <c r="AZ85" s="136" t="n">
        <f aca="false">AX85-AY85</f>
        <v>-19204.85</v>
      </c>
    </row>
    <row r="86" customFormat="false" ht="15" hidden="false" customHeight="true" outlineLevel="0" collapsed="false">
      <c r="A86" s="132" t="s">
        <v>130</v>
      </c>
      <c r="B86" s="133" t="n">
        <f aca="false">'Reforecast Q1 2026'!C102</f>
        <v>-1905.31</v>
      </c>
      <c r="C86" s="133" t="n">
        <f aca="false">IF(OR(1&gt;$B$3,ISBLANK(Actuals!C102)),"",Actuals!C102)</f>
        <v>-1905.31</v>
      </c>
      <c r="D86" s="134" t="n">
        <f aca="false">IF(OR(1&gt;$B$3,ISBLANK(Actuals!C102)),"",'Reforecast Q1 2026'!C102-Actuals!C102)</f>
        <v>0</v>
      </c>
      <c r="E86" s="134" t="n">
        <f aca="false">IFERROR(IF(OR(1&gt;$B$3,ISBLANK(Actuals!C102)),"",('Reforecast Q1 2026'!C102-Actuals!C102)/ABS('Reforecast Q1 2026'!C102)),"")</f>
        <v>0</v>
      </c>
      <c r="F86" s="133" t="n">
        <f aca="false">'Reforecast Q1 2026'!D102</f>
        <v>-1905.31</v>
      </c>
      <c r="G86" s="133" t="n">
        <f aca="false">IF(OR(2&gt;$B$3,ISBLANK(Actuals!D102)),"",Actuals!D102)</f>
        <v>-1905.31</v>
      </c>
      <c r="H86" s="134" t="n">
        <f aca="false">IF(OR(2&gt;$B$3,ISBLANK(Actuals!D102)),"",'Reforecast Q1 2026'!D102-Actuals!D102)</f>
        <v>0</v>
      </c>
      <c r="I86" s="134" t="n">
        <f aca="false">IFERROR(IF(OR(2&gt;$B$3,ISBLANK(Actuals!D102)),"",('Reforecast Q1 2026'!D102-Actuals!D102)/ABS('Reforecast Q1 2026'!D102)),"")</f>
        <v>0</v>
      </c>
      <c r="J86" s="133" t="n">
        <f aca="false">'Reforecast Q1 2026'!E102</f>
        <v>-1905.31</v>
      </c>
      <c r="K86" s="133" t="n">
        <f aca="false">IF(OR(3&gt;$B$3,ISBLANK(Actuals!E102)),"",Actuals!E102)</f>
        <v>-1905.31</v>
      </c>
      <c r="L86" s="134" t="n">
        <f aca="false">IF(OR(3&gt;$B$3,ISBLANK(Actuals!E102)),"",'Reforecast Q1 2026'!E102-Actuals!E102)</f>
        <v>0</v>
      </c>
      <c r="M86" s="134" t="n">
        <f aca="false">IFERROR(IF(OR(3&gt;$B$3,ISBLANK(Actuals!E102)),"",('Reforecast Q1 2026'!E102-Actuals!E102)/ABS('Reforecast Q1 2026'!E102)),"")</f>
        <v>0</v>
      </c>
      <c r="N86" s="133" t="n">
        <f aca="false">'Reforecast Q1 2026'!F102</f>
        <v>-1905.31</v>
      </c>
      <c r="O86" s="133" t="n">
        <f aca="false">IF(OR(4&gt;$B$3,ISBLANK(Actuals!F102)),"",Actuals!F102)</f>
        <v>-1905.31</v>
      </c>
      <c r="P86" s="134" t="n">
        <f aca="false">IF(OR(4&gt;$B$3,ISBLANK(Actuals!F102)),"",'Reforecast Q1 2026'!F102-Actuals!F102)</f>
        <v>0</v>
      </c>
      <c r="Q86" s="134" t="n">
        <f aca="false">IFERROR(IF(OR(4&gt;$B$3,ISBLANK(Actuals!F102)),"",('Reforecast Q1 2026'!F102-Actuals!F102)/ABS('Reforecast Q1 2026'!F102)),"")</f>
        <v>0</v>
      </c>
      <c r="R86" s="133" t="n">
        <f aca="false">'Reforecast Q1 2026'!G102</f>
        <v>-1905.31</v>
      </c>
      <c r="S86" s="133" t="n">
        <f aca="false">IF(OR(5&gt;$B$3,ISBLANK(Actuals!G102)),"",Actuals!G102)</f>
        <v>-1905.31</v>
      </c>
      <c r="T86" s="134" t="n">
        <f aca="false">IF(OR(5&gt;$B$3,ISBLANK(Actuals!G102)),"",'Reforecast Q1 2026'!G102-Actuals!G102)</f>
        <v>0</v>
      </c>
      <c r="U86" s="134" t="n">
        <f aca="false">IFERROR(IF(OR(5&gt;$B$3,ISBLANK(Actuals!G102)),"",('Reforecast Q1 2026'!G102-Actuals!G102)/ABS('Reforecast Q1 2026'!G102)),"")</f>
        <v>0</v>
      </c>
      <c r="V86" s="133" t="n">
        <f aca="false">'Reforecast Q1 2026'!H102</f>
        <v>-1905.31</v>
      </c>
      <c r="W86" s="133" t="n">
        <f aca="false">IF(OR(6&gt;$B$3,ISBLANK(Actuals!H102)),"",Actuals!H102)</f>
        <v>-1905.31</v>
      </c>
      <c r="X86" s="134" t="n">
        <f aca="false">IF(OR(6&gt;$B$3,ISBLANK(Actuals!H102)),"",'Reforecast Q1 2026'!H102-Actuals!H102)</f>
        <v>0</v>
      </c>
      <c r="Y86" s="134" t="n">
        <f aca="false">IFERROR(IF(OR(6&gt;$B$3,ISBLANK(Actuals!H102)),"",('Reforecast Q1 2026'!H102-Actuals!H102)/ABS('Reforecast Q1 2026'!H102)),"")</f>
        <v>0</v>
      </c>
      <c r="Z86" s="133" t="n">
        <f aca="false">'Reforecast Q1 2026'!I102</f>
        <v>-1905.31</v>
      </c>
      <c r="AA86" s="133" t="n">
        <f aca="false">IF(OR(7&gt;$B$3,ISBLANK(Actuals!I102)),"",Actuals!I102)</f>
        <v>-1905.31</v>
      </c>
      <c r="AB86" s="134" t="n">
        <f aca="false">IF(OR(7&gt;$B$3,ISBLANK(Actuals!I102)),"",'Reforecast Q1 2026'!I102-Actuals!I102)</f>
        <v>0</v>
      </c>
      <c r="AC86" s="134" t="n">
        <f aca="false">IFERROR(IF(OR(7&gt;$B$3,ISBLANK(Actuals!I102)),"",('Reforecast Q1 2026'!I102-Actuals!I102)/ABS('Reforecast Q1 2026'!I102)),"")</f>
        <v>0</v>
      </c>
      <c r="AD86" s="133" t="n">
        <f aca="false">'Reforecast Q1 2026'!J102</f>
        <v>-1905.31</v>
      </c>
      <c r="AE86" s="133" t="n">
        <f aca="false">IF(OR(8&gt;$B$3,ISBLANK(Actuals!J102)),"",Actuals!J102)</f>
        <v>-1905.31</v>
      </c>
      <c r="AF86" s="134" t="n">
        <f aca="false">IF(OR(8&gt;$B$3,ISBLANK(Actuals!J102)),"",'Reforecast Q1 2026'!J102-Actuals!J102)</f>
        <v>0</v>
      </c>
      <c r="AG86" s="134" t="n">
        <f aca="false">IFERROR(IF(OR(8&gt;$B$3,ISBLANK(Actuals!J102)),"",('Reforecast Q1 2026'!J102-Actuals!J102)/ABS('Reforecast Q1 2026'!J102)),"")</f>
        <v>0</v>
      </c>
      <c r="AH86" s="133" t="n">
        <f aca="false">'Reforecast Q1 2026'!K102</f>
        <v>-1905.31</v>
      </c>
      <c r="AI86" s="133" t="str">
        <f aca="false">IF(OR(9&gt;$B$3,ISBLANK(Actuals!K102)),"",Actuals!K102)</f>
        <v/>
      </c>
      <c r="AJ86" s="134" t="str">
        <f aca="false">IF(OR(9&gt;$B$3,ISBLANK(Actuals!K102)),"",'Reforecast Q1 2026'!K102-Actuals!K102)</f>
        <v/>
      </c>
      <c r="AK86" s="134" t="str">
        <f aca="false">IFERROR(IF(OR(9&gt;$B$3,ISBLANK(Actuals!K102)),"",('Reforecast Q1 2026'!K102-Actuals!K102)/ABS('Reforecast Q1 2026'!K102)),"")</f>
        <v/>
      </c>
      <c r="AL86" s="133" t="n">
        <f aca="false">'Reforecast Q1 2026'!L102</f>
        <v>-1905.31</v>
      </c>
      <c r="AM86" s="133" t="str">
        <f aca="false">IF(OR(10&gt;$B$3,ISBLANK(Actuals!L102)),"",Actuals!L102)</f>
        <v/>
      </c>
      <c r="AN86" s="134" t="str">
        <f aca="false">IF(OR(10&gt;$B$3,ISBLANK(Actuals!L102)),"",'Reforecast Q1 2026'!L102-Actuals!L102)</f>
        <v/>
      </c>
      <c r="AO86" s="134" t="str">
        <f aca="false">IFERROR(IF(OR(10&gt;$B$3,ISBLANK(Actuals!L102)),"",('Reforecast Q1 2026'!L102-Actuals!L102)/ABS('Reforecast Q1 2026'!L102)),"")</f>
        <v/>
      </c>
      <c r="AP86" s="133" t="n">
        <f aca="false">'Reforecast Q1 2026'!M102</f>
        <v>-1905.31</v>
      </c>
      <c r="AQ86" s="133" t="str">
        <f aca="false">IF(OR(11&gt;$B$3,ISBLANK(Actuals!M102)),"",Actuals!M102)</f>
        <v/>
      </c>
      <c r="AR86" s="134" t="str">
        <f aca="false">IF(OR(11&gt;$B$3,ISBLANK(Actuals!M102)),"",'Reforecast Q1 2026'!M102-Actuals!M102)</f>
        <v/>
      </c>
      <c r="AS86" s="134" t="str">
        <f aca="false">IFERROR(IF(OR(11&gt;$B$3,ISBLANK(Actuals!M102)),"",('Reforecast Q1 2026'!M102-Actuals!M102)/ABS('Reforecast Q1 2026'!M102)),"")</f>
        <v/>
      </c>
      <c r="AT86" s="133" t="n">
        <f aca="false">'Reforecast Q1 2026'!N102</f>
        <v>-1905.31</v>
      </c>
      <c r="AU86" s="133" t="str">
        <f aca="false">IF(OR(12&gt;$B$3,ISBLANK(Actuals!N102)),"",Actuals!N102)</f>
        <v/>
      </c>
      <c r="AV86" s="134" t="str">
        <f aca="false">IF(OR(12&gt;$B$3,ISBLANK(Actuals!N102)),"",'Reforecast Q1 2026'!N102-Actuals!N102)</f>
        <v/>
      </c>
      <c r="AW86" s="134" t="str">
        <f aca="false">IFERROR(IF(OR(12&gt;$B$3,ISBLANK(Actuals!N102)),"",('Reforecast Q1 2026'!N102-Actuals!N102)/ABS('Reforecast Q1 2026'!N102)),"")</f>
        <v/>
      </c>
      <c r="AX86" s="135" t="n">
        <f aca="false">SUMPRODUCT((Actuals!C102:N102&lt;&gt;"")*('Reforecast Q1 2026'!C102:N102))</f>
        <v>-15242.48</v>
      </c>
      <c r="AY86" s="135" t="n">
        <f aca="false">SUM(Actuals!C102:N102)</f>
        <v>-15242.48</v>
      </c>
      <c r="AZ86" s="136" t="n">
        <f aca="false">AX86-AY86</f>
        <v>0</v>
      </c>
    </row>
    <row r="87" customFormat="false" ht="15" hidden="false" customHeight="true" outlineLevel="0" collapsed="false">
      <c r="A87" s="132" t="s">
        <v>131</v>
      </c>
      <c r="B87" s="133" t="n">
        <f aca="false">'Reforecast Q1 2026'!C103</f>
        <v>-2100</v>
      </c>
      <c r="C87" s="133" t="n">
        <f aca="false">IF(OR(1&gt;$B$3,ISBLANK(Actuals!C103)),"",Actuals!C103)</f>
        <v>-2100</v>
      </c>
      <c r="D87" s="134" t="n">
        <f aca="false">IF(OR(1&gt;$B$3,ISBLANK(Actuals!C103)),"",'Reforecast Q1 2026'!C103-Actuals!C103)</f>
        <v>0</v>
      </c>
      <c r="E87" s="134" t="n">
        <f aca="false">IFERROR(IF(OR(1&gt;$B$3,ISBLANK(Actuals!C103)),"",('Reforecast Q1 2026'!C103-Actuals!C103)/ABS('Reforecast Q1 2026'!C103)),"")</f>
        <v>0</v>
      </c>
      <c r="F87" s="133" t="n">
        <f aca="false">'Reforecast Q1 2026'!D103</f>
        <v>-2100</v>
      </c>
      <c r="G87" s="133" t="n">
        <f aca="false">IF(OR(2&gt;$B$3,ISBLANK(Actuals!D103)),"",Actuals!D103)</f>
        <v>-2100</v>
      </c>
      <c r="H87" s="134" t="n">
        <f aca="false">IF(OR(2&gt;$B$3,ISBLANK(Actuals!D103)),"",'Reforecast Q1 2026'!D103-Actuals!D103)</f>
        <v>0</v>
      </c>
      <c r="I87" s="134" t="n">
        <f aca="false">IFERROR(IF(OR(2&gt;$B$3,ISBLANK(Actuals!D103)),"",('Reforecast Q1 2026'!D103-Actuals!D103)/ABS('Reforecast Q1 2026'!D103)),"")</f>
        <v>0</v>
      </c>
      <c r="J87" s="133" t="n">
        <f aca="false">'Reforecast Q1 2026'!E103</f>
        <v>-2100</v>
      </c>
      <c r="K87" s="133" t="n">
        <f aca="false">IF(OR(3&gt;$B$3,ISBLANK(Actuals!E103)),"",Actuals!E103)</f>
        <v>-2100</v>
      </c>
      <c r="L87" s="134" t="n">
        <f aca="false">IF(OR(3&gt;$B$3,ISBLANK(Actuals!E103)),"",'Reforecast Q1 2026'!E103-Actuals!E103)</f>
        <v>0</v>
      </c>
      <c r="M87" s="134" t="n">
        <f aca="false">IFERROR(IF(OR(3&gt;$B$3,ISBLANK(Actuals!E103)),"",('Reforecast Q1 2026'!E103-Actuals!E103)/ABS('Reforecast Q1 2026'!E103)),"")</f>
        <v>0</v>
      </c>
      <c r="N87" s="133" t="n">
        <f aca="false">'Reforecast Q1 2026'!F103</f>
        <v>-2100</v>
      </c>
      <c r="O87" s="133" t="n">
        <f aca="false">IF(OR(4&gt;$B$3,ISBLANK(Actuals!F103)),"",Actuals!F103)</f>
        <v>-2100</v>
      </c>
      <c r="P87" s="134" t="n">
        <f aca="false">IF(OR(4&gt;$B$3,ISBLANK(Actuals!F103)),"",'Reforecast Q1 2026'!F103-Actuals!F103)</f>
        <v>0</v>
      </c>
      <c r="Q87" s="134" t="n">
        <f aca="false">IFERROR(IF(OR(4&gt;$B$3,ISBLANK(Actuals!F103)),"",('Reforecast Q1 2026'!F103-Actuals!F103)/ABS('Reforecast Q1 2026'!F103)),"")</f>
        <v>0</v>
      </c>
      <c r="R87" s="133" t="n">
        <f aca="false">'Reforecast Q1 2026'!G103</f>
        <v>-2100</v>
      </c>
      <c r="S87" s="133" t="n">
        <f aca="false">IF(OR(5&gt;$B$3,ISBLANK(Actuals!G103)),"",Actuals!G103)</f>
        <v>-2100</v>
      </c>
      <c r="T87" s="134" t="n">
        <f aca="false">IF(OR(5&gt;$B$3,ISBLANK(Actuals!G103)),"",'Reforecast Q1 2026'!G103-Actuals!G103)</f>
        <v>0</v>
      </c>
      <c r="U87" s="134" t="n">
        <f aca="false">IFERROR(IF(OR(5&gt;$B$3,ISBLANK(Actuals!G103)),"",('Reforecast Q1 2026'!G103-Actuals!G103)/ABS('Reforecast Q1 2026'!G103)),"")</f>
        <v>0</v>
      </c>
      <c r="V87" s="133" t="n">
        <f aca="false">'Reforecast Q1 2026'!H103</f>
        <v>-2100</v>
      </c>
      <c r="W87" s="133" t="n">
        <f aca="false">IF(OR(6&gt;$B$3,ISBLANK(Actuals!H103)),"",Actuals!H103)</f>
        <v>-2100</v>
      </c>
      <c r="X87" s="134" t="n">
        <f aca="false">IF(OR(6&gt;$B$3,ISBLANK(Actuals!H103)),"",'Reforecast Q1 2026'!H103-Actuals!H103)</f>
        <v>0</v>
      </c>
      <c r="Y87" s="134" t="n">
        <f aca="false">IFERROR(IF(OR(6&gt;$B$3,ISBLANK(Actuals!H103)),"",('Reforecast Q1 2026'!H103-Actuals!H103)/ABS('Reforecast Q1 2026'!H103)),"")</f>
        <v>0</v>
      </c>
      <c r="Z87" s="133" t="n">
        <f aca="false">'Reforecast Q1 2026'!I103</f>
        <v>-2100</v>
      </c>
      <c r="AA87" s="133" t="n">
        <f aca="false">IF(OR(7&gt;$B$3,ISBLANK(Actuals!I103)),"",Actuals!I103)</f>
        <v>-2100</v>
      </c>
      <c r="AB87" s="134" t="n">
        <f aca="false">IF(OR(7&gt;$B$3,ISBLANK(Actuals!I103)),"",'Reforecast Q1 2026'!I103-Actuals!I103)</f>
        <v>0</v>
      </c>
      <c r="AC87" s="134" t="n">
        <f aca="false">IFERROR(IF(OR(7&gt;$B$3,ISBLANK(Actuals!I103)),"",('Reforecast Q1 2026'!I103-Actuals!I103)/ABS('Reforecast Q1 2026'!I103)),"")</f>
        <v>0</v>
      </c>
      <c r="AD87" s="133" t="n">
        <f aca="false">'Reforecast Q1 2026'!J103</f>
        <v>-2100</v>
      </c>
      <c r="AE87" s="133" t="n">
        <f aca="false">IF(OR(8&gt;$B$3,ISBLANK(Actuals!J103)),"",Actuals!J103)</f>
        <v>-2100</v>
      </c>
      <c r="AF87" s="134" t="n">
        <f aca="false">IF(OR(8&gt;$B$3,ISBLANK(Actuals!J103)),"",'Reforecast Q1 2026'!J103-Actuals!J103)</f>
        <v>0</v>
      </c>
      <c r="AG87" s="134" t="n">
        <f aca="false">IFERROR(IF(OR(8&gt;$B$3,ISBLANK(Actuals!J103)),"",('Reforecast Q1 2026'!J103-Actuals!J103)/ABS('Reforecast Q1 2026'!J103)),"")</f>
        <v>0</v>
      </c>
      <c r="AH87" s="133" t="n">
        <f aca="false">'Reforecast Q1 2026'!K103</f>
        <v>-2100</v>
      </c>
      <c r="AI87" s="133" t="str">
        <f aca="false">IF(OR(9&gt;$B$3,ISBLANK(Actuals!K103)),"",Actuals!K103)</f>
        <v/>
      </c>
      <c r="AJ87" s="134" t="str">
        <f aca="false">IF(OR(9&gt;$B$3,ISBLANK(Actuals!K103)),"",'Reforecast Q1 2026'!K103-Actuals!K103)</f>
        <v/>
      </c>
      <c r="AK87" s="134" t="str">
        <f aca="false">IFERROR(IF(OR(9&gt;$B$3,ISBLANK(Actuals!K103)),"",('Reforecast Q1 2026'!K103-Actuals!K103)/ABS('Reforecast Q1 2026'!K103)),"")</f>
        <v/>
      </c>
      <c r="AL87" s="133" t="n">
        <f aca="false">'Reforecast Q1 2026'!L103</f>
        <v>-2100</v>
      </c>
      <c r="AM87" s="133" t="str">
        <f aca="false">IF(OR(10&gt;$B$3,ISBLANK(Actuals!L103)),"",Actuals!L103)</f>
        <v/>
      </c>
      <c r="AN87" s="134" t="str">
        <f aca="false">IF(OR(10&gt;$B$3,ISBLANK(Actuals!L103)),"",'Reforecast Q1 2026'!L103-Actuals!L103)</f>
        <v/>
      </c>
      <c r="AO87" s="134" t="str">
        <f aca="false">IFERROR(IF(OR(10&gt;$B$3,ISBLANK(Actuals!L103)),"",('Reforecast Q1 2026'!L103-Actuals!L103)/ABS('Reforecast Q1 2026'!L103)),"")</f>
        <v/>
      </c>
      <c r="AP87" s="133" t="n">
        <f aca="false">'Reforecast Q1 2026'!M103</f>
        <v>-2100</v>
      </c>
      <c r="AQ87" s="133" t="str">
        <f aca="false">IF(OR(11&gt;$B$3,ISBLANK(Actuals!M103)),"",Actuals!M103)</f>
        <v/>
      </c>
      <c r="AR87" s="134" t="str">
        <f aca="false">IF(OR(11&gt;$B$3,ISBLANK(Actuals!M103)),"",'Reforecast Q1 2026'!M103-Actuals!M103)</f>
        <v/>
      </c>
      <c r="AS87" s="134" t="str">
        <f aca="false">IFERROR(IF(OR(11&gt;$B$3,ISBLANK(Actuals!M103)),"",('Reforecast Q1 2026'!M103-Actuals!M103)/ABS('Reforecast Q1 2026'!M103)),"")</f>
        <v/>
      </c>
      <c r="AT87" s="133" t="n">
        <f aca="false">'Reforecast Q1 2026'!N103</f>
        <v>-2100</v>
      </c>
      <c r="AU87" s="133" t="str">
        <f aca="false">IF(OR(12&gt;$B$3,ISBLANK(Actuals!N103)),"",Actuals!N103)</f>
        <v/>
      </c>
      <c r="AV87" s="134" t="str">
        <f aca="false">IF(OR(12&gt;$B$3,ISBLANK(Actuals!N103)),"",'Reforecast Q1 2026'!N103-Actuals!N103)</f>
        <v/>
      </c>
      <c r="AW87" s="134" t="str">
        <f aca="false">IFERROR(IF(OR(12&gt;$B$3,ISBLANK(Actuals!N103)),"",('Reforecast Q1 2026'!N103-Actuals!N103)/ABS('Reforecast Q1 2026'!N103)),"")</f>
        <v/>
      </c>
      <c r="AX87" s="135" t="n">
        <f aca="false">SUMPRODUCT((Actuals!C103:N103&lt;&gt;"")*('Reforecast Q1 2026'!C103:N103))</f>
        <v>-16800</v>
      </c>
      <c r="AY87" s="135" t="n">
        <f aca="false">SUM(Actuals!C103:N103)</f>
        <v>-16800</v>
      </c>
      <c r="AZ87" s="136" t="n">
        <f aca="false">AX87-AY87</f>
        <v>0</v>
      </c>
    </row>
    <row r="88" customFormat="false" ht="15" hidden="false" customHeight="true" outlineLevel="0" collapsed="false">
      <c r="A88" s="132" t="s">
        <v>84</v>
      </c>
      <c r="B88" s="133" t="n">
        <f aca="false">'Reforecast Q1 2026'!C104</f>
        <v>-66666.66</v>
      </c>
      <c r="C88" s="133" t="n">
        <f aca="false">IF(OR(1&gt;$B$3,ISBLANK(Actuals!C104)),"",Actuals!C104)</f>
        <v>-66666.66</v>
      </c>
      <c r="D88" s="134" t="n">
        <f aca="false">IF(OR(1&gt;$B$3,ISBLANK(Actuals!C104)),"",'Reforecast Q1 2026'!C104-Actuals!C104)</f>
        <v>0</v>
      </c>
      <c r="E88" s="134" t="n">
        <f aca="false">IFERROR(IF(OR(1&gt;$B$3,ISBLANK(Actuals!C104)),"",('Reforecast Q1 2026'!C104-Actuals!C104)/ABS('Reforecast Q1 2026'!C104)),"")</f>
        <v>0</v>
      </c>
      <c r="F88" s="133" t="n">
        <f aca="false">'Reforecast Q1 2026'!D104</f>
        <v>-66666.66</v>
      </c>
      <c r="G88" s="133" t="n">
        <f aca="false">IF(OR(2&gt;$B$3,ISBLANK(Actuals!D104)),"",Actuals!D104)</f>
        <v>-66666.66</v>
      </c>
      <c r="H88" s="134" t="n">
        <f aca="false">IF(OR(2&gt;$B$3,ISBLANK(Actuals!D104)),"",'Reforecast Q1 2026'!D104-Actuals!D104)</f>
        <v>0</v>
      </c>
      <c r="I88" s="134" t="n">
        <f aca="false">IFERROR(IF(OR(2&gt;$B$3,ISBLANK(Actuals!D104)),"",('Reforecast Q1 2026'!D104-Actuals!D104)/ABS('Reforecast Q1 2026'!D104)),"")</f>
        <v>0</v>
      </c>
      <c r="J88" s="133" t="n">
        <f aca="false">'Reforecast Q1 2026'!E104</f>
        <v>-66666.66</v>
      </c>
      <c r="K88" s="133" t="n">
        <f aca="false">IF(OR(3&gt;$B$3,ISBLANK(Actuals!E104)),"",Actuals!E104)</f>
        <v>-66666.66</v>
      </c>
      <c r="L88" s="134" t="n">
        <f aca="false">IF(OR(3&gt;$B$3,ISBLANK(Actuals!E104)),"",'Reforecast Q1 2026'!E104-Actuals!E104)</f>
        <v>0</v>
      </c>
      <c r="M88" s="134" t="n">
        <f aca="false">IFERROR(IF(OR(3&gt;$B$3,ISBLANK(Actuals!E104)),"",('Reforecast Q1 2026'!E104-Actuals!E104)/ABS('Reforecast Q1 2026'!E104)),"")</f>
        <v>0</v>
      </c>
      <c r="N88" s="133" t="n">
        <f aca="false">'Reforecast Q1 2026'!F104</f>
        <v>-25000</v>
      </c>
      <c r="O88" s="133" t="n">
        <f aca="false">IF(OR(4&gt;$B$3,ISBLANK(Actuals!F104)),"",Actuals!F104)</f>
        <v>-66666.66</v>
      </c>
      <c r="P88" s="134" t="n">
        <f aca="false">IF(OR(4&gt;$B$3,ISBLANK(Actuals!F104)),"",'Reforecast Q1 2026'!F104-Actuals!F104)</f>
        <v>41666.66</v>
      </c>
      <c r="Q88" s="134" t="n">
        <f aca="false">IFERROR(IF(OR(4&gt;$B$3,ISBLANK(Actuals!F104)),"",('Reforecast Q1 2026'!F104-Actuals!F104)/ABS('Reforecast Q1 2026'!F104)),"")</f>
        <v>1.6666664</v>
      </c>
      <c r="R88" s="133" t="n">
        <f aca="false">'Reforecast Q1 2026'!G104</f>
        <v>-25000</v>
      </c>
      <c r="S88" s="133" t="n">
        <f aca="false">IF(OR(5&gt;$B$3,ISBLANK(Actuals!G104)),"",Actuals!G104)</f>
        <v>-66666.66</v>
      </c>
      <c r="T88" s="134" t="n">
        <f aca="false">IF(OR(5&gt;$B$3,ISBLANK(Actuals!G104)),"",'Reforecast Q1 2026'!G104-Actuals!G104)</f>
        <v>41666.66</v>
      </c>
      <c r="U88" s="134" t="n">
        <f aca="false">IFERROR(IF(OR(5&gt;$B$3,ISBLANK(Actuals!G104)),"",('Reforecast Q1 2026'!G104-Actuals!G104)/ABS('Reforecast Q1 2026'!G104)),"")</f>
        <v>1.6666664</v>
      </c>
      <c r="V88" s="133" t="n">
        <f aca="false">'Reforecast Q1 2026'!H104</f>
        <v>-25000</v>
      </c>
      <c r="W88" s="133" t="n">
        <f aca="false">IF(OR(6&gt;$B$3,ISBLANK(Actuals!H104)),"",Actuals!H104)</f>
        <v>-66666.66</v>
      </c>
      <c r="X88" s="134" t="n">
        <f aca="false">IF(OR(6&gt;$B$3,ISBLANK(Actuals!H104)),"",'Reforecast Q1 2026'!H104-Actuals!H104)</f>
        <v>41666.66</v>
      </c>
      <c r="Y88" s="134" t="n">
        <f aca="false">IFERROR(IF(OR(6&gt;$B$3,ISBLANK(Actuals!H104)),"",('Reforecast Q1 2026'!H104-Actuals!H104)/ABS('Reforecast Q1 2026'!H104)),"")</f>
        <v>1.6666664</v>
      </c>
      <c r="Z88" s="133" t="n">
        <f aca="false">'Reforecast Q1 2026'!I104</f>
        <v>-25000</v>
      </c>
      <c r="AA88" s="133" t="n">
        <f aca="false">IF(OR(7&gt;$B$3,ISBLANK(Actuals!I104)),"",Actuals!I104)</f>
        <v>-66666.66</v>
      </c>
      <c r="AB88" s="134" t="n">
        <f aca="false">IF(OR(7&gt;$B$3,ISBLANK(Actuals!I104)),"",'Reforecast Q1 2026'!I104-Actuals!I104)</f>
        <v>41666.66</v>
      </c>
      <c r="AC88" s="134" t="n">
        <f aca="false">IFERROR(IF(OR(7&gt;$B$3,ISBLANK(Actuals!I104)),"",('Reforecast Q1 2026'!I104-Actuals!I104)/ABS('Reforecast Q1 2026'!I104)),"")</f>
        <v>1.6666664</v>
      </c>
      <c r="AD88" s="133" t="n">
        <f aca="false">'Reforecast Q1 2026'!J104</f>
        <v>-25000</v>
      </c>
      <c r="AE88" s="133" t="n">
        <f aca="false">IF(OR(8&gt;$B$3,ISBLANK(Actuals!J104)),"",Actuals!J104)</f>
        <v>-66666.66</v>
      </c>
      <c r="AF88" s="134" t="n">
        <f aca="false">IF(OR(8&gt;$B$3,ISBLANK(Actuals!J104)),"",'Reforecast Q1 2026'!J104-Actuals!J104)</f>
        <v>41666.66</v>
      </c>
      <c r="AG88" s="134" t="n">
        <f aca="false">IFERROR(IF(OR(8&gt;$B$3,ISBLANK(Actuals!J104)),"",('Reforecast Q1 2026'!J104-Actuals!J104)/ABS('Reforecast Q1 2026'!J104)),"")</f>
        <v>1.6666664</v>
      </c>
      <c r="AH88" s="133" t="n">
        <f aca="false">'Reforecast Q1 2026'!K104</f>
        <v>-25000</v>
      </c>
      <c r="AI88" s="133" t="str">
        <f aca="false">IF(OR(9&gt;$B$3,ISBLANK(Actuals!K104)),"",Actuals!K104)</f>
        <v/>
      </c>
      <c r="AJ88" s="134" t="str">
        <f aca="false">IF(OR(9&gt;$B$3,ISBLANK(Actuals!K104)),"",'Reforecast Q1 2026'!K104-Actuals!K104)</f>
        <v/>
      </c>
      <c r="AK88" s="134" t="str">
        <f aca="false">IFERROR(IF(OR(9&gt;$B$3,ISBLANK(Actuals!K104)),"",('Reforecast Q1 2026'!K104-Actuals!K104)/ABS('Reforecast Q1 2026'!K104)),"")</f>
        <v/>
      </c>
      <c r="AL88" s="133" t="n">
        <f aca="false">'Reforecast Q1 2026'!L104</f>
        <v>-25000</v>
      </c>
      <c r="AM88" s="133" t="str">
        <f aca="false">IF(OR(10&gt;$B$3,ISBLANK(Actuals!L104)),"",Actuals!L104)</f>
        <v/>
      </c>
      <c r="AN88" s="134" t="str">
        <f aca="false">IF(OR(10&gt;$B$3,ISBLANK(Actuals!L104)),"",'Reforecast Q1 2026'!L104-Actuals!L104)</f>
        <v/>
      </c>
      <c r="AO88" s="134" t="str">
        <f aca="false">IFERROR(IF(OR(10&gt;$B$3,ISBLANK(Actuals!L104)),"",('Reforecast Q1 2026'!L104-Actuals!L104)/ABS('Reforecast Q1 2026'!L104)),"")</f>
        <v/>
      </c>
      <c r="AP88" s="133" t="n">
        <f aca="false">'Reforecast Q1 2026'!M104</f>
        <v>-25000</v>
      </c>
      <c r="AQ88" s="133" t="str">
        <f aca="false">IF(OR(11&gt;$B$3,ISBLANK(Actuals!M104)),"",Actuals!M104)</f>
        <v/>
      </c>
      <c r="AR88" s="134" t="str">
        <f aca="false">IF(OR(11&gt;$B$3,ISBLANK(Actuals!M104)),"",'Reforecast Q1 2026'!M104-Actuals!M104)</f>
        <v/>
      </c>
      <c r="AS88" s="134" t="str">
        <f aca="false">IFERROR(IF(OR(11&gt;$B$3,ISBLANK(Actuals!M104)),"",('Reforecast Q1 2026'!M104-Actuals!M104)/ABS('Reforecast Q1 2026'!M104)),"")</f>
        <v/>
      </c>
      <c r="AT88" s="133" t="n">
        <f aca="false">'Reforecast Q1 2026'!N104</f>
        <v>-25000</v>
      </c>
      <c r="AU88" s="133" t="str">
        <f aca="false">IF(OR(12&gt;$B$3,ISBLANK(Actuals!N104)),"",Actuals!N104)</f>
        <v/>
      </c>
      <c r="AV88" s="134" t="str">
        <f aca="false">IF(OR(12&gt;$B$3,ISBLANK(Actuals!N104)),"",'Reforecast Q1 2026'!N104-Actuals!N104)</f>
        <v/>
      </c>
      <c r="AW88" s="134" t="str">
        <f aca="false">IFERROR(IF(OR(12&gt;$B$3,ISBLANK(Actuals!N104)),"",('Reforecast Q1 2026'!N104-Actuals!N104)/ABS('Reforecast Q1 2026'!N104)),"")</f>
        <v/>
      </c>
      <c r="AX88" s="135" t="n">
        <f aca="false">SUMPRODUCT((Actuals!C104:N104&lt;&gt;"")*('Reforecast Q1 2026'!C104:N104))</f>
        <v>-324999.98</v>
      </c>
      <c r="AY88" s="135" t="n">
        <f aca="false">SUM(Actuals!C104:N104)</f>
        <v>-533333.28</v>
      </c>
      <c r="AZ88" s="136" t="n">
        <f aca="false">AX88-AY88</f>
        <v>208333.3</v>
      </c>
    </row>
    <row r="89" customFormat="false" ht="15" hidden="false" customHeight="true" outlineLevel="0" collapsed="false">
      <c r="A89" s="132" t="s">
        <v>92</v>
      </c>
      <c r="B89" s="133" t="n">
        <f aca="false">'Reforecast Q1 2026'!C105</f>
        <v>-4731.96</v>
      </c>
      <c r="C89" s="133" t="n">
        <f aca="false">IF(OR(1&gt;$B$3,ISBLANK(Actuals!C105)),"",Actuals!C105)</f>
        <v>-6935.84</v>
      </c>
      <c r="D89" s="134" t="n">
        <f aca="false">IF(OR(1&gt;$B$3,ISBLANK(Actuals!C105)),"",'Reforecast Q1 2026'!C105-Actuals!C105)</f>
        <v>2203.88</v>
      </c>
      <c r="E89" s="134" t="n">
        <f aca="false">IFERROR(IF(OR(1&gt;$B$3,ISBLANK(Actuals!C105)),"",('Reforecast Q1 2026'!C105-Actuals!C105)/ABS('Reforecast Q1 2026'!C105)),"")</f>
        <v>0.465743581940676</v>
      </c>
      <c r="F89" s="133" t="n">
        <f aca="false">'Reforecast Q1 2026'!D105</f>
        <v>-5</v>
      </c>
      <c r="G89" s="133" t="n">
        <f aca="false">IF(OR(2&gt;$B$3,ISBLANK(Actuals!D105)),"",Actuals!D105)</f>
        <v>-2799.88</v>
      </c>
      <c r="H89" s="134" t="n">
        <f aca="false">IF(OR(2&gt;$B$3,ISBLANK(Actuals!D105)),"",'Reforecast Q1 2026'!D105-Actuals!D105)</f>
        <v>2794.88</v>
      </c>
      <c r="I89" s="134" t="n">
        <f aca="false">IFERROR(IF(OR(2&gt;$B$3,ISBLANK(Actuals!D105)),"",('Reforecast Q1 2026'!D105-Actuals!D105)/ABS('Reforecast Q1 2026'!D105)),"")</f>
        <v>558.976</v>
      </c>
      <c r="J89" s="133" t="n">
        <f aca="false">'Reforecast Q1 2026'!E105</f>
        <v>-5</v>
      </c>
      <c r="K89" s="133" t="n">
        <f aca="false">IF(OR(3&gt;$B$3,ISBLANK(Actuals!E105)),"",Actuals!E105)</f>
        <v>-12899.88</v>
      </c>
      <c r="L89" s="134" t="n">
        <f aca="false">IF(OR(3&gt;$B$3,ISBLANK(Actuals!E105)),"",'Reforecast Q1 2026'!E105-Actuals!E105)</f>
        <v>12894.88</v>
      </c>
      <c r="M89" s="134" t="n">
        <f aca="false">IFERROR(IF(OR(3&gt;$B$3,ISBLANK(Actuals!E105)),"",('Reforecast Q1 2026'!E105-Actuals!E105)/ABS('Reforecast Q1 2026'!E105)),"")</f>
        <v>2578.976</v>
      </c>
      <c r="N89" s="133" t="n">
        <f aca="false">'Reforecast Q1 2026'!F105</f>
        <v>-1580.65</v>
      </c>
      <c r="O89" s="133" t="n">
        <f aca="false">IF(OR(4&gt;$B$3,ISBLANK(Actuals!F105)),"",Actuals!F105)</f>
        <v>-2932.88</v>
      </c>
      <c r="P89" s="134" t="n">
        <f aca="false">IF(OR(4&gt;$B$3,ISBLANK(Actuals!F105)),"",'Reforecast Q1 2026'!F105-Actuals!F105)</f>
        <v>1352.23</v>
      </c>
      <c r="Q89" s="134" t="n">
        <f aca="false">IFERROR(IF(OR(4&gt;$B$3,ISBLANK(Actuals!F105)),"",('Reforecast Q1 2026'!F105-Actuals!F105)/ABS('Reforecast Q1 2026'!F105)),"")</f>
        <v>0.855489830133173</v>
      </c>
      <c r="R89" s="133" t="n">
        <f aca="false">'Reforecast Q1 2026'!G105</f>
        <v>-1580.65</v>
      </c>
      <c r="S89" s="133" t="n">
        <f aca="false">IF(OR(5&gt;$B$3,ISBLANK(Actuals!G105)),"",Actuals!G105)</f>
        <v>-5474.88</v>
      </c>
      <c r="T89" s="134" t="n">
        <f aca="false">IF(OR(5&gt;$B$3,ISBLANK(Actuals!G105)),"",'Reforecast Q1 2026'!G105-Actuals!G105)</f>
        <v>3894.23</v>
      </c>
      <c r="U89" s="134" t="n">
        <f aca="false">IFERROR(IF(OR(5&gt;$B$3,ISBLANK(Actuals!G105)),"",('Reforecast Q1 2026'!G105-Actuals!G105)/ABS('Reforecast Q1 2026'!G105)),"")</f>
        <v>2.46368898870718</v>
      </c>
      <c r="V89" s="133" t="n">
        <f aca="false">'Reforecast Q1 2026'!H105</f>
        <v>-1580.65</v>
      </c>
      <c r="W89" s="133" t="n">
        <f aca="false">IF(OR(6&gt;$B$3,ISBLANK(Actuals!H105)),"",Actuals!H105)</f>
        <v>-5</v>
      </c>
      <c r="X89" s="134" t="n">
        <f aca="false">IF(OR(6&gt;$B$3,ISBLANK(Actuals!H105)),"",'Reforecast Q1 2026'!H105-Actuals!H105)</f>
        <v>-1575.65</v>
      </c>
      <c r="Y89" s="134" t="n">
        <f aca="false">IFERROR(IF(OR(6&gt;$B$3,ISBLANK(Actuals!H105)),"",('Reforecast Q1 2026'!H105-Actuals!H105)/ABS('Reforecast Q1 2026'!H105)),"")</f>
        <v>-0.996836744377313</v>
      </c>
      <c r="Z89" s="133" t="n">
        <f aca="false">'Reforecast Q1 2026'!I105</f>
        <v>-1580.65</v>
      </c>
      <c r="AA89" s="133" t="n">
        <f aca="false">IF(OR(7&gt;$B$3,ISBLANK(Actuals!I105)),"",Actuals!I105)</f>
        <v>-255</v>
      </c>
      <c r="AB89" s="134" t="n">
        <f aca="false">IF(OR(7&gt;$B$3,ISBLANK(Actuals!I105)),"",'Reforecast Q1 2026'!I105-Actuals!I105)</f>
        <v>-1325.65</v>
      </c>
      <c r="AC89" s="134" t="n">
        <f aca="false">IFERROR(IF(OR(7&gt;$B$3,ISBLANK(Actuals!I105)),"",('Reforecast Q1 2026'!I105-Actuals!I105)/ABS('Reforecast Q1 2026'!I105)),"")</f>
        <v>-0.83867396324297</v>
      </c>
      <c r="AD89" s="133" t="n">
        <f aca="false">'Reforecast Q1 2026'!J105</f>
        <v>-1580.65</v>
      </c>
      <c r="AE89" s="133" t="n">
        <f aca="false">IF(OR(8&gt;$B$3,ISBLANK(Actuals!J105)),"",Actuals!J105)</f>
        <v>4520.8</v>
      </c>
      <c r="AF89" s="134" t="n">
        <f aca="false">IF(OR(8&gt;$B$3,ISBLANK(Actuals!J105)),"",'Reforecast Q1 2026'!J105-Actuals!J105)</f>
        <v>-6101.45</v>
      </c>
      <c r="AG89" s="134" t="n">
        <f aca="false">IFERROR(IF(OR(8&gt;$B$3,ISBLANK(Actuals!J105)),"",('Reforecast Q1 2026'!J105-Actuals!J105)/ABS('Reforecast Q1 2026'!J105)),"")</f>
        <v>-3.86008920380856</v>
      </c>
      <c r="AH89" s="133" t="n">
        <f aca="false">'Reforecast Q1 2026'!K105</f>
        <v>-1580.65</v>
      </c>
      <c r="AI89" s="133" t="str">
        <f aca="false">IF(OR(9&gt;$B$3,ISBLANK(Actuals!K105)),"",Actuals!K105)</f>
        <v/>
      </c>
      <c r="AJ89" s="134" t="str">
        <f aca="false">IF(OR(9&gt;$B$3,ISBLANK(Actuals!K105)),"",'Reforecast Q1 2026'!K105-Actuals!K105)</f>
        <v/>
      </c>
      <c r="AK89" s="134" t="str">
        <f aca="false">IFERROR(IF(OR(9&gt;$B$3,ISBLANK(Actuals!K105)),"",('Reforecast Q1 2026'!K105-Actuals!K105)/ABS('Reforecast Q1 2026'!K105)),"")</f>
        <v/>
      </c>
      <c r="AL89" s="133" t="n">
        <f aca="false">'Reforecast Q1 2026'!L105</f>
        <v>-1580.65</v>
      </c>
      <c r="AM89" s="133" t="str">
        <f aca="false">IF(OR(10&gt;$B$3,ISBLANK(Actuals!L105)),"",Actuals!L105)</f>
        <v/>
      </c>
      <c r="AN89" s="134" t="str">
        <f aca="false">IF(OR(10&gt;$B$3,ISBLANK(Actuals!L105)),"",'Reforecast Q1 2026'!L105-Actuals!L105)</f>
        <v/>
      </c>
      <c r="AO89" s="134" t="str">
        <f aca="false">IFERROR(IF(OR(10&gt;$B$3,ISBLANK(Actuals!L105)),"",('Reforecast Q1 2026'!L105-Actuals!L105)/ABS('Reforecast Q1 2026'!L105)),"")</f>
        <v/>
      </c>
      <c r="AP89" s="133" t="n">
        <f aca="false">'Reforecast Q1 2026'!M105</f>
        <v>-1580.65</v>
      </c>
      <c r="AQ89" s="133" t="str">
        <f aca="false">IF(OR(11&gt;$B$3,ISBLANK(Actuals!M105)),"",Actuals!M105)</f>
        <v/>
      </c>
      <c r="AR89" s="134" t="str">
        <f aca="false">IF(OR(11&gt;$B$3,ISBLANK(Actuals!M105)),"",'Reforecast Q1 2026'!M105-Actuals!M105)</f>
        <v/>
      </c>
      <c r="AS89" s="134" t="str">
        <f aca="false">IFERROR(IF(OR(11&gt;$B$3,ISBLANK(Actuals!M105)),"",('Reforecast Q1 2026'!M105-Actuals!M105)/ABS('Reforecast Q1 2026'!M105)),"")</f>
        <v/>
      </c>
      <c r="AT89" s="133" t="n">
        <f aca="false">'Reforecast Q1 2026'!N105</f>
        <v>-1580.65</v>
      </c>
      <c r="AU89" s="133" t="str">
        <f aca="false">IF(OR(12&gt;$B$3,ISBLANK(Actuals!N105)),"",Actuals!N105)</f>
        <v/>
      </c>
      <c r="AV89" s="134" t="str">
        <f aca="false">IF(OR(12&gt;$B$3,ISBLANK(Actuals!N105)),"",'Reforecast Q1 2026'!N105-Actuals!N105)</f>
        <v/>
      </c>
      <c r="AW89" s="134" t="str">
        <f aca="false">IFERROR(IF(OR(12&gt;$B$3,ISBLANK(Actuals!N105)),"",('Reforecast Q1 2026'!N105-Actuals!N105)/ABS('Reforecast Q1 2026'!N105)),"")</f>
        <v/>
      </c>
      <c r="AX89" s="135" t="n">
        <f aca="false">SUMPRODUCT((Actuals!C105:N105&lt;&gt;"")*('Reforecast Q1 2026'!C105:N105))</f>
        <v>-12645.21</v>
      </c>
      <c r="AY89" s="135" t="n">
        <f aca="false">SUM(Actuals!C105:N105)</f>
        <v>-26782.56</v>
      </c>
      <c r="AZ89" s="136" t="n">
        <f aca="false">AX89-AY89</f>
        <v>14137.35</v>
      </c>
    </row>
    <row r="90" customFormat="false" ht="15" hidden="false" customHeight="true" outlineLevel="0" collapsed="false">
      <c r="A90" s="132" t="s">
        <v>93</v>
      </c>
      <c r="B90" s="133" t="n">
        <f aca="false">'Reforecast Q1 2026'!C106</f>
        <v>-658.14</v>
      </c>
      <c r="C90" s="133" t="n">
        <f aca="false">IF(OR(1&gt;$B$3,ISBLANK(Actuals!C106)),"",Actuals!C106)</f>
        <v>-658.14</v>
      </c>
      <c r="D90" s="134" t="n">
        <f aca="false">IF(OR(1&gt;$B$3,ISBLANK(Actuals!C106)),"",'Reforecast Q1 2026'!C106-Actuals!C106)</f>
        <v>0</v>
      </c>
      <c r="E90" s="134" t="n">
        <f aca="false">IFERROR(IF(OR(1&gt;$B$3,ISBLANK(Actuals!C106)),"",('Reforecast Q1 2026'!C106-Actuals!C106)/ABS('Reforecast Q1 2026'!C106)),"")</f>
        <v>0</v>
      </c>
      <c r="F90" s="133" t="n">
        <f aca="false">'Reforecast Q1 2026'!D106</f>
        <v>-310</v>
      </c>
      <c r="G90" s="133" t="n">
        <f aca="false">IF(OR(2&gt;$B$3,ISBLANK(Actuals!D106)),"",Actuals!D106)</f>
        <v>-310</v>
      </c>
      <c r="H90" s="134" t="n">
        <f aca="false">IF(OR(2&gt;$B$3,ISBLANK(Actuals!D106)),"",'Reforecast Q1 2026'!D106-Actuals!D106)</f>
        <v>0</v>
      </c>
      <c r="I90" s="134" t="n">
        <f aca="false">IFERROR(IF(OR(2&gt;$B$3,ISBLANK(Actuals!D106)),"",('Reforecast Q1 2026'!D106-Actuals!D106)/ABS('Reforecast Q1 2026'!D106)),"")</f>
        <v>0</v>
      </c>
      <c r="J90" s="133" t="n">
        <f aca="false">'Reforecast Q1 2026'!E106</f>
        <v>-371.74</v>
      </c>
      <c r="K90" s="133" t="n">
        <f aca="false">IF(OR(3&gt;$B$3,ISBLANK(Actuals!E106)),"",Actuals!E106)</f>
        <v>-371.74</v>
      </c>
      <c r="L90" s="134" t="n">
        <f aca="false">IF(OR(3&gt;$B$3,ISBLANK(Actuals!E106)),"",'Reforecast Q1 2026'!E106-Actuals!E106)</f>
        <v>0</v>
      </c>
      <c r="M90" s="134" t="n">
        <f aca="false">IFERROR(IF(OR(3&gt;$B$3,ISBLANK(Actuals!E106)),"",('Reforecast Q1 2026'!E106-Actuals!E106)/ABS('Reforecast Q1 2026'!E106)),"")</f>
        <v>0</v>
      </c>
      <c r="N90" s="133" t="n">
        <f aca="false">'Reforecast Q1 2026'!F106</f>
        <v>-446.63</v>
      </c>
      <c r="O90" s="133" t="n">
        <f aca="false">IF(OR(4&gt;$B$3,ISBLANK(Actuals!F106)),"",Actuals!F106)</f>
        <v>-857.33</v>
      </c>
      <c r="P90" s="134" t="n">
        <f aca="false">IF(OR(4&gt;$B$3,ISBLANK(Actuals!F106)),"",'Reforecast Q1 2026'!F106-Actuals!F106)</f>
        <v>410.7</v>
      </c>
      <c r="Q90" s="134" t="n">
        <f aca="false">IFERROR(IF(OR(4&gt;$B$3,ISBLANK(Actuals!F106)),"",('Reforecast Q1 2026'!F106-Actuals!F106)/ABS('Reforecast Q1 2026'!F106)),"")</f>
        <v>0.919553097642344</v>
      </c>
      <c r="R90" s="133" t="n">
        <f aca="false">'Reforecast Q1 2026'!G106</f>
        <v>-446.63</v>
      </c>
      <c r="S90" s="133" t="n">
        <f aca="false">IF(OR(5&gt;$B$3,ISBLANK(Actuals!G106)),"",Actuals!G106)</f>
        <v>-305</v>
      </c>
      <c r="T90" s="134" t="n">
        <f aca="false">IF(OR(5&gt;$B$3,ISBLANK(Actuals!G106)),"",'Reforecast Q1 2026'!G106-Actuals!G106)</f>
        <v>-141.63</v>
      </c>
      <c r="U90" s="134" t="n">
        <f aca="false">IFERROR(IF(OR(5&gt;$B$3,ISBLANK(Actuals!G106)),"",('Reforecast Q1 2026'!G106-Actuals!G106)/ABS('Reforecast Q1 2026'!G106)),"")</f>
        <v>-0.317108120815888</v>
      </c>
      <c r="V90" s="133" t="n">
        <f aca="false">'Reforecast Q1 2026'!H106</f>
        <v>-446.63</v>
      </c>
      <c r="W90" s="133" t="n">
        <f aca="false">IF(OR(6&gt;$B$3,ISBLANK(Actuals!H106)),"",Actuals!H106)</f>
        <v>-352.5</v>
      </c>
      <c r="X90" s="134" t="n">
        <f aca="false">IF(OR(6&gt;$B$3,ISBLANK(Actuals!H106)),"",'Reforecast Q1 2026'!H106-Actuals!H106)</f>
        <v>-94.13</v>
      </c>
      <c r="Y90" s="134" t="n">
        <f aca="false">IFERROR(IF(OR(6&gt;$B$3,ISBLANK(Actuals!H106)),"",('Reforecast Q1 2026'!H106-Actuals!H106)/ABS('Reforecast Q1 2026'!H106)),"")</f>
        <v>-0.210756106844592</v>
      </c>
      <c r="Z90" s="133" t="n">
        <f aca="false">'Reforecast Q1 2026'!I106</f>
        <v>-446.63</v>
      </c>
      <c r="AA90" s="133" t="n">
        <f aca="false">IF(OR(7&gt;$B$3,ISBLANK(Actuals!I106)),"",Actuals!I106)</f>
        <v>-204</v>
      </c>
      <c r="AB90" s="134" t="n">
        <f aca="false">IF(OR(7&gt;$B$3,ISBLANK(Actuals!I106)),"",'Reforecast Q1 2026'!I106-Actuals!I106)</f>
        <v>-242.63</v>
      </c>
      <c r="AC90" s="134" t="n">
        <f aca="false">IFERROR(IF(OR(7&gt;$B$3,ISBLANK(Actuals!I106)),"",('Reforecast Q1 2026'!I106-Actuals!I106)/ABS('Reforecast Q1 2026'!I106)),"")</f>
        <v>-0.543246087365381</v>
      </c>
      <c r="AD90" s="133" t="n">
        <f aca="false">'Reforecast Q1 2026'!J106</f>
        <v>-446.63</v>
      </c>
      <c r="AE90" s="133" t="n">
        <f aca="false">IF(OR(8&gt;$B$3,ISBLANK(Actuals!J106)),"",Actuals!J106)</f>
        <v>-1477.65</v>
      </c>
      <c r="AF90" s="134" t="n">
        <f aca="false">IF(OR(8&gt;$B$3,ISBLANK(Actuals!J106)),"",'Reforecast Q1 2026'!J106-Actuals!J106)</f>
        <v>1031.02</v>
      </c>
      <c r="AG90" s="134" t="n">
        <f aca="false">IFERROR(IF(OR(8&gt;$B$3,ISBLANK(Actuals!J106)),"",('Reforecast Q1 2026'!J106-Actuals!J106)/ABS('Reforecast Q1 2026'!J106)),"")</f>
        <v>2.30844323041444</v>
      </c>
      <c r="AH90" s="133" t="n">
        <f aca="false">'Reforecast Q1 2026'!K106</f>
        <v>-446.63</v>
      </c>
      <c r="AI90" s="133" t="str">
        <f aca="false">IF(OR(9&gt;$B$3,ISBLANK(Actuals!K106)),"",Actuals!K106)</f>
        <v/>
      </c>
      <c r="AJ90" s="134" t="str">
        <f aca="false">IF(OR(9&gt;$B$3,ISBLANK(Actuals!K106)),"",'Reforecast Q1 2026'!K106-Actuals!K106)</f>
        <v/>
      </c>
      <c r="AK90" s="134" t="str">
        <f aca="false">IFERROR(IF(OR(9&gt;$B$3,ISBLANK(Actuals!K106)),"",('Reforecast Q1 2026'!K106-Actuals!K106)/ABS('Reforecast Q1 2026'!K106)),"")</f>
        <v/>
      </c>
      <c r="AL90" s="133" t="n">
        <f aca="false">'Reforecast Q1 2026'!L106</f>
        <v>-446.63</v>
      </c>
      <c r="AM90" s="133" t="str">
        <f aca="false">IF(OR(10&gt;$B$3,ISBLANK(Actuals!L106)),"",Actuals!L106)</f>
        <v/>
      </c>
      <c r="AN90" s="134" t="str">
        <f aca="false">IF(OR(10&gt;$B$3,ISBLANK(Actuals!L106)),"",'Reforecast Q1 2026'!L106-Actuals!L106)</f>
        <v/>
      </c>
      <c r="AO90" s="134" t="str">
        <f aca="false">IFERROR(IF(OR(10&gt;$B$3,ISBLANK(Actuals!L106)),"",('Reforecast Q1 2026'!L106-Actuals!L106)/ABS('Reforecast Q1 2026'!L106)),"")</f>
        <v/>
      </c>
      <c r="AP90" s="133" t="n">
        <f aca="false">'Reforecast Q1 2026'!M106</f>
        <v>-446.63</v>
      </c>
      <c r="AQ90" s="133" t="str">
        <f aca="false">IF(OR(11&gt;$B$3,ISBLANK(Actuals!M106)),"",Actuals!M106)</f>
        <v/>
      </c>
      <c r="AR90" s="134" t="str">
        <f aca="false">IF(OR(11&gt;$B$3,ISBLANK(Actuals!M106)),"",'Reforecast Q1 2026'!M106-Actuals!M106)</f>
        <v/>
      </c>
      <c r="AS90" s="134" t="str">
        <f aca="false">IFERROR(IF(OR(11&gt;$B$3,ISBLANK(Actuals!M106)),"",('Reforecast Q1 2026'!M106-Actuals!M106)/ABS('Reforecast Q1 2026'!M106)),"")</f>
        <v/>
      </c>
      <c r="AT90" s="133" t="n">
        <f aca="false">'Reforecast Q1 2026'!N106</f>
        <v>-446.63</v>
      </c>
      <c r="AU90" s="133" t="str">
        <f aca="false">IF(OR(12&gt;$B$3,ISBLANK(Actuals!N106)),"",Actuals!N106)</f>
        <v/>
      </c>
      <c r="AV90" s="134" t="str">
        <f aca="false">IF(OR(12&gt;$B$3,ISBLANK(Actuals!N106)),"",'Reforecast Q1 2026'!N106-Actuals!N106)</f>
        <v/>
      </c>
      <c r="AW90" s="134" t="str">
        <f aca="false">IFERROR(IF(OR(12&gt;$B$3,ISBLANK(Actuals!N106)),"",('Reforecast Q1 2026'!N106-Actuals!N106)/ABS('Reforecast Q1 2026'!N106)),"")</f>
        <v/>
      </c>
      <c r="AX90" s="135" t="n">
        <f aca="false">SUMPRODUCT((Actuals!C106:N106&lt;&gt;"")*('Reforecast Q1 2026'!C106:N106))</f>
        <v>-3573.03</v>
      </c>
      <c r="AY90" s="135" t="n">
        <f aca="false">SUM(Actuals!C106:N106)</f>
        <v>-4536.36</v>
      </c>
      <c r="AZ90" s="136" t="n">
        <f aca="false">AX90-AY90</f>
        <v>963.330000000001</v>
      </c>
    </row>
    <row r="91" customFormat="false" ht="15" hidden="false" customHeight="true" outlineLevel="0" collapsed="false">
      <c r="A91" s="132" t="s">
        <v>132</v>
      </c>
      <c r="B91" s="133" t="n">
        <f aca="false">'Reforecast Q1 2026'!C107</f>
        <v>0</v>
      </c>
      <c r="C91" s="133" t="str">
        <f aca="false">IF(OR(1&gt;$B$3,ISBLANK(Actuals!C107)),"",Actuals!C107)</f>
        <v/>
      </c>
      <c r="D91" s="134" t="str">
        <f aca="false">IF(OR(1&gt;$B$3,ISBLANK(Actuals!C107)),"",'Reforecast Q1 2026'!C107-Actuals!C107)</f>
        <v/>
      </c>
      <c r="E91" s="134" t="str">
        <f aca="false">IFERROR(IF(OR(1&gt;$B$3,ISBLANK(Actuals!C107)),"",('Reforecast Q1 2026'!C107-Actuals!C107)/ABS('Reforecast Q1 2026'!C107)),"")</f>
        <v/>
      </c>
      <c r="F91" s="133" t="n">
        <f aca="false">'Reforecast Q1 2026'!D107</f>
        <v>0</v>
      </c>
      <c r="G91" s="133" t="str">
        <f aca="false">IF(OR(2&gt;$B$3,ISBLANK(Actuals!D107)),"",Actuals!D107)</f>
        <v/>
      </c>
      <c r="H91" s="134" t="str">
        <f aca="false">IF(OR(2&gt;$B$3,ISBLANK(Actuals!D107)),"",'Reforecast Q1 2026'!D107-Actuals!D107)</f>
        <v/>
      </c>
      <c r="I91" s="134" t="str">
        <f aca="false">IFERROR(IF(OR(2&gt;$B$3,ISBLANK(Actuals!D107)),"",('Reforecast Q1 2026'!D107-Actuals!D107)/ABS('Reforecast Q1 2026'!D107)),"")</f>
        <v/>
      </c>
      <c r="J91" s="133" t="n">
        <f aca="false">'Reforecast Q1 2026'!E107</f>
        <v>0</v>
      </c>
      <c r="K91" s="133" t="str">
        <f aca="false">IF(OR(3&gt;$B$3,ISBLANK(Actuals!E107)),"",Actuals!E107)</f>
        <v/>
      </c>
      <c r="L91" s="134" t="str">
        <f aca="false">IF(OR(3&gt;$B$3,ISBLANK(Actuals!E107)),"",'Reforecast Q1 2026'!E107-Actuals!E107)</f>
        <v/>
      </c>
      <c r="M91" s="134" t="str">
        <f aca="false">IFERROR(IF(OR(3&gt;$B$3,ISBLANK(Actuals!E107)),"",('Reforecast Q1 2026'!E107-Actuals!E107)/ABS('Reforecast Q1 2026'!E107)),"")</f>
        <v/>
      </c>
      <c r="N91" s="133" t="n">
        <f aca="false">'Reforecast Q1 2026'!F107</f>
        <v>0</v>
      </c>
      <c r="O91" s="133" t="str">
        <f aca="false">IF(OR(4&gt;$B$3,ISBLANK(Actuals!F107)),"",Actuals!F107)</f>
        <v/>
      </c>
      <c r="P91" s="134" t="str">
        <f aca="false">IF(OR(4&gt;$B$3,ISBLANK(Actuals!F107)),"",'Reforecast Q1 2026'!F107-Actuals!F107)</f>
        <v/>
      </c>
      <c r="Q91" s="134" t="str">
        <f aca="false">IFERROR(IF(OR(4&gt;$B$3,ISBLANK(Actuals!F107)),"",('Reforecast Q1 2026'!F107-Actuals!F107)/ABS('Reforecast Q1 2026'!F107)),"")</f>
        <v/>
      </c>
      <c r="R91" s="133" t="n">
        <f aca="false">'Reforecast Q1 2026'!G107</f>
        <v>0</v>
      </c>
      <c r="S91" s="133" t="str">
        <f aca="false">IF(OR(5&gt;$B$3,ISBLANK(Actuals!G107)),"",Actuals!G107)</f>
        <v/>
      </c>
      <c r="T91" s="134" t="str">
        <f aca="false">IF(OR(5&gt;$B$3,ISBLANK(Actuals!G107)),"",'Reforecast Q1 2026'!G107-Actuals!G107)</f>
        <v/>
      </c>
      <c r="U91" s="134" t="str">
        <f aca="false">IFERROR(IF(OR(5&gt;$B$3,ISBLANK(Actuals!G107)),"",('Reforecast Q1 2026'!G107-Actuals!G107)/ABS('Reforecast Q1 2026'!G107)),"")</f>
        <v/>
      </c>
      <c r="V91" s="133" t="n">
        <f aca="false">'Reforecast Q1 2026'!H107</f>
        <v>0</v>
      </c>
      <c r="W91" s="133" t="str">
        <f aca="false">IF(OR(6&gt;$B$3,ISBLANK(Actuals!H107)),"",Actuals!H107)</f>
        <v/>
      </c>
      <c r="X91" s="134" t="str">
        <f aca="false">IF(OR(6&gt;$B$3,ISBLANK(Actuals!H107)),"",'Reforecast Q1 2026'!H107-Actuals!H107)</f>
        <v/>
      </c>
      <c r="Y91" s="134" t="str">
        <f aca="false">IFERROR(IF(OR(6&gt;$B$3,ISBLANK(Actuals!H107)),"",('Reforecast Q1 2026'!H107-Actuals!H107)/ABS('Reforecast Q1 2026'!H107)),"")</f>
        <v/>
      </c>
      <c r="Z91" s="133" t="n">
        <f aca="false">'Reforecast Q1 2026'!I107</f>
        <v>0</v>
      </c>
      <c r="AA91" s="133" t="str">
        <f aca="false">IF(OR(7&gt;$B$3,ISBLANK(Actuals!I107)),"",Actuals!I107)</f>
        <v/>
      </c>
      <c r="AB91" s="134" t="str">
        <f aca="false">IF(OR(7&gt;$B$3,ISBLANK(Actuals!I107)),"",'Reforecast Q1 2026'!I107-Actuals!I107)</f>
        <v/>
      </c>
      <c r="AC91" s="134" t="str">
        <f aca="false">IFERROR(IF(OR(7&gt;$B$3,ISBLANK(Actuals!I107)),"",('Reforecast Q1 2026'!I107-Actuals!I107)/ABS('Reforecast Q1 2026'!I107)),"")</f>
        <v/>
      </c>
      <c r="AD91" s="133" t="n">
        <f aca="false">'Reforecast Q1 2026'!J107</f>
        <v>0</v>
      </c>
      <c r="AE91" s="133" t="str">
        <f aca="false">IF(OR(8&gt;$B$3,ISBLANK(Actuals!J107)),"",Actuals!J107)</f>
        <v/>
      </c>
      <c r="AF91" s="134" t="str">
        <f aca="false">IF(OR(8&gt;$B$3,ISBLANK(Actuals!J107)),"",'Reforecast Q1 2026'!J107-Actuals!J107)</f>
        <v/>
      </c>
      <c r="AG91" s="134" t="str">
        <f aca="false">IFERROR(IF(OR(8&gt;$B$3,ISBLANK(Actuals!J107)),"",('Reforecast Q1 2026'!J107-Actuals!J107)/ABS('Reforecast Q1 2026'!J107)),"")</f>
        <v/>
      </c>
      <c r="AH91" s="133" t="n">
        <f aca="false">'Reforecast Q1 2026'!K107</f>
        <v>0</v>
      </c>
      <c r="AI91" s="133" t="str">
        <f aca="false">IF(OR(9&gt;$B$3,ISBLANK(Actuals!K107)),"",Actuals!K107)</f>
        <v/>
      </c>
      <c r="AJ91" s="134" t="str">
        <f aca="false">IF(OR(9&gt;$B$3,ISBLANK(Actuals!K107)),"",'Reforecast Q1 2026'!K107-Actuals!K107)</f>
        <v/>
      </c>
      <c r="AK91" s="134" t="str">
        <f aca="false">IFERROR(IF(OR(9&gt;$B$3,ISBLANK(Actuals!K107)),"",('Reforecast Q1 2026'!K107-Actuals!K107)/ABS('Reforecast Q1 2026'!K107)),"")</f>
        <v/>
      </c>
      <c r="AL91" s="133" t="n">
        <f aca="false">'Reforecast Q1 2026'!L107</f>
        <v>0</v>
      </c>
      <c r="AM91" s="133" t="str">
        <f aca="false">IF(OR(10&gt;$B$3,ISBLANK(Actuals!L107)),"",Actuals!L107)</f>
        <v/>
      </c>
      <c r="AN91" s="134" t="str">
        <f aca="false">IF(OR(10&gt;$B$3,ISBLANK(Actuals!L107)),"",'Reforecast Q1 2026'!L107-Actuals!L107)</f>
        <v/>
      </c>
      <c r="AO91" s="134" t="str">
        <f aca="false">IFERROR(IF(OR(10&gt;$B$3,ISBLANK(Actuals!L107)),"",('Reforecast Q1 2026'!L107-Actuals!L107)/ABS('Reforecast Q1 2026'!L107)),"")</f>
        <v/>
      </c>
      <c r="AP91" s="133" t="n">
        <f aca="false">'Reforecast Q1 2026'!M107</f>
        <v>0</v>
      </c>
      <c r="AQ91" s="133" t="str">
        <f aca="false">IF(OR(11&gt;$B$3,ISBLANK(Actuals!M107)),"",Actuals!M107)</f>
        <v/>
      </c>
      <c r="AR91" s="134" t="str">
        <f aca="false">IF(OR(11&gt;$B$3,ISBLANK(Actuals!M107)),"",'Reforecast Q1 2026'!M107-Actuals!M107)</f>
        <v/>
      </c>
      <c r="AS91" s="134" t="str">
        <f aca="false">IFERROR(IF(OR(11&gt;$B$3,ISBLANK(Actuals!M107)),"",('Reforecast Q1 2026'!M107-Actuals!M107)/ABS('Reforecast Q1 2026'!M107)),"")</f>
        <v/>
      </c>
      <c r="AT91" s="133" t="n">
        <f aca="false">'Reforecast Q1 2026'!N107</f>
        <v>0</v>
      </c>
      <c r="AU91" s="133" t="str">
        <f aca="false">IF(OR(12&gt;$B$3,ISBLANK(Actuals!N107)),"",Actuals!N107)</f>
        <v/>
      </c>
      <c r="AV91" s="134" t="str">
        <f aca="false">IF(OR(12&gt;$B$3,ISBLANK(Actuals!N107)),"",'Reforecast Q1 2026'!N107-Actuals!N107)</f>
        <v/>
      </c>
      <c r="AW91" s="134" t="str">
        <f aca="false">IFERROR(IF(OR(12&gt;$B$3,ISBLANK(Actuals!N107)),"",('Reforecast Q1 2026'!N107-Actuals!N107)/ABS('Reforecast Q1 2026'!N107)),"")</f>
        <v/>
      </c>
      <c r="AX91" s="135" t="n">
        <f aca="false">SUMPRODUCT((Actuals!C107:N107&lt;&gt;"")*('Reforecast Q1 2026'!C107:N107))</f>
        <v>0</v>
      </c>
      <c r="AY91" s="135" t="n">
        <f aca="false">SUM(Actuals!C107:N107)</f>
        <v>0</v>
      </c>
      <c r="AZ91" s="136" t="n">
        <f aca="false">AX91-AY91</f>
        <v>0</v>
      </c>
    </row>
    <row r="92" customFormat="false" ht="15" hidden="false" customHeight="true" outlineLevel="0" collapsed="false">
      <c r="A92" s="132" t="s">
        <v>133</v>
      </c>
      <c r="B92" s="133" t="n">
        <f aca="false">'Reforecast Q1 2026'!C108</f>
        <v>0</v>
      </c>
      <c r="C92" s="133" t="str">
        <f aca="false">IF(OR(1&gt;$B$3,ISBLANK(Actuals!C108)),"",Actuals!C108)</f>
        <v/>
      </c>
      <c r="D92" s="134" t="str">
        <f aca="false">IF(OR(1&gt;$B$3,ISBLANK(Actuals!C108)),"",'Reforecast Q1 2026'!C108-Actuals!C108)</f>
        <v/>
      </c>
      <c r="E92" s="134" t="str">
        <f aca="false">IFERROR(IF(OR(1&gt;$B$3,ISBLANK(Actuals!C108)),"",('Reforecast Q1 2026'!C108-Actuals!C108)/ABS('Reforecast Q1 2026'!C108)),"")</f>
        <v/>
      </c>
      <c r="F92" s="133" t="n">
        <f aca="false">'Reforecast Q1 2026'!D108</f>
        <v>0</v>
      </c>
      <c r="G92" s="133" t="str">
        <f aca="false">IF(OR(2&gt;$B$3,ISBLANK(Actuals!D108)),"",Actuals!D108)</f>
        <v/>
      </c>
      <c r="H92" s="134" t="str">
        <f aca="false">IF(OR(2&gt;$B$3,ISBLANK(Actuals!D108)),"",'Reforecast Q1 2026'!D108-Actuals!D108)</f>
        <v/>
      </c>
      <c r="I92" s="134" t="str">
        <f aca="false">IFERROR(IF(OR(2&gt;$B$3,ISBLANK(Actuals!D108)),"",('Reforecast Q1 2026'!D108-Actuals!D108)/ABS('Reforecast Q1 2026'!D108)),"")</f>
        <v/>
      </c>
      <c r="J92" s="133" t="n">
        <f aca="false">'Reforecast Q1 2026'!E108</f>
        <v>0</v>
      </c>
      <c r="K92" s="133" t="str">
        <f aca="false">IF(OR(3&gt;$B$3,ISBLANK(Actuals!E108)),"",Actuals!E108)</f>
        <v/>
      </c>
      <c r="L92" s="134" t="str">
        <f aca="false">IF(OR(3&gt;$B$3,ISBLANK(Actuals!E108)),"",'Reforecast Q1 2026'!E108-Actuals!E108)</f>
        <v/>
      </c>
      <c r="M92" s="134" t="str">
        <f aca="false">IFERROR(IF(OR(3&gt;$B$3,ISBLANK(Actuals!E108)),"",('Reforecast Q1 2026'!E108-Actuals!E108)/ABS('Reforecast Q1 2026'!E108)),"")</f>
        <v/>
      </c>
      <c r="N92" s="133" t="n">
        <f aca="false">'Reforecast Q1 2026'!F108</f>
        <v>0</v>
      </c>
      <c r="O92" s="133" t="str">
        <f aca="false">IF(OR(4&gt;$B$3,ISBLANK(Actuals!F108)),"",Actuals!F108)</f>
        <v/>
      </c>
      <c r="P92" s="134" t="str">
        <f aca="false">IF(OR(4&gt;$B$3,ISBLANK(Actuals!F108)),"",'Reforecast Q1 2026'!F108-Actuals!F108)</f>
        <v/>
      </c>
      <c r="Q92" s="134" t="str">
        <f aca="false">IFERROR(IF(OR(4&gt;$B$3,ISBLANK(Actuals!F108)),"",('Reforecast Q1 2026'!F108-Actuals!F108)/ABS('Reforecast Q1 2026'!F108)),"")</f>
        <v/>
      </c>
      <c r="R92" s="133" t="n">
        <f aca="false">'Reforecast Q1 2026'!G108</f>
        <v>0</v>
      </c>
      <c r="S92" s="133" t="str">
        <f aca="false">IF(OR(5&gt;$B$3,ISBLANK(Actuals!G108)),"",Actuals!G108)</f>
        <v/>
      </c>
      <c r="T92" s="134" t="str">
        <f aca="false">IF(OR(5&gt;$B$3,ISBLANK(Actuals!G108)),"",'Reforecast Q1 2026'!G108-Actuals!G108)</f>
        <v/>
      </c>
      <c r="U92" s="134" t="str">
        <f aca="false">IFERROR(IF(OR(5&gt;$B$3,ISBLANK(Actuals!G108)),"",('Reforecast Q1 2026'!G108-Actuals!G108)/ABS('Reforecast Q1 2026'!G108)),"")</f>
        <v/>
      </c>
      <c r="V92" s="133" t="n">
        <f aca="false">'Reforecast Q1 2026'!H108</f>
        <v>0</v>
      </c>
      <c r="W92" s="133" t="str">
        <f aca="false">IF(OR(6&gt;$B$3,ISBLANK(Actuals!H108)),"",Actuals!H108)</f>
        <v/>
      </c>
      <c r="X92" s="134" t="str">
        <f aca="false">IF(OR(6&gt;$B$3,ISBLANK(Actuals!H108)),"",'Reforecast Q1 2026'!H108-Actuals!H108)</f>
        <v/>
      </c>
      <c r="Y92" s="134" t="str">
        <f aca="false">IFERROR(IF(OR(6&gt;$B$3,ISBLANK(Actuals!H108)),"",('Reforecast Q1 2026'!H108-Actuals!H108)/ABS('Reforecast Q1 2026'!H108)),"")</f>
        <v/>
      </c>
      <c r="Z92" s="133" t="n">
        <f aca="false">'Reforecast Q1 2026'!I108</f>
        <v>0</v>
      </c>
      <c r="AA92" s="133" t="str">
        <f aca="false">IF(OR(7&gt;$B$3,ISBLANK(Actuals!I108)),"",Actuals!I108)</f>
        <v/>
      </c>
      <c r="AB92" s="134" t="str">
        <f aca="false">IF(OR(7&gt;$B$3,ISBLANK(Actuals!I108)),"",'Reforecast Q1 2026'!I108-Actuals!I108)</f>
        <v/>
      </c>
      <c r="AC92" s="134" t="str">
        <f aca="false">IFERROR(IF(OR(7&gt;$B$3,ISBLANK(Actuals!I108)),"",('Reforecast Q1 2026'!I108-Actuals!I108)/ABS('Reforecast Q1 2026'!I108)),"")</f>
        <v/>
      </c>
      <c r="AD92" s="133" t="n">
        <f aca="false">'Reforecast Q1 2026'!J108</f>
        <v>0</v>
      </c>
      <c r="AE92" s="133" t="str">
        <f aca="false">IF(OR(8&gt;$B$3,ISBLANK(Actuals!J108)),"",Actuals!J108)</f>
        <v/>
      </c>
      <c r="AF92" s="134" t="str">
        <f aca="false">IF(OR(8&gt;$B$3,ISBLANK(Actuals!J108)),"",'Reforecast Q1 2026'!J108-Actuals!J108)</f>
        <v/>
      </c>
      <c r="AG92" s="134" t="str">
        <f aca="false">IFERROR(IF(OR(8&gt;$B$3,ISBLANK(Actuals!J108)),"",('Reforecast Q1 2026'!J108-Actuals!J108)/ABS('Reforecast Q1 2026'!J108)),"")</f>
        <v/>
      </c>
      <c r="AH92" s="133" t="n">
        <f aca="false">'Reforecast Q1 2026'!K108</f>
        <v>0</v>
      </c>
      <c r="AI92" s="133" t="str">
        <f aca="false">IF(OR(9&gt;$B$3,ISBLANK(Actuals!K108)),"",Actuals!K108)</f>
        <v/>
      </c>
      <c r="AJ92" s="134" t="str">
        <f aca="false">IF(OR(9&gt;$B$3,ISBLANK(Actuals!K108)),"",'Reforecast Q1 2026'!K108-Actuals!K108)</f>
        <v/>
      </c>
      <c r="AK92" s="134" t="str">
        <f aca="false">IFERROR(IF(OR(9&gt;$B$3,ISBLANK(Actuals!K108)),"",('Reforecast Q1 2026'!K108-Actuals!K108)/ABS('Reforecast Q1 2026'!K108)),"")</f>
        <v/>
      </c>
      <c r="AL92" s="133" t="n">
        <f aca="false">'Reforecast Q1 2026'!L108</f>
        <v>0</v>
      </c>
      <c r="AM92" s="133" t="str">
        <f aca="false">IF(OR(10&gt;$B$3,ISBLANK(Actuals!L108)),"",Actuals!L108)</f>
        <v/>
      </c>
      <c r="AN92" s="134" t="str">
        <f aca="false">IF(OR(10&gt;$B$3,ISBLANK(Actuals!L108)),"",'Reforecast Q1 2026'!L108-Actuals!L108)</f>
        <v/>
      </c>
      <c r="AO92" s="134" t="str">
        <f aca="false">IFERROR(IF(OR(10&gt;$B$3,ISBLANK(Actuals!L108)),"",('Reforecast Q1 2026'!L108-Actuals!L108)/ABS('Reforecast Q1 2026'!L108)),"")</f>
        <v/>
      </c>
      <c r="AP92" s="133" t="n">
        <f aca="false">'Reforecast Q1 2026'!M108</f>
        <v>0</v>
      </c>
      <c r="AQ92" s="133" t="str">
        <f aca="false">IF(OR(11&gt;$B$3,ISBLANK(Actuals!M108)),"",Actuals!M108)</f>
        <v/>
      </c>
      <c r="AR92" s="134" t="str">
        <f aca="false">IF(OR(11&gt;$B$3,ISBLANK(Actuals!M108)),"",'Reforecast Q1 2026'!M108-Actuals!M108)</f>
        <v/>
      </c>
      <c r="AS92" s="134" t="str">
        <f aca="false">IFERROR(IF(OR(11&gt;$B$3,ISBLANK(Actuals!M108)),"",('Reforecast Q1 2026'!M108-Actuals!M108)/ABS('Reforecast Q1 2026'!M108)),"")</f>
        <v/>
      </c>
      <c r="AT92" s="133" t="n">
        <f aca="false">'Reforecast Q1 2026'!N108</f>
        <v>0</v>
      </c>
      <c r="AU92" s="133" t="str">
        <f aca="false">IF(OR(12&gt;$B$3,ISBLANK(Actuals!N108)),"",Actuals!N108)</f>
        <v/>
      </c>
      <c r="AV92" s="134" t="str">
        <f aca="false">IF(OR(12&gt;$B$3,ISBLANK(Actuals!N108)),"",'Reforecast Q1 2026'!N108-Actuals!N108)</f>
        <v/>
      </c>
      <c r="AW92" s="134" t="str">
        <f aca="false">IFERROR(IF(OR(12&gt;$B$3,ISBLANK(Actuals!N108)),"",('Reforecast Q1 2026'!N108-Actuals!N108)/ABS('Reforecast Q1 2026'!N108)),"")</f>
        <v/>
      </c>
      <c r="AX92" s="135" t="n">
        <f aca="false">SUMPRODUCT((Actuals!C108:N108&lt;&gt;"")*('Reforecast Q1 2026'!C108:N108))</f>
        <v>0</v>
      </c>
      <c r="AY92" s="135" t="n">
        <f aca="false">SUM(Actuals!C108:N108)</f>
        <v>0</v>
      </c>
      <c r="AZ92" s="136" t="n">
        <f aca="false">AX92-AY92</f>
        <v>0</v>
      </c>
    </row>
    <row r="93" customFormat="false" ht="15" hidden="false" customHeight="true" outlineLevel="0" collapsed="false">
      <c r="A93" s="132" t="s">
        <v>134</v>
      </c>
      <c r="B93" s="133" t="n">
        <f aca="false">'Reforecast Q1 2026'!C109</f>
        <v>0</v>
      </c>
      <c r="C93" s="133" t="str">
        <f aca="false">IF(OR(1&gt;$B$3,ISBLANK(Actuals!C109)),"",Actuals!C109)</f>
        <v/>
      </c>
      <c r="D93" s="134" t="str">
        <f aca="false">IF(OR(1&gt;$B$3,ISBLANK(Actuals!C109)),"",'Reforecast Q1 2026'!C109-Actuals!C109)</f>
        <v/>
      </c>
      <c r="E93" s="134" t="str">
        <f aca="false">IFERROR(IF(OR(1&gt;$B$3,ISBLANK(Actuals!C109)),"",('Reforecast Q1 2026'!C109-Actuals!C109)/ABS('Reforecast Q1 2026'!C109)),"")</f>
        <v/>
      </c>
      <c r="F93" s="133" t="n">
        <f aca="false">'Reforecast Q1 2026'!D109</f>
        <v>0</v>
      </c>
      <c r="G93" s="133" t="str">
        <f aca="false">IF(OR(2&gt;$B$3,ISBLANK(Actuals!D109)),"",Actuals!D109)</f>
        <v/>
      </c>
      <c r="H93" s="134" t="str">
        <f aca="false">IF(OR(2&gt;$B$3,ISBLANK(Actuals!D109)),"",'Reforecast Q1 2026'!D109-Actuals!D109)</f>
        <v/>
      </c>
      <c r="I93" s="134" t="str">
        <f aca="false">IFERROR(IF(OR(2&gt;$B$3,ISBLANK(Actuals!D109)),"",('Reforecast Q1 2026'!D109-Actuals!D109)/ABS('Reforecast Q1 2026'!D109)),"")</f>
        <v/>
      </c>
      <c r="J93" s="133" t="n">
        <f aca="false">'Reforecast Q1 2026'!E109</f>
        <v>0</v>
      </c>
      <c r="K93" s="133" t="str">
        <f aca="false">IF(OR(3&gt;$B$3,ISBLANK(Actuals!E109)),"",Actuals!E109)</f>
        <v/>
      </c>
      <c r="L93" s="134" t="str">
        <f aca="false">IF(OR(3&gt;$B$3,ISBLANK(Actuals!E109)),"",'Reforecast Q1 2026'!E109-Actuals!E109)</f>
        <v/>
      </c>
      <c r="M93" s="134" t="str">
        <f aca="false">IFERROR(IF(OR(3&gt;$B$3,ISBLANK(Actuals!E109)),"",('Reforecast Q1 2026'!E109-Actuals!E109)/ABS('Reforecast Q1 2026'!E109)),"")</f>
        <v/>
      </c>
      <c r="N93" s="133" t="n">
        <f aca="false">'Reforecast Q1 2026'!F109</f>
        <v>0</v>
      </c>
      <c r="O93" s="133" t="str">
        <f aca="false">IF(OR(4&gt;$B$3,ISBLANK(Actuals!F109)),"",Actuals!F109)</f>
        <v/>
      </c>
      <c r="P93" s="134" t="str">
        <f aca="false">IF(OR(4&gt;$B$3,ISBLANK(Actuals!F109)),"",'Reforecast Q1 2026'!F109-Actuals!F109)</f>
        <v/>
      </c>
      <c r="Q93" s="134" t="str">
        <f aca="false">IFERROR(IF(OR(4&gt;$B$3,ISBLANK(Actuals!F109)),"",('Reforecast Q1 2026'!F109-Actuals!F109)/ABS('Reforecast Q1 2026'!F109)),"")</f>
        <v/>
      </c>
      <c r="R93" s="133" t="n">
        <f aca="false">'Reforecast Q1 2026'!G109</f>
        <v>0</v>
      </c>
      <c r="S93" s="133" t="str">
        <f aca="false">IF(OR(5&gt;$B$3,ISBLANK(Actuals!G109)),"",Actuals!G109)</f>
        <v/>
      </c>
      <c r="T93" s="134" t="str">
        <f aca="false">IF(OR(5&gt;$B$3,ISBLANK(Actuals!G109)),"",'Reforecast Q1 2026'!G109-Actuals!G109)</f>
        <v/>
      </c>
      <c r="U93" s="134" t="str">
        <f aca="false">IFERROR(IF(OR(5&gt;$B$3,ISBLANK(Actuals!G109)),"",('Reforecast Q1 2026'!G109-Actuals!G109)/ABS('Reforecast Q1 2026'!G109)),"")</f>
        <v/>
      </c>
      <c r="V93" s="133" t="n">
        <f aca="false">'Reforecast Q1 2026'!H109</f>
        <v>0</v>
      </c>
      <c r="W93" s="133" t="str">
        <f aca="false">IF(OR(6&gt;$B$3,ISBLANK(Actuals!H109)),"",Actuals!H109)</f>
        <v/>
      </c>
      <c r="X93" s="134" t="str">
        <f aca="false">IF(OR(6&gt;$B$3,ISBLANK(Actuals!H109)),"",'Reforecast Q1 2026'!H109-Actuals!H109)</f>
        <v/>
      </c>
      <c r="Y93" s="134" t="str">
        <f aca="false">IFERROR(IF(OR(6&gt;$B$3,ISBLANK(Actuals!H109)),"",('Reforecast Q1 2026'!H109-Actuals!H109)/ABS('Reforecast Q1 2026'!H109)),"")</f>
        <v/>
      </c>
      <c r="Z93" s="133" t="n">
        <f aca="false">'Reforecast Q1 2026'!I109</f>
        <v>0</v>
      </c>
      <c r="AA93" s="133" t="str">
        <f aca="false">IF(OR(7&gt;$B$3,ISBLANK(Actuals!I109)),"",Actuals!I109)</f>
        <v/>
      </c>
      <c r="AB93" s="134" t="str">
        <f aca="false">IF(OR(7&gt;$B$3,ISBLANK(Actuals!I109)),"",'Reforecast Q1 2026'!I109-Actuals!I109)</f>
        <v/>
      </c>
      <c r="AC93" s="134" t="str">
        <f aca="false">IFERROR(IF(OR(7&gt;$B$3,ISBLANK(Actuals!I109)),"",('Reforecast Q1 2026'!I109-Actuals!I109)/ABS('Reforecast Q1 2026'!I109)),"")</f>
        <v/>
      </c>
      <c r="AD93" s="133" t="n">
        <f aca="false">'Reforecast Q1 2026'!J109</f>
        <v>0</v>
      </c>
      <c r="AE93" s="133" t="n">
        <f aca="false">IF(OR(8&gt;$B$3,ISBLANK(Actuals!J109)),"",Actuals!J109)</f>
        <v>0</v>
      </c>
      <c r="AF93" s="134" t="n">
        <f aca="false">IF(OR(8&gt;$B$3,ISBLANK(Actuals!J109)),"",'Reforecast Q1 2026'!J109-Actuals!J109)</f>
        <v>0</v>
      </c>
      <c r="AG93" s="134" t="str">
        <f aca="false">IFERROR(IF(OR(8&gt;$B$3,ISBLANK(Actuals!J109)),"",('Reforecast Q1 2026'!J109-Actuals!J109)/ABS('Reforecast Q1 2026'!J109)),"")</f>
        <v/>
      </c>
      <c r="AH93" s="133" t="n">
        <f aca="false">'Reforecast Q1 2026'!K109</f>
        <v>0</v>
      </c>
      <c r="AI93" s="133" t="str">
        <f aca="false">IF(OR(9&gt;$B$3,ISBLANK(Actuals!K109)),"",Actuals!K109)</f>
        <v/>
      </c>
      <c r="AJ93" s="134" t="str">
        <f aca="false">IF(OR(9&gt;$B$3,ISBLANK(Actuals!K109)),"",'Reforecast Q1 2026'!K109-Actuals!K109)</f>
        <v/>
      </c>
      <c r="AK93" s="134" t="str">
        <f aca="false">IFERROR(IF(OR(9&gt;$B$3,ISBLANK(Actuals!K109)),"",('Reforecast Q1 2026'!K109-Actuals!K109)/ABS('Reforecast Q1 2026'!K109)),"")</f>
        <v/>
      </c>
      <c r="AL93" s="133" t="n">
        <f aca="false">'Reforecast Q1 2026'!L109</f>
        <v>0</v>
      </c>
      <c r="AM93" s="133" t="str">
        <f aca="false">IF(OR(10&gt;$B$3,ISBLANK(Actuals!L109)),"",Actuals!L109)</f>
        <v/>
      </c>
      <c r="AN93" s="134" t="str">
        <f aca="false">IF(OR(10&gt;$B$3,ISBLANK(Actuals!L109)),"",'Reforecast Q1 2026'!L109-Actuals!L109)</f>
        <v/>
      </c>
      <c r="AO93" s="134" t="str">
        <f aca="false">IFERROR(IF(OR(10&gt;$B$3,ISBLANK(Actuals!L109)),"",('Reforecast Q1 2026'!L109-Actuals!L109)/ABS('Reforecast Q1 2026'!L109)),"")</f>
        <v/>
      </c>
      <c r="AP93" s="133" t="n">
        <f aca="false">'Reforecast Q1 2026'!M109</f>
        <v>0</v>
      </c>
      <c r="AQ93" s="133" t="str">
        <f aca="false">IF(OR(11&gt;$B$3,ISBLANK(Actuals!M109)),"",Actuals!M109)</f>
        <v/>
      </c>
      <c r="AR93" s="134" t="str">
        <f aca="false">IF(OR(11&gt;$B$3,ISBLANK(Actuals!M109)),"",'Reforecast Q1 2026'!M109-Actuals!M109)</f>
        <v/>
      </c>
      <c r="AS93" s="134" t="str">
        <f aca="false">IFERROR(IF(OR(11&gt;$B$3,ISBLANK(Actuals!M109)),"",('Reforecast Q1 2026'!M109-Actuals!M109)/ABS('Reforecast Q1 2026'!M109)),"")</f>
        <v/>
      </c>
      <c r="AT93" s="133" t="n">
        <f aca="false">'Reforecast Q1 2026'!N109</f>
        <v>0</v>
      </c>
      <c r="AU93" s="133" t="str">
        <f aca="false">IF(OR(12&gt;$B$3,ISBLANK(Actuals!N109)),"",Actuals!N109)</f>
        <v/>
      </c>
      <c r="AV93" s="134" t="str">
        <f aca="false">IF(OR(12&gt;$B$3,ISBLANK(Actuals!N109)),"",'Reforecast Q1 2026'!N109-Actuals!N109)</f>
        <v/>
      </c>
      <c r="AW93" s="134" t="str">
        <f aca="false">IFERROR(IF(OR(12&gt;$B$3,ISBLANK(Actuals!N109)),"",('Reforecast Q1 2026'!N109-Actuals!N109)/ABS('Reforecast Q1 2026'!N109)),"")</f>
        <v/>
      </c>
      <c r="AX93" s="135" t="n">
        <f aca="false">SUMPRODUCT((Actuals!C109:N109&lt;&gt;"")*('Reforecast Q1 2026'!C109:N109))</f>
        <v>0</v>
      </c>
      <c r="AY93" s="135" t="n">
        <f aca="false">SUM(Actuals!C109:N109)</f>
        <v>0</v>
      </c>
      <c r="AZ93" s="136" t="n">
        <f aca="false">AX93-AY93</f>
        <v>0</v>
      </c>
    </row>
    <row r="94" customFormat="false" ht="15" hidden="false" customHeight="true" outlineLevel="0" collapsed="false">
      <c r="A94" s="132" t="s">
        <v>135</v>
      </c>
      <c r="B94" s="133" t="n">
        <f aca="false">'Reforecast Q1 2026'!C110</f>
        <v>0</v>
      </c>
      <c r="C94" s="133" t="str">
        <f aca="false">IF(OR(1&gt;$B$3,ISBLANK(Actuals!C110)),"",Actuals!C110)</f>
        <v/>
      </c>
      <c r="D94" s="134" t="str">
        <f aca="false">IF(OR(1&gt;$B$3,ISBLANK(Actuals!C110)),"",'Reforecast Q1 2026'!C110-Actuals!C110)</f>
        <v/>
      </c>
      <c r="E94" s="134" t="str">
        <f aca="false">IFERROR(IF(OR(1&gt;$B$3,ISBLANK(Actuals!C110)),"",('Reforecast Q1 2026'!C110-Actuals!C110)/ABS('Reforecast Q1 2026'!C110)),"")</f>
        <v/>
      </c>
      <c r="F94" s="133" t="n">
        <f aca="false">'Reforecast Q1 2026'!D110</f>
        <v>0</v>
      </c>
      <c r="G94" s="133" t="str">
        <f aca="false">IF(OR(2&gt;$B$3,ISBLANK(Actuals!D110)),"",Actuals!D110)</f>
        <v/>
      </c>
      <c r="H94" s="134" t="str">
        <f aca="false">IF(OR(2&gt;$B$3,ISBLANK(Actuals!D110)),"",'Reforecast Q1 2026'!D110-Actuals!D110)</f>
        <v/>
      </c>
      <c r="I94" s="134" t="str">
        <f aca="false">IFERROR(IF(OR(2&gt;$B$3,ISBLANK(Actuals!D110)),"",('Reforecast Q1 2026'!D110-Actuals!D110)/ABS('Reforecast Q1 2026'!D110)),"")</f>
        <v/>
      </c>
      <c r="J94" s="133" t="n">
        <f aca="false">'Reforecast Q1 2026'!E110</f>
        <v>0</v>
      </c>
      <c r="K94" s="133" t="str">
        <f aca="false">IF(OR(3&gt;$B$3,ISBLANK(Actuals!E110)),"",Actuals!E110)</f>
        <v/>
      </c>
      <c r="L94" s="134" t="str">
        <f aca="false">IF(OR(3&gt;$B$3,ISBLANK(Actuals!E110)),"",'Reforecast Q1 2026'!E110-Actuals!E110)</f>
        <v/>
      </c>
      <c r="M94" s="134" t="str">
        <f aca="false">IFERROR(IF(OR(3&gt;$B$3,ISBLANK(Actuals!E110)),"",('Reforecast Q1 2026'!E110-Actuals!E110)/ABS('Reforecast Q1 2026'!E110)),"")</f>
        <v/>
      </c>
      <c r="N94" s="133" t="n">
        <f aca="false">'Reforecast Q1 2026'!F110</f>
        <v>0</v>
      </c>
      <c r="O94" s="133" t="str">
        <f aca="false">IF(OR(4&gt;$B$3,ISBLANK(Actuals!F110)),"",Actuals!F110)</f>
        <v/>
      </c>
      <c r="P94" s="134" t="str">
        <f aca="false">IF(OR(4&gt;$B$3,ISBLANK(Actuals!F110)),"",'Reforecast Q1 2026'!F110-Actuals!F110)</f>
        <v/>
      </c>
      <c r="Q94" s="134" t="str">
        <f aca="false">IFERROR(IF(OR(4&gt;$B$3,ISBLANK(Actuals!F110)),"",('Reforecast Q1 2026'!F110-Actuals!F110)/ABS('Reforecast Q1 2026'!F110)),"")</f>
        <v/>
      </c>
      <c r="R94" s="133" t="n">
        <f aca="false">'Reforecast Q1 2026'!G110</f>
        <v>0</v>
      </c>
      <c r="S94" s="133" t="str">
        <f aca="false">IF(OR(5&gt;$B$3,ISBLANK(Actuals!G110)),"",Actuals!G110)</f>
        <v/>
      </c>
      <c r="T94" s="134" t="str">
        <f aca="false">IF(OR(5&gt;$B$3,ISBLANK(Actuals!G110)),"",'Reforecast Q1 2026'!G110-Actuals!G110)</f>
        <v/>
      </c>
      <c r="U94" s="134" t="str">
        <f aca="false">IFERROR(IF(OR(5&gt;$B$3,ISBLANK(Actuals!G110)),"",('Reforecast Q1 2026'!G110-Actuals!G110)/ABS('Reforecast Q1 2026'!G110)),"")</f>
        <v/>
      </c>
      <c r="V94" s="133" t="n">
        <f aca="false">'Reforecast Q1 2026'!H110</f>
        <v>0</v>
      </c>
      <c r="W94" s="133" t="str">
        <f aca="false">IF(OR(6&gt;$B$3,ISBLANK(Actuals!H110)),"",Actuals!H110)</f>
        <v/>
      </c>
      <c r="X94" s="134" t="str">
        <f aca="false">IF(OR(6&gt;$B$3,ISBLANK(Actuals!H110)),"",'Reforecast Q1 2026'!H110-Actuals!H110)</f>
        <v/>
      </c>
      <c r="Y94" s="134" t="str">
        <f aca="false">IFERROR(IF(OR(6&gt;$B$3,ISBLANK(Actuals!H110)),"",('Reforecast Q1 2026'!H110-Actuals!H110)/ABS('Reforecast Q1 2026'!H110)),"")</f>
        <v/>
      </c>
      <c r="Z94" s="133" t="n">
        <f aca="false">'Reforecast Q1 2026'!I110</f>
        <v>0</v>
      </c>
      <c r="AA94" s="133" t="str">
        <f aca="false">IF(OR(7&gt;$B$3,ISBLANK(Actuals!I110)),"",Actuals!I110)</f>
        <v/>
      </c>
      <c r="AB94" s="134" t="str">
        <f aca="false">IF(OR(7&gt;$B$3,ISBLANK(Actuals!I110)),"",'Reforecast Q1 2026'!I110-Actuals!I110)</f>
        <v/>
      </c>
      <c r="AC94" s="134" t="str">
        <f aca="false">IFERROR(IF(OR(7&gt;$B$3,ISBLANK(Actuals!I110)),"",('Reforecast Q1 2026'!I110-Actuals!I110)/ABS('Reforecast Q1 2026'!I110)),"")</f>
        <v/>
      </c>
      <c r="AD94" s="133" t="n">
        <f aca="false">'Reforecast Q1 2026'!J110</f>
        <v>0</v>
      </c>
      <c r="AE94" s="133" t="str">
        <f aca="false">IF(OR(8&gt;$B$3,ISBLANK(Actuals!J110)),"",Actuals!J110)</f>
        <v/>
      </c>
      <c r="AF94" s="134" t="str">
        <f aca="false">IF(OR(8&gt;$B$3,ISBLANK(Actuals!J110)),"",'Reforecast Q1 2026'!J110-Actuals!J110)</f>
        <v/>
      </c>
      <c r="AG94" s="134" t="str">
        <f aca="false">IFERROR(IF(OR(8&gt;$B$3,ISBLANK(Actuals!J110)),"",('Reforecast Q1 2026'!J110-Actuals!J110)/ABS('Reforecast Q1 2026'!J110)),"")</f>
        <v/>
      </c>
      <c r="AH94" s="133" t="n">
        <f aca="false">'Reforecast Q1 2026'!K110</f>
        <v>0</v>
      </c>
      <c r="AI94" s="133" t="str">
        <f aca="false">IF(OR(9&gt;$B$3,ISBLANK(Actuals!K110)),"",Actuals!K110)</f>
        <v/>
      </c>
      <c r="AJ94" s="134" t="str">
        <f aca="false">IF(OR(9&gt;$B$3,ISBLANK(Actuals!K110)),"",'Reforecast Q1 2026'!K110-Actuals!K110)</f>
        <v/>
      </c>
      <c r="AK94" s="134" t="str">
        <f aca="false">IFERROR(IF(OR(9&gt;$B$3,ISBLANK(Actuals!K110)),"",('Reforecast Q1 2026'!K110-Actuals!K110)/ABS('Reforecast Q1 2026'!K110)),"")</f>
        <v/>
      </c>
      <c r="AL94" s="133" t="n">
        <f aca="false">'Reforecast Q1 2026'!L110</f>
        <v>0</v>
      </c>
      <c r="AM94" s="133" t="str">
        <f aca="false">IF(OR(10&gt;$B$3,ISBLANK(Actuals!L110)),"",Actuals!L110)</f>
        <v/>
      </c>
      <c r="AN94" s="134" t="str">
        <f aca="false">IF(OR(10&gt;$B$3,ISBLANK(Actuals!L110)),"",'Reforecast Q1 2026'!L110-Actuals!L110)</f>
        <v/>
      </c>
      <c r="AO94" s="134" t="str">
        <f aca="false">IFERROR(IF(OR(10&gt;$B$3,ISBLANK(Actuals!L110)),"",('Reforecast Q1 2026'!L110-Actuals!L110)/ABS('Reforecast Q1 2026'!L110)),"")</f>
        <v/>
      </c>
      <c r="AP94" s="133" t="n">
        <f aca="false">'Reforecast Q1 2026'!M110</f>
        <v>0</v>
      </c>
      <c r="AQ94" s="133" t="str">
        <f aca="false">IF(OR(11&gt;$B$3,ISBLANK(Actuals!M110)),"",Actuals!M110)</f>
        <v/>
      </c>
      <c r="AR94" s="134" t="str">
        <f aca="false">IF(OR(11&gt;$B$3,ISBLANK(Actuals!M110)),"",'Reforecast Q1 2026'!M110-Actuals!M110)</f>
        <v/>
      </c>
      <c r="AS94" s="134" t="str">
        <f aca="false">IFERROR(IF(OR(11&gt;$B$3,ISBLANK(Actuals!M110)),"",('Reforecast Q1 2026'!M110-Actuals!M110)/ABS('Reforecast Q1 2026'!M110)),"")</f>
        <v/>
      </c>
      <c r="AT94" s="133" t="n">
        <f aca="false">'Reforecast Q1 2026'!N110</f>
        <v>0</v>
      </c>
      <c r="AU94" s="133" t="str">
        <f aca="false">IF(OR(12&gt;$B$3,ISBLANK(Actuals!N110)),"",Actuals!N110)</f>
        <v/>
      </c>
      <c r="AV94" s="134" t="str">
        <f aca="false">IF(OR(12&gt;$B$3,ISBLANK(Actuals!N110)),"",'Reforecast Q1 2026'!N110-Actuals!N110)</f>
        <v/>
      </c>
      <c r="AW94" s="134" t="str">
        <f aca="false">IFERROR(IF(OR(12&gt;$B$3,ISBLANK(Actuals!N110)),"",('Reforecast Q1 2026'!N110-Actuals!N110)/ABS('Reforecast Q1 2026'!N110)),"")</f>
        <v/>
      </c>
      <c r="AX94" s="135" t="n">
        <f aca="false">SUMPRODUCT((Actuals!C110:N110&lt;&gt;"")*('Reforecast Q1 2026'!C110:N110))</f>
        <v>0</v>
      </c>
      <c r="AY94" s="135" t="n">
        <f aca="false">SUM(Actuals!C110:N110)</f>
        <v>0</v>
      </c>
      <c r="AZ94" s="136" t="n">
        <f aca="false">AX94-AY94</f>
        <v>0</v>
      </c>
    </row>
    <row r="95" customFormat="false" ht="15" hidden="false" customHeight="true" outlineLevel="0" collapsed="false">
      <c r="A95" s="132" t="s">
        <v>136</v>
      </c>
      <c r="B95" s="133" t="n">
        <f aca="false">'Reforecast Q1 2026'!C111</f>
        <v>0</v>
      </c>
      <c r="C95" s="133" t="str">
        <f aca="false">IF(OR(1&gt;$B$3,ISBLANK(Actuals!C111)),"",Actuals!C111)</f>
        <v/>
      </c>
      <c r="D95" s="134" t="str">
        <f aca="false">IF(OR(1&gt;$B$3,ISBLANK(Actuals!C111)),"",'Reforecast Q1 2026'!C111-Actuals!C111)</f>
        <v/>
      </c>
      <c r="E95" s="134" t="str">
        <f aca="false">IFERROR(IF(OR(1&gt;$B$3,ISBLANK(Actuals!C111)),"",('Reforecast Q1 2026'!C111-Actuals!C111)/ABS('Reforecast Q1 2026'!C111)),"")</f>
        <v/>
      </c>
      <c r="F95" s="133" t="n">
        <f aca="false">'Reforecast Q1 2026'!D111</f>
        <v>0</v>
      </c>
      <c r="G95" s="133" t="str">
        <f aca="false">IF(OR(2&gt;$B$3,ISBLANK(Actuals!D111)),"",Actuals!D111)</f>
        <v/>
      </c>
      <c r="H95" s="134" t="str">
        <f aca="false">IF(OR(2&gt;$B$3,ISBLANK(Actuals!D111)),"",'Reforecast Q1 2026'!D111-Actuals!D111)</f>
        <v/>
      </c>
      <c r="I95" s="134" t="str">
        <f aca="false">IFERROR(IF(OR(2&gt;$B$3,ISBLANK(Actuals!D111)),"",('Reforecast Q1 2026'!D111-Actuals!D111)/ABS('Reforecast Q1 2026'!D111)),"")</f>
        <v/>
      </c>
      <c r="J95" s="133" t="n">
        <f aca="false">'Reforecast Q1 2026'!E111</f>
        <v>0</v>
      </c>
      <c r="K95" s="133" t="str">
        <f aca="false">IF(OR(3&gt;$B$3,ISBLANK(Actuals!E111)),"",Actuals!E111)</f>
        <v/>
      </c>
      <c r="L95" s="134" t="str">
        <f aca="false">IF(OR(3&gt;$B$3,ISBLANK(Actuals!E111)),"",'Reforecast Q1 2026'!E111-Actuals!E111)</f>
        <v/>
      </c>
      <c r="M95" s="134" t="str">
        <f aca="false">IFERROR(IF(OR(3&gt;$B$3,ISBLANK(Actuals!E111)),"",('Reforecast Q1 2026'!E111-Actuals!E111)/ABS('Reforecast Q1 2026'!E111)),"")</f>
        <v/>
      </c>
      <c r="N95" s="133" t="n">
        <f aca="false">'Reforecast Q1 2026'!F111</f>
        <v>0</v>
      </c>
      <c r="O95" s="133" t="str">
        <f aca="false">IF(OR(4&gt;$B$3,ISBLANK(Actuals!F111)),"",Actuals!F111)</f>
        <v/>
      </c>
      <c r="P95" s="134" t="str">
        <f aca="false">IF(OR(4&gt;$B$3,ISBLANK(Actuals!F111)),"",'Reforecast Q1 2026'!F111-Actuals!F111)</f>
        <v/>
      </c>
      <c r="Q95" s="134" t="str">
        <f aca="false">IFERROR(IF(OR(4&gt;$B$3,ISBLANK(Actuals!F111)),"",('Reforecast Q1 2026'!F111-Actuals!F111)/ABS('Reforecast Q1 2026'!F111)),"")</f>
        <v/>
      </c>
      <c r="R95" s="133" t="n">
        <f aca="false">'Reforecast Q1 2026'!G111</f>
        <v>0</v>
      </c>
      <c r="S95" s="133" t="str">
        <f aca="false">IF(OR(5&gt;$B$3,ISBLANK(Actuals!G111)),"",Actuals!G111)</f>
        <v/>
      </c>
      <c r="T95" s="134" t="str">
        <f aca="false">IF(OR(5&gt;$B$3,ISBLANK(Actuals!G111)),"",'Reforecast Q1 2026'!G111-Actuals!G111)</f>
        <v/>
      </c>
      <c r="U95" s="134" t="str">
        <f aca="false">IFERROR(IF(OR(5&gt;$B$3,ISBLANK(Actuals!G111)),"",('Reforecast Q1 2026'!G111-Actuals!G111)/ABS('Reforecast Q1 2026'!G111)),"")</f>
        <v/>
      </c>
      <c r="V95" s="133" t="n">
        <f aca="false">'Reforecast Q1 2026'!H111</f>
        <v>0</v>
      </c>
      <c r="W95" s="133" t="str">
        <f aca="false">IF(OR(6&gt;$B$3,ISBLANK(Actuals!H111)),"",Actuals!H111)</f>
        <v/>
      </c>
      <c r="X95" s="134" t="str">
        <f aca="false">IF(OR(6&gt;$B$3,ISBLANK(Actuals!H111)),"",'Reforecast Q1 2026'!H111-Actuals!H111)</f>
        <v/>
      </c>
      <c r="Y95" s="134" t="str">
        <f aca="false">IFERROR(IF(OR(6&gt;$B$3,ISBLANK(Actuals!H111)),"",('Reforecast Q1 2026'!H111-Actuals!H111)/ABS('Reforecast Q1 2026'!H111)),"")</f>
        <v/>
      </c>
      <c r="Z95" s="133" t="n">
        <f aca="false">'Reforecast Q1 2026'!I111</f>
        <v>0</v>
      </c>
      <c r="AA95" s="133" t="str">
        <f aca="false">IF(OR(7&gt;$B$3,ISBLANK(Actuals!I111)),"",Actuals!I111)</f>
        <v/>
      </c>
      <c r="AB95" s="134" t="str">
        <f aca="false">IF(OR(7&gt;$B$3,ISBLANK(Actuals!I111)),"",'Reforecast Q1 2026'!I111-Actuals!I111)</f>
        <v/>
      </c>
      <c r="AC95" s="134" t="str">
        <f aca="false">IFERROR(IF(OR(7&gt;$B$3,ISBLANK(Actuals!I111)),"",('Reforecast Q1 2026'!I111-Actuals!I111)/ABS('Reforecast Q1 2026'!I111)),"")</f>
        <v/>
      </c>
      <c r="AD95" s="133" t="n">
        <f aca="false">'Reforecast Q1 2026'!J111</f>
        <v>0</v>
      </c>
      <c r="AE95" s="133" t="str">
        <f aca="false">IF(OR(8&gt;$B$3,ISBLANK(Actuals!J111)),"",Actuals!J111)</f>
        <v/>
      </c>
      <c r="AF95" s="134" t="str">
        <f aca="false">IF(OR(8&gt;$B$3,ISBLANK(Actuals!J111)),"",'Reforecast Q1 2026'!J111-Actuals!J111)</f>
        <v/>
      </c>
      <c r="AG95" s="134" t="str">
        <f aca="false">IFERROR(IF(OR(8&gt;$B$3,ISBLANK(Actuals!J111)),"",('Reforecast Q1 2026'!J111-Actuals!J111)/ABS('Reforecast Q1 2026'!J111)),"")</f>
        <v/>
      </c>
      <c r="AH95" s="133" t="n">
        <f aca="false">'Reforecast Q1 2026'!K111</f>
        <v>0</v>
      </c>
      <c r="AI95" s="133" t="str">
        <f aca="false">IF(OR(9&gt;$B$3,ISBLANK(Actuals!K111)),"",Actuals!K111)</f>
        <v/>
      </c>
      <c r="AJ95" s="134" t="str">
        <f aca="false">IF(OR(9&gt;$B$3,ISBLANK(Actuals!K111)),"",'Reforecast Q1 2026'!K111-Actuals!K111)</f>
        <v/>
      </c>
      <c r="AK95" s="134" t="str">
        <f aca="false">IFERROR(IF(OR(9&gt;$B$3,ISBLANK(Actuals!K111)),"",('Reforecast Q1 2026'!K111-Actuals!K111)/ABS('Reforecast Q1 2026'!K111)),"")</f>
        <v/>
      </c>
      <c r="AL95" s="133" t="n">
        <f aca="false">'Reforecast Q1 2026'!L111</f>
        <v>0</v>
      </c>
      <c r="AM95" s="133" t="str">
        <f aca="false">IF(OR(10&gt;$B$3,ISBLANK(Actuals!L111)),"",Actuals!L111)</f>
        <v/>
      </c>
      <c r="AN95" s="134" t="str">
        <f aca="false">IF(OR(10&gt;$B$3,ISBLANK(Actuals!L111)),"",'Reforecast Q1 2026'!L111-Actuals!L111)</f>
        <v/>
      </c>
      <c r="AO95" s="134" t="str">
        <f aca="false">IFERROR(IF(OR(10&gt;$B$3,ISBLANK(Actuals!L111)),"",('Reforecast Q1 2026'!L111-Actuals!L111)/ABS('Reforecast Q1 2026'!L111)),"")</f>
        <v/>
      </c>
      <c r="AP95" s="133" t="n">
        <f aca="false">'Reforecast Q1 2026'!M111</f>
        <v>0</v>
      </c>
      <c r="AQ95" s="133" t="str">
        <f aca="false">IF(OR(11&gt;$B$3,ISBLANK(Actuals!M111)),"",Actuals!M111)</f>
        <v/>
      </c>
      <c r="AR95" s="134" t="str">
        <f aca="false">IF(OR(11&gt;$B$3,ISBLANK(Actuals!M111)),"",'Reforecast Q1 2026'!M111-Actuals!M111)</f>
        <v/>
      </c>
      <c r="AS95" s="134" t="str">
        <f aca="false">IFERROR(IF(OR(11&gt;$B$3,ISBLANK(Actuals!M111)),"",('Reforecast Q1 2026'!M111-Actuals!M111)/ABS('Reforecast Q1 2026'!M111)),"")</f>
        <v/>
      </c>
      <c r="AT95" s="133" t="n">
        <f aca="false">'Reforecast Q1 2026'!N111</f>
        <v>0</v>
      </c>
      <c r="AU95" s="133" t="str">
        <f aca="false">IF(OR(12&gt;$B$3,ISBLANK(Actuals!N111)),"",Actuals!N111)</f>
        <v/>
      </c>
      <c r="AV95" s="134" t="str">
        <f aca="false">IF(OR(12&gt;$B$3,ISBLANK(Actuals!N111)),"",'Reforecast Q1 2026'!N111-Actuals!N111)</f>
        <v/>
      </c>
      <c r="AW95" s="134" t="str">
        <f aca="false">IFERROR(IF(OR(12&gt;$B$3,ISBLANK(Actuals!N111)),"",('Reforecast Q1 2026'!N111-Actuals!N111)/ABS('Reforecast Q1 2026'!N111)),"")</f>
        <v/>
      </c>
      <c r="AX95" s="135" t="n">
        <f aca="false">SUMPRODUCT((Actuals!C111:N111&lt;&gt;"")*('Reforecast Q1 2026'!C111:N111))</f>
        <v>0</v>
      </c>
      <c r="AY95" s="135" t="n">
        <f aca="false">SUM(Actuals!C111:N111)</f>
        <v>0</v>
      </c>
      <c r="AZ95" s="136" t="n">
        <f aca="false">AX95-AY95</f>
        <v>0</v>
      </c>
    </row>
    <row r="96" customFormat="false" ht="15" hidden="false" customHeight="true" outlineLevel="0" collapsed="false">
      <c r="B96" s="109"/>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c r="AH96" s="109"/>
      <c r="AI96" s="109"/>
      <c r="AJ96" s="109"/>
      <c r="AK96" s="109"/>
      <c r="AL96" s="109"/>
      <c r="AM96" s="109"/>
      <c r="AN96" s="109"/>
      <c r="AO96" s="109"/>
      <c r="AP96" s="109"/>
      <c r="AQ96" s="109"/>
      <c r="AR96" s="109"/>
      <c r="AS96" s="109"/>
      <c r="AT96" s="109"/>
      <c r="AU96" s="109"/>
      <c r="AV96" s="109"/>
      <c r="AW96" s="109"/>
      <c r="AX96" s="109"/>
      <c r="AY96" s="109"/>
      <c r="AZ96" s="109"/>
    </row>
    <row r="97" customFormat="false" ht="15" hidden="false" customHeight="true" outlineLevel="0" collapsed="false">
      <c r="A97" s="137" t="s">
        <v>501</v>
      </c>
      <c r="B97" s="138" t="n">
        <f aca="false">SUM(B6:B13)+SUM(B15:B95)</f>
        <v>-202748.04</v>
      </c>
      <c r="C97" s="138" t="n">
        <f aca="false">SUM(C6:C13)+SUM(C15:C95)</f>
        <v>-206557.78</v>
      </c>
      <c r="D97" s="138" t="n">
        <f aca="false">SUM(D6:D13)+SUM(D15:D95)</f>
        <v>3809.74</v>
      </c>
      <c r="E97" s="138"/>
      <c r="F97" s="138" t="n">
        <f aca="false">SUM(F6:F13)+SUM(F15:F95)</f>
        <v>-465294.64</v>
      </c>
      <c r="G97" s="138" t="n">
        <f aca="false">SUM(G6:G13)+SUM(G15:G95)</f>
        <v>-469696.73</v>
      </c>
      <c r="H97" s="138" t="n">
        <f aca="false">SUM(H6:H13)+SUM(H15:H95)</f>
        <v>4402.08999999999</v>
      </c>
      <c r="I97" s="138"/>
      <c r="J97" s="138" t="n">
        <f aca="false">SUM(J6:J13)+SUM(J15:J95)</f>
        <v>35842.0500000003</v>
      </c>
      <c r="K97" s="138" t="n">
        <f aca="false">SUM(K6:K13)+SUM(K15:K95)</f>
        <v>21337.2600000002</v>
      </c>
      <c r="L97" s="138" t="n">
        <f aca="false">SUM(L6:L13)+SUM(L15:L95)</f>
        <v>14504.79</v>
      </c>
      <c r="M97" s="138"/>
      <c r="N97" s="138" t="n">
        <f aca="false">SUM(N6:N13)+SUM(N15:N95)</f>
        <v>42717.9922202429</v>
      </c>
      <c r="O97" s="138" t="n">
        <f aca="false">SUM(O6:O13)+SUM(O15:O95)</f>
        <v>212136.55</v>
      </c>
      <c r="P97" s="138" t="n">
        <f aca="false">SUM(P6:P13)+SUM(P15:P95)</f>
        <v>-178918.557779757</v>
      </c>
      <c r="Q97" s="138"/>
      <c r="R97" s="138" t="n">
        <f aca="false">SUM(R6:R13)+SUM(R15:R95)</f>
        <v>-29679.925088813</v>
      </c>
      <c r="S97" s="138" t="n">
        <f aca="false">SUM(S6:S13)+SUM(S15:S95)</f>
        <v>-188293.09</v>
      </c>
      <c r="T97" s="138" t="n">
        <f aca="false">SUM(T6:T13)+SUM(T15:T95)</f>
        <v>149113.164911187</v>
      </c>
      <c r="U97" s="138"/>
      <c r="V97" s="138" t="n">
        <f aca="false">SUM(V6:V13)+SUM(V15:V95)</f>
        <v>-59054.9222056931</v>
      </c>
      <c r="W97" s="138" t="n">
        <f aca="false">SUM(W6:W13)+SUM(W15:W95)</f>
        <v>449429.350000001</v>
      </c>
      <c r="X97" s="138" t="n">
        <f aca="false">SUM(X6:X13)+SUM(X15:X95)</f>
        <v>-517984.272205694</v>
      </c>
      <c r="Y97" s="138"/>
      <c r="Z97" s="138" t="n">
        <f aca="false">SUM(Z6:Z13)+SUM(Z15:Z95)</f>
        <v>444413.23693596</v>
      </c>
      <c r="AA97" s="138" t="n">
        <f aca="false">SUM(AA6:AA13)+SUM(AA15:AA95)</f>
        <v>1327689.46</v>
      </c>
      <c r="AB97" s="138" t="n">
        <f aca="false">SUM(AB6:AB13)+SUM(AB15:AB95)</f>
        <v>-883276.22306404</v>
      </c>
      <c r="AC97" s="138"/>
      <c r="AD97" s="138" t="n">
        <f aca="false">SUM(AD6:AD13)+SUM(AD15:AD95)</f>
        <v>137353.04008154</v>
      </c>
      <c r="AE97" s="138" t="n">
        <f aca="false">SUM(AE6:AE13)+SUM(AE15:AE95)</f>
        <v>172720.41</v>
      </c>
      <c r="AF97" s="138" t="n">
        <f aca="false">SUM(AF6:AF13)+SUM(AF15:AF95)</f>
        <v>-35367.3699184602</v>
      </c>
      <c r="AG97" s="138"/>
      <c r="AH97" s="138" t="n">
        <f aca="false">SUM(AH6:AH13)+SUM(AH15:AH95)</f>
        <v>136519.707981801</v>
      </c>
      <c r="AI97" s="138" t="n">
        <f aca="false">SUM(AI6:AI13)+SUM(AI15:AI95)</f>
        <v>0</v>
      </c>
      <c r="AJ97" s="138" t="n">
        <f aca="false">SUM(AJ6:AJ13)+SUM(AJ15:AJ95)</f>
        <v>0</v>
      </c>
      <c r="AK97" s="138"/>
      <c r="AL97" s="138" t="n">
        <f aca="false">SUM(AL6:AL13)+SUM(AL15:AL95)</f>
        <v>441570.278826481</v>
      </c>
      <c r="AM97" s="138" t="n">
        <f aca="false">SUM(AM6:AM13)+SUM(AM15:AM95)</f>
        <v>0</v>
      </c>
      <c r="AN97" s="138" t="n">
        <f aca="false">SUM(AN6:AN13)+SUM(AN15:AN95)</f>
        <v>0</v>
      </c>
      <c r="AO97" s="138"/>
      <c r="AP97" s="138" t="n">
        <f aca="false">SUM(AP6:AP13)+SUM(AP15:AP95)</f>
        <v>463196.206572316</v>
      </c>
      <c r="AQ97" s="138" t="n">
        <f aca="false">SUM(AQ6:AQ13)+SUM(AQ15:AQ95)</f>
        <v>0</v>
      </c>
      <c r="AR97" s="138" t="n">
        <f aca="false">SUM(AR6:AR13)+SUM(AR15:AR95)</f>
        <v>0</v>
      </c>
      <c r="AS97" s="138"/>
      <c r="AT97" s="138" t="n">
        <f aca="false">SUM(AT6:AT13)+SUM(AT15:AT95)</f>
        <v>210821.122324942</v>
      </c>
      <c r="AU97" s="138" t="n">
        <f aca="false">SUM(AU6:AU13)+SUM(AU15:AU95)</f>
        <v>0</v>
      </c>
      <c r="AV97" s="138" t="n">
        <f aca="false">SUM(AV6:AV13)+SUM(AV15:AV95)</f>
        <v>0</v>
      </c>
      <c r="AW97" s="138"/>
      <c r="AX97" s="138" t="n">
        <f aca="false">SUM(AX6:AX13)+SUM(AX15:AX95)</f>
        <v>72965.431943235</v>
      </c>
      <c r="AY97" s="138" t="n">
        <f aca="false">SUM(AY6:AY13)+SUM(AY15:AY95)</f>
        <v>1516682.07</v>
      </c>
      <c r="AZ97" s="138" t="n">
        <f aca="false">SUM(AZ6:AZ13)+SUM(AZ15:AZ95)</f>
        <v>-1443716.63805676</v>
      </c>
    </row>
    <row r="98" customFormat="false" ht="15" hidden="false" customHeight="true" outlineLevel="0" collapsed="false">
      <c r="B98" s="139"/>
      <c r="C98" s="139"/>
      <c r="D98" s="139"/>
      <c r="E98" s="139"/>
      <c r="F98" s="139"/>
      <c r="G98" s="139"/>
      <c r="H98" s="139"/>
      <c r="I98" s="139"/>
      <c r="J98" s="139"/>
      <c r="K98" s="139"/>
      <c r="L98" s="139"/>
      <c r="M98" s="139"/>
      <c r="N98" s="139"/>
      <c r="O98" s="139"/>
      <c r="P98" s="139"/>
      <c r="Q98" s="139"/>
      <c r="R98" s="139"/>
      <c r="S98" s="139"/>
      <c r="T98" s="139"/>
      <c r="U98" s="139"/>
      <c r="V98" s="139"/>
      <c r="W98" s="139"/>
      <c r="X98" s="139"/>
      <c r="Y98" s="139"/>
      <c r="Z98" s="139"/>
      <c r="AA98" s="139"/>
      <c r="AB98" s="139"/>
      <c r="AC98" s="139"/>
      <c r="AD98" s="139"/>
      <c r="AE98" s="139"/>
      <c r="AF98" s="139"/>
      <c r="AG98" s="139"/>
      <c r="AH98" s="139"/>
      <c r="AI98" s="139"/>
      <c r="AJ98" s="139"/>
      <c r="AK98" s="139"/>
      <c r="AL98" s="139"/>
      <c r="AM98" s="139"/>
      <c r="AN98" s="139"/>
      <c r="AO98" s="139"/>
      <c r="AP98" s="139"/>
      <c r="AQ98" s="139"/>
      <c r="AR98" s="139"/>
      <c r="AS98" s="139"/>
      <c r="AT98" s="139"/>
      <c r="AU98" s="139"/>
      <c r="AV98" s="139"/>
      <c r="AW98" s="139"/>
      <c r="AX98" s="139"/>
      <c r="AY98" s="139"/>
      <c r="AZ98" s="139"/>
    </row>
    <row r="99" customFormat="false" ht="15" hidden="false" customHeight="true" outlineLevel="0" collapsed="false">
      <c r="B99" s="139"/>
      <c r="C99" s="139"/>
      <c r="D99" s="139"/>
      <c r="E99" s="139"/>
      <c r="F99" s="139"/>
      <c r="G99" s="139"/>
      <c r="H99" s="139"/>
      <c r="I99" s="139"/>
      <c r="J99" s="139"/>
      <c r="K99" s="139"/>
      <c r="L99" s="139"/>
      <c r="M99" s="139"/>
      <c r="N99" s="139"/>
      <c r="O99" s="139"/>
      <c r="P99" s="139"/>
      <c r="Q99" s="139"/>
      <c r="R99" s="139"/>
      <c r="S99" s="139"/>
      <c r="T99" s="139"/>
      <c r="U99" s="139"/>
      <c r="V99" s="139"/>
      <c r="W99" s="139"/>
      <c r="X99" s="139"/>
      <c r="Y99" s="139"/>
      <c r="Z99" s="139"/>
      <c r="AA99" s="139"/>
      <c r="AB99" s="139"/>
      <c r="AC99" s="139"/>
      <c r="AD99" s="139"/>
      <c r="AE99" s="139"/>
      <c r="AF99" s="139"/>
      <c r="AG99" s="139"/>
      <c r="AH99" s="139"/>
      <c r="AI99" s="139"/>
      <c r="AJ99" s="139"/>
      <c r="AK99" s="139"/>
      <c r="AL99" s="139"/>
      <c r="AM99" s="139"/>
      <c r="AN99" s="139"/>
      <c r="AO99" s="139"/>
      <c r="AP99" s="139"/>
      <c r="AQ99" s="139"/>
      <c r="AR99" s="139"/>
      <c r="AS99" s="139"/>
      <c r="AT99" s="139"/>
      <c r="AU99" s="139"/>
      <c r="AV99" s="139"/>
      <c r="AW99" s="139"/>
      <c r="AX99" s="139"/>
      <c r="AY99" s="139"/>
      <c r="AZ99" s="139"/>
    </row>
    <row r="100" customFormat="false" ht="15" hidden="false" customHeight="true" outlineLevel="0" collapsed="false">
      <c r="B100" s="139"/>
      <c r="C100" s="139"/>
      <c r="D100" s="139"/>
      <c r="E100" s="139"/>
      <c r="F100" s="139"/>
      <c r="G100" s="139"/>
      <c r="H100" s="139"/>
      <c r="I100" s="139"/>
      <c r="J100" s="139"/>
      <c r="K100" s="139"/>
      <c r="L100" s="139"/>
      <c r="M100" s="139"/>
      <c r="N100" s="139"/>
      <c r="O100" s="139"/>
      <c r="P100" s="139"/>
      <c r="Q100" s="139"/>
      <c r="R100" s="139"/>
      <c r="S100" s="139"/>
      <c r="T100" s="139"/>
      <c r="U100" s="139"/>
      <c r="V100" s="139"/>
      <c r="W100" s="139"/>
      <c r="X100" s="139"/>
      <c r="Y100" s="139"/>
      <c r="Z100" s="139"/>
      <c r="AA100" s="139"/>
      <c r="AB100" s="139"/>
      <c r="AC100" s="139"/>
      <c r="AD100" s="139"/>
      <c r="AE100" s="139"/>
      <c r="AF100" s="139"/>
      <c r="AG100" s="139"/>
      <c r="AH100" s="139"/>
      <c r="AI100" s="139"/>
      <c r="AJ100" s="139"/>
      <c r="AK100" s="139"/>
      <c r="AL100" s="139"/>
      <c r="AM100" s="139"/>
      <c r="AN100" s="139"/>
      <c r="AO100" s="139"/>
      <c r="AP100" s="139"/>
      <c r="AQ100" s="139"/>
      <c r="AR100" s="139"/>
      <c r="AS100" s="139"/>
      <c r="AT100" s="139"/>
      <c r="AU100" s="139"/>
      <c r="AV100" s="139"/>
      <c r="AW100" s="139"/>
      <c r="AX100" s="139"/>
      <c r="AY100" s="139"/>
      <c r="AZ100" s="139"/>
    </row>
    <row r="101" customFormat="false" ht="15" hidden="false" customHeight="true" outlineLevel="0" collapsed="false">
      <c r="B101" s="139"/>
      <c r="C101" s="139"/>
      <c r="D101" s="139"/>
      <c r="E101" s="139"/>
      <c r="F101" s="139"/>
      <c r="G101" s="139"/>
      <c r="H101" s="139"/>
      <c r="I101" s="139"/>
      <c r="J101" s="139"/>
      <c r="K101" s="139"/>
      <c r="L101" s="139"/>
      <c r="M101" s="139"/>
      <c r="N101" s="139"/>
      <c r="O101" s="139"/>
      <c r="P101" s="139"/>
      <c r="Q101" s="139"/>
      <c r="R101" s="139"/>
      <c r="S101" s="139"/>
      <c r="T101" s="139"/>
      <c r="U101" s="139"/>
      <c r="V101" s="139"/>
      <c r="W101" s="139"/>
      <c r="X101" s="139"/>
      <c r="Y101" s="139"/>
      <c r="Z101" s="139"/>
      <c r="AA101" s="139"/>
      <c r="AB101" s="139"/>
      <c r="AC101" s="139"/>
      <c r="AD101" s="139"/>
      <c r="AE101" s="139"/>
      <c r="AF101" s="139"/>
      <c r="AG101" s="139"/>
      <c r="AH101" s="139"/>
      <c r="AI101" s="139"/>
      <c r="AJ101" s="139"/>
      <c r="AK101" s="139"/>
      <c r="AL101" s="139"/>
      <c r="AM101" s="139"/>
      <c r="AN101" s="139"/>
      <c r="AO101" s="139"/>
      <c r="AP101" s="139"/>
      <c r="AQ101" s="139"/>
      <c r="AR101" s="139"/>
      <c r="AS101" s="139"/>
      <c r="AT101" s="139"/>
      <c r="AU101" s="139"/>
      <c r="AV101" s="139"/>
      <c r="AW101" s="139"/>
      <c r="AX101" s="139"/>
      <c r="AY101" s="139"/>
      <c r="AZ101" s="139"/>
    </row>
    <row r="102" customFormat="false" ht="15" hidden="false" customHeight="true" outlineLevel="0" collapsed="false">
      <c r="B102" s="139"/>
      <c r="C102" s="139"/>
      <c r="D102" s="139"/>
      <c r="E102" s="139"/>
      <c r="F102" s="139"/>
      <c r="G102" s="139"/>
      <c r="H102" s="139"/>
      <c r="I102" s="139"/>
      <c r="J102" s="139"/>
      <c r="K102" s="139"/>
      <c r="L102" s="139"/>
      <c r="M102" s="139"/>
      <c r="N102" s="139"/>
      <c r="O102" s="139"/>
      <c r="P102" s="139"/>
      <c r="Q102" s="139"/>
      <c r="R102" s="139"/>
      <c r="S102" s="139"/>
      <c r="T102" s="139"/>
      <c r="U102" s="139"/>
      <c r="V102" s="139"/>
      <c r="W102" s="139"/>
      <c r="X102" s="139"/>
      <c r="Y102" s="139"/>
      <c r="Z102" s="139"/>
      <c r="AA102" s="139"/>
      <c r="AB102" s="139"/>
      <c r="AC102" s="139"/>
      <c r="AD102" s="139"/>
      <c r="AE102" s="139"/>
      <c r="AF102" s="139"/>
      <c r="AG102" s="139"/>
      <c r="AH102" s="139"/>
      <c r="AI102" s="139"/>
      <c r="AJ102" s="139"/>
      <c r="AK102" s="139"/>
      <c r="AL102" s="139"/>
      <c r="AM102" s="139"/>
      <c r="AN102" s="139"/>
      <c r="AO102" s="139"/>
      <c r="AP102" s="139"/>
      <c r="AQ102" s="139"/>
      <c r="AR102" s="139"/>
      <c r="AS102" s="139"/>
      <c r="AT102" s="139"/>
      <c r="AU102" s="139"/>
      <c r="AV102" s="139"/>
      <c r="AW102" s="139"/>
      <c r="AX102" s="139"/>
      <c r="AY102" s="139"/>
      <c r="AZ102" s="139"/>
    </row>
    <row r="103" customFormat="false" ht="15" hidden="false" customHeight="true" outlineLevel="0" collapsed="false">
      <c r="B103" s="139"/>
      <c r="C103" s="139"/>
      <c r="D103" s="139"/>
      <c r="E103" s="139"/>
      <c r="F103" s="139"/>
      <c r="G103" s="139"/>
      <c r="H103" s="139"/>
      <c r="I103" s="139"/>
      <c r="J103" s="139"/>
      <c r="K103" s="139"/>
      <c r="L103" s="139"/>
      <c r="M103" s="139"/>
      <c r="N103" s="139"/>
      <c r="O103" s="139"/>
      <c r="P103" s="139"/>
      <c r="Q103" s="139"/>
      <c r="R103" s="139"/>
      <c r="S103" s="139"/>
      <c r="T103" s="139"/>
      <c r="U103" s="139"/>
      <c r="V103" s="139"/>
      <c r="W103" s="139"/>
      <c r="X103" s="139"/>
      <c r="Y103" s="139"/>
      <c r="Z103" s="139"/>
      <c r="AA103" s="139"/>
      <c r="AB103" s="139"/>
      <c r="AC103" s="139"/>
      <c r="AD103" s="139"/>
      <c r="AE103" s="139"/>
      <c r="AF103" s="139"/>
      <c r="AG103" s="139"/>
      <c r="AH103" s="139"/>
      <c r="AI103" s="139"/>
      <c r="AJ103" s="139"/>
      <c r="AK103" s="139"/>
      <c r="AL103" s="139"/>
      <c r="AM103" s="139"/>
      <c r="AN103" s="139"/>
      <c r="AO103" s="139"/>
      <c r="AP103" s="139"/>
      <c r="AQ103" s="139"/>
      <c r="AR103" s="139"/>
      <c r="AS103" s="139"/>
      <c r="AT103" s="139"/>
      <c r="AU103" s="139"/>
      <c r="AV103" s="139"/>
      <c r="AW103" s="139"/>
      <c r="AX103" s="139"/>
      <c r="AY103" s="139"/>
      <c r="AZ103" s="139"/>
    </row>
    <row r="104" customFormat="false" ht="15" hidden="false" customHeight="true" outlineLevel="0" collapsed="false">
      <c r="B104" s="139"/>
      <c r="C104" s="139"/>
      <c r="D104" s="139"/>
      <c r="E104" s="139"/>
      <c r="F104" s="139"/>
      <c r="G104" s="139"/>
      <c r="H104" s="139"/>
      <c r="I104" s="139"/>
      <c r="J104" s="139"/>
      <c r="K104" s="139"/>
      <c r="L104" s="139"/>
      <c r="M104" s="139"/>
      <c r="N104" s="139"/>
      <c r="O104" s="139"/>
      <c r="P104" s="139"/>
      <c r="Q104" s="139"/>
      <c r="R104" s="139"/>
      <c r="S104" s="139"/>
      <c r="T104" s="139"/>
      <c r="U104" s="139"/>
      <c r="V104" s="139"/>
      <c r="W104" s="139"/>
      <c r="X104" s="139"/>
      <c r="Y104" s="139"/>
      <c r="Z104" s="139"/>
      <c r="AA104" s="139"/>
      <c r="AB104" s="139"/>
      <c r="AC104" s="139"/>
      <c r="AD104" s="139"/>
      <c r="AE104" s="139"/>
      <c r="AF104" s="139"/>
      <c r="AG104" s="139"/>
      <c r="AH104" s="139"/>
      <c r="AI104" s="139"/>
      <c r="AJ104" s="139"/>
      <c r="AK104" s="139"/>
      <c r="AL104" s="139"/>
      <c r="AM104" s="139"/>
      <c r="AN104" s="139"/>
      <c r="AO104" s="139"/>
      <c r="AP104" s="139"/>
      <c r="AQ104" s="139"/>
      <c r="AR104" s="139"/>
      <c r="AS104" s="139"/>
      <c r="AT104" s="139"/>
      <c r="AU104" s="139"/>
      <c r="AV104" s="139"/>
      <c r="AW104" s="139"/>
      <c r="AX104" s="139"/>
      <c r="AY104" s="139"/>
      <c r="AZ104" s="139"/>
    </row>
    <row r="105" customFormat="false" ht="15" hidden="false" customHeight="true" outlineLevel="0" collapsed="false">
      <c r="B105" s="139"/>
      <c r="C105" s="139"/>
      <c r="D105" s="139"/>
      <c r="E105" s="139"/>
      <c r="F105" s="139"/>
      <c r="G105" s="139"/>
      <c r="H105" s="139"/>
      <c r="I105" s="139"/>
      <c r="J105" s="139"/>
      <c r="K105" s="139"/>
      <c r="L105" s="139"/>
      <c r="M105" s="139"/>
      <c r="N105" s="139"/>
      <c r="O105" s="139"/>
      <c r="P105" s="139"/>
      <c r="Q105" s="139"/>
      <c r="R105" s="139"/>
      <c r="S105" s="139"/>
      <c r="T105" s="139"/>
      <c r="U105" s="139"/>
      <c r="V105" s="139"/>
      <c r="W105" s="139"/>
      <c r="X105" s="139"/>
      <c r="Y105" s="139"/>
      <c r="Z105" s="139"/>
      <c r="AA105" s="139"/>
      <c r="AB105" s="139"/>
      <c r="AC105" s="139"/>
      <c r="AD105" s="139"/>
      <c r="AE105" s="139"/>
      <c r="AF105" s="139"/>
      <c r="AG105" s="139"/>
      <c r="AH105" s="139"/>
      <c r="AI105" s="139"/>
      <c r="AJ105" s="139"/>
      <c r="AK105" s="139"/>
      <c r="AL105" s="139"/>
      <c r="AM105" s="139"/>
      <c r="AN105" s="139"/>
      <c r="AO105" s="139"/>
      <c r="AP105" s="139"/>
      <c r="AQ105" s="139"/>
      <c r="AR105" s="139"/>
      <c r="AS105" s="139"/>
      <c r="AT105" s="139"/>
      <c r="AU105" s="139"/>
      <c r="AV105" s="139"/>
      <c r="AW105" s="139"/>
      <c r="AX105" s="139"/>
      <c r="AY105" s="139"/>
      <c r="AZ105" s="139"/>
    </row>
    <row r="106" customFormat="false" ht="15" hidden="false" customHeight="true" outlineLevel="0" collapsed="false">
      <c r="B106" s="139"/>
      <c r="C106" s="139"/>
      <c r="D106" s="139"/>
      <c r="E106" s="139"/>
      <c r="F106" s="139"/>
      <c r="G106" s="139"/>
      <c r="H106" s="139"/>
      <c r="I106" s="139"/>
      <c r="J106" s="139"/>
      <c r="K106" s="139"/>
      <c r="L106" s="139"/>
      <c r="M106" s="139"/>
      <c r="N106" s="139"/>
      <c r="O106" s="139"/>
      <c r="P106" s="139"/>
      <c r="Q106" s="139"/>
      <c r="R106" s="139"/>
      <c r="S106" s="139"/>
      <c r="T106" s="139"/>
      <c r="U106" s="139"/>
      <c r="V106" s="139"/>
      <c r="W106" s="139"/>
      <c r="X106" s="139"/>
      <c r="Y106" s="139"/>
      <c r="Z106" s="139"/>
      <c r="AA106" s="139"/>
      <c r="AB106" s="139"/>
      <c r="AC106" s="139"/>
      <c r="AD106" s="139"/>
      <c r="AE106" s="139"/>
      <c r="AF106" s="139"/>
      <c r="AG106" s="139"/>
      <c r="AH106" s="139"/>
      <c r="AI106" s="139"/>
      <c r="AJ106" s="139"/>
      <c r="AK106" s="139"/>
      <c r="AL106" s="139"/>
      <c r="AM106" s="139"/>
      <c r="AN106" s="139"/>
      <c r="AO106" s="139"/>
      <c r="AP106" s="139"/>
      <c r="AQ106" s="139"/>
      <c r="AR106" s="139"/>
      <c r="AS106" s="139"/>
      <c r="AT106" s="139"/>
      <c r="AU106" s="139"/>
      <c r="AV106" s="139"/>
      <c r="AW106" s="139"/>
      <c r="AX106" s="139"/>
      <c r="AY106" s="139"/>
      <c r="AZ106" s="139"/>
    </row>
    <row r="107" customFormat="false" ht="15" hidden="false" customHeight="true" outlineLevel="0" collapsed="false">
      <c r="B107" s="139"/>
      <c r="C107" s="139"/>
      <c r="D107" s="139"/>
      <c r="E107" s="139"/>
      <c r="F107" s="139"/>
      <c r="G107" s="139"/>
      <c r="H107" s="139"/>
      <c r="I107" s="139"/>
      <c r="J107" s="139"/>
      <c r="K107" s="139"/>
      <c r="L107" s="139"/>
      <c r="M107" s="139"/>
      <c r="N107" s="139"/>
      <c r="O107" s="139"/>
      <c r="P107" s="139"/>
      <c r="Q107" s="139"/>
      <c r="R107" s="139"/>
      <c r="S107" s="139"/>
      <c r="T107" s="139"/>
      <c r="U107" s="139"/>
      <c r="V107" s="139"/>
      <c r="W107" s="139"/>
      <c r="X107" s="139"/>
      <c r="Y107" s="139"/>
      <c r="Z107" s="139"/>
      <c r="AA107" s="139"/>
      <c r="AB107" s="139"/>
      <c r="AC107" s="139"/>
      <c r="AD107" s="139"/>
      <c r="AE107" s="139"/>
      <c r="AF107" s="139"/>
      <c r="AG107" s="139"/>
      <c r="AH107" s="139"/>
      <c r="AI107" s="139"/>
      <c r="AJ107" s="139"/>
      <c r="AK107" s="139"/>
      <c r="AL107" s="139"/>
      <c r="AM107" s="139"/>
      <c r="AN107" s="139"/>
      <c r="AO107" s="139"/>
      <c r="AP107" s="139"/>
      <c r="AQ107" s="139"/>
      <c r="AR107" s="139"/>
      <c r="AS107" s="139"/>
      <c r="AT107" s="139"/>
      <c r="AU107" s="139"/>
      <c r="AV107" s="139"/>
      <c r="AW107" s="139"/>
      <c r="AX107" s="139"/>
      <c r="AY107" s="139"/>
      <c r="AZ107" s="139"/>
    </row>
    <row r="108" customFormat="false" ht="15" hidden="false" customHeight="true" outlineLevel="0" collapsed="false">
      <c r="B108" s="139"/>
      <c r="C108" s="139"/>
      <c r="D108" s="139"/>
      <c r="E108" s="139"/>
      <c r="F108" s="139"/>
      <c r="G108" s="139"/>
      <c r="H108" s="139"/>
      <c r="I108" s="139"/>
      <c r="J108" s="139"/>
      <c r="K108" s="139"/>
      <c r="L108" s="139"/>
      <c r="M108" s="139"/>
      <c r="N108" s="139"/>
      <c r="O108" s="139"/>
      <c r="P108" s="139"/>
      <c r="Q108" s="139"/>
      <c r="R108" s="139"/>
      <c r="S108" s="139"/>
      <c r="T108" s="139"/>
      <c r="U108" s="139"/>
      <c r="V108" s="139"/>
      <c r="W108" s="139"/>
      <c r="X108" s="139"/>
      <c r="Y108" s="139"/>
      <c r="Z108" s="139"/>
      <c r="AA108" s="139"/>
      <c r="AB108" s="139"/>
      <c r="AC108" s="139"/>
      <c r="AD108" s="139"/>
      <c r="AE108" s="139"/>
      <c r="AF108" s="139"/>
      <c r="AG108" s="139"/>
      <c r="AH108" s="139"/>
      <c r="AI108" s="139"/>
      <c r="AJ108" s="139"/>
      <c r="AK108" s="139"/>
      <c r="AL108" s="139"/>
      <c r="AM108" s="139"/>
      <c r="AN108" s="139"/>
      <c r="AO108" s="139"/>
      <c r="AP108" s="139"/>
      <c r="AQ108" s="139"/>
      <c r="AR108" s="139"/>
      <c r="AS108" s="139"/>
      <c r="AT108" s="139"/>
      <c r="AU108" s="139"/>
      <c r="AV108" s="139"/>
      <c r="AW108" s="139"/>
      <c r="AX108" s="139"/>
      <c r="AY108" s="139"/>
      <c r="AZ108" s="139"/>
    </row>
    <row r="109" customFormat="false" ht="15" hidden="false" customHeight="true" outlineLevel="0" collapsed="false">
      <c r="B109" s="139"/>
      <c r="C109" s="139"/>
      <c r="D109" s="139"/>
      <c r="E109" s="139"/>
      <c r="F109" s="139"/>
      <c r="G109" s="139"/>
      <c r="H109" s="139"/>
      <c r="I109" s="139"/>
      <c r="J109" s="139"/>
      <c r="K109" s="139"/>
      <c r="L109" s="139"/>
      <c r="M109" s="139"/>
      <c r="N109" s="139"/>
      <c r="O109" s="139"/>
      <c r="P109" s="139"/>
      <c r="Q109" s="139"/>
      <c r="R109" s="139"/>
      <c r="S109" s="139"/>
      <c r="T109" s="139"/>
      <c r="U109" s="139"/>
      <c r="V109" s="139"/>
      <c r="W109" s="139"/>
      <c r="X109" s="139"/>
      <c r="Y109" s="139"/>
      <c r="Z109" s="139"/>
      <c r="AA109" s="139"/>
      <c r="AB109" s="139"/>
      <c r="AC109" s="139"/>
      <c r="AD109" s="139"/>
      <c r="AE109" s="139"/>
      <c r="AF109" s="139"/>
      <c r="AG109" s="139"/>
      <c r="AH109" s="139"/>
      <c r="AI109" s="139"/>
      <c r="AJ109" s="139"/>
      <c r="AK109" s="139"/>
      <c r="AL109" s="139"/>
      <c r="AM109" s="139"/>
      <c r="AN109" s="139"/>
      <c r="AO109" s="139"/>
      <c r="AP109" s="139"/>
      <c r="AQ109" s="139"/>
      <c r="AR109" s="139"/>
      <c r="AS109" s="139"/>
      <c r="AT109" s="139"/>
      <c r="AU109" s="139"/>
      <c r="AV109" s="139"/>
      <c r="AW109" s="139"/>
      <c r="AX109" s="139"/>
      <c r="AY109" s="139"/>
      <c r="AZ109" s="139"/>
    </row>
  </sheetData>
  <mergeCells count="13">
    <mergeCell ref="B4:E4"/>
    <mergeCell ref="F4:I4"/>
    <mergeCell ref="J4:M4"/>
    <mergeCell ref="N4:Q4"/>
    <mergeCell ref="R4:U4"/>
    <mergeCell ref="V4:Y4"/>
    <mergeCell ref="Z4:AC4"/>
    <mergeCell ref="AD4:AG4"/>
    <mergeCell ref="AH4:AK4"/>
    <mergeCell ref="AL4:AO4"/>
    <mergeCell ref="AP4:AS4"/>
    <mergeCell ref="AT4:AW4"/>
    <mergeCell ref="AX4:AZ4"/>
  </mergeCells>
  <conditionalFormatting sqref="D6:D94">
    <cfRule type="cellIs" priority="2" operator="greaterThan" aboveAverage="0" equalAverage="0" bottom="0" percent="0" rank="0" text="" dxfId="1">
      <formula>0</formula>
    </cfRule>
    <cfRule type="cellIs" priority="3" operator="lessThan" aboveAverage="0" equalAverage="0" bottom="0" percent="0" rank="0" text="" dxfId="2">
      <formula>0</formula>
    </cfRule>
  </conditionalFormatting>
  <conditionalFormatting sqref="H6:H94">
    <cfRule type="cellIs" priority="4" operator="greaterThan" aboveAverage="0" equalAverage="0" bottom="0" percent="0" rank="0" text="" dxfId="1">
      <formula>0</formula>
    </cfRule>
    <cfRule type="cellIs" priority="5" operator="lessThan" aboveAverage="0" equalAverage="0" bottom="0" percent="0" rank="0" text="" dxfId="2">
      <formula>0</formula>
    </cfRule>
  </conditionalFormatting>
  <conditionalFormatting sqref="L6:L94">
    <cfRule type="cellIs" priority="6" operator="greaterThan" aboveAverage="0" equalAverage="0" bottom="0" percent="0" rank="0" text="" dxfId="1">
      <formula>0</formula>
    </cfRule>
    <cfRule type="cellIs" priority="7" operator="lessThan" aboveAverage="0" equalAverage="0" bottom="0" percent="0" rank="0" text="" dxfId="2">
      <formula>0</formula>
    </cfRule>
  </conditionalFormatting>
  <conditionalFormatting sqref="P6:P94">
    <cfRule type="cellIs" priority="8" operator="greaterThan" aboveAverage="0" equalAverage="0" bottom="0" percent="0" rank="0" text="" dxfId="1">
      <formula>0</formula>
    </cfRule>
    <cfRule type="cellIs" priority="9" operator="lessThan" aboveAverage="0" equalAverage="0" bottom="0" percent="0" rank="0" text="" dxfId="2">
      <formula>0</formula>
    </cfRule>
  </conditionalFormatting>
  <conditionalFormatting sqref="T6:T94">
    <cfRule type="cellIs" priority="10" operator="greaterThan" aboveAverage="0" equalAverage="0" bottom="0" percent="0" rank="0" text="" dxfId="1">
      <formula>0</formula>
    </cfRule>
    <cfRule type="cellIs" priority="11" operator="lessThan" aboveAverage="0" equalAverage="0" bottom="0" percent="0" rank="0" text="" dxfId="2">
      <formula>0</formula>
    </cfRule>
  </conditionalFormatting>
  <conditionalFormatting sqref="X6:X94">
    <cfRule type="cellIs" priority="12" operator="greaterThan" aboveAverage="0" equalAverage="0" bottom="0" percent="0" rank="0" text="" dxfId="1">
      <formula>0</formula>
    </cfRule>
    <cfRule type="cellIs" priority="13" operator="lessThan" aboveAverage="0" equalAverage="0" bottom="0" percent="0" rank="0" text="" dxfId="2">
      <formula>0</formula>
    </cfRule>
  </conditionalFormatting>
  <conditionalFormatting sqref="AB6:AB94">
    <cfRule type="cellIs" priority="14" operator="greaterThan" aboveAverage="0" equalAverage="0" bottom="0" percent="0" rank="0" text="" dxfId="1">
      <formula>0</formula>
    </cfRule>
    <cfRule type="cellIs" priority="15" operator="lessThan" aboveAverage="0" equalAverage="0" bottom="0" percent="0" rank="0" text="" dxfId="2">
      <formula>0</formula>
    </cfRule>
  </conditionalFormatting>
  <conditionalFormatting sqref="AF6:AF94">
    <cfRule type="cellIs" priority="16" operator="greaterThan" aboveAverage="0" equalAverage="0" bottom="0" percent="0" rank="0" text="" dxfId="1">
      <formula>0</formula>
    </cfRule>
    <cfRule type="cellIs" priority="17" operator="lessThan" aboveAverage="0" equalAverage="0" bottom="0" percent="0" rank="0" text="" dxfId="2">
      <formula>0</formula>
    </cfRule>
  </conditionalFormatting>
  <conditionalFormatting sqref="AJ6:AJ94">
    <cfRule type="cellIs" priority="18" operator="greaterThan" aboveAverage="0" equalAverage="0" bottom="0" percent="0" rank="0" text="" dxfId="1">
      <formula>0</formula>
    </cfRule>
    <cfRule type="cellIs" priority="19" operator="lessThan" aboveAverage="0" equalAverage="0" bottom="0" percent="0" rank="0" text="" dxfId="2">
      <formula>0</formula>
    </cfRule>
  </conditionalFormatting>
  <conditionalFormatting sqref="AN6:AN94">
    <cfRule type="cellIs" priority="20" operator="greaterThan" aboveAverage="0" equalAverage="0" bottom="0" percent="0" rank="0" text="" dxfId="1">
      <formula>0</formula>
    </cfRule>
    <cfRule type="cellIs" priority="21" operator="lessThan" aboveAverage="0" equalAverage="0" bottom="0" percent="0" rank="0" text="" dxfId="2">
      <formula>0</formula>
    </cfRule>
  </conditionalFormatting>
  <conditionalFormatting sqref="AR6:AR94">
    <cfRule type="cellIs" priority="22" operator="greaterThan" aboveAverage="0" equalAverage="0" bottom="0" percent="0" rank="0" text="" dxfId="1">
      <formula>0</formula>
    </cfRule>
    <cfRule type="cellIs" priority="23" operator="lessThan" aboveAverage="0" equalAverage="0" bottom="0" percent="0" rank="0" text="" dxfId="2">
      <formula>0</formula>
    </cfRule>
  </conditionalFormatting>
  <conditionalFormatting sqref="AV6:AV94">
    <cfRule type="cellIs" priority="24" operator="greaterThan" aboveAverage="0" equalAverage="0" bottom="0" percent="0" rank="0" text="" dxfId="1">
      <formula>0</formula>
    </cfRule>
    <cfRule type="cellIs" priority="25" operator="lessThan" aboveAverage="0" equalAverage="0" bottom="0" percent="0" rank="0" text="" dxfId="2">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7375E"/>
    <pageSetUpPr fitToPage="false"/>
  </sheetPr>
  <dimension ref="A1:N122"/>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7109375" defaultRowHeight="13.5" zeroHeight="false" outlineLevelRow="0" outlineLevelCol="0"/>
  <cols>
    <col collapsed="false" customWidth="true" hidden="false" outlineLevel="0" max="1" min="1" style="1" width="48"/>
    <col collapsed="false" customWidth="true" hidden="false" outlineLevel="0" max="14" min="3" style="1" width="13"/>
  </cols>
  <sheetData>
    <row r="1" customFormat="false" ht="15" hidden="false" customHeight="true" outlineLevel="0" collapsed="false">
      <c r="A1" s="94" t="s">
        <v>503</v>
      </c>
    </row>
    <row r="2" customFormat="false" ht="15" hidden="false" customHeight="true" outlineLevel="0" collapsed="false">
      <c r="A2" s="72" t="s">
        <v>504</v>
      </c>
      <c r="C2" s="122" t="n">
        <v>46023</v>
      </c>
      <c r="D2" s="122" t="n">
        <v>46054</v>
      </c>
      <c r="E2" s="122" t="n">
        <v>46082</v>
      </c>
      <c r="F2" s="122" t="n">
        <v>46113</v>
      </c>
      <c r="G2" s="122" t="n">
        <v>46143</v>
      </c>
      <c r="H2" s="122" t="n">
        <v>46174</v>
      </c>
      <c r="I2" s="122" t="n">
        <v>46204</v>
      </c>
      <c r="J2" s="122" t="n">
        <v>46235</v>
      </c>
      <c r="K2" s="122" t="n">
        <v>46266</v>
      </c>
      <c r="L2" s="122" t="n">
        <v>46296</v>
      </c>
      <c r="M2" s="122" t="n">
        <v>46327</v>
      </c>
      <c r="N2" s="122" t="n">
        <v>46357</v>
      </c>
    </row>
    <row r="3" customFormat="false" ht="15" hidden="false" customHeight="true" outlineLevel="0" collapsed="false">
      <c r="A3" s="1" t="s">
        <v>1</v>
      </c>
      <c r="C3" s="96" t="n">
        <v>-2</v>
      </c>
      <c r="D3" s="96" t="n">
        <v>-1</v>
      </c>
      <c r="E3" s="96" t="n">
        <v>0</v>
      </c>
      <c r="F3" s="96" t="n">
        <v>1</v>
      </c>
      <c r="G3" s="96" t="n">
        <v>2</v>
      </c>
      <c r="H3" s="96" t="n">
        <v>3</v>
      </c>
      <c r="I3" s="96" t="n">
        <v>4</v>
      </c>
      <c r="J3" s="96" t="n">
        <v>5</v>
      </c>
      <c r="K3" s="96" t="n">
        <v>6</v>
      </c>
      <c r="L3" s="96" t="n">
        <v>7</v>
      </c>
      <c r="M3" s="96" t="n">
        <v>8</v>
      </c>
      <c r="N3" s="96" t="n">
        <v>9</v>
      </c>
    </row>
    <row r="8" customFormat="false" ht="15" hidden="false" customHeight="true" outlineLevel="0" collapsed="false">
      <c r="A8" s="140" t="s">
        <v>4</v>
      </c>
      <c r="C8" s="141" t="n">
        <v>189686.63</v>
      </c>
      <c r="D8" s="141" t="n">
        <v>189686.63</v>
      </c>
      <c r="E8" s="141" t="n">
        <v>189686.63</v>
      </c>
      <c r="F8" s="141" t="n">
        <v>189686.63</v>
      </c>
      <c r="G8" s="141" t="n">
        <v>293206.86</v>
      </c>
      <c r="H8" s="141" t="n">
        <v>293206.86</v>
      </c>
      <c r="I8" s="141" t="n">
        <v>293206.86</v>
      </c>
      <c r="J8" s="141" t="n">
        <v>293206.86</v>
      </c>
      <c r="K8" s="141" t="n">
        <v>293206.86</v>
      </c>
      <c r="L8" s="141" t="n">
        <v>293206.86</v>
      </c>
      <c r="M8" s="141" t="n">
        <v>293206.86</v>
      </c>
      <c r="N8" s="141" t="n">
        <v>260706.85</v>
      </c>
    </row>
    <row r="9" customFormat="false" ht="15" hidden="false" customHeight="true" outlineLevel="0" collapsed="false">
      <c r="A9" s="132" t="s">
        <v>343</v>
      </c>
      <c r="C9" s="141" t="n">
        <v>0</v>
      </c>
      <c r="D9" s="141" t="n">
        <v>0</v>
      </c>
      <c r="E9" s="141" t="n">
        <v>0</v>
      </c>
      <c r="F9" s="141" t="n">
        <v>0</v>
      </c>
      <c r="G9" s="141" t="n">
        <v>0</v>
      </c>
      <c r="H9" s="141" t="n">
        <v>0</v>
      </c>
      <c r="I9" s="141" t="n">
        <v>0</v>
      </c>
      <c r="J9" s="141" t="n">
        <v>0</v>
      </c>
      <c r="K9" s="141" t="n">
        <v>0</v>
      </c>
      <c r="L9" s="141" t="n">
        <v>0</v>
      </c>
      <c r="M9" s="141" t="n">
        <v>0</v>
      </c>
      <c r="N9" s="141" t="n">
        <v>0</v>
      </c>
    </row>
    <row r="10" customFormat="false" ht="15" hidden="false" customHeight="true" outlineLevel="0" collapsed="false">
      <c r="A10" s="132" t="s">
        <v>505</v>
      </c>
      <c r="C10" s="141" t="n">
        <v>134573.26</v>
      </c>
      <c r="D10" s="141" t="n">
        <v>149817.92</v>
      </c>
      <c r="E10" s="141" t="n">
        <v>164993.33</v>
      </c>
      <c r="F10" s="141" t="n">
        <v>179495.73</v>
      </c>
      <c r="G10" s="141" t="n">
        <v>230135.69</v>
      </c>
      <c r="H10" s="141" t="n">
        <v>246811.27</v>
      </c>
      <c r="I10" s="141" t="n">
        <v>261045.09</v>
      </c>
      <c r="J10" s="141" t="n">
        <v>272157.23</v>
      </c>
      <c r="K10" s="141" t="n">
        <v>279616.59</v>
      </c>
      <c r="L10" s="141" t="n">
        <v>283097.52</v>
      </c>
      <c r="M10" s="141" t="n">
        <v>282514.62</v>
      </c>
      <c r="N10" s="141" t="n">
        <v>266132.31</v>
      </c>
    </row>
    <row r="11" customFormat="false" ht="15" hidden="false" customHeight="true" outlineLevel="0" collapsed="false">
      <c r="A11" s="132" t="s">
        <v>344</v>
      </c>
      <c r="C11" s="141" t="n">
        <v>0</v>
      </c>
      <c r="D11" s="141" t="n">
        <v>0</v>
      </c>
      <c r="E11" s="141" t="n">
        <v>0</v>
      </c>
      <c r="F11" s="141" t="n">
        <v>0</v>
      </c>
      <c r="G11" s="141" t="n">
        <v>0</v>
      </c>
      <c r="H11" s="141" t="n">
        <v>0</v>
      </c>
      <c r="I11" s="141" t="n">
        <v>0</v>
      </c>
      <c r="J11" s="141" t="n">
        <v>0</v>
      </c>
      <c r="K11" s="141" t="n">
        <v>0</v>
      </c>
      <c r="L11" s="141" t="n">
        <v>0</v>
      </c>
      <c r="M11" s="141" t="n">
        <v>0</v>
      </c>
      <c r="N11" s="141" t="n">
        <v>0</v>
      </c>
    </row>
    <row r="12" customFormat="false" ht="15" hidden="false" customHeight="true" outlineLevel="0" collapsed="false">
      <c r="A12" s="140" t="s">
        <v>6</v>
      </c>
      <c r="C12" s="141" t="n">
        <v>2653995.85</v>
      </c>
      <c r="D12" s="141" t="n">
        <v>2933528.7</v>
      </c>
      <c r="E12" s="141" t="n">
        <v>3209528.94</v>
      </c>
      <c r="F12" s="141" t="n">
        <v>3471205.82</v>
      </c>
      <c r="G12" s="141" t="n">
        <v>4411909.08</v>
      </c>
      <c r="H12" s="141" t="n">
        <v>4713320.79</v>
      </c>
      <c r="I12" s="141" t="n">
        <v>4969335.52</v>
      </c>
      <c r="J12" s="141" t="n">
        <v>5167809.94</v>
      </c>
      <c r="K12" s="141" t="n">
        <v>5299239.86</v>
      </c>
      <c r="L12" s="141" t="n">
        <v>5357779.86</v>
      </c>
      <c r="M12" s="141" t="n">
        <v>5341883.63</v>
      </c>
      <c r="N12" s="141" t="n">
        <v>4998563.51</v>
      </c>
    </row>
    <row r="13" customFormat="false" ht="15" hidden="false" customHeight="true" outlineLevel="0" collapsed="false">
      <c r="A13" s="116" t="s">
        <v>52</v>
      </c>
      <c r="C13" s="141" t="n">
        <v>2978255.74</v>
      </c>
      <c r="D13" s="141" t="n">
        <v>3273033.25</v>
      </c>
      <c r="E13" s="141" t="n">
        <v>3564208.9</v>
      </c>
      <c r="F13" s="141" t="n">
        <v>3840388.18</v>
      </c>
      <c r="G13" s="141" t="n">
        <v>4935251.63</v>
      </c>
      <c r="H13" s="141" t="n">
        <v>5253338.92</v>
      </c>
      <c r="I13" s="141" t="n">
        <v>5523587.47</v>
      </c>
      <c r="J13" s="141" t="n">
        <v>5733174.03</v>
      </c>
      <c r="K13" s="141" t="n">
        <v>5872063.31</v>
      </c>
      <c r="L13" s="141" t="n">
        <v>5934084.24</v>
      </c>
      <c r="M13" s="141" t="n">
        <v>5917605.11</v>
      </c>
      <c r="N13" s="141" t="n">
        <v>5525402.67</v>
      </c>
    </row>
    <row r="14" customFormat="false" ht="15" hidden="false" customHeight="true" outlineLevel="0" collapsed="false">
      <c r="A14" s="118" t="s">
        <v>345</v>
      </c>
      <c r="C14" s="141" t="n">
        <v>-2653995.85</v>
      </c>
      <c r="D14" s="141" t="n">
        <v>-2933528.7</v>
      </c>
      <c r="E14" s="141" t="n">
        <v>-3209528.94</v>
      </c>
      <c r="F14" s="141" t="n">
        <v>-3471205.82</v>
      </c>
      <c r="G14" s="141" t="n">
        <v>-4411909.08</v>
      </c>
      <c r="H14" s="141" t="n">
        <v>-4713320.79</v>
      </c>
      <c r="I14" s="141" t="n">
        <v>-4969335.52</v>
      </c>
      <c r="J14" s="141" t="n">
        <v>-5167809.94</v>
      </c>
      <c r="K14" s="141" t="n">
        <v>-5299239.86</v>
      </c>
      <c r="L14" s="141" t="n">
        <v>-5357779.86</v>
      </c>
      <c r="M14" s="141" t="n">
        <v>-5341883.63</v>
      </c>
      <c r="N14" s="141" t="n">
        <v>-4998563.51</v>
      </c>
    </row>
    <row r="15" customFormat="false" ht="15" hidden="false" customHeight="true" outlineLevel="0" collapsed="false">
      <c r="A15" s="132" t="s">
        <v>397</v>
      </c>
      <c r="C15" s="141" t="n">
        <v>0</v>
      </c>
      <c r="D15" s="141" t="n">
        <v>0</v>
      </c>
      <c r="E15" s="141" t="n">
        <v>0</v>
      </c>
      <c r="F15" s="141" t="n">
        <v>0</v>
      </c>
      <c r="G15" s="141" t="n">
        <v>0</v>
      </c>
      <c r="H15" s="141" t="n">
        <v>0</v>
      </c>
      <c r="I15" s="141" t="n">
        <v>0</v>
      </c>
      <c r="J15" s="141" t="n">
        <v>0</v>
      </c>
      <c r="K15" s="141" t="n">
        <v>0</v>
      </c>
      <c r="L15" s="141" t="n">
        <v>0</v>
      </c>
      <c r="M15" s="141" t="n">
        <v>0</v>
      </c>
      <c r="N15" s="141" t="n">
        <v>0</v>
      </c>
    </row>
    <row r="16" customFormat="false" ht="15" hidden="false" customHeight="true" outlineLevel="0" collapsed="false">
      <c r="A16" s="132" t="s">
        <v>399</v>
      </c>
      <c r="C16" s="141" t="n">
        <v>0</v>
      </c>
      <c r="D16" s="141" t="n">
        <v>0</v>
      </c>
      <c r="E16" s="141" t="n">
        <v>0</v>
      </c>
      <c r="F16" s="141" t="n">
        <v>0</v>
      </c>
      <c r="G16" s="141" t="n">
        <v>0</v>
      </c>
      <c r="H16" s="141" t="n">
        <v>0</v>
      </c>
      <c r="I16" s="141" t="n">
        <v>0</v>
      </c>
      <c r="J16" s="141" t="n">
        <v>0</v>
      </c>
      <c r="K16" s="141" t="n">
        <v>0</v>
      </c>
      <c r="L16" s="141" t="n">
        <v>0</v>
      </c>
      <c r="M16" s="141" t="n">
        <v>0</v>
      </c>
      <c r="N16" s="141" t="n">
        <v>0</v>
      </c>
    </row>
    <row r="17" customFormat="false" ht="15" hidden="false" customHeight="true" outlineLevel="0" collapsed="false">
      <c r="A17" s="116" t="s">
        <v>61</v>
      </c>
      <c r="C17" s="141" t="n">
        <v>324259.89</v>
      </c>
      <c r="D17" s="141" t="n">
        <v>339504.55</v>
      </c>
      <c r="E17" s="141" t="n">
        <v>354679.96</v>
      </c>
      <c r="F17" s="141" t="n">
        <v>369182.36</v>
      </c>
      <c r="G17" s="141" t="n">
        <v>523342.55</v>
      </c>
      <c r="H17" s="141" t="n">
        <v>540018.13</v>
      </c>
      <c r="I17" s="141" t="n">
        <v>554251.95</v>
      </c>
      <c r="J17" s="141" t="n">
        <v>565364.09</v>
      </c>
      <c r="K17" s="141" t="n">
        <v>572823.45</v>
      </c>
      <c r="L17" s="141" t="n">
        <v>576304.38</v>
      </c>
      <c r="M17" s="141" t="n">
        <v>575721.48</v>
      </c>
      <c r="N17" s="141" t="n">
        <v>526839.16</v>
      </c>
    </row>
    <row r="18" customFormat="false" ht="15" hidden="false" customHeight="true" outlineLevel="0" collapsed="false">
      <c r="A18" s="140" t="s">
        <v>62</v>
      </c>
      <c r="C18" s="142" t="n">
        <v>0.11</v>
      </c>
      <c r="D18" s="142" t="n">
        <v>0.1</v>
      </c>
      <c r="E18" s="142" t="n">
        <v>0.1</v>
      </c>
      <c r="F18" s="142" t="n">
        <v>0.1</v>
      </c>
      <c r="G18" s="142" t="n">
        <v>0.11</v>
      </c>
      <c r="H18" s="142" t="n">
        <v>0.1</v>
      </c>
      <c r="I18" s="142" t="n">
        <v>0.1</v>
      </c>
      <c r="J18" s="142" t="n">
        <v>0.1</v>
      </c>
      <c r="K18" s="142" t="n">
        <v>0.1</v>
      </c>
      <c r="L18" s="142" t="n">
        <v>0.1</v>
      </c>
      <c r="M18" s="142" t="n">
        <v>0.1</v>
      </c>
      <c r="N18" s="142" t="n">
        <v>0.1</v>
      </c>
    </row>
    <row r="21" customFormat="false" ht="15" hidden="false" customHeight="true" outlineLevel="0" collapsed="false">
      <c r="A21" s="132" t="s">
        <v>64</v>
      </c>
      <c r="C21" s="141" t="n">
        <v>-176250.01</v>
      </c>
      <c r="D21" s="141" t="n">
        <v>-176250.01</v>
      </c>
      <c r="E21" s="141" t="n">
        <v>-176250.01</v>
      </c>
      <c r="F21" s="141" t="n">
        <v>-176250.01</v>
      </c>
      <c r="G21" s="141" t="n">
        <v>-176250.01</v>
      </c>
      <c r="H21" s="141" t="n">
        <v>-176250.01</v>
      </c>
      <c r="I21" s="141" t="n">
        <v>-176250.01</v>
      </c>
      <c r="J21" s="141" t="n">
        <v>-176250.01</v>
      </c>
      <c r="K21" s="141" t="n">
        <v>-176250.01</v>
      </c>
      <c r="L21" s="141" t="n">
        <v>-176250.01</v>
      </c>
      <c r="M21" s="141" t="n">
        <v>-176250.01</v>
      </c>
      <c r="N21" s="141" t="n">
        <v>-176250.01</v>
      </c>
    </row>
    <row r="22" customFormat="false" ht="15" hidden="false" customHeight="true" outlineLevel="0" collapsed="false">
      <c r="A22" s="132" t="s">
        <v>65</v>
      </c>
      <c r="C22" s="141" t="n">
        <v>-26437.5</v>
      </c>
      <c r="D22" s="141" t="n">
        <v>-26437.5</v>
      </c>
      <c r="E22" s="141" t="n">
        <v>-26437.5</v>
      </c>
      <c r="F22" s="141" t="n">
        <v>-26437.5</v>
      </c>
      <c r="G22" s="141" t="n">
        <v>-26437.5</v>
      </c>
      <c r="H22" s="141" t="n">
        <v>-26437.5</v>
      </c>
      <c r="I22" s="141" t="n">
        <v>-26437.5</v>
      </c>
      <c r="J22" s="141" t="n">
        <v>-26437.5</v>
      </c>
      <c r="K22" s="141" t="n">
        <v>-26437.5</v>
      </c>
      <c r="L22" s="141" t="n">
        <v>-26437.5</v>
      </c>
      <c r="M22" s="141" t="n">
        <v>-26437.5</v>
      </c>
      <c r="N22" s="141" t="n">
        <v>-26437.5</v>
      </c>
    </row>
    <row r="23" customFormat="false" ht="15" hidden="false" customHeight="true" outlineLevel="0" collapsed="false">
      <c r="A23" s="132" t="s">
        <v>66</v>
      </c>
      <c r="C23" s="141" t="n">
        <v>-58683.33</v>
      </c>
      <c r="D23" s="141" t="n">
        <v>-58683.33</v>
      </c>
      <c r="E23" s="141" t="n">
        <v>-58683.33</v>
      </c>
      <c r="F23" s="141" t="n">
        <v>-58683.33</v>
      </c>
      <c r="G23" s="141" t="n">
        <v>-58683.33</v>
      </c>
      <c r="H23" s="141" t="n">
        <v>-58683.33</v>
      </c>
      <c r="I23" s="141" t="n">
        <v>-58683.33</v>
      </c>
      <c r="J23" s="141" t="n">
        <v>-58683.33</v>
      </c>
      <c r="K23" s="141" t="n">
        <v>-58683.33</v>
      </c>
      <c r="L23" s="141" t="n">
        <v>-58683.33</v>
      </c>
      <c r="M23" s="141" t="n">
        <v>-58683.33</v>
      </c>
      <c r="N23" s="141" t="n">
        <v>-58683.33</v>
      </c>
    </row>
    <row r="24" customFormat="false" ht="15" hidden="false" customHeight="true" outlineLevel="0" collapsed="false">
      <c r="A24" s="132" t="s">
        <v>67</v>
      </c>
      <c r="C24" s="141" t="n">
        <v>-25071.7</v>
      </c>
      <c r="D24" s="141" t="n">
        <v>-25071.7</v>
      </c>
      <c r="E24" s="141" t="n">
        <v>-25071.7</v>
      </c>
      <c r="F24" s="141" t="n">
        <v>-25071.7</v>
      </c>
      <c r="G24" s="141" t="n">
        <v>-25071.7</v>
      </c>
      <c r="H24" s="141" t="n">
        <v>-25071.7</v>
      </c>
      <c r="I24" s="141" t="n">
        <v>-25071.7</v>
      </c>
      <c r="J24" s="141" t="n">
        <v>-25071.7</v>
      </c>
      <c r="K24" s="141" t="n">
        <v>-25071.7</v>
      </c>
      <c r="L24" s="141" t="n">
        <v>-25071.7</v>
      </c>
      <c r="M24" s="141" t="n">
        <v>-25071.7</v>
      </c>
      <c r="N24" s="141" t="n">
        <v>-25071.7</v>
      </c>
    </row>
    <row r="25" customFormat="false" ht="15" hidden="false" customHeight="true" outlineLevel="0" collapsed="false">
      <c r="A25" s="132" t="s">
        <v>68</v>
      </c>
      <c r="C25" s="141" t="n">
        <v>-1731.41</v>
      </c>
      <c r="D25" s="141" t="n">
        <v>-1731.41</v>
      </c>
      <c r="E25" s="141" t="n">
        <v>-1731.41</v>
      </c>
      <c r="F25" s="141" t="n">
        <v>-1731.41</v>
      </c>
      <c r="G25" s="141" t="n">
        <v>-1731.41</v>
      </c>
      <c r="H25" s="141" t="n">
        <v>-1731.41</v>
      </c>
      <c r="I25" s="141" t="n">
        <v>-1731.41</v>
      </c>
      <c r="J25" s="141" t="n">
        <v>-1731.41</v>
      </c>
      <c r="K25" s="141" t="n">
        <v>-1731.41</v>
      </c>
      <c r="L25" s="141" t="n">
        <v>-1731.41</v>
      </c>
      <c r="M25" s="141" t="n">
        <v>-1731.41</v>
      </c>
      <c r="N25" s="141" t="n">
        <v>-1731.41</v>
      </c>
    </row>
    <row r="26" customFormat="false" ht="15" hidden="false" customHeight="true" outlineLevel="0" collapsed="false">
      <c r="A26" s="132" t="s">
        <v>69</v>
      </c>
      <c r="C26" s="141" t="n">
        <v>-1008</v>
      </c>
      <c r="D26" s="141" t="n">
        <v>-1008</v>
      </c>
      <c r="E26" s="141" t="n">
        <v>-1008</v>
      </c>
      <c r="F26" s="141" t="n">
        <v>-1008</v>
      </c>
      <c r="G26" s="141" t="n">
        <v>-1008</v>
      </c>
      <c r="H26" s="141" t="n">
        <v>-1008</v>
      </c>
      <c r="I26" s="141" t="n">
        <v>-1008</v>
      </c>
      <c r="J26" s="141" t="n">
        <v>-1008</v>
      </c>
      <c r="K26" s="141" t="n">
        <v>-1008</v>
      </c>
      <c r="L26" s="141" t="n">
        <v>-1008</v>
      </c>
      <c r="M26" s="141" t="n">
        <v>-1008</v>
      </c>
      <c r="N26" s="141" t="n">
        <v>-1008</v>
      </c>
    </row>
    <row r="27" customFormat="false" ht="15" hidden="false" customHeight="true" outlineLevel="0" collapsed="false">
      <c r="A27" s="132" t="s">
        <v>70</v>
      </c>
      <c r="C27" s="141" t="n">
        <v>0</v>
      </c>
      <c r="D27" s="141" t="n">
        <v>0</v>
      </c>
      <c r="E27" s="141" t="n">
        <v>0</v>
      </c>
      <c r="F27" s="141" t="n">
        <v>0</v>
      </c>
      <c r="G27" s="141" t="n">
        <v>0</v>
      </c>
      <c r="H27" s="141" t="n">
        <v>0</v>
      </c>
      <c r="I27" s="141" t="n">
        <v>0</v>
      </c>
      <c r="J27" s="141" t="n">
        <v>0</v>
      </c>
      <c r="K27" s="141" t="n">
        <v>0</v>
      </c>
      <c r="L27" s="141" t="n">
        <v>0</v>
      </c>
      <c r="M27" s="141" t="n">
        <v>0</v>
      </c>
      <c r="N27" s="141" t="n">
        <v>0</v>
      </c>
    </row>
    <row r="28" customFormat="false" ht="15" hidden="false" customHeight="true" outlineLevel="0" collapsed="false">
      <c r="A28" s="132" t="s">
        <v>71</v>
      </c>
      <c r="C28" s="141" t="n">
        <v>0</v>
      </c>
      <c r="D28" s="141" t="n">
        <v>0</v>
      </c>
      <c r="E28" s="141" t="n">
        <v>0</v>
      </c>
      <c r="F28" s="141" t="n">
        <v>0</v>
      </c>
      <c r="G28" s="141" t="n">
        <v>0</v>
      </c>
      <c r="H28" s="141" t="n">
        <v>0</v>
      </c>
      <c r="I28" s="141" t="n">
        <v>0</v>
      </c>
      <c r="J28" s="141" t="n">
        <v>0</v>
      </c>
      <c r="K28" s="141" t="n">
        <v>0</v>
      </c>
      <c r="L28" s="141" t="n">
        <v>0</v>
      </c>
      <c r="M28" s="141" t="n">
        <v>0</v>
      </c>
      <c r="N28" s="141" t="n">
        <v>0</v>
      </c>
    </row>
    <row r="29" customFormat="false" ht="15" hidden="false" customHeight="true" outlineLevel="0" collapsed="false">
      <c r="A29" s="132" t="s">
        <v>72</v>
      </c>
      <c r="C29" s="141" t="n">
        <v>-10000</v>
      </c>
      <c r="D29" s="141" t="n">
        <v>-10000</v>
      </c>
      <c r="E29" s="141" t="n">
        <v>-10000</v>
      </c>
      <c r="F29" s="141" t="n">
        <v>-10000</v>
      </c>
      <c r="G29" s="141" t="n">
        <v>-10000</v>
      </c>
      <c r="H29" s="141" t="n">
        <v>-10000</v>
      </c>
      <c r="I29" s="141" t="n">
        <v>-10200</v>
      </c>
      <c r="J29" s="141" t="n">
        <v>-10200</v>
      </c>
      <c r="K29" s="141" t="n">
        <v>-10200</v>
      </c>
      <c r="L29" s="141" t="n">
        <v>-10200</v>
      </c>
      <c r="M29" s="141" t="n">
        <v>-10200</v>
      </c>
      <c r="N29" s="141" t="n">
        <v>-10200</v>
      </c>
    </row>
    <row r="30" customFormat="false" ht="15" hidden="false" customHeight="true" outlineLevel="0" collapsed="false">
      <c r="A30" s="132" t="s">
        <v>73</v>
      </c>
      <c r="C30" s="141" t="n">
        <v>-2800</v>
      </c>
      <c r="D30" s="141" t="n">
        <v>-2800</v>
      </c>
      <c r="E30" s="141" t="n">
        <v>-2800</v>
      </c>
      <c r="F30" s="141" t="n">
        <v>-2800</v>
      </c>
      <c r="G30" s="141" t="n">
        <v>-2800</v>
      </c>
      <c r="H30" s="141" t="n">
        <v>-2800</v>
      </c>
      <c r="I30" s="141" t="n">
        <v>-2856</v>
      </c>
      <c r="J30" s="141" t="n">
        <v>-2856</v>
      </c>
      <c r="K30" s="141" t="n">
        <v>-2856</v>
      </c>
      <c r="L30" s="141" t="n">
        <v>-2856</v>
      </c>
      <c r="M30" s="141" t="n">
        <v>-2856</v>
      </c>
      <c r="N30" s="141" t="n">
        <v>-2856</v>
      </c>
    </row>
    <row r="31" customFormat="false" ht="15" hidden="false" customHeight="true" outlineLevel="0" collapsed="false">
      <c r="A31" s="132" t="s">
        <v>74</v>
      </c>
      <c r="C31" s="141" t="n">
        <v>0</v>
      </c>
      <c r="D31" s="141" t="n">
        <v>0</v>
      </c>
      <c r="E31" s="141" t="n">
        <v>0</v>
      </c>
      <c r="F31" s="141" t="n">
        <v>0</v>
      </c>
      <c r="G31" s="141" t="n">
        <v>0</v>
      </c>
      <c r="H31" s="141" t="n">
        <v>0</v>
      </c>
      <c r="I31" s="141" t="n">
        <v>0</v>
      </c>
      <c r="J31" s="141" t="n">
        <v>0</v>
      </c>
      <c r="K31" s="141" t="n">
        <v>0</v>
      </c>
      <c r="L31" s="141" t="n">
        <v>0</v>
      </c>
      <c r="M31" s="141" t="n">
        <v>0</v>
      </c>
      <c r="N31" s="141" t="n">
        <v>0</v>
      </c>
    </row>
    <row r="32" customFormat="false" ht="15" hidden="false" customHeight="true" outlineLevel="0" collapsed="false">
      <c r="A32" s="140" t="s">
        <v>75</v>
      </c>
      <c r="C32" s="141" t="n">
        <v>-3300</v>
      </c>
      <c r="D32" s="141" t="n">
        <v>-3300</v>
      </c>
      <c r="E32" s="141" t="n">
        <v>-3300</v>
      </c>
      <c r="F32" s="141" t="n">
        <v>-3300</v>
      </c>
      <c r="G32" s="141" t="n">
        <v>-3300</v>
      </c>
      <c r="H32" s="141" t="n">
        <v>-3300</v>
      </c>
      <c r="I32" s="141" t="n">
        <v>-3366</v>
      </c>
      <c r="J32" s="141" t="n">
        <v>-3366</v>
      </c>
      <c r="K32" s="141" t="n">
        <v>-3366</v>
      </c>
      <c r="L32" s="141" t="n">
        <v>-3366</v>
      </c>
      <c r="M32" s="141" t="n">
        <v>-3366</v>
      </c>
      <c r="N32" s="141" t="n">
        <v>-3366</v>
      </c>
    </row>
    <row r="33" customFormat="false" ht="15" hidden="false" customHeight="true" outlineLevel="0" collapsed="false">
      <c r="A33" s="132" t="s">
        <v>76</v>
      </c>
      <c r="C33" s="141" t="n">
        <v>0</v>
      </c>
      <c r="D33" s="141" t="n">
        <v>0</v>
      </c>
      <c r="E33" s="141" t="n">
        <v>0</v>
      </c>
      <c r="F33" s="141" t="n">
        <v>0</v>
      </c>
      <c r="G33" s="141" t="n">
        <v>0</v>
      </c>
      <c r="H33" s="141" t="n">
        <v>0</v>
      </c>
      <c r="I33" s="141" t="n">
        <v>0</v>
      </c>
      <c r="J33" s="141" t="n">
        <v>0</v>
      </c>
      <c r="K33" s="141" t="n">
        <v>0</v>
      </c>
      <c r="L33" s="141" t="n">
        <v>0</v>
      </c>
      <c r="M33" s="141" t="n">
        <v>0</v>
      </c>
      <c r="N33" s="141" t="n">
        <v>0</v>
      </c>
    </row>
    <row r="34" customFormat="false" ht="15" hidden="false" customHeight="true" outlineLevel="0" collapsed="false">
      <c r="A34" s="132" t="s">
        <v>77</v>
      </c>
      <c r="C34" s="141" t="n">
        <v>-300</v>
      </c>
      <c r="D34" s="141" t="n">
        <v>-300</v>
      </c>
      <c r="E34" s="141" t="n">
        <v>-300</v>
      </c>
      <c r="F34" s="141" t="n">
        <v>-300</v>
      </c>
      <c r="G34" s="141" t="n">
        <v>-300</v>
      </c>
      <c r="H34" s="141" t="n">
        <v>-300</v>
      </c>
      <c r="I34" s="141" t="n">
        <v>-306</v>
      </c>
      <c r="J34" s="141" t="n">
        <v>-306</v>
      </c>
      <c r="K34" s="141" t="n">
        <v>-306</v>
      </c>
      <c r="L34" s="141" t="n">
        <v>-306</v>
      </c>
      <c r="M34" s="141" t="n">
        <v>-306</v>
      </c>
      <c r="N34" s="141" t="n">
        <v>-306</v>
      </c>
    </row>
    <row r="35" customFormat="false" ht="15" hidden="false" customHeight="true" outlineLevel="0" collapsed="false">
      <c r="A35" s="132" t="s">
        <v>78</v>
      </c>
      <c r="C35" s="141" t="n">
        <v>-1500</v>
      </c>
      <c r="D35" s="141" t="n">
        <v>-1500</v>
      </c>
      <c r="E35" s="141" t="n">
        <v>-1500</v>
      </c>
      <c r="F35" s="141" t="n">
        <v>-1500</v>
      </c>
      <c r="G35" s="141" t="n">
        <v>-1500</v>
      </c>
      <c r="H35" s="141" t="n">
        <v>-1500</v>
      </c>
      <c r="I35" s="141" t="n">
        <v>-1530</v>
      </c>
      <c r="J35" s="141" t="n">
        <v>-1530</v>
      </c>
      <c r="K35" s="141" t="n">
        <v>-1530</v>
      </c>
      <c r="L35" s="141" t="n">
        <v>-1530</v>
      </c>
      <c r="M35" s="141" t="n">
        <v>-1530</v>
      </c>
      <c r="N35" s="141" t="n">
        <v>-1530</v>
      </c>
    </row>
    <row r="36" customFormat="false" ht="15" hidden="false" customHeight="true" outlineLevel="0" collapsed="false">
      <c r="A36" s="132" t="s">
        <v>79</v>
      </c>
      <c r="C36" s="141" t="n">
        <v>-1000</v>
      </c>
      <c r="D36" s="141" t="n">
        <v>-1000</v>
      </c>
      <c r="E36" s="141" t="n">
        <v>-1000</v>
      </c>
      <c r="F36" s="141" t="n">
        <v>-1000</v>
      </c>
      <c r="G36" s="141" t="n">
        <v>-1000</v>
      </c>
      <c r="H36" s="141" t="n">
        <v>-1000</v>
      </c>
      <c r="I36" s="141" t="n">
        <v>-1020</v>
      </c>
      <c r="J36" s="141" t="n">
        <v>-1020</v>
      </c>
      <c r="K36" s="141" t="n">
        <v>-1020</v>
      </c>
      <c r="L36" s="141" t="n">
        <v>-1020</v>
      </c>
      <c r="M36" s="141" t="n">
        <v>-1020</v>
      </c>
      <c r="N36" s="141" t="n">
        <v>-1020</v>
      </c>
    </row>
    <row r="37" customFormat="false" ht="15" hidden="false" customHeight="true" outlineLevel="0" collapsed="false">
      <c r="A37" s="132" t="s">
        <v>80</v>
      </c>
      <c r="C37" s="141" t="n">
        <v>-1000</v>
      </c>
      <c r="D37" s="141" t="n">
        <v>-1000</v>
      </c>
      <c r="E37" s="141" t="n">
        <v>-1000</v>
      </c>
      <c r="F37" s="141" t="n">
        <v>-1000</v>
      </c>
      <c r="G37" s="141" t="n">
        <v>-1000</v>
      </c>
      <c r="H37" s="141" t="n">
        <v>-1000</v>
      </c>
      <c r="I37" s="141" t="n">
        <v>-1020</v>
      </c>
      <c r="J37" s="141" t="n">
        <v>-1020</v>
      </c>
      <c r="K37" s="141" t="n">
        <v>-1020</v>
      </c>
      <c r="L37" s="141" t="n">
        <v>-1020</v>
      </c>
      <c r="M37" s="141" t="n">
        <v>-1020</v>
      </c>
      <c r="N37" s="141" t="n">
        <v>-1020</v>
      </c>
    </row>
    <row r="38" customFormat="false" ht="15" hidden="false" customHeight="true" outlineLevel="0" collapsed="false">
      <c r="A38" s="132" t="s">
        <v>81</v>
      </c>
      <c r="C38" s="141" t="n">
        <v>0</v>
      </c>
      <c r="D38" s="141" t="n">
        <v>0</v>
      </c>
      <c r="E38" s="141" t="n">
        <v>0</v>
      </c>
      <c r="F38" s="141" t="n">
        <v>0</v>
      </c>
      <c r="G38" s="141" t="n">
        <v>0</v>
      </c>
      <c r="H38" s="141" t="n">
        <v>0</v>
      </c>
      <c r="I38" s="141" t="n">
        <v>0</v>
      </c>
      <c r="J38" s="141" t="n">
        <v>0</v>
      </c>
      <c r="K38" s="141" t="n">
        <v>0</v>
      </c>
      <c r="L38" s="141" t="n">
        <v>0</v>
      </c>
      <c r="M38" s="141" t="n">
        <v>0</v>
      </c>
      <c r="N38" s="141" t="n">
        <v>0</v>
      </c>
    </row>
    <row r="39" customFormat="false" ht="15" hidden="false" customHeight="true" outlineLevel="0" collapsed="false">
      <c r="A39" s="132" t="s">
        <v>82</v>
      </c>
      <c r="C39" s="141" t="n">
        <v>-1666.67</v>
      </c>
      <c r="D39" s="141" t="n">
        <v>-1666.67</v>
      </c>
      <c r="E39" s="141" t="n">
        <v>-1666.67</v>
      </c>
      <c r="F39" s="141" t="n">
        <v>-1666.67</v>
      </c>
      <c r="G39" s="141" t="n">
        <v>-1666.67</v>
      </c>
      <c r="H39" s="141" t="n">
        <v>-1666.67</v>
      </c>
      <c r="I39" s="141" t="n">
        <v>-1700</v>
      </c>
      <c r="J39" s="141" t="n">
        <v>-1700</v>
      </c>
      <c r="K39" s="141" t="n">
        <v>-1700</v>
      </c>
      <c r="L39" s="141" t="n">
        <v>-1700</v>
      </c>
      <c r="M39" s="141" t="n">
        <v>-1700</v>
      </c>
      <c r="N39" s="141" t="n">
        <v>-1700</v>
      </c>
    </row>
    <row r="40" customFormat="false" ht="15" hidden="false" customHeight="true" outlineLevel="0" collapsed="false">
      <c r="A40" s="132" t="s">
        <v>83</v>
      </c>
      <c r="C40" s="141" t="n">
        <v>-1000</v>
      </c>
      <c r="D40" s="141" t="n">
        <v>-1000</v>
      </c>
      <c r="E40" s="141" t="n">
        <v>-1000</v>
      </c>
      <c r="F40" s="141" t="n">
        <v>-1000</v>
      </c>
      <c r="G40" s="141" t="n">
        <v>-1000</v>
      </c>
      <c r="H40" s="141" t="n">
        <v>-1000</v>
      </c>
      <c r="I40" s="141" t="n">
        <v>-1020</v>
      </c>
      <c r="J40" s="141" t="n">
        <v>-1020</v>
      </c>
      <c r="K40" s="141" t="n">
        <v>-1020</v>
      </c>
      <c r="L40" s="141" t="n">
        <v>-1020</v>
      </c>
      <c r="M40" s="141" t="n">
        <v>-1020</v>
      </c>
      <c r="N40" s="141" t="n">
        <v>-1020</v>
      </c>
    </row>
    <row r="41" customFormat="false" ht="15" hidden="false" customHeight="true" outlineLevel="0" collapsed="false">
      <c r="A41" s="132" t="s">
        <v>84</v>
      </c>
      <c r="C41" s="141" t="n">
        <v>0</v>
      </c>
      <c r="D41" s="141" t="n">
        <v>0</v>
      </c>
      <c r="E41" s="141" t="n">
        <v>0</v>
      </c>
      <c r="F41" s="141" t="n">
        <v>0</v>
      </c>
      <c r="G41" s="141" t="n">
        <v>0</v>
      </c>
      <c r="H41" s="141" t="n">
        <v>0</v>
      </c>
      <c r="I41" s="141" t="n">
        <v>0</v>
      </c>
      <c r="J41" s="141" t="n">
        <v>0</v>
      </c>
      <c r="K41" s="141" t="n">
        <v>0</v>
      </c>
      <c r="L41" s="141" t="n">
        <v>0</v>
      </c>
      <c r="M41" s="141" t="n">
        <v>0</v>
      </c>
      <c r="N41" s="141" t="n">
        <v>0</v>
      </c>
    </row>
    <row r="42" customFormat="false" ht="15" hidden="false" customHeight="true" outlineLevel="0" collapsed="false">
      <c r="A42" s="132" t="s">
        <v>85</v>
      </c>
      <c r="C42" s="141" t="n">
        <v>0</v>
      </c>
      <c r="D42" s="141" t="n">
        <v>0</v>
      </c>
      <c r="E42" s="141" t="n">
        <v>0</v>
      </c>
      <c r="F42" s="141" t="n">
        <v>0</v>
      </c>
      <c r="G42" s="141" t="n">
        <v>0</v>
      </c>
      <c r="H42" s="141" t="n">
        <v>0</v>
      </c>
      <c r="I42" s="141" t="n">
        <v>0</v>
      </c>
      <c r="J42" s="141" t="n">
        <v>0</v>
      </c>
      <c r="K42" s="141" t="n">
        <v>0</v>
      </c>
      <c r="L42" s="141" t="n">
        <v>0</v>
      </c>
      <c r="M42" s="141" t="n">
        <v>0</v>
      </c>
      <c r="N42" s="141" t="n">
        <v>0</v>
      </c>
    </row>
    <row r="43" customFormat="false" ht="15" hidden="false" customHeight="true" outlineLevel="0" collapsed="false">
      <c r="A43" s="132" t="s">
        <v>86</v>
      </c>
      <c r="C43" s="141" t="n">
        <v>0</v>
      </c>
      <c r="D43" s="141" t="n">
        <v>0</v>
      </c>
      <c r="E43" s="141" t="n">
        <v>0</v>
      </c>
      <c r="F43" s="141" t="n">
        <v>0</v>
      </c>
      <c r="G43" s="141" t="n">
        <v>0</v>
      </c>
      <c r="H43" s="141" t="n">
        <v>0</v>
      </c>
      <c r="I43" s="141" t="n">
        <v>0</v>
      </c>
      <c r="J43" s="141" t="n">
        <v>0</v>
      </c>
      <c r="K43" s="141" t="n">
        <v>0</v>
      </c>
      <c r="L43" s="141" t="n">
        <v>0</v>
      </c>
      <c r="M43" s="141" t="n">
        <v>0</v>
      </c>
      <c r="N43" s="141" t="n">
        <v>0</v>
      </c>
    </row>
    <row r="44" customFormat="false" ht="15" hidden="false" customHeight="true" outlineLevel="0" collapsed="false">
      <c r="A44" s="132" t="s">
        <v>87</v>
      </c>
      <c r="C44" s="141" t="n">
        <v>0</v>
      </c>
      <c r="D44" s="141" t="n">
        <v>0</v>
      </c>
      <c r="E44" s="141" t="n">
        <v>0</v>
      </c>
      <c r="F44" s="141" t="n">
        <v>0</v>
      </c>
      <c r="G44" s="141" t="n">
        <v>0</v>
      </c>
      <c r="H44" s="141" t="n">
        <v>0</v>
      </c>
      <c r="I44" s="141" t="n">
        <v>0</v>
      </c>
      <c r="J44" s="141" t="n">
        <v>0</v>
      </c>
      <c r="K44" s="141" t="n">
        <v>0</v>
      </c>
      <c r="L44" s="141" t="n">
        <v>0</v>
      </c>
      <c r="M44" s="141" t="n">
        <v>0</v>
      </c>
      <c r="N44" s="141" t="n">
        <v>0</v>
      </c>
    </row>
    <row r="45" customFormat="false" ht="15" hidden="false" customHeight="true" outlineLevel="0" collapsed="false">
      <c r="A45" s="140" t="s">
        <v>88</v>
      </c>
      <c r="C45" s="141" t="n">
        <v>-4166.67</v>
      </c>
      <c r="D45" s="141" t="n">
        <v>-4166.67</v>
      </c>
      <c r="E45" s="141" t="n">
        <v>-4166.67</v>
      </c>
      <c r="F45" s="141" t="n">
        <v>-4166.67</v>
      </c>
      <c r="G45" s="141" t="n">
        <v>-4166.67</v>
      </c>
      <c r="H45" s="141" t="n">
        <v>-4166.67</v>
      </c>
      <c r="I45" s="141" t="n">
        <v>-4250</v>
      </c>
      <c r="J45" s="141" t="n">
        <v>-4250</v>
      </c>
      <c r="K45" s="141" t="n">
        <v>-4250</v>
      </c>
      <c r="L45" s="141" t="n">
        <v>-4250</v>
      </c>
      <c r="M45" s="141" t="n">
        <v>-4250</v>
      </c>
      <c r="N45" s="141" t="n">
        <v>-4250</v>
      </c>
    </row>
    <row r="46" customFormat="false" ht="15" hidden="false" customHeight="true" outlineLevel="0" collapsed="false">
      <c r="A46" s="140" t="s">
        <v>89</v>
      </c>
      <c r="C46" s="141" t="n">
        <v>-1000</v>
      </c>
      <c r="D46" s="141" t="n">
        <v>-1000</v>
      </c>
      <c r="E46" s="141" t="n">
        <v>-1000</v>
      </c>
      <c r="F46" s="141" t="n">
        <v>-1000</v>
      </c>
      <c r="G46" s="141" t="n">
        <v>-1000</v>
      </c>
      <c r="H46" s="141" t="n">
        <v>-1000</v>
      </c>
      <c r="I46" s="141" t="n">
        <v>-1020</v>
      </c>
      <c r="J46" s="141" t="n">
        <v>-1020</v>
      </c>
      <c r="K46" s="141" t="n">
        <v>-1020</v>
      </c>
      <c r="L46" s="141" t="n">
        <v>-1020</v>
      </c>
      <c r="M46" s="141" t="n">
        <v>-1020</v>
      </c>
      <c r="N46" s="141" t="n">
        <v>-1020</v>
      </c>
    </row>
    <row r="47" customFormat="false" ht="15" hidden="false" customHeight="true" outlineLevel="0" collapsed="false">
      <c r="A47" s="140" t="s">
        <v>90</v>
      </c>
      <c r="C47" s="141" t="n">
        <v>0</v>
      </c>
      <c r="D47" s="141" t="n">
        <v>0</v>
      </c>
      <c r="E47" s="141" t="n">
        <v>0</v>
      </c>
      <c r="F47" s="141" t="n">
        <v>0</v>
      </c>
      <c r="G47" s="141" t="n">
        <v>0</v>
      </c>
      <c r="H47" s="141" t="n">
        <v>0</v>
      </c>
      <c r="I47" s="141" t="n">
        <v>0</v>
      </c>
      <c r="J47" s="141" t="n">
        <v>0</v>
      </c>
      <c r="K47" s="141" t="n">
        <v>0</v>
      </c>
      <c r="L47" s="141" t="n">
        <v>0</v>
      </c>
      <c r="M47" s="141" t="n">
        <v>0</v>
      </c>
      <c r="N47" s="141" t="n">
        <v>0</v>
      </c>
    </row>
    <row r="48" customFormat="false" ht="15" hidden="false" customHeight="true" outlineLevel="0" collapsed="false">
      <c r="A48" s="140" t="s">
        <v>91</v>
      </c>
      <c r="C48" s="141" t="n">
        <v>-4166.67</v>
      </c>
      <c r="D48" s="141" t="n">
        <v>-4166.67</v>
      </c>
      <c r="E48" s="141" t="n">
        <v>-4166.67</v>
      </c>
      <c r="F48" s="141" t="n">
        <v>-4166.67</v>
      </c>
      <c r="G48" s="141" t="n">
        <v>-4166.67</v>
      </c>
      <c r="H48" s="141" t="n">
        <v>-4166.67</v>
      </c>
      <c r="I48" s="141" t="n">
        <v>-4250</v>
      </c>
      <c r="J48" s="141" t="n">
        <v>-4250</v>
      </c>
      <c r="K48" s="141" t="n">
        <v>-4250</v>
      </c>
      <c r="L48" s="141" t="n">
        <v>-4250</v>
      </c>
      <c r="M48" s="141" t="n">
        <v>-4250</v>
      </c>
      <c r="N48" s="141" t="n">
        <v>-4250</v>
      </c>
    </row>
    <row r="49" customFormat="false" ht="15" hidden="false" customHeight="true" outlineLevel="0" collapsed="false">
      <c r="A49" s="140" t="s">
        <v>92</v>
      </c>
      <c r="C49" s="141" t="n">
        <v>0</v>
      </c>
      <c r="D49" s="141" t="n">
        <v>0</v>
      </c>
      <c r="E49" s="141" t="n">
        <v>0</v>
      </c>
      <c r="F49" s="141" t="n">
        <v>0</v>
      </c>
      <c r="G49" s="141" t="n">
        <v>0</v>
      </c>
      <c r="H49" s="141" t="n">
        <v>0</v>
      </c>
      <c r="I49" s="141" t="n">
        <v>0</v>
      </c>
      <c r="J49" s="141" t="n">
        <v>0</v>
      </c>
      <c r="K49" s="141" t="n">
        <v>0</v>
      </c>
      <c r="L49" s="141" t="n">
        <v>0</v>
      </c>
      <c r="M49" s="141" t="n">
        <v>0</v>
      </c>
      <c r="N49" s="141" t="n">
        <v>0</v>
      </c>
    </row>
    <row r="50" customFormat="false" ht="15" hidden="false" customHeight="true" outlineLevel="0" collapsed="false">
      <c r="A50" s="140" t="s">
        <v>93</v>
      </c>
      <c r="C50" s="141" t="n">
        <v>-166.67</v>
      </c>
      <c r="D50" s="141" t="n">
        <v>-166.67</v>
      </c>
      <c r="E50" s="141" t="n">
        <v>-166.67</v>
      </c>
      <c r="F50" s="141" t="n">
        <v>-166.67</v>
      </c>
      <c r="G50" s="141" t="n">
        <v>-166.67</v>
      </c>
      <c r="H50" s="141" t="n">
        <v>-166.67</v>
      </c>
      <c r="I50" s="141" t="n">
        <v>-170</v>
      </c>
      <c r="J50" s="141" t="n">
        <v>-170</v>
      </c>
      <c r="K50" s="141" t="n">
        <v>-170</v>
      </c>
      <c r="L50" s="141" t="n">
        <v>-170</v>
      </c>
      <c r="M50" s="141" t="n">
        <v>-170</v>
      </c>
      <c r="N50" s="141" t="n">
        <v>-170</v>
      </c>
    </row>
    <row r="51" customFormat="false" ht="15" hidden="false" customHeight="true" outlineLevel="0" collapsed="false">
      <c r="A51" s="140" t="s">
        <v>94</v>
      </c>
      <c r="C51" s="141" t="n">
        <v>0</v>
      </c>
      <c r="D51" s="141" t="n">
        <v>0</v>
      </c>
      <c r="E51" s="141" t="n">
        <v>0</v>
      </c>
      <c r="F51" s="141" t="n">
        <v>0</v>
      </c>
      <c r="G51" s="141" t="n">
        <v>0</v>
      </c>
      <c r="H51" s="141" t="n">
        <v>0</v>
      </c>
      <c r="I51" s="141" t="n">
        <v>0</v>
      </c>
      <c r="J51" s="141" t="n">
        <v>0</v>
      </c>
      <c r="K51" s="141" t="n">
        <v>0</v>
      </c>
      <c r="L51" s="141" t="n">
        <v>0</v>
      </c>
      <c r="M51" s="141" t="n">
        <v>0</v>
      </c>
      <c r="N51" s="141" t="n">
        <v>0</v>
      </c>
    </row>
    <row r="52" customFormat="false" ht="15" hidden="false" customHeight="true" outlineLevel="0" collapsed="false">
      <c r="A52" s="118" t="s">
        <v>95</v>
      </c>
      <c r="C52" s="141" t="n">
        <v>0</v>
      </c>
      <c r="D52" s="141" t="n">
        <v>0</v>
      </c>
      <c r="E52" s="141" t="n">
        <v>0</v>
      </c>
      <c r="F52" s="141" t="n">
        <v>0</v>
      </c>
      <c r="G52" s="141" t="n">
        <v>0</v>
      </c>
      <c r="H52" s="141" t="n">
        <v>0</v>
      </c>
      <c r="I52" s="141" t="n">
        <v>0</v>
      </c>
      <c r="J52" s="141" t="n">
        <v>0</v>
      </c>
      <c r="K52" s="141" t="n">
        <v>0</v>
      </c>
      <c r="L52" s="141" t="n">
        <v>0</v>
      </c>
      <c r="M52" s="141" t="n">
        <v>0</v>
      </c>
      <c r="N52" s="141" t="n">
        <v>0</v>
      </c>
    </row>
    <row r="53" customFormat="false" ht="15" hidden="false" customHeight="true" outlineLevel="0" collapsed="false">
      <c r="A53" s="143" t="s">
        <v>96</v>
      </c>
      <c r="C53" s="141" t="n">
        <v>-416.67</v>
      </c>
      <c r="D53" s="141" t="n">
        <v>-416.67</v>
      </c>
      <c r="E53" s="141" t="n">
        <v>-416.67</v>
      </c>
      <c r="F53" s="141" t="n">
        <v>-416.67</v>
      </c>
      <c r="G53" s="141" t="n">
        <v>-416.67</v>
      </c>
      <c r="H53" s="141" t="n">
        <v>-416.67</v>
      </c>
      <c r="I53" s="141" t="n">
        <v>-425</v>
      </c>
      <c r="J53" s="141" t="n">
        <v>-425</v>
      </c>
      <c r="K53" s="141" t="n">
        <v>-425</v>
      </c>
      <c r="L53" s="141" t="n">
        <v>-425</v>
      </c>
      <c r="M53" s="141" t="n">
        <v>-425</v>
      </c>
      <c r="N53" s="141" t="n">
        <v>-425</v>
      </c>
    </row>
    <row r="54" customFormat="false" ht="15" hidden="false" customHeight="true" outlineLevel="0" collapsed="false">
      <c r="A54" s="143" t="s">
        <v>500</v>
      </c>
      <c r="C54" s="141" t="n">
        <v>0</v>
      </c>
      <c r="D54" s="141" t="n">
        <v>0</v>
      </c>
      <c r="E54" s="141" t="n">
        <v>0</v>
      </c>
      <c r="F54" s="141" t="n">
        <v>0</v>
      </c>
      <c r="G54" s="141" t="n">
        <v>0</v>
      </c>
      <c r="H54" s="141" t="n">
        <v>0</v>
      </c>
      <c r="I54" s="141" t="n">
        <v>0</v>
      </c>
      <c r="J54" s="141" t="n">
        <v>0</v>
      </c>
      <c r="K54" s="141" t="n">
        <v>0</v>
      </c>
      <c r="L54" s="141" t="n">
        <v>0</v>
      </c>
      <c r="M54" s="141" t="n">
        <v>0</v>
      </c>
      <c r="N54" s="141" t="n">
        <v>0</v>
      </c>
    </row>
    <row r="55" customFormat="false" ht="15" hidden="false" customHeight="true" outlineLevel="0" collapsed="false">
      <c r="A55" s="116" t="s">
        <v>97</v>
      </c>
      <c r="C55" s="141" t="n">
        <v>-321665.3</v>
      </c>
      <c r="D55" s="141" t="n">
        <v>-321665.3</v>
      </c>
      <c r="E55" s="141" t="n">
        <v>-321665.3</v>
      </c>
      <c r="F55" s="141" t="n">
        <v>-321665.3</v>
      </c>
      <c r="G55" s="141" t="n">
        <v>-321665.3</v>
      </c>
      <c r="H55" s="141" t="n">
        <v>-321665.3</v>
      </c>
      <c r="I55" s="141" t="n">
        <v>-322314.95</v>
      </c>
      <c r="J55" s="141" t="n">
        <v>-322314.95</v>
      </c>
      <c r="K55" s="141" t="n">
        <v>-322314.95</v>
      </c>
      <c r="L55" s="141" t="n">
        <v>-322314.95</v>
      </c>
      <c r="M55" s="141" t="n">
        <v>-322314.95</v>
      </c>
      <c r="N55" s="141" t="n">
        <v>-322314.95</v>
      </c>
    </row>
    <row r="57" customFormat="false" ht="15" hidden="false" customHeight="true" outlineLevel="0" collapsed="false">
      <c r="A57" s="118" t="s">
        <v>98</v>
      </c>
      <c r="C57" s="141" t="n">
        <v>2594.59</v>
      </c>
      <c r="D57" s="141" t="n">
        <v>17839.25</v>
      </c>
      <c r="E57" s="141" t="n">
        <v>33014.66</v>
      </c>
      <c r="F57" s="141" t="n">
        <v>47517.06</v>
      </c>
      <c r="G57" s="141" t="n">
        <v>201677.25</v>
      </c>
      <c r="H57" s="141" t="n">
        <v>218352.83</v>
      </c>
      <c r="I57" s="141" t="n">
        <v>231937</v>
      </c>
      <c r="J57" s="141" t="n">
        <v>243049.14</v>
      </c>
      <c r="K57" s="141" t="n">
        <v>250508.5</v>
      </c>
      <c r="L57" s="141" t="n">
        <v>253989.43</v>
      </c>
      <c r="M57" s="141" t="n">
        <v>253406.53</v>
      </c>
      <c r="N57" s="141" t="n">
        <v>204524.21</v>
      </c>
    </row>
    <row r="58" customFormat="false" ht="15" hidden="false" customHeight="true" outlineLevel="0" collapsed="false">
      <c r="A58" s="140" t="s">
        <v>99</v>
      </c>
      <c r="C58" s="142" t="n">
        <v>0</v>
      </c>
      <c r="D58" s="142" t="n">
        <v>0.01</v>
      </c>
      <c r="E58" s="142" t="n">
        <v>0.01</v>
      </c>
      <c r="F58" s="142" t="n">
        <v>0.01</v>
      </c>
      <c r="G58" s="142" t="n">
        <v>0.04</v>
      </c>
      <c r="H58" s="142" t="n">
        <v>0.04</v>
      </c>
      <c r="I58" s="142" t="n">
        <v>0.04</v>
      </c>
      <c r="J58" s="142" t="n">
        <v>0.04</v>
      </c>
      <c r="K58" s="142" t="n">
        <v>0.04</v>
      </c>
      <c r="L58" s="142" t="n">
        <v>0.04</v>
      </c>
      <c r="M58" s="142" t="n">
        <v>0.04</v>
      </c>
      <c r="N58" s="142" t="n">
        <v>0.04</v>
      </c>
    </row>
    <row r="63" customFormat="false" ht="15" hidden="false" customHeight="true" outlineLevel="0" collapsed="false">
      <c r="A63" s="132" t="s">
        <v>118</v>
      </c>
      <c r="C63" s="141" t="n">
        <v>0</v>
      </c>
      <c r="D63" s="141" t="n">
        <v>0</v>
      </c>
      <c r="E63" s="141" t="n">
        <v>0</v>
      </c>
      <c r="F63" s="141" t="n">
        <v>0</v>
      </c>
      <c r="G63" s="141" t="n">
        <v>0</v>
      </c>
      <c r="H63" s="141" t="n">
        <v>0</v>
      </c>
      <c r="I63" s="141" t="n">
        <v>0</v>
      </c>
      <c r="J63" s="141" t="n">
        <v>0</v>
      </c>
      <c r="K63" s="141" t="n">
        <v>0</v>
      </c>
      <c r="L63" s="141" t="n">
        <v>0</v>
      </c>
      <c r="M63" s="141" t="n">
        <v>0</v>
      </c>
      <c r="N63" s="141" t="n">
        <v>0</v>
      </c>
    </row>
    <row r="64" customFormat="false" ht="15" hidden="false" customHeight="true" outlineLevel="0" collapsed="false">
      <c r="A64" s="132" t="s">
        <v>101</v>
      </c>
      <c r="C64" s="141" t="n">
        <v>833.33</v>
      </c>
      <c r="D64" s="141" t="n">
        <v>833.33</v>
      </c>
      <c r="E64" s="141" t="n">
        <v>833.33</v>
      </c>
      <c r="F64" s="141" t="n">
        <v>833.33</v>
      </c>
      <c r="G64" s="141" t="n">
        <v>833.33</v>
      </c>
      <c r="H64" s="141" t="n">
        <v>833.33</v>
      </c>
      <c r="I64" s="141" t="n">
        <v>833.33</v>
      </c>
      <c r="J64" s="141" t="n">
        <v>833.33</v>
      </c>
      <c r="K64" s="141" t="n">
        <v>833.33</v>
      </c>
      <c r="L64" s="141" t="n">
        <v>833.33</v>
      </c>
      <c r="M64" s="141" t="n">
        <v>833.33</v>
      </c>
      <c r="N64" s="141" t="n">
        <v>833.33</v>
      </c>
    </row>
    <row r="65" customFormat="false" ht="15" hidden="false" customHeight="true" outlineLevel="0" collapsed="false">
      <c r="A65" s="132" t="s">
        <v>102</v>
      </c>
      <c r="C65" s="141" t="n">
        <v>36538.46</v>
      </c>
      <c r="D65" s="141" t="n">
        <v>36538.46</v>
      </c>
      <c r="E65" s="141" t="n">
        <v>36538.46</v>
      </c>
      <c r="F65" s="141" t="n">
        <v>36538.46</v>
      </c>
      <c r="G65" s="141" t="n">
        <v>36538.46</v>
      </c>
      <c r="H65" s="141" t="n">
        <v>36538.46</v>
      </c>
      <c r="I65" s="141" t="n">
        <v>36538.46</v>
      </c>
      <c r="J65" s="141" t="n">
        <v>36538.46</v>
      </c>
      <c r="K65" s="141" t="n">
        <v>36538.46</v>
      </c>
      <c r="L65" s="141" t="n">
        <v>36538.46</v>
      </c>
      <c r="M65" s="141" t="n">
        <v>36538.46</v>
      </c>
      <c r="N65" s="141" t="n">
        <v>36538.46</v>
      </c>
    </row>
    <row r="66" customFormat="false" ht="15" hidden="false" customHeight="true" outlineLevel="0" collapsed="false">
      <c r="A66" s="132" t="s">
        <v>103</v>
      </c>
      <c r="C66" s="141" t="n">
        <v>0</v>
      </c>
      <c r="D66" s="141" t="n">
        <v>0</v>
      </c>
      <c r="E66" s="141" t="n">
        <v>0</v>
      </c>
      <c r="F66" s="141" t="n">
        <v>0</v>
      </c>
      <c r="G66" s="141" t="n">
        <v>0</v>
      </c>
      <c r="H66" s="141" t="n">
        <v>0</v>
      </c>
      <c r="I66" s="141" t="n">
        <v>0</v>
      </c>
      <c r="J66" s="141" t="n">
        <v>0</v>
      </c>
      <c r="K66" s="141" t="n">
        <v>0</v>
      </c>
      <c r="L66" s="141" t="n">
        <v>0</v>
      </c>
      <c r="M66" s="141" t="n">
        <v>0</v>
      </c>
      <c r="N66" s="141" t="n">
        <v>0</v>
      </c>
    </row>
    <row r="67" customFormat="false" ht="15" hidden="false" customHeight="true" outlineLevel="0" collapsed="false">
      <c r="A67" s="132" t="s">
        <v>104</v>
      </c>
      <c r="C67" s="141" t="n">
        <v>0</v>
      </c>
      <c r="D67" s="141" t="n">
        <v>0</v>
      </c>
      <c r="E67" s="141" t="n">
        <v>0</v>
      </c>
      <c r="F67" s="141" t="n">
        <v>0</v>
      </c>
      <c r="G67" s="141" t="n">
        <v>0</v>
      </c>
      <c r="H67" s="141" t="n">
        <v>0</v>
      </c>
      <c r="I67" s="141" t="n">
        <v>0</v>
      </c>
      <c r="J67" s="141" t="n">
        <v>0</v>
      </c>
      <c r="K67" s="141" t="n">
        <v>0</v>
      </c>
      <c r="L67" s="141" t="n">
        <v>0</v>
      </c>
      <c r="M67" s="141" t="n">
        <v>0</v>
      </c>
      <c r="N67" s="141" t="n">
        <v>0</v>
      </c>
    </row>
    <row r="68" customFormat="false" ht="15" hidden="false" customHeight="true" outlineLevel="0" collapsed="false">
      <c r="A68" s="132" t="s">
        <v>105</v>
      </c>
      <c r="C68" s="141" t="n">
        <v>0</v>
      </c>
      <c r="D68" s="141" t="n">
        <v>0</v>
      </c>
      <c r="E68" s="141" t="n">
        <v>0</v>
      </c>
      <c r="F68" s="141" t="n">
        <v>0</v>
      </c>
      <c r="G68" s="141" t="n">
        <v>0</v>
      </c>
      <c r="H68" s="141" t="n">
        <v>0</v>
      </c>
      <c r="I68" s="141" t="n">
        <v>0</v>
      </c>
      <c r="J68" s="141" t="n">
        <v>0</v>
      </c>
      <c r="K68" s="141" t="n">
        <v>0</v>
      </c>
      <c r="L68" s="141" t="n">
        <v>0</v>
      </c>
      <c r="M68" s="141" t="n">
        <v>0</v>
      </c>
      <c r="N68" s="141" t="n">
        <v>0</v>
      </c>
    </row>
    <row r="69" customFormat="false" ht="15" hidden="false" customHeight="true" outlineLevel="0" collapsed="false">
      <c r="A69" s="132" t="s">
        <v>106</v>
      </c>
      <c r="C69" s="141" t="n">
        <v>10227.27</v>
      </c>
      <c r="D69" s="141" t="n">
        <v>10227.27</v>
      </c>
      <c r="E69" s="141" t="n">
        <v>10227.27</v>
      </c>
      <c r="F69" s="141" t="n">
        <v>10227.27</v>
      </c>
      <c r="G69" s="141" t="n">
        <v>10227.27</v>
      </c>
      <c r="H69" s="141" t="n">
        <v>10227.27</v>
      </c>
      <c r="I69" s="141" t="n">
        <v>10227.27</v>
      </c>
      <c r="J69" s="141" t="n">
        <v>10227.27</v>
      </c>
      <c r="K69" s="141" t="n">
        <v>10227.27</v>
      </c>
      <c r="L69" s="141" t="n">
        <v>0</v>
      </c>
      <c r="M69" s="141" t="n">
        <v>0</v>
      </c>
      <c r="N69" s="141" t="n">
        <v>0</v>
      </c>
    </row>
    <row r="70" customFormat="false" ht="15" hidden="false" customHeight="true" outlineLevel="0" collapsed="false">
      <c r="A70" s="132" t="s">
        <v>107</v>
      </c>
      <c r="C70" s="141" t="n">
        <v>0</v>
      </c>
      <c r="D70" s="141" t="n">
        <v>0</v>
      </c>
      <c r="E70" s="141" t="n">
        <v>0</v>
      </c>
      <c r="F70" s="141" t="n">
        <v>11875</v>
      </c>
      <c r="G70" s="141" t="n">
        <v>11875</v>
      </c>
      <c r="H70" s="141" t="n">
        <v>11875</v>
      </c>
      <c r="I70" s="141" t="n">
        <v>11875</v>
      </c>
      <c r="J70" s="141" t="n">
        <v>11875</v>
      </c>
      <c r="K70" s="141" t="n">
        <v>11875</v>
      </c>
      <c r="L70" s="141" t="n">
        <v>11875</v>
      </c>
      <c r="M70" s="141" t="n">
        <v>11875</v>
      </c>
      <c r="N70" s="141" t="n">
        <v>11875</v>
      </c>
    </row>
    <row r="71" customFormat="false" ht="15" hidden="false" customHeight="true" outlineLevel="0" collapsed="false">
      <c r="A71" s="132" t="s">
        <v>108</v>
      </c>
      <c r="C71" s="141" t="n">
        <v>0</v>
      </c>
      <c r="D71" s="141" t="n">
        <v>0</v>
      </c>
      <c r="E71" s="141" t="n">
        <v>0</v>
      </c>
      <c r="F71" s="141" t="n">
        <v>0</v>
      </c>
      <c r="G71" s="141" t="n">
        <v>0</v>
      </c>
      <c r="H71" s="141" t="n">
        <v>0</v>
      </c>
      <c r="I71" s="141" t="n">
        <v>0</v>
      </c>
      <c r="J71" s="141" t="n">
        <v>0</v>
      </c>
      <c r="K71" s="141" t="n">
        <v>0</v>
      </c>
      <c r="L71" s="141" t="n">
        <v>0</v>
      </c>
      <c r="M71" s="141" t="n">
        <v>0</v>
      </c>
      <c r="N71" s="141" t="n">
        <v>0</v>
      </c>
    </row>
    <row r="72" customFormat="false" ht="15" hidden="false" customHeight="true" outlineLevel="0" collapsed="false">
      <c r="A72" s="132" t="s">
        <v>109</v>
      </c>
      <c r="C72" s="141" t="n">
        <v>0</v>
      </c>
      <c r="D72" s="141" t="n">
        <v>0</v>
      </c>
      <c r="E72" s="141" t="n">
        <v>0</v>
      </c>
      <c r="F72" s="141" t="n">
        <v>0</v>
      </c>
      <c r="G72" s="141" t="n">
        <v>0</v>
      </c>
      <c r="H72" s="141" t="n">
        <v>0</v>
      </c>
      <c r="I72" s="141" t="n">
        <v>0</v>
      </c>
      <c r="J72" s="141" t="n">
        <v>0</v>
      </c>
      <c r="K72" s="141" t="n">
        <v>0</v>
      </c>
      <c r="L72" s="141" t="n">
        <v>0</v>
      </c>
      <c r="M72" s="141" t="n">
        <v>0</v>
      </c>
      <c r="N72" s="141" t="n">
        <v>0</v>
      </c>
    </row>
    <row r="73" customFormat="false" ht="15" hidden="false" customHeight="true" outlineLevel="0" collapsed="false">
      <c r="A73" s="132" t="s">
        <v>110</v>
      </c>
      <c r="C73" s="141" t="n">
        <v>0</v>
      </c>
      <c r="D73" s="141" t="n">
        <v>0</v>
      </c>
      <c r="E73" s="141" t="n">
        <v>0</v>
      </c>
      <c r="F73" s="141" t="n">
        <v>0</v>
      </c>
      <c r="G73" s="141" t="n">
        <v>0</v>
      </c>
      <c r="H73" s="141" t="n">
        <v>0</v>
      </c>
      <c r="I73" s="141" t="n">
        <v>0</v>
      </c>
      <c r="J73" s="141" t="n">
        <v>0</v>
      </c>
      <c r="K73" s="141" t="n">
        <v>0</v>
      </c>
      <c r="L73" s="141" t="n">
        <v>0</v>
      </c>
      <c r="M73" s="141" t="n">
        <v>0</v>
      </c>
      <c r="N73" s="141" t="n">
        <v>0</v>
      </c>
    </row>
    <row r="74" customFormat="false" ht="15" hidden="false" customHeight="true" outlineLevel="0" collapsed="false">
      <c r="A74" s="132" t="s">
        <v>111</v>
      </c>
      <c r="C74" s="141" t="n">
        <v>0</v>
      </c>
      <c r="D74" s="141" t="n">
        <v>0</v>
      </c>
      <c r="E74" s="141" t="n">
        <v>0</v>
      </c>
      <c r="F74" s="141" t="n">
        <v>0</v>
      </c>
      <c r="G74" s="141" t="n">
        <v>0</v>
      </c>
      <c r="H74" s="141" t="n">
        <v>0</v>
      </c>
      <c r="I74" s="141" t="n">
        <v>0</v>
      </c>
      <c r="J74" s="141" t="n">
        <v>0</v>
      </c>
      <c r="K74" s="141" t="n">
        <v>0</v>
      </c>
      <c r="L74" s="141" t="n">
        <v>0</v>
      </c>
      <c r="M74" s="141" t="n">
        <v>0</v>
      </c>
      <c r="N74" s="141" t="n">
        <v>0</v>
      </c>
    </row>
    <row r="75" customFormat="false" ht="15" hidden="false" customHeight="true" outlineLevel="0" collapsed="false">
      <c r="A75" s="132" t="s">
        <v>112</v>
      </c>
      <c r="C75" s="141" t="n">
        <v>0</v>
      </c>
      <c r="D75" s="141" t="n">
        <v>0</v>
      </c>
      <c r="E75" s="141" t="n">
        <v>0</v>
      </c>
      <c r="F75" s="141" t="n">
        <v>0</v>
      </c>
      <c r="G75" s="141" t="n">
        <v>0</v>
      </c>
      <c r="H75" s="141" t="n">
        <v>0</v>
      </c>
      <c r="I75" s="141" t="n">
        <v>0</v>
      </c>
      <c r="J75" s="141" t="n">
        <v>0</v>
      </c>
      <c r="K75" s="141" t="n">
        <v>0</v>
      </c>
      <c r="L75" s="141" t="n">
        <v>0</v>
      </c>
      <c r="M75" s="141" t="n">
        <v>0</v>
      </c>
      <c r="N75" s="141" t="n">
        <v>0</v>
      </c>
    </row>
    <row r="76" customFormat="false" ht="15" hidden="false" customHeight="true" outlineLevel="0" collapsed="false">
      <c r="A76" s="132" t="s">
        <v>113</v>
      </c>
      <c r="C76" s="141" t="n">
        <v>0</v>
      </c>
      <c r="D76" s="141" t="n">
        <v>0</v>
      </c>
      <c r="E76" s="141" t="n">
        <v>0</v>
      </c>
      <c r="F76" s="141" t="n">
        <v>0</v>
      </c>
      <c r="G76" s="141" t="n">
        <v>0</v>
      </c>
      <c r="H76" s="141" t="n">
        <v>0</v>
      </c>
      <c r="I76" s="141" t="n">
        <v>0</v>
      </c>
      <c r="J76" s="141" t="n">
        <v>0</v>
      </c>
      <c r="K76" s="141" t="n">
        <v>0</v>
      </c>
      <c r="L76" s="141" t="n">
        <v>0</v>
      </c>
      <c r="M76" s="141" t="n">
        <v>0</v>
      </c>
      <c r="N76" s="141" t="n">
        <v>0</v>
      </c>
    </row>
    <row r="77" customFormat="false" ht="15" hidden="false" customHeight="true" outlineLevel="0" collapsed="false">
      <c r="A77" s="132" t="s">
        <v>114</v>
      </c>
      <c r="C77" s="141" t="n">
        <v>0</v>
      </c>
      <c r="D77" s="141" t="n">
        <v>0</v>
      </c>
      <c r="E77" s="141" t="n">
        <v>0</v>
      </c>
      <c r="F77" s="141" t="n">
        <v>0</v>
      </c>
      <c r="G77" s="141" t="n">
        <v>0</v>
      </c>
      <c r="H77" s="141" t="n">
        <v>0</v>
      </c>
      <c r="I77" s="141" t="n">
        <v>0</v>
      </c>
      <c r="J77" s="141" t="n">
        <v>0</v>
      </c>
      <c r="K77" s="141" t="n">
        <v>0</v>
      </c>
      <c r="L77" s="141" t="n">
        <v>0</v>
      </c>
      <c r="M77" s="141" t="n">
        <v>0</v>
      </c>
      <c r="N77" s="141" t="n">
        <v>0</v>
      </c>
    </row>
    <row r="78" customFormat="false" ht="15" hidden="false" customHeight="true" outlineLevel="0" collapsed="false">
      <c r="A78" s="132" t="s">
        <v>115</v>
      </c>
      <c r="C78" s="141" t="n">
        <v>0</v>
      </c>
      <c r="D78" s="141" t="n">
        <v>0</v>
      </c>
      <c r="E78" s="141" t="n">
        <v>0</v>
      </c>
      <c r="F78" s="141" t="n">
        <v>0</v>
      </c>
      <c r="G78" s="141" t="n">
        <v>0</v>
      </c>
      <c r="H78" s="141" t="n">
        <v>0</v>
      </c>
      <c r="I78" s="141" t="n">
        <v>0</v>
      </c>
      <c r="J78" s="141" t="n">
        <v>0</v>
      </c>
      <c r="K78" s="141" t="n">
        <v>0</v>
      </c>
      <c r="L78" s="141" t="n">
        <v>0</v>
      </c>
      <c r="M78" s="141" t="n">
        <v>0</v>
      </c>
      <c r="N78" s="141" t="n">
        <v>0</v>
      </c>
    </row>
    <row r="79" customFormat="false" ht="15" hidden="false" customHeight="true" outlineLevel="0" collapsed="false">
      <c r="A79" s="132" t="s">
        <v>116</v>
      </c>
      <c r="C79" s="141" t="n">
        <v>0</v>
      </c>
      <c r="D79" s="141" t="n">
        <v>0</v>
      </c>
      <c r="E79" s="141" t="n">
        <v>0</v>
      </c>
      <c r="F79" s="141" t="n">
        <v>0</v>
      </c>
      <c r="G79" s="141" t="n">
        <v>0</v>
      </c>
      <c r="H79" s="141" t="n">
        <v>0</v>
      </c>
      <c r="I79" s="141" t="n">
        <v>0</v>
      </c>
      <c r="J79" s="141" t="n">
        <v>0</v>
      </c>
      <c r="K79" s="141" t="n">
        <v>0</v>
      </c>
      <c r="L79" s="141" t="n">
        <v>0</v>
      </c>
      <c r="M79" s="141" t="n">
        <v>0</v>
      </c>
      <c r="N79" s="141" t="n">
        <v>0</v>
      </c>
    </row>
    <row r="80" customFormat="false" ht="15" hidden="false" customHeight="true" outlineLevel="0" collapsed="false">
      <c r="A80" s="132" t="s">
        <v>117</v>
      </c>
      <c r="C80" s="141" t="n">
        <v>0</v>
      </c>
      <c r="D80" s="141" t="n">
        <v>0</v>
      </c>
      <c r="E80" s="141" t="n">
        <v>0</v>
      </c>
      <c r="F80" s="141" t="n">
        <v>0</v>
      </c>
      <c r="G80" s="141" t="n">
        <v>0</v>
      </c>
      <c r="H80" s="141" t="n">
        <v>0</v>
      </c>
      <c r="I80" s="141" t="n">
        <v>0</v>
      </c>
      <c r="J80" s="141" t="n">
        <v>0</v>
      </c>
      <c r="K80" s="141" t="n">
        <v>0</v>
      </c>
      <c r="L80" s="141" t="n">
        <v>0</v>
      </c>
      <c r="M80" s="141" t="n">
        <v>0</v>
      </c>
      <c r="N80" s="141" t="n">
        <v>0</v>
      </c>
    </row>
    <row r="81" customFormat="false" ht="15" hidden="false" customHeight="true" outlineLevel="0" collapsed="false">
      <c r="A81" s="116" t="s">
        <v>121</v>
      </c>
      <c r="C81" s="141" t="n">
        <v>47599.06</v>
      </c>
      <c r="D81" s="141" t="n">
        <v>47599.06</v>
      </c>
      <c r="E81" s="141" t="n">
        <v>47599.06</v>
      </c>
      <c r="F81" s="141" t="n">
        <v>59474.06</v>
      </c>
      <c r="G81" s="141" t="n">
        <v>59474.06</v>
      </c>
      <c r="H81" s="141" t="n">
        <v>59474.06</v>
      </c>
      <c r="I81" s="141" t="n">
        <v>59474.06</v>
      </c>
      <c r="J81" s="141" t="n">
        <v>59474.06</v>
      </c>
      <c r="K81" s="141" t="n">
        <v>59474.06</v>
      </c>
      <c r="L81" s="141" t="n">
        <v>49246.79</v>
      </c>
      <c r="M81" s="141" t="n">
        <v>49246.79</v>
      </c>
      <c r="N81" s="141" t="n">
        <v>49246.79</v>
      </c>
    </row>
    <row r="83" customFormat="false" ht="15" hidden="false" customHeight="true" outlineLevel="0" collapsed="false">
      <c r="A83" s="132" t="s">
        <v>64</v>
      </c>
      <c r="C83" s="141" t="n">
        <v>-90233.32</v>
      </c>
      <c r="D83" s="141" t="n">
        <v>-90233.32</v>
      </c>
      <c r="E83" s="141" t="n">
        <v>-90233.32</v>
      </c>
      <c r="F83" s="141" t="n">
        <v>-90233.32</v>
      </c>
      <c r="G83" s="141" t="n">
        <v>-90233.32</v>
      </c>
      <c r="H83" s="141" t="n">
        <v>-90233.32</v>
      </c>
      <c r="I83" s="141" t="n">
        <v>-89059.65</v>
      </c>
      <c r="J83" s="141" t="n">
        <v>-89059.65</v>
      </c>
      <c r="K83" s="141" t="n">
        <v>-89059.65</v>
      </c>
      <c r="L83" s="141" t="n">
        <v>-89059.65</v>
      </c>
      <c r="M83" s="141" t="n">
        <v>-89059.65</v>
      </c>
      <c r="N83" s="141" t="n">
        <v>-89059.65</v>
      </c>
    </row>
    <row r="84" customFormat="false" ht="15" hidden="false" customHeight="true" outlineLevel="0" collapsed="false">
      <c r="A84" s="132" t="s">
        <v>65</v>
      </c>
      <c r="C84" s="141" t="n">
        <v>-8125</v>
      </c>
      <c r="D84" s="141" t="n">
        <v>-8125</v>
      </c>
      <c r="E84" s="141" t="n">
        <v>-8125</v>
      </c>
      <c r="F84" s="141" t="n">
        <v>-8125</v>
      </c>
      <c r="G84" s="141" t="n">
        <v>-8125</v>
      </c>
      <c r="H84" s="141" t="n">
        <v>-8125</v>
      </c>
      <c r="I84" s="141" t="n">
        <v>-8125</v>
      </c>
      <c r="J84" s="141" t="n">
        <v>-8125</v>
      </c>
      <c r="K84" s="141" t="n">
        <v>-8125</v>
      </c>
      <c r="L84" s="141" t="n">
        <v>-8125</v>
      </c>
      <c r="M84" s="141" t="n">
        <v>-8125</v>
      </c>
      <c r="N84" s="141" t="n">
        <v>-8125</v>
      </c>
    </row>
    <row r="85" customFormat="false" ht="15" hidden="false" customHeight="true" outlineLevel="0" collapsed="false">
      <c r="A85" s="132" t="s">
        <v>67</v>
      </c>
      <c r="C85" s="141" t="n">
        <v>-6554.17</v>
      </c>
      <c r="D85" s="141" t="n">
        <v>-6554.17</v>
      </c>
      <c r="E85" s="141" t="n">
        <v>-6554.17</v>
      </c>
      <c r="F85" s="141" t="n">
        <v>-6554.17</v>
      </c>
      <c r="G85" s="141" t="n">
        <v>-6554.17</v>
      </c>
      <c r="H85" s="141" t="n">
        <v>-6554.17</v>
      </c>
      <c r="I85" s="141" t="n">
        <v>-6554.17</v>
      </c>
      <c r="J85" s="141" t="n">
        <v>-6554.17</v>
      </c>
      <c r="K85" s="141" t="n">
        <v>-6554.17</v>
      </c>
      <c r="L85" s="141" t="n">
        <v>-6554.17</v>
      </c>
      <c r="M85" s="141" t="n">
        <v>-6554.17</v>
      </c>
      <c r="N85" s="141" t="n">
        <v>-6554.17</v>
      </c>
    </row>
    <row r="86" customFormat="false" ht="15" hidden="false" customHeight="true" outlineLevel="0" collapsed="false">
      <c r="A86" s="132" t="s">
        <v>68</v>
      </c>
      <c r="C86" s="141" t="n">
        <v>-487.5</v>
      </c>
      <c r="D86" s="141" t="n">
        <v>-487.5</v>
      </c>
      <c r="E86" s="141" t="n">
        <v>-487.5</v>
      </c>
      <c r="F86" s="141" t="n">
        <v>-487.5</v>
      </c>
      <c r="G86" s="141" t="n">
        <v>-487.5</v>
      </c>
      <c r="H86" s="141" t="n">
        <v>-487.5</v>
      </c>
      <c r="I86" s="141" t="n">
        <v>-487.5</v>
      </c>
      <c r="J86" s="141" t="n">
        <v>-487.5</v>
      </c>
      <c r="K86" s="141" t="n">
        <v>-487.5</v>
      </c>
      <c r="L86" s="141" t="n">
        <v>-487.5</v>
      </c>
      <c r="M86" s="141" t="n">
        <v>-487.5</v>
      </c>
      <c r="N86" s="141" t="n">
        <v>-487.5</v>
      </c>
    </row>
    <row r="87" customFormat="false" ht="15" hidden="false" customHeight="true" outlineLevel="0" collapsed="false">
      <c r="A87" s="132" t="s">
        <v>69</v>
      </c>
      <c r="C87" s="141" t="n">
        <v>-270.83</v>
      </c>
      <c r="D87" s="141" t="n">
        <v>-270.83</v>
      </c>
      <c r="E87" s="141" t="n">
        <v>-270.83</v>
      </c>
      <c r="F87" s="141" t="n">
        <v>-270.83</v>
      </c>
      <c r="G87" s="141" t="n">
        <v>-270.83</v>
      </c>
      <c r="H87" s="141" t="n">
        <v>-270.83</v>
      </c>
      <c r="I87" s="141" t="n">
        <v>-270.83</v>
      </c>
      <c r="J87" s="141" t="n">
        <v>-270.83</v>
      </c>
      <c r="K87" s="141" t="n">
        <v>-270.83</v>
      </c>
      <c r="L87" s="141" t="n">
        <v>-270.83</v>
      </c>
      <c r="M87" s="141" t="n">
        <v>-270.83</v>
      </c>
      <c r="N87" s="141" t="n">
        <v>-270.83</v>
      </c>
    </row>
    <row r="88" customFormat="false" ht="15" hidden="false" customHeight="true" outlineLevel="0" collapsed="false">
      <c r="A88" s="132" t="s">
        <v>72</v>
      </c>
      <c r="C88" s="141" t="n">
        <v>-8000</v>
      </c>
      <c r="D88" s="141" t="n">
        <v>-8000</v>
      </c>
      <c r="E88" s="141" t="n">
        <v>-8000</v>
      </c>
      <c r="F88" s="141" t="n">
        <v>-8000</v>
      </c>
      <c r="G88" s="141" t="n">
        <v>-8000</v>
      </c>
      <c r="H88" s="141" t="n">
        <v>-8000</v>
      </c>
      <c r="I88" s="141" t="n">
        <v>-8160</v>
      </c>
      <c r="J88" s="141" t="n">
        <v>-8160</v>
      </c>
      <c r="K88" s="141" t="n">
        <v>-8160</v>
      </c>
      <c r="L88" s="141" t="n">
        <v>-8160</v>
      </c>
      <c r="M88" s="141" t="n">
        <v>-8160</v>
      </c>
      <c r="N88" s="141" t="n">
        <v>-8160</v>
      </c>
    </row>
    <row r="89" customFormat="false" ht="15" hidden="false" customHeight="true" outlineLevel="0" collapsed="false">
      <c r="A89" s="132" t="s">
        <v>73</v>
      </c>
      <c r="C89" s="141" t="n">
        <v>-183.33</v>
      </c>
      <c r="D89" s="141" t="n">
        <v>-183.33</v>
      </c>
      <c r="E89" s="141" t="n">
        <v>-183.33</v>
      </c>
      <c r="F89" s="141" t="n">
        <v>-183.33</v>
      </c>
      <c r="G89" s="141" t="n">
        <v>-183.33</v>
      </c>
      <c r="H89" s="141" t="n">
        <v>-183.33</v>
      </c>
      <c r="I89" s="141" t="n">
        <v>-187</v>
      </c>
      <c r="J89" s="141" t="n">
        <v>-187</v>
      </c>
      <c r="K89" s="141" t="n">
        <v>-187</v>
      </c>
      <c r="L89" s="141" t="n">
        <v>-187</v>
      </c>
      <c r="M89" s="141" t="n">
        <v>-187</v>
      </c>
      <c r="N89" s="141" t="n">
        <v>-187</v>
      </c>
    </row>
    <row r="90" customFormat="false" ht="15" hidden="false" customHeight="true" outlineLevel="0" collapsed="false">
      <c r="A90" s="132" t="s">
        <v>76</v>
      </c>
      <c r="C90" s="141" t="n">
        <v>-3000</v>
      </c>
      <c r="D90" s="141" t="n">
        <v>-3000</v>
      </c>
      <c r="E90" s="141" t="n">
        <v>-3000</v>
      </c>
      <c r="F90" s="141" t="n">
        <v>-3000</v>
      </c>
      <c r="G90" s="141" t="n">
        <v>-3000</v>
      </c>
      <c r="H90" s="141" t="n">
        <v>-3000</v>
      </c>
      <c r="I90" s="141" t="n">
        <v>-3060</v>
      </c>
      <c r="J90" s="141" t="n">
        <v>-3060</v>
      </c>
      <c r="K90" s="141" t="n">
        <v>-3060</v>
      </c>
      <c r="L90" s="141" t="n">
        <v>-3060</v>
      </c>
      <c r="M90" s="141" t="n">
        <v>-3060</v>
      </c>
      <c r="N90" s="141" t="n">
        <v>-3060</v>
      </c>
    </row>
    <row r="91" customFormat="false" ht="15" hidden="false" customHeight="true" outlineLevel="0" collapsed="false">
      <c r="A91" s="132" t="s">
        <v>123</v>
      </c>
      <c r="C91" s="141" t="n">
        <v>0</v>
      </c>
      <c r="D91" s="141" t="n">
        <v>0</v>
      </c>
      <c r="E91" s="141" t="n">
        <v>0</v>
      </c>
      <c r="F91" s="141" t="n">
        <v>0</v>
      </c>
      <c r="G91" s="141" t="n">
        <v>0</v>
      </c>
      <c r="H91" s="141" t="n">
        <v>0</v>
      </c>
      <c r="I91" s="141" t="n">
        <v>0</v>
      </c>
      <c r="J91" s="141" t="n">
        <v>0</v>
      </c>
      <c r="K91" s="141" t="n">
        <v>0</v>
      </c>
      <c r="L91" s="141" t="n">
        <v>0</v>
      </c>
      <c r="M91" s="141" t="n">
        <v>0</v>
      </c>
      <c r="N91" s="141" t="n">
        <v>0</v>
      </c>
    </row>
    <row r="92" customFormat="false" ht="15" hidden="false" customHeight="true" outlineLevel="0" collapsed="false">
      <c r="A92" s="140" t="s">
        <v>124</v>
      </c>
      <c r="C92" s="141" t="n">
        <v>0</v>
      </c>
      <c r="D92" s="141" t="n">
        <v>0</v>
      </c>
      <c r="E92" s="141" t="n">
        <v>0</v>
      </c>
      <c r="F92" s="141" t="n">
        <v>0</v>
      </c>
      <c r="G92" s="141" t="n">
        <v>0</v>
      </c>
      <c r="H92" s="141" t="n">
        <v>0</v>
      </c>
      <c r="I92" s="141" t="n">
        <v>0</v>
      </c>
      <c r="J92" s="141" t="n">
        <v>0</v>
      </c>
      <c r="K92" s="141" t="n">
        <v>0</v>
      </c>
      <c r="L92" s="141" t="n">
        <v>0</v>
      </c>
      <c r="M92" s="141" t="n">
        <v>0</v>
      </c>
      <c r="N92" s="141" t="n">
        <v>0</v>
      </c>
    </row>
    <row r="93" customFormat="false" ht="15" hidden="false" customHeight="true" outlineLevel="0" collapsed="false">
      <c r="A93" s="140" t="s">
        <v>125</v>
      </c>
      <c r="C93" s="141" t="n">
        <v>-3000</v>
      </c>
      <c r="D93" s="141" t="n">
        <v>-3000</v>
      </c>
      <c r="E93" s="141" t="n">
        <v>-3000</v>
      </c>
      <c r="F93" s="141" t="n">
        <v>-3000</v>
      </c>
      <c r="G93" s="141" t="n">
        <v>-3000</v>
      </c>
      <c r="H93" s="141" t="n">
        <v>-3000</v>
      </c>
      <c r="I93" s="141" t="n">
        <v>-3060</v>
      </c>
      <c r="J93" s="141" t="n">
        <v>-3060</v>
      </c>
      <c r="K93" s="141" t="n">
        <v>-3060</v>
      </c>
      <c r="L93" s="141" t="n">
        <v>-3060</v>
      </c>
      <c r="M93" s="141" t="n">
        <v>-3060</v>
      </c>
      <c r="N93" s="141" t="n">
        <v>-3060</v>
      </c>
    </row>
    <row r="94" customFormat="false" ht="15" hidden="false" customHeight="true" outlineLevel="0" collapsed="false">
      <c r="A94" s="140" t="s">
        <v>126</v>
      </c>
      <c r="C94" s="141" t="n">
        <v>-833.33</v>
      </c>
      <c r="D94" s="141" t="n">
        <v>-833.33</v>
      </c>
      <c r="E94" s="141" t="n">
        <v>-833.33</v>
      </c>
      <c r="F94" s="141" t="n">
        <v>-833.33</v>
      </c>
      <c r="G94" s="141" t="n">
        <v>-833.33</v>
      </c>
      <c r="H94" s="141" t="n">
        <v>-833.33</v>
      </c>
      <c r="I94" s="141" t="n">
        <v>-850</v>
      </c>
      <c r="J94" s="141" t="n">
        <v>-850</v>
      </c>
      <c r="K94" s="141" t="n">
        <v>-850</v>
      </c>
      <c r="L94" s="141" t="n">
        <v>-850</v>
      </c>
      <c r="M94" s="141" t="n">
        <v>-850</v>
      </c>
      <c r="N94" s="141" t="n">
        <v>-850</v>
      </c>
    </row>
    <row r="95" customFormat="false" ht="15" hidden="false" customHeight="true" outlineLevel="0" collapsed="false">
      <c r="A95" s="140" t="s">
        <v>127</v>
      </c>
      <c r="C95" s="141" t="n">
        <v>0</v>
      </c>
      <c r="D95" s="141" t="n">
        <v>0</v>
      </c>
      <c r="E95" s="141" t="n">
        <v>0</v>
      </c>
      <c r="F95" s="141" t="n">
        <v>0</v>
      </c>
      <c r="G95" s="141" t="n">
        <v>0</v>
      </c>
      <c r="H95" s="141" t="n">
        <v>0</v>
      </c>
      <c r="I95" s="141" t="n">
        <v>0</v>
      </c>
      <c r="J95" s="141" t="n">
        <v>0</v>
      </c>
      <c r="K95" s="141" t="n">
        <v>0</v>
      </c>
      <c r="L95" s="141" t="n">
        <v>0</v>
      </c>
      <c r="M95" s="141" t="n">
        <v>0</v>
      </c>
      <c r="N95" s="141" t="n">
        <v>0</v>
      </c>
    </row>
    <row r="96" customFormat="false" ht="15" hidden="false" customHeight="true" outlineLevel="0" collapsed="false">
      <c r="A96" s="140" t="s">
        <v>78</v>
      </c>
      <c r="C96" s="141" t="n">
        <v>-3000</v>
      </c>
      <c r="D96" s="141" t="n">
        <v>-3000</v>
      </c>
      <c r="E96" s="141" t="n">
        <v>-3000</v>
      </c>
      <c r="F96" s="141" t="n">
        <v>-3000</v>
      </c>
      <c r="G96" s="141" t="n">
        <v>-3000</v>
      </c>
      <c r="H96" s="141" t="n">
        <v>-3000</v>
      </c>
      <c r="I96" s="141" t="n">
        <v>-3060</v>
      </c>
      <c r="J96" s="141" t="n">
        <v>-3060</v>
      </c>
      <c r="K96" s="141" t="n">
        <v>-3060</v>
      </c>
      <c r="L96" s="141" t="n">
        <v>-3060</v>
      </c>
      <c r="M96" s="141" t="n">
        <v>-3060</v>
      </c>
      <c r="N96" s="141" t="n">
        <v>-3060</v>
      </c>
    </row>
    <row r="97" customFormat="false" ht="15" hidden="false" customHeight="true" outlineLevel="0" collapsed="false">
      <c r="A97" s="140" t="s">
        <v>79</v>
      </c>
      <c r="C97" s="141" t="n">
        <v>-500</v>
      </c>
      <c r="D97" s="141" t="n">
        <v>-500</v>
      </c>
      <c r="E97" s="141" t="n">
        <v>-500</v>
      </c>
      <c r="F97" s="141" t="n">
        <v>-500</v>
      </c>
      <c r="G97" s="141" t="n">
        <v>-500</v>
      </c>
      <c r="H97" s="141" t="n">
        <v>-500</v>
      </c>
      <c r="I97" s="141" t="n">
        <v>-510</v>
      </c>
      <c r="J97" s="141" t="n">
        <v>-510</v>
      </c>
      <c r="K97" s="141" t="n">
        <v>-510</v>
      </c>
      <c r="L97" s="141" t="n">
        <v>-510</v>
      </c>
      <c r="M97" s="141" t="n">
        <v>-510</v>
      </c>
      <c r="N97" s="141" t="n">
        <v>-510</v>
      </c>
    </row>
    <row r="98" customFormat="false" ht="15" hidden="false" customHeight="true" outlineLevel="0" collapsed="false">
      <c r="A98" s="132" t="s">
        <v>80</v>
      </c>
      <c r="C98" s="141" t="n">
        <v>-5500</v>
      </c>
      <c r="D98" s="141" t="n">
        <v>-5500</v>
      </c>
      <c r="E98" s="141" t="n">
        <v>-5500</v>
      </c>
      <c r="F98" s="141" t="n">
        <v>-5500</v>
      </c>
      <c r="G98" s="141" t="n">
        <v>-5500</v>
      </c>
      <c r="H98" s="141" t="n">
        <v>-5500</v>
      </c>
      <c r="I98" s="141" t="n">
        <v>-5610</v>
      </c>
      <c r="J98" s="141" t="n">
        <v>-5610</v>
      </c>
      <c r="K98" s="141" t="n">
        <v>-5610</v>
      </c>
      <c r="L98" s="141" t="n">
        <v>-5610</v>
      </c>
      <c r="M98" s="141" t="n">
        <v>-5610</v>
      </c>
      <c r="N98" s="141" t="n">
        <v>-5610</v>
      </c>
    </row>
    <row r="99" customFormat="false" ht="15" hidden="false" customHeight="true" outlineLevel="0" collapsed="false">
      <c r="A99" s="132" t="s">
        <v>81</v>
      </c>
      <c r="C99" s="141" t="n">
        <v>-2083.33</v>
      </c>
      <c r="D99" s="141" t="n">
        <v>-2083.33</v>
      </c>
      <c r="E99" s="141" t="n">
        <v>-2083.33</v>
      </c>
      <c r="F99" s="141" t="n">
        <v>-2083.33</v>
      </c>
      <c r="G99" s="141" t="n">
        <v>-2083.33</v>
      </c>
      <c r="H99" s="141" t="n">
        <v>-2083.33</v>
      </c>
      <c r="I99" s="141" t="n">
        <v>-2125</v>
      </c>
      <c r="J99" s="141" t="n">
        <v>-2125</v>
      </c>
      <c r="K99" s="141" t="n">
        <v>-2125</v>
      </c>
      <c r="L99" s="141" t="n">
        <v>-2125</v>
      </c>
      <c r="M99" s="141" t="n">
        <v>-2125</v>
      </c>
      <c r="N99" s="141" t="n">
        <v>-2125</v>
      </c>
    </row>
    <row r="100" customFormat="false" ht="15" hidden="false" customHeight="true" outlineLevel="0" collapsed="false">
      <c r="A100" s="140" t="s">
        <v>128</v>
      </c>
      <c r="C100" s="141" t="n">
        <v>-500</v>
      </c>
      <c r="D100" s="141" t="n">
        <v>-500</v>
      </c>
      <c r="E100" s="141" t="n">
        <v>-500</v>
      </c>
      <c r="F100" s="141" t="n">
        <v>-500</v>
      </c>
      <c r="G100" s="141" t="n">
        <v>-500</v>
      </c>
      <c r="H100" s="141" t="n">
        <v>-500</v>
      </c>
      <c r="I100" s="141" t="n">
        <v>-510</v>
      </c>
      <c r="J100" s="141" t="n">
        <v>-510</v>
      </c>
      <c r="K100" s="141" t="n">
        <v>-510</v>
      </c>
      <c r="L100" s="141" t="n">
        <v>-510</v>
      </c>
      <c r="M100" s="141" t="n">
        <v>-510</v>
      </c>
      <c r="N100" s="141" t="n">
        <v>-510</v>
      </c>
    </row>
    <row r="101" customFormat="false" ht="15" hidden="false" customHeight="true" outlineLevel="0" collapsed="false">
      <c r="A101" s="140" t="s">
        <v>129</v>
      </c>
      <c r="C101" s="141" t="n">
        <v>-2000</v>
      </c>
      <c r="D101" s="141" t="n">
        <v>-2000</v>
      </c>
      <c r="E101" s="141" t="n">
        <v>-2000</v>
      </c>
      <c r="F101" s="141" t="n">
        <v>-2000</v>
      </c>
      <c r="G101" s="141" t="n">
        <v>-2000</v>
      </c>
      <c r="H101" s="141" t="n">
        <v>-2000</v>
      </c>
      <c r="I101" s="141" t="n">
        <v>-2040</v>
      </c>
      <c r="J101" s="141" t="n">
        <v>-2040</v>
      </c>
      <c r="K101" s="141" t="n">
        <v>-2040</v>
      </c>
      <c r="L101" s="141" t="n">
        <v>-2040</v>
      </c>
      <c r="M101" s="141" t="n">
        <v>-2040</v>
      </c>
      <c r="N101" s="141" t="n">
        <v>-2040</v>
      </c>
    </row>
    <row r="102" customFormat="false" ht="15" hidden="false" customHeight="true" outlineLevel="0" collapsed="false">
      <c r="A102" s="143" t="s">
        <v>130</v>
      </c>
      <c r="C102" s="141" t="n">
        <v>-1541.67</v>
      </c>
      <c r="D102" s="141" t="n">
        <v>-1541.67</v>
      </c>
      <c r="E102" s="141" t="n">
        <v>-1541.67</v>
      </c>
      <c r="F102" s="141" t="n">
        <v>-1541.67</v>
      </c>
      <c r="G102" s="141" t="n">
        <v>-1541.67</v>
      </c>
      <c r="H102" s="141" t="n">
        <v>-1541.67</v>
      </c>
      <c r="I102" s="141" t="n">
        <v>-1572.5</v>
      </c>
      <c r="J102" s="141" t="n">
        <v>-1572.5</v>
      </c>
      <c r="K102" s="141" t="n">
        <v>-1572.5</v>
      </c>
      <c r="L102" s="141" t="n">
        <v>-1572.5</v>
      </c>
      <c r="M102" s="141" t="n">
        <v>-1572.5</v>
      </c>
      <c r="N102" s="141" t="n">
        <v>-1572.5</v>
      </c>
    </row>
    <row r="103" customFormat="false" ht="15" hidden="false" customHeight="true" outlineLevel="0" collapsed="false">
      <c r="A103" s="143" t="s">
        <v>131</v>
      </c>
      <c r="C103" s="141" t="n">
        <v>-2100</v>
      </c>
      <c r="D103" s="141" t="n">
        <v>-2100</v>
      </c>
      <c r="E103" s="141" t="n">
        <v>-2100</v>
      </c>
      <c r="F103" s="141" t="n">
        <v>-2100</v>
      </c>
      <c r="G103" s="141" t="n">
        <v>-2100</v>
      </c>
      <c r="H103" s="141" t="n">
        <v>-2100</v>
      </c>
      <c r="I103" s="141" t="n">
        <v>-2142</v>
      </c>
      <c r="J103" s="141" t="n">
        <v>-2142</v>
      </c>
      <c r="K103" s="141" t="n">
        <v>-2142</v>
      </c>
      <c r="L103" s="141" t="n">
        <v>-2142</v>
      </c>
      <c r="M103" s="141" t="n">
        <v>-2142</v>
      </c>
      <c r="N103" s="141" t="n">
        <v>-2142</v>
      </c>
    </row>
    <row r="104" customFormat="false" ht="15" hidden="false" customHeight="true" outlineLevel="0" collapsed="false">
      <c r="A104" s="143" t="s">
        <v>84</v>
      </c>
      <c r="C104" s="141" t="n">
        <v>0</v>
      </c>
      <c r="D104" s="141" t="n">
        <v>0</v>
      </c>
      <c r="E104" s="141" t="n">
        <v>0</v>
      </c>
      <c r="F104" s="141" t="n">
        <v>0</v>
      </c>
      <c r="G104" s="141" t="n">
        <v>0</v>
      </c>
      <c r="H104" s="141" t="n">
        <v>0</v>
      </c>
      <c r="I104" s="141" t="n">
        <v>0</v>
      </c>
      <c r="J104" s="141" t="n">
        <v>0</v>
      </c>
      <c r="K104" s="141" t="n">
        <v>0</v>
      </c>
      <c r="L104" s="141" t="n">
        <v>0</v>
      </c>
      <c r="M104" s="141" t="n">
        <v>0</v>
      </c>
      <c r="N104" s="141" t="n">
        <v>0</v>
      </c>
    </row>
    <row r="105" customFormat="false" ht="15" hidden="false" customHeight="true" outlineLevel="0" collapsed="false">
      <c r="A105" s="132" t="s">
        <v>92</v>
      </c>
      <c r="C105" s="141" t="n">
        <v>0</v>
      </c>
      <c r="D105" s="141" t="n">
        <v>0</v>
      </c>
      <c r="E105" s="141" t="n">
        <v>0</v>
      </c>
      <c r="F105" s="141" t="n">
        <v>0</v>
      </c>
      <c r="G105" s="141" t="n">
        <v>0</v>
      </c>
      <c r="H105" s="141" t="n">
        <v>0</v>
      </c>
      <c r="I105" s="141" t="n">
        <v>0</v>
      </c>
      <c r="J105" s="141" t="n">
        <v>0</v>
      </c>
      <c r="K105" s="141" t="n">
        <v>0</v>
      </c>
      <c r="L105" s="141" t="n">
        <v>0</v>
      </c>
      <c r="M105" s="141" t="n">
        <v>0</v>
      </c>
      <c r="N105" s="141" t="n">
        <v>0</v>
      </c>
    </row>
    <row r="106" customFormat="false" ht="15" hidden="false" customHeight="true" outlineLevel="0" collapsed="false">
      <c r="A106" s="132" t="s">
        <v>93</v>
      </c>
      <c r="C106" s="141" t="n">
        <v>-500</v>
      </c>
      <c r="D106" s="141" t="n">
        <v>-500</v>
      </c>
      <c r="E106" s="141" t="n">
        <v>-500</v>
      </c>
      <c r="F106" s="141" t="n">
        <v>-500</v>
      </c>
      <c r="G106" s="141" t="n">
        <v>-500</v>
      </c>
      <c r="H106" s="141" t="n">
        <v>-500</v>
      </c>
      <c r="I106" s="141" t="n">
        <v>-510</v>
      </c>
      <c r="J106" s="141" t="n">
        <v>-510</v>
      </c>
      <c r="K106" s="141" t="n">
        <v>-510</v>
      </c>
      <c r="L106" s="141" t="n">
        <v>-510</v>
      </c>
      <c r="M106" s="141" t="n">
        <v>-510</v>
      </c>
      <c r="N106" s="141" t="n">
        <v>-510</v>
      </c>
    </row>
    <row r="107" customFormat="false" ht="15" hidden="false" customHeight="true" outlineLevel="0" collapsed="false">
      <c r="A107" s="132" t="s">
        <v>132</v>
      </c>
      <c r="C107" s="141" t="n">
        <v>0</v>
      </c>
      <c r="D107" s="141" t="n">
        <v>0</v>
      </c>
      <c r="E107" s="141" t="n">
        <v>0</v>
      </c>
      <c r="F107" s="141" t="n">
        <v>0</v>
      </c>
      <c r="G107" s="141" t="n">
        <v>0</v>
      </c>
      <c r="H107" s="141" t="n">
        <v>0</v>
      </c>
      <c r="I107" s="141" t="n">
        <v>0</v>
      </c>
      <c r="J107" s="141" t="n">
        <v>0</v>
      </c>
      <c r="K107" s="141" t="n">
        <v>0</v>
      </c>
      <c r="L107" s="141" t="n">
        <v>0</v>
      </c>
      <c r="M107" s="141" t="n">
        <v>0</v>
      </c>
      <c r="N107" s="141" t="n">
        <v>0</v>
      </c>
    </row>
    <row r="108" customFormat="false" ht="15" hidden="false" customHeight="true" outlineLevel="0" collapsed="false">
      <c r="A108" s="132" t="s">
        <v>133</v>
      </c>
      <c r="C108" s="141" t="n">
        <v>0</v>
      </c>
      <c r="D108" s="141" t="n">
        <v>0</v>
      </c>
      <c r="E108" s="141" t="n">
        <v>0</v>
      </c>
      <c r="F108" s="141" t="n">
        <v>0</v>
      </c>
      <c r="G108" s="141" t="n">
        <v>0</v>
      </c>
      <c r="H108" s="141" t="n">
        <v>0</v>
      </c>
      <c r="I108" s="141" t="n">
        <v>0</v>
      </c>
      <c r="J108" s="141" t="n">
        <v>0</v>
      </c>
      <c r="K108" s="141" t="n">
        <v>0</v>
      </c>
      <c r="L108" s="141" t="n">
        <v>0</v>
      </c>
      <c r="M108" s="141" t="n">
        <v>0</v>
      </c>
      <c r="N108" s="141" t="n">
        <v>0</v>
      </c>
    </row>
    <row r="109" customFormat="false" ht="15" hidden="false" customHeight="true" outlineLevel="0" collapsed="false">
      <c r="A109" s="132" t="s">
        <v>134</v>
      </c>
      <c r="C109" s="141" t="n">
        <v>0</v>
      </c>
      <c r="D109" s="141" t="n">
        <v>0</v>
      </c>
      <c r="E109" s="141" t="n">
        <v>0</v>
      </c>
      <c r="F109" s="141" t="n">
        <v>0</v>
      </c>
      <c r="G109" s="141" t="n">
        <v>0</v>
      </c>
      <c r="H109" s="141" t="n">
        <v>0</v>
      </c>
      <c r="I109" s="141" t="n">
        <v>0</v>
      </c>
      <c r="J109" s="141" t="n">
        <v>0</v>
      </c>
      <c r="K109" s="141" t="n">
        <v>0</v>
      </c>
      <c r="L109" s="141" t="n">
        <v>0</v>
      </c>
      <c r="M109" s="141" t="n">
        <v>0</v>
      </c>
      <c r="N109" s="141" t="n">
        <v>0</v>
      </c>
    </row>
    <row r="110" customFormat="false" ht="15" hidden="false" customHeight="true" outlineLevel="0" collapsed="false">
      <c r="A110" s="132" t="s">
        <v>135</v>
      </c>
      <c r="C110" s="141" t="n">
        <v>0</v>
      </c>
      <c r="D110" s="141" t="n">
        <v>0</v>
      </c>
      <c r="E110" s="141" t="n">
        <v>0</v>
      </c>
      <c r="F110" s="141" t="n">
        <v>0</v>
      </c>
      <c r="G110" s="141" t="n">
        <v>0</v>
      </c>
      <c r="H110" s="141" t="n">
        <v>0</v>
      </c>
      <c r="I110" s="141" t="n">
        <v>0</v>
      </c>
      <c r="J110" s="141" t="n">
        <v>0</v>
      </c>
      <c r="K110" s="141" t="n">
        <v>0</v>
      </c>
      <c r="L110" s="141" t="n">
        <v>0</v>
      </c>
      <c r="M110" s="141" t="n">
        <v>0</v>
      </c>
      <c r="N110" s="141" t="n">
        <v>0</v>
      </c>
    </row>
    <row r="111" customFormat="false" ht="15" hidden="false" customHeight="true" outlineLevel="0" collapsed="false">
      <c r="A111" s="132" t="s">
        <v>136</v>
      </c>
      <c r="C111" s="141" t="n">
        <v>0</v>
      </c>
      <c r="D111" s="141" t="n">
        <v>0</v>
      </c>
      <c r="E111" s="141" t="n">
        <v>0</v>
      </c>
      <c r="F111" s="141" t="n">
        <v>0</v>
      </c>
      <c r="G111" s="141" t="n">
        <v>0</v>
      </c>
      <c r="H111" s="141" t="n">
        <v>0</v>
      </c>
      <c r="I111" s="141" t="n">
        <v>0</v>
      </c>
      <c r="J111" s="141" t="n">
        <v>0</v>
      </c>
      <c r="K111" s="141" t="n">
        <v>0</v>
      </c>
      <c r="L111" s="141" t="n">
        <v>0</v>
      </c>
      <c r="M111" s="141" t="n">
        <v>0</v>
      </c>
      <c r="N111" s="141" t="n">
        <v>0</v>
      </c>
    </row>
    <row r="112" customFormat="false" ht="15" hidden="false" customHeight="true" outlineLevel="0" collapsed="false">
      <c r="A112" s="116" t="s">
        <v>137</v>
      </c>
      <c r="C112" s="141" t="n">
        <v>-138412.48</v>
      </c>
      <c r="D112" s="141" t="n">
        <v>-138412.48</v>
      </c>
      <c r="E112" s="141" t="n">
        <v>-138412.48</v>
      </c>
      <c r="F112" s="141" t="n">
        <v>-138412.48</v>
      </c>
      <c r="G112" s="141" t="n">
        <v>-138412.48</v>
      </c>
      <c r="H112" s="141" t="n">
        <v>-138412.48</v>
      </c>
      <c r="I112" s="141" t="n">
        <v>-137893.65</v>
      </c>
      <c r="J112" s="141" t="n">
        <v>-137893.65</v>
      </c>
      <c r="K112" s="141" t="n">
        <v>-137893.65</v>
      </c>
      <c r="L112" s="141" t="n">
        <v>-137893.65</v>
      </c>
      <c r="M112" s="141" t="n">
        <v>-137893.65</v>
      </c>
      <c r="N112" s="141" t="n">
        <v>-137893.65</v>
      </c>
    </row>
    <row r="114" customFormat="false" ht="15" hidden="false" customHeight="true" outlineLevel="0" collapsed="false">
      <c r="A114" s="118" t="s">
        <v>138</v>
      </c>
      <c r="C114" s="141" t="n">
        <v>-90813.42</v>
      </c>
      <c r="D114" s="141" t="n">
        <v>-90813.42</v>
      </c>
      <c r="E114" s="141" t="n">
        <v>-90813.42</v>
      </c>
      <c r="F114" s="141" t="n">
        <v>-78938.42</v>
      </c>
      <c r="G114" s="141" t="n">
        <v>-78938.42</v>
      </c>
      <c r="H114" s="141" t="n">
        <v>-78938.42</v>
      </c>
      <c r="I114" s="141" t="n">
        <v>-78419.59</v>
      </c>
      <c r="J114" s="141" t="n">
        <v>-78419.59</v>
      </c>
      <c r="K114" s="141" t="n">
        <v>-78419.59</v>
      </c>
      <c r="L114" s="141" t="n">
        <v>-88646.86</v>
      </c>
      <c r="M114" s="141" t="n">
        <v>-88646.86</v>
      </c>
      <c r="N114" s="141" t="n">
        <v>-88646.86</v>
      </c>
    </row>
    <row r="117" customFormat="false" ht="19.5" hidden="false" customHeight="true" outlineLevel="0" collapsed="false">
      <c r="A117" s="144" t="s">
        <v>506</v>
      </c>
      <c r="B117" s="144"/>
      <c r="C117" s="144"/>
      <c r="D117" s="144"/>
      <c r="E117" s="144"/>
      <c r="F117" s="144"/>
      <c r="G117" s="144"/>
      <c r="H117" s="144"/>
      <c r="I117" s="144"/>
      <c r="J117" s="144"/>
      <c r="K117" s="144"/>
      <c r="L117" s="144"/>
      <c r="M117" s="144"/>
      <c r="N117" s="144"/>
    </row>
    <row r="118" customFormat="false" ht="45.75" hidden="false" customHeight="true" outlineLevel="0" collapsed="false">
      <c r="A118" s="145" t="s">
        <v>507</v>
      </c>
      <c r="B118" s="145"/>
      <c r="C118" s="145"/>
      <c r="D118" s="145"/>
      <c r="E118" s="145"/>
      <c r="F118" s="145"/>
      <c r="G118" s="145"/>
      <c r="H118" s="145"/>
      <c r="I118" s="145"/>
      <c r="J118" s="145"/>
      <c r="K118" s="145"/>
      <c r="L118" s="145"/>
      <c r="M118" s="145"/>
      <c r="N118" s="145"/>
    </row>
    <row r="119" customFormat="false" ht="45.75" hidden="false" customHeight="true" outlineLevel="0" collapsed="false">
      <c r="A119" s="145" t="s">
        <v>508</v>
      </c>
      <c r="B119" s="145"/>
      <c r="C119" s="145"/>
      <c r="D119" s="145"/>
      <c r="E119" s="145"/>
      <c r="F119" s="145"/>
      <c r="G119" s="145"/>
      <c r="H119" s="145"/>
      <c r="I119" s="145"/>
      <c r="J119" s="145"/>
      <c r="K119" s="145"/>
      <c r="L119" s="145"/>
      <c r="M119" s="145"/>
      <c r="N119" s="145"/>
    </row>
    <row r="120" customFormat="false" ht="45.75" hidden="false" customHeight="true" outlineLevel="0" collapsed="false">
      <c r="A120" s="145" t="s">
        <v>509</v>
      </c>
      <c r="B120" s="145"/>
      <c r="C120" s="145"/>
      <c r="D120" s="145"/>
      <c r="E120" s="145"/>
      <c r="F120" s="145"/>
      <c r="G120" s="145"/>
      <c r="H120" s="145"/>
      <c r="I120" s="145"/>
      <c r="J120" s="145"/>
      <c r="K120" s="145"/>
      <c r="L120" s="145"/>
      <c r="M120" s="145"/>
      <c r="N120" s="145"/>
    </row>
    <row r="121" customFormat="false" ht="45.75" hidden="false" customHeight="true" outlineLevel="0" collapsed="false">
      <c r="A121" s="145" t="s">
        <v>510</v>
      </c>
      <c r="B121" s="145"/>
      <c r="C121" s="145"/>
      <c r="D121" s="145"/>
      <c r="E121" s="145"/>
      <c r="F121" s="145"/>
      <c r="G121" s="145"/>
      <c r="H121" s="145"/>
      <c r="I121" s="145"/>
      <c r="J121" s="145"/>
      <c r="K121" s="145"/>
      <c r="L121" s="145"/>
      <c r="M121" s="145"/>
      <c r="N121" s="145"/>
    </row>
    <row r="122" customFormat="false" ht="45.75" hidden="false" customHeight="true" outlineLevel="0" collapsed="false">
      <c r="A122" s="145" t="s">
        <v>511</v>
      </c>
      <c r="B122" s="145"/>
      <c r="C122" s="145"/>
      <c r="D122" s="145"/>
      <c r="E122" s="145"/>
      <c r="F122" s="145"/>
      <c r="G122" s="145"/>
      <c r="H122" s="145"/>
      <c r="I122" s="145"/>
      <c r="J122" s="145"/>
      <c r="K122" s="145"/>
      <c r="L122" s="145"/>
      <c r="M122" s="145"/>
      <c r="N122" s="145"/>
    </row>
  </sheetData>
  <mergeCells count="6">
    <mergeCell ref="A117:N117"/>
    <mergeCell ref="A118:N118"/>
    <mergeCell ref="A119:N119"/>
    <mergeCell ref="A120:N120"/>
    <mergeCell ref="A121:N121"/>
    <mergeCell ref="A122:N1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F114"/>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S35" activeCellId="0" sqref="S35"/>
    </sheetView>
  </sheetViews>
  <sheetFormatPr defaultColWidth="8.7109375" defaultRowHeight="13.5" zeroHeight="false" outlineLevelRow="0" outlineLevelCol="0"/>
  <cols>
    <col collapsed="false" customWidth="true" hidden="false" outlineLevel="0" max="1" min="1" style="1" width="38"/>
    <col collapsed="false" customWidth="true" hidden="false" outlineLevel="0" max="110" min="2" style="1" width="13"/>
  </cols>
  <sheetData>
    <row r="1" customFormat="false" ht="17.25" hidden="false" customHeight="true" outlineLevel="0" collapsed="false">
      <c r="A1" s="94" t="s">
        <v>512</v>
      </c>
    </row>
    <row r="2" customFormat="false" ht="15" hidden="false" customHeight="true" outlineLevel="0" collapsed="false">
      <c r="A2" s="72" t="s">
        <v>513</v>
      </c>
      <c r="C2" s="95" t="n">
        <v>46023</v>
      </c>
      <c r="D2" s="95" t="n">
        <v>46054</v>
      </c>
      <c r="E2" s="95" t="n">
        <v>46082</v>
      </c>
      <c r="F2" s="95" t="n">
        <v>46113</v>
      </c>
      <c r="G2" s="95" t="n">
        <v>46143</v>
      </c>
      <c r="H2" s="95" t="n">
        <v>46174</v>
      </c>
      <c r="I2" s="95" t="n">
        <v>46204</v>
      </c>
      <c r="J2" s="95" t="n">
        <v>46235</v>
      </c>
      <c r="K2" s="95" t="n">
        <v>46266</v>
      </c>
      <c r="L2" s="95" t="n">
        <v>46296</v>
      </c>
      <c r="M2" s="95" t="n">
        <v>46327</v>
      </c>
      <c r="N2" s="95" t="n">
        <v>46357</v>
      </c>
      <c r="O2" s="95" t="n">
        <v>46388</v>
      </c>
      <c r="P2" s="95" t="n">
        <v>46419</v>
      </c>
      <c r="Q2" s="95" t="n">
        <v>46447</v>
      </c>
      <c r="R2" s="95" t="n">
        <v>46478</v>
      </c>
      <c r="S2" s="95" t="n">
        <v>46508</v>
      </c>
      <c r="T2" s="95" t="n">
        <v>46539</v>
      </c>
      <c r="U2" s="95" t="n">
        <v>46569</v>
      </c>
      <c r="V2" s="95" t="n">
        <v>46600</v>
      </c>
      <c r="W2" s="95" t="n">
        <v>46631</v>
      </c>
      <c r="X2" s="95" t="n">
        <v>46661</v>
      </c>
      <c r="Y2" s="95" t="n">
        <v>46692</v>
      </c>
      <c r="Z2" s="95" t="n">
        <v>46722</v>
      </c>
      <c r="AA2" s="95" t="n">
        <v>46753</v>
      </c>
      <c r="AB2" s="95" t="n">
        <v>46784</v>
      </c>
      <c r="AC2" s="95" t="n">
        <v>46813</v>
      </c>
      <c r="AD2" s="95" t="n">
        <v>46844</v>
      </c>
      <c r="AE2" s="95" t="n">
        <v>46874</v>
      </c>
      <c r="AF2" s="95" t="n">
        <v>46905</v>
      </c>
      <c r="AG2" s="95" t="n">
        <v>46935</v>
      </c>
      <c r="AH2" s="95" t="n">
        <v>46966</v>
      </c>
      <c r="AI2" s="95" t="n">
        <v>46997</v>
      </c>
      <c r="AJ2" s="95" t="n">
        <v>47027</v>
      </c>
      <c r="AK2" s="95" t="n">
        <v>47058</v>
      </c>
      <c r="AL2" s="95" t="n">
        <v>47088</v>
      </c>
      <c r="AM2" s="95" t="n">
        <v>47119</v>
      </c>
      <c r="AN2" s="95" t="n">
        <v>47150</v>
      </c>
      <c r="AO2" s="95" t="n">
        <v>47178</v>
      </c>
      <c r="AP2" s="95" t="n">
        <v>47209</v>
      </c>
      <c r="AQ2" s="95" t="n">
        <v>47239</v>
      </c>
      <c r="AR2" s="95" t="n">
        <v>47270</v>
      </c>
      <c r="AS2" s="95" t="n">
        <v>47300</v>
      </c>
      <c r="AT2" s="95" t="n">
        <v>47331</v>
      </c>
      <c r="AU2" s="95" t="n">
        <v>47362</v>
      </c>
      <c r="AV2" s="95" t="n">
        <v>47392</v>
      </c>
      <c r="AW2" s="95" t="n">
        <v>47423</v>
      </c>
      <c r="AX2" s="95" t="n">
        <v>47453</v>
      </c>
      <c r="AY2" s="95" t="n">
        <v>47484</v>
      </c>
      <c r="AZ2" s="95" t="n">
        <v>47515</v>
      </c>
      <c r="BA2" s="95" t="n">
        <v>47543</v>
      </c>
      <c r="BB2" s="95" t="n">
        <v>47574</v>
      </c>
      <c r="BC2" s="95" t="n">
        <v>47604</v>
      </c>
      <c r="BD2" s="95" t="n">
        <v>47635</v>
      </c>
      <c r="BE2" s="95" t="n">
        <v>47665</v>
      </c>
      <c r="BF2" s="95" t="n">
        <v>47696</v>
      </c>
      <c r="BG2" s="95" t="n">
        <v>47727</v>
      </c>
      <c r="BH2" s="95" t="n">
        <v>47757</v>
      </c>
      <c r="BI2" s="95" t="n">
        <v>47788</v>
      </c>
      <c r="BJ2" s="95" t="n">
        <v>47818</v>
      </c>
      <c r="BK2" s="95" t="n">
        <v>47849</v>
      </c>
      <c r="BL2" s="95" t="n">
        <v>47880</v>
      </c>
      <c r="BM2" s="95" t="n">
        <v>47908</v>
      </c>
      <c r="BN2" s="95" t="n">
        <v>47939</v>
      </c>
      <c r="BO2" s="95" t="n">
        <v>47969</v>
      </c>
      <c r="BP2" s="95" t="n">
        <v>48000</v>
      </c>
      <c r="BQ2" s="95" t="n">
        <v>48030</v>
      </c>
      <c r="BR2" s="95" t="n">
        <v>48061</v>
      </c>
      <c r="BS2" s="95" t="n">
        <v>48092</v>
      </c>
      <c r="BT2" s="95" t="n">
        <v>48122</v>
      </c>
      <c r="BU2" s="95" t="n">
        <v>48153</v>
      </c>
      <c r="BV2" s="95" t="n">
        <v>48183</v>
      </c>
      <c r="BW2" s="95" t="n">
        <v>48214</v>
      </c>
      <c r="BX2" s="95" t="n">
        <v>48245</v>
      </c>
      <c r="BY2" s="95" t="n">
        <v>48274</v>
      </c>
      <c r="BZ2" s="95" t="n">
        <v>48305</v>
      </c>
      <c r="CA2" s="95" t="n">
        <v>48335</v>
      </c>
      <c r="CB2" s="95" t="n">
        <v>48366</v>
      </c>
      <c r="CC2" s="95" t="n">
        <v>48396</v>
      </c>
      <c r="CD2" s="95" t="n">
        <v>48427</v>
      </c>
      <c r="CE2" s="95" t="n">
        <v>48458</v>
      </c>
      <c r="CF2" s="95" t="n">
        <v>48488</v>
      </c>
      <c r="CG2" s="95" t="n">
        <v>48519</v>
      </c>
      <c r="CH2" s="95" t="n">
        <v>48549</v>
      </c>
      <c r="CI2" s="95" t="n">
        <v>48580</v>
      </c>
      <c r="CJ2" s="95" t="n">
        <v>48611</v>
      </c>
      <c r="CK2" s="95" t="n">
        <v>48639</v>
      </c>
      <c r="CL2" s="95" t="n">
        <v>48670</v>
      </c>
      <c r="CM2" s="95" t="n">
        <v>48700</v>
      </c>
      <c r="CN2" s="95" t="n">
        <v>48731</v>
      </c>
      <c r="CO2" s="95" t="n">
        <v>48761</v>
      </c>
      <c r="CP2" s="95" t="n">
        <v>48792</v>
      </c>
      <c r="CQ2" s="95" t="n">
        <v>48823</v>
      </c>
      <c r="CR2" s="95" t="n">
        <v>48853</v>
      </c>
      <c r="CS2" s="95" t="n">
        <v>48884</v>
      </c>
      <c r="CT2" s="95" t="n">
        <v>48914</v>
      </c>
      <c r="CU2" s="95" t="n">
        <v>48945</v>
      </c>
      <c r="CV2" s="95" t="n">
        <v>48976</v>
      </c>
      <c r="CW2" s="95" t="n">
        <v>49004</v>
      </c>
      <c r="CX2" s="95" t="n">
        <v>49035</v>
      </c>
      <c r="CY2" s="95" t="n">
        <v>49065</v>
      </c>
      <c r="CZ2" s="95" t="n">
        <v>49096</v>
      </c>
      <c r="DA2" s="95" t="n">
        <v>49126</v>
      </c>
      <c r="DB2" s="95" t="n">
        <v>49157</v>
      </c>
      <c r="DC2" s="95" t="n">
        <v>49188</v>
      </c>
      <c r="DD2" s="95" t="n">
        <v>49218</v>
      </c>
      <c r="DE2" s="95" t="n">
        <v>49249</v>
      </c>
      <c r="DF2" s="95" t="n">
        <v>49279</v>
      </c>
    </row>
    <row r="3" customFormat="false" ht="15" hidden="false" customHeight="true" outlineLevel="0" collapsed="false">
      <c r="A3" s="146" t="s">
        <v>1</v>
      </c>
      <c r="C3" s="146" t="n">
        <v>-2</v>
      </c>
      <c r="D3" s="146" t="n">
        <v>-1</v>
      </c>
      <c r="E3" s="146" t="n">
        <v>0</v>
      </c>
      <c r="F3" s="146" t="n">
        <v>1</v>
      </c>
      <c r="G3" s="146" t="n">
        <v>2</v>
      </c>
      <c r="H3" s="146" t="n">
        <v>3</v>
      </c>
      <c r="I3" s="146" t="n">
        <v>4</v>
      </c>
      <c r="J3" s="146" t="n">
        <v>5</v>
      </c>
      <c r="K3" s="146" t="n">
        <v>6</v>
      </c>
      <c r="L3" s="146" t="n">
        <v>7</v>
      </c>
      <c r="M3" s="146" t="n">
        <v>8</v>
      </c>
      <c r="N3" s="146" t="n">
        <v>9</v>
      </c>
      <c r="O3" s="146" t="n">
        <v>10</v>
      </c>
      <c r="P3" s="146" t="n">
        <v>11</v>
      </c>
      <c r="Q3" s="146" t="n">
        <v>12</v>
      </c>
      <c r="R3" s="146" t="n">
        <v>13</v>
      </c>
      <c r="S3" s="146" t="n">
        <v>14</v>
      </c>
      <c r="T3" s="146" t="n">
        <v>15</v>
      </c>
      <c r="U3" s="146" t="n">
        <v>16</v>
      </c>
      <c r="V3" s="146" t="n">
        <v>17</v>
      </c>
      <c r="W3" s="146" t="n">
        <v>18</v>
      </c>
      <c r="X3" s="146" t="n">
        <v>19</v>
      </c>
      <c r="Y3" s="146" t="n">
        <v>20</v>
      </c>
      <c r="Z3" s="146" t="n">
        <v>21</v>
      </c>
      <c r="AA3" s="146" t="n">
        <v>22</v>
      </c>
      <c r="AB3" s="146" t="n">
        <v>23</v>
      </c>
      <c r="AC3" s="146" t="n">
        <v>24</v>
      </c>
      <c r="AD3" s="146" t="n">
        <v>25</v>
      </c>
      <c r="AE3" s="146" t="n">
        <v>26</v>
      </c>
      <c r="AF3" s="146" t="n">
        <v>27</v>
      </c>
      <c r="AG3" s="146" t="n">
        <v>28</v>
      </c>
      <c r="AH3" s="146" t="n">
        <v>29</v>
      </c>
      <c r="AI3" s="146" t="n">
        <v>30</v>
      </c>
      <c r="AJ3" s="146" t="n">
        <v>31</v>
      </c>
      <c r="AK3" s="146" t="n">
        <v>32</v>
      </c>
      <c r="AL3" s="146" t="n">
        <v>33</v>
      </c>
      <c r="AM3" s="146" t="n">
        <v>34</v>
      </c>
      <c r="AN3" s="146" t="n">
        <v>35</v>
      </c>
      <c r="AO3" s="146" t="n">
        <v>36</v>
      </c>
      <c r="AP3" s="146" t="n">
        <v>37</v>
      </c>
      <c r="AQ3" s="146" t="n">
        <v>38</v>
      </c>
      <c r="AR3" s="146" t="n">
        <v>39</v>
      </c>
      <c r="AS3" s="146" t="n">
        <v>40</v>
      </c>
      <c r="AT3" s="146" t="n">
        <v>41</v>
      </c>
      <c r="AU3" s="146" t="n">
        <v>42</v>
      </c>
      <c r="AV3" s="146" t="n">
        <v>43</v>
      </c>
      <c r="AW3" s="146" t="n">
        <v>44</v>
      </c>
      <c r="AX3" s="146" t="n">
        <v>45</v>
      </c>
      <c r="AY3" s="146" t="n">
        <v>46</v>
      </c>
      <c r="AZ3" s="146" t="n">
        <v>47</v>
      </c>
      <c r="BA3" s="146" t="n">
        <v>48</v>
      </c>
      <c r="BB3" s="146" t="n">
        <v>49</v>
      </c>
      <c r="BC3" s="146" t="n">
        <v>50</v>
      </c>
      <c r="BD3" s="146" t="n">
        <v>51</v>
      </c>
      <c r="BE3" s="146" t="n">
        <v>52</v>
      </c>
      <c r="BF3" s="146" t="n">
        <v>53</v>
      </c>
      <c r="BG3" s="146" t="n">
        <v>54</v>
      </c>
      <c r="BH3" s="146" t="n">
        <v>55</v>
      </c>
      <c r="BI3" s="146" t="n">
        <v>56</v>
      </c>
      <c r="BJ3" s="146" t="n">
        <v>57</v>
      </c>
      <c r="BK3" s="146" t="n">
        <v>58</v>
      </c>
      <c r="BL3" s="146" t="n">
        <v>59</v>
      </c>
      <c r="BM3" s="146" t="n">
        <v>60</v>
      </c>
      <c r="BN3" s="146" t="n">
        <v>61</v>
      </c>
      <c r="BO3" s="146" t="n">
        <v>62</v>
      </c>
      <c r="BP3" s="146" t="n">
        <v>63</v>
      </c>
      <c r="BQ3" s="146" t="n">
        <v>64</v>
      </c>
      <c r="BR3" s="146" t="n">
        <v>65</v>
      </c>
      <c r="BS3" s="146" t="n">
        <v>66</v>
      </c>
      <c r="BT3" s="146" t="n">
        <v>67</v>
      </c>
      <c r="BU3" s="146" t="n">
        <v>68</v>
      </c>
      <c r="BV3" s="146" t="n">
        <v>69</v>
      </c>
      <c r="BW3" s="146" t="n">
        <v>70</v>
      </c>
      <c r="BX3" s="146" t="n">
        <v>71</v>
      </c>
      <c r="BY3" s="146" t="n">
        <v>72</v>
      </c>
      <c r="BZ3" s="146" t="n">
        <v>73</v>
      </c>
      <c r="CA3" s="146" t="n">
        <v>74</v>
      </c>
      <c r="CB3" s="146" t="n">
        <v>75</v>
      </c>
      <c r="CC3" s="146" t="n">
        <v>76</v>
      </c>
      <c r="CD3" s="146" t="n">
        <v>77</v>
      </c>
      <c r="CE3" s="146" t="n">
        <v>78</v>
      </c>
      <c r="CF3" s="146" t="n">
        <v>79</v>
      </c>
      <c r="CG3" s="146" t="n">
        <v>80</v>
      </c>
      <c r="CH3" s="146" t="n">
        <v>81</v>
      </c>
      <c r="CI3" s="146" t="n">
        <v>82</v>
      </c>
      <c r="CJ3" s="146" t="n">
        <v>83</v>
      </c>
      <c r="CK3" s="146" t="n">
        <v>84</v>
      </c>
      <c r="CL3" s="146" t="n">
        <v>85</v>
      </c>
      <c r="CM3" s="146" t="n">
        <v>86</v>
      </c>
      <c r="CN3" s="146" t="n">
        <v>87</v>
      </c>
      <c r="CO3" s="146" t="n">
        <v>88</v>
      </c>
      <c r="CP3" s="146" t="n">
        <v>89</v>
      </c>
      <c r="CQ3" s="146" t="n">
        <v>90</v>
      </c>
      <c r="CR3" s="146" t="n">
        <v>91</v>
      </c>
      <c r="CS3" s="146" t="n">
        <v>92</v>
      </c>
      <c r="CT3" s="146" t="n">
        <v>93</v>
      </c>
      <c r="CU3" s="146" t="n">
        <v>94</v>
      </c>
      <c r="CV3" s="146" t="n">
        <v>95</v>
      </c>
      <c r="CW3" s="146" t="n">
        <v>96</v>
      </c>
      <c r="CX3" s="146" t="n">
        <v>97</v>
      </c>
      <c r="CY3" s="146" t="n">
        <v>98</v>
      </c>
      <c r="CZ3" s="146" t="n">
        <v>99</v>
      </c>
      <c r="DA3" s="146" t="n">
        <v>100</v>
      </c>
      <c r="DB3" s="146" t="n">
        <v>101</v>
      </c>
      <c r="DC3" s="146" t="n">
        <v>102</v>
      </c>
      <c r="DD3" s="146" t="n">
        <v>103</v>
      </c>
      <c r="DE3" s="146" t="n">
        <v>104</v>
      </c>
      <c r="DF3" s="146" t="n">
        <v>105</v>
      </c>
    </row>
    <row r="7" customFormat="false" ht="15" hidden="false" customHeight="true" outlineLevel="0" collapsed="false">
      <c r="A7" s="90"/>
      <c r="C7" s="104"/>
      <c r="D7" s="104"/>
      <c r="E7" s="104"/>
      <c r="F7" s="147"/>
      <c r="G7" s="147"/>
      <c r="H7" s="147"/>
      <c r="I7" s="147"/>
      <c r="J7" s="147"/>
      <c r="K7" s="147"/>
      <c r="L7" s="147"/>
      <c r="M7" s="147"/>
      <c r="N7" s="147"/>
      <c r="O7" s="147"/>
      <c r="P7" s="147"/>
      <c r="Q7" s="147"/>
      <c r="R7" s="147"/>
      <c r="S7" s="147"/>
      <c r="T7" s="147"/>
      <c r="U7" s="147"/>
      <c r="V7" s="147"/>
      <c r="W7" s="147"/>
      <c r="X7" s="147"/>
      <c r="Y7" s="147"/>
      <c r="Z7" s="147"/>
      <c r="AA7" s="147"/>
      <c r="AB7" s="147"/>
      <c r="AC7" s="147"/>
      <c r="AD7" s="147"/>
      <c r="AE7" s="147"/>
      <c r="AF7" s="147"/>
      <c r="AG7" s="147"/>
      <c r="AH7" s="147"/>
      <c r="AI7" s="147"/>
      <c r="AJ7" s="147"/>
      <c r="AK7" s="147"/>
      <c r="AL7" s="147"/>
      <c r="AM7" s="147"/>
      <c r="AN7" s="147"/>
      <c r="AO7" s="147"/>
      <c r="AP7" s="147"/>
      <c r="AQ7" s="147"/>
      <c r="AR7" s="147"/>
      <c r="AS7" s="147"/>
      <c r="AT7" s="147"/>
      <c r="AU7" s="147"/>
      <c r="AV7" s="147"/>
      <c r="AW7" s="147"/>
      <c r="AX7" s="147"/>
      <c r="AY7" s="147"/>
      <c r="AZ7" s="147"/>
      <c r="BA7" s="147"/>
      <c r="BB7" s="147"/>
      <c r="BC7" s="147"/>
      <c r="BD7" s="147"/>
      <c r="BE7" s="147"/>
      <c r="BF7" s="147"/>
      <c r="BG7" s="147"/>
      <c r="BH7" s="147"/>
      <c r="BI7" s="147"/>
      <c r="BJ7" s="147"/>
      <c r="BK7" s="147"/>
      <c r="BL7" s="147"/>
      <c r="BM7" s="147"/>
      <c r="BN7" s="147"/>
      <c r="BO7" s="147"/>
      <c r="BP7" s="147"/>
      <c r="BQ7" s="147"/>
      <c r="BR7" s="147"/>
      <c r="BS7" s="147"/>
      <c r="BT7" s="147"/>
      <c r="BU7" s="147"/>
      <c r="BV7" s="147"/>
      <c r="BW7" s="147"/>
      <c r="BX7" s="147"/>
      <c r="BY7" s="147"/>
      <c r="BZ7" s="147"/>
      <c r="CA7" s="147"/>
      <c r="CB7" s="147"/>
      <c r="CC7" s="147"/>
      <c r="CD7" s="147"/>
      <c r="CE7" s="147"/>
      <c r="CF7" s="147"/>
      <c r="CG7" s="147"/>
      <c r="CH7" s="147"/>
      <c r="CI7" s="147"/>
      <c r="CJ7" s="147"/>
      <c r="CK7" s="147"/>
      <c r="CL7" s="147"/>
      <c r="CM7" s="147"/>
      <c r="CN7" s="147"/>
      <c r="CO7" s="147"/>
      <c r="CP7" s="147"/>
      <c r="CQ7" s="147"/>
      <c r="CR7" s="147"/>
      <c r="CS7" s="147"/>
      <c r="CT7" s="147"/>
      <c r="CU7" s="147"/>
      <c r="CV7" s="147"/>
      <c r="CW7" s="147"/>
      <c r="CX7" s="147"/>
      <c r="CY7" s="147"/>
      <c r="CZ7" s="147"/>
      <c r="DA7" s="147"/>
      <c r="DB7" s="147"/>
      <c r="DC7" s="147"/>
      <c r="DD7" s="147"/>
      <c r="DE7" s="147"/>
      <c r="DF7" s="147"/>
    </row>
    <row r="8" customFormat="false" ht="15" hidden="false" customHeight="true" outlineLevel="0" collapsed="false">
      <c r="A8" s="99" t="s">
        <v>4</v>
      </c>
      <c r="C8" s="148" t="n">
        <v>116363.3</v>
      </c>
      <c r="D8" s="148" t="n">
        <v>138801.52</v>
      </c>
      <c r="E8" s="148" t="n">
        <v>219366.88</v>
      </c>
      <c r="F8" s="149" t="n">
        <v>267934.879957489</v>
      </c>
      <c r="G8" s="149" t="n">
        <v>267934.879957489</v>
      </c>
      <c r="H8" s="149" t="n">
        <v>267934.879957489</v>
      </c>
      <c r="I8" s="149" t="n">
        <v>361542.001995889</v>
      </c>
      <c r="J8" s="149" t="n">
        <v>361542.001995889</v>
      </c>
      <c r="K8" s="149" t="n">
        <v>361542.001995889</v>
      </c>
      <c r="L8" s="149" t="n">
        <v>442929.46088908</v>
      </c>
      <c r="M8" s="149" t="n">
        <v>525344.508604757</v>
      </c>
      <c r="N8" s="149" t="n">
        <v>442616.790480539</v>
      </c>
      <c r="O8" s="149" t="n">
        <v>442616.790480539</v>
      </c>
      <c r="P8" s="149" t="n">
        <v>442616.790480539</v>
      </c>
      <c r="Q8" s="149" t="n">
        <v>442616.790480539</v>
      </c>
      <c r="R8" s="149" t="n">
        <v>541230.826148622</v>
      </c>
      <c r="S8" s="149" t="n">
        <v>541230.826148622</v>
      </c>
      <c r="T8" s="149" t="n">
        <v>631894.944867622</v>
      </c>
      <c r="U8" s="149" t="n">
        <v>495791.549552305</v>
      </c>
      <c r="V8" s="149" t="n">
        <v>343974.804822852</v>
      </c>
      <c r="W8" s="149" t="n">
        <v>343974.804822852</v>
      </c>
      <c r="X8" s="149" t="n">
        <v>356437.861811602</v>
      </c>
      <c r="Y8" s="149" t="n">
        <v>331511.747834102</v>
      </c>
      <c r="Z8" s="149" t="n">
        <v>331511.747834102</v>
      </c>
      <c r="AA8" s="149" t="n">
        <v>331511.747834102</v>
      </c>
      <c r="AB8" s="149" t="n">
        <v>331511.747834102</v>
      </c>
      <c r="AC8" s="149" t="n">
        <v>331511.747834102</v>
      </c>
      <c r="AD8" s="149" t="n">
        <v>378380.997071102</v>
      </c>
      <c r="AE8" s="149" t="n">
        <v>284642.498597102</v>
      </c>
      <c r="AF8" s="149" t="n">
        <v>374733.909031035</v>
      </c>
      <c r="AG8" s="149" t="n">
        <v>374733.909031035</v>
      </c>
      <c r="AH8" s="149" t="n">
        <v>374733.909031035</v>
      </c>
      <c r="AI8" s="149" t="n">
        <v>374733.909031035</v>
      </c>
      <c r="AJ8" s="149" t="n">
        <v>447874.706379785</v>
      </c>
      <c r="AK8" s="149" t="n">
        <v>316830.777796608</v>
      </c>
      <c r="AL8" s="149" t="n">
        <v>464631.496804608</v>
      </c>
      <c r="AM8" s="149" t="n">
        <v>223223.655758208</v>
      </c>
      <c r="AN8" s="149" t="n">
        <v>223223.655758208</v>
      </c>
      <c r="AO8" s="149" t="n">
        <v>277726.092057458</v>
      </c>
      <c r="AP8" s="149" t="n">
        <v>188705.446102017</v>
      </c>
      <c r="AQ8" s="149" t="n">
        <v>188705.446102017</v>
      </c>
      <c r="AR8" s="149" t="n">
        <v>188705.446102017</v>
      </c>
      <c r="AS8" s="149" t="n">
        <v>188705.446102017</v>
      </c>
      <c r="AT8" s="149" t="n">
        <v>188705.446102017</v>
      </c>
      <c r="AU8" s="149" t="n">
        <v>344411.818209517</v>
      </c>
      <c r="AV8" s="149" t="n">
        <v>90091.4104339333</v>
      </c>
      <c r="AW8" s="149" t="n">
        <v>90091.4104339333</v>
      </c>
      <c r="AX8" s="149" t="n">
        <v>90091.4104339333</v>
      </c>
      <c r="AY8" s="149" t="n">
        <v>90091.4104339333</v>
      </c>
      <c r="AZ8" s="149" t="n">
        <v>90091.4104339333</v>
      </c>
      <c r="BA8" s="149" t="n">
        <v>90091.4104339333</v>
      </c>
      <c r="BB8" s="149" t="n">
        <v>90091.4104339333</v>
      </c>
      <c r="BC8" s="149" t="n">
        <v>90091.4104339333</v>
      </c>
      <c r="BD8" s="149" t="n">
        <v>90091.4104339333</v>
      </c>
      <c r="BE8" s="149" t="n">
        <v>90091.4104339333</v>
      </c>
      <c r="BF8" s="149" t="n">
        <v>90091.4104339333</v>
      </c>
      <c r="BG8" s="149" t="n">
        <v>90091.4104339333</v>
      </c>
      <c r="BH8" s="149" t="n">
        <v>90091.4104339333</v>
      </c>
      <c r="BI8" s="149" t="n">
        <v>232341.005855933</v>
      </c>
      <c r="BJ8" s="149" t="n">
        <v>0</v>
      </c>
      <c r="BK8" s="149" t="n">
        <v>0</v>
      </c>
      <c r="BL8" s="149" t="n">
        <v>0</v>
      </c>
      <c r="BM8" s="149" t="n">
        <v>0</v>
      </c>
      <c r="BN8" s="149" t="n">
        <v>0</v>
      </c>
      <c r="BO8" s="149" t="n">
        <v>0</v>
      </c>
      <c r="BP8" s="149" t="n">
        <v>0</v>
      </c>
      <c r="BQ8" s="149" t="n">
        <v>0</v>
      </c>
      <c r="BR8" s="149" t="n">
        <v>0</v>
      </c>
      <c r="BS8" s="149" t="n">
        <v>0</v>
      </c>
      <c r="BT8" s="149" t="n">
        <v>0</v>
      </c>
      <c r="BU8" s="149" t="n">
        <v>0</v>
      </c>
      <c r="BV8" s="149" t="n">
        <v>0</v>
      </c>
      <c r="BW8" s="149" t="n">
        <v>0</v>
      </c>
      <c r="BX8" s="149" t="n">
        <v>0</v>
      </c>
      <c r="BY8" s="149" t="n">
        <v>0</v>
      </c>
      <c r="BZ8" s="149" t="n">
        <v>0</v>
      </c>
      <c r="CA8" s="149" t="n">
        <v>0</v>
      </c>
      <c r="CB8" s="149" t="n">
        <v>0</v>
      </c>
      <c r="CC8" s="149" t="n">
        <v>0</v>
      </c>
      <c r="CD8" s="149" t="n">
        <v>0</v>
      </c>
      <c r="CE8" s="149" t="n">
        <v>0</v>
      </c>
      <c r="CF8" s="149" t="n">
        <v>0</v>
      </c>
      <c r="CG8" s="149" t="n">
        <v>0</v>
      </c>
      <c r="CH8" s="149" t="n">
        <v>0</v>
      </c>
      <c r="CI8" s="149" t="n">
        <v>0</v>
      </c>
      <c r="CJ8" s="149" t="n">
        <v>0</v>
      </c>
      <c r="CK8" s="149" t="n">
        <v>0</v>
      </c>
      <c r="CL8" s="149" t="n">
        <v>0</v>
      </c>
      <c r="CM8" s="149" t="n">
        <v>0</v>
      </c>
      <c r="CN8" s="149" t="n">
        <v>0</v>
      </c>
      <c r="CO8" s="149" t="n">
        <v>0</v>
      </c>
      <c r="CP8" s="149" t="n">
        <v>0</v>
      </c>
      <c r="CQ8" s="149" t="n">
        <v>0</v>
      </c>
      <c r="CR8" s="149" t="n">
        <v>0</v>
      </c>
      <c r="CS8" s="149" t="n">
        <v>0</v>
      </c>
      <c r="CT8" s="149" t="n">
        <v>0</v>
      </c>
      <c r="CU8" s="149" t="n">
        <v>0</v>
      </c>
      <c r="CV8" s="149" t="n">
        <v>0</v>
      </c>
      <c r="CW8" s="149" t="n">
        <v>0</v>
      </c>
      <c r="CX8" s="149" t="n">
        <v>0</v>
      </c>
      <c r="CY8" s="149" t="n">
        <v>0</v>
      </c>
      <c r="CZ8" s="149" t="n">
        <v>0</v>
      </c>
      <c r="DA8" s="149" t="n">
        <v>0</v>
      </c>
      <c r="DB8" s="149" t="n">
        <v>0</v>
      </c>
      <c r="DC8" s="149" t="n">
        <v>0</v>
      </c>
      <c r="DD8" s="149" t="n">
        <v>0</v>
      </c>
      <c r="DE8" s="149" t="n">
        <v>0</v>
      </c>
      <c r="DF8" s="149" t="n">
        <v>0</v>
      </c>
    </row>
    <row r="9" customFormat="false" ht="15" hidden="false" customHeight="true" outlineLevel="0" collapsed="false">
      <c r="A9" s="90" t="s">
        <v>343</v>
      </c>
      <c r="C9" s="104" t="n">
        <v>0</v>
      </c>
      <c r="D9" s="104" t="n">
        <v>0</v>
      </c>
      <c r="E9" s="104" t="n">
        <v>0</v>
      </c>
      <c r="F9" s="147" t="n">
        <v>0</v>
      </c>
      <c r="G9" s="147" t="n">
        <v>0</v>
      </c>
      <c r="H9" s="147" t="n">
        <v>0</v>
      </c>
      <c r="I9" s="147" t="n">
        <v>0</v>
      </c>
      <c r="J9" s="147" t="n">
        <v>0</v>
      </c>
      <c r="K9" s="147" t="n">
        <v>0</v>
      </c>
      <c r="L9" s="147" t="n">
        <v>0</v>
      </c>
      <c r="M9" s="147" t="n">
        <v>0</v>
      </c>
      <c r="N9" s="147" t="n">
        <v>0</v>
      </c>
      <c r="O9" s="147" t="n">
        <v>0</v>
      </c>
      <c r="P9" s="147" t="n">
        <v>0</v>
      </c>
      <c r="Q9" s="147" t="n">
        <v>0</v>
      </c>
      <c r="R9" s="147" t="n">
        <v>0</v>
      </c>
      <c r="S9" s="147" t="n">
        <v>0</v>
      </c>
      <c r="T9" s="147" t="n">
        <v>0</v>
      </c>
      <c r="U9" s="147" t="n">
        <v>0</v>
      </c>
      <c r="V9" s="147" t="n">
        <v>0</v>
      </c>
      <c r="W9" s="147" t="n">
        <v>0</v>
      </c>
      <c r="X9" s="147" t="n">
        <v>0</v>
      </c>
      <c r="Y9" s="147" t="n">
        <v>0</v>
      </c>
      <c r="Z9" s="147" t="n">
        <v>0</v>
      </c>
      <c r="AA9" s="147" t="n">
        <v>0</v>
      </c>
      <c r="AB9" s="147" t="n">
        <v>0</v>
      </c>
      <c r="AC9" s="147" t="n">
        <v>0</v>
      </c>
      <c r="AD9" s="147" t="n">
        <v>0</v>
      </c>
      <c r="AE9" s="147" t="n">
        <v>0</v>
      </c>
      <c r="AF9" s="147" t="n">
        <v>0</v>
      </c>
      <c r="AG9" s="147" t="n">
        <v>0</v>
      </c>
      <c r="AH9" s="147" t="n">
        <v>0</v>
      </c>
      <c r="AI9" s="147" t="n">
        <v>0</v>
      </c>
      <c r="AJ9" s="147" t="n">
        <v>0</v>
      </c>
      <c r="AK9" s="147" t="n">
        <v>0</v>
      </c>
      <c r="AL9" s="147" t="n">
        <v>0</v>
      </c>
      <c r="AM9" s="147" t="n">
        <v>0</v>
      </c>
      <c r="AN9" s="147" t="n">
        <v>0</v>
      </c>
      <c r="AO9" s="147" t="n">
        <v>0</v>
      </c>
      <c r="AP9" s="147" t="n">
        <v>0</v>
      </c>
      <c r="AQ9" s="147" t="n">
        <v>0</v>
      </c>
      <c r="AR9" s="147" t="n">
        <v>0</v>
      </c>
      <c r="AS9" s="147" t="n">
        <v>0</v>
      </c>
      <c r="AT9" s="147" t="n">
        <v>0</v>
      </c>
      <c r="AU9" s="147" t="n">
        <v>0</v>
      </c>
      <c r="AV9" s="147" t="n">
        <v>0</v>
      </c>
      <c r="AW9" s="147" t="n">
        <v>0</v>
      </c>
      <c r="AX9" s="147" t="n">
        <v>0</v>
      </c>
      <c r="AY9" s="147" t="n">
        <v>0</v>
      </c>
      <c r="AZ9" s="147" t="n">
        <v>0</v>
      </c>
      <c r="BA9" s="147" t="n">
        <v>0</v>
      </c>
      <c r="BB9" s="147" t="n">
        <v>0</v>
      </c>
      <c r="BC9" s="147" t="n">
        <v>0</v>
      </c>
      <c r="BD9" s="147" t="n">
        <v>0</v>
      </c>
      <c r="BE9" s="147" t="n">
        <v>0</v>
      </c>
      <c r="BF9" s="147" t="n">
        <v>0</v>
      </c>
      <c r="BG9" s="147" t="n">
        <v>0</v>
      </c>
      <c r="BH9" s="147" t="n">
        <v>0</v>
      </c>
      <c r="BI9" s="147" t="n">
        <v>0</v>
      </c>
      <c r="BJ9" s="147" t="n">
        <v>0</v>
      </c>
      <c r="BK9" s="147" t="n">
        <v>0</v>
      </c>
      <c r="BL9" s="147" t="n">
        <v>0</v>
      </c>
      <c r="BM9" s="147" t="n">
        <v>0</v>
      </c>
      <c r="BN9" s="147" t="n">
        <v>0</v>
      </c>
      <c r="BO9" s="147" t="n">
        <v>0</v>
      </c>
      <c r="BP9" s="147" t="n">
        <v>0</v>
      </c>
      <c r="BQ9" s="147" t="n">
        <v>0</v>
      </c>
      <c r="BR9" s="147" t="n">
        <v>0</v>
      </c>
      <c r="BS9" s="147" t="n">
        <v>0</v>
      </c>
      <c r="BT9" s="147" t="n">
        <v>0</v>
      </c>
      <c r="BU9" s="147" t="n">
        <v>0</v>
      </c>
      <c r="BV9" s="147" t="n">
        <v>0</v>
      </c>
      <c r="BW9" s="147" t="n">
        <v>0</v>
      </c>
      <c r="BX9" s="147" t="n">
        <v>0</v>
      </c>
      <c r="BY9" s="147" t="n">
        <v>0</v>
      </c>
      <c r="BZ9" s="147" t="n">
        <v>0</v>
      </c>
      <c r="CA9" s="147" t="n">
        <v>0</v>
      </c>
      <c r="CB9" s="147" t="n">
        <v>0</v>
      </c>
      <c r="CC9" s="147" t="n">
        <v>0</v>
      </c>
      <c r="CD9" s="147" t="n">
        <v>0</v>
      </c>
      <c r="CE9" s="147" t="n">
        <v>0</v>
      </c>
      <c r="CF9" s="147" t="n">
        <v>0</v>
      </c>
      <c r="CG9" s="147" t="n">
        <v>0</v>
      </c>
      <c r="CH9" s="147" t="n">
        <v>0</v>
      </c>
      <c r="CI9" s="147" t="n">
        <v>0</v>
      </c>
      <c r="CJ9" s="147" t="n">
        <v>0</v>
      </c>
      <c r="CK9" s="147" t="n">
        <v>0</v>
      </c>
      <c r="CL9" s="147" t="n">
        <v>0</v>
      </c>
      <c r="CM9" s="147" t="n">
        <v>0</v>
      </c>
      <c r="CN9" s="147" t="n">
        <v>0</v>
      </c>
      <c r="CO9" s="147" t="n">
        <v>0</v>
      </c>
      <c r="CP9" s="147" t="n">
        <v>0</v>
      </c>
      <c r="CQ9" s="147" t="n">
        <v>0</v>
      </c>
      <c r="CR9" s="147" t="n">
        <v>0</v>
      </c>
      <c r="CS9" s="147" t="n">
        <v>0</v>
      </c>
      <c r="CT9" s="147" t="n">
        <v>0</v>
      </c>
      <c r="CU9" s="147" t="n">
        <v>0</v>
      </c>
      <c r="CV9" s="147" t="n">
        <v>0</v>
      </c>
      <c r="CW9" s="147" t="n">
        <v>0</v>
      </c>
      <c r="CX9" s="147" t="n">
        <v>0</v>
      </c>
      <c r="CY9" s="147" t="n">
        <v>0</v>
      </c>
      <c r="CZ9" s="147" t="n">
        <v>0</v>
      </c>
      <c r="DA9" s="147" t="n">
        <v>0</v>
      </c>
      <c r="DB9" s="147" t="n">
        <v>0</v>
      </c>
      <c r="DC9" s="147" t="n">
        <v>0</v>
      </c>
      <c r="DD9" s="147" t="n">
        <v>0</v>
      </c>
      <c r="DE9" s="147" t="n">
        <v>0</v>
      </c>
      <c r="DF9" s="147" t="n">
        <v>0</v>
      </c>
    </row>
    <row r="10" customFormat="false" ht="15" hidden="false" customHeight="true" outlineLevel="0" collapsed="false">
      <c r="A10" s="90" t="s">
        <v>505</v>
      </c>
      <c r="C10" s="104" t="n">
        <v>95370.25</v>
      </c>
      <c r="D10" s="104" t="n">
        <v>173282.89</v>
      </c>
      <c r="E10" s="104" t="n">
        <v>50438.85</v>
      </c>
      <c r="F10" s="147" t="n">
        <v>200950.186296774</v>
      </c>
      <c r="G10" s="147" t="n">
        <v>200950.186296774</v>
      </c>
      <c r="H10" s="147" t="n">
        <v>200950.186296774</v>
      </c>
      <c r="I10" s="147" t="n">
        <v>271155.187658694</v>
      </c>
      <c r="J10" s="147" t="n">
        <v>271155.187658694</v>
      </c>
      <c r="K10" s="147" t="n">
        <v>271155.187658694</v>
      </c>
      <c r="L10" s="147" t="n">
        <v>332195.486067781</v>
      </c>
      <c r="M10" s="147" t="n">
        <v>394006.472359489</v>
      </c>
      <c r="N10" s="147" t="n">
        <v>331960.984397614</v>
      </c>
      <c r="O10" s="147" t="n">
        <v>331960.984397614</v>
      </c>
      <c r="P10" s="147" t="n">
        <v>331960.984397614</v>
      </c>
      <c r="Q10" s="147" t="n">
        <v>331960.984397614</v>
      </c>
      <c r="R10" s="147" t="n">
        <v>405921.152786748</v>
      </c>
      <c r="S10" s="147" t="n">
        <v>405921.152786748</v>
      </c>
      <c r="T10" s="147" t="n">
        <v>473918.912353948</v>
      </c>
      <c r="U10" s="147" t="n">
        <v>371841.860465161</v>
      </c>
      <c r="V10" s="147" t="n">
        <v>257979.853617848</v>
      </c>
      <c r="W10" s="147" t="n">
        <v>257979.853617848</v>
      </c>
      <c r="X10" s="147" t="n">
        <v>267327.101068848</v>
      </c>
      <c r="Y10" s="147" t="n">
        <v>248632.606166848</v>
      </c>
      <c r="Z10" s="147" t="n">
        <v>248632.606166848</v>
      </c>
      <c r="AA10" s="147" t="n">
        <v>248632.606166848</v>
      </c>
      <c r="AB10" s="147" t="n">
        <v>248632.606166848</v>
      </c>
      <c r="AC10" s="147" t="n">
        <v>248632.606166848</v>
      </c>
      <c r="AD10" s="147" t="n">
        <v>283784.372772448</v>
      </c>
      <c r="AE10" s="147" t="n">
        <v>213480.839561248</v>
      </c>
      <c r="AF10" s="147" t="n">
        <v>281049.069995862</v>
      </c>
      <c r="AG10" s="147" t="n">
        <v>281049.069995862</v>
      </c>
      <c r="AH10" s="147" t="n">
        <v>281049.069995862</v>
      </c>
      <c r="AI10" s="147" t="n">
        <v>281049.069995862</v>
      </c>
      <c r="AJ10" s="147" t="n">
        <v>335904.402214862</v>
      </c>
      <c r="AK10" s="147" t="n">
        <v>237621.931989153</v>
      </c>
      <c r="AL10" s="147" t="n">
        <v>348471.934139553</v>
      </c>
      <c r="AM10" s="147" t="n">
        <v>167416.930627233</v>
      </c>
      <c r="AN10" s="147" t="n">
        <v>167416.930627233</v>
      </c>
      <c r="AO10" s="147" t="n">
        <v>208293.559790633</v>
      </c>
      <c r="AP10" s="147" t="n">
        <v>141528.398823747</v>
      </c>
      <c r="AQ10" s="147" t="n">
        <v>141528.398823747</v>
      </c>
      <c r="AR10" s="147" t="n">
        <v>141528.398823747</v>
      </c>
      <c r="AS10" s="147" t="n">
        <v>141528.398823747</v>
      </c>
      <c r="AT10" s="147" t="n">
        <v>141528.398823747</v>
      </c>
      <c r="AU10" s="147" t="n">
        <v>258307.612069747</v>
      </c>
      <c r="AV10" s="147" t="n">
        <v>67568.2304346134</v>
      </c>
      <c r="AW10" s="147" t="n">
        <v>67568.2304346134</v>
      </c>
      <c r="AX10" s="147" t="n">
        <v>67568.2304346134</v>
      </c>
      <c r="AY10" s="147" t="n">
        <v>67568.2304346134</v>
      </c>
      <c r="AZ10" s="147" t="n">
        <v>67568.2304346134</v>
      </c>
      <c r="BA10" s="147" t="n">
        <v>67568.2304346134</v>
      </c>
      <c r="BB10" s="147" t="n">
        <v>67568.2304346134</v>
      </c>
      <c r="BC10" s="147" t="n">
        <v>67568.2304346134</v>
      </c>
      <c r="BD10" s="147" t="n">
        <v>67568.2304346134</v>
      </c>
      <c r="BE10" s="147" t="n">
        <v>67568.2304346134</v>
      </c>
      <c r="BF10" s="147" t="n">
        <v>67568.2304346134</v>
      </c>
      <c r="BG10" s="147" t="n">
        <v>67568.2304346134</v>
      </c>
      <c r="BH10" s="147" t="n">
        <v>67568.2304346134</v>
      </c>
      <c r="BI10" s="147" t="n">
        <v>174254.910068213</v>
      </c>
      <c r="BJ10" s="147" t="n">
        <v>0</v>
      </c>
      <c r="BK10" s="147" t="n">
        <v>0</v>
      </c>
      <c r="BL10" s="147" t="n">
        <v>0</v>
      </c>
      <c r="BM10" s="147" t="n">
        <v>0</v>
      </c>
      <c r="BN10" s="147" t="n">
        <v>0</v>
      </c>
      <c r="BO10" s="147" t="n">
        <v>0</v>
      </c>
      <c r="BP10" s="147" t="n">
        <v>0</v>
      </c>
      <c r="BQ10" s="147" t="n">
        <v>0</v>
      </c>
      <c r="BR10" s="147" t="n">
        <v>0</v>
      </c>
      <c r="BS10" s="147" t="n">
        <v>0</v>
      </c>
      <c r="BT10" s="147" t="n">
        <v>0</v>
      </c>
      <c r="BU10" s="147" t="n">
        <v>0</v>
      </c>
      <c r="BV10" s="147" t="n">
        <v>0</v>
      </c>
      <c r="BW10" s="147" t="n">
        <v>0</v>
      </c>
      <c r="BX10" s="147" t="n">
        <v>0</v>
      </c>
      <c r="BY10" s="147" t="n">
        <v>0</v>
      </c>
      <c r="BZ10" s="147" t="n">
        <v>0</v>
      </c>
      <c r="CA10" s="147" t="n">
        <v>0</v>
      </c>
      <c r="CB10" s="147" t="n">
        <v>0</v>
      </c>
      <c r="CC10" s="147" t="n">
        <v>0</v>
      </c>
      <c r="CD10" s="147" t="n">
        <v>0</v>
      </c>
      <c r="CE10" s="147" t="n">
        <v>0</v>
      </c>
      <c r="CF10" s="147" t="n">
        <v>0</v>
      </c>
      <c r="CG10" s="147" t="n">
        <v>0</v>
      </c>
      <c r="CH10" s="147" t="n">
        <v>0</v>
      </c>
      <c r="CI10" s="147" t="n">
        <v>0</v>
      </c>
      <c r="CJ10" s="147" t="n">
        <v>0</v>
      </c>
      <c r="CK10" s="147" t="n">
        <v>0</v>
      </c>
      <c r="CL10" s="147" t="n">
        <v>0</v>
      </c>
      <c r="CM10" s="147" t="n">
        <v>0</v>
      </c>
      <c r="CN10" s="147" t="n">
        <v>0</v>
      </c>
      <c r="CO10" s="147" t="n">
        <v>0</v>
      </c>
      <c r="CP10" s="147" t="n">
        <v>0</v>
      </c>
      <c r="CQ10" s="147" t="n">
        <v>0</v>
      </c>
      <c r="CR10" s="147" t="n">
        <v>0</v>
      </c>
      <c r="CS10" s="147" t="n">
        <v>0</v>
      </c>
      <c r="CT10" s="147" t="n">
        <v>0</v>
      </c>
      <c r="CU10" s="147" t="n">
        <v>0</v>
      </c>
      <c r="CV10" s="147" t="n">
        <v>0</v>
      </c>
      <c r="CW10" s="147" t="n">
        <v>0</v>
      </c>
      <c r="CX10" s="147" t="n">
        <v>0</v>
      </c>
      <c r="CY10" s="147" t="n">
        <v>0</v>
      </c>
      <c r="CZ10" s="147" t="n">
        <v>0</v>
      </c>
      <c r="DA10" s="147" t="n">
        <v>0</v>
      </c>
      <c r="DB10" s="147" t="n">
        <v>0</v>
      </c>
      <c r="DC10" s="147" t="n">
        <v>0</v>
      </c>
      <c r="DD10" s="147" t="n">
        <v>0</v>
      </c>
      <c r="DE10" s="147" t="n">
        <v>0</v>
      </c>
      <c r="DF10" s="147" t="n">
        <v>0</v>
      </c>
    </row>
    <row r="11" customFormat="false" ht="15" hidden="false" customHeight="true" outlineLevel="0" collapsed="false">
      <c r="A11" s="90" t="s">
        <v>344</v>
      </c>
      <c r="C11" s="150" t="n">
        <v>0</v>
      </c>
      <c r="D11" s="150" t="n">
        <v>0</v>
      </c>
      <c r="E11" s="150" t="n">
        <v>0</v>
      </c>
      <c r="F11" s="147" t="n">
        <v>0</v>
      </c>
      <c r="G11" s="147" t="n">
        <v>0</v>
      </c>
      <c r="H11" s="147" t="n">
        <v>0</v>
      </c>
      <c r="I11" s="147" t="n">
        <v>0</v>
      </c>
      <c r="J11" s="147" t="n">
        <v>0</v>
      </c>
      <c r="K11" s="147" t="n">
        <v>0</v>
      </c>
      <c r="L11" s="147" t="n">
        <v>0</v>
      </c>
      <c r="M11" s="147" t="n">
        <v>0</v>
      </c>
      <c r="N11" s="147" t="n">
        <v>0</v>
      </c>
      <c r="O11" s="147" t="n">
        <v>0</v>
      </c>
      <c r="P11" s="147" t="n">
        <v>0</v>
      </c>
      <c r="Q11" s="147" t="n">
        <v>0</v>
      </c>
      <c r="R11" s="147" t="n">
        <v>0</v>
      </c>
      <c r="S11" s="147" t="n">
        <v>0</v>
      </c>
      <c r="T11" s="147" t="n">
        <v>0</v>
      </c>
      <c r="U11" s="147" t="n">
        <v>0</v>
      </c>
      <c r="V11" s="147" t="n">
        <v>0</v>
      </c>
      <c r="W11" s="147" t="n">
        <v>0</v>
      </c>
      <c r="X11" s="147" t="n">
        <v>0</v>
      </c>
      <c r="Y11" s="147" t="n">
        <v>0</v>
      </c>
      <c r="Z11" s="147" t="n">
        <v>0</v>
      </c>
      <c r="AA11" s="147" t="n">
        <v>0</v>
      </c>
      <c r="AB11" s="147" t="n">
        <v>0</v>
      </c>
      <c r="AC11" s="147" t="n">
        <v>0</v>
      </c>
      <c r="AD11" s="147" t="n">
        <v>0</v>
      </c>
      <c r="AE11" s="147" t="n">
        <v>0</v>
      </c>
      <c r="AF11" s="147" t="n">
        <v>0</v>
      </c>
      <c r="AG11" s="147" t="n">
        <v>0</v>
      </c>
      <c r="AH11" s="147" t="n">
        <v>0</v>
      </c>
      <c r="AI11" s="147" t="n">
        <v>0</v>
      </c>
      <c r="AJ11" s="147" t="n">
        <v>0</v>
      </c>
      <c r="AK11" s="147" t="n">
        <v>0</v>
      </c>
      <c r="AL11" s="147" t="n">
        <v>0</v>
      </c>
      <c r="AM11" s="147" t="n">
        <v>0</v>
      </c>
      <c r="AN11" s="147" t="n">
        <v>0</v>
      </c>
      <c r="AO11" s="147" t="n">
        <v>0</v>
      </c>
      <c r="AP11" s="147" t="n">
        <v>0</v>
      </c>
      <c r="AQ11" s="147" t="n">
        <v>0</v>
      </c>
      <c r="AR11" s="147" t="n">
        <v>0</v>
      </c>
      <c r="AS11" s="147" t="n">
        <v>0</v>
      </c>
      <c r="AT11" s="147" t="n">
        <v>0</v>
      </c>
      <c r="AU11" s="147" t="n">
        <v>0</v>
      </c>
      <c r="AV11" s="147" t="n">
        <v>0</v>
      </c>
      <c r="AW11" s="147" t="n">
        <v>0</v>
      </c>
      <c r="AX11" s="147" t="n">
        <v>0</v>
      </c>
      <c r="AY11" s="147" t="n">
        <v>0</v>
      </c>
      <c r="AZ11" s="147" t="n">
        <v>0</v>
      </c>
      <c r="BA11" s="147" t="n">
        <v>0</v>
      </c>
      <c r="BB11" s="147" t="n">
        <v>0</v>
      </c>
      <c r="BC11" s="147" t="n">
        <v>0</v>
      </c>
      <c r="BD11" s="147" t="n">
        <v>0</v>
      </c>
      <c r="BE11" s="147" t="n">
        <v>0</v>
      </c>
      <c r="BF11" s="147" t="n">
        <v>0</v>
      </c>
      <c r="BG11" s="147" t="n">
        <v>0</v>
      </c>
      <c r="BH11" s="147" t="n">
        <v>0</v>
      </c>
      <c r="BI11" s="147" t="n">
        <v>0</v>
      </c>
      <c r="BJ11" s="147" t="n">
        <v>0</v>
      </c>
      <c r="BK11" s="147" t="n">
        <v>0</v>
      </c>
      <c r="BL11" s="147" t="n">
        <v>0</v>
      </c>
      <c r="BM11" s="147" t="n">
        <v>0</v>
      </c>
      <c r="BN11" s="147" t="n">
        <v>0</v>
      </c>
      <c r="BO11" s="147" t="n">
        <v>0</v>
      </c>
      <c r="BP11" s="147" t="n">
        <v>0</v>
      </c>
      <c r="BQ11" s="147" t="n">
        <v>0</v>
      </c>
      <c r="BR11" s="147" t="n">
        <v>0</v>
      </c>
      <c r="BS11" s="147" t="n">
        <v>0</v>
      </c>
      <c r="BT11" s="147" t="n">
        <v>0</v>
      </c>
      <c r="BU11" s="147" t="n">
        <v>0</v>
      </c>
      <c r="BV11" s="147" t="n">
        <v>0</v>
      </c>
      <c r="BW11" s="147" t="n">
        <v>0</v>
      </c>
      <c r="BX11" s="147" t="n">
        <v>0</v>
      </c>
      <c r="BY11" s="147" t="n">
        <v>0</v>
      </c>
      <c r="BZ11" s="147" t="n">
        <v>0</v>
      </c>
      <c r="CA11" s="147" t="n">
        <v>0</v>
      </c>
      <c r="CB11" s="147" t="n">
        <v>0</v>
      </c>
      <c r="CC11" s="147" t="n">
        <v>0</v>
      </c>
      <c r="CD11" s="147" t="n">
        <v>0</v>
      </c>
      <c r="CE11" s="147" t="n">
        <v>0</v>
      </c>
      <c r="CF11" s="147" t="n">
        <v>0</v>
      </c>
      <c r="CG11" s="147" t="n">
        <v>0</v>
      </c>
      <c r="CH11" s="147" t="n">
        <v>0</v>
      </c>
      <c r="CI11" s="147" t="n">
        <v>0</v>
      </c>
      <c r="CJ11" s="147" t="n">
        <v>0</v>
      </c>
      <c r="CK11" s="147" t="n">
        <v>0</v>
      </c>
      <c r="CL11" s="147" t="n">
        <v>0</v>
      </c>
      <c r="CM11" s="147" t="n">
        <v>0</v>
      </c>
      <c r="CN11" s="147" t="n">
        <v>0</v>
      </c>
      <c r="CO11" s="147" t="n">
        <v>0</v>
      </c>
      <c r="CP11" s="147" t="n">
        <v>0</v>
      </c>
      <c r="CQ11" s="147" t="n">
        <v>0</v>
      </c>
      <c r="CR11" s="147" t="n">
        <v>0</v>
      </c>
      <c r="CS11" s="147" t="n">
        <v>0</v>
      </c>
      <c r="CT11" s="147" t="n">
        <v>0</v>
      </c>
      <c r="CU11" s="147" t="n">
        <v>0</v>
      </c>
      <c r="CV11" s="147" t="n">
        <v>0</v>
      </c>
      <c r="CW11" s="147" t="n">
        <v>0</v>
      </c>
      <c r="CX11" s="147" t="n">
        <v>0</v>
      </c>
      <c r="CY11" s="147" t="n">
        <v>0</v>
      </c>
      <c r="CZ11" s="147" t="n">
        <v>0</v>
      </c>
      <c r="DA11" s="147" t="n">
        <v>0</v>
      </c>
      <c r="DB11" s="147" t="n">
        <v>0</v>
      </c>
      <c r="DC11" s="147" t="n">
        <v>0</v>
      </c>
      <c r="DD11" s="147" t="n">
        <v>0</v>
      </c>
      <c r="DE11" s="147" t="n">
        <v>0</v>
      </c>
      <c r="DF11" s="147" t="n">
        <v>0</v>
      </c>
    </row>
    <row r="12" customFormat="false" ht="15" hidden="false" customHeight="true" outlineLevel="0" collapsed="false">
      <c r="A12" s="99" t="s">
        <v>6</v>
      </c>
      <c r="C12" s="148" t="n">
        <v>1242053.19</v>
      </c>
      <c r="D12" s="148" t="n">
        <v>2710434.48</v>
      </c>
      <c r="E12" s="148" t="n">
        <v>2402410.43</v>
      </c>
      <c r="F12" s="148" t="n">
        <v>3985482.58</v>
      </c>
      <c r="G12" s="148" t="n">
        <v>4178441.93</v>
      </c>
      <c r="H12" s="148" t="n">
        <v>4314673.98</v>
      </c>
      <c r="I12" s="148" t="n">
        <v>5100719.4</v>
      </c>
      <c r="J12" s="148" t="n">
        <v>5260214.26</v>
      </c>
      <c r="K12" s="148" t="n">
        <v>5352854.32</v>
      </c>
      <c r="L12" s="148" t="n">
        <v>5849570.15</v>
      </c>
      <c r="M12" s="148" t="n">
        <v>6345476.13</v>
      </c>
      <c r="N12" s="148" t="n">
        <v>6208239.26</v>
      </c>
      <c r="O12" s="148" t="n">
        <v>6395725.66</v>
      </c>
      <c r="P12" s="148" t="n">
        <v>6526715.61</v>
      </c>
      <c r="Q12" s="148" t="n">
        <v>6598279.77</v>
      </c>
      <c r="R12" s="148" t="n">
        <v>7163160.25</v>
      </c>
      <c r="S12" s="148" t="n">
        <v>7214523.9</v>
      </c>
      <c r="T12" s="148" t="n">
        <v>7044289.83</v>
      </c>
      <c r="U12" s="148" t="n">
        <v>6558946.87</v>
      </c>
      <c r="V12" s="148" t="n">
        <v>6351724.99</v>
      </c>
      <c r="W12" s="148" t="n">
        <v>6350910.58</v>
      </c>
      <c r="X12" s="148" t="n">
        <v>6231956.53</v>
      </c>
      <c r="Y12" s="148" t="n">
        <v>6016281.88</v>
      </c>
      <c r="Z12" s="148" t="n">
        <v>5778039.55</v>
      </c>
      <c r="AA12" s="148" t="n">
        <v>5481055.51</v>
      </c>
      <c r="AB12" s="148" t="n">
        <v>5142476.89</v>
      </c>
      <c r="AC12" s="148" t="n">
        <v>4779056.04</v>
      </c>
      <c r="AD12" s="148" t="n">
        <v>4323487.76</v>
      </c>
      <c r="AE12" s="148" t="n">
        <v>3830756.31</v>
      </c>
      <c r="AF12" s="148" t="n">
        <v>3598719.36</v>
      </c>
      <c r="AG12" s="148" t="n">
        <v>2781458.46</v>
      </c>
      <c r="AH12" s="148" t="n">
        <v>2827130.02</v>
      </c>
      <c r="AI12" s="148" t="n">
        <v>2855162.63</v>
      </c>
      <c r="AJ12" s="148" t="n">
        <v>2738010.36</v>
      </c>
      <c r="AK12" s="148" t="n">
        <v>2961685.5</v>
      </c>
      <c r="AL12" s="148" t="n">
        <v>2681612.9</v>
      </c>
      <c r="AM12" s="148" t="n">
        <v>3067683.88</v>
      </c>
      <c r="AN12" s="148" t="n">
        <v>3017131.53</v>
      </c>
      <c r="AO12" s="148" t="n">
        <v>2857832.82</v>
      </c>
      <c r="AP12" s="148" t="n">
        <v>2717434.99</v>
      </c>
      <c r="AQ12" s="148" t="n">
        <v>2661368.69</v>
      </c>
      <c r="AR12" s="148" t="n">
        <v>2590847.28</v>
      </c>
      <c r="AS12" s="148" t="n">
        <v>2506479.9</v>
      </c>
      <c r="AT12" s="148" t="n">
        <v>2409088.63</v>
      </c>
      <c r="AU12" s="148" t="n">
        <v>2027193.27</v>
      </c>
      <c r="AV12" s="148" t="n">
        <v>1724513.73</v>
      </c>
      <c r="AW12" s="148" t="n">
        <v>1687294.56</v>
      </c>
      <c r="AX12" s="148" t="n">
        <v>1632789.15</v>
      </c>
      <c r="AY12" s="148" t="n">
        <v>1562651.7</v>
      </c>
      <c r="AZ12" s="148" t="n">
        <v>1478825.86</v>
      </c>
      <c r="BA12" s="148" t="n">
        <v>1383586.14</v>
      </c>
      <c r="BB12" s="148" t="n">
        <v>1279496.53</v>
      </c>
      <c r="BC12" s="148" t="n">
        <v>1169079.66</v>
      </c>
      <c r="BD12" s="148" t="n">
        <v>1054982.23</v>
      </c>
      <c r="BE12" s="148" t="n">
        <v>939685.52</v>
      </c>
      <c r="BF12" s="148" t="n">
        <v>825464.03</v>
      </c>
      <c r="BG12" s="148" t="n">
        <v>714385.48</v>
      </c>
      <c r="BH12" s="148" t="n">
        <v>608145.43</v>
      </c>
      <c r="BI12" s="148" t="n">
        <v>259255.01</v>
      </c>
      <c r="BJ12" s="148" t="n">
        <v>0</v>
      </c>
      <c r="BK12" s="148" t="n">
        <v>0</v>
      </c>
      <c r="BL12" s="148" t="n">
        <v>0</v>
      </c>
      <c r="BM12" s="148" t="n">
        <v>0</v>
      </c>
      <c r="BN12" s="148" t="n">
        <v>0</v>
      </c>
      <c r="BO12" s="148" t="n">
        <v>0</v>
      </c>
      <c r="BP12" s="148" t="n">
        <v>0</v>
      </c>
      <c r="BQ12" s="148" t="n">
        <v>0</v>
      </c>
      <c r="BR12" s="148" t="n">
        <v>0</v>
      </c>
      <c r="BS12" s="148" t="n">
        <v>0</v>
      </c>
      <c r="BT12" s="148" t="n">
        <v>0</v>
      </c>
      <c r="BU12" s="148" t="n">
        <v>0</v>
      </c>
      <c r="BV12" s="148" t="n">
        <v>0</v>
      </c>
      <c r="BW12" s="148" t="n">
        <v>0</v>
      </c>
      <c r="BX12" s="148" t="n">
        <v>0</v>
      </c>
      <c r="BY12" s="148" t="n">
        <v>0</v>
      </c>
      <c r="BZ12" s="148" t="n">
        <v>0</v>
      </c>
      <c r="CA12" s="148" t="n">
        <v>0</v>
      </c>
      <c r="CB12" s="148" t="n">
        <v>0</v>
      </c>
      <c r="CC12" s="148" t="n">
        <v>0</v>
      </c>
      <c r="CD12" s="148" t="n">
        <v>0</v>
      </c>
      <c r="CE12" s="148" t="n">
        <v>0</v>
      </c>
      <c r="CF12" s="148" t="n">
        <v>0</v>
      </c>
      <c r="CG12" s="148" t="n">
        <v>0</v>
      </c>
      <c r="CH12" s="148" t="n">
        <v>0</v>
      </c>
      <c r="CI12" s="148" t="n">
        <v>0</v>
      </c>
      <c r="CJ12" s="148" t="n">
        <v>0</v>
      </c>
      <c r="CK12" s="148" t="n">
        <v>0</v>
      </c>
      <c r="CL12" s="148" t="n">
        <v>0</v>
      </c>
      <c r="CM12" s="148" t="n">
        <v>0</v>
      </c>
      <c r="CN12" s="148" t="n">
        <v>0</v>
      </c>
      <c r="CO12" s="148" t="n">
        <v>0</v>
      </c>
      <c r="CP12" s="148" t="n">
        <v>0</v>
      </c>
      <c r="CQ12" s="148" t="n">
        <v>0</v>
      </c>
      <c r="CR12" s="148" t="n">
        <v>0</v>
      </c>
      <c r="CS12" s="148" t="n">
        <v>0</v>
      </c>
      <c r="CT12" s="148" t="n">
        <v>0</v>
      </c>
      <c r="CU12" s="148" t="n">
        <v>0</v>
      </c>
      <c r="CV12" s="148" t="n">
        <v>0</v>
      </c>
      <c r="CW12" s="148" t="n">
        <v>0</v>
      </c>
      <c r="CX12" s="148" t="n">
        <v>0</v>
      </c>
      <c r="CY12" s="148" t="n">
        <v>0</v>
      </c>
      <c r="CZ12" s="148" t="n">
        <v>0</v>
      </c>
      <c r="DA12" s="148" t="n">
        <v>0</v>
      </c>
      <c r="DB12" s="148" t="n">
        <v>0</v>
      </c>
      <c r="DC12" s="148" t="n">
        <v>0</v>
      </c>
      <c r="DD12" s="148" t="n">
        <v>0</v>
      </c>
      <c r="DE12" s="148" t="n">
        <v>0</v>
      </c>
      <c r="DF12" s="148" t="n">
        <v>0</v>
      </c>
    </row>
    <row r="13" customFormat="false" ht="15" hidden="false" customHeight="true" outlineLevel="0" collapsed="false">
      <c r="A13" s="94" t="s">
        <v>52</v>
      </c>
      <c r="C13" s="151" t="n">
        <f aca="false">C8+C10+C12</f>
        <v>1453786.74</v>
      </c>
      <c r="D13" s="151" t="n">
        <f aca="false">D8+D10+D12</f>
        <v>3022518.89</v>
      </c>
      <c r="E13" s="151" t="n">
        <f aca="false">E8+E10+E12</f>
        <v>2672216.16</v>
      </c>
      <c r="F13" s="151" t="n">
        <f aca="false">F8+F10+F12</f>
        <v>4454367.64625426</v>
      </c>
      <c r="G13" s="151" t="n">
        <f aca="false">G8+G10+G12</f>
        <v>4647326.99625426</v>
      </c>
      <c r="H13" s="151" t="n">
        <f aca="false">H8+H10+H12</f>
        <v>4783559.04625426</v>
      </c>
      <c r="I13" s="151" t="n">
        <f aca="false">I8+I10+I12</f>
        <v>5733416.58965458</v>
      </c>
      <c r="J13" s="151" t="n">
        <f aca="false">J8+J10+J12</f>
        <v>5892911.44965458</v>
      </c>
      <c r="K13" s="151" t="n">
        <f aca="false">K8+K10+K12</f>
        <v>5985551.50965458</v>
      </c>
      <c r="L13" s="151" t="n">
        <f aca="false">L8+L10+L12</f>
        <v>6624695.09695686</v>
      </c>
      <c r="M13" s="151" t="n">
        <f aca="false">M8+M10+M12</f>
        <v>7264827.11096425</v>
      </c>
      <c r="N13" s="151" t="n">
        <f aca="false">N8+N10+N12</f>
        <v>6982817.03487815</v>
      </c>
      <c r="O13" s="151" t="n">
        <f aca="false">O8+O10+O12</f>
        <v>7170303.43487815</v>
      </c>
      <c r="P13" s="151" t="n">
        <f aca="false">P8+P10+P12</f>
        <v>7301293.38487815</v>
      </c>
      <c r="Q13" s="151" t="n">
        <f aca="false">Q8+Q10+Q12</f>
        <v>7372857.54487815</v>
      </c>
      <c r="R13" s="151" t="n">
        <f aca="false">R8+R10+R12</f>
        <v>8110312.22893537</v>
      </c>
      <c r="S13" s="151" t="n">
        <f aca="false">S8+S10+S12</f>
        <v>8161675.87893537</v>
      </c>
      <c r="T13" s="151" t="n">
        <f aca="false">T8+T10+T12</f>
        <v>8150103.68722157</v>
      </c>
      <c r="U13" s="151" t="n">
        <f aca="false">U8+U10+U12</f>
        <v>7426580.28001747</v>
      </c>
      <c r="V13" s="151" t="n">
        <f aca="false">V8+V10+V12</f>
        <v>6953679.6484407</v>
      </c>
      <c r="W13" s="151" t="n">
        <f aca="false">W8+W10+W12</f>
        <v>6952865.2384407</v>
      </c>
      <c r="X13" s="151" t="n">
        <f aca="false">X8+X10+X12</f>
        <v>6855721.49288045</v>
      </c>
      <c r="Y13" s="151" t="n">
        <f aca="false">Y8+Y10+Y12</f>
        <v>6596426.23400095</v>
      </c>
      <c r="Z13" s="151" t="n">
        <f aca="false">Z8+Z10+Z12</f>
        <v>6358183.90400095</v>
      </c>
      <c r="AA13" s="151" t="n">
        <f aca="false">AA8+AA10+AA12</f>
        <v>6061199.86400095</v>
      </c>
      <c r="AB13" s="151" t="n">
        <f aca="false">AB8+AB10+AB12</f>
        <v>5722621.24400095</v>
      </c>
      <c r="AC13" s="151" t="n">
        <f aca="false">AC8+AC10+AC12</f>
        <v>5359200.39400095</v>
      </c>
      <c r="AD13" s="151" t="n">
        <f aca="false">AD8+AD10+AD12</f>
        <v>4985653.12984355</v>
      </c>
      <c r="AE13" s="151" t="n">
        <f aca="false">AE8+AE10+AE12</f>
        <v>4328879.64815835</v>
      </c>
      <c r="AF13" s="151" t="n">
        <f aca="false">AF8+AF10+AF12</f>
        <v>4254502.3390269</v>
      </c>
      <c r="AG13" s="151" t="n">
        <f aca="false">AG8+AG10+AG12</f>
        <v>3437241.4390269</v>
      </c>
      <c r="AH13" s="151" t="n">
        <f aca="false">AH8+AH10+AH12</f>
        <v>3482912.9990269</v>
      </c>
      <c r="AI13" s="151" t="n">
        <f aca="false">AI8+AI10+AI12</f>
        <v>3510945.6090269</v>
      </c>
      <c r="AJ13" s="151" t="n">
        <f aca="false">AJ8+AJ10+AJ12</f>
        <v>3521789.46859465</v>
      </c>
      <c r="AK13" s="151" t="n">
        <f aca="false">AK8+AK10+AK12</f>
        <v>3516138.20978576</v>
      </c>
      <c r="AL13" s="151" t="n">
        <f aca="false">AL8+AL10+AL12</f>
        <v>3494716.33094416</v>
      </c>
      <c r="AM13" s="151" t="n">
        <f aca="false">AM8+AM10+AM12</f>
        <v>3458324.46638544</v>
      </c>
      <c r="AN13" s="151" t="n">
        <f aca="false">AN8+AN10+AN12</f>
        <v>3407772.11638544</v>
      </c>
      <c r="AO13" s="151" t="n">
        <f aca="false">AO8+AO10+AO12</f>
        <v>3343852.47184809</v>
      </c>
      <c r="AP13" s="151" t="n">
        <f aca="false">AP8+AP10+AP12</f>
        <v>3047668.83492576</v>
      </c>
      <c r="AQ13" s="151" t="n">
        <f aca="false">AQ8+AQ10+AQ12</f>
        <v>2991602.53492576</v>
      </c>
      <c r="AR13" s="151" t="n">
        <f aca="false">AR8+AR10+AR12</f>
        <v>2921081.12492576</v>
      </c>
      <c r="AS13" s="151" t="n">
        <f aca="false">AS8+AS10+AS12</f>
        <v>2836713.74492576</v>
      </c>
      <c r="AT13" s="151" t="n">
        <f aca="false">AT8+AT10+AT12</f>
        <v>2739322.47492576</v>
      </c>
      <c r="AU13" s="151" t="n">
        <f aca="false">AU8+AU10+AU12</f>
        <v>2629912.70027926</v>
      </c>
      <c r="AV13" s="151" t="n">
        <f aca="false">AV8+AV10+AV12</f>
        <v>1882173.37086855</v>
      </c>
      <c r="AW13" s="151" t="n">
        <f aca="false">AW8+AW10+AW12</f>
        <v>1844954.20086855</v>
      </c>
      <c r="AX13" s="151" t="n">
        <f aca="false">AX8+AX10+AX12</f>
        <v>1790448.79086855</v>
      </c>
      <c r="AY13" s="151" t="n">
        <f aca="false">AY8+AY10+AY12</f>
        <v>1720311.34086855</v>
      </c>
      <c r="AZ13" s="151" t="n">
        <f aca="false">AZ8+AZ10+AZ12</f>
        <v>1636485.50086855</v>
      </c>
      <c r="BA13" s="151" t="n">
        <f aca="false">BA8+BA10+BA12</f>
        <v>1541245.78086855</v>
      </c>
      <c r="BB13" s="151" t="n">
        <f aca="false">BB8+BB10+BB12</f>
        <v>1437156.17086855</v>
      </c>
      <c r="BC13" s="151" t="n">
        <f aca="false">BC8+BC10+BC12</f>
        <v>1326739.30086855</v>
      </c>
      <c r="BD13" s="151" t="n">
        <f aca="false">BD8+BD10+BD12</f>
        <v>1212641.87086855</v>
      </c>
      <c r="BE13" s="151" t="n">
        <f aca="false">BE8+BE10+BE12</f>
        <v>1097345.16086855</v>
      </c>
      <c r="BF13" s="151" t="n">
        <f aca="false">BF8+BF10+BF12</f>
        <v>983123.670868547</v>
      </c>
      <c r="BG13" s="151" t="n">
        <f aca="false">BG8+BG10+BG12</f>
        <v>872045.120868547</v>
      </c>
      <c r="BH13" s="151" t="n">
        <f aca="false">BH8+BH10+BH12</f>
        <v>765805.070868547</v>
      </c>
      <c r="BI13" s="151" t="n">
        <f aca="false">BI8+BI10+BI12</f>
        <v>665850.925924146</v>
      </c>
      <c r="BJ13" s="151" t="n">
        <f aca="false">BJ8+BJ10+BJ12</f>
        <v>0</v>
      </c>
      <c r="BK13" s="151" t="n">
        <f aca="false">BK8+BK10+BK12</f>
        <v>0</v>
      </c>
      <c r="BL13" s="151" t="n">
        <f aca="false">BL8+BL10+BL12</f>
        <v>0</v>
      </c>
      <c r="BM13" s="151" t="n">
        <f aca="false">BM8+BM10+BM12</f>
        <v>0</v>
      </c>
      <c r="BN13" s="151" t="n">
        <f aca="false">BN8+BN10+BN12</f>
        <v>0</v>
      </c>
      <c r="BO13" s="151" t="n">
        <f aca="false">BO8+BO10+BO12</f>
        <v>0</v>
      </c>
      <c r="BP13" s="151" t="n">
        <f aca="false">BP8+BP10+BP12</f>
        <v>0</v>
      </c>
      <c r="BQ13" s="151" t="n">
        <f aca="false">BQ8+BQ10+BQ12</f>
        <v>0</v>
      </c>
      <c r="BR13" s="151" t="n">
        <f aca="false">BR8+BR10+BR12</f>
        <v>0</v>
      </c>
      <c r="BS13" s="151" t="n">
        <f aca="false">BS8+BS10+BS12</f>
        <v>0</v>
      </c>
      <c r="BT13" s="151" t="n">
        <f aca="false">BT8+BT10+BT12</f>
        <v>0</v>
      </c>
      <c r="BU13" s="151" t="n">
        <f aca="false">BU8+BU10+BU12</f>
        <v>0</v>
      </c>
      <c r="BV13" s="151" t="n">
        <f aca="false">BV8+BV10+BV12</f>
        <v>0</v>
      </c>
      <c r="BW13" s="151" t="n">
        <f aca="false">BW8+BW10+BW12</f>
        <v>0</v>
      </c>
      <c r="BX13" s="151" t="n">
        <f aca="false">BX8+BX10+BX12</f>
        <v>0</v>
      </c>
      <c r="BY13" s="151" t="n">
        <f aca="false">BY8+BY10+BY12</f>
        <v>0</v>
      </c>
      <c r="BZ13" s="151" t="n">
        <f aca="false">BZ8+BZ10+BZ12</f>
        <v>0</v>
      </c>
      <c r="CA13" s="151" t="n">
        <f aca="false">CA8+CA10+CA12</f>
        <v>0</v>
      </c>
      <c r="CB13" s="151" t="n">
        <f aca="false">CB8+CB10+CB12</f>
        <v>0</v>
      </c>
      <c r="CC13" s="151" t="n">
        <f aca="false">CC8+CC10+CC12</f>
        <v>0</v>
      </c>
      <c r="CD13" s="151" t="n">
        <f aca="false">CD8+CD10+CD12</f>
        <v>0</v>
      </c>
      <c r="CE13" s="151" t="n">
        <f aca="false">CE8+CE10+CE12</f>
        <v>0</v>
      </c>
      <c r="CF13" s="151" t="n">
        <f aca="false">CF8+CF10+CF12</f>
        <v>0</v>
      </c>
      <c r="CG13" s="151" t="n">
        <f aca="false">CG8+CG10+CG12</f>
        <v>0</v>
      </c>
      <c r="CH13" s="151" t="n">
        <f aca="false">CH8+CH10+CH12</f>
        <v>0</v>
      </c>
      <c r="CI13" s="151" t="n">
        <f aca="false">CI8+CI10+CI12</f>
        <v>0</v>
      </c>
      <c r="CJ13" s="151" t="n">
        <f aca="false">CJ8+CJ10+CJ12</f>
        <v>0</v>
      </c>
      <c r="CK13" s="151" t="n">
        <f aca="false">CK8+CK10+CK12</f>
        <v>0</v>
      </c>
      <c r="CL13" s="151" t="n">
        <f aca="false">CL8+CL10+CL12</f>
        <v>0</v>
      </c>
      <c r="CM13" s="151" t="n">
        <f aca="false">CM8+CM10+CM12</f>
        <v>0</v>
      </c>
      <c r="CN13" s="151" t="n">
        <f aca="false">CN8+CN10+CN12</f>
        <v>0</v>
      </c>
      <c r="CO13" s="151" t="n">
        <f aca="false">CO8+CO10+CO12</f>
        <v>0</v>
      </c>
      <c r="CP13" s="151" t="n">
        <f aca="false">CP8+CP10+CP12</f>
        <v>0</v>
      </c>
      <c r="CQ13" s="151" t="n">
        <f aca="false">CQ8+CQ10+CQ12</f>
        <v>0</v>
      </c>
      <c r="CR13" s="151" t="n">
        <f aca="false">CR8+CR10+CR12</f>
        <v>0</v>
      </c>
      <c r="CS13" s="151" t="n">
        <f aca="false">CS8+CS10+CS12</f>
        <v>0</v>
      </c>
      <c r="CT13" s="151" t="n">
        <f aca="false">CT8+CT10+CT12</f>
        <v>0</v>
      </c>
      <c r="CU13" s="151" t="n">
        <f aca="false">CU8+CU10+CU12</f>
        <v>0</v>
      </c>
      <c r="CV13" s="151" t="n">
        <f aca="false">CV8+CV10+CV12</f>
        <v>0</v>
      </c>
      <c r="CW13" s="151" t="n">
        <f aca="false">CW8+CW10+CW12</f>
        <v>0</v>
      </c>
      <c r="CX13" s="151" t="n">
        <f aca="false">CX8+CX10+CX12</f>
        <v>0</v>
      </c>
      <c r="CY13" s="151" t="n">
        <f aca="false">CY8+CY10+CY12</f>
        <v>0</v>
      </c>
      <c r="CZ13" s="151" t="n">
        <f aca="false">CZ8+CZ10+CZ12</f>
        <v>0</v>
      </c>
      <c r="DA13" s="151" t="n">
        <f aca="false">DA8+DA10+DA12</f>
        <v>0</v>
      </c>
      <c r="DB13" s="151" t="n">
        <f aca="false">DB8+DB10+DB12</f>
        <v>0</v>
      </c>
      <c r="DC13" s="151" t="n">
        <f aca="false">DC8+DC10+DC12</f>
        <v>0</v>
      </c>
      <c r="DD13" s="151" t="n">
        <f aca="false">DD8+DD10+DD12</f>
        <v>0</v>
      </c>
      <c r="DE13" s="151" t="n">
        <f aca="false">DE8+DE10+DE12</f>
        <v>0</v>
      </c>
      <c r="DF13" s="151" t="n">
        <f aca="false">DF8+DF10+DF12</f>
        <v>0</v>
      </c>
    </row>
    <row r="14" customFormat="false" ht="15" hidden="false" customHeight="true" outlineLevel="0" collapsed="false">
      <c r="A14" s="101" t="s">
        <v>345</v>
      </c>
      <c r="C14" s="150" t="n">
        <v>-1233067.43</v>
      </c>
      <c r="D14" s="150" t="n">
        <v>-3073522.36</v>
      </c>
      <c r="E14" s="150" t="n">
        <v>-2078031.64</v>
      </c>
      <c r="F14" s="152" t="n">
        <v>-3985482.58403402</v>
      </c>
      <c r="G14" s="152" t="n">
        <v>-4178441.93467641</v>
      </c>
      <c r="H14" s="152" t="n">
        <v>-4314673.98179329</v>
      </c>
      <c r="I14" s="152" t="n">
        <v>-5100719.40418529</v>
      </c>
      <c r="J14" s="152" t="n">
        <v>-5260214.25623971</v>
      </c>
      <c r="K14" s="152" t="n">
        <v>-5352854.31833945</v>
      </c>
      <c r="L14" s="152" t="n">
        <v>-5849570.14613038</v>
      </c>
      <c r="M14" s="152" t="n">
        <v>-6345476.13239193</v>
      </c>
      <c r="N14" s="152" t="n">
        <v>-6208239.26255321</v>
      </c>
      <c r="O14" s="152" t="n">
        <v>-6395725.66434017</v>
      </c>
      <c r="P14" s="152" t="n">
        <v>-6526715.60885338</v>
      </c>
      <c r="Q14" s="152" t="n">
        <v>-6598279.76517372</v>
      </c>
      <c r="R14" s="152" t="n">
        <v>-7163160.25198472</v>
      </c>
      <c r="S14" s="152" t="n">
        <v>-7214523.89541135</v>
      </c>
      <c r="T14" s="152" t="n">
        <v>-7044289.82829815</v>
      </c>
      <c r="U14" s="152" t="n">
        <v>-6558946.86638782</v>
      </c>
      <c r="V14" s="152" t="n">
        <v>-6351724.9937303</v>
      </c>
      <c r="W14" s="152" t="n">
        <v>-6350910.5797313</v>
      </c>
      <c r="X14" s="152" t="n">
        <v>-6231956.52523155</v>
      </c>
      <c r="Y14" s="152" t="n">
        <v>-6016281.88355905</v>
      </c>
      <c r="Z14" s="152" t="n">
        <v>-5778039.55108905</v>
      </c>
      <c r="AA14" s="152" t="n">
        <v>-5481055.51416705</v>
      </c>
      <c r="AB14" s="152" t="n">
        <v>-5142476.88514805</v>
      </c>
      <c r="AC14" s="152" t="n">
        <v>-4779056.03641005</v>
      </c>
      <c r="AD14" s="152" t="n">
        <v>-4323487.76034045</v>
      </c>
      <c r="AE14" s="152" t="n">
        <v>-3830756.31368165</v>
      </c>
      <c r="AF14" s="152" t="n">
        <v>-3598719.3564371</v>
      </c>
      <c r="AG14" s="152" t="n">
        <v>-2781458.4577761</v>
      </c>
      <c r="AH14" s="152" t="n">
        <v>-2827130.0229831</v>
      </c>
      <c r="AI14" s="152" t="n">
        <v>-2855162.6339251</v>
      </c>
      <c r="AJ14" s="152" t="n">
        <v>-2738010.36288435</v>
      </c>
      <c r="AK14" s="152" t="n">
        <v>-2961685.49998524</v>
      </c>
      <c r="AL14" s="152" t="n">
        <v>-2681612.89887884</v>
      </c>
      <c r="AM14" s="152" t="n">
        <v>-3067683.88382956</v>
      </c>
      <c r="AN14" s="152" t="n">
        <v>-3017131.52805656</v>
      </c>
      <c r="AO14" s="152" t="n">
        <v>-2857832.82197891</v>
      </c>
      <c r="AP14" s="152" t="n">
        <v>-2717434.98835224</v>
      </c>
      <c r="AQ14" s="152" t="n">
        <v>-2661368.68946424</v>
      </c>
      <c r="AR14" s="152" t="n">
        <v>-2590847.27570024</v>
      </c>
      <c r="AS14" s="152" t="n">
        <v>-2506479.90028024</v>
      </c>
      <c r="AT14" s="152" t="n">
        <v>-2409088.63497424</v>
      </c>
      <c r="AU14" s="152" t="n">
        <v>-2027193.26653074</v>
      </c>
      <c r="AV14" s="152" t="n">
        <v>-1724513.72534745</v>
      </c>
      <c r="AW14" s="152" t="n">
        <v>-1687294.55654745</v>
      </c>
      <c r="AX14" s="152" t="n">
        <v>-1632789.15157145</v>
      </c>
      <c r="AY14" s="152" t="n">
        <v>-1562651.69569945</v>
      </c>
      <c r="AZ14" s="152" t="n">
        <v>-1478825.85663545</v>
      </c>
      <c r="BA14" s="152" t="n">
        <v>-1383586.13913945</v>
      </c>
      <c r="BB14" s="152" t="n">
        <v>-1279496.53039545</v>
      </c>
      <c r="BC14" s="152" t="n">
        <v>-1169079.66295545</v>
      </c>
      <c r="BD14" s="152" t="n">
        <v>-1054982.23326745</v>
      </c>
      <c r="BE14" s="152" t="n">
        <v>-939685.519251453</v>
      </c>
      <c r="BF14" s="152" t="n">
        <v>-825464.025667453</v>
      </c>
      <c r="BG14" s="152" t="n">
        <v>-714385.484115453</v>
      </c>
      <c r="BH14" s="152" t="n">
        <v>-608145.434507453</v>
      </c>
      <c r="BI14" s="152" t="n">
        <v>-259255.013907853</v>
      </c>
      <c r="BJ14" s="152" t="n">
        <v>0</v>
      </c>
      <c r="BK14" s="152" t="n">
        <v>0</v>
      </c>
      <c r="BL14" s="152" t="n">
        <v>0</v>
      </c>
      <c r="BM14" s="152" t="n">
        <v>0</v>
      </c>
      <c r="BN14" s="152" t="n">
        <v>0</v>
      </c>
      <c r="BO14" s="152" t="n">
        <v>0</v>
      </c>
      <c r="BP14" s="152" t="n">
        <v>0</v>
      </c>
      <c r="BQ14" s="152" t="n">
        <v>0</v>
      </c>
      <c r="BR14" s="152" t="n">
        <v>0</v>
      </c>
      <c r="BS14" s="152" t="n">
        <v>0</v>
      </c>
      <c r="BT14" s="152" t="n">
        <v>0</v>
      </c>
      <c r="BU14" s="152" t="n">
        <v>0</v>
      </c>
      <c r="BV14" s="152" t="n">
        <v>0</v>
      </c>
      <c r="BW14" s="152" t="n">
        <v>0</v>
      </c>
      <c r="BX14" s="152" t="n">
        <v>0</v>
      </c>
      <c r="BY14" s="152" t="n">
        <v>0</v>
      </c>
      <c r="BZ14" s="152" t="n">
        <v>0</v>
      </c>
      <c r="CA14" s="152" t="n">
        <v>0</v>
      </c>
      <c r="CB14" s="152" t="n">
        <v>0</v>
      </c>
      <c r="CC14" s="152" t="n">
        <v>0</v>
      </c>
      <c r="CD14" s="152" t="n">
        <v>0</v>
      </c>
      <c r="CE14" s="152" t="n">
        <v>0</v>
      </c>
      <c r="CF14" s="152" t="n">
        <v>0</v>
      </c>
      <c r="CG14" s="152" t="n">
        <v>0</v>
      </c>
      <c r="CH14" s="152" t="n">
        <v>0</v>
      </c>
      <c r="CI14" s="152" t="n">
        <v>0</v>
      </c>
      <c r="CJ14" s="152" t="n">
        <v>0</v>
      </c>
      <c r="CK14" s="152" t="n">
        <v>0</v>
      </c>
      <c r="CL14" s="152" t="n">
        <v>0</v>
      </c>
      <c r="CM14" s="152" t="n">
        <v>0</v>
      </c>
      <c r="CN14" s="152" t="n">
        <v>0</v>
      </c>
      <c r="CO14" s="152" t="n">
        <v>0</v>
      </c>
      <c r="CP14" s="152" t="n">
        <v>0</v>
      </c>
      <c r="CQ14" s="152" t="n">
        <v>0</v>
      </c>
      <c r="CR14" s="152" t="n">
        <v>0</v>
      </c>
      <c r="CS14" s="152" t="n">
        <v>0</v>
      </c>
      <c r="CT14" s="152" t="n">
        <v>0</v>
      </c>
      <c r="CU14" s="152" t="n">
        <v>0</v>
      </c>
      <c r="CV14" s="152" t="n">
        <v>0</v>
      </c>
      <c r="CW14" s="152" t="n">
        <v>0</v>
      </c>
      <c r="CX14" s="152" t="n">
        <v>0</v>
      </c>
      <c r="CY14" s="152" t="n">
        <v>0</v>
      </c>
      <c r="CZ14" s="152" t="n">
        <v>0</v>
      </c>
      <c r="DA14" s="152" t="n">
        <v>0</v>
      </c>
      <c r="DB14" s="152" t="n">
        <v>0</v>
      </c>
      <c r="DC14" s="152" t="n">
        <v>0</v>
      </c>
      <c r="DD14" s="152" t="n">
        <v>0</v>
      </c>
      <c r="DE14" s="152" t="n">
        <v>0</v>
      </c>
      <c r="DF14" s="152" t="n">
        <v>0</v>
      </c>
    </row>
    <row r="15" customFormat="false" ht="15" hidden="false" customHeight="true" outlineLevel="0" collapsed="false">
      <c r="A15" s="90" t="s">
        <v>397</v>
      </c>
      <c r="C15" s="104" t="n">
        <v>0</v>
      </c>
      <c r="D15" s="104" t="n">
        <v>0</v>
      </c>
      <c r="E15" s="104" t="n">
        <v>0</v>
      </c>
      <c r="F15" s="147" t="n">
        <v>0</v>
      </c>
      <c r="G15" s="147" t="n">
        <v>0</v>
      </c>
      <c r="H15" s="147" t="n">
        <v>0</v>
      </c>
      <c r="I15" s="147" t="n">
        <v>644526.72</v>
      </c>
      <c r="J15" s="147" t="n">
        <v>0</v>
      </c>
      <c r="K15" s="147" t="n">
        <v>0</v>
      </c>
      <c r="L15" s="147" t="n">
        <v>442059.825</v>
      </c>
      <c r="M15" s="147" t="n">
        <v>318951.075</v>
      </c>
      <c r="N15" s="147" t="n">
        <v>0</v>
      </c>
      <c r="O15" s="147" t="n">
        <v>0</v>
      </c>
      <c r="P15" s="147" t="n">
        <v>0</v>
      </c>
      <c r="Q15" s="147" t="n">
        <v>0</v>
      </c>
      <c r="R15" s="147" t="n">
        <v>679001.55</v>
      </c>
      <c r="S15" s="147" t="n">
        <v>0</v>
      </c>
      <c r="T15" s="147" t="n">
        <v>0</v>
      </c>
      <c r="U15" s="147" t="n">
        <v>0</v>
      </c>
      <c r="V15" s="147" t="n">
        <v>0</v>
      </c>
      <c r="W15" s="147" t="n">
        <v>0</v>
      </c>
      <c r="X15" s="147" t="n">
        <v>0</v>
      </c>
      <c r="Y15" s="147" t="n">
        <v>0</v>
      </c>
      <c r="Z15" s="147" t="n">
        <v>0</v>
      </c>
      <c r="AA15" s="147" t="n">
        <v>0</v>
      </c>
      <c r="AB15" s="147" t="n">
        <v>0</v>
      </c>
      <c r="AC15" s="147" t="n">
        <v>0</v>
      </c>
      <c r="AD15" s="147" t="n">
        <v>0</v>
      </c>
      <c r="AE15" s="147" t="n">
        <v>0</v>
      </c>
      <c r="AF15" s="147" t="n">
        <v>620319.48</v>
      </c>
      <c r="AG15" s="147" t="n">
        <v>0</v>
      </c>
      <c r="AH15" s="147" t="n">
        <v>0</v>
      </c>
      <c r="AI15" s="147" t="n">
        <v>0</v>
      </c>
      <c r="AJ15" s="147" t="n">
        <v>0</v>
      </c>
      <c r="AK15" s="147" t="n">
        <v>0</v>
      </c>
      <c r="AL15" s="147" t="n">
        <v>0</v>
      </c>
      <c r="AM15" s="147" t="n">
        <v>0</v>
      </c>
      <c r="AN15" s="147" t="n">
        <v>0</v>
      </c>
      <c r="AO15" s="147" t="n">
        <v>0</v>
      </c>
      <c r="AP15" s="147" t="n">
        <v>0</v>
      </c>
      <c r="AQ15" s="147" t="n">
        <v>0</v>
      </c>
      <c r="AR15" s="147" t="n">
        <v>0</v>
      </c>
      <c r="AS15" s="147" t="n">
        <v>0</v>
      </c>
      <c r="AT15" s="147" t="n">
        <v>0</v>
      </c>
      <c r="AU15" s="147" t="n">
        <v>0</v>
      </c>
      <c r="AV15" s="147" t="n">
        <v>0</v>
      </c>
      <c r="AW15" s="147" t="n">
        <v>0</v>
      </c>
      <c r="AX15" s="147" t="n">
        <v>0</v>
      </c>
      <c r="AY15" s="147" t="n">
        <v>0</v>
      </c>
      <c r="AZ15" s="147" t="n">
        <v>0</v>
      </c>
      <c r="BA15" s="147" t="n">
        <v>0</v>
      </c>
      <c r="BB15" s="147" t="n">
        <v>0</v>
      </c>
      <c r="BC15" s="147" t="n">
        <v>0</v>
      </c>
      <c r="BD15" s="147" t="n">
        <v>0</v>
      </c>
      <c r="BE15" s="147" t="n">
        <v>0</v>
      </c>
      <c r="BF15" s="147" t="n">
        <v>0</v>
      </c>
      <c r="BG15" s="147" t="n">
        <v>0</v>
      </c>
      <c r="BH15" s="147" t="n">
        <v>0</v>
      </c>
      <c r="BI15" s="147" t="n">
        <v>0</v>
      </c>
      <c r="BJ15" s="147" t="n">
        <v>0</v>
      </c>
      <c r="BK15" s="147" t="n">
        <v>0</v>
      </c>
      <c r="BL15" s="147" t="n">
        <v>0</v>
      </c>
      <c r="BM15" s="147" t="n">
        <v>0</v>
      </c>
      <c r="BN15" s="147" t="n">
        <v>0</v>
      </c>
      <c r="BO15" s="147" t="n">
        <v>0</v>
      </c>
      <c r="BP15" s="147" t="n">
        <v>0</v>
      </c>
      <c r="BQ15" s="147" t="n">
        <v>0</v>
      </c>
      <c r="BR15" s="147" t="n">
        <v>0</v>
      </c>
      <c r="BS15" s="147" t="n">
        <v>0</v>
      </c>
      <c r="BT15" s="147" t="n">
        <v>0</v>
      </c>
      <c r="BU15" s="147" t="n">
        <v>0</v>
      </c>
      <c r="BV15" s="147" t="n">
        <v>0</v>
      </c>
      <c r="BW15" s="147" t="n">
        <v>0</v>
      </c>
      <c r="BX15" s="147" t="n">
        <v>0</v>
      </c>
      <c r="BY15" s="147" t="n">
        <v>0</v>
      </c>
      <c r="BZ15" s="147" t="n">
        <v>0</v>
      </c>
      <c r="CA15" s="147" t="n">
        <v>0</v>
      </c>
      <c r="CB15" s="147" t="n">
        <v>0</v>
      </c>
      <c r="CC15" s="147" t="n">
        <v>0</v>
      </c>
      <c r="CD15" s="147" t="n">
        <v>0</v>
      </c>
      <c r="CE15" s="147" t="n">
        <v>0</v>
      </c>
      <c r="CF15" s="147" t="n">
        <v>0</v>
      </c>
      <c r="CG15" s="147" t="n">
        <v>0</v>
      </c>
      <c r="CH15" s="147" t="n">
        <v>0</v>
      </c>
      <c r="CI15" s="147" t="n">
        <v>0</v>
      </c>
      <c r="CJ15" s="147" t="n">
        <v>0</v>
      </c>
      <c r="CK15" s="147" t="n">
        <v>0</v>
      </c>
      <c r="CL15" s="147" t="n">
        <v>0</v>
      </c>
      <c r="CM15" s="147" t="n">
        <v>0</v>
      </c>
      <c r="CN15" s="147" t="n">
        <v>0</v>
      </c>
      <c r="CO15" s="147" t="n">
        <v>0</v>
      </c>
      <c r="CP15" s="147" t="n">
        <v>0</v>
      </c>
      <c r="CQ15" s="147" t="n">
        <v>0</v>
      </c>
      <c r="CR15" s="147" t="n">
        <v>0</v>
      </c>
      <c r="CS15" s="147" t="n">
        <v>0</v>
      </c>
      <c r="CT15" s="147" t="n">
        <v>0</v>
      </c>
      <c r="CU15" s="147" t="n">
        <v>0</v>
      </c>
      <c r="CV15" s="147" t="n">
        <v>0</v>
      </c>
      <c r="CW15" s="147" t="n">
        <v>0</v>
      </c>
      <c r="CX15" s="147" t="n">
        <v>0</v>
      </c>
      <c r="CY15" s="147" t="n">
        <v>0</v>
      </c>
      <c r="CZ15" s="147" t="n">
        <v>0</v>
      </c>
      <c r="DA15" s="147" t="n">
        <v>0</v>
      </c>
      <c r="DB15" s="147" t="n">
        <v>0</v>
      </c>
      <c r="DC15" s="147" t="n">
        <v>0</v>
      </c>
      <c r="DD15" s="147" t="n">
        <v>0</v>
      </c>
      <c r="DE15" s="147" t="n">
        <v>0</v>
      </c>
      <c r="DF15" s="147" t="n">
        <v>0</v>
      </c>
    </row>
    <row r="16" customFormat="false" ht="15" hidden="false" customHeight="true" outlineLevel="0" collapsed="false">
      <c r="A16" s="90" t="s">
        <v>399</v>
      </c>
      <c r="C16" s="151" t="n">
        <v>-1966.5</v>
      </c>
      <c r="D16" s="151" t="n">
        <v>0</v>
      </c>
      <c r="E16" s="151" t="n">
        <v>0</v>
      </c>
      <c r="F16" s="147" t="n">
        <v>0</v>
      </c>
      <c r="G16" s="147" t="n">
        <v>0</v>
      </c>
      <c r="H16" s="147" t="n">
        <v>0</v>
      </c>
      <c r="I16" s="147" t="n">
        <v>-317966.5152</v>
      </c>
      <c r="J16" s="147" t="n">
        <v>0</v>
      </c>
      <c r="K16" s="147" t="n">
        <v>0</v>
      </c>
      <c r="L16" s="147" t="n">
        <v>-218082.847</v>
      </c>
      <c r="M16" s="147" t="n">
        <v>-157349.197</v>
      </c>
      <c r="N16" s="147" t="n">
        <v>0</v>
      </c>
      <c r="O16" s="147" t="n">
        <v>0</v>
      </c>
      <c r="P16" s="147" t="n">
        <v>0</v>
      </c>
      <c r="Q16" s="147" t="n">
        <v>0</v>
      </c>
      <c r="R16" s="147" t="n">
        <v>-1471170.025</v>
      </c>
      <c r="S16" s="147" t="n">
        <v>0</v>
      </c>
      <c r="T16" s="147" t="n">
        <v>0</v>
      </c>
      <c r="U16" s="147" t="n">
        <v>0</v>
      </c>
      <c r="V16" s="147" t="n">
        <v>0</v>
      </c>
      <c r="W16" s="147" t="n">
        <v>0</v>
      </c>
      <c r="X16" s="147" t="n">
        <v>0</v>
      </c>
      <c r="Y16" s="147" t="n">
        <v>0</v>
      </c>
      <c r="Z16" s="147" t="n">
        <v>0</v>
      </c>
      <c r="AA16" s="147" t="n">
        <v>0</v>
      </c>
      <c r="AB16" s="147" t="n">
        <v>0</v>
      </c>
      <c r="AC16" s="147" t="n">
        <v>0</v>
      </c>
      <c r="AD16" s="147" t="n">
        <v>0</v>
      </c>
      <c r="AE16" s="147" t="n">
        <v>0</v>
      </c>
      <c r="AF16" s="147" t="n">
        <v>-1344025.54</v>
      </c>
      <c r="AG16" s="147" t="n">
        <v>0</v>
      </c>
      <c r="AH16" s="147" t="n">
        <v>0</v>
      </c>
      <c r="AI16" s="147" t="n">
        <v>0</v>
      </c>
      <c r="AJ16" s="147" t="n">
        <v>0</v>
      </c>
      <c r="AK16" s="147" t="n">
        <v>0</v>
      </c>
      <c r="AL16" s="147" t="n">
        <v>0</v>
      </c>
      <c r="AM16" s="147" t="n">
        <v>0</v>
      </c>
      <c r="AN16" s="147" t="n">
        <v>0</v>
      </c>
      <c r="AO16" s="147" t="n">
        <v>0</v>
      </c>
      <c r="AP16" s="147" t="n">
        <v>0</v>
      </c>
      <c r="AQ16" s="147" t="n">
        <v>0</v>
      </c>
      <c r="AR16" s="147" t="n">
        <v>0</v>
      </c>
      <c r="AS16" s="147" t="n">
        <v>0</v>
      </c>
      <c r="AT16" s="147" t="n">
        <v>0</v>
      </c>
      <c r="AU16" s="147" t="n">
        <v>0</v>
      </c>
      <c r="AV16" s="147" t="n">
        <v>0</v>
      </c>
      <c r="AW16" s="147" t="n">
        <v>0</v>
      </c>
      <c r="AX16" s="147" t="n">
        <v>0</v>
      </c>
      <c r="AY16" s="147" t="n">
        <v>0</v>
      </c>
      <c r="AZ16" s="147" t="n">
        <v>0</v>
      </c>
      <c r="BA16" s="147" t="n">
        <v>0</v>
      </c>
      <c r="BB16" s="147" t="n">
        <v>0</v>
      </c>
      <c r="BC16" s="147" t="n">
        <v>0</v>
      </c>
      <c r="BD16" s="147" t="n">
        <v>0</v>
      </c>
      <c r="BE16" s="147" t="n">
        <v>0</v>
      </c>
      <c r="BF16" s="147" t="n">
        <v>0</v>
      </c>
      <c r="BG16" s="147" t="n">
        <v>0</v>
      </c>
      <c r="BH16" s="147" t="n">
        <v>0</v>
      </c>
      <c r="BI16" s="147" t="n">
        <v>0</v>
      </c>
      <c r="BJ16" s="147" t="n">
        <v>0</v>
      </c>
      <c r="BK16" s="147" t="n">
        <v>0</v>
      </c>
      <c r="BL16" s="147" t="n">
        <v>0</v>
      </c>
      <c r="BM16" s="147" t="n">
        <v>0</v>
      </c>
      <c r="BN16" s="147" t="n">
        <v>0</v>
      </c>
      <c r="BO16" s="147" t="n">
        <v>0</v>
      </c>
      <c r="BP16" s="147" t="n">
        <v>0</v>
      </c>
      <c r="BQ16" s="147" t="n">
        <v>0</v>
      </c>
      <c r="BR16" s="147" t="n">
        <v>0</v>
      </c>
      <c r="BS16" s="147" t="n">
        <v>0</v>
      </c>
      <c r="BT16" s="147" t="n">
        <v>0</v>
      </c>
      <c r="BU16" s="147" t="n">
        <v>0</v>
      </c>
      <c r="BV16" s="147" t="n">
        <v>0</v>
      </c>
      <c r="BW16" s="147" t="n">
        <v>0</v>
      </c>
      <c r="BX16" s="147" t="n">
        <v>0</v>
      </c>
      <c r="BY16" s="147" t="n">
        <v>0</v>
      </c>
      <c r="BZ16" s="147" t="n">
        <v>0</v>
      </c>
      <c r="CA16" s="147" t="n">
        <v>0</v>
      </c>
      <c r="CB16" s="147" t="n">
        <v>0</v>
      </c>
      <c r="CC16" s="147" t="n">
        <v>0</v>
      </c>
      <c r="CD16" s="147" t="n">
        <v>0</v>
      </c>
      <c r="CE16" s="147" t="n">
        <v>0</v>
      </c>
      <c r="CF16" s="147" t="n">
        <v>0</v>
      </c>
      <c r="CG16" s="147" t="n">
        <v>0</v>
      </c>
      <c r="CH16" s="147" t="n">
        <v>0</v>
      </c>
      <c r="CI16" s="147" t="n">
        <v>0</v>
      </c>
      <c r="CJ16" s="147" t="n">
        <v>0</v>
      </c>
      <c r="CK16" s="147" t="n">
        <v>0</v>
      </c>
      <c r="CL16" s="147" t="n">
        <v>0</v>
      </c>
      <c r="CM16" s="147" t="n">
        <v>0</v>
      </c>
      <c r="CN16" s="147" t="n">
        <v>0</v>
      </c>
      <c r="CO16" s="147" t="n">
        <v>0</v>
      </c>
      <c r="CP16" s="147" t="n">
        <v>0</v>
      </c>
      <c r="CQ16" s="147" t="n">
        <v>0</v>
      </c>
      <c r="CR16" s="147" t="n">
        <v>0</v>
      </c>
      <c r="CS16" s="147" t="n">
        <v>0</v>
      </c>
      <c r="CT16" s="147" t="n">
        <v>0</v>
      </c>
      <c r="CU16" s="147" t="n">
        <v>0</v>
      </c>
      <c r="CV16" s="147" t="n">
        <v>0</v>
      </c>
      <c r="CW16" s="147" t="n">
        <v>0</v>
      </c>
      <c r="CX16" s="147" t="n">
        <v>0</v>
      </c>
      <c r="CY16" s="147" t="n">
        <v>0</v>
      </c>
      <c r="CZ16" s="147" t="n">
        <v>0</v>
      </c>
      <c r="DA16" s="147" t="n">
        <v>0</v>
      </c>
      <c r="DB16" s="147" t="n">
        <v>0</v>
      </c>
      <c r="DC16" s="147" t="n">
        <v>0</v>
      </c>
      <c r="DD16" s="147" t="n">
        <v>0</v>
      </c>
      <c r="DE16" s="147" t="n">
        <v>0</v>
      </c>
      <c r="DF16" s="147" t="n">
        <v>0</v>
      </c>
    </row>
    <row r="17" customFormat="false" ht="15" hidden="false" customHeight="true" outlineLevel="0" collapsed="false">
      <c r="A17" s="94" t="s">
        <v>61</v>
      </c>
      <c r="C17" s="151" t="n">
        <f aca="false">C8+C9+C10+C11+C12+C14+C15+C16</f>
        <v>218752.81</v>
      </c>
      <c r="D17" s="151" t="n">
        <f aca="false">D8+D9+D10+D11+D12+D14+D15+D16</f>
        <v>-51003.4699999997</v>
      </c>
      <c r="E17" s="151" t="n">
        <f aca="false">E8+E9+E10+E11+E12+E14+E15+E16</f>
        <v>594184.52</v>
      </c>
      <c r="F17" s="153" t="n">
        <f aca="false">F8+F9+F10+F11+F12+F14+F15+F16</f>
        <v>468885.062220243</v>
      </c>
      <c r="G17" s="153" t="n">
        <f aca="false">G8+G9+G10+G11+G12+G14+G15+G16</f>
        <v>468885.061577853</v>
      </c>
      <c r="H17" s="153" t="n">
        <f aca="false">H8+H9+H10+H11+H12+H14+H15+H16</f>
        <v>468885.064460973</v>
      </c>
      <c r="I17" s="153" t="n">
        <f aca="false">I8+I9+I10+I11+I12+I14+I15+I16</f>
        <v>959257.390269293</v>
      </c>
      <c r="J17" s="153" t="n">
        <f aca="false">J8+J9+J10+J11+J12+J14+J15+J16</f>
        <v>632697.193414873</v>
      </c>
      <c r="K17" s="153" t="n">
        <f aca="false">K8+K9+K10+K11+K12+K14+K15+K16</f>
        <v>632697.191315133</v>
      </c>
      <c r="L17" s="153" t="n">
        <f aca="false">L8+L9+L10+L11+L12+L14+L15+L16</f>
        <v>999101.928826481</v>
      </c>
      <c r="M17" s="153" t="n">
        <f aca="false">M8+M9+M10+M11+M12+M14+M15+M16</f>
        <v>1080952.85657232</v>
      </c>
      <c r="N17" s="153" t="n">
        <f aca="false">N8+N9+N10+N11+N12+N14+N15+N16</f>
        <v>774577.772324943</v>
      </c>
      <c r="O17" s="153" t="n">
        <f aca="false">O8+O9+O10+O11+O12+O14+O15+O16</f>
        <v>774577.770537984</v>
      </c>
      <c r="P17" s="153" t="n">
        <f aca="false">P8+P9+P10+P11+P12+P14+P15+P16</f>
        <v>774577.776024773</v>
      </c>
      <c r="Q17" s="153" t="n">
        <f aca="false">Q8+Q9+Q10+Q11+Q12+Q14+Q15+Q16</f>
        <v>774577.779704433</v>
      </c>
      <c r="R17" s="153" t="n">
        <f aca="false">R8+R9+R10+R11+R12+R14+R15+R16</f>
        <v>154983.50195065</v>
      </c>
      <c r="S17" s="153" t="n">
        <f aca="false">S8+S9+S10+S11+S12+S14+S15+S16</f>
        <v>947151.983524021</v>
      </c>
      <c r="T17" s="153" t="n">
        <f aca="false">T8+T9+T10+T11+T12+T14+T15+T16</f>
        <v>1105813.85892342</v>
      </c>
      <c r="U17" s="153" t="n">
        <f aca="false">U8+U9+U10+U11+U12+U14+U15+U16</f>
        <v>867633.413629646</v>
      </c>
      <c r="V17" s="153" t="n">
        <f aca="false">V8+V9+V10+V11+V12+V14+V15+V16</f>
        <v>601954.6547104</v>
      </c>
      <c r="W17" s="153" t="n">
        <f aca="false">W8+W9+W10+W11+W12+W14+W15+W16</f>
        <v>601954.6587094</v>
      </c>
      <c r="X17" s="153" t="n">
        <f aca="false">X8+X9+X10+X11+X12+X14+X15+X16</f>
        <v>623764.9676489</v>
      </c>
      <c r="Y17" s="153" t="n">
        <f aca="false">Y8+Y9+Y10+Y11+Y12+Y14+Y15+Y16</f>
        <v>580144.3504419</v>
      </c>
      <c r="Z17" s="153" t="n">
        <f aca="false">Z8+Z9+Z10+Z11+Z12+Z14+Z15+Z16</f>
        <v>580144.3529119</v>
      </c>
      <c r="AA17" s="153" t="n">
        <f aca="false">AA8+AA9+AA10+AA11+AA12+AA14+AA15+AA16</f>
        <v>580144.3498339</v>
      </c>
      <c r="AB17" s="153" t="n">
        <f aca="false">AB8+AB9+AB10+AB11+AB12+AB14+AB15+AB16</f>
        <v>580144.3588529</v>
      </c>
      <c r="AC17" s="153" t="n">
        <f aca="false">AC8+AC9+AC10+AC11+AC12+AC14+AC15+AC16</f>
        <v>580144.357590901</v>
      </c>
      <c r="AD17" s="153" t="n">
        <f aca="false">AD8+AD9+AD10+AD11+AD12+AD14+AD15+AD16</f>
        <v>662165.3695031</v>
      </c>
      <c r="AE17" s="153" t="n">
        <f aca="false">AE8+AE9+AE10+AE11+AE12+AE14+AE15+AE16</f>
        <v>498123.3344767</v>
      </c>
      <c r="AF17" s="153" t="n">
        <f aca="false">AF8+AF9+AF10+AF11+AF12+AF14+AF15+AF16</f>
        <v>-67923.0774102029</v>
      </c>
      <c r="AG17" s="153" t="n">
        <f aca="false">AG8+AG9+AG10+AG11+AG12+AG14+AG15+AG16</f>
        <v>655782.981250797</v>
      </c>
      <c r="AH17" s="153" t="n">
        <f aca="false">AH8+AH9+AH10+AH11+AH12+AH14+AH15+AH16</f>
        <v>655782.976043797</v>
      </c>
      <c r="AI17" s="153" t="n">
        <f aca="false">AI8+AI9+AI10+AI11+AI12+AI14+AI15+AI16</f>
        <v>655782.975101797</v>
      </c>
      <c r="AJ17" s="153" t="n">
        <f aca="false">AJ8+AJ9+AJ10+AJ11+AJ12+AJ14+AJ15+AJ16</f>
        <v>783779.105710297</v>
      </c>
      <c r="AK17" s="153" t="n">
        <f aca="false">AK8+AK9+AK10+AK11+AK12+AK14+AK15+AK16</f>
        <v>554452.709800521</v>
      </c>
      <c r="AL17" s="153" t="n">
        <f aca="false">AL8+AL9+AL10+AL11+AL12+AL14+AL15+AL16</f>
        <v>813103.432065321</v>
      </c>
      <c r="AM17" s="153" t="n">
        <f aca="false">AM8+AM9+AM10+AM11+AM12+AM14+AM15+AM16</f>
        <v>390640.582555881</v>
      </c>
      <c r="AN17" s="153" t="n">
        <f aca="false">AN8+AN9+AN10+AN11+AN12+AN14+AN15+AN16</f>
        <v>390640.588328881</v>
      </c>
      <c r="AO17" s="153" t="n">
        <f aca="false">AO8+AO9+AO10+AO11+AO12+AO14+AO15+AO16</f>
        <v>486019.649869181</v>
      </c>
      <c r="AP17" s="153" t="n">
        <f aca="false">AP8+AP9+AP10+AP11+AP12+AP14+AP15+AP16</f>
        <v>330233.846573524</v>
      </c>
      <c r="AQ17" s="153" t="n">
        <f aca="false">AQ8+AQ9+AQ10+AQ11+AQ12+AQ14+AQ15+AQ16</f>
        <v>330233.845461524</v>
      </c>
      <c r="AR17" s="153" t="n">
        <f aca="false">AR8+AR9+AR10+AR11+AR12+AR14+AR15+AR16</f>
        <v>330233.849225524</v>
      </c>
      <c r="AS17" s="153" t="n">
        <f aca="false">AS8+AS9+AS10+AS11+AS12+AS14+AS15+AS16</f>
        <v>330233.844645524</v>
      </c>
      <c r="AT17" s="153" t="n">
        <f aca="false">AT8+AT9+AT10+AT11+AT12+AT14+AT15+AT16</f>
        <v>330233.839951524</v>
      </c>
      <c r="AU17" s="153" t="n">
        <f aca="false">AU8+AU9+AU10+AU11+AU12+AU14+AU15+AU16</f>
        <v>602719.433748524</v>
      </c>
      <c r="AV17" s="153" t="n">
        <f aca="false">AV8+AV9+AV10+AV11+AV12+AV14+AV15+AV16</f>
        <v>157659.645521097</v>
      </c>
      <c r="AW17" s="153" t="n">
        <f aca="false">AW8+AW9+AW10+AW11+AW12+AW14+AW15+AW16</f>
        <v>157659.644321097</v>
      </c>
      <c r="AX17" s="153" t="n">
        <f aca="false">AX8+AX9+AX10+AX11+AX12+AX14+AX15+AX16</f>
        <v>157659.639297097</v>
      </c>
      <c r="AY17" s="153" t="n">
        <f aca="false">AY8+AY9+AY10+AY11+AY12+AY14+AY15+AY16</f>
        <v>157659.645169097</v>
      </c>
      <c r="AZ17" s="153" t="n">
        <f aca="false">AZ8+AZ9+AZ10+AZ11+AZ12+AZ14+AZ15+AZ16</f>
        <v>157659.644233097</v>
      </c>
      <c r="BA17" s="153" t="n">
        <f aca="false">BA8+BA9+BA10+BA11+BA12+BA14+BA15+BA16</f>
        <v>157659.641729097</v>
      </c>
      <c r="BB17" s="153" t="n">
        <f aca="false">BB8+BB9+BB10+BB11+BB12+BB14+BB15+BB16</f>
        <v>157659.640473097</v>
      </c>
      <c r="BC17" s="153" t="n">
        <f aca="false">BC8+BC9+BC10+BC11+BC12+BC14+BC15+BC16</f>
        <v>157659.637913097</v>
      </c>
      <c r="BD17" s="153" t="n">
        <f aca="false">BD8+BD9+BD10+BD11+BD12+BD14+BD15+BD16</f>
        <v>157659.637601097</v>
      </c>
      <c r="BE17" s="153" t="n">
        <f aca="false">BE8+BE9+BE10+BE11+BE12+BE14+BE15+BE16</f>
        <v>157659.641617094</v>
      </c>
      <c r="BF17" s="153" t="n">
        <f aca="false">BF8+BF9+BF10+BF11+BF12+BF14+BF15+BF16</f>
        <v>157659.645201094</v>
      </c>
      <c r="BG17" s="153" t="n">
        <f aca="false">BG8+BG9+BG10+BG11+BG12+BG14+BG15+BG16</f>
        <v>157659.636753094</v>
      </c>
      <c r="BH17" s="153" t="n">
        <f aca="false">BH8+BH9+BH10+BH11+BH12+BH14+BH15+BH16</f>
        <v>157659.636361094</v>
      </c>
      <c r="BI17" s="153" t="n">
        <f aca="false">BI8+BI9+BI10+BI11+BI12+BI14+BI15+BI16</f>
        <v>406595.912016293</v>
      </c>
      <c r="BJ17" s="153" t="n">
        <f aca="false">BJ8+BJ9+BJ10+BJ11+BJ12+BJ14+BJ15+BJ16</f>
        <v>0</v>
      </c>
      <c r="BK17" s="153" t="n">
        <f aca="false">BK8+BK9+BK10+BK11+BK12+BK14+BK15+BK16</f>
        <v>0</v>
      </c>
      <c r="BL17" s="153" t="n">
        <f aca="false">BL8+BL9+BL10+BL11+BL12+BL14+BL15+BL16</f>
        <v>0</v>
      </c>
      <c r="BM17" s="153" t="n">
        <f aca="false">BM8+BM9+BM10+BM11+BM12+BM14+BM15+BM16</f>
        <v>0</v>
      </c>
      <c r="BN17" s="153" t="n">
        <f aca="false">BN8+BN9+BN10+BN11+BN12+BN14+BN15+BN16</f>
        <v>0</v>
      </c>
      <c r="BO17" s="153" t="n">
        <f aca="false">BO8+BO9+BO10+BO11+BO12+BO14+BO15+BO16</f>
        <v>0</v>
      </c>
      <c r="BP17" s="153" t="n">
        <f aca="false">BP8+BP9+BP10+BP11+BP12+BP14+BP15+BP16</f>
        <v>0</v>
      </c>
      <c r="BQ17" s="153" t="n">
        <f aca="false">BQ8+BQ9+BQ10+BQ11+BQ12+BQ14+BQ15+BQ16</f>
        <v>0</v>
      </c>
      <c r="BR17" s="153" t="n">
        <f aca="false">BR8+BR9+BR10+BR11+BR12+BR14+BR15+BR16</f>
        <v>0</v>
      </c>
      <c r="BS17" s="153" t="n">
        <f aca="false">BS8+BS9+BS10+BS11+BS12+BS14+BS15+BS16</f>
        <v>0</v>
      </c>
      <c r="BT17" s="153" t="n">
        <f aca="false">BT8+BT9+BT10+BT11+BT12+BT14+BT15+BT16</f>
        <v>0</v>
      </c>
      <c r="BU17" s="153" t="n">
        <f aca="false">BU8+BU9+BU10+BU11+BU12+BU14+BU15+BU16</f>
        <v>0</v>
      </c>
      <c r="BV17" s="153" t="n">
        <f aca="false">BV8+BV9+BV10+BV11+BV12+BV14+BV15+BV16</f>
        <v>0</v>
      </c>
      <c r="BW17" s="153" t="n">
        <f aca="false">BW8+BW9+BW10+BW11+BW12+BW14+BW15+BW16</f>
        <v>0</v>
      </c>
      <c r="BX17" s="153" t="n">
        <f aca="false">BX8+BX9+BX10+BX11+BX12+BX14+BX15+BX16</f>
        <v>0</v>
      </c>
      <c r="BY17" s="153" t="n">
        <f aca="false">BY8+BY9+BY10+BY11+BY12+BY14+BY15+BY16</f>
        <v>0</v>
      </c>
      <c r="BZ17" s="153" t="n">
        <f aca="false">BZ8+BZ9+BZ10+BZ11+BZ12+BZ14+BZ15+BZ16</f>
        <v>0</v>
      </c>
      <c r="CA17" s="153" t="n">
        <f aca="false">CA8+CA9+CA10+CA11+CA12+CA14+CA15+CA16</f>
        <v>0</v>
      </c>
      <c r="CB17" s="153" t="n">
        <f aca="false">CB8+CB9+CB10+CB11+CB12+CB14+CB15+CB16</f>
        <v>0</v>
      </c>
      <c r="CC17" s="153" t="n">
        <f aca="false">CC8+CC9+CC10+CC11+CC12+CC14+CC15+CC16</f>
        <v>0</v>
      </c>
      <c r="CD17" s="153" t="n">
        <f aca="false">CD8+CD9+CD10+CD11+CD12+CD14+CD15+CD16</f>
        <v>0</v>
      </c>
      <c r="CE17" s="153" t="n">
        <f aca="false">CE8+CE9+CE10+CE11+CE12+CE14+CE15+CE16</f>
        <v>0</v>
      </c>
      <c r="CF17" s="153" t="n">
        <f aca="false">CF8+CF9+CF10+CF11+CF12+CF14+CF15+CF16</f>
        <v>0</v>
      </c>
      <c r="CG17" s="153" t="n">
        <f aca="false">CG8+CG9+CG10+CG11+CG12+CG14+CG15+CG16</f>
        <v>0</v>
      </c>
      <c r="CH17" s="153" t="n">
        <f aca="false">CH8+CH9+CH10+CH11+CH12+CH14+CH15+CH16</f>
        <v>0</v>
      </c>
      <c r="CI17" s="153" t="n">
        <f aca="false">CI8+CI9+CI10+CI11+CI12+CI14+CI15+CI16</f>
        <v>0</v>
      </c>
      <c r="CJ17" s="153" t="n">
        <f aca="false">CJ8+CJ9+CJ10+CJ11+CJ12+CJ14+CJ15+CJ16</f>
        <v>0</v>
      </c>
      <c r="CK17" s="153" t="n">
        <f aca="false">CK8+CK9+CK10+CK11+CK12+CK14+CK15+CK16</f>
        <v>0</v>
      </c>
      <c r="CL17" s="153" t="n">
        <f aca="false">CL8+CL9+CL10+CL11+CL12+CL14+CL15+CL16</f>
        <v>0</v>
      </c>
      <c r="CM17" s="153" t="n">
        <f aca="false">CM8+CM9+CM10+CM11+CM12+CM14+CM15+CM16</f>
        <v>0</v>
      </c>
      <c r="CN17" s="153" t="n">
        <f aca="false">CN8+CN9+CN10+CN11+CN12+CN14+CN15+CN16</f>
        <v>0</v>
      </c>
      <c r="CO17" s="153" t="n">
        <f aca="false">CO8+CO9+CO10+CO11+CO12+CO14+CO15+CO16</f>
        <v>0</v>
      </c>
      <c r="CP17" s="153" t="n">
        <f aca="false">CP8+CP9+CP10+CP11+CP12+CP14+CP15+CP16</f>
        <v>0</v>
      </c>
      <c r="CQ17" s="153" t="n">
        <f aca="false">CQ8+CQ9+CQ10+CQ11+CQ12+CQ14+CQ15+CQ16</f>
        <v>0</v>
      </c>
      <c r="CR17" s="153" t="n">
        <f aca="false">CR8+CR9+CR10+CR11+CR12+CR14+CR15+CR16</f>
        <v>0</v>
      </c>
      <c r="CS17" s="153" t="n">
        <f aca="false">CS8+CS9+CS10+CS11+CS12+CS14+CS15+CS16</f>
        <v>0</v>
      </c>
      <c r="CT17" s="153" t="n">
        <f aca="false">CT8+CT9+CT10+CT11+CT12+CT14+CT15+CT16</f>
        <v>0</v>
      </c>
      <c r="CU17" s="153" t="n">
        <f aca="false">CU8+CU9+CU10+CU11+CU12+CU14+CU15+CU16</f>
        <v>0</v>
      </c>
      <c r="CV17" s="153" t="n">
        <f aca="false">CV8+CV9+CV10+CV11+CV12+CV14+CV15+CV16</f>
        <v>0</v>
      </c>
      <c r="CW17" s="153" t="n">
        <f aca="false">CW8+CW9+CW10+CW11+CW12+CW14+CW15+CW16</f>
        <v>0</v>
      </c>
      <c r="CX17" s="153" t="n">
        <f aca="false">CX8+CX9+CX10+CX11+CX12+CX14+CX15+CX16</f>
        <v>0</v>
      </c>
      <c r="CY17" s="153" t="n">
        <f aca="false">CY8+CY9+CY10+CY11+CY12+CY14+CY15+CY16</f>
        <v>0</v>
      </c>
      <c r="CZ17" s="153" t="n">
        <f aca="false">CZ8+CZ9+CZ10+CZ11+CZ12+CZ14+CZ15+CZ16</f>
        <v>0</v>
      </c>
      <c r="DA17" s="153" t="n">
        <f aca="false">DA8+DA9+DA10+DA11+DA12+DA14+DA15+DA16</f>
        <v>0</v>
      </c>
      <c r="DB17" s="153" t="n">
        <f aca="false">DB8+DB9+DB10+DB11+DB12+DB14+DB15+DB16</f>
        <v>0</v>
      </c>
      <c r="DC17" s="153" t="n">
        <f aca="false">DC8+DC9+DC10+DC11+DC12+DC14+DC15+DC16</f>
        <v>0</v>
      </c>
      <c r="DD17" s="153" t="n">
        <f aca="false">DD8+DD9+DD10+DD11+DD12+DD14+DD15+DD16</f>
        <v>0</v>
      </c>
      <c r="DE17" s="153" t="n">
        <f aca="false">DE8+DE9+DE10+DE11+DE12+DE14+DE15+DE16</f>
        <v>0</v>
      </c>
      <c r="DF17" s="153" t="n">
        <f aca="false">DF8+DF9+DF10+DF11+DF12+DF14+DF15+DF16</f>
        <v>0</v>
      </c>
    </row>
    <row r="18" customFormat="false" ht="15" hidden="false" customHeight="true" outlineLevel="0" collapsed="false">
      <c r="A18" s="99" t="s">
        <v>62</v>
      </c>
      <c r="C18" s="154" t="n">
        <f aca="false">IFERROR(C17/C13,0)</f>
        <v>0.150471045017236</v>
      </c>
      <c r="D18" s="154" t="n">
        <f aca="false">IFERROR(D17/D13,0)</f>
        <v>-0.0168744917256745</v>
      </c>
      <c r="E18" s="154" t="n">
        <f aca="false">IFERROR(E17/E13,0)</f>
        <v>0.222356457869786</v>
      </c>
      <c r="F18" s="154" t="n">
        <f aca="false">IFERROR(F17/F13,0)</f>
        <v>0.105264113664828</v>
      </c>
      <c r="G18" s="154" t="n">
        <f aca="false">IFERROR(G17/G13,0)</f>
        <v>0.100893494681087</v>
      </c>
      <c r="H18" s="154" t="n">
        <f aca="false">IFERROR(H17/H13,0)</f>
        <v>0.0980201268401047</v>
      </c>
      <c r="I18" s="154" t="n">
        <f aca="false">IFERROR(I17/I13,0)</f>
        <v>0.167309905929422</v>
      </c>
      <c r="J18" s="154" t="n">
        <f aca="false">IFERROR(J17/J13,0)</f>
        <v>0.107365807007325</v>
      </c>
      <c r="K18" s="154" t="n">
        <f aca="false">IFERROR(K17/K13,0)</f>
        <v>0.105704075939302</v>
      </c>
      <c r="L18" s="154" t="n">
        <f aca="false">IFERROR(L17/L13,0)</f>
        <v>0.150814779277228</v>
      </c>
      <c r="M18" s="154" t="n">
        <f aca="false">IFERROR(M17/M13,0)</f>
        <v>0.148792647101115</v>
      </c>
      <c r="N18" s="154" t="n">
        <f aca="false">IFERROR(N17/N13,0)</f>
        <v>0.110926259195399</v>
      </c>
      <c r="O18" s="154" t="n">
        <f aca="false">IFERROR(O17/O13,0)</f>
        <v>0.108025800800876</v>
      </c>
      <c r="P18" s="154" t="n">
        <f aca="false">IFERROR(P17/P13,0)</f>
        <v>0.106087748456871</v>
      </c>
      <c r="Q18" s="154" t="n">
        <f aca="false">IFERROR(Q17/Q13,0)</f>
        <v>0.105058015157573</v>
      </c>
      <c r="R18" s="154" t="n">
        <f aca="false">IFERROR(R17/R13,0)</f>
        <v>0.0191094371678703</v>
      </c>
      <c r="S18" s="154" t="n">
        <f aca="false">IFERROR(S17/S13,0)</f>
        <v>0.116048713226721</v>
      </c>
      <c r="T18" s="154" t="n">
        <f aca="false">IFERROR(T17/T13,0)</f>
        <v>0.135680955894734</v>
      </c>
      <c r="U18" s="154" t="n">
        <f aca="false">IFERROR(U17/U13,0)</f>
        <v>0.11682812020011</v>
      </c>
      <c r="V18" s="154" t="n">
        <f aca="false">IFERROR(V17/V13,0)</f>
        <v>0.0865663483426912</v>
      </c>
      <c r="W18" s="154" t="n">
        <f aca="false">IFERROR(W17/W13,0)</f>
        <v>0.0865764886943788</v>
      </c>
      <c r="X18" s="154" t="n">
        <f aca="false">IFERROR(X17/X13,0)</f>
        <v>0.0909845839415544</v>
      </c>
      <c r="Y18" s="154" t="n">
        <f aca="false">IFERROR(Y17/Y13,0)</f>
        <v>0.0879482813665944</v>
      </c>
      <c r="Z18" s="154" t="n">
        <f aca="false">IFERROR(Z17/Z13,0)</f>
        <v>0.0912437201677728</v>
      </c>
      <c r="AA18" s="154" t="n">
        <f aca="false">IFERROR(AA17/AA13,0)</f>
        <v>0.0957144398553047</v>
      </c>
      <c r="AB18" s="154" t="n">
        <f aca="false">IFERROR(AB17/AB13,0)</f>
        <v>0.101377381818003</v>
      </c>
      <c r="AC18" s="154" t="n">
        <f aca="false">IFERROR(AC17/AC13,0)</f>
        <v>0.10825203667329</v>
      </c>
      <c r="AD18" s="154" t="n">
        <f aca="false">IFERROR(AD17/AD13,0)</f>
        <v>0.132814167423613</v>
      </c>
      <c r="AE18" s="154" t="n">
        <f aca="false">IFERROR(AE17/AE13,0)</f>
        <v>0.115069804421248</v>
      </c>
      <c r="AF18" s="154" t="n">
        <f aca="false">IFERROR(AF17/AF13,0)</f>
        <v>-0.0159649876760295</v>
      </c>
      <c r="AG18" s="154" t="n">
        <f aca="false">IFERROR(AG17/AG13,0)</f>
        <v>0.190787581519573</v>
      </c>
      <c r="AH18" s="154" t="n">
        <f aca="false">IFERROR(AH17/AH13,0)</f>
        <v>0.188285775793716</v>
      </c>
      <c r="AI18" s="154" t="n">
        <f aca="false">IFERROR(AI17/AI13,0)</f>
        <v>0.186782436451232</v>
      </c>
      <c r="AJ18" s="154" t="n">
        <f aca="false">IFERROR(AJ17/AJ13,0)</f>
        <v>0.222551379831078</v>
      </c>
      <c r="AK18" s="154" t="n">
        <f aca="false">IFERROR(AK17/AK13,0)</f>
        <v>0.157687973771174</v>
      </c>
      <c r="AL18" s="154" t="n">
        <f aca="false">IFERROR(AL17/AL13,0)</f>
        <v>0.232666504249759</v>
      </c>
      <c r="AM18" s="154" t="n">
        <f aca="false">IFERROR(AM17/AM13,0)</f>
        <v>0.11295660264179</v>
      </c>
      <c r="AN18" s="154" t="n">
        <f aca="false">IFERROR(AN17/AN13,0)</f>
        <v>0.114632250921528</v>
      </c>
      <c r="AO18" s="154" t="n">
        <f aca="false">IFERROR(AO17/AO13,0)</f>
        <v>0.145347216709165</v>
      </c>
      <c r="AP18" s="154" t="n">
        <f aca="false">IFERROR(AP17/AP13,0)</f>
        <v>0.108356210750033</v>
      </c>
      <c r="AQ18" s="154" t="n">
        <f aca="false">IFERROR(AQ17/AQ13,0)</f>
        <v>0.110386938641138</v>
      </c>
      <c r="AR18" s="154" t="n">
        <f aca="false">IFERROR(AR17/AR13,0)</f>
        <v>0.113051926701939</v>
      </c>
      <c r="AS18" s="154" t="n">
        <f aca="false">IFERROR(AS17/AS13,0)</f>
        <v>0.116414229400565</v>
      </c>
      <c r="AT18" s="154" t="n">
        <f aca="false">IFERROR(AT17/AT13,0)</f>
        <v>0.12055310865161</v>
      </c>
      <c r="AU18" s="154" t="n">
        <f aca="false">IFERROR(AU17/AU13,0)</f>
        <v>0.229178494664299</v>
      </c>
      <c r="AV18" s="154" t="n">
        <f aca="false">IFERROR(AV17/AV13,0)</f>
        <v>0.0837646775590833</v>
      </c>
      <c r="AW18" s="154" t="n">
        <f aca="false">IFERROR(AW17/AW13,0)</f>
        <v>0.0854545030152378</v>
      </c>
      <c r="AX18" s="154" t="n">
        <f aca="false">IFERROR(AX17/AX13,0)</f>
        <v>0.0880559332951466</v>
      </c>
      <c r="AY18" s="154" t="n">
        <f aca="false">IFERROR(AY17/AY13,0)</f>
        <v>0.0916459953635472</v>
      </c>
      <c r="AZ18" s="154" t="n">
        <f aca="false">IFERROR(AZ17/AZ13,0)</f>
        <v>0.0963403856309272</v>
      </c>
      <c r="BA18" s="154" t="n">
        <f aca="false">IFERROR(BA17/BA13,0)</f>
        <v>0.102293640434331</v>
      </c>
      <c r="BB18" s="154" t="n">
        <f aca="false">IFERROR(BB17/BB13,0)</f>
        <v>0.109702510881483</v>
      </c>
      <c r="BC18" s="154" t="n">
        <f aca="false">IFERROR(BC17/BC13,0)</f>
        <v>0.118832417046729</v>
      </c>
      <c r="BD18" s="154" t="n">
        <f aca="false">IFERROR(BD17/BD13,0)</f>
        <v>0.130013354633857</v>
      </c>
      <c r="BE18" s="154" t="n">
        <f aca="false">IFERROR(BE17/BE13,0)</f>
        <v>0.143673701984803</v>
      </c>
      <c r="BF18" s="154" t="n">
        <f aca="false">IFERROR(BF17/BF13,0)</f>
        <v>0.160366035192509</v>
      </c>
      <c r="BG18" s="154" t="n">
        <f aca="false">IFERROR(BG17/BG13,0)</f>
        <v>0.180792980753182</v>
      </c>
      <c r="BH18" s="154" t="n">
        <f aca="false">IFERROR(BH17/BH13,0)</f>
        <v>0.205874369808341</v>
      </c>
      <c r="BI18" s="154" t="n">
        <f aca="false">IFERROR(BI17/BI13,0)</f>
        <v>0.610641055206121</v>
      </c>
      <c r="BJ18" s="154" t="n">
        <f aca="false">IFERROR(BJ17/BJ13,0)</f>
        <v>0</v>
      </c>
      <c r="BK18" s="154" t="n">
        <f aca="false">IFERROR(BK17/BK13,0)</f>
        <v>0</v>
      </c>
      <c r="BL18" s="154" t="n">
        <f aca="false">IFERROR(BL17/BL13,0)</f>
        <v>0</v>
      </c>
      <c r="BM18" s="154" t="n">
        <f aca="false">IFERROR(BM17/BM13,0)</f>
        <v>0</v>
      </c>
      <c r="BN18" s="154" t="n">
        <f aca="false">IFERROR(BN17/BN13,0)</f>
        <v>0</v>
      </c>
      <c r="BO18" s="154" t="n">
        <f aca="false">IFERROR(BO17/BO13,0)</f>
        <v>0</v>
      </c>
      <c r="BP18" s="154" t="n">
        <f aca="false">IFERROR(BP17/BP13,0)</f>
        <v>0</v>
      </c>
      <c r="BQ18" s="154" t="n">
        <f aca="false">IFERROR(BQ17/BQ13,0)</f>
        <v>0</v>
      </c>
      <c r="BR18" s="154" t="n">
        <f aca="false">IFERROR(BR17/BR13,0)</f>
        <v>0</v>
      </c>
      <c r="BS18" s="154" t="n">
        <f aca="false">IFERROR(BS17/BS13,0)</f>
        <v>0</v>
      </c>
      <c r="BT18" s="154" t="n">
        <f aca="false">IFERROR(BT17/BT13,0)</f>
        <v>0</v>
      </c>
      <c r="BU18" s="154" t="n">
        <f aca="false">IFERROR(BU17/BU13,0)</f>
        <v>0</v>
      </c>
      <c r="BV18" s="154" t="n">
        <f aca="false">IFERROR(BV17/BV13,0)</f>
        <v>0</v>
      </c>
      <c r="BW18" s="154" t="n">
        <f aca="false">IFERROR(BW17/BW13,0)</f>
        <v>0</v>
      </c>
      <c r="BX18" s="154" t="n">
        <f aca="false">IFERROR(BX17/BX13,0)</f>
        <v>0</v>
      </c>
      <c r="BY18" s="154" t="n">
        <f aca="false">IFERROR(BY17/BY13,0)</f>
        <v>0</v>
      </c>
      <c r="BZ18" s="154" t="n">
        <f aca="false">IFERROR(BZ17/BZ13,0)</f>
        <v>0</v>
      </c>
      <c r="CA18" s="154" t="n">
        <f aca="false">IFERROR(CA17/CA13,0)</f>
        <v>0</v>
      </c>
      <c r="CB18" s="154" t="n">
        <f aca="false">IFERROR(CB17/CB13,0)</f>
        <v>0</v>
      </c>
      <c r="CC18" s="154" t="n">
        <f aca="false">IFERROR(CC17/CC13,0)</f>
        <v>0</v>
      </c>
      <c r="CD18" s="154" t="n">
        <f aca="false">IFERROR(CD17/CD13,0)</f>
        <v>0</v>
      </c>
      <c r="CE18" s="154" t="n">
        <f aca="false">IFERROR(CE17/CE13,0)</f>
        <v>0</v>
      </c>
      <c r="CF18" s="154" t="n">
        <f aca="false">IFERROR(CF17/CF13,0)</f>
        <v>0</v>
      </c>
      <c r="CG18" s="154" t="n">
        <f aca="false">IFERROR(CG17/CG13,0)</f>
        <v>0</v>
      </c>
      <c r="CH18" s="154" t="n">
        <f aca="false">IFERROR(CH17/CH13,0)</f>
        <v>0</v>
      </c>
      <c r="CI18" s="154" t="n">
        <f aca="false">IFERROR(CI17/CI13,0)</f>
        <v>0</v>
      </c>
      <c r="CJ18" s="154" t="n">
        <f aca="false">IFERROR(CJ17/CJ13,0)</f>
        <v>0</v>
      </c>
      <c r="CK18" s="154" t="n">
        <f aca="false">IFERROR(CK17/CK13,0)</f>
        <v>0</v>
      </c>
      <c r="CL18" s="154" t="n">
        <f aca="false">IFERROR(CL17/CL13,0)</f>
        <v>0</v>
      </c>
      <c r="CM18" s="154" t="n">
        <f aca="false">IFERROR(CM17/CM13,0)</f>
        <v>0</v>
      </c>
      <c r="CN18" s="154" t="n">
        <f aca="false">IFERROR(CN17/CN13,0)</f>
        <v>0</v>
      </c>
      <c r="CO18" s="154" t="n">
        <f aca="false">IFERROR(CO17/CO13,0)</f>
        <v>0</v>
      </c>
      <c r="CP18" s="154" t="n">
        <f aca="false">IFERROR(CP17/CP13,0)</f>
        <v>0</v>
      </c>
      <c r="CQ18" s="154" t="n">
        <f aca="false">IFERROR(CQ17/CQ13,0)</f>
        <v>0</v>
      </c>
      <c r="CR18" s="154" t="n">
        <f aca="false">IFERROR(CR17/CR13,0)</f>
        <v>0</v>
      </c>
      <c r="CS18" s="154" t="n">
        <f aca="false">IFERROR(CS17/CS13,0)</f>
        <v>0</v>
      </c>
      <c r="CT18" s="154" t="n">
        <f aca="false">IFERROR(CT17/CT13,0)</f>
        <v>0</v>
      </c>
      <c r="CU18" s="154" t="n">
        <f aca="false">IFERROR(CU17/CU13,0)</f>
        <v>0</v>
      </c>
      <c r="CV18" s="154" t="n">
        <f aca="false">IFERROR(CV17/CV13,0)</f>
        <v>0</v>
      </c>
      <c r="CW18" s="154" t="n">
        <f aca="false">IFERROR(CW17/CW13,0)</f>
        <v>0</v>
      </c>
      <c r="CX18" s="154" t="n">
        <f aca="false">IFERROR(CX17/CX13,0)</f>
        <v>0</v>
      </c>
      <c r="CY18" s="154" t="n">
        <f aca="false">IFERROR(CY17/CY13,0)</f>
        <v>0</v>
      </c>
      <c r="CZ18" s="154" t="n">
        <f aca="false">IFERROR(CZ17/CZ13,0)</f>
        <v>0</v>
      </c>
      <c r="DA18" s="154" t="n">
        <f aca="false">IFERROR(DA17/DA13,0)</f>
        <v>0</v>
      </c>
      <c r="DB18" s="154" t="n">
        <f aca="false">IFERROR(DB17/DB13,0)</f>
        <v>0</v>
      </c>
      <c r="DC18" s="154" t="n">
        <f aca="false">IFERROR(DC17/DC13,0)</f>
        <v>0</v>
      </c>
      <c r="DD18" s="154" t="n">
        <f aca="false">IFERROR(DD17/DD13,0)</f>
        <v>0</v>
      </c>
      <c r="DE18" s="154" t="n">
        <f aca="false">IFERROR(DE17/DE13,0)</f>
        <v>0</v>
      </c>
      <c r="DF18" s="154" t="n">
        <f aca="false">IFERROR(DF17/DF13,0)</f>
        <v>0</v>
      </c>
    </row>
    <row r="19" customFormat="false" ht="15" hidden="false" customHeight="true" outlineLevel="0" collapsed="false">
      <c r="A19" s="90"/>
      <c r="C19" s="104"/>
      <c r="D19" s="104"/>
      <c r="E19" s="104"/>
      <c r="F19" s="147"/>
      <c r="G19" s="147"/>
      <c r="H19" s="147"/>
      <c r="I19" s="147"/>
      <c r="J19" s="147"/>
      <c r="K19" s="147"/>
      <c r="L19" s="147"/>
      <c r="M19" s="147"/>
      <c r="N19" s="147"/>
      <c r="O19" s="147"/>
      <c r="P19" s="147"/>
      <c r="Q19" s="147"/>
      <c r="R19" s="147"/>
      <c r="S19" s="147"/>
      <c r="T19" s="147"/>
      <c r="U19" s="147"/>
      <c r="V19" s="147"/>
      <c r="W19" s="147"/>
      <c r="X19" s="147"/>
      <c r="Y19" s="147"/>
      <c r="Z19" s="147"/>
      <c r="AA19" s="147"/>
      <c r="AB19" s="147"/>
      <c r="AC19" s="147"/>
      <c r="AD19" s="147"/>
      <c r="AE19" s="147"/>
      <c r="AF19" s="147"/>
      <c r="AG19" s="147"/>
      <c r="AH19" s="147"/>
      <c r="AI19" s="147"/>
      <c r="AJ19" s="147"/>
      <c r="AK19" s="147"/>
      <c r="AL19" s="147"/>
      <c r="AM19" s="147"/>
      <c r="AN19" s="147"/>
      <c r="AO19" s="147"/>
      <c r="AP19" s="147"/>
      <c r="AQ19" s="147"/>
      <c r="AR19" s="147"/>
      <c r="AS19" s="147"/>
      <c r="AT19" s="147"/>
      <c r="AU19" s="147"/>
      <c r="AV19" s="147"/>
      <c r="AW19" s="147"/>
      <c r="AX19" s="147"/>
      <c r="AY19" s="147"/>
      <c r="AZ19" s="147"/>
      <c r="BA19" s="147"/>
      <c r="BB19" s="147"/>
      <c r="BC19" s="147"/>
      <c r="BD19" s="147"/>
      <c r="BE19" s="147"/>
      <c r="BF19" s="147"/>
      <c r="BG19" s="147"/>
      <c r="BH19" s="147"/>
      <c r="BI19" s="147"/>
      <c r="BJ19" s="147"/>
      <c r="BK19" s="147"/>
      <c r="BL19" s="147"/>
      <c r="BM19" s="147"/>
      <c r="BN19" s="147"/>
      <c r="BO19" s="147"/>
      <c r="BP19" s="147"/>
      <c r="BQ19" s="147"/>
      <c r="BR19" s="147"/>
      <c r="BS19" s="147"/>
      <c r="BT19" s="147"/>
      <c r="BU19" s="147"/>
      <c r="BV19" s="147"/>
      <c r="BW19" s="147"/>
      <c r="BX19" s="147"/>
      <c r="BY19" s="147"/>
      <c r="BZ19" s="147"/>
      <c r="CA19" s="147"/>
      <c r="CB19" s="147"/>
      <c r="CC19" s="147"/>
      <c r="CD19" s="147"/>
      <c r="CE19" s="147"/>
      <c r="CF19" s="147"/>
      <c r="CG19" s="147"/>
      <c r="CH19" s="147"/>
      <c r="CI19" s="147"/>
      <c r="CJ19" s="147"/>
      <c r="CK19" s="147"/>
      <c r="CL19" s="147"/>
      <c r="CM19" s="147"/>
      <c r="CN19" s="147"/>
      <c r="CO19" s="147"/>
      <c r="CP19" s="147"/>
      <c r="CQ19" s="147"/>
      <c r="CR19" s="147"/>
      <c r="CS19" s="147"/>
      <c r="CT19" s="147"/>
      <c r="CU19" s="147"/>
      <c r="CV19" s="147"/>
      <c r="CW19" s="147"/>
      <c r="CX19" s="147"/>
      <c r="CY19" s="147"/>
      <c r="CZ19" s="147"/>
      <c r="DA19" s="147"/>
      <c r="DB19" s="147"/>
      <c r="DC19" s="147"/>
      <c r="DD19" s="147"/>
      <c r="DE19" s="147"/>
      <c r="DF19" s="147"/>
    </row>
    <row r="20" customFormat="false" ht="15" hidden="false" customHeight="true" outlineLevel="0" collapsed="false">
      <c r="A20" s="90"/>
      <c r="C20" s="104"/>
      <c r="D20" s="104"/>
      <c r="E20" s="104"/>
      <c r="F20" s="147"/>
      <c r="G20" s="147"/>
      <c r="H20" s="147"/>
      <c r="I20" s="147"/>
      <c r="J20" s="147"/>
      <c r="K20" s="147"/>
      <c r="L20" s="147"/>
      <c r="M20" s="147"/>
      <c r="N20" s="147"/>
      <c r="O20" s="147"/>
      <c r="P20" s="147"/>
      <c r="Q20" s="147"/>
      <c r="R20" s="147"/>
      <c r="S20" s="147"/>
      <c r="T20" s="147"/>
      <c r="U20" s="147"/>
      <c r="V20" s="147"/>
      <c r="W20" s="147"/>
      <c r="X20" s="147"/>
      <c r="Y20" s="147"/>
      <c r="Z20" s="147"/>
      <c r="AA20" s="147"/>
      <c r="AB20" s="147"/>
      <c r="AC20" s="147"/>
      <c r="AD20" s="147"/>
      <c r="AE20" s="147"/>
      <c r="AF20" s="147"/>
      <c r="AG20" s="147"/>
      <c r="AH20" s="147"/>
      <c r="AI20" s="147"/>
      <c r="AJ20" s="147"/>
      <c r="AK20" s="147"/>
      <c r="AL20" s="147"/>
      <c r="AM20" s="147"/>
      <c r="AN20" s="147"/>
      <c r="AO20" s="147"/>
      <c r="AP20" s="147"/>
      <c r="AQ20" s="147"/>
      <c r="AR20" s="147"/>
      <c r="AS20" s="147"/>
      <c r="AT20" s="147"/>
      <c r="AU20" s="147"/>
      <c r="AV20" s="147"/>
      <c r="AW20" s="147"/>
      <c r="AX20" s="147"/>
      <c r="AY20" s="147"/>
      <c r="AZ20" s="147"/>
      <c r="BA20" s="147"/>
      <c r="BB20" s="147"/>
      <c r="BC20" s="147"/>
      <c r="BD20" s="147"/>
      <c r="BE20" s="147"/>
      <c r="BF20" s="147"/>
      <c r="BG20" s="147"/>
      <c r="BH20" s="147"/>
      <c r="BI20" s="147"/>
      <c r="BJ20" s="147"/>
      <c r="BK20" s="147"/>
      <c r="BL20" s="147"/>
      <c r="BM20" s="147"/>
      <c r="BN20" s="147"/>
      <c r="BO20" s="147"/>
      <c r="BP20" s="147"/>
      <c r="BQ20" s="147"/>
      <c r="BR20" s="147"/>
      <c r="BS20" s="147"/>
      <c r="BT20" s="147"/>
      <c r="BU20" s="147"/>
      <c r="BV20" s="147"/>
      <c r="BW20" s="147"/>
      <c r="BX20" s="147"/>
      <c r="BY20" s="147"/>
      <c r="BZ20" s="147"/>
      <c r="CA20" s="147"/>
      <c r="CB20" s="147"/>
      <c r="CC20" s="147"/>
      <c r="CD20" s="147"/>
      <c r="CE20" s="147"/>
      <c r="CF20" s="147"/>
      <c r="CG20" s="147"/>
      <c r="CH20" s="147"/>
      <c r="CI20" s="147"/>
      <c r="CJ20" s="147"/>
      <c r="CK20" s="147"/>
      <c r="CL20" s="147"/>
      <c r="CM20" s="147"/>
      <c r="CN20" s="147"/>
      <c r="CO20" s="147"/>
      <c r="CP20" s="147"/>
      <c r="CQ20" s="147"/>
      <c r="CR20" s="147"/>
      <c r="CS20" s="147"/>
      <c r="CT20" s="147"/>
      <c r="CU20" s="147"/>
      <c r="CV20" s="147"/>
      <c r="CW20" s="147"/>
      <c r="CX20" s="147"/>
      <c r="CY20" s="147"/>
      <c r="CZ20" s="147"/>
      <c r="DA20" s="147"/>
      <c r="DB20" s="147"/>
      <c r="DC20" s="147"/>
      <c r="DD20" s="147"/>
      <c r="DE20" s="147"/>
      <c r="DF20" s="147"/>
    </row>
    <row r="21" customFormat="false" ht="15" hidden="false" customHeight="true" outlineLevel="0" collapsed="false">
      <c r="A21" s="90" t="s">
        <v>64</v>
      </c>
      <c r="C21" s="104" t="n">
        <v>-144550.9</v>
      </c>
      <c r="D21" s="104" t="n">
        <v>-150672.84</v>
      </c>
      <c r="E21" s="104" t="n">
        <v>-178867.86</v>
      </c>
      <c r="F21" s="147" t="n">
        <v>-164791.666666667</v>
      </c>
      <c r="G21" s="147" t="n">
        <v>-189375</v>
      </c>
      <c r="H21" s="147" t="n">
        <v>-214375</v>
      </c>
      <c r="I21" s="147" t="n">
        <v>-225208.333333333</v>
      </c>
      <c r="J21" s="147" t="n">
        <v>-225208.333333333</v>
      </c>
      <c r="K21" s="147" t="n">
        <v>-225208.333333333</v>
      </c>
      <c r="L21" s="147" t="n">
        <v>-246041.666666667</v>
      </c>
      <c r="M21" s="147" t="n">
        <v>-276041.666666667</v>
      </c>
      <c r="N21" s="147" t="n">
        <v>-276041.666666667</v>
      </c>
      <c r="O21" s="147" t="n">
        <v>-276041.666666667</v>
      </c>
      <c r="P21" s="147" t="n">
        <v>-276041.666666667</v>
      </c>
      <c r="Q21" s="147" t="n">
        <v>-276041.666666667</v>
      </c>
      <c r="R21" s="147" t="n">
        <v>-295162.5</v>
      </c>
      <c r="S21" s="147" t="n">
        <v>-295162.5</v>
      </c>
      <c r="T21" s="147" t="n">
        <v>-295162.5</v>
      </c>
      <c r="U21" s="147" t="n">
        <v>-295162.5</v>
      </c>
      <c r="V21" s="147" t="n">
        <v>-295162.5</v>
      </c>
      <c r="W21" s="147" t="n">
        <v>-295162.5</v>
      </c>
      <c r="X21" s="147" t="n">
        <v>-295162.5</v>
      </c>
      <c r="Y21" s="147" t="n">
        <v>-295162.5</v>
      </c>
      <c r="Z21" s="147" t="n">
        <v>-295162.5</v>
      </c>
      <c r="AA21" s="147" t="n">
        <v>-295162.5</v>
      </c>
      <c r="AB21" s="147" t="n">
        <v>-295162.5</v>
      </c>
      <c r="AC21" s="147" t="n">
        <v>-295162.5</v>
      </c>
      <c r="AD21" s="147" t="n">
        <v>-301065.75</v>
      </c>
      <c r="AE21" s="147" t="n">
        <v>-301065.75</v>
      </c>
      <c r="AF21" s="147" t="n">
        <v>-301065.75</v>
      </c>
      <c r="AG21" s="147" t="n">
        <v>-301065.75</v>
      </c>
      <c r="AH21" s="147" t="n">
        <v>-301065.75</v>
      </c>
      <c r="AI21" s="147" t="n">
        <v>-301065.75</v>
      </c>
      <c r="AJ21" s="147" t="n">
        <v>-301065.75</v>
      </c>
      <c r="AK21" s="147" t="n">
        <v>-301065.75</v>
      </c>
      <c r="AL21" s="147" t="n">
        <v>-301065.75</v>
      </c>
      <c r="AM21" s="147" t="n">
        <v>-301065.75</v>
      </c>
      <c r="AN21" s="147" t="n">
        <v>-301065.75</v>
      </c>
      <c r="AO21" s="147" t="n">
        <v>-301065.75</v>
      </c>
      <c r="AP21" s="147" t="n">
        <v>-307087.065</v>
      </c>
      <c r="AQ21" s="147" t="n">
        <v>-307087.065</v>
      </c>
      <c r="AR21" s="147" t="n">
        <v>-307087.065</v>
      </c>
      <c r="AS21" s="147" t="n">
        <v>-307087.065</v>
      </c>
      <c r="AT21" s="147" t="n">
        <v>-307087.065</v>
      </c>
      <c r="AU21" s="147" t="n">
        <v>-307087.065</v>
      </c>
      <c r="AV21" s="147" t="n">
        <v>-307087.065</v>
      </c>
      <c r="AW21" s="147" t="n">
        <v>-307087.065</v>
      </c>
      <c r="AX21" s="147" t="n">
        <v>-307087.065</v>
      </c>
      <c r="AY21" s="147" t="n">
        <v>-307087.065</v>
      </c>
      <c r="AZ21" s="147" t="n">
        <v>-307087.065</v>
      </c>
      <c r="BA21" s="147" t="n">
        <v>-307087.065</v>
      </c>
      <c r="BB21" s="147" t="n">
        <v>-313228.8063</v>
      </c>
      <c r="BC21" s="147" t="n">
        <v>-313228.8063</v>
      </c>
      <c r="BD21" s="147" t="n">
        <v>-313228.8063</v>
      </c>
      <c r="BE21" s="147" t="n">
        <v>-313228.8063</v>
      </c>
      <c r="BF21" s="147" t="n">
        <v>-313228.8063</v>
      </c>
      <c r="BG21" s="147" t="n">
        <v>-313228.8063</v>
      </c>
      <c r="BH21" s="147" t="n">
        <v>-313228.8063</v>
      </c>
      <c r="BI21" s="147" t="n">
        <v>-313228.8063</v>
      </c>
      <c r="BJ21" s="147" t="n">
        <v>-313228.8063</v>
      </c>
      <c r="BK21" s="147" t="n">
        <v>-313228.8063</v>
      </c>
      <c r="BL21" s="147" t="n">
        <v>-313228.8063</v>
      </c>
      <c r="BM21" s="147" t="n">
        <v>-313228.8063</v>
      </c>
      <c r="BN21" s="147" t="n">
        <v>-319493.382426</v>
      </c>
      <c r="BO21" s="147" t="n">
        <v>-319493.382426</v>
      </c>
      <c r="BP21" s="147" t="n">
        <v>-319493.382426</v>
      </c>
      <c r="BQ21" s="147" t="n">
        <v>-319493.382426</v>
      </c>
      <c r="BR21" s="147" t="n">
        <v>-319493.382426</v>
      </c>
      <c r="BS21" s="147" t="n">
        <v>-319493.382426</v>
      </c>
      <c r="BT21" s="147" t="n">
        <v>-319493.382426</v>
      </c>
      <c r="BU21" s="147" t="n">
        <v>-319493.382426</v>
      </c>
      <c r="BV21" s="147" t="n">
        <v>-319493.382426</v>
      </c>
      <c r="BW21" s="147" t="n">
        <v>-319493.382426</v>
      </c>
      <c r="BX21" s="147" t="n">
        <v>-319493.382426</v>
      </c>
      <c r="BY21" s="147" t="n">
        <v>-319493.382426</v>
      </c>
      <c r="BZ21" s="147" t="n">
        <v>-325883.25007452</v>
      </c>
      <c r="CA21" s="147" t="n">
        <v>-325883.25007452</v>
      </c>
      <c r="CB21" s="147" t="n">
        <v>-325883.25007452</v>
      </c>
      <c r="CC21" s="147" t="n">
        <v>-325883.25007452</v>
      </c>
      <c r="CD21" s="147" t="n">
        <v>-325883.25007452</v>
      </c>
      <c r="CE21" s="147" t="n">
        <v>-325883.25007452</v>
      </c>
      <c r="CF21" s="147" t="n">
        <v>-325883.25007452</v>
      </c>
      <c r="CG21" s="147" t="n">
        <v>-325883.25007452</v>
      </c>
      <c r="CH21" s="147" t="n">
        <v>-325883.25007452</v>
      </c>
      <c r="CI21" s="147" t="n">
        <v>-325883.25007452</v>
      </c>
      <c r="CJ21" s="147" t="n">
        <v>-325883.25007452</v>
      </c>
      <c r="CK21" s="147" t="n">
        <v>-325883.25007452</v>
      </c>
      <c r="CL21" s="147" t="n">
        <v>-332400.91507601</v>
      </c>
      <c r="CM21" s="147" t="n">
        <v>-332400.91507601</v>
      </c>
      <c r="CN21" s="147" t="n">
        <v>-332400.91507601</v>
      </c>
      <c r="CO21" s="147" t="n">
        <v>-332400.91507601</v>
      </c>
      <c r="CP21" s="147" t="n">
        <v>-332400.91507601</v>
      </c>
      <c r="CQ21" s="147" t="n">
        <v>-332400.91507601</v>
      </c>
      <c r="CR21" s="147" t="n">
        <v>-332400.91507601</v>
      </c>
      <c r="CS21" s="147" t="n">
        <v>-332400.91507601</v>
      </c>
      <c r="CT21" s="147" t="n">
        <v>-332400.91507601</v>
      </c>
      <c r="CU21" s="147" t="n">
        <v>-332400.91507601</v>
      </c>
      <c r="CV21" s="147" t="n">
        <v>-332400.91507601</v>
      </c>
      <c r="CW21" s="147" t="n">
        <v>-332400.91507601</v>
      </c>
      <c r="CX21" s="147" t="n">
        <v>-339048.933377531</v>
      </c>
      <c r="CY21" s="147" t="n">
        <v>-339048.933377531</v>
      </c>
      <c r="CZ21" s="147" t="n">
        <v>-339048.933377531</v>
      </c>
      <c r="DA21" s="147" t="n">
        <v>-339048.933377531</v>
      </c>
      <c r="DB21" s="147" t="n">
        <v>-339048.933377531</v>
      </c>
      <c r="DC21" s="147" t="n">
        <v>-339048.933377531</v>
      </c>
      <c r="DD21" s="147" t="n">
        <v>-339048.933377531</v>
      </c>
      <c r="DE21" s="147" t="n">
        <v>-339048.933377531</v>
      </c>
      <c r="DF21" s="147" t="n">
        <v>-339048.933377531</v>
      </c>
    </row>
    <row r="22" customFormat="false" ht="15" hidden="false" customHeight="true" outlineLevel="0" collapsed="false">
      <c r="A22" s="90" t="s">
        <v>65</v>
      </c>
      <c r="C22" s="104" t="n">
        <v>-7450.37</v>
      </c>
      <c r="D22" s="104" t="n">
        <v>-10567.2</v>
      </c>
      <c r="E22" s="104" t="n">
        <v>-17033.3</v>
      </c>
      <c r="F22" s="147" t="n">
        <v>-15327.0833333333</v>
      </c>
      <c r="G22" s="147" t="n">
        <v>-17047.9166666667</v>
      </c>
      <c r="H22" s="147" t="n">
        <v>-18797.9166666667</v>
      </c>
      <c r="I22" s="147" t="n">
        <v>-19556.25</v>
      </c>
      <c r="J22" s="147" t="n">
        <v>-19556.25</v>
      </c>
      <c r="K22" s="147" t="n">
        <v>-19556.25</v>
      </c>
      <c r="L22" s="147" t="n">
        <v>-21014.5833333333</v>
      </c>
      <c r="M22" s="147" t="n">
        <v>-23114.5833333333</v>
      </c>
      <c r="N22" s="147" t="n">
        <v>-23114.5833333333</v>
      </c>
      <c r="O22" s="147" t="n">
        <v>-23114.5833333333</v>
      </c>
      <c r="P22" s="147" t="n">
        <v>-23114.5833333333</v>
      </c>
      <c r="Q22" s="147" t="n">
        <v>-23114.5833333333</v>
      </c>
      <c r="R22" s="147" t="n">
        <v>-24528.875</v>
      </c>
      <c r="S22" s="147" t="n">
        <v>-24528.875</v>
      </c>
      <c r="T22" s="147" t="n">
        <v>-24528.875</v>
      </c>
      <c r="U22" s="147" t="n">
        <v>-24528.875</v>
      </c>
      <c r="V22" s="147" t="n">
        <v>-24528.875</v>
      </c>
      <c r="W22" s="147" t="n">
        <v>-24528.875</v>
      </c>
      <c r="X22" s="147" t="n">
        <v>-24528.875</v>
      </c>
      <c r="Y22" s="147" t="n">
        <v>-24528.875</v>
      </c>
      <c r="Z22" s="147" t="n">
        <v>-24528.875</v>
      </c>
      <c r="AA22" s="147" t="n">
        <v>-24528.875</v>
      </c>
      <c r="AB22" s="147" t="n">
        <v>-24528.875</v>
      </c>
      <c r="AC22" s="147" t="n">
        <v>-24528.875</v>
      </c>
      <c r="AD22" s="147" t="n">
        <v>-25019.4525</v>
      </c>
      <c r="AE22" s="147" t="n">
        <v>-25019.4525</v>
      </c>
      <c r="AF22" s="147" t="n">
        <v>-25019.4525</v>
      </c>
      <c r="AG22" s="147" t="n">
        <v>-25019.4525</v>
      </c>
      <c r="AH22" s="147" t="n">
        <v>-25019.4525</v>
      </c>
      <c r="AI22" s="147" t="n">
        <v>-25019.4525</v>
      </c>
      <c r="AJ22" s="147" t="n">
        <v>-25019.4525</v>
      </c>
      <c r="AK22" s="147" t="n">
        <v>-25019.4525</v>
      </c>
      <c r="AL22" s="147" t="n">
        <v>-25019.4525</v>
      </c>
      <c r="AM22" s="147" t="n">
        <v>-25019.4525</v>
      </c>
      <c r="AN22" s="147" t="n">
        <v>-25019.4525</v>
      </c>
      <c r="AO22" s="147" t="n">
        <v>-25019.4525</v>
      </c>
      <c r="AP22" s="147" t="n">
        <v>-25519.84155</v>
      </c>
      <c r="AQ22" s="147" t="n">
        <v>-25519.84155</v>
      </c>
      <c r="AR22" s="147" t="n">
        <v>-25519.84155</v>
      </c>
      <c r="AS22" s="147" t="n">
        <v>-25519.84155</v>
      </c>
      <c r="AT22" s="147" t="n">
        <v>-25519.84155</v>
      </c>
      <c r="AU22" s="147" t="n">
        <v>-25519.84155</v>
      </c>
      <c r="AV22" s="147" t="n">
        <v>-25519.84155</v>
      </c>
      <c r="AW22" s="147" t="n">
        <v>-25519.84155</v>
      </c>
      <c r="AX22" s="147" t="n">
        <v>-25519.84155</v>
      </c>
      <c r="AY22" s="147" t="n">
        <v>-25519.84155</v>
      </c>
      <c r="AZ22" s="147" t="n">
        <v>-25519.84155</v>
      </c>
      <c r="BA22" s="147" t="n">
        <v>-25519.84155</v>
      </c>
      <c r="BB22" s="147" t="n">
        <v>-26030.238381</v>
      </c>
      <c r="BC22" s="147" t="n">
        <v>-26030.238381</v>
      </c>
      <c r="BD22" s="147" t="n">
        <v>-26030.238381</v>
      </c>
      <c r="BE22" s="147" t="n">
        <v>-26030.238381</v>
      </c>
      <c r="BF22" s="147" t="n">
        <v>-26030.238381</v>
      </c>
      <c r="BG22" s="147" t="n">
        <v>-26030.238381</v>
      </c>
      <c r="BH22" s="147" t="n">
        <v>-26030.238381</v>
      </c>
      <c r="BI22" s="147" t="n">
        <v>-26030.238381</v>
      </c>
      <c r="BJ22" s="147" t="n">
        <v>-26030.238381</v>
      </c>
      <c r="BK22" s="147" t="n">
        <v>-26030.238381</v>
      </c>
      <c r="BL22" s="147" t="n">
        <v>-26030.238381</v>
      </c>
      <c r="BM22" s="147" t="n">
        <v>-26030.238381</v>
      </c>
      <c r="BN22" s="147" t="n">
        <v>-26550.84314862</v>
      </c>
      <c r="BO22" s="147" t="n">
        <v>-26550.84314862</v>
      </c>
      <c r="BP22" s="147" t="n">
        <v>-26550.84314862</v>
      </c>
      <c r="BQ22" s="147" t="n">
        <v>-26550.84314862</v>
      </c>
      <c r="BR22" s="147" t="n">
        <v>-26550.84314862</v>
      </c>
      <c r="BS22" s="147" t="n">
        <v>-26550.84314862</v>
      </c>
      <c r="BT22" s="147" t="n">
        <v>-26550.84314862</v>
      </c>
      <c r="BU22" s="147" t="n">
        <v>-26550.84314862</v>
      </c>
      <c r="BV22" s="147" t="n">
        <v>-26550.84314862</v>
      </c>
      <c r="BW22" s="147" t="n">
        <v>-26550.84314862</v>
      </c>
      <c r="BX22" s="147" t="n">
        <v>-26550.84314862</v>
      </c>
      <c r="BY22" s="147" t="n">
        <v>-26550.84314862</v>
      </c>
      <c r="BZ22" s="147" t="n">
        <v>-27081.8600115924</v>
      </c>
      <c r="CA22" s="147" t="n">
        <v>-27081.8600115924</v>
      </c>
      <c r="CB22" s="147" t="n">
        <v>-27081.8600115924</v>
      </c>
      <c r="CC22" s="147" t="n">
        <v>-27081.8600115924</v>
      </c>
      <c r="CD22" s="147" t="n">
        <v>-27081.8600115924</v>
      </c>
      <c r="CE22" s="147" t="n">
        <v>-27081.8600115924</v>
      </c>
      <c r="CF22" s="147" t="n">
        <v>-27081.8600115924</v>
      </c>
      <c r="CG22" s="147" t="n">
        <v>-27081.8600115924</v>
      </c>
      <c r="CH22" s="147" t="n">
        <v>-27081.8600115924</v>
      </c>
      <c r="CI22" s="147" t="n">
        <v>-27081.8600115924</v>
      </c>
      <c r="CJ22" s="147" t="n">
        <v>-27081.8600115924</v>
      </c>
      <c r="CK22" s="147" t="n">
        <v>-27081.8600115924</v>
      </c>
      <c r="CL22" s="147" t="n">
        <v>-27623.4972118242</v>
      </c>
      <c r="CM22" s="147" t="n">
        <v>-27623.4972118242</v>
      </c>
      <c r="CN22" s="147" t="n">
        <v>-27623.4972118242</v>
      </c>
      <c r="CO22" s="147" t="n">
        <v>-27623.4972118242</v>
      </c>
      <c r="CP22" s="147" t="n">
        <v>-27623.4972118242</v>
      </c>
      <c r="CQ22" s="147" t="n">
        <v>-27623.4972118242</v>
      </c>
      <c r="CR22" s="147" t="n">
        <v>-27623.4972118242</v>
      </c>
      <c r="CS22" s="147" t="n">
        <v>-27623.4972118242</v>
      </c>
      <c r="CT22" s="147" t="n">
        <v>-27623.4972118242</v>
      </c>
      <c r="CU22" s="147" t="n">
        <v>0</v>
      </c>
      <c r="CV22" s="147" t="n">
        <v>0</v>
      </c>
      <c r="CW22" s="147" t="n">
        <v>0</v>
      </c>
      <c r="CX22" s="147" t="n">
        <v>0</v>
      </c>
      <c r="CY22" s="147" t="n">
        <v>0</v>
      </c>
      <c r="CZ22" s="147" t="n">
        <v>0</v>
      </c>
      <c r="DA22" s="147" t="n">
        <v>0</v>
      </c>
      <c r="DB22" s="147" t="n">
        <v>0</v>
      </c>
      <c r="DC22" s="147" t="n">
        <v>0</v>
      </c>
      <c r="DD22" s="147" t="n">
        <v>0</v>
      </c>
      <c r="DE22" s="147" t="n">
        <v>0</v>
      </c>
      <c r="DF22" s="147" t="n">
        <v>0</v>
      </c>
    </row>
    <row r="23" customFormat="false" ht="15" hidden="false" customHeight="true" outlineLevel="0" collapsed="false">
      <c r="A23" s="90" t="s">
        <v>66</v>
      </c>
      <c r="C23" s="104" t="n">
        <v>0</v>
      </c>
      <c r="D23" s="104" t="n">
        <v>0</v>
      </c>
      <c r="E23" s="104" t="n">
        <v>0</v>
      </c>
      <c r="F23" s="147" t="n">
        <v>-103833.333333333</v>
      </c>
      <c r="G23" s="147" t="n">
        <v>-103833.333333333</v>
      </c>
      <c r="H23" s="147" t="n">
        <v>-103833.333333333</v>
      </c>
      <c r="I23" s="147" t="n">
        <v>-103833.333333333</v>
      </c>
      <c r="J23" s="147" t="n">
        <v>-103833.333333333</v>
      </c>
      <c r="K23" s="147" t="n">
        <v>-103833.333333333</v>
      </c>
      <c r="L23" s="147" t="n">
        <v>-103833.333333333</v>
      </c>
      <c r="M23" s="147" t="n">
        <v>-103833.333333333</v>
      </c>
      <c r="N23" s="147" t="n">
        <v>-103833.333333333</v>
      </c>
      <c r="O23" s="147" t="n">
        <v>-103833.333333333</v>
      </c>
      <c r="P23" s="147" t="n">
        <v>-103833.333333333</v>
      </c>
      <c r="Q23" s="147" t="n">
        <v>-103833.333333333</v>
      </c>
      <c r="R23" s="147" t="n">
        <v>-103833.333333333</v>
      </c>
      <c r="S23" s="147" t="n">
        <v>-103833.333333333</v>
      </c>
      <c r="T23" s="147" t="n">
        <v>-103833.333333333</v>
      </c>
      <c r="U23" s="147" t="n">
        <v>-103833.333333333</v>
      </c>
      <c r="V23" s="147" t="n">
        <v>-103833.333333333</v>
      </c>
      <c r="W23" s="147" t="n">
        <v>-103833.333333333</v>
      </c>
      <c r="X23" s="147" t="n">
        <v>-103833.333333333</v>
      </c>
      <c r="Y23" s="147" t="n">
        <v>-103833.333333333</v>
      </c>
      <c r="Z23" s="147" t="n">
        <v>-103833.333333333</v>
      </c>
      <c r="AA23" s="147" t="n">
        <v>-103833.333333333</v>
      </c>
      <c r="AB23" s="147" t="n">
        <v>-103833.333333333</v>
      </c>
      <c r="AC23" s="147" t="n">
        <v>-103833.333333333</v>
      </c>
      <c r="AD23" s="147" t="n">
        <v>-103833.333333333</v>
      </c>
      <c r="AE23" s="147" t="n">
        <v>-103833.333333333</v>
      </c>
      <c r="AF23" s="147" t="n">
        <v>-103833.333333333</v>
      </c>
      <c r="AG23" s="147" t="n">
        <v>-103833.333333333</v>
      </c>
      <c r="AH23" s="147" t="n">
        <v>-103833.333333333</v>
      </c>
      <c r="AI23" s="147" t="n">
        <v>-103833.333333333</v>
      </c>
      <c r="AJ23" s="147" t="n">
        <v>-103833.333333333</v>
      </c>
      <c r="AK23" s="147" t="n">
        <v>-103833.333333333</v>
      </c>
      <c r="AL23" s="147" t="n">
        <v>-103833.333333333</v>
      </c>
      <c r="AM23" s="147" t="n">
        <v>-103833.333333333</v>
      </c>
      <c r="AN23" s="147" t="n">
        <v>-103833.333333333</v>
      </c>
      <c r="AO23" s="147" t="n">
        <v>-103833.333333333</v>
      </c>
      <c r="AP23" s="147" t="n">
        <v>-103833.333333333</v>
      </c>
      <c r="AQ23" s="147" t="n">
        <v>-103833.333333333</v>
      </c>
      <c r="AR23" s="147" t="n">
        <v>-103833.333333333</v>
      </c>
      <c r="AS23" s="147" t="n">
        <v>-103833.333333333</v>
      </c>
      <c r="AT23" s="147" t="n">
        <v>-103833.333333333</v>
      </c>
      <c r="AU23" s="147" t="n">
        <v>-103833.333333333</v>
      </c>
      <c r="AV23" s="147" t="n">
        <v>-103833.333333333</v>
      </c>
      <c r="AW23" s="147" t="n">
        <v>-103833.333333333</v>
      </c>
      <c r="AX23" s="147" t="n">
        <v>-103833.333333333</v>
      </c>
      <c r="AY23" s="147" t="n">
        <v>-103833.333333333</v>
      </c>
      <c r="AZ23" s="147" t="n">
        <v>-103833.333333333</v>
      </c>
      <c r="BA23" s="147" t="n">
        <v>-103833.333333333</v>
      </c>
      <c r="BB23" s="147" t="n">
        <v>-103833.333333333</v>
      </c>
      <c r="BC23" s="147" t="n">
        <v>-103833.333333333</v>
      </c>
      <c r="BD23" s="147" t="n">
        <v>-103833.333333333</v>
      </c>
      <c r="BE23" s="147" t="n">
        <v>-103833.333333333</v>
      </c>
      <c r="BF23" s="147" t="n">
        <v>-103833.333333333</v>
      </c>
      <c r="BG23" s="147" t="n">
        <v>-103833.333333333</v>
      </c>
      <c r="BH23" s="147" t="n">
        <v>-103833.333333333</v>
      </c>
      <c r="BI23" s="147" t="n">
        <v>-103833.333333333</v>
      </c>
      <c r="BJ23" s="147" t="n">
        <v>-103833.333333333</v>
      </c>
      <c r="BK23" s="147" t="n">
        <v>-103833.333333333</v>
      </c>
      <c r="BL23" s="147" t="n">
        <v>-103833.333333333</v>
      </c>
      <c r="BM23" s="147" t="n">
        <v>-103833.333333333</v>
      </c>
      <c r="BN23" s="147" t="n">
        <v>-103833.333333333</v>
      </c>
      <c r="BO23" s="147" t="n">
        <v>-103833.333333333</v>
      </c>
      <c r="BP23" s="147" t="n">
        <v>-103833.333333333</v>
      </c>
      <c r="BQ23" s="147" t="n">
        <v>-103833.333333333</v>
      </c>
      <c r="BR23" s="147" t="n">
        <v>-103833.333333333</v>
      </c>
      <c r="BS23" s="147" t="n">
        <v>-103833.333333333</v>
      </c>
      <c r="BT23" s="147" t="n">
        <v>-103833.333333333</v>
      </c>
      <c r="BU23" s="147" t="n">
        <v>-103833.333333333</v>
      </c>
      <c r="BV23" s="147" t="n">
        <v>-103833.333333333</v>
      </c>
      <c r="BW23" s="147" t="n">
        <v>-103833.333333333</v>
      </c>
      <c r="BX23" s="147" t="n">
        <v>-103833.333333333</v>
      </c>
      <c r="BY23" s="147" t="n">
        <v>-103833.333333333</v>
      </c>
      <c r="BZ23" s="147" t="n">
        <v>-103833.333333333</v>
      </c>
      <c r="CA23" s="147" t="n">
        <v>-103833.333333333</v>
      </c>
      <c r="CB23" s="147" t="n">
        <v>-103833.333333333</v>
      </c>
      <c r="CC23" s="147" t="n">
        <v>-103833.333333333</v>
      </c>
      <c r="CD23" s="147" t="n">
        <v>-103833.333333333</v>
      </c>
      <c r="CE23" s="147" t="n">
        <v>-103833.333333333</v>
      </c>
      <c r="CF23" s="147" t="n">
        <v>-103833.333333333</v>
      </c>
      <c r="CG23" s="147" t="n">
        <v>-103833.333333333</v>
      </c>
      <c r="CH23" s="147" t="n">
        <v>-103833.333333333</v>
      </c>
      <c r="CI23" s="147" t="n">
        <v>-103833.333333333</v>
      </c>
      <c r="CJ23" s="147" t="n">
        <v>-103833.333333333</v>
      </c>
      <c r="CK23" s="147" t="n">
        <v>-103833.333333333</v>
      </c>
      <c r="CL23" s="147" t="n">
        <v>-103833.333333333</v>
      </c>
      <c r="CM23" s="147" t="n">
        <v>-103833.333333333</v>
      </c>
      <c r="CN23" s="147" t="n">
        <v>-103833.333333333</v>
      </c>
      <c r="CO23" s="147" t="n">
        <v>-103833.333333333</v>
      </c>
      <c r="CP23" s="147" t="n">
        <v>-103833.333333333</v>
      </c>
      <c r="CQ23" s="147" t="n">
        <v>-103833.333333333</v>
      </c>
      <c r="CR23" s="147" t="n">
        <v>-103833.333333333</v>
      </c>
      <c r="CS23" s="147" t="n">
        <v>-103833.333333333</v>
      </c>
      <c r="CT23" s="147" t="n">
        <v>-103833.333333333</v>
      </c>
      <c r="CU23" s="147" t="n">
        <v>-103833.333333333</v>
      </c>
      <c r="CV23" s="147" t="n">
        <v>-103833.333333333</v>
      </c>
      <c r="CW23" s="147" t="n">
        <v>-103833.333333333</v>
      </c>
      <c r="CX23" s="147" t="n">
        <v>-103833.333333333</v>
      </c>
      <c r="CY23" s="147" t="n">
        <v>-103833.333333333</v>
      </c>
      <c r="CZ23" s="147" t="n">
        <v>-103833.333333333</v>
      </c>
      <c r="DA23" s="147" t="n">
        <v>-103833.333333333</v>
      </c>
      <c r="DB23" s="147" t="n">
        <v>-103833.333333333</v>
      </c>
      <c r="DC23" s="147" t="n">
        <v>-103833.333333333</v>
      </c>
      <c r="DD23" s="147" t="n">
        <v>-103833.333333333</v>
      </c>
      <c r="DE23" s="147" t="n">
        <v>-103833.333333333</v>
      </c>
      <c r="DF23" s="147" t="n">
        <v>-103833.333333333</v>
      </c>
    </row>
    <row r="24" customFormat="false" ht="15" hidden="false" customHeight="true" outlineLevel="0" collapsed="false">
      <c r="A24" s="90" t="s">
        <v>67</v>
      </c>
      <c r="C24" s="104" t="n">
        <v>-9482.97</v>
      </c>
      <c r="D24" s="104" t="n">
        <v>-10343.29</v>
      </c>
      <c r="E24" s="104" t="n">
        <v>-3729.48</v>
      </c>
      <c r="F24" s="147" t="n">
        <v>-10947.9166666667</v>
      </c>
      <c r="G24" s="147" t="n">
        <v>-12177.0833333333</v>
      </c>
      <c r="H24" s="147" t="n">
        <v>-13427.0833333333</v>
      </c>
      <c r="I24" s="147" t="n">
        <v>-13968.75</v>
      </c>
      <c r="J24" s="147" t="n">
        <v>-13968.75</v>
      </c>
      <c r="K24" s="147" t="n">
        <v>-13968.75</v>
      </c>
      <c r="L24" s="147" t="n">
        <v>-15010.4166666667</v>
      </c>
      <c r="M24" s="147" t="n">
        <v>-16510.4166666667</v>
      </c>
      <c r="N24" s="147" t="n">
        <v>-16510.4166666667</v>
      </c>
      <c r="O24" s="147" t="n">
        <v>-16510.4166666667</v>
      </c>
      <c r="P24" s="147" t="n">
        <v>-16510.4166666667</v>
      </c>
      <c r="Q24" s="147" t="n">
        <v>-16510.4166666667</v>
      </c>
      <c r="R24" s="147" t="n">
        <v>-17520.625</v>
      </c>
      <c r="S24" s="147" t="n">
        <v>-17520.625</v>
      </c>
      <c r="T24" s="147" t="n">
        <v>-17520.625</v>
      </c>
      <c r="U24" s="147" t="n">
        <v>-17520.625</v>
      </c>
      <c r="V24" s="147" t="n">
        <v>-17520.625</v>
      </c>
      <c r="W24" s="147" t="n">
        <v>-17520.625</v>
      </c>
      <c r="X24" s="147" t="n">
        <v>-17520.625</v>
      </c>
      <c r="Y24" s="147" t="n">
        <v>-17520.625</v>
      </c>
      <c r="Z24" s="147" t="n">
        <v>-17520.625</v>
      </c>
      <c r="AA24" s="147" t="n">
        <v>-17520.625</v>
      </c>
      <c r="AB24" s="147" t="n">
        <v>-17520.625</v>
      </c>
      <c r="AC24" s="147" t="n">
        <v>-17520.625</v>
      </c>
      <c r="AD24" s="147" t="n">
        <v>-17871.0375</v>
      </c>
      <c r="AE24" s="147" t="n">
        <v>-17871.0375</v>
      </c>
      <c r="AF24" s="147" t="n">
        <v>-17871.0375</v>
      </c>
      <c r="AG24" s="147" t="n">
        <v>-17871.0375</v>
      </c>
      <c r="AH24" s="147" t="n">
        <v>-17871.0375</v>
      </c>
      <c r="AI24" s="147" t="n">
        <v>-17871.0375</v>
      </c>
      <c r="AJ24" s="147" t="n">
        <v>-17871.0375</v>
      </c>
      <c r="AK24" s="147" t="n">
        <v>-17871.0375</v>
      </c>
      <c r="AL24" s="147" t="n">
        <v>-17871.0375</v>
      </c>
      <c r="AM24" s="147" t="n">
        <v>-17871.0375</v>
      </c>
      <c r="AN24" s="147" t="n">
        <v>-17871.0375</v>
      </c>
      <c r="AO24" s="147" t="n">
        <v>-17871.0375</v>
      </c>
      <c r="AP24" s="147" t="n">
        <v>-18228.45825</v>
      </c>
      <c r="AQ24" s="147" t="n">
        <v>-18228.45825</v>
      </c>
      <c r="AR24" s="147" t="n">
        <v>-18228.45825</v>
      </c>
      <c r="AS24" s="147" t="n">
        <v>-18228.45825</v>
      </c>
      <c r="AT24" s="147" t="n">
        <v>-18228.45825</v>
      </c>
      <c r="AU24" s="147" t="n">
        <v>-18228.45825</v>
      </c>
      <c r="AV24" s="147" t="n">
        <v>-18228.45825</v>
      </c>
      <c r="AW24" s="147" t="n">
        <v>-18228.45825</v>
      </c>
      <c r="AX24" s="147" t="n">
        <v>-18228.45825</v>
      </c>
      <c r="AY24" s="147" t="n">
        <v>-18228.45825</v>
      </c>
      <c r="AZ24" s="147" t="n">
        <v>-18228.45825</v>
      </c>
      <c r="BA24" s="147" t="n">
        <v>-18228.45825</v>
      </c>
      <c r="BB24" s="147" t="n">
        <v>-18593.027415</v>
      </c>
      <c r="BC24" s="147" t="n">
        <v>-18593.027415</v>
      </c>
      <c r="BD24" s="147" t="n">
        <v>-18593.027415</v>
      </c>
      <c r="BE24" s="147" t="n">
        <v>-18593.027415</v>
      </c>
      <c r="BF24" s="147" t="n">
        <v>-18593.027415</v>
      </c>
      <c r="BG24" s="147" t="n">
        <v>-18593.027415</v>
      </c>
      <c r="BH24" s="147" t="n">
        <v>-18593.027415</v>
      </c>
      <c r="BI24" s="147" t="n">
        <v>-18593.027415</v>
      </c>
      <c r="BJ24" s="147" t="n">
        <v>-18593.027415</v>
      </c>
      <c r="BK24" s="147" t="n">
        <v>-18593.027415</v>
      </c>
      <c r="BL24" s="147" t="n">
        <v>-18593.027415</v>
      </c>
      <c r="BM24" s="147" t="n">
        <v>-18593.027415</v>
      </c>
      <c r="BN24" s="147" t="n">
        <v>-18964.8879633</v>
      </c>
      <c r="BO24" s="147" t="n">
        <v>-18964.8879633</v>
      </c>
      <c r="BP24" s="147" t="n">
        <v>-18964.8879633</v>
      </c>
      <c r="BQ24" s="147" t="n">
        <v>-18964.8879633</v>
      </c>
      <c r="BR24" s="147" t="n">
        <v>-18964.8879633</v>
      </c>
      <c r="BS24" s="147" t="n">
        <v>-18964.8879633</v>
      </c>
      <c r="BT24" s="147" t="n">
        <v>-18964.8879633</v>
      </c>
      <c r="BU24" s="147" t="n">
        <v>-18964.8879633</v>
      </c>
      <c r="BV24" s="147" t="n">
        <v>-18964.8879633</v>
      </c>
      <c r="BW24" s="147" t="n">
        <v>-18964.8879633</v>
      </c>
      <c r="BX24" s="147" t="n">
        <v>-18964.8879633</v>
      </c>
      <c r="BY24" s="147" t="n">
        <v>-18964.8879633</v>
      </c>
      <c r="BZ24" s="147" t="n">
        <v>-19344.185722566</v>
      </c>
      <c r="CA24" s="147" t="n">
        <v>-19344.185722566</v>
      </c>
      <c r="CB24" s="147" t="n">
        <v>-19344.185722566</v>
      </c>
      <c r="CC24" s="147" t="n">
        <v>-19344.185722566</v>
      </c>
      <c r="CD24" s="147" t="n">
        <v>-19344.185722566</v>
      </c>
      <c r="CE24" s="147" t="n">
        <v>-19344.185722566</v>
      </c>
      <c r="CF24" s="147" t="n">
        <v>-19344.185722566</v>
      </c>
      <c r="CG24" s="147" t="n">
        <v>-19344.185722566</v>
      </c>
      <c r="CH24" s="147" t="n">
        <v>-19344.185722566</v>
      </c>
      <c r="CI24" s="147" t="n">
        <v>-19344.185722566</v>
      </c>
      <c r="CJ24" s="147" t="n">
        <v>-19344.185722566</v>
      </c>
      <c r="CK24" s="147" t="n">
        <v>-19344.185722566</v>
      </c>
      <c r="CL24" s="147" t="n">
        <v>-19731.0694370173</v>
      </c>
      <c r="CM24" s="147" t="n">
        <v>-19731.0694370173</v>
      </c>
      <c r="CN24" s="147" t="n">
        <v>-19731.0694370173</v>
      </c>
      <c r="CO24" s="147" t="n">
        <v>-19731.0694370173</v>
      </c>
      <c r="CP24" s="147" t="n">
        <v>-19731.0694370173</v>
      </c>
      <c r="CQ24" s="147" t="n">
        <v>-19731.0694370173</v>
      </c>
      <c r="CR24" s="147" t="n">
        <v>-19731.0694370173</v>
      </c>
      <c r="CS24" s="147" t="n">
        <v>-19731.0694370173</v>
      </c>
      <c r="CT24" s="147" t="n">
        <v>-19731.0694370173</v>
      </c>
      <c r="CU24" s="147" t="n">
        <v>0</v>
      </c>
      <c r="CV24" s="147" t="n">
        <v>0</v>
      </c>
      <c r="CW24" s="147" t="n">
        <v>0</v>
      </c>
      <c r="CX24" s="147" t="n">
        <v>0</v>
      </c>
      <c r="CY24" s="147" t="n">
        <v>0</v>
      </c>
      <c r="CZ24" s="147" t="n">
        <v>0</v>
      </c>
      <c r="DA24" s="147" t="n">
        <v>0</v>
      </c>
      <c r="DB24" s="147" t="n">
        <v>0</v>
      </c>
      <c r="DC24" s="147" t="n">
        <v>0</v>
      </c>
      <c r="DD24" s="147" t="n">
        <v>0</v>
      </c>
      <c r="DE24" s="147" t="n">
        <v>0</v>
      </c>
      <c r="DF24" s="147" t="n">
        <v>0</v>
      </c>
    </row>
    <row r="25" customFormat="false" ht="15" hidden="false" customHeight="true" outlineLevel="0" collapsed="false">
      <c r="A25" s="90" t="s">
        <v>68</v>
      </c>
      <c r="C25" s="104" t="n">
        <v>-2542.47</v>
      </c>
      <c r="D25" s="104" t="n">
        <v>-1618.75</v>
      </c>
      <c r="E25" s="104" t="n">
        <v>3406.77</v>
      </c>
      <c r="F25" s="147" t="n">
        <v>-4379.16666666667</v>
      </c>
      <c r="G25" s="147" t="n">
        <v>-4870.83333333333</v>
      </c>
      <c r="H25" s="147" t="n">
        <v>-5370.83333333333</v>
      </c>
      <c r="I25" s="147" t="n">
        <v>-5587.5</v>
      </c>
      <c r="J25" s="147" t="n">
        <v>-5587.5</v>
      </c>
      <c r="K25" s="147" t="n">
        <v>-5587.5</v>
      </c>
      <c r="L25" s="147" t="n">
        <v>-6004.16666666667</v>
      </c>
      <c r="M25" s="147" t="n">
        <v>-6604.16666666666</v>
      </c>
      <c r="N25" s="147" t="n">
        <v>-6604.16666666666</v>
      </c>
      <c r="O25" s="147" t="n">
        <v>-6604.16666666666</v>
      </c>
      <c r="P25" s="147" t="n">
        <v>-6604.16666666666</v>
      </c>
      <c r="Q25" s="147" t="n">
        <v>-6604.16666666666</v>
      </c>
      <c r="R25" s="147" t="n">
        <v>-7008.25</v>
      </c>
      <c r="S25" s="147" t="n">
        <v>-7008.25</v>
      </c>
      <c r="T25" s="147" t="n">
        <v>-7008.25</v>
      </c>
      <c r="U25" s="147" t="n">
        <v>-7008.25</v>
      </c>
      <c r="V25" s="147" t="n">
        <v>-7008.25</v>
      </c>
      <c r="W25" s="147" t="n">
        <v>-7008.25</v>
      </c>
      <c r="X25" s="147" t="n">
        <v>-7008.25</v>
      </c>
      <c r="Y25" s="147" t="n">
        <v>-7008.25</v>
      </c>
      <c r="Z25" s="147" t="n">
        <v>-7008.25</v>
      </c>
      <c r="AA25" s="147" t="n">
        <v>-7008.25</v>
      </c>
      <c r="AB25" s="147" t="n">
        <v>-7008.25</v>
      </c>
      <c r="AC25" s="147" t="n">
        <v>-7008.25</v>
      </c>
      <c r="AD25" s="147" t="n">
        <v>-7148.415</v>
      </c>
      <c r="AE25" s="147" t="n">
        <v>-7148.415</v>
      </c>
      <c r="AF25" s="147" t="n">
        <v>-7148.415</v>
      </c>
      <c r="AG25" s="147" t="n">
        <v>-7148.415</v>
      </c>
      <c r="AH25" s="147" t="n">
        <v>-7148.415</v>
      </c>
      <c r="AI25" s="147" t="n">
        <v>-7148.415</v>
      </c>
      <c r="AJ25" s="147" t="n">
        <v>-7148.415</v>
      </c>
      <c r="AK25" s="147" t="n">
        <v>-7148.415</v>
      </c>
      <c r="AL25" s="147" t="n">
        <v>-7148.415</v>
      </c>
      <c r="AM25" s="147" t="n">
        <v>-7148.415</v>
      </c>
      <c r="AN25" s="147" t="n">
        <v>-7148.415</v>
      </c>
      <c r="AO25" s="147" t="n">
        <v>-7148.415</v>
      </c>
      <c r="AP25" s="147" t="n">
        <v>-7291.3833</v>
      </c>
      <c r="AQ25" s="147" t="n">
        <v>-7291.3833</v>
      </c>
      <c r="AR25" s="147" t="n">
        <v>-7291.3833</v>
      </c>
      <c r="AS25" s="147" t="n">
        <v>-7291.3833</v>
      </c>
      <c r="AT25" s="147" t="n">
        <v>-7291.3833</v>
      </c>
      <c r="AU25" s="147" t="n">
        <v>-7291.3833</v>
      </c>
      <c r="AV25" s="147" t="n">
        <v>-7291.3833</v>
      </c>
      <c r="AW25" s="147" t="n">
        <v>-7291.3833</v>
      </c>
      <c r="AX25" s="147" t="n">
        <v>-7291.3833</v>
      </c>
      <c r="AY25" s="147" t="n">
        <v>-7291.3833</v>
      </c>
      <c r="AZ25" s="147" t="n">
        <v>-7291.3833</v>
      </c>
      <c r="BA25" s="147" t="n">
        <v>-7291.3833</v>
      </c>
      <c r="BB25" s="147" t="n">
        <v>-7437.210966</v>
      </c>
      <c r="BC25" s="147" t="n">
        <v>-7437.210966</v>
      </c>
      <c r="BD25" s="147" t="n">
        <v>-7437.210966</v>
      </c>
      <c r="BE25" s="147" t="n">
        <v>-7437.210966</v>
      </c>
      <c r="BF25" s="147" t="n">
        <v>-7437.210966</v>
      </c>
      <c r="BG25" s="147" t="n">
        <v>-7437.210966</v>
      </c>
      <c r="BH25" s="147" t="n">
        <v>-7437.210966</v>
      </c>
      <c r="BI25" s="147" t="n">
        <v>-7437.210966</v>
      </c>
      <c r="BJ25" s="147" t="n">
        <v>-7437.210966</v>
      </c>
      <c r="BK25" s="147" t="n">
        <v>-7437.210966</v>
      </c>
      <c r="BL25" s="147" t="n">
        <v>-7437.210966</v>
      </c>
      <c r="BM25" s="147" t="n">
        <v>-7437.210966</v>
      </c>
      <c r="BN25" s="147" t="n">
        <v>-7585.95518532</v>
      </c>
      <c r="BO25" s="147" t="n">
        <v>-7585.95518532</v>
      </c>
      <c r="BP25" s="147" t="n">
        <v>-7585.95518532</v>
      </c>
      <c r="BQ25" s="147" t="n">
        <v>-7585.95518532</v>
      </c>
      <c r="BR25" s="147" t="n">
        <v>-7585.95518532</v>
      </c>
      <c r="BS25" s="147" t="n">
        <v>-7585.95518532</v>
      </c>
      <c r="BT25" s="147" t="n">
        <v>-7585.95518532</v>
      </c>
      <c r="BU25" s="147" t="n">
        <v>-7585.95518532</v>
      </c>
      <c r="BV25" s="147" t="n">
        <v>-7585.95518532</v>
      </c>
      <c r="BW25" s="147" t="n">
        <v>-7585.95518532</v>
      </c>
      <c r="BX25" s="147" t="n">
        <v>-7585.95518532</v>
      </c>
      <c r="BY25" s="147" t="n">
        <v>-7585.95518532</v>
      </c>
      <c r="BZ25" s="147" t="n">
        <v>-7737.6742890264</v>
      </c>
      <c r="CA25" s="147" t="n">
        <v>-7737.6742890264</v>
      </c>
      <c r="CB25" s="147" t="n">
        <v>-7737.6742890264</v>
      </c>
      <c r="CC25" s="147" t="n">
        <v>-7737.6742890264</v>
      </c>
      <c r="CD25" s="147" t="n">
        <v>-7737.6742890264</v>
      </c>
      <c r="CE25" s="147" t="n">
        <v>-7737.6742890264</v>
      </c>
      <c r="CF25" s="147" t="n">
        <v>-7737.6742890264</v>
      </c>
      <c r="CG25" s="147" t="n">
        <v>-7737.6742890264</v>
      </c>
      <c r="CH25" s="147" t="n">
        <v>-7737.6742890264</v>
      </c>
      <c r="CI25" s="147" t="n">
        <v>-7737.6742890264</v>
      </c>
      <c r="CJ25" s="147" t="n">
        <v>-7737.6742890264</v>
      </c>
      <c r="CK25" s="147" t="n">
        <v>-7737.6742890264</v>
      </c>
      <c r="CL25" s="147" t="n">
        <v>-7892.42777480693</v>
      </c>
      <c r="CM25" s="147" t="n">
        <v>-7892.42777480693</v>
      </c>
      <c r="CN25" s="147" t="n">
        <v>-7892.42777480693</v>
      </c>
      <c r="CO25" s="147" t="n">
        <v>-7892.42777480693</v>
      </c>
      <c r="CP25" s="147" t="n">
        <v>-7892.42777480693</v>
      </c>
      <c r="CQ25" s="147" t="n">
        <v>-7892.42777480693</v>
      </c>
      <c r="CR25" s="147" t="n">
        <v>-7892.42777480693</v>
      </c>
      <c r="CS25" s="147" t="n">
        <v>-7892.42777480693</v>
      </c>
      <c r="CT25" s="147" t="n">
        <v>-7892.42777480693</v>
      </c>
      <c r="CU25" s="147" t="n">
        <v>0</v>
      </c>
      <c r="CV25" s="147" t="n">
        <v>0</v>
      </c>
      <c r="CW25" s="147" t="n">
        <v>0</v>
      </c>
      <c r="CX25" s="147" t="n">
        <v>0</v>
      </c>
      <c r="CY25" s="147" t="n">
        <v>0</v>
      </c>
      <c r="CZ25" s="147" t="n">
        <v>0</v>
      </c>
      <c r="DA25" s="147" t="n">
        <v>0</v>
      </c>
      <c r="DB25" s="147" t="n">
        <v>0</v>
      </c>
      <c r="DC25" s="147" t="n">
        <v>0</v>
      </c>
      <c r="DD25" s="147" t="n">
        <v>0</v>
      </c>
      <c r="DE25" s="147" t="n">
        <v>0</v>
      </c>
      <c r="DF25" s="147" t="n">
        <v>0</v>
      </c>
    </row>
    <row r="26" customFormat="false" ht="15" hidden="false" customHeight="true" outlineLevel="0" collapsed="false">
      <c r="A26" s="90" t="s">
        <v>69</v>
      </c>
      <c r="C26" s="104" t="n">
        <v>-195</v>
      </c>
      <c r="D26" s="104" t="n">
        <v>-200</v>
      </c>
      <c r="E26" s="104" t="n">
        <v>0</v>
      </c>
      <c r="F26" s="147" t="n">
        <v>-1094.79166666667</v>
      </c>
      <c r="G26" s="147" t="n">
        <v>-1217.70833333333</v>
      </c>
      <c r="H26" s="147" t="n">
        <v>-1342.70833333333</v>
      </c>
      <c r="I26" s="147" t="n">
        <v>-1396.875</v>
      </c>
      <c r="J26" s="147" t="n">
        <v>-1396.875</v>
      </c>
      <c r="K26" s="147" t="n">
        <v>-1396.875</v>
      </c>
      <c r="L26" s="147" t="n">
        <v>-1501.04166666667</v>
      </c>
      <c r="M26" s="147" t="n">
        <v>-1651.04166666667</v>
      </c>
      <c r="N26" s="147" t="n">
        <v>-1651.04166666667</v>
      </c>
      <c r="O26" s="147" t="n">
        <v>-1651.04166666667</v>
      </c>
      <c r="P26" s="147" t="n">
        <v>-1651.04166666667</v>
      </c>
      <c r="Q26" s="147" t="n">
        <v>-1651.04166666667</v>
      </c>
      <c r="R26" s="147" t="n">
        <v>-1752.0625</v>
      </c>
      <c r="S26" s="147" t="n">
        <v>-1752.0625</v>
      </c>
      <c r="T26" s="147" t="n">
        <v>-1752.0625</v>
      </c>
      <c r="U26" s="147" t="n">
        <v>-1752.0625</v>
      </c>
      <c r="V26" s="147" t="n">
        <v>-1752.0625</v>
      </c>
      <c r="W26" s="147" t="n">
        <v>-1752.0625</v>
      </c>
      <c r="X26" s="147" t="n">
        <v>-1752.0625</v>
      </c>
      <c r="Y26" s="147" t="n">
        <v>-1752.0625</v>
      </c>
      <c r="Z26" s="147" t="n">
        <v>-1752.0625</v>
      </c>
      <c r="AA26" s="147" t="n">
        <v>-1752.0625</v>
      </c>
      <c r="AB26" s="147" t="n">
        <v>-1752.0625</v>
      </c>
      <c r="AC26" s="147" t="n">
        <v>-1752.0625</v>
      </c>
      <c r="AD26" s="147" t="n">
        <v>-1787.10375</v>
      </c>
      <c r="AE26" s="147" t="n">
        <v>-1787.10375</v>
      </c>
      <c r="AF26" s="147" t="n">
        <v>-1787.10375</v>
      </c>
      <c r="AG26" s="147" t="n">
        <v>-1787.10375</v>
      </c>
      <c r="AH26" s="147" t="n">
        <v>-1787.10375</v>
      </c>
      <c r="AI26" s="147" t="n">
        <v>-1787.10375</v>
      </c>
      <c r="AJ26" s="147" t="n">
        <v>-1787.10375</v>
      </c>
      <c r="AK26" s="147" t="n">
        <v>-1787.10375</v>
      </c>
      <c r="AL26" s="147" t="n">
        <v>-1787.10375</v>
      </c>
      <c r="AM26" s="147" t="n">
        <v>-1787.10375</v>
      </c>
      <c r="AN26" s="147" t="n">
        <v>-1787.10375</v>
      </c>
      <c r="AO26" s="147" t="n">
        <v>-1787.10375</v>
      </c>
      <c r="AP26" s="147" t="n">
        <v>-1822.845825</v>
      </c>
      <c r="AQ26" s="147" t="n">
        <v>-1822.845825</v>
      </c>
      <c r="AR26" s="147" t="n">
        <v>-1822.845825</v>
      </c>
      <c r="AS26" s="147" t="n">
        <v>-1822.845825</v>
      </c>
      <c r="AT26" s="147" t="n">
        <v>-1822.845825</v>
      </c>
      <c r="AU26" s="147" t="n">
        <v>-1822.845825</v>
      </c>
      <c r="AV26" s="147" t="n">
        <v>-1822.845825</v>
      </c>
      <c r="AW26" s="147" t="n">
        <v>-1822.845825</v>
      </c>
      <c r="AX26" s="147" t="n">
        <v>-1822.845825</v>
      </c>
      <c r="AY26" s="147" t="n">
        <v>-1822.845825</v>
      </c>
      <c r="AZ26" s="147" t="n">
        <v>-1822.845825</v>
      </c>
      <c r="BA26" s="147" t="n">
        <v>-1822.845825</v>
      </c>
      <c r="BB26" s="147" t="n">
        <v>-1859.3027415</v>
      </c>
      <c r="BC26" s="147" t="n">
        <v>-1859.3027415</v>
      </c>
      <c r="BD26" s="147" t="n">
        <v>-1859.3027415</v>
      </c>
      <c r="BE26" s="147" t="n">
        <v>-1859.3027415</v>
      </c>
      <c r="BF26" s="147" t="n">
        <v>-1859.3027415</v>
      </c>
      <c r="BG26" s="147" t="n">
        <v>-1859.3027415</v>
      </c>
      <c r="BH26" s="147" t="n">
        <v>-1859.3027415</v>
      </c>
      <c r="BI26" s="147" t="n">
        <v>-1859.3027415</v>
      </c>
      <c r="BJ26" s="147" t="n">
        <v>-1859.3027415</v>
      </c>
      <c r="BK26" s="147" t="n">
        <v>-1859.3027415</v>
      </c>
      <c r="BL26" s="147" t="n">
        <v>-1859.3027415</v>
      </c>
      <c r="BM26" s="147" t="n">
        <v>-1859.3027415</v>
      </c>
      <c r="BN26" s="147" t="n">
        <v>-1896.48879633</v>
      </c>
      <c r="BO26" s="147" t="n">
        <v>-1896.48879633</v>
      </c>
      <c r="BP26" s="147" t="n">
        <v>-1896.48879633</v>
      </c>
      <c r="BQ26" s="147" t="n">
        <v>-1896.48879633</v>
      </c>
      <c r="BR26" s="147" t="n">
        <v>-1896.48879633</v>
      </c>
      <c r="BS26" s="147" t="n">
        <v>-1896.48879633</v>
      </c>
      <c r="BT26" s="147" t="n">
        <v>-1896.48879633</v>
      </c>
      <c r="BU26" s="147" t="n">
        <v>-1896.48879633</v>
      </c>
      <c r="BV26" s="147" t="n">
        <v>-1896.48879633</v>
      </c>
      <c r="BW26" s="147" t="n">
        <v>-1896.48879633</v>
      </c>
      <c r="BX26" s="147" t="n">
        <v>-1896.48879633</v>
      </c>
      <c r="BY26" s="147" t="n">
        <v>-1896.48879633</v>
      </c>
      <c r="BZ26" s="147" t="n">
        <v>-1934.4185722566</v>
      </c>
      <c r="CA26" s="147" t="n">
        <v>-1934.4185722566</v>
      </c>
      <c r="CB26" s="147" t="n">
        <v>-1934.4185722566</v>
      </c>
      <c r="CC26" s="147" t="n">
        <v>-1934.4185722566</v>
      </c>
      <c r="CD26" s="147" t="n">
        <v>-1934.4185722566</v>
      </c>
      <c r="CE26" s="147" t="n">
        <v>-1934.4185722566</v>
      </c>
      <c r="CF26" s="147" t="n">
        <v>-1934.4185722566</v>
      </c>
      <c r="CG26" s="147" t="n">
        <v>-1934.4185722566</v>
      </c>
      <c r="CH26" s="147" t="n">
        <v>-1934.4185722566</v>
      </c>
      <c r="CI26" s="147" t="n">
        <v>-1934.4185722566</v>
      </c>
      <c r="CJ26" s="147" t="n">
        <v>-1934.4185722566</v>
      </c>
      <c r="CK26" s="147" t="n">
        <v>-1934.4185722566</v>
      </c>
      <c r="CL26" s="147" t="n">
        <v>-1973.10694370173</v>
      </c>
      <c r="CM26" s="147" t="n">
        <v>-1973.10694370173</v>
      </c>
      <c r="CN26" s="147" t="n">
        <v>-1973.10694370173</v>
      </c>
      <c r="CO26" s="147" t="n">
        <v>-1973.10694370173</v>
      </c>
      <c r="CP26" s="147" t="n">
        <v>-1973.10694370173</v>
      </c>
      <c r="CQ26" s="147" t="n">
        <v>-1973.10694370173</v>
      </c>
      <c r="CR26" s="147" t="n">
        <v>-1973.10694370173</v>
      </c>
      <c r="CS26" s="147" t="n">
        <v>-1973.10694370173</v>
      </c>
      <c r="CT26" s="147" t="n">
        <v>-1973.10694370173</v>
      </c>
      <c r="CU26" s="147" t="n">
        <v>0</v>
      </c>
      <c r="CV26" s="147" t="n">
        <v>0</v>
      </c>
      <c r="CW26" s="147" t="n">
        <v>0</v>
      </c>
      <c r="CX26" s="147" t="n">
        <v>0</v>
      </c>
      <c r="CY26" s="147" t="n">
        <v>0</v>
      </c>
      <c r="CZ26" s="147" t="n">
        <v>0</v>
      </c>
      <c r="DA26" s="147" t="n">
        <v>0</v>
      </c>
      <c r="DB26" s="147" t="n">
        <v>0</v>
      </c>
      <c r="DC26" s="147" t="n">
        <v>0</v>
      </c>
      <c r="DD26" s="147" t="n">
        <v>0</v>
      </c>
      <c r="DE26" s="147" t="n">
        <v>0</v>
      </c>
      <c r="DF26" s="147" t="n">
        <v>0</v>
      </c>
    </row>
    <row r="27" customFormat="false" ht="15" hidden="false" customHeight="true" outlineLevel="0" collapsed="false">
      <c r="A27" s="90" t="s">
        <v>70</v>
      </c>
      <c r="C27" s="104" t="n">
        <v>-33002.28</v>
      </c>
      <c r="D27" s="104" t="n">
        <v>-29166.66</v>
      </c>
      <c r="E27" s="104" t="n">
        <v>-41666.66</v>
      </c>
      <c r="F27" s="147" t="n">
        <v>-29166.66</v>
      </c>
      <c r="G27" s="147" t="n">
        <v>-29166.66</v>
      </c>
      <c r="H27" s="147" t="n">
        <v>-29166.66</v>
      </c>
      <c r="I27" s="147" t="n">
        <v>-29166.66</v>
      </c>
      <c r="J27" s="147" t="n">
        <v>-29166.66</v>
      </c>
      <c r="K27" s="147" t="n">
        <v>-29166.66</v>
      </c>
      <c r="L27" s="147" t="n">
        <v>-29166.66</v>
      </c>
      <c r="M27" s="147" t="n">
        <v>-29166.66</v>
      </c>
      <c r="N27" s="147" t="n">
        <v>-29166.66</v>
      </c>
      <c r="O27" s="147" t="n">
        <v>-29166.66</v>
      </c>
      <c r="P27" s="147" t="n">
        <v>-29166.66</v>
      </c>
      <c r="Q27" s="147" t="n">
        <v>-29166.66</v>
      </c>
      <c r="R27" s="147" t="n">
        <v>-29749.9932</v>
      </c>
      <c r="S27" s="147" t="n">
        <v>-29749.9932</v>
      </c>
      <c r="T27" s="147" t="n">
        <v>-29749.9932</v>
      </c>
      <c r="U27" s="147" t="n">
        <v>-29749.9932</v>
      </c>
      <c r="V27" s="147" t="n">
        <v>-29749.9932</v>
      </c>
      <c r="W27" s="147" t="n">
        <v>-29749.9932</v>
      </c>
      <c r="X27" s="147" t="n">
        <v>-29749.9932</v>
      </c>
      <c r="Y27" s="147" t="n">
        <v>-29749.9932</v>
      </c>
      <c r="Z27" s="147" t="n">
        <v>-29749.9932</v>
      </c>
      <c r="AA27" s="147" t="n">
        <v>-29749.9932</v>
      </c>
      <c r="AB27" s="147" t="n">
        <v>-29749.9932</v>
      </c>
      <c r="AC27" s="147" t="n">
        <v>-29749.9932</v>
      </c>
      <c r="AD27" s="147" t="n">
        <v>-30344.993064</v>
      </c>
      <c r="AE27" s="147" t="n">
        <v>-30344.993064</v>
      </c>
      <c r="AF27" s="147" t="n">
        <v>-30344.993064</v>
      </c>
      <c r="AG27" s="147" t="n">
        <v>-30344.993064</v>
      </c>
      <c r="AH27" s="147" t="n">
        <v>-30344.993064</v>
      </c>
      <c r="AI27" s="147" t="n">
        <v>-30344.993064</v>
      </c>
      <c r="AJ27" s="147" t="n">
        <v>-30344.993064</v>
      </c>
      <c r="AK27" s="147" t="n">
        <v>-30344.993064</v>
      </c>
      <c r="AL27" s="147" t="n">
        <v>-30344.993064</v>
      </c>
      <c r="AM27" s="147" t="n">
        <v>-30344.993064</v>
      </c>
      <c r="AN27" s="147" t="n">
        <v>-30344.993064</v>
      </c>
      <c r="AO27" s="147" t="n">
        <v>-30344.993064</v>
      </c>
      <c r="AP27" s="147" t="n">
        <v>-30951.89292528</v>
      </c>
      <c r="AQ27" s="147" t="n">
        <v>-30951.89292528</v>
      </c>
      <c r="AR27" s="147" t="n">
        <v>-30951.89292528</v>
      </c>
      <c r="AS27" s="147" t="n">
        <v>-30951.89292528</v>
      </c>
      <c r="AT27" s="147" t="n">
        <v>-30951.89292528</v>
      </c>
      <c r="AU27" s="147" t="n">
        <v>-30951.89292528</v>
      </c>
      <c r="AV27" s="147" t="n">
        <v>-30951.89292528</v>
      </c>
      <c r="AW27" s="147" t="n">
        <v>-30951.89292528</v>
      </c>
      <c r="AX27" s="147" t="n">
        <v>-30951.89292528</v>
      </c>
      <c r="AY27" s="147" t="n">
        <v>-30951.89292528</v>
      </c>
      <c r="AZ27" s="147" t="n">
        <v>-30951.89292528</v>
      </c>
      <c r="BA27" s="147" t="n">
        <v>-30951.89292528</v>
      </c>
      <c r="BB27" s="147" t="n">
        <v>-31570.9307837856</v>
      </c>
      <c r="BC27" s="147" t="n">
        <v>-31570.9307837856</v>
      </c>
      <c r="BD27" s="147" t="n">
        <v>-31570.9307837856</v>
      </c>
      <c r="BE27" s="147" t="n">
        <v>-31570.9307837856</v>
      </c>
      <c r="BF27" s="147" t="n">
        <v>-31570.9307837856</v>
      </c>
      <c r="BG27" s="147" t="n">
        <v>-31570.9307837856</v>
      </c>
      <c r="BH27" s="147" t="n">
        <v>-31570.9307837856</v>
      </c>
      <c r="BI27" s="147" t="n">
        <v>-31570.9307837856</v>
      </c>
      <c r="BJ27" s="147" t="n">
        <v>-31570.9307837856</v>
      </c>
      <c r="BK27" s="147" t="n">
        <v>-31570.9307837856</v>
      </c>
      <c r="BL27" s="147" t="n">
        <v>-31570.9307837856</v>
      </c>
      <c r="BM27" s="147" t="n">
        <v>-31570.9307837856</v>
      </c>
      <c r="BN27" s="147" t="n">
        <v>-32202.3493994613</v>
      </c>
      <c r="BO27" s="147" t="n">
        <v>-32202.3493994613</v>
      </c>
      <c r="BP27" s="147" t="n">
        <v>-32202.3493994613</v>
      </c>
      <c r="BQ27" s="147" t="n">
        <v>-32202.3493994613</v>
      </c>
      <c r="BR27" s="147" t="n">
        <v>-32202.3493994613</v>
      </c>
      <c r="BS27" s="147" t="n">
        <v>-32202.3493994613</v>
      </c>
      <c r="BT27" s="147" t="n">
        <v>-32202.3493994613</v>
      </c>
      <c r="BU27" s="147" t="n">
        <v>-32202.3493994613</v>
      </c>
      <c r="BV27" s="147" t="n">
        <v>-32202.3493994613</v>
      </c>
      <c r="BW27" s="147" t="n">
        <v>-32202.3493994613</v>
      </c>
      <c r="BX27" s="147" t="n">
        <v>-32202.3493994613</v>
      </c>
      <c r="BY27" s="147" t="n">
        <v>-32202.3493994613</v>
      </c>
      <c r="BZ27" s="147" t="n">
        <v>-32846.3963874505</v>
      </c>
      <c r="CA27" s="147" t="n">
        <v>-32846.3963874505</v>
      </c>
      <c r="CB27" s="147" t="n">
        <v>-32846.3963874505</v>
      </c>
      <c r="CC27" s="147" t="n">
        <v>-32846.3963874505</v>
      </c>
      <c r="CD27" s="147" t="n">
        <v>-32846.3963874505</v>
      </c>
      <c r="CE27" s="147" t="n">
        <v>-32846.3963874505</v>
      </c>
      <c r="CF27" s="147" t="n">
        <v>-32846.3963874505</v>
      </c>
      <c r="CG27" s="147" t="n">
        <v>-32846.3963874505</v>
      </c>
      <c r="CH27" s="147" t="n">
        <v>-32846.3963874505</v>
      </c>
      <c r="CI27" s="147" t="n">
        <v>-32846.3963874505</v>
      </c>
      <c r="CJ27" s="147" t="n">
        <v>-32846.3963874505</v>
      </c>
      <c r="CK27" s="147" t="n">
        <v>-32846.3963874505</v>
      </c>
      <c r="CL27" s="147" t="n">
        <v>-33503.3243151996</v>
      </c>
      <c r="CM27" s="147" t="n">
        <v>-33503.3243151996</v>
      </c>
      <c r="CN27" s="147" t="n">
        <v>-33503.3243151996</v>
      </c>
      <c r="CO27" s="147" t="n">
        <v>-33503.3243151996</v>
      </c>
      <c r="CP27" s="147" t="n">
        <v>-33503.3243151996</v>
      </c>
      <c r="CQ27" s="147" t="n">
        <v>-33503.3243151996</v>
      </c>
      <c r="CR27" s="147" t="n">
        <v>-33503.3243151996</v>
      </c>
      <c r="CS27" s="147" t="n">
        <v>-33503.3243151996</v>
      </c>
      <c r="CT27" s="147" t="n">
        <v>-33503.3243151996</v>
      </c>
      <c r="CU27" s="147" t="n">
        <v>-33503.3243151996</v>
      </c>
      <c r="CV27" s="147" t="n">
        <v>-33503.3243151996</v>
      </c>
      <c r="CW27" s="147" t="n">
        <v>-33503.3243151996</v>
      </c>
      <c r="CX27" s="147" t="n">
        <v>-34173.3908015035</v>
      </c>
      <c r="CY27" s="147" t="n">
        <v>-34173.3908015035</v>
      </c>
      <c r="CZ27" s="147" t="n">
        <v>-34173.3908015035</v>
      </c>
      <c r="DA27" s="147" t="n">
        <v>-34173.3908015035</v>
      </c>
      <c r="DB27" s="147" t="n">
        <v>-34173.3908015035</v>
      </c>
      <c r="DC27" s="147" t="n">
        <v>-34173.3908015035</v>
      </c>
      <c r="DD27" s="147" t="n">
        <v>-34173.3908015035</v>
      </c>
      <c r="DE27" s="147" t="n">
        <v>-34173.3908015035</v>
      </c>
      <c r="DF27" s="147" t="n">
        <v>-34173.3908015035</v>
      </c>
    </row>
    <row r="28" customFormat="false" ht="15" hidden="false" customHeight="true" outlineLevel="0" collapsed="false">
      <c r="A28" s="90" t="s">
        <v>71</v>
      </c>
      <c r="C28" s="104" t="n">
        <v>0</v>
      </c>
      <c r="D28" s="104" t="n">
        <v>0</v>
      </c>
      <c r="E28" s="104" t="n">
        <v>0</v>
      </c>
      <c r="F28" s="147" t="n">
        <v>0</v>
      </c>
      <c r="G28" s="147" t="n">
        <v>0</v>
      </c>
      <c r="H28" s="147" t="n">
        <v>0</v>
      </c>
      <c r="I28" s="147" t="n">
        <v>0</v>
      </c>
      <c r="J28" s="147" t="n">
        <v>0</v>
      </c>
      <c r="K28" s="147" t="n">
        <v>0</v>
      </c>
      <c r="L28" s="147" t="n">
        <v>0</v>
      </c>
      <c r="M28" s="147" t="n">
        <v>0</v>
      </c>
      <c r="N28" s="147" t="n">
        <v>0</v>
      </c>
      <c r="O28" s="147" t="n">
        <v>0</v>
      </c>
      <c r="P28" s="147" t="n">
        <v>0</v>
      </c>
      <c r="Q28" s="147" t="n">
        <v>0</v>
      </c>
      <c r="R28" s="147" t="n">
        <v>0</v>
      </c>
      <c r="S28" s="147" t="n">
        <v>0</v>
      </c>
      <c r="T28" s="147" t="n">
        <v>0</v>
      </c>
      <c r="U28" s="147" t="n">
        <v>0</v>
      </c>
      <c r="V28" s="147" t="n">
        <v>0</v>
      </c>
      <c r="W28" s="147" t="n">
        <v>0</v>
      </c>
      <c r="X28" s="147" t="n">
        <v>0</v>
      </c>
      <c r="Y28" s="147" t="n">
        <v>0</v>
      </c>
      <c r="Z28" s="147" t="n">
        <v>0</v>
      </c>
      <c r="AA28" s="147" t="n">
        <v>0</v>
      </c>
      <c r="AB28" s="147" t="n">
        <v>0</v>
      </c>
      <c r="AC28" s="147" t="n">
        <v>0</v>
      </c>
      <c r="AD28" s="147" t="n">
        <v>0</v>
      </c>
      <c r="AE28" s="147" t="n">
        <v>0</v>
      </c>
      <c r="AF28" s="147" t="n">
        <v>0</v>
      </c>
      <c r="AG28" s="147" t="n">
        <v>0</v>
      </c>
      <c r="AH28" s="147" t="n">
        <v>0</v>
      </c>
      <c r="AI28" s="147" t="n">
        <v>0</v>
      </c>
      <c r="AJ28" s="147" t="n">
        <v>0</v>
      </c>
      <c r="AK28" s="147" t="n">
        <v>0</v>
      </c>
      <c r="AL28" s="147" t="n">
        <v>0</v>
      </c>
      <c r="AM28" s="147" t="n">
        <v>0</v>
      </c>
      <c r="AN28" s="147" t="n">
        <v>0</v>
      </c>
      <c r="AO28" s="147" t="n">
        <v>0</v>
      </c>
      <c r="AP28" s="147" t="n">
        <v>0</v>
      </c>
      <c r="AQ28" s="147" t="n">
        <v>0</v>
      </c>
      <c r="AR28" s="147" t="n">
        <v>0</v>
      </c>
      <c r="AS28" s="147" t="n">
        <v>0</v>
      </c>
      <c r="AT28" s="147" t="n">
        <v>0</v>
      </c>
      <c r="AU28" s="147" t="n">
        <v>0</v>
      </c>
      <c r="AV28" s="147" t="n">
        <v>0</v>
      </c>
      <c r="AW28" s="147" t="n">
        <v>0</v>
      </c>
      <c r="AX28" s="147" t="n">
        <v>0</v>
      </c>
      <c r="AY28" s="147" t="n">
        <v>0</v>
      </c>
      <c r="AZ28" s="147" t="n">
        <v>0</v>
      </c>
      <c r="BA28" s="147" t="n">
        <v>0</v>
      </c>
      <c r="BB28" s="147" t="n">
        <v>0</v>
      </c>
      <c r="BC28" s="147" t="n">
        <v>0</v>
      </c>
      <c r="BD28" s="147" t="n">
        <v>0</v>
      </c>
      <c r="BE28" s="147" t="n">
        <v>0</v>
      </c>
      <c r="BF28" s="147" t="n">
        <v>0</v>
      </c>
      <c r="BG28" s="147" t="n">
        <v>0</v>
      </c>
      <c r="BH28" s="147" t="n">
        <v>0</v>
      </c>
      <c r="BI28" s="147" t="n">
        <v>0</v>
      </c>
      <c r="BJ28" s="147" t="n">
        <v>0</v>
      </c>
      <c r="BK28" s="147" t="n">
        <v>0</v>
      </c>
      <c r="BL28" s="147" t="n">
        <v>0</v>
      </c>
      <c r="BM28" s="147" t="n">
        <v>0</v>
      </c>
      <c r="BN28" s="147" t="n">
        <v>0</v>
      </c>
      <c r="BO28" s="147" t="n">
        <v>0</v>
      </c>
      <c r="BP28" s="147" t="n">
        <v>0</v>
      </c>
      <c r="BQ28" s="147" t="n">
        <v>0</v>
      </c>
      <c r="BR28" s="147" t="n">
        <v>0</v>
      </c>
      <c r="BS28" s="147" t="n">
        <v>0</v>
      </c>
      <c r="BT28" s="147" t="n">
        <v>0</v>
      </c>
      <c r="BU28" s="147" t="n">
        <v>0</v>
      </c>
      <c r="BV28" s="147" t="n">
        <v>0</v>
      </c>
      <c r="BW28" s="147" t="n">
        <v>0</v>
      </c>
      <c r="BX28" s="147" t="n">
        <v>0</v>
      </c>
      <c r="BY28" s="147" t="n">
        <v>0</v>
      </c>
      <c r="BZ28" s="147" t="n">
        <v>0</v>
      </c>
      <c r="CA28" s="147" t="n">
        <v>0</v>
      </c>
      <c r="CB28" s="147" t="n">
        <v>0</v>
      </c>
      <c r="CC28" s="147" t="n">
        <v>0</v>
      </c>
      <c r="CD28" s="147" t="n">
        <v>0</v>
      </c>
      <c r="CE28" s="147" t="n">
        <v>0</v>
      </c>
      <c r="CF28" s="147" t="n">
        <v>0</v>
      </c>
      <c r="CG28" s="147" t="n">
        <v>0</v>
      </c>
      <c r="CH28" s="147" t="n">
        <v>0</v>
      </c>
      <c r="CI28" s="147" t="n">
        <v>0</v>
      </c>
      <c r="CJ28" s="147" t="n">
        <v>0</v>
      </c>
      <c r="CK28" s="147" t="n">
        <v>0</v>
      </c>
      <c r="CL28" s="147" t="n">
        <v>0</v>
      </c>
      <c r="CM28" s="147" t="n">
        <v>0</v>
      </c>
      <c r="CN28" s="147" t="n">
        <v>0</v>
      </c>
      <c r="CO28" s="147" t="n">
        <v>0</v>
      </c>
      <c r="CP28" s="147" t="n">
        <v>0</v>
      </c>
      <c r="CQ28" s="147" t="n">
        <v>0</v>
      </c>
      <c r="CR28" s="147" t="n">
        <v>0</v>
      </c>
      <c r="CS28" s="147" t="n">
        <v>0</v>
      </c>
      <c r="CT28" s="147" t="n">
        <v>0</v>
      </c>
      <c r="CU28" s="147" t="n">
        <v>0</v>
      </c>
      <c r="CV28" s="147" t="n">
        <v>0</v>
      </c>
      <c r="CW28" s="147" t="n">
        <v>0</v>
      </c>
      <c r="CX28" s="147" t="n">
        <v>0</v>
      </c>
      <c r="CY28" s="147" t="n">
        <v>0</v>
      </c>
      <c r="CZ28" s="147" t="n">
        <v>0</v>
      </c>
      <c r="DA28" s="147" t="n">
        <v>0</v>
      </c>
      <c r="DB28" s="147" t="n">
        <v>0</v>
      </c>
      <c r="DC28" s="147" t="n">
        <v>0</v>
      </c>
      <c r="DD28" s="147" t="n">
        <v>0</v>
      </c>
      <c r="DE28" s="147" t="n">
        <v>0</v>
      </c>
      <c r="DF28" s="147" t="n">
        <v>0</v>
      </c>
    </row>
    <row r="29" customFormat="false" ht="15" hidden="false" customHeight="true" outlineLevel="0" collapsed="false">
      <c r="A29" s="90" t="s">
        <v>72</v>
      </c>
      <c r="C29" s="104" t="n">
        <v>-10400</v>
      </c>
      <c r="D29" s="104" t="n">
        <v>-10400</v>
      </c>
      <c r="E29" s="104" t="n">
        <v>-400</v>
      </c>
      <c r="F29" s="147" t="n">
        <v>-10400</v>
      </c>
      <c r="G29" s="147" t="n">
        <v>-10400</v>
      </c>
      <c r="H29" s="147" t="n">
        <v>-10400</v>
      </c>
      <c r="I29" s="147" t="n">
        <v>-10400</v>
      </c>
      <c r="J29" s="147" t="n">
        <v>-10400</v>
      </c>
      <c r="K29" s="147" t="n">
        <v>-10400</v>
      </c>
      <c r="L29" s="147" t="n">
        <v>-10400</v>
      </c>
      <c r="M29" s="147" t="n">
        <v>-10400</v>
      </c>
      <c r="N29" s="147" t="n">
        <v>-10400</v>
      </c>
      <c r="O29" s="147" t="n">
        <v>-10400</v>
      </c>
      <c r="P29" s="147" t="n">
        <v>-10400</v>
      </c>
      <c r="Q29" s="147" t="n">
        <v>-10400</v>
      </c>
      <c r="R29" s="147" t="n">
        <v>-10608</v>
      </c>
      <c r="S29" s="147" t="n">
        <v>-10608</v>
      </c>
      <c r="T29" s="147" t="n">
        <v>-10608</v>
      </c>
      <c r="U29" s="147" t="n">
        <v>-10608</v>
      </c>
      <c r="V29" s="147" t="n">
        <v>-10608</v>
      </c>
      <c r="W29" s="147" t="n">
        <v>-10608</v>
      </c>
      <c r="X29" s="147" t="n">
        <v>-10608</v>
      </c>
      <c r="Y29" s="147" t="n">
        <v>-10608</v>
      </c>
      <c r="Z29" s="147" t="n">
        <v>-10608</v>
      </c>
      <c r="AA29" s="147" t="n">
        <v>-10608</v>
      </c>
      <c r="AB29" s="147" t="n">
        <v>-10608</v>
      </c>
      <c r="AC29" s="147" t="n">
        <v>-10608</v>
      </c>
      <c r="AD29" s="147" t="n">
        <v>-10820.16</v>
      </c>
      <c r="AE29" s="147" t="n">
        <v>-10820.16</v>
      </c>
      <c r="AF29" s="147" t="n">
        <v>-10820.16</v>
      </c>
      <c r="AG29" s="147" t="n">
        <v>-10820.16</v>
      </c>
      <c r="AH29" s="147" t="n">
        <v>-10820.16</v>
      </c>
      <c r="AI29" s="147" t="n">
        <v>-10820.16</v>
      </c>
      <c r="AJ29" s="147" t="n">
        <v>-10820.16</v>
      </c>
      <c r="AK29" s="147" t="n">
        <v>-10820.16</v>
      </c>
      <c r="AL29" s="147" t="n">
        <v>-10820.16</v>
      </c>
      <c r="AM29" s="147" t="n">
        <v>-10820.16</v>
      </c>
      <c r="AN29" s="147" t="n">
        <v>-10820.16</v>
      </c>
      <c r="AO29" s="147" t="n">
        <v>-10820.16</v>
      </c>
      <c r="AP29" s="147" t="n">
        <v>-11036.5632</v>
      </c>
      <c r="AQ29" s="147" t="n">
        <v>-11036.5632</v>
      </c>
      <c r="AR29" s="147" t="n">
        <v>-11036.5632</v>
      </c>
      <c r="AS29" s="147" t="n">
        <v>-11036.5632</v>
      </c>
      <c r="AT29" s="147" t="n">
        <v>-11036.5632</v>
      </c>
      <c r="AU29" s="147" t="n">
        <v>-11036.5632</v>
      </c>
      <c r="AV29" s="147" t="n">
        <v>-11036.5632</v>
      </c>
      <c r="AW29" s="147" t="n">
        <v>-11036.5632</v>
      </c>
      <c r="AX29" s="147" t="n">
        <v>-11036.5632</v>
      </c>
      <c r="AY29" s="147" t="n">
        <v>-11036.5632</v>
      </c>
      <c r="AZ29" s="147" t="n">
        <v>-11036.5632</v>
      </c>
      <c r="BA29" s="147" t="n">
        <v>-11036.5632</v>
      </c>
      <c r="BB29" s="147" t="n">
        <v>-11257.294464</v>
      </c>
      <c r="BC29" s="147" t="n">
        <v>-11257.294464</v>
      </c>
      <c r="BD29" s="147" t="n">
        <v>-11257.294464</v>
      </c>
      <c r="BE29" s="147" t="n">
        <v>-11257.294464</v>
      </c>
      <c r="BF29" s="147" t="n">
        <v>-11257.294464</v>
      </c>
      <c r="BG29" s="147" t="n">
        <v>-11257.294464</v>
      </c>
      <c r="BH29" s="147" t="n">
        <v>-11257.294464</v>
      </c>
      <c r="BI29" s="147" t="n">
        <v>-11257.294464</v>
      </c>
      <c r="BJ29" s="147" t="n">
        <v>-11257.294464</v>
      </c>
      <c r="BK29" s="147" t="n">
        <v>-11257.294464</v>
      </c>
      <c r="BL29" s="147" t="n">
        <v>-11257.294464</v>
      </c>
      <c r="BM29" s="147" t="n">
        <v>-11257.294464</v>
      </c>
      <c r="BN29" s="147" t="n">
        <v>-11482.44035328</v>
      </c>
      <c r="BO29" s="147" t="n">
        <v>-11482.44035328</v>
      </c>
      <c r="BP29" s="147" t="n">
        <v>-11482.44035328</v>
      </c>
      <c r="BQ29" s="147" t="n">
        <v>-11482.44035328</v>
      </c>
      <c r="BR29" s="147" t="n">
        <v>-11482.44035328</v>
      </c>
      <c r="BS29" s="147" t="n">
        <v>-11482.44035328</v>
      </c>
      <c r="BT29" s="147" t="n">
        <v>-11482.44035328</v>
      </c>
      <c r="BU29" s="147" t="n">
        <v>-11482.44035328</v>
      </c>
      <c r="BV29" s="147" t="n">
        <v>-11482.44035328</v>
      </c>
      <c r="BW29" s="147" t="n">
        <v>-11482.44035328</v>
      </c>
      <c r="BX29" s="147" t="n">
        <v>-11482.44035328</v>
      </c>
      <c r="BY29" s="147" t="n">
        <v>-11482.44035328</v>
      </c>
      <c r="BZ29" s="147" t="n">
        <v>-11712.0891603456</v>
      </c>
      <c r="CA29" s="147" t="n">
        <v>-11712.0891603456</v>
      </c>
      <c r="CB29" s="147" t="n">
        <v>-11712.0891603456</v>
      </c>
      <c r="CC29" s="147" t="n">
        <v>-11712.0891603456</v>
      </c>
      <c r="CD29" s="147" t="n">
        <v>-11712.0891603456</v>
      </c>
      <c r="CE29" s="147" t="n">
        <v>-11712.0891603456</v>
      </c>
      <c r="CF29" s="147" t="n">
        <v>-11712.0891603456</v>
      </c>
      <c r="CG29" s="147" t="n">
        <v>-11712.0891603456</v>
      </c>
      <c r="CH29" s="147" t="n">
        <v>-11712.0891603456</v>
      </c>
      <c r="CI29" s="147" t="n">
        <v>-11712.0891603456</v>
      </c>
      <c r="CJ29" s="147" t="n">
        <v>-11712.0891603456</v>
      </c>
      <c r="CK29" s="147" t="n">
        <v>-11712.0891603456</v>
      </c>
      <c r="CL29" s="147" t="n">
        <v>-11946.3309435525</v>
      </c>
      <c r="CM29" s="147" t="n">
        <v>-11946.3309435525</v>
      </c>
      <c r="CN29" s="147" t="n">
        <v>-11946.3309435525</v>
      </c>
      <c r="CO29" s="147" t="n">
        <v>-11946.3309435525</v>
      </c>
      <c r="CP29" s="147" t="n">
        <v>-11946.3309435525</v>
      </c>
      <c r="CQ29" s="147" t="n">
        <v>-11946.3309435525</v>
      </c>
      <c r="CR29" s="147" t="n">
        <v>-11946.3309435525</v>
      </c>
      <c r="CS29" s="147" t="n">
        <v>-11946.3309435525</v>
      </c>
      <c r="CT29" s="147" t="n">
        <v>-11946.3309435525</v>
      </c>
      <c r="CU29" s="147" t="n">
        <v>-11946.3309435525</v>
      </c>
      <c r="CV29" s="147" t="n">
        <v>-11946.3309435525</v>
      </c>
      <c r="CW29" s="147" t="n">
        <v>-11946.3309435525</v>
      </c>
      <c r="CX29" s="147" t="n">
        <v>-12185.2575624236</v>
      </c>
      <c r="CY29" s="147" t="n">
        <v>-12185.2575624236</v>
      </c>
      <c r="CZ29" s="147" t="n">
        <v>-12185.2575624236</v>
      </c>
      <c r="DA29" s="147" t="n">
        <v>-12185.2575624236</v>
      </c>
      <c r="DB29" s="147" t="n">
        <v>-12185.2575624236</v>
      </c>
      <c r="DC29" s="147" t="n">
        <v>-12185.2575624236</v>
      </c>
      <c r="DD29" s="147" t="n">
        <v>-12185.2575624236</v>
      </c>
      <c r="DE29" s="147" t="n">
        <v>-12185.2575624236</v>
      </c>
      <c r="DF29" s="147" t="n">
        <v>-12185.2575624236</v>
      </c>
    </row>
    <row r="30" customFormat="false" ht="15" hidden="false" customHeight="true" outlineLevel="0" collapsed="false">
      <c r="A30" s="90" t="s">
        <v>73</v>
      </c>
      <c r="C30" s="104" t="n">
        <v>-1988</v>
      </c>
      <c r="D30" s="104" t="n">
        <v>-955.32</v>
      </c>
      <c r="E30" s="104" t="n">
        <v>-9130.61</v>
      </c>
      <c r="F30" s="147" t="n">
        <v>-4024.64</v>
      </c>
      <c r="G30" s="147" t="n">
        <v>-4024.64</v>
      </c>
      <c r="H30" s="147" t="n">
        <v>-4024.64</v>
      </c>
      <c r="I30" s="147" t="n">
        <v>-4024.64</v>
      </c>
      <c r="J30" s="147" t="n">
        <v>-4024.64</v>
      </c>
      <c r="K30" s="147" t="n">
        <v>-4024.64</v>
      </c>
      <c r="L30" s="147" t="n">
        <v>-4024.64</v>
      </c>
      <c r="M30" s="147" t="n">
        <v>-4024.64</v>
      </c>
      <c r="N30" s="147" t="n">
        <v>-4024.64</v>
      </c>
      <c r="O30" s="147" t="n">
        <v>-4024.64</v>
      </c>
      <c r="P30" s="147" t="n">
        <v>-4024.64</v>
      </c>
      <c r="Q30" s="147" t="n">
        <v>-4024.64</v>
      </c>
      <c r="R30" s="147" t="n">
        <v>-4105.1328</v>
      </c>
      <c r="S30" s="147" t="n">
        <v>-4105.1328</v>
      </c>
      <c r="T30" s="147" t="n">
        <v>-4105.1328</v>
      </c>
      <c r="U30" s="147" t="n">
        <v>-4105.1328</v>
      </c>
      <c r="V30" s="147" t="n">
        <v>-4105.1328</v>
      </c>
      <c r="W30" s="147" t="n">
        <v>-4105.1328</v>
      </c>
      <c r="X30" s="147" t="n">
        <v>-4105.1328</v>
      </c>
      <c r="Y30" s="147" t="n">
        <v>-4105.1328</v>
      </c>
      <c r="Z30" s="147" t="n">
        <v>-4105.1328</v>
      </c>
      <c r="AA30" s="147" t="n">
        <v>-4105.1328</v>
      </c>
      <c r="AB30" s="147" t="n">
        <v>-4105.1328</v>
      </c>
      <c r="AC30" s="147" t="n">
        <v>-4105.1328</v>
      </c>
      <c r="AD30" s="147" t="n">
        <v>-4187.235456</v>
      </c>
      <c r="AE30" s="147" t="n">
        <v>-4187.235456</v>
      </c>
      <c r="AF30" s="147" t="n">
        <v>-4187.235456</v>
      </c>
      <c r="AG30" s="147" t="n">
        <v>-4187.235456</v>
      </c>
      <c r="AH30" s="147" t="n">
        <v>-4187.235456</v>
      </c>
      <c r="AI30" s="147" t="n">
        <v>-4187.235456</v>
      </c>
      <c r="AJ30" s="147" t="n">
        <v>-4187.235456</v>
      </c>
      <c r="AK30" s="147" t="n">
        <v>-4187.235456</v>
      </c>
      <c r="AL30" s="147" t="n">
        <v>-4187.235456</v>
      </c>
      <c r="AM30" s="147" t="n">
        <v>-4187.235456</v>
      </c>
      <c r="AN30" s="147" t="n">
        <v>-4187.235456</v>
      </c>
      <c r="AO30" s="147" t="n">
        <v>-4187.235456</v>
      </c>
      <c r="AP30" s="147" t="n">
        <v>-4270.98016512</v>
      </c>
      <c r="AQ30" s="147" t="n">
        <v>-4270.98016512</v>
      </c>
      <c r="AR30" s="147" t="n">
        <v>-4270.98016512</v>
      </c>
      <c r="AS30" s="147" t="n">
        <v>-4270.98016512</v>
      </c>
      <c r="AT30" s="147" t="n">
        <v>-4270.98016512</v>
      </c>
      <c r="AU30" s="147" t="n">
        <v>-4270.98016512</v>
      </c>
      <c r="AV30" s="147" t="n">
        <v>-4270.98016512</v>
      </c>
      <c r="AW30" s="147" t="n">
        <v>-4270.98016512</v>
      </c>
      <c r="AX30" s="147" t="n">
        <v>-4270.98016512</v>
      </c>
      <c r="AY30" s="147" t="n">
        <v>-4270.98016512</v>
      </c>
      <c r="AZ30" s="147" t="n">
        <v>-4270.98016512</v>
      </c>
      <c r="BA30" s="147" t="n">
        <v>-4270.98016512</v>
      </c>
      <c r="BB30" s="147" t="n">
        <v>-4356.3997684224</v>
      </c>
      <c r="BC30" s="147" t="n">
        <v>-4356.3997684224</v>
      </c>
      <c r="BD30" s="147" t="n">
        <v>-4356.3997684224</v>
      </c>
      <c r="BE30" s="147" t="n">
        <v>-4356.3997684224</v>
      </c>
      <c r="BF30" s="147" t="n">
        <v>-4356.3997684224</v>
      </c>
      <c r="BG30" s="147" t="n">
        <v>-4356.3997684224</v>
      </c>
      <c r="BH30" s="147" t="n">
        <v>-4356.3997684224</v>
      </c>
      <c r="BI30" s="147" t="n">
        <v>-4356.3997684224</v>
      </c>
      <c r="BJ30" s="147" t="n">
        <v>-4356.3997684224</v>
      </c>
      <c r="BK30" s="147" t="n">
        <v>-4356.3997684224</v>
      </c>
      <c r="BL30" s="147" t="n">
        <v>-4356.3997684224</v>
      </c>
      <c r="BM30" s="147" t="n">
        <v>-4356.3997684224</v>
      </c>
      <c r="BN30" s="147" t="n">
        <v>-4443.52776379085</v>
      </c>
      <c r="BO30" s="147" t="n">
        <v>-4443.52776379085</v>
      </c>
      <c r="BP30" s="147" t="n">
        <v>-4443.52776379085</v>
      </c>
      <c r="BQ30" s="147" t="n">
        <v>-4443.52776379085</v>
      </c>
      <c r="BR30" s="147" t="n">
        <v>-4443.52776379085</v>
      </c>
      <c r="BS30" s="147" t="n">
        <v>-4443.52776379085</v>
      </c>
      <c r="BT30" s="147" t="n">
        <v>-4443.52776379085</v>
      </c>
      <c r="BU30" s="147" t="n">
        <v>-4443.52776379085</v>
      </c>
      <c r="BV30" s="147" t="n">
        <v>-4443.52776379085</v>
      </c>
      <c r="BW30" s="147" t="n">
        <v>-4443.52776379085</v>
      </c>
      <c r="BX30" s="147" t="n">
        <v>-4443.52776379085</v>
      </c>
      <c r="BY30" s="147" t="n">
        <v>-4443.52776379085</v>
      </c>
      <c r="BZ30" s="147" t="n">
        <v>-4532.39831906667</v>
      </c>
      <c r="CA30" s="147" t="n">
        <v>-4532.39831906667</v>
      </c>
      <c r="CB30" s="147" t="n">
        <v>-4532.39831906667</v>
      </c>
      <c r="CC30" s="147" t="n">
        <v>-4532.39831906667</v>
      </c>
      <c r="CD30" s="147" t="n">
        <v>-4532.39831906667</v>
      </c>
      <c r="CE30" s="147" t="n">
        <v>-4532.39831906667</v>
      </c>
      <c r="CF30" s="147" t="n">
        <v>-4532.39831906667</v>
      </c>
      <c r="CG30" s="147" t="n">
        <v>-4532.39831906667</v>
      </c>
      <c r="CH30" s="147" t="n">
        <v>-4532.39831906667</v>
      </c>
      <c r="CI30" s="147" t="n">
        <v>-4532.39831906667</v>
      </c>
      <c r="CJ30" s="147" t="n">
        <v>-4532.39831906667</v>
      </c>
      <c r="CK30" s="147" t="n">
        <v>-4532.39831906667</v>
      </c>
      <c r="CL30" s="147" t="n">
        <v>-4623.046285448</v>
      </c>
      <c r="CM30" s="147" t="n">
        <v>-4623.046285448</v>
      </c>
      <c r="CN30" s="147" t="n">
        <v>-4623.046285448</v>
      </c>
      <c r="CO30" s="147" t="n">
        <v>-4623.046285448</v>
      </c>
      <c r="CP30" s="147" t="n">
        <v>-4623.046285448</v>
      </c>
      <c r="CQ30" s="147" t="n">
        <v>-4623.046285448</v>
      </c>
      <c r="CR30" s="147" t="n">
        <v>-4623.046285448</v>
      </c>
      <c r="CS30" s="147" t="n">
        <v>-4623.046285448</v>
      </c>
      <c r="CT30" s="147" t="n">
        <v>-4623.046285448</v>
      </c>
      <c r="CU30" s="147" t="n">
        <v>-4623.046285448</v>
      </c>
      <c r="CV30" s="147" t="n">
        <v>-4623.046285448</v>
      </c>
      <c r="CW30" s="147" t="n">
        <v>-4623.046285448</v>
      </c>
      <c r="CX30" s="147" t="n">
        <v>-4715.50721115696</v>
      </c>
      <c r="CY30" s="147" t="n">
        <v>-4715.50721115696</v>
      </c>
      <c r="CZ30" s="147" t="n">
        <v>-4715.50721115696</v>
      </c>
      <c r="DA30" s="147" t="n">
        <v>-4715.50721115696</v>
      </c>
      <c r="DB30" s="147" t="n">
        <v>-4715.50721115696</v>
      </c>
      <c r="DC30" s="147" t="n">
        <v>-4715.50721115696</v>
      </c>
      <c r="DD30" s="147" t="n">
        <v>-4715.50721115696</v>
      </c>
      <c r="DE30" s="147" t="n">
        <v>-4715.50721115696</v>
      </c>
      <c r="DF30" s="147" t="n">
        <v>-4715.50721115696</v>
      </c>
    </row>
    <row r="31" customFormat="false" ht="15" hidden="false" customHeight="true" outlineLevel="0" collapsed="false">
      <c r="A31" s="90" t="s">
        <v>74</v>
      </c>
      <c r="C31" s="104" t="n">
        <v>0</v>
      </c>
      <c r="D31" s="104" t="n">
        <v>0</v>
      </c>
      <c r="E31" s="104" t="n">
        <v>-1077.38</v>
      </c>
      <c r="F31" s="147" t="n">
        <v>-359.13</v>
      </c>
      <c r="G31" s="147" t="n">
        <v>-359.13</v>
      </c>
      <c r="H31" s="147" t="n">
        <v>-359.13</v>
      </c>
      <c r="I31" s="147" t="n">
        <v>-359.13</v>
      </c>
      <c r="J31" s="147" t="n">
        <v>-359.13</v>
      </c>
      <c r="K31" s="147" t="n">
        <v>-359.13</v>
      </c>
      <c r="L31" s="147" t="n">
        <v>-359.13</v>
      </c>
      <c r="M31" s="147" t="n">
        <v>-359.13</v>
      </c>
      <c r="N31" s="147" t="n">
        <v>-359.13</v>
      </c>
      <c r="O31" s="147" t="n">
        <v>-359.13</v>
      </c>
      <c r="P31" s="147" t="n">
        <v>-359.13</v>
      </c>
      <c r="Q31" s="147" t="n">
        <v>-359.13</v>
      </c>
      <c r="R31" s="147" t="n">
        <v>-366.3126</v>
      </c>
      <c r="S31" s="147" t="n">
        <v>-366.3126</v>
      </c>
      <c r="T31" s="147" t="n">
        <v>-366.3126</v>
      </c>
      <c r="U31" s="147" t="n">
        <v>-366.3126</v>
      </c>
      <c r="V31" s="147" t="n">
        <v>-366.3126</v>
      </c>
      <c r="W31" s="147" t="n">
        <v>-366.3126</v>
      </c>
      <c r="X31" s="147" t="n">
        <v>-366.3126</v>
      </c>
      <c r="Y31" s="147" t="n">
        <v>-366.3126</v>
      </c>
      <c r="Z31" s="147" t="n">
        <v>-366.3126</v>
      </c>
      <c r="AA31" s="147" t="n">
        <v>-366.3126</v>
      </c>
      <c r="AB31" s="147" t="n">
        <v>-366.3126</v>
      </c>
      <c r="AC31" s="147" t="n">
        <v>-366.3126</v>
      </c>
      <c r="AD31" s="147" t="n">
        <v>-373.638852</v>
      </c>
      <c r="AE31" s="147" t="n">
        <v>-373.638852</v>
      </c>
      <c r="AF31" s="147" t="n">
        <v>-373.638852</v>
      </c>
      <c r="AG31" s="147" t="n">
        <v>-373.638852</v>
      </c>
      <c r="AH31" s="147" t="n">
        <v>-373.638852</v>
      </c>
      <c r="AI31" s="147" t="n">
        <v>-373.638852</v>
      </c>
      <c r="AJ31" s="147" t="n">
        <v>-373.638852</v>
      </c>
      <c r="AK31" s="147" t="n">
        <v>-373.638852</v>
      </c>
      <c r="AL31" s="147" t="n">
        <v>-373.638852</v>
      </c>
      <c r="AM31" s="147" t="n">
        <v>-373.638852</v>
      </c>
      <c r="AN31" s="147" t="n">
        <v>-373.638852</v>
      </c>
      <c r="AO31" s="147" t="n">
        <v>-373.638852</v>
      </c>
      <c r="AP31" s="147" t="n">
        <v>-381.11162904</v>
      </c>
      <c r="AQ31" s="147" t="n">
        <v>-381.11162904</v>
      </c>
      <c r="AR31" s="147" t="n">
        <v>-381.11162904</v>
      </c>
      <c r="AS31" s="147" t="n">
        <v>-381.11162904</v>
      </c>
      <c r="AT31" s="147" t="n">
        <v>-381.11162904</v>
      </c>
      <c r="AU31" s="147" t="n">
        <v>-381.11162904</v>
      </c>
      <c r="AV31" s="147" t="n">
        <v>-381.11162904</v>
      </c>
      <c r="AW31" s="147" t="n">
        <v>-381.11162904</v>
      </c>
      <c r="AX31" s="147" t="n">
        <v>-381.11162904</v>
      </c>
      <c r="AY31" s="147" t="n">
        <v>-381.11162904</v>
      </c>
      <c r="AZ31" s="147" t="n">
        <v>-381.11162904</v>
      </c>
      <c r="BA31" s="147" t="n">
        <v>-381.11162904</v>
      </c>
      <c r="BB31" s="147" t="n">
        <v>-388.7338616208</v>
      </c>
      <c r="BC31" s="147" t="n">
        <v>-388.7338616208</v>
      </c>
      <c r="BD31" s="147" t="n">
        <v>-388.7338616208</v>
      </c>
      <c r="BE31" s="147" t="n">
        <v>-388.7338616208</v>
      </c>
      <c r="BF31" s="147" t="n">
        <v>-388.7338616208</v>
      </c>
      <c r="BG31" s="147" t="n">
        <v>-388.7338616208</v>
      </c>
      <c r="BH31" s="147" t="n">
        <v>-388.7338616208</v>
      </c>
      <c r="BI31" s="147" t="n">
        <v>-388.7338616208</v>
      </c>
      <c r="BJ31" s="147" t="n">
        <v>-388.7338616208</v>
      </c>
      <c r="BK31" s="147" t="n">
        <v>-388.7338616208</v>
      </c>
      <c r="BL31" s="147" t="n">
        <v>-388.7338616208</v>
      </c>
      <c r="BM31" s="147" t="n">
        <v>-388.7338616208</v>
      </c>
      <c r="BN31" s="147" t="n">
        <v>-396.508538853216</v>
      </c>
      <c r="BO31" s="147" t="n">
        <v>-396.508538853216</v>
      </c>
      <c r="BP31" s="147" t="n">
        <v>-396.508538853216</v>
      </c>
      <c r="BQ31" s="147" t="n">
        <v>-396.508538853216</v>
      </c>
      <c r="BR31" s="147" t="n">
        <v>-396.508538853216</v>
      </c>
      <c r="BS31" s="147" t="n">
        <v>-396.508538853216</v>
      </c>
      <c r="BT31" s="147" t="n">
        <v>-396.508538853216</v>
      </c>
      <c r="BU31" s="147" t="n">
        <v>-396.508538853216</v>
      </c>
      <c r="BV31" s="147" t="n">
        <v>-396.508538853216</v>
      </c>
      <c r="BW31" s="147" t="n">
        <v>-396.508538853216</v>
      </c>
      <c r="BX31" s="147" t="n">
        <v>-396.508538853216</v>
      </c>
      <c r="BY31" s="147" t="n">
        <v>-396.508538853216</v>
      </c>
      <c r="BZ31" s="147" t="n">
        <v>-404.43870963028</v>
      </c>
      <c r="CA31" s="147" t="n">
        <v>-404.43870963028</v>
      </c>
      <c r="CB31" s="147" t="n">
        <v>-404.43870963028</v>
      </c>
      <c r="CC31" s="147" t="n">
        <v>-404.43870963028</v>
      </c>
      <c r="CD31" s="147" t="n">
        <v>-404.43870963028</v>
      </c>
      <c r="CE31" s="147" t="n">
        <v>-404.43870963028</v>
      </c>
      <c r="CF31" s="147" t="n">
        <v>-404.43870963028</v>
      </c>
      <c r="CG31" s="147" t="n">
        <v>-404.43870963028</v>
      </c>
      <c r="CH31" s="147" t="n">
        <v>-404.43870963028</v>
      </c>
      <c r="CI31" s="147" t="n">
        <v>-404.43870963028</v>
      </c>
      <c r="CJ31" s="147" t="n">
        <v>-404.43870963028</v>
      </c>
      <c r="CK31" s="147" t="n">
        <v>-404.43870963028</v>
      </c>
      <c r="CL31" s="147" t="n">
        <v>-412.527483822886</v>
      </c>
      <c r="CM31" s="147" t="n">
        <v>-412.527483822886</v>
      </c>
      <c r="CN31" s="147" t="n">
        <v>-412.527483822886</v>
      </c>
      <c r="CO31" s="147" t="n">
        <v>-412.527483822886</v>
      </c>
      <c r="CP31" s="147" t="n">
        <v>-412.527483822886</v>
      </c>
      <c r="CQ31" s="147" t="n">
        <v>-412.527483822886</v>
      </c>
      <c r="CR31" s="147" t="n">
        <v>-412.527483822886</v>
      </c>
      <c r="CS31" s="147" t="n">
        <v>-412.527483822886</v>
      </c>
      <c r="CT31" s="147" t="n">
        <v>-412.527483822886</v>
      </c>
      <c r="CU31" s="147" t="n">
        <v>-412.527483822886</v>
      </c>
      <c r="CV31" s="147" t="n">
        <v>-412.527483822886</v>
      </c>
      <c r="CW31" s="147" t="n">
        <v>-412.527483822886</v>
      </c>
      <c r="CX31" s="147" t="n">
        <v>-420.778033499344</v>
      </c>
      <c r="CY31" s="147" t="n">
        <v>-420.778033499344</v>
      </c>
      <c r="CZ31" s="147" t="n">
        <v>-420.778033499344</v>
      </c>
      <c r="DA31" s="147" t="n">
        <v>-420.778033499344</v>
      </c>
      <c r="DB31" s="147" t="n">
        <v>-420.778033499344</v>
      </c>
      <c r="DC31" s="147" t="n">
        <v>-420.778033499344</v>
      </c>
      <c r="DD31" s="147" t="n">
        <v>-420.778033499344</v>
      </c>
      <c r="DE31" s="147" t="n">
        <v>-420.778033499344</v>
      </c>
      <c r="DF31" s="147" t="n">
        <v>-420.778033499344</v>
      </c>
    </row>
    <row r="32" customFormat="false" ht="15" hidden="false" customHeight="true" outlineLevel="0" collapsed="false">
      <c r="A32" s="99" t="s">
        <v>75</v>
      </c>
      <c r="C32" s="148" t="n">
        <v>-79</v>
      </c>
      <c r="D32" s="148" t="n">
        <v>0</v>
      </c>
      <c r="E32" s="148" t="n">
        <v>0</v>
      </c>
      <c r="F32" s="149" t="n">
        <v>-26.33</v>
      </c>
      <c r="G32" s="149" t="n">
        <v>-26.33</v>
      </c>
      <c r="H32" s="149" t="n">
        <v>-26.33</v>
      </c>
      <c r="I32" s="149" t="n">
        <v>-26.33</v>
      </c>
      <c r="J32" s="149" t="n">
        <v>-26.33</v>
      </c>
      <c r="K32" s="149" t="n">
        <v>-26.33</v>
      </c>
      <c r="L32" s="149" t="n">
        <v>-26.33</v>
      </c>
      <c r="M32" s="149" t="n">
        <v>-26.33</v>
      </c>
      <c r="N32" s="149" t="n">
        <v>-26.33</v>
      </c>
      <c r="O32" s="149" t="n">
        <v>-26.33</v>
      </c>
      <c r="P32" s="149" t="n">
        <v>-26.33</v>
      </c>
      <c r="Q32" s="149" t="n">
        <v>-26.33</v>
      </c>
      <c r="R32" s="149" t="n">
        <v>-26.8566</v>
      </c>
      <c r="S32" s="149" t="n">
        <v>-26.8566</v>
      </c>
      <c r="T32" s="149" t="n">
        <v>-26.8566</v>
      </c>
      <c r="U32" s="149" t="n">
        <v>-26.8566</v>
      </c>
      <c r="V32" s="149" t="n">
        <v>-26.8566</v>
      </c>
      <c r="W32" s="149" t="n">
        <v>-26.8566</v>
      </c>
      <c r="X32" s="149" t="n">
        <v>-26.8566</v>
      </c>
      <c r="Y32" s="149" t="n">
        <v>-26.8566</v>
      </c>
      <c r="Z32" s="149" t="n">
        <v>-26.8566</v>
      </c>
      <c r="AA32" s="149" t="n">
        <v>-26.8566</v>
      </c>
      <c r="AB32" s="149" t="n">
        <v>-26.8566</v>
      </c>
      <c r="AC32" s="149" t="n">
        <v>-26.8566</v>
      </c>
      <c r="AD32" s="149" t="n">
        <v>-27.393732</v>
      </c>
      <c r="AE32" s="149" t="n">
        <v>-27.393732</v>
      </c>
      <c r="AF32" s="149" t="n">
        <v>-27.393732</v>
      </c>
      <c r="AG32" s="149" t="n">
        <v>-27.393732</v>
      </c>
      <c r="AH32" s="149" t="n">
        <v>-27.393732</v>
      </c>
      <c r="AI32" s="149" t="n">
        <v>-27.393732</v>
      </c>
      <c r="AJ32" s="149" t="n">
        <v>-27.393732</v>
      </c>
      <c r="AK32" s="149" t="n">
        <v>-27.393732</v>
      </c>
      <c r="AL32" s="149" t="n">
        <v>-27.393732</v>
      </c>
      <c r="AM32" s="149" t="n">
        <v>-27.393732</v>
      </c>
      <c r="AN32" s="149" t="n">
        <v>-27.393732</v>
      </c>
      <c r="AO32" s="149" t="n">
        <v>-27.393732</v>
      </c>
      <c r="AP32" s="149" t="n">
        <v>-27.94160664</v>
      </c>
      <c r="AQ32" s="149" t="n">
        <v>-27.94160664</v>
      </c>
      <c r="AR32" s="149" t="n">
        <v>-27.94160664</v>
      </c>
      <c r="AS32" s="149" t="n">
        <v>-27.94160664</v>
      </c>
      <c r="AT32" s="149" t="n">
        <v>-27.94160664</v>
      </c>
      <c r="AU32" s="149" t="n">
        <v>-27.94160664</v>
      </c>
      <c r="AV32" s="149" t="n">
        <v>-27.94160664</v>
      </c>
      <c r="AW32" s="149" t="n">
        <v>-27.94160664</v>
      </c>
      <c r="AX32" s="149" t="n">
        <v>-27.94160664</v>
      </c>
      <c r="AY32" s="149" t="n">
        <v>-27.94160664</v>
      </c>
      <c r="AZ32" s="149" t="n">
        <v>-27.94160664</v>
      </c>
      <c r="BA32" s="149" t="n">
        <v>-27.94160664</v>
      </c>
      <c r="BB32" s="149" t="n">
        <v>-28.5004387728</v>
      </c>
      <c r="BC32" s="149" t="n">
        <v>-28.5004387728</v>
      </c>
      <c r="BD32" s="149" t="n">
        <v>-28.5004387728</v>
      </c>
      <c r="BE32" s="149" t="n">
        <v>-28.5004387728</v>
      </c>
      <c r="BF32" s="149" t="n">
        <v>-28.5004387728</v>
      </c>
      <c r="BG32" s="149" t="n">
        <v>-28.5004387728</v>
      </c>
      <c r="BH32" s="149" t="n">
        <v>-28.5004387728</v>
      </c>
      <c r="BI32" s="149" t="n">
        <v>-28.5004387728</v>
      </c>
      <c r="BJ32" s="149" t="n">
        <v>-28.5004387728</v>
      </c>
      <c r="BK32" s="149" t="n">
        <v>-28.5004387728</v>
      </c>
      <c r="BL32" s="149" t="n">
        <v>-28.5004387728</v>
      </c>
      <c r="BM32" s="149" t="n">
        <v>-28.5004387728</v>
      </c>
      <c r="BN32" s="149" t="n">
        <v>-29.070447548256</v>
      </c>
      <c r="BO32" s="149" t="n">
        <v>-29.070447548256</v>
      </c>
      <c r="BP32" s="149" t="n">
        <v>-29.070447548256</v>
      </c>
      <c r="BQ32" s="149" t="n">
        <v>-29.070447548256</v>
      </c>
      <c r="BR32" s="149" t="n">
        <v>-29.070447548256</v>
      </c>
      <c r="BS32" s="149" t="n">
        <v>-29.070447548256</v>
      </c>
      <c r="BT32" s="149" t="n">
        <v>-29.070447548256</v>
      </c>
      <c r="BU32" s="149" t="n">
        <v>-29.070447548256</v>
      </c>
      <c r="BV32" s="149" t="n">
        <v>-29.070447548256</v>
      </c>
      <c r="BW32" s="149" t="n">
        <v>-29.070447548256</v>
      </c>
      <c r="BX32" s="149" t="n">
        <v>-29.070447548256</v>
      </c>
      <c r="BY32" s="149" t="n">
        <v>-29.070447548256</v>
      </c>
      <c r="BZ32" s="149" t="n">
        <v>-29.6518564992211</v>
      </c>
      <c r="CA32" s="149" t="n">
        <v>-29.6518564992211</v>
      </c>
      <c r="CB32" s="149" t="n">
        <v>-29.6518564992211</v>
      </c>
      <c r="CC32" s="149" t="n">
        <v>-29.6518564992211</v>
      </c>
      <c r="CD32" s="149" t="n">
        <v>-29.6518564992211</v>
      </c>
      <c r="CE32" s="149" t="n">
        <v>-29.6518564992211</v>
      </c>
      <c r="CF32" s="149" t="n">
        <v>-29.6518564992211</v>
      </c>
      <c r="CG32" s="149" t="n">
        <v>-29.6518564992211</v>
      </c>
      <c r="CH32" s="149" t="n">
        <v>-29.6518564992211</v>
      </c>
      <c r="CI32" s="149" t="n">
        <v>-29.6518564992211</v>
      </c>
      <c r="CJ32" s="149" t="n">
        <v>-29.6518564992211</v>
      </c>
      <c r="CK32" s="149" t="n">
        <v>-29.6518564992211</v>
      </c>
      <c r="CL32" s="149" t="n">
        <v>-30.2448936292055</v>
      </c>
      <c r="CM32" s="149" t="n">
        <v>-30.2448936292055</v>
      </c>
      <c r="CN32" s="149" t="n">
        <v>-30.2448936292055</v>
      </c>
      <c r="CO32" s="149" t="n">
        <v>-30.2448936292055</v>
      </c>
      <c r="CP32" s="149" t="n">
        <v>-30.2448936292055</v>
      </c>
      <c r="CQ32" s="149" t="n">
        <v>-30.2448936292055</v>
      </c>
      <c r="CR32" s="149" t="n">
        <v>-30.2448936292055</v>
      </c>
      <c r="CS32" s="149" t="n">
        <v>-30.2448936292055</v>
      </c>
      <c r="CT32" s="149" t="n">
        <v>-30.2448936292055</v>
      </c>
      <c r="CU32" s="149" t="n">
        <v>-30.2448936292055</v>
      </c>
      <c r="CV32" s="149" t="n">
        <v>-30.2448936292055</v>
      </c>
      <c r="CW32" s="149" t="n">
        <v>-30.2448936292055</v>
      </c>
      <c r="CX32" s="149" t="n">
        <v>-30.8497915017897</v>
      </c>
      <c r="CY32" s="149" t="n">
        <v>-30.8497915017897</v>
      </c>
      <c r="CZ32" s="149" t="n">
        <v>-30.8497915017897</v>
      </c>
      <c r="DA32" s="149" t="n">
        <v>-30.8497915017897</v>
      </c>
      <c r="DB32" s="149" t="n">
        <v>-30.8497915017897</v>
      </c>
      <c r="DC32" s="149" t="n">
        <v>-30.8497915017897</v>
      </c>
      <c r="DD32" s="149" t="n">
        <v>-30.8497915017897</v>
      </c>
      <c r="DE32" s="149" t="n">
        <v>-30.8497915017897</v>
      </c>
      <c r="DF32" s="149" t="n">
        <v>-30.8497915017897</v>
      </c>
    </row>
    <row r="33" customFormat="false" ht="15" hidden="false" customHeight="true" outlineLevel="0" collapsed="false">
      <c r="A33" s="90" t="s">
        <v>76</v>
      </c>
      <c r="C33" s="104" t="n">
        <v>-3405.64</v>
      </c>
      <c r="D33" s="104" t="n">
        <v>-5015.38</v>
      </c>
      <c r="E33" s="104" t="n">
        <v>-7481.39</v>
      </c>
      <c r="F33" s="147" t="n">
        <v>-5300.8</v>
      </c>
      <c r="G33" s="147" t="n">
        <v>-5300.8</v>
      </c>
      <c r="H33" s="147" t="n">
        <v>-5300.8</v>
      </c>
      <c r="I33" s="147" t="n">
        <v>-5300.8</v>
      </c>
      <c r="J33" s="147" t="n">
        <v>-5300.8</v>
      </c>
      <c r="K33" s="147" t="n">
        <v>-5300.8</v>
      </c>
      <c r="L33" s="147" t="n">
        <v>-5300.8</v>
      </c>
      <c r="M33" s="147" t="n">
        <v>-5300.8</v>
      </c>
      <c r="N33" s="147" t="n">
        <v>-5300.8</v>
      </c>
      <c r="O33" s="147" t="n">
        <v>-5300.8</v>
      </c>
      <c r="P33" s="147" t="n">
        <v>-5300.8</v>
      </c>
      <c r="Q33" s="147" t="n">
        <v>-5300.8</v>
      </c>
      <c r="R33" s="147" t="n">
        <v>-5406.816</v>
      </c>
      <c r="S33" s="147" t="n">
        <v>-5406.816</v>
      </c>
      <c r="T33" s="147" t="n">
        <v>-5406.816</v>
      </c>
      <c r="U33" s="147" t="n">
        <v>-5406.816</v>
      </c>
      <c r="V33" s="147" t="n">
        <v>-5406.816</v>
      </c>
      <c r="W33" s="147" t="n">
        <v>-5406.816</v>
      </c>
      <c r="X33" s="147" t="n">
        <v>-5406.816</v>
      </c>
      <c r="Y33" s="147" t="n">
        <v>-5406.816</v>
      </c>
      <c r="Z33" s="147" t="n">
        <v>-5406.816</v>
      </c>
      <c r="AA33" s="147" t="n">
        <v>-5406.816</v>
      </c>
      <c r="AB33" s="147" t="n">
        <v>-5406.816</v>
      </c>
      <c r="AC33" s="147" t="n">
        <v>-5406.816</v>
      </c>
      <c r="AD33" s="147" t="n">
        <v>-5514.95232</v>
      </c>
      <c r="AE33" s="147" t="n">
        <v>-5514.95232</v>
      </c>
      <c r="AF33" s="147" t="n">
        <v>-5514.95232</v>
      </c>
      <c r="AG33" s="147" t="n">
        <v>-5514.95232</v>
      </c>
      <c r="AH33" s="147" t="n">
        <v>-5514.95232</v>
      </c>
      <c r="AI33" s="147" t="n">
        <v>-5514.95232</v>
      </c>
      <c r="AJ33" s="147" t="n">
        <v>-5514.95232</v>
      </c>
      <c r="AK33" s="147" t="n">
        <v>-5514.95232</v>
      </c>
      <c r="AL33" s="147" t="n">
        <v>-5514.95232</v>
      </c>
      <c r="AM33" s="147" t="n">
        <v>-5514.95232</v>
      </c>
      <c r="AN33" s="147" t="n">
        <v>-5514.95232</v>
      </c>
      <c r="AO33" s="147" t="n">
        <v>-5514.95232</v>
      </c>
      <c r="AP33" s="147" t="n">
        <v>-5625.2513664</v>
      </c>
      <c r="AQ33" s="147" t="n">
        <v>-5625.2513664</v>
      </c>
      <c r="AR33" s="147" t="n">
        <v>-5625.2513664</v>
      </c>
      <c r="AS33" s="147" t="n">
        <v>-5625.2513664</v>
      </c>
      <c r="AT33" s="147" t="n">
        <v>-5625.2513664</v>
      </c>
      <c r="AU33" s="147" t="n">
        <v>-5625.2513664</v>
      </c>
      <c r="AV33" s="147" t="n">
        <v>-5625.2513664</v>
      </c>
      <c r="AW33" s="147" t="n">
        <v>-5625.2513664</v>
      </c>
      <c r="AX33" s="147" t="n">
        <v>-5625.2513664</v>
      </c>
      <c r="AY33" s="147" t="n">
        <v>-5625.2513664</v>
      </c>
      <c r="AZ33" s="147" t="n">
        <v>-5625.2513664</v>
      </c>
      <c r="BA33" s="147" t="n">
        <v>-5625.2513664</v>
      </c>
      <c r="BB33" s="147" t="n">
        <v>-5737.756393728</v>
      </c>
      <c r="BC33" s="147" t="n">
        <v>-5737.756393728</v>
      </c>
      <c r="BD33" s="147" t="n">
        <v>-5737.756393728</v>
      </c>
      <c r="BE33" s="147" t="n">
        <v>-5737.756393728</v>
      </c>
      <c r="BF33" s="147" t="n">
        <v>-5737.756393728</v>
      </c>
      <c r="BG33" s="147" t="n">
        <v>-5737.756393728</v>
      </c>
      <c r="BH33" s="147" t="n">
        <v>-5737.756393728</v>
      </c>
      <c r="BI33" s="147" t="n">
        <v>-5737.756393728</v>
      </c>
      <c r="BJ33" s="147" t="n">
        <v>-5737.756393728</v>
      </c>
      <c r="BK33" s="147" t="n">
        <v>-5737.756393728</v>
      </c>
      <c r="BL33" s="147" t="n">
        <v>-5737.756393728</v>
      </c>
      <c r="BM33" s="147" t="n">
        <v>-5737.756393728</v>
      </c>
      <c r="BN33" s="147" t="n">
        <v>-5852.51152160256</v>
      </c>
      <c r="BO33" s="147" t="n">
        <v>-5852.51152160256</v>
      </c>
      <c r="BP33" s="147" t="n">
        <v>-5852.51152160256</v>
      </c>
      <c r="BQ33" s="147" t="n">
        <v>-5852.51152160256</v>
      </c>
      <c r="BR33" s="147" t="n">
        <v>-5852.51152160256</v>
      </c>
      <c r="BS33" s="147" t="n">
        <v>-5852.51152160256</v>
      </c>
      <c r="BT33" s="147" t="n">
        <v>-5852.51152160256</v>
      </c>
      <c r="BU33" s="147" t="n">
        <v>-5852.51152160256</v>
      </c>
      <c r="BV33" s="147" t="n">
        <v>-5852.51152160256</v>
      </c>
      <c r="BW33" s="147" t="n">
        <v>-5852.51152160256</v>
      </c>
      <c r="BX33" s="147" t="n">
        <v>-5852.51152160256</v>
      </c>
      <c r="BY33" s="147" t="n">
        <v>-5852.51152160256</v>
      </c>
      <c r="BZ33" s="147" t="n">
        <v>-5969.56175203461</v>
      </c>
      <c r="CA33" s="147" t="n">
        <v>-5969.56175203461</v>
      </c>
      <c r="CB33" s="147" t="n">
        <v>-5969.56175203461</v>
      </c>
      <c r="CC33" s="147" t="n">
        <v>-5969.56175203461</v>
      </c>
      <c r="CD33" s="147" t="n">
        <v>-5969.56175203461</v>
      </c>
      <c r="CE33" s="147" t="n">
        <v>-5969.56175203461</v>
      </c>
      <c r="CF33" s="147" t="n">
        <v>-5969.56175203461</v>
      </c>
      <c r="CG33" s="147" t="n">
        <v>-5969.56175203461</v>
      </c>
      <c r="CH33" s="147" t="n">
        <v>-5969.56175203461</v>
      </c>
      <c r="CI33" s="147" t="n">
        <v>-5969.56175203461</v>
      </c>
      <c r="CJ33" s="147" t="n">
        <v>-5969.56175203461</v>
      </c>
      <c r="CK33" s="147" t="n">
        <v>-5969.56175203461</v>
      </c>
      <c r="CL33" s="147" t="n">
        <v>-6088.9529870753</v>
      </c>
      <c r="CM33" s="147" t="n">
        <v>-6088.9529870753</v>
      </c>
      <c r="CN33" s="147" t="n">
        <v>-6088.9529870753</v>
      </c>
      <c r="CO33" s="147" t="n">
        <v>-6088.9529870753</v>
      </c>
      <c r="CP33" s="147" t="n">
        <v>-6088.9529870753</v>
      </c>
      <c r="CQ33" s="147" t="n">
        <v>-6088.9529870753</v>
      </c>
      <c r="CR33" s="147" t="n">
        <v>-6088.9529870753</v>
      </c>
      <c r="CS33" s="147" t="n">
        <v>-6088.9529870753</v>
      </c>
      <c r="CT33" s="147" t="n">
        <v>-6088.9529870753</v>
      </c>
      <c r="CU33" s="147" t="n">
        <v>-6088.9529870753</v>
      </c>
      <c r="CV33" s="147" t="n">
        <v>-6088.9529870753</v>
      </c>
      <c r="CW33" s="147" t="n">
        <v>-6088.9529870753</v>
      </c>
      <c r="CX33" s="147" t="n">
        <v>-6210.73204681681</v>
      </c>
      <c r="CY33" s="147" t="n">
        <v>-6210.73204681681</v>
      </c>
      <c r="CZ33" s="147" t="n">
        <v>-6210.73204681681</v>
      </c>
      <c r="DA33" s="147" t="n">
        <v>-6210.73204681681</v>
      </c>
      <c r="DB33" s="147" t="n">
        <v>-6210.73204681681</v>
      </c>
      <c r="DC33" s="147" t="n">
        <v>-6210.73204681681</v>
      </c>
      <c r="DD33" s="147" t="n">
        <v>-6210.73204681681</v>
      </c>
      <c r="DE33" s="147" t="n">
        <v>-6210.73204681681</v>
      </c>
      <c r="DF33" s="147" t="n">
        <v>-6210.73204681681</v>
      </c>
    </row>
    <row r="34" customFormat="false" ht="15" hidden="false" customHeight="true" outlineLevel="0" collapsed="false">
      <c r="A34" s="90" t="s">
        <v>77</v>
      </c>
      <c r="C34" s="104" t="n">
        <v>0</v>
      </c>
      <c r="D34" s="104" t="n">
        <v>-1766.48</v>
      </c>
      <c r="E34" s="104" t="n">
        <v>-441.62</v>
      </c>
      <c r="F34" s="147" t="n">
        <v>-736.03</v>
      </c>
      <c r="G34" s="147" t="n">
        <v>-736.03</v>
      </c>
      <c r="H34" s="147" t="n">
        <v>-736.03</v>
      </c>
      <c r="I34" s="147" t="n">
        <v>-736.03</v>
      </c>
      <c r="J34" s="147" t="n">
        <v>-736.03</v>
      </c>
      <c r="K34" s="147" t="n">
        <v>-736.03</v>
      </c>
      <c r="L34" s="147" t="n">
        <v>-736.03</v>
      </c>
      <c r="M34" s="147" t="n">
        <v>-736.03</v>
      </c>
      <c r="N34" s="147" t="n">
        <v>-736.03</v>
      </c>
      <c r="O34" s="147" t="n">
        <v>-736.03</v>
      </c>
      <c r="P34" s="147" t="n">
        <v>-736.03</v>
      </c>
      <c r="Q34" s="147" t="n">
        <v>-736.03</v>
      </c>
      <c r="R34" s="147" t="n">
        <v>-750.7506</v>
      </c>
      <c r="S34" s="147" t="n">
        <v>-750.7506</v>
      </c>
      <c r="T34" s="147" t="n">
        <v>-750.7506</v>
      </c>
      <c r="U34" s="147" t="n">
        <v>-750.7506</v>
      </c>
      <c r="V34" s="147" t="n">
        <v>-750.7506</v>
      </c>
      <c r="W34" s="147" t="n">
        <v>-750.7506</v>
      </c>
      <c r="X34" s="147" t="n">
        <v>-750.7506</v>
      </c>
      <c r="Y34" s="147" t="n">
        <v>-750.7506</v>
      </c>
      <c r="Z34" s="147" t="n">
        <v>-750.7506</v>
      </c>
      <c r="AA34" s="147" t="n">
        <v>-750.7506</v>
      </c>
      <c r="AB34" s="147" t="n">
        <v>-750.7506</v>
      </c>
      <c r="AC34" s="147" t="n">
        <v>-750.7506</v>
      </c>
      <c r="AD34" s="147" t="n">
        <v>-765.765612</v>
      </c>
      <c r="AE34" s="147" t="n">
        <v>-765.765612</v>
      </c>
      <c r="AF34" s="147" t="n">
        <v>-765.765612</v>
      </c>
      <c r="AG34" s="147" t="n">
        <v>-765.765612</v>
      </c>
      <c r="AH34" s="147" t="n">
        <v>-765.765612</v>
      </c>
      <c r="AI34" s="147" t="n">
        <v>-765.765612</v>
      </c>
      <c r="AJ34" s="147" t="n">
        <v>-765.765612</v>
      </c>
      <c r="AK34" s="147" t="n">
        <v>-765.765612</v>
      </c>
      <c r="AL34" s="147" t="n">
        <v>-765.765612</v>
      </c>
      <c r="AM34" s="147" t="n">
        <v>-765.765612</v>
      </c>
      <c r="AN34" s="147" t="n">
        <v>-765.765612</v>
      </c>
      <c r="AO34" s="147" t="n">
        <v>-765.765612</v>
      </c>
      <c r="AP34" s="147" t="n">
        <v>-781.08092424</v>
      </c>
      <c r="AQ34" s="147" t="n">
        <v>-781.08092424</v>
      </c>
      <c r="AR34" s="147" t="n">
        <v>-781.08092424</v>
      </c>
      <c r="AS34" s="147" t="n">
        <v>-781.08092424</v>
      </c>
      <c r="AT34" s="147" t="n">
        <v>-781.08092424</v>
      </c>
      <c r="AU34" s="147" t="n">
        <v>-781.08092424</v>
      </c>
      <c r="AV34" s="147" t="n">
        <v>-781.08092424</v>
      </c>
      <c r="AW34" s="147" t="n">
        <v>-781.08092424</v>
      </c>
      <c r="AX34" s="147" t="n">
        <v>-781.08092424</v>
      </c>
      <c r="AY34" s="147" t="n">
        <v>-781.08092424</v>
      </c>
      <c r="AZ34" s="147" t="n">
        <v>-781.08092424</v>
      </c>
      <c r="BA34" s="147" t="n">
        <v>-781.08092424</v>
      </c>
      <c r="BB34" s="147" t="n">
        <v>-796.7025427248</v>
      </c>
      <c r="BC34" s="147" t="n">
        <v>-796.7025427248</v>
      </c>
      <c r="BD34" s="147" t="n">
        <v>-796.7025427248</v>
      </c>
      <c r="BE34" s="147" t="n">
        <v>-796.7025427248</v>
      </c>
      <c r="BF34" s="147" t="n">
        <v>-796.7025427248</v>
      </c>
      <c r="BG34" s="147" t="n">
        <v>-796.7025427248</v>
      </c>
      <c r="BH34" s="147" t="n">
        <v>-796.7025427248</v>
      </c>
      <c r="BI34" s="147" t="n">
        <v>-796.7025427248</v>
      </c>
      <c r="BJ34" s="147" t="n">
        <v>-796.7025427248</v>
      </c>
      <c r="BK34" s="147" t="n">
        <v>-796.7025427248</v>
      </c>
      <c r="BL34" s="147" t="n">
        <v>-796.7025427248</v>
      </c>
      <c r="BM34" s="147" t="n">
        <v>-796.7025427248</v>
      </c>
      <c r="BN34" s="147" t="n">
        <v>-812.636593579296</v>
      </c>
      <c r="BO34" s="147" t="n">
        <v>-812.636593579296</v>
      </c>
      <c r="BP34" s="147" t="n">
        <v>-812.636593579296</v>
      </c>
      <c r="BQ34" s="147" t="n">
        <v>-812.636593579296</v>
      </c>
      <c r="BR34" s="147" t="n">
        <v>-812.636593579296</v>
      </c>
      <c r="BS34" s="147" t="n">
        <v>-812.636593579296</v>
      </c>
      <c r="BT34" s="147" t="n">
        <v>-812.636593579296</v>
      </c>
      <c r="BU34" s="147" t="n">
        <v>-812.636593579296</v>
      </c>
      <c r="BV34" s="147" t="n">
        <v>-812.636593579296</v>
      </c>
      <c r="BW34" s="147" t="n">
        <v>-812.636593579296</v>
      </c>
      <c r="BX34" s="147" t="n">
        <v>-812.636593579296</v>
      </c>
      <c r="BY34" s="147" t="n">
        <v>-812.636593579296</v>
      </c>
      <c r="BZ34" s="147" t="n">
        <v>-828.889325450882</v>
      </c>
      <c r="CA34" s="147" t="n">
        <v>-828.889325450882</v>
      </c>
      <c r="CB34" s="147" t="n">
        <v>-828.889325450882</v>
      </c>
      <c r="CC34" s="147" t="n">
        <v>-828.889325450882</v>
      </c>
      <c r="CD34" s="147" t="n">
        <v>-828.889325450882</v>
      </c>
      <c r="CE34" s="147" t="n">
        <v>-828.889325450882</v>
      </c>
      <c r="CF34" s="147" t="n">
        <v>-828.889325450882</v>
      </c>
      <c r="CG34" s="147" t="n">
        <v>-828.889325450882</v>
      </c>
      <c r="CH34" s="147" t="n">
        <v>-828.889325450882</v>
      </c>
      <c r="CI34" s="147" t="n">
        <v>-828.889325450882</v>
      </c>
      <c r="CJ34" s="147" t="n">
        <v>-828.889325450882</v>
      </c>
      <c r="CK34" s="147" t="n">
        <v>-828.889325450882</v>
      </c>
      <c r="CL34" s="147" t="n">
        <v>-845.4671119599</v>
      </c>
      <c r="CM34" s="147" t="n">
        <v>-845.4671119599</v>
      </c>
      <c r="CN34" s="147" t="n">
        <v>-845.4671119599</v>
      </c>
      <c r="CO34" s="147" t="n">
        <v>-845.4671119599</v>
      </c>
      <c r="CP34" s="147" t="n">
        <v>-845.4671119599</v>
      </c>
      <c r="CQ34" s="147" t="n">
        <v>-845.4671119599</v>
      </c>
      <c r="CR34" s="147" t="n">
        <v>-845.4671119599</v>
      </c>
      <c r="CS34" s="147" t="n">
        <v>-845.4671119599</v>
      </c>
      <c r="CT34" s="147" t="n">
        <v>-845.4671119599</v>
      </c>
      <c r="CU34" s="147" t="n">
        <v>-845.4671119599</v>
      </c>
      <c r="CV34" s="147" t="n">
        <v>-845.4671119599</v>
      </c>
      <c r="CW34" s="147" t="n">
        <v>-845.4671119599</v>
      </c>
      <c r="CX34" s="147" t="n">
        <v>-862.376454199098</v>
      </c>
      <c r="CY34" s="147" t="n">
        <v>-862.376454199098</v>
      </c>
      <c r="CZ34" s="147" t="n">
        <v>-862.376454199098</v>
      </c>
      <c r="DA34" s="147" t="n">
        <v>-862.376454199098</v>
      </c>
      <c r="DB34" s="147" t="n">
        <v>-862.376454199098</v>
      </c>
      <c r="DC34" s="147" t="n">
        <v>-862.376454199098</v>
      </c>
      <c r="DD34" s="147" t="n">
        <v>-862.376454199098</v>
      </c>
      <c r="DE34" s="147" t="n">
        <v>-862.376454199098</v>
      </c>
      <c r="DF34" s="147" t="n">
        <v>-862.376454199098</v>
      </c>
    </row>
    <row r="35" customFormat="false" ht="15" hidden="false" customHeight="true" outlineLevel="0" collapsed="false">
      <c r="A35" s="90" t="s">
        <v>78</v>
      </c>
      <c r="C35" s="104" t="n">
        <v>-681.77</v>
      </c>
      <c r="D35" s="104" t="n">
        <v>-600.14</v>
      </c>
      <c r="E35" s="104" t="n">
        <v>-2121.95</v>
      </c>
      <c r="F35" s="147" t="n">
        <v>-1134.62</v>
      </c>
      <c r="G35" s="147" t="n">
        <v>-1134.62</v>
      </c>
      <c r="H35" s="147" t="n">
        <v>-1134.62</v>
      </c>
      <c r="I35" s="147" t="n">
        <v>-1134.62</v>
      </c>
      <c r="J35" s="147" t="n">
        <v>-1134.62</v>
      </c>
      <c r="K35" s="147" t="n">
        <v>-1134.62</v>
      </c>
      <c r="L35" s="147" t="n">
        <v>-1134.62</v>
      </c>
      <c r="M35" s="147" t="n">
        <v>-1134.62</v>
      </c>
      <c r="N35" s="147" t="n">
        <v>-1134.62</v>
      </c>
      <c r="O35" s="147" t="n">
        <v>-1134.62</v>
      </c>
      <c r="P35" s="147" t="n">
        <v>-1134.62</v>
      </c>
      <c r="Q35" s="147" t="n">
        <v>-1134.62</v>
      </c>
      <c r="R35" s="147" t="n">
        <v>-1157.3124</v>
      </c>
      <c r="S35" s="147" t="n">
        <v>-1157.3124</v>
      </c>
      <c r="T35" s="147" t="n">
        <v>-1157.3124</v>
      </c>
      <c r="U35" s="147" t="n">
        <v>-1157.3124</v>
      </c>
      <c r="V35" s="147" t="n">
        <v>-1157.3124</v>
      </c>
      <c r="W35" s="147" t="n">
        <v>-1157.3124</v>
      </c>
      <c r="X35" s="147" t="n">
        <v>-1157.3124</v>
      </c>
      <c r="Y35" s="147" t="n">
        <v>-1157.3124</v>
      </c>
      <c r="Z35" s="147" t="n">
        <v>-1157.3124</v>
      </c>
      <c r="AA35" s="147" t="n">
        <v>-1157.3124</v>
      </c>
      <c r="AB35" s="147" t="n">
        <v>-1157.3124</v>
      </c>
      <c r="AC35" s="147" t="n">
        <v>-1157.3124</v>
      </c>
      <c r="AD35" s="147" t="n">
        <v>-1180.458648</v>
      </c>
      <c r="AE35" s="147" t="n">
        <v>-1180.458648</v>
      </c>
      <c r="AF35" s="147" t="n">
        <v>-1180.458648</v>
      </c>
      <c r="AG35" s="147" t="n">
        <v>-1180.458648</v>
      </c>
      <c r="AH35" s="147" t="n">
        <v>-1180.458648</v>
      </c>
      <c r="AI35" s="147" t="n">
        <v>-1180.458648</v>
      </c>
      <c r="AJ35" s="147" t="n">
        <v>-1180.458648</v>
      </c>
      <c r="AK35" s="147" t="n">
        <v>-1180.458648</v>
      </c>
      <c r="AL35" s="147" t="n">
        <v>-1180.458648</v>
      </c>
      <c r="AM35" s="147" t="n">
        <v>-1180.458648</v>
      </c>
      <c r="AN35" s="147" t="n">
        <v>-1180.458648</v>
      </c>
      <c r="AO35" s="147" t="n">
        <v>-1180.458648</v>
      </c>
      <c r="AP35" s="147" t="n">
        <v>-1204.06782096</v>
      </c>
      <c r="AQ35" s="147" t="n">
        <v>-1204.06782096</v>
      </c>
      <c r="AR35" s="147" t="n">
        <v>-1204.06782096</v>
      </c>
      <c r="AS35" s="147" t="n">
        <v>-1204.06782096</v>
      </c>
      <c r="AT35" s="147" t="n">
        <v>-1204.06782096</v>
      </c>
      <c r="AU35" s="147" t="n">
        <v>-1204.06782096</v>
      </c>
      <c r="AV35" s="147" t="n">
        <v>-1204.06782096</v>
      </c>
      <c r="AW35" s="147" t="n">
        <v>-1204.06782096</v>
      </c>
      <c r="AX35" s="147" t="n">
        <v>-1204.06782096</v>
      </c>
      <c r="AY35" s="147" t="n">
        <v>-1204.06782096</v>
      </c>
      <c r="AZ35" s="147" t="n">
        <v>-1204.06782096</v>
      </c>
      <c r="BA35" s="147" t="n">
        <v>-1204.06782096</v>
      </c>
      <c r="BB35" s="147" t="n">
        <v>-1228.1491773792</v>
      </c>
      <c r="BC35" s="147" t="n">
        <v>-1228.1491773792</v>
      </c>
      <c r="BD35" s="147" t="n">
        <v>-1228.1491773792</v>
      </c>
      <c r="BE35" s="147" t="n">
        <v>-1228.1491773792</v>
      </c>
      <c r="BF35" s="147" t="n">
        <v>-1228.1491773792</v>
      </c>
      <c r="BG35" s="147" t="n">
        <v>-1228.1491773792</v>
      </c>
      <c r="BH35" s="147" t="n">
        <v>-1228.1491773792</v>
      </c>
      <c r="BI35" s="147" t="n">
        <v>-1228.1491773792</v>
      </c>
      <c r="BJ35" s="147" t="n">
        <v>-1228.1491773792</v>
      </c>
      <c r="BK35" s="147" t="n">
        <v>-1228.1491773792</v>
      </c>
      <c r="BL35" s="147" t="n">
        <v>-1228.1491773792</v>
      </c>
      <c r="BM35" s="147" t="n">
        <v>-1228.1491773792</v>
      </c>
      <c r="BN35" s="147" t="n">
        <v>-1252.71216092678</v>
      </c>
      <c r="BO35" s="147" t="n">
        <v>-1252.71216092678</v>
      </c>
      <c r="BP35" s="147" t="n">
        <v>-1252.71216092678</v>
      </c>
      <c r="BQ35" s="147" t="n">
        <v>-1252.71216092678</v>
      </c>
      <c r="BR35" s="147" t="n">
        <v>-1252.71216092678</v>
      </c>
      <c r="BS35" s="147" t="n">
        <v>-1252.71216092678</v>
      </c>
      <c r="BT35" s="147" t="n">
        <v>-1252.71216092678</v>
      </c>
      <c r="BU35" s="147" t="n">
        <v>-1252.71216092678</v>
      </c>
      <c r="BV35" s="147" t="n">
        <v>-1252.71216092678</v>
      </c>
      <c r="BW35" s="147" t="n">
        <v>-1252.71216092678</v>
      </c>
      <c r="BX35" s="147" t="n">
        <v>-1252.71216092678</v>
      </c>
      <c r="BY35" s="147" t="n">
        <v>-1252.71216092678</v>
      </c>
      <c r="BZ35" s="147" t="n">
        <v>-1277.76640414532</v>
      </c>
      <c r="CA35" s="147" t="n">
        <v>-1277.76640414532</v>
      </c>
      <c r="CB35" s="147" t="n">
        <v>-1277.76640414532</v>
      </c>
      <c r="CC35" s="147" t="n">
        <v>-1277.76640414532</v>
      </c>
      <c r="CD35" s="147" t="n">
        <v>-1277.76640414532</v>
      </c>
      <c r="CE35" s="147" t="n">
        <v>-1277.76640414532</v>
      </c>
      <c r="CF35" s="147" t="n">
        <v>-1277.76640414532</v>
      </c>
      <c r="CG35" s="147" t="n">
        <v>-1277.76640414532</v>
      </c>
      <c r="CH35" s="147" t="n">
        <v>-1277.76640414532</v>
      </c>
      <c r="CI35" s="147" t="n">
        <v>-1277.76640414532</v>
      </c>
      <c r="CJ35" s="147" t="n">
        <v>-1277.76640414532</v>
      </c>
      <c r="CK35" s="147" t="n">
        <v>-1277.76640414532</v>
      </c>
      <c r="CL35" s="147" t="n">
        <v>-1303.32173222823</v>
      </c>
      <c r="CM35" s="147" t="n">
        <v>-1303.32173222823</v>
      </c>
      <c r="CN35" s="147" t="n">
        <v>-1303.32173222823</v>
      </c>
      <c r="CO35" s="147" t="n">
        <v>-1303.32173222823</v>
      </c>
      <c r="CP35" s="147" t="n">
        <v>-1303.32173222823</v>
      </c>
      <c r="CQ35" s="147" t="n">
        <v>-1303.32173222823</v>
      </c>
      <c r="CR35" s="147" t="n">
        <v>-1303.32173222823</v>
      </c>
      <c r="CS35" s="147" t="n">
        <v>-1303.32173222823</v>
      </c>
      <c r="CT35" s="147" t="n">
        <v>-1303.32173222823</v>
      </c>
      <c r="CU35" s="147" t="n">
        <v>-1303.32173222823</v>
      </c>
      <c r="CV35" s="147" t="n">
        <v>-1303.32173222823</v>
      </c>
      <c r="CW35" s="147" t="n">
        <v>-1303.32173222823</v>
      </c>
      <c r="CX35" s="147" t="n">
        <v>-1329.38816687279</v>
      </c>
      <c r="CY35" s="147" t="n">
        <v>-1329.38816687279</v>
      </c>
      <c r="CZ35" s="147" t="n">
        <v>-1329.38816687279</v>
      </c>
      <c r="DA35" s="147" t="n">
        <v>-1329.38816687279</v>
      </c>
      <c r="DB35" s="147" t="n">
        <v>-1329.38816687279</v>
      </c>
      <c r="DC35" s="147" t="n">
        <v>-1329.38816687279</v>
      </c>
      <c r="DD35" s="147" t="n">
        <v>-1329.38816687279</v>
      </c>
      <c r="DE35" s="147" t="n">
        <v>-1329.38816687279</v>
      </c>
      <c r="DF35" s="147" t="n">
        <v>-1329.38816687279</v>
      </c>
    </row>
    <row r="36" customFormat="false" ht="15" hidden="false" customHeight="true" outlineLevel="0" collapsed="false">
      <c r="A36" s="90" t="s">
        <v>79</v>
      </c>
      <c r="C36" s="104" t="n">
        <v>-2187.5</v>
      </c>
      <c r="D36" s="104" t="n">
        <v>0</v>
      </c>
      <c r="E36" s="104" t="n">
        <v>-1625</v>
      </c>
      <c r="F36" s="147" t="n">
        <v>-1270.83</v>
      </c>
      <c r="G36" s="147" t="n">
        <v>-1270.83</v>
      </c>
      <c r="H36" s="147" t="n">
        <v>-1270.83</v>
      </c>
      <c r="I36" s="147" t="n">
        <v>-1270.83</v>
      </c>
      <c r="J36" s="147" t="n">
        <v>-1270.83</v>
      </c>
      <c r="K36" s="147" t="n">
        <v>-1270.83</v>
      </c>
      <c r="L36" s="147" t="n">
        <v>-1270.83</v>
      </c>
      <c r="M36" s="147" t="n">
        <v>-1270.83</v>
      </c>
      <c r="N36" s="147" t="n">
        <v>-1270.83</v>
      </c>
      <c r="O36" s="147" t="n">
        <v>-1270.83</v>
      </c>
      <c r="P36" s="147" t="n">
        <v>-1270.83</v>
      </c>
      <c r="Q36" s="147" t="n">
        <v>-1270.83</v>
      </c>
      <c r="R36" s="147" t="n">
        <v>-1296.2466</v>
      </c>
      <c r="S36" s="147" t="n">
        <v>-1296.2466</v>
      </c>
      <c r="T36" s="147" t="n">
        <v>-1296.2466</v>
      </c>
      <c r="U36" s="147" t="n">
        <v>-1296.2466</v>
      </c>
      <c r="V36" s="147" t="n">
        <v>-1296.2466</v>
      </c>
      <c r="W36" s="147" t="n">
        <v>-1296.2466</v>
      </c>
      <c r="X36" s="147" t="n">
        <v>-1296.2466</v>
      </c>
      <c r="Y36" s="147" t="n">
        <v>-1296.2466</v>
      </c>
      <c r="Z36" s="147" t="n">
        <v>-1296.2466</v>
      </c>
      <c r="AA36" s="147" t="n">
        <v>-1296.2466</v>
      </c>
      <c r="AB36" s="147" t="n">
        <v>-1296.2466</v>
      </c>
      <c r="AC36" s="147" t="n">
        <v>-1296.2466</v>
      </c>
      <c r="AD36" s="147" t="n">
        <v>-1322.171532</v>
      </c>
      <c r="AE36" s="147" t="n">
        <v>-1322.171532</v>
      </c>
      <c r="AF36" s="147" t="n">
        <v>-1322.171532</v>
      </c>
      <c r="AG36" s="147" t="n">
        <v>-1322.171532</v>
      </c>
      <c r="AH36" s="147" t="n">
        <v>-1322.171532</v>
      </c>
      <c r="AI36" s="147" t="n">
        <v>-1322.171532</v>
      </c>
      <c r="AJ36" s="147" t="n">
        <v>-1322.171532</v>
      </c>
      <c r="AK36" s="147" t="n">
        <v>-1322.171532</v>
      </c>
      <c r="AL36" s="147" t="n">
        <v>-1322.171532</v>
      </c>
      <c r="AM36" s="147" t="n">
        <v>-1322.171532</v>
      </c>
      <c r="AN36" s="147" t="n">
        <v>-1322.171532</v>
      </c>
      <c r="AO36" s="147" t="n">
        <v>-1322.171532</v>
      </c>
      <c r="AP36" s="147" t="n">
        <v>-1348.61496264</v>
      </c>
      <c r="AQ36" s="147" t="n">
        <v>-1348.61496264</v>
      </c>
      <c r="AR36" s="147" t="n">
        <v>-1348.61496264</v>
      </c>
      <c r="AS36" s="147" t="n">
        <v>-1348.61496264</v>
      </c>
      <c r="AT36" s="147" t="n">
        <v>-1348.61496264</v>
      </c>
      <c r="AU36" s="147" t="n">
        <v>-1348.61496264</v>
      </c>
      <c r="AV36" s="147" t="n">
        <v>-1348.61496264</v>
      </c>
      <c r="AW36" s="147" t="n">
        <v>-1348.61496264</v>
      </c>
      <c r="AX36" s="147" t="n">
        <v>-1348.61496264</v>
      </c>
      <c r="AY36" s="147" t="n">
        <v>-1348.61496264</v>
      </c>
      <c r="AZ36" s="147" t="n">
        <v>-1348.61496264</v>
      </c>
      <c r="BA36" s="147" t="n">
        <v>-1348.61496264</v>
      </c>
      <c r="BB36" s="147" t="n">
        <v>-1375.5872618928</v>
      </c>
      <c r="BC36" s="147" t="n">
        <v>-1375.5872618928</v>
      </c>
      <c r="BD36" s="147" t="n">
        <v>-1375.5872618928</v>
      </c>
      <c r="BE36" s="147" t="n">
        <v>-1375.5872618928</v>
      </c>
      <c r="BF36" s="147" t="n">
        <v>-1375.5872618928</v>
      </c>
      <c r="BG36" s="147" t="n">
        <v>-1375.5872618928</v>
      </c>
      <c r="BH36" s="147" t="n">
        <v>-1375.5872618928</v>
      </c>
      <c r="BI36" s="147" t="n">
        <v>-1375.5872618928</v>
      </c>
      <c r="BJ36" s="147" t="n">
        <v>-1375.5872618928</v>
      </c>
      <c r="BK36" s="147" t="n">
        <v>-1375.5872618928</v>
      </c>
      <c r="BL36" s="147" t="n">
        <v>-1375.5872618928</v>
      </c>
      <c r="BM36" s="147" t="n">
        <v>-1375.5872618928</v>
      </c>
      <c r="BN36" s="147" t="n">
        <v>-1403.09900713066</v>
      </c>
      <c r="BO36" s="147" t="n">
        <v>-1403.09900713066</v>
      </c>
      <c r="BP36" s="147" t="n">
        <v>-1403.09900713066</v>
      </c>
      <c r="BQ36" s="147" t="n">
        <v>-1403.09900713066</v>
      </c>
      <c r="BR36" s="147" t="n">
        <v>-1403.09900713066</v>
      </c>
      <c r="BS36" s="147" t="n">
        <v>-1403.09900713066</v>
      </c>
      <c r="BT36" s="147" t="n">
        <v>-1403.09900713066</v>
      </c>
      <c r="BU36" s="147" t="n">
        <v>-1403.09900713066</v>
      </c>
      <c r="BV36" s="147" t="n">
        <v>-1403.09900713066</v>
      </c>
      <c r="BW36" s="147" t="n">
        <v>-1403.09900713066</v>
      </c>
      <c r="BX36" s="147" t="n">
        <v>-1403.09900713066</v>
      </c>
      <c r="BY36" s="147" t="n">
        <v>-1403.09900713066</v>
      </c>
      <c r="BZ36" s="147" t="n">
        <v>-1431.16098727327</v>
      </c>
      <c r="CA36" s="147" t="n">
        <v>-1431.16098727327</v>
      </c>
      <c r="CB36" s="147" t="n">
        <v>-1431.16098727327</v>
      </c>
      <c r="CC36" s="147" t="n">
        <v>-1431.16098727327</v>
      </c>
      <c r="CD36" s="147" t="n">
        <v>-1431.16098727327</v>
      </c>
      <c r="CE36" s="147" t="n">
        <v>-1431.16098727327</v>
      </c>
      <c r="CF36" s="147" t="n">
        <v>-1431.16098727327</v>
      </c>
      <c r="CG36" s="147" t="n">
        <v>-1431.16098727327</v>
      </c>
      <c r="CH36" s="147" t="n">
        <v>-1431.16098727327</v>
      </c>
      <c r="CI36" s="147" t="n">
        <v>-1431.16098727327</v>
      </c>
      <c r="CJ36" s="147" t="n">
        <v>-1431.16098727327</v>
      </c>
      <c r="CK36" s="147" t="n">
        <v>-1431.16098727327</v>
      </c>
      <c r="CL36" s="147" t="n">
        <v>-1459.78420701873</v>
      </c>
      <c r="CM36" s="147" t="n">
        <v>-1459.78420701873</v>
      </c>
      <c r="CN36" s="147" t="n">
        <v>-1459.78420701873</v>
      </c>
      <c r="CO36" s="147" t="n">
        <v>-1459.78420701873</v>
      </c>
      <c r="CP36" s="147" t="n">
        <v>-1459.78420701873</v>
      </c>
      <c r="CQ36" s="147" t="n">
        <v>-1459.78420701873</v>
      </c>
      <c r="CR36" s="147" t="n">
        <v>-1459.78420701873</v>
      </c>
      <c r="CS36" s="147" t="n">
        <v>-1459.78420701873</v>
      </c>
      <c r="CT36" s="147" t="n">
        <v>-1459.78420701873</v>
      </c>
      <c r="CU36" s="147" t="n">
        <v>-1459.78420701873</v>
      </c>
      <c r="CV36" s="147" t="n">
        <v>-1459.78420701873</v>
      </c>
      <c r="CW36" s="147" t="n">
        <v>-1459.78420701873</v>
      </c>
      <c r="CX36" s="147" t="n">
        <v>-1488.97989115911</v>
      </c>
      <c r="CY36" s="147" t="n">
        <v>-1488.97989115911</v>
      </c>
      <c r="CZ36" s="147" t="n">
        <v>-1488.97989115911</v>
      </c>
      <c r="DA36" s="147" t="n">
        <v>-1488.97989115911</v>
      </c>
      <c r="DB36" s="147" t="n">
        <v>-1488.97989115911</v>
      </c>
      <c r="DC36" s="147" t="n">
        <v>-1488.97989115911</v>
      </c>
      <c r="DD36" s="147" t="n">
        <v>-1488.97989115911</v>
      </c>
      <c r="DE36" s="147" t="n">
        <v>-1488.97989115911</v>
      </c>
      <c r="DF36" s="147" t="n">
        <v>-1488.97989115911</v>
      </c>
    </row>
    <row r="37" customFormat="false" ht="15" hidden="false" customHeight="true" outlineLevel="0" collapsed="false">
      <c r="A37" s="90" t="s">
        <v>80</v>
      </c>
      <c r="C37" s="104" t="n">
        <v>0</v>
      </c>
      <c r="D37" s="104" t="n">
        <v>-12349</v>
      </c>
      <c r="E37" s="104" t="n">
        <v>-5400</v>
      </c>
      <c r="F37" s="147" t="n">
        <v>-5916.33</v>
      </c>
      <c r="G37" s="147" t="n">
        <v>-5916.33</v>
      </c>
      <c r="H37" s="147" t="n">
        <v>-5916.33</v>
      </c>
      <c r="I37" s="147" t="n">
        <v>-5916.33</v>
      </c>
      <c r="J37" s="147" t="n">
        <v>-5916.33</v>
      </c>
      <c r="K37" s="147" t="n">
        <v>-5916.33</v>
      </c>
      <c r="L37" s="147" t="n">
        <v>-5916.33</v>
      </c>
      <c r="M37" s="147" t="n">
        <v>-5916.33</v>
      </c>
      <c r="N37" s="147" t="n">
        <v>-5916.33</v>
      </c>
      <c r="O37" s="147" t="n">
        <v>-5916.33</v>
      </c>
      <c r="P37" s="147" t="n">
        <v>-5916.33</v>
      </c>
      <c r="Q37" s="147" t="n">
        <v>-5916.33</v>
      </c>
      <c r="R37" s="147" t="n">
        <v>-6034.6566</v>
      </c>
      <c r="S37" s="147" t="n">
        <v>-6034.6566</v>
      </c>
      <c r="T37" s="147" t="n">
        <v>-6034.6566</v>
      </c>
      <c r="U37" s="147" t="n">
        <v>-6034.6566</v>
      </c>
      <c r="V37" s="147" t="n">
        <v>-6034.6566</v>
      </c>
      <c r="W37" s="147" t="n">
        <v>-6034.6566</v>
      </c>
      <c r="X37" s="147" t="n">
        <v>-6034.6566</v>
      </c>
      <c r="Y37" s="147" t="n">
        <v>-6034.6566</v>
      </c>
      <c r="Z37" s="147" t="n">
        <v>-6034.6566</v>
      </c>
      <c r="AA37" s="147" t="n">
        <v>-6034.6566</v>
      </c>
      <c r="AB37" s="147" t="n">
        <v>-6034.6566</v>
      </c>
      <c r="AC37" s="147" t="n">
        <v>-6034.6566</v>
      </c>
      <c r="AD37" s="147" t="n">
        <v>-6155.349732</v>
      </c>
      <c r="AE37" s="147" t="n">
        <v>-6155.349732</v>
      </c>
      <c r="AF37" s="147" t="n">
        <v>-6155.349732</v>
      </c>
      <c r="AG37" s="147" t="n">
        <v>-6155.349732</v>
      </c>
      <c r="AH37" s="147" t="n">
        <v>-6155.349732</v>
      </c>
      <c r="AI37" s="147" t="n">
        <v>-6155.349732</v>
      </c>
      <c r="AJ37" s="147" t="n">
        <v>-6155.349732</v>
      </c>
      <c r="AK37" s="147" t="n">
        <v>-6155.349732</v>
      </c>
      <c r="AL37" s="147" t="n">
        <v>-6155.349732</v>
      </c>
      <c r="AM37" s="147" t="n">
        <v>-6155.349732</v>
      </c>
      <c r="AN37" s="147" t="n">
        <v>-6155.349732</v>
      </c>
      <c r="AO37" s="147" t="n">
        <v>-6155.349732</v>
      </c>
      <c r="AP37" s="147" t="n">
        <v>-6278.45672664</v>
      </c>
      <c r="AQ37" s="147" t="n">
        <v>-6278.45672664</v>
      </c>
      <c r="AR37" s="147" t="n">
        <v>-6278.45672664</v>
      </c>
      <c r="AS37" s="147" t="n">
        <v>-6278.45672664</v>
      </c>
      <c r="AT37" s="147" t="n">
        <v>-6278.45672664</v>
      </c>
      <c r="AU37" s="147" t="n">
        <v>-6278.45672664</v>
      </c>
      <c r="AV37" s="147" t="n">
        <v>-6278.45672664</v>
      </c>
      <c r="AW37" s="147" t="n">
        <v>-6278.45672664</v>
      </c>
      <c r="AX37" s="147" t="n">
        <v>-6278.45672664</v>
      </c>
      <c r="AY37" s="147" t="n">
        <v>-6278.45672664</v>
      </c>
      <c r="AZ37" s="147" t="n">
        <v>-6278.45672664</v>
      </c>
      <c r="BA37" s="147" t="n">
        <v>-6278.45672664</v>
      </c>
      <c r="BB37" s="147" t="n">
        <v>-6404.0258611728</v>
      </c>
      <c r="BC37" s="147" t="n">
        <v>-6404.0258611728</v>
      </c>
      <c r="BD37" s="147" t="n">
        <v>-6404.0258611728</v>
      </c>
      <c r="BE37" s="147" t="n">
        <v>-6404.0258611728</v>
      </c>
      <c r="BF37" s="147" t="n">
        <v>-6404.0258611728</v>
      </c>
      <c r="BG37" s="147" t="n">
        <v>-6404.0258611728</v>
      </c>
      <c r="BH37" s="147" t="n">
        <v>-6404.0258611728</v>
      </c>
      <c r="BI37" s="147" t="n">
        <v>-6404.0258611728</v>
      </c>
      <c r="BJ37" s="147" t="n">
        <v>-6404.0258611728</v>
      </c>
      <c r="BK37" s="147" t="n">
        <v>-6404.0258611728</v>
      </c>
      <c r="BL37" s="147" t="n">
        <v>-6404.0258611728</v>
      </c>
      <c r="BM37" s="147" t="n">
        <v>-6404.0258611728</v>
      </c>
      <c r="BN37" s="147" t="n">
        <v>-6532.10637839626</v>
      </c>
      <c r="BO37" s="147" t="n">
        <v>-6532.10637839626</v>
      </c>
      <c r="BP37" s="147" t="n">
        <v>-6532.10637839626</v>
      </c>
      <c r="BQ37" s="147" t="n">
        <v>-6532.10637839626</v>
      </c>
      <c r="BR37" s="147" t="n">
        <v>-6532.10637839626</v>
      </c>
      <c r="BS37" s="147" t="n">
        <v>-6532.10637839626</v>
      </c>
      <c r="BT37" s="147" t="n">
        <v>-6532.10637839626</v>
      </c>
      <c r="BU37" s="147" t="n">
        <v>-6532.10637839626</v>
      </c>
      <c r="BV37" s="147" t="n">
        <v>-6532.10637839626</v>
      </c>
      <c r="BW37" s="147" t="n">
        <v>-6532.10637839626</v>
      </c>
      <c r="BX37" s="147" t="n">
        <v>-6532.10637839626</v>
      </c>
      <c r="BY37" s="147" t="n">
        <v>-6532.10637839626</v>
      </c>
      <c r="BZ37" s="147" t="n">
        <v>-6662.74850596418</v>
      </c>
      <c r="CA37" s="147" t="n">
        <v>-6662.74850596418</v>
      </c>
      <c r="CB37" s="147" t="n">
        <v>-6662.74850596418</v>
      </c>
      <c r="CC37" s="147" t="n">
        <v>-6662.74850596418</v>
      </c>
      <c r="CD37" s="147" t="n">
        <v>-6662.74850596418</v>
      </c>
      <c r="CE37" s="147" t="n">
        <v>-6662.74850596418</v>
      </c>
      <c r="CF37" s="147" t="n">
        <v>-6662.74850596418</v>
      </c>
      <c r="CG37" s="147" t="n">
        <v>-6662.74850596418</v>
      </c>
      <c r="CH37" s="147" t="n">
        <v>-6662.74850596418</v>
      </c>
      <c r="CI37" s="147" t="n">
        <v>-6662.74850596418</v>
      </c>
      <c r="CJ37" s="147" t="n">
        <v>-6662.74850596418</v>
      </c>
      <c r="CK37" s="147" t="n">
        <v>-6662.74850596418</v>
      </c>
      <c r="CL37" s="147" t="n">
        <v>-6796.00347608347</v>
      </c>
      <c r="CM37" s="147" t="n">
        <v>-6796.00347608347</v>
      </c>
      <c r="CN37" s="147" t="n">
        <v>-6796.00347608347</v>
      </c>
      <c r="CO37" s="147" t="n">
        <v>-6796.00347608347</v>
      </c>
      <c r="CP37" s="147" t="n">
        <v>-6796.00347608347</v>
      </c>
      <c r="CQ37" s="147" t="n">
        <v>-6796.00347608347</v>
      </c>
      <c r="CR37" s="147" t="n">
        <v>-6796.00347608347</v>
      </c>
      <c r="CS37" s="147" t="n">
        <v>-6796.00347608347</v>
      </c>
      <c r="CT37" s="147" t="n">
        <v>-6796.00347608347</v>
      </c>
      <c r="CU37" s="147" t="n">
        <v>-6796.00347608347</v>
      </c>
      <c r="CV37" s="147" t="n">
        <v>-6796.00347608347</v>
      </c>
      <c r="CW37" s="147" t="n">
        <v>-6796.00347608347</v>
      </c>
      <c r="CX37" s="147" t="n">
        <v>-6931.92354560514</v>
      </c>
      <c r="CY37" s="147" t="n">
        <v>-6931.92354560514</v>
      </c>
      <c r="CZ37" s="147" t="n">
        <v>-6931.92354560514</v>
      </c>
      <c r="DA37" s="147" t="n">
        <v>-6931.92354560514</v>
      </c>
      <c r="DB37" s="147" t="n">
        <v>-6931.92354560514</v>
      </c>
      <c r="DC37" s="147" t="n">
        <v>-6931.92354560514</v>
      </c>
      <c r="DD37" s="147" t="n">
        <v>-6931.92354560514</v>
      </c>
      <c r="DE37" s="147" t="n">
        <v>-6931.92354560514</v>
      </c>
      <c r="DF37" s="147" t="n">
        <v>-6931.92354560514</v>
      </c>
    </row>
    <row r="38" customFormat="false" ht="15" hidden="false" customHeight="true" outlineLevel="0" collapsed="false">
      <c r="A38" s="90" t="s">
        <v>81</v>
      </c>
      <c r="C38" s="104" t="n">
        <v>0</v>
      </c>
      <c r="D38" s="104" t="n">
        <v>0</v>
      </c>
      <c r="E38" s="104" t="n">
        <v>-750.4</v>
      </c>
      <c r="F38" s="147" t="n">
        <v>-250.13</v>
      </c>
      <c r="G38" s="147" t="n">
        <v>-250.13</v>
      </c>
      <c r="H38" s="147" t="n">
        <v>-250.13</v>
      </c>
      <c r="I38" s="147" t="n">
        <v>-250.13</v>
      </c>
      <c r="J38" s="147" t="n">
        <v>-250.13</v>
      </c>
      <c r="K38" s="147" t="n">
        <v>-250.13</v>
      </c>
      <c r="L38" s="147" t="n">
        <v>-250.13</v>
      </c>
      <c r="M38" s="147" t="n">
        <v>-250.13</v>
      </c>
      <c r="N38" s="147" t="n">
        <v>-250.13</v>
      </c>
      <c r="O38" s="147" t="n">
        <v>-250.13</v>
      </c>
      <c r="P38" s="147" t="n">
        <v>-250.13</v>
      </c>
      <c r="Q38" s="147" t="n">
        <v>-250.13</v>
      </c>
      <c r="R38" s="147" t="n">
        <v>-255.1326</v>
      </c>
      <c r="S38" s="147" t="n">
        <v>-255.1326</v>
      </c>
      <c r="T38" s="147" t="n">
        <v>-255.1326</v>
      </c>
      <c r="U38" s="147" t="n">
        <v>-255.1326</v>
      </c>
      <c r="V38" s="147" t="n">
        <v>-255.1326</v>
      </c>
      <c r="W38" s="147" t="n">
        <v>-255.1326</v>
      </c>
      <c r="X38" s="147" t="n">
        <v>-255.1326</v>
      </c>
      <c r="Y38" s="147" t="n">
        <v>-255.1326</v>
      </c>
      <c r="Z38" s="147" t="n">
        <v>-255.1326</v>
      </c>
      <c r="AA38" s="147" t="n">
        <v>-255.1326</v>
      </c>
      <c r="AB38" s="147" t="n">
        <v>-255.1326</v>
      </c>
      <c r="AC38" s="147" t="n">
        <v>-255.1326</v>
      </c>
      <c r="AD38" s="147" t="n">
        <v>-260.235252</v>
      </c>
      <c r="AE38" s="147" t="n">
        <v>-260.235252</v>
      </c>
      <c r="AF38" s="147" t="n">
        <v>-260.235252</v>
      </c>
      <c r="AG38" s="147" t="n">
        <v>-260.235252</v>
      </c>
      <c r="AH38" s="147" t="n">
        <v>-260.235252</v>
      </c>
      <c r="AI38" s="147" t="n">
        <v>-260.235252</v>
      </c>
      <c r="AJ38" s="147" t="n">
        <v>-260.235252</v>
      </c>
      <c r="AK38" s="147" t="n">
        <v>-260.235252</v>
      </c>
      <c r="AL38" s="147" t="n">
        <v>-260.235252</v>
      </c>
      <c r="AM38" s="147" t="n">
        <v>-260.235252</v>
      </c>
      <c r="AN38" s="147" t="n">
        <v>-260.235252</v>
      </c>
      <c r="AO38" s="147" t="n">
        <v>-260.235252</v>
      </c>
      <c r="AP38" s="147" t="n">
        <v>-265.43995704</v>
      </c>
      <c r="AQ38" s="147" t="n">
        <v>-265.43995704</v>
      </c>
      <c r="AR38" s="147" t="n">
        <v>-265.43995704</v>
      </c>
      <c r="AS38" s="147" t="n">
        <v>-265.43995704</v>
      </c>
      <c r="AT38" s="147" t="n">
        <v>-265.43995704</v>
      </c>
      <c r="AU38" s="147" t="n">
        <v>-265.43995704</v>
      </c>
      <c r="AV38" s="147" t="n">
        <v>-265.43995704</v>
      </c>
      <c r="AW38" s="147" t="n">
        <v>-265.43995704</v>
      </c>
      <c r="AX38" s="147" t="n">
        <v>-265.43995704</v>
      </c>
      <c r="AY38" s="147" t="n">
        <v>-265.43995704</v>
      </c>
      <c r="AZ38" s="147" t="n">
        <v>-265.43995704</v>
      </c>
      <c r="BA38" s="147" t="n">
        <v>-265.43995704</v>
      </c>
      <c r="BB38" s="147" t="n">
        <v>-270.7487561808</v>
      </c>
      <c r="BC38" s="147" t="n">
        <v>-270.7487561808</v>
      </c>
      <c r="BD38" s="147" t="n">
        <v>-270.7487561808</v>
      </c>
      <c r="BE38" s="147" t="n">
        <v>-270.7487561808</v>
      </c>
      <c r="BF38" s="147" t="n">
        <v>-270.7487561808</v>
      </c>
      <c r="BG38" s="147" t="n">
        <v>-270.7487561808</v>
      </c>
      <c r="BH38" s="147" t="n">
        <v>-270.7487561808</v>
      </c>
      <c r="BI38" s="147" t="n">
        <v>-270.7487561808</v>
      </c>
      <c r="BJ38" s="147" t="n">
        <v>-270.7487561808</v>
      </c>
      <c r="BK38" s="147" t="n">
        <v>-270.7487561808</v>
      </c>
      <c r="BL38" s="147" t="n">
        <v>-270.7487561808</v>
      </c>
      <c r="BM38" s="147" t="n">
        <v>-270.7487561808</v>
      </c>
      <c r="BN38" s="147" t="n">
        <v>-276.163731304416</v>
      </c>
      <c r="BO38" s="147" t="n">
        <v>-276.163731304416</v>
      </c>
      <c r="BP38" s="147" t="n">
        <v>-276.163731304416</v>
      </c>
      <c r="BQ38" s="147" t="n">
        <v>-276.163731304416</v>
      </c>
      <c r="BR38" s="147" t="n">
        <v>-276.163731304416</v>
      </c>
      <c r="BS38" s="147" t="n">
        <v>-276.163731304416</v>
      </c>
      <c r="BT38" s="147" t="n">
        <v>-276.163731304416</v>
      </c>
      <c r="BU38" s="147" t="n">
        <v>-276.163731304416</v>
      </c>
      <c r="BV38" s="147" t="n">
        <v>-276.163731304416</v>
      </c>
      <c r="BW38" s="147" t="n">
        <v>-276.163731304416</v>
      </c>
      <c r="BX38" s="147" t="n">
        <v>-276.163731304416</v>
      </c>
      <c r="BY38" s="147" t="n">
        <v>-276.163731304416</v>
      </c>
      <c r="BZ38" s="147" t="n">
        <v>-281.687005930504</v>
      </c>
      <c r="CA38" s="147" t="n">
        <v>-281.687005930504</v>
      </c>
      <c r="CB38" s="147" t="n">
        <v>-281.687005930504</v>
      </c>
      <c r="CC38" s="147" t="n">
        <v>-281.687005930504</v>
      </c>
      <c r="CD38" s="147" t="n">
        <v>-281.687005930504</v>
      </c>
      <c r="CE38" s="147" t="n">
        <v>-281.687005930504</v>
      </c>
      <c r="CF38" s="147" t="n">
        <v>-281.687005930504</v>
      </c>
      <c r="CG38" s="147" t="n">
        <v>-281.687005930504</v>
      </c>
      <c r="CH38" s="147" t="n">
        <v>-281.687005930504</v>
      </c>
      <c r="CI38" s="147" t="n">
        <v>-281.687005930504</v>
      </c>
      <c r="CJ38" s="147" t="n">
        <v>-281.687005930504</v>
      </c>
      <c r="CK38" s="147" t="n">
        <v>-281.687005930504</v>
      </c>
      <c r="CL38" s="147" t="n">
        <v>-287.320746049114</v>
      </c>
      <c r="CM38" s="147" t="n">
        <v>-287.320746049114</v>
      </c>
      <c r="CN38" s="147" t="n">
        <v>-287.320746049114</v>
      </c>
      <c r="CO38" s="147" t="n">
        <v>-287.320746049114</v>
      </c>
      <c r="CP38" s="147" t="n">
        <v>-287.320746049114</v>
      </c>
      <c r="CQ38" s="147" t="n">
        <v>-287.320746049114</v>
      </c>
      <c r="CR38" s="147" t="n">
        <v>-287.320746049114</v>
      </c>
      <c r="CS38" s="147" t="n">
        <v>-287.320746049114</v>
      </c>
      <c r="CT38" s="147" t="n">
        <v>-287.320746049114</v>
      </c>
      <c r="CU38" s="147" t="n">
        <v>-287.320746049114</v>
      </c>
      <c r="CV38" s="147" t="n">
        <v>-287.320746049114</v>
      </c>
      <c r="CW38" s="147" t="n">
        <v>-287.320746049114</v>
      </c>
      <c r="CX38" s="147" t="n">
        <v>-293.067160970097</v>
      </c>
      <c r="CY38" s="147" t="n">
        <v>-293.067160970097</v>
      </c>
      <c r="CZ38" s="147" t="n">
        <v>-293.067160970097</v>
      </c>
      <c r="DA38" s="147" t="n">
        <v>-293.067160970097</v>
      </c>
      <c r="DB38" s="147" t="n">
        <v>-293.067160970097</v>
      </c>
      <c r="DC38" s="147" t="n">
        <v>-293.067160970097</v>
      </c>
      <c r="DD38" s="147" t="n">
        <v>-293.067160970097</v>
      </c>
      <c r="DE38" s="147" t="n">
        <v>-293.067160970097</v>
      </c>
      <c r="DF38" s="147" t="n">
        <v>-293.067160970097</v>
      </c>
    </row>
    <row r="39" customFormat="false" ht="15" hidden="false" customHeight="true" outlineLevel="0" collapsed="false">
      <c r="A39" s="90" t="s">
        <v>82</v>
      </c>
      <c r="C39" s="104" t="n">
        <v>-1474.63</v>
      </c>
      <c r="D39" s="104" t="n">
        <v>-1449.33</v>
      </c>
      <c r="E39" s="104" t="n">
        <v>-2328.76</v>
      </c>
      <c r="F39" s="147" t="n">
        <v>-1750.91</v>
      </c>
      <c r="G39" s="147" t="n">
        <v>-1750.91</v>
      </c>
      <c r="H39" s="147" t="n">
        <v>-1750.91</v>
      </c>
      <c r="I39" s="147" t="n">
        <v>-1750.91</v>
      </c>
      <c r="J39" s="147" t="n">
        <v>-1750.91</v>
      </c>
      <c r="K39" s="147" t="n">
        <v>-1750.91</v>
      </c>
      <c r="L39" s="147" t="n">
        <v>-1750.91</v>
      </c>
      <c r="M39" s="147" t="n">
        <v>-1750.91</v>
      </c>
      <c r="N39" s="147" t="n">
        <v>-1750.91</v>
      </c>
      <c r="O39" s="147" t="n">
        <v>-1750.91</v>
      </c>
      <c r="P39" s="147" t="n">
        <v>-1750.91</v>
      </c>
      <c r="Q39" s="147" t="n">
        <v>-1750.91</v>
      </c>
      <c r="R39" s="147" t="n">
        <v>-1785.9282</v>
      </c>
      <c r="S39" s="147" t="n">
        <v>-1785.9282</v>
      </c>
      <c r="T39" s="147" t="n">
        <v>-1785.9282</v>
      </c>
      <c r="U39" s="147" t="n">
        <v>-1785.9282</v>
      </c>
      <c r="V39" s="147" t="n">
        <v>-1785.9282</v>
      </c>
      <c r="W39" s="147" t="n">
        <v>-1785.9282</v>
      </c>
      <c r="X39" s="147" t="n">
        <v>-1785.9282</v>
      </c>
      <c r="Y39" s="147" t="n">
        <v>-1785.9282</v>
      </c>
      <c r="Z39" s="147" t="n">
        <v>-1785.9282</v>
      </c>
      <c r="AA39" s="147" t="n">
        <v>-1785.9282</v>
      </c>
      <c r="AB39" s="147" t="n">
        <v>-1785.9282</v>
      </c>
      <c r="AC39" s="147" t="n">
        <v>-1785.9282</v>
      </c>
      <c r="AD39" s="147" t="n">
        <v>-1821.646764</v>
      </c>
      <c r="AE39" s="147" t="n">
        <v>-1821.646764</v>
      </c>
      <c r="AF39" s="147" t="n">
        <v>-1821.646764</v>
      </c>
      <c r="AG39" s="147" t="n">
        <v>-1821.646764</v>
      </c>
      <c r="AH39" s="147" t="n">
        <v>-1821.646764</v>
      </c>
      <c r="AI39" s="147" t="n">
        <v>-1821.646764</v>
      </c>
      <c r="AJ39" s="147" t="n">
        <v>-1821.646764</v>
      </c>
      <c r="AK39" s="147" t="n">
        <v>-1821.646764</v>
      </c>
      <c r="AL39" s="147" t="n">
        <v>-1821.646764</v>
      </c>
      <c r="AM39" s="147" t="n">
        <v>-1821.646764</v>
      </c>
      <c r="AN39" s="147" t="n">
        <v>-1821.646764</v>
      </c>
      <c r="AO39" s="147" t="n">
        <v>-1821.646764</v>
      </c>
      <c r="AP39" s="147" t="n">
        <v>-1858.07969928</v>
      </c>
      <c r="AQ39" s="147" t="n">
        <v>-1858.07969928</v>
      </c>
      <c r="AR39" s="147" t="n">
        <v>-1858.07969928</v>
      </c>
      <c r="AS39" s="147" t="n">
        <v>-1858.07969928</v>
      </c>
      <c r="AT39" s="147" t="n">
        <v>-1858.07969928</v>
      </c>
      <c r="AU39" s="147" t="n">
        <v>-1858.07969928</v>
      </c>
      <c r="AV39" s="147" t="n">
        <v>-1858.07969928</v>
      </c>
      <c r="AW39" s="147" t="n">
        <v>-1858.07969928</v>
      </c>
      <c r="AX39" s="147" t="n">
        <v>-1858.07969928</v>
      </c>
      <c r="AY39" s="147" t="n">
        <v>-1858.07969928</v>
      </c>
      <c r="AZ39" s="147" t="n">
        <v>-1858.07969928</v>
      </c>
      <c r="BA39" s="147" t="n">
        <v>-1858.07969928</v>
      </c>
      <c r="BB39" s="147" t="n">
        <v>-1895.2412932656</v>
      </c>
      <c r="BC39" s="147" t="n">
        <v>-1895.2412932656</v>
      </c>
      <c r="BD39" s="147" t="n">
        <v>-1895.2412932656</v>
      </c>
      <c r="BE39" s="147" t="n">
        <v>-1895.2412932656</v>
      </c>
      <c r="BF39" s="147" t="n">
        <v>-1895.2412932656</v>
      </c>
      <c r="BG39" s="147" t="n">
        <v>-1895.2412932656</v>
      </c>
      <c r="BH39" s="147" t="n">
        <v>-1895.2412932656</v>
      </c>
      <c r="BI39" s="147" t="n">
        <v>-1895.2412932656</v>
      </c>
      <c r="BJ39" s="147" t="n">
        <v>-1895.2412932656</v>
      </c>
      <c r="BK39" s="147" t="n">
        <v>-1895.2412932656</v>
      </c>
      <c r="BL39" s="147" t="n">
        <v>-1895.2412932656</v>
      </c>
      <c r="BM39" s="147" t="n">
        <v>-1895.2412932656</v>
      </c>
      <c r="BN39" s="147" t="n">
        <v>-1933.14611913091</v>
      </c>
      <c r="BO39" s="147" t="n">
        <v>-1933.14611913091</v>
      </c>
      <c r="BP39" s="147" t="n">
        <v>-1933.14611913091</v>
      </c>
      <c r="BQ39" s="147" t="n">
        <v>-1933.14611913091</v>
      </c>
      <c r="BR39" s="147" t="n">
        <v>-1933.14611913091</v>
      </c>
      <c r="BS39" s="147" t="n">
        <v>-1933.14611913091</v>
      </c>
      <c r="BT39" s="147" t="n">
        <v>-1933.14611913091</v>
      </c>
      <c r="BU39" s="147" t="n">
        <v>-1933.14611913091</v>
      </c>
      <c r="BV39" s="147" t="n">
        <v>-1933.14611913091</v>
      </c>
      <c r="BW39" s="147" t="n">
        <v>-1933.14611913091</v>
      </c>
      <c r="BX39" s="147" t="n">
        <v>-1933.14611913091</v>
      </c>
      <c r="BY39" s="147" t="n">
        <v>-1933.14611913091</v>
      </c>
      <c r="BZ39" s="147" t="n">
        <v>-1971.80904151353</v>
      </c>
      <c r="CA39" s="147" t="n">
        <v>-1971.80904151353</v>
      </c>
      <c r="CB39" s="147" t="n">
        <v>-1971.80904151353</v>
      </c>
      <c r="CC39" s="147" t="n">
        <v>-1971.80904151353</v>
      </c>
      <c r="CD39" s="147" t="n">
        <v>-1971.80904151353</v>
      </c>
      <c r="CE39" s="147" t="n">
        <v>-1971.80904151353</v>
      </c>
      <c r="CF39" s="147" t="n">
        <v>-1971.80904151353</v>
      </c>
      <c r="CG39" s="147" t="n">
        <v>-1971.80904151353</v>
      </c>
      <c r="CH39" s="147" t="n">
        <v>-1971.80904151353</v>
      </c>
      <c r="CI39" s="147" t="n">
        <v>-1971.80904151353</v>
      </c>
      <c r="CJ39" s="147" t="n">
        <v>-1971.80904151353</v>
      </c>
      <c r="CK39" s="147" t="n">
        <v>-1971.80904151353</v>
      </c>
      <c r="CL39" s="147" t="n">
        <v>-2011.2452223438</v>
      </c>
      <c r="CM39" s="147" t="n">
        <v>-2011.2452223438</v>
      </c>
      <c r="CN39" s="147" t="n">
        <v>-2011.2452223438</v>
      </c>
      <c r="CO39" s="147" t="n">
        <v>-2011.2452223438</v>
      </c>
      <c r="CP39" s="147" t="n">
        <v>-2011.2452223438</v>
      </c>
      <c r="CQ39" s="147" t="n">
        <v>-2011.2452223438</v>
      </c>
      <c r="CR39" s="147" t="n">
        <v>-2011.2452223438</v>
      </c>
      <c r="CS39" s="147" t="n">
        <v>-2011.2452223438</v>
      </c>
      <c r="CT39" s="147" t="n">
        <v>-2011.2452223438</v>
      </c>
      <c r="CU39" s="147" t="n">
        <v>-2011.2452223438</v>
      </c>
      <c r="CV39" s="147" t="n">
        <v>-2011.2452223438</v>
      </c>
      <c r="CW39" s="147" t="n">
        <v>-2011.2452223438</v>
      </c>
      <c r="CX39" s="147" t="n">
        <v>-2051.47012679068</v>
      </c>
      <c r="CY39" s="147" t="n">
        <v>-2051.47012679068</v>
      </c>
      <c r="CZ39" s="147" t="n">
        <v>-2051.47012679068</v>
      </c>
      <c r="DA39" s="147" t="n">
        <v>-2051.47012679068</v>
      </c>
      <c r="DB39" s="147" t="n">
        <v>-2051.47012679068</v>
      </c>
      <c r="DC39" s="147" t="n">
        <v>-2051.47012679068</v>
      </c>
      <c r="DD39" s="147" t="n">
        <v>-2051.47012679068</v>
      </c>
      <c r="DE39" s="147" t="n">
        <v>-2051.47012679068</v>
      </c>
      <c r="DF39" s="147" t="n">
        <v>-2051.47012679068</v>
      </c>
    </row>
    <row r="40" customFormat="false" ht="15" hidden="false" customHeight="true" outlineLevel="0" collapsed="false">
      <c r="A40" s="90" t="s">
        <v>83</v>
      </c>
      <c r="C40" s="104" t="n">
        <v>-1417.61</v>
      </c>
      <c r="D40" s="104" t="n">
        <v>-2730.36</v>
      </c>
      <c r="E40" s="104" t="n">
        <v>-1818.05</v>
      </c>
      <c r="F40" s="147" t="n">
        <v>-1988.67</v>
      </c>
      <c r="G40" s="147" t="n">
        <v>-1988.67</v>
      </c>
      <c r="H40" s="147" t="n">
        <v>-1988.67</v>
      </c>
      <c r="I40" s="147" t="n">
        <v>-1988.67</v>
      </c>
      <c r="J40" s="147" t="n">
        <v>-1988.67</v>
      </c>
      <c r="K40" s="147" t="n">
        <v>-1988.67</v>
      </c>
      <c r="L40" s="147" t="n">
        <v>-1988.67</v>
      </c>
      <c r="M40" s="147" t="n">
        <v>-1988.67</v>
      </c>
      <c r="N40" s="147" t="n">
        <v>-1988.67</v>
      </c>
      <c r="O40" s="147" t="n">
        <v>-1988.67</v>
      </c>
      <c r="P40" s="147" t="n">
        <v>-1988.67</v>
      </c>
      <c r="Q40" s="147" t="n">
        <v>-1988.67</v>
      </c>
      <c r="R40" s="147" t="n">
        <v>-2028.4434</v>
      </c>
      <c r="S40" s="147" t="n">
        <v>-2028.4434</v>
      </c>
      <c r="T40" s="147" t="n">
        <v>-2028.4434</v>
      </c>
      <c r="U40" s="147" t="n">
        <v>-2028.4434</v>
      </c>
      <c r="V40" s="147" t="n">
        <v>-2028.4434</v>
      </c>
      <c r="W40" s="147" t="n">
        <v>-2028.4434</v>
      </c>
      <c r="X40" s="147" t="n">
        <v>-2028.4434</v>
      </c>
      <c r="Y40" s="147" t="n">
        <v>-2028.4434</v>
      </c>
      <c r="Z40" s="147" t="n">
        <v>-2028.4434</v>
      </c>
      <c r="AA40" s="147" t="n">
        <v>-2028.4434</v>
      </c>
      <c r="AB40" s="147" t="n">
        <v>-2028.4434</v>
      </c>
      <c r="AC40" s="147" t="n">
        <v>-2028.4434</v>
      </c>
      <c r="AD40" s="147" t="n">
        <v>-2069.012268</v>
      </c>
      <c r="AE40" s="147" t="n">
        <v>-2069.012268</v>
      </c>
      <c r="AF40" s="147" t="n">
        <v>-2069.012268</v>
      </c>
      <c r="AG40" s="147" t="n">
        <v>-2069.012268</v>
      </c>
      <c r="AH40" s="147" t="n">
        <v>-2069.012268</v>
      </c>
      <c r="AI40" s="147" t="n">
        <v>-2069.012268</v>
      </c>
      <c r="AJ40" s="147" t="n">
        <v>-2069.012268</v>
      </c>
      <c r="AK40" s="147" t="n">
        <v>-2069.012268</v>
      </c>
      <c r="AL40" s="147" t="n">
        <v>-2069.012268</v>
      </c>
      <c r="AM40" s="147" t="n">
        <v>-2069.012268</v>
      </c>
      <c r="AN40" s="147" t="n">
        <v>-2069.012268</v>
      </c>
      <c r="AO40" s="147" t="n">
        <v>-2069.012268</v>
      </c>
      <c r="AP40" s="147" t="n">
        <v>-2110.39251336</v>
      </c>
      <c r="AQ40" s="147" t="n">
        <v>-2110.39251336</v>
      </c>
      <c r="AR40" s="147" t="n">
        <v>-2110.39251336</v>
      </c>
      <c r="AS40" s="147" t="n">
        <v>-2110.39251336</v>
      </c>
      <c r="AT40" s="147" t="n">
        <v>-2110.39251336</v>
      </c>
      <c r="AU40" s="147" t="n">
        <v>-2110.39251336</v>
      </c>
      <c r="AV40" s="147" t="n">
        <v>-2110.39251336</v>
      </c>
      <c r="AW40" s="147" t="n">
        <v>-2110.39251336</v>
      </c>
      <c r="AX40" s="147" t="n">
        <v>-2110.39251336</v>
      </c>
      <c r="AY40" s="147" t="n">
        <v>-2110.39251336</v>
      </c>
      <c r="AZ40" s="147" t="n">
        <v>-2110.39251336</v>
      </c>
      <c r="BA40" s="147" t="n">
        <v>-2110.39251336</v>
      </c>
      <c r="BB40" s="147" t="n">
        <v>-2152.6003636272</v>
      </c>
      <c r="BC40" s="147" t="n">
        <v>-2152.6003636272</v>
      </c>
      <c r="BD40" s="147" t="n">
        <v>-2152.6003636272</v>
      </c>
      <c r="BE40" s="147" t="n">
        <v>-2152.6003636272</v>
      </c>
      <c r="BF40" s="147" t="n">
        <v>-2152.6003636272</v>
      </c>
      <c r="BG40" s="147" t="n">
        <v>-2152.6003636272</v>
      </c>
      <c r="BH40" s="147" t="n">
        <v>-2152.6003636272</v>
      </c>
      <c r="BI40" s="147" t="n">
        <v>-2152.6003636272</v>
      </c>
      <c r="BJ40" s="147" t="n">
        <v>-2152.6003636272</v>
      </c>
      <c r="BK40" s="147" t="n">
        <v>-2152.6003636272</v>
      </c>
      <c r="BL40" s="147" t="n">
        <v>-2152.6003636272</v>
      </c>
      <c r="BM40" s="147" t="n">
        <v>-2152.6003636272</v>
      </c>
      <c r="BN40" s="147" t="n">
        <v>-2195.65237089974</v>
      </c>
      <c r="BO40" s="147" t="n">
        <v>-2195.65237089974</v>
      </c>
      <c r="BP40" s="147" t="n">
        <v>-2195.65237089974</v>
      </c>
      <c r="BQ40" s="147" t="n">
        <v>-2195.65237089974</v>
      </c>
      <c r="BR40" s="147" t="n">
        <v>-2195.65237089974</v>
      </c>
      <c r="BS40" s="147" t="n">
        <v>-2195.65237089974</v>
      </c>
      <c r="BT40" s="147" t="n">
        <v>-2195.65237089974</v>
      </c>
      <c r="BU40" s="147" t="n">
        <v>-2195.65237089974</v>
      </c>
      <c r="BV40" s="147" t="n">
        <v>-2195.65237089974</v>
      </c>
      <c r="BW40" s="147" t="n">
        <v>-2195.65237089974</v>
      </c>
      <c r="BX40" s="147" t="n">
        <v>-2195.65237089974</v>
      </c>
      <c r="BY40" s="147" t="n">
        <v>-2195.65237089974</v>
      </c>
      <c r="BZ40" s="147" t="n">
        <v>-2239.56541831774</v>
      </c>
      <c r="CA40" s="147" t="n">
        <v>-2239.56541831774</v>
      </c>
      <c r="CB40" s="147" t="n">
        <v>-2239.56541831774</v>
      </c>
      <c r="CC40" s="147" t="n">
        <v>-2239.56541831774</v>
      </c>
      <c r="CD40" s="147" t="n">
        <v>-2239.56541831774</v>
      </c>
      <c r="CE40" s="147" t="n">
        <v>-2239.56541831774</v>
      </c>
      <c r="CF40" s="147" t="n">
        <v>-2239.56541831774</v>
      </c>
      <c r="CG40" s="147" t="n">
        <v>-2239.56541831774</v>
      </c>
      <c r="CH40" s="147" t="n">
        <v>-2239.56541831774</v>
      </c>
      <c r="CI40" s="147" t="n">
        <v>-2239.56541831774</v>
      </c>
      <c r="CJ40" s="147" t="n">
        <v>-2239.56541831774</v>
      </c>
      <c r="CK40" s="147" t="n">
        <v>-2239.56541831774</v>
      </c>
      <c r="CL40" s="147" t="n">
        <v>-2284.35672668409</v>
      </c>
      <c r="CM40" s="147" t="n">
        <v>-2284.35672668409</v>
      </c>
      <c r="CN40" s="147" t="n">
        <v>-2284.35672668409</v>
      </c>
      <c r="CO40" s="147" t="n">
        <v>-2284.35672668409</v>
      </c>
      <c r="CP40" s="147" t="n">
        <v>-2284.35672668409</v>
      </c>
      <c r="CQ40" s="147" t="n">
        <v>-2284.35672668409</v>
      </c>
      <c r="CR40" s="147" t="n">
        <v>-2284.35672668409</v>
      </c>
      <c r="CS40" s="147" t="n">
        <v>-2284.35672668409</v>
      </c>
      <c r="CT40" s="147" t="n">
        <v>-2284.35672668409</v>
      </c>
      <c r="CU40" s="147" t="n">
        <v>-2284.35672668409</v>
      </c>
      <c r="CV40" s="147" t="n">
        <v>-2284.35672668409</v>
      </c>
      <c r="CW40" s="147" t="n">
        <v>-2284.35672668409</v>
      </c>
      <c r="CX40" s="147" t="n">
        <v>-2330.04386121778</v>
      </c>
      <c r="CY40" s="147" t="n">
        <v>-2330.04386121778</v>
      </c>
      <c r="CZ40" s="147" t="n">
        <v>-2330.04386121778</v>
      </c>
      <c r="DA40" s="147" t="n">
        <v>-2330.04386121778</v>
      </c>
      <c r="DB40" s="147" t="n">
        <v>-2330.04386121778</v>
      </c>
      <c r="DC40" s="147" t="n">
        <v>-2330.04386121778</v>
      </c>
      <c r="DD40" s="147" t="n">
        <v>-2330.04386121778</v>
      </c>
      <c r="DE40" s="147" t="n">
        <v>-2330.04386121778</v>
      </c>
      <c r="DF40" s="147" t="n">
        <v>-2330.04386121778</v>
      </c>
    </row>
    <row r="41" customFormat="false" ht="15" hidden="false" customHeight="true" outlineLevel="0" collapsed="false">
      <c r="A41" s="90" t="s">
        <v>84</v>
      </c>
      <c r="C41" s="104" t="n">
        <v>0</v>
      </c>
      <c r="D41" s="104" t="n">
        <v>0</v>
      </c>
      <c r="E41" s="104" t="n">
        <v>-41990</v>
      </c>
      <c r="F41" s="147" t="n">
        <v>0</v>
      </c>
      <c r="G41" s="147" t="n">
        <v>-44250</v>
      </c>
      <c r="H41" s="147" t="n">
        <v>-45000</v>
      </c>
      <c r="I41" s="147" t="n">
        <v>-19500</v>
      </c>
      <c r="J41" s="147" t="n">
        <v>0</v>
      </c>
      <c r="K41" s="147" t="n">
        <v>0</v>
      </c>
      <c r="L41" s="147" t="n">
        <v>-37500</v>
      </c>
      <c r="M41" s="147" t="n">
        <v>-54000</v>
      </c>
      <c r="N41" s="147" t="n">
        <v>0</v>
      </c>
      <c r="O41" s="147" t="n">
        <v>0</v>
      </c>
      <c r="P41" s="147" t="n">
        <v>0</v>
      </c>
      <c r="Q41" s="147" t="n">
        <v>0</v>
      </c>
      <c r="R41" s="147" t="n">
        <v>-24000</v>
      </c>
      <c r="S41" s="147" t="n">
        <v>0</v>
      </c>
      <c r="T41" s="147" t="n">
        <v>0</v>
      </c>
      <c r="U41" s="147" t="n">
        <v>0</v>
      </c>
      <c r="V41" s="147" t="n">
        <v>0</v>
      </c>
      <c r="W41" s="147" t="n">
        <v>0</v>
      </c>
      <c r="X41" s="147" t="n">
        <v>0</v>
      </c>
      <c r="Y41" s="147" t="n">
        <v>0</v>
      </c>
      <c r="Z41" s="147" t="n">
        <v>0</v>
      </c>
      <c r="AA41" s="147" t="n">
        <v>0</v>
      </c>
      <c r="AB41" s="147" t="n">
        <v>0</v>
      </c>
      <c r="AC41" s="147" t="n">
        <v>0</v>
      </c>
      <c r="AD41" s="147" t="n">
        <v>0</v>
      </c>
      <c r="AE41" s="147" t="n">
        <v>0</v>
      </c>
      <c r="AF41" s="147" t="n">
        <v>0</v>
      </c>
      <c r="AG41" s="147" t="n">
        <v>0</v>
      </c>
      <c r="AH41" s="147" t="n">
        <v>0</v>
      </c>
      <c r="AI41" s="147" t="n">
        <v>0</v>
      </c>
      <c r="AJ41" s="147" t="n">
        <v>0</v>
      </c>
      <c r="AK41" s="147" t="n">
        <v>0</v>
      </c>
      <c r="AL41" s="147" t="n">
        <v>0</v>
      </c>
      <c r="AM41" s="147" t="n">
        <v>0</v>
      </c>
      <c r="AN41" s="147" t="n">
        <v>0</v>
      </c>
      <c r="AO41" s="147" t="n">
        <v>0</v>
      </c>
      <c r="AP41" s="147" t="n">
        <v>0</v>
      </c>
      <c r="AQ41" s="147" t="n">
        <v>0</v>
      </c>
      <c r="AR41" s="147" t="n">
        <v>0</v>
      </c>
      <c r="AS41" s="147" t="n">
        <v>0</v>
      </c>
      <c r="AT41" s="147" t="n">
        <v>0</v>
      </c>
      <c r="AU41" s="147" t="n">
        <v>0</v>
      </c>
      <c r="AV41" s="147" t="n">
        <v>0</v>
      </c>
      <c r="AW41" s="147" t="n">
        <v>0</v>
      </c>
      <c r="AX41" s="147" t="n">
        <v>0</v>
      </c>
      <c r="AY41" s="147" t="n">
        <v>0</v>
      </c>
      <c r="AZ41" s="147" t="n">
        <v>0</v>
      </c>
      <c r="BA41" s="147" t="n">
        <v>0</v>
      </c>
      <c r="BB41" s="147" t="n">
        <v>0</v>
      </c>
      <c r="BC41" s="147" t="n">
        <v>0</v>
      </c>
      <c r="BD41" s="147" t="n">
        <v>0</v>
      </c>
      <c r="BE41" s="147" t="n">
        <v>0</v>
      </c>
      <c r="BF41" s="147" t="n">
        <v>0</v>
      </c>
      <c r="BG41" s="147" t="n">
        <v>0</v>
      </c>
      <c r="BH41" s="147" t="n">
        <v>0</v>
      </c>
      <c r="BI41" s="147" t="n">
        <v>0</v>
      </c>
      <c r="BJ41" s="147" t="n">
        <v>0</v>
      </c>
      <c r="BK41" s="147" t="n">
        <v>0</v>
      </c>
      <c r="BL41" s="147" t="n">
        <v>0</v>
      </c>
      <c r="BM41" s="147" t="n">
        <v>0</v>
      </c>
      <c r="BN41" s="147" t="n">
        <v>0</v>
      </c>
      <c r="BO41" s="147" t="n">
        <v>0</v>
      </c>
      <c r="BP41" s="147" t="n">
        <v>0</v>
      </c>
      <c r="BQ41" s="147" t="n">
        <v>0</v>
      </c>
      <c r="BR41" s="147" t="n">
        <v>0</v>
      </c>
      <c r="BS41" s="147" t="n">
        <v>0</v>
      </c>
      <c r="BT41" s="147" t="n">
        <v>0</v>
      </c>
      <c r="BU41" s="147" t="n">
        <v>0</v>
      </c>
      <c r="BV41" s="147" t="n">
        <v>0</v>
      </c>
      <c r="BW41" s="147" t="n">
        <v>0</v>
      </c>
      <c r="BX41" s="147" t="n">
        <v>0</v>
      </c>
      <c r="BY41" s="147" t="n">
        <v>0</v>
      </c>
      <c r="BZ41" s="147" t="n">
        <v>0</v>
      </c>
      <c r="CA41" s="147" t="n">
        <v>0</v>
      </c>
      <c r="CB41" s="147" t="n">
        <v>0</v>
      </c>
      <c r="CC41" s="147" t="n">
        <v>0</v>
      </c>
      <c r="CD41" s="147" t="n">
        <v>0</v>
      </c>
      <c r="CE41" s="147" t="n">
        <v>0</v>
      </c>
      <c r="CF41" s="147" t="n">
        <v>0</v>
      </c>
      <c r="CG41" s="147" t="n">
        <v>0</v>
      </c>
      <c r="CH41" s="147" t="n">
        <v>0</v>
      </c>
      <c r="CI41" s="147" t="n">
        <v>0</v>
      </c>
      <c r="CJ41" s="147" t="n">
        <v>0</v>
      </c>
      <c r="CK41" s="147" t="n">
        <v>0</v>
      </c>
      <c r="CL41" s="147" t="n">
        <v>0</v>
      </c>
      <c r="CM41" s="147" t="n">
        <v>0</v>
      </c>
      <c r="CN41" s="147" t="n">
        <v>0</v>
      </c>
      <c r="CO41" s="147" t="n">
        <v>0</v>
      </c>
      <c r="CP41" s="147" t="n">
        <v>0</v>
      </c>
      <c r="CQ41" s="147" t="n">
        <v>0</v>
      </c>
      <c r="CR41" s="147" t="n">
        <v>0</v>
      </c>
      <c r="CS41" s="147" t="n">
        <v>0</v>
      </c>
      <c r="CT41" s="147" t="n">
        <v>0</v>
      </c>
      <c r="CU41" s="147" t="n">
        <v>0</v>
      </c>
      <c r="CV41" s="147" t="n">
        <v>0</v>
      </c>
      <c r="CW41" s="147" t="n">
        <v>0</v>
      </c>
      <c r="CX41" s="147" t="n">
        <v>0</v>
      </c>
      <c r="CY41" s="147" t="n">
        <v>0</v>
      </c>
      <c r="CZ41" s="147" t="n">
        <v>0</v>
      </c>
      <c r="DA41" s="147" t="n">
        <v>0</v>
      </c>
      <c r="DB41" s="147" t="n">
        <v>0</v>
      </c>
      <c r="DC41" s="147" t="n">
        <v>0</v>
      </c>
      <c r="DD41" s="147" t="n">
        <v>0</v>
      </c>
      <c r="DE41" s="147" t="n">
        <v>0</v>
      </c>
      <c r="DF41" s="147" t="n">
        <v>0</v>
      </c>
    </row>
    <row r="42" customFormat="false" ht="15" hidden="false" customHeight="true" outlineLevel="0" collapsed="false">
      <c r="A42" s="90" t="s">
        <v>85</v>
      </c>
      <c r="C42" s="104" t="n">
        <v>-165</v>
      </c>
      <c r="D42" s="104" t="n">
        <v>0</v>
      </c>
      <c r="E42" s="104" t="n">
        <v>0</v>
      </c>
      <c r="F42" s="147" t="n">
        <v>-55</v>
      </c>
      <c r="G42" s="147" t="n">
        <v>-55</v>
      </c>
      <c r="H42" s="147" t="n">
        <v>-55</v>
      </c>
      <c r="I42" s="147" t="n">
        <v>-55</v>
      </c>
      <c r="J42" s="147" t="n">
        <v>-55</v>
      </c>
      <c r="K42" s="147" t="n">
        <v>-55</v>
      </c>
      <c r="L42" s="147" t="n">
        <v>-55</v>
      </c>
      <c r="M42" s="147" t="n">
        <v>-55</v>
      </c>
      <c r="N42" s="147" t="n">
        <v>-55</v>
      </c>
      <c r="O42" s="147" t="n">
        <v>-55</v>
      </c>
      <c r="P42" s="147" t="n">
        <v>-55</v>
      </c>
      <c r="Q42" s="147" t="n">
        <v>-55</v>
      </c>
      <c r="R42" s="147" t="n">
        <v>-56.1</v>
      </c>
      <c r="S42" s="147" t="n">
        <v>-56.1</v>
      </c>
      <c r="T42" s="147" t="n">
        <v>-56.1</v>
      </c>
      <c r="U42" s="147" t="n">
        <v>-56.1</v>
      </c>
      <c r="V42" s="147" t="n">
        <v>-56.1</v>
      </c>
      <c r="W42" s="147" t="n">
        <v>-56.1</v>
      </c>
      <c r="X42" s="147" t="n">
        <v>-56.1</v>
      </c>
      <c r="Y42" s="147" t="n">
        <v>-56.1</v>
      </c>
      <c r="Z42" s="147" t="n">
        <v>-56.1</v>
      </c>
      <c r="AA42" s="147" t="n">
        <v>-56.1</v>
      </c>
      <c r="AB42" s="147" t="n">
        <v>-56.1</v>
      </c>
      <c r="AC42" s="147" t="n">
        <v>-56.1</v>
      </c>
      <c r="AD42" s="147" t="n">
        <v>-57.222</v>
      </c>
      <c r="AE42" s="147" t="n">
        <v>-57.222</v>
      </c>
      <c r="AF42" s="147" t="n">
        <v>-57.222</v>
      </c>
      <c r="AG42" s="147" t="n">
        <v>-57.222</v>
      </c>
      <c r="AH42" s="147" t="n">
        <v>-57.222</v>
      </c>
      <c r="AI42" s="147" t="n">
        <v>-57.222</v>
      </c>
      <c r="AJ42" s="147" t="n">
        <v>-57.222</v>
      </c>
      <c r="AK42" s="147" t="n">
        <v>-57.222</v>
      </c>
      <c r="AL42" s="147" t="n">
        <v>-57.222</v>
      </c>
      <c r="AM42" s="147" t="n">
        <v>-57.222</v>
      </c>
      <c r="AN42" s="147" t="n">
        <v>-57.222</v>
      </c>
      <c r="AO42" s="147" t="n">
        <v>-57.222</v>
      </c>
      <c r="AP42" s="147" t="n">
        <v>-58.36644</v>
      </c>
      <c r="AQ42" s="147" t="n">
        <v>-58.36644</v>
      </c>
      <c r="AR42" s="147" t="n">
        <v>-58.36644</v>
      </c>
      <c r="AS42" s="147" t="n">
        <v>-58.36644</v>
      </c>
      <c r="AT42" s="147" t="n">
        <v>-58.36644</v>
      </c>
      <c r="AU42" s="147" t="n">
        <v>-58.36644</v>
      </c>
      <c r="AV42" s="147" t="n">
        <v>-58.36644</v>
      </c>
      <c r="AW42" s="147" t="n">
        <v>-58.36644</v>
      </c>
      <c r="AX42" s="147" t="n">
        <v>-58.36644</v>
      </c>
      <c r="AY42" s="147" t="n">
        <v>-58.36644</v>
      </c>
      <c r="AZ42" s="147" t="n">
        <v>-58.36644</v>
      </c>
      <c r="BA42" s="147" t="n">
        <v>-58.36644</v>
      </c>
      <c r="BB42" s="147" t="n">
        <v>-59.5337688</v>
      </c>
      <c r="BC42" s="147" t="n">
        <v>-59.5337688</v>
      </c>
      <c r="BD42" s="147" t="n">
        <v>-59.5337688</v>
      </c>
      <c r="BE42" s="147" t="n">
        <v>-59.5337688</v>
      </c>
      <c r="BF42" s="147" t="n">
        <v>-59.5337688</v>
      </c>
      <c r="BG42" s="147" t="n">
        <v>-59.5337688</v>
      </c>
      <c r="BH42" s="147" t="n">
        <v>-59.5337688</v>
      </c>
      <c r="BI42" s="147" t="n">
        <v>-59.5337688</v>
      </c>
      <c r="BJ42" s="147" t="n">
        <v>-59.5337688</v>
      </c>
      <c r="BK42" s="147" t="n">
        <v>-59.5337688</v>
      </c>
      <c r="BL42" s="147" t="n">
        <v>-59.5337688</v>
      </c>
      <c r="BM42" s="147" t="n">
        <v>-59.5337688</v>
      </c>
      <c r="BN42" s="147" t="n">
        <v>-60.724444176</v>
      </c>
      <c r="BO42" s="147" t="n">
        <v>-60.724444176</v>
      </c>
      <c r="BP42" s="147" t="n">
        <v>-60.724444176</v>
      </c>
      <c r="BQ42" s="147" t="n">
        <v>-60.724444176</v>
      </c>
      <c r="BR42" s="147" t="n">
        <v>-60.724444176</v>
      </c>
      <c r="BS42" s="147" t="n">
        <v>-60.724444176</v>
      </c>
      <c r="BT42" s="147" t="n">
        <v>-60.724444176</v>
      </c>
      <c r="BU42" s="147" t="n">
        <v>-60.724444176</v>
      </c>
      <c r="BV42" s="147" t="n">
        <v>-60.724444176</v>
      </c>
      <c r="BW42" s="147" t="n">
        <v>-60.724444176</v>
      </c>
      <c r="BX42" s="147" t="n">
        <v>-60.724444176</v>
      </c>
      <c r="BY42" s="147" t="n">
        <v>-60.724444176</v>
      </c>
      <c r="BZ42" s="147" t="n">
        <v>-61.93893305952</v>
      </c>
      <c r="CA42" s="147" t="n">
        <v>-61.93893305952</v>
      </c>
      <c r="CB42" s="147" t="n">
        <v>-61.93893305952</v>
      </c>
      <c r="CC42" s="147" t="n">
        <v>-61.93893305952</v>
      </c>
      <c r="CD42" s="147" t="n">
        <v>-61.93893305952</v>
      </c>
      <c r="CE42" s="147" t="n">
        <v>-61.93893305952</v>
      </c>
      <c r="CF42" s="147" t="n">
        <v>-61.93893305952</v>
      </c>
      <c r="CG42" s="147" t="n">
        <v>-61.93893305952</v>
      </c>
      <c r="CH42" s="147" t="n">
        <v>-61.93893305952</v>
      </c>
      <c r="CI42" s="147" t="n">
        <v>-61.93893305952</v>
      </c>
      <c r="CJ42" s="147" t="n">
        <v>-61.93893305952</v>
      </c>
      <c r="CK42" s="147" t="n">
        <v>-61.93893305952</v>
      </c>
      <c r="CL42" s="147" t="n">
        <v>-63.1777117207104</v>
      </c>
      <c r="CM42" s="147" t="n">
        <v>-63.1777117207104</v>
      </c>
      <c r="CN42" s="147" t="n">
        <v>-63.1777117207104</v>
      </c>
      <c r="CO42" s="147" t="n">
        <v>-63.1777117207104</v>
      </c>
      <c r="CP42" s="147" t="n">
        <v>-63.1777117207104</v>
      </c>
      <c r="CQ42" s="147" t="n">
        <v>-63.1777117207104</v>
      </c>
      <c r="CR42" s="147" t="n">
        <v>-63.1777117207104</v>
      </c>
      <c r="CS42" s="147" t="n">
        <v>-63.1777117207104</v>
      </c>
      <c r="CT42" s="147" t="n">
        <v>-63.1777117207104</v>
      </c>
      <c r="CU42" s="147" t="n">
        <v>-63.1777117207104</v>
      </c>
      <c r="CV42" s="147" t="n">
        <v>-63.1777117207104</v>
      </c>
      <c r="CW42" s="147" t="n">
        <v>-63.1777117207104</v>
      </c>
      <c r="CX42" s="147" t="n">
        <v>-64.4412659551246</v>
      </c>
      <c r="CY42" s="147" t="n">
        <v>-64.4412659551246</v>
      </c>
      <c r="CZ42" s="147" t="n">
        <v>-64.4412659551246</v>
      </c>
      <c r="DA42" s="147" t="n">
        <v>-64.4412659551246</v>
      </c>
      <c r="DB42" s="147" t="n">
        <v>-64.4412659551246</v>
      </c>
      <c r="DC42" s="147" t="n">
        <v>-64.4412659551246</v>
      </c>
      <c r="DD42" s="147" t="n">
        <v>-64.4412659551246</v>
      </c>
      <c r="DE42" s="147" t="n">
        <v>-64.4412659551246</v>
      </c>
      <c r="DF42" s="147" t="n">
        <v>-64.4412659551246</v>
      </c>
    </row>
    <row r="43" customFormat="false" ht="15" hidden="false" customHeight="true" outlineLevel="0" collapsed="false">
      <c r="A43" s="90" t="s">
        <v>86</v>
      </c>
      <c r="C43" s="151" t="n">
        <v>0</v>
      </c>
      <c r="D43" s="151" t="n">
        <v>0</v>
      </c>
      <c r="E43" s="151" t="n">
        <v>0</v>
      </c>
      <c r="F43" s="147" t="n">
        <v>0</v>
      </c>
      <c r="G43" s="147" t="n">
        <v>0</v>
      </c>
      <c r="H43" s="147" t="n">
        <v>0</v>
      </c>
      <c r="I43" s="147" t="n">
        <v>0</v>
      </c>
      <c r="J43" s="147" t="n">
        <v>0</v>
      </c>
      <c r="K43" s="147" t="n">
        <v>0</v>
      </c>
      <c r="L43" s="147" t="n">
        <v>0</v>
      </c>
      <c r="M43" s="147" t="n">
        <v>0</v>
      </c>
      <c r="N43" s="147" t="n">
        <v>0</v>
      </c>
      <c r="O43" s="147" t="n">
        <v>0</v>
      </c>
      <c r="P43" s="147" t="n">
        <v>0</v>
      </c>
      <c r="Q43" s="147" t="n">
        <v>0</v>
      </c>
      <c r="R43" s="147" t="n">
        <v>0</v>
      </c>
      <c r="S43" s="147" t="n">
        <v>0</v>
      </c>
      <c r="T43" s="147" t="n">
        <v>0</v>
      </c>
      <c r="U43" s="147" t="n">
        <v>0</v>
      </c>
      <c r="V43" s="147" t="n">
        <v>0</v>
      </c>
      <c r="W43" s="147" t="n">
        <v>0</v>
      </c>
      <c r="X43" s="147" t="n">
        <v>0</v>
      </c>
      <c r="Y43" s="147" t="n">
        <v>0</v>
      </c>
      <c r="Z43" s="147" t="n">
        <v>0</v>
      </c>
      <c r="AA43" s="147" t="n">
        <v>0</v>
      </c>
      <c r="AB43" s="147" t="n">
        <v>0</v>
      </c>
      <c r="AC43" s="147" t="n">
        <v>0</v>
      </c>
      <c r="AD43" s="147" t="n">
        <v>0</v>
      </c>
      <c r="AE43" s="147" t="n">
        <v>0</v>
      </c>
      <c r="AF43" s="147" t="n">
        <v>0</v>
      </c>
      <c r="AG43" s="147" t="n">
        <v>0</v>
      </c>
      <c r="AH43" s="147" t="n">
        <v>0</v>
      </c>
      <c r="AI43" s="147" t="n">
        <v>0</v>
      </c>
      <c r="AJ43" s="147" t="n">
        <v>0</v>
      </c>
      <c r="AK43" s="147" t="n">
        <v>0</v>
      </c>
      <c r="AL43" s="147" t="n">
        <v>0</v>
      </c>
      <c r="AM43" s="147" t="n">
        <v>0</v>
      </c>
      <c r="AN43" s="147" t="n">
        <v>0</v>
      </c>
      <c r="AO43" s="147" t="n">
        <v>0</v>
      </c>
      <c r="AP43" s="147" t="n">
        <v>0</v>
      </c>
      <c r="AQ43" s="147" t="n">
        <v>0</v>
      </c>
      <c r="AR43" s="147" t="n">
        <v>0</v>
      </c>
      <c r="AS43" s="147" t="n">
        <v>0</v>
      </c>
      <c r="AT43" s="147" t="n">
        <v>0</v>
      </c>
      <c r="AU43" s="147" t="n">
        <v>0</v>
      </c>
      <c r="AV43" s="147" t="n">
        <v>0</v>
      </c>
      <c r="AW43" s="147" t="n">
        <v>0</v>
      </c>
      <c r="AX43" s="147" t="n">
        <v>0</v>
      </c>
      <c r="AY43" s="147" t="n">
        <v>0</v>
      </c>
      <c r="AZ43" s="147" t="n">
        <v>0</v>
      </c>
      <c r="BA43" s="147" t="n">
        <v>0</v>
      </c>
      <c r="BB43" s="147" t="n">
        <v>0</v>
      </c>
      <c r="BC43" s="147" t="n">
        <v>0</v>
      </c>
      <c r="BD43" s="147" t="n">
        <v>0</v>
      </c>
      <c r="BE43" s="147" t="n">
        <v>0</v>
      </c>
      <c r="BF43" s="147" t="n">
        <v>0</v>
      </c>
      <c r="BG43" s="147" t="n">
        <v>0</v>
      </c>
      <c r="BH43" s="147" t="n">
        <v>0</v>
      </c>
      <c r="BI43" s="147" t="n">
        <v>0</v>
      </c>
      <c r="BJ43" s="147" t="n">
        <v>0</v>
      </c>
      <c r="BK43" s="147" t="n">
        <v>0</v>
      </c>
      <c r="BL43" s="147" t="n">
        <v>0</v>
      </c>
      <c r="BM43" s="147" t="n">
        <v>0</v>
      </c>
      <c r="BN43" s="147" t="n">
        <v>0</v>
      </c>
      <c r="BO43" s="147" t="n">
        <v>0</v>
      </c>
      <c r="BP43" s="147" t="n">
        <v>0</v>
      </c>
      <c r="BQ43" s="147" t="n">
        <v>0</v>
      </c>
      <c r="BR43" s="147" t="n">
        <v>0</v>
      </c>
      <c r="BS43" s="147" t="n">
        <v>0</v>
      </c>
      <c r="BT43" s="147" t="n">
        <v>0</v>
      </c>
      <c r="BU43" s="147" t="n">
        <v>0</v>
      </c>
      <c r="BV43" s="147" t="n">
        <v>0</v>
      </c>
      <c r="BW43" s="147" t="n">
        <v>0</v>
      </c>
      <c r="BX43" s="147" t="n">
        <v>0</v>
      </c>
      <c r="BY43" s="147" t="n">
        <v>0</v>
      </c>
      <c r="BZ43" s="147" t="n">
        <v>0</v>
      </c>
      <c r="CA43" s="147" t="n">
        <v>0</v>
      </c>
      <c r="CB43" s="147" t="n">
        <v>0</v>
      </c>
      <c r="CC43" s="147" t="n">
        <v>0</v>
      </c>
      <c r="CD43" s="147" t="n">
        <v>0</v>
      </c>
      <c r="CE43" s="147" t="n">
        <v>0</v>
      </c>
      <c r="CF43" s="147" t="n">
        <v>0</v>
      </c>
      <c r="CG43" s="147" t="n">
        <v>0</v>
      </c>
      <c r="CH43" s="147" t="n">
        <v>0</v>
      </c>
      <c r="CI43" s="147" t="n">
        <v>0</v>
      </c>
      <c r="CJ43" s="147" t="n">
        <v>0</v>
      </c>
      <c r="CK43" s="147" t="n">
        <v>0</v>
      </c>
      <c r="CL43" s="147" t="n">
        <v>0</v>
      </c>
      <c r="CM43" s="147" t="n">
        <v>0</v>
      </c>
      <c r="CN43" s="147" t="n">
        <v>0</v>
      </c>
      <c r="CO43" s="147" t="n">
        <v>0</v>
      </c>
      <c r="CP43" s="147" t="n">
        <v>0</v>
      </c>
      <c r="CQ43" s="147" t="n">
        <v>0</v>
      </c>
      <c r="CR43" s="147" t="n">
        <v>0</v>
      </c>
      <c r="CS43" s="147" t="n">
        <v>0</v>
      </c>
      <c r="CT43" s="147" t="n">
        <v>0</v>
      </c>
      <c r="CU43" s="147" t="n">
        <v>0</v>
      </c>
      <c r="CV43" s="147" t="n">
        <v>0</v>
      </c>
      <c r="CW43" s="147" t="n">
        <v>0</v>
      </c>
      <c r="CX43" s="147" t="n">
        <v>0</v>
      </c>
      <c r="CY43" s="147" t="n">
        <v>0</v>
      </c>
      <c r="CZ43" s="147" t="n">
        <v>0</v>
      </c>
      <c r="DA43" s="147" t="n">
        <v>0</v>
      </c>
      <c r="DB43" s="147" t="n">
        <v>0</v>
      </c>
      <c r="DC43" s="147" t="n">
        <v>0</v>
      </c>
      <c r="DD43" s="147" t="n">
        <v>0</v>
      </c>
      <c r="DE43" s="147" t="n">
        <v>0</v>
      </c>
      <c r="DF43" s="147" t="n">
        <v>0</v>
      </c>
    </row>
    <row r="44" customFormat="false" ht="15" hidden="false" customHeight="true" outlineLevel="0" collapsed="false">
      <c r="A44" s="90" t="s">
        <v>87</v>
      </c>
      <c r="C44" s="104" t="n">
        <v>-550</v>
      </c>
      <c r="D44" s="104" t="n">
        <v>-550</v>
      </c>
      <c r="E44" s="104" t="n">
        <v>-550</v>
      </c>
      <c r="F44" s="147" t="n">
        <v>-550</v>
      </c>
      <c r="G44" s="147" t="n">
        <v>-550</v>
      </c>
      <c r="H44" s="147" t="n">
        <v>-550</v>
      </c>
      <c r="I44" s="147" t="n">
        <v>-550</v>
      </c>
      <c r="J44" s="147" t="n">
        <v>-550</v>
      </c>
      <c r="K44" s="147" t="n">
        <v>-550</v>
      </c>
      <c r="L44" s="147" t="n">
        <v>-550</v>
      </c>
      <c r="M44" s="147" t="n">
        <v>-550</v>
      </c>
      <c r="N44" s="147" t="n">
        <v>-550</v>
      </c>
      <c r="O44" s="147" t="n">
        <v>-550</v>
      </c>
      <c r="P44" s="147" t="n">
        <v>-550</v>
      </c>
      <c r="Q44" s="147" t="n">
        <v>-550</v>
      </c>
      <c r="R44" s="147" t="n">
        <v>-561</v>
      </c>
      <c r="S44" s="147" t="n">
        <v>-561</v>
      </c>
      <c r="T44" s="147" t="n">
        <v>-561</v>
      </c>
      <c r="U44" s="147" t="n">
        <v>-561</v>
      </c>
      <c r="V44" s="147" t="n">
        <v>-561</v>
      </c>
      <c r="W44" s="147" t="n">
        <v>-561</v>
      </c>
      <c r="X44" s="147" t="n">
        <v>-561</v>
      </c>
      <c r="Y44" s="147" t="n">
        <v>-561</v>
      </c>
      <c r="Z44" s="147" t="n">
        <v>-561</v>
      </c>
      <c r="AA44" s="147" t="n">
        <v>-561</v>
      </c>
      <c r="AB44" s="147" t="n">
        <v>-561</v>
      </c>
      <c r="AC44" s="147" t="n">
        <v>-561</v>
      </c>
      <c r="AD44" s="147" t="n">
        <v>-572.22</v>
      </c>
      <c r="AE44" s="147" t="n">
        <v>-572.22</v>
      </c>
      <c r="AF44" s="147" t="n">
        <v>-572.22</v>
      </c>
      <c r="AG44" s="147" t="n">
        <v>-572.22</v>
      </c>
      <c r="AH44" s="147" t="n">
        <v>-572.22</v>
      </c>
      <c r="AI44" s="147" t="n">
        <v>-572.22</v>
      </c>
      <c r="AJ44" s="147" t="n">
        <v>-572.22</v>
      </c>
      <c r="AK44" s="147" t="n">
        <v>-572.22</v>
      </c>
      <c r="AL44" s="147" t="n">
        <v>-572.22</v>
      </c>
      <c r="AM44" s="147" t="n">
        <v>-572.22</v>
      </c>
      <c r="AN44" s="147" t="n">
        <v>-572.22</v>
      </c>
      <c r="AO44" s="147" t="n">
        <v>-572.22</v>
      </c>
      <c r="AP44" s="147" t="n">
        <v>-583.6644</v>
      </c>
      <c r="AQ44" s="147" t="n">
        <v>-583.6644</v>
      </c>
      <c r="AR44" s="147" t="n">
        <v>-583.6644</v>
      </c>
      <c r="AS44" s="147" t="n">
        <v>-583.6644</v>
      </c>
      <c r="AT44" s="147" t="n">
        <v>-583.6644</v>
      </c>
      <c r="AU44" s="147" t="n">
        <v>-583.6644</v>
      </c>
      <c r="AV44" s="147" t="n">
        <v>-583.6644</v>
      </c>
      <c r="AW44" s="147" t="n">
        <v>-583.6644</v>
      </c>
      <c r="AX44" s="147" t="n">
        <v>-583.6644</v>
      </c>
      <c r="AY44" s="147" t="n">
        <v>-583.6644</v>
      </c>
      <c r="AZ44" s="147" t="n">
        <v>-583.6644</v>
      </c>
      <c r="BA44" s="147" t="n">
        <v>-583.6644</v>
      </c>
      <c r="BB44" s="147" t="n">
        <v>-595.337688</v>
      </c>
      <c r="BC44" s="147" t="n">
        <v>-595.337688</v>
      </c>
      <c r="BD44" s="147" t="n">
        <v>-595.337688</v>
      </c>
      <c r="BE44" s="147" t="n">
        <v>-595.337688</v>
      </c>
      <c r="BF44" s="147" t="n">
        <v>-595.337688</v>
      </c>
      <c r="BG44" s="147" t="n">
        <v>-595.337688</v>
      </c>
      <c r="BH44" s="147" t="n">
        <v>-595.337688</v>
      </c>
      <c r="BI44" s="147" t="n">
        <v>-595.337688</v>
      </c>
      <c r="BJ44" s="147" t="n">
        <v>-595.337688</v>
      </c>
      <c r="BK44" s="147" t="n">
        <v>-595.337688</v>
      </c>
      <c r="BL44" s="147" t="n">
        <v>-595.337688</v>
      </c>
      <c r="BM44" s="147" t="n">
        <v>-595.337688</v>
      </c>
      <c r="BN44" s="147" t="n">
        <v>-607.24444176</v>
      </c>
      <c r="BO44" s="147" t="n">
        <v>-607.24444176</v>
      </c>
      <c r="BP44" s="147" t="n">
        <v>-607.24444176</v>
      </c>
      <c r="BQ44" s="147" t="n">
        <v>-607.24444176</v>
      </c>
      <c r="BR44" s="147" t="n">
        <v>-607.24444176</v>
      </c>
      <c r="BS44" s="147" t="n">
        <v>-607.24444176</v>
      </c>
      <c r="BT44" s="147" t="n">
        <v>-607.24444176</v>
      </c>
      <c r="BU44" s="147" t="n">
        <v>-607.24444176</v>
      </c>
      <c r="BV44" s="147" t="n">
        <v>-607.24444176</v>
      </c>
      <c r="BW44" s="147" t="n">
        <v>-607.24444176</v>
      </c>
      <c r="BX44" s="147" t="n">
        <v>-607.24444176</v>
      </c>
      <c r="BY44" s="147" t="n">
        <v>-607.24444176</v>
      </c>
      <c r="BZ44" s="147" t="n">
        <v>-619.3893305952</v>
      </c>
      <c r="CA44" s="147" t="n">
        <v>-619.3893305952</v>
      </c>
      <c r="CB44" s="147" t="n">
        <v>-619.3893305952</v>
      </c>
      <c r="CC44" s="147" t="n">
        <v>-619.3893305952</v>
      </c>
      <c r="CD44" s="147" t="n">
        <v>-619.3893305952</v>
      </c>
      <c r="CE44" s="147" t="n">
        <v>-619.3893305952</v>
      </c>
      <c r="CF44" s="147" t="n">
        <v>-619.3893305952</v>
      </c>
      <c r="CG44" s="147" t="n">
        <v>-619.3893305952</v>
      </c>
      <c r="CH44" s="147" t="n">
        <v>-619.3893305952</v>
      </c>
      <c r="CI44" s="147" t="n">
        <v>-619.3893305952</v>
      </c>
      <c r="CJ44" s="147" t="n">
        <v>-619.3893305952</v>
      </c>
      <c r="CK44" s="147" t="n">
        <v>-619.3893305952</v>
      </c>
      <c r="CL44" s="147" t="n">
        <v>-631.777117207104</v>
      </c>
      <c r="CM44" s="147" t="n">
        <v>-631.777117207104</v>
      </c>
      <c r="CN44" s="147" t="n">
        <v>-631.777117207104</v>
      </c>
      <c r="CO44" s="147" t="n">
        <v>-631.777117207104</v>
      </c>
      <c r="CP44" s="147" t="n">
        <v>-631.777117207104</v>
      </c>
      <c r="CQ44" s="147" t="n">
        <v>-631.777117207104</v>
      </c>
      <c r="CR44" s="147" t="n">
        <v>-631.777117207104</v>
      </c>
      <c r="CS44" s="147" t="n">
        <v>-631.777117207104</v>
      </c>
      <c r="CT44" s="147" t="n">
        <v>-631.777117207104</v>
      </c>
      <c r="CU44" s="147" t="n">
        <v>-631.777117207104</v>
      </c>
      <c r="CV44" s="147" t="n">
        <v>-631.777117207104</v>
      </c>
      <c r="CW44" s="147" t="n">
        <v>-631.777117207104</v>
      </c>
      <c r="CX44" s="147" t="n">
        <v>-644.412659551246</v>
      </c>
      <c r="CY44" s="147" t="n">
        <v>-644.412659551246</v>
      </c>
      <c r="CZ44" s="147" t="n">
        <v>-644.412659551246</v>
      </c>
      <c r="DA44" s="147" t="n">
        <v>-644.412659551246</v>
      </c>
      <c r="DB44" s="147" t="n">
        <v>-644.412659551246</v>
      </c>
      <c r="DC44" s="147" t="n">
        <v>-644.412659551246</v>
      </c>
      <c r="DD44" s="147" t="n">
        <v>-644.412659551246</v>
      </c>
      <c r="DE44" s="147" t="n">
        <v>-644.412659551246</v>
      </c>
      <c r="DF44" s="147" t="n">
        <v>-644.412659551246</v>
      </c>
    </row>
    <row r="45" customFormat="false" ht="15" hidden="false" customHeight="true" outlineLevel="0" collapsed="false">
      <c r="A45" s="99" t="s">
        <v>88</v>
      </c>
      <c r="C45" s="148" t="n">
        <v>-19223.75</v>
      </c>
      <c r="D45" s="148" t="n">
        <v>-13381.97</v>
      </c>
      <c r="E45" s="148" t="n">
        <v>-20308.69</v>
      </c>
      <c r="F45" s="148" t="n">
        <v>-17638.14</v>
      </c>
      <c r="G45" s="148" t="n">
        <v>-17638.14</v>
      </c>
      <c r="H45" s="148" t="n">
        <v>-17638.14</v>
      </c>
      <c r="I45" s="148" t="n">
        <v>-17638.14</v>
      </c>
      <c r="J45" s="148" t="n">
        <v>-17638.14</v>
      </c>
      <c r="K45" s="148" t="n">
        <v>-17638.14</v>
      </c>
      <c r="L45" s="148" t="n">
        <v>-17638.14</v>
      </c>
      <c r="M45" s="148" t="n">
        <v>-17638.14</v>
      </c>
      <c r="N45" s="148" t="n">
        <v>-17638.14</v>
      </c>
      <c r="O45" s="148" t="n">
        <v>-17638.14</v>
      </c>
      <c r="P45" s="148" t="n">
        <v>-17638.14</v>
      </c>
      <c r="Q45" s="148" t="n">
        <v>-17638.14</v>
      </c>
      <c r="R45" s="148" t="n">
        <v>-17990.9028</v>
      </c>
      <c r="S45" s="148" t="n">
        <v>-17990.9028</v>
      </c>
      <c r="T45" s="148" t="n">
        <v>-17990.9028</v>
      </c>
      <c r="U45" s="148" t="n">
        <v>-17990.9028</v>
      </c>
      <c r="V45" s="148" t="n">
        <v>-17990.9028</v>
      </c>
      <c r="W45" s="148" t="n">
        <v>-17990.9028</v>
      </c>
      <c r="X45" s="148" t="n">
        <v>-17990.9028</v>
      </c>
      <c r="Y45" s="148" t="n">
        <v>-17990.9028</v>
      </c>
      <c r="Z45" s="148" t="n">
        <v>-17990.9028</v>
      </c>
      <c r="AA45" s="148" t="n">
        <v>-17990.9028</v>
      </c>
      <c r="AB45" s="148" t="n">
        <v>-17990.9028</v>
      </c>
      <c r="AC45" s="148" t="n">
        <v>-17990.9028</v>
      </c>
      <c r="AD45" s="148" t="n">
        <v>-18350.720856</v>
      </c>
      <c r="AE45" s="148" t="n">
        <v>-18350.720856</v>
      </c>
      <c r="AF45" s="148" t="n">
        <v>-18350.720856</v>
      </c>
      <c r="AG45" s="148" t="n">
        <v>-18350.720856</v>
      </c>
      <c r="AH45" s="148" t="n">
        <v>-18350.720856</v>
      </c>
      <c r="AI45" s="148" t="n">
        <v>-18350.720856</v>
      </c>
      <c r="AJ45" s="148" t="n">
        <v>-18350.720856</v>
      </c>
      <c r="AK45" s="148" t="n">
        <v>-18350.720856</v>
      </c>
      <c r="AL45" s="148" t="n">
        <v>-18350.720856</v>
      </c>
      <c r="AM45" s="148" t="n">
        <v>-18350.720856</v>
      </c>
      <c r="AN45" s="148" t="n">
        <v>-18350.720856</v>
      </c>
      <c r="AO45" s="148" t="n">
        <v>-18350.720856</v>
      </c>
      <c r="AP45" s="148" t="n">
        <v>-18717.73527312</v>
      </c>
      <c r="AQ45" s="148" t="n">
        <v>-18717.73527312</v>
      </c>
      <c r="AR45" s="148" t="n">
        <v>-18717.73527312</v>
      </c>
      <c r="AS45" s="148" t="n">
        <v>-18717.73527312</v>
      </c>
      <c r="AT45" s="148" t="n">
        <v>-18717.73527312</v>
      </c>
      <c r="AU45" s="148" t="n">
        <v>-18717.73527312</v>
      </c>
      <c r="AV45" s="148" t="n">
        <v>-18717.73527312</v>
      </c>
      <c r="AW45" s="148" t="n">
        <v>-18717.73527312</v>
      </c>
      <c r="AX45" s="148" t="n">
        <v>-18717.73527312</v>
      </c>
      <c r="AY45" s="148" t="n">
        <v>-18717.73527312</v>
      </c>
      <c r="AZ45" s="148" t="n">
        <v>-18717.73527312</v>
      </c>
      <c r="BA45" s="148" t="n">
        <v>-18717.73527312</v>
      </c>
      <c r="BB45" s="148" t="n">
        <v>-19092.0899785824</v>
      </c>
      <c r="BC45" s="148" t="n">
        <v>-19092.0899785824</v>
      </c>
      <c r="BD45" s="148" t="n">
        <v>-19092.0899785824</v>
      </c>
      <c r="BE45" s="148" t="n">
        <v>-19092.0899785824</v>
      </c>
      <c r="BF45" s="148" t="n">
        <v>-19092.0899785824</v>
      </c>
      <c r="BG45" s="148" t="n">
        <v>-19092.0899785824</v>
      </c>
      <c r="BH45" s="148" t="n">
        <v>-19092.0899785824</v>
      </c>
      <c r="BI45" s="148" t="n">
        <v>-19092.0899785824</v>
      </c>
      <c r="BJ45" s="148" t="n">
        <v>-19092.0899785824</v>
      </c>
      <c r="BK45" s="148" t="n">
        <v>-19092.0899785824</v>
      </c>
      <c r="BL45" s="148" t="n">
        <v>-19092.0899785824</v>
      </c>
      <c r="BM45" s="148" t="n">
        <v>-19092.0899785824</v>
      </c>
      <c r="BN45" s="148" t="n">
        <v>-19473.9317781541</v>
      </c>
      <c r="BO45" s="148" t="n">
        <v>-19473.9317781541</v>
      </c>
      <c r="BP45" s="148" t="n">
        <v>-19473.9317781541</v>
      </c>
      <c r="BQ45" s="148" t="n">
        <v>-19473.9317781541</v>
      </c>
      <c r="BR45" s="148" t="n">
        <v>-19473.9317781541</v>
      </c>
      <c r="BS45" s="148" t="n">
        <v>-19473.9317781541</v>
      </c>
      <c r="BT45" s="148" t="n">
        <v>-19473.9317781541</v>
      </c>
      <c r="BU45" s="148" t="n">
        <v>-19473.9317781541</v>
      </c>
      <c r="BV45" s="148" t="n">
        <v>-19473.9317781541</v>
      </c>
      <c r="BW45" s="148" t="n">
        <v>-19473.9317781541</v>
      </c>
      <c r="BX45" s="148" t="n">
        <v>-19473.9317781541</v>
      </c>
      <c r="BY45" s="148" t="n">
        <v>-19473.9317781541</v>
      </c>
      <c r="BZ45" s="148" t="n">
        <v>-19863.4104137171</v>
      </c>
      <c r="CA45" s="148" t="n">
        <v>-19863.4104137171</v>
      </c>
      <c r="CB45" s="148" t="n">
        <v>-19863.4104137171</v>
      </c>
      <c r="CC45" s="148" t="n">
        <v>-19863.4104137171</v>
      </c>
      <c r="CD45" s="148" t="n">
        <v>-19863.4104137171</v>
      </c>
      <c r="CE45" s="148" t="n">
        <v>-19863.4104137171</v>
      </c>
      <c r="CF45" s="148" t="n">
        <v>-19863.4104137171</v>
      </c>
      <c r="CG45" s="148" t="n">
        <v>-19863.4104137171</v>
      </c>
      <c r="CH45" s="148" t="n">
        <v>-19863.4104137171</v>
      </c>
      <c r="CI45" s="148" t="n">
        <v>-19863.4104137171</v>
      </c>
      <c r="CJ45" s="148" t="n">
        <v>-19863.4104137171</v>
      </c>
      <c r="CK45" s="148" t="n">
        <v>-19863.4104137171</v>
      </c>
      <c r="CL45" s="148" t="n">
        <v>-20260.6786219915</v>
      </c>
      <c r="CM45" s="148" t="n">
        <v>-20260.6786219915</v>
      </c>
      <c r="CN45" s="148" t="n">
        <v>-20260.6786219915</v>
      </c>
      <c r="CO45" s="148" t="n">
        <v>-20260.6786219915</v>
      </c>
      <c r="CP45" s="148" t="n">
        <v>-20260.6786219915</v>
      </c>
      <c r="CQ45" s="148" t="n">
        <v>-20260.6786219915</v>
      </c>
      <c r="CR45" s="148" t="n">
        <v>-20260.6786219915</v>
      </c>
      <c r="CS45" s="148" t="n">
        <v>-20260.6786219915</v>
      </c>
      <c r="CT45" s="148" t="n">
        <v>-20260.6786219915</v>
      </c>
      <c r="CU45" s="148" t="n">
        <v>-20260.6786219915</v>
      </c>
      <c r="CV45" s="148" t="n">
        <v>-20260.6786219915</v>
      </c>
      <c r="CW45" s="148" t="n">
        <v>-20260.6786219915</v>
      </c>
      <c r="CX45" s="148" t="n">
        <v>-20665.8921944313</v>
      </c>
      <c r="CY45" s="148" t="n">
        <v>-20665.8921944313</v>
      </c>
      <c r="CZ45" s="148" t="n">
        <v>-20665.8921944313</v>
      </c>
      <c r="DA45" s="148" t="n">
        <v>-20665.8921944313</v>
      </c>
      <c r="DB45" s="148" t="n">
        <v>-20665.8921944313</v>
      </c>
      <c r="DC45" s="148" t="n">
        <v>-20665.8921944313</v>
      </c>
      <c r="DD45" s="148" t="n">
        <v>-20665.8921944313</v>
      </c>
      <c r="DE45" s="148" t="n">
        <v>-20665.8921944313</v>
      </c>
      <c r="DF45" s="148" t="n">
        <v>-20665.8921944313</v>
      </c>
    </row>
    <row r="46" customFormat="false" ht="15" hidden="false" customHeight="true" outlineLevel="0" collapsed="false">
      <c r="A46" s="99" t="s">
        <v>89</v>
      </c>
      <c r="C46" s="148" t="n">
        <v>-1909.98</v>
      </c>
      <c r="D46" s="148" t="n">
        <v>-190.1</v>
      </c>
      <c r="E46" s="148" t="n">
        <v>-2166.92</v>
      </c>
      <c r="F46" s="148" t="n">
        <v>-1422.33</v>
      </c>
      <c r="G46" s="148" t="n">
        <v>-1422.33</v>
      </c>
      <c r="H46" s="148" t="n">
        <v>-1422.33</v>
      </c>
      <c r="I46" s="148" t="n">
        <v>-1422.33</v>
      </c>
      <c r="J46" s="148" t="n">
        <v>-1422.33</v>
      </c>
      <c r="K46" s="148" t="n">
        <v>-1422.33</v>
      </c>
      <c r="L46" s="148" t="n">
        <v>-1422.33</v>
      </c>
      <c r="M46" s="148" t="n">
        <v>-1422.33</v>
      </c>
      <c r="N46" s="148" t="n">
        <v>-1422.33</v>
      </c>
      <c r="O46" s="148" t="n">
        <v>-1422.33</v>
      </c>
      <c r="P46" s="148" t="n">
        <v>-1422.33</v>
      </c>
      <c r="Q46" s="148" t="n">
        <v>-1422.33</v>
      </c>
      <c r="R46" s="148" t="n">
        <v>-1450.7766</v>
      </c>
      <c r="S46" s="148" t="n">
        <v>-1450.7766</v>
      </c>
      <c r="T46" s="148" t="n">
        <v>-1450.7766</v>
      </c>
      <c r="U46" s="148" t="n">
        <v>-1450.7766</v>
      </c>
      <c r="V46" s="148" t="n">
        <v>-1450.7766</v>
      </c>
      <c r="W46" s="148" t="n">
        <v>-1450.7766</v>
      </c>
      <c r="X46" s="148" t="n">
        <v>-1450.7766</v>
      </c>
      <c r="Y46" s="148" t="n">
        <v>-1450.7766</v>
      </c>
      <c r="Z46" s="148" t="n">
        <v>-1450.7766</v>
      </c>
      <c r="AA46" s="148" t="n">
        <v>-1450.7766</v>
      </c>
      <c r="AB46" s="148" t="n">
        <v>-1450.7766</v>
      </c>
      <c r="AC46" s="148" t="n">
        <v>-1450.7766</v>
      </c>
      <c r="AD46" s="148" t="n">
        <v>-1479.792132</v>
      </c>
      <c r="AE46" s="148" t="n">
        <v>-1479.792132</v>
      </c>
      <c r="AF46" s="148" t="n">
        <v>-1479.792132</v>
      </c>
      <c r="AG46" s="148" t="n">
        <v>-1479.792132</v>
      </c>
      <c r="AH46" s="148" t="n">
        <v>-1479.792132</v>
      </c>
      <c r="AI46" s="148" t="n">
        <v>-1479.792132</v>
      </c>
      <c r="AJ46" s="148" t="n">
        <v>-1479.792132</v>
      </c>
      <c r="AK46" s="148" t="n">
        <v>-1479.792132</v>
      </c>
      <c r="AL46" s="148" t="n">
        <v>-1479.792132</v>
      </c>
      <c r="AM46" s="148" t="n">
        <v>-1479.792132</v>
      </c>
      <c r="AN46" s="148" t="n">
        <v>-1479.792132</v>
      </c>
      <c r="AO46" s="148" t="n">
        <v>-1479.792132</v>
      </c>
      <c r="AP46" s="148" t="n">
        <v>-1509.38797464</v>
      </c>
      <c r="AQ46" s="148" t="n">
        <v>-1509.38797464</v>
      </c>
      <c r="AR46" s="148" t="n">
        <v>-1509.38797464</v>
      </c>
      <c r="AS46" s="148" t="n">
        <v>-1509.38797464</v>
      </c>
      <c r="AT46" s="148" t="n">
        <v>-1509.38797464</v>
      </c>
      <c r="AU46" s="148" t="n">
        <v>-1509.38797464</v>
      </c>
      <c r="AV46" s="148" t="n">
        <v>-1509.38797464</v>
      </c>
      <c r="AW46" s="148" t="n">
        <v>-1509.38797464</v>
      </c>
      <c r="AX46" s="148" t="n">
        <v>-1509.38797464</v>
      </c>
      <c r="AY46" s="148" t="n">
        <v>-1509.38797464</v>
      </c>
      <c r="AZ46" s="148" t="n">
        <v>-1509.38797464</v>
      </c>
      <c r="BA46" s="148" t="n">
        <v>-1509.38797464</v>
      </c>
      <c r="BB46" s="148" t="n">
        <v>-1539.5757341328</v>
      </c>
      <c r="BC46" s="148" t="n">
        <v>-1539.5757341328</v>
      </c>
      <c r="BD46" s="148" t="n">
        <v>-1539.5757341328</v>
      </c>
      <c r="BE46" s="148" t="n">
        <v>-1539.5757341328</v>
      </c>
      <c r="BF46" s="148" t="n">
        <v>-1539.5757341328</v>
      </c>
      <c r="BG46" s="148" t="n">
        <v>-1539.5757341328</v>
      </c>
      <c r="BH46" s="148" t="n">
        <v>-1539.5757341328</v>
      </c>
      <c r="BI46" s="148" t="n">
        <v>-1539.5757341328</v>
      </c>
      <c r="BJ46" s="148" t="n">
        <v>-1539.5757341328</v>
      </c>
      <c r="BK46" s="148" t="n">
        <v>-1539.5757341328</v>
      </c>
      <c r="BL46" s="148" t="n">
        <v>-1539.5757341328</v>
      </c>
      <c r="BM46" s="148" t="n">
        <v>-1539.5757341328</v>
      </c>
      <c r="BN46" s="148" t="n">
        <v>-1570.36724881546</v>
      </c>
      <c r="BO46" s="148" t="n">
        <v>-1570.36724881546</v>
      </c>
      <c r="BP46" s="148" t="n">
        <v>-1570.36724881546</v>
      </c>
      <c r="BQ46" s="148" t="n">
        <v>-1570.36724881546</v>
      </c>
      <c r="BR46" s="148" t="n">
        <v>-1570.36724881546</v>
      </c>
      <c r="BS46" s="148" t="n">
        <v>-1570.36724881546</v>
      </c>
      <c r="BT46" s="148" t="n">
        <v>-1570.36724881546</v>
      </c>
      <c r="BU46" s="148" t="n">
        <v>-1570.36724881546</v>
      </c>
      <c r="BV46" s="148" t="n">
        <v>-1570.36724881546</v>
      </c>
      <c r="BW46" s="148" t="n">
        <v>-1570.36724881546</v>
      </c>
      <c r="BX46" s="148" t="n">
        <v>-1570.36724881546</v>
      </c>
      <c r="BY46" s="148" t="n">
        <v>-1570.36724881546</v>
      </c>
      <c r="BZ46" s="148" t="n">
        <v>-1601.77459379177</v>
      </c>
      <c r="CA46" s="148" t="n">
        <v>-1601.77459379177</v>
      </c>
      <c r="CB46" s="148" t="n">
        <v>-1601.77459379177</v>
      </c>
      <c r="CC46" s="148" t="n">
        <v>-1601.77459379177</v>
      </c>
      <c r="CD46" s="148" t="n">
        <v>-1601.77459379177</v>
      </c>
      <c r="CE46" s="148" t="n">
        <v>-1601.77459379177</v>
      </c>
      <c r="CF46" s="148" t="n">
        <v>-1601.77459379177</v>
      </c>
      <c r="CG46" s="148" t="n">
        <v>-1601.77459379177</v>
      </c>
      <c r="CH46" s="148" t="n">
        <v>-1601.77459379177</v>
      </c>
      <c r="CI46" s="148" t="n">
        <v>-1601.77459379177</v>
      </c>
      <c r="CJ46" s="148" t="n">
        <v>-1601.77459379177</v>
      </c>
      <c r="CK46" s="148" t="n">
        <v>-1601.77459379177</v>
      </c>
      <c r="CL46" s="148" t="n">
        <v>-1633.8100856676</v>
      </c>
      <c r="CM46" s="148" t="n">
        <v>-1633.8100856676</v>
      </c>
      <c r="CN46" s="148" t="n">
        <v>-1633.8100856676</v>
      </c>
      <c r="CO46" s="148" t="n">
        <v>-1633.8100856676</v>
      </c>
      <c r="CP46" s="148" t="n">
        <v>-1633.8100856676</v>
      </c>
      <c r="CQ46" s="148" t="n">
        <v>-1633.8100856676</v>
      </c>
      <c r="CR46" s="148" t="n">
        <v>-1633.8100856676</v>
      </c>
      <c r="CS46" s="148" t="n">
        <v>-1633.8100856676</v>
      </c>
      <c r="CT46" s="148" t="n">
        <v>-1633.8100856676</v>
      </c>
      <c r="CU46" s="148" t="n">
        <v>-1633.8100856676</v>
      </c>
      <c r="CV46" s="148" t="n">
        <v>-1633.8100856676</v>
      </c>
      <c r="CW46" s="148" t="n">
        <v>-1633.8100856676</v>
      </c>
      <c r="CX46" s="148" t="n">
        <v>-1666.48628738095</v>
      </c>
      <c r="CY46" s="148" t="n">
        <v>-1666.48628738095</v>
      </c>
      <c r="CZ46" s="148" t="n">
        <v>-1666.48628738095</v>
      </c>
      <c r="DA46" s="148" t="n">
        <v>-1666.48628738095</v>
      </c>
      <c r="DB46" s="148" t="n">
        <v>-1666.48628738095</v>
      </c>
      <c r="DC46" s="148" t="n">
        <v>-1666.48628738095</v>
      </c>
      <c r="DD46" s="148" t="n">
        <v>-1666.48628738095</v>
      </c>
      <c r="DE46" s="148" t="n">
        <v>-1666.48628738095</v>
      </c>
      <c r="DF46" s="148" t="n">
        <v>-1666.48628738095</v>
      </c>
    </row>
    <row r="47" customFormat="false" ht="15" hidden="false" customHeight="true" outlineLevel="0" collapsed="false">
      <c r="A47" s="99" t="s">
        <v>90</v>
      </c>
      <c r="C47" s="148" t="n">
        <v>-320</v>
      </c>
      <c r="D47" s="148" t="n">
        <v>-160</v>
      </c>
      <c r="E47" s="148" t="n">
        <v>0</v>
      </c>
      <c r="F47" s="148" t="n">
        <v>-160</v>
      </c>
      <c r="G47" s="148" t="n">
        <v>-160</v>
      </c>
      <c r="H47" s="148" t="n">
        <v>-160</v>
      </c>
      <c r="I47" s="148" t="n">
        <v>-160</v>
      </c>
      <c r="J47" s="148" t="n">
        <v>-160</v>
      </c>
      <c r="K47" s="148" t="n">
        <v>-160</v>
      </c>
      <c r="L47" s="148" t="n">
        <v>-160</v>
      </c>
      <c r="M47" s="148" t="n">
        <v>-160</v>
      </c>
      <c r="N47" s="148" t="n">
        <v>-160</v>
      </c>
      <c r="O47" s="148" t="n">
        <v>-160</v>
      </c>
      <c r="P47" s="148" t="n">
        <v>-160</v>
      </c>
      <c r="Q47" s="148" t="n">
        <v>-160</v>
      </c>
      <c r="R47" s="148" t="n">
        <v>-163.2</v>
      </c>
      <c r="S47" s="148" t="n">
        <v>-163.2</v>
      </c>
      <c r="T47" s="148" t="n">
        <v>-163.2</v>
      </c>
      <c r="U47" s="148" t="n">
        <v>-163.2</v>
      </c>
      <c r="V47" s="148" t="n">
        <v>-163.2</v>
      </c>
      <c r="W47" s="148" t="n">
        <v>-163.2</v>
      </c>
      <c r="X47" s="148" t="n">
        <v>-163.2</v>
      </c>
      <c r="Y47" s="148" t="n">
        <v>-163.2</v>
      </c>
      <c r="Z47" s="148" t="n">
        <v>-163.2</v>
      </c>
      <c r="AA47" s="148" t="n">
        <v>-163.2</v>
      </c>
      <c r="AB47" s="148" t="n">
        <v>-163.2</v>
      </c>
      <c r="AC47" s="148" t="n">
        <v>-163.2</v>
      </c>
      <c r="AD47" s="148" t="n">
        <v>-166.464</v>
      </c>
      <c r="AE47" s="148" t="n">
        <v>-166.464</v>
      </c>
      <c r="AF47" s="148" t="n">
        <v>-166.464</v>
      </c>
      <c r="AG47" s="148" t="n">
        <v>-166.464</v>
      </c>
      <c r="AH47" s="148" t="n">
        <v>-166.464</v>
      </c>
      <c r="AI47" s="148" t="n">
        <v>-166.464</v>
      </c>
      <c r="AJ47" s="148" t="n">
        <v>-166.464</v>
      </c>
      <c r="AK47" s="148" t="n">
        <v>-166.464</v>
      </c>
      <c r="AL47" s="148" t="n">
        <v>-166.464</v>
      </c>
      <c r="AM47" s="148" t="n">
        <v>-166.464</v>
      </c>
      <c r="AN47" s="148" t="n">
        <v>-166.464</v>
      </c>
      <c r="AO47" s="148" t="n">
        <v>-166.464</v>
      </c>
      <c r="AP47" s="148" t="n">
        <v>-169.79328</v>
      </c>
      <c r="AQ47" s="148" t="n">
        <v>-169.79328</v>
      </c>
      <c r="AR47" s="148" t="n">
        <v>-169.79328</v>
      </c>
      <c r="AS47" s="148" t="n">
        <v>-169.79328</v>
      </c>
      <c r="AT47" s="148" t="n">
        <v>-169.79328</v>
      </c>
      <c r="AU47" s="148" t="n">
        <v>-169.79328</v>
      </c>
      <c r="AV47" s="148" t="n">
        <v>-169.79328</v>
      </c>
      <c r="AW47" s="148" t="n">
        <v>-169.79328</v>
      </c>
      <c r="AX47" s="148" t="n">
        <v>-169.79328</v>
      </c>
      <c r="AY47" s="148" t="n">
        <v>-169.79328</v>
      </c>
      <c r="AZ47" s="148" t="n">
        <v>-169.79328</v>
      </c>
      <c r="BA47" s="148" t="n">
        <v>-169.79328</v>
      </c>
      <c r="BB47" s="148" t="n">
        <v>-173.1891456</v>
      </c>
      <c r="BC47" s="148" t="n">
        <v>-173.1891456</v>
      </c>
      <c r="BD47" s="148" t="n">
        <v>-173.1891456</v>
      </c>
      <c r="BE47" s="148" t="n">
        <v>-173.1891456</v>
      </c>
      <c r="BF47" s="148" t="n">
        <v>-173.1891456</v>
      </c>
      <c r="BG47" s="148" t="n">
        <v>-173.1891456</v>
      </c>
      <c r="BH47" s="148" t="n">
        <v>-173.1891456</v>
      </c>
      <c r="BI47" s="148" t="n">
        <v>-173.1891456</v>
      </c>
      <c r="BJ47" s="148" t="n">
        <v>-173.1891456</v>
      </c>
      <c r="BK47" s="148" t="n">
        <v>-173.1891456</v>
      </c>
      <c r="BL47" s="148" t="n">
        <v>-173.1891456</v>
      </c>
      <c r="BM47" s="148" t="n">
        <v>-173.1891456</v>
      </c>
      <c r="BN47" s="148" t="n">
        <v>-176.652928512</v>
      </c>
      <c r="BO47" s="148" t="n">
        <v>-176.652928512</v>
      </c>
      <c r="BP47" s="148" t="n">
        <v>-176.652928512</v>
      </c>
      <c r="BQ47" s="148" t="n">
        <v>-176.652928512</v>
      </c>
      <c r="BR47" s="148" t="n">
        <v>-176.652928512</v>
      </c>
      <c r="BS47" s="148" t="n">
        <v>-176.652928512</v>
      </c>
      <c r="BT47" s="148" t="n">
        <v>-176.652928512</v>
      </c>
      <c r="BU47" s="148" t="n">
        <v>-176.652928512</v>
      </c>
      <c r="BV47" s="148" t="n">
        <v>-176.652928512</v>
      </c>
      <c r="BW47" s="148" t="n">
        <v>-176.652928512</v>
      </c>
      <c r="BX47" s="148" t="n">
        <v>-176.652928512</v>
      </c>
      <c r="BY47" s="148" t="n">
        <v>-176.652928512</v>
      </c>
      <c r="BZ47" s="148" t="n">
        <v>-180.18598708224</v>
      </c>
      <c r="CA47" s="148" t="n">
        <v>-180.18598708224</v>
      </c>
      <c r="CB47" s="148" t="n">
        <v>-180.18598708224</v>
      </c>
      <c r="CC47" s="148" t="n">
        <v>-180.18598708224</v>
      </c>
      <c r="CD47" s="148" t="n">
        <v>-180.18598708224</v>
      </c>
      <c r="CE47" s="148" t="n">
        <v>-180.18598708224</v>
      </c>
      <c r="CF47" s="148" t="n">
        <v>-180.18598708224</v>
      </c>
      <c r="CG47" s="148" t="n">
        <v>-180.18598708224</v>
      </c>
      <c r="CH47" s="148" t="n">
        <v>-180.18598708224</v>
      </c>
      <c r="CI47" s="148" t="n">
        <v>-180.18598708224</v>
      </c>
      <c r="CJ47" s="148" t="n">
        <v>-180.18598708224</v>
      </c>
      <c r="CK47" s="148" t="n">
        <v>-180.18598708224</v>
      </c>
      <c r="CL47" s="148" t="n">
        <v>-183.789706823885</v>
      </c>
      <c r="CM47" s="148" t="n">
        <v>-183.789706823885</v>
      </c>
      <c r="CN47" s="148" t="n">
        <v>-183.789706823885</v>
      </c>
      <c r="CO47" s="148" t="n">
        <v>-183.789706823885</v>
      </c>
      <c r="CP47" s="148" t="n">
        <v>-183.789706823885</v>
      </c>
      <c r="CQ47" s="148" t="n">
        <v>-183.789706823885</v>
      </c>
      <c r="CR47" s="148" t="n">
        <v>-183.789706823885</v>
      </c>
      <c r="CS47" s="148" t="n">
        <v>-183.789706823885</v>
      </c>
      <c r="CT47" s="148" t="n">
        <v>-183.789706823885</v>
      </c>
      <c r="CU47" s="148" t="n">
        <v>-183.789706823885</v>
      </c>
      <c r="CV47" s="148" t="n">
        <v>-183.789706823885</v>
      </c>
      <c r="CW47" s="148" t="n">
        <v>-183.789706823885</v>
      </c>
      <c r="CX47" s="148" t="n">
        <v>-187.465500960363</v>
      </c>
      <c r="CY47" s="148" t="n">
        <v>-187.465500960363</v>
      </c>
      <c r="CZ47" s="148" t="n">
        <v>-187.465500960363</v>
      </c>
      <c r="DA47" s="148" t="n">
        <v>-187.465500960363</v>
      </c>
      <c r="DB47" s="148" t="n">
        <v>-187.465500960363</v>
      </c>
      <c r="DC47" s="148" t="n">
        <v>-187.465500960363</v>
      </c>
      <c r="DD47" s="148" t="n">
        <v>-187.465500960363</v>
      </c>
      <c r="DE47" s="148" t="n">
        <v>-187.465500960363</v>
      </c>
      <c r="DF47" s="148" t="n">
        <v>-187.465500960363</v>
      </c>
    </row>
    <row r="48" customFormat="false" ht="15" hidden="false" customHeight="true" outlineLevel="0" collapsed="false">
      <c r="A48" s="99" t="s">
        <v>91</v>
      </c>
      <c r="C48" s="148" t="n">
        <v>-17660.72</v>
      </c>
      <c r="D48" s="148" t="n">
        <v>-5799</v>
      </c>
      <c r="E48" s="148" t="n">
        <v>-3432.18</v>
      </c>
      <c r="F48" s="148" t="n">
        <v>-5000</v>
      </c>
      <c r="G48" s="148" t="n">
        <v>-5000</v>
      </c>
      <c r="H48" s="148" t="n">
        <v>-5000</v>
      </c>
      <c r="I48" s="148" t="n">
        <v>-5000</v>
      </c>
      <c r="J48" s="148" t="n">
        <v>-5000</v>
      </c>
      <c r="K48" s="148" t="n">
        <v>-5000</v>
      </c>
      <c r="L48" s="148" t="n">
        <v>-5000</v>
      </c>
      <c r="M48" s="148" t="n">
        <v>-5000</v>
      </c>
      <c r="N48" s="148" t="n">
        <v>-5000</v>
      </c>
      <c r="O48" s="148" t="n">
        <v>-5000</v>
      </c>
      <c r="P48" s="148" t="n">
        <v>-5000</v>
      </c>
      <c r="Q48" s="148" t="n">
        <v>-5000</v>
      </c>
      <c r="R48" s="148" t="n">
        <v>-5100</v>
      </c>
      <c r="S48" s="148" t="n">
        <v>-5100</v>
      </c>
      <c r="T48" s="148" t="n">
        <v>-5100</v>
      </c>
      <c r="U48" s="148" t="n">
        <v>-5100</v>
      </c>
      <c r="V48" s="148" t="n">
        <v>-5100</v>
      </c>
      <c r="W48" s="148" t="n">
        <v>-5100</v>
      </c>
      <c r="X48" s="148" t="n">
        <v>-5100</v>
      </c>
      <c r="Y48" s="148" t="n">
        <v>-5100</v>
      </c>
      <c r="Z48" s="148" t="n">
        <v>-5100</v>
      </c>
      <c r="AA48" s="148" t="n">
        <v>-5100</v>
      </c>
      <c r="AB48" s="148" t="n">
        <v>-5100</v>
      </c>
      <c r="AC48" s="148" t="n">
        <v>-5100</v>
      </c>
      <c r="AD48" s="148" t="n">
        <v>-5202</v>
      </c>
      <c r="AE48" s="148" t="n">
        <v>-5202</v>
      </c>
      <c r="AF48" s="148" t="n">
        <v>-5202</v>
      </c>
      <c r="AG48" s="148" t="n">
        <v>-5202</v>
      </c>
      <c r="AH48" s="148" t="n">
        <v>-5202</v>
      </c>
      <c r="AI48" s="148" t="n">
        <v>-5202</v>
      </c>
      <c r="AJ48" s="148" t="n">
        <v>-5202</v>
      </c>
      <c r="AK48" s="148" t="n">
        <v>-5202</v>
      </c>
      <c r="AL48" s="148" t="n">
        <v>-5202</v>
      </c>
      <c r="AM48" s="148" t="n">
        <v>-5202</v>
      </c>
      <c r="AN48" s="148" t="n">
        <v>-5202</v>
      </c>
      <c r="AO48" s="148" t="n">
        <v>-5202</v>
      </c>
      <c r="AP48" s="148" t="n">
        <v>-5306.04</v>
      </c>
      <c r="AQ48" s="148" t="n">
        <v>-5306.04</v>
      </c>
      <c r="AR48" s="148" t="n">
        <v>-5306.04</v>
      </c>
      <c r="AS48" s="148" t="n">
        <v>-5306.04</v>
      </c>
      <c r="AT48" s="148" t="n">
        <v>-5306.04</v>
      </c>
      <c r="AU48" s="148" t="n">
        <v>-5306.04</v>
      </c>
      <c r="AV48" s="148" t="n">
        <v>-5306.04</v>
      </c>
      <c r="AW48" s="148" t="n">
        <v>-5306.04</v>
      </c>
      <c r="AX48" s="148" t="n">
        <v>-5306.04</v>
      </c>
      <c r="AY48" s="148" t="n">
        <v>-5306.04</v>
      </c>
      <c r="AZ48" s="148" t="n">
        <v>-5306.04</v>
      </c>
      <c r="BA48" s="148" t="n">
        <v>-5306.04</v>
      </c>
      <c r="BB48" s="148" t="n">
        <v>-5412.1608</v>
      </c>
      <c r="BC48" s="148" t="n">
        <v>-5412.1608</v>
      </c>
      <c r="BD48" s="148" t="n">
        <v>-5412.1608</v>
      </c>
      <c r="BE48" s="148" t="n">
        <v>-5412.1608</v>
      </c>
      <c r="BF48" s="148" t="n">
        <v>-5412.1608</v>
      </c>
      <c r="BG48" s="148" t="n">
        <v>-5412.1608</v>
      </c>
      <c r="BH48" s="148" t="n">
        <v>-5412.1608</v>
      </c>
      <c r="BI48" s="148" t="n">
        <v>-5412.1608</v>
      </c>
      <c r="BJ48" s="148" t="n">
        <v>-5412.1608</v>
      </c>
      <c r="BK48" s="148" t="n">
        <v>-5412.1608</v>
      </c>
      <c r="BL48" s="148" t="n">
        <v>-5412.1608</v>
      </c>
      <c r="BM48" s="148" t="n">
        <v>-5412.1608</v>
      </c>
      <c r="BN48" s="148" t="n">
        <v>-5520.404016</v>
      </c>
      <c r="BO48" s="148" t="n">
        <v>-5520.404016</v>
      </c>
      <c r="BP48" s="148" t="n">
        <v>-5520.404016</v>
      </c>
      <c r="BQ48" s="148" t="n">
        <v>-5520.404016</v>
      </c>
      <c r="BR48" s="148" t="n">
        <v>-5520.404016</v>
      </c>
      <c r="BS48" s="148" t="n">
        <v>-5520.404016</v>
      </c>
      <c r="BT48" s="148" t="n">
        <v>-5520.404016</v>
      </c>
      <c r="BU48" s="148" t="n">
        <v>-5520.404016</v>
      </c>
      <c r="BV48" s="148" t="n">
        <v>-5520.404016</v>
      </c>
      <c r="BW48" s="148" t="n">
        <v>-5520.404016</v>
      </c>
      <c r="BX48" s="148" t="n">
        <v>-5520.404016</v>
      </c>
      <c r="BY48" s="148" t="n">
        <v>-5520.404016</v>
      </c>
      <c r="BZ48" s="148" t="n">
        <v>-5630.81209632</v>
      </c>
      <c r="CA48" s="148" t="n">
        <v>-5630.81209632</v>
      </c>
      <c r="CB48" s="148" t="n">
        <v>-5630.81209632</v>
      </c>
      <c r="CC48" s="148" t="n">
        <v>-5630.81209632</v>
      </c>
      <c r="CD48" s="148" t="n">
        <v>-5630.81209632</v>
      </c>
      <c r="CE48" s="148" t="n">
        <v>-5630.81209632</v>
      </c>
      <c r="CF48" s="148" t="n">
        <v>-5630.81209632</v>
      </c>
      <c r="CG48" s="148" t="n">
        <v>-5630.81209632</v>
      </c>
      <c r="CH48" s="148" t="n">
        <v>-5630.81209632</v>
      </c>
      <c r="CI48" s="148" t="n">
        <v>-5630.81209632</v>
      </c>
      <c r="CJ48" s="148" t="n">
        <v>-5630.81209632</v>
      </c>
      <c r="CK48" s="148" t="n">
        <v>-5630.81209632</v>
      </c>
      <c r="CL48" s="148" t="n">
        <v>-5743.4283382464</v>
      </c>
      <c r="CM48" s="148" t="n">
        <v>-5743.4283382464</v>
      </c>
      <c r="CN48" s="148" t="n">
        <v>-5743.4283382464</v>
      </c>
      <c r="CO48" s="148" t="n">
        <v>-5743.4283382464</v>
      </c>
      <c r="CP48" s="148" t="n">
        <v>-5743.4283382464</v>
      </c>
      <c r="CQ48" s="148" t="n">
        <v>-5743.4283382464</v>
      </c>
      <c r="CR48" s="148" t="n">
        <v>-5743.4283382464</v>
      </c>
      <c r="CS48" s="148" t="n">
        <v>-5743.4283382464</v>
      </c>
      <c r="CT48" s="148" t="n">
        <v>-5743.4283382464</v>
      </c>
      <c r="CU48" s="148" t="n">
        <v>-5743.4283382464</v>
      </c>
      <c r="CV48" s="148" t="n">
        <v>-5743.4283382464</v>
      </c>
      <c r="CW48" s="148" t="n">
        <v>-5743.4283382464</v>
      </c>
      <c r="CX48" s="148" t="n">
        <v>-5858.29690501133</v>
      </c>
      <c r="CY48" s="148" t="n">
        <v>-5858.29690501133</v>
      </c>
      <c r="CZ48" s="148" t="n">
        <v>-5858.29690501133</v>
      </c>
      <c r="DA48" s="148" t="n">
        <v>-5858.29690501133</v>
      </c>
      <c r="DB48" s="148" t="n">
        <v>-5858.29690501133</v>
      </c>
      <c r="DC48" s="148" t="n">
        <v>-5858.29690501133</v>
      </c>
      <c r="DD48" s="148" t="n">
        <v>-5858.29690501133</v>
      </c>
      <c r="DE48" s="148" t="n">
        <v>-5858.29690501133</v>
      </c>
      <c r="DF48" s="148" t="n">
        <v>-5858.29690501133</v>
      </c>
    </row>
    <row r="49" customFormat="false" ht="15" hidden="false" customHeight="true" outlineLevel="0" collapsed="false">
      <c r="A49" s="99" t="s">
        <v>92</v>
      </c>
      <c r="C49" s="148" t="n">
        <v>-304</v>
      </c>
      <c r="D49" s="148" t="n">
        <v>-644.81</v>
      </c>
      <c r="E49" s="148" t="n">
        <v>-304</v>
      </c>
      <c r="F49" s="149" t="n">
        <v>-417.6</v>
      </c>
      <c r="G49" s="149" t="n">
        <v>-417.6</v>
      </c>
      <c r="H49" s="149" t="n">
        <v>-417.6</v>
      </c>
      <c r="I49" s="149" t="n">
        <v>-417.6</v>
      </c>
      <c r="J49" s="149" t="n">
        <v>-417.6</v>
      </c>
      <c r="K49" s="149" t="n">
        <v>-417.6</v>
      </c>
      <c r="L49" s="149" t="n">
        <v>-417.6</v>
      </c>
      <c r="M49" s="149" t="n">
        <v>-417.6</v>
      </c>
      <c r="N49" s="149" t="n">
        <v>-417.6</v>
      </c>
      <c r="O49" s="149" t="n">
        <v>-417.6</v>
      </c>
      <c r="P49" s="149" t="n">
        <v>-417.6</v>
      </c>
      <c r="Q49" s="149" t="n">
        <v>-417.6</v>
      </c>
      <c r="R49" s="149" t="n">
        <v>-425.952</v>
      </c>
      <c r="S49" s="149" t="n">
        <v>-425.952</v>
      </c>
      <c r="T49" s="149" t="n">
        <v>-425.952</v>
      </c>
      <c r="U49" s="149" t="n">
        <v>-425.952</v>
      </c>
      <c r="V49" s="149" t="n">
        <v>-425.952</v>
      </c>
      <c r="W49" s="149" t="n">
        <v>-425.952</v>
      </c>
      <c r="X49" s="149" t="n">
        <v>-425.952</v>
      </c>
      <c r="Y49" s="149" t="n">
        <v>-425.952</v>
      </c>
      <c r="Z49" s="149" t="n">
        <v>-425.952</v>
      </c>
      <c r="AA49" s="149" t="n">
        <v>-425.952</v>
      </c>
      <c r="AB49" s="149" t="n">
        <v>-425.952</v>
      </c>
      <c r="AC49" s="149" t="n">
        <v>-425.952</v>
      </c>
      <c r="AD49" s="149" t="n">
        <v>-434.47104</v>
      </c>
      <c r="AE49" s="149" t="n">
        <v>-434.47104</v>
      </c>
      <c r="AF49" s="149" t="n">
        <v>-434.47104</v>
      </c>
      <c r="AG49" s="149" t="n">
        <v>-434.47104</v>
      </c>
      <c r="AH49" s="149" t="n">
        <v>-434.47104</v>
      </c>
      <c r="AI49" s="149" t="n">
        <v>-434.47104</v>
      </c>
      <c r="AJ49" s="149" t="n">
        <v>-434.47104</v>
      </c>
      <c r="AK49" s="149" t="n">
        <v>-434.47104</v>
      </c>
      <c r="AL49" s="149" t="n">
        <v>-434.47104</v>
      </c>
      <c r="AM49" s="149" t="n">
        <v>-434.47104</v>
      </c>
      <c r="AN49" s="149" t="n">
        <v>-434.47104</v>
      </c>
      <c r="AO49" s="149" t="n">
        <v>-434.47104</v>
      </c>
      <c r="AP49" s="149" t="n">
        <v>-443.1604608</v>
      </c>
      <c r="AQ49" s="149" t="n">
        <v>-443.1604608</v>
      </c>
      <c r="AR49" s="149" t="n">
        <v>-443.1604608</v>
      </c>
      <c r="AS49" s="149" t="n">
        <v>-443.1604608</v>
      </c>
      <c r="AT49" s="149" t="n">
        <v>-443.1604608</v>
      </c>
      <c r="AU49" s="149" t="n">
        <v>-443.1604608</v>
      </c>
      <c r="AV49" s="149" t="n">
        <v>-443.1604608</v>
      </c>
      <c r="AW49" s="149" t="n">
        <v>-443.1604608</v>
      </c>
      <c r="AX49" s="149" t="n">
        <v>-443.1604608</v>
      </c>
      <c r="AY49" s="149" t="n">
        <v>-443.1604608</v>
      </c>
      <c r="AZ49" s="149" t="n">
        <v>-443.1604608</v>
      </c>
      <c r="BA49" s="149" t="n">
        <v>-443.1604608</v>
      </c>
      <c r="BB49" s="149" t="n">
        <v>-452.023670016</v>
      </c>
      <c r="BC49" s="149" t="n">
        <v>-452.023670016</v>
      </c>
      <c r="BD49" s="149" t="n">
        <v>-452.023670016</v>
      </c>
      <c r="BE49" s="149" t="n">
        <v>-452.023670016</v>
      </c>
      <c r="BF49" s="149" t="n">
        <v>-452.023670016</v>
      </c>
      <c r="BG49" s="149" t="n">
        <v>-452.023670016</v>
      </c>
      <c r="BH49" s="149" t="n">
        <v>-452.023670016</v>
      </c>
      <c r="BI49" s="149" t="n">
        <v>-452.023670016</v>
      </c>
      <c r="BJ49" s="149" t="n">
        <v>-452.023670016</v>
      </c>
      <c r="BK49" s="149" t="n">
        <v>-452.023670016</v>
      </c>
      <c r="BL49" s="149" t="n">
        <v>-452.023670016</v>
      </c>
      <c r="BM49" s="149" t="n">
        <v>-452.023670016</v>
      </c>
      <c r="BN49" s="149" t="n">
        <v>-461.06414341632</v>
      </c>
      <c r="BO49" s="149" t="n">
        <v>-461.06414341632</v>
      </c>
      <c r="BP49" s="149" t="n">
        <v>-461.06414341632</v>
      </c>
      <c r="BQ49" s="149" t="n">
        <v>-461.06414341632</v>
      </c>
      <c r="BR49" s="149" t="n">
        <v>-461.06414341632</v>
      </c>
      <c r="BS49" s="149" t="n">
        <v>-461.06414341632</v>
      </c>
      <c r="BT49" s="149" t="n">
        <v>-461.06414341632</v>
      </c>
      <c r="BU49" s="149" t="n">
        <v>-461.06414341632</v>
      </c>
      <c r="BV49" s="149" t="n">
        <v>-461.06414341632</v>
      </c>
      <c r="BW49" s="149" t="n">
        <v>-461.06414341632</v>
      </c>
      <c r="BX49" s="149" t="n">
        <v>-461.06414341632</v>
      </c>
      <c r="BY49" s="149" t="n">
        <v>-461.06414341632</v>
      </c>
      <c r="BZ49" s="149" t="n">
        <v>-470.285426284646</v>
      </c>
      <c r="CA49" s="149" t="n">
        <v>-470.285426284646</v>
      </c>
      <c r="CB49" s="149" t="n">
        <v>-470.285426284646</v>
      </c>
      <c r="CC49" s="149" t="n">
        <v>-470.285426284646</v>
      </c>
      <c r="CD49" s="149" t="n">
        <v>-470.285426284646</v>
      </c>
      <c r="CE49" s="149" t="n">
        <v>-470.285426284646</v>
      </c>
      <c r="CF49" s="149" t="n">
        <v>-470.285426284646</v>
      </c>
      <c r="CG49" s="149" t="n">
        <v>-470.285426284646</v>
      </c>
      <c r="CH49" s="149" t="n">
        <v>-470.285426284646</v>
      </c>
      <c r="CI49" s="149" t="n">
        <v>-470.285426284646</v>
      </c>
      <c r="CJ49" s="149" t="n">
        <v>-470.285426284646</v>
      </c>
      <c r="CK49" s="149" t="n">
        <v>-470.285426284646</v>
      </c>
      <c r="CL49" s="149" t="n">
        <v>-479.691134810339</v>
      </c>
      <c r="CM49" s="149" t="n">
        <v>-479.691134810339</v>
      </c>
      <c r="CN49" s="149" t="n">
        <v>-479.691134810339</v>
      </c>
      <c r="CO49" s="149" t="n">
        <v>-479.691134810339</v>
      </c>
      <c r="CP49" s="149" t="n">
        <v>-479.691134810339</v>
      </c>
      <c r="CQ49" s="149" t="n">
        <v>-479.691134810339</v>
      </c>
      <c r="CR49" s="149" t="n">
        <v>-479.691134810339</v>
      </c>
      <c r="CS49" s="149" t="n">
        <v>-479.691134810339</v>
      </c>
      <c r="CT49" s="149" t="n">
        <v>-479.691134810339</v>
      </c>
      <c r="CU49" s="149" t="n">
        <v>-479.691134810339</v>
      </c>
      <c r="CV49" s="149" t="n">
        <v>-479.691134810339</v>
      </c>
      <c r="CW49" s="149" t="n">
        <v>-479.691134810339</v>
      </c>
      <c r="CX49" s="149" t="n">
        <v>-489.284957506546</v>
      </c>
      <c r="CY49" s="149" t="n">
        <v>-489.284957506546</v>
      </c>
      <c r="CZ49" s="149" t="n">
        <v>-489.284957506546</v>
      </c>
      <c r="DA49" s="149" t="n">
        <v>-489.284957506546</v>
      </c>
      <c r="DB49" s="149" t="n">
        <v>-489.284957506546</v>
      </c>
      <c r="DC49" s="149" t="n">
        <v>-489.284957506546</v>
      </c>
      <c r="DD49" s="149" t="n">
        <v>-489.284957506546</v>
      </c>
      <c r="DE49" s="149" t="n">
        <v>-489.284957506546</v>
      </c>
      <c r="DF49" s="149" t="n">
        <v>-489.284957506546</v>
      </c>
    </row>
    <row r="50" customFormat="false" ht="15" hidden="false" customHeight="true" outlineLevel="0" collapsed="false">
      <c r="A50" s="99" t="s">
        <v>93</v>
      </c>
      <c r="C50" s="148" t="n">
        <v>0</v>
      </c>
      <c r="D50" s="148" t="n">
        <v>-75</v>
      </c>
      <c r="E50" s="148" t="n">
        <v>-5</v>
      </c>
      <c r="F50" s="149" t="n">
        <v>-26.67</v>
      </c>
      <c r="G50" s="149" t="n">
        <v>-26.67</v>
      </c>
      <c r="H50" s="149" t="n">
        <v>-26.67</v>
      </c>
      <c r="I50" s="149" t="n">
        <v>-26.67</v>
      </c>
      <c r="J50" s="149" t="n">
        <v>-26.67</v>
      </c>
      <c r="K50" s="149" t="n">
        <v>-26.67</v>
      </c>
      <c r="L50" s="149" t="n">
        <v>-26.67</v>
      </c>
      <c r="M50" s="149" t="n">
        <v>-26.67</v>
      </c>
      <c r="N50" s="149" t="n">
        <v>-26.67</v>
      </c>
      <c r="O50" s="149" t="n">
        <v>-26.67</v>
      </c>
      <c r="P50" s="149" t="n">
        <v>-26.67</v>
      </c>
      <c r="Q50" s="149" t="n">
        <v>-26.67</v>
      </c>
      <c r="R50" s="149" t="n">
        <v>-27.2034</v>
      </c>
      <c r="S50" s="149" t="n">
        <v>-27.2034</v>
      </c>
      <c r="T50" s="149" t="n">
        <v>-27.2034</v>
      </c>
      <c r="U50" s="149" t="n">
        <v>-27.2034</v>
      </c>
      <c r="V50" s="149" t="n">
        <v>-27.2034</v>
      </c>
      <c r="W50" s="149" t="n">
        <v>-27.2034</v>
      </c>
      <c r="X50" s="149" t="n">
        <v>-27.2034</v>
      </c>
      <c r="Y50" s="149" t="n">
        <v>-27.2034</v>
      </c>
      <c r="Z50" s="149" t="n">
        <v>-27.2034</v>
      </c>
      <c r="AA50" s="149" t="n">
        <v>-27.2034</v>
      </c>
      <c r="AB50" s="149" t="n">
        <v>-27.2034</v>
      </c>
      <c r="AC50" s="149" t="n">
        <v>-27.2034</v>
      </c>
      <c r="AD50" s="149" t="n">
        <v>-27.747468</v>
      </c>
      <c r="AE50" s="149" t="n">
        <v>-27.747468</v>
      </c>
      <c r="AF50" s="149" t="n">
        <v>-27.747468</v>
      </c>
      <c r="AG50" s="149" t="n">
        <v>-27.747468</v>
      </c>
      <c r="AH50" s="149" t="n">
        <v>-27.747468</v>
      </c>
      <c r="AI50" s="149" t="n">
        <v>-27.747468</v>
      </c>
      <c r="AJ50" s="149" t="n">
        <v>-27.747468</v>
      </c>
      <c r="AK50" s="149" t="n">
        <v>-27.747468</v>
      </c>
      <c r="AL50" s="149" t="n">
        <v>-27.747468</v>
      </c>
      <c r="AM50" s="149" t="n">
        <v>-27.747468</v>
      </c>
      <c r="AN50" s="149" t="n">
        <v>-27.747468</v>
      </c>
      <c r="AO50" s="149" t="n">
        <v>-27.747468</v>
      </c>
      <c r="AP50" s="149" t="n">
        <v>-28.30241736</v>
      </c>
      <c r="AQ50" s="149" t="n">
        <v>-28.30241736</v>
      </c>
      <c r="AR50" s="149" t="n">
        <v>-28.30241736</v>
      </c>
      <c r="AS50" s="149" t="n">
        <v>-28.30241736</v>
      </c>
      <c r="AT50" s="149" t="n">
        <v>-28.30241736</v>
      </c>
      <c r="AU50" s="149" t="n">
        <v>-28.30241736</v>
      </c>
      <c r="AV50" s="149" t="n">
        <v>-28.30241736</v>
      </c>
      <c r="AW50" s="149" t="n">
        <v>-28.30241736</v>
      </c>
      <c r="AX50" s="149" t="n">
        <v>-28.30241736</v>
      </c>
      <c r="AY50" s="149" t="n">
        <v>-28.30241736</v>
      </c>
      <c r="AZ50" s="149" t="n">
        <v>-28.30241736</v>
      </c>
      <c r="BA50" s="149" t="n">
        <v>-28.30241736</v>
      </c>
      <c r="BB50" s="149" t="n">
        <v>-28.8684657072</v>
      </c>
      <c r="BC50" s="149" t="n">
        <v>-28.8684657072</v>
      </c>
      <c r="BD50" s="149" t="n">
        <v>-28.8684657072</v>
      </c>
      <c r="BE50" s="149" t="n">
        <v>-28.8684657072</v>
      </c>
      <c r="BF50" s="149" t="n">
        <v>-28.8684657072</v>
      </c>
      <c r="BG50" s="149" t="n">
        <v>-28.8684657072</v>
      </c>
      <c r="BH50" s="149" t="n">
        <v>-28.8684657072</v>
      </c>
      <c r="BI50" s="149" t="n">
        <v>-28.8684657072</v>
      </c>
      <c r="BJ50" s="149" t="n">
        <v>-28.8684657072</v>
      </c>
      <c r="BK50" s="149" t="n">
        <v>-28.8684657072</v>
      </c>
      <c r="BL50" s="149" t="n">
        <v>-28.8684657072</v>
      </c>
      <c r="BM50" s="149" t="n">
        <v>-28.8684657072</v>
      </c>
      <c r="BN50" s="149" t="n">
        <v>-29.445835021344</v>
      </c>
      <c r="BO50" s="149" t="n">
        <v>-29.445835021344</v>
      </c>
      <c r="BP50" s="149" t="n">
        <v>-29.445835021344</v>
      </c>
      <c r="BQ50" s="149" t="n">
        <v>-29.445835021344</v>
      </c>
      <c r="BR50" s="149" t="n">
        <v>-29.445835021344</v>
      </c>
      <c r="BS50" s="149" t="n">
        <v>-29.445835021344</v>
      </c>
      <c r="BT50" s="149" t="n">
        <v>-29.445835021344</v>
      </c>
      <c r="BU50" s="149" t="n">
        <v>-29.445835021344</v>
      </c>
      <c r="BV50" s="149" t="n">
        <v>-29.445835021344</v>
      </c>
      <c r="BW50" s="149" t="n">
        <v>-29.445835021344</v>
      </c>
      <c r="BX50" s="149" t="n">
        <v>-29.445835021344</v>
      </c>
      <c r="BY50" s="149" t="n">
        <v>-29.445835021344</v>
      </c>
      <c r="BZ50" s="149" t="n">
        <v>-30.0347517217709</v>
      </c>
      <c r="CA50" s="149" t="n">
        <v>-30.0347517217709</v>
      </c>
      <c r="CB50" s="149" t="n">
        <v>-30.0347517217709</v>
      </c>
      <c r="CC50" s="149" t="n">
        <v>-30.0347517217709</v>
      </c>
      <c r="CD50" s="149" t="n">
        <v>-30.0347517217709</v>
      </c>
      <c r="CE50" s="149" t="n">
        <v>-30.0347517217709</v>
      </c>
      <c r="CF50" s="149" t="n">
        <v>-30.0347517217709</v>
      </c>
      <c r="CG50" s="149" t="n">
        <v>-30.0347517217709</v>
      </c>
      <c r="CH50" s="149" t="n">
        <v>-30.0347517217709</v>
      </c>
      <c r="CI50" s="149" t="n">
        <v>-30.0347517217709</v>
      </c>
      <c r="CJ50" s="149" t="n">
        <v>-30.0347517217709</v>
      </c>
      <c r="CK50" s="149" t="n">
        <v>-30.0347517217709</v>
      </c>
      <c r="CL50" s="149" t="n">
        <v>-30.6354467562063</v>
      </c>
      <c r="CM50" s="149" t="n">
        <v>-30.6354467562063</v>
      </c>
      <c r="CN50" s="149" t="n">
        <v>-30.6354467562063</v>
      </c>
      <c r="CO50" s="149" t="n">
        <v>-30.6354467562063</v>
      </c>
      <c r="CP50" s="149" t="n">
        <v>-30.6354467562063</v>
      </c>
      <c r="CQ50" s="149" t="n">
        <v>-30.6354467562063</v>
      </c>
      <c r="CR50" s="149" t="n">
        <v>-30.6354467562063</v>
      </c>
      <c r="CS50" s="149" t="n">
        <v>-30.6354467562063</v>
      </c>
      <c r="CT50" s="149" t="n">
        <v>-30.6354467562063</v>
      </c>
      <c r="CU50" s="149" t="n">
        <v>-30.6354467562063</v>
      </c>
      <c r="CV50" s="149" t="n">
        <v>-30.6354467562063</v>
      </c>
      <c r="CW50" s="149" t="n">
        <v>-30.6354467562063</v>
      </c>
      <c r="CX50" s="149" t="n">
        <v>-31.2481556913304</v>
      </c>
      <c r="CY50" s="149" t="n">
        <v>-31.2481556913304</v>
      </c>
      <c r="CZ50" s="149" t="n">
        <v>-31.2481556913304</v>
      </c>
      <c r="DA50" s="149" t="n">
        <v>-31.2481556913304</v>
      </c>
      <c r="DB50" s="149" t="n">
        <v>-31.2481556913304</v>
      </c>
      <c r="DC50" s="149" t="n">
        <v>-31.2481556913304</v>
      </c>
      <c r="DD50" s="149" t="n">
        <v>-31.2481556913304</v>
      </c>
      <c r="DE50" s="149" t="n">
        <v>-31.2481556913304</v>
      </c>
      <c r="DF50" s="149" t="n">
        <v>-31.2481556913304</v>
      </c>
    </row>
    <row r="51" customFormat="false" ht="15" hidden="false" customHeight="true" outlineLevel="0" collapsed="false">
      <c r="A51" s="99" t="s">
        <v>94</v>
      </c>
      <c r="C51" s="148" t="n">
        <v>0</v>
      </c>
      <c r="D51" s="148" t="n">
        <v>-63</v>
      </c>
      <c r="E51" s="148" t="n">
        <v>0</v>
      </c>
      <c r="F51" s="149" t="n">
        <v>-21</v>
      </c>
      <c r="G51" s="149" t="n">
        <v>-21</v>
      </c>
      <c r="H51" s="149" t="n">
        <v>-21</v>
      </c>
      <c r="I51" s="149" t="n">
        <v>-21</v>
      </c>
      <c r="J51" s="149" t="n">
        <v>-21</v>
      </c>
      <c r="K51" s="149" t="n">
        <v>-21</v>
      </c>
      <c r="L51" s="149" t="n">
        <v>-21</v>
      </c>
      <c r="M51" s="149" t="n">
        <v>-21</v>
      </c>
      <c r="N51" s="149" t="n">
        <v>-21</v>
      </c>
      <c r="O51" s="149" t="n">
        <v>-21</v>
      </c>
      <c r="P51" s="149" t="n">
        <v>-21</v>
      </c>
      <c r="Q51" s="149" t="n">
        <v>-21</v>
      </c>
      <c r="R51" s="149" t="n">
        <v>-21.42</v>
      </c>
      <c r="S51" s="149" t="n">
        <v>-21.42</v>
      </c>
      <c r="T51" s="149" t="n">
        <v>-21.42</v>
      </c>
      <c r="U51" s="149" t="n">
        <v>-21.42</v>
      </c>
      <c r="V51" s="149" t="n">
        <v>-21.42</v>
      </c>
      <c r="W51" s="149" t="n">
        <v>-21.42</v>
      </c>
      <c r="X51" s="149" t="n">
        <v>-21.42</v>
      </c>
      <c r="Y51" s="149" t="n">
        <v>-21.42</v>
      </c>
      <c r="Z51" s="149" t="n">
        <v>-21.42</v>
      </c>
      <c r="AA51" s="149" t="n">
        <v>-21.42</v>
      </c>
      <c r="AB51" s="149" t="n">
        <v>-21.42</v>
      </c>
      <c r="AC51" s="149" t="n">
        <v>-21.42</v>
      </c>
      <c r="AD51" s="149" t="n">
        <v>-21.8484</v>
      </c>
      <c r="AE51" s="149" t="n">
        <v>-21.8484</v>
      </c>
      <c r="AF51" s="149" t="n">
        <v>-21.8484</v>
      </c>
      <c r="AG51" s="149" t="n">
        <v>-21.8484</v>
      </c>
      <c r="AH51" s="149" t="n">
        <v>-21.8484</v>
      </c>
      <c r="AI51" s="149" t="n">
        <v>-21.8484</v>
      </c>
      <c r="AJ51" s="149" t="n">
        <v>-21.8484</v>
      </c>
      <c r="AK51" s="149" t="n">
        <v>-21.8484</v>
      </c>
      <c r="AL51" s="149" t="n">
        <v>-21.8484</v>
      </c>
      <c r="AM51" s="149" t="n">
        <v>-21.8484</v>
      </c>
      <c r="AN51" s="149" t="n">
        <v>-21.8484</v>
      </c>
      <c r="AO51" s="149" t="n">
        <v>-21.8484</v>
      </c>
      <c r="AP51" s="149" t="n">
        <v>-22.285368</v>
      </c>
      <c r="AQ51" s="149" t="n">
        <v>-22.285368</v>
      </c>
      <c r="AR51" s="149" t="n">
        <v>-22.285368</v>
      </c>
      <c r="AS51" s="149" t="n">
        <v>-22.285368</v>
      </c>
      <c r="AT51" s="149" t="n">
        <v>-22.285368</v>
      </c>
      <c r="AU51" s="149" t="n">
        <v>-22.285368</v>
      </c>
      <c r="AV51" s="149" t="n">
        <v>-22.285368</v>
      </c>
      <c r="AW51" s="149" t="n">
        <v>-22.285368</v>
      </c>
      <c r="AX51" s="149" t="n">
        <v>-22.285368</v>
      </c>
      <c r="AY51" s="149" t="n">
        <v>-22.285368</v>
      </c>
      <c r="AZ51" s="149" t="n">
        <v>-22.285368</v>
      </c>
      <c r="BA51" s="149" t="n">
        <v>-22.285368</v>
      </c>
      <c r="BB51" s="149" t="n">
        <v>-22.73107536</v>
      </c>
      <c r="BC51" s="149" t="n">
        <v>-22.73107536</v>
      </c>
      <c r="BD51" s="149" t="n">
        <v>-22.73107536</v>
      </c>
      <c r="BE51" s="149" t="n">
        <v>-22.73107536</v>
      </c>
      <c r="BF51" s="149" t="n">
        <v>-22.73107536</v>
      </c>
      <c r="BG51" s="149" t="n">
        <v>-22.73107536</v>
      </c>
      <c r="BH51" s="149" t="n">
        <v>-22.73107536</v>
      </c>
      <c r="BI51" s="149" t="n">
        <v>-22.73107536</v>
      </c>
      <c r="BJ51" s="149" t="n">
        <v>-22.73107536</v>
      </c>
      <c r="BK51" s="149" t="n">
        <v>-22.73107536</v>
      </c>
      <c r="BL51" s="149" t="n">
        <v>-22.73107536</v>
      </c>
      <c r="BM51" s="149" t="n">
        <v>-22.73107536</v>
      </c>
      <c r="BN51" s="149" t="n">
        <v>-23.1856968672</v>
      </c>
      <c r="BO51" s="149" t="n">
        <v>-23.1856968672</v>
      </c>
      <c r="BP51" s="149" t="n">
        <v>-23.1856968672</v>
      </c>
      <c r="BQ51" s="149" t="n">
        <v>-23.1856968672</v>
      </c>
      <c r="BR51" s="149" t="n">
        <v>-23.1856968672</v>
      </c>
      <c r="BS51" s="149" t="n">
        <v>-23.1856968672</v>
      </c>
      <c r="BT51" s="149" t="n">
        <v>-23.1856968672</v>
      </c>
      <c r="BU51" s="149" t="n">
        <v>-23.1856968672</v>
      </c>
      <c r="BV51" s="149" t="n">
        <v>-23.1856968672</v>
      </c>
      <c r="BW51" s="149" t="n">
        <v>-23.1856968672</v>
      </c>
      <c r="BX51" s="149" t="n">
        <v>-23.1856968672</v>
      </c>
      <c r="BY51" s="149" t="n">
        <v>-23.1856968672</v>
      </c>
      <c r="BZ51" s="149" t="n">
        <v>-23.649410804544</v>
      </c>
      <c r="CA51" s="149" t="n">
        <v>-23.649410804544</v>
      </c>
      <c r="CB51" s="149" t="n">
        <v>-23.649410804544</v>
      </c>
      <c r="CC51" s="149" t="n">
        <v>-23.649410804544</v>
      </c>
      <c r="CD51" s="149" t="n">
        <v>-23.649410804544</v>
      </c>
      <c r="CE51" s="149" t="n">
        <v>-23.649410804544</v>
      </c>
      <c r="CF51" s="149" t="n">
        <v>-23.649410804544</v>
      </c>
      <c r="CG51" s="149" t="n">
        <v>-23.649410804544</v>
      </c>
      <c r="CH51" s="149" t="n">
        <v>-23.649410804544</v>
      </c>
      <c r="CI51" s="149" t="n">
        <v>-23.649410804544</v>
      </c>
      <c r="CJ51" s="149" t="n">
        <v>-23.649410804544</v>
      </c>
      <c r="CK51" s="149" t="n">
        <v>-23.649410804544</v>
      </c>
      <c r="CL51" s="149" t="n">
        <v>-24.1223990206349</v>
      </c>
      <c r="CM51" s="149" t="n">
        <v>-24.1223990206349</v>
      </c>
      <c r="CN51" s="149" t="n">
        <v>-24.1223990206349</v>
      </c>
      <c r="CO51" s="149" t="n">
        <v>-24.1223990206349</v>
      </c>
      <c r="CP51" s="149" t="n">
        <v>-24.1223990206349</v>
      </c>
      <c r="CQ51" s="149" t="n">
        <v>-24.1223990206349</v>
      </c>
      <c r="CR51" s="149" t="n">
        <v>-24.1223990206349</v>
      </c>
      <c r="CS51" s="149" t="n">
        <v>-24.1223990206349</v>
      </c>
      <c r="CT51" s="149" t="n">
        <v>-24.1223990206349</v>
      </c>
      <c r="CU51" s="149" t="n">
        <v>-24.1223990206349</v>
      </c>
      <c r="CV51" s="149" t="n">
        <v>-24.1223990206349</v>
      </c>
      <c r="CW51" s="149" t="n">
        <v>-24.1223990206349</v>
      </c>
      <c r="CX51" s="149" t="n">
        <v>-24.6048470010476</v>
      </c>
      <c r="CY51" s="149" t="n">
        <v>-24.6048470010476</v>
      </c>
      <c r="CZ51" s="149" t="n">
        <v>-24.6048470010476</v>
      </c>
      <c r="DA51" s="149" t="n">
        <v>-24.6048470010476</v>
      </c>
      <c r="DB51" s="149" t="n">
        <v>-24.6048470010476</v>
      </c>
      <c r="DC51" s="149" t="n">
        <v>-24.6048470010476</v>
      </c>
      <c r="DD51" s="149" t="n">
        <v>-24.6048470010476</v>
      </c>
      <c r="DE51" s="149" t="n">
        <v>-24.6048470010476</v>
      </c>
      <c r="DF51" s="149" t="n">
        <v>-24.6048470010476</v>
      </c>
    </row>
    <row r="52" customFormat="false" ht="18" hidden="false" customHeight="true" outlineLevel="0" collapsed="false">
      <c r="A52" s="101" t="s">
        <v>95</v>
      </c>
      <c r="B52" s="104"/>
      <c r="C52" s="148" t="n">
        <v>0</v>
      </c>
      <c r="D52" s="148" t="n">
        <v>0</v>
      </c>
      <c r="E52" s="148" t="n">
        <v>0</v>
      </c>
      <c r="F52" s="149" t="n">
        <v>0</v>
      </c>
      <c r="G52" s="149" t="n">
        <v>0</v>
      </c>
      <c r="H52" s="149" t="n">
        <v>0</v>
      </c>
      <c r="I52" s="149" t="n">
        <v>0</v>
      </c>
      <c r="J52" s="149" t="n">
        <v>0</v>
      </c>
      <c r="K52" s="149" t="n">
        <v>0</v>
      </c>
      <c r="L52" s="149" t="n">
        <v>0</v>
      </c>
      <c r="M52" s="149" t="n">
        <v>0</v>
      </c>
      <c r="N52" s="149" t="n">
        <v>0</v>
      </c>
      <c r="O52" s="149" t="n">
        <v>0</v>
      </c>
      <c r="P52" s="149" t="n">
        <v>0</v>
      </c>
      <c r="Q52" s="149" t="n">
        <v>0</v>
      </c>
      <c r="R52" s="149" t="n">
        <v>0</v>
      </c>
      <c r="S52" s="149" t="n">
        <v>0</v>
      </c>
      <c r="T52" s="149" t="n">
        <v>0</v>
      </c>
      <c r="U52" s="149" t="n">
        <v>0</v>
      </c>
      <c r="V52" s="149" t="n">
        <v>0</v>
      </c>
      <c r="W52" s="149" t="n">
        <v>0</v>
      </c>
      <c r="X52" s="149" t="n">
        <v>0</v>
      </c>
      <c r="Y52" s="149" t="n">
        <v>0</v>
      </c>
      <c r="Z52" s="149" t="n">
        <v>0</v>
      </c>
      <c r="AA52" s="149" t="n">
        <v>0</v>
      </c>
      <c r="AB52" s="149" t="n">
        <v>0</v>
      </c>
      <c r="AC52" s="149" t="n">
        <v>0</v>
      </c>
      <c r="AD52" s="149" t="n">
        <v>0</v>
      </c>
      <c r="AE52" s="149" t="n">
        <v>0</v>
      </c>
      <c r="AF52" s="149" t="n">
        <v>0</v>
      </c>
      <c r="AG52" s="149" t="n">
        <v>0</v>
      </c>
      <c r="AH52" s="149" t="n">
        <v>0</v>
      </c>
      <c r="AI52" s="149" t="n">
        <v>0</v>
      </c>
      <c r="AJ52" s="149" t="n">
        <v>0</v>
      </c>
      <c r="AK52" s="149" t="n">
        <v>0</v>
      </c>
      <c r="AL52" s="149" t="n">
        <v>0</v>
      </c>
      <c r="AM52" s="149" t="n">
        <v>0</v>
      </c>
      <c r="AN52" s="149" t="n">
        <v>0</v>
      </c>
      <c r="AO52" s="149" t="n">
        <v>0</v>
      </c>
      <c r="AP52" s="149" t="n">
        <v>0</v>
      </c>
      <c r="AQ52" s="149" t="n">
        <v>0</v>
      </c>
      <c r="AR52" s="149" t="n">
        <v>0</v>
      </c>
      <c r="AS52" s="149" t="n">
        <v>0</v>
      </c>
      <c r="AT52" s="149" t="n">
        <v>0</v>
      </c>
      <c r="AU52" s="149" t="n">
        <v>0</v>
      </c>
      <c r="AV52" s="149" t="n">
        <v>0</v>
      </c>
      <c r="AW52" s="149" t="n">
        <v>0</v>
      </c>
      <c r="AX52" s="149" t="n">
        <v>0</v>
      </c>
      <c r="AY52" s="149" t="n">
        <v>0</v>
      </c>
      <c r="AZ52" s="149" t="n">
        <v>0</v>
      </c>
      <c r="BA52" s="149" t="n">
        <v>0</v>
      </c>
      <c r="BB52" s="149" t="n">
        <v>0</v>
      </c>
      <c r="BC52" s="149" t="n">
        <v>0</v>
      </c>
      <c r="BD52" s="149" t="n">
        <v>0</v>
      </c>
      <c r="BE52" s="149" t="n">
        <v>0</v>
      </c>
      <c r="BF52" s="149" t="n">
        <v>0</v>
      </c>
      <c r="BG52" s="149" t="n">
        <v>0</v>
      </c>
      <c r="BH52" s="149" t="n">
        <v>0</v>
      </c>
      <c r="BI52" s="149" t="n">
        <v>0</v>
      </c>
      <c r="BJ52" s="149" t="n">
        <v>0</v>
      </c>
      <c r="BK52" s="149" t="n">
        <v>0</v>
      </c>
      <c r="BL52" s="149" t="n">
        <v>0</v>
      </c>
      <c r="BM52" s="149" t="n">
        <v>0</v>
      </c>
      <c r="BN52" s="149" t="n">
        <v>0</v>
      </c>
      <c r="BO52" s="149" t="n">
        <v>0</v>
      </c>
      <c r="BP52" s="149" t="n">
        <v>0</v>
      </c>
      <c r="BQ52" s="149" t="n">
        <v>0</v>
      </c>
      <c r="BR52" s="149" t="n">
        <v>0</v>
      </c>
      <c r="BS52" s="149" t="n">
        <v>0</v>
      </c>
      <c r="BT52" s="149" t="n">
        <v>0</v>
      </c>
      <c r="BU52" s="149" t="n">
        <v>0</v>
      </c>
      <c r="BV52" s="149" t="n">
        <v>0</v>
      </c>
      <c r="BW52" s="149" t="n">
        <v>0</v>
      </c>
      <c r="BX52" s="149" t="n">
        <v>0</v>
      </c>
      <c r="BY52" s="149" t="n">
        <v>0</v>
      </c>
      <c r="BZ52" s="149" t="n">
        <v>0</v>
      </c>
      <c r="CA52" s="149" t="n">
        <v>0</v>
      </c>
      <c r="CB52" s="149" t="n">
        <v>0</v>
      </c>
      <c r="CC52" s="149" t="n">
        <v>0</v>
      </c>
      <c r="CD52" s="149" t="n">
        <v>0</v>
      </c>
      <c r="CE52" s="149" t="n">
        <v>0</v>
      </c>
      <c r="CF52" s="149" t="n">
        <v>0</v>
      </c>
      <c r="CG52" s="149" t="n">
        <v>0</v>
      </c>
      <c r="CH52" s="149" t="n">
        <v>0</v>
      </c>
      <c r="CI52" s="149" t="n">
        <v>0</v>
      </c>
      <c r="CJ52" s="149" t="n">
        <v>0</v>
      </c>
      <c r="CK52" s="149" t="n">
        <v>0</v>
      </c>
      <c r="CL52" s="149" t="n">
        <v>0</v>
      </c>
      <c r="CM52" s="149" t="n">
        <v>0</v>
      </c>
      <c r="CN52" s="149" t="n">
        <v>0</v>
      </c>
      <c r="CO52" s="149" t="n">
        <v>0</v>
      </c>
      <c r="CP52" s="149" t="n">
        <v>0</v>
      </c>
      <c r="CQ52" s="149" t="n">
        <v>0</v>
      </c>
      <c r="CR52" s="149" t="n">
        <v>0</v>
      </c>
      <c r="CS52" s="149" t="n">
        <v>0</v>
      </c>
      <c r="CT52" s="149" t="n">
        <v>0</v>
      </c>
      <c r="CU52" s="149" t="n">
        <v>0</v>
      </c>
      <c r="CV52" s="149" t="n">
        <v>0</v>
      </c>
      <c r="CW52" s="149" t="n">
        <v>0</v>
      </c>
      <c r="CX52" s="149" t="n">
        <v>0</v>
      </c>
      <c r="CY52" s="149" t="n">
        <v>0</v>
      </c>
      <c r="CZ52" s="149" t="n">
        <v>0</v>
      </c>
      <c r="DA52" s="149" t="n">
        <v>0</v>
      </c>
      <c r="DB52" s="149" t="n">
        <v>0</v>
      </c>
      <c r="DC52" s="149" t="n">
        <v>0</v>
      </c>
      <c r="DD52" s="149" t="n">
        <v>0</v>
      </c>
      <c r="DE52" s="149" t="n">
        <v>0</v>
      </c>
      <c r="DF52" s="149" t="n">
        <v>0</v>
      </c>
    </row>
    <row r="53" customFormat="false" ht="15" hidden="false" customHeight="true" outlineLevel="0" collapsed="false">
      <c r="A53" s="106" t="s">
        <v>96</v>
      </c>
      <c r="C53" s="148" t="n">
        <v>0</v>
      </c>
      <c r="D53" s="148" t="n">
        <v>0</v>
      </c>
      <c r="E53" s="148" t="n">
        <v>-11105.35</v>
      </c>
      <c r="F53" s="149" t="n">
        <v>-3701.78</v>
      </c>
      <c r="G53" s="149" t="n">
        <v>-3701.78</v>
      </c>
      <c r="H53" s="149" t="n">
        <v>-3701.78</v>
      </c>
      <c r="I53" s="149" t="n">
        <v>-3701.78</v>
      </c>
      <c r="J53" s="149" t="n">
        <v>-3701.78</v>
      </c>
      <c r="K53" s="149" t="n">
        <v>-3701.78</v>
      </c>
      <c r="L53" s="149" t="n">
        <v>-3701.78</v>
      </c>
      <c r="M53" s="149" t="n">
        <v>-3701.78</v>
      </c>
      <c r="N53" s="149" t="n">
        <v>-3701.78</v>
      </c>
      <c r="O53" s="149" t="n">
        <v>-3701.78</v>
      </c>
      <c r="P53" s="149" t="n">
        <v>-3701.78</v>
      </c>
      <c r="Q53" s="149" t="n">
        <v>-3701.78</v>
      </c>
      <c r="R53" s="149" t="n">
        <v>-3775.8156</v>
      </c>
      <c r="S53" s="149" t="n">
        <v>-3775.8156</v>
      </c>
      <c r="T53" s="149" t="n">
        <v>-3775.8156</v>
      </c>
      <c r="U53" s="149" t="n">
        <v>-3775.8156</v>
      </c>
      <c r="V53" s="149" t="n">
        <v>-3775.8156</v>
      </c>
      <c r="W53" s="149" t="n">
        <v>-3775.8156</v>
      </c>
      <c r="X53" s="149" t="n">
        <v>-3775.8156</v>
      </c>
      <c r="Y53" s="149" t="n">
        <v>-3775.8156</v>
      </c>
      <c r="Z53" s="149" t="n">
        <v>-3775.8156</v>
      </c>
      <c r="AA53" s="149" t="n">
        <v>-3775.8156</v>
      </c>
      <c r="AB53" s="149" t="n">
        <v>-3775.8156</v>
      </c>
      <c r="AC53" s="149" t="n">
        <v>-3775.8156</v>
      </c>
      <c r="AD53" s="149" t="n">
        <v>-3851.331912</v>
      </c>
      <c r="AE53" s="149" t="n">
        <v>-3851.331912</v>
      </c>
      <c r="AF53" s="149" t="n">
        <v>-3851.331912</v>
      </c>
      <c r="AG53" s="149" t="n">
        <v>-3851.331912</v>
      </c>
      <c r="AH53" s="149" t="n">
        <v>-3851.331912</v>
      </c>
      <c r="AI53" s="149" t="n">
        <v>-3851.331912</v>
      </c>
      <c r="AJ53" s="149" t="n">
        <v>-3851.331912</v>
      </c>
      <c r="AK53" s="149" t="n">
        <v>-3851.331912</v>
      </c>
      <c r="AL53" s="149" t="n">
        <v>-3851.331912</v>
      </c>
      <c r="AM53" s="149" t="n">
        <v>-3851.331912</v>
      </c>
      <c r="AN53" s="149" t="n">
        <v>-3851.331912</v>
      </c>
      <c r="AO53" s="149" t="n">
        <v>-3851.331912</v>
      </c>
      <c r="AP53" s="149" t="n">
        <v>-3928.35855024</v>
      </c>
      <c r="AQ53" s="149" t="n">
        <v>-3928.35855024</v>
      </c>
      <c r="AR53" s="149" t="n">
        <v>-3928.35855024</v>
      </c>
      <c r="AS53" s="149" t="n">
        <v>-3928.35855024</v>
      </c>
      <c r="AT53" s="149" t="n">
        <v>-3928.35855024</v>
      </c>
      <c r="AU53" s="149" t="n">
        <v>-3928.35855024</v>
      </c>
      <c r="AV53" s="149" t="n">
        <v>-3928.35855024</v>
      </c>
      <c r="AW53" s="149" t="n">
        <v>-3928.35855024</v>
      </c>
      <c r="AX53" s="149" t="n">
        <v>-3928.35855024</v>
      </c>
      <c r="AY53" s="149" t="n">
        <v>-3928.35855024</v>
      </c>
      <c r="AZ53" s="149" t="n">
        <v>-3928.35855024</v>
      </c>
      <c r="BA53" s="149" t="n">
        <v>-3928.35855024</v>
      </c>
      <c r="BB53" s="149" t="n">
        <v>-4006.9257212448</v>
      </c>
      <c r="BC53" s="149" t="n">
        <v>-4006.9257212448</v>
      </c>
      <c r="BD53" s="149" t="n">
        <v>-4006.9257212448</v>
      </c>
      <c r="BE53" s="149" t="n">
        <v>-4006.9257212448</v>
      </c>
      <c r="BF53" s="149" t="n">
        <v>-4006.9257212448</v>
      </c>
      <c r="BG53" s="149" t="n">
        <v>-4006.9257212448</v>
      </c>
      <c r="BH53" s="149" t="n">
        <v>-4006.9257212448</v>
      </c>
      <c r="BI53" s="149" t="n">
        <v>-4006.9257212448</v>
      </c>
      <c r="BJ53" s="149" t="n">
        <v>-4006.9257212448</v>
      </c>
      <c r="BK53" s="149" t="n">
        <v>-4006.9257212448</v>
      </c>
      <c r="BL53" s="149" t="n">
        <v>-4006.9257212448</v>
      </c>
      <c r="BM53" s="149" t="n">
        <v>-4006.9257212448</v>
      </c>
      <c r="BN53" s="149" t="n">
        <v>-4087.0642356697</v>
      </c>
      <c r="BO53" s="149" t="n">
        <v>-4087.0642356697</v>
      </c>
      <c r="BP53" s="149" t="n">
        <v>-4087.0642356697</v>
      </c>
      <c r="BQ53" s="149" t="n">
        <v>-4087.0642356697</v>
      </c>
      <c r="BR53" s="149" t="n">
        <v>-4087.0642356697</v>
      </c>
      <c r="BS53" s="149" t="n">
        <v>-4087.0642356697</v>
      </c>
      <c r="BT53" s="149" t="n">
        <v>-4087.0642356697</v>
      </c>
      <c r="BU53" s="149" t="n">
        <v>-4087.0642356697</v>
      </c>
      <c r="BV53" s="149" t="n">
        <v>-4087.0642356697</v>
      </c>
      <c r="BW53" s="149" t="n">
        <v>-4087.0642356697</v>
      </c>
      <c r="BX53" s="149" t="n">
        <v>-4087.0642356697</v>
      </c>
      <c r="BY53" s="149" t="n">
        <v>-4087.0642356697</v>
      </c>
      <c r="BZ53" s="149" t="n">
        <v>-4168.80552038309</v>
      </c>
      <c r="CA53" s="149" t="n">
        <v>-4168.80552038309</v>
      </c>
      <c r="CB53" s="149" t="n">
        <v>-4168.80552038309</v>
      </c>
      <c r="CC53" s="149" t="n">
        <v>-4168.80552038309</v>
      </c>
      <c r="CD53" s="149" t="n">
        <v>-4168.80552038309</v>
      </c>
      <c r="CE53" s="149" t="n">
        <v>-4168.80552038309</v>
      </c>
      <c r="CF53" s="149" t="n">
        <v>-4168.80552038309</v>
      </c>
      <c r="CG53" s="149" t="n">
        <v>-4168.80552038309</v>
      </c>
      <c r="CH53" s="149" t="n">
        <v>-4168.80552038309</v>
      </c>
      <c r="CI53" s="149" t="n">
        <v>-4168.80552038309</v>
      </c>
      <c r="CJ53" s="149" t="n">
        <v>-4168.80552038309</v>
      </c>
      <c r="CK53" s="149" t="n">
        <v>-4168.80552038309</v>
      </c>
      <c r="CL53" s="149" t="n">
        <v>-4252.18163079075</v>
      </c>
      <c r="CM53" s="149" t="n">
        <v>-4252.18163079075</v>
      </c>
      <c r="CN53" s="149" t="n">
        <v>-4252.18163079075</v>
      </c>
      <c r="CO53" s="149" t="n">
        <v>-4252.18163079075</v>
      </c>
      <c r="CP53" s="149" t="n">
        <v>-4252.18163079075</v>
      </c>
      <c r="CQ53" s="149" t="n">
        <v>-4252.18163079075</v>
      </c>
      <c r="CR53" s="149" t="n">
        <v>-4252.18163079075</v>
      </c>
      <c r="CS53" s="149" t="n">
        <v>-4252.18163079075</v>
      </c>
      <c r="CT53" s="149" t="n">
        <v>-4252.18163079075</v>
      </c>
      <c r="CU53" s="149" t="n">
        <v>-4252.18163079075</v>
      </c>
      <c r="CV53" s="149" t="n">
        <v>-4252.18163079075</v>
      </c>
      <c r="CW53" s="149" t="n">
        <v>-4252.18163079075</v>
      </c>
      <c r="CX53" s="149" t="n">
        <v>-4337.22526340657</v>
      </c>
      <c r="CY53" s="149" t="n">
        <v>-4337.22526340657</v>
      </c>
      <c r="CZ53" s="149" t="n">
        <v>-4337.22526340657</v>
      </c>
      <c r="DA53" s="149" t="n">
        <v>-4337.22526340657</v>
      </c>
      <c r="DB53" s="149" t="n">
        <v>-4337.22526340657</v>
      </c>
      <c r="DC53" s="149" t="n">
        <v>-4337.22526340657</v>
      </c>
      <c r="DD53" s="149" t="n">
        <v>-4337.22526340657</v>
      </c>
      <c r="DE53" s="149" t="n">
        <v>-4337.22526340657</v>
      </c>
      <c r="DF53" s="149" t="n">
        <v>-4337.22526340657</v>
      </c>
    </row>
    <row r="54" customFormat="false" ht="15" hidden="false" customHeight="true" outlineLevel="0" collapsed="false">
      <c r="A54" s="106" t="s">
        <v>500</v>
      </c>
      <c r="C54" s="148" t="n">
        <v>0</v>
      </c>
      <c r="D54" s="148" t="n">
        <v>0</v>
      </c>
      <c r="E54" s="148" t="n">
        <v>0</v>
      </c>
      <c r="F54" s="149" t="n">
        <v>0</v>
      </c>
      <c r="G54" s="149" t="n">
        <v>0</v>
      </c>
      <c r="H54" s="149" t="n">
        <v>0</v>
      </c>
      <c r="I54" s="149" t="n">
        <v>0</v>
      </c>
      <c r="J54" s="149" t="n">
        <v>0</v>
      </c>
      <c r="K54" s="149" t="n">
        <v>0</v>
      </c>
      <c r="L54" s="149" t="n">
        <v>0</v>
      </c>
      <c r="M54" s="149" t="n">
        <v>0</v>
      </c>
      <c r="N54" s="149" t="n">
        <v>0</v>
      </c>
      <c r="O54" s="149" t="n">
        <v>0</v>
      </c>
      <c r="P54" s="149" t="n">
        <v>0</v>
      </c>
      <c r="Q54" s="149" t="n">
        <v>0</v>
      </c>
      <c r="R54" s="149" t="n">
        <v>0</v>
      </c>
      <c r="S54" s="149" t="n">
        <v>0</v>
      </c>
      <c r="T54" s="149" t="n">
        <v>0</v>
      </c>
      <c r="U54" s="149" t="n">
        <v>0</v>
      </c>
      <c r="V54" s="149" t="n">
        <v>0</v>
      </c>
      <c r="W54" s="149" t="n">
        <v>0</v>
      </c>
      <c r="X54" s="149" t="n">
        <v>0</v>
      </c>
      <c r="Y54" s="149" t="n">
        <v>0</v>
      </c>
      <c r="Z54" s="149" t="n">
        <v>0</v>
      </c>
      <c r="AA54" s="149" t="n">
        <v>0</v>
      </c>
      <c r="AB54" s="149" t="n">
        <v>0</v>
      </c>
      <c r="AC54" s="149" t="n">
        <v>0</v>
      </c>
      <c r="AD54" s="149" t="n">
        <v>0</v>
      </c>
      <c r="AE54" s="149" t="n">
        <v>0</v>
      </c>
      <c r="AF54" s="149" t="n">
        <v>0</v>
      </c>
      <c r="AG54" s="149" t="n">
        <v>0</v>
      </c>
      <c r="AH54" s="149" t="n">
        <v>0</v>
      </c>
      <c r="AI54" s="149" t="n">
        <v>0</v>
      </c>
      <c r="AJ54" s="149" t="n">
        <v>0</v>
      </c>
      <c r="AK54" s="149" t="n">
        <v>0</v>
      </c>
      <c r="AL54" s="149" t="n">
        <v>0</v>
      </c>
      <c r="AM54" s="149" t="n">
        <v>0</v>
      </c>
      <c r="AN54" s="149" t="n">
        <v>0</v>
      </c>
      <c r="AO54" s="149" t="n">
        <v>0</v>
      </c>
      <c r="AP54" s="149" t="n">
        <v>0</v>
      </c>
      <c r="AQ54" s="149" t="n">
        <v>0</v>
      </c>
      <c r="AR54" s="149" t="n">
        <v>0</v>
      </c>
      <c r="AS54" s="149" t="n">
        <v>0</v>
      </c>
      <c r="AT54" s="149" t="n">
        <v>0</v>
      </c>
      <c r="AU54" s="149" t="n">
        <v>0</v>
      </c>
      <c r="AV54" s="149" t="n">
        <v>0</v>
      </c>
      <c r="AW54" s="149" t="n">
        <v>0</v>
      </c>
      <c r="AX54" s="149" t="n">
        <v>0</v>
      </c>
      <c r="AY54" s="149" t="n">
        <v>0</v>
      </c>
      <c r="AZ54" s="149" t="n">
        <v>0</v>
      </c>
      <c r="BA54" s="149" t="n">
        <v>0</v>
      </c>
      <c r="BB54" s="149" t="n">
        <v>0</v>
      </c>
      <c r="BC54" s="149" t="n">
        <v>0</v>
      </c>
      <c r="BD54" s="149" t="n">
        <v>0</v>
      </c>
      <c r="BE54" s="149" t="n">
        <v>0</v>
      </c>
      <c r="BF54" s="149" t="n">
        <v>0</v>
      </c>
      <c r="BG54" s="149" t="n">
        <v>0</v>
      </c>
      <c r="BH54" s="149" t="n">
        <v>0</v>
      </c>
      <c r="BI54" s="149" t="n">
        <v>0</v>
      </c>
      <c r="BJ54" s="149" t="n">
        <v>0</v>
      </c>
      <c r="BK54" s="149" t="n">
        <v>0</v>
      </c>
      <c r="BL54" s="149" t="n">
        <v>0</v>
      </c>
      <c r="BM54" s="149" t="n">
        <v>0</v>
      </c>
      <c r="BN54" s="149" t="n">
        <v>0</v>
      </c>
      <c r="BO54" s="149" t="n">
        <v>0</v>
      </c>
      <c r="BP54" s="149" t="n">
        <v>0</v>
      </c>
      <c r="BQ54" s="149" t="n">
        <v>0</v>
      </c>
      <c r="BR54" s="149" t="n">
        <v>0</v>
      </c>
      <c r="BS54" s="149" t="n">
        <v>0</v>
      </c>
      <c r="BT54" s="149" t="n">
        <v>0</v>
      </c>
      <c r="BU54" s="149" t="n">
        <v>0</v>
      </c>
      <c r="BV54" s="149" t="n">
        <v>0</v>
      </c>
      <c r="BW54" s="149" t="n">
        <v>0</v>
      </c>
      <c r="BX54" s="149" t="n">
        <v>0</v>
      </c>
      <c r="BY54" s="149" t="n">
        <v>0</v>
      </c>
      <c r="BZ54" s="149" t="n">
        <v>0</v>
      </c>
      <c r="CA54" s="149" t="n">
        <v>0</v>
      </c>
      <c r="CB54" s="149" t="n">
        <v>0</v>
      </c>
      <c r="CC54" s="149" t="n">
        <v>0</v>
      </c>
      <c r="CD54" s="149" t="n">
        <v>0</v>
      </c>
      <c r="CE54" s="149" t="n">
        <v>0</v>
      </c>
      <c r="CF54" s="149" t="n">
        <v>0</v>
      </c>
      <c r="CG54" s="149" t="n">
        <v>0</v>
      </c>
      <c r="CH54" s="149" t="n">
        <v>0</v>
      </c>
      <c r="CI54" s="149" t="n">
        <v>0</v>
      </c>
      <c r="CJ54" s="149" t="n">
        <v>0</v>
      </c>
      <c r="CK54" s="149" t="n">
        <v>0</v>
      </c>
      <c r="CL54" s="149" t="n">
        <v>0</v>
      </c>
      <c r="CM54" s="149" t="n">
        <v>0</v>
      </c>
      <c r="CN54" s="149" t="n">
        <v>0</v>
      </c>
      <c r="CO54" s="149" t="n">
        <v>0</v>
      </c>
      <c r="CP54" s="149" t="n">
        <v>0</v>
      </c>
      <c r="CQ54" s="149" t="n">
        <v>0</v>
      </c>
      <c r="CR54" s="149" t="n">
        <v>0</v>
      </c>
      <c r="CS54" s="149" t="n">
        <v>0</v>
      </c>
      <c r="CT54" s="149" t="n">
        <v>0</v>
      </c>
      <c r="CU54" s="149" t="n">
        <v>0</v>
      </c>
      <c r="CV54" s="149" t="n">
        <v>0</v>
      </c>
      <c r="CW54" s="149" t="n">
        <v>0</v>
      </c>
      <c r="CX54" s="149" t="n">
        <v>0</v>
      </c>
      <c r="CY54" s="149" t="n">
        <v>0</v>
      </c>
      <c r="CZ54" s="149" t="n">
        <v>0</v>
      </c>
      <c r="DA54" s="149" t="n">
        <v>0</v>
      </c>
      <c r="DB54" s="149" t="n">
        <v>0</v>
      </c>
      <c r="DC54" s="149" t="n">
        <v>0</v>
      </c>
      <c r="DD54" s="149" t="n">
        <v>0</v>
      </c>
      <c r="DE54" s="149" t="n">
        <v>0</v>
      </c>
      <c r="DF54" s="149" t="n">
        <v>0</v>
      </c>
    </row>
    <row r="55" customFormat="false" ht="15" hidden="false" customHeight="true" outlineLevel="0" collapsed="false">
      <c r="A55" s="94" t="s">
        <v>97</v>
      </c>
      <c r="C55" s="151" t="n">
        <v>-258991.59</v>
      </c>
      <c r="D55" s="151" t="n">
        <v>-258698.63</v>
      </c>
      <c r="E55" s="151" t="n">
        <v>-350327.83</v>
      </c>
      <c r="F55" s="151" t="n">
        <v>-391691.558333333</v>
      </c>
      <c r="G55" s="151" t="n">
        <v>-464089.475</v>
      </c>
      <c r="H55" s="151" t="n">
        <v>-493464.475</v>
      </c>
      <c r="I55" s="151" t="n">
        <v>-480368.641666666</v>
      </c>
      <c r="J55" s="151" t="n">
        <v>-460868.641666666</v>
      </c>
      <c r="K55" s="151" t="n">
        <v>-460868.641666666</v>
      </c>
      <c r="L55" s="151" t="n">
        <v>-522222.808333333</v>
      </c>
      <c r="M55" s="151" t="n">
        <v>-573072.808333333</v>
      </c>
      <c r="N55" s="151" t="n">
        <v>-519072.808333333</v>
      </c>
      <c r="O55" s="151" t="n">
        <v>-519072.808333333</v>
      </c>
      <c r="P55" s="151" t="n">
        <v>-519072.808333333</v>
      </c>
      <c r="Q55" s="151" t="n">
        <v>-519072.808333333</v>
      </c>
      <c r="R55" s="151" t="n">
        <v>-566949.597833333</v>
      </c>
      <c r="S55" s="151" t="n">
        <v>-542949.597833333</v>
      </c>
      <c r="T55" s="151" t="n">
        <v>-542949.597833333</v>
      </c>
      <c r="U55" s="151" t="n">
        <v>-542949.597833333</v>
      </c>
      <c r="V55" s="151" t="n">
        <v>-542949.597833333</v>
      </c>
      <c r="W55" s="151" t="n">
        <v>-542949.597833333</v>
      </c>
      <c r="X55" s="151" t="n">
        <v>-542949.597833333</v>
      </c>
      <c r="Y55" s="151" t="n">
        <v>-542949.597833333</v>
      </c>
      <c r="Z55" s="151" t="n">
        <v>-542949.597833333</v>
      </c>
      <c r="AA55" s="151" t="n">
        <v>-542949.597833333</v>
      </c>
      <c r="AB55" s="151" t="n">
        <v>-542949.597833333</v>
      </c>
      <c r="AC55" s="151" t="n">
        <v>-542949.597833333</v>
      </c>
      <c r="AD55" s="151" t="n">
        <v>-551731.923123333</v>
      </c>
      <c r="AE55" s="151" t="n">
        <v>-551731.923123333</v>
      </c>
      <c r="AF55" s="151" t="n">
        <v>-551731.923123333</v>
      </c>
      <c r="AG55" s="151" t="n">
        <v>-551731.923123333</v>
      </c>
      <c r="AH55" s="151" t="n">
        <v>-551731.923123333</v>
      </c>
      <c r="AI55" s="151" t="n">
        <v>-551731.923123333</v>
      </c>
      <c r="AJ55" s="151" t="n">
        <v>-551731.923123333</v>
      </c>
      <c r="AK55" s="151" t="n">
        <v>-551731.923123333</v>
      </c>
      <c r="AL55" s="151" t="n">
        <v>-551731.923123333</v>
      </c>
      <c r="AM55" s="151" t="n">
        <v>-551731.923123333</v>
      </c>
      <c r="AN55" s="151" t="n">
        <v>-551731.923123333</v>
      </c>
      <c r="AO55" s="151" t="n">
        <v>-551731.923123333</v>
      </c>
      <c r="AP55" s="151" t="n">
        <v>-560689.894919133</v>
      </c>
      <c r="AQ55" s="151" t="n">
        <v>-560689.894919133</v>
      </c>
      <c r="AR55" s="151" t="n">
        <v>-560689.894919133</v>
      </c>
      <c r="AS55" s="151" t="n">
        <v>-560689.894919133</v>
      </c>
      <c r="AT55" s="151" t="n">
        <v>-560689.894919133</v>
      </c>
      <c r="AU55" s="151" t="n">
        <v>-560689.894919133</v>
      </c>
      <c r="AV55" s="151" t="n">
        <v>-560689.894919133</v>
      </c>
      <c r="AW55" s="151" t="n">
        <v>-560689.894919133</v>
      </c>
      <c r="AX55" s="151" t="n">
        <v>-560689.894919133</v>
      </c>
      <c r="AY55" s="151" t="n">
        <v>-560689.894919133</v>
      </c>
      <c r="AZ55" s="151" t="n">
        <v>-560689.894919133</v>
      </c>
      <c r="BA55" s="151" t="n">
        <v>-560689.894919133</v>
      </c>
      <c r="BB55" s="151" t="n">
        <v>-569827.026150849</v>
      </c>
      <c r="BC55" s="151" t="n">
        <v>-569827.026150849</v>
      </c>
      <c r="BD55" s="151" t="n">
        <v>-569827.026150849</v>
      </c>
      <c r="BE55" s="151" t="n">
        <v>-569827.026150849</v>
      </c>
      <c r="BF55" s="151" t="n">
        <v>-569827.026150849</v>
      </c>
      <c r="BG55" s="151" t="n">
        <v>-569827.026150849</v>
      </c>
      <c r="BH55" s="151" t="n">
        <v>-569827.026150849</v>
      </c>
      <c r="BI55" s="151" t="n">
        <v>-569827.026150849</v>
      </c>
      <c r="BJ55" s="151" t="n">
        <v>-569827.026150849</v>
      </c>
      <c r="BK55" s="151" t="n">
        <v>-569827.026150849</v>
      </c>
      <c r="BL55" s="151" t="n">
        <v>-569827.026150849</v>
      </c>
      <c r="BM55" s="151" t="n">
        <v>-569827.026150849</v>
      </c>
      <c r="BN55" s="151" t="n">
        <v>-579146.900007199</v>
      </c>
      <c r="BO55" s="151" t="n">
        <v>-579146.900007199</v>
      </c>
      <c r="BP55" s="151" t="n">
        <v>-579146.900007199</v>
      </c>
      <c r="BQ55" s="151" t="n">
        <v>-579146.900007199</v>
      </c>
      <c r="BR55" s="151" t="n">
        <v>-579146.900007199</v>
      </c>
      <c r="BS55" s="151" t="n">
        <v>-579146.900007199</v>
      </c>
      <c r="BT55" s="151" t="n">
        <v>-579146.900007199</v>
      </c>
      <c r="BU55" s="151" t="n">
        <v>-579146.900007199</v>
      </c>
      <c r="BV55" s="151" t="n">
        <v>-579146.900007199</v>
      </c>
      <c r="BW55" s="151" t="n">
        <v>-579146.900007199</v>
      </c>
      <c r="BX55" s="151" t="n">
        <v>-579146.900007199</v>
      </c>
      <c r="BY55" s="151" t="n">
        <v>-579146.900007199</v>
      </c>
      <c r="BZ55" s="151" t="n">
        <v>-588653.171340677</v>
      </c>
      <c r="CA55" s="151" t="n">
        <v>-588653.171340677</v>
      </c>
      <c r="CB55" s="151" t="n">
        <v>-588653.171340677</v>
      </c>
      <c r="CC55" s="151" t="n">
        <v>-588653.171340677</v>
      </c>
      <c r="CD55" s="151" t="n">
        <v>-588653.171340677</v>
      </c>
      <c r="CE55" s="151" t="n">
        <v>-588653.171340677</v>
      </c>
      <c r="CF55" s="151" t="n">
        <v>-588653.171340677</v>
      </c>
      <c r="CG55" s="151" t="n">
        <v>-588653.171340677</v>
      </c>
      <c r="CH55" s="151" t="n">
        <v>-588653.171340677</v>
      </c>
      <c r="CI55" s="151" t="n">
        <v>-588653.171340677</v>
      </c>
      <c r="CJ55" s="151" t="n">
        <v>-588653.171340677</v>
      </c>
      <c r="CK55" s="151" t="n">
        <v>-588653.171340677</v>
      </c>
      <c r="CL55" s="151" t="n">
        <v>-598349.568100823</v>
      </c>
      <c r="CM55" s="151" t="n">
        <v>-598349.568100823</v>
      </c>
      <c r="CN55" s="151" t="n">
        <v>-598349.568100823</v>
      </c>
      <c r="CO55" s="151" t="n">
        <v>-598349.568100823</v>
      </c>
      <c r="CP55" s="151" t="n">
        <v>-598349.568100823</v>
      </c>
      <c r="CQ55" s="151" t="n">
        <v>-598349.568100823</v>
      </c>
      <c r="CR55" s="151" t="n">
        <v>-598349.568100823</v>
      </c>
      <c r="CS55" s="151" t="n">
        <v>-598349.568100823</v>
      </c>
      <c r="CT55" s="151" t="n">
        <v>-598349.568100823</v>
      </c>
      <c r="CU55" s="151" t="n">
        <v>-541129.466733473</v>
      </c>
      <c r="CV55" s="151" t="n">
        <v>-541129.466733473</v>
      </c>
      <c r="CW55" s="151" t="n">
        <v>-541129.466733473</v>
      </c>
      <c r="CX55" s="151" t="n">
        <v>-549875.389401476</v>
      </c>
      <c r="CY55" s="151" t="n">
        <v>-549875.389401476</v>
      </c>
      <c r="CZ55" s="151" t="n">
        <v>-549875.389401476</v>
      </c>
      <c r="DA55" s="151" t="n">
        <v>-549875.389401476</v>
      </c>
      <c r="DB55" s="151" t="n">
        <v>-549875.389401476</v>
      </c>
      <c r="DC55" s="151" t="n">
        <v>-549875.389401476</v>
      </c>
      <c r="DD55" s="151" t="n">
        <v>-549875.389401476</v>
      </c>
      <c r="DE55" s="151" t="n">
        <v>-549875.389401476</v>
      </c>
      <c r="DF55" s="151" t="n">
        <v>-549875.389401476</v>
      </c>
    </row>
    <row r="56" customFormat="false" ht="15" hidden="false" customHeight="true" outlineLevel="0" collapsed="false">
      <c r="A56" s="90"/>
      <c r="C56" s="104"/>
      <c r="D56" s="104"/>
      <c r="E56" s="104"/>
      <c r="F56" s="147"/>
      <c r="G56" s="147"/>
      <c r="H56" s="147"/>
      <c r="I56" s="147"/>
      <c r="J56" s="147"/>
      <c r="K56" s="147"/>
      <c r="L56" s="147"/>
      <c r="M56" s="147"/>
      <c r="N56" s="147"/>
      <c r="O56" s="147"/>
      <c r="P56" s="147"/>
      <c r="Q56" s="147"/>
      <c r="R56" s="147"/>
      <c r="S56" s="147"/>
      <c r="T56" s="147"/>
      <c r="U56" s="147"/>
      <c r="V56" s="147"/>
      <c r="W56" s="147"/>
      <c r="X56" s="147"/>
      <c r="Y56" s="147"/>
      <c r="Z56" s="147"/>
      <c r="AA56" s="147"/>
      <c r="AB56" s="147"/>
      <c r="AC56" s="147"/>
      <c r="AD56" s="147"/>
      <c r="AE56" s="147"/>
      <c r="AF56" s="147"/>
      <c r="AG56" s="147"/>
      <c r="AH56" s="147"/>
      <c r="AI56" s="147"/>
      <c r="AJ56" s="147"/>
      <c r="AK56" s="147"/>
      <c r="AL56" s="147"/>
      <c r="AM56" s="147"/>
      <c r="AN56" s="147"/>
      <c r="AO56" s="147"/>
      <c r="AP56" s="147"/>
      <c r="AQ56" s="147"/>
      <c r="AR56" s="147"/>
      <c r="AS56" s="147"/>
      <c r="AT56" s="147"/>
      <c r="AU56" s="147"/>
      <c r="AV56" s="147"/>
      <c r="AW56" s="147"/>
      <c r="AX56" s="147"/>
      <c r="AY56" s="147"/>
      <c r="AZ56" s="147"/>
      <c r="BA56" s="147"/>
      <c r="BB56" s="147"/>
      <c r="BC56" s="147"/>
      <c r="BD56" s="147"/>
      <c r="BE56" s="147"/>
      <c r="BF56" s="147"/>
      <c r="BG56" s="147"/>
      <c r="BH56" s="147"/>
      <c r="BI56" s="147"/>
      <c r="BJ56" s="147"/>
      <c r="BK56" s="147"/>
      <c r="BL56" s="147"/>
      <c r="BM56" s="147"/>
      <c r="BN56" s="147"/>
      <c r="BO56" s="147"/>
      <c r="BP56" s="147"/>
      <c r="BQ56" s="147"/>
      <c r="BR56" s="147"/>
      <c r="BS56" s="147"/>
      <c r="BT56" s="147"/>
      <c r="BU56" s="147"/>
      <c r="BV56" s="147"/>
      <c r="BW56" s="147"/>
      <c r="BX56" s="147"/>
      <c r="BY56" s="147"/>
      <c r="BZ56" s="147"/>
      <c r="CA56" s="147"/>
      <c r="CB56" s="147"/>
      <c r="CC56" s="147"/>
      <c r="CD56" s="147"/>
      <c r="CE56" s="147"/>
      <c r="CF56" s="147"/>
      <c r="CG56" s="147"/>
      <c r="CH56" s="147"/>
      <c r="CI56" s="147"/>
      <c r="CJ56" s="147"/>
      <c r="CK56" s="147"/>
      <c r="CL56" s="147"/>
      <c r="CM56" s="147"/>
      <c r="CN56" s="147"/>
      <c r="CO56" s="147"/>
      <c r="CP56" s="147"/>
      <c r="CQ56" s="147"/>
      <c r="CR56" s="147"/>
      <c r="CS56" s="147"/>
      <c r="CT56" s="147"/>
      <c r="CU56" s="147"/>
      <c r="CV56" s="147"/>
      <c r="CW56" s="147"/>
      <c r="CX56" s="147"/>
      <c r="CY56" s="147"/>
      <c r="CZ56" s="147"/>
      <c r="DA56" s="147"/>
      <c r="DB56" s="147"/>
      <c r="DC56" s="147"/>
      <c r="DD56" s="147"/>
      <c r="DE56" s="147"/>
      <c r="DF56" s="147"/>
    </row>
    <row r="57" customFormat="false" ht="15" hidden="false" customHeight="true" outlineLevel="0" collapsed="false">
      <c r="A57" s="101" t="s">
        <v>98</v>
      </c>
      <c r="C57" s="155" t="n">
        <v>-40238.7799999999</v>
      </c>
      <c r="D57" s="155" t="n">
        <v>-309702.1</v>
      </c>
      <c r="E57" s="155" t="n">
        <v>243856.69</v>
      </c>
      <c r="F57" s="155" t="n">
        <v>77193.5079209369</v>
      </c>
      <c r="G57" s="155" t="n">
        <v>4795.59125425993</v>
      </c>
      <c r="H57" s="155" t="n">
        <v>-24579.4087457396</v>
      </c>
      <c r="I57" s="155" t="n">
        <v>478888.752787913</v>
      </c>
      <c r="J57" s="155" t="n">
        <v>171828.547987913</v>
      </c>
      <c r="K57" s="155" t="n">
        <v>171828.547987913</v>
      </c>
      <c r="L57" s="155" t="n">
        <v>476879.116623526</v>
      </c>
      <c r="M57" s="155" t="n">
        <v>507880.050630907</v>
      </c>
      <c r="N57" s="155" t="n">
        <v>255504.966544817</v>
      </c>
      <c r="O57" s="155" t="n">
        <v>255504.966544827</v>
      </c>
      <c r="P57" s="155" t="n">
        <v>255504.966544827</v>
      </c>
      <c r="Q57" s="155" t="n">
        <v>255504.966544817</v>
      </c>
      <c r="R57" s="155" t="n">
        <v>-411966.093897963</v>
      </c>
      <c r="S57" s="155" t="n">
        <v>404202.381102027</v>
      </c>
      <c r="T57" s="155" t="n">
        <v>562864.259388238</v>
      </c>
      <c r="U57" s="155" t="n">
        <v>324683.812184128</v>
      </c>
      <c r="V57" s="155" t="n">
        <v>59005.0606073667</v>
      </c>
      <c r="W57" s="155" t="n">
        <v>59005.0606073677</v>
      </c>
      <c r="X57" s="155" t="n">
        <v>80815.3650471163</v>
      </c>
      <c r="Y57" s="155" t="n">
        <v>37194.7561676172</v>
      </c>
      <c r="Z57" s="155" t="n">
        <v>37194.7561676162</v>
      </c>
      <c r="AA57" s="155" t="n">
        <v>37194.7561676172</v>
      </c>
      <c r="AB57" s="155" t="n">
        <v>37194.7561676162</v>
      </c>
      <c r="AC57" s="155" t="n">
        <v>37194.7561676172</v>
      </c>
      <c r="AD57" s="155" t="n">
        <v>110433.446720217</v>
      </c>
      <c r="AE57" s="155" t="n">
        <v>-53608.5849649826</v>
      </c>
      <c r="AF57" s="155" t="n">
        <v>-619655.004096433</v>
      </c>
      <c r="AG57" s="155" t="n">
        <v>104051.055903567</v>
      </c>
      <c r="AH57" s="155" t="n">
        <v>104051.055903567</v>
      </c>
      <c r="AI57" s="155" t="n">
        <v>104051.055903567</v>
      </c>
      <c r="AJ57" s="155" t="n">
        <v>232047.185471317</v>
      </c>
      <c r="AK57" s="155" t="n">
        <v>2720.78666242689</v>
      </c>
      <c r="AL57" s="155" t="n">
        <v>261371.507820827</v>
      </c>
      <c r="AM57" s="155" t="n">
        <v>-161091.336737893</v>
      </c>
      <c r="AN57" s="155" t="n">
        <v>-161091.336737893</v>
      </c>
      <c r="AO57" s="155" t="n">
        <v>-65712.2712752431</v>
      </c>
      <c r="AP57" s="155" t="n">
        <v>-230456.049993373</v>
      </c>
      <c r="AQ57" s="155" t="n">
        <v>-230456.049993373</v>
      </c>
      <c r="AR57" s="155" t="n">
        <v>-230456.049993373</v>
      </c>
      <c r="AS57" s="155" t="n">
        <v>-230456.049993373</v>
      </c>
      <c r="AT57" s="155" t="n">
        <v>-230456.049993373</v>
      </c>
      <c r="AU57" s="155" t="n">
        <v>42029.5353601269</v>
      </c>
      <c r="AV57" s="155" t="n">
        <v>-403030.254050583</v>
      </c>
      <c r="AW57" s="155" t="n">
        <v>-403030.254050583</v>
      </c>
      <c r="AX57" s="155" t="n">
        <v>-403030.254050583</v>
      </c>
      <c r="AY57" s="155" t="n">
        <v>-403030.254050583</v>
      </c>
      <c r="AZ57" s="155" t="n">
        <v>-403030.254050583</v>
      </c>
      <c r="BA57" s="155" t="n">
        <v>-403030.254050583</v>
      </c>
      <c r="BB57" s="155" t="n">
        <v>-412167.385282299</v>
      </c>
      <c r="BC57" s="155" t="n">
        <v>-412167.385282299</v>
      </c>
      <c r="BD57" s="155" t="n">
        <v>-412167.385282299</v>
      </c>
      <c r="BE57" s="155" t="n">
        <v>-412167.385282302</v>
      </c>
      <c r="BF57" s="155" t="n">
        <v>-412167.385282302</v>
      </c>
      <c r="BG57" s="155" t="n">
        <v>-412167.385282302</v>
      </c>
      <c r="BH57" s="155" t="n">
        <v>-412167.385282302</v>
      </c>
      <c r="BI57" s="155" t="n">
        <v>-163231.110226702</v>
      </c>
      <c r="BJ57" s="155" t="n">
        <v>-569827.026150849</v>
      </c>
      <c r="BK57" s="155" t="n">
        <v>-569827.026150849</v>
      </c>
      <c r="BL57" s="155" t="n">
        <v>-569827.026150849</v>
      </c>
      <c r="BM57" s="155" t="n">
        <v>-569827.026150849</v>
      </c>
      <c r="BN57" s="155" t="n">
        <v>-579146.900007199</v>
      </c>
      <c r="BO57" s="155" t="n">
        <v>-579146.900007199</v>
      </c>
      <c r="BP57" s="155" t="n">
        <v>-579146.900007199</v>
      </c>
      <c r="BQ57" s="155" t="n">
        <v>-579146.900007199</v>
      </c>
      <c r="BR57" s="155" t="n">
        <v>-579146.900007199</v>
      </c>
      <c r="BS57" s="155" t="n">
        <v>-579146.900007199</v>
      </c>
      <c r="BT57" s="155" t="n">
        <v>-579146.900007199</v>
      </c>
      <c r="BU57" s="155" t="n">
        <v>-579146.900007199</v>
      </c>
      <c r="BV57" s="155" t="n">
        <v>-579146.900007199</v>
      </c>
      <c r="BW57" s="155" t="n">
        <v>-579146.900007199</v>
      </c>
      <c r="BX57" s="155" t="n">
        <v>-579146.900007199</v>
      </c>
      <c r="BY57" s="155" t="n">
        <v>-579146.900007199</v>
      </c>
      <c r="BZ57" s="155" t="n">
        <v>-588653.171340677</v>
      </c>
      <c r="CA57" s="155" t="n">
        <v>-588653.171340677</v>
      </c>
      <c r="CB57" s="155" t="n">
        <v>-588653.171340677</v>
      </c>
      <c r="CC57" s="155" t="n">
        <v>-588653.171340677</v>
      </c>
      <c r="CD57" s="155" t="n">
        <v>-588653.171340677</v>
      </c>
      <c r="CE57" s="155" t="n">
        <v>-588653.171340677</v>
      </c>
      <c r="CF57" s="155" t="n">
        <v>-588653.171340677</v>
      </c>
      <c r="CG57" s="155" t="n">
        <v>-588653.171340677</v>
      </c>
      <c r="CH57" s="155" t="n">
        <v>-588653.171340677</v>
      </c>
      <c r="CI57" s="155" t="n">
        <v>-588653.171340677</v>
      </c>
      <c r="CJ57" s="155" t="n">
        <v>-588653.171340677</v>
      </c>
      <c r="CK57" s="155" t="n">
        <v>-588653.171340677</v>
      </c>
      <c r="CL57" s="155" t="n">
        <v>-598349.568100823</v>
      </c>
      <c r="CM57" s="155" t="n">
        <v>-598349.568100823</v>
      </c>
      <c r="CN57" s="155" t="n">
        <v>-598349.568100823</v>
      </c>
      <c r="CO57" s="155" t="n">
        <v>-598349.568100823</v>
      </c>
      <c r="CP57" s="155" t="n">
        <v>-598349.568100823</v>
      </c>
      <c r="CQ57" s="155" t="n">
        <v>-598349.568100823</v>
      </c>
      <c r="CR57" s="155" t="n">
        <v>-598349.568100823</v>
      </c>
      <c r="CS57" s="155" t="n">
        <v>-598349.568100823</v>
      </c>
      <c r="CT57" s="155" t="n">
        <v>-598349.568100823</v>
      </c>
      <c r="CU57" s="155" t="n">
        <v>-541129.466733473</v>
      </c>
      <c r="CV57" s="155" t="n">
        <v>-541129.466733473</v>
      </c>
      <c r="CW57" s="155" t="n">
        <v>-541129.466733473</v>
      </c>
      <c r="CX57" s="155" t="n">
        <v>-549875.389401476</v>
      </c>
      <c r="CY57" s="155" t="n">
        <v>-549875.389401476</v>
      </c>
      <c r="CZ57" s="155" t="n">
        <v>-549875.389401476</v>
      </c>
      <c r="DA57" s="155" t="n">
        <v>-549875.389401476</v>
      </c>
      <c r="DB57" s="155" t="n">
        <v>-549875.389401476</v>
      </c>
      <c r="DC57" s="155" t="n">
        <v>-549875.389401476</v>
      </c>
      <c r="DD57" s="155" t="n">
        <v>-549875.389401476</v>
      </c>
      <c r="DE57" s="155" t="n">
        <v>-549875.389401476</v>
      </c>
      <c r="DF57" s="155" t="n">
        <v>-549875.389401476</v>
      </c>
    </row>
    <row r="58" customFormat="false" ht="15" hidden="false" customHeight="true" outlineLevel="0" collapsed="false">
      <c r="A58" s="99" t="s">
        <v>99</v>
      </c>
      <c r="C58" s="154" t="n">
        <f aca="false">IFERROR(C57/C13,0)</f>
        <v>-0.0276785988569409</v>
      </c>
      <c r="D58" s="154" t="n">
        <f aca="false">IFERROR(D57/D13,0)</f>
        <v>-0.102464901385612</v>
      </c>
      <c r="E58" s="154" t="n">
        <f aca="false">IFERROR(E57/E13,0)</f>
        <v>0.0912563488127398</v>
      </c>
      <c r="F58" s="154" t="n">
        <f aca="false">IFERROR(F57/F13,0)</f>
        <v>0.0173298465800976</v>
      </c>
      <c r="G58" s="154" t="n">
        <f aca="false">IFERROR(G57/G13,0)</f>
        <v>0.00103190312584528</v>
      </c>
      <c r="H58" s="154" t="n">
        <f aca="false">IFERROR(H57/H13,0)</f>
        <v>-0.00513830988769468</v>
      </c>
      <c r="I58" s="154" t="n">
        <f aca="false">IFERROR(I57/I13,0)</f>
        <v>0.0835258951271783</v>
      </c>
      <c r="J58" s="154" t="n">
        <f aca="false">IFERROR(J57/J13,0)</f>
        <v>0.0291585151848811</v>
      </c>
      <c r="K58" s="154" t="n">
        <f aca="false">IFERROR(K57/K13,0)</f>
        <v>0.0287072206647552</v>
      </c>
      <c r="L58" s="154" t="n">
        <f aca="false">IFERROR(L57/L13,0)</f>
        <v>0.0719850664285797</v>
      </c>
      <c r="M58" s="154" t="n">
        <f aca="false">IFERROR(M57/M13,0)</f>
        <v>0.0699094476542191</v>
      </c>
      <c r="N58" s="154" t="n">
        <f aca="false">IFERROR(N57/N13,0)</f>
        <v>0.0365905286174057</v>
      </c>
      <c r="O58" s="154" t="n">
        <f aca="false">IFERROR(O57/O13,0)</f>
        <v>0.035633773223876</v>
      </c>
      <c r="P58" s="154" t="n">
        <f aca="false">IFERROR(P57/P13,0)</f>
        <v>0.0349944801662139</v>
      </c>
      <c r="Q58" s="154" t="n">
        <f aca="false">IFERROR(Q57/Q13,0)</f>
        <v>0.0346548085310985</v>
      </c>
      <c r="R58" s="154" t="n">
        <f aca="false">IFERROR(R57/R13,0)</f>
        <v>-0.050795343294945</v>
      </c>
      <c r="S58" s="154" t="n">
        <f aca="false">IFERROR(S57/S13,0)</f>
        <v>0.0495244343315864</v>
      </c>
      <c r="T58" s="154" t="n">
        <f aca="false">IFERROR(T57/T13,0)</f>
        <v>0.0690622206771117</v>
      </c>
      <c r="U58" s="154" t="n">
        <f aca="false">IFERROR(U57/U13,0)</f>
        <v>0.0437191547040497</v>
      </c>
      <c r="V58" s="154" t="n">
        <f aca="false">IFERROR(V57/V13,0)</f>
        <v>0.00848544419508858</v>
      </c>
      <c r="W58" s="154" t="n">
        <f aca="false">IFERROR(W57/W13,0)</f>
        <v>0.00848643812066759</v>
      </c>
      <c r="X58" s="154" t="n">
        <f aca="false">IFERROR(X57/X13,0)</f>
        <v>0.0117880175166161</v>
      </c>
      <c r="Y58" s="154" t="n">
        <f aca="false">IFERROR(Y57/Y13,0)</f>
        <v>0.00563862231580771</v>
      </c>
      <c r="Z58" s="154" t="n">
        <f aca="false">IFERROR(Z57/Z13,0)</f>
        <v>0.00584990253965618</v>
      </c>
      <c r="AA58" s="154" t="n">
        <f aca="false">IFERROR(AA57/AA13,0)</f>
        <v>0.00613653352507423</v>
      </c>
      <c r="AB58" s="154" t="n">
        <f aca="false">IFERROR(AB57/AB13,0)</f>
        <v>0.00649960124595134</v>
      </c>
      <c r="AC58" s="154" t="n">
        <f aca="false">IFERROR(AC57/AC13,0)</f>
        <v>0.00694035554431828</v>
      </c>
      <c r="AD58" s="154" t="n">
        <f aca="false">IFERROR(AD57/AD13,0)</f>
        <v>0.0221502466866728</v>
      </c>
      <c r="AE58" s="154" t="n">
        <f aca="false">IFERROR(AE57/AE13,0)</f>
        <v>-0.012383939800172</v>
      </c>
      <c r="AF58" s="154" t="n">
        <f aca="false">IFERROR(AF57/AF13,0)</f>
        <v>-0.145646882929711</v>
      </c>
      <c r="AG58" s="154" t="n">
        <f aca="false">IFERROR(AG57/AG13,0)</f>
        <v>0.0302716750479491</v>
      </c>
      <c r="AH58" s="154" t="n">
        <f aca="false">IFERROR(AH57/AH13,0)</f>
        <v>0.0298747215140425</v>
      </c>
      <c r="AI58" s="154" t="n">
        <f aca="false">IFERROR(AI57/AI13,0)</f>
        <v>0.0296361913542734</v>
      </c>
      <c r="AJ58" s="154" t="n">
        <f aca="false">IFERROR(AJ57/AJ13,0)</f>
        <v>0.065888999765768</v>
      </c>
      <c r="AK58" s="154" t="n">
        <f aca="false">IFERROR(AK57/AK13,0)</f>
        <v>0.00077379969162039</v>
      </c>
      <c r="AL58" s="154" t="n">
        <f aca="false">IFERROR(AL57/AL13,0)</f>
        <v>0.0747904788455928</v>
      </c>
      <c r="AM58" s="154" t="n">
        <f aca="false">IFERROR(AM57/AM13,0)</f>
        <v>-0.0465807469205635</v>
      </c>
      <c r="AN58" s="154" t="n">
        <f aca="false">IFERROR(AN57/AN13,0)</f>
        <v>-0.0472717456555632</v>
      </c>
      <c r="AO58" s="154" t="n">
        <f aca="false">IFERROR(AO57/AO13,0)</f>
        <v>-0.019651665804181</v>
      </c>
      <c r="AP58" s="154" t="n">
        <f aca="false">IFERROR(AP57/AP13,0)</f>
        <v>-0.0756171560874285</v>
      </c>
      <c r="AQ58" s="154" t="n">
        <f aca="false">IFERROR(AQ57/AQ13,0)</f>
        <v>-0.0770343143191285</v>
      </c>
      <c r="AR58" s="154" t="n">
        <f aca="false">IFERROR(AR57/AR13,0)</f>
        <v>-0.0788940943909012</v>
      </c>
      <c r="AS58" s="154" t="n">
        <f aca="false">IFERROR(AS57/AS13,0)</f>
        <v>-0.0812405024671969</v>
      </c>
      <c r="AT58" s="154" t="n">
        <f aca="false">IFERROR(AT57/AT13,0)</f>
        <v>-0.0841288501455523</v>
      </c>
      <c r="AU58" s="154" t="n">
        <f aca="false">IFERROR(AU57/AU13,0)</f>
        <v>0.0159813424056486</v>
      </c>
      <c r="AV58" s="154" t="n">
        <f aca="false">IFERROR(AV57/AV13,0)</f>
        <v>-0.214130249789158</v>
      </c>
      <c r="AW58" s="154" t="n">
        <f aca="false">IFERROR(AW57/AW13,0)</f>
        <v>-0.218450004808168</v>
      </c>
      <c r="AX58" s="154" t="n">
        <f aca="false">IFERROR(AX57/AX13,0)</f>
        <v>-0.225100129144198</v>
      </c>
      <c r="AY58" s="154" t="n">
        <f aca="false">IFERROR(AY57/AY13,0)</f>
        <v>-0.234277508074266</v>
      </c>
      <c r="AZ58" s="154" t="n">
        <f aca="false">IFERROR(AZ57/AZ13,0)</f>
        <v>-0.24627792536914</v>
      </c>
      <c r="BA58" s="154" t="n">
        <f aca="false">IFERROR(BA57/BA13,0)</f>
        <v>-0.261496420008664</v>
      </c>
      <c r="BB58" s="154" t="n">
        <f aca="false">IFERROR(BB57/BB13,0)</f>
        <v>-0.286793734485519</v>
      </c>
      <c r="BC58" s="154" t="n">
        <f aca="false">IFERROR(BC57/BC13,0)</f>
        <v>-0.310661925076369</v>
      </c>
      <c r="BD58" s="154" t="n">
        <f aca="false">IFERROR(BD57/BD13,0)</f>
        <v>-0.339892094429402</v>
      </c>
      <c r="BE58" s="154" t="n">
        <f aca="false">IFERROR(BE57/BE13,0)</f>
        <v>-0.375604139864318</v>
      </c>
      <c r="BF58" s="154" t="n">
        <f aca="false">IFERROR(BF57/BF13,0)</f>
        <v>-0.419242662439579</v>
      </c>
      <c r="BG58" s="154" t="n">
        <f aca="false">IFERROR(BG57/BG13,0)</f>
        <v>-0.472644563244375</v>
      </c>
      <c r="BH58" s="154" t="n">
        <f aca="false">IFERROR(BH57/BH13,0)</f>
        <v>-0.538214489510807</v>
      </c>
      <c r="BI58" s="154" t="n">
        <f aca="false">IFERROR(BI57/BI13,0)</f>
        <v>-0.245146629480391</v>
      </c>
      <c r="BJ58" s="154" t="n">
        <f aca="false">IFERROR(BJ57/BJ13,0)</f>
        <v>0</v>
      </c>
      <c r="BK58" s="154" t="n">
        <f aca="false">IFERROR(BK57/BK13,0)</f>
        <v>0</v>
      </c>
      <c r="BL58" s="154" t="n">
        <f aca="false">IFERROR(BL57/BL13,0)</f>
        <v>0</v>
      </c>
      <c r="BM58" s="154" t="n">
        <f aca="false">IFERROR(BM57/BM13,0)</f>
        <v>0</v>
      </c>
      <c r="BN58" s="154" t="n">
        <f aca="false">IFERROR(BN57/BN13,0)</f>
        <v>0</v>
      </c>
      <c r="BO58" s="154" t="n">
        <f aca="false">IFERROR(BO57/BO13,0)</f>
        <v>0</v>
      </c>
      <c r="BP58" s="154" t="n">
        <f aca="false">IFERROR(BP57/BP13,0)</f>
        <v>0</v>
      </c>
      <c r="BQ58" s="154" t="n">
        <f aca="false">IFERROR(BQ57/BQ13,0)</f>
        <v>0</v>
      </c>
      <c r="BR58" s="154" t="n">
        <f aca="false">IFERROR(BR57/BR13,0)</f>
        <v>0</v>
      </c>
      <c r="BS58" s="154" t="n">
        <f aca="false">IFERROR(BS57/BS13,0)</f>
        <v>0</v>
      </c>
      <c r="BT58" s="154" t="n">
        <f aca="false">IFERROR(BT57/BT13,0)</f>
        <v>0</v>
      </c>
      <c r="BU58" s="154" t="n">
        <f aca="false">IFERROR(BU57/BU13,0)</f>
        <v>0</v>
      </c>
      <c r="BV58" s="154" t="n">
        <f aca="false">IFERROR(BV57/BV13,0)</f>
        <v>0</v>
      </c>
      <c r="BW58" s="154" t="n">
        <f aca="false">IFERROR(BW57/BW13,0)</f>
        <v>0</v>
      </c>
      <c r="BX58" s="154" t="n">
        <f aca="false">IFERROR(BX57/BX13,0)</f>
        <v>0</v>
      </c>
      <c r="BY58" s="154" t="n">
        <f aca="false">IFERROR(BY57/BY13,0)</f>
        <v>0</v>
      </c>
      <c r="BZ58" s="154" t="n">
        <f aca="false">IFERROR(BZ57/BZ13,0)</f>
        <v>0</v>
      </c>
      <c r="CA58" s="154" t="n">
        <f aca="false">IFERROR(CA57/CA13,0)</f>
        <v>0</v>
      </c>
      <c r="CB58" s="154" t="n">
        <f aca="false">IFERROR(CB57/CB13,0)</f>
        <v>0</v>
      </c>
      <c r="CC58" s="154" t="n">
        <f aca="false">IFERROR(CC57/CC13,0)</f>
        <v>0</v>
      </c>
      <c r="CD58" s="154" t="n">
        <f aca="false">IFERROR(CD57/CD13,0)</f>
        <v>0</v>
      </c>
      <c r="CE58" s="154" t="n">
        <f aca="false">IFERROR(CE57/CE13,0)</f>
        <v>0</v>
      </c>
      <c r="CF58" s="154" t="n">
        <f aca="false">IFERROR(CF57/CF13,0)</f>
        <v>0</v>
      </c>
      <c r="CG58" s="154" t="n">
        <f aca="false">IFERROR(CG57/CG13,0)</f>
        <v>0</v>
      </c>
      <c r="CH58" s="154" t="n">
        <f aca="false">IFERROR(CH57/CH13,0)</f>
        <v>0</v>
      </c>
      <c r="CI58" s="154" t="n">
        <f aca="false">IFERROR(CI57/CI13,0)</f>
        <v>0</v>
      </c>
      <c r="CJ58" s="154" t="n">
        <f aca="false">IFERROR(CJ57/CJ13,0)</f>
        <v>0</v>
      </c>
      <c r="CK58" s="154" t="n">
        <f aca="false">IFERROR(CK57/CK13,0)</f>
        <v>0</v>
      </c>
      <c r="CL58" s="154" t="n">
        <f aca="false">IFERROR(CL57/CL13,0)</f>
        <v>0</v>
      </c>
      <c r="CM58" s="154" t="n">
        <f aca="false">IFERROR(CM57/CM13,0)</f>
        <v>0</v>
      </c>
      <c r="CN58" s="154" t="n">
        <f aca="false">IFERROR(CN57/CN13,0)</f>
        <v>0</v>
      </c>
      <c r="CO58" s="154" t="n">
        <f aca="false">IFERROR(CO57/CO13,0)</f>
        <v>0</v>
      </c>
      <c r="CP58" s="154" t="n">
        <f aca="false">IFERROR(CP57/CP13,0)</f>
        <v>0</v>
      </c>
      <c r="CQ58" s="154" t="n">
        <f aca="false">IFERROR(CQ57/CQ13,0)</f>
        <v>0</v>
      </c>
      <c r="CR58" s="154" t="n">
        <f aca="false">IFERROR(CR57/CR13,0)</f>
        <v>0</v>
      </c>
      <c r="CS58" s="154" t="n">
        <f aca="false">IFERROR(CS57/CS13,0)</f>
        <v>0</v>
      </c>
      <c r="CT58" s="154" t="n">
        <f aca="false">IFERROR(CT57/CT13,0)</f>
        <v>0</v>
      </c>
      <c r="CU58" s="154" t="n">
        <f aca="false">IFERROR(CU57/CU13,0)</f>
        <v>0</v>
      </c>
      <c r="CV58" s="154" t="n">
        <f aca="false">IFERROR(CV57/CV13,0)</f>
        <v>0</v>
      </c>
      <c r="CW58" s="154" t="n">
        <f aca="false">IFERROR(CW57/CW13,0)</f>
        <v>0</v>
      </c>
      <c r="CX58" s="154" t="n">
        <f aca="false">IFERROR(CX57/CX13,0)</f>
        <v>0</v>
      </c>
      <c r="CY58" s="154" t="n">
        <f aca="false">IFERROR(CY57/CY13,0)</f>
        <v>0</v>
      </c>
      <c r="CZ58" s="154" t="n">
        <f aca="false">IFERROR(CZ57/CZ13,0)</f>
        <v>0</v>
      </c>
      <c r="DA58" s="154" t="n">
        <f aca="false">IFERROR(DA57/DA13,0)</f>
        <v>0</v>
      </c>
      <c r="DB58" s="154" t="n">
        <f aca="false">IFERROR(DB57/DB13,0)</f>
        <v>0</v>
      </c>
      <c r="DC58" s="154" t="n">
        <f aca="false">IFERROR(DC57/DC13,0)</f>
        <v>0</v>
      </c>
      <c r="DD58" s="154" t="n">
        <f aca="false">IFERROR(DD57/DD13,0)</f>
        <v>0</v>
      </c>
      <c r="DE58" s="154" t="n">
        <f aca="false">IFERROR(DE57/DE13,0)</f>
        <v>0</v>
      </c>
      <c r="DF58" s="154" t="n">
        <f aca="false">IFERROR(DF57/DF13,0)</f>
        <v>0</v>
      </c>
    </row>
    <row r="59" customFormat="false" ht="15" hidden="false" customHeight="true" outlineLevel="0" collapsed="false">
      <c r="A59" s="90"/>
      <c r="C59" s="104"/>
      <c r="D59" s="104"/>
      <c r="E59" s="104"/>
      <c r="F59" s="147"/>
      <c r="G59" s="147"/>
      <c r="H59" s="147"/>
      <c r="I59" s="147"/>
      <c r="J59" s="147"/>
      <c r="K59" s="147"/>
      <c r="L59" s="147"/>
      <c r="M59" s="147"/>
      <c r="N59" s="147"/>
      <c r="O59" s="147"/>
      <c r="P59" s="147"/>
      <c r="Q59" s="147"/>
      <c r="R59" s="147"/>
      <c r="S59" s="147"/>
      <c r="T59" s="147"/>
      <c r="U59" s="147"/>
      <c r="V59" s="147"/>
      <c r="W59" s="147"/>
      <c r="X59" s="147"/>
      <c r="Y59" s="147"/>
      <c r="Z59" s="147"/>
      <c r="AA59" s="147"/>
      <c r="AB59" s="147"/>
      <c r="AC59" s="147"/>
      <c r="AD59" s="147"/>
      <c r="AE59" s="147"/>
      <c r="AF59" s="147"/>
      <c r="AG59" s="147"/>
      <c r="AH59" s="147"/>
      <c r="AI59" s="147"/>
      <c r="AJ59" s="147"/>
      <c r="AK59" s="147"/>
      <c r="AL59" s="147"/>
      <c r="AM59" s="147"/>
      <c r="AN59" s="147"/>
      <c r="AO59" s="147"/>
      <c r="AP59" s="147"/>
      <c r="AQ59" s="147"/>
      <c r="AR59" s="147"/>
      <c r="AS59" s="147"/>
      <c r="AT59" s="147"/>
      <c r="AU59" s="147"/>
      <c r="AV59" s="147"/>
      <c r="AW59" s="147"/>
      <c r="AX59" s="147"/>
      <c r="AY59" s="147"/>
      <c r="AZ59" s="147"/>
      <c r="BA59" s="147"/>
      <c r="BB59" s="147"/>
      <c r="BC59" s="147"/>
      <c r="BD59" s="147"/>
      <c r="BE59" s="147"/>
      <c r="BF59" s="147"/>
      <c r="BG59" s="147"/>
      <c r="BH59" s="147"/>
      <c r="BI59" s="147"/>
      <c r="BJ59" s="147"/>
      <c r="BK59" s="147"/>
      <c r="BL59" s="147"/>
      <c r="BM59" s="147"/>
      <c r="BN59" s="147"/>
      <c r="BO59" s="147"/>
      <c r="BP59" s="147"/>
      <c r="BQ59" s="147"/>
      <c r="BR59" s="147"/>
      <c r="BS59" s="147"/>
      <c r="BT59" s="147"/>
      <c r="BU59" s="147"/>
      <c r="BV59" s="147"/>
      <c r="BW59" s="147"/>
      <c r="BX59" s="147"/>
      <c r="BY59" s="147"/>
      <c r="BZ59" s="147"/>
      <c r="CA59" s="147"/>
      <c r="CB59" s="147"/>
      <c r="CC59" s="147"/>
      <c r="CD59" s="147"/>
      <c r="CE59" s="147"/>
      <c r="CF59" s="147"/>
      <c r="CG59" s="147"/>
      <c r="CH59" s="147"/>
      <c r="CI59" s="147"/>
      <c r="CJ59" s="147"/>
      <c r="CK59" s="147"/>
      <c r="CL59" s="147"/>
      <c r="CM59" s="147"/>
      <c r="CN59" s="147"/>
      <c r="CO59" s="147"/>
      <c r="CP59" s="147"/>
      <c r="CQ59" s="147"/>
      <c r="CR59" s="147"/>
      <c r="CS59" s="147"/>
      <c r="CT59" s="147"/>
      <c r="CU59" s="147"/>
      <c r="CV59" s="147"/>
      <c r="CW59" s="147"/>
      <c r="CX59" s="147"/>
      <c r="CY59" s="147"/>
      <c r="CZ59" s="147"/>
      <c r="DA59" s="147"/>
      <c r="DB59" s="147"/>
      <c r="DC59" s="147"/>
      <c r="DD59" s="147"/>
      <c r="DE59" s="147"/>
      <c r="DF59" s="147"/>
    </row>
    <row r="60" customFormat="false" ht="15" hidden="false" customHeight="true" outlineLevel="0" collapsed="false">
      <c r="A60" s="90"/>
      <c r="C60" s="104"/>
      <c r="D60" s="104"/>
      <c r="E60" s="104"/>
      <c r="F60" s="147"/>
      <c r="G60" s="147"/>
      <c r="H60" s="147"/>
      <c r="I60" s="147"/>
      <c r="J60" s="147"/>
      <c r="K60" s="147"/>
      <c r="L60" s="147"/>
      <c r="M60" s="147"/>
      <c r="N60" s="147"/>
      <c r="O60" s="147"/>
      <c r="P60" s="147"/>
      <c r="Q60" s="147"/>
      <c r="R60" s="147"/>
      <c r="S60" s="147"/>
      <c r="T60" s="147"/>
      <c r="U60" s="147"/>
      <c r="V60" s="147"/>
      <c r="W60" s="147"/>
      <c r="X60" s="147"/>
      <c r="Y60" s="147"/>
      <c r="Z60" s="147"/>
      <c r="AA60" s="147"/>
      <c r="AB60" s="147"/>
      <c r="AC60" s="147"/>
      <c r="AD60" s="147"/>
      <c r="AE60" s="147"/>
      <c r="AF60" s="147"/>
      <c r="AG60" s="147"/>
      <c r="AH60" s="147"/>
      <c r="AI60" s="147"/>
      <c r="AJ60" s="147"/>
      <c r="AK60" s="147"/>
      <c r="AL60" s="147"/>
      <c r="AM60" s="147"/>
      <c r="AN60" s="147"/>
      <c r="AO60" s="147"/>
      <c r="AP60" s="147"/>
      <c r="AQ60" s="147"/>
      <c r="AR60" s="147"/>
      <c r="AS60" s="147"/>
      <c r="AT60" s="147"/>
      <c r="AU60" s="147"/>
      <c r="AV60" s="147"/>
      <c r="AW60" s="147"/>
      <c r="AX60" s="147"/>
      <c r="AY60" s="147"/>
      <c r="AZ60" s="147"/>
      <c r="BA60" s="147"/>
      <c r="BB60" s="147"/>
      <c r="BC60" s="147"/>
      <c r="BD60" s="147"/>
      <c r="BE60" s="147"/>
      <c r="BF60" s="147"/>
      <c r="BG60" s="147"/>
      <c r="BH60" s="147"/>
      <c r="BI60" s="147"/>
      <c r="BJ60" s="147"/>
      <c r="BK60" s="147"/>
      <c r="BL60" s="147"/>
      <c r="BM60" s="147"/>
      <c r="BN60" s="147"/>
      <c r="BO60" s="147"/>
      <c r="BP60" s="147"/>
      <c r="BQ60" s="147"/>
      <c r="BR60" s="147"/>
      <c r="BS60" s="147"/>
      <c r="BT60" s="147"/>
      <c r="BU60" s="147"/>
      <c r="BV60" s="147"/>
      <c r="BW60" s="147"/>
      <c r="BX60" s="147"/>
      <c r="BY60" s="147"/>
      <c r="BZ60" s="147"/>
      <c r="CA60" s="147"/>
      <c r="CB60" s="147"/>
      <c r="CC60" s="147"/>
      <c r="CD60" s="147"/>
      <c r="CE60" s="147"/>
      <c r="CF60" s="147"/>
      <c r="CG60" s="147"/>
      <c r="CH60" s="147"/>
      <c r="CI60" s="147"/>
      <c r="CJ60" s="147"/>
      <c r="CK60" s="147"/>
      <c r="CL60" s="147"/>
      <c r="CM60" s="147"/>
      <c r="CN60" s="147"/>
      <c r="CO60" s="147"/>
      <c r="CP60" s="147"/>
      <c r="CQ60" s="147"/>
      <c r="CR60" s="147"/>
      <c r="CS60" s="147"/>
      <c r="CT60" s="147"/>
      <c r="CU60" s="147"/>
      <c r="CV60" s="147"/>
      <c r="CW60" s="147"/>
      <c r="CX60" s="147"/>
      <c r="CY60" s="147"/>
      <c r="CZ60" s="147"/>
      <c r="DA60" s="147"/>
      <c r="DB60" s="147"/>
      <c r="DC60" s="147"/>
      <c r="DD60" s="147"/>
      <c r="DE60" s="147"/>
      <c r="DF60" s="147"/>
    </row>
    <row r="61" customFormat="false" ht="15" hidden="false" customHeight="true" outlineLevel="0" collapsed="false">
      <c r="A61" s="90"/>
      <c r="C61" s="104"/>
      <c r="D61" s="104"/>
      <c r="E61" s="104"/>
      <c r="F61" s="147"/>
      <c r="G61" s="147"/>
      <c r="H61" s="147"/>
      <c r="I61" s="147"/>
      <c r="J61" s="147"/>
      <c r="K61" s="147"/>
      <c r="L61" s="147"/>
      <c r="M61" s="147"/>
      <c r="N61" s="147"/>
      <c r="O61" s="147"/>
      <c r="P61" s="147"/>
      <c r="Q61" s="147"/>
      <c r="R61" s="147"/>
      <c r="S61" s="147"/>
      <c r="T61" s="147"/>
      <c r="U61" s="147"/>
      <c r="V61" s="147"/>
      <c r="W61" s="147"/>
      <c r="X61" s="147"/>
      <c r="Y61" s="147"/>
      <c r="Z61" s="147"/>
      <c r="AA61" s="147"/>
      <c r="AB61" s="147"/>
      <c r="AC61" s="147"/>
      <c r="AD61" s="147"/>
      <c r="AE61" s="147"/>
      <c r="AF61" s="147"/>
      <c r="AG61" s="147"/>
      <c r="AH61" s="147"/>
      <c r="AI61" s="147"/>
      <c r="AJ61" s="147"/>
      <c r="AK61" s="147"/>
      <c r="AL61" s="147"/>
      <c r="AM61" s="147"/>
      <c r="AN61" s="147"/>
      <c r="AO61" s="147"/>
      <c r="AP61" s="147"/>
      <c r="AQ61" s="147"/>
      <c r="AR61" s="147"/>
      <c r="AS61" s="147"/>
      <c r="AT61" s="147"/>
      <c r="AU61" s="147"/>
      <c r="AV61" s="147"/>
      <c r="AW61" s="147"/>
      <c r="AX61" s="147"/>
      <c r="AY61" s="147"/>
      <c r="AZ61" s="147"/>
      <c r="BA61" s="147"/>
      <c r="BB61" s="147"/>
      <c r="BC61" s="147"/>
      <c r="BD61" s="147"/>
      <c r="BE61" s="147"/>
      <c r="BF61" s="147"/>
      <c r="BG61" s="147"/>
      <c r="BH61" s="147"/>
      <c r="BI61" s="147"/>
      <c r="BJ61" s="147"/>
      <c r="BK61" s="147"/>
      <c r="BL61" s="147"/>
      <c r="BM61" s="147"/>
      <c r="BN61" s="147"/>
      <c r="BO61" s="147"/>
      <c r="BP61" s="147"/>
      <c r="BQ61" s="147"/>
      <c r="BR61" s="147"/>
      <c r="BS61" s="147"/>
      <c r="BT61" s="147"/>
      <c r="BU61" s="147"/>
      <c r="BV61" s="147"/>
      <c r="BW61" s="147"/>
      <c r="BX61" s="147"/>
      <c r="BY61" s="147"/>
      <c r="BZ61" s="147"/>
      <c r="CA61" s="147"/>
      <c r="CB61" s="147"/>
      <c r="CC61" s="147"/>
      <c r="CD61" s="147"/>
      <c r="CE61" s="147"/>
      <c r="CF61" s="147"/>
      <c r="CG61" s="147"/>
      <c r="CH61" s="147"/>
      <c r="CI61" s="147"/>
      <c r="CJ61" s="147"/>
      <c r="CK61" s="147"/>
      <c r="CL61" s="147"/>
      <c r="CM61" s="147"/>
      <c r="CN61" s="147"/>
      <c r="CO61" s="147"/>
      <c r="CP61" s="147"/>
      <c r="CQ61" s="147"/>
      <c r="CR61" s="147"/>
      <c r="CS61" s="147"/>
      <c r="CT61" s="147"/>
      <c r="CU61" s="147"/>
      <c r="CV61" s="147"/>
      <c r="CW61" s="147"/>
      <c r="CX61" s="147"/>
      <c r="CY61" s="147"/>
      <c r="CZ61" s="147"/>
      <c r="DA61" s="147"/>
      <c r="DB61" s="147"/>
      <c r="DC61" s="147"/>
      <c r="DD61" s="147"/>
      <c r="DE61" s="147"/>
      <c r="DF61" s="147"/>
    </row>
    <row r="62" customFormat="false" ht="15" hidden="false" customHeight="true" outlineLevel="0" collapsed="false">
      <c r="A62" s="90"/>
      <c r="C62" s="104"/>
      <c r="D62" s="104"/>
      <c r="E62" s="104"/>
      <c r="F62" s="147"/>
      <c r="G62" s="147"/>
      <c r="H62" s="147"/>
      <c r="I62" s="147"/>
      <c r="J62" s="147"/>
      <c r="K62" s="147"/>
      <c r="L62" s="147"/>
      <c r="M62" s="147"/>
      <c r="N62" s="147"/>
      <c r="O62" s="147"/>
      <c r="P62" s="147"/>
      <c r="Q62" s="147"/>
      <c r="R62" s="147"/>
      <c r="S62" s="147"/>
      <c r="T62" s="147"/>
      <c r="U62" s="147"/>
      <c r="V62" s="147"/>
      <c r="W62" s="147"/>
      <c r="X62" s="147"/>
      <c r="Y62" s="147"/>
      <c r="Z62" s="147"/>
      <c r="AA62" s="147"/>
      <c r="AB62" s="147"/>
      <c r="AC62" s="147"/>
      <c r="AD62" s="147"/>
      <c r="AE62" s="147"/>
      <c r="AF62" s="147"/>
      <c r="AG62" s="147"/>
      <c r="AH62" s="147"/>
      <c r="AI62" s="147"/>
      <c r="AJ62" s="147"/>
      <c r="AK62" s="147"/>
      <c r="AL62" s="147"/>
      <c r="AM62" s="147"/>
      <c r="AN62" s="147"/>
      <c r="AO62" s="147"/>
      <c r="AP62" s="147"/>
      <c r="AQ62" s="147"/>
      <c r="AR62" s="147"/>
      <c r="AS62" s="147"/>
      <c r="AT62" s="147"/>
      <c r="AU62" s="147"/>
      <c r="AV62" s="147"/>
      <c r="AW62" s="147"/>
      <c r="AX62" s="147"/>
      <c r="AY62" s="147"/>
      <c r="AZ62" s="147"/>
      <c r="BA62" s="147"/>
      <c r="BB62" s="147"/>
      <c r="BC62" s="147"/>
      <c r="BD62" s="147"/>
      <c r="BE62" s="147"/>
      <c r="BF62" s="147"/>
      <c r="BG62" s="147"/>
      <c r="BH62" s="147"/>
      <c r="BI62" s="147"/>
      <c r="BJ62" s="147"/>
      <c r="BK62" s="147"/>
      <c r="BL62" s="147"/>
      <c r="BM62" s="147"/>
      <c r="BN62" s="147"/>
      <c r="BO62" s="147"/>
      <c r="BP62" s="147"/>
      <c r="BQ62" s="147"/>
      <c r="BR62" s="147"/>
      <c r="BS62" s="147"/>
      <c r="BT62" s="147"/>
      <c r="BU62" s="147"/>
      <c r="BV62" s="147"/>
      <c r="BW62" s="147"/>
      <c r="BX62" s="147"/>
      <c r="BY62" s="147"/>
      <c r="BZ62" s="147"/>
      <c r="CA62" s="147"/>
      <c r="CB62" s="147"/>
      <c r="CC62" s="147"/>
      <c r="CD62" s="147"/>
      <c r="CE62" s="147"/>
      <c r="CF62" s="147"/>
      <c r="CG62" s="147"/>
      <c r="CH62" s="147"/>
      <c r="CI62" s="147"/>
      <c r="CJ62" s="147"/>
      <c r="CK62" s="147"/>
      <c r="CL62" s="147"/>
      <c r="CM62" s="147"/>
      <c r="CN62" s="147"/>
      <c r="CO62" s="147"/>
      <c r="CP62" s="147"/>
      <c r="CQ62" s="147"/>
      <c r="CR62" s="147"/>
      <c r="CS62" s="147"/>
      <c r="CT62" s="147"/>
      <c r="CU62" s="147"/>
      <c r="CV62" s="147"/>
      <c r="CW62" s="147"/>
      <c r="CX62" s="147"/>
      <c r="CY62" s="147"/>
      <c r="CZ62" s="147"/>
      <c r="DA62" s="147"/>
      <c r="DB62" s="147"/>
      <c r="DC62" s="147"/>
      <c r="DD62" s="147"/>
      <c r="DE62" s="147"/>
      <c r="DF62" s="147"/>
    </row>
    <row r="63" customFormat="false" ht="15" hidden="false" customHeight="true" outlineLevel="0" collapsed="false">
      <c r="A63" s="90" t="s">
        <v>118</v>
      </c>
      <c r="C63" s="104" t="n">
        <v>0</v>
      </c>
      <c r="D63" s="104" t="n">
        <v>0</v>
      </c>
      <c r="E63" s="104" t="n">
        <v>0</v>
      </c>
      <c r="F63" s="147" t="n">
        <v>0</v>
      </c>
      <c r="G63" s="147" t="n">
        <v>0</v>
      </c>
      <c r="H63" s="147" t="n">
        <v>0</v>
      </c>
      <c r="I63" s="147" t="n">
        <v>0</v>
      </c>
      <c r="J63" s="147" t="n">
        <v>0</v>
      </c>
      <c r="K63" s="147" t="n">
        <v>0</v>
      </c>
      <c r="L63" s="147" t="n">
        <v>0</v>
      </c>
      <c r="M63" s="147" t="n">
        <v>0</v>
      </c>
      <c r="N63" s="147" t="n">
        <v>0</v>
      </c>
      <c r="O63" s="147" t="n">
        <v>0</v>
      </c>
      <c r="P63" s="147" t="n">
        <v>0</v>
      </c>
      <c r="Q63" s="147" t="n">
        <v>0</v>
      </c>
      <c r="R63" s="147" t="n">
        <v>0</v>
      </c>
      <c r="S63" s="147" t="n">
        <v>0</v>
      </c>
      <c r="T63" s="147" t="n">
        <v>0</v>
      </c>
      <c r="U63" s="147" t="n">
        <v>0</v>
      </c>
      <c r="V63" s="147" t="n">
        <v>0</v>
      </c>
      <c r="W63" s="147" t="n">
        <v>0</v>
      </c>
      <c r="X63" s="147" t="n">
        <v>0</v>
      </c>
      <c r="Y63" s="147" t="n">
        <v>0</v>
      </c>
      <c r="Z63" s="147" t="n">
        <v>0</v>
      </c>
      <c r="AA63" s="147" t="n">
        <v>0</v>
      </c>
      <c r="AB63" s="147" t="n">
        <v>0</v>
      </c>
      <c r="AC63" s="147" t="n">
        <v>0</v>
      </c>
      <c r="AD63" s="147" t="n">
        <v>0</v>
      </c>
      <c r="AE63" s="147" t="n">
        <v>0</v>
      </c>
      <c r="AF63" s="147" t="n">
        <v>0</v>
      </c>
      <c r="AG63" s="147" t="n">
        <v>0</v>
      </c>
      <c r="AH63" s="147" t="n">
        <v>0</v>
      </c>
      <c r="AI63" s="147" t="n">
        <v>0</v>
      </c>
      <c r="AJ63" s="147" t="n">
        <v>0</v>
      </c>
      <c r="AK63" s="147" t="n">
        <v>0</v>
      </c>
      <c r="AL63" s="147" t="n">
        <v>0</v>
      </c>
      <c r="AM63" s="147" t="n">
        <v>0</v>
      </c>
      <c r="AN63" s="147" t="n">
        <v>0</v>
      </c>
      <c r="AO63" s="147" t="n">
        <v>0</v>
      </c>
      <c r="AP63" s="147" t="n">
        <v>0</v>
      </c>
      <c r="AQ63" s="147" t="n">
        <v>0</v>
      </c>
      <c r="AR63" s="147" t="n">
        <v>0</v>
      </c>
      <c r="AS63" s="147" t="n">
        <v>0</v>
      </c>
      <c r="AT63" s="147" t="n">
        <v>0</v>
      </c>
      <c r="AU63" s="147" t="n">
        <v>0</v>
      </c>
      <c r="AV63" s="147" t="n">
        <v>0</v>
      </c>
      <c r="AW63" s="147" t="n">
        <v>0</v>
      </c>
      <c r="AX63" s="147" t="n">
        <v>0</v>
      </c>
      <c r="AY63" s="147" t="n">
        <v>0</v>
      </c>
      <c r="AZ63" s="147" t="n">
        <v>0</v>
      </c>
      <c r="BA63" s="147" t="n">
        <v>0</v>
      </c>
      <c r="BB63" s="147" t="n">
        <v>0</v>
      </c>
      <c r="BC63" s="147" t="n">
        <v>0</v>
      </c>
      <c r="BD63" s="147" t="n">
        <v>0</v>
      </c>
      <c r="BE63" s="147" t="n">
        <v>0</v>
      </c>
      <c r="BF63" s="147" t="n">
        <v>0</v>
      </c>
      <c r="BG63" s="147" t="n">
        <v>0</v>
      </c>
      <c r="BH63" s="147" t="n">
        <v>0</v>
      </c>
      <c r="BI63" s="147" t="n">
        <v>0</v>
      </c>
      <c r="BJ63" s="147" t="n">
        <v>0</v>
      </c>
      <c r="BK63" s="147" t="n">
        <v>0</v>
      </c>
      <c r="BL63" s="147" t="n">
        <v>0</v>
      </c>
      <c r="BM63" s="147" t="n">
        <v>0</v>
      </c>
      <c r="BN63" s="147" t="n">
        <v>0</v>
      </c>
      <c r="BO63" s="147" t="n">
        <v>0</v>
      </c>
      <c r="BP63" s="147" t="n">
        <v>0</v>
      </c>
      <c r="BQ63" s="147" t="n">
        <v>0</v>
      </c>
      <c r="BR63" s="147" t="n">
        <v>0</v>
      </c>
      <c r="BS63" s="147" t="n">
        <v>0</v>
      </c>
      <c r="BT63" s="147" t="n">
        <v>0</v>
      </c>
      <c r="BU63" s="147" t="n">
        <v>0</v>
      </c>
      <c r="BV63" s="147" t="n">
        <v>0</v>
      </c>
      <c r="BW63" s="147" t="n">
        <v>0</v>
      </c>
      <c r="BX63" s="147" t="n">
        <v>0</v>
      </c>
      <c r="BY63" s="147" t="n">
        <v>0</v>
      </c>
      <c r="BZ63" s="147" t="n">
        <v>0</v>
      </c>
      <c r="CA63" s="147" t="n">
        <v>0</v>
      </c>
      <c r="CB63" s="147" t="n">
        <v>0</v>
      </c>
      <c r="CC63" s="147" t="n">
        <v>0</v>
      </c>
      <c r="CD63" s="147" t="n">
        <v>0</v>
      </c>
      <c r="CE63" s="147" t="n">
        <v>0</v>
      </c>
      <c r="CF63" s="147" t="n">
        <v>0</v>
      </c>
      <c r="CG63" s="147" t="n">
        <v>0</v>
      </c>
      <c r="CH63" s="147" t="n">
        <v>0</v>
      </c>
      <c r="CI63" s="147" t="n">
        <v>0</v>
      </c>
      <c r="CJ63" s="147" t="n">
        <v>0</v>
      </c>
      <c r="CK63" s="147" t="n">
        <v>0</v>
      </c>
      <c r="CL63" s="147" t="n">
        <v>0</v>
      </c>
      <c r="CM63" s="147" t="n">
        <v>0</v>
      </c>
      <c r="CN63" s="147" t="n">
        <v>0</v>
      </c>
      <c r="CO63" s="147" t="n">
        <v>0</v>
      </c>
      <c r="CP63" s="147" t="n">
        <v>0</v>
      </c>
      <c r="CQ63" s="147" t="n">
        <v>0</v>
      </c>
      <c r="CR63" s="147" t="n">
        <v>0</v>
      </c>
      <c r="CS63" s="147" t="n">
        <v>0</v>
      </c>
      <c r="CT63" s="147" t="n">
        <v>0</v>
      </c>
      <c r="CU63" s="147" t="n">
        <v>0</v>
      </c>
      <c r="CV63" s="147" t="n">
        <v>0</v>
      </c>
      <c r="CW63" s="147" t="n">
        <v>0</v>
      </c>
      <c r="CX63" s="147" t="n">
        <v>0</v>
      </c>
      <c r="CY63" s="147" t="n">
        <v>0</v>
      </c>
      <c r="CZ63" s="147" t="n">
        <v>0</v>
      </c>
      <c r="DA63" s="147" t="n">
        <v>0</v>
      </c>
      <c r="DB63" s="147" t="n">
        <v>0</v>
      </c>
      <c r="DC63" s="147" t="n">
        <v>0</v>
      </c>
      <c r="DD63" s="147" t="n">
        <v>0</v>
      </c>
      <c r="DE63" s="147" t="n">
        <v>0</v>
      </c>
      <c r="DF63" s="147" t="n">
        <v>0</v>
      </c>
    </row>
    <row r="64" customFormat="false" ht="15" hidden="false" customHeight="true" outlineLevel="0" collapsed="false">
      <c r="A64" s="90" t="s">
        <v>101</v>
      </c>
      <c r="C64" s="104" t="n">
        <v>833.33</v>
      </c>
      <c r="D64" s="104" t="n">
        <v>833.33</v>
      </c>
      <c r="E64" s="104" t="n">
        <v>833.33</v>
      </c>
      <c r="F64" s="147" t="n">
        <v>833.33</v>
      </c>
      <c r="G64" s="147" t="n">
        <v>833.33</v>
      </c>
      <c r="H64" s="147" t="n">
        <v>833.33</v>
      </c>
      <c r="I64" s="147" t="n">
        <v>833.33</v>
      </c>
      <c r="J64" s="147" t="n">
        <v>833.33</v>
      </c>
      <c r="K64" s="147" t="n">
        <v>0</v>
      </c>
      <c r="L64" s="147" t="n">
        <v>0</v>
      </c>
      <c r="M64" s="147" t="n">
        <v>0</v>
      </c>
      <c r="N64" s="147" t="n">
        <v>0</v>
      </c>
      <c r="O64" s="147" t="n">
        <v>0</v>
      </c>
      <c r="P64" s="147" t="n">
        <v>0</v>
      </c>
      <c r="Q64" s="147" t="n">
        <v>0</v>
      </c>
      <c r="R64" s="147" t="n">
        <v>0</v>
      </c>
      <c r="S64" s="147" t="n">
        <v>0</v>
      </c>
      <c r="T64" s="147" t="n">
        <v>0</v>
      </c>
      <c r="U64" s="147" t="n">
        <v>0</v>
      </c>
      <c r="V64" s="147" t="n">
        <v>0</v>
      </c>
      <c r="W64" s="147" t="n">
        <v>0</v>
      </c>
      <c r="X64" s="147" t="n">
        <v>0</v>
      </c>
      <c r="Y64" s="147" t="n">
        <v>0</v>
      </c>
      <c r="Z64" s="147" t="n">
        <v>0</v>
      </c>
      <c r="AA64" s="147" t="n">
        <v>0</v>
      </c>
      <c r="AB64" s="147" t="n">
        <v>0</v>
      </c>
      <c r="AC64" s="147" t="n">
        <v>0</v>
      </c>
      <c r="AD64" s="147" t="n">
        <v>0</v>
      </c>
      <c r="AE64" s="147" t="n">
        <v>0</v>
      </c>
      <c r="AF64" s="147" t="n">
        <v>0</v>
      </c>
      <c r="AG64" s="147" t="n">
        <v>0</v>
      </c>
      <c r="AH64" s="147" t="n">
        <v>0</v>
      </c>
      <c r="AI64" s="147" t="n">
        <v>0</v>
      </c>
      <c r="AJ64" s="147" t="n">
        <v>0</v>
      </c>
      <c r="AK64" s="147" t="n">
        <v>0</v>
      </c>
      <c r="AL64" s="147" t="n">
        <v>0</v>
      </c>
      <c r="AM64" s="147" t="n">
        <v>0</v>
      </c>
      <c r="AN64" s="147" t="n">
        <v>0</v>
      </c>
      <c r="AO64" s="147" t="n">
        <v>0</v>
      </c>
      <c r="AP64" s="147" t="n">
        <v>0</v>
      </c>
      <c r="AQ64" s="147" t="n">
        <v>0</v>
      </c>
      <c r="AR64" s="147" t="n">
        <v>0</v>
      </c>
      <c r="AS64" s="147" t="n">
        <v>0</v>
      </c>
      <c r="AT64" s="147" t="n">
        <v>0</v>
      </c>
      <c r="AU64" s="147" t="n">
        <v>0</v>
      </c>
      <c r="AV64" s="147" t="n">
        <v>0</v>
      </c>
      <c r="AW64" s="147" t="n">
        <v>0</v>
      </c>
      <c r="AX64" s="147" t="n">
        <v>0</v>
      </c>
      <c r="AY64" s="147" t="n">
        <v>0</v>
      </c>
      <c r="AZ64" s="147" t="n">
        <v>0</v>
      </c>
      <c r="BA64" s="147" t="n">
        <v>0</v>
      </c>
      <c r="BB64" s="147" t="n">
        <v>0</v>
      </c>
      <c r="BC64" s="147" t="n">
        <v>0</v>
      </c>
      <c r="BD64" s="147" t="n">
        <v>0</v>
      </c>
      <c r="BE64" s="147" t="n">
        <v>0</v>
      </c>
      <c r="BF64" s="147" t="n">
        <v>0</v>
      </c>
      <c r="BG64" s="147" t="n">
        <v>0</v>
      </c>
      <c r="BH64" s="147" t="n">
        <v>0</v>
      </c>
      <c r="BI64" s="147" t="n">
        <v>0</v>
      </c>
      <c r="BJ64" s="147" t="n">
        <v>0</v>
      </c>
      <c r="BK64" s="147" t="n">
        <v>0</v>
      </c>
      <c r="BL64" s="147" t="n">
        <v>0</v>
      </c>
      <c r="BM64" s="147" t="n">
        <v>0</v>
      </c>
      <c r="BN64" s="147" t="n">
        <v>0</v>
      </c>
      <c r="BO64" s="147" t="n">
        <v>0</v>
      </c>
      <c r="BP64" s="147" t="n">
        <v>0</v>
      </c>
      <c r="BQ64" s="147" t="n">
        <v>0</v>
      </c>
      <c r="BR64" s="147" t="n">
        <v>0</v>
      </c>
      <c r="BS64" s="147" t="n">
        <v>0</v>
      </c>
      <c r="BT64" s="147" t="n">
        <v>0</v>
      </c>
      <c r="BU64" s="147" t="n">
        <v>0</v>
      </c>
      <c r="BV64" s="147" t="n">
        <v>0</v>
      </c>
      <c r="BW64" s="147" t="n">
        <v>0</v>
      </c>
      <c r="BX64" s="147" t="n">
        <v>0</v>
      </c>
      <c r="BY64" s="147" t="n">
        <v>0</v>
      </c>
      <c r="BZ64" s="147" t="n">
        <v>0</v>
      </c>
      <c r="CA64" s="147" t="n">
        <v>0</v>
      </c>
      <c r="CB64" s="147" t="n">
        <v>0</v>
      </c>
      <c r="CC64" s="147" t="n">
        <v>0</v>
      </c>
      <c r="CD64" s="147" t="n">
        <v>0</v>
      </c>
      <c r="CE64" s="147" t="n">
        <v>0</v>
      </c>
      <c r="CF64" s="147" t="n">
        <v>0</v>
      </c>
      <c r="CG64" s="147" t="n">
        <v>0</v>
      </c>
      <c r="CH64" s="147" t="n">
        <v>0</v>
      </c>
      <c r="CI64" s="147" t="n">
        <v>0</v>
      </c>
      <c r="CJ64" s="147" t="n">
        <v>0</v>
      </c>
      <c r="CK64" s="147" t="n">
        <v>0</v>
      </c>
      <c r="CL64" s="147" t="n">
        <v>0</v>
      </c>
      <c r="CM64" s="147" t="n">
        <v>0</v>
      </c>
      <c r="CN64" s="147" t="n">
        <v>0</v>
      </c>
      <c r="CO64" s="147" t="n">
        <v>0</v>
      </c>
      <c r="CP64" s="147" t="n">
        <v>0</v>
      </c>
      <c r="CQ64" s="147" t="n">
        <v>0</v>
      </c>
      <c r="CR64" s="147" t="n">
        <v>0</v>
      </c>
      <c r="CS64" s="147" t="n">
        <v>0</v>
      </c>
      <c r="CT64" s="147" t="n">
        <v>0</v>
      </c>
      <c r="CU64" s="147" t="n">
        <v>0</v>
      </c>
      <c r="CV64" s="147" t="n">
        <v>0</v>
      </c>
      <c r="CW64" s="147" t="n">
        <v>0</v>
      </c>
      <c r="CX64" s="147" t="n">
        <v>0</v>
      </c>
      <c r="CY64" s="147" t="n">
        <v>0</v>
      </c>
      <c r="CZ64" s="147" t="n">
        <v>0</v>
      </c>
      <c r="DA64" s="147" t="n">
        <v>0</v>
      </c>
      <c r="DB64" s="147" t="n">
        <v>0</v>
      </c>
      <c r="DC64" s="147" t="n">
        <v>0</v>
      </c>
      <c r="DD64" s="147" t="n">
        <v>0</v>
      </c>
      <c r="DE64" s="147" t="n">
        <v>0</v>
      </c>
      <c r="DF64" s="147" t="n">
        <v>0</v>
      </c>
    </row>
    <row r="65" customFormat="false" ht="15" hidden="false" customHeight="true" outlineLevel="0" collapsed="false">
      <c r="A65" s="90" t="s">
        <v>102</v>
      </c>
      <c r="C65" s="104" t="n">
        <v>23906.25</v>
      </c>
      <c r="D65" s="104" t="n">
        <v>23906.25</v>
      </c>
      <c r="E65" s="104" t="n">
        <v>23906.25</v>
      </c>
      <c r="F65" s="147" t="n">
        <v>23906.25</v>
      </c>
      <c r="G65" s="147" t="n">
        <v>23906.25</v>
      </c>
      <c r="H65" s="147" t="n">
        <v>23906.25</v>
      </c>
      <c r="I65" s="147" t="n">
        <v>23906.25</v>
      </c>
      <c r="J65" s="147" t="n">
        <v>23906.25</v>
      </c>
      <c r="K65" s="147" t="n">
        <v>23906.25</v>
      </c>
      <c r="L65" s="147" t="n">
        <v>23906.25</v>
      </c>
      <c r="M65" s="147" t="n">
        <v>23906.25</v>
      </c>
      <c r="N65" s="147" t="n">
        <v>23906.25</v>
      </c>
      <c r="O65" s="147" t="n">
        <v>23906.25</v>
      </c>
      <c r="P65" s="147" t="n">
        <v>23906.25</v>
      </c>
      <c r="Q65" s="147" t="n">
        <v>23906.25</v>
      </c>
      <c r="R65" s="147" t="n">
        <v>23906.25</v>
      </c>
      <c r="S65" s="147" t="n">
        <v>23906.25</v>
      </c>
      <c r="T65" s="147" t="n">
        <v>23906.25</v>
      </c>
      <c r="U65" s="147" t="n">
        <v>0</v>
      </c>
      <c r="V65" s="147" t="n">
        <v>0</v>
      </c>
      <c r="W65" s="147" t="n">
        <v>0</v>
      </c>
      <c r="X65" s="147" t="n">
        <v>0</v>
      </c>
      <c r="Y65" s="147" t="n">
        <v>0</v>
      </c>
      <c r="Z65" s="147" t="n">
        <v>0</v>
      </c>
      <c r="AA65" s="147" t="n">
        <v>0</v>
      </c>
      <c r="AB65" s="147" t="n">
        <v>0</v>
      </c>
      <c r="AC65" s="147" t="n">
        <v>0</v>
      </c>
      <c r="AD65" s="147" t="n">
        <v>0</v>
      </c>
      <c r="AE65" s="147" t="n">
        <v>0</v>
      </c>
      <c r="AF65" s="147" t="n">
        <v>0</v>
      </c>
      <c r="AG65" s="147" t="n">
        <v>0</v>
      </c>
      <c r="AH65" s="147" t="n">
        <v>0</v>
      </c>
      <c r="AI65" s="147" t="n">
        <v>0</v>
      </c>
      <c r="AJ65" s="147" t="n">
        <v>0</v>
      </c>
      <c r="AK65" s="147" t="n">
        <v>0</v>
      </c>
      <c r="AL65" s="147" t="n">
        <v>0</v>
      </c>
      <c r="AM65" s="147" t="n">
        <v>0</v>
      </c>
      <c r="AN65" s="147" t="n">
        <v>0</v>
      </c>
      <c r="AO65" s="147" t="n">
        <v>0</v>
      </c>
      <c r="AP65" s="147" t="n">
        <v>0</v>
      </c>
      <c r="AQ65" s="147" t="n">
        <v>0</v>
      </c>
      <c r="AR65" s="147" t="n">
        <v>0</v>
      </c>
      <c r="AS65" s="147" t="n">
        <v>0</v>
      </c>
      <c r="AT65" s="147" t="n">
        <v>0</v>
      </c>
      <c r="AU65" s="147" t="n">
        <v>0</v>
      </c>
      <c r="AV65" s="147" t="n">
        <v>0</v>
      </c>
      <c r="AW65" s="147" t="n">
        <v>0</v>
      </c>
      <c r="AX65" s="147" t="n">
        <v>0</v>
      </c>
      <c r="AY65" s="147" t="n">
        <v>0</v>
      </c>
      <c r="AZ65" s="147" t="n">
        <v>0</v>
      </c>
      <c r="BA65" s="147" t="n">
        <v>0</v>
      </c>
      <c r="BB65" s="147" t="n">
        <v>0</v>
      </c>
      <c r="BC65" s="147" t="n">
        <v>0</v>
      </c>
      <c r="BD65" s="147" t="n">
        <v>0</v>
      </c>
      <c r="BE65" s="147" t="n">
        <v>0</v>
      </c>
      <c r="BF65" s="147" t="n">
        <v>0</v>
      </c>
      <c r="BG65" s="147" t="n">
        <v>0</v>
      </c>
      <c r="BH65" s="147" t="n">
        <v>0</v>
      </c>
      <c r="BI65" s="147" t="n">
        <v>0</v>
      </c>
      <c r="BJ65" s="147" t="n">
        <v>0</v>
      </c>
      <c r="BK65" s="147" t="n">
        <v>0</v>
      </c>
      <c r="BL65" s="147" t="n">
        <v>0</v>
      </c>
      <c r="BM65" s="147" t="n">
        <v>0</v>
      </c>
      <c r="BN65" s="147" t="n">
        <v>0</v>
      </c>
      <c r="BO65" s="147" t="n">
        <v>0</v>
      </c>
      <c r="BP65" s="147" t="n">
        <v>0</v>
      </c>
      <c r="BQ65" s="147" t="n">
        <v>0</v>
      </c>
      <c r="BR65" s="147" t="n">
        <v>0</v>
      </c>
      <c r="BS65" s="147" t="n">
        <v>0</v>
      </c>
      <c r="BT65" s="147" t="n">
        <v>0</v>
      </c>
      <c r="BU65" s="147" t="n">
        <v>0</v>
      </c>
      <c r="BV65" s="147" t="n">
        <v>0</v>
      </c>
      <c r="BW65" s="147" t="n">
        <v>0</v>
      </c>
      <c r="BX65" s="147" t="n">
        <v>0</v>
      </c>
      <c r="BY65" s="147" t="n">
        <v>0</v>
      </c>
      <c r="BZ65" s="147" t="n">
        <v>0</v>
      </c>
      <c r="CA65" s="147" t="n">
        <v>0</v>
      </c>
      <c r="CB65" s="147" t="n">
        <v>0</v>
      </c>
      <c r="CC65" s="147" t="n">
        <v>0</v>
      </c>
      <c r="CD65" s="147" t="n">
        <v>0</v>
      </c>
      <c r="CE65" s="147" t="n">
        <v>0</v>
      </c>
      <c r="CF65" s="147" t="n">
        <v>0</v>
      </c>
      <c r="CG65" s="147" t="n">
        <v>0</v>
      </c>
      <c r="CH65" s="147" t="n">
        <v>0</v>
      </c>
      <c r="CI65" s="147" t="n">
        <v>0</v>
      </c>
      <c r="CJ65" s="147" t="n">
        <v>0</v>
      </c>
      <c r="CK65" s="147" t="n">
        <v>0</v>
      </c>
      <c r="CL65" s="147" t="n">
        <v>0</v>
      </c>
      <c r="CM65" s="147" t="n">
        <v>0</v>
      </c>
      <c r="CN65" s="147" t="n">
        <v>0</v>
      </c>
      <c r="CO65" s="147" t="n">
        <v>0</v>
      </c>
      <c r="CP65" s="147" t="n">
        <v>0</v>
      </c>
      <c r="CQ65" s="147" t="n">
        <v>0</v>
      </c>
      <c r="CR65" s="147" t="n">
        <v>0</v>
      </c>
      <c r="CS65" s="147" t="n">
        <v>0</v>
      </c>
      <c r="CT65" s="147" t="n">
        <v>0</v>
      </c>
      <c r="CU65" s="147" t="n">
        <v>0</v>
      </c>
      <c r="CV65" s="147" t="n">
        <v>0</v>
      </c>
      <c r="CW65" s="147" t="n">
        <v>0</v>
      </c>
      <c r="CX65" s="147" t="n">
        <v>0</v>
      </c>
      <c r="CY65" s="147" t="n">
        <v>0</v>
      </c>
      <c r="CZ65" s="147" t="n">
        <v>0</v>
      </c>
      <c r="DA65" s="147" t="n">
        <v>0</v>
      </c>
      <c r="DB65" s="147" t="n">
        <v>0</v>
      </c>
      <c r="DC65" s="147" t="n">
        <v>0</v>
      </c>
      <c r="DD65" s="147" t="n">
        <v>0</v>
      </c>
      <c r="DE65" s="147" t="n">
        <v>0</v>
      </c>
      <c r="DF65" s="147" t="n">
        <v>0</v>
      </c>
    </row>
    <row r="66" customFormat="false" ht="15" hidden="false" customHeight="true" outlineLevel="0" collapsed="false">
      <c r="A66" s="90" t="s">
        <v>103</v>
      </c>
      <c r="C66" s="104" t="n">
        <v>0</v>
      </c>
      <c r="D66" s="104" t="n">
        <v>0</v>
      </c>
      <c r="E66" s="104" t="n">
        <v>0</v>
      </c>
      <c r="F66" s="147" t="n">
        <v>0</v>
      </c>
      <c r="G66" s="147" t="n">
        <v>0</v>
      </c>
      <c r="H66" s="147" t="n">
        <v>0</v>
      </c>
      <c r="I66" s="147" t="n">
        <v>0</v>
      </c>
      <c r="J66" s="147" t="n">
        <v>0</v>
      </c>
      <c r="K66" s="147" t="n">
        <v>0</v>
      </c>
      <c r="L66" s="147" t="n">
        <v>0</v>
      </c>
      <c r="M66" s="147" t="n">
        <v>0</v>
      </c>
      <c r="N66" s="147" t="n">
        <v>0</v>
      </c>
      <c r="O66" s="147" t="n">
        <v>0</v>
      </c>
      <c r="P66" s="147" t="n">
        <v>0</v>
      </c>
      <c r="Q66" s="147" t="n">
        <v>0</v>
      </c>
      <c r="R66" s="147" t="n">
        <v>0</v>
      </c>
      <c r="S66" s="147" t="n">
        <v>0</v>
      </c>
      <c r="T66" s="147" t="n">
        <v>0</v>
      </c>
      <c r="U66" s="147" t="n">
        <v>0</v>
      </c>
      <c r="V66" s="147" t="n">
        <v>0</v>
      </c>
      <c r="W66" s="147" t="n">
        <v>0</v>
      </c>
      <c r="X66" s="147" t="n">
        <v>0</v>
      </c>
      <c r="Y66" s="147" t="n">
        <v>0</v>
      </c>
      <c r="Z66" s="147" t="n">
        <v>57375</v>
      </c>
      <c r="AA66" s="147" t="n">
        <v>0</v>
      </c>
      <c r="AB66" s="147" t="n">
        <v>0</v>
      </c>
      <c r="AC66" s="147" t="n">
        <v>0</v>
      </c>
      <c r="AD66" s="147" t="n">
        <v>0</v>
      </c>
      <c r="AE66" s="147" t="n">
        <v>0</v>
      </c>
      <c r="AF66" s="147" t="n">
        <v>0</v>
      </c>
      <c r="AG66" s="147" t="n">
        <v>0</v>
      </c>
      <c r="AH66" s="147" t="n">
        <v>0</v>
      </c>
      <c r="AI66" s="147" t="n">
        <v>0</v>
      </c>
      <c r="AJ66" s="147" t="n">
        <v>0</v>
      </c>
      <c r="AK66" s="147" t="n">
        <v>0</v>
      </c>
      <c r="AL66" s="147" t="n">
        <v>0</v>
      </c>
      <c r="AM66" s="147" t="n">
        <v>0</v>
      </c>
      <c r="AN66" s="147" t="n">
        <v>0</v>
      </c>
      <c r="AO66" s="147" t="n">
        <v>0</v>
      </c>
      <c r="AP66" s="147" t="n">
        <v>0</v>
      </c>
      <c r="AQ66" s="147" t="n">
        <v>0</v>
      </c>
      <c r="AR66" s="147" t="n">
        <v>0</v>
      </c>
      <c r="AS66" s="147" t="n">
        <v>0</v>
      </c>
      <c r="AT66" s="147" t="n">
        <v>0</v>
      </c>
      <c r="AU66" s="147" t="n">
        <v>0</v>
      </c>
      <c r="AV66" s="147" t="n">
        <v>0</v>
      </c>
      <c r="AW66" s="147" t="n">
        <v>0</v>
      </c>
      <c r="AX66" s="147" t="n">
        <v>0</v>
      </c>
      <c r="AY66" s="147" t="n">
        <v>0</v>
      </c>
      <c r="AZ66" s="147" t="n">
        <v>0</v>
      </c>
      <c r="BA66" s="147" t="n">
        <v>0</v>
      </c>
      <c r="BB66" s="147" t="n">
        <v>0</v>
      </c>
      <c r="BC66" s="147" t="n">
        <v>0</v>
      </c>
      <c r="BD66" s="147" t="n">
        <v>0</v>
      </c>
      <c r="BE66" s="147" t="n">
        <v>0</v>
      </c>
      <c r="BF66" s="147" t="n">
        <v>0</v>
      </c>
      <c r="BG66" s="147" t="n">
        <v>0</v>
      </c>
      <c r="BH66" s="147" t="n">
        <v>0</v>
      </c>
      <c r="BI66" s="147" t="n">
        <v>0</v>
      </c>
      <c r="BJ66" s="147" t="n">
        <v>0</v>
      </c>
      <c r="BK66" s="147" t="n">
        <v>0</v>
      </c>
      <c r="BL66" s="147" t="n">
        <v>0</v>
      </c>
      <c r="BM66" s="147" t="n">
        <v>0</v>
      </c>
      <c r="BN66" s="147" t="n">
        <v>0</v>
      </c>
      <c r="BO66" s="147" t="n">
        <v>0</v>
      </c>
      <c r="BP66" s="147" t="n">
        <v>0</v>
      </c>
      <c r="BQ66" s="147" t="n">
        <v>0</v>
      </c>
      <c r="BR66" s="147" t="n">
        <v>0</v>
      </c>
      <c r="BS66" s="147" t="n">
        <v>0</v>
      </c>
      <c r="BT66" s="147" t="n">
        <v>0</v>
      </c>
      <c r="BU66" s="147" t="n">
        <v>0</v>
      </c>
      <c r="BV66" s="147" t="n">
        <v>0</v>
      </c>
      <c r="BW66" s="147" t="n">
        <v>0</v>
      </c>
      <c r="BX66" s="147" t="n">
        <v>0</v>
      </c>
      <c r="BY66" s="147" t="n">
        <v>0</v>
      </c>
      <c r="BZ66" s="147" t="n">
        <v>0</v>
      </c>
      <c r="CA66" s="147" t="n">
        <v>0</v>
      </c>
      <c r="CB66" s="147" t="n">
        <v>0</v>
      </c>
      <c r="CC66" s="147" t="n">
        <v>0</v>
      </c>
      <c r="CD66" s="147" t="n">
        <v>0</v>
      </c>
      <c r="CE66" s="147" t="n">
        <v>0</v>
      </c>
      <c r="CF66" s="147" t="n">
        <v>0</v>
      </c>
      <c r="CG66" s="147" t="n">
        <v>0</v>
      </c>
      <c r="CH66" s="147" t="n">
        <v>0</v>
      </c>
      <c r="CI66" s="147" t="n">
        <v>0</v>
      </c>
      <c r="CJ66" s="147" t="n">
        <v>0</v>
      </c>
      <c r="CK66" s="147" t="n">
        <v>0</v>
      </c>
      <c r="CL66" s="147" t="n">
        <v>0</v>
      </c>
      <c r="CM66" s="147" t="n">
        <v>0</v>
      </c>
      <c r="CN66" s="147" t="n">
        <v>0</v>
      </c>
      <c r="CO66" s="147" t="n">
        <v>0</v>
      </c>
      <c r="CP66" s="147" t="n">
        <v>0</v>
      </c>
      <c r="CQ66" s="147" t="n">
        <v>0</v>
      </c>
      <c r="CR66" s="147" t="n">
        <v>0</v>
      </c>
      <c r="CS66" s="147" t="n">
        <v>0</v>
      </c>
      <c r="CT66" s="147" t="n">
        <v>0</v>
      </c>
      <c r="CU66" s="147" t="n">
        <v>0</v>
      </c>
      <c r="CV66" s="147" t="n">
        <v>0</v>
      </c>
      <c r="CW66" s="147" t="n">
        <v>0</v>
      </c>
      <c r="CX66" s="147" t="n">
        <v>0</v>
      </c>
      <c r="CY66" s="147" t="n">
        <v>0</v>
      </c>
      <c r="CZ66" s="147" t="n">
        <v>0</v>
      </c>
      <c r="DA66" s="147" t="n">
        <v>0</v>
      </c>
      <c r="DB66" s="147" t="n">
        <v>0</v>
      </c>
      <c r="DC66" s="147" t="n">
        <v>0</v>
      </c>
      <c r="DD66" s="147" t="n">
        <v>0</v>
      </c>
      <c r="DE66" s="147" t="n">
        <v>0</v>
      </c>
      <c r="DF66" s="147" t="n">
        <v>0</v>
      </c>
    </row>
    <row r="67" customFormat="false" ht="15" hidden="false" customHeight="true" outlineLevel="0" collapsed="false">
      <c r="A67" s="90" t="s">
        <v>104</v>
      </c>
      <c r="C67" s="104" t="n">
        <v>0</v>
      </c>
      <c r="D67" s="104" t="n">
        <v>0</v>
      </c>
      <c r="E67" s="104" t="n">
        <v>0</v>
      </c>
      <c r="F67" s="147" t="n">
        <v>0</v>
      </c>
      <c r="G67" s="147" t="n">
        <v>0</v>
      </c>
      <c r="H67" s="147" t="n">
        <v>0</v>
      </c>
      <c r="I67" s="147" t="n">
        <v>0</v>
      </c>
      <c r="J67" s="147" t="n">
        <v>0</v>
      </c>
      <c r="K67" s="147" t="n">
        <v>0</v>
      </c>
      <c r="L67" s="147" t="n">
        <v>0</v>
      </c>
      <c r="M67" s="147" t="n">
        <v>0</v>
      </c>
      <c r="N67" s="147" t="n">
        <v>0</v>
      </c>
      <c r="O67" s="147" t="n">
        <v>0</v>
      </c>
      <c r="P67" s="147" t="n">
        <v>0</v>
      </c>
      <c r="Q67" s="147" t="n">
        <v>0</v>
      </c>
      <c r="R67" s="147" t="n">
        <v>0</v>
      </c>
      <c r="S67" s="147" t="n">
        <v>0</v>
      </c>
      <c r="T67" s="147" t="n">
        <v>0</v>
      </c>
      <c r="U67" s="147" t="n">
        <v>0</v>
      </c>
      <c r="V67" s="147" t="n">
        <v>0</v>
      </c>
      <c r="W67" s="147" t="n">
        <v>0</v>
      </c>
      <c r="X67" s="147" t="n">
        <v>0</v>
      </c>
      <c r="Y67" s="147" t="n">
        <v>0</v>
      </c>
      <c r="Z67" s="147" t="n">
        <v>0</v>
      </c>
      <c r="AA67" s="147" t="n">
        <v>0</v>
      </c>
      <c r="AB67" s="147" t="n">
        <v>0</v>
      </c>
      <c r="AC67" s="147" t="n">
        <v>57375</v>
      </c>
      <c r="AD67" s="147" t="n">
        <v>0</v>
      </c>
      <c r="AE67" s="147" t="n">
        <v>0</v>
      </c>
      <c r="AF67" s="147" t="n">
        <v>0</v>
      </c>
      <c r="AG67" s="147" t="n">
        <v>0</v>
      </c>
      <c r="AH67" s="147" t="n">
        <v>0</v>
      </c>
      <c r="AI67" s="147" t="n">
        <v>0</v>
      </c>
      <c r="AJ67" s="147" t="n">
        <v>0</v>
      </c>
      <c r="AK67" s="147" t="n">
        <v>0</v>
      </c>
      <c r="AL67" s="147" t="n">
        <v>0</v>
      </c>
      <c r="AM67" s="147" t="n">
        <v>0</v>
      </c>
      <c r="AN67" s="147" t="n">
        <v>0</v>
      </c>
      <c r="AO67" s="147" t="n">
        <v>0</v>
      </c>
      <c r="AP67" s="147" t="n">
        <v>0</v>
      </c>
      <c r="AQ67" s="147" t="n">
        <v>0</v>
      </c>
      <c r="AR67" s="147" t="n">
        <v>0</v>
      </c>
      <c r="AS67" s="147" t="n">
        <v>0</v>
      </c>
      <c r="AT67" s="147" t="n">
        <v>0</v>
      </c>
      <c r="AU67" s="147" t="n">
        <v>0</v>
      </c>
      <c r="AV67" s="147" t="n">
        <v>0</v>
      </c>
      <c r="AW67" s="147" t="n">
        <v>0</v>
      </c>
      <c r="AX67" s="147" t="n">
        <v>0</v>
      </c>
      <c r="AY67" s="147" t="n">
        <v>0</v>
      </c>
      <c r="AZ67" s="147" t="n">
        <v>0</v>
      </c>
      <c r="BA67" s="147" t="n">
        <v>0</v>
      </c>
      <c r="BB67" s="147" t="n">
        <v>0</v>
      </c>
      <c r="BC67" s="147" t="n">
        <v>0</v>
      </c>
      <c r="BD67" s="147" t="n">
        <v>0</v>
      </c>
      <c r="BE67" s="147" t="n">
        <v>0</v>
      </c>
      <c r="BF67" s="147" t="n">
        <v>0</v>
      </c>
      <c r="BG67" s="147" t="n">
        <v>0</v>
      </c>
      <c r="BH67" s="147" t="n">
        <v>0</v>
      </c>
      <c r="BI67" s="147" t="n">
        <v>0</v>
      </c>
      <c r="BJ67" s="147" t="n">
        <v>0</v>
      </c>
      <c r="BK67" s="147" t="n">
        <v>0</v>
      </c>
      <c r="BL67" s="147" t="n">
        <v>0</v>
      </c>
      <c r="BM67" s="147" t="n">
        <v>0</v>
      </c>
      <c r="BN67" s="147" t="n">
        <v>0</v>
      </c>
      <c r="BO67" s="147" t="n">
        <v>0</v>
      </c>
      <c r="BP67" s="147" t="n">
        <v>0</v>
      </c>
      <c r="BQ67" s="147" t="n">
        <v>0</v>
      </c>
      <c r="BR67" s="147" t="n">
        <v>0</v>
      </c>
      <c r="BS67" s="147" t="n">
        <v>0</v>
      </c>
      <c r="BT67" s="147" t="n">
        <v>0</v>
      </c>
      <c r="BU67" s="147" t="n">
        <v>0</v>
      </c>
      <c r="BV67" s="147" t="n">
        <v>0</v>
      </c>
      <c r="BW67" s="147" t="n">
        <v>0</v>
      </c>
      <c r="BX67" s="147" t="n">
        <v>0</v>
      </c>
      <c r="BY67" s="147" t="n">
        <v>0</v>
      </c>
      <c r="BZ67" s="147" t="n">
        <v>0</v>
      </c>
      <c r="CA67" s="147" t="n">
        <v>0</v>
      </c>
      <c r="CB67" s="147" t="n">
        <v>0</v>
      </c>
      <c r="CC67" s="147" t="n">
        <v>0</v>
      </c>
      <c r="CD67" s="147" t="n">
        <v>0</v>
      </c>
      <c r="CE67" s="147" t="n">
        <v>0</v>
      </c>
      <c r="CF67" s="147" t="n">
        <v>0</v>
      </c>
      <c r="CG67" s="147" t="n">
        <v>0</v>
      </c>
      <c r="CH67" s="147" t="n">
        <v>0</v>
      </c>
      <c r="CI67" s="147" t="n">
        <v>0</v>
      </c>
      <c r="CJ67" s="147" t="n">
        <v>0</v>
      </c>
      <c r="CK67" s="147" t="n">
        <v>0</v>
      </c>
      <c r="CL67" s="147" t="n">
        <v>0</v>
      </c>
      <c r="CM67" s="147" t="n">
        <v>0</v>
      </c>
      <c r="CN67" s="147" t="n">
        <v>0</v>
      </c>
      <c r="CO67" s="147" t="n">
        <v>0</v>
      </c>
      <c r="CP67" s="147" t="n">
        <v>0</v>
      </c>
      <c r="CQ67" s="147" t="n">
        <v>0</v>
      </c>
      <c r="CR67" s="147" t="n">
        <v>0</v>
      </c>
      <c r="CS67" s="147" t="n">
        <v>0</v>
      </c>
      <c r="CT67" s="147" t="n">
        <v>0</v>
      </c>
      <c r="CU67" s="147" t="n">
        <v>0</v>
      </c>
      <c r="CV67" s="147" t="n">
        <v>0</v>
      </c>
      <c r="CW67" s="147" t="n">
        <v>0</v>
      </c>
      <c r="CX67" s="147" t="n">
        <v>0</v>
      </c>
      <c r="CY67" s="147" t="n">
        <v>0</v>
      </c>
      <c r="CZ67" s="147" t="n">
        <v>0</v>
      </c>
      <c r="DA67" s="147" t="n">
        <v>0</v>
      </c>
      <c r="DB67" s="147" t="n">
        <v>0</v>
      </c>
      <c r="DC67" s="147" t="n">
        <v>0</v>
      </c>
      <c r="DD67" s="147" t="n">
        <v>0</v>
      </c>
      <c r="DE67" s="147" t="n">
        <v>0</v>
      </c>
      <c r="DF67" s="147" t="n">
        <v>0</v>
      </c>
    </row>
    <row r="68" customFormat="false" ht="15" hidden="false" customHeight="true" outlineLevel="0" collapsed="false">
      <c r="A68" s="90" t="s">
        <v>105</v>
      </c>
      <c r="C68" s="104" t="n">
        <v>0</v>
      </c>
      <c r="D68" s="104" t="n">
        <v>0</v>
      </c>
      <c r="E68" s="104" t="n">
        <v>0</v>
      </c>
      <c r="F68" s="147" t="n">
        <v>0</v>
      </c>
      <c r="G68" s="147" t="n">
        <v>0</v>
      </c>
      <c r="H68" s="147" t="n">
        <v>0</v>
      </c>
      <c r="I68" s="147" t="n">
        <v>0</v>
      </c>
      <c r="J68" s="147" t="n">
        <v>0</v>
      </c>
      <c r="K68" s="147" t="n">
        <v>0</v>
      </c>
      <c r="L68" s="147" t="n">
        <v>0</v>
      </c>
      <c r="M68" s="147" t="n">
        <v>0</v>
      </c>
      <c r="N68" s="147" t="n">
        <v>0</v>
      </c>
      <c r="O68" s="147" t="n">
        <v>0</v>
      </c>
      <c r="P68" s="147" t="n">
        <v>0</v>
      </c>
      <c r="Q68" s="147" t="n">
        <v>0</v>
      </c>
      <c r="R68" s="147" t="n">
        <v>0</v>
      </c>
      <c r="S68" s="147" t="n">
        <v>0</v>
      </c>
      <c r="T68" s="147" t="n">
        <v>0</v>
      </c>
      <c r="U68" s="147" t="n">
        <v>0</v>
      </c>
      <c r="V68" s="147" t="n">
        <v>0</v>
      </c>
      <c r="W68" s="147" t="n">
        <v>0</v>
      </c>
      <c r="X68" s="147" t="n">
        <v>0</v>
      </c>
      <c r="Y68" s="147" t="n">
        <v>0</v>
      </c>
      <c r="Z68" s="147" t="n">
        <v>0</v>
      </c>
      <c r="AA68" s="147" t="n">
        <v>0</v>
      </c>
      <c r="AB68" s="147" t="n">
        <v>0</v>
      </c>
      <c r="AC68" s="147" t="n">
        <v>0</v>
      </c>
      <c r="AD68" s="147" t="n">
        <v>0</v>
      </c>
      <c r="AE68" s="147" t="n">
        <v>0</v>
      </c>
      <c r="AF68" s="147" t="n">
        <v>57375</v>
      </c>
      <c r="AG68" s="147" t="n">
        <v>0</v>
      </c>
      <c r="AH68" s="147" t="n">
        <v>0</v>
      </c>
      <c r="AI68" s="147" t="n">
        <v>0</v>
      </c>
      <c r="AJ68" s="147" t="n">
        <v>0</v>
      </c>
      <c r="AK68" s="147" t="n">
        <v>0</v>
      </c>
      <c r="AL68" s="147" t="n">
        <v>0</v>
      </c>
      <c r="AM68" s="147" t="n">
        <v>0</v>
      </c>
      <c r="AN68" s="147" t="n">
        <v>0</v>
      </c>
      <c r="AO68" s="147" t="n">
        <v>0</v>
      </c>
      <c r="AP68" s="147" t="n">
        <v>0</v>
      </c>
      <c r="AQ68" s="147" t="n">
        <v>0</v>
      </c>
      <c r="AR68" s="147" t="n">
        <v>0</v>
      </c>
      <c r="AS68" s="147" t="n">
        <v>0</v>
      </c>
      <c r="AT68" s="147" t="n">
        <v>0</v>
      </c>
      <c r="AU68" s="147" t="n">
        <v>0</v>
      </c>
      <c r="AV68" s="147" t="n">
        <v>0</v>
      </c>
      <c r="AW68" s="147" t="n">
        <v>0</v>
      </c>
      <c r="AX68" s="147" t="n">
        <v>0</v>
      </c>
      <c r="AY68" s="147" t="n">
        <v>0</v>
      </c>
      <c r="AZ68" s="147" t="n">
        <v>0</v>
      </c>
      <c r="BA68" s="147" t="n">
        <v>0</v>
      </c>
      <c r="BB68" s="147" t="n">
        <v>0</v>
      </c>
      <c r="BC68" s="147" t="n">
        <v>0</v>
      </c>
      <c r="BD68" s="147" t="n">
        <v>0</v>
      </c>
      <c r="BE68" s="147" t="n">
        <v>0</v>
      </c>
      <c r="BF68" s="147" t="n">
        <v>0</v>
      </c>
      <c r="BG68" s="147" t="n">
        <v>0</v>
      </c>
      <c r="BH68" s="147" t="n">
        <v>0</v>
      </c>
      <c r="BI68" s="147" t="n">
        <v>0</v>
      </c>
      <c r="BJ68" s="147" t="n">
        <v>0</v>
      </c>
      <c r="BK68" s="147" t="n">
        <v>0</v>
      </c>
      <c r="BL68" s="147" t="n">
        <v>0</v>
      </c>
      <c r="BM68" s="147" t="n">
        <v>0</v>
      </c>
      <c r="BN68" s="147" t="n">
        <v>0</v>
      </c>
      <c r="BO68" s="147" t="n">
        <v>0</v>
      </c>
      <c r="BP68" s="147" t="n">
        <v>0</v>
      </c>
      <c r="BQ68" s="147" t="n">
        <v>0</v>
      </c>
      <c r="BR68" s="147" t="n">
        <v>0</v>
      </c>
      <c r="BS68" s="147" t="n">
        <v>0</v>
      </c>
      <c r="BT68" s="147" t="n">
        <v>0</v>
      </c>
      <c r="BU68" s="147" t="n">
        <v>0</v>
      </c>
      <c r="BV68" s="147" t="n">
        <v>0</v>
      </c>
      <c r="BW68" s="147" t="n">
        <v>0</v>
      </c>
      <c r="BX68" s="147" t="n">
        <v>0</v>
      </c>
      <c r="BY68" s="147" t="n">
        <v>0</v>
      </c>
      <c r="BZ68" s="147" t="n">
        <v>0</v>
      </c>
      <c r="CA68" s="147" t="n">
        <v>0</v>
      </c>
      <c r="CB68" s="147" t="n">
        <v>0</v>
      </c>
      <c r="CC68" s="147" t="n">
        <v>0</v>
      </c>
      <c r="CD68" s="147" t="n">
        <v>0</v>
      </c>
      <c r="CE68" s="147" t="n">
        <v>0</v>
      </c>
      <c r="CF68" s="147" t="n">
        <v>0</v>
      </c>
      <c r="CG68" s="147" t="n">
        <v>0</v>
      </c>
      <c r="CH68" s="147" t="n">
        <v>0</v>
      </c>
      <c r="CI68" s="147" t="n">
        <v>0</v>
      </c>
      <c r="CJ68" s="147" t="n">
        <v>0</v>
      </c>
      <c r="CK68" s="147" t="n">
        <v>0</v>
      </c>
      <c r="CL68" s="147" t="n">
        <v>0</v>
      </c>
      <c r="CM68" s="147" t="n">
        <v>0</v>
      </c>
      <c r="CN68" s="147" t="n">
        <v>0</v>
      </c>
      <c r="CO68" s="147" t="n">
        <v>0</v>
      </c>
      <c r="CP68" s="147" t="n">
        <v>0</v>
      </c>
      <c r="CQ68" s="147" t="n">
        <v>0</v>
      </c>
      <c r="CR68" s="147" t="n">
        <v>0</v>
      </c>
      <c r="CS68" s="147" t="n">
        <v>0</v>
      </c>
      <c r="CT68" s="147" t="n">
        <v>0</v>
      </c>
      <c r="CU68" s="147" t="n">
        <v>0</v>
      </c>
      <c r="CV68" s="147" t="n">
        <v>0</v>
      </c>
      <c r="CW68" s="147" t="n">
        <v>0</v>
      </c>
      <c r="CX68" s="147" t="n">
        <v>0</v>
      </c>
      <c r="CY68" s="147" t="n">
        <v>0</v>
      </c>
      <c r="CZ68" s="147" t="n">
        <v>0</v>
      </c>
      <c r="DA68" s="147" t="n">
        <v>0</v>
      </c>
      <c r="DB68" s="147" t="n">
        <v>0</v>
      </c>
      <c r="DC68" s="147" t="n">
        <v>0</v>
      </c>
      <c r="DD68" s="147" t="n">
        <v>0</v>
      </c>
      <c r="DE68" s="147" t="n">
        <v>0</v>
      </c>
      <c r="DF68" s="147" t="n">
        <v>0</v>
      </c>
    </row>
    <row r="69" customFormat="false" ht="15" hidden="false" customHeight="true" outlineLevel="0" collapsed="false">
      <c r="A69" s="90" t="s">
        <v>106</v>
      </c>
      <c r="C69" s="151" t="n">
        <v>9375</v>
      </c>
      <c r="D69" s="151" t="n">
        <v>9375</v>
      </c>
      <c r="E69" s="151" t="n">
        <v>9375</v>
      </c>
      <c r="F69" s="147" t="n">
        <v>9375</v>
      </c>
      <c r="G69" s="147" t="n">
        <v>9375</v>
      </c>
      <c r="H69" s="147" t="n">
        <v>9375</v>
      </c>
      <c r="I69" s="147" t="n">
        <v>9375</v>
      </c>
      <c r="J69" s="147" t="n">
        <v>9375</v>
      </c>
      <c r="K69" s="147" t="n">
        <v>9375</v>
      </c>
      <c r="L69" s="147" t="n">
        <v>9375</v>
      </c>
      <c r="M69" s="147" t="n">
        <v>0</v>
      </c>
      <c r="N69" s="147" t="n">
        <v>0</v>
      </c>
      <c r="O69" s="147" t="n">
        <v>0</v>
      </c>
      <c r="P69" s="147" t="n">
        <v>0</v>
      </c>
      <c r="Q69" s="147" t="n">
        <v>0</v>
      </c>
      <c r="R69" s="147" t="n">
        <v>0</v>
      </c>
      <c r="S69" s="147" t="n">
        <v>0</v>
      </c>
      <c r="T69" s="147" t="n">
        <v>0</v>
      </c>
      <c r="U69" s="147" t="n">
        <v>0</v>
      </c>
      <c r="V69" s="147" t="n">
        <v>0</v>
      </c>
      <c r="W69" s="147" t="n">
        <v>0</v>
      </c>
      <c r="X69" s="147" t="n">
        <v>0</v>
      </c>
      <c r="Y69" s="147" t="n">
        <v>0</v>
      </c>
      <c r="Z69" s="147" t="n">
        <v>0</v>
      </c>
      <c r="AA69" s="147" t="n">
        <v>0</v>
      </c>
      <c r="AB69" s="147" t="n">
        <v>0</v>
      </c>
      <c r="AC69" s="147" t="n">
        <v>0</v>
      </c>
      <c r="AD69" s="147" t="n">
        <v>0</v>
      </c>
      <c r="AE69" s="147" t="n">
        <v>0</v>
      </c>
      <c r="AF69" s="147" t="n">
        <v>0</v>
      </c>
      <c r="AG69" s="147" t="n">
        <v>0</v>
      </c>
      <c r="AH69" s="147" t="n">
        <v>0</v>
      </c>
      <c r="AI69" s="147" t="n">
        <v>0</v>
      </c>
      <c r="AJ69" s="147" t="n">
        <v>0</v>
      </c>
      <c r="AK69" s="147" t="n">
        <v>0</v>
      </c>
      <c r="AL69" s="147" t="n">
        <v>0</v>
      </c>
      <c r="AM69" s="147" t="n">
        <v>0</v>
      </c>
      <c r="AN69" s="147" t="n">
        <v>0</v>
      </c>
      <c r="AO69" s="147" t="n">
        <v>0</v>
      </c>
      <c r="AP69" s="147" t="n">
        <v>0</v>
      </c>
      <c r="AQ69" s="147" t="n">
        <v>0</v>
      </c>
      <c r="AR69" s="147" t="n">
        <v>0</v>
      </c>
      <c r="AS69" s="147" t="n">
        <v>0</v>
      </c>
      <c r="AT69" s="147" t="n">
        <v>0</v>
      </c>
      <c r="AU69" s="147" t="n">
        <v>0</v>
      </c>
      <c r="AV69" s="147" t="n">
        <v>0</v>
      </c>
      <c r="AW69" s="147" t="n">
        <v>0</v>
      </c>
      <c r="AX69" s="147" t="n">
        <v>0</v>
      </c>
      <c r="AY69" s="147" t="n">
        <v>0</v>
      </c>
      <c r="AZ69" s="147" t="n">
        <v>0</v>
      </c>
      <c r="BA69" s="147" t="n">
        <v>0</v>
      </c>
      <c r="BB69" s="147" t="n">
        <v>0</v>
      </c>
      <c r="BC69" s="147" t="n">
        <v>0</v>
      </c>
      <c r="BD69" s="147" t="n">
        <v>0</v>
      </c>
      <c r="BE69" s="147" t="n">
        <v>0</v>
      </c>
      <c r="BF69" s="147" t="n">
        <v>0</v>
      </c>
      <c r="BG69" s="147" t="n">
        <v>0</v>
      </c>
      <c r="BH69" s="147" t="n">
        <v>0</v>
      </c>
      <c r="BI69" s="147" t="n">
        <v>0</v>
      </c>
      <c r="BJ69" s="147" t="n">
        <v>0</v>
      </c>
      <c r="BK69" s="147" t="n">
        <v>0</v>
      </c>
      <c r="BL69" s="147" t="n">
        <v>0</v>
      </c>
      <c r="BM69" s="147" t="n">
        <v>0</v>
      </c>
      <c r="BN69" s="147" t="n">
        <v>0</v>
      </c>
      <c r="BO69" s="147" t="n">
        <v>0</v>
      </c>
      <c r="BP69" s="147" t="n">
        <v>0</v>
      </c>
      <c r="BQ69" s="147" t="n">
        <v>0</v>
      </c>
      <c r="BR69" s="147" t="n">
        <v>0</v>
      </c>
      <c r="BS69" s="147" t="n">
        <v>0</v>
      </c>
      <c r="BT69" s="147" t="n">
        <v>0</v>
      </c>
      <c r="BU69" s="147" t="n">
        <v>0</v>
      </c>
      <c r="BV69" s="147" t="n">
        <v>0</v>
      </c>
      <c r="BW69" s="147" t="n">
        <v>0</v>
      </c>
      <c r="BX69" s="147" t="n">
        <v>0</v>
      </c>
      <c r="BY69" s="147" t="n">
        <v>0</v>
      </c>
      <c r="BZ69" s="147" t="n">
        <v>0</v>
      </c>
      <c r="CA69" s="147" t="n">
        <v>0</v>
      </c>
      <c r="CB69" s="147" t="n">
        <v>0</v>
      </c>
      <c r="CC69" s="147" t="n">
        <v>0</v>
      </c>
      <c r="CD69" s="147" t="n">
        <v>0</v>
      </c>
      <c r="CE69" s="147" t="n">
        <v>0</v>
      </c>
      <c r="CF69" s="147" t="n">
        <v>0</v>
      </c>
      <c r="CG69" s="147" t="n">
        <v>0</v>
      </c>
      <c r="CH69" s="147" t="n">
        <v>0</v>
      </c>
      <c r="CI69" s="147" t="n">
        <v>0</v>
      </c>
      <c r="CJ69" s="147" t="n">
        <v>0</v>
      </c>
      <c r="CK69" s="147" t="n">
        <v>0</v>
      </c>
      <c r="CL69" s="147" t="n">
        <v>0</v>
      </c>
      <c r="CM69" s="147" t="n">
        <v>0</v>
      </c>
      <c r="CN69" s="147" t="n">
        <v>0</v>
      </c>
      <c r="CO69" s="147" t="n">
        <v>0</v>
      </c>
      <c r="CP69" s="147" t="n">
        <v>0</v>
      </c>
      <c r="CQ69" s="147" t="n">
        <v>0</v>
      </c>
      <c r="CR69" s="147" t="n">
        <v>0</v>
      </c>
      <c r="CS69" s="147" t="n">
        <v>0</v>
      </c>
      <c r="CT69" s="147" t="n">
        <v>0</v>
      </c>
      <c r="CU69" s="147" t="n">
        <v>0</v>
      </c>
      <c r="CV69" s="147" t="n">
        <v>0</v>
      </c>
      <c r="CW69" s="147" t="n">
        <v>0</v>
      </c>
      <c r="CX69" s="147" t="n">
        <v>0</v>
      </c>
      <c r="CY69" s="147" t="n">
        <v>0</v>
      </c>
      <c r="CZ69" s="147" t="n">
        <v>0</v>
      </c>
      <c r="DA69" s="147" t="n">
        <v>0</v>
      </c>
      <c r="DB69" s="147" t="n">
        <v>0</v>
      </c>
      <c r="DC69" s="147" t="n">
        <v>0</v>
      </c>
      <c r="DD69" s="147" t="n">
        <v>0</v>
      </c>
      <c r="DE69" s="147" t="n">
        <v>0</v>
      </c>
      <c r="DF69" s="147" t="n">
        <v>0</v>
      </c>
    </row>
    <row r="70" customFormat="false" ht="15" hidden="false" customHeight="true" outlineLevel="0" collapsed="false">
      <c r="A70" s="90" t="s">
        <v>107</v>
      </c>
      <c r="C70" s="104" t="n">
        <v>0</v>
      </c>
      <c r="D70" s="104" t="n">
        <v>0</v>
      </c>
      <c r="E70" s="104" t="n">
        <v>0</v>
      </c>
      <c r="F70" s="147" t="n">
        <v>9500</v>
      </c>
      <c r="G70" s="147" t="n">
        <v>9500</v>
      </c>
      <c r="H70" s="147" t="n">
        <v>9500</v>
      </c>
      <c r="I70" s="147" t="n">
        <v>9500</v>
      </c>
      <c r="J70" s="147" t="n">
        <v>9500</v>
      </c>
      <c r="K70" s="147" t="n">
        <v>9500</v>
      </c>
      <c r="L70" s="147" t="n">
        <v>9500</v>
      </c>
      <c r="M70" s="147" t="n">
        <v>9500</v>
      </c>
      <c r="N70" s="147" t="n">
        <v>9500</v>
      </c>
      <c r="O70" s="147" t="n">
        <v>9500</v>
      </c>
      <c r="P70" s="147" t="n">
        <v>9500</v>
      </c>
      <c r="Q70" s="147" t="n">
        <v>9500</v>
      </c>
      <c r="R70" s="147" t="n">
        <v>9500</v>
      </c>
      <c r="S70" s="147" t="n">
        <v>9500</v>
      </c>
      <c r="T70" s="147" t="n">
        <v>9500</v>
      </c>
      <c r="U70" s="147" t="n">
        <v>9500</v>
      </c>
      <c r="V70" s="147" t="n">
        <v>9500</v>
      </c>
      <c r="W70" s="147" t="n">
        <v>9500</v>
      </c>
      <c r="X70" s="147" t="n">
        <v>9500</v>
      </c>
      <c r="Y70" s="147" t="n">
        <v>9500</v>
      </c>
      <c r="Z70" s="147" t="n">
        <v>9500</v>
      </c>
      <c r="AA70" s="147" t="n">
        <v>9500</v>
      </c>
      <c r="AB70" s="147" t="n">
        <v>9500</v>
      </c>
      <c r="AC70" s="147" t="n">
        <v>9500</v>
      </c>
      <c r="AD70" s="147" t="n">
        <v>9500</v>
      </c>
      <c r="AE70" s="147" t="n">
        <v>9500</v>
      </c>
      <c r="AF70" s="147" t="n">
        <v>9500</v>
      </c>
      <c r="AG70" s="147" t="n">
        <v>9500</v>
      </c>
      <c r="AH70" s="147" t="n">
        <v>9500</v>
      </c>
      <c r="AI70" s="147" t="n">
        <v>9500</v>
      </c>
      <c r="AJ70" s="147" t="n">
        <v>0</v>
      </c>
      <c r="AK70" s="147" t="n">
        <v>0</v>
      </c>
      <c r="AL70" s="147" t="n">
        <v>0</v>
      </c>
      <c r="AM70" s="147" t="n">
        <v>0</v>
      </c>
      <c r="AN70" s="147" t="n">
        <v>0</v>
      </c>
      <c r="AO70" s="147" t="n">
        <v>0</v>
      </c>
      <c r="AP70" s="147" t="n">
        <v>0</v>
      </c>
      <c r="AQ70" s="147" t="n">
        <v>0</v>
      </c>
      <c r="AR70" s="147" t="n">
        <v>0</v>
      </c>
      <c r="AS70" s="147" t="n">
        <v>0</v>
      </c>
      <c r="AT70" s="147" t="n">
        <v>0</v>
      </c>
      <c r="AU70" s="147" t="n">
        <v>0</v>
      </c>
      <c r="AV70" s="147" t="n">
        <v>0</v>
      </c>
      <c r="AW70" s="147" t="n">
        <v>0</v>
      </c>
      <c r="AX70" s="147" t="n">
        <v>0</v>
      </c>
      <c r="AY70" s="147" t="n">
        <v>0</v>
      </c>
      <c r="AZ70" s="147" t="n">
        <v>0</v>
      </c>
      <c r="BA70" s="147" t="n">
        <v>0</v>
      </c>
      <c r="BB70" s="147" t="n">
        <v>0</v>
      </c>
      <c r="BC70" s="147" t="n">
        <v>0</v>
      </c>
      <c r="BD70" s="147" t="n">
        <v>0</v>
      </c>
      <c r="BE70" s="147" t="n">
        <v>0</v>
      </c>
      <c r="BF70" s="147" t="n">
        <v>0</v>
      </c>
      <c r="BG70" s="147" t="n">
        <v>0</v>
      </c>
      <c r="BH70" s="147" t="n">
        <v>0</v>
      </c>
      <c r="BI70" s="147" t="n">
        <v>0</v>
      </c>
      <c r="BJ70" s="147" t="n">
        <v>0</v>
      </c>
      <c r="BK70" s="147" t="n">
        <v>0</v>
      </c>
      <c r="BL70" s="147" t="n">
        <v>0</v>
      </c>
      <c r="BM70" s="147" t="n">
        <v>0</v>
      </c>
      <c r="BN70" s="147" t="n">
        <v>0</v>
      </c>
      <c r="BO70" s="147" t="n">
        <v>0</v>
      </c>
      <c r="BP70" s="147" t="n">
        <v>0</v>
      </c>
      <c r="BQ70" s="147" t="n">
        <v>0</v>
      </c>
      <c r="BR70" s="147" t="n">
        <v>0</v>
      </c>
      <c r="BS70" s="147" t="n">
        <v>0</v>
      </c>
      <c r="BT70" s="147" t="n">
        <v>0</v>
      </c>
      <c r="BU70" s="147" t="n">
        <v>0</v>
      </c>
      <c r="BV70" s="147" t="n">
        <v>0</v>
      </c>
      <c r="BW70" s="147" t="n">
        <v>0</v>
      </c>
      <c r="BX70" s="147" t="n">
        <v>0</v>
      </c>
      <c r="BY70" s="147" t="n">
        <v>0</v>
      </c>
      <c r="BZ70" s="147" t="n">
        <v>0</v>
      </c>
      <c r="CA70" s="147" t="n">
        <v>0</v>
      </c>
      <c r="CB70" s="147" t="n">
        <v>0</v>
      </c>
      <c r="CC70" s="147" t="n">
        <v>0</v>
      </c>
      <c r="CD70" s="147" t="n">
        <v>0</v>
      </c>
      <c r="CE70" s="147" t="n">
        <v>0</v>
      </c>
      <c r="CF70" s="147" t="n">
        <v>0</v>
      </c>
      <c r="CG70" s="147" t="n">
        <v>0</v>
      </c>
      <c r="CH70" s="147" t="n">
        <v>0</v>
      </c>
      <c r="CI70" s="147" t="n">
        <v>0</v>
      </c>
      <c r="CJ70" s="147" t="n">
        <v>0</v>
      </c>
      <c r="CK70" s="147" t="n">
        <v>0</v>
      </c>
      <c r="CL70" s="147" t="n">
        <v>0</v>
      </c>
      <c r="CM70" s="147" t="n">
        <v>0</v>
      </c>
      <c r="CN70" s="147" t="n">
        <v>0</v>
      </c>
      <c r="CO70" s="147" t="n">
        <v>0</v>
      </c>
      <c r="CP70" s="147" t="n">
        <v>0</v>
      </c>
      <c r="CQ70" s="147" t="n">
        <v>0</v>
      </c>
      <c r="CR70" s="147" t="n">
        <v>0</v>
      </c>
      <c r="CS70" s="147" t="n">
        <v>0</v>
      </c>
      <c r="CT70" s="147" t="n">
        <v>0</v>
      </c>
      <c r="CU70" s="147" t="n">
        <v>0</v>
      </c>
      <c r="CV70" s="147" t="n">
        <v>0</v>
      </c>
      <c r="CW70" s="147" t="n">
        <v>0</v>
      </c>
      <c r="CX70" s="147" t="n">
        <v>0</v>
      </c>
      <c r="CY70" s="147" t="n">
        <v>0</v>
      </c>
      <c r="CZ70" s="147" t="n">
        <v>0</v>
      </c>
      <c r="DA70" s="147" t="n">
        <v>0</v>
      </c>
      <c r="DB70" s="147" t="n">
        <v>0</v>
      </c>
      <c r="DC70" s="147" t="n">
        <v>0</v>
      </c>
      <c r="DD70" s="147" t="n">
        <v>0</v>
      </c>
      <c r="DE70" s="147" t="n">
        <v>0</v>
      </c>
      <c r="DF70" s="147" t="n">
        <v>0</v>
      </c>
    </row>
    <row r="71" customFormat="false" ht="15" hidden="false" customHeight="true" outlineLevel="0" collapsed="false">
      <c r="A71" s="90" t="s">
        <v>108</v>
      </c>
      <c r="C71" s="104" t="n">
        <v>0</v>
      </c>
      <c r="D71" s="104" t="n">
        <v>0</v>
      </c>
      <c r="E71" s="104" t="n">
        <v>0</v>
      </c>
      <c r="F71" s="147" t="n">
        <v>0</v>
      </c>
      <c r="G71" s="147" t="n">
        <v>0</v>
      </c>
      <c r="H71" s="147" t="n">
        <v>0</v>
      </c>
      <c r="I71" s="147" t="n">
        <v>0</v>
      </c>
      <c r="J71" s="147" t="n">
        <v>0</v>
      </c>
      <c r="K71" s="147" t="n">
        <v>0</v>
      </c>
      <c r="L71" s="147" t="n">
        <v>0</v>
      </c>
      <c r="M71" s="147" t="n">
        <v>0</v>
      </c>
      <c r="N71" s="147" t="n">
        <v>0</v>
      </c>
      <c r="O71" s="147" t="n">
        <v>0</v>
      </c>
      <c r="P71" s="147" t="n">
        <v>0</v>
      </c>
      <c r="Q71" s="147" t="n">
        <v>0</v>
      </c>
      <c r="R71" s="147" t="n">
        <v>0</v>
      </c>
      <c r="S71" s="147" t="n">
        <v>0</v>
      </c>
      <c r="T71" s="147" t="n">
        <v>0</v>
      </c>
      <c r="U71" s="147" t="n">
        <v>0</v>
      </c>
      <c r="V71" s="147" t="n">
        <v>0</v>
      </c>
      <c r="W71" s="147" t="n">
        <v>0</v>
      </c>
      <c r="X71" s="147" t="n">
        <v>0</v>
      </c>
      <c r="Y71" s="147" t="n">
        <v>0</v>
      </c>
      <c r="Z71" s="147" t="n">
        <v>0</v>
      </c>
      <c r="AA71" s="147" t="n">
        <v>0</v>
      </c>
      <c r="AB71" s="147" t="n">
        <v>0</v>
      </c>
      <c r="AC71" s="147" t="n">
        <v>0</v>
      </c>
      <c r="AD71" s="147" t="n">
        <v>0</v>
      </c>
      <c r="AE71" s="147" t="n">
        <v>0</v>
      </c>
      <c r="AF71" s="147" t="n">
        <v>0</v>
      </c>
      <c r="AG71" s="147" t="n">
        <v>0</v>
      </c>
      <c r="AH71" s="147" t="n">
        <v>0</v>
      </c>
      <c r="AI71" s="147" t="n">
        <v>0</v>
      </c>
      <c r="AJ71" s="147" t="n">
        <v>0</v>
      </c>
      <c r="AK71" s="147" t="n">
        <v>0</v>
      </c>
      <c r="AL71" s="147" t="n">
        <v>0</v>
      </c>
      <c r="AM71" s="147" t="n">
        <v>0</v>
      </c>
      <c r="AN71" s="147" t="n">
        <v>0</v>
      </c>
      <c r="AO71" s="147" t="n">
        <v>0</v>
      </c>
      <c r="AP71" s="147" t="n">
        <v>0</v>
      </c>
      <c r="AQ71" s="147" t="n">
        <v>0</v>
      </c>
      <c r="AR71" s="147" t="n">
        <v>0</v>
      </c>
      <c r="AS71" s="147" t="n">
        <v>0</v>
      </c>
      <c r="AT71" s="147" t="n">
        <v>0</v>
      </c>
      <c r="AU71" s="147" t="n">
        <v>0</v>
      </c>
      <c r="AV71" s="147" t="n">
        <v>0</v>
      </c>
      <c r="AW71" s="147" t="n">
        <v>0</v>
      </c>
      <c r="AX71" s="147" t="n">
        <v>0</v>
      </c>
      <c r="AY71" s="147" t="n">
        <v>0</v>
      </c>
      <c r="AZ71" s="147" t="n">
        <v>0</v>
      </c>
      <c r="BA71" s="147" t="n">
        <v>0</v>
      </c>
      <c r="BB71" s="147" t="n">
        <v>0</v>
      </c>
      <c r="BC71" s="147" t="n">
        <v>0</v>
      </c>
      <c r="BD71" s="147" t="n">
        <v>0</v>
      </c>
      <c r="BE71" s="147" t="n">
        <v>0</v>
      </c>
      <c r="BF71" s="147" t="n">
        <v>0</v>
      </c>
      <c r="BG71" s="147" t="n">
        <v>0</v>
      </c>
      <c r="BH71" s="147" t="n">
        <v>0</v>
      </c>
      <c r="BI71" s="147" t="n">
        <v>0</v>
      </c>
      <c r="BJ71" s="147" t="n">
        <v>0</v>
      </c>
      <c r="BK71" s="147" t="n">
        <v>0</v>
      </c>
      <c r="BL71" s="147" t="n">
        <v>0</v>
      </c>
      <c r="BM71" s="147" t="n">
        <v>0</v>
      </c>
      <c r="BN71" s="147" t="n">
        <v>0</v>
      </c>
      <c r="BO71" s="147" t="n">
        <v>0</v>
      </c>
      <c r="BP71" s="147" t="n">
        <v>0</v>
      </c>
      <c r="BQ71" s="147" t="n">
        <v>0</v>
      </c>
      <c r="BR71" s="147" t="n">
        <v>0</v>
      </c>
      <c r="BS71" s="147" t="n">
        <v>0</v>
      </c>
      <c r="BT71" s="147" t="n">
        <v>0</v>
      </c>
      <c r="BU71" s="147" t="n">
        <v>0</v>
      </c>
      <c r="BV71" s="147" t="n">
        <v>0</v>
      </c>
      <c r="BW71" s="147" t="n">
        <v>0</v>
      </c>
      <c r="BX71" s="147" t="n">
        <v>0</v>
      </c>
      <c r="BY71" s="147" t="n">
        <v>0</v>
      </c>
      <c r="BZ71" s="147" t="n">
        <v>0</v>
      </c>
      <c r="CA71" s="147" t="n">
        <v>0</v>
      </c>
      <c r="CB71" s="147" t="n">
        <v>0</v>
      </c>
      <c r="CC71" s="147" t="n">
        <v>0</v>
      </c>
      <c r="CD71" s="147" t="n">
        <v>0</v>
      </c>
      <c r="CE71" s="147" t="n">
        <v>0</v>
      </c>
      <c r="CF71" s="147" t="n">
        <v>0</v>
      </c>
      <c r="CG71" s="147" t="n">
        <v>0</v>
      </c>
      <c r="CH71" s="147" t="n">
        <v>0</v>
      </c>
      <c r="CI71" s="147" t="n">
        <v>0</v>
      </c>
      <c r="CJ71" s="147" t="n">
        <v>0</v>
      </c>
      <c r="CK71" s="147" t="n">
        <v>0</v>
      </c>
      <c r="CL71" s="147" t="n">
        <v>0</v>
      </c>
      <c r="CM71" s="147" t="n">
        <v>0</v>
      </c>
      <c r="CN71" s="147" t="n">
        <v>0</v>
      </c>
      <c r="CO71" s="147" t="n">
        <v>0</v>
      </c>
      <c r="CP71" s="147" t="n">
        <v>0</v>
      </c>
      <c r="CQ71" s="147" t="n">
        <v>0</v>
      </c>
      <c r="CR71" s="147" t="n">
        <v>0</v>
      </c>
      <c r="CS71" s="147" t="n">
        <v>0</v>
      </c>
      <c r="CT71" s="147" t="n">
        <v>0</v>
      </c>
      <c r="CU71" s="147" t="n">
        <v>0</v>
      </c>
      <c r="CV71" s="147" t="n">
        <v>0</v>
      </c>
      <c r="CW71" s="147" t="n">
        <v>0</v>
      </c>
      <c r="CX71" s="147" t="n">
        <v>0</v>
      </c>
      <c r="CY71" s="147" t="n">
        <v>0</v>
      </c>
      <c r="CZ71" s="147" t="n">
        <v>0</v>
      </c>
      <c r="DA71" s="147" t="n">
        <v>0</v>
      </c>
      <c r="DB71" s="147" t="n">
        <v>0</v>
      </c>
      <c r="DC71" s="147" t="n">
        <v>0</v>
      </c>
      <c r="DD71" s="147" t="n">
        <v>0</v>
      </c>
      <c r="DE71" s="147" t="n">
        <v>0</v>
      </c>
      <c r="DF71" s="147" t="n">
        <v>0</v>
      </c>
    </row>
    <row r="72" customFormat="false" ht="15" hidden="false" customHeight="true" outlineLevel="0" collapsed="false">
      <c r="A72" s="90" t="s">
        <v>109</v>
      </c>
      <c r="C72" s="104" t="n">
        <v>0</v>
      </c>
      <c r="D72" s="104" t="n">
        <v>0</v>
      </c>
      <c r="E72" s="104" t="n">
        <v>0</v>
      </c>
      <c r="F72" s="147" t="n">
        <v>0</v>
      </c>
      <c r="G72" s="147" t="n">
        <v>0</v>
      </c>
      <c r="H72" s="147" t="n">
        <v>0</v>
      </c>
      <c r="I72" s="147" t="n">
        <v>0</v>
      </c>
      <c r="J72" s="147" t="n">
        <v>0</v>
      </c>
      <c r="K72" s="147" t="n">
        <v>0</v>
      </c>
      <c r="L72" s="147" t="n">
        <v>0</v>
      </c>
      <c r="M72" s="147" t="n">
        <v>0</v>
      </c>
      <c r="N72" s="147" t="n">
        <v>0</v>
      </c>
      <c r="O72" s="147" t="n">
        <v>0</v>
      </c>
      <c r="P72" s="147" t="n">
        <v>0</v>
      </c>
      <c r="Q72" s="147" t="n">
        <v>0</v>
      </c>
      <c r="R72" s="147" t="n">
        <v>0</v>
      </c>
      <c r="S72" s="147" t="n">
        <v>0</v>
      </c>
      <c r="T72" s="147" t="n">
        <v>0</v>
      </c>
      <c r="U72" s="147" t="n">
        <v>0</v>
      </c>
      <c r="V72" s="147" t="n">
        <v>0</v>
      </c>
      <c r="W72" s="147" t="n">
        <v>0</v>
      </c>
      <c r="X72" s="147" t="n">
        <v>0</v>
      </c>
      <c r="Y72" s="147" t="n">
        <v>0</v>
      </c>
      <c r="Z72" s="147" t="n">
        <v>0</v>
      </c>
      <c r="AA72" s="147" t="n">
        <v>0</v>
      </c>
      <c r="AB72" s="147" t="n">
        <v>0</v>
      </c>
      <c r="AC72" s="147" t="n">
        <v>0</v>
      </c>
      <c r="AD72" s="147" t="n">
        <v>0</v>
      </c>
      <c r="AE72" s="147" t="n">
        <v>0</v>
      </c>
      <c r="AF72" s="147" t="n">
        <v>0</v>
      </c>
      <c r="AG72" s="147" t="n">
        <v>0</v>
      </c>
      <c r="AH72" s="147" t="n">
        <v>0</v>
      </c>
      <c r="AI72" s="147" t="n">
        <v>0</v>
      </c>
      <c r="AJ72" s="147" t="n">
        <v>0</v>
      </c>
      <c r="AK72" s="147" t="n">
        <v>0</v>
      </c>
      <c r="AL72" s="147" t="n">
        <v>0</v>
      </c>
      <c r="AM72" s="147" t="n">
        <v>0</v>
      </c>
      <c r="AN72" s="147" t="n">
        <v>0</v>
      </c>
      <c r="AO72" s="147" t="n">
        <v>0</v>
      </c>
      <c r="AP72" s="147" t="n">
        <v>0</v>
      </c>
      <c r="AQ72" s="147" t="n">
        <v>0</v>
      </c>
      <c r="AR72" s="147" t="n">
        <v>0</v>
      </c>
      <c r="AS72" s="147" t="n">
        <v>0</v>
      </c>
      <c r="AT72" s="147" t="n">
        <v>0</v>
      </c>
      <c r="AU72" s="147" t="n">
        <v>0</v>
      </c>
      <c r="AV72" s="147" t="n">
        <v>0</v>
      </c>
      <c r="AW72" s="147" t="n">
        <v>0</v>
      </c>
      <c r="AX72" s="147" t="n">
        <v>0</v>
      </c>
      <c r="AY72" s="147" t="n">
        <v>0</v>
      </c>
      <c r="AZ72" s="147" t="n">
        <v>0</v>
      </c>
      <c r="BA72" s="147" t="n">
        <v>0</v>
      </c>
      <c r="BB72" s="147" t="n">
        <v>0</v>
      </c>
      <c r="BC72" s="147" t="n">
        <v>0</v>
      </c>
      <c r="BD72" s="147" t="n">
        <v>0</v>
      </c>
      <c r="BE72" s="147" t="n">
        <v>0</v>
      </c>
      <c r="BF72" s="147" t="n">
        <v>0</v>
      </c>
      <c r="BG72" s="147" t="n">
        <v>0</v>
      </c>
      <c r="BH72" s="147" t="n">
        <v>0</v>
      </c>
      <c r="BI72" s="147" t="n">
        <v>0</v>
      </c>
      <c r="BJ72" s="147" t="n">
        <v>0</v>
      </c>
      <c r="BK72" s="147" t="n">
        <v>0</v>
      </c>
      <c r="BL72" s="147" t="n">
        <v>0</v>
      </c>
      <c r="BM72" s="147" t="n">
        <v>0</v>
      </c>
      <c r="BN72" s="147" t="n">
        <v>0</v>
      </c>
      <c r="BO72" s="147" t="n">
        <v>0</v>
      </c>
      <c r="BP72" s="147" t="n">
        <v>0</v>
      </c>
      <c r="BQ72" s="147" t="n">
        <v>0</v>
      </c>
      <c r="BR72" s="147" t="n">
        <v>0</v>
      </c>
      <c r="BS72" s="147" t="n">
        <v>0</v>
      </c>
      <c r="BT72" s="147" t="n">
        <v>0</v>
      </c>
      <c r="BU72" s="147" t="n">
        <v>0</v>
      </c>
      <c r="BV72" s="147" t="n">
        <v>0</v>
      </c>
      <c r="BW72" s="147" t="n">
        <v>0</v>
      </c>
      <c r="BX72" s="147" t="n">
        <v>0</v>
      </c>
      <c r="BY72" s="147" t="n">
        <v>0</v>
      </c>
      <c r="BZ72" s="147" t="n">
        <v>0</v>
      </c>
      <c r="CA72" s="147" t="n">
        <v>0</v>
      </c>
      <c r="CB72" s="147" t="n">
        <v>0</v>
      </c>
      <c r="CC72" s="147" t="n">
        <v>0</v>
      </c>
      <c r="CD72" s="147" t="n">
        <v>0</v>
      </c>
      <c r="CE72" s="147" t="n">
        <v>0</v>
      </c>
      <c r="CF72" s="147" t="n">
        <v>0</v>
      </c>
      <c r="CG72" s="147" t="n">
        <v>0</v>
      </c>
      <c r="CH72" s="147" t="n">
        <v>0</v>
      </c>
      <c r="CI72" s="147" t="n">
        <v>0</v>
      </c>
      <c r="CJ72" s="147" t="n">
        <v>0</v>
      </c>
      <c r="CK72" s="147" t="n">
        <v>0</v>
      </c>
      <c r="CL72" s="147" t="n">
        <v>0</v>
      </c>
      <c r="CM72" s="147" t="n">
        <v>0</v>
      </c>
      <c r="CN72" s="147" t="n">
        <v>0</v>
      </c>
      <c r="CO72" s="147" t="n">
        <v>0</v>
      </c>
      <c r="CP72" s="147" t="n">
        <v>0</v>
      </c>
      <c r="CQ72" s="147" t="n">
        <v>0</v>
      </c>
      <c r="CR72" s="147" t="n">
        <v>0</v>
      </c>
      <c r="CS72" s="147" t="n">
        <v>0</v>
      </c>
      <c r="CT72" s="147" t="n">
        <v>0</v>
      </c>
      <c r="CU72" s="147" t="n">
        <v>0</v>
      </c>
      <c r="CV72" s="147" t="n">
        <v>0</v>
      </c>
      <c r="CW72" s="147" t="n">
        <v>0</v>
      </c>
      <c r="CX72" s="147" t="n">
        <v>0</v>
      </c>
      <c r="CY72" s="147" t="n">
        <v>0</v>
      </c>
      <c r="CZ72" s="147" t="n">
        <v>0</v>
      </c>
      <c r="DA72" s="147" t="n">
        <v>0</v>
      </c>
      <c r="DB72" s="147" t="n">
        <v>0</v>
      </c>
      <c r="DC72" s="147" t="n">
        <v>0</v>
      </c>
      <c r="DD72" s="147" t="n">
        <v>0</v>
      </c>
      <c r="DE72" s="147" t="n">
        <v>0</v>
      </c>
      <c r="DF72" s="147" t="n">
        <v>0</v>
      </c>
    </row>
    <row r="73" customFormat="false" ht="15" hidden="false" customHeight="true" outlineLevel="0" collapsed="false">
      <c r="A73" s="90" t="s">
        <v>110</v>
      </c>
      <c r="C73" s="104" t="n">
        <v>0</v>
      </c>
      <c r="D73" s="104" t="n">
        <v>0</v>
      </c>
      <c r="E73" s="104" t="n">
        <v>0</v>
      </c>
      <c r="F73" s="147" t="n">
        <v>0</v>
      </c>
      <c r="G73" s="147" t="n">
        <v>0</v>
      </c>
      <c r="H73" s="147" t="n">
        <v>0</v>
      </c>
      <c r="I73" s="147" t="n">
        <v>0</v>
      </c>
      <c r="J73" s="147" t="n">
        <v>0</v>
      </c>
      <c r="K73" s="147" t="n">
        <v>0</v>
      </c>
      <c r="L73" s="147" t="n">
        <v>0</v>
      </c>
      <c r="M73" s="147" t="n">
        <v>0</v>
      </c>
      <c r="N73" s="147" t="n">
        <v>0</v>
      </c>
      <c r="O73" s="147" t="n">
        <v>0</v>
      </c>
      <c r="P73" s="147" t="n">
        <v>0</v>
      </c>
      <c r="Q73" s="147" t="n">
        <v>0</v>
      </c>
      <c r="R73" s="147" t="n">
        <v>0</v>
      </c>
      <c r="S73" s="147" t="n">
        <v>0</v>
      </c>
      <c r="T73" s="147" t="n">
        <v>0</v>
      </c>
      <c r="U73" s="147" t="n">
        <v>0</v>
      </c>
      <c r="V73" s="147" t="n">
        <v>0</v>
      </c>
      <c r="W73" s="147" t="n">
        <v>0</v>
      </c>
      <c r="X73" s="147" t="n">
        <v>0</v>
      </c>
      <c r="Y73" s="147" t="n">
        <v>0</v>
      </c>
      <c r="Z73" s="147" t="n">
        <v>0</v>
      </c>
      <c r="AA73" s="147" t="n">
        <v>0</v>
      </c>
      <c r="AB73" s="147" t="n">
        <v>0</v>
      </c>
      <c r="AC73" s="147" t="n">
        <v>0</v>
      </c>
      <c r="AD73" s="147" t="n">
        <v>0</v>
      </c>
      <c r="AE73" s="147" t="n">
        <v>0</v>
      </c>
      <c r="AF73" s="147" t="n">
        <v>0</v>
      </c>
      <c r="AG73" s="147" t="n">
        <v>0</v>
      </c>
      <c r="AH73" s="147" t="n">
        <v>0</v>
      </c>
      <c r="AI73" s="147" t="n">
        <v>0</v>
      </c>
      <c r="AJ73" s="147" t="n">
        <v>0</v>
      </c>
      <c r="AK73" s="147" t="n">
        <v>0</v>
      </c>
      <c r="AL73" s="147" t="n">
        <v>0</v>
      </c>
      <c r="AM73" s="147" t="n">
        <v>0</v>
      </c>
      <c r="AN73" s="147" t="n">
        <v>0</v>
      </c>
      <c r="AO73" s="147" t="n">
        <v>0</v>
      </c>
      <c r="AP73" s="147" t="n">
        <v>0</v>
      </c>
      <c r="AQ73" s="147" t="n">
        <v>0</v>
      </c>
      <c r="AR73" s="147" t="n">
        <v>0</v>
      </c>
      <c r="AS73" s="147" t="n">
        <v>0</v>
      </c>
      <c r="AT73" s="147" t="n">
        <v>0</v>
      </c>
      <c r="AU73" s="147" t="n">
        <v>0</v>
      </c>
      <c r="AV73" s="147" t="n">
        <v>0</v>
      </c>
      <c r="AW73" s="147" t="n">
        <v>0</v>
      </c>
      <c r="AX73" s="147" t="n">
        <v>0</v>
      </c>
      <c r="AY73" s="147" t="n">
        <v>0</v>
      </c>
      <c r="AZ73" s="147" t="n">
        <v>0</v>
      </c>
      <c r="BA73" s="147" t="n">
        <v>0</v>
      </c>
      <c r="BB73" s="147" t="n">
        <v>0</v>
      </c>
      <c r="BC73" s="147" t="n">
        <v>0</v>
      </c>
      <c r="BD73" s="147" t="n">
        <v>0</v>
      </c>
      <c r="BE73" s="147" t="n">
        <v>0</v>
      </c>
      <c r="BF73" s="147" t="n">
        <v>0</v>
      </c>
      <c r="BG73" s="147" t="n">
        <v>0</v>
      </c>
      <c r="BH73" s="147" t="n">
        <v>0</v>
      </c>
      <c r="BI73" s="147" t="n">
        <v>0</v>
      </c>
      <c r="BJ73" s="147" t="n">
        <v>0</v>
      </c>
      <c r="BK73" s="147" t="n">
        <v>0</v>
      </c>
      <c r="BL73" s="147" t="n">
        <v>0</v>
      </c>
      <c r="BM73" s="147" t="n">
        <v>0</v>
      </c>
      <c r="BN73" s="147" t="n">
        <v>0</v>
      </c>
      <c r="BO73" s="147" t="n">
        <v>0</v>
      </c>
      <c r="BP73" s="147" t="n">
        <v>0</v>
      </c>
      <c r="BQ73" s="147" t="n">
        <v>0</v>
      </c>
      <c r="BR73" s="147" t="n">
        <v>0</v>
      </c>
      <c r="BS73" s="147" t="n">
        <v>0</v>
      </c>
      <c r="BT73" s="147" t="n">
        <v>0</v>
      </c>
      <c r="BU73" s="147" t="n">
        <v>0</v>
      </c>
      <c r="BV73" s="147" t="n">
        <v>0</v>
      </c>
      <c r="BW73" s="147" t="n">
        <v>0</v>
      </c>
      <c r="BX73" s="147" t="n">
        <v>0</v>
      </c>
      <c r="BY73" s="147" t="n">
        <v>0</v>
      </c>
      <c r="BZ73" s="147" t="n">
        <v>0</v>
      </c>
      <c r="CA73" s="147" t="n">
        <v>0</v>
      </c>
      <c r="CB73" s="147" t="n">
        <v>0</v>
      </c>
      <c r="CC73" s="147" t="n">
        <v>0</v>
      </c>
      <c r="CD73" s="147" t="n">
        <v>0</v>
      </c>
      <c r="CE73" s="147" t="n">
        <v>0</v>
      </c>
      <c r="CF73" s="147" t="n">
        <v>0</v>
      </c>
      <c r="CG73" s="147" t="n">
        <v>0</v>
      </c>
      <c r="CH73" s="147" t="n">
        <v>0</v>
      </c>
      <c r="CI73" s="147" t="n">
        <v>0</v>
      </c>
      <c r="CJ73" s="147" t="n">
        <v>0</v>
      </c>
      <c r="CK73" s="147" t="n">
        <v>0</v>
      </c>
      <c r="CL73" s="147" t="n">
        <v>0</v>
      </c>
      <c r="CM73" s="147" t="n">
        <v>0</v>
      </c>
      <c r="CN73" s="147" t="n">
        <v>0</v>
      </c>
      <c r="CO73" s="147" t="n">
        <v>0</v>
      </c>
      <c r="CP73" s="147" t="n">
        <v>0</v>
      </c>
      <c r="CQ73" s="147" t="n">
        <v>0</v>
      </c>
      <c r="CR73" s="147" t="n">
        <v>0</v>
      </c>
      <c r="CS73" s="147" t="n">
        <v>0</v>
      </c>
      <c r="CT73" s="147" t="n">
        <v>0</v>
      </c>
      <c r="CU73" s="147" t="n">
        <v>0</v>
      </c>
      <c r="CV73" s="147" t="n">
        <v>0</v>
      </c>
      <c r="CW73" s="147" t="n">
        <v>0</v>
      </c>
      <c r="CX73" s="147" t="n">
        <v>0</v>
      </c>
      <c r="CY73" s="147" t="n">
        <v>0</v>
      </c>
      <c r="CZ73" s="147" t="n">
        <v>0</v>
      </c>
      <c r="DA73" s="147" t="n">
        <v>0</v>
      </c>
      <c r="DB73" s="147" t="n">
        <v>0</v>
      </c>
      <c r="DC73" s="147" t="n">
        <v>0</v>
      </c>
      <c r="DD73" s="147" t="n">
        <v>0</v>
      </c>
      <c r="DE73" s="147" t="n">
        <v>0</v>
      </c>
      <c r="DF73" s="147" t="n">
        <v>0</v>
      </c>
    </row>
    <row r="74" customFormat="false" ht="15" hidden="false" customHeight="true" outlineLevel="0" collapsed="false">
      <c r="A74" s="90" t="s">
        <v>111</v>
      </c>
      <c r="C74" s="104" t="n">
        <v>0</v>
      </c>
      <c r="D74" s="104" t="n">
        <v>0</v>
      </c>
      <c r="E74" s="104" t="n">
        <v>0</v>
      </c>
      <c r="F74" s="147" t="n">
        <v>0</v>
      </c>
      <c r="G74" s="147" t="n">
        <v>0</v>
      </c>
      <c r="H74" s="147" t="n">
        <v>0</v>
      </c>
      <c r="I74" s="147" t="n">
        <v>0</v>
      </c>
      <c r="J74" s="147" t="n">
        <v>0</v>
      </c>
      <c r="K74" s="147" t="n">
        <v>0</v>
      </c>
      <c r="L74" s="147" t="n">
        <v>0</v>
      </c>
      <c r="M74" s="147" t="n">
        <v>0</v>
      </c>
      <c r="N74" s="147" t="n">
        <v>0</v>
      </c>
      <c r="O74" s="147" t="n">
        <v>0</v>
      </c>
      <c r="P74" s="147" t="n">
        <v>0</v>
      </c>
      <c r="Q74" s="147" t="n">
        <v>0</v>
      </c>
      <c r="R74" s="147" t="n">
        <v>0</v>
      </c>
      <c r="S74" s="147" t="n">
        <v>0</v>
      </c>
      <c r="T74" s="147" t="n">
        <v>0</v>
      </c>
      <c r="U74" s="147" t="n">
        <v>0</v>
      </c>
      <c r="V74" s="147" t="n">
        <v>0</v>
      </c>
      <c r="W74" s="147" t="n">
        <v>0</v>
      </c>
      <c r="X74" s="147" t="n">
        <v>0</v>
      </c>
      <c r="Y74" s="147" t="n">
        <v>0</v>
      </c>
      <c r="Z74" s="147" t="n">
        <v>0</v>
      </c>
      <c r="AA74" s="147" t="n">
        <v>0</v>
      </c>
      <c r="AB74" s="147" t="n">
        <v>0</v>
      </c>
      <c r="AC74" s="147" t="n">
        <v>0</v>
      </c>
      <c r="AD74" s="147" t="n">
        <v>0</v>
      </c>
      <c r="AE74" s="147" t="n">
        <v>0</v>
      </c>
      <c r="AF74" s="147" t="n">
        <v>0</v>
      </c>
      <c r="AG74" s="147" t="n">
        <v>0</v>
      </c>
      <c r="AH74" s="147" t="n">
        <v>0</v>
      </c>
      <c r="AI74" s="147" t="n">
        <v>0</v>
      </c>
      <c r="AJ74" s="147" t="n">
        <v>0</v>
      </c>
      <c r="AK74" s="147" t="n">
        <v>0</v>
      </c>
      <c r="AL74" s="147" t="n">
        <v>0</v>
      </c>
      <c r="AM74" s="147" t="n">
        <v>0</v>
      </c>
      <c r="AN74" s="147" t="n">
        <v>0</v>
      </c>
      <c r="AO74" s="147" t="n">
        <v>0</v>
      </c>
      <c r="AP74" s="147" t="n">
        <v>0</v>
      </c>
      <c r="AQ74" s="147" t="n">
        <v>0</v>
      </c>
      <c r="AR74" s="147" t="n">
        <v>0</v>
      </c>
      <c r="AS74" s="147" t="n">
        <v>0</v>
      </c>
      <c r="AT74" s="147" t="n">
        <v>0</v>
      </c>
      <c r="AU74" s="147" t="n">
        <v>0</v>
      </c>
      <c r="AV74" s="147" t="n">
        <v>0</v>
      </c>
      <c r="AW74" s="147" t="n">
        <v>0</v>
      </c>
      <c r="AX74" s="147" t="n">
        <v>0</v>
      </c>
      <c r="AY74" s="147" t="n">
        <v>0</v>
      </c>
      <c r="AZ74" s="147" t="n">
        <v>0</v>
      </c>
      <c r="BA74" s="147" t="n">
        <v>0</v>
      </c>
      <c r="BB74" s="147" t="n">
        <v>0</v>
      </c>
      <c r="BC74" s="147" t="n">
        <v>0</v>
      </c>
      <c r="BD74" s="147" t="n">
        <v>0</v>
      </c>
      <c r="BE74" s="147" t="n">
        <v>0</v>
      </c>
      <c r="BF74" s="147" t="n">
        <v>0</v>
      </c>
      <c r="BG74" s="147" t="n">
        <v>0</v>
      </c>
      <c r="BH74" s="147" t="n">
        <v>0</v>
      </c>
      <c r="BI74" s="147" t="n">
        <v>0</v>
      </c>
      <c r="BJ74" s="147" t="n">
        <v>0</v>
      </c>
      <c r="BK74" s="147" t="n">
        <v>0</v>
      </c>
      <c r="BL74" s="147" t="n">
        <v>0</v>
      </c>
      <c r="BM74" s="147" t="n">
        <v>0</v>
      </c>
      <c r="BN74" s="147" t="n">
        <v>0</v>
      </c>
      <c r="BO74" s="147" t="n">
        <v>0</v>
      </c>
      <c r="BP74" s="147" t="n">
        <v>0</v>
      </c>
      <c r="BQ74" s="147" t="n">
        <v>0</v>
      </c>
      <c r="BR74" s="147" t="n">
        <v>0</v>
      </c>
      <c r="BS74" s="147" t="n">
        <v>0</v>
      </c>
      <c r="BT74" s="147" t="n">
        <v>0</v>
      </c>
      <c r="BU74" s="147" t="n">
        <v>0</v>
      </c>
      <c r="BV74" s="147" t="n">
        <v>0</v>
      </c>
      <c r="BW74" s="147" t="n">
        <v>0</v>
      </c>
      <c r="BX74" s="147" t="n">
        <v>0</v>
      </c>
      <c r="BY74" s="147" t="n">
        <v>0</v>
      </c>
      <c r="BZ74" s="147" t="n">
        <v>0</v>
      </c>
      <c r="CA74" s="147" t="n">
        <v>0</v>
      </c>
      <c r="CB74" s="147" t="n">
        <v>0</v>
      </c>
      <c r="CC74" s="147" t="n">
        <v>0</v>
      </c>
      <c r="CD74" s="147" t="n">
        <v>0</v>
      </c>
      <c r="CE74" s="147" t="n">
        <v>0</v>
      </c>
      <c r="CF74" s="147" t="n">
        <v>0</v>
      </c>
      <c r="CG74" s="147" t="n">
        <v>0</v>
      </c>
      <c r="CH74" s="147" t="n">
        <v>0</v>
      </c>
      <c r="CI74" s="147" t="n">
        <v>0</v>
      </c>
      <c r="CJ74" s="147" t="n">
        <v>0</v>
      </c>
      <c r="CK74" s="147" t="n">
        <v>0</v>
      </c>
      <c r="CL74" s="147" t="n">
        <v>0</v>
      </c>
      <c r="CM74" s="147" t="n">
        <v>0</v>
      </c>
      <c r="CN74" s="147" t="n">
        <v>0</v>
      </c>
      <c r="CO74" s="147" t="n">
        <v>0</v>
      </c>
      <c r="CP74" s="147" t="n">
        <v>0</v>
      </c>
      <c r="CQ74" s="147" t="n">
        <v>0</v>
      </c>
      <c r="CR74" s="147" t="n">
        <v>0</v>
      </c>
      <c r="CS74" s="147" t="n">
        <v>0</v>
      </c>
      <c r="CT74" s="147" t="n">
        <v>0</v>
      </c>
      <c r="CU74" s="147" t="n">
        <v>0</v>
      </c>
      <c r="CV74" s="147" t="n">
        <v>0</v>
      </c>
      <c r="CW74" s="147" t="n">
        <v>0</v>
      </c>
      <c r="CX74" s="147" t="n">
        <v>0</v>
      </c>
      <c r="CY74" s="147" t="n">
        <v>0</v>
      </c>
      <c r="CZ74" s="147" t="n">
        <v>0</v>
      </c>
      <c r="DA74" s="147" t="n">
        <v>0</v>
      </c>
      <c r="DB74" s="147" t="n">
        <v>0</v>
      </c>
      <c r="DC74" s="147" t="n">
        <v>0</v>
      </c>
      <c r="DD74" s="147" t="n">
        <v>0</v>
      </c>
      <c r="DE74" s="147" t="n">
        <v>0</v>
      </c>
      <c r="DF74" s="147" t="n">
        <v>0</v>
      </c>
    </row>
    <row r="75" customFormat="false" ht="15" hidden="false" customHeight="true" outlineLevel="0" collapsed="false">
      <c r="A75" s="90" t="s">
        <v>112</v>
      </c>
      <c r="C75" s="104" t="n">
        <v>0</v>
      </c>
      <c r="D75" s="104" t="n">
        <v>0</v>
      </c>
      <c r="E75" s="104" t="n">
        <v>0</v>
      </c>
      <c r="F75" s="147" t="n">
        <v>0</v>
      </c>
      <c r="G75" s="147" t="n">
        <v>0</v>
      </c>
      <c r="H75" s="147" t="n">
        <v>0</v>
      </c>
      <c r="I75" s="147" t="n">
        <v>0</v>
      </c>
      <c r="J75" s="147" t="n">
        <v>0</v>
      </c>
      <c r="K75" s="147" t="n">
        <v>0</v>
      </c>
      <c r="L75" s="147" t="n">
        <v>0</v>
      </c>
      <c r="M75" s="147" t="n">
        <v>0</v>
      </c>
      <c r="N75" s="147" t="n">
        <v>0</v>
      </c>
      <c r="O75" s="147" t="n">
        <v>0</v>
      </c>
      <c r="P75" s="147" t="n">
        <v>0</v>
      </c>
      <c r="Q75" s="147" t="n">
        <v>0</v>
      </c>
      <c r="R75" s="147" t="n">
        <v>0</v>
      </c>
      <c r="S75" s="147" t="n">
        <v>0</v>
      </c>
      <c r="T75" s="147" t="n">
        <v>0</v>
      </c>
      <c r="U75" s="147" t="n">
        <v>0</v>
      </c>
      <c r="V75" s="147" t="n">
        <v>0</v>
      </c>
      <c r="W75" s="147" t="n">
        <v>0</v>
      </c>
      <c r="X75" s="147" t="n">
        <v>0</v>
      </c>
      <c r="Y75" s="147" t="n">
        <v>0</v>
      </c>
      <c r="Z75" s="147" t="n">
        <v>0</v>
      </c>
      <c r="AA75" s="147" t="n">
        <v>0</v>
      </c>
      <c r="AB75" s="147" t="n">
        <v>0</v>
      </c>
      <c r="AC75" s="147" t="n">
        <v>0</v>
      </c>
      <c r="AD75" s="147" t="n">
        <v>0</v>
      </c>
      <c r="AE75" s="147" t="n">
        <v>0</v>
      </c>
      <c r="AF75" s="147" t="n">
        <v>0</v>
      </c>
      <c r="AG75" s="147" t="n">
        <v>0</v>
      </c>
      <c r="AH75" s="147" t="n">
        <v>0</v>
      </c>
      <c r="AI75" s="147" t="n">
        <v>0</v>
      </c>
      <c r="AJ75" s="147" t="n">
        <v>0</v>
      </c>
      <c r="AK75" s="147" t="n">
        <v>0</v>
      </c>
      <c r="AL75" s="147" t="n">
        <v>0</v>
      </c>
      <c r="AM75" s="147" t="n">
        <v>0</v>
      </c>
      <c r="AN75" s="147" t="n">
        <v>0</v>
      </c>
      <c r="AO75" s="147" t="n">
        <v>0</v>
      </c>
      <c r="AP75" s="147" t="n">
        <v>0</v>
      </c>
      <c r="AQ75" s="147" t="n">
        <v>0</v>
      </c>
      <c r="AR75" s="147" t="n">
        <v>0</v>
      </c>
      <c r="AS75" s="147" t="n">
        <v>0</v>
      </c>
      <c r="AT75" s="147" t="n">
        <v>0</v>
      </c>
      <c r="AU75" s="147" t="n">
        <v>0</v>
      </c>
      <c r="AV75" s="147" t="n">
        <v>0</v>
      </c>
      <c r="AW75" s="147" t="n">
        <v>0</v>
      </c>
      <c r="AX75" s="147" t="n">
        <v>0</v>
      </c>
      <c r="AY75" s="147" t="n">
        <v>0</v>
      </c>
      <c r="AZ75" s="147" t="n">
        <v>0</v>
      </c>
      <c r="BA75" s="147" t="n">
        <v>0</v>
      </c>
      <c r="BB75" s="147" t="n">
        <v>0</v>
      </c>
      <c r="BC75" s="147" t="n">
        <v>0</v>
      </c>
      <c r="BD75" s="147" t="n">
        <v>0</v>
      </c>
      <c r="BE75" s="147" t="n">
        <v>0</v>
      </c>
      <c r="BF75" s="147" t="n">
        <v>0</v>
      </c>
      <c r="BG75" s="147" t="n">
        <v>0</v>
      </c>
      <c r="BH75" s="147" t="n">
        <v>0</v>
      </c>
      <c r="BI75" s="147" t="n">
        <v>0</v>
      </c>
      <c r="BJ75" s="147" t="n">
        <v>0</v>
      </c>
      <c r="BK75" s="147" t="n">
        <v>0</v>
      </c>
      <c r="BL75" s="147" t="n">
        <v>0</v>
      </c>
      <c r="BM75" s="147" t="n">
        <v>0</v>
      </c>
      <c r="BN75" s="147" t="n">
        <v>0</v>
      </c>
      <c r="BO75" s="147" t="n">
        <v>0</v>
      </c>
      <c r="BP75" s="147" t="n">
        <v>0</v>
      </c>
      <c r="BQ75" s="147" t="n">
        <v>0</v>
      </c>
      <c r="BR75" s="147" t="n">
        <v>0</v>
      </c>
      <c r="BS75" s="147" t="n">
        <v>0</v>
      </c>
      <c r="BT75" s="147" t="n">
        <v>0</v>
      </c>
      <c r="BU75" s="147" t="n">
        <v>0</v>
      </c>
      <c r="BV75" s="147" t="n">
        <v>0</v>
      </c>
      <c r="BW75" s="147" t="n">
        <v>0</v>
      </c>
      <c r="BX75" s="147" t="n">
        <v>0</v>
      </c>
      <c r="BY75" s="147" t="n">
        <v>0</v>
      </c>
      <c r="BZ75" s="147" t="n">
        <v>0</v>
      </c>
      <c r="CA75" s="147" t="n">
        <v>0</v>
      </c>
      <c r="CB75" s="147" t="n">
        <v>0</v>
      </c>
      <c r="CC75" s="147" t="n">
        <v>0</v>
      </c>
      <c r="CD75" s="147" t="n">
        <v>0</v>
      </c>
      <c r="CE75" s="147" t="n">
        <v>0</v>
      </c>
      <c r="CF75" s="147" t="n">
        <v>0</v>
      </c>
      <c r="CG75" s="147" t="n">
        <v>0</v>
      </c>
      <c r="CH75" s="147" t="n">
        <v>0</v>
      </c>
      <c r="CI75" s="147" t="n">
        <v>0</v>
      </c>
      <c r="CJ75" s="147" t="n">
        <v>0</v>
      </c>
      <c r="CK75" s="147" t="n">
        <v>0</v>
      </c>
      <c r="CL75" s="147" t="n">
        <v>0</v>
      </c>
      <c r="CM75" s="147" t="n">
        <v>0</v>
      </c>
      <c r="CN75" s="147" t="n">
        <v>0</v>
      </c>
      <c r="CO75" s="147" t="n">
        <v>0</v>
      </c>
      <c r="CP75" s="147" t="n">
        <v>0</v>
      </c>
      <c r="CQ75" s="147" t="n">
        <v>0</v>
      </c>
      <c r="CR75" s="147" t="n">
        <v>0</v>
      </c>
      <c r="CS75" s="147" t="n">
        <v>0</v>
      </c>
      <c r="CT75" s="147" t="n">
        <v>0</v>
      </c>
      <c r="CU75" s="147" t="n">
        <v>0</v>
      </c>
      <c r="CV75" s="147" t="n">
        <v>0</v>
      </c>
      <c r="CW75" s="147" t="n">
        <v>0</v>
      </c>
      <c r="CX75" s="147" t="n">
        <v>0</v>
      </c>
      <c r="CY75" s="147" t="n">
        <v>0</v>
      </c>
      <c r="CZ75" s="147" t="n">
        <v>0</v>
      </c>
      <c r="DA75" s="147" t="n">
        <v>0</v>
      </c>
      <c r="DB75" s="147" t="n">
        <v>0</v>
      </c>
      <c r="DC75" s="147" t="n">
        <v>0</v>
      </c>
      <c r="DD75" s="147" t="n">
        <v>0</v>
      </c>
      <c r="DE75" s="147" t="n">
        <v>0</v>
      </c>
      <c r="DF75" s="147" t="n">
        <v>0</v>
      </c>
    </row>
    <row r="76" customFormat="false" ht="15" hidden="false" customHeight="true" outlineLevel="0" collapsed="false">
      <c r="A76" s="90" t="s">
        <v>113</v>
      </c>
      <c r="C76" s="104" t="n">
        <v>0</v>
      </c>
      <c r="D76" s="104" t="n">
        <v>0</v>
      </c>
      <c r="E76" s="104" t="n">
        <v>0</v>
      </c>
      <c r="F76" s="147" t="n">
        <v>0</v>
      </c>
      <c r="G76" s="147" t="n">
        <v>0</v>
      </c>
      <c r="H76" s="147" t="n">
        <v>0</v>
      </c>
      <c r="I76" s="147" t="n">
        <v>0</v>
      </c>
      <c r="J76" s="147" t="n">
        <v>0</v>
      </c>
      <c r="K76" s="147" t="n">
        <v>0</v>
      </c>
      <c r="L76" s="147" t="n">
        <v>0</v>
      </c>
      <c r="M76" s="147" t="n">
        <v>0</v>
      </c>
      <c r="N76" s="147" t="n">
        <v>0</v>
      </c>
      <c r="O76" s="147" t="n">
        <v>0</v>
      </c>
      <c r="P76" s="147" t="n">
        <v>0</v>
      </c>
      <c r="Q76" s="147" t="n">
        <v>0</v>
      </c>
      <c r="R76" s="147" t="n">
        <v>0</v>
      </c>
      <c r="S76" s="147" t="n">
        <v>0</v>
      </c>
      <c r="T76" s="147" t="n">
        <v>0</v>
      </c>
      <c r="U76" s="147" t="n">
        <v>0</v>
      </c>
      <c r="V76" s="147" t="n">
        <v>0</v>
      </c>
      <c r="W76" s="147" t="n">
        <v>0</v>
      </c>
      <c r="X76" s="147" t="n">
        <v>0</v>
      </c>
      <c r="Y76" s="147" t="n">
        <v>0</v>
      </c>
      <c r="Z76" s="147" t="n">
        <v>0</v>
      </c>
      <c r="AA76" s="147" t="n">
        <v>0</v>
      </c>
      <c r="AB76" s="147" t="n">
        <v>0</v>
      </c>
      <c r="AC76" s="147" t="n">
        <v>0</v>
      </c>
      <c r="AD76" s="147" t="n">
        <v>0</v>
      </c>
      <c r="AE76" s="147" t="n">
        <v>0</v>
      </c>
      <c r="AF76" s="147" t="n">
        <v>0</v>
      </c>
      <c r="AG76" s="147" t="n">
        <v>0</v>
      </c>
      <c r="AH76" s="147" t="n">
        <v>0</v>
      </c>
      <c r="AI76" s="147" t="n">
        <v>0</v>
      </c>
      <c r="AJ76" s="147" t="n">
        <v>0</v>
      </c>
      <c r="AK76" s="147" t="n">
        <v>0</v>
      </c>
      <c r="AL76" s="147" t="n">
        <v>0</v>
      </c>
      <c r="AM76" s="147" t="n">
        <v>0</v>
      </c>
      <c r="AN76" s="147" t="n">
        <v>0</v>
      </c>
      <c r="AO76" s="147" t="n">
        <v>0</v>
      </c>
      <c r="AP76" s="147" t="n">
        <v>0</v>
      </c>
      <c r="AQ76" s="147" t="n">
        <v>0</v>
      </c>
      <c r="AR76" s="147" t="n">
        <v>0</v>
      </c>
      <c r="AS76" s="147" t="n">
        <v>0</v>
      </c>
      <c r="AT76" s="147" t="n">
        <v>0</v>
      </c>
      <c r="AU76" s="147" t="n">
        <v>0</v>
      </c>
      <c r="AV76" s="147" t="n">
        <v>0</v>
      </c>
      <c r="AW76" s="147" t="n">
        <v>0</v>
      </c>
      <c r="AX76" s="147" t="n">
        <v>0</v>
      </c>
      <c r="AY76" s="147" t="n">
        <v>0</v>
      </c>
      <c r="AZ76" s="147" t="n">
        <v>0</v>
      </c>
      <c r="BA76" s="147" t="n">
        <v>0</v>
      </c>
      <c r="BB76" s="147" t="n">
        <v>0</v>
      </c>
      <c r="BC76" s="147" t="n">
        <v>0</v>
      </c>
      <c r="BD76" s="147" t="n">
        <v>0</v>
      </c>
      <c r="BE76" s="147" t="n">
        <v>0</v>
      </c>
      <c r="BF76" s="147" t="n">
        <v>0</v>
      </c>
      <c r="BG76" s="147" t="n">
        <v>0</v>
      </c>
      <c r="BH76" s="147" t="n">
        <v>0</v>
      </c>
      <c r="BI76" s="147" t="n">
        <v>0</v>
      </c>
      <c r="BJ76" s="147" t="n">
        <v>0</v>
      </c>
      <c r="BK76" s="147" t="n">
        <v>0</v>
      </c>
      <c r="BL76" s="147" t="n">
        <v>0</v>
      </c>
      <c r="BM76" s="147" t="n">
        <v>0</v>
      </c>
      <c r="BN76" s="147" t="n">
        <v>0</v>
      </c>
      <c r="BO76" s="147" t="n">
        <v>0</v>
      </c>
      <c r="BP76" s="147" t="n">
        <v>0</v>
      </c>
      <c r="BQ76" s="147" t="n">
        <v>0</v>
      </c>
      <c r="BR76" s="147" t="n">
        <v>0</v>
      </c>
      <c r="BS76" s="147" t="n">
        <v>0</v>
      </c>
      <c r="BT76" s="147" t="n">
        <v>0</v>
      </c>
      <c r="BU76" s="147" t="n">
        <v>0</v>
      </c>
      <c r="BV76" s="147" t="n">
        <v>0</v>
      </c>
      <c r="BW76" s="147" t="n">
        <v>0</v>
      </c>
      <c r="BX76" s="147" t="n">
        <v>0</v>
      </c>
      <c r="BY76" s="147" t="n">
        <v>0</v>
      </c>
      <c r="BZ76" s="147" t="n">
        <v>0</v>
      </c>
      <c r="CA76" s="147" t="n">
        <v>0</v>
      </c>
      <c r="CB76" s="147" t="n">
        <v>0</v>
      </c>
      <c r="CC76" s="147" t="n">
        <v>0</v>
      </c>
      <c r="CD76" s="147" t="n">
        <v>0</v>
      </c>
      <c r="CE76" s="147" t="n">
        <v>0</v>
      </c>
      <c r="CF76" s="147" t="n">
        <v>0</v>
      </c>
      <c r="CG76" s="147" t="n">
        <v>0</v>
      </c>
      <c r="CH76" s="147" t="n">
        <v>0</v>
      </c>
      <c r="CI76" s="147" t="n">
        <v>0</v>
      </c>
      <c r="CJ76" s="147" t="n">
        <v>0</v>
      </c>
      <c r="CK76" s="147" t="n">
        <v>0</v>
      </c>
      <c r="CL76" s="147" t="n">
        <v>0</v>
      </c>
      <c r="CM76" s="147" t="n">
        <v>0</v>
      </c>
      <c r="CN76" s="147" t="n">
        <v>0</v>
      </c>
      <c r="CO76" s="147" t="n">
        <v>0</v>
      </c>
      <c r="CP76" s="147" t="n">
        <v>0</v>
      </c>
      <c r="CQ76" s="147" t="n">
        <v>0</v>
      </c>
      <c r="CR76" s="147" t="n">
        <v>0</v>
      </c>
      <c r="CS76" s="147" t="n">
        <v>0</v>
      </c>
      <c r="CT76" s="147" t="n">
        <v>0</v>
      </c>
      <c r="CU76" s="147" t="n">
        <v>0</v>
      </c>
      <c r="CV76" s="147" t="n">
        <v>0</v>
      </c>
      <c r="CW76" s="147" t="n">
        <v>0</v>
      </c>
      <c r="CX76" s="147" t="n">
        <v>0</v>
      </c>
      <c r="CY76" s="147" t="n">
        <v>0</v>
      </c>
      <c r="CZ76" s="147" t="n">
        <v>0</v>
      </c>
      <c r="DA76" s="147" t="n">
        <v>0</v>
      </c>
      <c r="DB76" s="147" t="n">
        <v>0</v>
      </c>
      <c r="DC76" s="147" t="n">
        <v>0</v>
      </c>
      <c r="DD76" s="147" t="n">
        <v>0</v>
      </c>
      <c r="DE76" s="147" t="n">
        <v>0</v>
      </c>
      <c r="DF76" s="147" t="n">
        <v>0</v>
      </c>
    </row>
    <row r="77" customFormat="false" ht="15" hidden="false" customHeight="true" outlineLevel="0" collapsed="false">
      <c r="A77" s="90" t="s">
        <v>114</v>
      </c>
      <c r="C77" s="104" t="n">
        <v>0</v>
      </c>
      <c r="D77" s="104" t="n">
        <v>0</v>
      </c>
      <c r="E77" s="104" t="n">
        <v>0</v>
      </c>
      <c r="F77" s="147" t="n">
        <v>0</v>
      </c>
      <c r="G77" s="147" t="n">
        <v>0</v>
      </c>
      <c r="H77" s="147" t="n">
        <v>0</v>
      </c>
      <c r="I77" s="147" t="n">
        <v>0</v>
      </c>
      <c r="J77" s="147" t="n">
        <v>0</v>
      </c>
      <c r="K77" s="147" t="n">
        <v>0</v>
      </c>
      <c r="L77" s="147" t="n">
        <v>0</v>
      </c>
      <c r="M77" s="147" t="n">
        <v>0</v>
      </c>
      <c r="N77" s="147" t="n">
        <v>0</v>
      </c>
      <c r="O77" s="147" t="n">
        <v>0</v>
      </c>
      <c r="P77" s="147" t="n">
        <v>0</v>
      </c>
      <c r="Q77" s="147" t="n">
        <v>0</v>
      </c>
      <c r="R77" s="147" t="n">
        <v>0</v>
      </c>
      <c r="S77" s="147" t="n">
        <v>0</v>
      </c>
      <c r="T77" s="147" t="n">
        <v>0</v>
      </c>
      <c r="U77" s="147" t="n">
        <v>0</v>
      </c>
      <c r="V77" s="147" t="n">
        <v>0</v>
      </c>
      <c r="W77" s="147" t="n">
        <v>0</v>
      </c>
      <c r="X77" s="147" t="n">
        <v>0</v>
      </c>
      <c r="Y77" s="147" t="n">
        <v>0</v>
      </c>
      <c r="Z77" s="147" t="n">
        <v>0</v>
      </c>
      <c r="AA77" s="147" t="n">
        <v>0</v>
      </c>
      <c r="AB77" s="147" t="n">
        <v>0</v>
      </c>
      <c r="AC77" s="147" t="n">
        <v>0</v>
      </c>
      <c r="AD77" s="147" t="n">
        <v>0</v>
      </c>
      <c r="AE77" s="147" t="n">
        <v>0</v>
      </c>
      <c r="AF77" s="147" t="n">
        <v>0</v>
      </c>
      <c r="AG77" s="147" t="n">
        <v>0</v>
      </c>
      <c r="AH77" s="147" t="n">
        <v>0</v>
      </c>
      <c r="AI77" s="147" t="n">
        <v>0</v>
      </c>
      <c r="AJ77" s="147" t="n">
        <v>0</v>
      </c>
      <c r="AK77" s="147" t="n">
        <v>0</v>
      </c>
      <c r="AL77" s="147" t="n">
        <v>0</v>
      </c>
      <c r="AM77" s="147" t="n">
        <v>0</v>
      </c>
      <c r="AN77" s="147" t="n">
        <v>0</v>
      </c>
      <c r="AO77" s="147" t="n">
        <v>0</v>
      </c>
      <c r="AP77" s="147" t="n">
        <v>0</v>
      </c>
      <c r="AQ77" s="147" t="n">
        <v>0</v>
      </c>
      <c r="AR77" s="147" t="n">
        <v>0</v>
      </c>
      <c r="AS77" s="147" t="n">
        <v>0</v>
      </c>
      <c r="AT77" s="147" t="n">
        <v>0</v>
      </c>
      <c r="AU77" s="147" t="n">
        <v>81683</v>
      </c>
      <c r="AV77" s="147" t="n">
        <v>0</v>
      </c>
      <c r="AW77" s="147" t="n">
        <v>0</v>
      </c>
      <c r="AX77" s="147" t="n">
        <v>81682</v>
      </c>
      <c r="AY77" s="147" t="n">
        <v>0</v>
      </c>
      <c r="AZ77" s="147" t="n">
        <v>0</v>
      </c>
      <c r="BA77" s="147" t="n">
        <v>81682</v>
      </c>
      <c r="BB77" s="147" t="n">
        <v>0</v>
      </c>
      <c r="BC77" s="147" t="n">
        <v>0</v>
      </c>
      <c r="BD77" s="147" t="n">
        <v>81682</v>
      </c>
      <c r="BE77" s="147" t="n">
        <v>0</v>
      </c>
      <c r="BF77" s="147" t="n">
        <v>0</v>
      </c>
      <c r="BG77" s="147" t="n">
        <v>59178</v>
      </c>
      <c r="BH77" s="147" t="n">
        <v>0</v>
      </c>
      <c r="BI77" s="147" t="n">
        <v>0</v>
      </c>
      <c r="BJ77" s="147" t="n">
        <v>59176</v>
      </c>
      <c r="BK77" s="147" t="n">
        <v>0</v>
      </c>
      <c r="BL77" s="147" t="n">
        <v>0</v>
      </c>
      <c r="BM77" s="147" t="n">
        <v>59176</v>
      </c>
      <c r="BN77" s="147" t="n">
        <v>0</v>
      </c>
      <c r="BO77" s="147" t="n">
        <v>0</v>
      </c>
      <c r="BP77" s="147" t="n">
        <v>59176</v>
      </c>
      <c r="BQ77" s="147" t="n">
        <v>0</v>
      </c>
      <c r="BR77" s="147" t="n">
        <v>0</v>
      </c>
      <c r="BS77" s="147" t="n">
        <v>67763</v>
      </c>
      <c r="BT77" s="147" t="n">
        <v>0</v>
      </c>
      <c r="BU77" s="147" t="n">
        <v>0</v>
      </c>
      <c r="BV77" s="147" t="n">
        <v>67762</v>
      </c>
      <c r="BW77" s="147" t="n">
        <v>0</v>
      </c>
      <c r="BX77" s="147" t="n">
        <v>0</v>
      </c>
      <c r="BY77" s="147" t="n">
        <v>67762</v>
      </c>
      <c r="BZ77" s="147" t="n">
        <v>0</v>
      </c>
      <c r="CA77" s="147" t="n">
        <v>0</v>
      </c>
      <c r="CB77" s="147" t="n">
        <v>67762</v>
      </c>
      <c r="CC77" s="147" t="n">
        <v>0</v>
      </c>
      <c r="CD77" s="147" t="n">
        <v>0</v>
      </c>
      <c r="CE77" s="147" t="n">
        <v>76499</v>
      </c>
      <c r="CF77" s="147" t="n">
        <v>0</v>
      </c>
      <c r="CG77" s="147" t="n">
        <v>0</v>
      </c>
      <c r="CH77" s="147" t="n">
        <v>76499</v>
      </c>
      <c r="CI77" s="147" t="n">
        <v>0</v>
      </c>
      <c r="CJ77" s="147" t="n">
        <v>0</v>
      </c>
      <c r="CK77" s="147" t="n">
        <v>76499</v>
      </c>
      <c r="CL77" s="147" t="n">
        <v>76499</v>
      </c>
      <c r="CM77" s="147" t="n">
        <v>76499</v>
      </c>
      <c r="CN77" s="147" t="n">
        <v>76499</v>
      </c>
      <c r="CO77" s="147" t="n">
        <v>76499</v>
      </c>
      <c r="CP77" s="147" t="n">
        <v>76499</v>
      </c>
      <c r="CQ77" s="147" t="n">
        <v>76499</v>
      </c>
      <c r="CR77" s="147" t="n">
        <v>76499</v>
      </c>
      <c r="CS77" s="147" t="n">
        <v>76499</v>
      </c>
      <c r="CT77" s="147" t="n">
        <v>76499</v>
      </c>
      <c r="CU77" s="147" t="n">
        <v>76499</v>
      </c>
      <c r="CV77" s="147" t="n">
        <v>76499</v>
      </c>
      <c r="CW77" s="147" t="n">
        <v>76499</v>
      </c>
      <c r="CX77" s="147" t="n">
        <v>76499</v>
      </c>
      <c r="CY77" s="147" t="n">
        <v>76499</v>
      </c>
      <c r="CZ77" s="147" t="n">
        <v>76499</v>
      </c>
      <c r="DA77" s="147" t="n">
        <v>76499</v>
      </c>
      <c r="DB77" s="147" t="n">
        <v>76499</v>
      </c>
      <c r="DC77" s="147" t="n">
        <v>76499</v>
      </c>
      <c r="DD77" s="147" t="n">
        <v>76499</v>
      </c>
      <c r="DE77" s="147" t="n">
        <v>76499</v>
      </c>
      <c r="DF77" s="147" t="n">
        <v>76499</v>
      </c>
    </row>
    <row r="78" customFormat="false" ht="15" hidden="false" customHeight="true" outlineLevel="0" collapsed="false">
      <c r="A78" s="90" t="s">
        <v>115</v>
      </c>
      <c r="C78" s="104" t="n">
        <v>0</v>
      </c>
      <c r="D78" s="104" t="n">
        <v>0</v>
      </c>
      <c r="E78" s="104" t="n">
        <v>0</v>
      </c>
      <c r="F78" s="147" t="n">
        <v>0</v>
      </c>
      <c r="G78" s="147" t="n">
        <v>0</v>
      </c>
      <c r="H78" s="147" t="n">
        <v>0</v>
      </c>
      <c r="I78" s="147" t="n">
        <v>0</v>
      </c>
      <c r="J78" s="147" t="n">
        <v>0</v>
      </c>
      <c r="K78" s="147" t="n">
        <v>0</v>
      </c>
      <c r="L78" s="147" t="n">
        <v>0</v>
      </c>
      <c r="M78" s="147" t="n">
        <v>0</v>
      </c>
      <c r="N78" s="147" t="n">
        <v>0</v>
      </c>
      <c r="O78" s="147" t="n">
        <v>0</v>
      </c>
      <c r="P78" s="147" t="n">
        <v>0</v>
      </c>
      <c r="Q78" s="147" t="n">
        <v>0</v>
      </c>
      <c r="R78" s="147" t="n">
        <v>0</v>
      </c>
      <c r="S78" s="147" t="n">
        <v>0</v>
      </c>
      <c r="T78" s="147" t="n">
        <v>0</v>
      </c>
      <c r="U78" s="147" t="n">
        <v>0</v>
      </c>
      <c r="V78" s="147" t="n">
        <v>0</v>
      </c>
      <c r="W78" s="147" t="n">
        <v>0</v>
      </c>
      <c r="X78" s="147" t="n">
        <v>0</v>
      </c>
      <c r="Y78" s="147" t="n">
        <v>0</v>
      </c>
      <c r="Z78" s="147" t="n">
        <v>0</v>
      </c>
      <c r="AA78" s="147" t="n">
        <v>0</v>
      </c>
      <c r="AB78" s="147" t="n">
        <v>0</v>
      </c>
      <c r="AC78" s="147" t="n">
        <v>0</v>
      </c>
      <c r="AD78" s="147" t="n">
        <v>0</v>
      </c>
      <c r="AE78" s="147" t="n">
        <v>0</v>
      </c>
      <c r="AF78" s="147" t="n">
        <v>0</v>
      </c>
      <c r="AG78" s="147" t="n">
        <v>0</v>
      </c>
      <c r="AH78" s="147" t="n">
        <v>0</v>
      </c>
      <c r="AI78" s="147" t="n">
        <v>0</v>
      </c>
      <c r="AJ78" s="147" t="n">
        <v>0</v>
      </c>
      <c r="AK78" s="147" t="n">
        <v>0</v>
      </c>
      <c r="AL78" s="147" t="n">
        <v>0</v>
      </c>
      <c r="AM78" s="147" t="n">
        <v>0</v>
      </c>
      <c r="AN78" s="147" t="n">
        <v>0</v>
      </c>
      <c r="AO78" s="147" t="n">
        <v>0</v>
      </c>
      <c r="AP78" s="147" t="n">
        <v>0</v>
      </c>
      <c r="AQ78" s="147" t="n">
        <v>0</v>
      </c>
      <c r="AR78" s="147" t="n">
        <v>0</v>
      </c>
      <c r="AS78" s="147" t="n">
        <v>0</v>
      </c>
      <c r="AT78" s="147" t="n">
        <v>0</v>
      </c>
      <c r="AU78" s="147" t="n">
        <v>0</v>
      </c>
      <c r="AV78" s="147" t="n">
        <v>0</v>
      </c>
      <c r="AW78" s="147" t="n">
        <v>0</v>
      </c>
      <c r="AX78" s="147" t="n">
        <v>0</v>
      </c>
      <c r="AY78" s="147" t="n">
        <v>0</v>
      </c>
      <c r="AZ78" s="147" t="n">
        <v>0</v>
      </c>
      <c r="BA78" s="147" t="n">
        <v>0</v>
      </c>
      <c r="BB78" s="147" t="n">
        <v>0</v>
      </c>
      <c r="BC78" s="147" t="n">
        <v>0</v>
      </c>
      <c r="BD78" s="147" t="n">
        <v>851839</v>
      </c>
      <c r="BE78" s="147" t="n">
        <v>0</v>
      </c>
      <c r="BF78" s="147" t="n">
        <v>0</v>
      </c>
      <c r="BG78" s="147" t="n">
        <v>71700</v>
      </c>
      <c r="BH78" s="147" t="n">
        <v>0</v>
      </c>
      <c r="BI78" s="147" t="n">
        <v>0</v>
      </c>
      <c r="BJ78" s="147" t="n">
        <v>71700</v>
      </c>
      <c r="BK78" s="147" t="n">
        <v>0</v>
      </c>
      <c r="BL78" s="147" t="n">
        <v>0</v>
      </c>
      <c r="BM78" s="147" t="n">
        <v>71700</v>
      </c>
      <c r="BN78" s="147" t="n">
        <v>0</v>
      </c>
      <c r="BO78" s="147" t="n">
        <v>0</v>
      </c>
      <c r="BP78" s="147" t="n">
        <v>71700</v>
      </c>
      <c r="BQ78" s="147" t="n">
        <v>0</v>
      </c>
      <c r="BR78" s="147" t="n">
        <v>0</v>
      </c>
      <c r="BS78" s="147" t="n">
        <v>74643</v>
      </c>
      <c r="BT78" s="147" t="n">
        <v>0</v>
      </c>
      <c r="BU78" s="147" t="n">
        <v>0</v>
      </c>
      <c r="BV78" s="147" t="n">
        <v>74640</v>
      </c>
      <c r="BW78" s="147" t="n">
        <v>0</v>
      </c>
      <c r="BX78" s="147" t="n">
        <v>0</v>
      </c>
      <c r="BY78" s="147" t="n">
        <v>74640</v>
      </c>
      <c r="BZ78" s="147" t="n">
        <v>0</v>
      </c>
      <c r="CA78" s="147" t="n">
        <v>0</v>
      </c>
      <c r="CB78" s="147" t="n">
        <v>74640</v>
      </c>
      <c r="CC78" s="147" t="n">
        <v>0</v>
      </c>
      <c r="CD78" s="147" t="n">
        <v>0</v>
      </c>
      <c r="CE78" s="147" t="n">
        <v>81363</v>
      </c>
      <c r="CF78" s="147" t="n">
        <v>0</v>
      </c>
      <c r="CG78" s="147" t="n">
        <v>0</v>
      </c>
      <c r="CH78" s="147" t="n">
        <v>81362</v>
      </c>
      <c r="CI78" s="147" t="n">
        <v>0</v>
      </c>
      <c r="CJ78" s="147" t="n">
        <v>0</v>
      </c>
      <c r="CK78" s="147" t="n">
        <v>81362</v>
      </c>
      <c r="CL78" s="147" t="n">
        <v>81362</v>
      </c>
      <c r="CM78" s="147" t="n">
        <v>81362</v>
      </c>
      <c r="CN78" s="147" t="n">
        <v>81362</v>
      </c>
      <c r="CO78" s="147" t="n">
        <v>81362</v>
      </c>
      <c r="CP78" s="147" t="n">
        <v>81362</v>
      </c>
      <c r="CQ78" s="147" t="n">
        <v>81362</v>
      </c>
      <c r="CR78" s="147" t="n">
        <v>81362</v>
      </c>
      <c r="CS78" s="147" t="n">
        <v>81362</v>
      </c>
      <c r="CT78" s="147" t="n">
        <v>81362</v>
      </c>
      <c r="CU78" s="147" t="n">
        <v>81362</v>
      </c>
      <c r="CV78" s="147" t="n">
        <v>81362</v>
      </c>
      <c r="CW78" s="147" t="n">
        <v>81362</v>
      </c>
      <c r="CX78" s="147" t="n">
        <v>81362</v>
      </c>
      <c r="CY78" s="147" t="n">
        <v>81362</v>
      </c>
      <c r="CZ78" s="147" t="n">
        <v>81362</v>
      </c>
      <c r="DA78" s="147" t="n">
        <v>81362</v>
      </c>
      <c r="DB78" s="147" t="n">
        <v>81362</v>
      </c>
      <c r="DC78" s="147" t="n">
        <v>81362</v>
      </c>
      <c r="DD78" s="147" t="n">
        <v>81362</v>
      </c>
      <c r="DE78" s="147" t="n">
        <v>81362</v>
      </c>
      <c r="DF78" s="147" t="n">
        <v>81362</v>
      </c>
    </row>
    <row r="79" customFormat="false" ht="15" hidden="false" customHeight="true" outlineLevel="0" collapsed="false">
      <c r="A79" s="90" t="s">
        <v>116</v>
      </c>
      <c r="C79" s="104" t="n">
        <v>0</v>
      </c>
      <c r="D79" s="104" t="n">
        <v>0</v>
      </c>
      <c r="E79" s="104" t="n">
        <v>0</v>
      </c>
      <c r="F79" s="147" t="n">
        <v>0</v>
      </c>
      <c r="G79" s="147" t="n">
        <v>0</v>
      </c>
      <c r="H79" s="147" t="n">
        <v>0</v>
      </c>
      <c r="I79" s="147" t="n">
        <v>0</v>
      </c>
      <c r="J79" s="147" t="n">
        <v>0</v>
      </c>
      <c r="K79" s="147" t="n">
        <v>0</v>
      </c>
      <c r="L79" s="147" t="n">
        <v>0</v>
      </c>
      <c r="M79" s="147" t="n">
        <v>0</v>
      </c>
      <c r="N79" s="147" t="n">
        <v>0</v>
      </c>
      <c r="O79" s="147" t="n">
        <v>0</v>
      </c>
      <c r="P79" s="147" t="n">
        <v>0</v>
      </c>
      <c r="Q79" s="147" t="n">
        <v>0</v>
      </c>
      <c r="R79" s="147" t="n">
        <v>0</v>
      </c>
      <c r="S79" s="147" t="n">
        <v>0</v>
      </c>
      <c r="T79" s="147" t="n">
        <v>0</v>
      </c>
      <c r="U79" s="147" t="n">
        <v>0</v>
      </c>
      <c r="V79" s="147" t="n">
        <v>0</v>
      </c>
      <c r="W79" s="147" t="n">
        <v>0</v>
      </c>
      <c r="X79" s="147" t="n">
        <v>0</v>
      </c>
      <c r="Y79" s="147" t="n">
        <v>0</v>
      </c>
      <c r="Z79" s="147" t="n">
        <v>0</v>
      </c>
      <c r="AA79" s="147" t="n">
        <v>0</v>
      </c>
      <c r="AB79" s="147" t="n">
        <v>0</v>
      </c>
      <c r="AC79" s="147" t="n">
        <v>0</v>
      </c>
      <c r="AD79" s="147" t="n">
        <v>0</v>
      </c>
      <c r="AE79" s="147" t="n">
        <v>0</v>
      </c>
      <c r="AF79" s="147" t="n">
        <v>0</v>
      </c>
      <c r="AG79" s="147" t="n">
        <v>0</v>
      </c>
      <c r="AH79" s="147" t="n">
        <v>0</v>
      </c>
      <c r="AI79" s="147" t="n">
        <v>0</v>
      </c>
      <c r="AJ79" s="147" t="n">
        <v>0</v>
      </c>
      <c r="AK79" s="147" t="n">
        <v>0</v>
      </c>
      <c r="AL79" s="147" t="n">
        <v>0</v>
      </c>
      <c r="AM79" s="147" t="n">
        <v>0</v>
      </c>
      <c r="AN79" s="147" t="n">
        <v>0</v>
      </c>
      <c r="AO79" s="147" t="n">
        <v>0</v>
      </c>
      <c r="AP79" s="147" t="n">
        <v>0</v>
      </c>
      <c r="AQ79" s="147" t="n">
        <v>0</v>
      </c>
      <c r="AR79" s="147" t="n">
        <v>0</v>
      </c>
      <c r="AS79" s="147" t="n">
        <v>0</v>
      </c>
      <c r="AT79" s="147" t="n">
        <v>0</v>
      </c>
      <c r="AU79" s="147" t="n">
        <v>0</v>
      </c>
      <c r="AV79" s="147" t="n">
        <v>0</v>
      </c>
      <c r="AW79" s="147" t="n">
        <v>0</v>
      </c>
      <c r="AX79" s="147" t="n">
        <v>0</v>
      </c>
      <c r="AY79" s="147" t="n">
        <v>0</v>
      </c>
      <c r="AZ79" s="147" t="n">
        <v>0</v>
      </c>
      <c r="BA79" s="147" t="n">
        <v>0</v>
      </c>
      <c r="BB79" s="147" t="n">
        <v>0</v>
      </c>
      <c r="BC79" s="147" t="n">
        <v>0</v>
      </c>
      <c r="BD79" s="147" t="n">
        <v>0</v>
      </c>
      <c r="BE79" s="147" t="n">
        <v>0</v>
      </c>
      <c r="BF79" s="147" t="n">
        <v>0</v>
      </c>
      <c r="BG79" s="147" t="n">
        <v>0</v>
      </c>
      <c r="BH79" s="147" t="n">
        <v>0</v>
      </c>
      <c r="BI79" s="147" t="n">
        <v>0</v>
      </c>
      <c r="BJ79" s="147" t="n">
        <v>0</v>
      </c>
      <c r="BK79" s="147" t="n">
        <v>0</v>
      </c>
      <c r="BL79" s="147" t="n">
        <v>0</v>
      </c>
      <c r="BM79" s="147" t="n">
        <v>0</v>
      </c>
      <c r="BN79" s="147" t="n">
        <v>0</v>
      </c>
      <c r="BO79" s="147" t="n">
        <v>0</v>
      </c>
      <c r="BP79" s="147" t="n">
        <v>0</v>
      </c>
      <c r="BQ79" s="147" t="n">
        <v>0</v>
      </c>
      <c r="BR79" s="147" t="n">
        <v>0</v>
      </c>
      <c r="BS79" s="147" t="n">
        <v>0</v>
      </c>
      <c r="BT79" s="147" t="n">
        <v>0</v>
      </c>
      <c r="BU79" s="147" t="n">
        <v>0</v>
      </c>
      <c r="BV79" s="147" t="n">
        <v>0</v>
      </c>
      <c r="BW79" s="147" t="n">
        <v>0</v>
      </c>
      <c r="BX79" s="147" t="n">
        <v>0</v>
      </c>
      <c r="BY79" s="147" t="n">
        <v>0</v>
      </c>
      <c r="BZ79" s="147" t="n">
        <v>0</v>
      </c>
      <c r="CA79" s="147" t="n">
        <v>0</v>
      </c>
      <c r="CB79" s="147" t="n">
        <v>73156</v>
      </c>
      <c r="CC79" s="147" t="n">
        <v>0</v>
      </c>
      <c r="CD79" s="147" t="n">
        <v>0</v>
      </c>
      <c r="CE79" s="147" t="n">
        <v>73155</v>
      </c>
      <c r="CF79" s="147" t="n">
        <v>0</v>
      </c>
      <c r="CG79" s="147" t="n">
        <v>0</v>
      </c>
      <c r="CH79" s="147" t="n">
        <v>73155</v>
      </c>
      <c r="CI79" s="147" t="n">
        <v>0</v>
      </c>
      <c r="CJ79" s="147" t="n">
        <v>0</v>
      </c>
      <c r="CK79" s="147" t="n">
        <v>73155</v>
      </c>
      <c r="CL79" s="147" t="n">
        <v>73155</v>
      </c>
      <c r="CM79" s="147" t="n">
        <v>73155</v>
      </c>
      <c r="CN79" s="147" t="n">
        <v>73155</v>
      </c>
      <c r="CO79" s="147" t="n">
        <v>73155</v>
      </c>
      <c r="CP79" s="147" t="n">
        <v>73155</v>
      </c>
      <c r="CQ79" s="147" t="n">
        <v>73155</v>
      </c>
      <c r="CR79" s="147" t="n">
        <v>73155</v>
      </c>
      <c r="CS79" s="147" t="n">
        <v>73155</v>
      </c>
      <c r="CT79" s="147" t="n">
        <v>73155</v>
      </c>
      <c r="CU79" s="147" t="n">
        <v>73155</v>
      </c>
      <c r="CV79" s="147" t="n">
        <v>73155</v>
      </c>
      <c r="CW79" s="147" t="n">
        <v>73155</v>
      </c>
      <c r="CX79" s="147" t="n">
        <v>73155</v>
      </c>
      <c r="CY79" s="147" t="n">
        <v>73155</v>
      </c>
      <c r="CZ79" s="147" t="n">
        <v>73155</v>
      </c>
      <c r="DA79" s="147" t="n">
        <v>73155</v>
      </c>
      <c r="DB79" s="147" t="n">
        <v>73155</v>
      </c>
      <c r="DC79" s="147" t="n">
        <v>73155</v>
      </c>
      <c r="DD79" s="147" t="n">
        <v>73155</v>
      </c>
      <c r="DE79" s="147" t="n">
        <v>73155</v>
      </c>
      <c r="DF79" s="147" t="n">
        <v>73155</v>
      </c>
    </row>
    <row r="80" customFormat="false" ht="15" hidden="false" customHeight="true" outlineLevel="0" collapsed="false">
      <c r="A80" s="90" t="s">
        <v>117</v>
      </c>
      <c r="C80" s="104" t="n">
        <v>0</v>
      </c>
      <c r="D80" s="104" t="n">
        <v>0</v>
      </c>
      <c r="E80" s="104" t="n">
        <v>0</v>
      </c>
      <c r="F80" s="147" t="n">
        <v>0</v>
      </c>
      <c r="G80" s="147" t="n">
        <v>0</v>
      </c>
      <c r="H80" s="147" t="n">
        <v>0</v>
      </c>
      <c r="I80" s="147" t="n">
        <v>0</v>
      </c>
      <c r="J80" s="147" t="n">
        <v>0</v>
      </c>
      <c r="K80" s="147" t="n">
        <v>0</v>
      </c>
      <c r="L80" s="147" t="n">
        <v>0</v>
      </c>
      <c r="M80" s="147" t="n">
        <v>0</v>
      </c>
      <c r="N80" s="147" t="n">
        <v>0</v>
      </c>
      <c r="O80" s="147" t="n">
        <v>0</v>
      </c>
      <c r="P80" s="147" t="n">
        <v>0</v>
      </c>
      <c r="Q80" s="147" t="n">
        <v>0</v>
      </c>
      <c r="R80" s="147" t="n">
        <v>0</v>
      </c>
      <c r="S80" s="147" t="n">
        <v>0</v>
      </c>
      <c r="T80" s="147" t="n">
        <v>0</v>
      </c>
      <c r="U80" s="147" t="n">
        <v>0</v>
      </c>
      <c r="V80" s="147" t="n">
        <v>0</v>
      </c>
      <c r="W80" s="147" t="n">
        <v>0</v>
      </c>
      <c r="X80" s="147" t="n">
        <v>0</v>
      </c>
      <c r="Y80" s="147" t="n">
        <v>0</v>
      </c>
      <c r="Z80" s="147" t="n">
        <v>0</v>
      </c>
      <c r="AA80" s="147" t="n">
        <v>0</v>
      </c>
      <c r="AB80" s="147" t="n">
        <v>0</v>
      </c>
      <c r="AC80" s="147" t="n">
        <v>0</v>
      </c>
      <c r="AD80" s="147" t="n">
        <v>0</v>
      </c>
      <c r="AE80" s="147" t="n">
        <v>0</v>
      </c>
      <c r="AF80" s="147" t="n">
        <v>0</v>
      </c>
      <c r="AG80" s="147" t="n">
        <v>0</v>
      </c>
      <c r="AH80" s="147" t="n">
        <v>0</v>
      </c>
      <c r="AI80" s="147" t="n">
        <v>0</v>
      </c>
      <c r="AJ80" s="147" t="n">
        <v>0</v>
      </c>
      <c r="AK80" s="147" t="n">
        <v>0</v>
      </c>
      <c r="AL80" s="147" t="n">
        <v>0</v>
      </c>
      <c r="AM80" s="147" t="n">
        <v>0</v>
      </c>
      <c r="AN80" s="147" t="n">
        <v>0</v>
      </c>
      <c r="AO80" s="147" t="n">
        <v>0</v>
      </c>
      <c r="AP80" s="147" t="n">
        <v>0</v>
      </c>
      <c r="AQ80" s="147" t="n">
        <v>0</v>
      </c>
      <c r="AR80" s="147" t="n">
        <v>0</v>
      </c>
      <c r="AS80" s="147" t="n">
        <v>0</v>
      </c>
      <c r="AT80" s="147" t="n">
        <v>0</v>
      </c>
      <c r="AU80" s="147" t="n">
        <v>0</v>
      </c>
      <c r="AV80" s="147" t="n">
        <v>0</v>
      </c>
      <c r="AW80" s="147" t="n">
        <v>0</v>
      </c>
      <c r="AX80" s="147" t="n">
        <v>0</v>
      </c>
      <c r="AY80" s="147" t="n">
        <v>0</v>
      </c>
      <c r="AZ80" s="147" t="n">
        <v>0</v>
      </c>
      <c r="BA80" s="147" t="n">
        <v>0</v>
      </c>
      <c r="BB80" s="147" t="n">
        <v>0</v>
      </c>
      <c r="BC80" s="147" t="n">
        <v>0</v>
      </c>
      <c r="BD80" s="147" t="n">
        <v>0</v>
      </c>
      <c r="BE80" s="147" t="n">
        <v>0</v>
      </c>
      <c r="BF80" s="147" t="n">
        <v>0</v>
      </c>
      <c r="BG80" s="147" t="n">
        <v>0</v>
      </c>
      <c r="BH80" s="147" t="n">
        <v>0</v>
      </c>
      <c r="BI80" s="147" t="n">
        <v>0</v>
      </c>
      <c r="BJ80" s="147" t="n">
        <v>0</v>
      </c>
      <c r="BK80" s="147" t="n">
        <v>0</v>
      </c>
      <c r="BL80" s="147" t="n">
        <v>0</v>
      </c>
      <c r="BM80" s="147" t="n">
        <v>0</v>
      </c>
      <c r="BN80" s="147" t="n">
        <v>0</v>
      </c>
      <c r="BO80" s="147" t="n">
        <v>0</v>
      </c>
      <c r="BP80" s="147" t="n">
        <v>0</v>
      </c>
      <c r="BQ80" s="147" t="n">
        <v>0</v>
      </c>
      <c r="BR80" s="147" t="n">
        <v>0</v>
      </c>
      <c r="BS80" s="147" t="n">
        <v>0</v>
      </c>
      <c r="BT80" s="147" t="n">
        <v>0</v>
      </c>
      <c r="BU80" s="147" t="n">
        <v>0</v>
      </c>
      <c r="BV80" s="147" t="n">
        <v>0</v>
      </c>
      <c r="BW80" s="147" t="n">
        <v>0</v>
      </c>
      <c r="BX80" s="147" t="n">
        <v>0</v>
      </c>
      <c r="BY80" s="147" t="n">
        <v>0</v>
      </c>
      <c r="BZ80" s="147" t="n">
        <v>0</v>
      </c>
      <c r="CA80" s="147" t="n">
        <v>0</v>
      </c>
      <c r="CB80" s="147" t="n">
        <v>0</v>
      </c>
      <c r="CC80" s="147" t="n">
        <v>0</v>
      </c>
      <c r="CD80" s="147" t="n">
        <v>0</v>
      </c>
      <c r="CE80" s="147" t="n">
        <v>0</v>
      </c>
      <c r="CF80" s="147" t="n">
        <v>0</v>
      </c>
      <c r="CG80" s="147" t="n">
        <v>0</v>
      </c>
      <c r="CH80" s="147" t="n">
        <v>0</v>
      </c>
      <c r="CI80" s="147" t="n">
        <v>0</v>
      </c>
      <c r="CJ80" s="147" t="n">
        <v>0</v>
      </c>
      <c r="CK80" s="147" t="n">
        <v>0</v>
      </c>
      <c r="CL80" s="147" t="n">
        <v>0</v>
      </c>
      <c r="CM80" s="147" t="n">
        <v>0</v>
      </c>
      <c r="CN80" s="147" t="n">
        <v>0</v>
      </c>
      <c r="CO80" s="147" t="n">
        <v>0</v>
      </c>
      <c r="CP80" s="147" t="n">
        <v>0</v>
      </c>
      <c r="CQ80" s="147" t="n">
        <v>0</v>
      </c>
      <c r="CR80" s="147" t="n">
        <v>0</v>
      </c>
      <c r="CS80" s="147" t="n">
        <v>0</v>
      </c>
      <c r="CT80" s="147" t="n">
        <v>0</v>
      </c>
      <c r="CU80" s="147" t="n">
        <v>0</v>
      </c>
      <c r="CV80" s="147" t="n">
        <v>0</v>
      </c>
      <c r="CW80" s="147" t="n">
        <v>0</v>
      </c>
      <c r="CX80" s="147" t="n">
        <v>0</v>
      </c>
      <c r="CY80" s="147" t="n">
        <v>0</v>
      </c>
      <c r="CZ80" s="147" t="n">
        <v>0</v>
      </c>
      <c r="DA80" s="147" t="n">
        <v>0</v>
      </c>
      <c r="DB80" s="147" t="n">
        <v>0</v>
      </c>
      <c r="DC80" s="147" t="n">
        <v>0</v>
      </c>
      <c r="DD80" s="147" t="n">
        <v>0</v>
      </c>
      <c r="DE80" s="147" t="n">
        <v>0</v>
      </c>
      <c r="DF80" s="147" t="n">
        <v>0</v>
      </c>
    </row>
    <row r="81" customFormat="false" ht="15" hidden="false" customHeight="true" outlineLevel="0" collapsed="false">
      <c r="A81" s="94" t="s">
        <v>121</v>
      </c>
      <c r="C81" s="151" t="n">
        <v>34114.58</v>
      </c>
      <c r="D81" s="151" t="n">
        <v>34114.58</v>
      </c>
      <c r="E81" s="151" t="n">
        <v>34114.58</v>
      </c>
      <c r="F81" s="153" t="n">
        <v>43614.58</v>
      </c>
      <c r="G81" s="153" t="n">
        <v>43614.58</v>
      </c>
      <c r="H81" s="153" t="n">
        <v>43614.58</v>
      </c>
      <c r="I81" s="153" t="n">
        <v>43614.58</v>
      </c>
      <c r="J81" s="153" t="n">
        <v>43614.58</v>
      </c>
      <c r="K81" s="153" t="n">
        <v>42781.25</v>
      </c>
      <c r="L81" s="153" t="n">
        <v>42781.25</v>
      </c>
      <c r="M81" s="153" t="n">
        <v>33406.25</v>
      </c>
      <c r="N81" s="153" t="n">
        <v>33406.25</v>
      </c>
      <c r="O81" s="153" t="n">
        <v>33406.25</v>
      </c>
      <c r="P81" s="153" t="n">
        <v>33406.25</v>
      </c>
      <c r="Q81" s="153" t="n">
        <v>33406.25</v>
      </c>
      <c r="R81" s="153" t="n">
        <v>33406.25</v>
      </c>
      <c r="S81" s="153" t="n">
        <v>33406.25</v>
      </c>
      <c r="T81" s="153" t="n">
        <v>33406.25</v>
      </c>
      <c r="U81" s="153" t="n">
        <v>9500</v>
      </c>
      <c r="V81" s="153" t="n">
        <v>9500</v>
      </c>
      <c r="W81" s="153" t="n">
        <v>9500</v>
      </c>
      <c r="X81" s="153" t="n">
        <v>9500</v>
      </c>
      <c r="Y81" s="153" t="n">
        <v>9500</v>
      </c>
      <c r="Z81" s="153" t="n">
        <v>66875</v>
      </c>
      <c r="AA81" s="153" t="n">
        <v>9500</v>
      </c>
      <c r="AB81" s="153" t="n">
        <v>9500</v>
      </c>
      <c r="AC81" s="153" t="n">
        <v>66875</v>
      </c>
      <c r="AD81" s="153" t="n">
        <v>9500</v>
      </c>
      <c r="AE81" s="153" t="n">
        <v>9500</v>
      </c>
      <c r="AF81" s="153" t="n">
        <v>66875</v>
      </c>
      <c r="AG81" s="153" t="n">
        <v>9500</v>
      </c>
      <c r="AH81" s="153" t="n">
        <v>9500</v>
      </c>
      <c r="AI81" s="153" t="n">
        <v>9500</v>
      </c>
      <c r="AJ81" s="153" t="n">
        <v>0</v>
      </c>
      <c r="AK81" s="153" t="n">
        <v>0</v>
      </c>
      <c r="AL81" s="153" t="n">
        <v>0</v>
      </c>
      <c r="AM81" s="153" t="n">
        <v>0</v>
      </c>
      <c r="AN81" s="153" t="n">
        <v>0</v>
      </c>
      <c r="AO81" s="153" t="n">
        <v>0</v>
      </c>
      <c r="AP81" s="153" t="n">
        <v>0</v>
      </c>
      <c r="AQ81" s="153" t="n">
        <v>0</v>
      </c>
      <c r="AR81" s="153" t="n">
        <v>0</v>
      </c>
      <c r="AS81" s="153" t="n">
        <v>0</v>
      </c>
      <c r="AT81" s="153" t="n">
        <v>0</v>
      </c>
      <c r="AU81" s="153" t="n">
        <v>81683</v>
      </c>
      <c r="AV81" s="153" t="n">
        <v>0</v>
      </c>
      <c r="AW81" s="153" t="n">
        <v>0</v>
      </c>
      <c r="AX81" s="153" t="n">
        <v>81682</v>
      </c>
      <c r="AY81" s="153" t="n">
        <v>0</v>
      </c>
      <c r="AZ81" s="153" t="n">
        <v>0</v>
      </c>
      <c r="BA81" s="153" t="n">
        <v>81682</v>
      </c>
      <c r="BB81" s="153" t="n">
        <v>0</v>
      </c>
      <c r="BC81" s="153" t="n">
        <v>0</v>
      </c>
      <c r="BD81" s="153" t="n">
        <v>933521</v>
      </c>
      <c r="BE81" s="153" t="n">
        <v>0</v>
      </c>
      <c r="BF81" s="153" t="n">
        <v>0</v>
      </c>
      <c r="BG81" s="153" t="n">
        <v>130878</v>
      </c>
      <c r="BH81" s="153" t="n">
        <v>0</v>
      </c>
      <c r="BI81" s="153" t="n">
        <v>0</v>
      </c>
      <c r="BJ81" s="153" t="n">
        <v>130876</v>
      </c>
      <c r="BK81" s="153" t="n">
        <v>0</v>
      </c>
      <c r="BL81" s="153" t="n">
        <v>0</v>
      </c>
      <c r="BM81" s="153" t="n">
        <v>130876</v>
      </c>
      <c r="BN81" s="153" t="n">
        <v>0</v>
      </c>
      <c r="BO81" s="153" t="n">
        <v>0</v>
      </c>
      <c r="BP81" s="153" t="n">
        <v>130876</v>
      </c>
      <c r="BQ81" s="153" t="n">
        <v>0</v>
      </c>
      <c r="BR81" s="153" t="n">
        <v>0</v>
      </c>
      <c r="BS81" s="153" t="n">
        <v>142406</v>
      </c>
      <c r="BT81" s="153" t="n">
        <v>0</v>
      </c>
      <c r="BU81" s="153" t="n">
        <v>0</v>
      </c>
      <c r="BV81" s="153" t="n">
        <v>142402</v>
      </c>
      <c r="BW81" s="153" t="n">
        <v>0</v>
      </c>
      <c r="BX81" s="153" t="n">
        <v>0</v>
      </c>
      <c r="BY81" s="153" t="n">
        <v>142402</v>
      </c>
      <c r="BZ81" s="153" t="n">
        <v>0</v>
      </c>
      <c r="CA81" s="153" t="n">
        <v>0</v>
      </c>
      <c r="CB81" s="153" t="n">
        <v>215558</v>
      </c>
      <c r="CC81" s="153" t="n">
        <v>0</v>
      </c>
      <c r="CD81" s="153" t="n">
        <v>0</v>
      </c>
      <c r="CE81" s="153" t="n">
        <v>231017</v>
      </c>
      <c r="CF81" s="153" t="n">
        <v>0</v>
      </c>
      <c r="CG81" s="153" t="n">
        <v>0</v>
      </c>
      <c r="CH81" s="153" t="n">
        <v>231016</v>
      </c>
      <c r="CI81" s="153" t="n">
        <v>0</v>
      </c>
      <c r="CJ81" s="153" t="n">
        <v>0</v>
      </c>
      <c r="CK81" s="153" t="n">
        <v>231016</v>
      </c>
      <c r="CL81" s="153" t="n">
        <v>231016</v>
      </c>
      <c r="CM81" s="153" t="n">
        <v>231016</v>
      </c>
      <c r="CN81" s="153" t="n">
        <v>231016</v>
      </c>
      <c r="CO81" s="153" t="n">
        <v>231016</v>
      </c>
      <c r="CP81" s="153" t="n">
        <v>231016</v>
      </c>
      <c r="CQ81" s="153" t="n">
        <v>231016</v>
      </c>
      <c r="CR81" s="153" t="n">
        <v>231016</v>
      </c>
      <c r="CS81" s="153" t="n">
        <v>231016</v>
      </c>
      <c r="CT81" s="153" t="n">
        <v>231016</v>
      </c>
      <c r="CU81" s="153" t="n">
        <v>231016</v>
      </c>
      <c r="CV81" s="153" t="n">
        <v>231016</v>
      </c>
      <c r="CW81" s="153" t="n">
        <v>231016</v>
      </c>
      <c r="CX81" s="153" t="n">
        <v>231016</v>
      </c>
      <c r="CY81" s="153" t="n">
        <v>231016</v>
      </c>
      <c r="CZ81" s="153" t="n">
        <v>231016</v>
      </c>
      <c r="DA81" s="153" t="n">
        <v>231016</v>
      </c>
      <c r="DB81" s="153" t="n">
        <v>231016</v>
      </c>
      <c r="DC81" s="153" t="n">
        <v>231016</v>
      </c>
      <c r="DD81" s="153" t="n">
        <v>231016</v>
      </c>
      <c r="DE81" s="153" t="n">
        <v>231016</v>
      </c>
      <c r="DF81" s="153" t="n">
        <v>231016</v>
      </c>
    </row>
    <row r="82" customFormat="false" ht="15" hidden="false" customHeight="true" outlineLevel="0" collapsed="false">
      <c r="A82" s="90"/>
      <c r="C82" s="104" t="n">
        <v>0</v>
      </c>
      <c r="D82" s="104" t="n">
        <v>0</v>
      </c>
      <c r="E82" s="104" t="n">
        <v>0</v>
      </c>
      <c r="F82" s="147" t="n">
        <v>0</v>
      </c>
      <c r="G82" s="147" t="n">
        <v>0</v>
      </c>
      <c r="H82" s="147" t="n">
        <v>0</v>
      </c>
      <c r="I82" s="147" t="n">
        <v>0</v>
      </c>
      <c r="J82" s="147" t="n">
        <v>0</v>
      </c>
      <c r="K82" s="147" t="n">
        <v>0</v>
      </c>
      <c r="L82" s="147" t="n">
        <v>0</v>
      </c>
      <c r="M82" s="147" t="n">
        <v>0</v>
      </c>
      <c r="N82" s="147" t="n">
        <v>0</v>
      </c>
      <c r="O82" s="147" t="n">
        <v>0</v>
      </c>
      <c r="P82" s="147" t="n">
        <v>0</v>
      </c>
      <c r="Q82" s="147" t="n">
        <v>0</v>
      </c>
      <c r="R82" s="147" t="n">
        <v>0</v>
      </c>
      <c r="S82" s="147" t="n">
        <v>0</v>
      </c>
      <c r="T82" s="147" t="n">
        <v>0</v>
      </c>
      <c r="U82" s="147" t="n">
        <v>0</v>
      </c>
      <c r="V82" s="147" t="n">
        <v>0</v>
      </c>
      <c r="W82" s="147" t="n">
        <v>0</v>
      </c>
      <c r="X82" s="147" t="n">
        <v>0</v>
      </c>
      <c r="Y82" s="147" t="n">
        <v>0</v>
      </c>
      <c r="Z82" s="147" t="n">
        <v>0</v>
      </c>
      <c r="AA82" s="147" t="n">
        <v>0</v>
      </c>
      <c r="AB82" s="147" t="n">
        <v>0</v>
      </c>
      <c r="AC82" s="147" t="n">
        <v>0</v>
      </c>
      <c r="AD82" s="147" t="n">
        <v>0</v>
      </c>
      <c r="AE82" s="147" t="n">
        <v>0</v>
      </c>
      <c r="AF82" s="147" t="n">
        <v>0</v>
      </c>
      <c r="AG82" s="147" t="n">
        <v>0</v>
      </c>
      <c r="AH82" s="147" t="n">
        <v>0</v>
      </c>
      <c r="AI82" s="147" t="n">
        <v>0</v>
      </c>
      <c r="AJ82" s="147" t="n">
        <v>0</v>
      </c>
      <c r="AK82" s="147" t="n">
        <v>0</v>
      </c>
      <c r="AL82" s="147" t="n">
        <v>0</v>
      </c>
      <c r="AM82" s="147" t="n">
        <v>0</v>
      </c>
      <c r="AN82" s="147" t="n">
        <v>0</v>
      </c>
      <c r="AO82" s="147" t="n">
        <v>0</v>
      </c>
      <c r="AP82" s="147" t="n">
        <v>0</v>
      </c>
      <c r="AQ82" s="147" t="n">
        <v>0</v>
      </c>
      <c r="AR82" s="147" t="n">
        <v>0</v>
      </c>
      <c r="AS82" s="147" t="n">
        <v>0</v>
      </c>
      <c r="AT82" s="147" t="n">
        <v>0</v>
      </c>
      <c r="AU82" s="147" t="n">
        <v>0</v>
      </c>
      <c r="AV82" s="147" t="n">
        <v>0</v>
      </c>
      <c r="AW82" s="147" t="n">
        <v>0</v>
      </c>
      <c r="AX82" s="147" t="n">
        <v>0</v>
      </c>
      <c r="AY82" s="147" t="n">
        <v>0</v>
      </c>
      <c r="AZ82" s="147" t="n">
        <v>0</v>
      </c>
      <c r="BA82" s="147" t="n">
        <v>0</v>
      </c>
      <c r="BB82" s="147" t="n">
        <v>0</v>
      </c>
      <c r="BC82" s="147" t="n">
        <v>0</v>
      </c>
      <c r="BD82" s="147" t="n">
        <v>0</v>
      </c>
      <c r="BE82" s="147" t="n">
        <v>0</v>
      </c>
      <c r="BF82" s="147" t="n">
        <v>0</v>
      </c>
      <c r="BG82" s="147" t="n">
        <v>0</v>
      </c>
      <c r="BH82" s="147" t="n">
        <v>0</v>
      </c>
      <c r="BI82" s="147" t="n">
        <v>0</v>
      </c>
      <c r="BJ82" s="147" t="n">
        <v>0</v>
      </c>
      <c r="BK82" s="147" t="n">
        <v>0</v>
      </c>
      <c r="BL82" s="147" t="n">
        <v>0</v>
      </c>
      <c r="BM82" s="147" t="n">
        <v>0</v>
      </c>
      <c r="BN82" s="147" t="n">
        <v>0</v>
      </c>
      <c r="BO82" s="147" t="n">
        <v>0</v>
      </c>
      <c r="BP82" s="147" t="n">
        <v>0</v>
      </c>
      <c r="BQ82" s="147" t="n">
        <v>0</v>
      </c>
      <c r="BR82" s="147" t="n">
        <v>0</v>
      </c>
      <c r="BS82" s="147" t="n">
        <v>0</v>
      </c>
      <c r="BT82" s="147" t="n">
        <v>0</v>
      </c>
      <c r="BU82" s="147" t="n">
        <v>0</v>
      </c>
      <c r="BV82" s="147" t="n">
        <v>0</v>
      </c>
      <c r="BW82" s="147" t="n">
        <v>0</v>
      </c>
      <c r="BX82" s="147" t="n">
        <v>0</v>
      </c>
      <c r="BY82" s="147" t="n">
        <v>0</v>
      </c>
      <c r="BZ82" s="147" t="n">
        <v>0</v>
      </c>
      <c r="CA82" s="147" t="n">
        <v>0</v>
      </c>
      <c r="CB82" s="147" t="n">
        <v>0</v>
      </c>
      <c r="CC82" s="147" t="n">
        <v>0</v>
      </c>
      <c r="CD82" s="147" t="n">
        <v>0</v>
      </c>
      <c r="CE82" s="147" t="n">
        <v>0</v>
      </c>
      <c r="CF82" s="147" t="n">
        <v>0</v>
      </c>
      <c r="CG82" s="147" t="n">
        <v>0</v>
      </c>
      <c r="CH82" s="147" t="n">
        <v>0</v>
      </c>
      <c r="CI82" s="147" t="n">
        <v>0</v>
      </c>
      <c r="CJ82" s="147" t="n">
        <v>0</v>
      </c>
      <c r="CK82" s="147" t="n">
        <v>0</v>
      </c>
      <c r="CL82" s="147" t="n">
        <v>0</v>
      </c>
      <c r="CM82" s="147" t="n">
        <v>0</v>
      </c>
      <c r="CN82" s="147" t="n">
        <v>0</v>
      </c>
      <c r="CO82" s="147" t="n">
        <v>0</v>
      </c>
      <c r="CP82" s="147" t="n">
        <v>0</v>
      </c>
      <c r="CQ82" s="147" t="n">
        <v>0</v>
      </c>
      <c r="CR82" s="147" t="n">
        <v>0</v>
      </c>
      <c r="CS82" s="147" t="n">
        <v>0</v>
      </c>
      <c r="CT82" s="147" t="n">
        <v>0</v>
      </c>
      <c r="CU82" s="147" t="n">
        <v>0</v>
      </c>
      <c r="CV82" s="147" t="n">
        <v>0</v>
      </c>
      <c r="CW82" s="147" t="n">
        <v>0</v>
      </c>
      <c r="CX82" s="147" t="n">
        <v>0</v>
      </c>
      <c r="CY82" s="147" t="n">
        <v>0</v>
      </c>
      <c r="CZ82" s="147" t="n">
        <v>0</v>
      </c>
      <c r="DA82" s="147" t="n">
        <v>0</v>
      </c>
      <c r="DB82" s="147" t="n">
        <v>0</v>
      </c>
      <c r="DC82" s="147" t="n">
        <v>0</v>
      </c>
      <c r="DD82" s="147" t="n">
        <v>0</v>
      </c>
      <c r="DE82" s="147" t="n">
        <v>0</v>
      </c>
      <c r="DF82" s="147" t="n">
        <v>0</v>
      </c>
    </row>
    <row r="83" customFormat="false" ht="15" hidden="false" customHeight="true" outlineLevel="0" collapsed="false">
      <c r="A83" s="90" t="s">
        <v>64</v>
      </c>
      <c r="C83" s="104" t="n">
        <v>-54421</v>
      </c>
      <c r="D83" s="104" t="n">
        <v>-54166.68</v>
      </c>
      <c r="E83" s="104" t="n">
        <v>-54166.68</v>
      </c>
      <c r="F83" s="147" t="n">
        <v>-11458.3333333333</v>
      </c>
      <c r="G83" s="147" t="n">
        <v>-11458.3333333333</v>
      </c>
      <c r="H83" s="147" t="n">
        <v>-11458.3333333333</v>
      </c>
      <c r="I83" s="147" t="n">
        <v>-11458.3333333333</v>
      </c>
      <c r="J83" s="147" t="n">
        <v>-11458.3333333333</v>
      </c>
      <c r="K83" s="147" t="n">
        <v>-11458.3333333333</v>
      </c>
      <c r="L83" s="147" t="n">
        <v>-11458.3333333333</v>
      </c>
      <c r="M83" s="147" t="n">
        <v>-11458.3333333333</v>
      </c>
      <c r="N83" s="147" t="n">
        <v>-11458.3333333333</v>
      </c>
      <c r="O83" s="147" t="n">
        <v>-11458.3333333333</v>
      </c>
      <c r="P83" s="147" t="n">
        <v>-11458.3333333333</v>
      </c>
      <c r="Q83" s="147" t="n">
        <v>-11458.3333333333</v>
      </c>
      <c r="R83" s="147" t="n">
        <v>-11687.5</v>
      </c>
      <c r="S83" s="147" t="n">
        <v>-11687.5</v>
      </c>
      <c r="T83" s="147" t="n">
        <v>-11687.5</v>
      </c>
      <c r="U83" s="147" t="n">
        <v>-11687.5</v>
      </c>
      <c r="V83" s="147" t="n">
        <v>-11687.5</v>
      </c>
      <c r="W83" s="147" t="n">
        <v>-11687.5</v>
      </c>
      <c r="X83" s="147" t="n">
        <v>-11687.5</v>
      </c>
      <c r="Y83" s="147" t="n">
        <v>-11687.5</v>
      </c>
      <c r="Z83" s="147" t="n">
        <v>-11687.5</v>
      </c>
      <c r="AA83" s="147" t="n">
        <v>-11687.5</v>
      </c>
      <c r="AB83" s="147" t="n">
        <v>-11687.5</v>
      </c>
      <c r="AC83" s="147" t="n">
        <v>-11687.5</v>
      </c>
      <c r="AD83" s="147" t="n">
        <v>-11921.25</v>
      </c>
      <c r="AE83" s="147" t="n">
        <v>-11921.25</v>
      </c>
      <c r="AF83" s="147" t="n">
        <v>-11921.25</v>
      </c>
      <c r="AG83" s="147" t="n">
        <v>-11921.25</v>
      </c>
      <c r="AH83" s="147" t="n">
        <v>-11921.25</v>
      </c>
      <c r="AI83" s="147" t="n">
        <v>-11921.25</v>
      </c>
      <c r="AJ83" s="147" t="n">
        <v>-11921.25</v>
      </c>
      <c r="AK83" s="147" t="n">
        <v>-11921.25</v>
      </c>
      <c r="AL83" s="147" t="n">
        <v>-11921.25</v>
      </c>
      <c r="AM83" s="147" t="n">
        <v>-11921.25</v>
      </c>
      <c r="AN83" s="147" t="n">
        <v>-11921.25</v>
      </c>
      <c r="AO83" s="147" t="n">
        <v>-11921.25</v>
      </c>
      <c r="AP83" s="147" t="n">
        <v>-12159.675</v>
      </c>
      <c r="AQ83" s="147" t="n">
        <v>-12159.675</v>
      </c>
      <c r="AR83" s="147" t="n">
        <v>-12159.675</v>
      </c>
      <c r="AS83" s="147" t="n">
        <v>-12159.675</v>
      </c>
      <c r="AT83" s="147" t="n">
        <v>-12159.675</v>
      </c>
      <c r="AU83" s="147" t="n">
        <v>-12159.675</v>
      </c>
      <c r="AV83" s="147" t="n">
        <v>-12159.675</v>
      </c>
      <c r="AW83" s="147" t="n">
        <v>-12159.675</v>
      </c>
      <c r="AX83" s="147" t="n">
        <v>-12159.675</v>
      </c>
      <c r="AY83" s="147" t="n">
        <v>-12159.675</v>
      </c>
      <c r="AZ83" s="147" t="n">
        <v>-12159.675</v>
      </c>
      <c r="BA83" s="147" t="n">
        <v>-12159.675</v>
      </c>
      <c r="BB83" s="147" t="n">
        <v>-12402.8685</v>
      </c>
      <c r="BC83" s="147" t="n">
        <v>-12402.8685</v>
      </c>
      <c r="BD83" s="147" t="n">
        <v>-12402.8685</v>
      </c>
      <c r="BE83" s="147" t="n">
        <v>-12402.8685</v>
      </c>
      <c r="BF83" s="147" t="n">
        <v>-12402.8685</v>
      </c>
      <c r="BG83" s="147" t="n">
        <v>-12402.8685</v>
      </c>
      <c r="BH83" s="147" t="n">
        <v>-12402.8685</v>
      </c>
      <c r="BI83" s="147" t="n">
        <v>-12402.8685</v>
      </c>
      <c r="BJ83" s="147" t="n">
        <v>-12402.8685</v>
      </c>
      <c r="BK83" s="147" t="n">
        <v>-12402.8685</v>
      </c>
      <c r="BL83" s="147" t="n">
        <v>-12402.8685</v>
      </c>
      <c r="BM83" s="147" t="n">
        <v>-12402.8685</v>
      </c>
      <c r="BN83" s="147" t="n">
        <v>-12650.92587</v>
      </c>
      <c r="BO83" s="147" t="n">
        <v>-12650.92587</v>
      </c>
      <c r="BP83" s="147" t="n">
        <v>-12650.92587</v>
      </c>
      <c r="BQ83" s="147" t="n">
        <v>-12650.92587</v>
      </c>
      <c r="BR83" s="147" t="n">
        <v>-12650.92587</v>
      </c>
      <c r="BS83" s="147" t="n">
        <v>-12650.92587</v>
      </c>
      <c r="BT83" s="147" t="n">
        <v>-12650.92587</v>
      </c>
      <c r="BU83" s="147" t="n">
        <v>-12650.92587</v>
      </c>
      <c r="BV83" s="147" t="n">
        <v>-12650.92587</v>
      </c>
      <c r="BW83" s="147" t="n">
        <v>-12650.92587</v>
      </c>
      <c r="BX83" s="147" t="n">
        <v>-12650.92587</v>
      </c>
      <c r="BY83" s="147" t="n">
        <v>-12650.92587</v>
      </c>
      <c r="BZ83" s="147" t="n">
        <v>-12903.9443874</v>
      </c>
      <c r="CA83" s="147" t="n">
        <v>-12903.9443874</v>
      </c>
      <c r="CB83" s="147" t="n">
        <v>-12903.9443874</v>
      </c>
      <c r="CC83" s="147" t="n">
        <v>-12903.9443874</v>
      </c>
      <c r="CD83" s="147" t="n">
        <v>-12903.9443874</v>
      </c>
      <c r="CE83" s="147" t="n">
        <v>-12903.9443874</v>
      </c>
      <c r="CF83" s="147" t="n">
        <v>-12903.9443874</v>
      </c>
      <c r="CG83" s="147" t="n">
        <v>-12903.9443874</v>
      </c>
      <c r="CH83" s="147" t="n">
        <v>-12903.9443874</v>
      </c>
      <c r="CI83" s="147" t="n">
        <v>-12903.9443874</v>
      </c>
      <c r="CJ83" s="147" t="n">
        <v>-12903.9443874</v>
      </c>
      <c r="CK83" s="147" t="n">
        <v>-12903.9443874</v>
      </c>
      <c r="CL83" s="147" t="n">
        <v>-13162.023275148</v>
      </c>
      <c r="CM83" s="147" t="n">
        <v>-13162.023275148</v>
      </c>
      <c r="CN83" s="147" t="n">
        <v>-13162.023275148</v>
      </c>
      <c r="CO83" s="147" t="n">
        <v>-13162.023275148</v>
      </c>
      <c r="CP83" s="147" t="n">
        <v>-13162.023275148</v>
      </c>
      <c r="CQ83" s="147" t="n">
        <v>-13162.023275148</v>
      </c>
      <c r="CR83" s="147" t="n">
        <v>-13162.023275148</v>
      </c>
      <c r="CS83" s="147" t="n">
        <v>-13162.023275148</v>
      </c>
      <c r="CT83" s="147" t="n">
        <v>-13162.023275148</v>
      </c>
      <c r="CU83" s="147" t="n">
        <v>-13162.023275148</v>
      </c>
      <c r="CV83" s="147" t="n">
        <v>-13162.023275148</v>
      </c>
      <c r="CW83" s="147" t="n">
        <v>-13162.023275148</v>
      </c>
      <c r="CX83" s="147" t="n">
        <v>-13425.263740651</v>
      </c>
      <c r="CY83" s="147" t="n">
        <v>-13425.263740651</v>
      </c>
      <c r="CZ83" s="147" t="n">
        <v>-13425.263740651</v>
      </c>
      <c r="DA83" s="147" t="n">
        <v>-13425.263740651</v>
      </c>
      <c r="DB83" s="147" t="n">
        <v>-13425.263740651</v>
      </c>
      <c r="DC83" s="147" t="n">
        <v>-13425.263740651</v>
      </c>
      <c r="DD83" s="147" t="n">
        <v>-13425.263740651</v>
      </c>
      <c r="DE83" s="147" t="n">
        <v>-13425.263740651</v>
      </c>
      <c r="DF83" s="147" t="n">
        <v>-13425.263740651</v>
      </c>
    </row>
    <row r="84" customFormat="false" ht="15" hidden="false" customHeight="true" outlineLevel="0" collapsed="false">
      <c r="A84" s="90" t="s">
        <v>65</v>
      </c>
      <c r="C84" s="104" t="n">
        <v>-5302</v>
      </c>
      <c r="D84" s="104" t="n">
        <v>-4279.79</v>
      </c>
      <c r="E84" s="104" t="n">
        <v>-4145.97</v>
      </c>
      <c r="F84" s="147" t="n">
        <v>-802.083333333334</v>
      </c>
      <c r="G84" s="147" t="n">
        <v>-802.083333333334</v>
      </c>
      <c r="H84" s="147" t="n">
        <v>-802.083333333334</v>
      </c>
      <c r="I84" s="147" t="n">
        <v>-802.083333333334</v>
      </c>
      <c r="J84" s="147" t="n">
        <v>-802.083333333334</v>
      </c>
      <c r="K84" s="147" t="n">
        <v>-802.083333333334</v>
      </c>
      <c r="L84" s="147" t="n">
        <v>-802.083333333334</v>
      </c>
      <c r="M84" s="147" t="n">
        <v>-802.083333333334</v>
      </c>
      <c r="N84" s="147" t="n">
        <v>-802.083333333334</v>
      </c>
      <c r="O84" s="147" t="n">
        <v>-802.083333333334</v>
      </c>
      <c r="P84" s="147" t="n">
        <v>-802.083333333334</v>
      </c>
      <c r="Q84" s="147" t="n">
        <v>-802.083333333334</v>
      </c>
      <c r="R84" s="147" t="n">
        <v>-818.125</v>
      </c>
      <c r="S84" s="147" t="n">
        <v>-818.125</v>
      </c>
      <c r="T84" s="147" t="n">
        <v>-818.125</v>
      </c>
      <c r="U84" s="147" t="n">
        <v>-818.125</v>
      </c>
      <c r="V84" s="147" t="n">
        <v>-818.125</v>
      </c>
      <c r="W84" s="147" t="n">
        <v>-818.125</v>
      </c>
      <c r="X84" s="147" t="n">
        <v>-818.125</v>
      </c>
      <c r="Y84" s="147" t="n">
        <v>-818.125</v>
      </c>
      <c r="Z84" s="147" t="n">
        <v>-818.125</v>
      </c>
      <c r="AA84" s="147" t="n">
        <v>-818.125</v>
      </c>
      <c r="AB84" s="147" t="n">
        <v>-818.125</v>
      </c>
      <c r="AC84" s="147" t="n">
        <v>-818.125</v>
      </c>
      <c r="AD84" s="147" t="n">
        <v>-834.4875</v>
      </c>
      <c r="AE84" s="147" t="n">
        <v>-834.4875</v>
      </c>
      <c r="AF84" s="147" t="n">
        <v>-834.4875</v>
      </c>
      <c r="AG84" s="147" t="n">
        <v>-834.4875</v>
      </c>
      <c r="AH84" s="147" t="n">
        <v>-834.4875</v>
      </c>
      <c r="AI84" s="147" t="n">
        <v>-834.4875</v>
      </c>
      <c r="AJ84" s="147" t="n">
        <v>-834.4875</v>
      </c>
      <c r="AK84" s="147" t="n">
        <v>-834.4875</v>
      </c>
      <c r="AL84" s="147" t="n">
        <v>-834.4875</v>
      </c>
      <c r="AM84" s="147" t="n">
        <v>-834.4875</v>
      </c>
      <c r="AN84" s="147" t="n">
        <v>-834.4875</v>
      </c>
      <c r="AO84" s="147" t="n">
        <v>-834.4875</v>
      </c>
      <c r="AP84" s="147" t="n">
        <v>-851.17725</v>
      </c>
      <c r="AQ84" s="147" t="n">
        <v>-851.17725</v>
      </c>
      <c r="AR84" s="147" t="n">
        <v>-851.17725</v>
      </c>
      <c r="AS84" s="147" t="n">
        <v>-851.17725</v>
      </c>
      <c r="AT84" s="147" t="n">
        <v>-851.17725</v>
      </c>
      <c r="AU84" s="147" t="n">
        <v>-851.17725</v>
      </c>
      <c r="AV84" s="147" t="n">
        <v>-851.17725</v>
      </c>
      <c r="AW84" s="147" t="n">
        <v>-851.17725</v>
      </c>
      <c r="AX84" s="147" t="n">
        <v>-851.17725</v>
      </c>
      <c r="AY84" s="147" t="n">
        <v>-851.17725</v>
      </c>
      <c r="AZ84" s="147" t="n">
        <v>-851.17725</v>
      </c>
      <c r="BA84" s="147" t="n">
        <v>-851.17725</v>
      </c>
      <c r="BB84" s="147" t="n">
        <v>-868.200795</v>
      </c>
      <c r="BC84" s="147" t="n">
        <v>-868.200795</v>
      </c>
      <c r="BD84" s="147" t="n">
        <v>-868.200795</v>
      </c>
      <c r="BE84" s="147" t="n">
        <v>-868.200795</v>
      </c>
      <c r="BF84" s="147" t="n">
        <v>-868.200795</v>
      </c>
      <c r="BG84" s="147" t="n">
        <v>-868.200795</v>
      </c>
      <c r="BH84" s="147" t="n">
        <v>-868.200795</v>
      </c>
      <c r="BI84" s="147" t="n">
        <v>-868.200795</v>
      </c>
      <c r="BJ84" s="147" t="n">
        <v>-868.200795</v>
      </c>
      <c r="BK84" s="147" t="n">
        <v>-868.200795</v>
      </c>
      <c r="BL84" s="147" t="n">
        <v>-868.200795</v>
      </c>
      <c r="BM84" s="147" t="n">
        <v>-868.200795</v>
      </c>
      <c r="BN84" s="147" t="n">
        <v>-885.5648109</v>
      </c>
      <c r="BO84" s="147" t="n">
        <v>-885.5648109</v>
      </c>
      <c r="BP84" s="147" t="n">
        <v>-885.5648109</v>
      </c>
      <c r="BQ84" s="147" t="n">
        <v>-885.5648109</v>
      </c>
      <c r="BR84" s="147" t="n">
        <v>-885.5648109</v>
      </c>
      <c r="BS84" s="147" t="n">
        <v>-885.5648109</v>
      </c>
      <c r="BT84" s="147" t="n">
        <v>-885.5648109</v>
      </c>
      <c r="BU84" s="147" t="n">
        <v>-885.5648109</v>
      </c>
      <c r="BV84" s="147" t="n">
        <v>-885.5648109</v>
      </c>
      <c r="BW84" s="147" t="n">
        <v>-885.5648109</v>
      </c>
      <c r="BX84" s="147" t="n">
        <v>-885.5648109</v>
      </c>
      <c r="BY84" s="147" t="n">
        <v>-885.5648109</v>
      </c>
      <c r="BZ84" s="147" t="n">
        <v>-903.276107118</v>
      </c>
      <c r="CA84" s="147" t="n">
        <v>-903.276107118</v>
      </c>
      <c r="CB84" s="147" t="n">
        <v>-903.276107118</v>
      </c>
      <c r="CC84" s="147" t="n">
        <v>-903.276107118</v>
      </c>
      <c r="CD84" s="147" t="n">
        <v>-903.276107118</v>
      </c>
      <c r="CE84" s="147" t="n">
        <v>-903.276107118</v>
      </c>
      <c r="CF84" s="147" t="n">
        <v>-903.276107118</v>
      </c>
      <c r="CG84" s="147" t="n">
        <v>-903.276107118</v>
      </c>
      <c r="CH84" s="147" t="n">
        <v>-903.276107118</v>
      </c>
      <c r="CI84" s="147" t="n">
        <v>-903.276107118</v>
      </c>
      <c r="CJ84" s="147" t="n">
        <v>-903.276107118</v>
      </c>
      <c r="CK84" s="147" t="n">
        <v>-903.276107118</v>
      </c>
      <c r="CL84" s="147" t="n">
        <v>-921.34162926036</v>
      </c>
      <c r="CM84" s="147" t="n">
        <v>-921.34162926036</v>
      </c>
      <c r="CN84" s="147" t="n">
        <v>-921.34162926036</v>
      </c>
      <c r="CO84" s="147" t="n">
        <v>-921.34162926036</v>
      </c>
      <c r="CP84" s="147" t="n">
        <v>-921.34162926036</v>
      </c>
      <c r="CQ84" s="147" t="n">
        <v>-921.34162926036</v>
      </c>
      <c r="CR84" s="147" t="n">
        <v>-921.34162926036</v>
      </c>
      <c r="CS84" s="147" t="n">
        <v>-921.34162926036</v>
      </c>
      <c r="CT84" s="147" t="n">
        <v>-921.34162926036</v>
      </c>
      <c r="CU84" s="147" t="n">
        <v>0</v>
      </c>
      <c r="CV84" s="147" t="n">
        <v>0</v>
      </c>
      <c r="CW84" s="147" t="n">
        <v>0</v>
      </c>
      <c r="CX84" s="147" t="n">
        <v>0</v>
      </c>
      <c r="CY84" s="147" t="n">
        <v>0</v>
      </c>
      <c r="CZ84" s="147" t="n">
        <v>0</v>
      </c>
      <c r="DA84" s="147" t="n">
        <v>0</v>
      </c>
      <c r="DB84" s="147" t="n">
        <v>0</v>
      </c>
      <c r="DC84" s="147" t="n">
        <v>0</v>
      </c>
      <c r="DD84" s="147" t="n">
        <v>0</v>
      </c>
      <c r="DE84" s="147" t="n">
        <v>0</v>
      </c>
      <c r="DF84" s="147" t="n">
        <v>0</v>
      </c>
    </row>
    <row r="85" customFormat="false" ht="15" hidden="false" customHeight="true" outlineLevel="0" collapsed="false">
      <c r="A85" s="90" t="s">
        <v>67</v>
      </c>
      <c r="C85" s="104" t="n">
        <v>-12137.77</v>
      </c>
      <c r="D85" s="104" t="n">
        <v>-12137.78</v>
      </c>
      <c r="E85" s="104" t="n">
        <v>-12137.78</v>
      </c>
      <c r="F85" s="147" t="n">
        <v>-572.916666666667</v>
      </c>
      <c r="G85" s="147" t="n">
        <v>-572.916666666667</v>
      </c>
      <c r="H85" s="147" t="n">
        <v>-572.916666666667</v>
      </c>
      <c r="I85" s="147" t="n">
        <v>-572.916666666667</v>
      </c>
      <c r="J85" s="147" t="n">
        <v>-572.916666666667</v>
      </c>
      <c r="K85" s="147" t="n">
        <v>-572.916666666667</v>
      </c>
      <c r="L85" s="147" t="n">
        <v>-572.916666666667</v>
      </c>
      <c r="M85" s="147" t="n">
        <v>-572.916666666667</v>
      </c>
      <c r="N85" s="147" t="n">
        <v>-572.916666666667</v>
      </c>
      <c r="O85" s="147" t="n">
        <v>-572.916666666667</v>
      </c>
      <c r="P85" s="147" t="n">
        <v>-572.916666666667</v>
      </c>
      <c r="Q85" s="147" t="n">
        <v>-572.916666666667</v>
      </c>
      <c r="R85" s="147" t="n">
        <v>-584.375</v>
      </c>
      <c r="S85" s="147" t="n">
        <v>-584.375</v>
      </c>
      <c r="T85" s="147" t="n">
        <v>-584.375</v>
      </c>
      <c r="U85" s="147" t="n">
        <v>-584.375</v>
      </c>
      <c r="V85" s="147" t="n">
        <v>-584.375</v>
      </c>
      <c r="W85" s="147" t="n">
        <v>-584.375</v>
      </c>
      <c r="X85" s="147" t="n">
        <v>-584.375</v>
      </c>
      <c r="Y85" s="147" t="n">
        <v>-584.375</v>
      </c>
      <c r="Z85" s="147" t="n">
        <v>-584.375</v>
      </c>
      <c r="AA85" s="147" t="n">
        <v>-584.375</v>
      </c>
      <c r="AB85" s="147" t="n">
        <v>-584.375</v>
      </c>
      <c r="AC85" s="147" t="n">
        <v>-584.375</v>
      </c>
      <c r="AD85" s="147" t="n">
        <v>-596.0625</v>
      </c>
      <c r="AE85" s="147" t="n">
        <v>-596.0625</v>
      </c>
      <c r="AF85" s="147" t="n">
        <v>-596.0625</v>
      </c>
      <c r="AG85" s="147" t="n">
        <v>-596.0625</v>
      </c>
      <c r="AH85" s="147" t="n">
        <v>-596.0625</v>
      </c>
      <c r="AI85" s="147" t="n">
        <v>-596.0625</v>
      </c>
      <c r="AJ85" s="147" t="n">
        <v>-596.0625</v>
      </c>
      <c r="AK85" s="147" t="n">
        <v>-596.0625</v>
      </c>
      <c r="AL85" s="147" t="n">
        <v>-596.0625</v>
      </c>
      <c r="AM85" s="147" t="n">
        <v>-596.0625</v>
      </c>
      <c r="AN85" s="147" t="n">
        <v>-596.0625</v>
      </c>
      <c r="AO85" s="147" t="n">
        <v>-596.0625</v>
      </c>
      <c r="AP85" s="147" t="n">
        <v>-607.98375</v>
      </c>
      <c r="AQ85" s="147" t="n">
        <v>-607.98375</v>
      </c>
      <c r="AR85" s="147" t="n">
        <v>-607.98375</v>
      </c>
      <c r="AS85" s="147" t="n">
        <v>-607.98375</v>
      </c>
      <c r="AT85" s="147" t="n">
        <v>-607.98375</v>
      </c>
      <c r="AU85" s="147" t="n">
        <v>-607.98375</v>
      </c>
      <c r="AV85" s="147" t="n">
        <v>-607.98375</v>
      </c>
      <c r="AW85" s="147" t="n">
        <v>-607.98375</v>
      </c>
      <c r="AX85" s="147" t="n">
        <v>-607.98375</v>
      </c>
      <c r="AY85" s="147" t="n">
        <v>-607.98375</v>
      </c>
      <c r="AZ85" s="147" t="n">
        <v>-607.98375</v>
      </c>
      <c r="BA85" s="147" t="n">
        <v>-607.98375</v>
      </c>
      <c r="BB85" s="147" t="n">
        <v>-620.143425</v>
      </c>
      <c r="BC85" s="147" t="n">
        <v>-620.143425</v>
      </c>
      <c r="BD85" s="147" t="n">
        <v>-620.143425</v>
      </c>
      <c r="BE85" s="147" t="n">
        <v>-620.143425</v>
      </c>
      <c r="BF85" s="147" t="n">
        <v>-620.143425</v>
      </c>
      <c r="BG85" s="147" t="n">
        <v>-620.143425</v>
      </c>
      <c r="BH85" s="147" t="n">
        <v>-620.143425</v>
      </c>
      <c r="BI85" s="147" t="n">
        <v>-620.143425</v>
      </c>
      <c r="BJ85" s="147" t="n">
        <v>-620.143425</v>
      </c>
      <c r="BK85" s="147" t="n">
        <v>-620.143425</v>
      </c>
      <c r="BL85" s="147" t="n">
        <v>-620.143425</v>
      </c>
      <c r="BM85" s="147" t="n">
        <v>-620.143425</v>
      </c>
      <c r="BN85" s="147" t="n">
        <v>-632.5462935</v>
      </c>
      <c r="BO85" s="147" t="n">
        <v>-632.5462935</v>
      </c>
      <c r="BP85" s="147" t="n">
        <v>-632.5462935</v>
      </c>
      <c r="BQ85" s="147" t="n">
        <v>-632.5462935</v>
      </c>
      <c r="BR85" s="147" t="n">
        <v>-632.5462935</v>
      </c>
      <c r="BS85" s="147" t="n">
        <v>-632.5462935</v>
      </c>
      <c r="BT85" s="147" t="n">
        <v>-632.5462935</v>
      </c>
      <c r="BU85" s="147" t="n">
        <v>-632.5462935</v>
      </c>
      <c r="BV85" s="147" t="n">
        <v>-632.5462935</v>
      </c>
      <c r="BW85" s="147" t="n">
        <v>-632.5462935</v>
      </c>
      <c r="BX85" s="147" t="n">
        <v>-632.5462935</v>
      </c>
      <c r="BY85" s="147" t="n">
        <v>-632.5462935</v>
      </c>
      <c r="BZ85" s="147" t="n">
        <v>-645.19721937</v>
      </c>
      <c r="CA85" s="147" t="n">
        <v>-645.19721937</v>
      </c>
      <c r="CB85" s="147" t="n">
        <v>-645.19721937</v>
      </c>
      <c r="CC85" s="147" t="n">
        <v>-645.19721937</v>
      </c>
      <c r="CD85" s="147" t="n">
        <v>-645.19721937</v>
      </c>
      <c r="CE85" s="147" t="n">
        <v>-645.19721937</v>
      </c>
      <c r="CF85" s="147" t="n">
        <v>-645.19721937</v>
      </c>
      <c r="CG85" s="147" t="n">
        <v>-645.19721937</v>
      </c>
      <c r="CH85" s="147" t="n">
        <v>-645.19721937</v>
      </c>
      <c r="CI85" s="147" t="n">
        <v>-645.19721937</v>
      </c>
      <c r="CJ85" s="147" t="n">
        <v>-645.19721937</v>
      </c>
      <c r="CK85" s="147" t="n">
        <v>-645.19721937</v>
      </c>
      <c r="CL85" s="147" t="n">
        <v>-658.1011637574</v>
      </c>
      <c r="CM85" s="147" t="n">
        <v>-658.1011637574</v>
      </c>
      <c r="CN85" s="147" t="n">
        <v>-658.1011637574</v>
      </c>
      <c r="CO85" s="147" t="n">
        <v>-658.1011637574</v>
      </c>
      <c r="CP85" s="147" t="n">
        <v>-658.1011637574</v>
      </c>
      <c r="CQ85" s="147" t="n">
        <v>-658.1011637574</v>
      </c>
      <c r="CR85" s="147" t="n">
        <v>-658.1011637574</v>
      </c>
      <c r="CS85" s="147" t="n">
        <v>-658.1011637574</v>
      </c>
      <c r="CT85" s="147" t="n">
        <v>-658.1011637574</v>
      </c>
      <c r="CU85" s="147" t="n">
        <v>0</v>
      </c>
      <c r="CV85" s="147" t="n">
        <v>0</v>
      </c>
      <c r="CW85" s="147" t="n">
        <v>0</v>
      </c>
      <c r="CX85" s="147" t="n">
        <v>0</v>
      </c>
      <c r="CY85" s="147" t="n">
        <v>0</v>
      </c>
      <c r="CZ85" s="147" t="n">
        <v>0</v>
      </c>
      <c r="DA85" s="147" t="n">
        <v>0</v>
      </c>
      <c r="DB85" s="147" t="n">
        <v>0</v>
      </c>
      <c r="DC85" s="147" t="n">
        <v>0</v>
      </c>
      <c r="DD85" s="147" t="n">
        <v>0</v>
      </c>
      <c r="DE85" s="147" t="n">
        <v>0</v>
      </c>
      <c r="DF85" s="147" t="n">
        <v>0</v>
      </c>
    </row>
    <row r="86" customFormat="false" ht="15" hidden="false" customHeight="true" outlineLevel="0" collapsed="false">
      <c r="A86" s="90" t="s">
        <v>68</v>
      </c>
      <c r="C86" s="104" t="n">
        <v>-475.76</v>
      </c>
      <c r="D86" s="104" t="n">
        <v>-475.76</v>
      </c>
      <c r="E86" s="104" t="n">
        <v>-475.76</v>
      </c>
      <c r="F86" s="147" t="n">
        <v>-229.166666666667</v>
      </c>
      <c r="G86" s="147" t="n">
        <v>-229.166666666667</v>
      </c>
      <c r="H86" s="147" t="n">
        <v>-229.166666666667</v>
      </c>
      <c r="I86" s="147" t="n">
        <v>-229.166666666667</v>
      </c>
      <c r="J86" s="147" t="n">
        <v>-229.166666666667</v>
      </c>
      <c r="K86" s="147" t="n">
        <v>-229.166666666667</v>
      </c>
      <c r="L86" s="147" t="n">
        <v>-229.166666666667</v>
      </c>
      <c r="M86" s="147" t="n">
        <v>-229.166666666667</v>
      </c>
      <c r="N86" s="147" t="n">
        <v>-229.166666666667</v>
      </c>
      <c r="O86" s="147" t="n">
        <v>-229.166666666667</v>
      </c>
      <c r="P86" s="147" t="n">
        <v>-229.166666666667</v>
      </c>
      <c r="Q86" s="147" t="n">
        <v>-229.166666666667</v>
      </c>
      <c r="R86" s="147" t="n">
        <v>-233.75</v>
      </c>
      <c r="S86" s="147" t="n">
        <v>-233.75</v>
      </c>
      <c r="T86" s="147" t="n">
        <v>-233.75</v>
      </c>
      <c r="U86" s="147" t="n">
        <v>-233.75</v>
      </c>
      <c r="V86" s="147" t="n">
        <v>-233.75</v>
      </c>
      <c r="W86" s="147" t="n">
        <v>-233.75</v>
      </c>
      <c r="X86" s="147" t="n">
        <v>-233.75</v>
      </c>
      <c r="Y86" s="147" t="n">
        <v>-233.75</v>
      </c>
      <c r="Z86" s="147" t="n">
        <v>-233.75</v>
      </c>
      <c r="AA86" s="147" t="n">
        <v>-233.75</v>
      </c>
      <c r="AB86" s="147" t="n">
        <v>-233.75</v>
      </c>
      <c r="AC86" s="147" t="n">
        <v>-233.75</v>
      </c>
      <c r="AD86" s="147" t="n">
        <v>-238.425</v>
      </c>
      <c r="AE86" s="147" t="n">
        <v>-238.425</v>
      </c>
      <c r="AF86" s="147" t="n">
        <v>-238.425</v>
      </c>
      <c r="AG86" s="147" t="n">
        <v>-238.425</v>
      </c>
      <c r="AH86" s="147" t="n">
        <v>-238.425</v>
      </c>
      <c r="AI86" s="147" t="n">
        <v>-238.425</v>
      </c>
      <c r="AJ86" s="147" t="n">
        <v>-238.425</v>
      </c>
      <c r="AK86" s="147" t="n">
        <v>-238.425</v>
      </c>
      <c r="AL86" s="147" t="n">
        <v>-238.425</v>
      </c>
      <c r="AM86" s="147" t="n">
        <v>-238.425</v>
      </c>
      <c r="AN86" s="147" t="n">
        <v>-238.425</v>
      </c>
      <c r="AO86" s="147" t="n">
        <v>-238.425</v>
      </c>
      <c r="AP86" s="147" t="n">
        <v>-243.1935</v>
      </c>
      <c r="AQ86" s="147" t="n">
        <v>-243.1935</v>
      </c>
      <c r="AR86" s="147" t="n">
        <v>-243.1935</v>
      </c>
      <c r="AS86" s="147" t="n">
        <v>-243.1935</v>
      </c>
      <c r="AT86" s="147" t="n">
        <v>-243.1935</v>
      </c>
      <c r="AU86" s="147" t="n">
        <v>-243.1935</v>
      </c>
      <c r="AV86" s="147" t="n">
        <v>-243.1935</v>
      </c>
      <c r="AW86" s="147" t="n">
        <v>-243.1935</v>
      </c>
      <c r="AX86" s="147" t="n">
        <v>-243.1935</v>
      </c>
      <c r="AY86" s="147" t="n">
        <v>-243.1935</v>
      </c>
      <c r="AZ86" s="147" t="n">
        <v>-243.1935</v>
      </c>
      <c r="BA86" s="147" t="n">
        <v>-243.1935</v>
      </c>
      <c r="BB86" s="147" t="n">
        <v>-248.05737</v>
      </c>
      <c r="BC86" s="147" t="n">
        <v>-248.05737</v>
      </c>
      <c r="BD86" s="147" t="n">
        <v>-248.05737</v>
      </c>
      <c r="BE86" s="147" t="n">
        <v>-248.05737</v>
      </c>
      <c r="BF86" s="147" t="n">
        <v>-248.05737</v>
      </c>
      <c r="BG86" s="147" t="n">
        <v>-248.05737</v>
      </c>
      <c r="BH86" s="147" t="n">
        <v>-248.05737</v>
      </c>
      <c r="BI86" s="147" t="n">
        <v>-248.05737</v>
      </c>
      <c r="BJ86" s="147" t="n">
        <v>-248.05737</v>
      </c>
      <c r="BK86" s="147" t="n">
        <v>-248.05737</v>
      </c>
      <c r="BL86" s="147" t="n">
        <v>-248.05737</v>
      </c>
      <c r="BM86" s="147" t="n">
        <v>-248.05737</v>
      </c>
      <c r="BN86" s="147" t="n">
        <v>-253.0185174</v>
      </c>
      <c r="BO86" s="147" t="n">
        <v>-253.0185174</v>
      </c>
      <c r="BP86" s="147" t="n">
        <v>-253.0185174</v>
      </c>
      <c r="BQ86" s="147" t="n">
        <v>-253.0185174</v>
      </c>
      <c r="BR86" s="147" t="n">
        <v>-253.0185174</v>
      </c>
      <c r="BS86" s="147" t="n">
        <v>-253.0185174</v>
      </c>
      <c r="BT86" s="147" t="n">
        <v>-253.0185174</v>
      </c>
      <c r="BU86" s="147" t="n">
        <v>-253.0185174</v>
      </c>
      <c r="BV86" s="147" t="n">
        <v>-253.0185174</v>
      </c>
      <c r="BW86" s="147" t="n">
        <v>-253.0185174</v>
      </c>
      <c r="BX86" s="147" t="n">
        <v>-253.0185174</v>
      </c>
      <c r="BY86" s="147" t="n">
        <v>-253.0185174</v>
      </c>
      <c r="BZ86" s="147" t="n">
        <v>-258.078887748</v>
      </c>
      <c r="CA86" s="147" t="n">
        <v>-258.078887748</v>
      </c>
      <c r="CB86" s="147" t="n">
        <v>-258.078887748</v>
      </c>
      <c r="CC86" s="147" t="n">
        <v>-258.078887748</v>
      </c>
      <c r="CD86" s="147" t="n">
        <v>-258.078887748</v>
      </c>
      <c r="CE86" s="147" t="n">
        <v>-258.078887748</v>
      </c>
      <c r="CF86" s="147" t="n">
        <v>-258.078887748</v>
      </c>
      <c r="CG86" s="147" t="n">
        <v>-258.078887748</v>
      </c>
      <c r="CH86" s="147" t="n">
        <v>-258.078887748</v>
      </c>
      <c r="CI86" s="147" t="n">
        <v>-258.078887748</v>
      </c>
      <c r="CJ86" s="147" t="n">
        <v>-258.078887748</v>
      </c>
      <c r="CK86" s="147" t="n">
        <v>-258.078887748</v>
      </c>
      <c r="CL86" s="147" t="n">
        <v>-263.24046550296</v>
      </c>
      <c r="CM86" s="147" t="n">
        <v>-263.24046550296</v>
      </c>
      <c r="CN86" s="147" t="n">
        <v>-263.24046550296</v>
      </c>
      <c r="CO86" s="147" t="n">
        <v>-263.24046550296</v>
      </c>
      <c r="CP86" s="147" t="n">
        <v>-263.24046550296</v>
      </c>
      <c r="CQ86" s="147" t="n">
        <v>-263.24046550296</v>
      </c>
      <c r="CR86" s="147" t="n">
        <v>-263.24046550296</v>
      </c>
      <c r="CS86" s="147" t="n">
        <v>-263.24046550296</v>
      </c>
      <c r="CT86" s="147" t="n">
        <v>-263.24046550296</v>
      </c>
      <c r="CU86" s="147" t="n">
        <v>0</v>
      </c>
      <c r="CV86" s="147" t="n">
        <v>0</v>
      </c>
      <c r="CW86" s="147" t="n">
        <v>0</v>
      </c>
      <c r="CX86" s="147" t="n">
        <v>0</v>
      </c>
      <c r="CY86" s="147" t="n">
        <v>0</v>
      </c>
      <c r="CZ86" s="147" t="n">
        <v>0</v>
      </c>
      <c r="DA86" s="147" t="n">
        <v>0</v>
      </c>
      <c r="DB86" s="147" t="n">
        <v>0</v>
      </c>
      <c r="DC86" s="147" t="n">
        <v>0</v>
      </c>
      <c r="DD86" s="147" t="n">
        <v>0</v>
      </c>
      <c r="DE86" s="147" t="n">
        <v>0</v>
      </c>
      <c r="DF86" s="147" t="n">
        <v>0</v>
      </c>
    </row>
    <row r="87" customFormat="false" ht="15" hidden="false" customHeight="true" outlineLevel="0" collapsed="false">
      <c r="A87" s="90" t="s">
        <v>69</v>
      </c>
      <c r="C87" s="104" t="n">
        <v>-2200.12</v>
      </c>
      <c r="D87" s="104" t="n">
        <v>-2200.12</v>
      </c>
      <c r="E87" s="104" t="n">
        <v>-2200.12</v>
      </c>
      <c r="F87" s="147" t="n">
        <v>-57.2916666666667</v>
      </c>
      <c r="G87" s="147" t="n">
        <v>-57.2916666666667</v>
      </c>
      <c r="H87" s="147" t="n">
        <v>-57.2916666666667</v>
      </c>
      <c r="I87" s="147" t="n">
        <v>-57.2916666666667</v>
      </c>
      <c r="J87" s="147" t="n">
        <v>-57.2916666666667</v>
      </c>
      <c r="K87" s="147" t="n">
        <v>-57.2916666666667</v>
      </c>
      <c r="L87" s="147" t="n">
        <v>-57.2916666666667</v>
      </c>
      <c r="M87" s="147" t="n">
        <v>-57.2916666666667</v>
      </c>
      <c r="N87" s="147" t="n">
        <v>-57.2916666666667</v>
      </c>
      <c r="O87" s="147" t="n">
        <v>-57.2916666666667</v>
      </c>
      <c r="P87" s="147" t="n">
        <v>-57.2916666666667</v>
      </c>
      <c r="Q87" s="147" t="n">
        <v>-57.2916666666667</v>
      </c>
      <c r="R87" s="147" t="n">
        <v>-58.4375</v>
      </c>
      <c r="S87" s="147" t="n">
        <v>-58.4375</v>
      </c>
      <c r="T87" s="147" t="n">
        <v>-58.4375</v>
      </c>
      <c r="U87" s="147" t="n">
        <v>-58.4375</v>
      </c>
      <c r="V87" s="147" t="n">
        <v>-58.4375</v>
      </c>
      <c r="W87" s="147" t="n">
        <v>-58.4375</v>
      </c>
      <c r="X87" s="147" t="n">
        <v>-58.4375</v>
      </c>
      <c r="Y87" s="147" t="n">
        <v>-58.4375</v>
      </c>
      <c r="Z87" s="147" t="n">
        <v>-58.4375</v>
      </c>
      <c r="AA87" s="147" t="n">
        <v>-58.4375</v>
      </c>
      <c r="AB87" s="147" t="n">
        <v>-58.4375</v>
      </c>
      <c r="AC87" s="147" t="n">
        <v>-58.4375</v>
      </c>
      <c r="AD87" s="147" t="n">
        <v>-59.60625</v>
      </c>
      <c r="AE87" s="147" t="n">
        <v>-59.60625</v>
      </c>
      <c r="AF87" s="147" t="n">
        <v>-59.60625</v>
      </c>
      <c r="AG87" s="147" t="n">
        <v>-59.60625</v>
      </c>
      <c r="AH87" s="147" t="n">
        <v>-59.60625</v>
      </c>
      <c r="AI87" s="147" t="n">
        <v>-59.60625</v>
      </c>
      <c r="AJ87" s="147" t="n">
        <v>-59.60625</v>
      </c>
      <c r="AK87" s="147" t="n">
        <v>-59.60625</v>
      </c>
      <c r="AL87" s="147" t="n">
        <v>-59.60625</v>
      </c>
      <c r="AM87" s="147" t="n">
        <v>-59.60625</v>
      </c>
      <c r="AN87" s="147" t="n">
        <v>-59.60625</v>
      </c>
      <c r="AO87" s="147" t="n">
        <v>-59.60625</v>
      </c>
      <c r="AP87" s="147" t="n">
        <v>-60.798375</v>
      </c>
      <c r="AQ87" s="147" t="n">
        <v>-60.798375</v>
      </c>
      <c r="AR87" s="147" t="n">
        <v>-60.798375</v>
      </c>
      <c r="AS87" s="147" t="n">
        <v>-60.798375</v>
      </c>
      <c r="AT87" s="147" t="n">
        <v>-60.798375</v>
      </c>
      <c r="AU87" s="147" t="n">
        <v>-60.798375</v>
      </c>
      <c r="AV87" s="147" t="n">
        <v>-60.798375</v>
      </c>
      <c r="AW87" s="147" t="n">
        <v>-60.798375</v>
      </c>
      <c r="AX87" s="147" t="n">
        <v>-60.798375</v>
      </c>
      <c r="AY87" s="147" t="n">
        <v>-60.798375</v>
      </c>
      <c r="AZ87" s="147" t="n">
        <v>-60.798375</v>
      </c>
      <c r="BA87" s="147" t="n">
        <v>-60.798375</v>
      </c>
      <c r="BB87" s="147" t="n">
        <v>-62.0143425</v>
      </c>
      <c r="BC87" s="147" t="n">
        <v>-62.0143425</v>
      </c>
      <c r="BD87" s="147" t="n">
        <v>-62.0143425</v>
      </c>
      <c r="BE87" s="147" t="n">
        <v>-62.0143425</v>
      </c>
      <c r="BF87" s="147" t="n">
        <v>-62.0143425</v>
      </c>
      <c r="BG87" s="147" t="n">
        <v>-62.0143425</v>
      </c>
      <c r="BH87" s="147" t="n">
        <v>-62.0143425</v>
      </c>
      <c r="BI87" s="147" t="n">
        <v>-62.0143425</v>
      </c>
      <c r="BJ87" s="147" t="n">
        <v>-62.0143425</v>
      </c>
      <c r="BK87" s="147" t="n">
        <v>-62.0143425</v>
      </c>
      <c r="BL87" s="147" t="n">
        <v>-62.0143425</v>
      </c>
      <c r="BM87" s="147" t="n">
        <v>-62.0143425</v>
      </c>
      <c r="BN87" s="147" t="n">
        <v>-63.25462935</v>
      </c>
      <c r="BO87" s="147" t="n">
        <v>-63.25462935</v>
      </c>
      <c r="BP87" s="147" t="n">
        <v>-63.25462935</v>
      </c>
      <c r="BQ87" s="147" t="n">
        <v>-63.25462935</v>
      </c>
      <c r="BR87" s="147" t="n">
        <v>-63.25462935</v>
      </c>
      <c r="BS87" s="147" t="n">
        <v>-63.25462935</v>
      </c>
      <c r="BT87" s="147" t="n">
        <v>-63.25462935</v>
      </c>
      <c r="BU87" s="147" t="n">
        <v>-63.25462935</v>
      </c>
      <c r="BV87" s="147" t="n">
        <v>-63.25462935</v>
      </c>
      <c r="BW87" s="147" t="n">
        <v>-63.25462935</v>
      </c>
      <c r="BX87" s="147" t="n">
        <v>-63.25462935</v>
      </c>
      <c r="BY87" s="147" t="n">
        <v>-63.25462935</v>
      </c>
      <c r="BZ87" s="147" t="n">
        <v>-64.519721937</v>
      </c>
      <c r="CA87" s="147" t="n">
        <v>-64.519721937</v>
      </c>
      <c r="CB87" s="147" t="n">
        <v>-64.519721937</v>
      </c>
      <c r="CC87" s="147" t="n">
        <v>-64.519721937</v>
      </c>
      <c r="CD87" s="147" t="n">
        <v>-64.519721937</v>
      </c>
      <c r="CE87" s="147" t="n">
        <v>-64.519721937</v>
      </c>
      <c r="CF87" s="147" t="n">
        <v>-64.519721937</v>
      </c>
      <c r="CG87" s="147" t="n">
        <v>-64.519721937</v>
      </c>
      <c r="CH87" s="147" t="n">
        <v>-64.519721937</v>
      </c>
      <c r="CI87" s="147" t="n">
        <v>-64.519721937</v>
      </c>
      <c r="CJ87" s="147" t="n">
        <v>-64.519721937</v>
      </c>
      <c r="CK87" s="147" t="n">
        <v>-64.519721937</v>
      </c>
      <c r="CL87" s="147" t="n">
        <v>-65.81011637574</v>
      </c>
      <c r="CM87" s="147" t="n">
        <v>-65.81011637574</v>
      </c>
      <c r="CN87" s="147" t="n">
        <v>-65.81011637574</v>
      </c>
      <c r="CO87" s="147" t="n">
        <v>-65.81011637574</v>
      </c>
      <c r="CP87" s="147" t="n">
        <v>-65.81011637574</v>
      </c>
      <c r="CQ87" s="147" t="n">
        <v>-65.81011637574</v>
      </c>
      <c r="CR87" s="147" t="n">
        <v>-65.81011637574</v>
      </c>
      <c r="CS87" s="147" t="n">
        <v>-65.81011637574</v>
      </c>
      <c r="CT87" s="147" t="n">
        <v>-65.81011637574</v>
      </c>
      <c r="CU87" s="147" t="n">
        <v>0</v>
      </c>
      <c r="CV87" s="147" t="n">
        <v>0</v>
      </c>
      <c r="CW87" s="147" t="n">
        <v>0</v>
      </c>
      <c r="CX87" s="147" t="n">
        <v>0</v>
      </c>
      <c r="CY87" s="147" t="n">
        <v>0</v>
      </c>
      <c r="CZ87" s="147" t="n">
        <v>0</v>
      </c>
      <c r="DA87" s="147" t="n">
        <v>0</v>
      </c>
      <c r="DB87" s="147" t="n">
        <v>0</v>
      </c>
      <c r="DC87" s="147" t="n">
        <v>0</v>
      </c>
      <c r="DD87" s="147" t="n">
        <v>0</v>
      </c>
      <c r="DE87" s="147" t="n">
        <v>0</v>
      </c>
      <c r="DF87" s="147" t="n">
        <v>0</v>
      </c>
    </row>
    <row r="88" customFormat="false" ht="15" hidden="false" customHeight="true" outlineLevel="0" collapsed="false">
      <c r="A88" s="90" t="s">
        <v>72</v>
      </c>
      <c r="C88" s="104" t="n">
        <v>-8848.65</v>
      </c>
      <c r="D88" s="104" t="n">
        <v>-8817.63</v>
      </c>
      <c r="E88" s="104" t="n">
        <v>-3775.91</v>
      </c>
      <c r="F88" s="147" t="n">
        <v>-8500</v>
      </c>
      <c r="G88" s="147" t="n">
        <v>-8500</v>
      </c>
      <c r="H88" s="147" t="n">
        <v>-8500</v>
      </c>
      <c r="I88" s="147" t="n">
        <v>-8500</v>
      </c>
      <c r="J88" s="147" t="n">
        <v>-8500</v>
      </c>
      <c r="K88" s="147" t="n">
        <v>-8500</v>
      </c>
      <c r="L88" s="147" t="n">
        <v>-8500</v>
      </c>
      <c r="M88" s="147" t="n">
        <v>-8500</v>
      </c>
      <c r="N88" s="147" t="n">
        <v>-8500</v>
      </c>
      <c r="O88" s="147" t="n">
        <v>-8500</v>
      </c>
      <c r="P88" s="147" t="n">
        <v>-8500</v>
      </c>
      <c r="Q88" s="147" t="n">
        <v>-8500</v>
      </c>
      <c r="R88" s="147" t="n">
        <v>-8670</v>
      </c>
      <c r="S88" s="147" t="n">
        <v>-8670</v>
      </c>
      <c r="T88" s="147" t="n">
        <v>-8670</v>
      </c>
      <c r="U88" s="147" t="n">
        <v>-8670</v>
      </c>
      <c r="V88" s="147" t="n">
        <v>-8670</v>
      </c>
      <c r="W88" s="147" t="n">
        <v>-8670</v>
      </c>
      <c r="X88" s="147" t="n">
        <v>-8670</v>
      </c>
      <c r="Y88" s="147" t="n">
        <v>-8670</v>
      </c>
      <c r="Z88" s="147" t="n">
        <v>-8670</v>
      </c>
      <c r="AA88" s="147" t="n">
        <v>-8670</v>
      </c>
      <c r="AB88" s="147" t="n">
        <v>-8670</v>
      </c>
      <c r="AC88" s="147" t="n">
        <v>-8670</v>
      </c>
      <c r="AD88" s="147" t="n">
        <v>-8843.4</v>
      </c>
      <c r="AE88" s="147" t="n">
        <v>-8843.4</v>
      </c>
      <c r="AF88" s="147" t="n">
        <v>-8843.4</v>
      </c>
      <c r="AG88" s="147" t="n">
        <v>-8843.4</v>
      </c>
      <c r="AH88" s="147" t="n">
        <v>-8843.4</v>
      </c>
      <c r="AI88" s="147" t="n">
        <v>-8843.4</v>
      </c>
      <c r="AJ88" s="147" t="n">
        <v>-8843.4</v>
      </c>
      <c r="AK88" s="147" t="n">
        <v>-8843.4</v>
      </c>
      <c r="AL88" s="147" t="n">
        <v>-8843.4</v>
      </c>
      <c r="AM88" s="147" t="n">
        <v>-8843.4</v>
      </c>
      <c r="AN88" s="147" t="n">
        <v>-8843.4</v>
      </c>
      <c r="AO88" s="147" t="n">
        <v>-8843.4</v>
      </c>
      <c r="AP88" s="147" t="n">
        <v>-9020.268</v>
      </c>
      <c r="AQ88" s="147" t="n">
        <v>-9020.268</v>
      </c>
      <c r="AR88" s="147" t="n">
        <v>-9020.268</v>
      </c>
      <c r="AS88" s="147" t="n">
        <v>-9020.268</v>
      </c>
      <c r="AT88" s="147" t="n">
        <v>-9020.268</v>
      </c>
      <c r="AU88" s="147" t="n">
        <v>-9020.268</v>
      </c>
      <c r="AV88" s="147" t="n">
        <v>-9020.268</v>
      </c>
      <c r="AW88" s="147" t="n">
        <v>-9020.268</v>
      </c>
      <c r="AX88" s="147" t="n">
        <v>-9020.268</v>
      </c>
      <c r="AY88" s="147" t="n">
        <v>-9020.268</v>
      </c>
      <c r="AZ88" s="147" t="n">
        <v>-9020.268</v>
      </c>
      <c r="BA88" s="147" t="n">
        <v>-9020.268</v>
      </c>
      <c r="BB88" s="147" t="n">
        <v>-9200.67336</v>
      </c>
      <c r="BC88" s="147" t="n">
        <v>-9200.67336</v>
      </c>
      <c r="BD88" s="147" t="n">
        <v>-9200.67336</v>
      </c>
      <c r="BE88" s="147" t="n">
        <v>-9200.67336</v>
      </c>
      <c r="BF88" s="147" t="n">
        <v>-9200.67336</v>
      </c>
      <c r="BG88" s="147" t="n">
        <v>-9200.67336</v>
      </c>
      <c r="BH88" s="147" t="n">
        <v>-9200.67336</v>
      </c>
      <c r="BI88" s="147" t="n">
        <v>-9200.67336</v>
      </c>
      <c r="BJ88" s="147" t="n">
        <v>-9200.67336</v>
      </c>
      <c r="BK88" s="147" t="n">
        <v>-9200.67336</v>
      </c>
      <c r="BL88" s="147" t="n">
        <v>-9200.67336</v>
      </c>
      <c r="BM88" s="147" t="n">
        <v>-9200.67336</v>
      </c>
      <c r="BN88" s="147" t="n">
        <v>-9384.6868272</v>
      </c>
      <c r="BO88" s="147" t="n">
        <v>-9384.6868272</v>
      </c>
      <c r="BP88" s="147" t="n">
        <v>-9384.6868272</v>
      </c>
      <c r="BQ88" s="147" t="n">
        <v>-9384.6868272</v>
      </c>
      <c r="BR88" s="147" t="n">
        <v>-9384.6868272</v>
      </c>
      <c r="BS88" s="147" t="n">
        <v>-9384.6868272</v>
      </c>
      <c r="BT88" s="147" t="n">
        <v>-9384.6868272</v>
      </c>
      <c r="BU88" s="147" t="n">
        <v>-9384.6868272</v>
      </c>
      <c r="BV88" s="147" t="n">
        <v>-9384.6868272</v>
      </c>
      <c r="BW88" s="147" t="n">
        <v>-9384.6868272</v>
      </c>
      <c r="BX88" s="147" t="n">
        <v>-9384.6868272</v>
      </c>
      <c r="BY88" s="147" t="n">
        <v>-9384.6868272</v>
      </c>
      <c r="BZ88" s="147" t="n">
        <v>-9572.380563744</v>
      </c>
      <c r="CA88" s="147" t="n">
        <v>-9572.380563744</v>
      </c>
      <c r="CB88" s="147" t="n">
        <v>-9572.380563744</v>
      </c>
      <c r="CC88" s="147" t="n">
        <v>-9572.380563744</v>
      </c>
      <c r="CD88" s="147" t="n">
        <v>-9572.380563744</v>
      </c>
      <c r="CE88" s="147" t="n">
        <v>-9572.380563744</v>
      </c>
      <c r="CF88" s="147" t="n">
        <v>-9572.380563744</v>
      </c>
      <c r="CG88" s="147" t="n">
        <v>-9572.380563744</v>
      </c>
      <c r="CH88" s="147" t="n">
        <v>-9572.380563744</v>
      </c>
      <c r="CI88" s="147" t="n">
        <v>-9572.380563744</v>
      </c>
      <c r="CJ88" s="147" t="n">
        <v>-9572.380563744</v>
      </c>
      <c r="CK88" s="147" t="n">
        <v>-9572.380563744</v>
      </c>
      <c r="CL88" s="147" t="n">
        <v>-9763.82817501888</v>
      </c>
      <c r="CM88" s="147" t="n">
        <v>-9763.82817501888</v>
      </c>
      <c r="CN88" s="147" t="n">
        <v>-9763.82817501888</v>
      </c>
      <c r="CO88" s="147" t="n">
        <v>-9763.82817501888</v>
      </c>
      <c r="CP88" s="147" t="n">
        <v>-9763.82817501888</v>
      </c>
      <c r="CQ88" s="147" t="n">
        <v>-9763.82817501888</v>
      </c>
      <c r="CR88" s="147" t="n">
        <v>-9763.82817501888</v>
      </c>
      <c r="CS88" s="147" t="n">
        <v>-9763.82817501888</v>
      </c>
      <c r="CT88" s="147" t="n">
        <v>-9763.82817501888</v>
      </c>
      <c r="CU88" s="147" t="n">
        <v>-9763.82817501888</v>
      </c>
      <c r="CV88" s="147" t="n">
        <v>-9763.82817501888</v>
      </c>
      <c r="CW88" s="147" t="n">
        <v>-9763.82817501888</v>
      </c>
      <c r="CX88" s="147" t="n">
        <v>-9959.10473851926</v>
      </c>
      <c r="CY88" s="147" t="n">
        <v>-9959.10473851926</v>
      </c>
      <c r="CZ88" s="147" t="n">
        <v>-9959.10473851926</v>
      </c>
      <c r="DA88" s="147" t="n">
        <v>-9959.10473851926</v>
      </c>
      <c r="DB88" s="147" t="n">
        <v>-9959.10473851926</v>
      </c>
      <c r="DC88" s="147" t="n">
        <v>-9959.10473851926</v>
      </c>
      <c r="DD88" s="147" t="n">
        <v>-9959.10473851926</v>
      </c>
      <c r="DE88" s="147" t="n">
        <v>-9959.10473851926</v>
      </c>
      <c r="DF88" s="147" t="n">
        <v>-9959.10473851926</v>
      </c>
    </row>
    <row r="89" customFormat="false" ht="15" hidden="false" customHeight="true" outlineLevel="0" collapsed="false">
      <c r="A89" s="90" t="s">
        <v>73</v>
      </c>
      <c r="C89" s="104" t="n">
        <v>-1722.9</v>
      </c>
      <c r="D89" s="104" t="n">
        <v>0</v>
      </c>
      <c r="E89" s="104" t="n">
        <v>-28.51</v>
      </c>
      <c r="F89" s="147" t="n">
        <v>-583.8</v>
      </c>
      <c r="G89" s="147" t="n">
        <v>-583.8</v>
      </c>
      <c r="H89" s="147" t="n">
        <v>-583.8</v>
      </c>
      <c r="I89" s="147" t="n">
        <v>-583.8</v>
      </c>
      <c r="J89" s="147" t="n">
        <v>-583.8</v>
      </c>
      <c r="K89" s="147" t="n">
        <v>-583.8</v>
      </c>
      <c r="L89" s="147" t="n">
        <v>-583.8</v>
      </c>
      <c r="M89" s="147" t="n">
        <v>-583.8</v>
      </c>
      <c r="N89" s="147" t="n">
        <v>-583.8</v>
      </c>
      <c r="O89" s="147" t="n">
        <v>-583.8</v>
      </c>
      <c r="P89" s="147" t="n">
        <v>-583.8</v>
      </c>
      <c r="Q89" s="147" t="n">
        <v>-583.8</v>
      </c>
      <c r="R89" s="147" t="n">
        <v>-595.476</v>
      </c>
      <c r="S89" s="147" t="n">
        <v>-595.476</v>
      </c>
      <c r="T89" s="147" t="n">
        <v>-595.476</v>
      </c>
      <c r="U89" s="147" t="n">
        <v>-595.476</v>
      </c>
      <c r="V89" s="147" t="n">
        <v>-595.476</v>
      </c>
      <c r="W89" s="147" t="n">
        <v>-595.476</v>
      </c>
      <c r="X89" s="147" t="n">
        <v>-595.476</v>
      </c>
      <c r="Y89" s="147" t="n">
        <v>-595.476</v>
      </c>
      <c r="Z89" s="147" t="n">
        <v>-595.476</v>
      </c>
      <c r="AA89" s="147" t="n">
        <v>-595.476</v>
      </c>
      <c r="AB89" s="147" t="n">
        <v>-595.476</v>
      </c>
      <c r="AC89" s="147" t="n">
        <v>-595.476</v>
      </c>
      <c r="AD89" s="147" t="n">
        <v>-607.38552</v>
      </c>
      <c r="AE89" s="147" t="n">
        <v>-607.38552</v>
      </c>
      <c r="AF89" s="147" t="n">
        <v>-607.38552</v>
      </c>
      <c r="AG89" s="147" t="n">
        <v>-607.38552</v>
      </c>
      <c r="AH89" s="147" t="n">
        <v>-607.38552</v>
      </c>
      <c r="AI89" s="147" t="n">
        <v>-607.38552</v>
      </c>
      <c r="AJ89" s="147" t="n">
        <v>-607.38552</v>
      </c>
      <c r="AK89" s="147" t="n">
        <v>-607.38552</v>
      </c>
      <c r="AL89" s="147" t="n">
        <v>-607.38552</v>
      </c>
      <c r="AM89" s="147" t="n">
        <v>-607.38552</v>
      </c>
      <c r="AN89" s="147" t="n">
        <v>-607.38552</v>
      </c>
      <c r="AO89" s="147" t="n">
        <v>-607.38552</v>
      </c>
      <c r="AP89" s="147" t="n">
        <v>-619.5332304</v>
      </c>
      <c r="AQ89" s="147" t="n">
        <v>-619.5332304</v>
      </c>
      <c r="AR89" s="147" t="n">
        <v>-619.5332304</v>
      </c>
      <c r="AS89" s="147" t="n">
        <v>-619.5332304</v>
      </c>
      <c r="AT89" s="147" t="n">
        <v>-619.5332304</v>
      </c>
      <c r="AU89" s="147" t="n">
        <v>-619.5332304</v>
      </c>
      <c r="AV89" s="147" t="n">
        <v>-619.5332304</v>
      </c>
      <c r="AW89" s="147" t="n">
        <v>-619.5332304</v>
      </c>
      <c r="AX89" s="147" t="n">
        <v>-619.5332304</v>
      </c>
      <c r="AY89" s="147" t="n">
        <v>-619.5332304</v>
      </c>
      <c r="AZ89" s="147" t="n">
        <v>-619.5332304</v>
      </c>
      <c r="BA89" s="147" t="n">
        <v>-619.5332304</v>
      </c>
      <c r="BB89" s="147" t="n">
        <v>-631.923895008</v>
      </c>
      <c r="BC89" s="147" t="n">
        <v>-631.923895008</v>
      </c>
      <c r="BD89" s="147" t="n">
        <v>-631.923895008</v>
      </c>
      <c r="BE89" s="147" t="n">
        <v>-631.923895008</v>
      </c>
      <c r="BF89" s="147" t="n">
        <v>-631.923895008</v>
      </c>
      <c r="BG89" s="147" t="n">
        <v>-631.923895008</v>
      </c>
      <c r="BH89" s="147" t="n">
        <v>-631.923895008</v>
      </c>
      <c r="BI89" s="147" t="n">
        <v>-631.923895008</v>
      </c>
      <c r="BJ89" s="147" t="n">
        <v>-631.923895008</v>
      </c>
      <c r="BK89" s="147" t="n">
        <v>-631.923895008</v>
      </c>
      <c r="BL89" s="147" t="n">
        <v>-631.923895008</v>
      </c>
      <c r="BM89" s="147" t="n">
        <v>-631.923895008</v>
      </c>
      <c r="BN89" s="147" t="n">
        <v>-644.56237290816</v>
      </c>
      <c r="BO89" s="147" t="n">
        <v>-644.56237290816</v>
      </c>
      <c r="BP89" s="147" t="n">
        <v>-644.56237290816</v>
      </c>
      <c r="BQ89" s="147" t="n">
        <v>-644.56237290816</v>
      </c>
      <c r="BR89" s="147" t="n">
        <v>-644.56237290816</v>
      </c>
      <c r="BS89" s="147" t="n">
        <v>-644.56237290816</v>
      </c>
      <c r="BT89" s="147" t="n">
        <v>-644.56237290816</v>
      </c>
      <c r="BU89" s="147" t="n">
        <v>-644.56237290816</v>
      </c>
      <c r="BV89" s="147" t="n">
        <v>-644.56237290816</v>
      </c>
      <c r="BW89" s="147" t="n">
        <v>-644.56237290816</v>
      </c>
      <c r="BX89" s="147" t="n">
        <v>-644.56237290816</v>
      </c>
      <c r="BY89" s="147" t="n">
        <v>-644.56237290816</v>
      </c>
      <c r="BZ89" s="147" t="n">
        <v>-657.453620366323</v>
      </c>
      <c r="CA89" s="147" t="n">
        <v>-657.453620366323</v>
      </c>
      <c r="CB89" s="147" t="n">
        <v>-657.453620366323</v>
      </c>
      <c r="CC89" s="147" t="n">
        <v>-657.453620366323</v>
      </c>
      <c r="CD89" s="147" t="n">
        <v>-657.453620366323</v>
      </c>
      <c r="CE89" s="147" t="n">
        <v>-657.453620366323</v>
      </c>
      <c r="CF89" s="147" t="n">
        <v>-657.453620366323</v>
      </c>
      <c r="CG89" s="147" t="n">
        <v>-657.453620366323</v>
      </c>
      <c r="CH89" s="147" t="n">
        <v>-657.453620366323</v>
      </c>
      <c r="CI89" s="147" t="n">
        <v>-657.453620366323</v>
      </c>
      <c r="CJ89" s="147" t="n">
        <v>-657.453620366323</v>
      </c>
      <c r="CK89" s="147" t="n">
        <v>-657.453620366323</v>
      </c>
      <c r="CL89" s="147" t="n">
        <v>-670.60269277365</v>
      </c>
      <c r="CM89" s="147" t="n">
        <v>-670.60269277365</v>
      </c>
      <c r="CN89" s="147" t="n">
        <v>-670.60269277365</v>
      </c>
      <c r="CO89" s="147" t="n">
        <v>-670.60269277365</v>
      </c>
      <c r="CP89" s="147" t="n">
        <v>-670.60269277365</v>
      </c>
      <c r="CQ89" s="147" t="n">
        <v>-670.60269277365</v>
      </c>
      <c r="CR89" s="147" t="n">
        <v>-670.60269277365</v>
      </c>
      <c r="CS89" s="147" t="n">
        <v>-670.60269277365</v>
      </c>
      <c r="CT89" s="147" t="n">
        <v>-670.60269277365</v>
      </c>
      <c r="CU89" s="147" t="n">
        <v>-670.60269277365</v>
      </c>
      <c r="CV89" s="147" t="n">
        <v>-670.60269277365</v>
      </c>
      <c r="CW89" s="147" t="n">
        <v>-670.60269277365</v>
      </c>
      <c r="CX89" s="147" t="n">
        <v>-684.014746629123</v>
      </c>
      <c r="CY89" s="147" t="n">
        <v>-684.014746629123</v>
      </c>
      <c r="CZ89" s="147" t="n">
        <v>-684.014746629123</v>
      </c>
      <c r="DA89" s="147" t="n">
        <v>-684.014746629123</v>
      </c>
      <c r="DB89" s="147" t="n">
        <v>-684.014746629123</v>
      </c>
      <c r="DC89" s="147" t="n">
        <v>-684.014746629123</v>
      </c>
      <c r="DD89" s="147" t="n">
        <v>-684.014746629123</v>
      </c>
      <c r="DE89" s="147" t="n">
        <v>-684.014746629123</v>
      </c>
      <c r="DF89" s="147" t="n">
        <v>-684.014746629123</v>
      </c>
    </row>
    <row r="90" customFormat="false" ht="15" hidden="false" customHeight="true" outlineLevel="0" collapsed="false">
      <c r="A90" s="90" t="s">
        <v>76</v>
      </c>
      <c r="C90" s="151" t="n">
        <v>-246.85</v>
      </c>
      <c r="D90" s="151" t="n">
        <v>0</v>
      </c>
      <c r="E90" s="151" t="n">
        <v>-4246.73</v>
      </c>
      <c r="F90" s="147" t="n">
        <v>-1497.86</v>
      </c>
      <c r="G90" s="147" t="n">
        <v>-1497.86</v>
      </c>
      <c r="H90" s="147" t="n">
        <v>-1497.86</v>
      </c>
      <c r="I90" s="147" t="n">
        <v>-1497.86</v>
      </c>
      <c r="J90" s="147" t="n">
        <v>-1497.86</v>
      </c>
      <c r="K90" s="147" t="n">
        <v>-1497.86</v>
      </c>
      <c r="L90" s="147" t="n">
        <v>-1497.86</v>
      </c>
      <c r="M90" s="147" t="n">
        <v>-1497.86</v>
      </c>
      <c r="N90" s="147" t="n">
        <v>-1497.86</v>
      </c>
      <c r="O90" s="147" t="n">
        <v>-1497.86</v>
      </c>
      <c r="P90" s="147" t="n">
        <v>-1497.86</v>
      </c>
      <c r="Q90" s="147" t="n">
        <v>-1497.86</v>
      </c>
      <c r="R90" s="147" t="n">
        <v>-1527.8172</v>
      </c>
      <c r="S90" s="147" t="n">
        <v>-1527.8172</v>
      </c>
      <c r="T90" s="147" t="n">
        <v>-1527.8172</v>
      </c>
      <c r="U90" s="147" t="n">
        <v>-1527.8172</v>
      </c>
      <c r="V90" s="147" t="n">
        <v>-1527.8172</v>
      </c>
      <c r="W90" s="147" t="n">
        <v>-1527.8172</v>
      </c>
      <c r="X90" s="147" t="n">
        <v>-1527.8172</v>
      </c>
      <c r="Y90" s="147" t="n">
        <v>-1527.8172</v>
      </c>
      <c r="Z90" s="147" t="n">
        <v>-1527.8172</v>
      </c>
      <c r="AA90" s="147" t="n">
        <v>-1527.8172</v>
      </c>
      <c r="AB90" s="147" t="n">
        <v>-1527.8172</v>
      </c>
      <c r="AC90" s="147" t="n">
        <v>-1527.8172</v>
      </c>
      <c r="AD90" s="147" t="n">
        <v>-1558.373544</v>
      </c>
      <c r="AE90" s="147" t="n">
        <v>-1558.373544</v>
      </c>
      <c r="AF90" s="147" t="n">
        <v>-1558.373544</v>
      </c>
      <c r="AG90" s="147" t="n">
        <v>-1558.373544</v>
      </c>
      <c r="AH90" s="147" t="n">
        <v>-1558.373544</v>
      </c>
      <c r="AI90" s="147" t="n">
        <v>-1558.373544</v>
      </c>
      <c r="AJ90" s="147" t="n">
        <v>-1558.373544</v>
      </c>
      <c r="AK90" s="147" t="n">
        <v>-1558.373544</v>
      </c>
      <c r="AL90" s="147" t="n">
        <v>-1558.373544</v>
      </c>
      <c r="AM90" s="147" t="n">
        <v>-1558.373544</v>
      </c>
      <c r="AN90" s="147" t="n">
        <v>-1558.373544</v>
      </c>
      <c r="AO90" s="147" t="n">
        <v>-1558.373544</v>
      </c>
      <c r="AP90" s="147" t="n">
        <v>-1589.54101488</v>
      </c>
      <c r="AQ90" s="147" t="n">
        <v>-1589.54101488</v>
      </c>
      <c r="AR90" s="147" t="n">
        <v>-1589.54101488</v>
      </c>
      <c r="AS90" s="147" t="n">
        <v>-1589.54101488</v>
      </c>
      <c r="AT90" s="147" t="n">
        <v>-1589.54101488</v>
      </c>
      <c r="AU90" s="147" t="n">
        <v>-1589.54101488</v>
      </c>
      <c r="AV90" s="147" t="n">
        <v>-1589.54101488</v>
      </c>
      <c r="AW90" s="147" t="n">
        <v>-1589.54101488</v>
      </c>
      <c r="AX90" s="147" t="n">
        <v>-1589.54101488</v>
      </c>
      <c r="AY90" s="147" t="n">
        <v>-1589.54101488</v>
      </c>
      <c r="AZ90" s="147" t="n">
        <v>-1589.54101488</v>
      </c>
      <c r="BA90" s="147" t="n">
        <v>-1589.54101488</v>
      </c>
      <c r="BB90" s="147" t="n">
        <v>-1621.3318351776</v>
      </c>
      <c r="BC90" s="147" t="n">
        <v>-1621.3318351776</v>
      </c>
      <c r="BD90" s="147" t="n">
        <v>-1621.3318351776</v>
      </c>
      <c r="BE90" s="147" t="n">
        <v>-1621.3318351776</v>
      </c>
      <c r="BF90" s="147" t="n">
        <v>-1621.3318351776</v>
      </c>
      <c r="BG90" s="147" t="n">
        <v>-1621.3318351776</v>
      </c>
      <c r="BH90" s="147" t="n">
        <v>-1621.3318351776</v>
      </c>
      <c r="BI90" s="147" t="n">
        <v>-1621.3318351776</v>
      </c>
      <c r="BJ90" s="147" t="n">
        <v>-1621.3318351776</v>
      </c>
      <c r="BK90" s="147" t="n">
        <v>-1621.3318351776</v>
      </c>
      <c r="BL90" s="147" t="n">
        <v>-1621.3318351776</v>
      </c>
      <c r="BM90" s="147" t="n">
        <v>-1621.3318351776</v>
      </c>
      <c r="BN90" s="147" t="n">
        <v>-1653.75847188115</v>
      </c>
      <c r="BO90" s="147" t="n">
        <v>-1653.75847188115</v>
      </c>
      <c r="BP90" s="147" t="n">
        <v>-1653.75847188115</v>
      </c>
      <c r="BQ90" s="147" t="n">
        <v>-1653.75847188115</v>
      </c>
      <c r="BR90" s="147" t="n">
        <v>-1653.75847188115</v>
      </c>
      <c r="BS90" s="147" t="n">
        <v>-1653.75847188115</v>
      </c>
      <c r="BT90" s="147" t="n">
        <v>-1653.75847188115</v>
      </c>
      <c r="BU90" s="147" t="n">
        <v>-1653.75847188115</v>
      </c>
      <c r="BV90" s="147" t="n">
        <v>-1653.75847188115</v>
      </c>
      <c r="BW90" s="147" t="n">
        <v>-1653.75847188115</v>
      </c>
      <c r="BX90" s="147" t="n">
        <v>-1653.75847188115</v>
      </c>
      <c r="BY90" s="147" t="n">
        <v>-1653.75847188115</v>
      </c>
      <c r="BZ90" s="147" t="n">
        <v>-1686.83364131878</v>
      </c>
      <c r="CA90" s="147" t="n">
        <v>-1686.83364131878</v>
      </c>
      <c r="CB90" s="147" t="n">
        <v>-1686.83364131878</v>
      </c>
      <c r="CC90" s="147" t="n">
        <v>-1686.83364131878</v>
      </c>
      <c r="CD90" s="147" t="n">
        <v>-1686.83364131878</v>
      </c>
      <c r="CE90" s="147" t="n">
        <v>-1686.83364131878</v>
      </c>
      <c r="CF90" s="147" t="n">
        <v>-1686.83364131878</v>
      </c>
      <c r="CG90" s="147" t="n">
        <v>-1686.83364131878</v>
      </c>
      <c r="CH90" s="147" t="n">
        <v>-1686.83364131878</v>
      </c>
      <c r="CI90" s="147" t="n">
        <v>-1686.83364131878</v>
      </c>
      <c r="CJ90" s="147" t="n">
        <v>-1686.83364131878</v>
      </c>
      <c r="CK90" s="147" t="n">
        <v>-1686.83364131878</v>
      </c>
      <c r="CL90" s="147" t="n">
        <v>-1720.57031414515</v>
      </c>
      <c r="CM90" s="147" t="n">
        <v>-1720.57031414515</v>
      </c>
      <c r="CN90" s="147" t="n">
        <v>-1720.57031414515</v>
      </c>
      <c r="CO90" s="147" t="n">
        <v>-1720.57031414515</v>
      </c>
      <c r="CP90" s="147" t="n">
        <v>-1720.57031414515</v>
      </c>
      <c r="CQ90" s="147" t="n">
        <v>-1720.57031414515</v>
      </c>
      <c r="CR90" s="147" t="n">
        <v>-1720.57031414515</v>
      </c>
      <c r="CS90" s="147" t="n">
        <v>-1720.57031414515</v>
      </c>
      <c r="CT90" s="147" t="n">
        <v>-1720.57031414515</v>
      </c>
      <c r="CU90" s="147" t="n">
        <v>-1720.57031414515</v>
      </c>
      <c r="CV90" s="147" t="n">
        <v>-1720.57031414515</v>
      </c>
      <c r="CW90" s="147" t="n">
        <v>-1720.57031414515</v>
      </c>
      <c r="CX90" s="147" t="n">
        <v>-1754.98172042805</v>
      </c>
      <c r="CY90" s="147" t="n">
        <v>-1754.98172042805</v>
      </c>
      <c r="CZ90" s="147" t="n">
        <v>-1754.98172042805</v>
      </c>
      <c r="DA90" s="147" t="n">
        <v>-1754.98172042805</v>
      </c>
      <c r="DB90" s="147" t="n">
        <v>-1754.98172042805</v>
      </c>
      <c r="DC90" s="147" t="n">
        <v>-1754.98172042805</v>
      </c>
      <c r="DD90" s="147" t="n">
        <v>-1754.98172042805</v>
      </c>
      <c r="DE90" s="147" t="n">
        <v>-1754.98172042805</v>
      </c>
      <c r="DF90" s="147" t="n">
        <v>-1754.98172042805</v>
      </c>
    </row>
    <row r="91" customFormat="false" ht="15" hidden="false" customHeight="true" outlineLevel="0" collapsed="false">
      <c r="A91" s="90" t="s">
        <v>123</v>
      </c>
      <c r="C91" s="104" t="n">
        <v>0</v>
      </c>
      <c r="D91" s="104" t="n">
        <v>0</v>
      </c>
      <c r="E91" s="104" t="n">
        <v>-870</v>
      </c>
      <c r="F91" s="147" t="n">
        <v>-290</v>
      </c>
      <c r="G91" s="147" t="n">
        <v>-290</v>
      </c>
      <c r="H91" s="147" t="n">
        <v>-290</v>
      </c>
      <c r="I91" s="147" t="n">
        <v>-290</v>
      </c>
      <c r="J91" s="147" t="n">
        <v>-290</v>
      </c>
      <c r="K91" s="147" t="n">
        <v>-290</v>
      </c>
      <c r="L91" s="147" t="n">
        <v>-290</v>
      </c>
      <c r="M91" s="147" t="n">
        <v>-290</v>
      </c>
      <c r="N91" s="147" t="n">
        <v>-290</v>
      </c>
      <c r="O91" s="147" t="n">
        <v>-290</v>
      </c>
      <c r="P91" s="147" t="n">
        <v>-290</v>
      </c>
      <c r="Q91" s="147" t="n">
        <v>-290</v>
      </c>
      <c r="R91" s="147" t="n">
        <v>-295.8</v>
      </c>
      <c r="S91" s="147" t="n">
        <v>-295.8</v>
      </c>
      <c r="T91" s="147" t="n">
        <v>-295.8</v>
      </c>
      <c r="U91" s="147" t="n">
        <v>-295.8</v>
      </c>
      <c r="V91" s="147" t="n">
        <v>-295.8</v>
      </c>
      <c r="W91" s="147" t="n">
        <v>-295.8</v>
      </c>
      <c r="X91" s="147" t="n">
        <v>-295.8</v>
      </c>
      <c r="Y91" s="147" t="n">
        <v>-295.8</v>
      </c>
      <c r="Z91" s="147" t="n">
        <v>-295.8</v>
      </c>
      <c r="AA91" s="147" t="n">
        <v>-295.8</v>
      </c>
      <c r="AB91" s="147" t="n">
        <v>-295.8</v>
      </c>
      <c r="AC91" s="147" t="n">
        <v>-295.8</v>
      </c>
      <c r="AD91" s="147" t="n">
        <v>-301.716</v>
      </c>
      <c r="AE91" s="147" t="n">
        <v>-301.716</v>
      </c>
      <c r="AF91" s="147" t="n">
        <v>-301.716</v>
      </c>
      <c r="AG91" s="147" t="n">
        <v>-301.716</v>
      </c>
      <c r="AH91" s="147" t="n">
        <v>-301.716</v>
      </c>
      <c r="AI91" s="147" t="n">
        <v>-301.716</v>
      </c>
      <c r="AJ91" s="147" t="n">
        <v>-301.716</v>
      </c>
      <c r="AK91" s="147" t="n">
        <v>-301.716</v>
      </c>
      <c r="AL91" s="147" t="n">
        <v>-301.716</v>
      </c>
      <c r="AM91" s="147" t="n">
        <v>-301.716</v>
      </c>
      <c r="AN91" s="147" t="n">
        <v>-301.716</v>
      </c>
      <c r="AO91" s="147" t="n">
        <v>-301.716</v>
      </c>
      <c r="AP91" s="147" t="n">
        <v>-307.75032</v>
      </c>
      <c r="AQ91" s="147" t="n">
        <v>-307.75032</v>
      </c>
      <c r="AR91" s="147" t="n">
        <v>-307.75032</v>
      </c>
      <c r="AS91" s="147" t="n">
        <v>-307.75032</v>
      </c>
      <c r="AT91" s="147" t="n">
        <v>-307.75032</v>
      </c>
      <c r="AU91" s="147" t="n">
        <v>-307.75032</v>
      </c>
      <c r="AV91" s="147" t="n">
        <v>-307.75032</v>
      </c>
      <c r="AW91" s="147" t="n">
        <v>-307.75032</v>
      </c>
      <c r="AX91" s="147" t="n">
        <v>-307.75032</v>
      </c>
      <c r="AY91" s="147" t="n">
        <v>-307.75032</v>
      </c>
      <c r="AZ91" s="147" t="n">
        <v>-307.75032</v>
      </c>
      <c r="BA91" s="147" t="n">
        <v>-307.75032</v>
      </c>
      <c r="BB91" s="147" t="n">
        <v>-313.9053264</v>
      </c>
      <c r="BC91" s="147" t="n">
        <v>-313.9053264</v>
      </c>
      <c r="BD91" s="147" t="n">
        <v>-313.9053264</v>
      </c>
      <c r="BE91" s="147" t="n">
        <v>-313.9053264</v>
      </c>
      <c r="BF91" s="147" t="n">
        <v>-313.9053264</v>
      </c>
      <c r="BG91" s="147" t="n">
        <v>-313.9053264</v>
      </c>
      <c r="BH91" s="147" t="n">
        <v>-313.9053264</v>
      </c>
      <c r="BI91" s="147" t="n">
        <v>-313.9053264</v>
      </c>
      <c r="BJ91" s="147" t="n">
        <v>-313.9053264</v>
      </c>
      <c r="BK91" s="147" t="n">
        <v>-313.9053264</v>
      </c>
      <c r="BL91" s="147" t="n">
        <v>-313.9053264</v>
      </c>
      <c r="BM91" s="147" t="n">
        <v>-313.9053264</v>
      </c>
      <c r="BN91" s="147" t="n">
        <v>-320.183432928</v>
      </c>
      <c r="BO91" s="147" t="n">
        <v>-320.183432928</v>
      </c>
      <c r="BP91" s="147" t="n">
        <v>-320.183432928</v>
      </c>
      <c r="BQ91" s="147" t="n">
        <v>-320.183432928</v>
      </c>
      <c r="BR91" s="147" t="n">
        <v>-320.183432928</v>
      </c>
      <c r="BS91" s="147" t="n">
        <v>-320.183432928</v>
      </c>
      <c r="BT91" s="147" t="n">
        <v>-320.183432928</v>
      </c>
      <c r="BU91" s="147" t="n">
        <v>-320.183432928</v>
      </c>
      <c r="BV91" s="147" t="n">
        <v>-320.183432928</v>
      </c>
      <c r="BW91" s="147" t="n">
        <v>-320.183432928</v>
      </c>
      <c r="BX91" s="147" t="n">
        <v>-320.183432928</v>
      </c>
      <c r="BY91" s="147" t="n">
        <v>-320.183432928</v>
      </c>
      <c r="BZ91" s="147" t="n">
        <v>-326.58710158656</v>
      </c>
      <c r="CA91" s="147" t="n">
        <v>-326.58710158656</v>
      </c>
      <c r="CB91" s="147" t="n">
        <v>-326.58710158656</v>
      </c>
      <c r="CC91" s="147" t="n">
        <v>-326.58710158656</v>
      </c>
      <c r="CD91" s="147" t="n">
        <v>-326.58710158656</v>
      </c>
      <c r="CE91" s="147" t="n">
        <v>-326.58710158656</v>
      </c>
      <c r="CF91" s="147" t="n">
        <v>-326.58710158656</v>
      </c>
      <c r="CG91" s="147" t="n">
        <v>-326.58710158656</v>
      </c>
      <c r="CH91" s="147" t="n">
        <v>-326.58710158656</v>
      </c>
      <c r="CI91" s="147" t="n">
        <v>-326.58710158656</v>
      </c>
      <c r="CJ91" s="147" t="n">
        <v>-326.58710158656</v>
      </c>
      <c r="CK91" s="147" t="n">
        <v>-326.58710158656</v>
      </c>
      <c r="CL91" s="147" t="n">
        <v>-333.118843618291</v>
      </c>
      <c r="CM91" s="147" t="n">
        <v>-333.118843618291</v>
      </c>
      <c r="CN91" s="147" t="n">
        <v>-333.118843618291</v>
      </c>
      <c r="CO91" s="147" t="n">
        <v>-333.118843618291</v>
      </c>
      <c r="CP91" s="147" t="n">
        <v>-333.118843618291</v>
      </c>
      <c r="CQ91" s="147" t="n">
        <v>-333.118843618291</v>
      </c>
      <c r="CR91" s="147" t="n">
        <v>-333.118843618291</v>
      </c>
      <c r="CS91" s="147" t="n">
        <v>-333.118843618291</v>
      </c>
      <c r="CT91" s="147" t="n">
        <v>-333.118843618291</v>
      </c>
      <c r="CU91" s="147" t="n">
        <v>-333.118843618291</v>
      </c>
      <c r="CV91" s="147" t="n">
        <v>-333.118843618291</v>
      </c>
      <c r="CW91" s="147" t="n">
        <v>-333.118843618291</v>
      </c>
      <c r="CX91" s="147" t="n">
        <v>-339.781220490657</v>
      </c>
      <c r="CY91" s="147" t="n">
        <v>-339.781220490657</v>
      </c>
      <c r="CZ91" s="147" t="n">
        <v>-339.781220490657</v>
      </c>
      <c r="DA91" s="147" t="n">
        <v>-339.781220490657</v>
      </c>
      <c r="DB91" s="147" t="n">
        <v>-339.781220490657</v>
      </c>
      <c r="DC91" s="147" t="n">
        <v>-339.781220490657</v>
      </c>
      <c r="DD91" s="147" t="n">
        <v>-339.781220490657</v>
      </c>
      <c r="DE91" s="147" t="n">
        <v>-339.781220490657</v>
      </c>
      <c r="DF91" s="147" t="n">
        <v>-339.781220490657</v>
      </c>
    </row>
    <row r="92" customFormat="false" ht="15" hidden="false" customHeight="true" outlineLevel="0" collapsed="false">
      <c r="A92" s="99" t="s">
        <v>124</v>
      </c>
      <c r="C92" s="148" t="n">
        <v>-245</v>
      </c>
      <c r="D92" s="148" t="n">
        <v>-245</v>
      </c>
      <c r="E92" s="148" t="n">
        <v>-245</v>
      </c>
      <c r="F92" s="148" t="n">
        <v>-245</v>
      </c>
      <c r="G92" s="148" t="n">
        <v>-245</v>
      </c>
      <c r="H92" s="148" t="n">
        <v>-245</v>
      </c>
      <c r="I92" s="148" t="n">
        <v>-245</v>
      </c>
      <c r="J92" s="148" t="n">
        <v>-245</v>
      </c>
      <c r="K92" s="148" t="n">
        <v>-245</v>
      </c>
      <c r="L92" s="148" t="n">
        <v>-245</v>
      </c>
      <c r="M92" s="148" t="n">
        <v>-245</v>
      </c>
      <c r="N92" s="148" t="n">
        <v>-245</v>
      </c>
      <c r="O92" s="148" t="n">
        <v>-245</v>
      </c>
      <c r="P92" s="148" t="n">
        <v>-245</v>
      </c>
      <c r="Q92" s="148" t="n">
        <v>-245</v>
      </c>
      <c r="R92" s="148" t="n">
        <v>-249.9</v>
      </c>
      <c r="S92" s="148" t="n">
        <v>-249.9</v>
      </c>
      <c r="T92" s="148" t="n">
        <v>-249.9</v>
      </c>
      <c r="U92" s="148" t="n">
        <v>-249.9</v>
      </c>
      <c r="V92" s="148" t="n">
        <v>-249.9</v>
      </c>
      <c r="W92" s="148" t="n">
        <v>-249.9</v>
      </c>
      <c r="X92" s="148" t="n">
        <v>-249.9</v>
      </c>
      <c r="Y92" s="148" t="n">
        <v>-249.9</v>
      </c>
      <c r="Z92" s="148" t="n">
        <v>-249.9</v>
      </c>
      <c r="AA92" s="148" t="n">
        <v>-249.9</v>
      </c>
      <c r="AB92" s="148" t="n">
        <v>-249.9</v>
      </c>
      <c r="AC92" s="148" t="n">
        <v>-249.9</v>
      </c>
      <c r="AD92" s="148" t="n">
        <v>-254.898</v>
      </c>
      <c r="AE92" s="148" t="n">
        <v>-254.898</v>
      </c>
      <c r="AF92" s="148" t="n">
        <v>-254.898</v>
      </c>
      <c r="AG92" s="148" t="n">
        <v>-254.898</v>
      </c>
      <c r="AH92" s="148" t="n">
        <v>-254.898</v>
      </c>
      <c r="AI92" s="148" t="n">
        <v>-254.898</v>
      </c>
      <c r="AJ92" s="148" t="n">
        <v>-254.898</v>
      </c>
      <c r="AK92" s="148" t="n">
        <v>-254.898</v>
      </c>
      <c r="AL92" s="148" t="n">
        <v>-254.898</v>
      </c>
      <c r="AM92" s="148" t="n">
        <v>-254.898</v>
      </c>
      <c r="AN92" s="148" t="n">
        <v>-254.898</v>
      </c>
      <c r="AO92" s="148" t="n">
        <v>-254.898</v>
      </c>
      <c r="AP92" s="148" t="n">
        <v>-259.99596</v>
      </c>
      <c r="AQ92" s="148" t="n">
        <v>-259.99596</v>
      </c>
      <c r="AR92" s="148" t="n">
        <v>-259.99596</v>
      </c>
      <c r="AS92" s="148" t="n">
        <v>-259.99596</v>
      </c>
      <c r="AT92" s="148" t="n">
        <v>-259.99596</v>
      </c>
      <c r="AU92" s="148" t="n">
        <v>-259.99596</v>
      </c>
      <c r="AV92" s="148" t="n">
        <v>-259.99596</v>
      </c>
      <c r="AW92" s="148" t="n">
        <v>-259.99596</v>
      </c>
      <c r="AX92" s="148" t="n">
        <v>-259.99596</v>
      </c>
      <c r="AY92" s="148" t="n">
        <v>-259.99596</v>
      </c>
      <c r="AZ92" s="148" t="n">
        <v>-259.99596</v>
      </c>
      <c r="BA92" s="148" t="n">
        <v>-259.99596</v>
      </c>
      <c r="BB92" s="148" t="n">
        <v>-265.1958792</v>
      </c>
      <c r="BC92" s="148" t="n">
        <v>-265.1958792</v>
      </c>
      <c r="BD92" s="148" t="n">
        <v>-265.1958792</v>
      </c>
      <c r="BE92" s="148" t="n">
        <v>-265.1958792</v>
      </c>
      <c r="BF92" s="148" t="n">
        <v>-265.1958792</v>
      </c>
      <c r="BG92" s="148" t="n">
        <v>-265.1958792</v>
      </c>
      <c r="BH92" s="148" t="n">
        <v>-265.1958792</v>
      </c>
      <c r="BI92" s="148" t="n">
        <v>-265.1958792</v>
      </c>
      <c r="BJ92" s="148" t="n">
        <v>-265.1958792</v>
      </c>
      <c r="BK92" s="148" t="n">
        <v>-265.1958792</v>
      </c>
      <c r="BL92" s="148" t="n">
        <v>-265.1958792</v>
      </c>
      <c r="BM92" s="148" t="n">
        <v>-265.1958792</v>
      </c>
      <c r="BN92" s="148" t="n">
        <v>-270.499796784</v>
      </c>
      <c r="BO92" s="148" t="n">
        <v>-270.499796784</v>
      </c>
      <c r="BP92" s="148" t="n">
        <v>-270.499796784</v>
      </c>
      <c r="BQ92" s="148" t="n">
        <v>-270.499796784</v>
      </c>
      <c r="BR92" s="148" t="n">
        <v>-270.499796784</v>
      </c>
      <c r="BS92" s="148" t="n">
        <v>-270.499796784</v>
      </c>
      <c r="BT92" s="148" t="n">
        <v>-270.499796784</v>
      </c>
      <c r="BU92" s="148" t="n">
        <v>-270.499796784</v>
      </c>
      <c r="BV92" s="148" t="n">
        <v>-270.499796784</v>
      </c>
      <c r="BW92" s="148" t="n">
        <v>-270.499796784</v>
      </c>
      <c r="BX92" s="148" t="n">
        <v>-270.499796784</v>
      </c>
      <c r="BY92" s="148" t="n">
        <v>-270.499796784</v>
      </c>
      <c r="BZ92" s="148" t="n">
        <v>-275.90979271968</v>
      </c>
      <c r="CA92" s="148" t="n">
        <v>-275.90979271968</v>
      </c>
      <c r="CB92" s="148" t="n">
        <v>-275.90979271968</v>
      </c>
      <c r="CC92" s="148" t="n">
        <v>-275.90979271968</v>
      </c>
      <c r="CD92" s="148" t="n">
        <v>-275.90979271968</v>
      </c>
      <c r="CE92" s="148" t="n">
        <v>-275.90979271968</v>
      </c>
      <c r="CF92" s="148" t="n">
        <v>-275.90979271968</v>
      </c>
      <c r="CG92" s="148" t="n">
        <v>-275.90979271968</v>
      </c>
      <c r="CH92" s="148" t="n">
        <v>-275.90979271968</v>
      </c>
      <c r="CI92" s="148" t="n">
        <v>-275.90979271968</v>
      </c>
      <c r="CJ92" s="148" t="n">
        <v>-275.90979271968</v>
      </c>
      <c r="CK92" s="148" t="n">
        <v>-275.90979271968</v>
      </c>
      <c r="CL92" s="148" t="n">
        <v>-281.427988574074</v>
      </c>
      <c r="CM92" s="148" t="n">
        <v>-281.427988574074</v>
      </c>
      <c r="CN92" s="148" t="n">
        <v>-281.427988574074</v>
      </c>
      <c r="CO92" s="148" t="n">
        <v>-281.427988574074</v>
      </c>
      <c r="CP92" s="148" t="n">
        <v>-281.427988574074</v>
      </c>
      <c r="CQ92" s="148" t="n">
        <v>-281.427988574074</v>
      </c>
      <c r="CR92" s="148" t="n">
        <v>-281.427988574074</v>
      </c>
      <c r="CS92" s="148" t="n">
        <v>-281.427988574074</v>
      </c>
      <c r="CT92" s="148" t="n">
        <v>-281.427988574074</v>
      </c>
      <c r="CU92" s="148" t="n">
        <v>-281.427988574074</v>
      </c>
      <c r="CV92" s="148" t="n">
        <v>-281.427988574074</v>
      </c>
      <c r="CW92" s="148" t="n">
        <v>-281.427988574074</v>
      </c>
      <c r="CX92" s="148" t="n">
        <v>-287.056548345555</v>
      </c>
      <c r="CY92" s="148" t="n">
        <v>-287.056548345555</v>
      </c>
      <c r="CZ92" s="148" t="n">
        <v>-287.056548345555</v>
      </c>
      <c r="DA92" s="148" t="n">
        <v>-287.056548345555</v>
      </c>
      <c r="DB92" s="148" t="n">
        <v>-287.056548345555</v>
      </c>
      <c r="DC92" s="148" t="n">
        <v>-287.056548345555</v>
      </c>
      <c r="DD92" s="148" t="n">
        <v>-287.056548345555</v>
      </c>
      <c r="DE92" s="148" t="n">
        <v>-287.056548345555</v>
      </c>
      <c r="DF92" s="148" t="n">
        <v>-287.056548345555</v>
      </c>
    </row>
    <row r="93" customFormat="false" ht="15" hidden="false" customHeight="true" outlineLevel="0" collapsed="false">
      <c r="A93" s="99" t="s">
        <v>125</v>
      </c>
      <c r="C93" s="148" t="n">
        <v>-986.57</v>
      </c>
      <c r="D93" s="148" t="n">
        <v>-1254.61</v>
      </c>
      <c r="E93" s="148" t="n">
        <v>-1297.31</v>
      </c>
      <c r="F93" s="148" t="n">
        <v>-1179.5</v>
      </c>
      <c r="G93" s="148" t="n">
        <v>-1179.5</v>
      </c>
      <c r="H93" s="148" t="n">
        <v>-1179.5</v>
      </c>
      <c r="I93" s="148" t="n">
        <v>-1179.5</v>
      </c>
      <c r="J93" s="148" t="n">
        <v>-1179.5</v>
      </c>
      <c r="K93" s="148" t="n">
        <v>-1179.5</v>
      </c>
      <c r="L93" s="148" t="n">
        <v>-1179.5</v>
      </c>
      <c r="M93" s="148" t="n">
        <v>-1179.5</v>
      </c>
      <c r="N93" s="148" t="n">
        <v>-1179.5</v>
      </c>
      <c r="O93" s="148" t="n">
        <v>-1179.5</v>
      </c>
      <c r="P93" s="148" t="n">
        <v>-1179.5</v>
      </c>
      <c r="Q93" s="148" t="n">
        <v>-1179.5</v>
      </c>
      <c r="R93" s="148" t="n">
        <v>-1203.09</v>
      </c>
      <c r="S93" s="148" t="n">
        <v>-1203.09</v>
      </c>
      <c r="T93" s="148" t="n">
        <v>-1203.09</v>
      </c>
      <c r="U93" s="148" t="n">
        <v>-1203.09</v>
      </c>
      <c r="V93" s="148" t="n">
        <v>-1203.09</v>
      </c>
      <c r="W93" s="148" t="n">
        <v>-1203.09</v>
      </c>
      <c r="X93" s="148" t="n">
        <v>-1203.09</v>
      </c>
      <c r="Y93" s="148" t="n">
        <v>-1203.09</v>
      </c>
      <c r="Z93" s="148" t="n">
        <v>-1203.09</v>
      </c>
      <c r="AA93" s="148" t="n">
        <v>-1203.09</v>
      </c>
      <c r="AB93" s="148" t="n">
        <v>-1203.09</v>
      </c>
      <c r="AC93" s="148" t="n">
        <v>-1203.09</v>
      </c>
      <c r="AD93" s="148" t="n">
        <v>-1227.1518</v>
      </c>
      <c r="AE93" s="148" t="n">
        <v>-1227.1518</v>
      </c>
      <c r="AF93" s="148" t="n">
        <v>-1227.1518</v>
      </c>
      <c r="AG93" s="148" t="n">
        <v>-1227.1518</v>
      </c>
      <c r="AH93" s="148" t="n">
        <v>-1227.1518</v>
      </c>
      <c r="AI93" s="148" t="n">
        <v>-1227.1518</v>
      </c>
      <c r="AJ93" s="148" t="n">
        <v>-1227.1518</v>
      </c>
      <c r="AK93" s="148" t="n">
        <v>-1227.1518</v>
      </c>
      <c r="AL93" s="148" t="n">
        <v>-1227.1518</v>
      </c>
      <c r="AM93" s="148" t="n">
        <v>-1227.1518</v>
      </c>
      <c r="AN93" s="148" t="n">
        <v>-1227.1518</v>
      </c>
      <c r="AO93" s="148" t="n">
        <v>-1227.1518</v>
      </c>
      <c r="AP93" s="148" t="n">
        <v>-1251.694836</v>
      </c>
      <c r="AQ93" s="148" t="n">
        <v>-1251.694836</v>
      </c>
      <c r="AR93" s="148" t="n">
        <v>-1251.694836</v>
      </c>
      <c r="AS93" s="148" t="n">
        <v>-1251.694836</v>
      </c>
      <c r="AT93" s="148" t="n">
        <v>-1251.694836</v>
      </c>
      <c r="AU93" s="148" t="n">
        <v>-1251.694836</v>
      </c>
      <c r="AV93" s="148" t="n">
        <v>-1251.694836</v>
      </c>
      <c r="AW93" s="148" t="n">
        <v>-1251.694836</v>
      </c>
      <c r="AX93" s="148" t="n">
        <v>-1251.694836</v>
      </c>
      <c r="AY93" s="148" t="n">
        <v>-1251.694836</v>
      </c>
      <c r="AZ93" s="148" t="n">
        <v>-1251.694836</v>
      </c>
      <c r="BA93" s="148" t="n">
        <v>-1251.694836</v>
      </c>
      <c r="BB93" s="148" t="n">
        <v>-1276.72873272</v>
      </c>
      <c r="BC93" s="148" t="n">
        <v>-1276.72873272</v>
      </c>
      <c r="BD93" s="148" t="n">
        <v>-1276.72873272</v>
      </c>
      <c r="BE93" s="148" t="n">
        <v>-1276.72873272</v>
      </c>
      <c r="BF93" s="148" t="n">
        <v>-1276.72873272</v>
      </c>
      <c r="BG93" s="148" t="n">
        <v>-1276.72873272</v>
      </c>
      <c r="BH93" s="148" t="n">
        <v>-1276.72873272</v>
      </c>
      <c r="BI93" s="148" t="n">
        <v>-1276.72873272</v>
      </c>
      <c r="BJ93" s="148" t="n">
        <v>-1276.72873272</v>
      </c>
      <c r="BK93" s="148" t="n">
        <v>-1276.72873272</v>
      </c>
      <c r="BL93" s="148" t="n">
        <v>-1276.72873272</v>
      </c>
      <c r="BM93" s="148" t="n">
        <v>-1276.72873272</v>
      </c>
      <c r="BN93" s="148" t="n">
        <v>-1302.2633073744</v>
      </c>
      <c r="BO93" s="148" t="n">
        <v>-1302.2633073744</v>
      </c>
      <c r="BP93" s="148" t="n">
        <v>-1302.2633073744</v>
      </c>
      <c r="BQ93" s="148" t="n">
        <v>-1302.2633073744</v>
      </c>
      <c r="BR93" s="148" t="n">
        <v>-1302.2633073744</v>
      </c>
      <c r="BS93" s="148" t="n">
        <v>-1302.2633073744</v>
      </c>
      <c r="BT93" s="148" t="n">
        <v>-1302.2633073744</v>
      </c>
      <c r="BU93" s="148" t="n">
        <v>-1302.2633073744</v>
      </c>
      <c r="BV93" s="148" t="n">
        <v>-1302.2633073744</v>
      </c>
      <c r="BW93" s="148" t="n">
        <v>-1302.2633073744</v>
      </c>
      <c r="BX93" s="148" t="n">
        <v>-1302.2633073744</v>
      </c>
      <c r="BY93" s="148" t="n">
        <v>-1302.2633073744</v>
      </c>
      <c r="BZ93" s="148" t="n">
        <v>-1328.30857352189</v>
      </c>
      <c r="CA93" s="148" t="n">
        <v>-1328.30857352189</v>
      </c>
      <c r="CB93" s="148" t="n">
        <v>-1328.30857352189</v>
      </c>
      <c r="CC93" s="148" t="n">
        <v>-1328.30857352189</v>
      </c>
      <c r="CD93" s="148" t="n">
        <v>-1328.30857352189</v>
      </c>
      <c r="CE93" s="148" t="n">
        <v>-1328.30857352189</v>
      </c>
      <c r="CF93" s="148" t="n">
        <v>-1328.30857352189</v>
      </c>
      <c r="CG93" s="148" t="n">
        <v>-1328.30857352189</v>
      </c>
      <c r="CH93" s="148" t="n">
        <v>-1328.30857352189</v>
      </c>
      <c r="CI93" s="148" t="n">
        <v>-1328.30857352189</v>
      </c>
      <c r="CJ93" s="148" t="n">
        <v>-1328.30857352189</v>
      </c>
      <c r="CK93" s="148" t="n">
        <v>-1328.30857352189</v>
      </c>
      <c r="CL93" s="148" t="n">
        <v>-1354.87474499233</v>
      </c>
      <c r="CM93" s="148" t="n">
        <v>-1354.87474499233</v>
      </c>
      <c r="CN93" s="148" t="n">
        <v>-1354.87474499233</v>
      </c>
      <c r="CO93" s="148" t="n">
        <v>-1354.87474499233</v>
      </c>
      <c r="CP93" s="148" t="n">
        <v>-1354.87474499233</v>
      </c>
      <c r="CQ93" s="148" t="n">
        <v>-1354.87474499233</v>
      </c>
      <c r="CR93" s="148" t="n">
        <v>-1354.87474499233</v>
      </c>
      <c r="CS93" s="148" t="n">
        <v>-1354.87474499233</v>
      </c>
      <c r="CT93" s="148" t="n">
        <v>-1354.87474499233</v>
      </c>
      <c r="CU93" s="148" t="n">
        <v>-1354.87474499233</v>
      </c>
      <c r="CV93" s="148" t="n">
        <v>-1354.87474499233</v>
      </c>
      <c r="CW93" s="148" t="n">
        <v>-1354.87474499233</v>
      </c>
      <c r="CX93" s="148" t="n">
        <v>-1381.97223989217</v>
      </c>
      <c r="CY93" s="148" t="n">
        <v>-1381.97223989217</v>
      </c>
      <c r="CZ93" s="148" t="n">
        <v>-1381.97223989217</v>
      </c>
      <c r="DA93" s="148" t="n">
        <v>-1381.97223989217</v>
      </c>
      <c r="DB93" s="148" t="n">
        <v>-1381.97223989217</v>
      </c>
      <c r="DC93" s="148" t="n">
        <v>-1381.97223989217</v>
      </c>
      <c r="DD93" s="148" t="n">
        <v>-1381.97223989217</v>
      </c>
      <c r="DE93" s="148" t="n">
        <v>-1381.97223989217</v>
      </c>
      <c r="DF93" s="148" t="n">
        <v>-1381.97223989217</v>
      </c>
    </row>
    <row r="94" customFormat="false" ht="15" hidden="false" customHeight="true" outlineLevel="0" collapsed="false">
      <c r="A94" s="99" t="s">
        <v>126</v>
      </c>
      <c r="C94" s="148" t="n">
        <v>-588.66</v>
      </c>
      <c r="D94" s="148" t="n">
        <v>-22.94</v>
      </c>
      <c r="E94" s="148" t="n">
        <v>-487.3</v>
      </c>
      <c r="F94" s="148" t="n">
        <v>-366.3</v>
      </c>
      <c r="G94" s="148" t="n">
        <v>-366.3</v>
      </c>
      <c r="H94" s="148" t="n">
        <v>-366.3</v>
      </c>
      <c r="I94" s="148" t="n">
        <v>-366.3</v>
      </c>
      <c r="J94" s="148" t="n">
        <v>-366.3</v>
      </c>
      <c r="K94" s="148" t="n">
        <v>-366.3</v>
      </c>
      <c r="L94" s="148" t="n">
        <v>-366.3</v>
      </c>
      <c r="M94" s="148" t="n">
        <v>-366.3</v>
      </c>
      <c r="N94" s="148" t="n">
        <v>-366.3</v>
      </c>
      <c r="O94" s="148" t="n">
        <v>-366.3</v>
      </c>
      <c r="P94" s="148" t="n">
        <v>-366.3</v>
      </c>
      <c r="Q94" s="148" t="n">
        <v>-366.3</v>
      </c>
      <c r="R94" s="148" t="n">
        <v>-373.626</v>
      </c>
      <c r="S94" s="148" t="n">
        <v>-373.626</v>
      </c>
      <c r="T94" s="148" t="n">
        <v>-373.626</v>
      </c>
      <c r="U94" s="148" t="n">
        <v>-373.626</v>
      </c>
      <c r="V94" s="148" t="n">
        <v>-373.626</v>
      </c>
      <c r="W94" s="148" t="n">
        <v>-373.626</v>
      </c>
      <c r="X94" s="148" t="n">
        <v>-373.626</v>
      </c>
      <c r="Y94" s="148" t="n">
        <v>-373.626</v>
      </c>
      <c r="Z94" s="148" t="n">
        <v>-373.626</v>
      </c>
      <c r="AA94" s="148" t="n">
        <v>-373.626</v>
      </c>
      <c r="AB94" s="148" t="n">
        <v>-373.626</v>
      </c>
      <c r="AC94" s="148" t="n">
        <v>-373.626</v>
      </c>
      <c r="AD94" s="148" t="n">
        <v>-381.09852</v>
      </c>
      <c r="AE94" s="148" t="n">
        <v>-381.09852</v>
      </c>
      <c r="AF94" s="148" t="n">
        <v>-381.09852</v>
      </c>
      <c r="AG94" s="148" t="n">
        <v>-381.09852</v>
      </c>
      <c r="AH94" s="148" t="n">
        <v>-381.09852</v>
      </c>
      <c r="AI94" s="148" t="n">
        <v>-381.09852</v>
      </c>
      <c r="AJ94" s="148" t="n">
        <v>-381.09852</v>
      </c>
      <c r="AK94" s="148" t="n">
        <v>-381.09852</v>
      </c>
      <c r="AL94" s="148" t="n">
        <v>-381.09852</v>
      </c>
      <c r="AM94" s="148" t="n">
        <v>-381.09852</v>
      </c>
      <c r="AN94" s="148" t="n">
        <v>-381.09852</v>
      </c>
      <c r="AO94" s="148" t="n">
        <v>-381.09852</v>
      </c>
      <c r="AP94" s="148" t="n">
        <v>-388.7204904</v>
      </c>
      <c r="AQ94" s="148" t="n">
        <v>-388.7204904</v>
      </c>
      <c r="AR94" s="148" t="n">
        <v>-388.7204904</v>
      </c>
      <c r="AS94" s="148" t="n">
        <v>-388.7204904</v>
      </c>
      <c r="AT94" s="148" t="n">
        <v>-388.7204904</v>
      </c>
      <c r="AU94" s="148" t="n">
        <v>-388.7204904</v>
      </c>
      <c r="AV94" s="148" t="n">
        <v>-388.7204904</v>
      </c>
      <c r="AW94" s="148" t="n">
        <v>-388.7204904</v>
      </c>
      <c r="AX94" s="148" t="n">
        <v>-388.7204904</v>
      </c>
      <c r="AY94" s="148" t="n">
        <v>-388.7204904</v>
      </c>
      <c r="AZ94" s="148" t="n">
        <v>-388.7204904</v>
      </c>
      <c r="BA94" s="148" t="n">
        <v>-388.7204904</v>
      </c>
      <c r="BB94" s="148" t="n">
        <v>-396.494900208</v>
      </c>
      <c r="BC94" s="148" t="n">
        <v>-396.494900208</v>
      </c>
      <c r="BD94" s="148" t="n">
        <v>-396.494900208</v>
      </c>
      <c r="BE94" s="148" t="n">
        <v>-396.494900208</v>
      </c>
      <c r="BF94" s="148" t="n">
        <v>-396.494900208</v>
      </c>
      <c r="BG94" s="148" t="n">
        <v>-396.494900208</v>
      </c>
      <c r="BH94" s="148" t="n">
        <v>-396.494900208</v>
      </c>
      <c r="BI94" s="148" t="n">
        <v>-396.494900208</v>
      </c>
      <c r="BJ94" s="148" t="n">
        <v>-396.494900208</v>
      </c>
      <c r="BK94" s="148" t="n">
        <v>-396.494900208</v>
      </c>
      <c r="BL94" s="148" t="n">
        <v>-396.494900208</v>
      </c>
      <c r="BM94" s="148" t="n">
        <v>-396.494900208</v>
      </c>
      <c r="BN94" s="148" t="n">
        <v>-404.42479821216</v>
      </c>
      <c r="BO94" s="148" t="n">
        <v>-404.42479821216</v>
      </c>
      <c r="BP94" s="148" t="n">
        <v>-404.42479821216</v>
      </c>
      <c r="BQ94" s="148" t="n">
        <v>-404.42479821216</v>
      </c>
      <c r="BR94" s="148" t="n">
        <v>-404.42479821216</v>
      </c>
      <c r="BS94" s="148" t="n">
        <v>-404.42479821216</v>
      </c>
      <c r="BT94" s="148" t="n">
        <v>-404.42479821216</v>
      </c>
      <c r="BU94" s="148" t="n">
        <v>-404.42479821216</v>
      </c>
      <c r="BV94" s="148" t="n">
        <v>-404.42479821216</v>
      </c>
      <c r="BW94" s="148" t="n">
        <v>-404.42479821216</v>
      </c>
      <c r="BX94" s="148" t="n">
        <v>-404.42479821216</v>
      </c>
      <c r="BY94" s="148" t="n">
        <v>-404.42479821216</v>
      </c>
      <c r="BZ94" s="148" t="n">
        <v>-412.513294176403</v>
      </c>
      <c r="CA94" s="148" t="n">
        <v>-412.513294176403</v>
      </c>
      <c r="CB94" s="148" t="n">
        <v>-412.513294176403</v>
      </c>
      <c r="CC94" s="148" t="n">
        <v>-412.513294176403</v>
      </c>
      <c r="CD94" s="148" t="n">
        <v>-412.513294176403</v>
      </c>
      <c r="CE94" s="148" t="n">
        <v>-412.513294176403</v>
      </c>
      <c r="CF94" s="148" t="n">
        <v>-412.513294176403</v>
      </c>
      <c r="CG94" s="148" t="n">
        <v>-412.513294176403</v>
      </c>
      <c r="CH94" s="148" t="n">
        <v>-412.513294176403</v>
      </c>
      <c r="CI94" s="148" t="n">
        <v>-412.513294176403</v>
      </c>
      <c r="CJ94" s="148" t="n">
        <v>-412.513294176403</v>
      </c>
      <c r="CK94" s="148" t="n">
        <v>-412.513294176403</v>
      </c>
      <c r="CL94" s="148" t="n">
        <v>-420.763560059931</v>
      </c>
      <c r="CM94" s="148" t="n">
        <v>-420.763560059931</v>
      </c>
      <c r="CN94" s="148" t="n">
        <v>-420.763560059931</v>
      </c>
      <c r="CO94" s="148" t="n">
        <v>-420.763560059931</v>
      </c>
      <c r="CP94" s="148" t="n">
        <v>-420.763560059931</v>
      </c>
      <c r="CQ94" s="148" t="n">
        <v>-420.763560059931</v>
      </c>
      <c r="CR94" s="148" t="n">
        <v>-420.763560059931</v>
      </c>
      <c r="CS94" s="148" t="n">
        <v>-420.763560059931</v>
      </c>
      <c r="CT94" s="148" t="n">
        <v>-420.763560059931</v>
      </c>
      <c r="CU94" s="148" t="n">
        <v>-420.763560059931</v>
      </c>
      <c r="CV94" s="148" t="n">
        <v>-420.763560059931</v>
      </c>
      <c r="CW94" s="148" t="n">
        <v>-420.763560059931</v>
      </c>
      <c r="CX94" s="148" t="n">
        <v>-429.17883126113</v>
      </c>
      <c r="CY94" s="148" t="n">
        <v>-429.17883126113</v>
      </c>
      <c r="CZ94" s="148" t="n">
        <v>-429.17883126113</v>
      </c>
      <c r="DA94" s="148" t="n">
        <v>-429.17883126113</v>
      </c>
      <c r="DB94" s="148" t="n">
        <v>-429.17883126113</v>
      </c>
      <c r="DC94" s="148" t="n">
        <v>-429.17883126113</v>
      </c>
      <c r="DD94" s="148" t="n">
        <v>-429.17883126113</v>
      </c>
      <c r="DE94" s="148" t="n">
        <v>-429.17883126113</v>
      </c>
      <c r="DF94" s="148" t="n">
        <v>-429.17883126113</v>
      </c>
    </row>
    <row r="95" customFormat="false" ht="15" hidden="false" customHeight="true" outlineLevel="0" collapsed="false">
      <c r="A95" s="99" t="s">
        <v>127</v>
      </c>
      <c r="C95" s="148" t="n">
        <v>0</v>
      </c>
      <c r="D95" s="148" t="n">
        <v>-92.75</v>
      </c>
      <c r="E95" s="148" t="n">
        <v>-57.46</v>
      </c>
      <c r="F95" s="148" t="n">
        <v>-50.07</v>
      </c>
      <c r="G95" s="148" t="n">
        <v>-50.07</v>
      </c>
      <c r="H95" s="148" t="n">
        <v>-50.07</v>
      </c>
      <c r="I95" s="148" t="n">
        <v>-50.07</v>
      </c>
      <c r="J95" s="148" t="n">
        <v>-50.07</v>
      </c>
      <c r="K95" s="148" t="n">
        <v>-50.07</v>
      </c>
      <c r="L95" s="148" t="n">
        <v>-50.07</v>
      </c>
      <c r="M95" s="148" t="n">
        <v>-50.07</v>
      </c>
      <c r="N95" s="148" t="n">
        <v>-50.07</v>
      </c>
      <c r="O95" s="148" t="n">
        <v>-50.07</v>
      </c>
      <c r="P95" s="148" t="n">
        <v>-50.07</v>
      </c>
      <c r="Q95" s="148" t="n">
        <v>-50.07</v>
      </c>
      <c r="R95" s="148" t="n">
        <v>-51.0714</v>
      </c>
      <c r="S95" s="148" t="n">
        <v>-51.0714</v>
      </c>
      <c r="T95" s="148" t="n">
        <v>-51.0714</v>
      </c>
      <c r="U95" s="148" t="n">
        <v>-51.0714</v>
      </c>
      <c r="V95" s="148" t="n">
        <v>-51.0714</v>
      </c>
      <c r="W95" s="148" t="n">
        <v>-51.0714</v>
      </c>
      <c r="X95" s="148" t="n">
        <v>-51.0714</v>
      </c>
      <c r="Y95" s="148" t="n">
        <v>-51.0714</v>
      </c>
      <c r="Z95" s="148" t="n">
        <v>-51.0714</v>
      </c>
      <c r="AA95" s="148" t="n">
        <v>-51.0714</v>
      </c>
      <c r="AB95" s="148" t="n">
        <v>-51.0714</v>
      </c>
      <c r="AC95" s="148" t="n">
        <v>-51.0714</v>
      </c>
      <c r="AD95" s="148" t="n">
        <v>-52.092828</v>
      </c>
      <c r="AE95" s="148" t="n">
        <v>-52.092828</v>
      </c>
      <c r="AF95" s="148" t="n">
        <v>-52.092828</v>
      </c>
      <c r="AG95" s="148" t="n">
        <v>-52.092828</v>
      </c>
      <c r="AH95" s="148" t="n">
        <v>-52.092828</v>
      </c>
      <c r="AI95" s="148" t="n">
        <v>-52.092828</v>
      </c>
      <c r="AJ95" s="148" t="n">
        <v>-52.092828</v>
      </c>
      <c r="AK95" s="148" t="n">
        <v>-52.092828</v>
      </c>
      <c r="AL95" s="148" t="n">
        <v>-52.092828</v>
      </c>
      <c r="AM95" s="148" t="n">
        <v>-52.092828</v>
      </c>
      <c r="AN95" s="148" t="n">
        <v>-52.092828</v>
      </c>
      <c r="AO95" s="148" t="n">
        <v>-52.092828</v>
      </c>
      <c r="AP95" s="148" t="n">
        <v>-53.13468456</v>
      </c>
      <c r="AQ95" s="148" t="n">
        <v>-53.13468456</v>
      </c>
      <c r="AR95" s="148" t="n">
        <v>-53.13468456</v>
      </c>
      <c r="AS95" s="148" t="n">
        <v>-53.13468456</v>
      </c>
      <c r="AT95" s="148" t="n">
        <v>-53.13468456</v>
      </c>
      <c r="AU95" s="148" t="n">
        <v>-53.13468456</v>
      </c>
      <c r="AV95" s="148" t="n">
        <v>-53.13468456</v>
      </c>
      <c r="AW95" s="148" t="n">
        <v>-53.13468456</v>
      </c>
      <c r="AX95" s="148" t="n">
        <v>-53.13468456</v>
      </c>
      <c r="AY95" s="148" t="n">
        <v>-53.13468456</v>
      </c>
      <c r="AZ95" s="148" t="n">
        <v>-53.13468456</v>
      </c>
      <c r="BA95" s="148" t="n">
        <v>-53.13468456</v>
      </c>
      <c r="BB95" s="148" t="n">
        <v>-54.1973782512</v>
      </c>
      <c r="BC95" s="148" t="n">
        <v>-54.1973782512</v>
      </c>
      <c r="BD95" s="148" t="n">
        <v>-54.1973782512</v>
      </c>
      <c r="BE95" s="148" t="n">
        <v>-54.1973782512</v>
      </c>
      <c r="BF95" s="148" t="n">
        <v>-54.1973782512</v>
      </c>
      <c r="BG95" s="148" t="n">
        <v>-54.1973782512</v>
      </c>
      <c r="BH95" s="148" t="n">
        <v>-54.1973782512</v>
      </c>
      <c r="BI95" s="148" t="n">
        <v>-54.1973782512</v>
      </c>
      <c r="BJ95" s="148" t="n">
        <v>-54.1973782512</v>
      </c>
      <c r="BK95" s="148" t="n">
        <v>-54.1973782512</v>
      </c>
      <c r="BL95" s="148" t="n">
        <v>-54.1973782512</v>
      </c>
      <c r="BM95" s="148" t="n">
        <v>-54.1973782512</v>
      </c>
      <c r="BN95" s="148" t="n">
        <v>-55.281325816224</v>
      </c>
      <c r="BO95" s="148" t="n">
        <v>-55.281325816224</v>
      </c>
      <c r="BP95" s="148" t="n">
        <v>-55.281325816224</v>
      </c>
      <c r="BQ95" s="148" t="n">
        <v>-55.281325816224</v>
      </c>
      <c r="BR95" s="148" t="n">
        <v>-55.281325816224</v>
      </c>
      <c r="BS95" s="148" t="n">
        <v>-55.281325816224</v>
      </c>
      <c r="BT95" s="148" t="n">
        <v>-55.281325816224</v>
      </c>
      <c r="BU95" s="148" t="n">
        <v>-55.281325816224</v>
      </c>
      <c r="BV95" s="148" t="n">
        <v>-55.281325816224</v>
      </c>
      <c r="BW95" s="148" t="n">
        <v>-55.281325816224</v>
      </c>
      <c r="BX95" s="148" t="n">
        <v>-55.281325816224</v>
      </c>
      <c r="BY95" s="148" t="n">
        <v>-55.281325816224</v>
      </c>
      <c r="BZ95" s="148" t="n">
        <v>-56.3869523325485</v>
      </c>
      <c r="CA95" s="148" t="n">
        <v>-56.3869523325485</v>
      </c>
      <c r="CB95" s="148" t="n">
        <v>-56.3869523325485</v>
      </c>
      <c r="CC95" s="148" t="n">
        <v>-56.3869523325485</v>
      </c>
      <c r="CD95" s="148" t="n">
        <v>-56.3869523325485</v>
      </c>
      <c r="CE95" s="148" t="n">
        <v>-56.3869523325485</v>
      </c>
      <c r="CF95" s="148" t="n">
        <v>-56.3869523325485</v>
      </c>
      <c r="CG95" s="148" t="n">
        <v>-56.3869523325485</v>
      </c>
      <c r="CH95" s="148" t="n">
        <v>-56.3869523325485</v>
      </c>
      <c r="CI95" s="148" t="n">
        <v>-56.3869523325485</v>
      </c>
      <c r="CJ95" s="148" t="n">
        <v>-56.3869523325485</v>
      </c>
      <c r="CK95" s="148" t="n">
        <v>-56.3869523325485</v>
      </c>
      <c r="CL95" s="148" t="n">
        <v>-57.5146913791995</v>
      </c>
      <c r="CM95" s="148" t="n">
        <v>-57.5146913791995</v>
      </c>
      <c r="CN95" s="148" t="n">
        <v>-57.5146913791995</v>
      </c>
      <c r="CO95" s="148" t="n">
        <v>-57.5146913791995</v>
      </c>
      <c r="CP95" s="148" t="n">
        <v>-57.5146913791995</v>
      </c>
      <c r="CQ95" s="148" t="n">
        <v>-57.5146913791995</v>
      </c>
      <c r="CR95" s="148" t="n">
        <v>-57.5146913791995</v>
      </c>
      <c r="CS95" s="148" t="n">
        <v>-57.5146913791995</v>
      </c>
      <c r="CT95" s="148" t="n">
        <v>-57.5146913791995</v>
      </c>
      <c r="CU95" s="148" t="n">
        <v>-57.5146913791995</v>
      </c>
      <c r="CV95" s="148" t="n">
        <v>-57.5146913791995</v>
      </c>
      <c r="CW95" s="148" t="n">
        <v>-57.5146913791995</v>
      </c>
      <c r="CX95" s="148" t="n">
        <v>-58.6649852067835</v>
      </c>
      <c r="CY95" s="148" t="n">
        <v>-58.6649852067835</v>
      </c>
      <c r="CZ95" s="148" t="n">
        <v>-58.6649852067835</v>
      </c>
      <c r="DA95" s="148" t="n">
        <v>-58.6649852067835</v>
      </c>
      <c r="DB95" s="148" t="n">
        <v>-58.6649852067835</v>
      </c>
      <c r="DC95" s="148" t="n">
        <v>-58.6649852067835</v>
      </c>
      <c r="DD95" s="148" t="n">
        <v>-58.6649852067835</v>
      </c>
      <c r="DE95" s="148" t="n">
        <v>-58.6649852067835</v>
      </c>
      <c r="DF95" s="148" t="n">
        <v>-58.6649852067835</v>
      </c>
    </row>
    <row r="96" customFormat="false" ht="15" hidden="false" customHeight="true" outlineLevel="0" collapsed="false">
      <c r="A96" s="99" t="s">
        <v>78</v>
      </c>
      <c r="C96" s="148" t="n">
        <v>-640.88</v>
      </c>
      <c r="D96" s="148" t="n">
        <v>-872.64</v>
      </c>
      <c r="E96" s="148" t="n">
        <v>-1175.78</v>
      </c>
      <c r="F96" s="148" t="n">
        <v>-896.43</v>
      </c>
      <c r="G96" s="148" t="n">
        <v>-896.43</v>
      </c>
      <c r="H96" s="148" t="n">
        <v>-896.43</v>
      </c>
      <c r="I96" s="148" t="n">
        <v>-896.43</v>
      </c>
      <c r="J96" s="148" t="n">
        <v>-896.43</v>
      </c>
      <c r="K96" s="148" t="n">
        <v>-896.43</v>
      </c>
      <c r="L96" s="148" t="n">
        <v>-896.43</v>
      </c>
      <c r="M96" s="148" t="n">
        <v>-896.43</v>
      </c>
      <c r="N96" s="148" t="n">
        <v>-896.43</v>
      </c>
      <c r="O96" s="148" t="n">
        <v>-896.43</v>
      </c>
      <c r="P96" s="148" t="n">
        <v>-896.43</v>
      </c>
      <c r="Q96" s="148" t="n">
        <v>-896.43</v>
      </c>
      <c r="R96" s="148" t="n">
        <v>-914.3586</v>
      </c>
      <c r="S96" s="148" t="n">
        <v>-914.3586</v>
      </c>
      <c r="T96" s="148" t="n">
        <v>-914.3586</v>
      </c>
      <c r="U96" s="148" t="n">
        <v>-914.3586</v>
      </c>
      <c r="V96" s="148" t="n">
        <v>-914.3586</v>
      </c>
      <c r="W96" s="148" t="n">
        <v>-914.3586</v>
      </c>
      <c r="X96" s="148" t="n">
        <v>-914.3586</v>
      </c>
      <c r="Y96" s="148" t="n">
        <v>-914.3586</v>
      </c>
      <c r="Z96" s="148" t="n">
        <v>-914.3586</v>
      </c>
      <c r="AA96" s="148" t="n">
        <v>-914.3586</v>
      </c>
      <c r="AB96" s="148" t="n">
        <v>-914.3586</v>
      </c>
      <c r="AC96" s="148" t="n">
        <v>-914.3586</v>
      </c>
      <c r="AD96" s="148" t="n">
        <v>-932.645772</v>
      </c>
      <c r="AE96" s="148" t="n">
        <v>-932.645772</v>
      </c>
      <c r="AF96" s="148" t="n">
        <v>-932.645772</v>
      </c>
      <c r="AG96" s="148" t="n">
        <v>-932.645772</v>
      </c>
      <c r="AH96" s="148" t="n">
        <v>-932.645772</v>
      </c>
      <c r="AI96" s="148" t="n">
        <v>-932.645772</v>
      </c>
      <c r="AJ96" s="148" t="n">
        <v>-932.645772</v>
      </c>
      <c r="AK96" s="148" t="n">
        <v>-932.645772</v>
      </c>
      <c r="AL96" s="148" t="n">
        <v>-932.645772</v>
      </c>
      <c r="AM96" s="148" t="n">
        <v>-932.645772</v>
      </c>
      <c r="AN96" s="148" t="n">
        <v>-932.645772</v>
      </c>
      <c r="AO96" s="148" t="n">
        <v>-932.645772</v>
      </c>
      <c r="AP96" s="148" t="n">
        <v>-951.29868744</v>
      </c>
      <c r="AQ96" s="148" t="n">
        <v>-951.29868744</v>
      </c>
      <c r="AR96" s="148" t="n">
        <v>-951.29868744</v>
      </c>
      <c r="AS96" s="148" t="n">
        <v>-951.29868744</v>
      </c>
      <c r="AT96" s="148" t="n">
        <v>-951.29868744</v>
      </c>
      <c r="AU96" s="148" t="n">
        <v>-951.29868744</v>
      </c>
      <c r="AV96" s="148" t="n">
        <v>-951.29868744</v>
      </c>
      <c r="AW96" s="148" t="n">
        <v>-951.29868744</v>
      </c>
      <c r="AX96" s="148" t="n">
        <v>-951.29868744</v>
      </c>
      <c r="AY96" s="148" t="n">
        <v>-951.29868744</v>
      </c>
      <c r="AZ96" s="148" t="n">
        <v>-951.29868744</v>
      </c>
      <c r="BA96" s="148" t="n">
        <v>-951.29868744</v>
      </c>
      <c r="BB96" s="148" t="n">
        <v>-970.3246611888</v>
      </c>
      <c r="BC96" s="148" t="n">
        <v>-970.3246611888</v>
      </c>
      <c r="BD96" s="148" t="n">
        <v>-970.3246611888</v>
      </c>
      <c r="BE96" s="148" t="n">
        <v>-970.3246611888</v>
      </c>
      <c r="BF96" s="148" t="n">
        <v>-970.3246611888</v>
      </c>
      <c r="BG96" s="148" t="n">
        <v>-970.3246611888</v>
      </c>
      <c r="BH96" s="148" t="n">
        <v>-970.3246611888</v>
      </c>
      <c r="BI96" s="148" t="n">
        <v>-970.3246611888</v>
      </c>
      <c r="BJ96" s="148" t="n">
        <v>-970.3246611888</v>
      </c>
      <c r="BK96" s="148" t="n">
        <v>-970.3246611888</v>
      </c>
      <c r="BL96" s="148" t="n">
        <v>-970.3246611888</v>
      </c>
      <c r="BM96" s="148" t="n">
        <v>-970.3246611888</v>
      </c>
      <c r="BN96" s="148" t="n">
        <v>-989.731154412576</v>
      </c>
      <c r="BO96" s="148" t="n">
        <v>-989.731154412576</v>
      </c>
      <c r="BP96" s="148" t="n">
        <v>-989.731154412576</v>
      </c>
      <c r="BQ96" s="148" t="n">
        <v>-989.731154412576</v>
      </c>
      <c r="BR96" s="148" t="n">
        <v>-989.731154412576</v>
      </c>
      <c r="BS96" s="148" t="n">
        <v>-989.731154412576</v>
      </c>
      <c r="BT96" s="148" t="n">
        <v>-989.731154412576</v>
      </c>
      <c r="BU96" s="148" t="n">
        <v>-989.731154412576</v>
      </c>
      <c r="BV96" s="148" t="n">
        <v>-989.731154412576</v>
      </c>
      <c r="BW96" s="148" t="n">
        <v>-989.731154412576</v>
      </c>
      <c r="BX96" s="148" t="n">
        <v>-989.731154412576</v>
      </c>
      <c r="BY96" s="148" t="n">
        <v>-989.731154412576</v>
      </c>
      <c r="BZ96" s="148" t="n">
        <v>-1009.52577750083</v>
      </c>
      <c r="CA96" s="148" t="n">
        <v>-1009.52577750083</v>
      </c>
      <c r="CB96" s="148" t="n">
        <v>-1009.52577750083</v>
      </c>
      <c r="CC96" s="148" t="n">
        <v>-1009.52577750083</v>
      </c>
      <c r="CD96" s="148" t="n">
        <v>-1009.52577750083</v>
      </c>
      <c r="CE96" s="148" t="n">
        <v>-1009.52577750083</v>
      </c>
      <c r="CF96" s="148" t="n">
        <v>-1009.52577750083</v>
      </c>
      <c r="CG96" s="148" t="n">
        <v>-1009.52577750083</v>
      </c>
      <c r="CH96" s="148" t="n">
        <v>-1009.52577750083</v>
      </c>
      <c r="CI96" s="148" t="n">
        <v>-1009.52577750083</v>
      </c>
      <c r="CJ96" s="148" t="n">
        <v>-1009.52577750083</v>
      </c>
      <c r="CK96" s="148" t="n">
        <v>-1009.52577750083</v>
      </c>
      <c r="CL96" s="148" t="n">
        <v>-1029.71629305084</v>
      </c>
      <c r="CM96" s="148" t="n">
        <v>-1029.71629305084</v>
      </c>
      <c r="CN96" s="148" t="n">
        <v>-1029.71629305084</v>
      </c>
      <c r="CO96" s="148" t="n">
        <v>-1029.71629305084</v>
      </c>
      <c r="CP96" s="148" t="n">
        <v>-1029.71629305084</v>
      </c>
      <c r="CQ96" s="148" t="n">
        <v>-1029.71629305084</v>
      </c>
      <c r="CR96" s="148" t="n">
        <v>-1029.71629305084</v>
      </c>
      <c r="CS96" s="148" t="n">
        <v>-1029.71629305084</v>
      </c>
      <c r="CT96" s="148" t="n">
        <v>-1029.71629305084</v>
      </c>
      <c r="CU96" s="148" t="n">
        <v>-1029.71629305084</v>
      </c>
      <c r="CV96" s="148" t="n">
        <v>-1029.71629305084</v>
      </c>
      <c r="CW96" s="148" t="n">
        <v>-1029.71629305084</v>
      </c>
      <c r="CX96" s="148" t="n">
        <v>-1050.31061891186</v>
      </c>
      <c r="CY96" s="148" t="n">
        <v>-1050.31061891186</v>
      </c>
      <c r="CZ96" s="148" t="n">
        <v>-1050.31061891186</v>
      </c>
      <c r="DA96" s="148" t="n">
        <v>-1050.31061891186</v>
      </c>
      <c r="DB96" s="148" t="n">
        <v>-1050.31061891186</v>
      </c>
      <c r="DC96" s="148" t="n">
        <v>-1050.31061891186</v>
      </c>
      <c r="DD96" s="148" t="n">
        <v>-1050.31061891186</v>
      </c>
      <c r="DE96" s="148" t="n">
        <v>-1050.31061891186</v>
      </c>
      <c r="DF96" s="148" t="n">
        <v>-1050.31061891186</v>
      </c>
    </row>
    <row r="97" customFormat="false" ht="15" hidden="false" customHeight="true" outlineLevel="0" collapsed="false">
      <c r="A97" s="99" t="s">
        <v>79</v>
      </c>
      <c r="C97" s="148" t="n">
        <v>0</v>
      </c>
      <c r="D97" s="148" t="n">
        <v>0</v>
      </c>
      <c r="E97" s="148" t="n">
        <v>-38050.5</v>
      </c>
      <c r="F97" s="148" t="n">
        <v>-2000</v>
      </c>
      <c r="G97" s="148" t="n">
        <v>-2000</v>
      </c>
      <c r="H97" s="148" t="n">
        <v>-2000</v>
      </c>
      <c r="I97" s="148" t="n">
        <v>-2000</v>
      </c>
      <c r="J97" s="148" t="n">
        <v>-2000</v>
      </c>
      <c r="K97" s="148" t="n">
        <v>-2000</v>
      </c>
      <c r="L97" s="148" t="n">
        <v>-2000</v>
      </c>
      <c r="M97" s="148" t="n">
        <v>-2000</v>
      </c>
      <c r="N97" s="148" t="n">
        <v>-2000</v>
      </c>
      <c r="O97" s="148" t="n">
        <v>-2000</v>
      </c>
      <c r="P97" s="148" t="n">
        <v>-2000</v>
      </c>
      <c r="Q97" s="148" t="n">
        <v>-2000</v>
      </c>
      <c r="R97" s="148" t="n">
        <v>-2040</v>
      </c>
      <c r="S97" s="148" t="n">
        <v>-2040</v>
      </c>
      <c r="T97" s="148" t="n">
        <v>-2040</v>
      </c>
      <c r="U97" s="148" t="n">
        <v>-2040</v>
      </c>
      <c r="V97" s="148" t="n">
        <v>-2040</v>
      </c>
      <c r="W97" s="148" t="n">
        <v>-2040</v>
      </c>
      <c r="X97" s="148" t="n">
        <v>-2040</v>
      </c>
      <c r="Y97" s="148" t="n">
        <v>-2040</v>
      </c>
      <c r="Z97" s="148" t="n">
        <v>-2040</v>
      </c>
      <c r="AA97" s="148" t="n">
        <v>-2040</v>
      </c>
      <c r="AB97" s="148" t="n">
        <v>-2040</v>
      </c>
      <c r="AC97" s="148" t="n">
        <v>-2040</v>
      </c>
      <c r="AD97" s="148" t="n">
        <v>-2080.8</v>
      </c>
      <c r="AE97" s="148" t="n">
        <v>-2080.8</v>
      </c>
      <c r="AF97" s="148" t="n">
        <v>-2080.8</v>
      </c>
      <c r="AG97" s="148" t="n">
        <v>-2080.8</v>
      </c>
      <c r="AH97" s="148" t="n">
        <v>-2080.8</v>
      </c>
      <c r="AI97" s="148" t="n">
        <v>-2080.8</v>
      </c>
      <c r="AJ97" s="148" t="n">
        <v>-2080.8</v>
      </c>
      <c r="AK97" s="148" t="n">
        <v>-2080.8</v>
      </c>
      <c r="AL97" s="148" t="n">
        <v>-2080.8</v>
      </c>
      <c r="AM97" s="148" t="n">
        <v>-2080.8</v>
      </c>
      <c r="AN97" s="148" t="n">
        <v>-2080.8</v>
      </c>
      <c r="AO97" s="148" t="n">
        <v>-2080.8</v>
      </c>
      <c r="AP97" s="148" t="n">
        <v>-2122.416</v>
      </c>
      <c r="AQ97" s="148" t="n">
        <v>-2122.416</v>
      </c>
      <c r="AR97" s="148" t="n">
        <v>-2122.416</v>
      </c>
      <c r="AS97" s="148" t="n">
        <v>-2122.416</v>
      </c>
      <c r="AT97" s="148" t="n">
        <v>-2122.416</v>
      </c>
      <c r="AU97" s="148" t="n">
        <v>-2122.416</v>
      </c>
      <c r="AV97" s="148" t="n">
        <v>-2122.416</v>
      </c>
      <c r="AW97" s="148" t="n">
        <v>-2122.416</v>
      </c>
      <c r="AX97" s="148" t="n">
        <v>-2122.416</v>
      </c>
      <c r="AY97" s="148" t="n">
        <v>-2122.416</v>
      </c>
      <c r="AZ97" s="148" t="n">
        <v>-2122.416</v>
      </c>
      <c r="BA97" s="148" t="n">
        <v>-2122.416</v>
      </c>
      <c r="BB97" s="148" t="n">
        <v>-2164.86432</v>
      </c>
      <c r="BC97" s="148" t="n">
        <v>-2164.86432</v>
      </c>
      <c r="BD97" s="148" t="n">
        <v>-2164.86432</v>
      </c>
      <c r="BE97" s="148" t="n">
        <v>-2164.86432</v>
      </c>
      <c r="BF97" s="148" t="n">
        <v>-2164.86432</v>
      </c>
      <c r="BG97" s="148" t="n">
        <v>-2164.86432</v>
      </c>
      <c r="BH97" s="148" t="n">
        <v>-2164.86432</v>
      </c>
      <c r="BI97" s="148" t="n">
        <v>-2164.86432</v>
      </c>
      <c r="BJ97" s="148" t="n">
        <v>-2164.86432</v>
      </c>
      <c r="BK97" s="148" t="n">
        <v>-2164.86432</v>
      </c>
      <c r="BL97" s="148" t="n">
        <v>-2164.86432</v>
      </c>
      <c r="BM97" s="148" t="n">
        <v>-2164.86432</v>
      </c>
      <c r="BN97" s="148" t="n">
        <v>-2208.1616064</v>
      </c>
      <c r="BO97" s="148" t="n">
        <v>-2208.1616064</v>
      </c>
      <c r="BP97" s="148" t="n">
        <v>-2208.1616064</v>
      </c>
      <c r="BQ97" s="148" t="n">
        <v>-2208.1616064</v>
      </c>
      <c r="BR97" s="148" t="n">
        <v>-2208.1616064</v>
      </c>
      <c r="BS97" s="148" t="n">
        <v>-2208.1616064</v>
      </c>
      <c r="BT97" s="148" t="n">
        <v>-2208.1616064</v>
      </c>
      <c r="BU97" s="148" t="n">
        <v>-2208.1616064</v>
      </c>
      <c r="BV97" s="148" t="n">
        <v>-2208.1616064</v>
      </c>
      <c r="BW97" s="148" t="n">
        <v>-2208.1616064</v>
      </c>
      <c r="BX97" s="148" t="n">
        <v>-2208.1616064</v>
      </c>
      <c r="BY97" s="148" t="n">
        <v>-2208.1616064</v>
      </c>
      <c r="BZ97" s="148" t="n">
        <v>-2252.324838528</v>
      </c>
      <c r="CA97" s="148" t="n">
        <v>-2252.324838528</v>
      </c>
      <c r="CB97" s="148" t="n">
        <v>-2252.324838528</v>
      </c>
      <c r="CC97" s="148" t="n">
        <v>-2252.324838528</v>
      </c>
      <c r="CD97" s="148" t="n">
        <v>-2252.324838528</v>
      </c>
      <c r="CE97" s="148" t="n">
        <v>-2252.324838528</v>
      </c>
      <c r="CF97" s="148" t="n">
        <v>-2252.324838528</v>
      </c>
      <c r="CG97" s="148" t="n">
        <v>-2252.324838528</v>
      </c>
      <c r="CH97" s="148" t="n">
        <v>-2252.324838528</v>
      </c>
      <c r="CI97" s="148" t="n">
        <v>-2252.324838528</v>
      </c>
      <c r="CJ97" s="148" t="n">
        <v>-2252.324838528</v>
      </c>
      <c r="CK97" s="148" t="n">
        <v>-2252.324838528</v>
      </c>
      <c r="CL97" s="148" t="n">
        <v>-2297.37133529856</v>
      </c>
      <c r="CM97" s="148" t="n">
        <v>-2297.37133529856</v>
      </c>
      <c r="CN97" s="148" t="n">
        <v>-2297.37133529856</v>
      </c>
      <c r="CO97" s="148" t="n">
        <v>-2297.37133529856</v>
      </c>
      <c r="CP97" s="148" t="n">
        <v>-2297.37133529856</v>
      </c>
      <c r="CQ97" s="148" t="n">
        <v>-2297.37133529856</v>
      </c>
      <c r="CR97" s="148" t="n">
        <v>-2297.37133529856</v>
      </c>
      <c r="CS97" s="148" t="n">
        <v>-2297.37133529856</v>
      </c>
      <c r="CT97" s="148" t="n">
        <v>-2297.37133529856</v>
      </c>
      <c r="CU97" s="148" t="n">
        <v>-2297.37133529856</v>
      </c>
      <c r="CV97" s="148" t="n">
        <v>-2297.37133529856</v>
      </c>
      <c r="CW97" s="148" t="n">
        <v>-2297.37133529856</v>
      </c>
      <c r="CX97" s="148" t="n">
        <v>-2343.31876200453</v>
      </c>
      <c r="CY97" s="148" t="n">
        <v>-2343.31876200453</v>
      </c>
      <c r="CZ97" s="148" t="n">
        <v>-2343.31876200453</v>
      </c>
      <c r="DA97" s="148" t="n">
        <v>-2343.31876200453</v>
      </c>
      <c r="DB97" s="148" t="n">
        <v>-2343.31876200453</v>
      </c>
      <c r="DC97" s="148" t="n">
        <v>-2343.31876200453</v>
      </c>
      <c r="DD97" s="148" t="n">
        <v>-2343.31876200453</v>
      </c>
      <c r="DE97" s="148" t="n">
        <v>-2343.31876200453</v>
      </c>
      <c r="DF97" s="148" t="n">
        <v>-2343.31876200453</v>
      </c>
    </row>
    <row r="98" customFormat="false" ht="15" hidden="false" customHeight="true" outlineLevel="0" collapsed="false">
      <c r="A98" s="90" t="s">
        <v>80</v>
      </c>
      <c r="C98" s="104" t="n">
        <v>-4097.78</v>
      </c>
      <c r="D98" s="104" t="n">
        <v>-1950.2</v>
      </c>
      <c r="E98" s="104" t="n">
        <v>-1978.2</v>
      </c>
      <c r="F98" s="147" t="n">
        <v>-2675.39</v>
      </c>
      <c r="G98" s="147" t="n">
        <v>-2675.39</v>
      </c>
      <c r="H98" s="147" t="n">
        <v>-2675.39</v>
      </c>
      <c r="I98" s="147" t="n">
        <v>-2675.39</v>
      </c>
      <c r="J98" s="147" t="n">
        <v>-2675.39</v>
      </c>
      <c r="K98" s="147" t="n">
        <v>-2675.39</v>
      </c>
      <c r="L98" s="147" t="n">
        <v>-2675.39</v>
      </c>
      <c r="M98" s="147" t="n">
        <v>-2675.39</v>
      </c>
      <c r="N98" s="147" t="n">
        <v>-2675.39</v>
      </c>
      <c r="O98" s="147" t="n">
        <v>-2675.39</v>
      </c>
      <c r="P98" s="147" t="n">
        <v>-2675.39</v>
      </c>
      <c r="Q98" s="147" t="n">
        <v>-2675.39</v>
      </c>
      <c r="R98" s="147" t="n">
        <v>-2728.8978</v>
      </c>
      <c r="S98" s="147" t="n">
        <v>-2728.8978</v>
      </c>
      <c r="T98" s="147" t="n">
        <v>-2728.8978</v>
      </c>
      <c r="U98" s="147" t="n">
        <v>-2728.8978</v>
      </c>
      <c r="V98" s="147" t="n">
        <v>-2728.8978</v>
      </c>
      <c r="W98" s="147" t="n">
        <v>-2728.8978</v>
      </c>
      <c r="X98" s="147" t="n">
        <v>-2728.8978</v>
      </c>
      <c r="Y98" s="147" t="n">
        <v>-2728.8978</v>
      </c>
      <c r="Z98" s="147" t="n">
        <v>-2728.8978</v>
      </c>
      <c r="AA98" s="147" t="n">
        <v>-2728.8978</v>
      </c>
      <c r="AB98" s="147" t="n">
        <v>-2728.8978</v>
      </c>
      <c r="AC98" s="147" t="n">
        <v>-2728.8978</v>
      </c>
      <c r="AD98" s="147" t="n">
        <v>-2783.475756</v>
      </c>
      <c r="AE98" s="147" t="n">
        <v>-2783.475756</v>
      </c>
      <c r="AF98" s="147" t="n">
        <v>-2783.475756</v>
      </c>
      <c r="AG98" s="147" t="n">
        <v>-2783.475756</v>
      </c>
      <c r="AH98" s="147" t="n">
        <v>-2783.475756</v>
      </c>
      <c r="AI98" s="147" t="n">
        <v>-2783.475756</v>
      </c>
      <c r="AJ98" s="147" t="n">
        <v>-2783.475756</v>
      </c>
      <c r="AK98" s="147" t="n">
        <v>-2783.475756</v>
      </c>
      <c r="AL98" s="147" t="n">
        <v>-2783.475756</v>
      </c>
      <c r="AM98" s="147" t="n">
        <v>-2783.475756</v>
      </c>
      <c r="AN98" s="147" t="n">
        <v>-2783.475756</v>
      </c>
      <c r="AO98" s="147" t="n">
        <v>-2783.475756</v>
      </c>
      <c r="AP98" s="147" t="n">
        <v>-2839.14527112</v>
      </c>
      <c r="AQ98" s="147" t="n">
        <v>-2839.14527112</v>
      </c>
      <c r="AR98" s="147" t="n">
        <v>-2839.14527112</v>
      </c>
      <c r="AS98" s="147" t="n">
        <v>-2839.14527112</v>
      </c>
      <c r="AT98" s="147" t="n">
        <v>-2839.14527112</v>
      </c>
      <c r="AU98" s="147" t="n">
        <v>-2839.14527112</v>
      </c>
      <c r="AV98" s="147" t="n">
        <v>-2839.14527112</v>
      </c>
      <c r="AW98" s="147" t="n">
        <v>-2839.14527112</v>
      </c>
      <c r="AX98" s="147" t="n">
        <v>-2839.14527112</v>
      </c>
      <c r="AY98" s="147" t="n">
        <v>-2839.14527112</v>
      </c>
      <c r="AZ98" s="147" t="n">
        <v>-2839.14527112</v>
      </c>
      <c r="BA98" s="147" t="n">
        <v>-2839.14527112</v>
      </c>
      <c r="BB98" s="147" t="n">
        <v>-2895.9281765424</v>
      </c>
      <c r="BC98" s="147" t="n">
        <v>-2895.9281765424</v>
      </c>
      <c r="BD98" s="147" t="n">
        <v>-2895.9281765424</v>
      </c>
      <c r="BE98" s="147" t="n">
        <v>-2895.9281765424</v>
      </c>
      <c r="BF98" s="147" t="n">
        <v>-2895.9281765424</v>
      </c>
      <c r="BG98" s="147" t="n">
        <v>-2895.9281765424</v>
      </c>
      <c r="BH98" s="147" t="n">
        <v>-2895.9281765424</v>
      </c>
      <c r="BI98" s="147" t="n">
        <v>-2895.9281765424</v>
      </c>
      <c r="BJ98" s="147" t="n">
        <v>-2895.9281765424</v>
      </c>
      <c r="BK98" s="147" t="n">
        <v>-2895.9281765424</v>
      </c>
      <c r="BL98" s="147" t="n">
        <v>-2895.9281765424</v>
      </c>
      <c r="BM98" s="147" t="n">
        <v>-2895.9281765424</v>
      </c>
      <c r="BN98" s="147" t="n">
        <v>-2953.84674007325</v>
      </c>
      <c r="BO98" s="147" t="n">
        <v>-2953.84674007325</v>
      </c>
      <c r="BP98" s="147" t="n">
        <v>-2953.84674007325</v>
      </c>
      <c r="BQ98" s="147" t="n">
        <v>-2953.84674007325</v>
      </c>
      <c r="BR98" s="147" t="n">
        <v>-2953.84674007325</v>
      </c>
      <c r="BS98" s="147" t="n">
        <v>-2953.84674007325</v>
      </c>
      <c r="BT98" s="147" t="n">
        <v>-2953.84674007325</v>
      </c>
      <c r="BU98" s="147" t="n">
        <v>-2953.84674007325</v>
      </c>
      <c r="BV98" s="147" t="n">
        <v>-2953.84674007325</v>
      </c>
      <c r="BW98" s="147" t="n">
        <v>-2953.84674007325</v>
      </c>
      <c r="BX98" s="147" t="n">
        <v>-2953.84674007325</v>
      </c>
      <c r="BY98" s="147" t="n">
        <v>-2953.84674007325</v>
      </c>
      <c r="BZ98" s="147" t="n">
        <v>-3012.92367487471</v>
      </c>
      <c r="CA98" s="147" t="n">
        <v>-3012.92367487471</v>
      </c>
      <c r="CB98" s="147" t="n">
        <v>-3012.92367487471</v>
      </c>
      <c r="CC98" s="147" t="n">
        <v>-3012.92367487471</v>
      </c>
      <c r="CD98" s="147" t="n">
        <v>-3012.92367487471</v>
      </c>
      <c r="CE98" s="147" t="n">
        <v>-3012.92367487471</v>
      </c>
      <c r="CF98" s="147" t="n">
        <v>-3012.92367487471</v>
      </c>
      <c r="CG98" s="147" t="n">
        <v>-3012.92367487471</v>
      </c>
      <c r="CH98" s="147" t="n">
        <v>-3012.92367487471</v>
      </c>
      <c r="CI98" s="147" t="n">
        <v>-3012.92367487471</v>
      </c>
      <c r="CJ98" s="147" t="n">
        <v>-3012.92367487471</v>
      </c>
      <c r="CK98" s="147" t="n">
        <v>-3012.92367487471</v>
      </c>
      <c r="CL98" s="147" t="n">
        <v>-3073.18214837221</v>
      </c>
      <c r="CM98" s="147" t="n">
        <v>-3073.18214837221</v>
      </c>
      <c r="CN98" s="147" t="n">
        <v>-3073.18214837221</v>
      </c>
      <c r="CO98" s="147" t="n">
        <v>-3073.18214837221</v>
      </c>
      <c r="CP98" s="147" t="n">
        <v>-3073.18214837221</v>
      </c>
      <c r="CQ98" s="147" t="n">
        <v>-3073.18214837221</v>
      </c>
      <c r="CR98" s="147" t="n">
        <v>-3073.18214837221</v>
      </c>
      <c r="CS98" s="147" t="n">
        <v>-3073.18214837221</v>
      </c>
      <c r="CT98" s="147" t="n">
        <v>-3073.18214837221</v>
      </c>
      <c r="CU98" s="147" t="n">
        <v>-3073.18214837221</v>
      </c>
      <c r="CV98" s="147" t="n">
        <v>-3073.18214837221</v>
      </c>
      <c r="CW98" s="147" t="n">
        <v>-3073.18214837221</v>
      </c>
      <c r="CX98" s="147" t="n">
        <v>-3134.64579133965</v>
      </c>
      <c r="CY98" s="147" t="n">
        <v>-3134.64579133965</v>
      </c>
      <c r="CZ98" s="147" t="n">
        <v>-3134.64579133965</v>
      </c>
      <c r="DA98" s="147" t="n">
        <v>-3134.64579133965</v>
      </c>
      <c r="DB98" s="147" t="n">
        <v>-3134.64579133965</v>
      </c>
      <c r="DC98" s="147" t="n">
        <v>-3134.64579133965</v>
      </c>
      <c r="DD98" s="147" t="n">
        <v>-3134.64579133965</v>
      </c>
      <c r="DE98" s="147" t="n">
        <v>-3134.64579133965</v>
      </c>
      <c r="DF98" s="147" t="n">
        <v>-3134.64579133965</v>
      </c>
    </row>
    <row r="99" customFormat="false" ht="15" hidden="false" customHeight="true" outlineLevel="0" collapsed="false">
      <c r="A99" s="90" t="s">
        <v>81</v>
      </c>
      <c r="C99" s="104" t="n">
        <v>-28038</v>
      </c>
      <c r="D99" s="104" t="n">
        <v>-29387.5</v>
      </c>
      <c r="E99" s="104" t="n">
        <v>-28083</v>
      </c>
      <c r="F99" s="147" t="n">
        <v>-8625</v>
      </c>
      <c r="G99" s="147" t="n">
        <v>-8625</v>
      </c>
      <c r="H99" s="147" t="n">
        <v>-8625</v>
      </c>
      <c r="I99" s="147" t="n">
        <v>-8625</v>
      </c>
      <c r="J99" s="147" t="n">
        <v>-8625</v>
      </c>
      <c r="K99" s="147" t="n">
        <v>-8625</v>
      </c>
      <c r="L99" s="147" t="n">
        <v>-8625</v>
      </c>
      <c r="M99" s="147" t="n">
        <v>-8625</v>
      </c>
      <c r="N99" s="147" t="n">
        <v>-8625</v>
      </c>
      <c r="O99" s="147" t="n">
        <v>-8625</v>
      </c>
      <c r="P99" s="147" t="n">
        <v>-8625</v>
      </c>
      <c r="Q99" s="147" t="n">
        <v>-8625</v>
      </c>
      <c r="R99" s="147" t="n">
        <v>-8797.5</v>
      </c>
      <c r="S99" s="147" t="n">
        <v>-8797.5</v>
      </c>
      <c r="T99" s="147" t="n">
        <v>-8797.5</v>
      </c>
      <c r="U99" s="147" t="n">
        <v>-8797.5</v>
      </c>
      <c r="V99" s="147" t="n">
        <v>-8797.5</v>
      </c>
      <c r="W99" s="147" t="n">
        <v>-8797.5</v>
      </c>
      <c r="X99" s="147" t="n">
        <v>-8797.5</v>
      </c>
      <c r="Y99" s="147" t="n">
        <v>-8797.5</v>
      </c>
      <c r="Z99" s="147" t="n">
        <v>-8797.5</v>
      </c>
      <c r="AA99" s="147" t="n">
        <v>-8797.5</v>
      </c>
      <c r="AB99" s="147" t="n">
        <v>-8797.5</v>
      </c>
      <c r="AC99" s="147" t="n">
        <v>-8797.5</v>
      </c>
      <c r="AD99" s="147" t="n">
        <v>-8973.45</v>
      </c>
      <c r="AE99" s="147" t="n">
        <v>-8973.45</v>
      </c>
      <c r="AF99" s="147" t="n">
        <v>-8973.45</v>
      </c>
      <c r="AG99" s="147" t="n">
        <v>-8973.45</v>
      </c>
      <c r="AH99" s="147" t="n">
        <v>-8973.45</v>
      </c>
      <c r="AI99" s="147" t="n">
        <v>-8973.45</v>
      </c>
      <c r="AJ99" s="147" t="n">
        <v>-8973.45</v>
      </c>
      <c r="AK99" s="147" t="n">
        <v>-8973.45</v>
      </c>
      <c r="AL99" s="147" t="n">
        <v>-8973.45</v>
      </c>
      <c r="AM99" s="147" t="n">
        <v>-8973.45</v>
      </c>
      <c r="AN99" s="147" t="n">
        <v>-8973.45</v>
      </c>
      <c r="AO99" s="147" t="n">
        <v>-8973.45</v>
      </c>
      <c r="AP99" s="147" t="n">
        <v>-9152.919</v>
      </c>
      <c r="AQ99" s="147" t="n">
        <v>-9152.919</v>
      </c>
      <c r="AR99" s="147" t="n">
        <v>-9152.919</v>
      </c>
      <c r="AS99" s="147" t="n">
        <v>-9152.919</v>
      </c>
      <c r="AT99" s="147" t="n">
        <v>-9152.919</v>
      </c>
      <c r="AU99" s="147" t="n">
        <v>-9152.919</v>
      </c>
      <c r="AV99" s="147" t="n">
        <v>-9152.919</v>
      </c>
      <c r="AW99" s="147" t="n">
        <v>-9152.919</v>
      </c>
      <c r="AX99" s="147" t="n">
        <v>-9152.919</v>
      </c>
      <c r="AY99" s="147" t="n">
        <v>-9152.919</v>
      </c>
      <c r="AZ99" s="147" t="n">
        <v>-9152.919</v>
      </c>
      <c r="BA99" s="147" t="n">
        <v>-9152.919</v>
      </c>
      <c r="BB99" s="147" t="n">
        <v>-9335.97738</v>
      </c>
      <c r="BC99" s="147" t="n">
        <v>-9335.97738</v>
      </c>
      <c r="BD99" s="147" t="n">
        <v>-9335.97738</v>
      </c>
      <c r="BE99" s="147" t="n">
        <v>-9335.97738</v>
      </c>
      <c r="BF99" s="147" t="n">
        <v>-9335.97738</v>
      </c>
      <c r="BG99" s="147" t="n">
        <v>-9335.97738</v>
      </c>
      <c r="BH99" s="147" t="n">
        <v>-9335.97738</v>
      </c>
      <c r="BI99" s="147" t="n">
        <v>-9335.97738</v>
      </c>
      <c r="BJ99" s="147" t="n">
        <v>-9335.97738</v>
      </c>
      <c r="BK99" s="147" t="n">
        <v>-9335.97738</v>
      </c>
      <c r="BL99" s="147" t="n">
        <v>-9335.97738</v>
      </c>
      <c r="BM99" s="147" t="n">
        <v>-9335.97738</v>
      </c>
      <c r="BN99" s="147" t="n">
        <v>-9522.6969276</v>
      </c>
      <c r="BO99" s="147" t="n">
        <v>-9522.6969276</v>
      </c>
      <c r="BP99" s="147" t="n">
        <v>-9522.6969276</v>
      </c>
      <c r="BQ99" s="147" t="n">
        <v>-9522.6969276</v>
      </c>
      <c r="BR99" s="147" t="n">
        <v>-9522.6969276</v>
      </c>
      <c r="BS99" s="147" t="n">
        <v>-9522.6969276</v>
      </c>
      <c r="BT99" s="147" t="n">
        <v>-9522.6969276</v>
      </c>
      <c r="BU99" s="147" t="n">
        <v>-9522.6969276</v>
      </c>
      <c r="BV99" s="147" t="n">
        <v>-9522.6969276</v>
      </c>
      <c r="BW99" s="147" t="n">
        <v>-9522.6969276</v>
      </c>
      <c r="BX99" s="147" t="n">
        <v>-9522.6969276</v>
      </c>
      <c r="BY99" s="147" t="n">
        <v>-9522.6969276</v>
      </c>
      <c r="BZ99" s="147" t="n">
        <v>-9713.150866152</v>
      </c>
      <c r="CA99" s="147" t="n">
        <v>-9713.150866152</v>
      </c>
      <c r="CB99" s="147" t="n">
        <v>-9713.150866152</v>
      </c>
      <c r="CC99" s="147" t="n">
        <v>-9713.150866152</v>
      </c>
      <c r="CD99" s="147" t="n">
        <v>-9713.150866152</v>
      </c>
      <c r="CE99" s="147" t="n">
        <v>-9713.150866152</v>
      </c>
      <c r="CF99" s="147" t="n">
        <v>-9713.150866152</v>
      </c>
      <c r="CG99" s="147" t="n">
        <v>-9713.150866152</v>
      </c>
      <c r="CH99" s="147" t="n">
        <v>-9713.150866152</v>
      </c>
      <c r="CI99" s="147" t="n">
        <v>-9713.150866152</v>
      </c>
      <c r="CJ99" s="147" t="n">
        <v>-9713.150866152</v>
      </c>
      <c r="CK99" s="147" t="n">
        <v>-9713.150866152</v>
      </c>
      <c r="CL99" s="147" t="n">
        <v>-9907.41388347504</v>
      </c>
      <c r="CM99" s="147" t="n">
        <v>-9907.41388347504</v>
      </c>
      <c r="CN99" s="147" t="n">
        <v>-9907.41388347504</v>
      </c>
      <c r="CO99" s="147" t="n">
        <v>-9907.41388347504</v>
      </c>
      <c r="CP99" s="147" t="n">
        <v>-9907.41388347504</v>
      </c>
      <c r="CQ99" s="147" t="n">
        <v>-9907.41388347504</v>
      </c>
      <c r="CR99" s="147" t="n">
        <v>-9907.41388347504</v>
      </c>
      <c r="CS99" s="147" t="n">
        <v>-9907.41388347504</v>
      </c>
      <c r="CT99" s="147" t="n">
        <v>-9907.41388347504</v>
      </c>
      <c r="CU99" s="147" t="n">
        <v>-9907.41388347504</v>
      </c>
      <c r="CV99" s="147" t="n">
        <v>-9907.41388347504</v>
      </c>
      <c r="CW99" s="147" t="n">
        <v>-9907.41388347504</v>
      </c>
      <c r="CX99" s="147" t="n">
        <v>-10105.5621611445</v>
      </c>
      <c r="CY99" s="147" t="n">
        <v>-10105.5621611445</v>
      </c>
      <c r="CZ99" s="147" t="n">
        <v>-10105.5621611445</v>
      </c>
      <c r="DA99" s="147" t="n">
        <v>-10105.5621611445</v>
      </c>
      <c r="DB99" s="147" t="n">
        <v>-10105.5621611445</v>
      </c>
      <c r="DC99" s="147" t="n">
        <v>-10105.5621611445</v>
      </c>
      <c r="DD99" s="147" t="n">
        <v>-10105.5621611445</v>
      </c>
      <c r="DE99" s="147" t="n">
        <v>-10105.5621611445</v>
      </c>
      <c r="DF99" s="147" t="n">
        <v>-10105.5621611445</v>
      </c>
    </row>
    <row r="100" customFormat="false" ht="15" hidden="false" customHeight="true" outlineLevel="0" collapsed="false">
      <c r="A100" s="99" t="s">
        <v>128</v>
      </c>
      <c r="C100" s="148" t="n">
        <v>-268</v>
      </c>
      <c r="D100" s="148" t="n">
        <v>-2088.75</v>
      </c>
      <c r="E100" s="148" t="n">
        <v>-2401.75</v>
      </c>
      <c r="F100" s="148" t="n">
        <v>-1586.17</v>
      </c>
      <c r="G100" s="148" t="n">
        <v>-1586.17</v>
      </c>
      <c r="H100" s="148" t="n">
        <v>-1586.17</v>
      </c>
      <c r="I100" s="148" t="n">
        <v>-1586.17</v>
      </c>
      <c r="J100" s="148" t="n">
        <v>-1586.17</v>
      </c>
      <c r="K100" s="148" t="n">
        <v>-1586.17</v>
      </c>
      <c r="L100" s="148" t="n">
        <v>-1586.17</v>
      </c>
      <c r="M100" s="148" t="n">
        <v>-1586.17</v>
      </c>
      <c r="N100" s="148" t="n">
        <v>-1586.17</v>
      </c>
      <c r="O100" s="148" t="n">
        <v>-1586.17</v>
      </c>
      <c r="P100" s="148" t="n">
        <v>-1586.17</v>
      </c>
      <c r="Q100" s="148" t="n">
        <v>-1586.17</v>
      </c>
      <c r="R100" s="148" t="n">
        <v>-1617.8934</v>
      </c>
      <c r="S100" s="148" t="n">
        <v>-1617.8934</v>
      </c>
      <c r="T100" s="148" t="n">
        <v>-1617.8934</v>
      </c>
      <c r="U100" s="148" t="n">
        <v>-1617.8934</v>
      </c>
      <c r="V100" s="148" t="n">
        <v>-1617.8934</v>
      </c>
      <c r="W100" s="148" t="n">
        <v>-1617.8934</v>
      </c>
      <c r="X100" s="148" t="n">
        <v>-1617.8934</v>
      </c>
      <c r="Y100" s="148" t="n">
        <v>-1617.8934</v>
      </c>
      <c r="Z100" s="148" t="n">
        <v>-1617.8934</v>
      </c>
      <c r="AA100" s="148" t="n">
        <v>-1617.8934</v>
      </c>
      <c r="AB100" s="148" t="n">
        <v>-1617.8934</v>
      </c>
      <c r="AC100" s="148" t="n">
        <v>-1617.8934</v>
      </c>
      <c r="AD100" s="148" t="n">
        <v>-1650.251268</v>
      </c>
      <c r="AE100" s="148" t="n">
        <v>-1650.251268</v>
      </c>
      <c r="AF100" s="148" t="n">
        <v>-1650.251268</v>
      </c>
      <c r="AG100" s="148" t="n">
        <v>-1650.251268</v>
      </c>
      <c r="AH100" s="148" t="n">
        <v>-1650.251268</v>
      </c>
      <c r="AI100" s="148" t="n">
        <v>-1650.251268</v>
      </c>
      <c r="AJ100" s="148" t="n">
        <v>-1650.251268</v>
      </c>
      <c r="AK100" s="148" t="n">
        <v>-1650.251268</v>
      </c>
      <c r="AL100" s="148" t="n">
        <v>-1650.251268</v>
      </c>
      <c r="AM100" s="148" t="n">
        <v>-1650.251268</v>
      </c>
      <c r="AN100" s="148" t="n">
        <v>-1650.251268</v>
      </c>
      <c r="AO100" s="148" t="n">
        <v>-1650.251268</v>
      </c>
      <c r="AP100" s="148" t="n">
        <v>-1683.25629336</v>
      </c>
      <c r="AQ100" s="148" t="n">
        <v>-1683.25629336</v>
      </c>
      <c r="AR100" s="148" t="n">
        <v>-1683.25629336</v>
      </c>
      <c r="AS100" s="148" t="n">
        <v>-1683.25629336</v>
      </c>
      <c r="AT100" s="148" t="n">
        <v>-1683.25629336</v>
      </c>
      <c r="AU100" s="148" t="n">
        <v>-1683.25629336</v>
      </c>
      <c r="AV100" s="148" t="n">
        <v>-1683.25629336</v>
      </c>
      <c r="AW100" s="148" t="n">
        <v>-1683.25629336</v>
      </c>
      <c r="AX100" s="148" t="n">
        <v>-1683.25629336</v>
      </c>
      <c r="AY100" s="148" t="n">
        <v>-1683.25629336</v>
      </c>
      <c r="AZ100" s="148" t="n">
        <v>-1683.25629336</v>
      </c>
      <c r="BA100" s="148" t="n">
        <v>-1683.25629336</v>
      </c>
      <c r="BB100" s="148" t="n">
        <v>-1716.9214192272</v>
      </c>
      <c r="BC100" s="148" t="n">
        <v>-1716.9214192272</v>
      </c>
      <c r="BD100" s="148" t="n">
        <v>-1716.9214192272</v>
      </c>
      <c r="BE100" s="148" t="n">
        <v>-1716.9214192272</v>
      </c>
      <c r="BF100" s="148" t="n">
        <v>-1716.9214192272</v>
      </c>
      <c r="BG100" s="148" t="n">
        <v>-1716.9214192272</v>
      </c>
      <c r="BH100" s="148" t="n">
        <v>-1716.9214192272</v>
      </c>
      <c r="BI100" s="148" t="n">
        <v>-1716.9214192272</v>
      </c>
      <c r="BJ100" s="148" t="n">
        <v>-1716.9214192272</v>
      </c>
      <c r="BK100" s="148" t="n">
        <v>-1716.9214192272</v>
      </c>
      <c r="BL100" s="148" t="n">
        <v>-1716.9214192272</v>
      </c>
      <c r="BM100" s="148" t="n">
        <v>-1716.9214192272</v>
      </c>
      <c r="BN100" s="148" t="n">
        <v>-1751.25984761174</v>
      </c>
      <c r="BO100" s="148" t="n">
        <v>-1751.25984761174</v>
      </c>
      <c r="BP100" s="148" t="n">
        <v>-1751.25984761174</v>
      </c>
      <c r="BQ100" s="148" t="n">
        <v>-1751.25984761174</v>
      </c>
      <c r="BR100" s="148" t="n">
        <v>-1751.25984761174</v>
      </c>
      <c r="BS100" s="148" t="n">
        <v>-1751.25984761174</v>
      </c>
      <c r="BT100" s="148" t="n">
        <v>-1751.25984761174</v>
      </c>
      <c r="BU100" s="148" t="n">
        <v>-1751.25984761174</v>
      </c>
      <c r="BV100" s="148" t="n">
        <v>-1751.25984761174</v>
      </c>
      <c r="BW100" s="148" t="n">
        <v>-1751.25984761174</v>
      </c>
      <c r="BX100" s="148" t="n">
        <v>-1751.25984761174</v>
      </c>
      <c r="BY100" s="148" t="n">
        <v>-1751.25984761174</v>
      </c>
      <c r="BZ100" s="148" t="n">
        <v>-1786.28504456398</v>
      </c>
      <c r="CA100" s="148" t="n">
        <v>-1786.28504456398</v>
      </c>
      <c r="CB100" s="148" t="n">
        <v>-1786.28504456398</v>
      </c>
      <c r="CC100" s="148" t="n">
        <v>-1786.28504456398</v>
      </c>
      <c r="CD100" s="148" t="n">
        <v>-1786.28504456398</v>
      </c>
      <c r="CE100" s="148" t="n">
        <v>-1786.28504456398</v>
      </c>
      <c r="CF100" s="148" t="n">
        <v>-1786.28504456398</v>
      </c>
      <c r="CG100" s="148" t="n">
        <v>-1786.28504456398</v>
      </c>
      <c r="CH100" s="148" t="n">
        <v>-1786.28504456398</v>
      </c>
      <c r="CI100" s="148" t="n">
        <v>-1786.28504456398</v>
      </c>
      <c r="CJ100" s="148" t="n">
        <v>-1786.28504456398</v>
      </c>
      <c r="CK100" s="148" t="n">
        <v>-1786.28504456398</v>
      </c>
      <c r="CL100" s="148" t="n">
        <v>-1822.01074545526</v>
      </c>
      <c r="CM100" s="148" t="n">
        <v>-1822.01074545526</v>
      </c>
      <c r="CN100" s="148" t="n">
        <v>-1822.01074545526</v>
      </c>
      <c r="CO100" s="148" t="n">
        <v>-1822.01074545526</v>
      </c>
      <c r="CP100" s="148" t="n">
        <v>-1822.01074545526</v>
      </c>
      <c r="CQ100" s="148" t="n">
        <v>-1822.01074545526</v>
      </c>
      <c r="CR100" s="148" t="n">
        <v>-1822.01074545526</v>
      </c>
      <c r="CS100" s="148" t="n">
        <v>-1822.01074545526</v>
      </c>
      <c r="CT100" s="148" t="n">
        <v>-1822.01074545526</v>
      </c>
      <c r="CU100" s="148" t="n">
        <v>-1822.01074545526</v>
      </c>
      <c r="CV100" s="148" t="n">
        <v>-1822.01074545526</v>
      </c>
      <c r="CW100" s="148" t="n">
        <v>-1822.01074545526</v>
      </c>
      <c r="CX100" s="148" t="n">
        <v>-1858.45096036436</v>
      </c>
      <c r="CY100" s="148" t="n">
        <v>-1858.45096036436</v>
      </c>
      <c r="CZ100" s="148" t="n">
        <v>-1858.45096036436</v>
      </c>
      <c r="DA100" s="148" t="n">
        <v>-1858.45096036436</v>
      </c>
      <c r="DB100" s="148" t="n">
        <v>-1858.45096036436</v>
      </c>
      <c r="DC100" s="148" t="n">
        <v>-1858.45096036436</v>
      </c>
      <c r="DD100" s="148" t="n">
        <v>-1858.45096036436</v>
      </c>
      <c r="DE100" s="148" t="n">
        <v>-1858.45096036436</v>
      </c>
      <c r="DF100" s="148" t="n">
        <v>-1858.45096036436</v>
      </c>
    </row>
    <row r="101" customFormat="false" ht="15" hidden="false" customHeight="true" outlineLevel="0" collapsed="false">
      <c r="A101" s="99" t="s">
        <v>129</v>
      </c>
      <c r="C101" s="148" t="n">
        <v>-341.83</v>
      </c>
      <c r="D101" s="148" t="n">
        <v>-728</v>
      </c>
      <c r="E101" s="148" t="n">
        <v>-15256.75</v>
      </c>
      <c r="F101" s="148" t="n">
        <v>-5442.19</v>
      </c>
      <c r="G101" s="148" t="n">
        <v>-5442.19</v>
      </c>
      <c r="H101" s="148" t="n">
        <v>-5442.19</v>
      </c>
      <c r="I101" s="148" t="n">
        <v>-5442.19</v>
      </c>
      <c r="J101" s="148" t="n">
        <v>-5442.19</v>
      </c>
      <c r="K101" s="148" t="n">
        <v>-5442.19</v>
      </c>
      <c r="L101" s="148" t="n">
        <v>-5442.19</v>
      </c>
      <c r="M101" s="148" t="n">
        <v>-5442.19</v>
      </c>
      <c r="N101" s="148" t="n">
        <v>-5442.19</v>
      </c>
      <c r="O101" s="148" t="n">
        <v>-5442.19</v>
      </c>
      <c r="P101" s="148" t="n">
        <v>-5442.19</v>
      </c>
      <c r="Q101" s="148" t="n">
        <v>-5442.19</v>
      </c>
      <c r="R101" s="148" t="n">
        <v>-5551.0338</v>
      </c>
      <c r="S101" s="148" t="n">
        <v>-5551.0338</v>
      </c>
      <c r="T101" s="148" t="n">
        <v>-5551.0338</v>
      </c>
      <c r="U101" s="148" t="n">
        <v>-5551.0338</v>
      </c>
      <c r="V101" s="148" t="n">
        <v>-5551.0338</v>
      </c>
      <c r="W101" s="148" t="n">
        <v>-5551.0338</v>
      </c>
      <c r="X101" s="148" t="n">
        <v>-5551.0338</v>
      </c>
      <c r="Y101" s="148" t="n">
        <v>-5551.0338</v>
      </c>
      <c r="Z101" s="148" t="n">
        <v>-5551.0338</v>
      </c>
      <c r="AA101" s="148" t="n">
        <v>-5551.0338</v>
      </c>
      <c r="AB101" s="148" t="n">
        <v>-5551.0338</v>
      </c>
      <c r="AC101" s="148" t="n">
        <v>-5551.0338</v>
      </c>
      <c r="AD101" s="148" t="n">
        <v>-5662.054476</v>
      </c>
      <c r="AE101" s="148" t="n">
        <v>-5662.054476</v>
      </c>
      <c r="AF101" s="148" t="n">
        <v>-5662.054476</v>
      </c>
      <c r="AG101" s="148" t="n">
        <v>-5662.054476</v>
      </c>
      <c r="AH101" s="148" t="n">
        <v>-5662.054476</v>
      </c>
      <c r="AI101" s="148" t="n">
        <v>-5662.054476</v>
      </c>
      <c r="AJ101" s="148" t="n">
        <v>-5662.054476</v>
      </c>
      <c r="AK101" s="148" t="n">
        <v>-5662.054476</v>
      </c>
      <c r="AL101" s="148" t="n">
        <v>-5662.054476</v>
      </c>
      <c r="AM101" s="148" t="n">
        <v>-5662.054476</v>
      </c>
      <c r="AN101" s="148" t="n">
        <v>-5662.054476</v>
      </c>
      <c r="AO101" s="148" t="n">
        <v>-5662.054476</v>
      </c>
      <c r="AP101" s="148" t="n">
        <v>-5775.29556552</v>
      </c>
      <c r="AQ101" s="148" t="n">
        <v>-5775.29556552</v>
      </c>
      <c r="AR101" s="148" t="n">
        <v>-5775.29556552</v>
      </c>
      <c r="AS101" s="148" t="n">
        <v>-5775.29556552</v>
      </c>
      <c r="AT101" s="148" t="n">
        <v>-5775.29556552</v>
      </c>
      <c r="AU101" s="148" t="n">
        <v>-5775.29556552</v>
      </c>
      <c r="AV101" s="148" t="n">
        <v>-5775.29556552</v>
      </c>
      <c r="AW101" s="148" t="n">
        <v>-5775.29556552</v>
      </c>
      <c r="AX101" s="148" t="n">
        <v>-5775.29556552</v>
      </c>
      <c r="AY101" s="148" t="n">
        <v>-5775.29556552</v>
      </c>
      <c r="AZ101" s="148" t="n">
        <v>-5775.29556552</v>
      </c>
      <c r="BA101" s="148" t="n">
        <v>-5775.29556552</v>
      </c>
      <c r="BB101" s="148" t="n">
        <v>-5890.8014768304</v>
      </c>
      <c r="BC101" s="148" t="n">
        <v>-5890.8014768304</v>
      </c>
      <c r="BD101" s="148" t="n">
        <v>-5890.8014768304</v>
      </c>
      <c r="BE101" s="148" t="n">
        <v>-5890.8014768304</v>
      </c>
      <c r="BF101" s="148" t="n">
        <v>-5890.8014768304</v>
      </c>
      <c r="BG101" s="148" t="n">
        <v>-5890.8014768304</v>
      </c>
      <c r="BH101" s="148" t="n">
        <v>-5890.8014768304</v>
      </c>
      <c r="BI101" s="148" t="n">
        <v>-5890.8014768304</v>
      </c>
      <c r="BJ101" s="148" t="n">
        <v>-5890.8014768304</v>
      </c>
      <c r="BK101" s="148" t="n">
        <v>-5890.8014768304</v>
      </c>
      <c r="BL101" s="148" t="n">
        <v>-5890.8014768304</v>
      </c>
      <c r="BM101" s="148" t="n">
        <v>-5890.8014768304</v>
      </c>
      <c r="BN101" s="148" t="n">
        <v>-6008.61750636701</v>
      </c>
      <c r="BO101" s="148" t="n">
        <v>-6008.61750636701</v>
      </c>
      <c r="BP101" s="148" t="n">
        <v>-6008.61750636701</v>
      </c>
      <c r="BQ101" s="148" t="n">
        <v>-6008.61750636701</v>
      </c>
      <c r="BR101" s="148" t="n">
        <v>-6008.61750636701</v>
      </c>
      <c r="BS101" s="148" t="n">
        <v>-6008.61750636701</v>
      </c>
      <c r="BT101" s="148" t="n">
        <v>-6008.61750636701</v>
      </c>
      <c r="BU101" s="148" t="n">
        <v>-6008.61750636701</v>
      </c>
      <c r="BV101" s="148" t="n">
        <v>-6008.61750636701</v>
      </c>
      <c r="BW101" s="148" t="n">
        <v>-6008.61750636701</v>
      </c>
      <c r="BX101" s="148" t="n">
        <v>-6008.61750636701</v>
      </c>
      <c r="BY101" s="148" t="n">
        <v>-6008.61750636701</v>
      </c>
      <c r="BZ101" s="148" t="n">
        <v>-6128.78985649435</v>
      </c>
      <c r="CA101" s="148" t="n">
        <v>-6128.78985649435</v>
      </c>
      <c r="CB101" s="148" t="n">
        <v>-6128.78985649435</v>
      </c>
      <c r="CC101" s="148" t="n">
        <v>-6128.78985649435</v>
      </c>
      <c r="CD101" s="148" t="n">
        <v>-6128.78985649435</v>
      </c>
      <c r="CE101" s="148" t="n">
        <v>-6128.78985649435</v>
      </c>
      <c r="CF101" s="148" t="n">
        <v>-6128.78985649435</v>
      </c>
      <c r="CG101" s="148" t="n">
        <v>-6128.78985649435</v>
      </c>
      <c r="CH101" s="148" t="n">
        <v>-6128.78985649435</v>
      </c>
      <c r="CI101" s="148" t="n">
        <v>-6128.78985649435</v>
      </c>
      <c r="CJ101" s="148" t="n">
        <v>-6128.78985649435</v>
      </c>
      <c r="CK101" s="148" t="n">
        <v>-6128.78985649435</v>
      </c>
      <c r="CL101" s="148" t="n">
        <v>-6251.36565362424</v>
      </c>
      <c r="CM101" s="148" t="n">
        <v>-6251.36565362424</v>
      </c>
      <c r="CN101" s="148" t="n">
        <v>-6251.36565362424</v>
      </c>
      <c r="CO101" s="148" t="n">
        <v>-6251.36565362424</v>
      </c>
      <c r="CP101" s="148" t="n">
        <v>-6251.36565362424</v>
      </c>
      <c r="CQ101" s="148" t="n">
        <v>-6251.36565362424</v>
      </c>
      <c r="CR101" s="148" t="n">
        <v>-6251.36565362424</v>
      </c>
      <c r="CS101" s="148" t="n">
        <v>-6251.36565362424</v>
      </c>
      <c r="CT101" s="148" t="n">
        <v>-6251.36565362424</v>
      </c>
      <c r="CU101" s="148" t="n">
        <v>-6251.36565362424</v>
      </c>
      <c r="CV101" s="148" t="n">
        <v>-6251.36565362424</v>
      </c>
      <c r="CW101" s="148" t="n">
        <v>-6251.36565362424</v>
      </c>
      <c r="CX101" s="148" t="n">
        <v>-6376.39296669672</v>
      </c>
      <c r="CY101" s="148" t="n">
        <v>-6376.39296669672</v>
      </c>
      <c r="CZ101" s="148" t="n">
        <v>-6376.39296669672</v>
      </c>
      <c r="DA101" s="148" t="n">
        <v>-6376.39296669672</v>
      </c>
      <c r="DB101" s="148" t="n">
        <v>-6376.39296669672</v>
      </c>
      <c r="DC101" s="148" t="n">
        <v>-6376.39296669672</v>
      </c>
      <c r="DD101" s="148" t="n">
        <v>-6376.39296669672</v>
      </c>
      <c r="DE101" s="148" t="n">
        <v>-6376.39296669672</v>
      </c>
      <c r="DF101" s="148" t="n">
        <v>-6376.39296669672</v>
      </c>
    </row>
    <row r="102" customFormat="false" ht="15" hidden="false" customHeight="true" outlineLevel="0" collapsed="false">
      <c r="A102" s="106" t="s">
        <v>130</v>
      </c>
      <c r="C102" s="148" t="n">
        <v>-1905.31</v>
      </c>
      <c r="D102" s="148" t="n">
        <v>-1905.31</v>
      </c>
      <c r="E102" s="148" t="n">
        <v>-1905.31</v>
      </c>
      <c r="F102" s="148" t="n">
        <v>-1905.31</v>
      </c>
      <c r="G102" s="148" t="n">
        <v>-1905.31</v>
      </c>
      <c r="H102" s="148" t="n">
        <v>-1905.31</v>
      </c>
      <c r="I102" s="148" t="n">
        <v>-1905.31</v>
      </c>
      <c r="J102" s="148" t="n">
        <v>-1905.31</v>
      </c>
      <c r="K102" s="148" t="n">
        <v>-1905.31</v>
      </c>
      <c r="L102" s="148" t="n">
        <v>-1905.31</v>
      </c>
      <c r="M102" s="148" t="n">
        <v>-1905.31</v>
      </c>
      <c r="N102" s="148" t="n">
        <v>-1905.31</v>
      </c>
      <c r="O102" s="148" t="n">
        <v>-1905.31</v>
      </c>
      <c r="P102" s="148" t="n">
        <v>-1905.31</v>
      </c>
      <c r="Q102" s="148" t="n">
        <v>-1905.31</v>
      </c>
      <c r="R102" s="148" t="n">
        <v>-1943.4162</v>
      </c>
      <c r="S102" s="148" t="n">
        <v>-1943.4162</v>
      </c>
      <c r="T102" s="148" t="n">
        <v>-1943.4162</v>
      </c>
      <c r="U102" s="148" t="n">
        <v>-1943.4162</v>
      </c>
      <c r="V102" s="148" t="n">
        <v>-1943.4162</v>
      </c>
      <c r="W102" s="148" t="n">
        <v>-1943.4162</v>
      </c>
      <c r="X102" s="148" t="n">
        <v>-1943.4162</v>
      </c>
      <c r="Y102" s="148" t="n">
        <v>-1943.4162</v>
      </c>
      <c r="Z102" s="148" t="n">
        <v>-1943.4162</v>
      </c>
      <c r="AA102" s="148" t="n">
        <v>-1943.4162</v>
      </c>
      <c r="AB102" s="148" t="n">
        <v>-1943.4162</v>
      </c>
      <c r="AC102" s="148" t="n">
        <v>-1943.4162</v>
      </c>
      <c r="AD102" s="148" t="n">
        <v>-1982.284524</v>
      </c>
      <c r="AE102" s="148" t="n">
        <v>-1982.284524</v>
      </c>
      <c r="AF102" s="148" t="n">
        <v>-1982.284524</v>
      </c>
      <c r="AG102" s="148" t="n">
        <v>-1982.284524</v>
      </c>
      <c r="AH102" s="148" t="n">
        <v>-1982.284524</v>
      </c>
      <c r="AI102" s="148" t="n">
        <v>-1982.284524</v>
      </c>
      <c r="AJ102" s="148" t="n">
        <v>-1982.284524</v>
      </c>
      <c r="AK102" s="148" t="n">
        <v>-1982.284524</v>
      </c>
      <c r="AL102" s="148" t="n">
        <v>-1982.284524</v>
      </c>
      <c r="AM102" s="148" t="n">
        <v>-1982.284524</v>
      </c>
      <c r="AN102" s="148" t="n">
        <v>-1982.284524</v>
      </c>
      <c r="AO102" s="148" t="n">
        <v>-1982.284524</v>
      </c>
      <c r="AP102" s="148" t="n">
        <v>-2021.93021448</v>
      </c>
      <c r="AQ102" s="148" t="n">
        <v>-2021.93021448</v>
      </c>
      <c r="AR102" s="148" t="n">
        <v>-2021.93021448</v>
      </c>
      <c r="AS102" s="148" t="n">
        <v>-2021.93021448</v>
      </c>
      <c r="AT102" s="148" t="n">
        <v>-2021.93021448</v>
      </c>
      <c r="AU102" s="148" t="n">
        <v>-2021.93021448</v>
      </c>
      <c r="AV102" s="148" t="n">
        <v>-2021.93021448</v>
      </c>
      <c r="AW102" s="148" t="n">
        <v>-2021.93021448</v>
      </c>
      <c r="AX102" s="148" t="n">
        <v>-2021.93021448</v>
      </c>
      <c r="AY102" s="148" t="n">
        <v>-2021.93021448</v>
      </c>
      <c r="AZ102" s="148" t="n">
        <v>-2021.93021448</v>
      </c>
      <c r="BA102" s="148" t="n">
        <v>-2021.93021448</v>
      </c>
      <c r="BB102" s="148" t="n">
        <v>-2062.3688187696</v>
      </c>
      <c r="BC102" s="148" t="n">
        <v>-2062.3688187696</v>
      </c>
      <c r="BD102" s="148" t="n">
        <v>-2062.3688187696</v>
      </c>
      <c r="BE102" s="148" t="n">
        <v>-2062.3688187696</v>
      </c>
      <c r="BF102" s="148" t="n">
        <v>-2062.3688187696</v>
      </c>
      <c r="BG102" s="148" t="n">
        <v>-2062.3688187696</v>
      </c>
      <c r="BH102" s="148" t="n">
        <v>-2062.3688187696</v>
      </c>
      <c r="BI102" s="148" t="n">
        <v>-2062.3688187696</v>
      </c>
      <c r="BJ102" s="148" t="n">
        <v>-2062.3688187696</v>
      </c>
      <c r="BK102" s="148" t="n">
        <v>-2062.3688187696</v>
      </c>
      <c r="BL102" s="148" t="n">
        <v>-2062.3688187696</v>
      </c>
      <c r="BM102" s="148" t="n">
        <v>-2062.3688187696</v>
      </c>
      <c r="BN102" s="148" t="n">
        <v>-2103.61619514499</v>
      </c>
      <c r="BO102" s="148" t="n">
        <v>-2103.61619514499</v>
      </c>
      <c r="BP102" s="148" t="n">
        <v>-2103.61619514499</v>
      </c>
      <c r="BQ102" s="148" t="n">
        <v>-2103.61619514499</v>
      </c>
      <c r="BR102" s="148" t="n">
        <v>-2103.61619514499</v>
      </c>
      <c r="BS102" s="148" t="n">
        <v>-2103.61619514499</v>
      </c>
      <c r="BT102" s="148" t="n">
        <v>-2103.61619514499</v>
      </c>
      <c r="BU102" s="148" t="n">
        <v>-2103.61619514499</v>
      </c>
      <c r="BV102" s="148" t="n">
        <v>-2103.61619514499</v>
      </c>
      <c r="BW102" s="148" t="n">
        <v>-2103.61619514499</v>
      </c>
      <c r="BX102" s="148" t="n">
        <v>-2103.61619514499</v>
      </c>
      <c r="BY102" s="148" t="n">
        <v>-2103.61619514499</v>
      </c>
      <c r="BZ102" s="148" t="n">
        <v>-2145.68851904789</v>
      </c>
      <c r="CA102" s="148" t="n">
        <v>-2145.68851904789</v>
      </c>
      <c r="CB102" s="148" t="n">
        <v>-2145.68851904789</v>
      </c>
      <c r="CC102" s="148" t="n">
        <v>-2145.68851904789</v>
      </c>
      <c r="CD102" s="148" t="n">
        <v>-2145.68851904789</v>
      </c>
      <c r="CE102" s="148" t="n">
        <v>-2145.68851904789</v>
      </c>
      <c r="CF102" s="148" t="n">
        <v>-2145.68851904789</v>
      </c>
      <c r="CG102" s="148" t="n">
        <v>-2145.68851904789</v>
      </c>
      <c r="CH102" s="148" t="n">
        <v>-2145.68851904789</v>
      </c>
      <c r="CI102" s="148" t="n">
        <v>-2145.68851904789</v>
      </c>
      <c r="CJ102" s="148" t="n">
        <v>-2145.68851904789</v>
      </c>
      <c r="CK102" s="148" t="n">
        <v>-2145.68851904789</v>
      </c>
      <c r="CL102" s="148" t="n">
        <v>-2188.60228942885</v>
      </c>
      <c r="CM102" s="148" t="n">
        <v>-2188.60228942885</v>
      </c>
      <c r="CN102" s="148" t="n">
        <v>-2188.60228942885</v>
      </c>
      <c r="CO102" s="148" t="n">
        <v>-2188.60228942885</v>
      </c>
      <c r="CP102" s="148" t="n">
        <v>-2188.60228942885</v>
      </c>
      <c r="CQ102" s="148" t="n">
        <v>-2188.60228942885</v>
      </c>
      <c r="CR102" s="148" t="n">
        <v>-2188.60228942885</v>
      </c>
      <c r="CS102" s="148" t="n">
        <v>-2188.60228942885</v>
      </c>
      <c r="CT102" s="148" t="n">
        <v>-2188.60228942885</v>
      </c>
      <c r="CU102" s="148" t="n">
        <v>-2188.60228942885</v>
      </c>
      <c r="CV102" s="148" t="n">
        <v>-2188.60228942885</v>
      </c>
      <c r="CW102" s="148" t="n">
        <v>-2188.60228942885</v>
      </c>
      <c r="CX102" s="148" t="n">
        <v>-2232.37433521743</v>
      </c>
      <c r="CY102" s="148" t="n">
        <v>-2232.37433521743</v>
      </c>
      <c r="CZ102" s="148" t="n">
        <v>-2232.37433521743</v>
      </c>
      <c r="DA102" s="148" t="n">
        <v>-2232.37433521743</v>
      </c>
      <c r="DB102" s="148" t="n">
        <v>-2232.37433521743</v>
      </c>
      <c r="DC102" s="148" t="n">
        <v>-2232.37433521743</v>
      </c>
      <c r="DD102" s="148" t="n">
        <v>-2232.37433521743</v>
      </c>
      <c r="DE102" s="148" t="n">
        <v>-2232.37433521743</v>
      </c>
      <c r="DF102" s="148" t="n">
        <v>-2232.37433521743</v>
      </c>
    </row>
    <row r="103" customFormat="false" ht="15" hidden="false" customHeight="true" outlineLevel="0" collapsed="false">
      <c r="A103" s="106" t="s">
        <v>131</v>
      </c>
      <c r="C103" s="148" t="n">
        <v>-2100</v>
      </c>
      <c r="D103" s="148" t="n">
        <v>-2100</v>
      </c>
      <c r="E103" s="148" t="n">
        <v>-2100</v>
      </c>
      <c r="F103" s="148" t="n">
        <v>-2100</v>
      </c>
      <c r="G103" s="148" t="n">
        <v>-2100</v>
      </c>
      <c r="H103" s="148" t="n">
        <v>-2100</v>
      </c>
      <c r="I103" s="148" t="n">
        <v>-2100</v>
      </c>
      <c r="J103" s="148" t="n">
        <v>-2100</v>
      </c>
      <c r="K103" s="148" t="n">
        <v>-2100</v>
      </c>
      <c r="L103" s="148" t="n">
        <v>-2100</v>
      </c>
      <c r="M103" s="148" t="n">
        <v>-2100</v>
      </c>
      <c r="N103" s="148" t="n">
        <v>-2100</v>
      </c>
      <c r="O103" s="148" t="n">
        <v>-2100</v>
      </c>
      <c r="P103" s="148" t="n">
        <v>-2100</v>
      </c>
      <c r="Q103" s="148" t="n">
        <v>-2100</v>
      </c>
      <c r="R103" s="148" t="n">
        <v>-2142</v>
      </c>
      <c r="S103" s="148" t="n">
        <v>-2142</v>
      </c>
      <c r="T103" s="148" t="n">
        <v>-2142</v>
      </c>
      <c r="U103" s="148" t="n">
        <v>-2142</v>
      </c>
      <c r="V103" s="148" t="n">
        <v>-2142</v>
      </c>
      <c r="W103" s="148" t="n">
        <v>-2142</v>
      </c>
      <c r="X103" s="148" t="n">
        <v>-2142</v>
      </c>
      <c r="Y103" s="148" t="n">
        <v>-2142</v>
      </c>
      <c r="Z103" s="148" t="n">
        <v>-2142</v>
      </c>
      <c r="AA103" s="148" t="n">
        <v>-2142</v>
      </c>
      <c r="AB103" s="148" t="n">
        <v>-2142</v>
      </c>
      <c r="AC103" s="148" t="n">
        <v>-2142</v>
      </c>
      <c r="AD103" s="148" t="n">
        <v>-2184.84</v>
      </c>
      <c r="AE103" s="148" t="n">
        <v>-2184.84</v>
      </c>
      <c r="AF103" s="148" t="n">
        <v>-2184.84</v>
      </c>
      <c r="AG103" s="148" t="n">
        <v>-2184.84</v>
      </c>
      <c r="AH103" s="148" t="n">
        <v>-2184.84</v>
      </c>
      <c r="AI103" s="148" t="n">
        <v>-2184.84</v>
      </c>
      <c r="AJ103" s="148" t="n">
        <v>-2184.84</v>
      </c>
      <c r="AK103" s="148" t="n">
        <v>-2184.84</v>
      </c>
      <c r="AL103" s="148" t="n">
        <v>-2184.84</v>
      </c>
      <c r="AM103" s="148" t="n">
        <v>-2184.84</v>
      </c>
      <c r="AN103" s="148" t="n">
        <v>-2184.84</v>
      </c>
      <c r="AO103" s="148" t="n">
        <v>-2184.84</v>
      </c>
      <c r="AP103" s="148" t="n">
        <v>-2228.5368</v>
      </c>
      <c r="AQ103" s="148" t="n">
        <v>-2228.5368</v>
      </c>
      <c r="AR103" s="148" t="n">
        <v>-2228.5368</v>
      </c>
      <c r="AS103" s="148" t="n">
        <v>-2228.5368</v>
      </c>
      <c r="AT103" s="148" t="n">
        <v>-2228.5368</v>
      </c>
      <c r="AU103" s="148" t="n">
        <v>-2228.5368</v>
      </c>
      <c r="AV103" s="148" t="n">
        <v>-2228.5368</v>
      </c>
      <c r="AW103" s="148" t="n">
        <v>-2228.5368</v>
      </c>
      <c r="AX103" s="148" t="n">
        <v>-2228.5368</v>
      </c>
      <c r="AY103" s="148" t="n">
        <v>-2228.5368</v>
      </c>
      <c r="AZ103" s="148" t="n">
        <v>-2228.5368</v>
      </c>
      <c r="BA103" s="148" t="n">
        <v>-2228.5368</v>
      </c>
      <c r="BB103" s="148" t="n">
        <v>-2273.107536</v>
      </c>
      <c r="BC103" s="148" t="n">
        <v>-2273.107536</v>
      </c>
      <c r="BD103" s="148" t="n">
        <v>-2273.107536</v>
      </c>
      <c r="BE103" s="148" t="n">
        <v>-2273.107536</v>
      </c>
      <c r="BF103" s="148" t="n">
        <v>-2273.107536</v>
      </c>
      <c r="BG103" s="148" t="n">
        <v>-2273.107536</v>
      </c>
      <c r="BH103" s="148" t="n">
        <v>-2273.107536</v>
      </c>
      <c r="BI103" s="148" t="n">
        <v>-2273.107536</v>
      </c>
      <c r="BJ103" s="148" t="n">
        <v>-2273.107536</v>
      </c>
      <c r="BK103" s="148" t="n">
        <v>-2273.107536</v>
      </c>
      <c r="BL103" s="148" t="n">
        <v>-2273.107536</v>
      </c>
      <c r="BM103" s="148" t="n">
        <v>-2273.107536</v>
      </c>
      <c r="BN103" s="148" t="n">
        <v>-2318.56968672</v>
      </c>
      <c r="BO103" s="148" t="n">
        <v>-2318.56968672</v>
      </c>
      <c r="BP103" s="148" t="n">
        <v>-2318.56968672</v>
      </c>
      <c r="BQ103" s="148" t="n">
        <v>-2318.56968672</v>
      </c>
      <c r="BR103" s="148" t="n">
        <v>-2318.56968672</v>
      </c>
      <c r="BS103" s="148" t="n">
        <v>-2318.56968672</v>
      </c>
      <c r="BT103" s="148" t="n">
        <v>-2318.56968672</v>
      </c>
      <c r="BU103" s="148" t="n">
        <v>-2318.56968672</v>
      </c>
      <c r="BV103" s="148" t="n">
        <v>-2318.56968672</v>
      </c>
      <c r="BW103" s="148" t="n">
        <v>-2318.56968672</v>
      </c>
      <c r="BX103" s="148" t="n">
        <v>-2318.56968672</v>
      </c>
      <c r="BY103" s="148" t="n">
        <v>-2318.56968672</v>
      </c>
      <c r="BZ103" s="148" t="n">
        <v>-2364.9410804544</v>
      </c>
      <c r="CA103" s="148" t="n">
        <v>-2364.9410804544</v>
      </c>
      <c r="CB103" s="148" t="n">
        <v>-2364.9410804544</v>
      </c>
      <c r="CC103" s="148" t="n">
        <v>-2364.9410804544</v>
      </c>
      <c r="CD103" s="148" t="n">
        <v>-2364.9410804544</v>
      </c>
      <c r="CE103" s="148" t="n">
        <v>-2364.9410804544</v>
      </c>
      <c r="CF103" s="148" t="n">
        <v>-2364.9410804544</v>
      </c>
      <c r="CG103" s="148" t="n">
        <v>-2364.9410804544</v>
      </c>
      <c r="CH103" s="148" t="n">
        <v>-2364.9410804544</v>
      </c>
      <c r="CI103" s="148" t="n">
        <v>-2364.9410804544</v>
      </c>
      <c r="CJ103" s="148" t="n">
        <v>-2364.9410804544</v>
      </c>
      <c r="CK103" s="148" t="n">
        <v>-2364.9410804544</v>
      </c>
      <c r="CL103" s="148" t="n">
        <v>-2412.23990206349</v>
      </c>
      <c r="CM103" s="148" t="n">
        <v>-2412.23990206349</v>
      </c>
      <c r="CN103" s="148" t="n">
        <v>-2412.23990206349</v>
      </c>
      <c r="CO103" s="148" t="n">
        <v>-2412.23990206349</v>
      </c>
      <c r="CP103" s="148" t="n">
        <v>-2412.23990206349</v>
      </c>
      <c r="CQ103" s="148" t="n">
        <v>-2412.23990206349</v>
      </c>
      <c r="CR103" s="148" t="n">
        <v>-2412.23990206349</v>
      </c>
      <c r="CS103" s="148" t="n">
        <v>-2412.23990206349</v>
      </c>
      <c r="CT103" s="148" t="n">
        <v>-2412.23990206349</v>
      </c>
      <c r="CU103" s="148" t="n">
        <v>-2412.23990206349</v>
      </c>
      <c r="CV103" s="148" t="n">
        <v>-2412.23990206349</v>
      </c>
      <c r="CW103" s="148" t="n">
        <v>-2412.23990206349</v>
      </c>
      <c r="CX103" s="148" t="n">
        <v>-2460.48470010476</v>
      </c>
      <c r="CY103" s="148" t="n">
        <v>-2460.48470010476</v>
      </c>
      <c r="CZ103" s="148" t="n">
        <v>-2460.48470010476</v>
      </c>
      <c r="DA103" s="148" t="n">
        <v>-2460.48470010476</v>
      </c>
      <c r="DB103" s="148" t="n">
        <v>-2460.48470010476</v>
      </c>
      <c r="DC103" s="148" t="n">
        <v>-2460.48470010476</v>
      </c>
      <c r="DD103" s="148" t="n">
        <v>-2460.48470010476</v>
      </c>
      <c r="DE103" s="148" t="n">
        <v>-2460.48470010476</v>
      </c>
      <c r="DF103" s="148" t="n">
        <v>-2460.48470010476</v>
      </c>
    </row>
    <row r="104" customFormat="false" ht="15" hidden="false" customHeight="true" outlineLevel="0" collapsed="false">
      <c r="A104" s="106" t="s">
        <v>84</v>
      </c>
      <c r="C104" s="148" t="n">
        <v>-66666.66</v>
      </c>
      <c r="D104" s="148" t="n">
        <v>-66666.66</v>
      </c>
      <c r="E104" s="148" t="n">
        <v>-66666.66</v>
      </c>
      <c r="F104" s="148" t="n">
        <v>-25000</v>
      </c>
      <c r="G104" s="148" t="n">
        <v>-25000</v>
      </c>
      <c r="H104" s="148" t="n">
        <v>-25000</v>
      </c>
      <c r="I104" s="148" t="n">
        <v>-25000</v>
      </c>
      <c r="J104" s="148" t="n">
        <v>-25000</v>
      </c>
      <c r="K104" s="148" t="n">
        <v>-25000</v>
      </c>
      <c r="L104" s="148" t="n">
        <v>-25000</v>
      </c>
      <c r="M104" s="148" t="n">
        <v>-25000</v>
      </c>
      <c r="N104" s="148" t="n">
        <v>-25000</v>
      </c>
      <c r="O104" s="148" t="n">
        <v>-25000</v>
      </c>
      <c r="P104" s="148" t="n">
        <v>-25000</v>
      </c>
      <c r="Q104" s="148" t="n">
        <v>-25000</v>
      </c>
      <c r="R104" s="148" t="n">
        <v>-25500</v>
      </c>
      <c r="S104" s="148" t="n">
        <v>-25500</v>
      </c>
      <c r="T104" s="148" t="n">
        <v>-25500</v>
      </c>
      <c r="U104" s="148" t="n">
        <v>-25500</v>
      </c>
      <c r="V104" s="148" t="n">
        <v>-25500</v>
      </c>
      <c r="W104" s="148" t="n">
        <v>-25500</v>
      </c>
      <c r="X104" s="148" t="n">
        <v>-25500</v>
      </c>
      <c r="Y104" s="148" t="n">
        <v>-25500</v>
      </c>
      <c r="Z104" s="148" t="n">
        <v>-25500</v>
      </c>
      <c r="AA104" s="148" t="n">
        <v>-25500</v>
      </c>
      <c r="AB104" s="148" t="n">
        <v>-25500</v>
      </c>
      <c r="AC104" s="148" t="n">
        <v>-25500</v>
      </c>
      <c r="AD104" s="148" t="n">
        <v>-26010</v>
      </c>
      <c r="AE104" s="148" t="n">
        <v>-26010</v>
      </c>
      <c r="AF104" s="148" t="n">
        <v>-26010</v>
      </c>
      <c r="AG104" s="148" t="n">
        <v>-26010</v>
      </c>
      <c r="AH104" s="148" t="n">
        <v>-26010</v>
      </c>
      <c r="AI104" s="148" t="n">
        <v>-26010</v>
      </c>
      <c r="AJ104" s="148" t="n">
        <v>-26010</v>
      </c>
      <c r="AK104" s="148" t="n">
        <v>-26010</v>
      </c>
      <c r="AL104" s="148" t="n">
        <v>-26010</v>
      </c>
      <c r="AM104" s="148" t="n">
        <v>-26010</v>
      </c>
      <c r="AN104" s="148" t="n">
        <v>-26010</v>
      </c>
      <c r="AO104" s="148" t="n">
        <v>-26010</v>
      </c>
      <c r="AP104" s="148" t="n">
        <v>-26530.2</v>
      </c>
      <c r="AQ104" s="148" t="n">
        <v>-26530.2</v>
      </c>
      <c r="AR104" s="148" t="n">
        <v>-26530.2</v>
      </c>
      <c r="AS104" s="148" t="n">
        <v>-26530.2</v>
      </c>
      <c r="AT104" s="148" t="n">
        <v>-26530.2</v>
      </c>
      <c r="AU104" s="148" t="n">
        <v>-26530.2</v>
      </c>
      <c r="AV104" s="148" t="n">
        <v>-26530.2</v>
      </c>
      <c r="AW104" s="148" t="n">
        <v>-26530.2</v>
      </c>
      <c r="AX104" s="148" t="n">
        <v>-26530.2</v>
      </c>
      <c r="AY104" s="148" t="n">
        <v>-26530.2</v>
      </c>
      <c r="AZ104" s="148" t="n">
        <v>-26530.2</v>
      </c>
      <c r="BA104" s="148" t="n">
        <v>-26530.2</v>
      </c>
      <c r="BB104" s="148" t="n">
        <v>-27060.804</v>
      </c>
      <c r="BC104" s="148" t="n">
        <v>-27060.804</v>
      </c>
      <c r="BD104" s="148" t="n">
        <v>-27060.804</v>
      </c>
      <c r="BE104" s="148" t="n">
        <v>-27060.804</v>
      </c>
      <c r="BF104" s="148" t="n">
        <v>-27060.804</v>
      </c>
      <c r="BG104" s="148" t="n">
        <v>-27060.804</v>
      </c>
      <c r="BH104" s="148" t="n">
        <v>-27060.804</v>
      </c>
      <c r="BI104" s="148" t="n">
        <v>-27060.804</v>
      </c>
      <c r="BJ104" s="148" t="n">
        <v>-27060.804</v>
      </c>
      <c r="BK104" s="148" t="n">
        <v>-27060.804</v>
      </c>
      <c r="BL104" s="148" t="n">
        <v>-27060.804</v>
      </c>
      <c r="BM104" s="148" t="n">
        <v>-27060.804</v>
      </c>
      <c r="BN104" s="148" t="n">
        <v>-27602.02008</v>
      </c>
      <c r="BO104" s="148" t="n">
        <v>-27602.02008</v>
      </c>
      <c r="BP104" s="148" t="n">
        <v>-27602.02008</v>
      </c>
      <c r="BQ104" s="148" t="n">
        <v>-27602.02008</v>
      </c>
      <c r="BR104" s="148" t="n">
        <v>-27602.02008</v>
      </c>
      <c r="BS104" s="148" t="n">
        <v>-27602.02008</v>
      </c>
      <c r="BT104" s="148" t="n">
        <v>-27602.02008</v>
      </c>
      <c r="BU104" s="148" t="n">
        <v>-27602.02008</v>
      </c>
      <c r="BV104" s="148" t="n">
        <v>-27602.02008</v>
      </c>
      <c r="BW104" s="148" t="n">
        <v>-27602.02008</v>
      </c>
      <c r="BX104" s="148" t="n">
        <v>-27602.02008</v>
      </c>
      <c r="BY104" s="148" t="n">
        <v>-27602.02008</v>
      </c>
      <c r="BZ104" s="148" t="n">
        <v>-28154.0604816</v>
      </c>
      <c r="CA104" s="148" t="n">
        <v>-28154.0604816</v>
      </c>
      <c r="CB104" s="148" t="n">
        <v>-28154.0604816</v>
      </c>
      <c r="CC104" s="148" t="n">
        <v>-28154.0604816</v>
      </c>
      <c r="CD104" s="148" t="n">
        <v>-28154.0604816</v>
      </c>
      <c r="CE104" s="148" t="n">
        <v>-28154.0604816</v>
      </c>
      <c r="CF104" s="148" t="n">
        <v>-28154.0604816</v>
      </c>
      <c r="CG104" s="148" t="n">
        <v>-28154.0604816</v>
      </c>
      <c r="CH104" s="148" t="n">
        <v>-28154.0604816</v>
      </c>
      <c r="CI104" s="148" t="n">
        <v>-28154.0604816</v>
      </c>
      <c r="CJ104" s="148" t="n">
        <v>-28154.0604816</v>
      </c>
      <c r="CK104" s="148" t="n">
        <v>-28154.0604816</v>
      </c>
      <c r="CL104" s="148" t="n">
        <v>-28717.141691232</v>
      </c>
      <c r="CM104" s="148" t="n">
        <v>-28717.141691232</v>
      </c>
      <c r="CN104" s="148" t="n">
        <v>-28717.141691232</v>
      </c>
      <c r="CO104" s="148" t="n">
        <v>-28717.141691232</v>
      </c>
      <c r="CP104" s="148" t="n">
        <v>-28717.141691232</v>
      </c>
      <c r="CQ104" s="148" t="n">
        <v>-28717.141691232</v>
      </c>
      <c r="CR104" s="148" t="n">
        <v>-28717.141691232</v>
      </c>
      <c r="CS104" s="148" t="n">
        <v>-28717.141691232</v>
      </c>
      <c r="CT104" s="148" t="n">
        <v>-28717.141691232</v>
      </c>
      <c r="CU104" s="148" t="n">
        <v>-28717.141691232</v>
      </c>
      <c r="CV104" s="148" t="n">
        <v>-28717.141691232</v>
      </c>
      <c r="CW104" s="148" t="n">
        <v>-28717.141691232</v>
      </c>
      <c r="CX104" s="148" t="n">
        <v>-29291.4845250566</v>
      </c>
      <c r="CY104" s="148" t="n">
        <v>-29291.4845250566</v>
      </c>
      <c r="CZ104" s="148" t="n">
        <v>-29291.4845250566</v>
      </c>
      <c r="DA104" s="148" t="n">
        <v>-29291.4845250566</v>
      </c>
      <c r="DB104" s="148" t="n">
        <v>-29291.4845250566</v>
      </c>
      <c r="DC104" s="148" t="n">
        <v>-29291.4845250566</v>
      </c>
      <c r="DD104" s="148" t="n">
        <v>-29291.4845250566</v>
      </c>
      <c r="DE104" s="148" t="n">
        <v>-29291.4845250566</v>
      </c>
      <c r="DF104" s="148" t="n">
        <v>-29291.4845250566</v>
      </c>
    </row>
    <row r="105" customFormat="false" ht="15" hidden="false" customHeight="true" outlineLevel="0" collapsed="false">
      <c r="A105" s="90" t="s">
        <v>92</v>
      </c>
      <c r="C105" s="104" t="n">
        <v>-4731.96</v>
      </c>
      <c r="D105" s="104" t="n">
        <v>-5</v>
      </c>
      <c r="E105" s="104" t="n">
        <v>-5</v>
      </c>
      <c r="F105" s="147" t="n">
        <v>-1580.65</v>
      </c>
      <c r="G105" s="147" t="n">
        <v>-1580.65</v>
      </c>
      <c r="H105" s="147" t="n">
        <v>-1580.65</v>
      </c>
      <c r="I105" s="147" t="n">
        <v>-1580.65</v>
      </c>
      <c r="J105" s="147" t="n">
        <v>-1580.65</v>
      </c>
      <c r="K105" s="147" t="n">
        <v>-1580.65</v>
      </c>
      <c r="L105" s="147" t="n">
        <v>-1580.65</v>
      </c>
      <c r="M105" s="147" t="n">
        <v>-1580.65</v>
      </c>
      <c r="N105" s="147" t="n">
        <v>-1580.65</v>
      </c>
      <c r="O105" s="147" t="n">
        <v>-1580.65</v>
      </c>
      <c r="P105" s="147" t="n">
        <v>-1580.65</v>
      </c>
      <c r="Q105" s="147" t="n">
        <v>-1580.65</v>
      </c>
      <c r="R105" s="147" t="n">
        <v>-1612.263</v>
      </c>
      <c r="S105" s="147" t="n">
        <v>-1612.263</v>
      </c>
      <c r="T105" s="147" t="n">
        <v>-1612.263</v>
      </c>
      <c r="U105" s="147" t="n">
        <v>-1612.263</v>
      </c>
      <c r="V105" s="147" t="n">
        <v>-1612.263</v>
      </c>
      <c r="W105" s="147" t="n">
        <v>-1612.263</v>
      </c>
      <c r="X105" s="147" t="n">
        <v>-1612.263</v>
      </c>
      <c r="Y105" s="147" t="n">
        <v>-1612.263</v>
      </c>
      <c r="Z105" s="147" t="n">
        <v>-1612.263</v>
      </c>
      <c r="AA105" s="147" t="n">
        <v>-1612.263</v>
      </c>
      <c r="AB105" s="147" t="n">
        <v>-1612.263</v>
      </c>
      <c r="AC105" s="147" t="n">
        <v>-1612.263</v>
      </c>
      <c r="AD105" s="147" t="n">
        <v>-1644.50826</v>
      </c>
      <c r="AE105" s="147" t="n">
        <v>-1644.50826</v>
      </c>
      <c r="AF105" s="147" t="n">
        <v>-1644.50826</v>
      </c>
      <c r="AG105" s="147" t="n">
        <v>-1644.50826</v>
      </c>
      <c r="AH105" s="147" t="n">
        <v>-1644.50826</v>
      </c>
      <c r="AI105" s="147" t="n">
        <v>-1644.50826</v>
      </c>
      <c r="AJ105" s="147" t="n">
        <v>-1644.50826</v>
      </c>
      <c r="AK105" s="147" t="n">
        <v>-1644.50826</v>
      </c>
      <c r="AL105" s="147" t="n">
        <v>-1644.50826</v>
      </c>
      <c r="AM105" s="147" t="n">
        <v>-1644.50826</v>
      </c>
      <c r="AN105" s="147" t="n">
        <v>-1644.50826</v>
      </c>
      <c r="AO105" s="147" t="n">
        <v>-1644.50826</v>
      </c>
      <c r="AP105" s="147" t="n">
        <v>-1677.3984252</v>
      </c>
      <c r="AQ105" s="147" t="n">
        <v>-1677.3984252</v>
      </c>
      <c r="AR105" s="147" t="n">
        <v>-1677.3984252</v>
      </c>
      <c r="AS105" s="147" t="n">
        <v>-1677.3984252</v>
      </c>
      <c r="AT105" s="147" t="n">
        <v>-1677.3984252</v>
      </c>
      <c r="AU105" s="147" t="n">
        <v>-1677.3984252</v>
      </c>
      <c r="AV105" s="147" t="n">
        <v>-1677.3984252</v>
      </c>
      <c r="AW105" s="147" t="n">
        <v>-1677.3984252</v>
      </c>
      <c r="AX105" s="147" t="n">
        <v>-1677.3984252</v>
      </c>
      <c r="AY105" s="147" t="n">
        <v>-1677.3984252</v>
      </c>
      <c r="AZ105" s="147" t="n">
        <v>-1677.3984252</v>
      </c>
      <c r="BA105" s="147" t="n">
        <v>-1677.3984252</v>
      </c>
      <c r="BB105" s="147" t="n">
        <v>-1710.946393704</v>
      </c>
      <c r="BC105" s="147" t="n">
        <v>-1710.946393704</v>
      </c>
      <c r="BD105" s="147" t="n">
        <v>-1710.946393704</v>
      </c>
      <c r="BE105" s="147" t="n">
        <v>-1710.946393704</v>
      </c>
      <c r="BF105" s="147" t="n">
        <v>-1710.946393704</v>
      </c>
      <c r="BG105" s="147" t="n">
        <v>-1710.946393704</v>
      </c>
      <c r="BH105" s="147" t="n">
        <v>-1710.946393704</v>
      </c>
      <c r="BI105" s="147" t="n">
        <v>-1710.946393704</v>
      </c>
      <c r="BJ105" s="147" t="n">
        <v>-1710.946393704</v>
      </c>
      <c r="BK105" s="147" t="n">
        <v>-1710.946393704</v>
      </c>
      <c r="BL105" s="147" t="n">
        <v>-1710.946393704</v>
      </c>
      <c r="BM105" s="147" t="n">
        <v>-1710.946393704</v>
      </c>
      <c r="BN105" s="147" t="n">
        <v>-1745.16532157808</v>
      </c>
      <c r="BO105" s="147" t="n">
        <v>-1745.16532157808</v>
      </c>
      <c r="BP105" s="147" t="n">
        <v>-1745.16532157808</v>
      </c>
      <c r="BQ105" s="147" t="n">
        <v>-1745.16532157808</v>
      </c>
      <c r="BR105" s="147" t="n">
        <v>-1745.16532157808</v>
      </c>
      <c r="BS105" s="147" t="n">
        <v>-1745.16532157808</v>
      </c>
      <c r="BT105" s="147" t="n">
        <v>-1745.16532157808</v>
      </c>
      <c r="BU105" s="147" t="n">
        <v>-1745.16532157808</v>
      </c>
      <c r="BV105" s="147" t="n">
        <v>-1745.16532157808</v>
      </c>
      <c r="BW105" s="147" t="n">
        <v>-1745.16532157808</v>
      </c>
      <c r="BX105" s="147" t="n">
        <v>-1745.16532157808</v>
      </c>
      <c r="BY105" s="147" t="n">
        <v>-1745.16532157808</v>
      </c>
      <c r="BZ105" s="147" t="n">
        <v>-1780.06862800964</v>
      </c>
      <c r="CA105" s="147" t="n">
        <v>-1780.06862800964</v>
      </c>
      <c r="CB105" s="147" t="n">
        <v>-1780.06862800964</v>
      </c>
      <c r="CC105" s="147" t="n">
        <v>-1780.06862800964</v>
      </c>
      <c r="CD105" s="147" t="n">
        <v>-1780.06862800964</v>
      </c>
      <c r="CE105" s="147" t="n">
        <v>-1780.06862800964</v>
      </c>
      <c r="CF105" s="147" t="n">
        <v>-1780.06862800964</v>
      </c>
      <c r="CG105" s="147" t="n">
        <v>-1780.06862800964</v>
      </c>
      <c r="CH105" s="147" t="n">
        <v>-1780.06862800964</v>
      </c>
      <c r="CI105" s="147" t="n">
        <v>-1780.06862800964</v>
      </c>
      <c r="CJ105" s="147" t="n">
        <v>-1780.06862800964</v>
      </c>
      <c r="CK105" s="147" t="n">
        <v>-1780.06862800964</v>
      </c>
      <c r="CL105" s="147" t="n">
        <v>-1815.67000056983</v>
      </c>
      <c r="CM105" s="147" t="n">
        <v>-1815.67000056983</v>
      </c>
      <c r="CN105" s="147" t="n">
        <v>-1815.67000056983</v>
      </c>
      <c r="CO105" s="147" t="n">
        <v>-1815.67000056983</v>
      </c>
      <c r="CP105" s="147" t="n">
        <v>-1815.67000056983</v>
      </c>
      <c r="CQ105" s="147" t="n">
        <v>-1815.67000056983</v>
      </c>
      <c r="CR105" s="147" t="n">
        <v>-1815.67000056983</v>
      </c>
      <c r="CS105" s="147" t="n">
        <v>-1815.67000056983</v>
      </c>
      <c r="CT105" s="147" t="n">
        <v>-1815.67000056983</v>
      </c>
      <c r="CU105" s="147" t="n">
        <v>-1815.67000056983</v>
      </c>
      <c r="CV105" s="147" t="n">
        <v>-1815.67000056983</v>
      </c>
      <c r="CW105" s="147" t="n">
        <v>-1815.67000056983</v>
      </c>
      <c r="CX105" s="147" t="n">
        <v>-1851.98340058123</v>
      </c>
      <c r="CY105" s="147" t="n">
        <v>-1851.98340058123</v>
      </c>
      <c r="CZ105" s="147" t="n">
        <v>-1851.98340058123</v>
      </c>
      <c r="DA105" s="147" t="n">
        <v>-1851.98340058123</v>
      </c>
      <c r="DB105" s="147" t="n">
        <v>-1851.98340058123</v>
      </c>
      <c r="DC105" s="147" t="n">
        <v>-1851.98340058123</v>
      </c>
      <c r="DD105" s="147" t="n">
        <v>-1851.98340058123</v>
      </c>
      <c r="DE105" s="147" t="n">
        <v>-1851.98340058123</v>
      </c>
      <c r="DF105" s="147" t="n">
        <v>-1851.98340058123</v>
      </c>
    </row>
    <row r="106" customFormat="false" ht="15" hidden="false" customHeight="true" outlineLevel="0" collapsed="false">
      <c r="A106" s="90" t="s">
        <v>93</v>
      </c>
      <c r="C106" s="104" t="n">
        <v>-658.14</v>
      </c>
      <c r="D106" s="104" t="n">
        <v>-310</v>
      </c>
      <c r="E106" s="104" t="n">
        <v>-371.74</v>
      </c>
      <c r="F106" s="147" t="n">
        <v>-446.63</v>
      </c>
      <c r="G106" s="147" t="n">
        <v>-446.63</v>
      </c>
      <c r="H106" s="147" t="n">
        <v>-446.63</v>
      </c>
      <c r="I106" s="147" t="n">
        <v>-446.63</v>
      </c>
      <c r="J106" s="147" t="n">
        <v>-446.63</v>
      </c>
      <c r="K106" s="147" t="n">
        <v>-446.63</v>
      </c>
      <c r="L106" s="147" t="n">
        <v>-446.63</v>
      </c>
      <c r="M106" s="147" t="n">
        <v>-446.63</v>
      </c>
      <c r="N106" s="147" t="n">
        <v>-446.63</v>
      </c>
      <c r="O106" s="147" t="n">
        <v>-446.63</v>
      </c>
      <c r="P106" s="147" t="n">
        <v>-446.63</v>
      </c>
      <c r="Q106" s="147" t="n">
        <v>-446.63</v>
      </c>
      <c r="R106" s="147" t="n">
        <v>-455.5626</v>
      </c>
      <c r="S106" s="147" t="n">
        <v>-455.5626</v>
      </c>
      <c r="T106" s="147" t="n">
        <v>-455.5626</v>
      </c>
      <c r="U106" s="147" t="n">
        <v>-455.5626</v>
      </c>
      <c r="V106" s="147" t="n">
        <v>-455.5626</v>
      </c>
      <c r="W106" s="147" t="n">
        <v>-455.5626</v>
      </c>
      <c r="X106" s="147" t="n">
        <v>-455.5626</v>
      </c>
      <c r="Y106" s="147" t="n">
        <v>-455.5626</v>
      </c>
      <c r="Z106" s="147" t="n">
        <v>-455.5626</v>
      </c>
      <c r="AA106" s="147" t="n">
        <v>-455.5626</v>
      </c>
      <c r="AB106" s="147" t="n">
        <v>-455.5626</v>
      </c>
      <c r="AC106" s="147" t="n">
        <v>-455.5626</v>
      </c>
      <c r="AD106" s="147" t="n">
        <v>-464.673852</v>
      </c>
      <c r="AE106" s="147" t="n">
        <v>-464.673852</v>
      </c>
      <c r="AF106" s="147" t="n">
        <v>-464.673852</v>
      </c>
      <c r="AG106" s="147" t="n">
        <v>-464.673852</v>
      </c>
      <c r="AH106" s="147" t="n">
        <v>-464.673852</v>
      </c>
      <c r="AI106" s="147" t="n">
        <v>-464.673852</v>
      </c>
      <c r="AJ106" s="147" t="n">
        <v>-464.673852</v>
      </c>
      <c r="AK106" s="147" t="n">
        <v>-464.673852</v>
      </c>
      <c r="AL106" s="147" t="n">
        <v>-464.673852</v>
      </c>
      <c r="AM106" s="147" t="n">
        <v>-464.673852</v>
      </c>
      <c r="AN106" s="147" t="n">
        <v>-464.673852</v>
      </c>
      <c r="AO106" s="147" t="n">
        <v>-464.673852</v>
      </c>
      <c r="AP106" s="147" t="n">
        <v>-473.96732904</v>
      </c>
      <c r="AQ106" s="147" t="n">
        <v>-473.96732904</v>
      </c>
      <c r="AR106" s="147" t="n">
        <v>-473.96732904</v>
      </c>
      <c r="AS106" s="147" t="n">
        <v>-473.96732904</v>
      </c>
      <c r="AT106" s="147" t="n">
        <v>-473.96732904</v>
      </c>
      <c r="AU106" s="147" t="n">
        <v>-473.96732904</v>
      </c>
      <c r="AV106" s="147" t="n">
        <v>-473.96732904</v>
      </c>
      <c r="AW106" s="147" t="n">
        <v>-473.96732904</v>
      </c>
      <c r="AX106" s="147" t="n">
        <v>-473.96732904</v>
      </c>
      <c r="AY106" s="147" t="n">
        <v>-473.96732904</v>
      </c>
      <c r="AZ106" s="147" t="n">
        <v>-473.96732904</v>
      </c>
      <c r="BA106" s="147" t="n">
        <v>-473.96732904</v>
      </c>
      <c r="BB106" s="147" t="n">
        <v>-483.4466756208</v>
      </c>
      <c r="BC106" s="147" t="n">
        <v>-483.4466756208</v>
      </c>
      <c r="BD106" s="147" t="n">
        <v>-483.4466756208</v>
      </c>
      <c r="BE106" s="147" t="n">
        <v>-483.4466756208</v>
      </c>
      <c r="BF106" s="147" t="n">
        <v>-483.4466756208</v>
      </c>
      <c r="BG106" s="147" t="n">
        <v>-483.4466756208</v>
      </c>
      <c r="BH106" s="147" t="n">
        <v>-483.4466756208</v>
      </c>
      <c r="BI106" s="147" t="n">
        <v>-483.4466756208</v>
      </c>
      <c r="BJ106" s="147" t="n">
        <v>-483.4466756208</v>
      </c>
      <c r="BK106" s="147" t="n">
        <v>-483.4466756208</v>
      </c>
      <c r="BL106" s="147" t="n">
        <v>-483.4466756208</v>
      </c>
      <c r="BM106" s="147" t="n">
        <v>-483.4466756208</v>
      </c>
      <c r="BN106" s="147" t="n">
        <v>-493.115609133216</v>
      </c>
      <c r="BO106" s="147" t="n">
        <v>-493.115609133216</v>
      </c>
      <c r="BP106" s="147" t="n">
        <v>-493.115609133216</v>
      </c>
      <c r="BQ106" s="147" t="n">
        <v>-493.115609133216</v>
      </c>
      <c r="BR106" s="147" t="n">
        <v>-493.115609133216</v>
      </c>
      <c r="BS106" s="147" t="n">
        <v>-493.115609133216</v>
      </c>
      <c r="BT106" s="147" t="n">
        <v>-493.115609133216</v>
      </c>
      <c r="BU106" s="147" t="n">
        <v>-493.115609133216</v>
      </c>
      <c r="BV106" s="147" t="n">
        <v>-493.115609133216</v>
      </c>
      <c r="BW106" s="147" t="n">
        <v>-493.115609133216</v>
      </c>
      <c r="BX106" s="147" t="n">
        <v>-493.115609133216</v>
      </c>
      <c r="BY106" s="147" t="n">
        <v>-493.115609133216</v>
      </c>
      <c r="BZ106" s="147" t="n">
        <v>-502.97792131588</v>
      </c>
      <c r="CA106" s="147" t="n">
        <v>-502.97792131588</v>
      </c>
      <c r="CB106" s="147" t="n">
        <v>-502.97792131588</v>
      </c>
      <c r="CC106" s="147" t="n">
        <v>-502.97792131588</v>
      </c>
      <c r="CD106" s="147" t="n">
        <v>-502.97792131588</v>
      </c>
      <c r="CE106" s="147" t="n">
        <v>-502.97792131588</v>
      </c>
      <c r="CF106" s="147" t="n">
        <v>-502.97792131588</v>
      </c>
      <c r="CG106" s="147" t="n">
        <v>-502.97792131588</v>
      </c>
      <c r="CH106" s="147" t="n">
        <v>-502.97792131588</v>
      </c>
      <c r="CI106" s="147" t="n">
        <v>-502.97792131588</v>
      </c>
      <c r="CJ106" s="147" t="n">
        <v>-502.97792131588</v>
      </c>
      <c r="CK106" s="147" t="n">
        <v>-502.97792131588</v>
      </c>
      <c r="CL106" s="147" t="n">
        <v>-513.037479742198</v>
      </c>
      <c r="CM106" s="147" t="n">
        <v>-513.037479742198</v>
      </c>
      <c r="CN106" s="147" t="n">
        <v>-513.037479742198</v>
      </c>
      <c r="CO106" s="147" t="n">
        <v>-513.037479742198</v>
      </c>
      <c r="CP106" s="147" t="n">
        <v>-513.037479742198</v>
      </c>
      <c r="CQ106" s="147" t="n">
        <v>-513.037479742198</v>
      </c>
      <c r="CR106" s="147" t="n">
        <v>-513.037479742198</v>
      </c>
      <c r="CS106" s="147" t="n">
        <v>-513.037479742198</v>
      </c>
      <c r="CT106" s="147" t="n">
        <v>-513.037479742198</v>
      </c>
      <c r="CU106" s="147" t="n">
        <v>-513.037479742198</v>
      </c>
      <c r="CV106" s="147" t="n">
        <v>-513.037479742198</v>
      </c>
      <c r="CW106" s="147" t="n">
        <v>-513.037479742198</v>
      </c>
      <c r="CX106" s="147" t="n">
        <v>-523.298229337042</v>
      </c>
      <c r="CY106" s="147" t="n">
        <v>-523.298229337042</v>
      </c>
      <c r="CZ106" s="147" t="n">
        <v>-523.298229337042</v>
      </c>
      <c r="DA106" s="147" t="n">
        <v>-523.298229337042</v>
      </c>
      <c r="DB106" s="147" t="n">
        <v>-523.298229337042</v>
      </c>
      <c r="DC106" s="147" t="n">
        <v>-523.298229337042</v>
      </c>
      <c r="DD106" s="147" t="n">
        <v>-523.298229337042</v>
      </c>
      <c r="DE106" s="147" t="n">
        <v>-523.298229337042</v>
      </c>
      <c r="DF106" s="147" t="n">
        <v>-523.298229337042</v>
      </c>
    </row>
    <row r="107" customFormat="false" ht="15" hidden="false" customHeight="true" outlineLevel="0" collapsed="false">
      <c r="A107" s="90" t="s">
        <v>132</v>
      </c>
      <c r="C107" s="104" t="n">
        <v>0</v>
      </c>
      <c r="D107" s="104" t="n">
        <v>0</v>
      </c>
      <c r="E107" s="104" t="n">
        <v>0</v>
      </c>
      <c r="F107" s="147" t="n">
        <v>0</v>
      </c>
      <c r="G107" s="147" t="n">
        <v>0</v>
      </c>
      <c r="H107" s="147" t="n">
        <v>0</v>
      </c>
      <c r="I107" s="147" t="n">
        <v>0</v>
      </c>
      <c r="J107" s="147" t="n">
        <v>0</v>
      </c>
      <c r="K107" s="147" t="n">
        <v>0</v>
      </c>
      <c r="L107" s="147" t="n">
        <v>0</v>
      </c>
      <c r="M107" s="147" t="n">
        <v>0</v>
      </c>
      <c r="N107" s="147" t="n">
        <v>0</v>
      </c>
      <c r="O107" s="147" t="n">
        <v>0</v>
      </c>
      <c r="P107" s="147" t="n">
        <v>0</v>
      </c>
      <c r="Q107" s="147" t="n">
        <v>0</v>
      </c>
      <c r="R107" s="147" t="n">
        <v>0</v>
      </c>
      <c r="S107" s="147" t="n">
        <v>0</v>
      </c>
      <c r="T107" s="147" t="n">
        <v>0</v>
      </c>
      <c r="U107" s="147" t="n">
        <v>0</v>
      </c>
      <c r="V107" s="147" t="n">
        <v>0</v>
      </c>
      <c r="W107" s="147" t="n">
        <v>0</v>
      </c>
      <c r="X107" s="147" t="n">
        <v>0</v>
      </c>
      <c r="Y107" s="147" t="n">
        <v>0</v>
      </c>
      <c r="Z107" s="147" t="n">
        <v>0</v>
      </c>
      <c r="AA107" s="147" t="n">
        <v>0</v>
      </c>
      <c r="AB107" s="147" t="n">
        <v>0</v>
      </c>
      <c r="AC107" s="147" t="n">
        <v>0</v>
      </c>
      <c r="AD107" s="147" t="n">
        <v>0</v>
      </c>
      <c r="AE107" s="147" t="n">
        <v>0</v>
      </c>
      <c r="AF107" s="147" t="n">
        <v>0</v>
      </c>
      <c r="AG107" s="147" t="n">
        <v>0</v>
      </c>
      <c r="AH107" s="147" t="n">
        <v>0</v>
      </c>
      <c r="AI107" s="147" t="n">
        <v>0</v>
      </c>
      <c r="AJ107" s="147" t="n">
        <v>0</v>
      </c>
      <c r="AK107" s="147" t="n">
        <v>0</v>
      </c>
      <c r="AL107" s="147" t="n">
        <v>0</v>
      </c>
      <c r="AM107" s="147" t="n">
        <v>0</v>
      </c>
      <c r="AN107" s="147" t="n">
        <v>0</v>
      </c>
      <c r="AO107" s="147" t="n">
        <v>0</v>
      </c>
      <c r="AP107" s="147" t="n">
        <v>0</v>
      </c>
      <c r="AQ107" s="147" t="n">
        <v>0</v>
      </c>
      <c r="AR107" s="147" t="n">
        <v>0</v>
      </c>
      <c r="AS107" s="147" t="n">
        <v>0</v>
      </c>
      <c r="AT107" s="147" t="n">
        <v>0</v>
      </c>
      <c r="AU107" s="147" t="n">
        <v>0</v>
      </c>
      <c r="AV107" s="147" t="n">
        <v>0</v>
      </c>
      <c r="AW107" s="147" t="n">
        <v>0</v>
      </c>
      <c r="AX107" s="147" t="n">
        <v>0</v>
      </c>
      <c r="AY107" s="147" t="n">
        <v>0</v>
      </c>
      <c r="AZ107" s="147" t="n">
        <v>0</v>
      </c>
      <c r="BA107" s="147" t="n">
        <v>0</v>
      </c>
      <c r="BB107" s="147" t="n">
        <v>0</v>
      </c>
      <c r="BC107" s="147" t="n">
        <v>0</v>
      </c>
      <c r="BD107" s="147" t="n">
        <v>0</v>
      </c>
      <c r="BE107" s="147" t="n">
        <v>0</v>
      </c>
      <c r="BF107" s="147" t="n">
        <v>0</v>
      </c>
      <c r="BG107" s="147" t="n">
        <v>0</v>
      </c>
      <c r="BH107" s="147" t="n">
        <v>0</v>
      </c>
      <c r="BI107" s="147" t="n">
        <v>0</v>
      </c>
      <c r="BJ107" s="147" t="n">
        <v>0</v>
      </c>
      <c r="BK107" s="147" t="n">
        <v>0</v>
      </c>
      <c r="BL107" s="147" t="n">
        <v>0</v>
      </c>
      <c r="BM107" s="147" t="n">
        <v>0</v>
      </c>
      <c r="BN107" s="147" t="n">
        <v>0</v>
      </c>
      <c r="BO107" s="147" t="n">
        <v>0</v>
      </c>
      <c r="BP107" s="147" t="n">
        <v>0</v>
      </c>
      <c r="BQ107" s="147" t="n">
        <v>0</v>
      </c>
      <c r="BR107" s="147" t="n">
        <v>0</v>
      </c>
      <c r="BS107" s="147" t="n">
        <v>0</v>
      </c>
      <c r="BT107" s="147" t="n">
        <v>0</v>
      </c>
      <c r="BU107" s="147" t="n">
        <v>0</v>
      </c>
      <c r="BV107" s="147" t="n">
        <v>0</v>
      </c>
      <c r="BW107" s="147" t="n">
        <v>0</v>
      </c>
      <c r="BX107" s="147" t="n">
        <v>0</v>
      </c>
      <c r="BY107" s="147" t="n">
        <v>0</v>
      </c>
      <c r="BZ107" s="147" t="n">
        <v>0</v>
      </c>
      <c r="CA107" s="147" t="n">
        <v>0</v>
      </c>
      <c r="CB107" s="147" t="n">
        <v>0</v>
      </c>
      <c r="CC107" s="147" t="n">
        <v>0</v>
      </c>
      <c r="CD107" s="147" t="n">
        <v>0</v>
      </c>
      <c r="CE107" s="147" t="n">
        <v>0</v>
      </c>
      <c r="CF107" s="147" t="n">
        <v>0</v>
      </c>
      <c r="CG107" s="147" t="n">
        <v>0</v>
      </c>
      <c r="CH107" s="147" t="n">
        <v>0</v>
      </c>
      <c r="CI107" s="147" t="n">
        <v>0</v>
      </c>
      <c r="CJ107" s="147" t="n">
        <v>0</v>
      </c>
      <c r="CK107" s="147" t="n">
        <v>0</v>
      </c>
      <c r="CL107" s="147" t="n">
        <v>0</v>
      </c>
      <c r="CM107" s="147" t="n">
        <v>0</v>
      </c>
      <c r="CN107" s="147" t="n">
        <v>0</v>
      </c>
      <c r="CO107" s="147" t="n">
        <v>0</v>
      </c>
      <c r="CP107" s="147" t="n">
        <v>0</v>
      </c>
      <c r="CQ107" s="147" t="n">
        <v>0</v>
      </c>
      <c r="CR107" s="147" t="n">
        <v>0</v>
      </c>
      <c r="CS107" s="147" t="n">
        <v>0</v>
      </c>
      <c r="CT107" s="147" t="n">
        <v>0</v>
      </c>
      <c r="CU107" s="147" t="n">
        <v>0</v>
      </c>
      <c r="CV107" s="147" t="n">
        <v>0</v>
      </c>
      <c r="CW107" s="147" t="n">
        <v>0</v>
      </c>
      <c r="CX107" s="147" t="n">
        <v>0</v>
      </c>
      <c r="CY107" s="147" t="n">
        <v>0</v>
      </c>
      <c r="CZ107" s="147" t="n">
        <v>0</v>
      </c>
      <c r="DA107" s="147" t="n">
        <v>0</v>
      </c>
      <c r="DB107" s="147" t="n">
        <v>0</v>
      </c>
      <c r="DC107" s="147" t="n">
        <v>0</v>
      </c>
      <c r="DD107" s="147" t="n">
        <v>0</v>
      </c>
      <c r="DE107" s="147" t="n">
        <v>0</v>
      </c>
      <c r="DF107" s="147" t="n">
        <v>0</v>
      </c>
    </row>
    <row r="108" customFormat="false" ht="15" hidden="false" customHeight="true" outlineLevel="0" collapsed="false">
      <c r="A108" s="90" t="s">
        <v>133</v>
      </c>
      <c r="C108" s="104" t="n">
        <v>0</v>
      </c>
      <c r="D108" s="104" t="n">
        <v>0</v>
      </c>
      <c r="E108" s="104" t="n">
        <v>0</v>
      </c>
      <c r="F108" s="147" t="n">
        <v>0</v>
      </c>
      <c r="G108" s="147" t="n">
        <v>0</v>
      </c>
      <c r="H108" s="147" t="n">
        <v>0</v>
      </c>
      <c r="I108" s="147" t="n">
        <v>0</v>
      </c>
      <c r="J108" s="147" t="n">
        <v>0</v>
      </c>
      <c r="K108" s="147" t="n">
        <v>0</v>
      </c>
      <c r="L108" s="147" t="n">
        <v>0</v>
      </c>
      <c r="M108" s="147" t="n">
        <v>0</v>
      </c>
      <c r="N108" s="147" t="n">
        <v>0</v>
      </c>
      <c r="O108" s="147" t="n">
        <v>0</v>
      </c>
      <c r="P108" s="147" t="n">
        <v>0</v>
      </c>
      <c r="Q108" s="147" t="n">
        <v>0</v>
      </c>
      <c r="R108" s="147" t="n">
        <v>0</v>
      </c>
      <c r="S108" s="147" t="n">
        <v>0</v>
      </c>
      <c r="T108" s="147" t="n">
        <v>0</v>
      </c>
      <c r="U108" s="147" t="n">
        <v>0</v>
      </c>
      <c r="V108" s="147" t="n">
        <v>0</v>
      </c>
      <c r="W108" s="147" t="n">
        <v>0</v>
      </c>
      <c r="X108" s="147" t="n">
        <v>0</v>
      </c>
      <c r="Y108" s="147" t="n">
        <v>0</v>
      </c>
      <c r="Z108" s="147" t="n">
        <v>0</v>
      </c>
      <c r="AA108" s="147" t="n">
        <v>0</v>
      </c>
      <c r="AB108" s="147" t="n">
        <v>0</v>
      </c>
      <c r="AC108" s="147" t="n">
        <v>0</v>
      </c>
      <c r="AD108" s="147" t="n">
        <v>0</v>
      </c>
      <c r="AE108" s="147" t="n">
        <v>0</v>
      </c>
      <c r="AF108" s="147" t="n">
        <v>0</v>
      </c>
      <c r="AG108" s="147" t="n">
        <v>0</v>
      </c>
      <c r="AH108" s="147" t="n">
        <v>0</v>
      </c>
      <c r="AI108" s="147" t="n">
        <v>0</v>
      </c>
      <c r="AJ108" s="147" t="n">
        <v>0</v>
      </c>
      <c r="AK108" s="147" t="n">
        <v>0</v>
      </c>
      <c r="AL108" s="147" t="n">
        <v>0</v>
      </c>
      <c r="AM108" s="147" t="n">
        <v>0</v>
      </c>
      <c r="AN108" s="147" t="n">
        <v>0</v>
      </c>
      <c r="AO108" s="147" t="n">
        <v>0</v>
      </c>
      <c r="AP108" s="147" t="n">
        <v>0</v>
      </c>
      <c r="AQ108" s="147" t="n">
        <v>0</v>
      </c>
      <c r="AR108" s="147" t="n">
        <v>0</v>
      </c>
      <c r="AS108" s="147" t="n">
        <v>0</v>
      </c>
      <c r="AT108" s="147" t="n">
        <v>0</v>
      </c>
      <c r="AU108" s="147" t="n">
        <v>0</v>
      </c>
      <c r="AV108" s="147" t="n">
        <v>0</v>
      </c>
      <c r="AW108" s="147" t="n">
        <v>0</v>
      </c>
      <c r="AX108" s="147" t="n">
        <v>0</v>
      </c>
      <c r="AY108" s="147" t="n">
        <v>0</v>
      </c>
      <c r="AZ108" s="147" t="n">
        <v>0</v>
      </c>
      <c r="BA108" s="147" t="n">
        <v>0</v>
      </c>
      <c r="BB108" s="147" t="n">
        <v>0</v>
      </c>
      <c r="BC108" s="147" t="n">
        <v>0</v>
      </c>
      <c r="BD108" s="147" t="n">
        <v>0</v>
      </c>
      <c r="BE108" s="147" t="n">
        <v>0</v>
      </c>
      <c r="BF108" s="147" t="n">
        <v>0</v>
      </c>
      <c r="BG108" s="147" t="n">
        <v>0</v>
      </c>
      <c r="BH108" s="147" t="n">
        <v>0</v>
      </c>
      <c r="BI108" s="147" t="n">
        <v>0</v>
      </c>
      <c r="BJ108" s="147" t="n">
        <v>0</v>
      </c>
      <c r="BK108" s="147" t="n">
        <v>0</v>
      </c>
      <c r="BL108" s="147" t="n">
        <v>0</v>
      </c>
      <c r="BM108" s="147" t="n">
        <v>0</v>
      </c>
      <c r="BN108" s="147" t="n">
        <v>0</v>
      </c>
      <c r="BO108" s="147" t="n">
        <v>0</v>
      </c>
      <c r="BP108" s="147" t="n">
        <v>0</v>
      </c>
      <c r="BQ108" s="147" t="n">
        <v>0</v>
      </c>
      <c r="BR108" s="147" t="n">
        <v>0</v>
      </c>
      <c r="BS108" s="147" t="n">
        <v>0</v>
      </c>
      <c r="BT108" s="147" t="n">
        <v>0</v>
      </c>
      <c r="BU108" s="147" t="n">
        <v>0</v>
      </c>
      <c r="BV108" s="147" t="n">
        <v>0</v>
      </c>
      <c r="BW108" s="147" t="n">
        <v>0</v>
      </c>
      <c r="BX108" s="147" t="n">
        <v>0</v>
      </c>
      <c r="BY108" s="147" t="n">
        <v>0</v>
      </c>
      <c r="BZ108" s="147" t="n">
        <v>0</v>
      </c>
      <c r="CA108" s="147" t="n">
        <v>0</v>
      </c>
      <c r="CB108" s="147" t="n">
        <v>0</v>
      </c>
      <c r="CC108" s="147" t="n">
        <v>0</v>
      </c>
      <c r="CD108" s="147" t="n">
        <v>0</v>
      </c>
      <c r="CE108" s="147" t="n">
        <v>0</v>
      </c>
      <c r="CF108" s="147" t="n">
        <v>0</v>
      </c>
      <c r="CG108" s="147" t="n">
        <v>0</v>
      </c>
      <c r="CH108" s="147" t="n">
        <v>0</v>
      </c>
      <c r="CI108" s="147" t="n">
        <v>0</v>
      </c>
      <c r="CJ108" s="147" t="n">
        <v>0</v>
      </c>
      <c r="CK108" s="147" t="n">
        <v>0</v>
      </c>
      <c r="CL108" s="147" t="n">
        <v>0</v>
      </c>
      <c r="CM108" s="147" t="n">
        <v>0</v>
      </c>
      <c r="CN108" s="147" t="n">
        <v>0</v>
      </c>
      <c r="CO108" s="147" t="n">
        <v>0</v>
      </c>
      <c r="CP108" s="147" t="n">
        <v>0</v>
      </c>
      <c r="CQ108" s="147" t="n">
        <v>0</v>
      </c>
      <c r="CR108" s="147" t="n">
        <v>0</v>
      </c>
      <c r="CS108" s="147" t="n">
        <v>0</v>
      </c>
      <c r="CT108" s="147" t="n">
        <v>0</v>
      </c>
      <c r="CU108" s="147" t="n">
        <v>0</v>
      </c>
      <c r="CV108" s="147" t="n">
        <v>0</v>
      </c>
      <c r="CW108" s="147" t="n">
        <v>0</v>
      </c>
      <c r="CX108" s="147" t="n">
        <v>0</v>
      </c>
      <c r="CY108" s="147" t="n">
        <v>0</v>
      </c>
      <c r="CZ108" s="147" t="n">
        <v>0</v>
      </c>
      <c r="DA108" s="147" t="n">
        <v>0</v>
      </c>
      <c r="DB108" s="147" t="n">
        <v>0</v>
      </c>
      <c r="DC108" s="147" t="n">
        <v>0</v>
      </c>
      <c r="DD108" s="147" t="n">
        <v>0</v>
      </c>
      <c r="DE108" s="147" t="n">
        <v>0</v>
      </c>
      <c r="DF108" s="147" t="n">
        <v>0</v>
      </c>
    </row>
    <row r="109" customFormat="false" ht="15" hidden="false" customHeight="true" outlineLevel="0" collapsed="false">
      <c r="A109" s="90" t="s">
        <v>134</v>
      </c>
      <c r="C109" s="104" t="n">
        <v>0</v>
      </c>
      <c r="D109" s="104" t="n">
        <v>0</v>
      </c>
      <c r="E109" s="104" t="n">
        <v>0</v>
      </c>
      <c r="F109" s="147" t="n">
        <v>0</v>
      </c>
      <c r="G109" s="147" t="n">
        <v>0</v>
      </c>
      <c r="H109" s="147" t="n">
        <v>0</v>
      </c>
      <c r="I109" s="147" t="n">
        <v>0</v>
      </c>
      <c r="J109" s="147" t="n">
        <v>0</v>
      </c>
      <c r="K109" s="147" t="n">
        <v>0</v>
      </c>
      <c r="L109" s="147" t="n">
        <v>0</v>
      </c>
      <c r="M109" s="147" t="n">
        <v>0</v>
      </c>
      <c r="N109" s="147" t="n">
        <v>0</v>
      </c>
      <c r="O109" s="147" t="n">
        <v>0</v>
      </c>
      <c r="P109" s="147" t="n">
        <v>0</v>
      </c>
      <c r="Q109" s="147" t="n">
        <v>0</v>
      </c>
      <c r="R109" s="147" t="n">
        <v>0</v>
      </c>
      <c r="S109" s="147" t="n">
        <v>0</v>
      </c>
      <c r="T109" s="147" t="n">
        <v>0</v>
      </c>
      <c r="U109" s="147" t="n">
        <v>0</v>
      </c>
      <c r="V109" s="147" t="n">
        <v>0</v>
      </c>
      <c r="W109" s="147" t="n">
        <v>0</v>
      </c>
      <c r="X109" s="147" t="n">
        <v>0</v>
      </c>
      <c r="Y109" s="147" t="n">
        <v>0</v>
      </c>
      <c r="Z109" s="147" t="n">
        <v>0</v>
      </c>
      <c r="AA109" s="147" t="n">
        <v>0</v>
      </c>
      <c r="AB109" s="147" t="n">
        <v>0</v>
      </c>
      <c r="AC109" s="147" t="n">
        <v>0</v>
      </c>
      <c r="AD109" s="147" t="n">
        <v>0</v>
      </c>
      <c r="AE109" s="147" t="n">
        <v>0</v>
      </c>
      <c r="AF109" s="147" t="n">
        <v>0</v>
      </c>
      <c r="AG109" s="147" t="n">
        <v>0</v>
      </c>
      <c r="AH109" s="147" t="n">
        <v>0</v>
      </c>
      <c r="AI109" s="147" t="n">
        <v>0</v>
      </c>
      <c r="AJ109" s="147" t="n">
        <v>0</v>
      </c>
      <c r="AK109" s="147" t="n">
        <v>0</v>
      </c>
      <c r="AL109" s="147" t="n">
        <v>0</v>
      </c>
      <c r="AM109" s="147" t="n">
        <v>0</v>
      </c>
      <c r="AN109" s="147" t="n">
        <v>0</v>
      </c>
      <c r="AO109" s="147" t="n">
        <v>0</v>
      </c>
      <c r="AP109" s="147" t="n">
        <v>0</v>
      </c>
      <c r="AQ109" s="147" t="n">
        <v>0</v>
      </c>
      <c r="AR109" s="147" t="n">
        <v>0</v>
      </c>
      <c r="AS109" s="147" t="n">
        <v>0</v>
      </c>
      <c r="AT109" s="147" t="n">
        <v>0</v>
      </c>
      <c r="AU109" s="147" t="n">
        <v>-81683</v>
      </c>
      <c r="AV109" s="147" t="n">
        <v>0</v>
      </c>
      <c r="AW109" s="147" t="n">
        <v>0</v>
      </c>
      <c r="AX109" s="147" t="n">
        <v>-81682</v>
      </c>
      <c r="AY109" s="147" t="n">
        <v>0</v>
      </c>
      <c r="AZ109" s="147" t="n">
        <v>0</v>
      </c>
      <c r="BA109" s="147" t="n">
        <v>-81682</v>
      </c>
      <c r="BB109" s="147" t="n">
        <v>0</v>
      </c>
      <c r="BC109" s="147" t="n">
        <v>0</v>
      </c>
      <c r="BD109" s="147" t="n">
        <v>-81682</v>
      </c>
      <c r="BE109" s="147" t="n">
        <v>0</v>
      </c>
      <c r="BF109" s="147" t="n">
        <v>0</v>
      </c>
      <c r="BG109" s="147" t="n">
        <v>-59178</v>
      </c>
      <c r="BH109" s="147" t="n">
        <v>0</v>
      </c>
      <c r="BI109" s="147" t="n">
        <v>0</v>
      </c>
      <c r="BJ109" s="147" t="n">
        <v>-59176</v>
      </c>
      <c r="BK109" s="147" t="n">
        <v>0</v>
      </c>
      <c r="BL109" s="147" t="n">
        <v>0</v>
      </c>
      <c r="BM109" s="147" t="n">
        <v>-59176</v>
      </c>
      <c r="BN109" s="147" t="n">
        <v>0</v>
      </c>
      <c r="BO109" s="147" t="n">
        <v>0</v>
      </c>
      <c r="BP109" s="147" t="n">
        <v>-59176</v>
      </c>
      <c r="BQ109" s="147" t="n">
        <v>0</v>
      </c>
      <c r="BR109" s="147" t="n">
        <v>0</v>
      </c>
      <c r="BS109" s="147" t="n">
        <v>-16249.48</v>
      </c>
      <c r="BT109" s="147" t="n">
        <v>0</v>
      </c>
      <c r="BU109" s="147" t="n">
        <v>0</v>
      </c>
      <c r="BV109" s="147" t="n">
        <v>0</v>
      </c>
      <c r="BW109" s="147" t="n">
        <v>0</v>
      </c>
      <c r="BX109" s="147" t="n">
        <v>0</v>
      </c>
      <c r="BY109" s="147" t="n">
        <v>0</v>
      </c>
      <c r="BZ109" s="147" t="n">
        <v>0</v>
      </c>
      <c r="CA109" s="147" t="n">
        <v>0</v>
      </c>
      <c r="CB109" s="147" t="n">
        <v>0</v>
      </c>
      <c r="CC109" s="147" t="n">
        <v>0</v>
      </c>
      <c r="CD109" s="147" t="n">
        <v>0</v>
      </c>
      <c r="CE109" s="147" t="n">
        <v>0</v>
      </c>
      <c r="CF109" s="147" t="n">
        <v>0</v>
      </c>
      <c r="CG109" s="147" t="n">
        <v>0</v>
      </c>
      <c r="CH109" s="147" t="n">
        <v>0</v>
      </c>
      <c r="CI109" s="147" t="n">
        <v>0</v>
      </c>
      <c r="CJ109" s="147" t="n">
        <v>0</v>
      </c>
      <c r="CK109" s="147" t="n">
        <v>0</v>
      </c>
      <c r="CL109" s="147" t="n">
        <v>0</v>
      </c>
      <c r="CM109" s="147" t="n">
        <v>0</v>
      </c>
      <c r="CN109" s="147" t="n">
        <v>0</v>
      </c>
      <c r="CO109" s="147" t="n">
        <v>0</v>
      </c>
      <c r="CP109" s="147" t="n">
        <v>0</v>
      </c>
      <c r="CQ109" s="147" t="n">
        <v>0</v>
      </c>
      <c r="CR109" s="147" t="n">
        <v>0</v>
      </c>
      <c r="CS109" s="147" t="n">
        <v>0</v>
      </c>
      <c r="CT109" s="147" t="n">
        <v>0</v>
      </c>
      <c r="CU109" s="147" t="n">
        <v>0</v>
      </c>
      <c r="CV109" s="147" t="n">
        <v>0</v>
      </c>
      <c r="CW109" s="147" t="n">
        <v>0</v>
      </c>
      <c r="CX109" s="147" t="n">
        <v>0</v>
      </c>
      <c r="CY109" s="147" t="n">
        <v>0</v>
      </c>
      <c r="CZ109" s="147" t="n">
        <v>0</v>
      </c>
      <c r="DA109" s="147" t="n">
        <v>0</v>
      </c>
      <c r="DB109" s="147" t="n">
        <v>0</v>
      </c>
      <c r="DC109" s="147" t="n">
        <v>0</v>
      </c>
      <c r="DD109" s="147" t="n">
        <v>0</v>
      </c>
      <c r="DE109" s="147" t="n">
        <v>0</v>
      </c>
      <c r="DF109" s="147" t="n">
        <v>0</v>
      </c>
    </row>
    <row r="110" customFormat="false" ht="15" hidden="false" customHeight="true" outlineLevel="0" collapsed="false">
      <c r="A110" s="90" t="s">
        <v>135</v>
      </c>
      <c r="C110" s="104" t="n">
        <v>0</v>
      </c>
      <c r="D110" s="104" t="n">
        <v>0</v>
      </c>
      <c r="E110" s="104" t="n">
        <v>0</v>
      </c>
      <c r="F110" s="147" t="n">
        <v>0</v>
      </c>
      <c r="G110" s="147" t="n">
        <v>0</v>
      </c>
      <c r="H110" s="147" t="n">
        <v>0</v>
      </c>
      <c r="I110" s="147" t="n">
        <v>0</v>
      </c>
      <c r="J110" s="147" t="n">
        <v>0</v>
      </c>
      <c r="K110" s="147" t="n">
        <v>0</v>
      </c>
      <c r="L110" s="147" t="n">
        <v>0</v>
      </c>
      <c r="M110" s="147" t="n">
        <v>0</v>
      </c>
      <c r="N110" s="147" t="n">
        <v>0</v>
      </c>
      <c r="O110" s="147" t="n">
        <v>0</v>
      </c>
      <c r="P110" s="147" t="n">
        <v>0</v>
      </c>
      <c r="Q110" s="147" t="n">
        <v>0</v>
      </c>
      <c r="R110" s="147" t="n">
        <v>0</v>
      </c>
      <c r="S110" s="147" t="n">
        <v>0</v>
      </c>
      <c r="T110" s="147" t="n">
        <v>0</v>
      </c>
      <c r="U110" s="147" t="n">
        <v>0</v>
      </c>
      <c r="V110" s="147" t="n">
        <v>0</v>
      </c>
      <c r="W110" s="147" t="n">
        <v>0</v>
      </c>
      <c r="X110" s="147" t="n">
        <v>0</v>
      </c>
      <c r="Y110" s="147" t="n">
        <v>0</v>
      </c>
      <c r="Z110" s="147" t="n">
        <v>0</v>
      </c>
      <c r="AA110" s="147" t="n">
        <v>0</v>
      </c>
      <c r="AB110" s="147" t="n">
        <v>0</v>
      </c>
      <c r="AC110" s="147" t="n">
        <v>0</v>
      </c>
      <c r="AD110" s="147" t="n">
        <v>0</v>
      </c>
      <c r="AE110" s="147" t="n">
        <v>0</v>
      </c>
      <c r="AF110" s="147" t="n">
        <v>0</v>
      </c>
      <c r="AG110" s="147" t="n">
        <v>0</v>
      </c>
      <c r="AH110" s="147" t="n">
        <v>0</v>
      </c>
      <c r="AI110" s="147" t="n">
        <v>0</v>
      </c>
      <c r="AJ110" s="147" t="n">
        <v>0</v>
      </c>
      <c r="AK110" s="147" t="n">
        <v>0</v>
      </c>
      <c r="AL110" s="147" t="n">
        <v>0</v>
      </c>
      <c r="AM110" s="147" t="n">
        <v>0</v>
      </c>
      <c r="AN110" s="147" t="n">
        <v>0</v>
      </c>
      <c r="AO110" s="147" t="n">
        <v>0</v>
      </c>
      <c r="AP110" s="147" t="n">
        <v>0</v>
      </c>
      <c r="AQ110" s="147" t="n">
        <v>0</v>
      </c>
      <c r="AR110" s="147" t="n">
        <v>0</v>
      </c>
      <c r="AS110" s="147" t="n">
        <v>0</v>
      </c>
      <c r="AT110" s="147" t="n">
        <v>0</v>
      </c>
      <c r="AU110" s="147" t="n">
        <v>0</v>
      </c>
      <c r="AV110" s="147" t="n">
        <v>0</v>
      </c>
      <c r="AW110" s="147" t="n">
        <v>0</v>
      </c>
      <c r="AX110" s="147" t="n">
        <v>0</v>
      </c>
      <c r="AY110" s="147" t="n">
        <v>0</v>
      </c>
      <c r="AZ110" s="147" t="n">
        <v>0</v>
      </c>
      <c r="BA110" s="147" t="n">
        <v>0</v>
      </c>
      <c r="BB110" s="147" t="n">
        <v>0</v>
      </c>
      <c r="BC110" s="147" t="n">
        <v>0</v>
      </c>
      <c r="BD110" s="147" t="n">
        <v>-851839</v>
      </c>
      <c r="BE110" s="147" t="n">
        <v>0</v>
      </c>
      <c r="BF110" s="147" t="n">
        <v>0</v>
      </c>
      <c r="BG110" s="147" t="n">
        <v>-71700</v>
      </c>
      <c r="BH110" s="147" t="n">
        <v>0</v>
      </c>
      <c r="BI110" s="147" t="n">
        <v>0</v>
      </c>
      <c r="BJ110" s="147" t="n">
        <v>-71700</v>
      </c>
      <c r="BK110" s="147" t="n">
        <v>0</v>
      </c>
      <c r="BL110" s="147" t="n">
        <v>0</v>
      </c>
      <c r="BM110" s="147" t="n">
        <v>-71700</v>
      </c>
      <c r="BN110" s="147" t="n">
        <v>0</v>
      </c>
      <c r="BO110" s="147" t="n">
        <v>0</v>
      </c>
      <c r="BP110" s="147" t="n">
        <v>-71700</v>
      </c>
      <c r="BQ110" s="147" t="n">
        <v>0</v>
      </c>
      <c r="BR110" s="147" t="n">
        <v>0</v>
      </c>
      <c r="BS110" s="147" t="n">
        <v>-74643</v>
      </c>
      <c r="BT110" s="147" t="n">
        <v>0</v>
      </c>
      <c r="BU110" s="147" t="n">
        <v>0</v>
      </c>
      <c r="BV110" s="147" t="n">
        <v>-74640</v>
      </c>
      <c r="BW110" s="147" t="n">
        <v>0</v>
      </c>
      <c r="BX110" s="147" t="n">
        <v>0</v>
      </c>
      <c r="BY110" s="147" t="n">
        <v>-74640</v>
      </c>
      <c r="BZ110" s="147" t="n">
        <v>0</v>
      </c>
      <c r="CA110" s="147" t="n">
        <v>0</v>
      </c>
      <c r="CB110" s="147" t="n">
        <v>-74640</v>
      </c>
      <c r="CC110" s="147" t="n">
        <v>0</v>
      </c>
      <c r="CD110" s="147" t="n">
        <v>0</v>
      </c>
      <c r="CE110" s="147" t="n">
        <v>-81363</v>
      </c>
      <c r="CF110" s="147" t="n">
        <v>0</v>
      </c>
      <c r="CG110" s="147" t="n">
        <v>0</v>
      </c>
      <c r="CH110" s="147" t="n">
        <v>-81362</v>
      </c>
      <c r="CI110" s="147" t="n">
        <v>0</v>
      </c>
      <c r="CJ110" s="147" t="n">
        <v>0</v>
      </c>
      <c r="CK110" s="147" t="n">
        <v>-74753.9733935208</v>
      </c>
      <c r="CL110" s="147" t="n">
        <v>0</v>
      </c>
      <c r="CM110" s="147" t="n">
        <v>0</v>
      </c>
      <c r="CN110" s="147" t="n">
        <v>0</v>
      </c>
      <c r="CO110" s="147" t="n">
        <v>0</v>
      </c>
      <c r="CP110" s="147" t="n">
        <v>0</v>
      </c>
      <c r="CQ110" s="147" t="n">
        <v>0</v>
      </c>
      <c r="CR110" s="147" t="n">
        <v>0</v>
      </c>
      <c r="CS110" s="147" t="n">
        <v>0</v>
      </c>
      <c r="CT110" s="147" t="n">
        <v>0</v>
      </c>
      <c r="CU110" s="147" t="n">
        <v>0</v>
      </c>
      <c r="CV110" s="147" t="n">
        <v>0</v>
      </c>
      <c r="CW110" s="147" t="n">
        <v>0</v>
      </c>
      <c r="CX110" s="147" t="n">
        <v>0</v>
      </c>
      <c r="CY110" s="147" t="n">
        <v>0</v>
      </c>
      <c r="CZ110" s="147" t="n">
        <v>0</v>
      </c>
      <c r="DA110" s="147" t="n">
        <v>0</v>
      </c>
      <c r="DB110" s="147" t="n">
        <v>0</v>
      </c>
      <c r="DC110" s="147" t="n">
        <v>0</v>
      </c>
      <c r="DD110" s="147" t="n">
        <v>0</v>
      </c>
      <c r="DE110" s="147" t="n">
        <v>0</v>
      </c>
      <c r="DF110" s="147" t="n">
        <v>0</v>
      </c>
    </row>
    <row r="111" customFormat="false" ht="15" hidden="false" customHeight="true" outlineLevel="0" collapsed="false">
      <c r="A111" s="90" t="s">
        <v>136</v>
      </c>
      <c r="C111" s="104" t="n">
        <v>0</v>
      </c>
      <c r="D111" s="104" t="n">
        <v>0</v>
      </c>
      <c r="E111" s="104" t="n">
        <v>0</v>
      </c>
      <c r="F111" s="147" t="n">
        <v>0</v>
      </c>
      <c r="G111" s="147" t="n">
        <v>0</v>
      </c>
      <c r="H111" s="147" t="n">
        <v>0</v>
      </c>
      <c r="I111" s="147" t="n">
        <v>0</v>
      </c>
      <c r="J111" s="147" t="n">
        <v>0</v>
      </c>
      <c r="K111" s="147" t="n">
        <v>0</v>
      </c>
      <c r="L111" s="147" t="n">
        <v>0</v>
      </c>
      <c r="M111" s="147" t="n">
        <v>0</v>
      </c>
      <c r="N111" s="147" t="n">
        <v>0</v>
      </c>
      <c r="O111" s="147" t="n">
        <v>0</v>
      </c>
      <c r="P111" s="147" t="n">
        <v>0</v>
      </c>
      <c r="Q111" s="147" t="n">
        <v>0</v>
      </c>
      <c r="R111" s="147" t="n">
        <v>0</v>
      </c>
      <c r="S111" s="147" t="n">
        <v>0</v>
      </c>
      <c r="T111" s="147" t="n">
        <v>0</v>
      </c>
      <c r="U111" s="147" t="n">
        <v>0</v>
      </c>
      <c r="V111" s="147" t="n">
        <v>0</v>
      </c>
      <c r="W111" s="147" t="n">
        <v>0</v>
      </c>
      <c r="X111" s="147" t="n">
        <v>0</v>
      </c>
      <c r="Y111" s="147" t="n">
        <v>0</v>
      </c>
      <c r="Z111" s="147" t="n">
        <v>0</v>
      </c>
      <c r="AA111" s="147" t="n">
        <v>0</v>
      </c>
      <c r="AB111" s="147" t="n">
        <v>0</v>
      </c>
      <c r="AC111" s="147" t="n">
        <v>0</v>
      </c>
      <c r="AD111" s="147" t="n">
        <v>0</v>
      </c>
      <c r="AE111" s="147" t="n">
        <v>0</v>
      </c>
      <c r="AF111" s="147" t="n">
        <v>0</v>
      </c>
      <c r="AG111" s="147" t="n">
        <v>0</v>
      </c>
      <c r="AH111" s="147" t="n">
        <v>0</v>
      </c>
      <c r="AI111" s="147" t="n">
        <v>0</v>
      </c>
      <c r="AJ111" s="147" t="n">
        <v>0</v>
      </c>
      <c r="AK111" s="147" t="n">
        <v>0</v>
      </c>
      <c r="AL111" s="147" t="n">
        <v>0</v>
      </c>
      <c r="AM111" s="147" t="n">
        <v>0</v>
      </c>
      <c r="AN111" s="147" t="n">
        <v>0</v>
      </c>
      <c r="AO111" s="147" t="n">
        <v>0</v>
      </c>
      <c r="AP111" s="147" t="n">
        <v>0</v>
      </c>
      <c r="AQ111" s="147" t="n">
        <v>0</v>
      </c>
      <c r="AR111" s="147" t="n">
        <v>0</v>
      </c>
      <c r="AS111" s="147" t="n">
        <v>0</v>
      </c>
      <c r="AT111" s="147" t="n">
        <v>0</v>
      </c>
      <c r="AU111" s="147" t="n">
        <v>0</v>
      </c>
      <c r="AV111" s="147" t="n">
        <v>0</v>
      </c>
      <c r="AW111" s="147" t="n">
        <v>0</v>
      </c>
      <c r="AX111" s="147" t="n">
        <v>0</v>
      </c>
      <c r="AY111" s="147" t="n">
        <v>0</v>
      </c>
      <c r="AZ111" s="147" t="n">
        <v>0</v>
      </c>
      <c r="BA111" s="147" t="n">
        <v>0</v>
      </c>
      <c r="BB111" s="147" t="n">
        <v>0</v>
      </c>
      <c r="BC111" s="147" t="n">
        <v>0</v>
      </c>
      <c r="BD111" s="147" t="n">
        <v>0</v>
      </c>
      <c r="BE111" s="147" t="n">
        <v>0</v>
      </c>
      <c r="BF111" s="147" t="n">
        <v>0</v>
      </c>
      <c r="BG111" s="147" t="n">
        <v>0</v>
      </c>
      <c r="BH111" s="147" t="n">
        <v>0</v>
      </c>
      <c r="BI111" s="147" t="n">
        <v>0</v>
      </c>
      <c r="BJ111" s="147" t="n">
        <v>0</v>
      </c>
      <c r="BK111" s="147" t="n">
        <v>0</v>
      </c>
      <c r="BL111" s="147" t="n">
        <v>0</v>
      </c>
      <c r="BM111" s="147" t="n">
        <v>0</v>
      </c>
      <c r="BN111" s="147" t="n">
        <v>0</v>
      </c>
      <c r="BO111" s="147" t="n">
        <v>0</v>
      </c>
      <c r="BP111" s="147" t="n">
        <v>0</v>
      </c>
      <c r="BQ111" s="147" t="n">
        <v>0</v>
      </c>
      <c r="BR111" s="147" t="n">
        <v>0</v>
      </c>
      <c r="BS111" s="147" t="n">
        <v>0</v>
      </c>
      <c r="BT111" s="147" t="n">
        <v>0</v>
      </c>
      <c r="BU111" s="147" t="n">
        <v>0</v>
      </c>
      <c r="BV111" s="147" t="n">
        <v>0</v>
      </c>
      <c r="BW111" s="147" t="n">
        <v>0</v>
      </c>
      <c r="BX111" s="147" t="n">
        <v>0</v>
      </c>
      <c r="BY111" s="147" t="n">
        <v>0</v>
      </c>
      <c r="BZ111" s="147" t="n">
        <v>0</v>
      </c>
      <c r="CA111" s="147" t="n">
        <v>0</v>
      </c>
      <c r="CB111" s="147" t="n">
        <v>-73156</v>
      </c>
      <c r="CC111" s="147" t="n">
        <v>0</v>
      </c>
      <c r="CD111" s="147" t="n">
        <v>0</v>
      </c>
      <c r="CE111" s="147" t="n">
        <v>-73155</v>
      </c>
      <c r="CF111" s="147" t="n">
        <v>0</v>
      </c>
      <c r="CG111" s="147" t="n">
        <v>0</v>
      </c>
      <c r="CH111" s="147" t="n">
        <v>-73155</v>
      </c>
      <c r="CI111" s="147" t="n">
        <v>0</v>
      </c>
      <c r="CJ111" s="147" t="n">
        <v>0</v>
      </c>
      <c r="CK111" s="147" t="n">
        <v>-73155</v>
      </c>
      <c r="CL111" s="147" t="n">
        <v>-73155</v>
      </c>
      <c r="CM111" s="147" t="n">
        <v>-73155</v>
      </c>
      <c r="CN111" s="147" t="n">
        <v>-73155</v>
      </c>
      <c r="CO111" s="147" t="n">
        <v>-73155</v>
      </c>
      <c r="CP111" s="147" t="n">
        <v>-73155</v>
      </c>
      <c r="CQ111" s="147" t="n">
        <v>-73155</v>
      </c>
      <c r="CR111" s="147" t="n">
        <v>-73155</v>
      </c>
      <c r="CS111" s="147" t="n">
        <v>-73155</v>
      </c>
      <c r="CT111" s="147" t="n">
        <v>-73155</v>
      </c>
      <c r="CU111" s="147" t="n">
        <v>-73155</v>
      </c>
      <c r="CV111" s="147" t="n">
        <v>-73155</v>
      </c>
      <c r="CW111" s="147" t="n">
        <v>-73155</v>
      </c>
      <c r="CX111" s="147" t="n">
        <v>-17446.8489364072</v>
      </c>
      <c r="CY111" s="147" t="n">
        <v>0</v>
      </c>
      <c r="CZ111" s="147" t="n">
        <v>0</v>
      </c>
      <c r="DA111" s="147" t="n">
        <v>0</v>
      </c>
      <c r="DB111" s="147" t="n">
        <v>0</v>
      </c>
      <c r="DC111" s="147" t="n">
        <v>0</v>
      </c>
      <c r="DD111" s="147" t="n">
        <v>0</v>
      </c>
      <c r="DE111" s="147" t="n">
        <v>0</v>
      </c>
      <c r="DF111" s="147" t="n">
        <v>0</v>
      </c>
    </row>
    <row r="112" customFormat="false" ht="15" hidden="false" customHeight="true" outlineLevel="0" collapsed="false">
      <c r="A112" s="94" t="s">
        <v>137</v>
      </c>
      <c r="C112" s="151" t="n">
        <v>-196623.84</v>
      </c>
      <c r="D112" s="151" t="n">
        <v>-189707.12</v>
      </c>
      <c r="E112" s="151" t="n">
        <v>-242129.22</v>
      </c>
      <c r="F112" s="151" t="n">
        <v>-78090.0916666666</v>
      </c>
      <c r="G112" s="151" t="n">
        <v>-78090.0916666666</v>
      </c>
      <c r="H112" s="151" t="n">
        <v>-78090.0916666666</v>
      </c>
      <c r="I112" s="151" t="n">
        <v>-78090.0916666666</v>
      </c>
      <c r="J112" s="151" t="n">
        <v>-78090.0916666666</v>
      </c>
      <c r="K112" s="151" t="n">
        <v>-78090.0916666666</v>
      </c>
      <c r="L112" s="151" t="n">
        <v>-78090.0916666666</v>
      </c>
      <c r="M112" s="151" t="n">
        <v>-78090.0916666666</v>
      </c>
      <c r="N112" s="151" t="n">
        <v>-78090.0916666666</v>
      </c>
      <c r="O112" s="151" t="n">
        <v>-78090.0916666666</v>
      </c>
      <c r="P112" s="151" t="n">
        <v>-78090.0916666666</v>
      </c>
      <c r="Q112" s="151" t="n">
        <v>-78090.0916666666</v>
      </c>
      <c r="R112" s="151" t="n">
        <v>-79651.8935</v>
      </c>
      <c r="S112" s="151" t="n">
        <v>-79651.8935</v>
      </c>
      <c r="T112" s="151" t="n">
        <v>-79651.8935</v>
      </c>
      <c r="U112" s="151" t="n">
        <v>-79651.8935</v>
      </c>
      <c r="V112" s="151" t="n">
        <v>-79651.8935</v>
      </c>
      <c r="W112" s="151" t="n">
        <v>-79651.8935</v>
      </c>
      <c r="X112" s="151" t="n">
        <v>-79651.8935</v>
      </c>
      <c r="Y112" s="151" t="n">
        <v>-79651.8935</v>
      </c>
      <c r="Z112" s="151" t="n">
        <v>-79651.8935</v>
      </c>
      <c r="AA112" s="151" t="n">
        <v>-79651.8935</v>
      </c>
      <c r="AB112" s="151" t="n">
        <v>-79651.8935</v>
      </c>
      <c r="AC112" s="151" t="n">
        <v>-79651.8935</v>
      </c>
      <c r="AD112" s="151" t="n">
        <v>-81244.93137</v>
      </c>
      <c r="AE112" s="151" t="n">
        <v>-81244.93137</v>
      </c>
      <c r="AF112" s="151" t="n">
        <v>-81244.93137</v>
      </c>
      <c r="AG112" s="151" t="n">
        <v>-81244.93137</v>
      </c>
      <c r="AH112" s="151" t="n">
        <v>-81244.93137</v>
      </c>
      <c r="AI112" s="151" t="n">
        <v>-81244.93137</v>
      </c>
      <c r="AJ112" s="151" t="n">
        <v>-81244.93137</v>
      </c>
      <c r="AK112" s="151" t="n">
        <v>-81244.93137</v>
      </c>
      <c r="AL112" s="151" t="n">
        <v>-81244.93137</v>
      </c>
      <c r="AM112" s="151" t="n">
        <v>-81244.93137</v>
      </c>
      <c r="AN112" s="151" t="n">
        <v>-81244.93137</v>
      </c>
      <c r="AO112" s="151" t="n">
        <v>-81244.93137</v>
      </c>
      <c r="AP112" s="151" t="n">
        <v>-82869.8299974</v>
      </c>
      <c r="AQ112" s="151" t="n">
        <v>-82869.8299974</v>
      </c>
      <c r="AR112" s="151" t="n">
        <v>-82869.8299974</v>
      </c>
      <c r="AS112" s="151" t="n">
        <v>-82869.8299974</v>
      </c>
      <c r="AT112" s="151" t="n">
        <v>-82869.8299974</v>
      </c>
      <c r="AU112" s="151" t="n">
        <v>-164552.8299974</v>
      </c>
      <c r="AV112" s="151" t="n">
        <v>-82869.8299974</v>
      </c>
      <c r="AW112" s="151" t="n">
        <v>-82869.8299974</v>
      </c>
      <c r="AX112" s="151" t="n">
        <v>-164551.8299974</v>
      </c>
      <c r="AY112" s="151" t="n">
        <v>-82869.8299974</v>
      </c>
      <c r="AZ112" s="151" t="n">
        <v>-82869.8299974</v>
      </c>
      <c r="BA112" s="151" t="n">
        <v>-164551.8299974</v>
      </c>
      <c r="BB112" s="151" t="n">
        <v>-84527.226597348</v>
      </c>
      <c r="BC112" s="151" t="n">
        <v>-84527.226597348</v>
      </c>
      <c r="BD112" s="151" t="n">
        <v>-1018048.22659735</v>
      </c>
      <c r="BE112" s="151" t="n">
        <v>-84527.226597348</v>
      </c>
      <c r="BF112" s="151" t="n">
        <v>-84527.226597348</v>
      </c>
      <c r="BG112" s="151" t="n">
        <v>-215405.226597348</v>
      </c>
      <c r="BH112" s="151" t="n">
        <v>-84527.226597348</v>
      </c>
      <c r="BI112" s="151" t="n">
        <v>-84527.226597348</v>
      </c>
      <c r="BJ112" s="151" t="n">
        <v>-215403.226597348</v>
      </c>
      <c r="BK112" s="151" t="n">
        <v>-84527.226597348</v>
      </c>
      <c r="BL112" s="151" t="n">
        <v>-84527.226597348</v>
      </c>
      <c r="BM112" s="151" t="n">
        <v>-215403.226597348</v>
      </c>
      <c r="BN112" s="151" t="n">
        <v>-86217.771129295</v>
      </c>
      <c r="BO112" s="151" t="n">
        <v>-86217.771129295</v>
      </c>
      <c r="BP112" s="151" t="n">
        <v>-217093.771129295</v>
      </c>
      <c r="BQ112" s="151" t="n">
        <v>-86217.771129295</v>
      </c>
      <c r="BR112" s="151" t="n">
        <v>-86217.771129295</v>
      </c>
      <c r="BS112" s="151" t="n">
        <v>-177110.251129295</v>
      </c>
      <c r="BT112" s="151" t="n">
        <v>-86217.771129295</v>
      </c>
      <c r="BU112" s="151" t="n">
        <v>-86217.771129295</v>
      </c>
      <c r="BV112" s="151" t="n">
        <v>-160857.771129295</v>
      </c>
      <c r="BW112" s="151" t="n">
        <v>-86217.771129295</v>
      </c>
      <c r="BX112" s="151" t="n">
        <v>-86217.771129295</v>
      </c>
      <c r="BY112" s="151" t="n">
        <v>-160857.771129295</v>
      </c>
      <c r="BZ112" s="151" t="n">
        <v>-87942.1265518809</v>
      </c>
      <c r="CA112" s="151" t="n">
        <v>-87942.1265518809</v>
      </c>
      <c r="CB112" s="151" t="n">
        <v>-235738.126551881</v>
      </c>
      <c r="CC112" s="151" t="n">
        <v>-87942.1265518809</v>
      </c>
      <c r="CD112" s="151" t="n">
        <v>-87942.1265518809</v>
      </c>
      <c r="CE112" s="151" t="n">
        <v>-242460.126551881</v>
      </c>
      <c r="CF112" s="151" t="n">
        <v>-87942.1265518809</v>
      </c>
      <c r="CG112" s="151" t="n">
        <v>-87942.1265518809</v>
      </c>
      <c r="CH112" s="151" t="n">
        <v>-242459.126551881</v>
      </c>
      <c r="CI112" s="151" t="n">
        <v>-87942.1265518809</v>
      </c>
      <c r="CJ112" s="151" t="n">
        <v>-87942.1265518809</v>
      </c>
      <c r="CK112" s="151" t="n">
        <v>-235851.099945402</v>
      </c>
      <c r="CL112" s="151" t="n">
        <v>-162855.969082918</v>
      </c>
      <c r="CM112" s="151" t="n">
        <v>-162855.969082918</v>
      </c>
      <c r="CN112" s="151" t="n">
        <v>-162855.969082918</v>
      </c>
      <c r="CO112" s="151" t="n">
        <v>-162855.969082918</v>
      </c>
      <c r="CP112" s="151" t="n">
        <v>-162855.969082918</v>
      </c>
      <c r="CQ112" s="151" t="n">
        <v>-162855.969082918</v>
      </c>
      <c r="CR112" s="151" t="n">
        <v>-162855.969082918</v>
      </c>
      <c r="CS112" s="151" t="n">
        <v>-162855.969082918</v>
      </c>
      <c r="CT112" s="151" t="n">
        <v>-162855.969082918</v>
      </c>
      <c r="CU112" s="151" t="n">
        <v>-160947.475708022</v>
      </c>
      <c r="CV112" s="151" t="n">
        <v>-160947.475708022</v>
      </c>
      <c r="CW112" s="151" t="n">
        <v>-160947.475708022</v>
      </c>
      <c r="CX112" s="151" t="n">
        <v>-106995.17415859</v>
      </c>
      <c r="CY112" s="151" t="n">
        <v>-89548.3252221824</v>
      </c>
      <c r="CZ112" s="151" t="n">
        <v>-89548.3252221824</v>
      </c>
      <c r="DA112" s="151" t="n">
        <v>-89548.3252221824</v>
      </c>
      <c r="DB112" s="151" t="n">
        <v>-89548.3252221824</v>
      </c>
      <c r="DC112" s="151" t="n">
        <v>-89548.3252221824</v>
      </c>
      <c r="DD112" s="151" t="n">
        <v>-89548.3252221824</v>
      </c>
      <c r="DE112" s="151" t="n">
        <v>-89548.3252221824</v>
      </c>
      <c r="DF112" s="151" t="n">
        <v>-89548.3252221824</v>
      </c>
    </row>
    <row r="113" customFormat="false" ht="15" hidden="false" customHeight="true" outlineLevel="0" collapsed="false">
      <c r="A113" s="101"/>
      <c r="C113" s="104"/>
      <c r="D113" s="104"/>
      <c r="E113" s="104"/>
      <c r="F113" s="104"/>
      <c r="G113" s="104"/>
      <c r="H113" s="104"/>
      <c r="I113" s="104"/>
      <c r="J113" s="104"/>
      <c r="K113" s="104"/>
      <c r="L113" s="104"/>
      <c r="M113" s="104"/>
      <c r="N113" s="104"/>
      <c r="O113" s="104"/>
      <c r="P113" s="104"/>
      <c r="Q113" s="104"/>
      <c r="R113" s="104"/>
      <c r="S113" s="104"/>
      <c r="T113" s="104"/>
      <c r="U113" s="104"/>
      <c r="V113" s="104"/>
      <c r="W113" s="104"/>
      <c r="X113" s="104"/>
      <c r="Y113" s="104"/>
      <c r="Z113" s="104"/>
      <c r="AA113" s="104"/>
      <c r="AB113" s="104"/>
      <c r="AC113" s="104"/>
      <c r="AD113" s="104"/>
      <c r="AE113" s="104"/>
      <c r="AF113" s="104"/>
      <c r="AG113" s="104"/>
      <c r="AH113" s="104"/>
      <c r="AI113" s="104"/>
      <c r="AJ113" s="104"/>
      <c r="AK113" s="104"/>
      <c r="AL113" s="104"/>
      <c r="AM113" s="104"/>
      <c r="AN113" s="104"/>
      <c r="AO113" s="104"/>
      <c r="AP113" s="104"/>
      <c r="AQ113" s="104"/>
      <c r="AR113" s="104"/>
      <c r="AS113" s="104"/>
      <c r="AT113" s="104"/>
      <c r="AU113" s="104"/>
      <c r="AV113" s="104"/>
      <c r="AW113" s="104"/>
      <c r="AX113" s="104"/>
      <c r="AY113" s="104"/>
      <c r="AZ113" s="104"/>
      <c r="BA113" s="104"/>
      <c r="BB113" s="104"/>
      <c r="BC113" s="104"/>
      <c r="BD113" s="104"/>
      <c r="BE113" s="104"/>
      <c r="BF113" s="104"/>
      <c r="BG113" s="104"/>
      <c r="BH113" s="104"/>
      <c r="BI113" s="104"/>
      <c r="BJ113" s="104"/>
      <c r="BK113" s="104"/>
      <c r="BL113" s="104"/>
      <c r="BM113" s="104"/>
      <c r="BN113" s="104"/>
      <c r="BO113" s="104"/>
      <c r="BP113" s="104"/>
      <c r="BQ113" s="104"/>
      <c r="BR113" s="104"/>
      <c r="BS113" s="104"/>
      <c r="BT113" s="104"/>
      <c r="BU113" s="104"/>
      <c r="BV113" s="104"/>
      <c r="BW113" s="104"/>
      <c r="BX113" s="104"/>
      <c r="BY113" s="104"/>
      <c r="BZ113" s="104"/>
      <c r="CA113" s="104"/>
      <c r="CB113" s="104"/>
      <c r="CC113" s="104"/>
      <c r="CD113" s="104"/>
      <c r="CE113" s="104"/>
      <c r="CF113" s="104"/>
      <c r="CG113" s="104"/>
      <c r="CH113" s="104"/>
      <c r="CI113" s="104"/>
      <c r="CJ113" s="104"/>
      <c r="CK113" s="104"/>
      <c r="CL113" s="104"/>
      <c r="CM113" s="104"/>
      <c r="CN113" s="104"/>
      <c r="CO113" s="104"/>
      <c r="CP113" s="104"/>
      <c r="CQ113" s="104"/>
      <c r="CR113" s="104"/>
      <c r="CS113" s="104"/>
      <c r="CT113" s="104"/>
      <c r="CU113" s="104"/>
      <c r="CV113" s="104"/>
      <c r="CW113" s="104"/>
      <c r="CX113" s="104"/>
      <c r="CY113" s="104"/>
      <c r="CZ113" s="104"/>
      <c r="DA113" s="104"/>
      <c r="DB113" s="104"/>
      <c r="DC113" s="104"/>
      <c r="DD113" s="104"/>
      <c r="DE113" s="104"/>
      <c r="DF113" s="104"/>
    </row>
    <row r="114" customFormat="false" ht="15" hidden="false" customHeight="true" outlineLevel="0" collapsed="false">
      <c r="A114" s="101" t="s">
        <v>138</v>
      </c>
      <c r="C114" s="155" t="n">
        <v>-162509.26</v>
      </c>
      <c r="D114" s="155" t="n">
        <v>-155592.54</v>
      </c>
      <c r="E114" s="155" t="n">
        <v>-208014.64</v>
      </c>
      <c r="F114" s="155" t="n">
        <v>-34475.5116666666</v>
      </c>
      <c r="G114" s="155" t="n">
        <v>-34475.5116666666</v>
      </c>
      <c r="H114" s="155" t="n">
        <v>-34475.5116666666</v>
      </c>
      <c r="I114" s="155" t="n">
        <v>-34475.5116666666</v>
      </c>
      <c r="J114" s="155" t="n">
        <v>-34475.5116666666</v>
      </c>
      <c r="K114" s="155" t="n">
        <v>-35308.8416666666</v>
      </c>
      <c r="L114" s="155" t="n">
        <v>-35308.8416666666</v>
      </c>
      <c r="M114" s="155" t="n">
        <v>-44683.8416666666</v>
      </c>
      <c r="N114" s="155" t="n">
        <v>-44683.8416666666</v>
      </c>
      <c r="O114" s="155" t="n">
        <v>-44683.8416666666</v>
      </c>
      <c r="P114" s="155" t="n">
        <v>-44683.8416666666</v>
      </c>
      <c r="Q114" s="155" t="n">
        <v>-44683.8416666666</v>
      </c>
      <c r="R114" s="155" t="n">
        <v>-46245.6435</v>
      </c>
      <c r="S114" s="155" t="n">
        <v>-46245.6435</v>
      </c>
      <c r="T114" s="155" t="n">
        <v>-46245.6435</v>
      </c>
      <c r="U114" s="155" t="n">
        <v>-70151.8935</v>
      </c>
      <c r="V114" s="155" t="n">
        <v>-70151.8935</v>
      </c>
      <c r="W114" s="155" t="n">
        <v>-70151.8935</v>
      </c>
      <c r="X114" s="155" t="n">
        <v>-70151.8935</v>
      </c>
      <c r="Y114" s="155" t="n">
        <v>-70151.8935</v>
      </c>
      <c r="Z114" s="155" t="n">
        <v>-12776.8935</v>
      </c>
      <c r="AA114" s="155" t="n">
        <v>-70151.8935</v>
      </c>
      <c r="AB114" s="155" t="n">
        <v>-70151.8935</v>
      </c>
      <c r="AC114" s="155" t="n">
        <v>-12776.8935</v>
      </c>
      <c r="AD114" s="155" t="n">
        <v>-71744.93137</v>
      </c>
      <c r="AE114" s="155" t="n">
        <v>-71744.93137</v>
      </c>
      <c r="AF114" s="155" t="n">
        <v>-14369.93137</v>
      </c>
      <c r="AG114" s="155" t="n">
        <v>-71744.93137</v>
      </c>
      <c r="AH114" s="155" t="n">
        <v>-71744.93137</v>
      </c>
      <c r="AI114" s="155" t="n">
        <v>-71744.93137</v>
      </c>
      <c r="AJ114" s="155" t="n">
        <v>-81244.93137</v>
      </c>
      <c r="AK114" s="155" t="n">
        <v>-81244.93137</v>
      </c>
      <c r="AL114" s="155" t="n">
        <v>-81244.93137</v>
      </c>
      <c r="AM114" s="155" t="n">
        <v>-81244.93137</v>
      </c>
      <c r="AN114" s="155" t="n">
        <v>-81244.93137</v>
      </c>
      <c r="AO114" s="155" t="n">
        <v>-81244.93137</v>
      </c>
      <c r="AP114" s="155" t="n">
        <v>-82869.8299974</v>
      </c>
      <c r="AQ114" s="155" t="n">
        <v>-82869.8299974</v>
      </c>
      <c r="AR114" s="155" t="n">
        <v>-82869.8299974</v>
      </c>
      <c r="AS114" s="155" t="n">
        <v>-82869.8299974</v>
      </c>
      <c r="AT114" s="155" t="n">
        <v>-82869.8299974</v>
      </c>
      <c r="AU114" s="155" t="n">
        <v>-82869.8299974</v>
      </c>
      <c r="AV114" s="155" t="n">
        <v>-82869.8299974</v>
      </c>
      <c r="AW114" s="155" t="n">
        <v>-82869.8299974</v>
      </c>
      <c r="AX114" s="155" t="n">
        <v>-82869.8299974</v>
      </c>
      <c r="AY114" s="155" t="n">
        <v>-82869.8299974</v>
      </c>
      <c r="AZ114" s="155" t="n">
        <v>-82869.8299974</v>
      </c>
      <c r="BA114" s="155" t="n">
        <v>-82869.8299974</v>
      </c>
      <c r="BB114" s="155" t="n">
        <v>-84527.226597348</v>
      </c>
      <c r="BC114" s="155" t="n">
        <v>-84527.226597348</v>
      </c>
      <c r="BD114" s="155" t="n">
        <v>-84527.226597348</v>
      </c>
      <c r="BE114" s="155" t="n">
        <v>-84527.226597348</v>
      </c>
      <c r="BF114" s="155" t="n">
        <v>-84527.226597348</v>
      </c>
      <c r="BG114" s="155" t="n">
        <v>-84527.226597348</v>
      </c>
      <c r="BH114" s="155" t="n">
        <v>-84527.226597348</v>
      </c>
      <c r="BI114" s="155" t="n">
        <v>-84527.226597348</v>
      </c>
      <c r="BJ114" s="155" t="n">
        <v>-84527.226597348</v>
      </c>
      <c r="BK114" s="155" t="n">
        <v>-84527.226597348</v>
      </c>
      <c r="BL114" s="155" t="n">
        <v>-84527.226597348</v>
      </c>
      <c r="BM114" s="155" t="n">
        <v>-84527.226597348</v>
      </c>
      <c r="BN114" s="155" t="n">
        <v>-86217.771129295</v>
      </c>
      <c r="BO114" s="155" t="n">
        <v>-86217.771129295</v>
      </c>
      <c r="BP114" s="155" t="n">
        <v>-86217.771129295</v>
      </c>
      <c r="BQ114" s="155" t="n">
        <v>-86217.771129295</v>
      </c>
      <c r="BR114" s="155" t="n">
        <v>-86217.771129295</v>
      </c>
      <c r="BS114" s="155" t="n">
        <v>-34704.251129295</v>
      </c>
      <c r="BT114" s="155" t="n">
        <v>-86217.771129295</v>
      </c>
      <c r="BU114" s="155" t="n">
        <v>-86217.771129295</v>
      </c>
      <c r="BV114" s="155" t="n">
        <v>-18455.771129295</v>
      </c>
      <c r="BW114" s="155" t="n">
        <v>-86217.771129295</v>
      </c>
      <c r="BX114" s="155" t="n">
        <v>-86217.771129295</v>
      </c>
      <c r="BY114" s="155" t="n">
        <v>-18455.771129295</v>
      </c>
      <c r="BZ114" s="155" t="n">
        <v>-87942.1265518809</v>
      </c>
      <c r="CA114" s="155" t="n">
        <v>-87942.1265518809</v>
      </c>
      <c r="CB114" s="155" t="n">
        <v>-20180.1265518809</v>
      </c>
      <c r="CC114" s="155" t="n">
        <v>-87942.1265518809</v>
      </c>
      <c r="CD114" s="155" t="n">
        <v>-87942.1265518809</v>
      </c>
      <c r="CE114" s="155" t="n">
        <v>-11443.1265518809</v>
      </c>
      <c r="CF114" s="155" t="n">
        <v>-87942.1265518809</v>
      </c>
      <c r="CG114" s="155" t="n">
        <v>-87942.1265518809</v>
      </c>
      <c r="CH114" s="155" t="n">
        <v>-11443.1265518809</v>
      </c>
      <c r="CI114" s="155" t="n">
        <v>-87942.1265518809</v>
      </c>
      <c r="CJ114" s="155" t="n">
        <v>-87942.1265518809</v>
      </c>
      <c r="CK114" s="155" t="n">
        <v>-4835.09994540163</v>
      </c>
      <c r="CL114" s="155" t="n">
        <v>68160.0309170815</v>
      </c>
      <c r="CM114" s="155" t="n">
        <v>68160.0309170815</v>
      </c>
      <c r="CN114" s="155" t="n">
        <v>68160.0309170815</v>
      </c>
      <c r="CO114" s="155" t="n">
        <v>68160.0309170815</v>
      </c>
      <c r="CP114" s="155" t="n">
        <v>68160.0309170815</v>
      </c>
      <c r="CQ114" s="155" t="n">
        <v>68160.0309170815</v>
      </c>
      <c r="CR114" s="155" t="n">
        <v>68160.0309170815</v>
      </c>
      <c r="CS114" s="155" t="n">
        <v>68160.0309170815</v>
      </c>
      <c r="CT114" s="155" t="n">
        <v>68160.0309170815</v>
      </c>
      <c r="CU114" s="155" t="n">
        <v>70068.524291978</v>
      </c>
      <c r="CV114" s="155" t="n">
        <v>70068.524291978</v>
      </c>
      <c r="CW114" s="155" t="n">
        <v>70068.524291978</v>
      </c>
      <c r="CX114" s="155" t="n">
        <v>124020.82584141</v>
      </c>
      <c r="CY114" s="155" t="n">
        <v>141467.674777818</v>
      </c>
      <c r="CZ114" s="155" t="n">
        <v>141467.674777818</v>
      </c>
      <c r="DA114" s="155" t="n">
        <v>141467.674777818</v>
      </c>
      <c r="DB114" s="155" t="n">
        <v>141467.674777818</v>
      </c>
      <c r="DC114" s="155" t="n">
        <v>141467.674777818</v>
      </c>
      <c r="DD114" s="155" t="n">
        <v>141467.674777818</v>
      </c>
      <c r="DE114" s="155" t="n">
        <v>141467.674777818</v>
      </c>
      <c r="DF114" s="155" t="n">
        <v>141467.674777818</v>
      </c>
    </row>
  </sheetData>
  <sheetProtection sheet="true" objects="true" scenarios="tru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S25"/>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D38" activeCellId="0" sqref="D38"/>
    </sheetView>
  </sheetViews>
  <sheetFormatPr defaultColWidth="8.7109375" defaultRowHeight="13.5" zeroHeight="false" outlineLevelRow="0" outlineLevelCol="0"/>
  <cols>
    <col collapsed="false" customWidth="true" hidden="false" outlineLevel="0" max="1" min="1" style="1" width="14"/>
    <col collapsed="false" customWidth="true" hidden="false" outlineLevel="0" max="13" min="2" style="1" width="17"/>
    <col collapsed="false" customWidth="true" hidden="false" outlineLevel="0" max="14" min="14" style="1" width="19"/>
    <col collapsed="false" customWidth="true" hidden="false" outlineLevel="0" max="16" min="15" style="1" width="15"/>
    <col collapsed="false" customWidth="true" hidden="false" outlineLevel="0" max="17" min="17" style="1" width="12"/>
    <col collapsed="false" customWidth="true" hidden="false" outlineLevel="0" max="18" min="18" style="1" width="17"/>
    <col collapsed="false" customWidth="true" hidden="false" outlineLevel="0" max="19" min="19" style="1" width="19"/>
  </cols>
  <sheetData>
    <row r="1" customFormat="false" ht="17.25" hidden="false" customHeight="true" outlineLevel="0" collapsed="false">
      <c r="A1" s="94" t="s">
        <v>514</v>
      </c>
    </row>
    <row r="2" customFormat="false" ht="15" hidden="false" customHeight="true" outlineLevel="0" collapsed="false">
      <c r="A2" s="72" t="s">
        <v>515</v>
      </c>
    </row>
    <row r="4" customFormat="false" ht="31.5" hidden="false" customHeight="true" outlineLevel="0" collapsed="false">
      <c r="A4" s="111" t="s">
        <v>516</v>
      </c>
      <c r="B4" s="111" t="s">
        <v>517</v>
      </c>
      <c r="C4" s="111" t="s">
        <v>518</v>
      </c>
      <c r="D4" s="111" t="s">
        <v>519</v>
      </c>
      <c r="E4" s="111" t="s">
        <v>520</v>
      </c>
      <c r="F4" s="111" t="s">
        <v>521</v>
      </c>
      <c r="G4" s="111" t="s">
        <v>522</v>
      </c>
      <c r="H4" s="111" t="s">
        <v>523</v>
      </c>
      <c r="I4" s="156" t="s">
        <v>524</v>
      </c>
      <c r="J4" s="111" t="s">
        <v>525</v>
      </c>
      <c r="K4" s="111" t="s">
        <v>526</v>
      </c>
      <c r="L4" s="111" t="s">
        <v>527</v>
      </c>
      <c r="M4" s="156" t="s">
        <v>528</v>
      </c>
      <c r="N4" s="156" t="s">
        <v>529</v>
      </c>
      <c r="O4" s="156" t="s">
        <v>530</v>
      </c>
      <c r="P4" s="156" t="s">
        <v>531</v>
      </c>
      <c r="Q4" s="156" t="s">
        <v>532</v>
      </c>
      <c r="R4" s="156" t="s">
        <v>533</v>
      </c>
      <c r="S4" s="156" t="s">
        <v>534</v>
      </c>
    </row>
    <row r="5" customFormat="false" ht="15" hidden="false" customHeight="true" outlineLevel="0" collapsed="false">
      <c r="A5" s="157" t="s">
        <v>268</v>
      </c>
      <c r="B5" s="158" t="n">
        <f aca="false">SUM(Helpers!C96:N96)</f>
        <v>0</v>
      </c>
      <c r="C5" s="158" t="n">
        <f aca="false">(SUM(Helpers!C97:N97)-SUM(Helpers!C96:N96))*(Assumptions!$B$10+Assumptions!$B$12)/Assumptions!$B$9</f>
        <v>0</v>
      </c>
      <c r="D5" s="158" t="n">
        <f aca="false">(SUM(Helpers!C97:N97)-SUM(Helpers!C96:N96))*Assumptions!$B$11/Assumptions!$B$9</f>
        <v>0</v>
      </c>
      <c r="E5" s="158" t="n">
        <v>0</v>
      </c>
      <c r="F5" s="159" t="n">
        <f aca="false">SUM(Helpers!C97:N97)</f>
        <v>0</v>
      </c>
      <c r="G5" s="158" t="n">
        <f aca="false">SUM(Helpers!C99:N99)</f>
        <v>3237452.20785205</v>
      </c>
      <c r="H5" s="159" t="n">
        <f aca="false">SUM(Helpers!C100:N100)</f>
        <v>0</v>
      </c>
      <c r="I5" s="160" t="n">
        <f aca="false">-SUM(Model!B234:M234)</f>
        <v>-0</v>
      </c>
      <c r="J5" s="158" t="n">
        <f aca="false">Personnel!$C$46*9/12</f>
        <v>166500</v>
      </c>
      <c r="K5" s="161" t="n">
        <f aca="false">I5+J5</f>
        <v>166500</v>
      </c>
      <c r="L5" s="162" t="n">
        <f aca="false">IFERROR(I5/K5,0)</f>
        <v>-0</v>
      </c>
      <c r="M5" s="160" t="n">
        <f aca="false">SUM(Helpers!C101:N101)</f>
        <v>0</v>
      </c>
      <c r="N5" s="160" t="n">
        <f aca="false">B5-M5</f>
        <v>0</v>
      </c>
      <c r="O5" s="160" t="n">
        <f aca="false">IFERROR(H5*M5/B5,0)</f>
        <v>0</v>
      </c>
      <c r="P5" s="160" t="n">
        <f aca="false">H5-O5</f>
        <v>0</v>
      </c>
      <c r="Q5" s="163" t="n">
        <f aca="false">IF(N5&gt;=Assumptions!$B$86,Assumptions!$C$86,IF(N5&gt;=Assumptions!$B$85,Assumptions!$C$85,IF(N5&gt;=Assumptions!$B$84,Assumptions!$C$84,Assumptions!$C$83)))</f>
        <v>0.25</v>
      </c>
      <c r="R5" s="160" t="n">
        <f aca="false">O5*Q5*0.1</f>
        <v>0</v>
      </c>
      <c r="S5" s="160" t="n">
        <f aca="false">P5*0.1</f>
        <v>0</v>
      </c>
    </row>
    <row r="6" customFormat="false" ht="15" hidden="false" customHeight="true" outlineLevel="0" collapsed="false">
      <c r="A6" s="164" t="s">
        <v>269</v>
      </c>
      <c r="B6" s="165" t="n">
        <f aca="false">SUM(Helpers!O96:Z96)</f>
        <v>26182677.7591805</v>
      </c>
      <c r="C6" s="165" t="n">
        <f aca="false">(SUM(Helpers!O97:Z97)-SUM(Helpers!O96:Z96))*(Assumptions!$B$10+Assumptions!$B$12)/Assumptions!$B$9</f>
        <v>1837877.54112971</v>
      </c>
      <c r="D6" s="165" t="n">
        <f aca="false">(SUM(Helpers!O97:Z97)-SUM(Helpers!O96:Z96))*Assumptions!$B$11/Assumptions!$B$9</f>
        <v>1378401.47702782</v>
      </c>
      <c r="E6" s="165" t="n">
        <v>0</v>
      </c>
      <c r="F6" s="166" t="n">
        <f aca="false">SUM(Helpers!O97:Z97)</f>
        <v>29398956.777338</v>
      </c>
      <c r="G6" s="165" t="n">
        <f aca="false">SUM(Helpers!O99:Z99)</f>
        <v>6166974.9733087</v>
      </c>
      <c r="H6" s="166" t="n">
        <f aca="false">SUM(Helpers!O100:Z100)</f>
        <v>1592992.59571297</v>
      </c>
      <c r="I6" s="167" t="n">
        <f aca="false">-SUM(Model!N234:Y234)</f>
        <v>213230.020825</v>
      </c>
      <c r="J6" s="165" t="n">
        <f aca="false">Personnel!$C$46</f>
        <v>222000</v>
      </c>
      <c r="K6" s="168" t="n">
        <f aca="false">I6+J6</f>
        <v>435230.020825</v>
      </c>
      <c r="L6" s="169" t="n">
        <f aca="false">IFERROR(I6/K6,0)</f>
        <v>0.489924891717745</v>
      </c>
      <c r="M6" s="160" t="n">
        <f aca="false">SUM(Helpers!O101:Z101)</f>
        <v>24699166.9350593</v>
      </c>
      <c r="N6" s="160" t="n">
        <f aca="false">B6-M6</f>
        <v>1483510.82412124</v>
      </c>
      <c r="O6" s="160" t="n">
        <f aca="false">IFERROR(H6*M6/B6,0)</f>
        <v>1502733.61684834</v>
      </c>
      <c r="P6" s="160" t="n">
        <f aca="false">H6-O6</f>
        <v>90258.9788646256</v>
      </c>
      <c r="Q6" s="163" t="n">
        <f aca="false">IF(N6&gt;=Assumptions!$B$86,Assumptions!$C$86,IF(N6&gt;=Assumptions!$B$85,Assumptions!$C$85,IF(N6&gt;=Assumptions!$B$84,Assumptions!$C$84,Assumptions!$C$83)))</f>
        <v>0.25</v>
      </c>
      <c r="R6" s="160" t="n">
        <f aca="false">O6*Q6*0.1</f>
        <v>37568.3404212085</v>
      </c>
      <c r="S6" s="160" t="n">
        <f aca="false">P6*0.1</f>
        <v>9025.89788646256</v>
      </c>
    </row>
    <row r="7" customFormat="false" ht="15" hidden="false" customHeight="true" outlineLevel="0" collapsed="false">
      <c r="A7" s="157" t="s">
        <v>270</v>
      </c>
      <c r="B7" s="158" t="n">
        <f aca="false">SUM(Helpers!AA96:AL96)</f>
        <v>72261420.9414803</v>
      </c>
      <c r="C7" s="158" t="n">
        <f aca="false">(SUM(Helpers!AA97:AL97)-SUM(Helpers!AA96:AL96))*(Assumptions!$B$10+Assumptions!$B$12)/Assumptions!$B$9</f>
        <v>4621295.95046853</v>
      </c>
      <c r="D7" s="158" t="n">
        <f aca="false">(SUM(Helpers!AA97:AL97)-SUM(Helpers!AA96:AL96))*Assumptions!$B$11/Assumptions!$B$9</f>
        <v>3465955.1691311</v>
      </c>
      <c r="E7" s="158" t="n">
        <v>0</v>
      </c>
      <c r="F7" s="159" t="n">
        <f aca="false">SUM(Helpers!AA97:AL97)</f>
        <v>80348672.0610799</v>
      </c>
      <c r="G7" s="158" t="n">
        <f aca="false">SUM(Helpers!AA99:AL99)</f>
        <v>9495875.04789933</v>
      </c>
      <c r="H7" s="159" t="n">
        <f aca="false">SUM(Helpers!AA100:AL100)</f>
        <v>4656498.44405513</v>
      </c>
      <c r="I7" s="160" t="n">
        <f aca="false">-SUM(Model!Z234:AK234)</f>
        <v>210000</v>
      </c>
      <c r="J7" s="158" t="n">
        <f aca="false">Personnel!$C$46</f>
        <v>222000</v>
      </c>
      <c r="K7" s="161" t="n">
        <f aca="false">I7+J7</f>
        <v>432000</v>
      </c>
      <c r="L7" s="162" t="n">
        <f aca="false">IFERROR(I7/K7,0)</f>
        <v>0.486111111111111</v>
      </c>
      <c r="M7" s="160" t="n">
        <f aca="false">SUM(Helpers!AA101:AL101)</f>
        <v>35966633.9093678</v>
      </c>
      <c r="N7" s="160" t="n">
        <f aca="false">B7-M7</f>
        <v>36294787.0321126</v>
      </c>
      <c r="O7" s="160" t="n">
        <f aca="false">IFERROR(H7*M7/B7,0)</f>
        <v>2317676.19090276</v>
      </c>
      <c r="P7" s="160" t="n">
        <f aca="false">H7-O7</f>
        <v>2338822.25315236</v>
      </c>
      <c r="Q7" s="163" t="n">
        <f aca="false">IF(N7&gt;=Assumptions!$B$86,Assumptions!$C$86,IF(N7&gt;=Assumptions!$B$85,Assumptions!$C$85,IF(N7&gt;=Assumptions!$B$84,Assumptions!$C$84,Assumptions!$C$83)))</f>
        <v>0.5</v>
      </c>
      <c r="R7" s="160" t="n">
        <f aca="false">O7*Q7*0.1</f>
        <v>115883.809545138</v>
      </c>
      <c r="S7" s="160" t="n">
        <f aca="false">P7*0.1</f>
        <v>233882.225315236</v>
      </c>
    </row>
    <row r="8" customFormat="false" ht="15" hidden="false" customHeight="true" outlineLevel="0" collapsed="false">
      <c r="A8" s="164" t="s">
        <v>271</v>
      </c>
      <c r="B8" s="165" t="n">
        <f aca="false">SUM(Helpers!AM96:AX96)</f>
        <v>124647965.629339</v>
      </c>
      <c r="C8" s="165" t="n">
        <f aca="false">(SUM(Helpers!AM97:AX97)-SUM(Helpers!AM96:AX96))*(Assumptions!$B$10+Assumptions!$B$12)/Assumptions!$B$9</f>
        <v>8283045.2214641</v>
      </c>
      <c r="D8" s="165" t="n">
        <f aca="false">(SUM(Helpers!AM97:AX97)-SUM(Helpers!AM96:AX96))*Assumptions!$B$11/Assumptions!$B$9</f>
        <v>6212253.81563575</v>
      </c>
      <c r="E8" s="165" t="n">
        <v>0</v>
      </c>
      <c r="F8" s="166" t="n">
        <f aca="false">SUM(Helpers!AM97:AX97)</f>
        <v>139143264.666439</v>
      </c>
      <c r="G8" s="165" t="n">
        <f aca="false">SUM(Helpers!AM99:AX99)</f>
        <v>10936868.1387736</v>
      </c>
      <c r="H8" s="166" t="n">
        <f aca="false">SUM(Helpers!AM100:AX100)</f>
        <v>8520064.26017187</v>
      </c>
      <c r="I8" s="167" t="n">
        <f aca="false">-SUM(Model!AL234:AW234)</f>
        <v>622014.744151135</v>
      </c>
      <c r="J8" s="165" t="n">
        <f aca="false">Personnel!$C$46</f>
        <v>222000</v>
      </c>
      <c r="K8" s="168" t="n">
        <f aca="false">I8+J8</f>
        <v>844014.744151135</v>
      </c>
      <c r="L8" s="169" t="n">
        <f aca="false">IFERROR(I8/K8,0)</f>
        <v>0.736971419589031</v>
      </c>
      <c r="M8" s="160" t="n">
        <f aca="false">SUM(Helpers!AM101:AX101)</f>
        <v>18679180.905573</v>
      </c>
      <c r="N8" s="160" t="n">
        <f aca="false">B8-M8</f>
        <v>105968784.723766</v>
      </c>
      <c r="O8" s="160" t="n">
        <f aca="false">IFERROR(H8*M8/B8,0)</f>
        <v>1276778.33199548</v>
      </c>
      <c r="P8" s="160" t="n">
        <f aca="false">H8-O8</f>
        <v>7243285.92817639</v>
      </c>
      <c r="Q8" s="163" t="n">
        <f aca="false">IF(N8&gt;=Assumptions!$B$86,Assumptions!$C$86,IF(N8&gt;=Assumptions!$B$85,Assumptions!$C$85,IF(N8&gt;=Assumptions!$B$84,Assumptions!$C$84,Assumptions!$C$83)))</f>
        <v>1</v>
      </c>
      <c r="R8" s="160" t="n">
        <f aca="false">O8*Q8*0.1</f>
        <v>127677.833199548</v>
      </c>
      <c r="S8" s="160" t="n">
        <f aca="false">P8*0.1</f>
        <v>724328.59281764</v>
      </c>
    </row>
    <row r="9" customFormat="false" ht="15" hidden="false" customHeight="true" outlineLevel="0" collapsed="false">
      <c r="A9" s="157" t="s">
        <v>272</v>
      </c>
      <c r="B9" s="158" t="n">
        <f aca="false">SUM(Helpers!AY96:BJ96)</f>
        <v>124186779</v>
      </c>
      <c r="C9" s="158" t="n">
        <f aca="false">(SUM(Helpers!AY97:BJ97)-SUM(Helpers!AY96:BJ96))*(Assumptions!$B$10+Assumptions!$B$12)/Assumptions!$B$9</f>
        <v>9163493.99999999</v>
      </c>
      <c r="D9" s="158" t="n">
        <f aca="false">(SUM(Helpers!AY97:BJ97)-SUM(Helpers!AY96:BJ96))*Assumptions!$B$11/Assumptions!$B$9</f>
        <v>6872587.2</v>
      </c>
      <c r="E9" s="158" t="n">
        <v>0</v>
      </c>
      <c r="F9" s="159" t="n">
        <f aca="false">SUM(Helpers!AY97:BJ97)</f>
        <v>140222860.2</v>
      </c>
      <c r="G9" s="158" t="n">
        <f aca="false">SUM(Helpers!AY99:BJ99)</f>
        <v>10581455.9420296</v>
      </c>
      <c r="H9" s="159" t="n">
        <f aca="false">SUM(Helpers!AY100:BJ100)</f>
        <v>9391725.69294301</v>
      </c>
      <c r="I9" s="160" t="n">
        <f aca="false">-SUM(Model!AX234:BI234)</f>
        <v>1077165.14632406</v>
      </c>
      <c r="J9" s="158" t="n">
        <f aca="false">Personnel!$C$46</f>
        <v>222000</v>
      </c>
      <c r="K9" s="161" t="n">
        <f aca="false">I9+J9</f>
        <v>1299165.14632406</v>
      </c>
      <c r="L9" s="162" t="n">
        <f aca="false">IFERROR(I9/K9,0)</f>
        <v>0.829121031588523</v>
      </c>
      <c r="M9" s="160" t="n">
        <f aca="false">SUM(Helpers!AY101:BJ101)</f>
        <v>20689161</v>
      </c>
      <c r="N9" s="160" t="n">
        <f aca="false">B9-M9</f>
        <v>103497618</v>
      </c>
      <c r="O9" s="160" t="n">
        <f aca="false">IFERROR(H9*M9/B9,0)</f>
        <v>1564634.54881243</v>
      </c>
      <c r="P9" s="160" t="n">
        <f aca="false">H9-O9</f>
        <v>7827091.14413057</v>
      </c>
      <c r="Q9" s="163" t="n">
        <f aca="false">IF(N9&gt;=Assumptions!$B$86,Assumptions!$C$86,IF(N9&gt;=Assumptions!$B$85,Assumptions!$C$85,IF(N9&gt;=Assumptions!$B$84,Assumptions!$C$84,Assumptions!$C$83)))</f>
        <v>1</v>
      </c>
      <c r="R9" s="160" t="n">
        <f aca="false">O9*Q9*0.1</f>
        <v>156463.454881243</v>
      </c>
      <c r="S9" s="160" t="n">
        <f aca="false">P9*0.1</f>
        <v>782709.114413057</v>
      </c>
    </row>
    <row r="10" customFormat="false" ht="15" hidden="false" customHeight="true" outlineLevel="0" collapsed="false">
      <c r="A10" s="164" t="s">
        <v>273</v>
      </c>
      <c r="B10" s="165" t="n">
        <f aca="false">SUM(Helpers!BK96:BV96)</f>
        <v>101576343</v>
      </c>
      <c r="C10" s="165" t="n">
        <f aca="false">(SUM(Helpers!BK97:BV97)-SUM(Helpers!BK96:BV96))*(Assumptions!$B$10+Assumptions!$B$12)/Assumptions!$B$9</f>
        <v>6449531.25</v>
      </c>
      <c r="D10" s="165" t="n">
        <f aca="false">(SUM(Helpers!BK97:BV97)-SUM(Helpers!BK96:BV96))*Assumptions!$B$11/Assumptions!$B$9</f>
        <v>4837125</v>
      </c>
      <c r="E10" s="165" t="n">
        <v>0</v>
      </c>
      <c r="F10" s="166" t="n">
        <f aca="false">SUM(Helpers!BK97:BV97)</f>
        <v>112862999.25</v>
      </c>
      <c r="G10" s="165" t="n">
        <f aca="false">SUM(Helpers!BK99:BV99)</f>
        <v>4946706.45924186</v>
      </c>
      <c r="H10" s="166" t="n">
        <f aca="false">SUM(Helpers!BK100:BV100)</f>
        <v>4946706.45924186</v>
      </c>
      <c r="I10" s="167" t="n">
        <f aca="false">-SUM(Model!BJ234:BU234)</f>
        <v>347259.657113037</v>
      </c>
      <c r="J10" s="165" t="n">
        <f aca="false">Personnel!$C$46</f>
        <v>222000</v>
      </c>
      <c r="K10" s="168" t="n">
        <f aca="false">I10+J10</f>
        <v>569259.657113037</v>
      </c>
      <c r="L10" s="169" t="n">
        <f aca="false">IFERROR(I10/K10,0)</f>
        <v>0.610019791098744</v>
      </c>
      <c r="M10" s="160" t="n">
        <f aca="false">SUM(Helpers!BK101:BV101)</f>
        <v>20255685</v>
      </c>
      <c r="N10" s="160" t="n">
        <f aca="false">B10-M10</f>
        <v>81320658</v>
      </c>
      <c r="O10" s="160" t="n">
        <f aca="false">IFERROR(H10*M10/B10,0)</f>
        <v>986439.606571271</v>
      </c>
      <c r="P10" s="160" t="n">
        <f aca="false">H10-O10</f>
        <v>3960266.85267059</v>
      </c>
      <c r="Q10" s="163" t="n">
        <f aca="false">IF(N10&gt;=Assumptions!$B$86,Assumptions!$C$86,IF(N10&gt;=Assumptions!$B$85,Assumptions!$C$85,IF(N10&gt;=Assumptions!$B$84,Assumptions!$C$84,Assumptions!$C$83)))</f>
        <v>1</v>
      </c>
      <c r="R10" s="160" t="n">
        <f aca="false">O10*Q10*0.1</f>
        <v>98643.9606571271</v>
      </c>
      <c r="S10" s="160" t="n">
        <f aca="false">P10*0.1</f>
        <v>396026.685267059</v>
      </c>
    </row>
    <row r="11" customFormat="false" ht="15" hidden="false" customHeight="true" outlineLevel="0" collapsed="false">
      <c r="A11" s="157" t="s">
        <v>274</v>
      </c>
      <c r="B11" s="158" t="n">
        <f aca="false">SUM(Helpers!BW96:CH96)</f>
        <v>8436822</v>
      </c>
      <c r="C11" s="158" t="n">
        <f aca="false">(SUM(Helpers!BW97:CH97)-SUM(Helpers!BW96:CH96))*(Assumptions!$B$10+Assumptions!$B$12)/Assumptions!$B$9</f>
        <v>1104159.75</v>
      </c>
      <c r="D11" s="158" t="n">
        <f aca="false">(SUM(Helpers!BW97:CH97)-SUM(Helpers!BW96:CH96))*Assumptions!$B$11/Assumptions!$B$9</f>
        <v>828115.8</v>
      </c>
      <c r="E11" s="158" t="n">
        <v>0</v>
      </c>
      <c r="F11" s="159" t="n">
        <f aca="false">SUM(Helpers!BW97:CH97)</f>
        <v>10369097.55</v>
      </c>
      <c r="G11" s="158" t="n">
        <f aca="false">SUM(Helpers!BW99:CH99)</f>
        <v>-3186050.90305568</v>
      </c>
      <c r="H11" s="159" t="n">
        <f aca="false">SUM(Helpers!BW100:CH100)</f>
        <v>-185652.637471315</v>
      </c>
      <c r="I11" s="160" t="n">
        <f aca="false">-SUM(Model!BV234:CG234)</f>
        <v>156475.237116228</v>
      </c>
      <c r="J11" s="158" t="n">
        <f aca="false">Personnel!$C$46</f>
        <v>222000</v>
      </c>
      <c r="K11" s="161" t="n">
        <f aca="false">I11+J11</f>
        <v>378475.237116228</v>
      </c>
      <c r="L11" s="162" t="n">
        <f aca="false">IFERROR(I11/K11,0)</f>
        <v>0.41343586520609</v>
      </c>
      <c r="M11" s="160" t="n">
        <f aca="false">SUM(Helpers!BW101:CH101)</f>
        <v>2975850</v>
      </c>
      <c r="N11" s="160" t="n">
        <f aca="false">B11-M11</f>
        <v>5460972</v>
      </c>
      <c r="O11" s="160" t="n">
        <f aca="false">IFERROR(H11*M11/B11,0)</f>
        <v>-65483.7095317422</v>
      </c>
      <c r="P11" s="160" t="n">
        <f aca="false">H11-O11</f>
        <v>-120168.927939573</v>
      </c>
      <c r="Q11" s="163" t="n">
        <f aca="false">IF(N11&gt;=Assumptions!$B$86,Assumptions!$C$86,IF(N11&gt;=Assumptions!$B$85,Assumptions!$C$85,IF(N11&gt;=Assumptions!$B$84,Assumptions!$C$84,Assumptions!$C$83)))</f>
        <v>0.25</v>
      </c>
      <c r="R11" s="160" t="n">
        <f aca="false">O11*Q11*0.1</f>
        <v>-1637.09273829356</v>
      </c>
      <c r="S11" s="160" t="n">
        <f aca="false">P11*0.1</f>
        <v>-12016.8927939573</v>
      </c>
    </row>
    <row r="12" customFormat="false" ht="15" hidden="false" customHeight="true" outlineLevel="0" collapsed="false">
      <c r="A12" s="164" t="s">
        <v>275</v>
      </c>
      <c r="B12" s="165" t="n">
        <f aca="false">SUM(Helpers!CI96:CT96)</f>
        <v>0</v>
      </c>
      <c r="C12" s="165" t="n">
        <f aca="false">(SUM(Helpers!CI97:CT97)-SUM(Helpers!CI96:CT96))*(Assumptions!$B$10+Assumptions!$B$12)/Assumptions!$B$9</f>
        <v>0</v>
      </c>
      <c r="D12" s="165" t="n">
        <f aca="false">(SUM(Helpers!CI97:CT97)-SUM(Helpers!CI96:CT96))*Assumptions!$B$11/Assumptions!$B$9</f>
        <v>0</v>
      </c>
      <c r="E12" s="165" t="n">
        <v>0</v>
      </c>
      <c r="F12" s="166" t="n">
        <f aca="false">SUM(Helpers!CI97:CT97)</f>
        <v>0</v>
      </c>
      <c r="G12" s="165" t="n">
        <f aca="false">SUM(Helpers!CI99:CT99)</f>
        <v>-5220692.98211679</v>
      </c>
      <c r="H12" s="166" t="n">
        <f aca="false">SUM(Helpers!CI100:CT100)</f>
        <v>0</v>
      </c>
      <c r="I12" s="167" t="n">
        <f aca="false">-SUM(Model!CH234:CS234)</f>
        <v>-0</v>
      </c>
      <c r="J12" s="165" t="n">
        <f aca="false">Personnel!$C$46</f>
        <v>222000</v>
      </c>
      <c r="K12" s="168" t="n">
        <f aca="false">I12+J12</f>
        <v>222000</v>
      </c>
      <c r="L12" s="169" t="n">
        <f aca="false">IFERROR(I12/K12,0)</f>
        <v>-0</v>
      </c>
      <c r="M12" s="160" t="n">
        <f aca="false">SUM(Helpers!CI101:CT101)</f>
        <v>0</v>
      </c>
      <c r="N12" s="160" t="n">
        <f aca="false">B12-M12</f>
        <v>0</v>
      </c>
      <c r="O12" s="160" t="n">
        <f aca="false">IFERROR(H12*M12/B12,0)</f>
        <v>0</v>
      </c>
      <c r="P12" s="160" t="n">
        <f aca="false">H12-O12</f>
        <v>0</v>
      </c>
      <c r="Q12" s="163" t="n">
        <f aca="false">IF(N12&gt;=Assumptions!$B$86,Assumptions!$C$86,IF(N12&gt;=Assumptions!$B$85,Assumptions!$C$85,IF(N12&gt;=Assumptions!$B$84,Assumptions!$C$84,Assumptions!$C$83)))</f>
        <v>0.25</v>
      </c>
      <c r="R12" s="160" t="n">
        <f aca="false">O12*Q12*0.1</f>
        <v>0</v>
      </c>
      <c r="S12" s="160" t="n">
        <f aca="false">P12*0.1</f>
        <v>0</v>
      </c>
    </row>
    <row r="13" customFormat="false" ht="15" hidden="false" customHeight="true" outlineLevel="0" collapsed="false">
      <c r="A13" s="137" t="s">
        <v>535</v>
      </c>
      <c r="B13" s="170" t="n">
        <f aca="false">SUM(B5:B12)</f>
        <v>457292008.33</v>
      </c>
      <c r="C13" s="170" t="n">
        <f aca="false">SUM(C5:C12)</f>
        <v>31459403.7130623</v>
      </c>
      <c r="D13" s="170" t="n">
        <f aca="false">SUM(D5:D12)</f>
        <v>23594438.4617947</v>
      </c>
      <c r="E13" s="170" t="n">
        <f aca="false">SUM(E5:E12)</f>
        <v>0</v>
      </c>
      <c r="F13" s="170" t="n">
        <f aca="false">SUM(F5:F12)</f>
        <v>512345850.504857</v>
      </c>
      <c r="G13" s="170" t="n">
        <f aca="false">SUM(G5:G12)</f>
        <v>36958588.8839327</v>
      </c>
      <c r="H13" s="170" t="n">
        <f aca="false">SUM(H5:H12)</f>
        <v>28922334.8146535</v>
      </c>
      <c r="I13" s="171" t="n">
        <f aca="false">SUM(I5:I12)</f>
        <v>2626144.80552946</v>
      </c>
      <c r="J13" s="170" t="n">
        <f aca="false">SUM(J5:J12)</f>
        <v>1720500</v>
      </c>
      <c r="K13" s="170" t="n">
        <f aca="false">SUM(K5:K12)</f>
        <v>4346644.80552946</v>
      </c>
      <c r="L13" s="172" t="n">
        <f aca="false">IFERROR(I13/K13,0)</f>
        <v>0.604177457101782</v>
      </c>
      <c r="M13" s="173" t="n">
        <f aca="false">SUM(M5:M12)</f>
        <v>123265677.75</v>
      </c>
      <c r="N13" s="173" t="n">
        <f aca="false">SUM(N5:N12)</f>
        <v>334026330.58</v>
      </c>
      <c r="O13" s="173" t="n">
        <f aca="false">SUM(O5:O12)</f>
        <v>7582778.58559854</v>
      </c>
      <c r="P13" s="173" t="n">
        <f aca="false">SUM(P5:P12)</f>
        <v>21339556.229055</v>
      </c>
      <c r="Q13" s="174" t="n">
        <f aca="false">IFERROR(R13/O13,0)</f>
        <v>0.070501901108032</v>
      </c>
      <c r="R13" s="173" t="n">
        <f aca="false">SUM(R5:R12)</f>
        <v>534600.305965971</v>
      </c>
      <c r="S13" s="173" t="n">
        <f aca="false">SUM(S5:S12)</f>
        <v>2133955.6229055</v>
      </c>
    </row>
    <row r="15" customFormat="false" ht="15" hidden="false" customHeight="true" outlineLevel="0" collapsed="false">
      <c r="A15" s="94" t="s">
        <v>200</v>
      </c>
    </row>
    <row r="16" customFormat="false" ht="15" hidden="false" customHeight="true" outlineLevel="0" collapsed="false">
      <c r="A16" s="175" t="s">
        <v>536</v>
      </c>
      <c r="B16" s="175"/>
      <c r="C16" s="175"/>
      <c r="D16" s="175"/>
      <c r="E16" s="175"/>
      <c r="F16" s="175"/>
      <c r="G16" s="175"/>
      <c r="H16" s="175"/>
    </row>
    <row r="17" customFormat="false" ht="15" hidden="false" customHeight="true" outlineLevel="0" collapsed="false">
      <c r="A17" s="175" t="s">
        <v>537</v>
      </c>
      <c r="B17" s="175"/>
      <c r="C17" s="175"/>
      <c r="D17" s="175"/>
      <c r="E17" s="175"/>
      <c r="F17" s="175"/>
      <c r="G17" s="175"/>
      <c r="H17" s="175"/>
    </row>
    <row r="18" customFormat="false" ht="15" hidden="false" customHeight="true" outlineLevel="0" collapsed="false">
      <c r="A18" s="175" t="s">
        <v>538</v>
      </c>
      <c r="B18" s="175"/>
      <c r="C18" s="175"/>
      <c r="D18" s="175"/>
      <c r="E18" s="175"/>
      <c r="F18" s="175"/>
      <c r="G18" s="175"/>
      <c r="H18" s="175"/>
    </row>
    <row r="19" customFormat="false" ht="15" hidden="false" customHeight="true" outlineLevel="0" collapsed="false">
      <c r="A19" s="175" t="s">
        <v>539</v>
      </c>
      <c r="B19" s="175"/>
      <c r="C19" s="175"/>
      <c r="D19" s="175"/>
      <c r="E19" s="175"/>
      <c r="F19" s="175"/>
      <c r="G19" s="175"/>
      <c r="H19" s="175"/>
    </row>
    <row r="20" customFormat="false" ht="15" hidden="false" customHeight="true" outlineLevel="0" collapsed="false">
      <c r="A20" s="175" t="s">
        <v>540</v>
      </c>
      <c r="B20" s="175"/>
      <c r="C20" s="175"/>
      <c r="D20" s="175"/>
      <c r="E20" s="175"/>
      <c r="F20" s="175"/>
      <c r="G20" s="175"/>
      <c r="H20" s="175"/>
    </row>
    <row r="21" customFormat="false" ht="15" hidden="false" customHeight="true" outlineLevel="0" collapsed="false">
      <c r="A21" s="72" t="s">
        <v>541</v>
      </c>
    </row>
    <row r="22" customFormat="false" ht="15" hidden="false" customHeight="true" outlineLevel="0" collapsed="false">
      <c r="A22" s="72" t="s">
        <v>542</v>
      </c>
    </row>
    <row r="23" customFormat="false" ht="15" hidden="false" customHeight="true" outlineLevel="0" collapsed="false">
      <c r="A23" s="72" t="s">
        <v>543</v>
      </c>
    </row>
    <row r="24" customFormat="false" ht="15" hidden="false" customHeight="true" outlineLevel="0" collapsed="false">
      <c r="A24" s="72" t="s">
        <v>544</v>
      </c>
    </row>
    <row r="25" customFormat="false" ht="15" hidden="false" customHeight="true" outlineLevel="0" collapsed="false">
      <c r="A25" s="72" t="s">
        <v>545</v>
      </c>
    </row>
  </sheetData>
  <mergeCells count="5">
    <mergeCell ref="A16:H16"/>
    <mergeCell ref="A17:H17"/>
    <mergeCell ref="A18:H18"/>
    <mergeCell ref="A19:H19"/>
    <mergeCell ref="A20:H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W4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0" ySplit="1" topLeftCell="A2" activePane="bottomLeft" state="frozen"/>
      <selection pane="topLeft" activeCell="A1" activeCellId="0" sqref="A1"/>
      <selection pane="bottomLeft" activeCell="D7" activeCellId="0" sqref="D7"/>
    </sheetView>
  </sheetViews>
  <sheetFormatPr defaultColWidth="8.7109375" defaultRowHeight="13.5" zeroHeight="false" outlineLevelRow="0" outlineLevelCol="0"/>
  <cols>
    <col collapsed="false" customWidth="true" hidden="false" outlineLevel="0" max="2" min="1" style="1" width="14"/>
    <col collapsed="false" customWidth="true" hidden="false" outlineLevel="0" max="12" min="3" style="1" width="12"/>
    <col collapsed="false" customWidth="true" hidden="false" outlineLevel="0" max="13" min="13" style="1" width="9"/>
    <col collapsed="false" customWidth="true" hidden="false" outlineLevel="0" max="19" min="14" style="1" width="16"/>
    <col collapsed="false" customWidth="true" hidden="false" outlineLevel="0" max="23" min="23" style="1" width="12"/>
  </cols>
  <sheetData>
    <row r="1" customFormat="false" ht="27.75" hidden="false" customHeight="true" outlineLevel="0" collapsed="false">
      <c r="A1" s="44" t="s">
        <v>546</v>
      </c>
      <c r="B1" s="44" t="s">
        <v>547</v>
      </c>
      <c r="C1" s="44" t="s">
        <v>548</v>
      </c>
      <c r="D1" s="44" t="s">
        <v>549</v>
      </c>
      <c r="E1" s="44" t="s">
        <v>550</v>
      </c>
      <c r="F1" s="44" t="s">
        <v>551</v>
      </c>
      <c r="G1" s="44" t="s">
        <v>552</v>
      </c>
      <c r="H1" s="44" t="s">
        <v>553</v>
      </c>
      <c r="I1" s="44" t="s">
        <v>554</v>
      </c>
      <c r="J1" s="44" t="s">
        <v>555</v>
      </c>
      <c r="K1" s="44" t="s">
        <v>556</v>
      </c>
      <c r="L1" s="44" t="s">
        <v>557</v>
      </c>
      <c r="N1" s="44" t="s">
        <v>558</v>
      </c>
      <c r="O1" s="44" t="s">
        <v>559</v>
      </c>
      <c r="P1" s="44" t="s">
        <v>560</v>
      </c>
      <c r="Q1" s="44" t="s">
        <v>561</v>
      </c>
      <c r="R1" s="44" t="s">
        <v>562</v>
      </c>
      <c r="S1" s="44" t="s">
        <v>563</v>
      </c>
      <c r="T1" s="44" t="s">
        <v>564</v>
      </c>
      <c r="V1" s="1" t="s">
        <v>565</v>
      </c>
      <c r="W1" s="176" t="s">
        <v>566</v>
      </c>
    </row>
    <row r="2" customFormat="false" ht="15" hidden="false" customHeight="true" outlineLevel="0" collapsed="false">
      <c r="A2" s="177" t="s">
        <v>7</v>
      </c>
      <c r="B2" s="178" t="n">
        <v>7126075</v>
      </c>
      <c r="C2" s="179" t="n">
        <v>1</v>
      </c>
      <c r="D2" s="179" t="n">
        <v>8</v>
      </c>
      <c r="E2" s="179" t="n">
        <v>2</v>
      </c>
      <c r="F2" s="179" t="s">
        <v>567</v>
      </c>
      <c r="G2" s="179" t="s">
        <v>568</v>
      </c>
      <c r="H2" s="179" t="n">
        <v>0</v>
      </c>
      <c r="I2" s="180" t="n">
        <f aca="false">IF(H2=1,Assumptions!$B$16,IF(H2=2,Assumptions!$B$17,0))</f>
        <v>0</v>
      </c>
      <c r="J2" s="179" t="s">
        <v>567</v>
      </c>
      <c r="K2" s="179" t="s">
        <v>567</v>
      </c>
      <c r="L2" s="179" t="s">
        <v>569</v>
      </c>
      <c r="N2" s="178" t="n">
        <v>194932</v>
      </c>
      <c r="O2" s="178" t="n">
        <f aca="false">B2*Assumptions!$B$11</f>
        <v>367676.9657</v>
      </c>
      <c r="P2" s="178" t="n">
        <v>46323</v>
      </c>
      <c r="Q2" s="178" t="n">
        <f aca="false">N2+O2+P2</f>
        <v>608931.9657</v>
      </c>
      <c r="R2" s="178" t="n">
        <f aca="false">Q2*0.05</f>
        <v>30446.598285</v>
      </c>
      <c r="S2" s="177" t="n">
        <f aca="false">C2+D2-1</f>
        <v>8</v>
      </c>
      <c r="T2" s="181"/>
      <c r="V2" s="1" t="s">
        <v>570</v>
      </c>
      <c r="W2" s="182" t="n">
        <f aca="false">C2+D2-1</f>
        <v>8</v>
      </c>
    </row>
    <row r="3" customFormat="false" ht="15" hidden="false" customHeight="true" outlineLevel="0" collapsed="false">
      <c r="A3" s="177" t="s">
        <v>8</v>
      </c>
      <c r="B3" s="178" t="n">
        <v>20176449</v>
      </c>
      <c r="C3" s="179" t="n">
        <v>1</v>
      </c>
      <c r="D3" s="179"/>
      <c r="E3" s="179"/>
      <c r="F3" s="179" t="s">
        <v>567</v>
      </c>
      <c r="G3" s="179" t="s">
        <v>568</v>
      </c>
      <c r="H3" s="179" t="n">
        <v>0</v>
      </c>
      <c r="I3" s="180" t="n">
        <f aca="false">IF(H3=1,Assumptions!$B$16,IF(H3=2,Assumptions!$B$17,0))</f>
        <v>0</v>
      </c>
      <c r="J3" s="179" t="s">
        <v>567</v>
      </c>
      <c r="K3" s="179" t="s">
        <v>567</v>
      </c>
      <c r="L3" s="179" t="s">
        <v>569</v>
      </c>
      <c r="N3" s="178" t="n">
        <v>888067</v>
      </c>
      <c r="O3" s="178" t="n">
        <f aca="false">B3*Assumptions!$B$11</f>
        <v>1041024.062604</v>
      </c>
      <c r="P3" s="178" t="n">
        <v>176626</v>
      </c>
      <c r="Q3" s="178" t="n">
        <f aca="false">N3+O3+P3</f>
        <v>2105717.062604</v>
      </c>
      <c r="R3" s="178" t="n">
        <f aca="false">Q3*0.05</f>
        <v>105285.8531302</v>
      </c>
      <c r="S3" s="177" t="n">
        <f aca="false">C3+D3-1</f>
        <v>0</v>
      </c>
      <c r="T3" s="181"/>
      <c r="V3" s="1" t="s">
        <v>571</v>
      </c>
      <c r="W3" s="182" t="n">
        <v>18</v>
      </c>
    </row>
    <row r="4" customFormat="false" ht="15" hidden="false" customHeight="true" outlineLevel="0" collapsed="false">
      <c r="A4" s="177" t="s">
        <v>9</v>
      </c>
      <c r="B4" s="178" t="n">
        <v>11929880</v>
      </c>
      <c r="C4" s="179" t="n">
        <v>1</v>
      </c>
      <c r="D4" s="179"/>
      <c r="E4" s="179"/>
      <c r="F4" s="179" t="s">
        <v>568</v>
      </c>
      <c r="G4" s="179" t="s">
        <v>568</v>
      </c>
      <c r="H4" s="179" t="n">
        <v>1</v>
      </c>
      <c r="I4" s="180" t="n">
        <f aca="false">IF(H4=1,Assumptions!$B$16,IF(H4=2,Assumptions!$B$17,0))</f>
        <v>0.0074</v>
      </c>
      <c r="J4" s="179" t="s">
        <v>567</v>
      </c>
      <c r="K4" s="179" t="s">
        <v>568</v>
      </c>
      <c r="L4" s="179" t="s">
        <v>572</v>
      </c>
      <c r="N4" s="178" t="n">
        <f aca="false">B4*Assumptions!$B$10</f>
        <v>615534.08848</v>
      </c>
      <c r="O4" s="178" t="n">
        <f aca="false">B4*Assumptions!$B$11</f>
        <v>615534.08848</v>
      </c>
      <c r="P4" s="178" t="n">
        <f aca="false">B4*Assumptions!$B$12</f>
        <v>205182.00612</v>
      </c>
      <c r="Q4" s="178" t="n">
        <f aca="false">N4+O4+P4</f>
        <v>1436250.18308</v>
      </c>
      <c r="R4" s="178" t="n">
        <f aca="false">Q4*0.05</f>
        <v>71812.509154</v>
      </c>
      <c r="S4" s="177" t="n">
        <f aca="false">C4+D4-1</f>
        <v>0</v>
      </c>
      <c r="T4" s="181"/>
      <c r="W4" s="182" t="n">
        <v>17</v>
      </c>
    </row>
    <row r="5" customFormat="false" ht="15" hidden="false" customHeight="true" outlineLevel="0" collapsed="false">
      <c r="A5" s="177" t="s">
        <v>10</v>
      </c>
      <c r="B5" s="178" t="n">
        <v>14427884</v>
      </c>
      <c r="C5" s="179" t="n">
        <v>1</v>
      </c>
      <c r="D5" s="179"/>
      <c r="E5" s="179"/>
      <c r="F5" s="179" t="s">
        <v>568</v>
      </c>
      <c r="G5" s="179" t="s">
        <v>568</v>
      </c>
      <c r="H5" s="179" t="n">
        <v>1</v>
      </c>
      <c r="I5" s="180" t="n">
        <f aca="false">IF(H5=1,Assumptions!$B$16,IF(H5=2,Assumptions!$B$17,0))</f>
        <v>0.0074</v>
      </c>
      <c r="J5" s="179" t="s">
        <v>567</v>
      </c>
      <c r="K5" s="179" t="s">
        <v>568</v>
      </c>
      <c r="L5" s="179" t="s">
        <v>572</v>
      </c>
      <c r="N5" s="178" t="n">
        <f aca="false">B5*Assumptions!$B$10</f>
        <v>744421.102864</v>
      </c>
      <c r="O5" s="178" t="n">
        <f aca="false">B5*Assumptions!$B$11</f>
        <v>744421.102864</v>
      </c>
      <c r="P5" s="178" t="n">
        <f aca="false">B5*Assumptions!$B$12</f>
        <v>248145.176916</v>
      </c>
      <c r="Q5" s="178" t="n">
        <f aca="false">N5+O5+P5</f>
        <v>1736987.382644</v>
      </c>
      <c r="R5" s="178" t="n">
        <f aca="false">Q5*0.05</f>
        <v>86849.3691322</v>
      </c>
      <c r="S5" s="177" t="n">
        <f aca="false">C5+D5-1</f>
        <v>0</v>
      </c>
      <c r="T5" s="181"/>
      <c r="W5" s="182" t="n">
        <v>19</v>
      </c>
    </row>
    <row r="6" customFormat="false" ht="15" hidden="false" customHeight="true" outlineLevel="0" collapsed="false">
      <c r="A6" s="177" t="s">
        <v>11</v>
      </c>
      <c r="B6" s="178" t="n">
        <v>3623245</v>
      </c>
      <c r="C6" s="179" t="n">
        <v>1</v>
      </c>
      <c r="D6" s="179"/>
      <c r="E6" s="179"/>
      <c r="F6" s="179" t="s">
        <v>567</v>
      </c>
      <c r="G6" s="179" t="s">
        <v>568</v>
      </c>
      <c r="H6" s="179" t="n">
        <v>0</v>
      </c>
      <c r="I6" s="180" t="n">
        <f aca="false">IF(H6=1,Assumptions!$B$16,IF(H6=2,Assumptions!$B$17,0))</f>
        <v>0</v>
      </c>
      <c r="J6" s="179" t="s">
        <v>567</v>
      </c>
      <c r="K6" s="179" t="s">
        <v>568</v>
      </c>
      <c r="L6" s="179" t="s">
        <v>572</v>
      </c>
      <c r="N6" s="178" t="n">
        <v>245000</v>
      </c>
      <c r="O6" s="178" t="n">
        <f aca="false">B6*Assumptions!$B$11</f>
        <v>186944.94902</v>
      </c>
      <c r="P6" s="178" t="n">
        <v>0</v>
      </c>
      <c r="Q6" s="178" t="n">
        <f aca="false">N6+O6+P6</f>
        <v>431944.94902</v>
      </c>
      <c r="R6" s="178" t="n">
        <f aca="false">Q6*0.05</f>
        <v>21597.247451</v>
      </c>
      <c r="S6" s="177" t="n">
        <f aca="false">C6+D6-1</f>
        <v>0</v>
      </c>
      <c r="T6" s="181" t="n">
        <f aca="false">Assumptions!$B$15</f>
        <v>0.015</v>
      </c>
      <c r="W6" s="182" t="n">
        <v>15</v>
      </c>
    </row>
    <row r="7" customFormat="false" ht="15" hidden="false" customHeight="true" outlineLevel="0" collapsed="false">
      <c r="A7" s="177" t="s">
        <v>12</v>
      </c>
      <c r="B7" s="178" t="n">
        <v>42794765</v>
      </c>
      <c r="C7" s="179" t="n">
        <v>5</v>
      </c>
      <c r="D7" s="179"/>
      <c r="E7" s="179"/>
      <c r="F7" s="179" t="s">
        <v>568</v>
      </c>
      <c r="G7" s="179" t="s">
        <v>568</v>
      </c>
      <c r="H7" s="179" t="n">
        <v>1</v>
      </c>
      <c r="I7" s="180" t="n">
        <f aca="false">Assumptions!$B$18</f>
        <v>0.00725158134079107</v>
      </c>
      <c r="J7" s="179" t="s">
        <v>568</v>
      </c>
      <c r="K7" s="179" t="s">
        <v>568</v>
      </c>
      <c r="L7" s="179" t="s">
        <v>569</v>
      </c>
      <c r="N7" s="178" t="n">
        <f aca="false">B7*Assumptions!$B$10</f>
        <v>2208038.69494</v>
      </c>
      <c r="O7" s="178" t="n">
        <f aca="false">B7*Assumptions!$B$11</f>
        <v>2208038.69494</v>
      </c>
      <c r="P7" s="178" t="n">
        <f aca="false">B7*Assumptions!$B$12</f>
        <v>736027.163235</v>
      </c>
      <c r="Q7" s="178" t="n">
        <f aca="false">N7+O7+P7</f>
        <v>5152104.553115</v>
      </c>
      <c r="R7" s="178" t="n">
        <f aca="false">Q7*0.05</f>
        <v>257605.22765575</v>
      </c>
      <c r="S7" s="177" t="n">
        <f aca="false">C7+D7-1</f>
        <v>4</v>
      </c>
      <c r="T7" s="181" t="n">
        <f aca="false">839113/B7</f>
        <v>0.0196078422208885</v>
      </c>
      <c r="W7" s="182" t="n">
        <v>36</v>
      </c>
    </row>
    <row r="8" customFormat="false" ht="15" hidden="false" customHeight="true" outlineLevel="0" collapsed="false">
      <c r="A8" s="177" t="s">
        <v>13</v>
      </c>
      <c r="B8" s="178" t="n">
        <v>12993776.05</v>
      </c>
      <c r="C8" s="179" t="n">
        <v>6</v>
      </c>
      <c r="D8" s="179" t="n">
        <v>19</v>
      </c>
      <c r="E8" s="179" t="n">
        <v>3</v>
      </c>
      <c r="F8" s="179" t="s">
        <v>568</v>
      </c>
      <c r="G8" s="179" t="s">
        <v>568</v>
      </c>
      <c r="H8" s="179" t="n">
        <v>1</v>
      </c>
      <c r="I8" s="180" t="n">
        <f aca="false">Assumptions!$B$18</f>
        <v>0.00725158134079107</v>
      </c>
      <c r="J8" s="179" t="s">
        <v>567</v>
      </c>
      <c r="K8" s="179" t="s">
        <v>568</v>
      </c>
      <c r="L8" s="179" t="s">
        <v>572</v>
      </c>
      <c r="N8" s="178" t="n">
        <f aca="false">B8*Assumptions!$B$10</f>
        <v>670426.8690758</v>
      </c>
      <c r="O8" s="178" t="n">
        <f aca="false">B8*Assumptions!$B$11</f>
        <v>670426.8690758</v>
      </c>
      <c r="P8" s="178" t="n">
        <f aca="false">B8*Assumptions!$B$12</f>
        <v>223479.95428395</v>
      </c>
      <c r="Q8" s="178" t="n">
        <f aca="false">N8+O8+P8</f>
        <v>1564333.69243555</v>
      </c>
      <c r="R8" s="178" t="n">
        <f aca="false">Q8*0.05</f>
        <v>78216.6846217775</v>
      </c>
      <c r="S8" s="177" t="n">
        <f aca="false">C8+D8-1</f>
        <v>24</v>
      </c>
      <c r="T8" s="181" t="n">
        <f aca="false">192026.25/B8</f>
        <v>0.0147783253506205</v>
      </c>
      <c r="W8" s="182" t="n">
        <f aca="false">C8+D8-1</f>
        <v>24</v>
      </c>
    </row>
    <row r="9" customFormat="false" ht="15" hidden="false" customHeight="true" outlineLevel="0" collapsed="false">
      <c r="A9" s="177" t="s">
        <v>14</v>
      </c>
      <c r="B9" s="178" t="n">
        <v>14337010.8</v>
      </c>
      <c r="C9" s="179" t="n">
        <v>5</v>
      </c>
      <c r="D9" s="179" t="n">
        <v>19</v>
      </c>
      <c r="E9" s="179" t="n">
        <v>3</v>
      </c>
      <c r="F9" s="179" t="s">
        <v>568</v>
      </c>
      <c r="G9" s="179" t="s">
        <v>568</v>
      </c>
      <c r="H9" s="179" t="n">
        <v>1</v>
      </c>
      <c r="I9" s="180" t="n">
        <v>0</v>
      </c>
      <c r="J9" s="179" t="s">
        <v>567</v>
      </c>
      <c r="K9" s="179" t="s">
        <v>568</v>
      </c>
      <c r="L9" s="179" t="s">
        <v>572</v>
      </c>
      <c r="N9" s="178" t="n">
        <f aca="false">B9*Assumptions!$B$10</f>
        <v>739732.4092368</v>
      </c>
      <c r="O9" s="178" t="n">
        <f aca="false">B9*Assumptions!$B$11</f>
        <v>739732.4092368</v>
      </c>
      <c r="P9" s="178" t="n">
        <f aca="false">B9*Assumptions!$B$12</f>
        <v>246582.2487492</v>
      </c>
      <c r="Q9" s="178" t="n">
        <f aca="false">N9+O9+P9</f>
        <v>1726047.0672228</v>
      </c>
      <c r="R9" s="178" t="n">
        <f aca="false">Q9*0.05</f>
        <v>86302.35336114</v>
      </c>
      <c r="S9" s="177" t="n">
        <f aca="false">C9+D9-1</f>
        <v>23</v>
      </c>
      <c r="T9" s="181" t="n">
        <f aca="false">211877.01/B9</f>
        <v>0.0147783253396168</v>
      </c>
      <c r="W9" s="182" t="n">
        <f aca="false">C9+D9-1</f>
        <v>23</v>
      </c>
    </row>
    <row r="10" customFormat="false" ht="15" hidden="false" customHeight="true" outlineLevel="0" collapsed="false">
      <c r="A10" s="177" t="s">
        <v>15</v>
      </c>
      <c r="B10" s="178" t="n">
        <v>21263405</v>
      </c>
      <c r="C10" s="179" t="n">
        <v>9</v>
      </c>
      <c r="D10" s="179" t="n">
        <v>24</v>
      </c>
      <c r="E10" s="179" t="n">
        <v>2</v>
      </c>
      <c r="F10" s="179" t="s">
        <v>568</v>
      </c>
      <c r="G10" s="179" t="s">
        <v>568</v>
      </c>
      <c r="H10" s="179" t="n">
        <v>2</v>
      </c>
      <c r="I10" s="180" t="n">
        <f aca="false">IF(H10=1,Assumptions!$B$16,IF(H10=2,Assumptions!$B$17,0))</f>
        <v>0.0325</v>
      </c>
      <c r="J10" s="179" t="s">
        <v>567</v>
      </c>
      <c r="K10" s="179" t="s">
        <v>568</v>
      </c>
      <c r="L10" s="179" t="s">
        <v>572</v>
      </c>
      <c r="N10" s="178" t="n">
        <f aca="false">B10*Assumptions!$B$10</f>
        <v>1097106.64438</v>
      </c>
      <c r="O10" s="178" t="n">
        <f aca="false">B10*Assumptions!$B$11</f>
        <v>1097106.64438</v>
      </c>
      <c r="P10" s="178" t="n">
        <f aca="false">B10*Assumptions!$B$12</f>
        <v>365709.302595</v>
      </c>
      <c r="Q10" s="178" t="n">
        <f aca="false">N10+O10+P10</f>
        <v>2559922.591355</v>
      </c>
      <c r="R10" s="178" t="n">
        <f aca="false">Q10*0.05</f>
        <v>127996.12956775</v>
      </c>
      <c r="S10" s="177" t="n">
        <f aca="false">C10+D10-1</f>
        <v>32</v>
      </c>
      <c r="T10" s="181" t="n">
        <f aca="false">Assumptions!$B$15</f>
        <v>0.015</v>
      </c>
      <c r="W10" s="182" t="n">
        <f aca="false">C10+D10-1</f>
        <v>32</v>
      </c>
    </row>
    <row r="11" customFormat="false" ht="15" hidden="false" customHeight="true" outlineLevel="0" collapsed="false">
      <c r="A11" s="177" t="s">
        <v>16</v>
      </c>
      <c r="B11" s="178" t="n">
        <v>9577109</v>
      </c>
      <c r="C11" s="179" t="n">
        <v>11</v>
      </c>
      <c r="D11" s="179" t="n">
        <v>19</v>
      </c>
      <c r="E11" s="179" t="n">
        <v>3</v>
      </c>
      <c r="F11" s="179" t="s">
        <v>567</v>
      </c>
      <c r="G11" s="179" t="s">
        <v>568</v>
      </c>
      <c r="H11" s="179" t="n">
        <v>0</v>
      </c>
      <c r="I11" s="180" t="n">
        <f aca="false">IF(H11=1,Assumptions!$B$16,IF(H11=2,Assumptions!$B$17,0))</f>
        <v>0</v>
      </c>
      <c r="J11" s="179" t="s">
        <v>568</v>
      </c>
      <c r="K11" s="179" t="s">
        <v>567</v>
      </c>
      <c r="L11" s="179" t="s">
        <v>569</v>
      </c>
      <c r="N11" s="178" t="n">
        <f aca="false">B11*Assumptions!$B$10</f>
        <v>494140.515964</v>
      </c>
      <c r="O11" s="178" t="n">
        <f aca="false">B11*Assumptions!$B$11</f>
        <v>494140.515964</v>
      </c>
      <c r="P11" s="178" t="n">
        <f aca="false">B11*Assumptions!$B$12</f>
        <v>164716.697691</v>
      </c>
      <c r="Q11" s="178" t="n">
        <f aca="false">N11+O11+P11</f>
        <v>1152997.729619</v>
      </c>
      <c r="R11" s="178" t="n">
        <f aca="false">Q11*0.05</f>
        <v>57649.88648095</v>
      </c>
      <c r="S11" s="177" t="n">
        <f aca="false">C11+D11-1</f>
        <v>29</v>
      </c>
      <c r="T11" s="181" t="n">
        <f aca="false">Assumptions!$B$15</f>
        <v>0.015</v>
      </c>
      <c r="W11" s="182" t="n">
        <f aca="false">C11+D11-1</f>
        <v>29</v>
      </c>
    </row>
    <row r="12" customFormat="false" ht="15" hidden="false" customHeight="true" outlineLevel="0" collapsed="false">
      <c r="A12" s="177" t="s">
        <v>17</v>
      </c>
      <c r="B12" s="178" t="n">
        <v>7545203</v>
      </c>
      <c r="C12" s="179" t="n">
        <v>10</v>
      </c>
      <c r="D12" s="179" t="n">
        <v>19</v>
      </c>
      <c r="E12" s="179" t="n">
        <v>3</v>
      </c>
      <c r="F12" s="179" t="s">
        <v>567</v>
      </c>
      <c r="G12" s="179" t="s">
        <v>568</v>
      </c>
      <c r="H12" s="179" t="n">
        <v>0</v>
      </c>
      <c r="I12" s="180" t="n">
        <f aca="false">IF(H12=1,Assumptions!$B$16,IF(H12=2,Assumptions!$B$17,0))</f>
        <v>0</v>
      </c>
      <c r="J12" s="179" t="s">
        <v>568</v>
      </c>
      <c r="K12" s="179" t="s">
        <v>567</v>
      </c>
      <c r="L12" s="179" t="s">
        <v>569</v>
      </c>
      <c r="N12" s="178" t="n">
        <f aca="false">B12*Assumptions!$B$10</f>
        <v>389302.293988</v>
      </c>
      <c r="O12" s="178" t="n">
        <f aca="false">B12*Assumptions!$B$11</f>
        <v>389302.293988</v>
      </c>
      <c r="P12" s="178" t="n">
        <f aca="false">B12*Assumptions!$B$12</f>
        <v>129769.946397</v>
      </c>
      <c r="Q12" s="178" t="n">
        <f aca="false">N12+O12+P12</f>
        <v>908374.534373</v>
      </c>
      <c r="R12" s="178" t="n">
        <f aca="false">Q12*0.05</f>
        <v>45418.72671865</v>
      </c>
      <c r="S12" s="177" t="n">
        <f aca="false">C12+D12-1</f>
        <v>28</v>
      </c>
      <c r="T12" s="181" t="n">
        <f aca="false">Assumptions!$B$15</f>
        <v>0.015</v>
      </c>
      <c r="W12" s="182" t="n">
        <f aca="false">C12+D12-1</f>
        <v>28</v>
      </c>
    </row>
    <row r="13" customFormat="false" ht="15" hidden="false" customHeight="true" outlineLevel="0" collapsed="false">
      <c r="A13" s="177" t="s">
        <v>18</v>
      </c>
      <c r="B13" s="178" t="n">
        <v>45266770</v>
      </c>
      <c r="C13" s="179" t="n">
        <v>13</v>
      </c>
      <c r="D13" s="179" t="n">
        <v>30</v>
      </c>
      <c r="E13" s="179" t="n">
        <v>1</v>
      </c>
      <c r="F13" s="179" t="s">
        <v>568</v>
      </c>
      <c r="G13" s="179" t="s">
        <v>568</v>
      </c>
      <c r="H13" s="179" t="n">
        <v>2</v>
      </c>
      <c r="I13" s="180" t="n">
        <f aca="false">IF(H13=1,Assumptions!$B$16,IF(H13=2,Assumptions!$B$17,0))</f>
        <v>0.0325</v>
      </c>
      <c r="J13" s="179" t="s">
        <v>568</v>
      </c>
      <c r="K13" s="179" t="s">
        <v>568</v>
      </c>
      <c r="L13" s="179" t="s">
        <v>569</v>
      </c>
      <c r="N13" s="178" t="n">
        <f aca="false">B13*Assumptions!$B$10</f>
        <v>2335584.26492</v>
      </c>
      <c r="O13" s="178" t="n">
        <f aca="false">B13*Assumptions!$B$11</f>
        <v>2335584.26492</v>
      </c>
      <c r="P13" s="178" t="n">
        <f aca="false">B13*Assumptions!$B$12</f>
        <v>778543.17723</v>
      </c>
      <c r="Q13" s="178" t="n">
        <f aca="false">N13+O13+P13</f>
        <v>5449711.70707</v>
      </c>
      <c r="R13" s="178" t="n">
        <f aca="false">Q13*0.05</f>
        <v>272485.5853535</v>
      </c>
      <c r="S13" s="177" t="n">
        <f aca="false">C13+D13-1</f>
        <v>42</v>
      </c>
      <c r="T13" s="181" t="n">
        <f aca="false">Assumptions!$B$15</f>
        <v>0.015</v>
      </c>
      <c r="W13" s="182" t="n">
        <f aca="false">C13+D13-1</f>
        <v>42</v>
      </c>
    </row>
    <row r="14" customFormat="false" ht="15" hidden="false" customHeight="true" outlineLevel="0" collapsed="false">
      <c r="A14" s="177" t="s">
        <v>19</v>
      </c>
      <c r="B14" s="178" t="n">
        <v>41354632</v>
      </c>
      <c r="C14" s="179" t="n">
        <v>27</v>
      </c>
      <c r="D14" s="179" t="n">
        <v>30</v>
      </c>
      <c r="E14" s="179" t="n">
        <v>1</v>
      </c>
      <c r="F14" s="179" t="s">
        <v>568</v>
      </c>
      <c r="G14" s="179" t="s">
        <v>568</v>
      </c>
      <c r="H14" s="179" t="n">
        <v>2</v>
      </c>
      <c r="I14" s="180" t="n">
        <f aca="false">IF(H14=1,Assumptions!$B$16,IF(H14=2,Assumptions!$B$17,0))</f>
        <v>0.0325</v>
      </c>
      <c r="J14" s="179" t="s">
        <v>568</v>
      </c>
      <c r="K14" s="179" t="s">
        <v>568</v>
      </c>
      <c r="L14" s="179" t="s">
        <v>569</v>
      </c>
      <c r="N14" s="178" t="n">
        <f aca="false">B14*Assumptions!$B$10</f>
        <v>2133733.592672</v>
      </c>
      <c r="O14" s="178" t="n">
        <f aca="false">B14*Assumptions!$B$11</f>
        <v>2133733.592672</v>
      </c>
      <c r="P14" s="178" t="n">
        <f aca="false">B14*Assumptions!$B$12</f>
        <v>711258.315768</v>
      </c>
      <c r="Q14" s="178" t="n">
        <f aca="false">N14+O14+P14</f>
        <v>4978725.501112</v>
      </c>
      <c r="R14" s="178" t="n">
        <f aca="false">Q14*0.05</f>
        <v>248936.2750556</v>
      </c>
      <c r="S14" s="177" t="n">
        <f aca="false">C14+D14-1</f>
        <v>56</v>
      </c>
      <c r="T14" s="181" t="n">
        <f aca="false">Assumptions!$B$15</f>
        <v>0.015</v>
      </c>
      <c r="W14" s="182" t="n">
        <f aca="false">C14+D14-1</f>
        <v>56</v>
      </c>
    </row>
    <row r="15" customFormat="false" ht="15" hidden="false" customHeight="true" outlineLevel="0" collapsed="false">
      <c r="A15" s="90"/>
      <c r="B15" s="90"/>
      <c r="C15" s="90"/>
      <c r="D15" s="90"/>
      <c r="E15" s="90"/>
      <c r="F15" s="90"/>
      <c r="G15" s="90"/>
      <c r="H15" s="90"/>
      <c r="I15" s="90"/>
      <c r="J15" s="90"/>
      <c r="K15" s="90"/>
      <c r="L15" s="90"/>
      <c r="M15" s="90"/>
      <c r="N15" s="90"/>
      <c r="O15" s="90"/>
      <c r="P15" s="90"/>
      <c r="Q15" s="90"/>
      <c r="R15" s="90"/>
      <c r="S15" s="90"/>
      <c r="T15" s="181"/>
    </row>
    <row r="16" customFormat="false" ht="15" hidden="false" customHeight="true" outlineLevel="0" collapsed="false">
      <c r="A16" s="90"/>
      <c r="B16" s="90"/>
      <c r="C16" s="90"/>
      <c r="D16" s="90"/>
      <c r="E16" s="90"/>
      <c r="F16" s="90"/>
      <c r="G16" s="90"/>
      <c r="H16" s="90"/>
      <c r="I16" s="90"/>
      <c r="J16" s="90"/>
      <c r="K16" s="90"/>
      <c r="L16" s="90"/>
      <c r="M16" s="183" t="s">
        <v>573</v>
      </c>
      <c r="N16" s="90"/>
      <c r="O16" s="90"/>
      <c r="P16" s="90"/>
      <c r="Q16" s="90"/>
      <c r="R16" s="90"/>
      <c r="S16" s="90"/>
      <c r="T16" s="181"/>
    </row>
    <row r="17" customFormat="false" ht="15" hidden="false" customHeight="true" outlineLevel="0" collapsed="false">
      <c r="A17" s="177" t="s">
        <v>20</v>
      </c>
      <c r="B17" s="178" t="n">
        <v>15316015</v>
      </c>
      <c r="C17" s="179" t="n">
        <v>14</v>
      </c>
      <c r="D17" s="179" t="n">
        <v>19</v>
      </c>
      <c r="E17" s="179" t="n">
        <v>3</v>
      </c>
      <c r="F17" s="179" t="s">
        <v>568</v>
      </c>
      <c r="G17" s="179" t="s">
        <v>568</v>
      </c>
      <c r="H17" s="179" t="n">
        <v>2</v>
      </c>
      <c r="I17" s="180" t="n">
        <f aca="false">IF(H17=1,Assumptions!$B$16,IF(H17=2,Assumptions!$B$17,0))</f>
        <v>0.0325</v>
      </c>
      <c r="J17" s="179" t="s">
        <v>567</v>
      </c>
      <c r="K17" s="179" t="s">
        <v>567</v>
      </c>
      <c r="L17" s="179" t="s">
        <v>569</v>
      </c>
      <c r="M17" s="184" t="s">
        <v>568</v>
      </c>
      <c r="N17" s="178" t="n">
        <f aca="false">B17*Assumptions!$B$10</f>
        <v>790245.10994</v>
      </c>
      <c r="O17" s="178" t="n">
        <f aca="false">B17*Assumptions!$B$11</f>
        <v>790245.10994</v>
      </c>
      <c r="P17" s="178" t="n">
        <f aca="false">B17*Assumptions!$B$12</f>
        <v>263420.141985</v>
      </c>
      <c r="Q17" s="178" t="n">
        <f aca="false">N17+O17+P17</f>
        <v>1843910.361865</v>
      </c>
      <c r="R17" s="178" t="n">
        <f aca="false">Q17*0.05</f>
        <v>92195.51809325</v>
      </c>
      <c r="S17" s="177" t="n">
        <f aca="false">C17+D17-1</f>
        <v>32</v>
      </c>
      <c r="T17" s="181" t="n">
        <f aca="false">Assumptions!$B$15</f>
        <v>0.015</v>
      </c>
      <c r="W17" s="182" t="n">
        <f aca="false">C17+D17-1</f>
        <v>32</v>
      </c>
    </row>
    <row r="18" customFormat="false" ht="15" hidden="false" customHeight="true" outlineLevel="0" collapsed="false">
      <c r="A18" s="177" t="s">
        <v>21</v>
      </c>
      <c r="B18" s="178" t="n">
        <v>11317385</v>
      </c>
      <c r="C18" s="179" t="n">
        <v>15</v>
      </c>
      <c r="D18" s="179" t="n">
        <v>19</v>
      </c>
      <c r="E18" s="179" t="n">
        <v>3</v>
      </c>
      <c r="F18" s="179" t="s">
        <v>568</v>
      </c>
      <c r="G18" s="179" t="s">
        <v>568</v>
      </c>
      <c r="H18" s="179" t="n">
        <v>2</v>
      </c>
      <c r="I18" s="180" t="n">
        <f aca="false">IF(H18=1,Assumptions!$B$16,IF(H18=2,Assumptions!$B$17,0))</f>
        <v>0.0325</v>
      </c>
      <c r="J18" s="179" t="s">
        <v>567</v>
      </c>
      <c r="K18" s="179" t="s">
        <v>567</v>
      </c>
      <c r="L18" s="179" t="s">
        <v>569</v>
      </c>
      <c r="M18" s="184" t="s">
        <v>568</v>
      </c>
      <c r="N18" s="178" t="n">
        <f aca="false">B18*Assumptions!$B$10</f>
        <v>583931.79646</v>
      </c>
      <c r="O18" s="178" t="n">
        <f aca="false">B18*Assumptions!$B$11</f>
        <v>583931.79646</v>
      </c>
      <c r="P18" s="178" t="n">
        <f aca="false">B18*Assumptions!$B$12</f>
        <v>194647.704615</v>
      </c>
      <c r="Q18" s="178" t="n">
        <f aca="false">N18+O18+P18</f>
        <v>1362511.297535</v>
      </c>
      <c r="R18" s="178" t="n">
        <f aca="false">Q18*0.05</f>
        <v>68125.56487675</v>
      </c>
      <c r="S18" s="177" t="n">
        <f aca="false">C18+D18-1</f>
        <v>33</v>
      </c>
      <c r="T18" s="181" t="n">
        <f aca="false">Assumptions!$B$15</f>
        <v>0.015</v>
      </c>
      <c r="W18" s="182" t="n">
        <f aca="false">C18+D18-1</f>
        <v>33</v>
      </c>
    </row>
    <row r="19" customFormat="false" ht="15" hidden="false" customHeight="true" outlineLevel="0" collapsed="false">
      <c r="A19" s="177" t="s">
        <v>22</v>
      </c>
      <c r="B19" s="178" t="n">
        <v>18442769</v>
      </c>
      <c r="C19" s="179" t="n">
        <v>16</v>
      </c>
      <c r="D19" s="179" t="n">
        <v>19</v>
      </c>
      <c r="E19" s="179" t="n">
        <v>3</v>
      </c>
      <c r="F19" s="179" t="s">
        <v>568</v>
      </c>
      <c r="G19" s="179" t="s">
        <v>568</v>
      </c>
      <c r="H19" s="179" t="n">
        <v>2</v>
      </c>
      <c r="I19" s="180" t="n">
        <f aca="false">IF(H19=1,Assumptions!$B$16,IF(H19=2,Assumptions!$B$17,0))</f>
        <v>0.0325</v>
      </c>
      <c r="J19" s="179" t="s">
        <v>567</v>
      </c>
      <c r="K19" s="179" t="s">
        <v>567</v>
      </c>
      <c r="L19" s="179" t="s">
        <v>569</v>
      </c>
      <c r="M19" s="184" t="s">
        <v>568</v>
      </c>
      <c r="N19" s="178" t="n">
        <f aca="false">B19*Assumptions!$B$10</f>
        <v>951573.109324</v>
      </c>
      <c r="O19" s="178" t="n">
        <f aca="false">B19*Assumptions!$B$11</f>
        <v>951573.109324</v>
      </c>
      <c r="P19" s="178" t="n">
        <f aca="false">B19*Assumptions!$B$12</f>
        <v>317197.184031</v>
      </c>
      <c r="Q19" s="178" t="n">
        <f aca="false">N19+O19+P19</f>
        <v>2220343.402679</v>
      </c>
      <c r="R19" s="178" t="n">
        <f aca="false">Q19*0.05</f>
        <v>111017.17013395</v>
      </c>
      <c r="S19" s="177" t="n">
        <f aca="false">C19+D19-1</f>
        <v>34</v>
      </c>
      <c r="T19" s="181" t="n">
        <f aca="false">Assumptions!$B$15</f>
        <v>0.015</v>
      </c>
      <c r="W19" s="182" t="n">
        <f aca="false">C19+D19-1</f>
        <v>34</v>
      </c>
    </row>
    <row r="20" customFormat="false" ht="15" hidden="false" customHeight="true" outlineLevel="0" collapsed="false">
      <c r="A20" s="177" t="s">
        <v>23</v>
      </c>
      <c r="B20" s="178" t="n">
        <v>25026330.58</v>
      </c>
      <c r="C20" s="179" t="n">
        <v>20</v>
      </c>
      <c r="D20" s="179" t="n">
        <v>24</v>
      </c>
      <c r="E20" s="179" t="n">
        <v>2</v>
      </c>
      <c r="F20" s="179" t="s">
        <v>567</v>
      </c>
      <c r="G20" s="179" t="s">
        <v>568</v>
      </c>
      <c r="H20" s="179" t="n">
        <v>0</v>
      </c>
      <c r="I20" s="180" t="n">
        <f aca="false">IF(H20=1,Assumptions!$B$16,IF(H20=2,Assumptions!$B$17,0))</f>
        <v>0</v>
      </c>
      <c r="J20" s="179" t="s">
        <v>567</v>
      </c>
      <c r="K20" s="179" t="s">
        <v>567</v>
      </c>
      <c r="L20" s="179" t="s">
        <v>572</v>
      </c>
      <c r="M20" s="184" t="s">
        <v>567</v>
      </c>
      <c r="N20" s="178" t="n">
        <f aca="false">B20*Assumptions!$B$10</f>
        <v>1291258.55260568</v>
      </c>
      <c r="O20" s="178" t="n">
        <f aca="false">B20*Assumptions!$B$11</f>
        <v>1291258.55260568</v>
      </c>
      <c r="P20" s="178" t="n">
        <f aca="false">B20*Assumptions!$B$12</f>
        <v>430427.85964542</v>
      </c>
      <c r="Q20" s="178" t="n">
        <f aca="false">N20+O20+P20</f>
        <v>3012944.96485678</v>
      </c>
      <c r="R20" s="178" t="n">
        <f aca="false">Q20*0.05</f>
        <v>150647.248242839</v>
      </c>
      <c r="S20" s="177" t="n">
        <f aca="false">C20+D20-1</f>
        <v>43</v>
      </c>
      <c r="T20" s="181"/>
      <c r="W20" s="182" t="n">
        <f aca="false">C20+D20-1</f>
        <v>43</v>
      </c>
    </row>
    <row r="21" customFormat="false" ht="15" hidden="false" customHeight="true" outlineLevel="0" collapsed="false">
      <c r="A21" s="177" t="s">
        <v>574</v>
      </c>
      <c r="B21" s="178" t="n">
        <v>15189508.75</v>
      </c>
      <c r="C21" s="179" t="n">
        <v>10</v>
      </c>
      <c r="D21" s="179" t="n">
        <v>19</v>
      </c>
      <c r="E21" s="179" t="n">
        <v>3</v>
      </c>
      <c r="F21" s="179" t="s">
        <v>567</v>
      </c>
      <c r="G21" s="179" t="s">
        <v>568</v>
      </c>
      <c r="H21" s="179" t="n">
        <v>0</v>
      </c>
      <c r="I21" s="180" t="n">
        <f aca="false">IF(H21=1,Assumptions!$B$16,IF(H21=2,Assumptions!$B$17,0))</f>
        <v>0</v>
      </c>
      <c r="J21" s="179" t="s">
        <v>567</v>
      </c>
      <c r="K21" s="179" t="s">
        <v>567</v>
      </c>
      <c r="L21" s="179" t="s">
        <v>569</v>
      </c>
      <c r="M21" s="184" t="s">
        <v>568</v>
      </c>
      <c r="N21" s="178" t="n">
        <f aca="false">B21*Assumptions!$B$10</f>
        <v>783717.893465</v>
      </c>
      <c r="O21" s="178" t="n">
        <f aca="false">B21*Assumptions!$B$11</f>
        <v>783717.893465</v>
      </c>
      <c r="P21" s="178" t="n">
        <f aca="false">B21*Assumptions!$B$12</f>
        <v>261244.36099125</v>
      </c>
      <c r="Q21" s="178" t="n">
        <f aca="false">N21+O21+P21</f>
        <v>1828680.14792125</v>
      </c>
      <c r="R21" s="178" t="n">
        <f aca="false">Q21*0.05</f>
        <v>91434.0073960625</v>
      </c>
      <c r="S21" s="177" t="n">
        <f aca="false">C21+D21-1</f>
        <v>28</v>
      </c>
      <c r="T21" s="181"/>
      <c r="W21" s="182" t="n">
        <f aca="false">C21+D21-1</f>
        <v>28</v>
      </c>
    </row>
    <row r="22" customFormat="false" ht="15" hidden="false" customHeight="true" outlineLevel="0" collapsed="false">
      <c r="A22" s="177" t="s">
        <v>25</v>
      </c>
      <c r="B22" s="178" t="n">
        <v>15000000</v>
      </c>
      <c r="C22" s="179" t="n">
        <v>16</v>
      </c>
      <c r="D22" s="179" t="n">
        <v>19</v>
      </c>
      <c r="E22" s="179" t="n">
        <v>3</v>
      </c>
      <c r="F22" s="179" t="s">
        <v>567</v>
      </c>
      <c r="G22" s="179" t="s">
        <v>567</v>
      </c>
      <c r="H22" s="179" t="n">
        <v>0</v>
      </c>
      <c r="I22" s="180" t="n">
        <f aca="false">IF(H22=1,Assumptions!$B$16,IF(H22=2,Assumptions!$B$17,0))</f>
        <v>0</v>
      </c>
      <c r="J22" s="179" t="s">
        <v>567</v>
      </c>
      <c r="K22" s="179" t="s">
        <v>567</v>
      </c>
      <c r="L22" s="179" t="s">
        <v>572</v>
      </c>
      <c r="M22" s="184" t="s">
        <v>567</v>
      </c>
      <c r="N22" s="178" t="n">
        <v>730519</v>
      </c>
      <c r="O22" s="178" t="n">
        <v>730519</v>
      </c>
      <c r="P22" s="178" t="n">
        <v>243506</v>
      </c>
      <c r="Q22" s="178" t="n">
        <f aca="false">N22+O22+P22</f>
        <v>1704544</v>
      </c>
      <c r="R22" s="178" t="n">
        <f aca="false">Q22*0.05</f>
        <v>85227.2</v>
      </c>
      <c r="S22" s="177" t="n">
        <f aca="false">C22+D22-1</f>
        <v>34</v>
      </c>
      <c r="T22" s="181"/>
      <c r="W22" s="182" t="n">
        <f aca="false">C22+D22-1</f>
        <v>34</v>
      </c>
    </row>
    <row r="23" customFormat="false" ht="15" hidden="false" customHeight="true" outlineLevel="0" collapsed="false">
      <c r="A23" s="177" t="s">
        <v>26</v>
      </c>
      <c r="B23" s="178" t="n">
        <v>15000000</v>
      </c>
      <c r="C23" s="179" t="n">
        <v>17</v>
      </c>
      <c r="D23" s="179" t="n">
        <v>19</v>
      </c>
      <c r="E23" s="179" t="n">
        <v>3</v>
      </c>
      <c r="F23" s="179" t="s">
        <v>568</v>
      </c>
      <c r="G23" s="179" t="s">
        <v>567</v>
      </c>
      <c r="H23" s="179" t="n">
        <v>2</v>
      </c>
      <c r="I23" s="180" t="n">
        <f aca="false">IF(H23=1,Assumptions!$B$16,IF(H23=2,Assumptions!$B$17,0))</f>
        <v>0.0325</v>
      </c>
      <c r="J23" s="179" t="s">
        <v>567</v>
      </c>
      <c r="K23" s="179" t="s">
        <v>567</v>
      </c>
      <c r="L23" s="179" t="s">
        <v>572</v>
      </c>
      <c r="M23" s="184" t="s">
        <v>568</v>
      </c>
      <c r="N23" s="178" t="n">
        <v>730519</v>
      </c>
      <c r="O23" s="178" t="n">
        <v>730519</v>
      </c>
      <c r="P23" s="178" t="n">
        <v>243506</v>
      </c>
      <c r="Q23" s="178" t="n">
        <f aca="false">N23+O23+P23</f>
        <v>1704544</v>
      </c>
      <c r="R23" s="178" t="n">
        <f aca="false">Q23*0.05</f>
        <v>85227.2</v>
      </c>
      <c r="S23" s="177" t="n">
        <f aca="false">C23+D23-1</f>
        <v>35</v>
      </c>
      <c r="T23" s="181" t="n">
        <f aca="false">Assumptions!$B$15</f>
        <v>0.015</v>
      </c>
      <c r="W23" s="182" t="n">
        <f aca="false">C23+D23-1</f>
        <v>35</v>
      </c>
    </row>
    <row r="24" customFormat="false" ht="15" hidden="false" customHeight="true" outlineLevel="0" collapsed="false">
      <c r="A24" s="177" t="s">
        <v>27</v>
      </c>
      <c r="B24" s="178" t="n">
        <v>18000000</v>
      </c>
      <c r="C24" s="179" t="n">
        <v>24</v>
      </c>
      <c r="D24" s="179" t="n">
        <v>19</v>
      </c>
      <c r="E24" s="179" t="n">
        <v>3</v>
      </c>
      <c r="F24" s="179" t="s">
        <v>567</v>
      </c>
      <c r="G24" s="179" t="s">
        <v>568</v>
      </c>
      <c r="H24" s="179" t="n">
        <v>0</v>
      </c>
      <c r="I24" s="180" t="n">
        <f aca="false">IF(H24=1,Assumptions!$B$16,IF(H24=2,Assumptions!$B$17,0))</f>
        <v>0</v>
      </c>
      <c r="J24" s="179" t="s">
        <v>567</v>
      </c>
      <c r="K24" s="179" t="s">
        <v>567</v>
      </c>
      <c r="L24" s="179" t="s">
        <v>572</v>
      </c>
      <c r="M24" s="184" t="s">
        <v>567</v>
      </c>
      <c r="N24" s="178" t="n">
        <v>876623</v>
      </c>
      <c r="O24" s="178" t="n">
        <v>876623</v>
      </c>
      <c r="P24" s="178" t="n">
        <v>292208</v>
      </c>
      <c r="Q24" s="178" t="n">
        <f aca="false">N24+O24+P24</f>
        <v>2045454</v>
      </c>
      <c r="R24" s="178" t="n">
        <f aca="false">Q24*0.05</f>
        <v>102272.7</v>
      </c>
      <c r="S24" s="177" t="n">
        <f aca="false">C24+D24-1</f>
        <v>42</v>
      </c>
      <c r="T24" s="181"/>
      <c r="W24" s="182" t="n">
        <f aca="false">C24+D24-1</f>
        <v>42</v>
      </c>
    </row>
    <row r="25" customFormat="false" ht="15" hidden="false" customHeight="true" outlineLevel="0" collapsed="false">
      <c r="A25" s="177" t="s">
        <v>28</v>
      </c>
      <c r="B25" s="178" t="n">
        <v>18000000</v>
      </c>
      <c r="C25" s="179" t="n">
        <v>29</v>
      </c>
      <c r="D25" s="179" t="n">
        <v>19</v>
      </c>
      <c r="E25" s="179" t="n">
        <v>3</v>
      </c>
      <c r="F25" s="179" t="s">
        <v>567</v>
      </c>
      <c r="G25" s="179" t="s">
        <v>568</v>
      </c>
      <c r="H25" s="179" t="n">
        <v>0</v>
      </c>
      <c r="I25" s="180" t="n">
        <f aca="false">IF(H25=1,Assumptions!$B$16,IF(H25=2,Assumptions!$B$17,0))</f>
        <v>0</v>
      </c>
      <c r="J25" s="179" t="s">
        <v>567</v>
      </c>
      <c r="K25" s="179" t="s">
        <v>567</v>
      </c>
      <c r="L25" s="179" t="s">
        <v>572</v>
      </c>
      <c r="M25" s="184" t="s">
        <v>567</v>
      </c>
      <c r="N25" s="178" t="n">
        <v>876623</v>
      </c>
      <c r="O25" s="178" t="n">
        <v>876623</v>
      </c>
      <c r="P25" s="178" t="n">
        <v>292208</v>
      </c>
      <c r="Q25" s="178" t="n">
        <f aca="false">N25+O25+P25</f>
        <v>2045454</v>
      </c>
      <c r="R25" s="178" t="n">
        <f aca="false">Q25*0.05</f>
        <v>102272.7</v>
      </c>
      <c r="S25" s="177" t="n">
        <f aca="false">C25+D25-1</f>
        <v>47</v>
      </c>
      <c r="T25" s="181"/>
      <c r="W25" s="182" t="n">
        <f aca="false">C25+D25-1</f>
        <v>47</v>
      </c>
    </row>
    <row r="26" customFormat="false" ht="15" hidden="false" customHeight="true" outlineLevel="0" collapsed="false">
      <c r="A26" s="177" t="s">
        <v>29</v>
      </c>
      <c r="B26" s="178" t="n">
        <v>18000000</v>
      </c>
      <c r="C26" s="179" t="n">
        <v>30</v>
      </c>
      <c r="D26" s="179" t="n">
        <v>19</v>
      </c>
      <c r="E26" s="179" t="n">
        <v>3</v>
      </c>
      <c r="F26" s="179" t="s">
        <v>567</v>
      </c>
      <c r="G26" s="179" t="s">
        <v>568</v>
      </c>
      <c r="H26" s="179" t="n">
        <v>0</v>
      </c>
      <c r="I26" s="180" t="n">
        <f aca="false">IF(H26=1,Assumptions!$B$16,IF(H26=2,Assumptions!$B$17,0))</f>
        <v>0</v>
      </c>
      <c r="J26" s="179" t="s">
        <v>567</v>
      </c>
      <c r="K26" s="179" t="s">
        <v>567</v>
      </c>
      <c r="L26" s="179" t="s">
        <v>572</v>
      </c>
      <c r="M26" s="184" t="s">
        <v>567</v>
      </c>
      <c r="N26" s="178" t="n">
        <v>876623</v>
      </c>
      <c r="O26" s="178" t="n">
        <v>876623</v>
      </c>
      <c r="P26" s="178" t="n">
        <v>292208</v>
      </c>
      <c r="Q26" s="178" t="n">
        <f aca="false">N26+O26+P26</f>
        <v>2045454</v>
      </c>
      <c r="R26" s="178" t="n">
        <f aca="false">Q26*0.05</f>
        <v>102272.7</v>
      </c>
      <c r="S26" s="177" t="n">
        <f aca="false">C26+D26-1</f>
        <v>48</v>
      </c>
      <c r="T26" s="181"/>
      <c r="W26" s="182" t="n">
        <f aca="false">C26+D26-1</f>
        <v>48</v>
      </c>
    </row>
    <row r="27" customFormat="false" ht="15" hidden="false" customHeight="true" outlineLevel="0" collapsed="false">
      <c r="A27" s="177" t="s">
        <v>30</v>
      </c>
      <c r="B27" s="178" t="n">
        <v>15000000</v>
      </c>
      <c r="C27" s="179" t="n">
        <v>31</v>
      </c>
      <c r="D27" s="179" t="n">
        <v>19</v>
      </c>
      <c r="E27" s="179" t="n">
        <v>3</v>
      </c>
      <c r="F27" s="179" t="s">
        <v>567</v>
      </c>
      <c r="G27" s="179" t="s">
        <v>568</v>
      </c>
      <c r="H27" s="179" t="n">
        <v>0</v>
      </c>
      <c r="I27" s="180" t="n">
        <f aca="false">IF(H27=1,Assumptions!$B$16,IF(H27=2,Assumptions!$B$17,0))</f>
        <v>0</v>
      </c>
      <c r="J27" s="179" t="s">
        <v>567</v>
      </c>
      <c r="K27" s="179" t="s">
        <v>567</v>
      </c>
      <c r="L27" s="179" t="s">
        <v>572</v>
      </c>
      <c r="M27" s="184" t="s">
        <v>567</v>
      </c>
      <c r="N27" s="178" t="n">
        <v>730519</v>
      </c>
      <c r="O27" s="178" t="n">
        <v>730519</v>
      </c>
      <c r="P27" s="178" t="n">
        <v>243506</v>
      </c>
      <c r="Q27" s="178" t="n">
        <f aca="false">N27+O27+P27</f>
        <v>1704544</v>
      </c>
      <c r="R27" s="178" t="n">
        <f aca="false">Q27*0.05</f>
        <v>85227.2</v>
      </c>
      <c r="S27" s="177" t="n">
        <f aca="false">C27+D27-1</f>
        <v>49</v>
      </c>
      <c r="T27" s="181"/>
      <c r="W27" s="182" t="n">
        <f aca="false">C27+D27-1</f>
        <v>49</v>
      </c>
    </row>
    <row r="28" customFormat="false" ht="15" hidden="false" customHeight="true" outlineLevel="0" collapsed="false">
      <c r="A28" s="177" t="s">
        <v>31</v>
      </c>
      <c r="B28" s="178" t="n">
        <v>15000000</v>
      </c>
      <c r="C28" s="179" t="n">
        <v>32</v>
      </c>
      <c r="D28" s="179" t="n">
        <v>19</v>
      </c>
      <c r="E28" s="179" t="n">
        <v>3</v>
      </c>
      <c r="F28" s="179" t="s">
        <v>568</v>
      </c>
      <c r="G28" s="179" t="s">
        <v>568</v>
      </c>
      <c r="H28" s="179" t="n">
        <v>2</v>
      </c>
      <c r="I28" s="180" t="n">
        <f aca="false">IF(H28=1,Assumptions!$B$16,IF(H28=2,Assumptions!$B$17,0))</f>
        <v>0.0325</v>
      </c>
      <c r="J28" s="179" t="s">
        <v>567</v>
      </c>
      <c r="K28" s="179" t="s">
        <v>567</v>
      </c>
      <c r="L28" s="179" t="s">
        <v>572</v>
      </c>
      <c r="M28" s="184" t="s">
        <v>568</v>
      </c>
      <c r="N28" s="178" t="n">
        <v>730519</v>
      </c>
      <c r="O28" s="178" t="n">
        <v>730519</v>
      </c>
      <c r="P28" s="178" t="n">
        <v>243506</v>
      </c>
      <c r="Q28" s="178" t="n">
        <f aca="false">N28+O28+P28</f>
        <v>1704544</v>
      </c>
      <c r="R28" s="178" t="n">
        <f aca="false">Q28*0.05</f>
        <v>85227.2</v>
      </c>
      <c r="S28" s="177" t="n">
        <f aca="false">C28+D28-1</f>
        <v>50</v>
      </c>
      <c r="T28" s="181" t="n">
        <f aca="false">Assumptions!$B$15</f>
        <v>0.015</v>
      </c>
      <c r="W28" s="182" t="n">
        <f aca="false">C28+D28-1</f>
        <v>50</v>
      </c>
    </row>
    <row r="29" customFormat="false" ht="15" hidden="false" customHeight="true" outlineLevel="0" collapsed="false">
      <c r="A29" s="177" t="s">
        <v>32</v>
      </c>
      <c r="B29" s="178" t="n">
        <v>15000000</v>
      </c>
      <c r="C29" s="179" t="n">
        <v>33</v>
      </c>
      <c r="D29" s="179" t="n">
        <v>19</v>
      </c>
      <c r="E29" s="179" t="n">
        <v>3</v>
      </c>
      <c r="F29" s="179" t="s">
        <v>567</v>
      </c>
      <c r="G29" s="179" t="s">
        <v>568</v>
      </c>
      <c r="H29" s="179" t="n">
        <v>0</v>
      </c>
      <c r="I29" s="180" t="n">
        <f aca="false">IF(H29=1,Assumptions!$B$16,IF(H29=2,Assumptions!$B$17,0))</f>
        <v>0</v>
      </c>
      <c r="J29" s="179" t="s">
        <v>567</v>
      </c>
      <c r="K29" s="179" t="s">
        <v>567</v>
      </c>
      <c r="L29" s="179" t="s">
        <v>572</v>
      </c>
      <c r="M29" s="184" t="s">
        <v>567</v>
      </c>
      <c r="N29" s="178" t="n">
        <v>730519</v>
      </c>
      <c r="O29" s="178" t="n">
        <v>730519</v>
      </c>
      <c r="P29" s="178" t="n">
        <v>243506</v>
      </c>
      <c r="Q29" s="178" t="n">
        <f aca="false">N29+O29+P29</f>
        <v>1704544</v>
      </c>
      <c r="R29" s="178" t="n">
        <f aca="false">Q29*0.05</f>
        <v>85227.2</v>
      </c>
      <c r="S29" s="177" t="n">
        <f aca="false">C29+D29-1</f>
        <v>51</v>
      </c>
      <c r="T29" s="181"/>
      <c r="W29" s="182" t="n">
        <f aca="false">C29+D29-1</f>
        <v>51</v>
      </c>
    </row>
    <row r="30" customFormat="false" ht="15" hidden="false" customHeight="true" outlineLevel="0" collapsed="false">
      <c r="A30" s="177" t="s">
        <v>33</v>
      </c>
      <c r="B30" s="178" t="n">
        <v>15000000</v>
      </c>
      <c r="C30" s="179" t="n">
        <v>34</v>
      </c>
      <c r="D30" s="179" t="n">
        <v>19</v>
      </c>
      <c r="E30" s="179" t="n">
        <v>3</v>
      </c>
      <c r="F30" s="179" t="s">
        <v>567</v>
      </c>
      <c r="G30" s="179" t="s">
        <v>568</v>
      </c>
      <c r="H30" s="179" t="n">
        <v>0</v>
      </c>
      <c r="I30" s="180" t="n">
        <f aca="false">IF(H30=1,Assumptions!$B$16,IF(H30=2,Assumptions!$B$17,0))</f>
        <v>0</v>
      </c>
      <c r="J30" s="179" t="s">
        <v>567</v>
      </c>
      <c r="K30" s="179" t="s">
        <v>567</v>
      </c>
      <c r="L30" s="179" t="s">
        <v>572</v>
      </c>
      <c r="M30" s="184" t="s">
        <v>567</v>
      </c>
      <c r="N30" s="178" t="n">
        <v>730519</v>
      </c>
      <c r="O30" s="178" t="n">
        <v>730519</v>
      </c>
      <c r="P30" s="178" t="n">
        <v>243506</v>
      </c>
      <c r="Q30" s="178" t="n">
        <f aca="false">N30+O30+P30</f>
        <v>1704544</v>
      </c>
      <c r="R30" s="178" t="n">
        <f aca="false">Q30*0.05</f>
        <v>85227.2</v>
      </c>
      <c r="S30" s="177" t="n">
        <f aca="false">C30+D30-1</f>
        <v>52</v>
      </c>
      <c r="T30" s="181"/>
      <c r="W30" s="182" t="n">
        <f aca="false">C30+D30-1</f>
        <v>52</v>
      </c>
    </row>
    <row r="31" customFormat="false" ht="15" hidden="false" customHeight="true" outlineLevel="0" collapsed="false">
      <c r="A31" s="177" t="s">
        <v>34</v>
      </c>
      <c r="B31" s="178" t="n">
        <v>18000000</v>
      </c>
      <c r="C31" s="179" t="n">
        <v>35</v>
      </c>
      <c r="D31" s="179" t="n">
        <v>19</v>
      </c>
      <c r="E31" s="179" t="n">
        <v>3</v>
      </c>
      <c r="F31" s="179" t="s">
        <v>567</v>
      </c>
      <c r="G31" s="179" t="s">
        <v>568</v>
      </c>
      <c r="H31" s="179" t="n">
        <v>0</v>
      </c>
      <c r="I31" s="180" t="n">
        <f aca="false">IF(H31=1,Assumptions!$B$16,IF(H31=2,Assumptions!$B$17,0))</f>
        <v>0</v>
      </c>
      <c r="J31" s="179" t="s">
        <v>567</v>
      </c>
      <c r="K31" s="179" t="s">
        <v>567</v>
      </c>
      <c r="L31" s="179" t="s">
        <v>572</v>
      </c>
      <c r="M31" s="184" t="s">
        <v>567</v>
      </c>
      <c r="N31" s="178" t="n">
        <v>876623</v>
      </c>
      <c r="O31" s="178" t="n">
        <v>876623</v>
      </c>
      <c r="P31" s="178" t="n">
        <v>292208</v>
      </c>
      <c r="Q31" s="178" t="n">
        <f aca="false">N31+O31+P31</f>
        <v>2045454</v>
      </c>
      <c r="R31" s="178" t="n">
        <f aca="false">Q31*0.05</f>
        <v>102272.7</v>
      </c>
      <c r="S31" s="177" t="n">
        <f aca="false">C31+D31-1</f>
        <v>53</v>
      </c>
      <c r="T31" s="181"/>
      <c r="W31" s="182" t="n">
        <f aca="false">C31+D31-1</f>
        <v>53</v>
      </c>
    </row>
    <row r="32" customFormat="false" ht="15" hidden="false" customHeight="true" outlineLevel="0" collapsed="false">
      <c r="A32" s="177" t="s">
        <v>35</v>
      </c>
      <c r="B32" s="178" t="n">
        <v>15000000</v>
      </c>
      <c r="C32" s="179" t="n">
        <v>36</v>
      </c>
      <c r="D32" s="179" t="n">
        <v>19</v>
      </c>
      <c r="E32" s="179" t="n">
        <v>3</v>
      </c>
      <c r="F32" s="179" t="s">
        <v>567</v>
      </c>
      <c r="G32" s="179" t="s">
        <v>568</v>
      </c>
      <c r="H32" s="179" t="n">
        <v>0</v>
      </c>
      <c r="I32" s="180" t="n">
        <f aca="false">IF(H32=1,Assumptions!$B$16,IF(H32=2,Assumptions!$B$17,0))</f>
        <v>0</v>
      </c>
      <c r="J32" s="179" t="s">
        <v>567</v>
      </c>
      <c r="K32" s="179" t="s">
        <v>567</v>
      </c>
      <c r="L32" s="179" t="s">
        <v>572</v>
      </c>
      <c r="M32" s="184" t="s">
        <v>567</v>
      </c>
      <c r="N32" s="178" t="n">
        <v>730519</v>
      </c>
      <c r="O32" s="178" t="n">
        <v>730519</v>
      </c>
      <c r="P32" s="178" t="n">
        <v>243506</v>
      </c>
      <c r="Q32" s="178" t="n">
        <f aca="false">N32+O32+P32</f>
        <v>1704544</v>
      </c>
      <c r="R32" s="178" t="n">
        <f aca="false">Q32*0.05</f>
        <v>85227.2</v>
      </c>
      <c r="S32" s="177" t="n">
        <f aca="false">C32+D32-1</f>
        <v>54</v>
      </c>
      <c r="T32" s="181"/>
      <c r="W32" s="182" t="n">
        <f aca="false">C32+D32-1</f>
        <v>54</v>
      </c>
    </row>
    <row r="33" customFormat="false" ht="15" hidden="false" customHeight="true" outlineLevel="0" collapsed="false">
      <c r="A33" s="177" t="s">
        <v>36</v>
      </c>
      <c r="B33" s="178" t="n">
        <v>15000000</v>
      </c>
      <c r="C33" s="179" t="n">
        <v>37</v>
      </c>
      <c r="D33" s="179" t="n">
        <v>19</v>
      </c>
      <c r="E33" s="179" t="n">
        <v>3</v>
      </c>
      <c r="F33" s="179" t="s">
        <v>567</v>
      </c>
      <c r="G33" s="179" t="s">
        <v>568</v>
      </c>
      <c r="H33" s="179" t="n">
        <v>0</v>
      </c>
      <c r="I33" s="180" t="n">
        <f aca="false">IF(H33=1,Assumptions!$B$16,IF(H33=2,Assumptions!$B$17,0))</f>
        <v>0</v>
      </c>
      <c r="J33" s="179" t="s">
        <v>567</v>
      </c>
      <c r="K33" s="179" t="s">
        <v>567</v>
      </c>
      <c r="L33" s="179" t="s">
        <v>572</v>
      </c>
      <c r="M33" s="184" t="s">
        <v>567</v>
      </c>
      <c r="N33" s="178" t="n">
        <v>730519</v>
      </c>
      <c r="O33" s="178" t="n">
        <v>730519</v>
      </c>
      <c r="P33" s="178" t="n">
        <v>243506</v>
      </c>
      <c r="Q33" s="178" t="n">
        <f aca="false">N33+O33+P33</f>
        <v>1704544</v>
      </c>
      <c r="R33" s="178" t="n">
        <f aca="false">Q33*0.05</f>
        <v>85227.2</v>
      </c>
      <c r="S33" s="177" t="n">
        <f aca="false">C33+D33-1</f>
        <v>55</v>
      </c>
      <c r="T33" s="181"/>
      <c r="W33" s="182" t="n">
        <f aca="false">C33+D33-1</f>
        <v>55</v>
      </c>
    </row>
    <row r="34" customFormat="false" ht="15" hidden="false" customHeight="true" outlineLevel="0" collapsed="false">
      <c r="A34" s="177" t="s">
        <v>37</v>
      </c>
      <c r="B34" s="178" t="n">
        <v>18000000</v>
      </c>
      <c r="C34" s="179" t="n">
        <v>38</v>
      </c>
      <c r="D34" s="179" t="n">
        <v>19</v>
      </c>
      <c r="E34" s="179" t="n">
        <v>3</v>
      </c>
      <c r="F34" s="179" t="s">
        <v>568</v>
      </c>
      <c r="G34" s="179" t="s">
        <v>568</v>
      </c>
      <c r="H34" s="179" t="n">
        <v>2</v>
      </c>
      <c r="I34" s="180" t="n">
        <f aca="false">IF(H34=1,Assumptions!$B$16,IF(H34=2,Assumptions!$B$17,0))</f>
        <v>0.0325</v>
      </c>
      <c r="J34" s="179" t="s">
        <v>567</v>
      </c>
      <c r="K34" s="179" t="s">
        <v>567</v>
      </c>
      <c r="L34" s="179" t="s">
        <v>572</v>
      </c>
      <c r="M34" s="184" t="s">
        <v>568</v>
      </c>
      <c r="N34" s="178" t="n">
        <v>876623</v>
      </c>
      <c r="O34" s="178" t="n">
        <v>876623</v>
      </c>
      <c r="P34" s="178" t="n">
        <v>292208</v>
      </c>
      <c r="Q34" s="178" t="n">
        <f aca="false">N34+O34+P34</f>
        <v>2045454</v>
      </c>
      <c r="R34" s="178" t="n">
        <f aca="false">Q34*0.05</f>
        <v>102272.7</v>
      </c>
      <c r="S34" s="177" t="n">
        <f aca="false">C34+D34-1</f>
        <v>56</v>
      </c>
      <c r="T34" s="181" t="n">
        <f aca="false">Assumptions!$B$15</f>
        <v>0.015</v>
      </c>
      <c r="W34" s="182" t="n">
        <f aca="false">C34+D34-1</f>
        <v>56</v>
      </c>
    </row>
    <row r="35" customFormat="false" ht="15" hidden="false" customHeight="true" outlineLevel="0" collapsed="false">
      <c r="A35" s="177" t="s">
        <v>38</v>
      </c>
      <c r="B35" s="178" t="n">
        <v>15000000</v>
      </c>
      <c r="C35" s="179" t="n">
        <v>39</v>
      </c>
      <c r="D35" s="179" t="n">
        <v>19</v>
      </c>
      <c r="E35" s="179" t="n">
        <v>3</v>
      </c>
      <c r="F35" s="179" t="s">
        <v>567</v>
      </c>
      <c r="G35" s="179" t="s">
        <v>568</v>
      </c>
      <c r="H35" s="179" t="n">
        <v>0</v>
      </c>
      <c r="I35" s="180" t="n">
        <f aca="false">IF(H35=1,Assumptions!$B$16,IF(H35=2,Assumptions!$B$17,0))</f>
        <v>0</v>
      </c>
      <c r="J35" s="179" t="s">
        <v>567</v>
      </c>
      <c r="K35" s="179" t="s">
        <v>567</v>
      </c>
      <c r="L35" s="179" t="s">
        <v>572</v>
      </c>
      <c r="M35" s="184" t="s">
        <v>567</v>
      </c>
      <c r="N35" s="178" t="n">
        <v>730519</v>
      </c>
      <c r="O35" s="178" t="n">
        <v>730519</v>
      </c>
      <c r="P35" s="178" t="n">
        <v>243506</v>
      </c>
      <c r="Q35" s="178" t="n">
        <f aca="false">N35+O35+P35</f>
        <v>1704544</v>
      </c>
      <c r="R35" s="178" t="n">
        <f aca="false">Q35*0.05</f>
        <v>85227.2</v>
      </c>
      <c r="S35" s="177" t="n">
        <f aca="false">C35+D35-1</f>
        <v>57</v>
      </c>
      <c r="T35" s="181"/>
      <c r="W35" s="182" t="n">
        <f aca="false">C35+D35-1</f>
        <v>57</v>
      </c>
    </row>
    <row r="36" customFormat="false" ht="15" hidden="false" customHeight="true" outlineLevel="0" collapsed="false">
      <c r="A36" s="177" t="s">
        <v>39</v>
      </c>
      <c r="B36" s="178" t="n">
        <v>18000000</v>
      </c>
      <c r="C36" s="179" t="n">
        <v>43</v>
      </c>
      <c r="D36" s="179" t="n">
        <v>19</v>
      </c>
      <c r="E36" s="179" t="n">
        <v>3</v>
      </c>
      <c r="F36" s="179" t="s">
        <v>567</v>
      </c>
      <c r="G36" s="179" t="s">
        <v>568</v>
      </c>
      <c r="H36" s="179" t="n">
        <v>0</v>
      </c>
      <c r="I36" s="180" t="n">
        <f aca="false">IF(H36=1,Assumptions!$B$16,IF(H36=2,Assumptions!$B$17,0))</f>
        <v>0</v>
      </c>
      <c r="J36" s="179" t="s">
        <v>567</v>
      </c>
      <c r="K36" s="179" t="s">
        <v>567</v>
      </c>
      <c r="L36" s="179" t="s">
        <v>572</v>
      </c>
      <c r="M36" s="184" t="s">
        <v>567</v>
      </c>
      <c r="N36" s="178" t="n">
        <v>876623</v>
      </c>
      <c r="O36" s="178" t="n">
        <v>876623</v>
      </c>
      <c r="P36" s="178" t="n">
        <v>292208</v>
      </c>
      <c r="Q36" s="178" t="n">
        <f aca="false">N36+O36+P36</f>
        <v>2045454</v>
      </c>
      <c r="R36" s="178" t="n">
        <f aca="false">Q36*0.05</f>
        <v>102272.7</v>
      </c>
      <c r="S36" s="177" t="n">
        <f aca="false">C36+D36-1</f>
        <v>61</v>
      </c>
      <c r="T36" s="181"/>
      <c r="W36" s="182" t="n">
        <f aca="false">C36+D36-1</f>
        <v>61</v>
      </c>
    </row>
    <row r="37" customFormat="false" ht="15" hidden="false" customHeight="true" outlineLevel="0" collapsed="false">
      <c r="A37" s="177" t="s">
        <v>40</v>
      </c>
      <c r="B37" s="178" t="n">
        <v>15000000</v>
      </c>
      <c r="C37" s="179" t="n">
        <v>44</v>
      </c>
      <c r="D37" s="179" t="n">
        <v>19</v>
      </c>
      <c r="E37" s="179" t="n">
        <v>3</v>
      </c>
      <c r="F37" s="179" t="s">
        <v>567</v>
      </c>
      <c r="G37" s="179" t="s">
        <v>568</v>
      </c>
      <c r="H37" s="179" t="n">
        <v>0</v>
      </c>
      <c r="I37" s="180" t="n">
        <f aca="false">IF(H37=1,Assumptions!$B$16,IF(H37=2,Assumptions!$B$17,0))</f>
        <v>0</v>
      </c>
      <c r="J37" s="179" t="s">
        <v>567</v>
      </c>
      <c r="K37" s="179" t="s">
        <v>567</v>
      </c>
      <c r="L37" s="179" t="s">
        <v>572</v>
      </c>
      <c r="M37" s="184" t="s">
        <v>567</v>
      </c>
      <c r="N37" s="178" t="n">
        <v>730519</v>
      </c>
      <c r="O37" s="178" t="n">
        <v>730519</v>
      </c>
      <c r="P37" s="178" t="n">
        <v>243506</v>
      </c>
      <c r="Q37" s="178" t="n">
        <f aca="false">N37+O37+P37</f>
        <v>1704544</v>
      </c>
      <c r="R37" s="178" t="n">
        <f aca="false">Q37*0.05</f>
        <v>85227.2</v>
      </c>
      <c r="S37" s="177" t="n">
        <f aca="false">C37+D37-1</f>
        <v>62</v>
      </c>
      <c r="T37" s="181"/>
      <c r="W37" s="182" t="n">
        <f aca="false">C37+D37-1</f>
        <v>62</v>
      </c>
    </row>
    <row r="38" customFormat="false" ht="15" hidden="false" customHeight="true" outlineLevel="0" collapsed="false">
      <c r="A38" s="177" t="s">
        <v>41</v>
      </c>
      <c r="B38" s="178" t="n">
        <v>15000000</v>
      </c>
      <c r="C38" s="179" t="n">
        <v>48</v>
      </c>
      <c r="D38" s="179" t="n">
        <v>19</v>
      </c>
      <c r="E38" s="179" t="n">
        <v>3</v>
      </c>
      <c r="F38" s="179" t="s">
        <v>567</v>
      </c>
      <c r="G38" s="179" t="s">
        <v>568</v>
      </c>
      <c r="H38" s="179" t="n">
        <v>0</v>
      </c>
      <c r="I38" s="180" t="n">
        <f aca="false">IF(H38=1,Assumptions!$B$16,IF(H38=2,Assumptions!$B$17,0))</f>
        <v>0</v>
      </c>
      <c r="J38" s="179" t="s">
        <v>567</v>
      </c>
      <c r="K38" s="179" t="s">
        <v>567</v>
      </c>
      <c r="L38" s="179" t="s">
        <v>572</v>
      </c>
      <c r="M38" s="184" t="s">
        <v>567</v>
      </c>
      <c r="N38" s="178" t="n">
        <v>730519</v>
      </c>
      <c r="O38" s="178" t="n">
        <v>730519</v>
      </c>
      <c r="P38" s="178" t="n">
        <v>243506</v>
      </c>
      <c r="Q38" s="178" t="n">
        <f aca="false">N38+O38+P38</f>
        <v>1704544</v>
      </c>
      <c r="R38" s="178" t="n">
        <f aca="false">Q38*0.05</f>
        <v>85227.2</v>
      </c>
      <c r="S38" s="177" t="n">
        <f aca="false">C38+D38-1</f>
        <v>66</v>
      </c>
      <c r="T38" s="181"/>
      <c r="W38" s="182" t="n">
        <f aca="false">C38+D38-1</f>
        <v>66</v>
      </c>
    </row>
    <row r="39" customFormat="false" ht="15" hidden="false" customHeight="true" outlineLevel="0" collapsed="false">
      <c r="A39" s="177" t="s">
        <v>42</v>
      </c>
      <c r="B39" s="178" t="n">
        <v>18000000</v>
      </c>
      <c r="C39" s="179" t="n">
        <v>49</v>
      </c>
      <c r="D39" s="179" t="n">
        <v>19</v>
      </c>
      <c r="E39" s="179" t="n">
        <v>3</v>
      </c>
      <c r="F39" s="179" t="s">
        <v>567</v>
      </c>
      <c r="G39" s="179" t="s">
        <v>568</v>
      </c>
      <c r="H39" s="179" t="n">
        <v>0</v>
      </c>
      <c r="I39" s="180" t="n">
        <f aca="false">IF(H39=1,Assumptions!$B$16,IF(H39=2,Assumptions!$B$17,0))</f>
        <v>0</v>
      </c>
      <c r="J39" s="179" t="s">
        <v>567</v>
      </c>
      <c r="K39" s="179" t="s">
        <v>567</v>
      </c>
      <c r="L39" s="179" t="s">
        <v>572</v>
      </c>
      <c r="M39" s="184" t="s">
        <v>567</v>
      </c>
      <c r="N39" s="178" t="n">
        <v>876623</v>
      </c>
      <c r="O39" s="178" t="n">
        <v>876623</v>
      </c>
      <c r="P39" s="178" t="n">
        <v>292208</v>
      </c>
      <c r="Q39" s="178" t="n">
        <f aca="false">N39+O39+P39</f>
        <v>2045454</v>
      </c>
      <c r="R39" s="178" t="n">
        <f aca="false">Q39*0.05</f>
        <v>102272.7</v>
      </c>
      <c r="S39" s="177" t="n">
        <f aca="false">C39+D39-1</f>
        <v>67</v>
      </c>
      <c r="T39" s="181"/>
      <c r="W39" s="182" t="n">
        <f aca="false">C39+D39-1</f>
        <v>67</v>
      </c>
    </row>
    <row r="40" customFormat="false" ht="15" hidden="false" customHeight="true" outlineLevel="0" collapsed="false">
      <c r="A40" s="177" t="s">
        <v>43</v>
      </c>
      <c r="B40" s="178" t="n">
        <v>15000000</v>
      </c>
      <c r="C40" s="179" t="n">
        <v>50</v>
      </c>
      <c r="D40" s="179" t="n">
        <v>19</v>
      </c>
      <c r="E40" s="179" t="n">
        <v>3</v>
      </c>
      <c r="F40" s="179" t="s">
        <v>568</v>
      </c>
      <c r="G40" s="179" t="s">
        <v>568</v>
      </c>
      <c r="H40" s="179" t="n">
        <v>2</v>
      </c>
      <c r="I40" s="180" t="n">
        <f aca="false">IF(H40=1,Assumptions!$B$16,IF(H40=2,Assumptions!$B$17,0))</f>
        <v>0.0325</v>
      </c>
      <c r="J40" s="179" t="s">
        <v>567</v>
      </c>
      <c r="K40" s="179" t="s">
        <v>567</v>
      </c>
      <c r="L40" s="179" t="s">
        <v>572</v>
      </c>
      <c r="M40" s="184" t="s">
        <v>568</v>
      </c>
      <c r="N40" s="178" t="n">
        <v>730519</v>
      </c>
      <c r="O40" s="178" t="n">
        <v>730519</v>
      </c>
      <c r="P40" s="178" t="n">
        <v>243506</v>
      </c>
      <c r="Q40" s="178" t="n">
        <f aca="false">N40+O40+P40</f>
        <v>1704544</v>
      </c>
      <c r="R40" s="178" t="n">
        <f aca="false">Q40*0.05</f>
        <v>85227.2</v>
      </c>
      <c r="S40" s="177" t="n">
        <f aca="false">C40+D40-1</f>
        <v>68</v>
      </c>
      <c r="T40" s="181" t="n">
        <f aca="false">Assumptions!$B$15</f>
        <v>0.015</v>
      </c>
      <c r="W40" s="182" t="n">
        <f aca="false">C40+D40-1</f>
        <v>68</v>
      </c>
    </row>
    <row r="41" customFormat="false" ht="15" hidden="false" customHeight="true" outlineLevel="0" collapsed="false">
      <c r="A41" s="177" t="s">
        <v>44</v>
      </c>
      <c r="B41" s="178" t="n">
        <v>15000000</v>
      </c>
      <c r="C41" s="179" t="n">
        <v>51</v>
      </c>
      <c r="D41" s="179" t="n">
        <v>19</v>
      </c>
      <c r="E41" s="179" t="n">
        <v>3</v>
      </c>
      <c r="F41" s="179" t="s">
        <v>567</v>
      </c>
      <c r="G41" s="179" t="s">
        <v>568</v>
      </c>
      <c r="H41" s="179" t="n">
        <v>0</v>
      </c>
      <c r="I41" s="180" t="n">
        <f aca="false">IF(H41=1,Assumptions!$B$16,IF(H41=2,Assumptions!$B$17,0))</f>
        <v>0</v>
      </c>
      <c r="J41" s="179" t="s">
        <v>567</v>
      </c>
      <c r="K41" s="179" t="s">
        <v>567</v>
      </c>
      <c r="L41" s="179" t="s">
        <v>572</v>
      </c>
      <c r="M41" s="184" t="s">
        <v>567</v>
      </c>
      <c r="N41" s="178" t="n">
        <v>730519</v>
      </c>
      <c r="O41" s="178" t="n">
        <v>730519</v>
      </c>
      <c r="P41" s="178" t="n">
        <v>243506</v>
      </c>
      <c r="Q41" s="178" t="n">
        <f aca="false">N41+O41+P41</f>
        <v>1704544</v>
      </c>
      <c r="R41" s="178" t="n">
        <f aca="false">Q41*0.05</f>
        <v>85227.2</v>
      </c>
      <c r="S41" s="177" t="n">
        <f aca="false">C41+D41-1</f>
        <v>69</v>
      </c>
      <c r="T41" s="181"/>
      <c r="W41" s="182" t="n">
        <f aca="false">C41+D41-1</f>
        <v>69</v>
      </c>
    </row>
    <row r="42" customFormat="false" ht="15" hidden="false" customHeight="true" outlineLevel="0" collapsed="false">
      <c r="A42" s="177" t="s">
        <v>45</v>
      </c>
      <c r="B42" s="178" t="n">
        <v>18000000</v>
      </c>
      <c r="C42" s="179" t="n">
        <v>52</v>
      </c>
      <c r="D42" s="179" t="n">
        <v>19</v>
      </c>
      <c r="E42" s="179" t="n">
        <v>3</v>
      </c>
      <c r="F42" s="179" t="s">
        <v>567</v>
      </c>
      <c r="G42" s="179" t="s">
        <v>568</v>
      </c>
      <c r="H42" s="179" t="n">
        <v>0</v>
      </c>
      <c r="I42" s="180" t="n">
        <f aca="false">IF(H42=1,Assumptions!$B$16,IF(H42=2,Assumptions!$B$17,0))</f>
        <v>0</v>
      </c>
      <c r="J42" s="179" t="s">
        <v>567</v>
      </c>
      <c r="K42" s="179" t="s">
        <v>567</v>
      </c>
      <c r="L42" s="179" t="s">
        <v>572</v>
      </c>
      <c r="M42" s="184" t="s">
        <v>567</v>
      </c>
      <c r="N42" s="178" t="n">
        <v>876623</v>
      </c>
      <c r="O42" s="178" t="n">
        <v>876623</v>
      </c>
      <c r="P42" s="178" t="n">
        <v>292208</v>
      </c>
      <c r="Q42" s="178" t="n">
        <f aca="false">N42+O42+P42</f>
        <v>2045454</v>
      </c>
      <c r="R42" s="178" t="n">
        <f aca="false">Q42*0.05</f>
        <v>102272.7</v>
      </c>
      <c r="S42" s="177" t="n">
        <f aca="false">C42+D42-1</f>
        <v>70</v>
      </c>
      <c r="T42" s="181"/>
      <c r="W42" s="182" t="n">
        <f aca="false">C42+D42-1</f>
        <v>70</v>
      </c>
    </row>
    <row r="43" customFormat="false" ht="15" hidden="false" customHeight="true" outlineLevel="0" collapsed="false">
      <c r="A43" s="177" t="s">
        <v>46</v>
      </c>
      <c r="B43" s="178" t="n">
        <v>15000000</v>
      </c>
      <c r="C43" s="179" t="n">
        <v>53</v>
      </c>
      <c r="D43" s="179" t="n">
        <v>19</v>
      </c>
      <c r="E43" s="179" t="n">
        <v>3</v>
      </c>
      <c r="F43" s="179" t="s">
        <v>567</v>
      </c>
      <c r="G43" s="179" t="s">
        <v>568</v>
      </c>
      <c r="H43" s="179" t="n">
        <v>0</v>
      </c>
      <c r="I43" s="180" t="n">
        <f aca="false">IF(H43=1,Assumptions!$B$16,IF(H43=2,Assumptions!$B$17,0))</f>
        <v>0</v>
      </c>
      <c r="J43" s="179" t="s">
        <v>567</v>
      </c>
      <c r="K43" s="179" t="s">
        <v>567</v>
      </c>
      <c r="L43" s="179" t="s">
        <v>572</v>
      </c>
      <c r="M43" s="184" t="s">
        <v>567</v>
      </c>
      <c r="N43" s="178" t="n">
        <v>730519</v>
      </c>
      <c r="O43" s="178" t="n">
        <v>730519</v>
      </c>
      <c r="P43" s="178" t="n">
        <v>243506</v>
      </c>
      <c r="Q43" s="178" t="n">
        <f aca="false">N43+O43+P43</f>
        <v>1704544</v>
      </c>
      <c r="R43" s="178" t="n">
        <f aca="false">Q43*0.05</f>
        <v>85227.2</v>
      </c>
      <c r="S43" s="177" t="n">
        <f aca="false">C43+D43-1</f>
        <v>71</v>
      </c>
      <c r="T43" s="181"/>
      <c r="W43" s="182" t="n">
        <f aca="false">C43+D43-1</f>
        <v>71</v>
      </c>
    </row>
    <row r="44" customFormat="false" ht="15" hidden="false" customHeight="true" outlineLevel="0" collapsed="false">
      <c r="A44" s="177" t="s">
        <v>47</v>
      </c>
      <c r="B44" s="178" t="n">
        <v>15000000</v>
      </c>
      <c r="C44" s="179" t="n">
        <v>54</v>
      </c>
      <c r="D44" s="179" t="n">
        <v>19</v>
      </c>
      <c r="E44" s="179" t="n">
        <v>3</v>
      </c>
      <c r="F44" s="179" t="s">
        <v>567</v>
      </c>
      <c r="G44" s="179" t="s">
        <v>568</v>
      </c>
      <c r="H44" s="179" t="n">
        <v>0</v>
      </c>
      <c r="I44" s="180" t="n">
        <f aca="false">IF(H44=1,Assumptions!$B$16,IF(H44=2,Assumptions!$B$17,0))</f>
        <v>0</v>
      </c>
      <c r="J44" s="179" t="s">
        <v>567</v>
      </c>
      <c r="K44" s="179" t="s">
        <v>567</v>
      </c>
      <c r="L44" s="179" t="s">
        <v>572</v>
      </c>
      <c r="M44" s="184" t="s">
        <v>567</v>
      </c>
      <c r="N44" s="178" t="n">
        <v>730519</v>
      </c>
      <c r="O44" s="178" t="n">
        <v>730519</v>
      </c>
      <c r="P44" s="178" t="n">
        <v>243506</v>
      </c>
      <c r="Q44" s="178" t="n">
        <f aca="false">N44+O44+P44</f>
        <v>1704544</v>
      </c>
      <c r="R44" s="178" t="n">
        <f aca="false">Q44*0.05</f>
        <v>85227.2</v>
      </c>
      <c r="S44" s="177" t="n">
        <f aca="false">C44+D44-1</f>
        <v>72</v>
      </c>
      <c r="T44" s="181"/>
      <c r="W44" s="182" t="n">
        <f aca="false">C44+D44-1</f>
        <v>72</v>
      </c>
    </row>
    <row r="45" customFormat="false" ht="15" hidden="false" customHeight="true" outlineLevel="0" collapsed="false">
      <c r="A45" s="177" t="s">
        <v>48</v>
      </c>
      <c r="B45" s="178" t="n">
        <v>18000000</v>
      </c>
      <c r="C45" s="179" t="n">
        <v>55</v>
      </c>
      <c r="D45" s="179" t="n">
        <v>19</v>
      </c>
      <c r="E45" s="179" t="n">
        <v>3</v>
      </c>
      <c r="F45" s="179" t="s">
        <v>567</v>
      </c>
      <c r="G45" s="179" t="s">
        <v>568</v>
      </c>
      <c r="H45" s="179" t="n">
        <v>0</v>
      </c>
      <c r="I45" s="180" t="n">
        <f aca="false">IF(H45=1,Assumptions!$B$16,IF(H45=2,Assumptions!$B$17,0))</f>
        <v>0</v>
      </c>
      <c r="J45" s="179" t="s">
        <v>567</v>
      </c>
      <c r="K45" s="179" t="s">
        <v>567</v>
      </c>
      <c r="L45" s="179" t="s">
        <v>572</v>
      </c>
      <c r="M45" s="184" t="s">
        <v>567</v>
      </c>
      <c r="N45" s="178" t="n">
        <v>876623</v>
      </c>
      <c r="O45" s="178" t="n">
        <v>876623</v>
      </c>
      <c r="P45" s="178" t="n">
        <v>292208</v>
      </c>
      <c r="Q45" s="178" t="n">
        <f aca="false">N45+O45+P45</f>
        <v>2045454</v>
      </c>
      <c r="R45" s="178" t="n">
        <f aca="false">Q45*0.05</f>
        <v>102272.7</v>
      </c>
      <c r="S45" s="177" t="n">
        <f aca="false">C45+D45-1</f>
        <v>73</v>
      </c>
      <c r="T45" s="181"/>
      <c r="W45" s="182" t="n">
        <f aca="false">C45+D45-1</f>
        <v>73</v>
      </c>
    </row>
    <row r="46" customFormat="false" ht="15" hidden="false" customHeight="true" outlineLevel="0" collapsed="false">
      <c r="A46" s="177" t="s">
        <v>49</v>
      </c>
      <c r="B46" s="178" t="n">
        <v>15000000</v>
      </c>
      <c r="C46" s="179" t="n">
        <v>56</v>
      </c>
      <c r="D46" s="179" t="n">
        <v>19</v>
      </c>
      <c r="E46" s="179" t="n">
        <v>3</v>
      </c>
      <c r="F46" s="179" t="s">
        <v>568</v>
      </c>
      <c r="G46" s="179" t="s">
        <v>568</v>
      </c>
      <c r="H46" s="179" t="n">
        <v>2</v>
      </c>
      <c r="I46" s="180" t="n">
        <f aca="false">IF(H46=1,Assumptions!$B$16,IF(H46=2,Assumptions!$B$17,0))</f>
        <v>0.0325</v>
      </c>
      <c r="J46" s="179" t="s">
        <v>567</v>
      </c>
      <c r="K46" s="179" t="s">
        <v>567</v>
      </c>
      <c r="L46" s="179" t="s">
        <v>572</v>
      </c>
      <c r="M46" s="184" t="s">
        <v>568</v>
      </c>
      <c r="N46" s="178" t="n">
        <v>730519</v>
      </c>
      <c r="O46" s="178" t="n">
        <v>730519</v>
      </c>
      <c r="P46" s="178" t="n">
        <v>243506</v>
      </c>
      <c r="Q46" s="178" t="n">
        <f aca="false">N46+O46+P46</f>
        <v>1704544</v>
      </c>
      <c r="R46" s="178" t="n">
        <f aca="false">Q46*0.05</f>
        <v>85227.2</v>
      </c>
      <c r="S46" s="177" t="n">
        <f aca="false">C46+D46-1</f>
        <v>74</v>
      </c>
      <c r="T46" s="181" t="n">
        <f aca="false">Assumptions!$B$15</f>
        <v>0.015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DB65"/>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6" ySplit="5" topLeftCell="G6" activePane="bottomRight" state="frozen"/>
      <selection pane="topLeft" activeCell="A1" activeCellId="0" sqref="A1"/>
      <selection pane="topRight" activeCell="G1" activeCellId="0" sqref="G1"/>
      <selection pane="bottomLeft" activeCell="A6" activeCellId="0" sqref="A6"/>
      <selection pane="bottomRight" activeCell="A1" activeCellId="0" sqref="A1"/>
    </sheetView>
  </sheetViews>
  <sheetFormatPr defaultColWidth="8.7109375" defaultRowHeight="13.5" zeroHeight="false" outlineLevelRow="0" outlineLevelCol="0"/>
  <cols>
    <col collapsed="false" customWidth="true" hidden="false" outlineLevel="0" max="1" min="1" style="1" width="22"/>
    <col collapsed="false" customWidth="true" hidden="false" outlineLevel="0" max="2" min="2" style="1" width="15"/>
    <col collapsed="false" customWidth="true" hidden="false" outlineLevel="0" max="4" min="3" style="1" width="11"/>
    <col collapsed="false" customWidth="true" hidden="false" outlineLevel="0" max="5" min="5" style="1" width="6"/>
    <col collapsed="false" customWidth="true" hidden="false" outlineLevel="0" max="6" min="6" style="1" width="12"/>
    <col collapsed="false" customWidth="true" hidden="false" outlineLevel="0" max="106" min="7" style="1" width="6.5"/>
  </cols>
  <sheetData>
    <row r="1" customFormat="false" ht="19.5" hidden="false" customHeight="true" outlineLevel="0" collapsed="false">
      <c r="A1" s="94" t="s">
        <v>575</v>
      </c>
    </row>
    <row r="2" customFormat="false" ht="15" hidden="false" customHeight="true" outlineLevel="0" collapsed="false">
      <c r="A2" s="185" t="s">
        <v>576</v>
      </c>
    </row>
    <row r="4" customFormat="false" ht="15" hidden="false" customHeight="true" outlineLevel="0" collapsed="false">
      <c r="E4" s="186" t="s">
        <v>1</v>
      </c>
      <c r="G4" s="96" t="n">
        <v>1</v>
      </c>
      <c r="H4" s="96" t="n">
        <v>2</v>
      </c>
      <c r="I4" s="96" t="n">
        <v>3</v>
      </c>
      <c r="J4" s="96" t="n">
        <v>4</v>
      </c>
      <c r="K4" s="96" t="n">
        <v>5</v>
      </c>
      <c r="L4" s="96" t="n">
        <v>6</v>
      </c>
      <c r="M4" s="96" t="n">
        <v>7</v>
      </c>
      <c r="N4" s="96" t="n">
        <v>8</v>
      </c>
      <c r="O4" s="96" t="n">
        <v>9</v>
      </c>
      <c r="P4" s="96" t="n">
        <v>10</v>
      </c>
      <c r="Q4" s="96" t="n">
        <v>11</v>
      </c>
      <c r="R4" s="96" t="n">
        <v>12</v>
      </c>
      <c r="S4" s="96" t="n">
        <v>13</v>
      </c>
      <c r="T4" s="96" t="n">
        <v>14</v>
      </c>
      <c r="U4" s="96" t="n">
        <v>15</v>
      </c>
      <c r="V4" s="96" t="n">
        <v>16</v>
      </c>
      <c r="W4" s="96" t="n">
        <v>17</v>
      </c>
      <c r="X4" s="96" t="n">
        <v>18</v>
      </c>
      <c r="Y4" s="96" t="n">
        <v>19</v>
      </c>
      <c r="Z4" s="96" t="n">
        <v>20</v>
      </c>
      <c r="AA4" s="96" t="n">
        <v>21</v>
      </c>
      <c r="AB4" s="96" t="n">
        <v>22</v>
      </c>
      <c r="AC4" s="96" t="n">
        <v>23</v>
      </c>
      <c r="AD4" s="96" t="n">
        <v>24</v>
      </c>
      <c r="AE4" s="96" t="n">
        <v>25</v>
      </c>
      <c r="AF4" s="96" t="n">
        <v>26</v>
      </c>
      <c r="AG4" s="96" t="n">
        <v>27</v>
      </c>
      <c r="AH4" s="96" t="n">
        <v>28</v>
      </c>
      <c r="AI4" s="96" t="n">
        <v>29</v>
      </c>
      <c r="AJ4" s="96" t="n">
        <v>30</v>
      </c>
      <c r="AK4" s="96" t="n">
        <v>31</v>
      </c>
      <c r="AL4" s="96" t="n">
        <v>32</v>
      </c>
      <c r="AM4" s="96" t="n">
        <v>33</v>
      </c>
      <c r="AN4" s="96" t="n">
        <v>34</v>
      </c>
      <c r="AO4" s="96" t="n">
        <v>35</v>
      </c>
      <c r="AP4" s="96" t="n">
        <v>36</v>
      </c>
      <c r="AQ4" s="96" t="n">
        <v>37</v>
      </c>
      <c r="AR4" s="96" t="n">
        <v>38</v>
      </c>
      <c r="AS4" s="96" t="n">
        <v>39</v>
      </c>
      <c r="AT4" s="96" t="n">
        <v>40</v>
      </c>
      <c r="AU4" s="96" t="n">
        <v>41</v>
      </c>
      <c r="AV4" s="96" t="n">
        <v>42</v>
      </c>
      <c r="AW4" s="96" t="n">
        <v>43</v>
      </c>
      <c r="AX4" s="96" t="n">
        <v>44</v>
      </c>
      <c r="AY4" s="96" t="n">
        <v>45</v>
      </c>
      <c r="AZ4" s="96" t="n">
        <v>46</v>
      </c>
      <c r="BA4" s="96" t="n">
        <v>47</v>
      </c>
      <c r="BB4" s="96" t="n">
        <v>48</v>
      </c>
      <c r="BC4" s="96" t="n">
        <v>49</v>
      </c>
      <c r="BD4" s="96" t="n">
        <v>50</v>
      </c>
      <c r="BE4" s="96" t="n">
        <v>51</v>
      </c>
      <c r="BF4" s="96" t="n">
        <v>52</v>
      </c>
      <c r="BG4" s="96" t="n">
        <v>53</v>
      </c>
      <c r="BH4" s="96" t="n">
        <v>54</v>
      </c>
      <c r="BI4" s="96" t="n">
        <v>55</v>
      </c>
      <c r="BJ4" s="96" t="n">
        <v>56</v>
      </c>
      <c r="BK4" s="96" t="n">
        <v>57</v>
      </c>
      <c r="BL4" s="96" t="n">
        <v>58</v>
      </c>
      <c r="BM4" s="96" t="n">
        <v>59</v>
      </c>
      <c r="BN4" s="96" t="n">
        <v>60</v>
      </c>
      <c r="BO4" s="96" t="n">
        <v>61</v>
      </c>
      <c r="BP4" s="96" t="n">
        <v>62</v>
      </c>
      <c r="BQ4" s="96" t="n">
        <v>63</v>
      </c>
      <c r="BR4" s="96" t="n">
        <v>64</v>
      </c>
      <c r="BS4" s="96" t="n">
        <v>65</v>
      </c>
      <c r="BT4" s="96" t="n">
        <v>66</v>
      </c>
      <c r="BU4" s="96" t="n">
        <v>67</v>
      </c>
      <c r="BV4" s="96" t="n">
        <v>68</v>
      </c>
      <c r="BW4" s="96" t="n">
        <v>69</v>
      </c>
      <c r="BX4" s="96" t="n">
        <v>70</v>
      </c>
      <c r="BY4" s="96" t="n">
        <v>71</v>
      </c>
      <c r="BZ4" s="96" t="n">
        <v>72</v>
      </c>
      <c r="CA4" s="96" t="n">
        <v>73</v>
      </c>
      <c r="CB4" s="96" t="n">
        <v>74</v>
      </c>
      <c r="CC4" s="96" t="n">
        <v>75</v>
      </c>
      <c r="CD4" s="96" t="n">
        <v>76</v>
      </c>
      <c r="CE4" s="96" t="n">
        <v>77</v>
      </c>
      <c r="CF4" s="96" t="n">
        <v>78</v>
      </c>
      <c r="CG4" s="96" t="n">
        <v>79</v>
      </c>
      <c r="CH4" s="96" t="n">
        <v>80</v>
      </c>
      <c r="CI4" s="96" t="n">
        <v>81</v>
      </c>
      <c r="CJ4" s="96" t="n">
        <v>82</v>
      </c>
      <c r="CK4" s="96" t="n">
        <v>83</v>
      </c>
      <c r="CL4" s="96" t="n">
        <v>84</v>
      </c>
      <c r="CM4" s="96" t="n">
        <v>85</v>
      </c>
      <c r="CN4" s="96" t="n">
        <v>86</v>
      </c>
      <c r="CO4" s="96" t="n">
        <v>87</v>
      </c>
      <c r="CP4" s="96" t="n">
        <v>88</v>
      </c>
      <c r="CQ4" s="96" t="n">
        <v>89</v>
      </c>
      <c r="CR4" s="96" t="n">
        <v>90</v>
      </c>
      <c r="CS4" s="96" t="n">
        <v>91</v>
      </c>
      <c r="CT4" s="96" t="n">
        <v>92</v>
      </c>
      <c r="CU4" s="96" t="n">
        <v>93</v>
      </c>
      <c r="CV4" s="96" t="n">
        <v>94</v>
      </c>
      <c r="CW4" s="96" t="n">
        <v>95</v>
      </c>
      <c r="CX4" s="96" t="n">
        <v>96</v>
      </c>
      <c r="CY4" s="96" t="n">
        <v>97</v>
      </c>
      <c r="CZ4" s="96" t="n">
        <v>98</v>
      </c>
      <c r="DA4" s="96" t="n">
        <v>99</v>
      </c>
      <c r="DB4" s="96" t="n">
        <v>100</v>
      </c>
    </row>
    <row r="5" customFormat="false" ht="45.75" hidden="false" customHeight="true" outlineLevel="0" collapsed="false">
      <c r="A5" s="187" t="s">
        <v>546</v>
      </c>
      <c r="B5" s="111" t="s">
        <v>547</v>
      </c>
      <c r="C5" s="111" t="s">
        <v>577</v>
      </c>
      <c r="D5" s="111" t="s">
        <v>578</v>
      </c>
      <c r="E5" s="111" t="s">
        <v>579</v>
      </c>
      <c r="F5" s="111" t="s">
        <v>580</v>
      </c>
      <c r="G5" s="188" t="n">
        <f aca="false">EDATE(Model!$E$2,G4-1)</f>
        <v>46113</v>
      </c>
      <c r="H5" s="188" t="n">
        <f aca="false">EDATE(Model!$E$2,H4-1)</f>
        <v>46143</v>
      </c>
      <c r="I5" s="188" t="n">
        <f aca="false">EDATE(Model!$E$2,I4-1)</f>
        <v>46174</v>
      </c>
      <c r="J5" s="188" t="n">
        <f aca="false">EDATE(Model!$E$2,J4-1)</f>
        <v>46204</v>
      </c>
      <c r="K5" s="188" t="n">
        <f aca="false">EDATE(Model!$E$2,K4-1)</f>
        <v>46235</v>
      </c>
      <c r="L5" s="188" t="n">
        <f aca="false">EDATE(Model!$E$2,L4-1)</f>
        <v>46266</v>
      </c>
      <c r="M5" s="188" t="n">
        <f aca="false">EDATE(Model!$E$2,M4-1)</f>
        <v>46296</v>
      </c>
      <c r="N5" s="188" t="n">
        <f aca="false">EDATE(Model!$E$2,N4-1)</f>
        <v>46327</v>
      </c>
      <c r="O5" s="188" t="n">
        <f aca="false">EDATE(Model!$E$2,O4-1)</f>
        <v>46357</v>
      </c>
      <c r="P5" s="188" t="n">
        <f aca="false">EDATE(Model!$E$2,P4-1)</f>
        <v>46388</v>
      </c>
      <c r="Q5" s="188" t="n">
        <f aca="false">EDATE(Model!$E$2,Q4-1)</f>
        <v>46419</v>
      </c>
      <c r="R5" s="188" t="n">
        <f aca="false">EDATE(Model!$E$2,R4-1)</f>
        <v>46447</v>
      </c>
      <c r="S5" s="188" t="n">
        <f aca="false">EDATE(Model!$E$2,S4-1)</f>
        <v>46478</v>
      </c>
      <c r="T5" s="188" t="n">
        <f aca="false">EDATE(Model!$E$2,T4-1)</f>
        <v>46508</v>
      </c>
      <c r="U5" s="188" t="n">
        <f aca="false">EDATE(Model!$E$2,U4-1)</f>
        <v>46539</v>
      </c>
      <c r="V5" s="188" t="n">
        <f aca="false">EDATE(Model!$E$2,V4-1)</f>
        <v>46569</v>
      </c>
      <c r="W5" s="188" t="n">
        <f aca="false">EDATE(Model!$E$2,W4-1)</f>
        <v>46600</v>
      </c>
      <c r="X5" s="188" t="n">
        <f aca="false">EDATE(Model!$E$2,X4-1)</f>
        <v>46631</v>
      </c>
      <c r="Y5" s="188" t="n">
        <f aca="false">EDATE(Model!$E$2,Y4-1)</f>
        <v>46661</v>
      </c>
      <c r="Z5" s="188" t="n">
        <f aca="false">EDATE(Model!$E$2,Z4-1)</f>
        <v>46692</v>
      </c>
      <c r="AA5" s="188" t="n">
        <f aca="false">EDATE(Model!$E$2,AA4-1)</f>
        <v>46722</v>
      </c>
      <c r="AB5" s="188" t="n">
        <f aca="false">EDATE(Model!$E$2,AB4-1)</f>
        <v>46753</v>
      </c>
      <c r="AC5" s="188" t="n">
        <f aca="false">EDATE(Model!$E$2,AC4-1)</f>
        <v>46784</v>
      </c>
      <c r="AD5" s="188" t="n">
        <f aca="false">EDATE(Model!$E$2,AD4-1)</f>
        <v>46813</v>
      </c>
      <c r="AE5" s="188" t="n">
        <f aca="false">EDATE(Model!$E$2,AE4-1)</f>
        <v>46844</v>
      </c>
      <c r="AF5" s="188" t="n">
        <f aca="false">EDATE(Model!$E$2,AF4-1)</f>
        <v>46874</v>
      </c>
      <c r="AG5" s="188" t="n">
        <f aca="false">EDATE(Model!$E$2,AG4-1)</f>
        <v>46905</v>
      </c>
      <c r="AH5" s="188" t="n">
        <f aca="false">EDATE(Model!$E$2,AH4-1)</f>
        <v>46935</v>
      </c>
      <c r="AI5" s="188" t="n">
        <f aca="false">EDATE(Model!$E$2,AI4-1)</f>
        <v>46966</v>
      </c>
      <c r="AJ5" s="188" t="n">
        <f aca="false">EDATE(Model!$E$2,AJ4-1)</f>
        <v>46997</v>
      </c>
      <c r="AK5" s="188" t="n">
        <f aca="false">EDATE(Model!$E$2,AK4-1)</f>
        <v>47027</v>
      </c>
      <c r="AL5" s="188" t="n">
        <f aca="false">EDATE(Model!$E$2,AL4-1)</f>
        <v>47058</v>
      </c>
      <c r="AM5" s="188" t="n">
        <f aca="false">EDATE(Model!$E$2,AM4-1)</f>
        <v>47088</v>
      </c>
      <c r="AN5" s="188" t="n">
        <f aca="false">EDATE(Model!$E$2,AN4-1)</f>
        <v>47119</v>
      </c>
      <c r="AO5" s="188" t="n">
        <f aca="false">EDATE(Model!$E$2,AO4-1)</f>
        <v>47150</v>
      </c>
      <c r="AP5" s="188" t="n">
        <f aca="false">EDATE(Model!$E$2,AP4-1)</f>
        <v>47178</v>
      </c>
      <c r="AQ5" s="188" t="n">
        <f aca="false">EDATE(Model!$E$2,AQ4-1)</f>
        <v>47209</v>
      </c>
      <c r="AR5" s="188" t="n">
        <f aca="false">EDATE(Model!$E$2,AR4-1)</f>
        <v>47239</v>
      </c>
      <c r="AS5" s="188" t="n">
        <f aca="false">EDATE(Model!$E$2,AS4-1)</f>
        <v>47270</v>
      </c>
      <c r="AT5" s="188" t="n">
        <f aca="false">EDATE(Model!$E$2,AT4-1)</f>
        <v>47300</v>
      </c>
      <c r="AU5" s="188" t="n">
        <f aca="false">EDATE(Model!$E$2,AU4-1)</f>
        <v>47331</v>
      </c>
      <c r="AV5" s="188" t="n">
        <f aca="false">EDATE(Model!$E$2,AV4-1)</f>
        <v>47362</v>
      </c>
      <c r="AW5" s="188" t="n">
        <f aca="false">EDATE(Model!$E$2,AW4-1)</f>
        <v>47392</v>
      </c>
      <c r="AX5" s="188" t="n">
        <f aca="false">EDATE(Model!$E$2,AX4-1)</f>
        <v>47423</v>
      </c>
      <c r="AY5" s="188" t="n">
        <f aca="false">EDATE(Model!$E$2,AY4-1)</f>
        <v>47453</v>
      </c>
      <c r="AZ5" s="188" t="n">
        <f aca="false">EDATE(Model!$E$2,AZ4-1)</f>
        <v>47484</v>
      </c>
      <c r="BA5" s="188" t="n">
        <f aca="false">EDATE(Model!$E$2,BA4-1)</f>
        <v>47515</v>
      </c>
      <c r="BB5" s="188" t="n">
        <f aca="false">EDATE(Model!$E$2,BB4-1)</f>
        <v>47543</v>
      </c>
      <c r="BC5" s="188" t="n">
        <f aca="false">EDATE(Model!$E$2,BC4-1)</f>
        <v>47574</v>
      </c>
      <c r="BD5" s="188" t="n">
        <f aca="false">EDATE(Model!$E$2,BD4-1)</f>
        <v>47604</v>
      </c>
      <c r="BE5" s="188" t="n">
        <f aca="false">EDATE(Model!$E$2,BE4-1)</f>
        <v>47635</v>
      </c>
      <c r="BF5" s="188" t="n">
        <f aca="false">EDATE(Model!$E$2,BF4-1)</f>
        <v>47665</v>
      </c>
      <c r="BG5" s="188" t="n">
        <f aca="false">EDATE(Model!$E$2,BG4-1)</f>
        <v>47696</v>
      </c>
      <c r="BH5" s="188" t="n">
        <f aca="false">EDATE(Model!$E$2,BH4-1)</f>
        <v>47727</v>
      </c>
      <c r="BI5" s="188" t="n">
        <f aca="false">EDATE(Model!$E$2,BI4-1)</f>
        <v>47757</v>
      </c>
      <c r="BJ5" s="188" t="n">
        <f aca="false">EDATE(Model!$E$2,BJ4-1)</f>
        <v>47788</v>
      </c>
      <c r="BK5" s="188" t="n">
        <f aca="false">EDATE(Model!$E$2,BK4-1)</f>
        <v>47818</v>
      </c>
      <c r="BL5" s="188" t="n">
        <f aca="false">EDATE(Model!$E$2,BL4-1)</f>
        <v>47849</v>
      </c>
      <c r="BM5" s="188" t="n">
        <f aca="false">EDATE(Model!$E$2,BM4-1)</f>
        <v>47880</v>
      </c>
      <c r="BN5" s="188" t="n">
        <f aca="false">EDATE(Model!$E$2,BN4-1)</f>
        <v>47908</v>
      </c>
      <c r="BO5" s="188" t="n">
        <f aca="false">EDATE(Model!$E$2,BO4-1)</f>
        <v>47939</v>
      </c>
      <c r="BP5" s="188" t="n">
        <f aca="false">EDATE(Model!$E$2,BP4-1)</f>
        <v>47969</v>
      </c>
      <c r="BQ5" s="188" t="n">
        <f aca="false">EDATE(Model!$E$2,BQ4-1)</f>
        <v>48000</v>
      </c>
      <c r="BR5" s="188" t="n">
        <f aca="false">EDATE(Model!$E$2,BR4-1)</f>
        <v>48030</v>
      </c>
      <c r="BS5" s="188" t="n">
        <f aca="false">EDATE(Model!$E$2,BS4-1)</f>
        <v>48061</v>
      </c>
      <c r="BT5" s="188" t="n">
        <f aca="false">EDATE(Model!$E$2,BT4-1)</f>
        <v>48092</v>
      </c>
      <c r="BU5" s="188" t="n">
        <f aca="false">EDATE(Model!$E$2,BU4-1)</f>
        <v>48122</v>
      </c>
      <c r="BV5" s="188" t="n">
        <f aca="false">EDATE(Model!$E$2,BV4-1)</f>
        <v>48153</v>
      </c>
      <c r="BW5" s="188" t="n">
        <f aca="false">EDATE(Model!$E$2,BW4-1)</f>
        <v>48183</v>
      </c>
      <c r="BX5" s="188" t="n">
        <f aca="false">EDATE(Model!$E$2,BX4-1)</f>
        <v>48214</v>
      </c>
      <c r="BY5" s="188" t="n">
        <f aca="false">EDATE(Model!$E$2,BY4-1)</f>
        <v>48245</v>
      </c>
      <c r="BZ5" s="188" t="n">
        <f aca="false">EDATE(Model!$E$2,BZ4-1)</f>
        <v>48274</v>
      </c>
      <c r="CA5" s="188" t="n">
        <f aca="false">EDATE(Model!$E$2,CA4-1)</f>
        <v>48305</v>
      </c>
      <c r="CB5" s="188" t="n">
        <f aca="false">EDATE(Model!$E$2,CB4-1)</f>
        <v>48335</v>
      </c>
      <c r="CC5" s="188" t="n">
        <f aca="false">EDATE(Model!$E$2,CC4-1)</f>
        <v>48366</v>
      </c>
      <c r="CD5" s="188" t="n">
        <f aca="false">EDATE(Model!$E$2,CD4-1)</f>
        <v>48396</v>
      </c>
      <c r="CE5" s="188" t="n">
        <f aca="false">EDATE(Model!$E$2,CE4-1)</f>
        <v>48427</v>
      </c>
      <c r="CF5" s="188" t="n">
        <f aca="false">EDATE(Model!$E$2,CF4-1)</f>
        <v>48458</v>
      </c>
      <c r="CG5" s="188" t="n">
        <f aca="false">EDATE(Model!$E$2,CG4-1)</f>
        <v>48488</v>
      </c>
      <c r="CH5" s="188" t="n">
        <f aca="false">EDATE(Model!$E$2,CH4-1)</f>
        <v>48519</v>
      </c>
      <c r="CI5" s="188" t="n">
        <f aca="false">EDATE(Model!$E$2,CI4-1)</f>
        <v>48549</v>
      </c>
      <c r="CJ5" s="188" t="n">
        <f aca="false">EDATE(Model!$E$2,CJ4-1)</f>
        <v>48580</v>
      </c>
      <c r="CK5" s="188" t="n">
        <f aca="false">EDATE(Model!$E$2,CK4-1)</f>
        <v>48611</v>
      </c>
      <c r="CL5" s="188" t="n">
        <f aca="false">EDATE(Model!$E$2,CL4-1)</f>
        <v>48639</v>
      </c>
      <c r="CM5" s="188" t="n">
        <f aca="false">EDATE(Model!$E$2,CM4-1)</f>
        <v>48670</v>
      </c>
      <c r="CN5" s="188" t="n">
        <f aca="false">EDATE(Model!$E$2,CN4-1)</f>
        <v>48700</v>
      </c>
      <c r="CO5" s="188" t="n">
        <f aca="false">EDATE(Model!$E$2,CO4-1)</f>
        <v>48731</v>
      </c>
      <c r="CP5" s="188" t="n">
        <f aca="false">EDATE(Model!$E$2,CP4-1)</f>
        <v>48761</v>
      </c>
      <c r="CQ5" s="188" t="n">
        <f aca="false">EDATE(Model!$E$2,CQ4-1)</f>
        <v>48792</v>
      </c>
      <c r="CR5" s="188" t="n">
        <f aca="false">EDATE(Model!$E$2,CR4-1)</f>
        <v>48823</v>
      </c>
      <c r="CS5" s="188" t="n">
        <f aca="false">EDATE(Model!$E$2,CS4-1)</f>
        <v>48853</v>
      </c>
      <c r="CT5" s="188" t="n">
        <f aca="false">EDATE(Model!$E$2,CT4-1)</f>
        <v>48884</v>
      </c>
      <c r="CU5" s="188" t="n">
        <f aca="false">EDATE(Model!$E$2,CU4-1)</f>
        <v>48914</v>
      </c>
      <c r="CV5" s="188" t="n">
        <f aca="false">EDATE(Model!$E$2,CV4-1)</f>
        <v>48945</v>
      </c>
      <c r="CW5" s="188" t="n">
        <f aca="false">EDATE(Model!$E$2,CW4-1)</f>
        <v>48976</v>
      </c>
      <c r="CX5" s="188" t="n">
        <f aca="false">EDATE(Model!$E$2,CX4-1)</f>
        <v>49004</v>
      </c>
      <c r="CY5" s="188" t="n">
        <f aca="false">EDATE(Model!$E$2,CY4-1)</f>
        <v>49035</v>
      </c>
      <c r="CZ5" s="188" t="n">
        <f aca="false">EDATE(Model!$E$2,CZ4-1)</f>
        <v>49065</v>
      </c>
      <c r="DA5" s="188" t="n">
        <f aca="false">EDATE(Model!$E$2,DA4-1)</f>
        <v>49096</v>
      </c>
      <c r="DB5" s="188" t="n">
        <f aca="false">EDATE(Model!$E$2,DB4-1)</f>
        <v>49126</v>
      </c>
    </row>
    <row r="6" customFormat="false" ht="15" hidden="false" customHeight="true" outlineLevel="0" collapsed="false">
      <c r="A6" s="189" t="s">
        <v>581</v>
      </c>
      <c r="B6" s="190"/>
      <c r="C6" s="190"/>
      <c r="D6" s="190"/>
      <c r="E6" s="190"/>
      <c r="F6" s="190"/>
      <c r="G6" s="190"/>
      <c r="H6" s="190"/>
      <c r="I6" s="190"/>
      <c r="J6" s="190"/>
      <c r="K6" s="190"/>
      <c r="L6" s="190"/>
      <c r="M6" s="190"/>
      <c r="N6" s="190"/>
      <c r="O6" s="190"/>
      <c r="P6" s="190"/>
      <c r="Q6" s="190"/>
      <c r="R6" s="190"/>
      <c r="S6" s="190"/>
      <c r="T6" s="190"/>
      <c r="U6" s="190"/>
      <c r="V6" s="190"/>
      <c r="W6" s="190"/>
      <c r="X6" s="190"/>
      <c r="Y6" s="190"/>
      <c r="Z6" s="190"/>
      <c r="AA6" s="190"/>
      <c r="AB6" s="190"/>
      <c r="AC6" s="190"/>
      <c r="AD6" s="190"/>
      <c r="AE6" s="190"/>
      <c r="AF6" s="190"/>
      <c r="AG6" s="190"/>
      <c r="AH6" s="190"/>
      <c r="AI6" s="190"/>
      <c r="AJ6" s="190"/>
      <c r="AK6" s="190"/>
      <c r="AL6" s="190"/>
      <c r="AM6" s="190"/>
      <c r="AN6" s="190"/>
      <c r="AO6" s="190"/>
      <c r="AP6" s="190"/>
      <c r="AQ6" s="190"/>
      <c r="AR6" s="190"/>
      <c r="AS6" s="190"/>
      <c r="AT6" s="190"/>
      <c r="AU6" s="190"/>
      <c r="AV6" s="190"/>
      <c r="AW6" s="190"/>
      <c r="AX6" s="190"/>
      <c r="AY6" s="190"/>
      <c r="AZ6" s="190"/>
      <c r="BA6" s="190"/>
      <c r="BB6" s="190"/>
      <c r="BC6" s="190"/>
      <c r="BD6" s="190"/>
      <c r="BE6" s="190"/>
      <c r="BF6" s="190"/>
      <c r="BG6" s="190"/>
      <c r="BH6" s="190"/>
      <c r="BI6" s="190"/>
      <c r="BJ6" s="190"/>
      <c r="BK6" s="190"/>
      <c r="BL6" s="190"/>
      <c r="BM6" s="190"/>
      <c r="BN6" s="190"/>
      <c r="BO6" s="190"/>
      <c r="BP6" s="190"/>
      <c r="BQ6" s="190"/>
      <c r="BR6" s="190"/>
      <c r="BS6" s="190"/>
      <c r="BT6" s="190"/>
      <c r="BU6" s="190"/>
      <c r="BV6" s="190"/>
      <c r="BW6" s="190"/>
      <c r="BX6" s="190"/>
      <c r="BY6" s="190"/>
      <c r="BZ6" s="190"/>
      <c r="CA6" s="190"/>
      <c r="CB6" s="190"/>
      <c r="CC6" s="190"/>
      <c r="CD6" s="190"/>
      <c r="CE6" s="190"/>
      <c r="CF6" s="190"/>
      <c r="CG6" s="190"/>
      <c r="CH6" s="190"/>
      <c r="CI6" s="190"/>
      <c r="CJ6" s="190"/>
      <c r="CK6" s="190"/>
      <c r="CL6" s="190"/>
      <c r="CM6" s="190"/>
      <c r="CN6" s="190"/>
      <c r="CO6" s="190"/>
      <c r="CP6" s="190"/>
      <c r="CQ6" s="190"/>
      <c r="CR6" s="190"/>
      <c r="CS6" s="190"/>
      <c r="CT6" s="190"/>
      <c r="CU6" s="190"/>
      <c r="CV6" s="190"/>
      <c r="CW6" s="190"/>
      <c r="CX6" s="190"/>
      <c r="CY6" s="190"/>
      <c r="CZ6" s="190"/>
      <c r="DA6" s="190"/>
      <c r="DB6" s="190"/>
    </row>
    <row r="7" customFormat="false" ht="15" hidden="false" customHeight="true" outlineLevel="0" collapsed="false">
      <c r="A7" s="125" t="s">
        <v>7</v>
      </c>
      <c r="B7" s="191" t="n">
        <f aca="false">Projects!$B$2</f>
        <v>7126075</v>
      </c>
      <c r="C7" s="192" t="n">
        <f aca="false">EDATE(Model!$E$2,Projects!$C$2-1)</f>
        <v>46113</v>
      </c>
      <c r="D7" s="192" t="n">
        <f aca="false">EDATE(Model!$E$2,Projects!$C$2+Projects!$D$2-2)</f>
        <v>46327</v>
      </c>
      <c r="E7" s="193" t="n">
        <f aca="false">Projects!$D$2</f>
        <v>8</v>
      </c>
      <c r="F7" s="191" t="n">
        <f aca="false">SUM(G7:DB7)</f>
        <v>6225947.89656226</v>
      </c>
      <c r="G7" s="194" t="n">
        <f aca="false">IF(Model!E13=0,"",Model!E13)</f>
        <v>704050.62</v>
      </c>
      <c r="H7" s="194" t="n">
        <f aca="false">IF(Model!F13=0,"",Model!F13)</f>
        <v>711605.75</v>
      </c>
      <c r="I7" s="194" t="n">
        <f aca="false">IF(Model!G13=0,"",Model!G13)</f>
        <v>887472.42</v>
      </c>
      <c r="J7" s="194" t="n">
        <f aca="false">IF(Model!H13=0,"",Model!H13)</f>
        <v>1089049.37</v>
      </c>
      <c r="K7" s="194" t="n">
        <f aca="false">IF(Model!I13=0,"",Model!I13)</f>
        <v>687821.32</v>
      </c>
      <c r="L7" s="194" t="n">
        <f aca="false">IF(Model!J13=0,"",Model!J13)</f>
        <v>833012.67377813</v>
      </c>
      <c r="M7" s="194" t="n">
        <f aca="false">IF(Model!K13=0,"",Model!K13)</f>
        <v>712680.486168552</v>
      </c>
      <c r="N7" s="194" t="n">
        <f aca="false">IF(Model!L13=0,"",Model!L13)</f>
        <v>600255.256615582</v>
      </c>
      <c r="O7" s="194" t="str">
        <f aca="false">IF(Model!M13=0,"",Model!M13)</f>
        <v/>
      </c>
      <c r="P7" s="194" t="str">
        <f aca="false">IF(Model!N13=0,"",Model!N13)</f>
        <v/>
      </c>
      <c r="Q7" s="194" t="str">
        <f aca="false">IF(Model!O13=0,"",Model!O13)</f>
        <v/>
      </c>
      <c r="R7" s="194" t="str">
        <f aca="false">IF(Model!P13=0,"",Model!P13)</f>
        <v/>
      </c>
      <c r="S7" s="194" t="str">
        <f aca="false">IF(Model!Q13=0,"",Model!Q13)</f>
        <v/>
      </c>
      <c r="T7" s="194" t="str">
        <f aca="false">IF(Model!R13=0,"",Model!R13)</f>
        <v/>
      </c>
      <c r="U7" s="194" t="str">
        <f aca="false">IF(Model!S13=0,"",Model!S13)</f>
        <v/>
      </c>
      <c r="V7" s="194" t="str">
        <f aca="false">IF(Model!T13=0,"",Model!T13)</f>
        <v/>
      </c>
      <c r="W7" s="194" t="str">
        <f aca="false">IF(Model!U13=0,"",Model!U13)</f>
        <v/>
      </c>
      <c r="X7" s="194" t="str">
        <f aca="false">IF(Model!V13=0,"",Model!V13)</f>
        <v/>
      </c>
      <c r="Y7" s="194" t="str">
        <f aca="false">IF(Model!W13=0,"",Model!W13)</f>
        <v/>
      </c>
      <c r="Z7" s="194" t="str">
        <f aca="false">IF(Model!X13=0,"",Model!X13)</f>
        <v/>
      </c>
      <c r="AA7" s="194" t="str">
        <f aca="false">IF(Model!Y13=0,"",Model!Y13)</f>
        <v/>
      </c>
      <c r="AB7" s="194" t="str">
        <f aca="false">IF(Model!Z13=0,"",Model!Z13)</f>
        <v/>
      </c>
      <c r="AC7" s="194" t="str">
        <f aca="false">IF(Model!AA13=0,"",Model!AA13)</f>
        <v/>
      </c>
      <c r="AD7" s="194" t="str">
        <f aca="false">IF(Model!AB13=0,"",Model!AB13)</f>
        <v/>
      </c>
      <c r="AE7" s="194" t="str">
        <f aca="false">IF(Model!AC13=0,"",Model!AC13)</f>
        <v/>
      </c>
      <c r="AF7" s="194" t="str">
        <f aca="false">IF(Model!AD13=0,"",Model!AD13)</f>
        <v/>
      </c>
      <c r="AG7" s="194" t="str">
        <f aca="false">IF(Model!AE13=0,"",Model!AE13)</f>
        <v/>
      </c>
      <c r="AH7" s="194" t="str">
        <f aca="false">IF(Model!AF13=0,"",Model!AF13)</f>
        <v/>
      </c>
      <c r="AI7" s="194" t="str">
        <f aca="false">IF(Model!AG13=0,"",Model!AG13)</f>
        <v/>
      </c>
      <c r="AJ7" s="194" t="str">
        <f aca="false">IF(Model!AH13=0,"",Model!AH13)</f>
        <v/>
      </c>
      <c r="AK7" s="194" t="str">
        <f aca="false">IF(Model!AI13=0,"",Model!AI13)</f>
        <v/>
      </c>
      <c r="AL7" s="194" t="str">
        <f aca="false">IF(Model!AJ13=0,"",Model!AJ13)</f>
        <v/>
      </c>
      <c r="AM7" s="194" t="str">
        <f aca="false">IF(Model!AK13=0,"",Model!AK13)</f>
        <v/>
      </c>
      <c r="AN7" s="194" t="str">
        <f aca="false">IF(Model!AL13=0,"",Model!AL13)</f>
        <v/>
      </c>
      <c r="AO7" s="194" t="str">
        <f aca="false">IF(Model!AM13=0,"",Model!AM13)</f>
        <v/>
      </c>
      <c r="AP7" s="194" t="str">
        <f aca="false">IF(Model!AN13=0,"",Model!AN13)</f>
        <v/>
      </c>
      <c r="AQ7" s="194" t="str">
        <f aca="false">IF(Model!AO13=0,"",Model!AO13)</f>
        <v/>
      </c>
      <c r="AR7" s="194" t="str">
        <f aca="false">IF(Model!AP13=0,"",Model!AP13)</f>
        <v/>
      </c>
      <c r="AS7" s="194" t="str">
        <f aca="false">IF(Model!AQ13=0,"",Model!AQ13)</f>
        <v/>
      </c>
      <c r="AT7" s="194" t="str">
        <f aca="false">IF(Model!AR13=0,"",Model!AR13)</f>
        <v/>
      </c>
      <c r="AU7" s="194" t="str">
        <f aca="false">IF(Model!AS13=0,"",Model!AS13)</f>
        <v/>
      </c>
      <c r="AV7" s="194" t="str">
        <f aca="false">IF(Model!AT13=0,"",Model!AT13)</f>
        <v/>
      </c>
      <c r="AW7" s="194" t="str">
        <f aca="false">IF(Model!AU13=0,"",Model!AU13)</f>
        <v/>
      </c>
      <c r="AX7" s="194" t="str">
        <f aca="false">IF(Model!AV13=0,"",Model!AV13)</f>
        <v/>
      </c>
      <c r="AY7" s="194" t="str">
        <f aca="false">IF(Model!AW13=0,"",Model!AW13)</f>
        <v/>
      </c>
      <c r="AZ7" s="194" t="str">
        <f aca="false">IF(Model!AX13=0,"",Model!AX13)</f>
        <v/>
      </c>
      <c r="BA7" s="194" t="str">
        <f aca="false">IF(Model!AY13=0,"",Model!AY13)</f>
        <v/>
      </c>
      <c r="BB7" s="194" t="str">
        <f aca="false">IF(Model!AZ13=0,"",Model!AZ13)</f>
        <v/>
      </c>
      <c r="BC7" s="194" t="str">
        <f aca="false">IF(Model!BA13=0,"",Model!BA13)</f>
        <v/>
      </c>
      <c r="BD7" s="194" t="str">
        <f aca="false">IF(Model!BB13=0,"",Model!BB13)</f>
        <v/>
      </c>
      <c r="BE7" s="194" t="str">
        <f aca="false">IF(Model!BC13=0,"",Model!BC13)</f>
        <v/>
      </c>
      <c r="BF7" s="194" t="str">
        <f aca="false">IF(Model!BD13=0,"",Model!BD13)</f>
        <v/>
      </c>
      <c r="BG7" s="194" t="str">
        <f aca="false">IF(Model!BE13=0,"",Model!BE13)</f>
        <v/>
      </c>
      <c r="BH7" s="194" t="str">
        <f aca="false">IF(Model!BF13=0,"",Model!BF13)</f>
        <v/>
      </c>
      <c r="BI7" s="194" t="str">
        <f aca="false">IF(Model!BG13=0,"",Model!BG13)</f>
        <v/>
      </c>
      <c r="BJ7" s="194" t="str">
        <f aca="false">IF(Model!BH13=0,"",Model!BH13)</f>
        <v/>
      </c>
      <c r="BK7" s="194" t="str">
        <f aca="false">IF(Model!BI13=0,"",Model!BI13)</f>
        <v/>
      </c>
      <c r="BL7" s="194" t="str">
        <f aca="false">IF(Model!BJ13=0,"",Model!BJ13)</f>
        <v/>
      </c>
      <c r="BM7" s="194" t="str">
        <f aca="false">IF(Model!BK13=0,"",Model!BK13)</f>
        <v/>
      </c>
      <c r="BN7" s="194" t="str">
        <f aca="false">IF(Model!BL13=0,"",Model!BL13)</f>
        <v/>
      </c>
      <c r="BO7" s="194" t="str">
        <f aca="false">IF(Model!BM13=0,"",Model!BM13)</f>
        <v/>
      </c>
      <c r="BP7" s="194" t="str">
        <f aca="false">IF(Model!BN13=0,"",Model!BN13)</f>
        <v/>
      </c>
      <c r="BQ7" s="194" t="str">
        <f aca="false">IF(Model!BO13=0,"",Model!BO13)</f>
        <v/>
      </c>
      <c r="BR7" s="194" t="str">
        <f aca="false">IF(Model!BP13=0,"",Model!BP13)</f>
        <v/>
      </c>
      <c r="BS7" s="194" t="str">
        <f aca="false">IF(Model!BQ13=0,"",Model!BQ13)</f>
        <v/>
      </c>
      <c r="BT7" s="194" t="str">
        <f aca="false">IF(Model!BR13=0,"",Model!BR13)</f>
        <v/>
      </c>
      <c r="BU7" s="194" t="str">
        <f aca="false">IF(Model!BS13=0,"",Model!BS13)</f>
        <v/>
      </c>
      <c r="BV7" s="194" t="str">
        <f aca="false">IF(Model!BT13=0,"",Model!BT13)</f>
        <v/>
      </c>
      <c r="BW7" s="194" t="str">
        <f aca="false">IF(Model!BU13=0,"",Model!BU13)</f>
        <v/>
      </c>
      <c r="BX7" s="194" t="str">
        <f aca="false">IF(Model!BV13=0,"",Model!BV13)</f>
        <v/>
      </c>
      <c r="BY7" s="194" t="str">
        <f aca="false">IF(Model!BW13=0,"",Model!BW13)</f>
        <v/>
      </c>
      <c r="BZ7" s="194" t="str">
        <f aca="false">IF(Model!BX13=0,"",Model!BX13)</f>
        <v/>
      </c>
      <c r="CA7" s="194" t="str">
        <f aca="false">IF(Model!BY13=0,"",Model!BY13)</f>
        <v/>
      </c>
      <c r="CB7" s="194" t="str">
        <f aca="false">IF(Model!BZ13=0,"",Model!BZ13)</f>
        <v/>
      </c>
      <c r="CC7" s="194" t="str">
        <f aca="false">IF(Model!CA13=0,"",Model!CA13)</f>
        <v/>
      </c>
      <c r="CD7" s="194" t="str">
        <f aca="false">IF(Model!CB13=0,"",Model!CB13)</f>
        <v/>
      </c>
      <c r="CE7" s="194" t="str">
        <f aca="false">IF(Model!CC13=0,"",Model!CC13)</f>
        <v/>
      </c>
      <c r="CF7" s="194" t="str">
        <f aca="false">IF(Model!CD13=0,"",Model!CD13)</f>
        <v/>
      </c>
      <c r="CG7" s="194" t="str">
        <f aca="false">IF(Model!CE13=0,"",Model!CE13)</f>
        <v/>
      </c>
      <c r="CH7" s="194" t="str">
        <f aca="false">IF(Model!CF13=0,"",Model!CF13)</f>
        <v/>
      </c>
      <c r="CI7" s="194" t="str">
        <f aca="false">IF(Model!CG13=0,"",Model!CG13)</f>
        <v/>
      </c>
      <c r="CJ7" s="194" t="str">
        <f aca="false">IF(Model!CH13=0,"",Model!CH13)</f>
        <v/>
      </c>
      <c r="CK7" s="194" t="str">
        <f aca="false">IF(Model!CI13=0,"",Model!CI13)</f>
        <v/>
      </c>
      <c r="CL7" s="194" t="str">
        <f aca="false">IF(Model!CJ13=0,"",Model!CJ13)</f>
        <v/>
      </c>
      <c r="CM7" s="194" t="str">
        <f aca="false">IF(Model!CK13=0,"",Model!CK13)</f>
        <v/>
      </c>
      <c r="CN7" s="194" t="str">
        <f aca="false">IF(Model!CL13=0,"",Model!CL13)</f>
        <v/>
      </c>
      <c r="CO7" s="194" t="str">
        <f aca="false">IF(Model!CM13=0,"",Model!CM13)</f>
        <v/>
      </c>
      <c r="CP7" s="194" t="str">
        <f aca="false">IF(Model!CN13=0,"",Model!CN13)</f>
        <v/>
      </c>
      <c r="CQ7" s="194" t="str">
        <f aca="false">IF(Model!CO13=0,"",Model!CO13)</f>
        <v/>
      </c>
      <c r="CR7" s="194" t="str">
        <f aca="false">IF(Model!CP13=0,"",Model!CP13)</f>
        <v/>
      </c>
      <c r="CS7" s="194" t="str">
        <f aca="false">IF(Model!CQ13=0,"",Model!CQ13)</f>
        <v/>
      </c>
      <c r="CT7" s="194" t="str">
        <f aca="false">IF(Model!CR13=0,"",Model!CR13)</f>
        <v/>
      </c>
      <c r="CU7" s="194" t="str">
        <f aca="false">IF(Model!CS13=0,"",Model!CS13)</f>
        <v/>
      </c>
      <c r="CV7" s="194" t="str">
        <f aca="false">IF(Model!CT13=0,"",Model!CT13)</f>
        <v/>
      </c>
      <c r="CW7" s="194" t="str">
        <f aca="false">IF(Model!CU13=0,"",Model!CU13)</f>
        <v/>
      </c>
      <c r="CX7" s="194" t="str">
        <f aca="false">IF(Model!CV13=0,"",Model!CV13)</f>
        <v/>
      </c>
      <c r="CY7" s="194" t="str">
        <f aca="false">IF(Model!CW13=0,"",Model!CW13)</f>
        <v/>
      </c>
      <c r="CZ7" s="194" t="str">
        <f aca="false">IF(Model!CX13=0,"",Model!CX13)</f>
        <v/>
      </c>
      <c r="DA7" s="194" t="str">
        <f aca="false">IF(Model!CY13=0,"",Model!CY13)</f>
        <v/>
      </c>
      <c r="DB7" s="194" t="str">
        <f aca="false">IF(Model!CZ13=0,"",Model!CZ13)</f>
        <v/>
      </c>
    </row>
    <row r="8" customFormat="false" ht="15" hidden="false" customHeight="true" outlineLevel="0" collapsed="false">
      <c r="A8" s="125" t="s">
        <v>8</v>
      </c>
      <c r="B8" s="191" t="n">
        <f aca="false">Projects!$B$3</f>
        <v>20176449</v>
      </c>
      <c r="C8" s="192" t="n">
        <f aca="false">EDATE(Model!$E$2,Projects!$C$3-1)</f>
        <v>46113</v>
      </c>
      <c r="D8" s="192" t="n">
        <f aca="false">EDATE(Model!$E$2,18-1)</f>
        <v>46631</v>
      </c>
      <c r="E8" s="193" t="n">
        <f aca="false">DATEDIF(C8,D8,"m")+1</f>
        <v>18</v>
      </c>
      <c r="F8" s="191" t="n">
        <f aca="false">SUM(G8:DB8)</f>
        <v>18169630.38</v>
      </c>
      <c r="G8" s="194" t="n">
        <f aca="false">IF(Model!E14=0,"",Model!E14)</f>
        <v>1237428.59</v>
      </c>
      <c r="H8" s="194" t="n">
        <f aca="false">IF(Model!F14=0,"",Model!F14)</f>
        <v>1120082.41</v>
      </c>
      <c r="I8" s="194" t="n">
        <f aca="false">IF(Model!G14=0,"",Model!G14)</f>
        <v>1858219.93</v>
      </c>
      <c r="J8" s="194" t="n">
        <f aca="false">IF(Model!H14=0,"",Model!H14)</f>
        <v>1987246.69</v>
      </c>
      <c r="K8" s="194" t="n">
        <f aca="false">IF(Model!I14=0,"",Model!I14)</f>
        <v>1397700.58</v>
      </c>
      <c r="L8" s="194" t="n">
        <f aca="false">IF(Model!J14=0,"",Model!J14)</f>
        <v>1080865.59</v>
      </c>
      <c r="M8" s="194" t="n">
        <f aca="false">IF(Model!K14=0,"",Model!K14)</f>
        <v>907471.96</v>
      </c>
      <c r="N8" s="194" t="n">
        <f aca="false">IF(Model!L14=0,"",Model!L14)</f>
        <v>804175.89</v>
      </c>
      <c r="O8" s="194" t="n">
        <f aca="false">IF(Model!M14=0,"",Model!M14)</f>
        <v>836424.94</v>
      </c>
      <c r="P8" s="194" t="n">
        <f aca="false">IF(Model!N14=0,"",Model!N14)</f>
        <v>1141488.12</v>
      </c>
      <c r="Q8" s="194" t="n">
        <f aca="false">IF(Model!O14=0,"",Model!O14)</f>
        <v>831668.03</v>
      </c>
      <c r="R8" s="194" t="n">
        <f aca="false">IF(Model!P14=0,"",Model!P14)</f>
        <v>1111923.3</v>
      </c>
      <c r="S8" s="194" t="n">
        <f aca="false">IF(Model!Q14=0,"",Model!Q14)</f>
        <v>880988.48</v>
      </c>
      <c r="T8" s="194" t="n">
        <f aca="false">IF(Model!R14=0,"",Model!R14)</f>
        <v>653443.66</v>
      </c>
      <c r="U8" s="194" t="n">
        <f aca="false">IF(Model!S14=0,"",Model!S14)</f>
        <v>567093.62</v>
      </c>
      <c r="V8" s="194" t="n">
        <f aca="false">IF(Model!T14=0,"",Model!T14)</f>
        <v>767040.45</v>
      </c>
      <c r="W8" s="194" t="n">
        <f aca="false">IF(Model!U14=0,"",Model!U14)</f>
        <v>778438.76</v>
      </c>
      <c r="X8" s="194" t="n">
        <f aca="false">IF(Model!V14=0,"",Model!V14)</f>
        <v>207929.38</v>
      </c>
      <c r="Y8" s="194" t="str">
        <f aca="false">IF(Model!W14=0,"",Model!W14)</f>
        <v/>
      </c>
      <c r="Z8" s="194" t="str">
        <f aca="false">IF(Model!X14=0,"",Model!X14)</f>
        <v/>
      </c>
      <c r="AA8" s="194" t="str">
        <f aca="false">IF(Model!Y14=0,"",Model!Y14)</f>
        <v/>
      </c>
      <c r="AB8" s="194" t="str">
        <f aca="false">IF(Model!Z14=0,"",Model!Z14)</f>
        <v/>
      </c>
      <c r="AC8" s="194" t="str">
        <f aca="false">IF(Model!AA14=0,"",Model!AA14)</f>
        <v/>
      </c>
      <c r="AD8" s="194" t="str">
        <f aca="false">IF(Model!AB14=0,"",Model!AB14)</f>
        <v/>
      </c>
      <c r="AE8" s="194" t="str">
        <f aca="false">IF(Model!AC14=0,"",Model!AC14)</f>
        <v/>
      </c>
      <c r="AF8" s="194" t="str">
        <f aca="false">IF(Model!AD14=0,"",Model!AD14)</f>
        <v/>
      </c>
      <c r="AG8" s="194" t="str">
        <f aca="false">IF(Model!AE14=0,"",Model!AE14)</f>
        <v/>
      </c>
      <c r="AH8" s="194" t="str">
        <f aca="false">IF(Model!AF14=0,"",Model!AF14)</f>
        <v/>
      </c>
      <c r="AI8" s="194" t="str">
        <f aca="false">IF(Model!AG14=0,"",Model!AG14)</f>
        <v/>
      </c>
      <c r="AJ8" s="194" t="str">
        <f aca="false">IF(Model!AH14=0,"",Model!AH14)</f>
        <v/>
      </c>
      <c r="AK8" s="194" t="str">
        <f aca="false">IF(Model!AI14=0,"",Model!AI14)</f>
        <v/>
      </c>
      <c r="AL8" s="194" t="str">
        <f aca="false">IF(Model!AJ14=0,"",Model!AJ14)</f>
        <v/>
      </c>
      <c r="AM8" s="194" t="str">
        <f aca="false">IF(Model!AK14=0,"",Model!AK14)</f>
        <v/>
      </c>
      <c r="AN8" s="194" t="str">
        <f aca="false">IF(Model!AL14=0,"",Model!AL14)</f>
        <v/>
      </c>
      <c r="AO8" s="194" t="str">
        <f aca="false">IF(Model!AM14=0,"",Model!AM14)</f>
        <v/>
      </c>
      <c r="AP8" s="194" t="str">
        <f aca="false">IF(Model!AN14=0,"",Model!AN14)</f>
        <v/>
      </c>
      <c r="AQ8" s="194" t="str">
        <f aca="false">IF(Model!AO14=0,"",Model!AO14)</f>
        <v/>
      </c>
      <c r="AR8" s="194" t="str">
        <f aca="false">IF(Model!AP14=0,"",Model!AP14)</f>
        <v/>
      </c>
      <c r="AS8" s="194" t="str">
        <f aca="false">IF(Model!AQ14=0,"",Model!AQ14)</f>
        <v/>
      </c>
      <c r="AT8" s="194" t="str">
        <f aca="false">IF(Model!AR14=0,"",Model!AR14)</f>
        <v/>
      </c>
      <c r="AU8" s="194" t="str">
        <f aca="false">IF(Model!AS14=0,"",Model!AS14)</f>
        <v/>
      </c>
      <c r="AV8" s="194" t="str">
        <f aca="false">IF(Model!AT14=0,"",Model!AT14)</f>
        <v/>
      </c>
      <c r="AW8" s="194" t="str">
        <f aca="false">IF(Model!AU14=0,"",Model!AU14)</f>
        <v/>
      </c>
      <c r="AX8" s="194" t="str">
        <f aca="false">IF(Model!AV14=0,"",Model!AV14)</f>
        <v/>
      </c>
      <c r="AY8" s="194" t="str">
        <f aca="false">IF(Model!AW14=0,"",Model!AW14)</f>
        <v/>
      </c>
      <c r="AZ8" s="194" t="str">
        <f aca="false">IF(Model!AX14=0,"",Model!AX14)</f>
        <v/>
      </c>
      <c r="BA8" s="194" t="str">
        <f aca="false">IF(Model!AY14=0,"",Model!AY14)</f>
        <v/>
      </c>
      <c r="BB8" s="194" t="str">
        <f aca="false">IF(Model!AZ14=0,"",Model!AZ14)</f>
        <v/>
      </c>
      <c r="BC8" s="194" t="str">
        <f aca="false">IF(Model!BA14=0,"",Model!BA14)</f>
        <v/>
      </c>
      <c r="BD8" s="194" t="str">
        <f aca="false">IF(Model!BB14=0,"",Model!BB14)</f>
        <v/>
      </c>
      <c r="BE8" s="194" t="str">
        <f aca="false">IF(Model!BC14=0,"",Model!BC14)</f>
        <v/>
      </c>
      <c r="BF8" s="194" t="str">
        <f aca="false">IF(Model!BD14=0,"",Model!BD14)</f>
        <v/>
      </c>
      <c r="BG8" s="194" t="str">
        <f aca="false">IF(Model!BE14=0,"",Model!BE14)</f>
        <v/>
      </c>
      <c r="BH8" s="194" t="str">
        <f aca="false">IF(Model!BF14=0,"",Model!BF14)</f>
        <v/>
      </c>
      <c r="BI8" s="194" t="str">
        <f aca="false">IF(Model!BG14=0,"",Model!BG14)</f>
        <v/>
      </c>
      <c r="BJ8" s="194" t="str">
        <f aca="false">IF(Model!BH14=0,"",Model!BH14)</f>
        <v/>
      </c>
      <c r="BK8" s="194" t="str">
        <f aca="false">IF(Model!BI14=0,"",Model!BI14)</f>
        <v/>
      </c>
      <c r="BL8" s="194" t="str">
        <f aca="false">IF(Model!BJ14=0,"",Model!BJ14)</f>
        <v/>
      </c>
      <c r="BM8" s="194" t="str">
        <f aca="false">IF(Model!BK14=0,"",Model!BK14)</f>
        <v/>
      </c>
      <c r="BN8" s="194" t="str">
        <f aca="false">IF(Model!BL14=0,"",Model!BL14)</f>
        <v/>
      </c>
      <c r="BO8" s="194" t="str">
        <f aca="false">IF(Model!BM14=0,"",Model!BM14)</f>
        <v/>
      </c>
      <c r="BP8" s="194" t="str">
        <f aca="false">IF(Model!BN14=0,"",Model!BN14)</f>
        <v/>
      </c>
      <c r="BQ8" s="194" t="str">
        <f aca="false">IF(Model!BO14=0,"",Model!BO14)</f>
        <v/>
      </c>
      <c r="BR8" s="194" t="str">
        <f aca="false">IF(Model!BP14=0,"",Model!BP14)</f>
        <v/>
      </c>
      <c r="BS8" s="194" t="str">
        <f aca="false">IF(Model!BQ14=0,"",Model!BQ14)</f>
        <v/>
      </c>
      <c r="BT8" s="194" t="str">
        <f aca="false">IF(Model!BR14=0,"",Model!BR14)</f>
        <v/>
      </c>
      <c r="BU8" s="194" t="str">
        <f aca="false">IF(Model!BS14=0,"",Model!BS14)</f>
        <v/>
      </c>
      <c r="BV8" s="194" t="str">
        <f aca="false">IF(Model!BT14=0,"",Model!BT14)</f>
        <v/>
      </c>
      <c r="BW8" s="194" t="str">
        <f aca="false">IF(Model!BU14=0,"",Model!BU14)</f>
        <v/>
      </c>
      <c r="BX8" s="194" t="str">
        <f aca="false">IF(Model!BV14=0,"",Model!BV14)</f>
        <v/>
      </c>
      <c r="BY8" s="194" t="str">
        <f aca="false">IF(Model!BW14=0,"",Model!BW14)</f>
        <v/>
      </c>
      <c r="BZ8" s="194" t="str">
        <f aca="false">IF(Model!BX14=0,"",Model!BX14)</f>
        <v/>
      </c>
      <c r="CA8" s="194" t="str">
        <f aca="false">IF(Model!BY14=0,"",Model!BY14)</f>
        <v/>
      </c>
      <c r="CB8" s="194" t="str">
        <f aca="false">IF(Model!BZ14=0,"",Model!BZ14)</f>
        <v/>
      </c>
      <c r="CC8" s="194" t="str">
        <f aca="false">IF(Model!CA14=0,"",Model!CA14)</f>
        <v/>
      </c>
      <c r="CD8" s="194" t="str">
        <f aca="false">IF(Model!CB14=0,"",Model!CB14)</f>
        <v/>
      </c>
      <c r="CE8" s="194" t="str">
        <f aca="false">IF(Model!CC14=0,"",Model!CC14)</f>
        <v/>
      </c>
      <c r="CF8" s="194" t="str">
        <f aca="false">IF(Model!CD14=0,"",Model!CD14)</f>
        <v/>
      </c>
      <c r="CG8" s="194" t="str">
        <f aca="false">IF(Model!CE14=0,"",Model!CE14)</f>
        <v/>
      </c>
      <c r="CH8" s="194" t="str">
        <f aca="false">IF(Model!CF14=0,"",Model!CF14)</f>
        <v/>
      </c>
      <c r="CI8" s="194" t="str">
        <f aca="false">IF(Model!CG14=0,"",Model!CG14)</f>
        <v/>
      </c>
      <c r="CJ8" s="194" t="str">
        <f aca="false">IF(Model!CH14=0,"",Model!CH14)</f>
        <v/>
      </c>
      <c r="CK8" s="194" t="str">
        <f aca="false">IF(Model!CI14=0,"",Model!CI14)</f>
        <v/>
      </c>
      <c r="CL8" s="194" t="str">
        <f aca="false">IF(Model!CJ14=0,"",Model!CJ14)</f>
        <v/>
      </c>
      <c r="CM8" s="194" t="str">
        <f aca="false">IF(Model!CK14=0,"",Model!CK14)</f>
        <v/>
      </c>
      <c r="CN8" s="194" t="str">
        <f aca="false">IF(Model!CL14=0,"",Model!CL14)</f>
        <v/>
      </c>
      <c r="CO8" s="194" t="str">
        <f aca="false">IF(Model!CM14=0,"",Model!CM14)</f>
        <v/>
      </c>
      <c r="CP8" s="194" t="str">
        <f aca="false">IF(Model!CN14=0,"",Model!CN14)</f>
        <v/>
      </c>
      <c r="CQ8" s="194" t="str">
        <f aca="false">IF(Model!CO14=0,"",Model!CO14)</f>
        <v/>
      </c>
      <c r="CR8" s="194" t="str">
        <f aca="false">IF(Model!CP14=0,"",Model!CP14)</f>
        <v/>
      </c>
      <c r="CS8" s="194" t="str">
        <f aca="false">IF(Model!CQ14=0,"",Model!CQ14)</f>
        <v/>
      </c>
      <c r="CT8" s="194" t="str">
        <f aca="false">IF(Model!CR14=0,"",Model!CR14)</f>
        <v/>
      </c>
      <c r="CU8" s="194" t="str">
        <f aca="false">IF(Model!CS14=0,"",Model!CS14)</f>
        <v/>
      </c>
      <c r="CV8" s="194" t="str">
        <f aca="false">IF(Model!CT14=0,"",Model!CT14)</f>
        <v/>
      </c>
      <c r="CW8" s="194" t="str">
        <f aca="false">IF(Model!CU14=0,"",Model!CU14)</f>
        <v/>
      </c>
      <c r="CX8" s="194" t="str">
        <f aca="false">IF(Model!CV14=0,"",Model!CV14)</f>
        <v/>
      </c>
      <c r="CY8" s="194" t="str">
        <f aca="false">IF(Model!CW14=0,"",Model!CW14)</f>
        <v/>
      </c>
      <c r="CZ8" s="194" t="str">
        <f aca="false">IF(Model!CX14=0,"",Model!CX14)</f>
        <v/>
      </c>
      <c r="DA8" s="194" t="str">
        <f aca="false">IF(Model!CY14=0,"",Model!CY14)</f>
        <v/>
      </c>
      <c r="DB8" s="194" t="str">
        <f aca="false">IF(Model!CZ14=0,"",Model!CZ14)</f>
        <v/>
      </c>
    </row>
    <row r="9" customFormat="false" ht="15" hidden="false" customHeight="true" outlineLevel="0" collapsed="false">
      <c r="A9" s="125" t="s">
        <v>9</v>
      </c>
      <c r="B9" s="191" t="n">
        <f aca="false">Projects!$B$4</f>
        <v>11929880</v>
      </c>
      <c r="C9" s="192" t="n">
        <f aca="false">EDATE(Model!$E$2,Projects!$C$4-1)</f>
        <v>46113</v>
      </c>
      <c r="D9" s="192" t="n">
        <f aca="false">EDATE(Model!$E$2,17-1)</f>
        <v>46600</v>
      </c>
      <c r="E9" s="193" t="n">
        <f aca="false">DATEDIF(C9,D9,"m")+1</f>
        <v>17</v>
      </c>
      <c r="F9" s="191" t="n">
        <f aca="false">SUM(G9:DB9)</f>
        <v>10887187.56</v>
      </c>
      <c r="G9" s="194" t="n">
        <f aca="false">IF(Model!E15=0,"",Model!E15)</f>
        <v>571051.61</v>
      </c>
      <c r="H9" s="194" t="n">
        <f aca="false">IF(Model!F15=0,"",Model!F15)</f>
        <v>1099379.66</v>
      </c>
      <c r="I9" s="194" t="n">
        <f aca="false">IF(Model!G15=0,"",Model!G15)</f>
        <v>1315355.15</v>
      </c>
      <c r="J9" s="194" t="n">
        <f aca="false">IF(Model!H15=0,"",Model!H15)</f>
        <v>603209.04</v>
      </c>
      <c r="K9" s="194" t="n">
        <f aca="false">IF(Model!I15=0,"",Model!I15)</f>
        <v>736924.86</v>
      </c>
      <c r="L9" s="194" t="n">
        <f aca="false">IF(Model!J15=0,"",Model!J15)</f>
        <v>603963.38</v>
      </c>
      <c r="M9" s="194" t="n">
        <f aca="false">IF(Model!K15=0,"",Model!K15)</f>
        <v>563091.62</v>
      </c>
      <c r="N9" s="194" t="n">
        <f aca="false">IF(Model!L15=0,"",Model!L15)</f>
        <v>629318.73</v>
      </c>
      <c r="O9" s="194" t="n">
        <f aca="false">IF(Model!M15=0,"",Model!M15)</f>
        <v>751734.58</v>
      </c>
      <c r="P9" s="194" t="n">
        <f aca="false">IF(Model!N15=0,"",Model!N15)</f>
        <v>674668.79</v>
      </c>
      <c r="Q9" s="194" t="n">
        <f aca="false">IF(Model!O15=0,"",Model!O15)</f>
        <v>615694.04</v>
      </c>
      <c r="R9" s="194" t="n">
        <f aca="false">IF(Model!P15=0,"",Model!P15)</f>
        <v>694084.67</v>
      </c>
      <c r="S9" s="194" t="n">
        <f aca="false">IF(Model!Q15=0,"",Model!Q15)</f>
        <v>723252.22</v>
      </c>
      <c r="T9" s="194" t="n">
        <f aca="false">IF(Model!R15=0,"",Model!R15)</f>
        <v>594153.61</v>
      </c>
      <c r="U9" s="194" t="n">
        <f aca="false">IF(Model!S15=0,"",Model!S15)</f>
        <v>377468.25</v>
      </c>
      <c r="V9" s="194" t="n">
        <f aca="false">IF(Model!T15=0,"",Model!T15)</f>
        <v>189218.1</v>
      </c>
      <c r="W9" s="194" t="n">
        <f aca="false">IF(Model!U15=0,"",Model!U15)</f>
        <v>144619.25</v>
      </c>
      <c r="X9" s="194" t="str">
        <f aca="false">IF(Model!V15=0,"",Model!V15)</f>
        <v/>
      </c>
      <c r="Y9" s="194" t="str">
        <f aca="false">IF(Model!W15=0,"",Model!W15)</f>
        <v/>
      </c>
      <c r="Z9" s="194" t="str">
        <f aca="false">IF(Model!X15=0,"",Model!X15)</f>
        <v/>
      </c>
      <c r="AA9" s="194" t="str">
        <f aca="false">IF(Model!Y15=0,"",Model!Y15)</f>
        <v/>
      </c>
      <c r="AB9" s="194" t="str">
        <f aca="false">IF(Model!Z15=0,"",Model!Z15)</f>
        <v/>
      </c>
      <c r="AC9" s="194" t="str">
        <f aca="false">IF(Model!AA15=0,"",Model!AA15)</f>
        <v/>
      </c>
      <c r="AD9" s="194" t="str">
        <f aca="false">IF(Model!AB15=0,"",Model!AB15)</f>
        <v/>
      </c>
      <c r="AE9" s="194" t="str">
        <f aca="false">IF(Model!AC15=0,"",Model!AC15)</f>
        <v/>
      </c>
      <c r="AF9" s="194" t="str">
        <f aca="false">IF(Model!AD15=0,"",Model!AD15)</f>
        <v/>
      </c>
      <c r="AG9" s="194" t="str">
        <f aca="false">IF(Model!AE15=0,"",Model!AE15)</f>
        <v/>
      </c>
      <c r="AH9" s="194" t="str">
        <f aca="false">IF(Model!AF15=0,"",Model!AF15)</f>
        <v/>
      </c>
      <c r="AI9" s="194" t="str">
        <f aca="false">IF(Model!AG15=0,"",Model!AG15)</f>
        <v/>
      </c>
      <c r="AJ9" s="194" t="str">
        <f aca="false">IF(Model!AH15=0,"",Model!AH15)</f>
        <v/>
      </c>
      <c r="AK9" s="194" t="str">
        <f aca="false">IF(Model!AI15=0,"",Model!AI15)</f>
        <v/>
      </c>
      <c r="AL9" s="194" t="str">
        <f aca="false">IF(Model!AJ15=0,"",Model!AJ15)</f>
        <v/>
      </c>
      <c r="AM9" s="194" t="str">
        <f aca="false">IF(Model!AK15=0,"",Model!AK15)</f>
        <v/>
      </c>
      <c r="AN9" s="194" t="str">
        <f aca="false">IF(Model!AL15=0,"",Model!AL15)</f>
        <v/>
      </c>
      <c r="AO9" s="194" t="str">
        <f aca="false">IF(Model!AM15=0,"",Model!AM15)</f>
        <v/>
      </c>
      <c r="AP9" s="194" t="str">
        <f aca="false">IF(Model!AN15=0,"",Model!AN15)</f>
        <v/>
      </c>
      <c r="AQ9" s="194" t="str">
        <f aca="false">IF(Model!AO15=0,"",Model!AO15)</f>
        <v/>
      </c>
      <c r="AR9" s="194" t="str">
        <f aca="false">IF(Model!AP15=0,"",Model!AP15)</f>
        <v/>
      </c>
      <c r="AS9" s="194" t="str">
        <f aca="false">IF(Model!AQ15=0,"",Model!AQ15)</f>
        <v/>
      </c>
      <c r="AT9" s="194" t="str">
        <f aca="false">IF(Model!AR15=0,"",Model!AR15)</f>
        <v/>
      </c>
      <c r="AU9" s="194" t="str">
        <f aca="false">IF(Model!AS15=0,"",Model!AS15)</f>
        <v/>
      </c>
      <c r="AV9" s="194" t="str">
        <f aca="false">IF(Model!AT15=0,"",Model!AT15)</f>
        <v/>
      </c>
      <c r="AW9" s="194" t="str">
        <f aca="false">IF(Model!AU15=0,"",Model!AU15)</f>
        <v/>
      </c>
      <c r="AX9" s="194" t="str">
        <f aca="false">IF(Model!AV15=0,"",Model!AV15)</f>
        <v/>
      </c>
      <c r="AY9" s="194" t="str">
        <f aca="false">IF(Model!AW15=0,"",Model!AW15)</f>
        <v/>
      </c>
      <c r="AZ9" s="194" t="str">
        <f aca="false">IF(Model!AX15=0,"",Model!AX15)</f>
        <v/>
      </c>
      <c r="BA9" s="194" t="str">
        <f aca="false">IF(Model!AY15=0,"",Model!AY15)</f>
        <v/>
      </c>
      <c r="BB9" s="194" t="str">
        <f aca="false">IF(Model!AZ15=0,"",Model!AZ15)</f>
        <v/>
      </c>
      <c r="BC9" s="194" t="str">
        <f aca="false">IF(Model!BA15=0,"",Model!BA15)</f>
        <v/>
      </c>
      <c r="BD9" s="194" t="str">
        <f aca="false">IF(Model!BB15=0,"",Model!BB15)</f>
        <v/>
      </c>
      <c r="BE9" s="194" t="str">
        <f aca="false">IF(Model!BC15=0,"",Model!BC15)</f>
        <v/>
      </c>
      <c r="BF9" s="194" t="str">
        <f aca="false">IF(Model!BD15=0,"",Model!BD15)</f>
        <v/>
      </c>
      <c r="BG9" s="194" t="str">
        <f aca="false">IF(Model!BE15=0,"",Model!BE15)</f>
        <v/>
      </c>
      <c r="BH9" s="194" t="str">
        <f aca="false">IF(Model!BF15=0,"",Model!BF15)</f>
        <v/>
      </c>
      <c r="BI9" s="194" t="str">
        <f aca="false">IF(Model!BG15=0,"",Model!BG15)</f>
        <v/>
      </c>
      <c r="BJ9" s="194" t="str">
        <f aca="false">IF(Model!BH15=0,"",Model!BH15)</f>
        <v/>
      </c>
      <c r="BK9" s="194" t="str">
        <f aca="false">IF(Model!BI15=0,"",Model!BI15)</f>
        <v/>
      </c>
      <c r="BL9" s="194" t="str">
        <f aca="false">IF(Model!BJ15=0,"",Model!BJ15)</f>
        <v/>
      </c>
      <c r="BM9" s="194" t="str">
        <f aca="false">IF(Model!BK15=0,"",Model!BK15)</f>
        <v/>
      </c>
      <c r="BN9" s="194" t="str">
        <f aca="false">IF(Model!BL15=0,"",Model!BL15)</f>
        <v/>
      </c>
      <c r="BO9" s="194" t="str">
        <f aca="false">IF(Model!BM15=0,"",Model!BM15)</f>
        <v/>
      </c>
      <c r="BP9" s="194" t="str">
        <f aca="false">IF(Model!BN15=0,"",Model!BN15)</f>
        <v/>
      </c>
      <c r="BQ9" s="194" t="str">
        <f aca="false">IF(Model!BO15=0,"",Model!BO15)</f>
        <v/>
      </c>
      <c r="BR9" s="194" t="str">
        <f aca="false">IF(Model!BP15=0,"",Model!BP15)</f>
        <v/>
      </c>
      <c r="BS9" s="194" t="str">
        <f aca="false">IF(Model!BQ15=0,"",Model!BQ15)</f>
        <v/>
      </c>
      <c r="BT9" s="194" t="str">
        <f aca="false">IF(Model!BR15=0,"",Model!BR15)</f>
        <v/>
      </c>
      <c r="BU9" s="194" t="str">
        <f aca="false">IF(Model!BS15=0,"",Model!BS15)</f>
        <v/>
      </c>
      <c r="BV9" s="194" t="str">
        <f aca="false">IF(Model!BT15=0,"",Model!BT15)</f>
        <v/>
      </c>
      <c r="BW9" s="194" t="str">
        <f aca="false">IF(Model!BU15=0,"",Model!BU15)</f>
        <v/>
      </c>
      <c r="BX9" s="194" t="str">
        <f aca="false">IF(Model!BV15=0,"",Model!BV15)</f>
        <v/>
      </c>
      <c r="BY9" s="194" t="str">
        <f aca="false">IF(Model!BW15=0,"",Model!BW15)</f>
        <v/>
      </c>
      <c r="BZ9" s="194" t="str">
        <f aca="false">IF(Model!BX15=0,"",Model!BX15)</f>
        <v/>
      </c>
      <c r="CA9" s="194" t="str">
        <f aca="false">IF(Model!BY15=0,"",Model!BY15)</f>
        <v/>
      </c>
      <c r="CB9" s="194" t="str">
        <f aca="false">IF(Model!BZ15=0,"",Model!BZ15)</f>
        <v/>
      </c>
      <c r="CC9" s="194" t="str">
        <f aca="false">IF(Model!CA15=0,"",Model!CA15)</f>
        <v/>
      </c>
      <c r="CD9" s="194" t="str">
        <f aca="false">IF(Model!CB15=0,"",Model!CB15)</f>
        <v/>
      </c>
      <c r="CE9" s="194" t="str">
        <f aca="false">IF(Model!CC15=0,"",Model!CC15)</f>
        <v/>
      </c>
      <c r="CF9" s="194" t="str">
        <f aca="false">IF(Model!CD15=0,"",Model!CD15)</f>
        <v/>
      </c>
      <c r="CG9" s="194" t="str">
        <f aca="false">IF(Model!CE15=0,"",Model!CE15)</f>
        <v/>
      </c>
      <c r="CH9" s="194" t="str">
        <f aca="false">IF(Model!CF15=0,"",Model!CF15)</f>
        <v/>
      </c>
      <c r="CI9" s="194" t="str">
        <f aca="false">IF(Model!CG15=0,"",Model!CG15)</f>
        <v/>
      </c>
      <c r="CJ9" s="194" t="str">
        <f aca="false">IF(Model!CH15=0,"",Model!CH15)</f>
        <v/>
      </c>
      <c r="CK9" s="194" t="str">
        <f aca="false">IF(Model!CI15=0,"",Model!CI15)</f>
        <v/>
      </c>
      <c r="CL9" s="194" t="str">
        <f aca="false">IF(Model!CJ15=0,"",Model!CJ15)</f>
        <v/>
      </c>
      <c r="CM9" s="194" t="str">
        <f aca="false">IF(Model!CK15=0,"",Model!CK15)</f>
        <v/>
      </c>
      <c r="CN9" s="194" t="str">
        <f aca="false">IF(Model!CL15=0,"",Model!CL15)</f>
        <v/>
      </c>
      <c r="CO9" s="194" t="str">
        <f aca="false">IF(Model!CM15=0,"",Model!CM15)</f>
        <v/>
      </c>
      <c r="CP9" s="194" t="str">
        <f aca="false">IF(Model!CN15=0,"",Model!CN15)</f>
        <v/>
      </c>
      <c r="CQ9" s="194" t="str">
        <f aca="false">IF(Model!CO15=0,"",Model!CO15)</f>
        <v/>
      </c>
      <c r="CR9" s="194" t="str">
        <f aca="false">IF(Model!CP15=0,"",Model!CP15)</f>
        <v/>
      </c>
      <c r="CS9" s="194" t="str">
        <f aca="false">IF(Model!CQ15=0,"",Model!CQ15)</f>
        <v/>
      </c>
      <c r="CT9" s="194" t="str">
        <f aca="false">IF(Model!CR15=0,"",Model!CR15)</f>
        <v/>
      </c>
      <c r="CU9" s="194" t="str">
        <f aca="false">IF(Model!CS15=0,"",Model!CS15)</f>
        <v/>
      </c>
      <c r="CV9" s="194" t="str">
        <f aca="false">IF(Model!CT15=0,"",Model!CT15)</f>
        <v/>
      </c>
      <c r="CW9" s="194" t="str">
        <f aca="false">IF(Model!CU15=0,"",Model!CU15)</f>
        <v/>
      </c>
      <c r="CX9" s="194" t="str">
        <f aca="false">IF(Model!CV15=0,"",Model!CV15)</f>
        <v/>
      </c>
      <c r="CY9" s="194" t="str">
        <f aca="false">IF(Model!CW15=0,"",Model!CW15)</f>
        <v/>
      </c>
      <c r="CZ9" s="194" t="str">
        <f aca="false">IF(Model!CX15=0,"",Model!CX15)</f>
        <v/>
      </c>
      <c r="DA9" s="194" t="str">
        <f aca="false">IF(Model!CY15=0,"",Model!CY15)</f>
        <v/>
      </c>
      <c r="DB9" s="194" t="str">
        <f aca="false">IF(Model!CZ15=0,"",Model!CZ15)</f>
        <v/>
      </c>
    </row>
    <row r="10" customFormat="false" ht="15" hidden="false" customHeight="true" outlineLevel="0" collapsed="false">
      <c r="A10" s="125" t="s">
        <v>10</v>
      </c>
      <c r="B10" s="191" t="n">
        <f aca="false">Projects!$B$5</f>
        <v>14427884</v>
      </c>
      <c r="C10" s="192" t="n">
        <f aca="false">EDATE(Model!$E$2,Projects!$C$5-1)</f>
        <v>46113</v>
      </c>
      <c r="D10" s="192" t="n">
        <f aca="false">EDATE(Model!$E$2,19-1)</f>
        <v>46661</v>
      </c>
      <c r="E10" s="193" t="n">
        <f aca="false">DATEDIF(C10,D10,"m")+1</f>
        <v>19</v>
      </c>
      <c r="F10" s="191" t="n">
        <f aca="false">SUM(G10:DB10)</f>
        <v>14053101.58</v>
      </c>
      <c r="G10" s="194" t="n">
        <f aca="false">IF(Model!E16=0,"",Model!E16)</f>
        <v>577813.6</v>
      </c>
      <c r="H10" s="194" t="n">
        <f aca="false">IF(Model!F16=0,"",Model!F16)</f>
        <v>785971.45</v>
      </c>
      <c r="I10" s="194" t="n">
        <f aca="false">IF(Model!G16=0,"",Model!G16)</f>
        <v>1198349.29</v>
      </c>
      <c r="J10" s="194" t="n">
        <f aca="false">IF(Model!H16=0,"",Model!H16)</f>
        <v>1191447.65</v>
      </c>
      <c r="K10" s="194" t="n">
        <f aca="false">IF(Model!I16=0,"",Model!I16)</f>
        <v>1568049.76</v>
      </c>
      <c r="L10" s="194" t="n">
        <f aca="false">IF(Model!J16=0,"",Model!J16)</f>
        <v>925546.41</v>
      </c>
      <c r="M10" s="194" t="n">
        <f aca="false">IF(Model!K16=0,"",Model!K16)</f>
        <v>821980.06</v>
      </c>
      <c r="N10" s="194" t="n">
        <f aca="false">IF(Model!L16=0,"",Model!L16)</f>
        <v>619146.84</v>
      </c>
      <c r="O10" s="194" t="n">
        <f aca="false">IF(Model!M16=0,"",Model!M16)</f>
        <v>715421.53</v>
      </c>
      <c r="P10" s="194" t="n">
        <f aca="false">IF(Model!N16=0,"",Model!N16)</f>
        <v>653231.72</v>
      </c>
      <c r="Q10" s="194" t="n">
        <f aca="false">IF(Model!O16=0,"",Model!O16)</f>
        <v>619153.15</v>
      </c>
      <c r="R10" s="194" t="n">
        <f aca="false">IF(Model!P16=0,"",Model!P16)</f>
        <v>560550.81</v>
      </c>
      <c r="S10" s="194" t="n">
        <f aca="false">IF(Model!Q16=0,"",Model!Q16)</f>
        <v>440306.1</v>
      </c>
      <c r="T10" s="194" t="n">
        <f aca="false">IF(Model!R16=0,"",Model!R16)</f>
        <v>351742.71</v>
      </c>
      <c r="U10" s="194" t="n">
        <f aca="false">IF(Model!S16=0,"",Model!S16)</f>
        <v>752314.78</v>
      </c>
      <c r="V10" s="194" t="n">
        <f aca="false">IF(Model!T16=0,"",Model!T16)</f>
        <v>1002553.11</v>
      </c>
      <c r="W10" s="194" t="n">
        <f aca="false">IF(Model!U16=0,"",Model!U16)</f>
        <v>674532.85</v>
      </c>
      <c r="X10" s="194" t="n">
        <f aca="false">IF(Model!V16=0,"",Model!V16)</f>
        <v>436351.83</v>
      </c>
      <c r="Y10" s="194" t="n">
        <f aca="false">IF(Model!W16=0,"",Model!W16)</f>
        <v>158637.93</v>
      </c>
      <c r="Z10" s="194" t="str">
        <f aca="false">IF(Model!X16=0,"",Model!X16)</f>
        <v/>
      </c>
      <c r="AA10" s="194" t="str">
        <f aca="false">IF(Model!Y16=0,"",Model!Y16)</f>
        <v/>
      </c>
      <c r="AB10" s="194" t="str">
        <f aca="false">IF(Model!Z16=0,"",Model!Z16)</f>
        <v/>
      </c>
      <c r="AC10" s="194" t="str">
        <f aca="false">IF(Model!AA16=0,"",Model!AA16)</f>
        <v/>
      </c>
      <c r="AD10" s="194" t="str">
        <f aca="false">IF(Model!AB16=0,"",Model!AB16)</f>
        <v/>
      </c>
      <c r="AE10" s="194" t="str">
        <f aca="false">IF(Model!AC16=0,"",Model!AC16)</f>
        <v/>
      </c>
      <c r="AF10" s="194" t="str">
        <f aca="false">IF(Model!AD16=0,"",Model!AD16)</f>
        <v/>
      </c>
      <c r="AG10" s="194" t="str">
        <f aca="false">IF(Model!AE16=0,"",Model!AE16)</f>
        <v/>
      </c>
      <c r="AH10" s="194" t="str">
        <f aca="false">IF(Model!AF16=0,"",Model!AF16)</f>
        <v/>
      </c>
      <c r="AI10" s="194" t="str">
        <f aca="false">IF(Model!AG16=0,"",Model!AG16)</f>
        <v/>
      </c>
      <c r="AJ10" s="194" t="str">
        <f aca="false">IF(Model!AH16=0,"",Model!AH16)</f>
        <v/>
      </c>
      <c r="AK10" s="194" t="str">
        <f aca="false">IF(Model!AI16=0,"",Model!AI16)</f>
        <v/>
      </c>
      <c r="AL10" s="194" t="str">
        <f aca="false">IF(Model!AJ16=0,"",Model!AJ16)</f>
        <v/>
      </c>
      <c r="AM10" s="194" t="str">
        <f aca="false">IF(Model!AK16=0,"",Model!AK16)</f>
        <v/>
      </c>
      <c r="AN10" s="194" t="str">
        <f aca="false">IF(Model!AL16=0,"",Model!AL16)</f>
        <v/>
      </c>
      <c r="AO10" s="194" t="str">
        <f aca="false">IF(Model!AM16=0,"",Model!AM16)</f>
        <v/>
      </c>
      <c r="AP10" s="194" t="str">
        <f aca="false">IF(Model!AN16=0,"",Model!AN16)</f>
        <v/>
      </c>
      <c r="AQ10" s="194" t="str">
        <f aca="false">IF(Model!AO16=0,"",Model!AO16)</f>
        <v/>
      </c>
      <c r="AR10" s="194" t="str">
        <f aca="false">IF(Model!AP16=0,"",Model!AP16)</f>
        <v/>
      </c>
      <c r="AS10" s="194" t="str">
        <f aca="false">IF(Model!AQ16=0,"",Model!AQ16)</f>
        <v/>
      </c>
      <c r="AT10" s="194" t="str">
        <f aca="false">IF(Model!AR16=0,"",Model!AR16)</f>
        <v/>
      </c>
      <c r="AU10" s="194" t="str">
        <f aca="false">IF(Model!AS16=0,"",Model!AS16)</f>
        <v/>
      </c>
      <c r="AV10" s="194" t="str">
        <f aca="false">IF(Model!AT16=0,"",Model!AT16)</f>
        <v/>
      </c>
      <c r="AW10" s="194" t="str">
        <f aca="false">IF(Model!AU16=0,"",Model!AU16)</f>
        <v/>
      </c>
      <c r="AX10" s="194" t="str">
        <f aca="false">IF(Model!AV16=0,"",Model!AV16)</f>
        <v/>
      </c>
      <c r="AY10" s="194" t="str">
        <f aca="false">IF(Model!AW16=0,"",Model!AW16)</f>
        <v/>
      </c>
      <c r="AZ10" s="194" t="str">
        <f aca="false">IF(Model!AX16=0,"",Model!AX16)</f>
        <v/>
      </c>
      <c r="BA10" s="194" t="str">
        <f aca="false">IF(Model!AY16=0,"",Model!AY16)</f>
        <v/>
      </c>
      <c r="BB10" s="194" t="str">
        <f aca="false">IF(Model!AZ16=0,"",Model!AZ16)</f>
        <v/>
      </c>
      <c r="BC10" s="194" t="str">
        <f aca="false">IF(Model!BA16=0,"",Model!BA16)</f>
        <v/>
      </c>
      <c r="BD10" s="194" t="str">
        <f aca="false">IF(Model!BB16=0,"",Model!BB16)</f>
        <v/>
      </c>
      <c r="BE10" s="194" t="str">
        <f aca="false">IF(Model!BC16=0,"",Model!BC16)</f>
        <v/>
      </c>
      <c r="BF10" s="194" t="str">
        <f aca="false">IF(Model!BD16=0,"",Model!BD16)</f>
        <v/>
      </c>
      <c r="BG10" s="194" t="str">
        <f aca="false">IF(Model!BE16=0,"",Model!BE16)</f>
        <v/>
      </c>
      <c r="BH10" s="194" t="str">
        <f aca="false">IF(Model!BF16=0,"",Model!BF16)</f>
        <v/>
      </c>
      <c r="BI10" s="194" t="str">
        <f aca="false">IF(Model!BG16=0,"",Model!BG16)</f>
        <v/>
      </c>
      <c r="BJ10" s="194" t="str">
        <f aca="false">IF(Model!BH16=0,"",Model!BH16)</f>
        <v/>
      </c>
      <c r="BK10" s="194" t="str">
        <f aca="false">IF(Model!BI16=0,"",Model!BI16)</f>
        <v/>
      </c>
      <c r="BL10" s="194" t="str">
        <f aca="false">IF(Model!BJ16=0,"",Model!BJ16)</f>
        <v/>
      </c>
      <c r="BM10" s="194" t="str">
        <f aca="false">IF(Model!BK16=0,"",Model!BK16)</f>
        <v/>
      </c>
      <c r="BN10" s="194" t="str">
        <f aca="false">IF(Model!BL16=0,"",Model!BL16)</f>
        <v/>
      </c>
      <c r="BO10" s="194" t="str">
        <f aca="false">IF(Model!BM16=0,"",Model!BM16)</f>
        <v/>
      </c>
      <c r="BP10" s="194" t="str">
        <f aca="false">IF(Model!BN16=0,"",Model!BN16)</f>
        <v/>
      </c>
      <c r="BQ10" s="194" t="str">
        <f aca="false">IF(Model!BO16=0,"",Model!BO16)</f>
        <v/>
      </c>
      <c r="BR10" s="194" t="str">
        <f aca="false">IF(Model!BP16=0,"",Model!BP16)</f>
        <v/>
      </c>
      <c r="BS10" s="194" t="str">
        <f aca="false">IF(Model!BQ16=0,"",Model!BQ16)</f>
        <v/>
      </c>
      <c r="BT10" s="194" t="str">
        <f aca="false">IF(Model!BR16=0,"",Model!BR16)</f>
        <v/>
      </c>
      <c r="BU10" s="194" t="str">
        <f aca="false">IF(Model!BS16=0,"",Model!BS16)</f>
        <v/>
      </c>
      <c r="BV10" s="194" t="str">
        <f aca="false">IF(Model!BT16=0,"",Model!BT16)</f>
        <v/>
      </c>
      <c r="BW10" s="194" t="str">
        <f aca="false">IF(Model!BU16=0,"",Model!BU16)</f>
        <v/>
      </c>
      <c r="BX10" s="194" t="str">
        <f aca="false">IF(Model!BV16=0,"",Model!BV16)</f>
        <v/>
      </c>
      <c r="BY10" s="194" t="str">
        <f aca="false">IF(Model!BW16=0,"",Model!BW16)</f>
        <v/>
      </c>
      <c r="BZ10" s="194" t="str">
        <f aca="false">IF(Model!BX16=0,"",Model!BX16)</f>
        <v/>
      </c>
      <c r="CA10" s="194" t="str">
        <f aca="false">IF(Model!BY16=0,"",Model!BY16)</f>
        <v/>
      </c>
      <c r="CB10" s="194" t="str">
        <f aca="false">IF(Model!BZ16=0,"",Model!BZ16)</f>
        <v/>
      </c>
      <c r="CC10" s="194" t="str">
        <f aca="false">IF(Model!CA16=0,"",Model!CA16)</f>
        <v/>
      </c>
      <c r="CD10" s="194" t="str">
        <f aca="false">IF(Model!CB16=0,"",Model!CB16)</f>
        <v/>
      </c>
      <c r="CE10" s="194" t="str">
        <f aca="false">IF(Model!CC16=0,"",Model!CC16)</f>
        <v/>
      </c>
      <c r="CF10" s="194" t="str">
        <f aca="false">IF(Model!CD16=0,"",Model!CD16)</f>
        <v/>
      </c>
      <c r="CG10" s="194" t="str">
        <f aca="false">IF(Model!CE16=0,"",Model!CE16)</f>
        <v/>
      </c>
      <c r="CH10" s="194" t="str">
        <f aca="false">IF(Model!CF16=0,"",Model!CF16)</f>
        <v/>
      </c>
      <c r="CI10" s="194" t="str">
        <f aca="false">IF(Model!CG16=0,"",Model!CG16)</f>
        <v/>
      </c>
      <c r="CJ10" s="194" t="str">
        <f aca="false">IF(Model!CH16=0,"",Model!CH16)</f>
        <v/>
      </c>
      <c r="CK10" s="194" t="str">
        <f aca="false">IF(Model!CI16=0,"",Model!CI16)</f>
        <v/>
      </c>
      <c r="CL10" s="194" t="str">
        <f aca="false">IF(Model!CJ16=0,"",Model!CJ16)</f>
        <v/>
      </c>
      <c r="CM10" s="194" t="str">
        <f aca="false">IF(Model!CK16=0,"",Model!CK16)</f>
        <v/>
      </c>
      <c r="CN10" s="194" t="str">
        <f aca="false">IF(Model!CL16=0,"",Model!CL16)</f>
        <v/>
      </c>
      <c r="CO10" s="194" t="str">
        <f aca="false">IF(Model!CM16=0,"",Model!CM16)</f>
        <v/>
      </c>
      <c r="CP10" s="194" t="str">
        <f aca="false">IF(Model!CN16=0,"",Model!CN16)</f>
        <v/>
      </c>
      <c r="CQ10" s="194" t="str">
        <f aca="false">IF(Model!CO16=0,"",Model!CO16)</f>
        <v/>
      </c>
      <c r="CR10" s="194" t="str">
        <f aca="false">IF(Model!CP16=0,"",Model!CP16)</f>
        <v/>
      </c>
      <c r="CS10" s="194" t="str">
        <f aca="false">IF(Model!CQ16=0,"",Model!CQ16)</f>
        <v/>
      </c>
      <c r="CT10" s="194" t="str">
        <f aca="false">IF(Model!CR16=0,"",Model!CR16)</f>
        <v/>
      </c>
      <c r="CU10" s="194" t="str">
        <f aca="false">IF(Model!CS16=0,"",Model!CS16)</f>
        <v/>
      </c>
      <c r="CV10" s="194" t="str">
        <f aca="false">IF(Model!CT16=0,"",Model!CT16)</f>
        <v/>
      </c>
      <c r="CW10" s="194" t="str">
        <f aca="false">IF(Model!CU16=0,"",Model!CU16)</f>
        <v/>
      </c>
      <c r="CX10" s="194" t="str">
        <f aca="false">IF(Model!CV16=0,"",Model!CV16)</f>
        <v/>
      </c>
      <c r="CY10" s="194" t="str">
        <f aca="false">IF(Model!CW16=0,"",Model!CW16)</f>
        <v/>
      </c>
      <c r="CZ10" s="194" t="str">
        <f aca="false">IF(Model!CX16=0,"",Model!CX16)</f>
        <v/>
      </c>
      <c r="DA10" s="194" t="str">
        <f aca="false">IF(Model!CY16=0,"",Model!CY16)</f>
        <v/>
      </c>
      <c r="DB10" s="194" t="str">
        <f aca="false">IF(Model!CZ16=0,"",Model!CZ16)</f>
        <v/>
      </c>
    </row>
    <row r="11" customFormat="false" ht="15" hidden="false" customHeight="true" outlineLevel="0" collapsed="false">
      <c r="A11" s="125" t="s">
        <v>11</v>
      </c>
      <c r="B11" s="191" t="n">
        <f aca="false">Projects!$B$6</f>
        <v>3623245</v>
      </c>
      <c r="C11" s="192" t="n">
        <f aca="false">EDATE(Model!$E$2,Projects!$C$6-1)</f>
        <v>46113</v>
      </c>
      <c r="D11" s="192" t="n">
        <f aca="false">EDATE(Model!$E$2,15-1)</f>
        <v>46539</v>
      </c>
      <c r="E11" s="193" t="n">
        <f aca="false">DATEDIF(C11,D11,"m")+1</f>
        <v>15</v>
      </c>
      <c r="F11" s="191" t="n">
        <f aca="false">SUM(G11:DB11)</f>
        <v>3474372.95</v>
      </c>
      <c r="G11" s="194" t="n">
        <f aca="false">IF(Model!E17=0,"",Model!E17)</f>
        <v>222415.49</v>
      </c>
      <c r="H11" s="194" t="n">
        <f aca="false">IF(Model!F17=0,"",Model!F17)</f>
        <v>222238.96</v>
      </c>
      <c r="I11" s="194" t="n">
        <f aca="false">IF(Model!G17=0,"",Model!G17)</f>
        <v>325125.94</v>
      </c>
      <c r="J11" s="194" t="n">
        <f aca="false">IF(Model!H17=0,"",Model!H17)</f>
        <v>251137.32</v>
      </c>
      <c r="K11" s="194" t="n">
        <f aca="false">IF(Model!I17=0,"",Model!I17)</f>
        <v>453013.02</v>
      </c>
      <c r="L11" s="194" t="n">
        <f aca="false">IF(Model!J17=0,"",Model!J17)</f>
        <v>292519.05</v>
      </c>
      <c r="M11" s="194" t="n">
        <f aca="false">IF(Model!K17=0,"",Model!K17)</f>
        <v>450328.06</v>
      </c>
      <c r="N11" s="194" t="n">
        <f aca="false">IF(Model!L17=0,"",Model!L17)</f>
        <v>246565.55</v>
      </c>
      <c r="O11" s="194" t="n">
        <f aca="false">IF(Model!M17=0,"",Model!M17)</f>
        <v>208840.6</v>
      </c>
      <c r="P11" s="194" t="n">
        <f aca="false">IF(Model!N17=0,"",Model!N17)</f>
        <v>279911.11</v>
      </c>
      <c r="Q11" s="194" t="n">
        <f aca="false">IF(Model!O17=0,"",Model!O17)</f>
        <v>246649.63</v>
      </c>
      <c r="R11" s="194" t="n">
        <f aca="false">IF(Model!P17=0,"",Model!P17)</f>
        <v>95976.7</v>
      </c>
      <c r="S11" s="194" t="n">
        <f aca="false">IF(Model!Q17=0,"",Model!Q17)</f>
        <v>110015.5</v>
      </c>
      <c r="T11" s="194" t="n">
        <f aca="false">IF(Model!R17=0,"",Model!R17)</f>
        <v>53831.42</v>
      </c>
      <c r="U11" s="194" t="n">
        <f aca="false">IF(Model!S17=0,"",Model!S17)</f>
        <v>15804.6</v>
      </c>
      <c r="V11" s="194" t="str">
        <f aca="false">IF(Model!T17=0,"",Model!T17)</f>
        <v/>
      </c>
      <c r="W11" s="194" t="str">
        <f aca="false">IF(Model!U17=0,"",Model!U17)</f>
        <v/>
      </c>
      <c r="X11" s="194" t="str">
        <f aca="false">IF(Model!V17=0,"",Model!V17)</f>
        <v/>
      </c>
      <c r="Y11" s="194" t="str">
        <f aca="false">IF(Model!W17=0,"",Model!W17)</f>
        <v/>
      </c>
      <c r="Z11" s="194" t="str">
        <f aca="false">IF(Model!X17=0,"",Model!X17)</f>
        <v/>
      </c>
      <c r="AA11" s="194" t="str">
        <f aca="false">IF(Model!Y17=0,"",Model!Y17)</f>
        <v/>
      </c>
      <c r="AB11" s="194" t="str">
        <f aca="false">IF(Model!Z17=0,"",Model!Z17)</f>
        <v/>
      </c>
      <c r="AC11" s="194" t="str">
        <f aca="false">IF(Model!AA17=0,"",Model!AA17)</f>
        <v/>
      </c>
      <c r="AD11" s="194" t="str">
        <f aca="false">IF(Model!AB17=0,"",Model!AB17)</f>
        <v/>
      </c>
      <c r="AE11" s="194" t="str">
        <f aca="false">IF(Model!AC17=0,"",Model!AC17)</f>
        <v/>
      </c>
      <c r="AF11" s="194" t="str">
        <f aca="false">IF(Model!AD17=0,"",Model!AD17)</f>
        <v/>
      </c>
      <c r="AG11" s="194" t="str">
        <f aca="false">IF(Model!AE17=0,"",Model!AE17)</f>
        <v/>
      </c>
      <c r="AH11" s="194" t="str">
        <f aca="false">IF(Model!AF17=0,"",Model!AF17)</f>
        <v/>
      </c>
      <c r="AI11" s="194" t="str">
        <f aca="false">IF(Model!AG17=0,"",Model!AG17)</f>
        <v/>
      </c>
      <c r="AJ11" s="194" t="str">
        <f aca="false">IF(Model!AH17=0,"",Model!AH17)</f>
        <v/>
      </c>
      <c r="AK11" s="194" t="str">
        <f aca="false">IF(Model!AI17=0,"",Model!AI17)</f>
        <v/>
      </c>
      <c r="AL11" s="194" t="str">
        <f aca="false">IF(Model!AJ17=0,"",Model!AJ17)</f>
        <v/>
      </c>
      <c r="AM11" s="194" t="str">
        <f aca="false">IF(Model!AK17=0,"",Model!AK17)</f>
        <v/>
      </c>
      <c r="AN11" s="194" t="str">
        <f aca="false">IF(Model!AL17=0,"",Model!AL17)</f>
        <v/>
      </c>
      <c r="AO11" s="194" t="str">
        <f aca="false">IF(Model!AM17=0,"",Model!AM17)</f>
        <v/>
      </c>
      <c r="AP11" s="194" t="str">
        <f aca="false">IF(Model!AN17=0,"",Model!AN17)</f>
        <v/>
      </c>
      <c r="AQ11" s="194" t="str">
        <f aca="false">IF(Model!AO17=0,"",Model!AO17)</f>
        <v/>
      </c>
      <c r="AR11" s="194" t="str">
        <f aca="false">IF(Model!AP17=0,"",Model!AP17)</f>
        <v/>
      </c>
      <c r="AS11" s="194" t="str">
        <f aca="false">IF(Model!AQ17=0,"",Model!AQ17)</f>
        <v/>
      </c>
      <c r="AT11" s="194" t="str">
        <f aca="false">IF(Model!AR17=0,"",Model!AR17)</f>
        <v/>
      </c>
      <c r="AU11" s="194" t="str">
        <f aca="false">IF(Model!AS17=0,"",Model!AS17)</f>
        <v/>
      </c>
      <c r="AV11" s="194" t="str">
        <f aca="false">IF(Model!AT17=0,"",Model!AT17)</f>
        <v/>
      </c>
      <c r="AW11" s="194" t="str">
        <f aca="false">IF(Model!AU17=0,"",Model!AU17)</f>
        <v/>
      </c>
      <c r="AX11" s="194" t="str">
        <f aca="false">IF(Model!AV17=0,"",Model!AV17)</f>
        <v/>
      </c>
      <c r="AY11" s="194" t="str">
        <f aca="false">IF(Model!AW17=0,"",Model!AW17)</f>
        <v/>
      </c>
      <c r="AZ11" s="194" t="str">
        <f aca="false">IF(Model!AX17=0,"",Model!AX17)</f>
        <v/>
      </c>
      <c r="BA11" s="194" t="str">
        <f aca="false">IF(Model!AY17=0,"",Model!AY17)</f>
        <v/>
      </c>
      <c r="BB11" s="194" t="str">
        <f aca="false">IF(Model!AZ17=0,"",Model!AZ17)</f>
        <v/>
      </c>
      <c r="BC11" s="194" t="str">
        <f aca="false">IF(Model!BA17=0,"",Model!BA17)</f>
        <v/>
      </c>
      <c r="BD11" s="194" t="str">
        <f aca="false">IF(Model!BB17=0,"",Model!BB17)</f>
        <v/>
      </c>
      <c r="BE11" s="194" t="str">
        <f aca="false">IF(Model!BC17=0,"",Model!BC17)</f>
        <v/>
      </c>
      <c r="BF11" s="194" t="str">
        <f aca="false">IF(Model!BD17=0,"",Model!BD17)</f>
        <v/>
      </c>
      <c r="BG11" s="194" t="str">
        <f aca="false">IF(Model!BE17=0,"",Model!BE17)</f>
        <v/>
      </c>
      <c r="BH11" s="194" t="str">
        <f aca="false">IF(Model!BF17=0,"",Model!BF17)</f>
        <v/>
      </c>
      <c r="BI11" s="194" t="str">
        <f aca="false">IF(Model!BG17=0,"",Model!BG17)</f>
        <v/>
      </c>
      <c r="BJ11" s="194" t="str">
        <f aca="false">IF(Model!BH17=0,"",Model!BH17)</f>
        <v/>
      </c>
      <c r="BK11" s="194" t="str">
        <f aca="false">IF(Model!BI17=0,"",Model!BI17)</f>
        <v/>
      </c>
      <c r="BL11" s="194" t="str">
        <f aca="false">IF(Model!BJ17=0,"",Model!BJ17)</f>
        <v/>
      </c>
      <c r="BM11" s="194" t="str">
        <f aca="false">IF(Model!BK17=0,"",Model!BK17)</f>
        <v/>
      </c>
      <c r="BN11" s="194" t="str">
        <f aca="false">IF(Model!BL17=0,"",Model!BL17)</f>
        <v/>
      </c>
      <c r="BO11" s="194" t="str">
        <f aca="false">IF(Model!BM17=0,"",Model!BM17)</f>
        <v/>
      </c>
      <c r="BP11" s="194" t="str">
        <f aca="false">IF(Model!BN17=0,"",Model!BN17)</f>
        <v/>
      </c>
      <c r="BQ11" s="194" t="str">
        <f aca="false">IF(Model!BO17=0,"",Model!BO17)</f>
        <v/>
      </c>
      <c r="BR11" s="194" t="str">
        <f aca="false">IF(Model!BP17=0,"",Model!BP17)</f>
        <v/>
      </c>
      <c r="BS11" s="194" t="str">
        <f aca="false">IF(Model!BQ17=0,"",Model!BQ17)</f>
        <v/>
      </c>
      <c r="BT11" s="194" t="str">
        <f aca="false">IF(Model!BR17=0,"",Model!BR17)</f>
        <v/>
      </c>
      <c r="BU11" s="194" t="str">
        <f aca="false">IF(Model!BS17=0,"",Model!BS17)</f>
        <v/>
      </c>
      <c r="BV11" s="194" t="str">
        <f aca="false">IF(Model!BT17=0,"",Model!BT17)</f>
        <v/>
      </c>
      <c r="BW11" s="194" t="str">
        <f aca="false">IF(Model!BU17=0,"",Model!BU17)</f>
        <v/>
      </c>
      <c r="BX11" s="194" t="str">
        <f aca="false">IF(Model!BV17=0,"",Model!BV17)</f>
        <v/>
      </c>
      <c r="BY11" s="194" t="str">
        <f aca="false">IF(Model!BW17=0,"",Model!BW17)</f>
        <v/>
      </c>
      <c r="BZ11" s="194" t="str">
        <f aca="false">IF(Model!BX17=0,"",Model!BX17)</f>
        <v/>
      </c>
      <c r="CA11" s="194" t="str">
        <f aca="false">IF(Model!BY17=0,"",Model!BY17)</f>
        <v/>
      </c>
      <c r="CB11" s="194" t="str">
        <f aca="false">IF(Model!BZ17=0,"",Model!BZ17)</f>
        <v/>
      </c>
      <c r="CC11" s="194" t="str">
        <f aca="false">IF(Model!CA17=0,"",Model!CA17)</f>
        <v/>
      </c>
      <c r="CD11" s="194" t="str">
        <f aca="false">IF(Model!CB17=0,"",Model!CB17)</f>
        <v/>
      </c>
      <c r="CE11" s="194" t="str">
        <f aca="false">IF(Model!CC17=0,"",Model!CC17)</f>
        <v/>
      </c>
      <c r="CF11" s="194" t="str">
        <f aca="false">IF(Model!CD17=0,"",Model!CD17)</f>
        <v/>
      </c>
      <c r="CG11" s="194" t="str">
        <f aca="false">IF(Model!CE17=0,"",Model!CE17)</f>
        <v/>
      </c>
      <c r="CH11" s="194" t="str">
        <f aca="false">IF(Model!CF17=0,"",Model!CF17)</f>
        <v/>
      </c>
      <c r="CI11" s="194" t="str">
        <f aca="false">IF(Model!CG17=0,"",Model!CG17)</f>
        <v/>
      </c>
      <c r="CJ11" s="194" t="str">
        <f aca="false">IF(Model!CH17=0,"",Model!CH17)</f>
        <v/>
      </c>
      <c r="CK11" s="194" t="str">
        <f aca="false">IF(Model!CI17=0,"",Model!CI17)</f>
        <v/>
      </c>
      <c r="CL11" s="194" t="str">
        <f aca="false">IF(Model!CJ17=0,"",Model!CJ17)</f>
        <v/>
      </c>
      <c r="CM11" s="194" t="str">
        <f aca="false">IF(Model!CK17=0,"",Model!CK17)</f>
        <v/>
      </c>
      <c r="CN11" s="194" t="str">
        <f aca="false">IF(Model!CL17=0,"",Model!CL17)</f>
        <v/>
      </c>
      <c r="CO11" s="194" t="str">
        <f aca="false">IF(Model!CM17=0,"",Model!CM17)</f>
        <v/>
      </c>
      <c r="CP11" s="194" t="str">
        <f aca="false">IF(Model!CN17=0,"",Model!CN17)</f>
        <v/>
      </c>
      <c r="CQ11" s="194" t="str">
        <f aca="false">IF(Model!CO17=0,"",Model!CO17)</f>
        <v/>
      </c>
      <c r="CR11" s="194" t="str">
        <f aca="false">IF(Model!CP17=0,"",Model!CP17)</f>
        <v/>
      </c>
      <c r="CS11" s="194" t="str">
        <f aca="false">IF(Model!CQ17=0,"",Model!CQ17)</f>
        <v/>
      </c>
      <c r="CT11" s="194" t="str">
        <f aca="false">IF(Model!CR17=0,"",Model!CR17)</f>
        <v/>
      </c>
      <c r="CU11" s="194" t="str">
        <f aca="false">IF(Model!CS17=0,"",Model!CS17)</f>
        <v/>
      </c>
      <c r="CV11" s="194" t="str">
        <f aca="false">IF(Model!CT17=0,"",Model!CT17)</f>
        <v/>
      </c>
      <c r="CW11" s="194" t="str">
        <f aca="false">IF(Model!CU17=0,"",Model!CU17)</f>
        <v/>
      </c>
      <c r="CX11" s="194" t="str">
        <f aca="false">IF(Model!CV17=0,"",Model!CV17)</f>
        <v/>
      </c>
      <c r="CY11" s="194" t="str">
        <f aca="false">IF(Model!CW17=0,"",Model!CW17)</f>
        <v/>
      </c>
      <c r="CZ11" s="194" t="str">
        <f aca="false">IF(Model!CX17=0,"",Model!CX17)</f>
        <v/>
      </c>
      <c r="DA11" s="194" t="str">
        <f aca="false">IF(Model!CY17=0,"",Model!CY17)</f>
        <v/>
      </c>
      <c r="DB11" s="194" t="str">
        <f aca="false">IF(Model!CZ17=0,"",Model!CZ17)</f>
        <v/>
      </c>
    </row>
    <row r="12" customFormat="false" ht="15" hidden="false" customHeight="true" outlineLevel="0" collapsed="false">
      <c r="A12" s="125" t="s">
        <v>12</v>
      </c>
      <c r="B12" s="191" t="n">
        <f aca="false">Projects!$B$7</f>
        <v>42794765</v>
      </c>
      <c r="C12" s="192" t="n">
        <f aca="false">EDATE(Model!$E$2,Projects!$C$7-1)</f>
        <v>46235</v>
      </c>
      <c r="D12" s="192" t="n">
        <f aca="false">EDATE(Model!$E$2,36-1)</f>
        <v>47178</v>
      </c>
      <c r="E12" s="193" t="n">
        <f aca="false">DATEDIF(C12,D12,"m")+1</f>
        <v>32</v>
      </c>
      <c r="F12" s="191" t="n">
        <f aca="false">SUM(G12:DB12)</f>
        <v>37296832.31</v>
      </c>
      <c r="G12" s="194" t="str">
        <f aca="false">IF(Model!E18=0,"",Model!E18)</f>
        <v/>
      </c>
      <c r="H12" s="194" t="str">
        <f aca="false">IF(Model!F18=0,"",Model!F18)</f>
        <v/>
      </c>
      <c r="I12" s="194" t="str">
        <f aca="false">IF(Model!G18=0,"",Model!G18)</f>
        <v/>
      </c>
      <c r="J12" s="194" t="n">
        <f aca="false">IF(Model!H18=0,"",Model!H18)</f>
        <v>932055</v>
      </c>
      <c r="K12" s="194" t="n">
        <f aca="false">IF(Model!I18=0,"",Model!I18)</f>
        <v>173887.43</v>
      </c>
      <c r="L12" s="194" t="n">
        <f aca="false">IF(Model!J18=0,"",Model!J18)</f>
        <v>734627.75</v>
      </c>
      <c r="M12" s="194" t="n">
        <f aca="false">IF(Model!K18=0,"",Model!K18)</f>
        <v>1031862.26</v>
      </c>
      <c r="N12" s="194" t="n">
        <f aca="false">IF(Model!L18=0,"",Model!L18)</f>
        <v>670762.14</v>
      </c>
      <c r="O12" s="194" t="n">
        <f aca="false">IF(Model!M18=0,"",Model!M18)</f>
        <v>502701.41</v>
      </c>
      <c r="P12" s="194" t="n">
        <f aca="false">IF(Model!N18=0,"",Model!N18)</f>
        <v>640423.23</v>
      </c>
      <c r="Q12" s="194" t="n">
        <f aca="false">IF(Model!O18=0,"",Model!O18)</f>
        <v>518087.99</v>
      </c>
      <c r="R12" s="194" t="n">
        <f aca="false">IF(Model!P18=0,"",Model!P18)</f>
        <v>625083.61</v>
      </c>
      <c r="S12" s="194" t="n">
        <f aca="false">IF(Model!Q18=0,"",Model!Q18)</f>
        <v>527941.35</v>
      </c>
      <c r="T12" s="194" t="n">
        <f aca="false">IF(Model!R18=0,"",Model!R18)</f>
        <v>648842.42</v>
      </c>
      <c r="U12" s="194" t="n">
        <f aca="false">IF(Model!S18=0,"",Model!S18)</f>
        <v>609836.71</v>
      </c>
      <c r="V12" s="194" t="n">
        <f aca="false">IF(Model!T18=0,"",Model!T18)</f>
        <v>1093856.58</v>
      </c>
      <c r="W12" s="194" t="n">
        <f aca="false">IF(Model!U18=0,"",Model!U18)</f>
        <v>699027.38</v>
      </c>
      <c r="X12" s="194" t="n">
        <f aca="false">IF(Model!V18=0,"",Model!V18)</f>
        <v>2084550.48</v>
      </c>
      <c r="Y12" s="194" t="n">
        <f aca="false">IF(Model!W18=0,"",Model!W18)</f>
        <v>1316830.2</v>
      </c>
      <c r="Z12" s="194" t="n">
        <f aca="false">IF(Model!X18=0,"",Model!X18)</f>
        <v>2704840.19</v>
      </c>
      <c r="AA12" s="194" t="n">
        <f aca="false">IF(Model!Y18=0,"",Model!Y18)</f>
        <v>1557426.69</v>
      </c>
      <c r="AB12" s="194" t="n">
        <f aca="false">IF(Model!Z18=0,"",Model!Z18)</f>
        <v>2453634.53</v>
      </c>
      <c r="AC12" s="194" t="n">
        <f aca="false">IF(Model!AA18=0,"",Model!AA18)</f>
        <v>2048866.16</v>
      </c>
      <c r="AD12" s="194" t="n">
        <f aca="false">IF(Model!AB18=0,"",Model!AB18)</f>
        <v>1396684.5</v>
      </c>
      <c r="AE12" s="194" t="n">
        <f aca="false">IF(Model!AC18=0,"",Model!AC18)</f>
        <v>883896.92</v>
      </c>
      <c r="AF12" s="194" t="n">
        <f aca="false">IF(Model!AD18=0,"",Model!AD18)</f>
        <v>1046686.92</v>
      </c>
      <c r="AG12" s="194" t="n">
        <f aca="false">IF(Model!AE18=0,"",Model!AE18)</f>
        <v>982365.21</v>
      </c>
      <c r="AH12" s="194" t="n">
        <f aca="false">IF(Model!AF18=0,"",Model!AF18)</f>
        <v>1214791.02</v>
      </c>
      <c r="AI12" s="194" t="n">
        <f aca="false">IF(Model!AG18=0,"",Model!AG18)</f>
        <v>2109626.22</v>
      </c>
      <c r="AJ12" s="194" t="n">
        <f aca="false">IF(Model!AH18=0,"",Model!AH18)</f>
        <v>1957875.93</v>
      </c>
      <c r="AK12" s="194" t="n">
        <f aca="false">IF(Model!AI18=0,"",Model!AI18)</f>
        <v>1914132.66</v>
      </c>
      <c r="AL12" s="194" t="n">
        <f aca="false">IF(Model!AJ18=0,"",Model!AJ18)</f>
        <v>1044319.92</v>
      </c>
      <c r="AM12" s="194" t="n">
        <f aca="false">IF(Model!AK18=0,"",Model!AK18)</f>
        <v>866931.3</v>
      </c>
      <c r="AN12" s="194" t="n">
        <f aca="false">IF(Model!AL18=0,"",Model!AL18)</f>
        <v>968436.51</v>
      </c>
      <c r="AO12" s="194" t="n">
        <f aca="false">IF(Model!AM18=0,"",Model!AM18)</f>
        <v>1052717.22</v>
      </c>
      <c r="AP12" s="194" t="n">
        <f aca="false">IF(Model!AN18=0,"",Model!AN18)</f>
        <v>283224.47</v>
      </c>
      <c r="AQ12" s="194" t="str">
        <f aca="false">IF(Model!AO18=0,"",Model!AO18)</f>
        <v/>
      </c>
      <c r="AR12" s="194" t="str">
        <f aca="false">IF(Model!AP18=0,"",Model!AP18)</f>
        <v/>
      </c>
      <c r="AS12" s="194" t="str">
        <f aca="false">IF(Model!AQ18=0,"",Model!AQ18)</f>
        <v/>
      </c>
      <c r="AT12" s="194" t="str">
        <f aca="false">IF(Model!AR18=0,"",Model!AR18)</f>
        <v/>
      </c>
      <c r="AU12" s="194" t="str">
        <f aca="false">IF(Model!AS18=0,"",Model!AS18)</f>
        <v/>
      </c>
      <c r="AV12" s="194" t="str">
        <f aca="false">IF(Model!AT18=0,"",Model!AT18)</f>
        <v/>
      </c>
      <c r="AW12" s="194" t="str">
        <f aca="false">IF(Model!AU18=0,"",Model!AU18)</f>
        <v/>
      </c>
      <c r="AX12" s="194" t="str">
        <f aca="false">IF(Model!AV18=0,"",Model!AV18)</f>
        <v/>
      </c>
      <c r="AY12" s="194" t="str">
        <f aca="false">IF(Model!AW18=0,"",Model!AW18)</f>
        <v/>
      </c>
      <c r="AZ12" s="194" t="str">
        <f aca="false">IF(Model!AX18=0,"",Model!AX18)</f>
        <v/>
      </c>
      <c r="BA12" s="194" t="str">
        <f aca="false">IF(Model!AY18=0,"",Model!AY18)</f>
        <v/>
      </c>
      <c r="BB12" s="194" t="str">
        <f aca="false">IF(Model!AZ18=0,"",Model!AZ18)</f>
        <v/>
      </c>
      <c r="BC12" s="194" t="str">
        <f aca="false">IF(Model!BA18=0,"",Model!BA18)</f>
        <v/>
      </c>
      <c r="BD12" s="194" t="str">
        <f aca="false">IF(Model!BB18=0,"",Model!BB18)</f>
        <v/>
      </c>
      <c r="BE12" s="194" t="str">
        <f aca="false">IF(Model!BC18=0,"",Model!BC18)</f>
        <v/>
      </c>
      <c r="BF12" s="194" t="str">
        <f aca="false">IF(Model!BD18=0,"",Model!BD18)</f>
        <v/>
      </c>
      <c r="BG12" s="194" t="str">
        <f aca="false">IF(Model!BE18=0,"",Model!BE18)</f>
        <v/>
      </c>
      <c r="BH12" s="194" t="str">
        <f aca="false">IF(Model!BF18=0,"",Model!BF18)</f>
        <v/>
      </c>
      <c r="BI12" s="194" t="str">
        <f aca="false">IF(Model!BG18=0,"",Model!BG18)</f>
        <v/>
      </c>
      <c r="BJ12" s="194" t="str">
        <f aca="false">IF(Model!BH18=0,"",Model!BH18)</f>
        <v/>
      </c>
      <c r="BK12" s="194" t="str">
        <f aca="false">IF(Model!BI18=0,"",Model!BI18)</f>
        <v/>
      </c>
      <c r="BL12" s="194" t="str">
        <f aca="false">IF(Model!BJ18=0,"",Model!BJ18)</f>
        <v/>
      </c>
      <c r="BM12" s="194" t="str">
        <f aca="false">IF(Model!BK18=0,"",Model!BK18)</f>
        <v/>
      </c>
      <c r="BN12" s="194" t="str">
        <f aca="false">IF(Model!BL18=0,"",Model!BL18)</f>
        <v/>
      </c>
      <c r="BO12" s="194" t="str">
        <f aca="false">IF(Model!BM18=0,"",Model!BM18)</f>
        <v/>
      </c>
      <c r="BP12" s="194" t="str">
        <f aca="false">IF(Model!BN18=0,"",Model!BN18)</f>
        <v/>
      </c>
      <c r="BQ12" s="194" t="str">
        <f aca="false">IF(Model!BO18=0,"",Model!BO18)</f>
        <v/>
      </c>
      <c r="BR12" s="194" t="str">
        <f aca="false">IF(Model!BP18=0,"",Model!BP18)</f>
        <v/>
      </c>
      <c r="BS12" s="194" t="str">
        <f aca="false">IF(Model!BQ18=0,"",Model!BQ18)</f>
        <v/>
      </c>
      <c r="BT12" s="194" t="str">
        <f aca="false">IF(Model!BR18=0,"",Model!BR18)</f>
        <v/>
      </c>
      <c r="BU12" s="194" t="str">
        <f aca="false">IF(Model!BS18=0,"",Model!BS18)</f>
        <v/>
      </c>
      <c r="BV12" s="194" t="str">
        <f aca="false">IF(Model!BT18=0,"",Model!BT18)</f>
        <v/>
      </c>
      <c r="BW12" s="194" t="str">
        <f aca="false">IF(Model!BU18=0,"",Model!BU18)</f>
        <v/>
      </c>
      <c r="BX12" s="194" t="str">
        <f aca="false">IF(Model!BV18=0,"",Model!BV18)</f>
        <v/>
      </c>
      <c r="BY12" s="194" t="str">
        <f aca="false">IF(Model!BW18=0,"",Model!BW18)</f>
        <v/>
      </c>
      <c r="BZ12" s="194" t="str">
        <f aca="false">IF(Model!BX18=0,"",Model!BX18)</f>
        <v/>
      </c>
      <c r="CA12" s="194" t="str">
        <f aca="false">IF(Model!BY18=0,"",Model!BY18)</f>
        <v/>
      </c>
      <c r="CB12" s="194" t="str">
        <f aca="false">IF(Model!BZ18=0,"",Model!BZ18)</f>
        <v/>
      </c>
      <c r="CC12" s="194" t="str">
        <f aca="false">IF(Model!CA18=0,"",Model!CA18)</f>
        <v/>
      </c>
      <c r="CD12" s="194" t="str">
        <f aca="false">IF(Model!CB18=0,"",Model!CB18)</f>
        <v/>
      </c>
      <c r="CE12" s="194" t="str">
        <f aca="false">IF(Model!CC18=0,"",Model!CC18)</f>
        <v/>
      </c>
      <c r="CF12" s="194" t="str">
        <f aca="false">IF(Model!CD18=0,"",Model!CD18)</f>
        <v/>
      </c>
      <c r="CG12" s="194" t="str">
        <f aca="false">IF(Model!CE18=0,"",Model!CE18)</f>
        <v/>
      </c>
      <c r="CH12" s="194" t="str">
        <f aca="false">IF(Model!CF18=0,"",Model!CF18)</f>
        <v/>
      </c>
      <c r="CI12" s="194" t="str">
        <f aca="false">IF(Model!CG18=0,"",Model!CG18)</f>
        <v/>
      </c>
      <c r="CJ12" s="194" t="str">
        <f aca="false">IF(Model!CH18=0,"",Model!CH18)</f>
        <v/>
      </c>
      <c r="CK12" s="194" t="str">
        <f aca="false">IF(Model!CI18=0,"",Model!CI18)</f>
        <v/>
      </c>
      <c r="CL12" s="194" t="str">
        <f aca="false">IF(Model!CJ18=0,"",Model!CJ18)</f>
        <v/>
      </c>
      <c r="CM12" s="194" t="str">
        <f aca="false">IF(Model!CK18=0,"",Model!CK18)</f>
        <v/>
      </c>
      <c r="CN12" s="194" t="str">
        <f aca="false">IF(Model!CL18=0,"",Model!CL18)</f>
        <v/>
      </c>
      <c r="CO12" s="194" t="str">
        <f aca="false">IF(Model!CM18=0,"",Model!CM18)</f>
        <v/>
      </c>
      <c r="CP12" s="194" t="str">
        <f aca="false">IF(Model!CN18=0,"",Model!CN18)</f>
        <v/>
      </c>
      <c r="CQ12" s="194" t="str">
        <f aca="false">IF(Model!CO18=0,"",Model!CO18)</f>
        <v/>
      </c>
      <c r="CR12" s="194" t="str">
        <f aca="false">IF(Model!CP18=0,"",Model!CP18)</f>
        <v/>
      </c>
      <c r="CS12" s="194" t="str">
        <f aca="false">IF(Model!CQ18=0,"",Model!CQ18)</f>
        <v/>
      </c>
      <c r="CT12" s="194" t="str">
        <f aca="false">IF(Model!CR18=0,"",Model!CR18)</f>
        <v/>
      </c>
      <c r="CU12" s="194" t="str">
        <f aca="false">IF(Model!CS18=0,"",Model!CS18)</f>
        <v/>
      </c>
      <c r="CV12" s="194" t="str">
        <f aca="false">IF(Model!CT18=0,"",Model!CT18)</f>
        <v/>
      </c>
      <c r="CW12" s="194" t="str">
        <f aca="false">IF(Model!CU18=0,"",Model!CU18)</f>
        <v/>
      </c>
      <c r="CX12" s="194" t="str">
        <f aca="false">IF(Model!CV18=0,"",Model!CV18)</f>
        <v/>
      </c>
      <c r="CY12" s="194" t="str">
        <f aca="false">IF(Model!CW18=0,"",Model!CW18)</f>
        <v/>
      </c>
      <c r="CZ12" s="194" t="str">
        <f aca="false">IF(Model!CX18=0,"",Model!CX18)</f>
        <v/>
      </c>
      <c r="DA12" s="194" t="str">
        <f aca="false">IF(Model!CY18=0,"",Model!CY18)</f>
        <v/>
      </c>
      <c r="DB12" s="194" t="str">
        <f aca="false">IF(Model!CZ18=0,"",Model!CZ18)</f>
        <v/>
      </c>
    </row>
    <row r="13" customFormat="false" ht="15" hidden="false" customHeight="true" outlineLevel="0" collapsed="false">
      <c r="A13" s="125" t="s">
        <v>13</v>
      </c>
      <c r="B13" s="191" t="n">
        <f aca="false">Projects!$B$8</f>
        <v>12993776.05</v>
      </c>
      <c r="C13" s="192" t="n">
        <f aca="false">EDATE(Model!$E$2,Projects!$C$8-1)</f>
        <v>46266</v>
      </c>
      <c r="D13" s="192" t="n">
        <f aca="false">EDATE(Model!$E$2,Projects!$C$8+Projects!$D$8-2)</f>
        <v>46813</v>
      </c>
      <c r="E13" s="193" t="n">
        <f aca="false">Projects!$D$8</f>
        <v>19</v>
      </c>
      <c r="F13" s="191" t="n">
        <f aca="false">SUM(G13:DB13)</f>
        <v>11621468.6075645</v>
      </c>
      <c r="G13" s="194" t="str">
        <f aca="false">IF(Model!E19=0,"",Model!E19)</f>
        <v/>
      </c>
      <c r="H13" s="194" t="str">
        <f aca="false">IF(Model!F19=0,"",Model!F19)</f>
        <v/>
      </c>
      <c r="I13" s="194" t="str">
        <f aca="false">IF(Model!G19=0,"",Model!G19)</f>
        <v/>
      </c>
      <c r="J13" s="194" t="str">
        <f aca="false">IF(Model!H19=0,"",Model!H19)</f>
        <v/>
      </c>
      <c r="K13" s="194" t="n">
        <f aca="false">IF(Model!I19=0,"",Model!I19)</f>
        <v>192026.25</v>
      </c>
      <c r="L13" s="194" t="n">
        <f aca="false">IF(Model!J19=0,"",Model!J19)</f>
        <v>266339.274896073</v>
      </c>
      <c r="M13" s="194" t="n">
        <f aca="false">IF(Model!K19=0,"",Model!K19)</f>
        <v>347472.412552273</v>
      </c>
      <c r="N13" s="194" t="n">
        <f aca="false">IF(Model!L19=0,"",Model!L19)</f>
        <v>434803.581384323</v>
      </c>
      <c r="O13" s="194" t="n">
        <f aca="false">IF(Model!M19=0,"",Model!M19)</f>
        <v>524850.449410823</v>
      </c>
      <c r="P13" s="194" t="n">
        <f aca="false">IF(Model!N19=0,"",Model!N19)</f>
        <v>613286.089207123</v>
      </c>
      <c r="Q13" s="194" t="n">
        <f aca="false">IF(Model!O19=0,"",Model!O19)</f>
        <v>695198.853426323</v>
      </c>
      <c r="R13" s="194" t="n">
        <f aca="false">IF(Model!P19=0,"",Model!P19)</f>
        <v>765560.150737073</v>
      </c>
      <c r="S13" s="194" t="n">
        <f aca="false">IF(Model!Q19=0,"",Model!Q19)</f>
        <v>819705.215537423</v>
      </c>
      <c r="T13" s="194" t="n">
        <f aca="false">IF(Model!R19=0,"",Model!R19)</f>
        <v>853852.858996823</v>
      </c>
      <c r="U13" s="194" t="n">
        <f aca="false">IF(Model!S19=0,"",Model!S19)</f>
        <v>865521.269889723</v>
      </c>
      <c r="V13" s="194" t="n">
        <f aca="false">IF(Model!T19=0,"",Model!T19)</f>
        <v>853852.858996823</v>
      </c>
      <c r="W13" s="194" t="n">
        <f aca="false">IF(Model!U19=0,"",Model!U19)</f>
        <v>819705.215537423</v>
      </c>
      <c r="X13" s="194" t="n">
        <f aca="false">IF(Model!V19=0,"",Model!V19)</f>
        <v>765560.150737073</v>
      </c>
      <c r="Y13" s="194" t="n">
        <f aca="false">IF(Model!W19=0,"",Model!W19)</f>
        <v>695198.853426323</v>
      </c>
      <c r="Z13" s="194" t="n">
        <f aca="false">IF(Model!X19=0,"",Model!X19)</f>
        <v>613286.089207123</v>
      </c>
      <c r="AA13" s="194" t="n">
        <f aca="false">IF(Model!Y19=0,"",Model!Y19)</f>
        <v>524850.449410823</v>
      </c>
      <c r="AB13" s="194" t="n">
        <f aca="false">IF(Model!Z19=0,"",Model!Z19)</f>
        <v>434803.581384323</v>
      </c>
      <c r="AC13" s="194" t="n">
        <f aca="false">IF(Model!AA19=0,"",Model!AA19)</f>
        <v>347472.412552273</v>
      </c>
      <c r="AD13" s="194" t="n">
        <f aca="false">IF(Model!AB19=0,"",Model!AB19)</f>
        <v>188122.590274295</v>
      </c>
      <c r="AE13" s="194" t="str">
        <f aca="false">IF(Model!AC19=0,"",Model!AC19)</f>
        <v/>
      </c>
      <c r="AF13" s="194" t="str">
        <f aca="false">IF(Model!AD19=0,"",Model!AD19)</f>
        <v/>
      </c>
      <c r="AG13" s="194" t="str">
        <f aca="false">IF(Model!AE19=0,"",Model!AE19)</f>
        <v/>
      </c>
      <c r="AH13" s="194" t="str">
        <f aca="false">IF(Model!AF19=0,"",Model!AF19)</f>
        <v/>
      </c>
      <c r="AI13" s="194" t="str">
        <f aca="false">IF(Model!AG19=0,"",Model!AG19)</f>
        <v/>
      </c>
      <c r="AJ13" s="194" t="str">
        <f aca="false">IF(Model!AH19=0,"",Model!AH19)</f>
        <v/>
      </c>
      <c r="AK13" s="194" t="str">
        <f aca="false">IF(Model!AI19=0,"",Model!AI19)</f>
        <v/>
      </c>
      <c r="AL13" s="194" t="str">
        <f aca="false">IF(Model!AJ19=0,"",Model!AJ19)</f>
        <v/>
      </c>
      <c r="AM13" s="194" t="str">
        <f aca="false">IF(Model!AK19=0,"",Model!AK19)</f>
        <v/>
      </c>
      <c r="AN13" s="194" t="str">
        <f aca="false">IF(Model!AL19=0,"",Model!AL19)</f>
        <v/>
      </c>
      <c r="AO13" s="194" t="str">
        <f aca="false">IF(Model!AM19=0,"",Model!AM19)</f>
        <v/>
      </c>
      <c r="AP13" s="194" t="str">
        <f aca="false">IF(Model!AN19=0,"",Model!AN19)</f>
        <v/>
      </c>
      <c r="AQ13" s="194" t="str">
        <f aca="false">IF(Model!AO19=0,"",Model!AO19)</f>
        <v/>
      </c>
      <c r="AR13" s="194" t="str">
        <f aca="false">IF(Model!AP19=0,"",Model!AP19)</f>
        <v/>
      </c>
      <c r="AS13" s="194" t="str">
        <f aca="false">IF(Model!AQ19=0,"",Model!AQ19)</f>
        <v/>
      </c>
      <c r="AT13" s="194" t="str">
        <f aca="false">IF(Model!AR19=0,"",Model!AR19)</f>
        <v/>
      </c>
      <c r="AU13" s="194" t="str">
        <f aca="false">IF(Model!AS19=0,"",Model!AS19)</f>
        <v/>
      </c>
      <c r="AV13" s="194" t="str">
        <f aca="false">IF(Model!AT19=0,"",Model!AT19)</f>
        <v/>
      </c>
      <c r="AW13" s="194" t="str">
        <f aca="false">IF(Model!AU19=0,"",Model!AU19)</f>
        <v/>
      </c>
      <c r="AX13" s="194" t="str">
        <f aca="false">IF(Model!AV19=0,"",Model!AV19)</f>
        <v/>
      </c>
      <c r="AY13" s="194" t="str">
        <f aca="false">IF(Model!AW19=0,"",Model!AW19)</f>
        <v/>
      </c>
      <c r="AZ13" s="194" t="str">
        <f aca="false">IF(Model!AX19=0,"",Model!AX19)</f>
        <v/>
      </c>
      <c r="BA13" s="194" t="str">
        <f aca="false">IF(Model!AY19=0,"",Model!AY19)</f>
        <v/>
      </c>
      <c r="BB13" s="194" t="str">
        <f aca="false">IF(Model!AZ19=0,"",Model!AZ19)</f>
        <v/>
      </c>
      <c r="BC13" s="194" t="str">
        <f aca="false">IF(Model!BA19=0,"",Model!BA19)</f>
        <v/>
      </c>
      <c r="BD13" s="194" t="str">
        <f aca="false">IF(Model!BB19=0,"",Model!BB19)</f>
        <v/>
      </c>
      <c r="BE13" s="194" t="str">
        <f aca="false">IF(Model!BC19=0,"",Model!BC19)</f>
        <v/>
      </c>
      <c r="BF13" s="194" t="str">
        <f aca="false">IF(Model!BD19=0,"",Model!BD19)</f>
        <v/>
      </c>
      <c r="BG13" s="194" t="str">
        <f aca="false">IF(Model!BE19=0,"",Model!BE19)</f>
        <v/>
      </c>
      <c r="BH13" s="194" t="str">
        <f aca="false">IF(Model!BF19=0,"",Model!BF19)</f>
        <v/>
      </c>
      <c r="BI13" s="194" t="str">
        <f aca="false">IF(Model!BG19=0,"",Model!BG19)</f>
        <v/>
      </c>
      <c r="BJ13" s="194" t="str">
        <f aca="false">IF(Model!BH19=0,"",Model!BH19)</f>
        <v/>
      </c>
      <c r="BK13" s="194" t="str">
        <f aca="false">IF(Model!BI19=0,"",Model!BI19)</f>
        <v/>
      </c>
      <c r="BL13" s="194" t="str">
        <f aca="false">IF(Model!BJ19=0,"",Model!BJ19)</f>
        <v/>
      </c>
      <c r="BM13" s="194" t="str">
        <f aca="false">IF(Model!BK19=0,"",Model!BK19)</f>
        <v/>
      </c>
      <c r="BN13" s="194" t="str">
        <f aca="false">IF(Model!BL19=0,"",Model!BL19)</f>
        <v/>
      </c>
      <c r="BO13" s="194" t="str">
        <f aca="false">IF(Model!BM19=0,"",Model!BM19)</f>
        <v/>
      </c>
      <c r="BP13" s="194" t="str">
        <f aca="false">IF(Model!BN19=0,"",Model!BN19)</f>
        <v/>
      </c>
      <c r="BQ13" s="194" t="str">
        <f aca="false">IF(Model!BO19=0,"",Model!BO19)</f>
        <v/>
      </c>
      <c r="BR13" s="194" t="str">
        <f aca="false">IF(Model!BP19=0,"",Model!BP19)</f>
        <v/>
      </c>
      <c r="BS13" s="194" t="str">
        <f aca="false">IF(Model!BQ19=0,"",Model!BQ19)</f>
        <v/>
      </c>
      <c r="BT13" s="194" t="str">
        <f aca="false">IF(Model!BR19=0,"",Model!BR19)</f>
        <v/>
      </c>
      <c r="BU13" s="194" t="str">
        <f aca="false">IF(Model!BS19=0,"",Model!BS19)</f>
        <v/>
      </c>
      <c r="BV13" s="194" t="str">
        <f aca="false">IF(Model!BT19=0,"",Model!BT19)</f>
        <v/>
      </c>
      <c r="BW13" s="194" t="str">
        <f aca="false">IF(Model!BU19=0,"",Model!BU19)</f>
        <v/>
      </c>
      <c r="BX13" s="194" t="str">
        <f aca="false">IF(Model!BV19=0,"",Model!BV19)</f>
        <v/>
      </c>
      <c r="BY13" s="194" t="str">
        <f aca="false">IF(Model!BW19=0,"",Model!BW19)</f>
        <v/>
      </c>
      <c r="BZ13" s="194" t="str">
        <f aca="false">IF(Model!BX19=0,"",Model!BX19)</f>
        <v/>
      </c>
      <c r="CA13" s="194" t="str">
        <f aca="false">IF(Model!BY19=0,"",Model!BY19)</f>
        <v/>
      </c>
      <c r="CB13" s="194" t="str">
        <f aca="false">IF(Model!BZ19=0,"",Model!BZ19)</f>
        <v/>
      </c>
      <c r="CC13" s="194" t="str">
        <f aca="false">IF(Model!CA19=0,"",Model!CA19)</f>
        <v/>
      </c>
      <c r="CD13" s="194" t="str">
        <f aca="false">IF(Model!CB19=0,"",Model!CB19)</f>
        <v/>
      </c>
      <c r="CE13" s="194" t="str">
        <f aca="false">IF(Model!CC19=0,"",Model!CC19)</f>
        <v/>
      </c>
      <c r="CF13" s="194" t="str">
        <f aca="false">IF(Model!CD19=0,"",Model!CD19)</f>
        <v/>
      </c>
      <c r="CG13" s="194" t="str">
        <f aca="false">IF(Model!CE19=0,"",Model!CE19)</f>
        <v/>
      </c>
      <c r="CH13" s="194" t="str">
        <f aca="false">IF(Model!CF19=0,"",Model!CF19)</f>
        <v/>
      </c>
      <c r="CI13" s="194" t="str">
        <f aca="false">IF(Model!CG19=0,"",Model!CG19)</f>
        <v/>
      </c>
      <c r="CJ13" s="194" t="str">
        <f aca="false">IF(Model!CH19=0,"",Model!CH19)</f>
        <v/>
      </c>
      <c r="CK13" s="194" t="str">
        <f aca="false">IF(Model!CI19=0,"",Model!CI19)</f>
        <v/>
      </c>
      <c r="CL13" s="194" t="str">
        <f aca="false">IF(Model!CJ19=0,"",Model!CJ19)</f>
        <v/>
      </c>
      <c r="CM13" s="194" t="str">
        <f aca="false">IF(Model!CK19=0,"",Model!CK19)</f>
        <v/>
      </c>
      <c r="CN13" s="194" t="str">
        <f aca="false">IF(Model!CL19=0,"",Model!CL19)</f>
        <v/>
      </c>
      <c r="CO13" s="194" t="str">
        <f aca="false">IF(Model!CM19=0,"",Model!CM19)</f>
        <v/>
      </c>
      <c r="CP13" s="194" t="str">
        <f aca="false">IF(Model!CN19=0,"",Model!CN19)</f>
        <v/>
      </c>
      <c r="CQ13" s="194" t="str">
        <f aca="false">IF(Model!CO19=0,"",Model!CO19)</f>
        <v/>
      </c>
      <c r="CR13" s="194" t="str">
        <f aca="false">IF(Model!CP19=0,"",Model!CP19)</f>
        <v/>
      </c>
      <c r="CS13" s="194" t="str">
        <f aca="false">IF(Model!CQ19=0,"",Model!CQ19)</f>
        <v/>
      </c>
      <c r="CT13" s="194" t="str">
        <f aca="false">IF(Model!CR19=0,"",Model!CR19)</f>
        <v/>
      </c>
      <c r="CU13" s="194" t="str">
        <f aca="false">IF(Model!CS19=0,"",Model!CS19)</f>
        <v/>
      </c>
      <c r="CV13" s="194" t="str">
        <f aca="false">IF(Model!CT19=0,"",Model!CT19)</f>
        <v/>
      </c>
      <c r="CW13" s="194" t="str">
        <f aca="false">IF(Model!CU19=0,"",Model!CU19)</f>
        <v/>
      </c>
      <c r="CX13" s="194" t="str">
        <f aca="false">IF(Model!CV19=0,"",Model!CV19)</f>
        <v/>
      </c>
      <c r="CY13" s="194" t="str">
        <f aca="false">IF(Model!CW19=0,"",Model!CW19)</f>
        <v/>
      </c>
      <c r="CZ13" s="194" t="str">
        <f aca="false">IF(Model!CX19=0,"",Model!CX19)</f>
        <v/>
      </c>
      <c r="DA13" s="194" t="str">
        <f aca="false">IF(Model!CY19=0,"",Model!CY19)</f>
        <v/>
      </c>
      <c r="DB13" s="194" t="str">
        <f aca="false">IF(Model!CZ19=0,"",Model!CZ19)</f>
        <v/>
      </c>
    </row>
    <row r="14" customFormat="false" ht="15" hidden="false" customHeight="true" outlineLevel="0" collapsed="false">
      <c r="A14" s="125" t="s">
        <v>14</v>
      </c>
      <c r="B14" s="191" t="n">
        <f aca="false">Projects!$B$9</f>
        <v>14337010.8</v>
      </c>
      <c r="C14" s="192" t="n">
        <f aca="false">EDATE(Model!$E$2,Projects!$C$9-1)</f>
        <v>46235</v>
      </c>
      <c r="D14" s="192" t="n">
        <f aca="false">EDATE(Model!$E$2,Projects!$C$9+Projects!$D$9-2)</f>
        <v>46784</v>
      </c>
      <c r="E14" s="193" t="n">
        <f aca="false">Projects!$D$9</f>
        <v>19</v>
      </c>
      <c r="F14" s="191" t="n">
        <f aca="false">SUM(G14:DB14)</f>
        <v>12766708.9407547</v>
      </c>
      <c r="G14" s="194" t="str">
        <f aca="false">IF(Model!E20=0,"",Model!E20)</f>
        <v/>
      </c>
      <c r="H14" s="194" t="str">
        <f aca="false">IF(Model!F20=0,"",Model!F20)</f>
        <v/>
      </c>
      <c r="I14" s="194" t="str">
        <f aca="false">IF(Model!G20=0,"",Model!G20)</f>
        <v/>
      </c>
      <c r="J14" s="194" t="n">
        <f aca="false">IF(Model!H20=0,"",Model!H20)</f>
        <v>354912</v>
      </c>
      <c r="K14" s="194" t="n">
        <f aca="false">IF(Model!I20=0,"",Model!I20)</f>
        <v>94705.37</v>
      </c>
      <c r="L14" s="194" t="n">
        <f aca="false">IF(Model!J20=0,"",Model!J20)</f>
        <v>383392.45745766</v>
      </c>
      <c r="M14" s="194" t="n">
        <f aca="false">IF(Model!K20=0,"",Model!K20)</f>
        <v>479751.50704446</v>
      </c>
      <c r="N14" s="194" t="n">
        <f aca="false">IF(Model!L20=0,"",Model!L20)</f>
        <v>579106.99188846</v>
      </c>
      <c r="O14" s="194" t="n">
        <f aca="false">IF(Model!M20=0,"",Model!M20)</f>
        <v>676684.68739326</v>
      </c>
      <c r="P14" s="194" t="n">
        <f aca="false">IF(Model!N20=0,"",Model!N20)</f>
        <v>767065.20347646</v>
      </c>
      <c r="Q14" s="194" t="n">
        <f aca="false">IF(Model!O20=0,"",Model!O20)</f>
        <v>844700.11695846</v>
      </c>
      <c r="R14" s="194" t="n">
        <f aca="false">IF(Model!P20=0,"",Model!P20)</f>
        <v>904442.44096206</v>
      </c>
      <c r="S14" s="194" t="n">
        <f aca="false">IF(Model!Q20=0,"",Model!Q20)</f>
        <v>942120.10534446</v>
      </c>
      <c r="T14" s="194" t="n">
        <f aca="false">IF(Model!R20=0,"",Model!R20)</f>
        <v>954994.74104286</v>
      </c>
      <c r="U14" s="194" t="n">
        <f aca="false">IF(Model!S20=0,"",Model!S20)</f>
        <v>942120.10534446</v>
      </c>
      <c r="V14" s="194" t="n">
        <f aca="false">IF(Model!T20=0,"",Model!T20)</f>
        <v>904442.44096206</v>
      </c>
      <c r="W14" s="194" t="n">
        <f aca="false">IF(Model!U20=0,"",Model!U20)</f>
        <v>844700.11695846</v>
      </c>
      <c r="X14" s="194" t="n">
        <f aca="false">IF(Model!V20=0,"",Model!V20)</f>
        <v>767065.20347646</v>
      </c>
      <c r="Y14" s="194" t="n">
        <f aca="false">IF(Model!W20=0,"",Model!W20)</f>
        <v>676684.68739326</v>
      </c>
      <c r="Z14" s="194" t="n">
        <f aca="false">IF(Model!X20=0,"",Model!X20)</f>
        <v>579106.99188846</v>
      </c>
      <c r="AA14" s="194" t="n">
        <f aca="false">IF(Model!Y20=0,"",Model!Y20)</f>
        <v>479751.50704446</v>
      </c>
      <c r="AB14" s="194" t="n">
        <f aca="false">IF(Model!Z20=0,"",Model!Z20)</f>
        <v>383392.45745766</v>
      </c>
      <c r="AC14" s="194" t="n">
        <f aca="false">IF(Model!AA20=0,"",Model!AA20)</f>
        <v>207569.80866132</v>
      </c>
      <c r="AD14" s="194" t="str">
        <f aca="false">IF(Model!AB20=0,"",Model!AB20)</f>
        <v/>
      </c>
      <c r="AE14" s="194" t="str">
        <f aca="false">IF(Model!AC20=0,"",Model!AC20)</f>
        <v/>
      </c>
      <c r="AF14" s="194" t="str">
        <f aca="false">IF(Model!AD20=0,"",Model!AD20)</f>
        <v/>
      </c>
      <c r="AG14" s="194" t="str">
        <f aca="false">IF(Model!AE20=0,"",Model!AE20)</f>
        <v/>
      </c>
      <c r="AH14" s="194" t="str">
        <f aca="false">IF(Model!AF20=0,"",Model!AF20)</f>
        <v/>
      </c>
      <c r="AI14" s="194" t="str">
        <f aca="false">IF(Model!AG20=0,"",Model!AG20)</f>
        <v/>
      </c>
      <c r="AJ14" s="194" t="str">
        <f aca="false">IF(Model!AH20=0,"",Model!AH20)</f>
        <v/>
      </c>
      <c r="AK14" s="194" t="str">
        <f aca="false">IF(Model!AI20=0,"",Model!AI20)</f>
        <v/>
      </c>
      <c r="AL14" s="194" t="str">
        <f aca="false">IF(Model!AJ20=0,"",Model!AJ20)</f>
        <v/>
      </c>
      <c r="AM14" s="194" t="str">
        <f aca="false">IF(Model!AK20=0,"",Model!AK20)</f>
        <v/>
      </c>
      <c r="AN14" s="194" t="str">
        <f aca="false">IF(Model!AL20=0,"",Model!AL20)</f>
        <v/>
      </c>
      <c r="AO14" s="194" t="str">
        <f aca="false">IF(Model!AM20=0,"",Model!AM20)</f>
        <v/>
      </c>
      <c r="AP14" s="194" t="str">
        <f aca="false">IF(Model!AN20=0,"",Model!AN20)</f>
        <v/>
      </c>
      <c r="AQ14" s="194" t="str">
        <f aca="false">IF(Model!AO20=0,"",Model!AO20)</f>
        <v/>
      </c>
      <c r="AR14" s="194" t="str">
        <f aca="false">IF(Model!AP20=0,"",Model!AP20)</f>
        <v/>
      </c>
      <c r="AS14" s="194" t="str">
        <f aca="false">IF(Model!AQ20=0,"",Model!AQ20)</f>
        <v/>
      </c>
      <c r="AT14" s="194" t="str">
        <f aca="false">IF(Model!AR20=0,"",Model!AR20)</f>
        <v/>
      </c>
      <c r="AU14" s="194" t="str">
        <f aca="false">IF(Model!AS20=0,"",Model!AS20)</f>
        <v/>
      </c>
      <c r="AV14" s="194" t="str">
        <f aca="false">IF(Model!AT20=0,"",Model!AT20)</f>
        <v/>
      </c>
      <c r="AW14" s="194" t="str">
        <f aca="false">IF(Model!AU20=0,"",Model!AU20)</f>
        <v/>
      </c>
      <c r="AX14" s="194" t="str">
        <f aca="false">IF(Model!AV20=0,"",Model!AV20)</f>
        <v/>
      </c>
      <c r="AY14" s="194" t="str">
        <f aca="false">IF(Model!AW20=0,"",Model!AW20)</f>
        <v/>
      </c>
      <c r="AZ14" s="194" t="str">
        <f aca="false">IF(Model!AX20=0,"",Model!AX20)</f>
        <v/>
      </c>
      <c r="BA14" s="194" t="str">
        <f aca="false">IF(Model!AY20=0,"",Model!AY20)</f>
        <v/>
      </c>
      <c r="BB14" s="194" t="str">
        <f aca="false">IF(Model!AZ20=0,"",Model!AZ20)</f>
        <v/>
      </c>
      <c r="BC14" s="194" t="str">
        <f aca="false">IF(Model!BA20=0,"",Model!BA20)</f>
        <v/>
      </c>
      <c r="BD14" s="194" t="str">
        <f aca="false">IF(Model!BB20=0,"",Model!BB20)</f>
        <v/>
      </c>
      <c r="BE14" s="194" t="str">
        <f aca="false">IF(Model!BC20=0,"",Model!BC20)</f>
        <v/>
      </c>
      <c r="BF14" s="194" t="str">
        <f aca="false">IF(Model!BD20=0,"",Model!BD20)</f>
        <v/>
      </c>
      <c r="BG14" s="194" t="str">
        <f aca="false">IF(Model!BE20=0,"",Model!BE20)</f>
        <v/>
      </c>
      <c r="BH14" s="194" t="str">
        <f aca="false">IF(Model!BF20=0,"",Model!BF20)</f>
        <v/>
      </c>
      <c r="BI14" s="194" t="str">
        <f aca="false">IF(Model!BG20=0,"",Model!BG20)</f>
        <v/>
      </c>
      <c r="BJ14" s="194" t="str">
        <f aca="false">IF(Model!BH20=0,"",Model!BH20)</f>
        <v/>
      </c>
      <c r="BK14" s="194" t="str">
        <f aca="false">IF(Model!BI20=0,"",Model!BI20)</f>
        <v/>
      </c>
      <c r="BL14" s="194" t="str">
        <f aca="false">IF(Model!BJ20=0,"",Model!BJ20)</f>
        <v/>
      </c>
      <c r="BM14" s="194" t="str">
        <f aca="false">IF(Model!BK20=0,"",Model!BK20)</f>
        <v/>
      </c>
      <c r="BN14" s="194" t="str">
        <f aca="false">IF(Model!BL20=0,"",Model!BL20)</f>
        <v/>
      </c>
      <c r="BO14" s="194" t="str">
        <f aca="false">IF(Model!BM20=0,"",Model!BM20)</f>
        <v/>
      </c>
      <c r="BP14" s="194" t="str">
        <f aca="false">IF(Model!BN20=0,"",Model!BN20)</f>
        <v/>
      </c>
      <c r="BQ14" s="194" t="str">
        <f aca="false">IF(Model!BO20=0,"",Model!BO20)</f>
        <v/>
      </c>
      <c r="BR14" s="194" t="str">
        <f aca="false">IF(Model!BP20=0,"",Model!BP20)</f>
        <v/>
      </c>
      <c r="BS14" s="194" t="str">
        <f aca="false">IF(Model!BQ20=0,"",Model!BQ20)</f>
        <v/>
      </c>
      <c r="BT14" s="194" t="str">
        <f aca="false">IF(Model!BR20=0,"",Model!BR20)</f>
        <v/>
      </c>
      <c r="BU14" s="194" t="str">
        <f aca="false">IF(Model!BS20=0,"",Model!BS20)</f>
        <v/>
      </c>
      <c r="BV14" s="194" t="str">
        <f aca="false">IF(Model!BT20=0,"",Model!BT20)</f>
        <v/>
      </c>
      <c r="BW14" s="194" t="str">
        <f aca="false">IF(Model!BU20=0,"",Model!BU20)</f>
        <v/>
      </c>
      <c r="BX14" s="194" t="str">
        <f aca="false">IF(Model!BV20=0,"",Model!BV20)</f>
        <v/>
      </c>
      <c r="BY14" s="194" t="str">
        <f aca="false">IF(Model!BW20=0,"",Model!BW20)</f>
        <v/>
      </c>
      <c r="BZ14" s="194" t="str">
        <f aca="false">IF(Model!BX20=0,"",Model!BX20)</f>
        <v/>
      </c>
      <c r="CA14" s="194" t="str">
        <f aca="false">IF(Model!BY20=0,"",Model!BY20)</f>
        <v/>
      </c>
      <c r="CB14" s="194" t="str">
        <f aca="false">IF(Model!BZ20=0,"",Model!BZ20)</f>
        <v/>
      </c>
      <c r="CC14" s="194" t="str">
        <f aca="false">IF(Model!CA20=0,"",Model!CA20)</f>
        <v/>
      </c>
      <c r="CD14" s="194" t="str">
        <f aca="false">IF(Model!CB20=0,"",Model!CB20)</f>
        <v/>
      </c>
      <c r="CE14" s="194" t="str">
        <f aca="false">IF(Model!CC20=0,"",Model!CC20)</f>
        <v/>
      </c>
      <c r="CF14" s="194" t="str">
        <f aca="false">IF(Model!CD20=0,"",Model!CD20)</f>
        <v/>
      </c>
      <c r="CG14" s="194" t="str">
        <f aca="false">IF(Model!CE20=0,"",Model!CE20)</f>
        <v/>
      </c>
      <c r="CH14" s="194" t="str">
        <f aca="false">IF(Model!CF20=0,"",Model!CF20)</f>
        <v/>
      </c>
      <c r="CI14" s="194" t="str">
        <f aca="false">IF(Model!CG20=0,"",Model!CG20)</f>
        <v/>
      </c>
      <c r="CJ14" s="194" t="str">
        <f aca="false">IF(Model!CH20=0,"",Model!CH20)</f>
        <v/>
      </c>
      <c r="CK14" s="194" t="str">
        <f aca="false">IF(Model!CI20=0,"",Model!CI20)</f>
        <v/>
      </c>
      <c r="CL14" s="194" t="str">
        <f aca="false">IF(Model!CJ20=0,"",Model!CJ20)</f>
        <v/>
      </c>
      <c r="CM14" s="194" t="str">
        <f aca="false">IF(Model!CK20=0,"",Model!CK20)</f>
        <v/>
      </c>
      <c r="CN14" s="194" t="str">
        <f aca="false">IF(Model!CL20=0,"",Model!CL20)</f>
        <v/>
      </c>
      <c r="CO14" s="194" t="str">
        <f aca="false">IF(Model!CM20=0,"",Model!CM20)</f>
        <v/>
      </c>
      <c r="CP14" s="194" t="str">
        <f aca="false">IF(Model!CN20=0,"",Model!CN20)</f>
        <v/>
      </c>
      <c r="CQ14" s="194" t="str">
        <f aca="false">IF(Model!CO20=0,"",Model!CO20)</f>
        <v/>
      </c>
      <c r="CR14" s="194" t="str">
        <f aca="false">IF(Model!CP20=0,"",Model!CP20)</f>
        <v/>
      </c>
      <c r="CS14" s="194" t="str">
        <f aca="false">IF(Model!CQ20=0,"",Model!CQ20)</f>
        <v/>
      </c>
      <c r="CT14" s="194" t="str">
        <f aca="false">IF(Model!CR20=0,"",Model!CR20)</f>
        <v/>
      </c>
      <c r="CU14" s="194" t="str">
        <f aca="false">IF(Model!CS20=0,"",Model!CS20)</f>
        <v/>
      </c>
      <c r="CV14" s="194" t="str">
        <f aca="false">IF(Model!CT20=0,"",Model!CT20)</f>
        <v/>
      </c>
      <c r="CW14" s="194" t="str">
        <f aca="false">IF(Model!CU20=0,"",Model!CU20)</f>
        <v/>
      </c>
      <c r="CX14" s="194" t="str">
        <f aca="false">IF(Model!CV20=0,"",Model!CV20)</f>
        <v/>
      </c>
      <c r="CY14" s="194" t="str">
        <f aca="false">IF(Model!CW20=0,"",Model!CW20)</f>
        <v/>
      </c>
      <c r="CZ14" s="194" t="str">
        <f aca="false">IF(Model!CX20=0,"",Model!CX20)</f>
        <v/>
      </c>
      <c r="DA14" s="194" t="str">
        <f aca="false">IF(Model!CY20=0,"",Model!CY20)</f>
        <v/>
      </c>
      <c r="DB14" s="194" t="str">
        <f aca="false">IF(Model!CZ20=0,"",Model!CZ20)</f>
        <v/>
      </c>
    </row>
    <row r="15" customFormat="false" ht="15" hidden="false" customHeight="true" outlineLevel="0" collapsed="false">
      <c r="A15" s="125" t="s">
        <v>15</v>
      </c>
      <c r="B15" s="191" t="n">
        <f aca="false">Projects!$B$10</f>
        <v>21263405</v>
      </c>
      <c r="C15" s="192" t="n">
        <f aca="false">EDATE(Model!$E$2,Projects!$C$10-1)</f>
        <v>46357</v>
      </c>
      <c r="D15" s="192" t="n">
        <f aca="false">EDATE(Model!$E$2,Projects!$C$10+Projects!$D$10-2)</f>
        <v>47058</v>
      </c>
      <c r="E15" s="193" t="n">
        <f aca="false">Projects!$D$10</f>
        <v>24</v>
      </c>
      <c r="F15" s="191" t="n">
        <f aca="false">SUM(G15:DB15)</f>
        <v>18703482.408645</v>
      </c>
      <c r="G15" s="194" t="str">
        <f aca="false">IF(Model!E21=0,"",Model!E21)</f>
        <v/>
      </c>
      <c r="H15" s="194" t="str">
        <f aca="false">IF(Model!F21=0,"",Model!F21)</f>
        <v/>
      </c>
      <c r="I15" s="194" t="str">
        <f aca="false">IF(Model!G21=0,"",Model!G21)</f>
        <v/>
      </c>
      <c r="J15" s="194" t="str">
        <f aca="false">IF(Model!H21=0,"",Model!H21)</f>
        <v/>
      </c>
      <c r="K15" s="194" t="str">
        <f aca="false">IF(Model!I21=0,"",Model!I21)</f>
        <v/>
      </c>
      <c r="L15" s="194" t="str">
        <f aca="false">IF(Model!J21=0,"",Model!J21)</f>
        <v/>
      </c>
      <c r="M15" s="194" t="str">
        <f aca="false">IF(Model!K21=0,"",Model!K21)</f>
        <v/>
      </c>
      <c r="N15" s="194" t="str">
        <f aca="false">IF(Model!L21=0,"",Model!L21)</f>
        <v/>
      </c>
      <c r="O15" s="194" t="n">
        <f aca="false">IF(Model!M21=0,"",Model!M21)</f>
        <v>334505.743043865</v>
      </c>
      <c r="P15" s="194" t="n">
        <f aca="false">IF(Model!N21=0,"",Model!N21)</f>
        <v>416135.954838865</v>
      </c>
      <c r="Q15" s="194" t="n">
        <f aca="false">IF(Model!O21=0,"",Model!O21)</f>
        <v>503507.285983865</v>
      </c>
      <c r="R15" s="194" t="n">
        <f aca="false">IF(Model!P21=0,"",Model!P21)</f>
        <v>594727.293433865</v>
      </c>
      <c r="S15" s="194" t="n">
        <f aca="false">IF(Model!Q21=0,"",Model!Q21)</f>
        <v>687265.631993865</v>
      </c>
      <c r="T15" s="194" t="n">
        <f aca="false">IF(Model!R21=0,"",Model!R21)</f>
        <v>778294.268798865</v>
      </c>
      <c r="U15" s="194" t="n">
        <f aca="false">IF(Model!S21=0,"",Model!S21)</f>
        <v>864623.693098865</v>
      </c>
      <c r="V15" s="194" t="n">
        <f aca="false">IF(Model!T21=0,"",Model!T21)</f>
        <v>943000.603928865</v>
      </c>
      <c r="W15" s="194" t="n">
        <f aca="false">IF(Model!U21=0,"",Model!U21)</f>
        <v>1010278.01734886</v>
      </c>
      <c r="X15" s="194" t="n">
        <f aca="false">IF(Model!V21=0,"",Model!V21)</f>
        <v>1063542.84687386</v>
      </c>
      <c r="Y15" s="194" t="n">
        <f aca="false">IF(Model!W21=0,"",Model!W21)</f>
        <v>1100477.38135886</v>
      </c>
      <c r="Z15" s="194" t="n">
        <f aca="false">IF(Model!X21=0,"",Model!X21)</f>
        <v>1119380.54840386</v>
      </c>
      <c r="AA15" s="194" t="n">
        <f aca="false">IF(Model!Y21=0,"",Model!Y21)</f>
        <v>1119380.54840386</v>
      </c>
      <c r="AB15" s="194" t="n">
        <f aca="false">IF(Model!Z21=0,"",Model!Z21)</f>
        <v>1100477.38135886</v>
      </c>
      <c r="AC15" s="194" t="n">
        <f aca="false">IF(Model!AA21=0,"",Model!AA21)</f>
        <v>1063542.84687386</v>
      </c>
      <c r="AD15" s="194" t="n">
        <f aca="false">IF(Model!AB21=0,"",Model!AB21)</f>
        <v>1010278.01734886</v>
      </c>
      <c r="AE15" s="194" t="n">
        <f aca="false">IF(Model!AC21=0,"",Model!AC21)</f>
        <v>943000.603928865</v>
      </c>
      <c r="AF15" s="194" t="n">
        <f aca="false">IF(Model!AD21=0,"",Model!AD21)</f>
        <v>864623.693098865</v>
      </c>
      <c r="AG15" s="194" t="n">
        <f aca="false">IF(Model!AE21=0,"",Model!AE21)</f>
        <v>778294.268798865</v>
      </c>
      <c r="AH15" s="194" t="n">
        <f aca="false">IF(Model!AF21=0,"",Model!AF21)</f>
        <v>687265.631993865</v>
      </c>
      <c r="AI15" s="194" t="n">
        <f aca="false">IF(Model!AG21=0,"",Model!AG21)</f>
        <v>594727.293433865</v>
      </c>
      <c r="AJ15" s="194" t="n">
        <f aca="false">IF(Model!AH21=0,"",Model!AH21)</f>
        <v>503507.285983865</v>
      </c>
      <c r="AK15" s="194" t="n">
        <f aca="false">IF(Model!AI21=0,"",Model!AI21)</f>
        <v>416135.954838865</v>
      </c>
      <c r="AL15" s="194" t="n">
        <f aca="false">IF(Model!AJ21=0,"",Model!AJ21)</f>
        <v>206509.613476115</v>
      </c>
      <c r="AM15" s="194" t="str">
        <f aca="false">IF(Model!AK21=0,"",Model!AK21)</f>
        <v/>
      </c>
      <c r="AN15" s="194" t="str">
        <f aca="false">IF(Model!AL21=0,"",Model!AL21)</f>
        <v/>
      </c>
      <c r="AO15" s="194" t="str">
        <f aca="false">IF(Model!AM21=0,"",Model!AM21)</f>
        <v/>
      </c>
      <c r="AP15" s="194" t="str">
        <f aca="false">IF(Model!AN21=0,"",Model!AN21)</f>
        <v/>
      </c>
      <c r="AQ15" s="194" t="str">
        <f aca="false">IF(Model!AO21=0,"",Model!AO21)</f>
        <v/>
      </c>
      <c r="AR15" s="194" t="str">
        <f aca="false">IF(Model!AP21=0,"",Model!AP21)</f>
        <v/>
      </c>
      <c r="AS15" s="194" t="str">
        <f aca="false">IF(Model!AQ21=0,"",Model!AQ21)</f>
        <v/>
      </c>
      <c r="AT15" s="194" t="str">
        <f aca="false">IF(Model!AR21=0,"",Model!AR21)</f>
        <v/>
      </c>
      <c r="AU15" s="194" t="str">
        <f aca="false">IF(Model!AS21=0,"",Model!AS21)</f>
        <v/>
      </c>
      <c r="AV15" s="194" t="str">
        <f aca="false">IF(Model!AT21=0,"",Model!AT21)</f>
        <v/>
      </c>
      <c r="AW15" s="194" t="str">
        <f aca="false">IF(Model!AU21=0,"",Model!AU21)</f>
        <v/>
      </c>
      <c r="AX15" s="194" t="str">
        <f aca="false">IF(Model!AV21=0,"",Model!AV21)</f>
        <v/>
      </c>
      <c r="AY15" s="194" t="str">
        <f aca="false">IF(Model!AW21=0,"",Model!AW21)</f>
        <v/>
      </c>
      <c r="AZ15" s="194" t="str">
        <f aca="false">IF(Model!AX21=0,"",Model!AX21)</f>
        <v/>
      </c>
      <c r="BA15" s="194" t="str">
        <f aca="false">IF(Model!AY21=0,"",Model!AY21)</f>
        <v/>
      </c>
      <c r="BB15" s="194" t="str">
        <f aca="false">IF(Model!AZ21=0,"",Model!AZ21)</f>
        <v/>
      </c>
      <c r="BC15" s="194" t="str">
        <f aca="false">IF(Model!BA21=0,"",Model!BA21)</f>
        <v/>
      </c>
      <c r="BD15" s="194" t="str">
        <f aca="false">IF(Model!BB21=0,"",Model!BB21)</f>
        <v/>
      </c>
      <c r="BE15" s="194" t="str">
        <f aca="false">IF(Model!BC21=0,"",Model!BC21)</f>
        <v/>
      </c>
      <c r="BF15" s="194" t="str">
        <f aca="false">IF(Model!BD21=0,"",Model!BD21)</f>
        <v/>
      </c>
      <c r="BG15" s="194" t="str">
        <f aca="false">IF(Model!BE21=0,"",Model!BE21)</f>
        <v/>
      </c>
      <c r="BH15" s="194" t="str">
        <f aca="false">IF(Model!BF21=0,"",Model!BF21)</f>
        <v/>
      </c>
      <c r="BI15" s="194" t="str">
        <f aca="false">IF(Model!BG21=0,"",Model!BG21)</f>
        <v/>
      </c>
      <c r="BJ15" s="194" t="str">
        <f aca="false">IF(Model!BH21=0,"",Model!BH21)</f>
        <v/>
      </c>
      <c r="BK15" s="194" t="str">
        <f aca="false">IF(Model!BI21=0,"",Model!BI21)</f>
        <v/>
      </c>
      <c r="BL15" s="194" t="str">
        <f aca="false">IF(Model!BJ21=0,"",Model!BJ21)</f>
        <v/>
      </c>
      <c r="BM15" s="194" t="str">
        <f aca="false">IF(Model!BK21=0,"",Model!BK21)</f>
        <v/>
      </c>
      <c r="BN15" s="194" t="str">
        <f aca="false">IF(Model!BL21=0,"",Model!BL21)</f>
        <v/>
      </c>
      <c r="BO15" s="194" t="str">
        <f aca="false">IF(Model!BM21=0,"",Model!BM21)</f>
        <v/>
      </c>
      <c r="BP15" s="194" t="str">
        <f aca="false">IF(Model!BN21=0,"",Model!BN21)</f>
        <v/>
      </c>
      <c r="BQ15" s="194" t="str">
        <f aca="false">IF(Model!BO21=0,"",Model!BO21)</f>
        <v/>
      </c>
      <c r="BR15" s="194" t="str">
        <f aca="false">IF(Model!BP21=0,"",Model!BP21)</f>
        <v/>
      </c>
      <c r="BS15" s="194" t="str">
        <f aca="false">IF(Model!BQ21=0,"",Model!BQ21)</f>
        <v/>
      </c>
      <c r="BT15" s="194" t="str">
        <f aca="false">IF(Model!BR21=0,"",Model!BR21)</f>
        <v/>
      </c>
      <c r="BU15" s="194" t="str">
        <f aca="false">IF(Model!BS21=0,"",Model!BS21)</f>
        <v/>
      </c>
      <c r="BV15" s="194" t="str">
        <f aca="false">IF(Model!BT21=0,"",Model!BT21)</f>
        <v/>
      </c>
      <c r="BW15" s="194" t="str">
        <f aca="false">IF(Model!BU21=0,"",Model!BU21)</f>
        <v/>
      </c>
      <c r="BX15" s="194" t="str">
        <f aca="false">IF(Model!BV21=0,"",Model!BV21)</f>
        <v/>
      </c>
      <c r="BY15" s="194" t="str">
        <f aca="false">IF(Model!BW21=0,"",Model!BW21)</f>
        <v/>
      </c>
      <c r="BZ15" s="194" t="str">
        <f aca="false">IF(Model!BX21=0,"",Model!BX21)</f>
        <v/>
      </c>
      <c r="CA15" s="194" t="str">
        <f aca="false">IF(Model!BY21=0,"",Model!BY21)</f>
        <v/>
      </c>
      <c r="CB15" s="194" t="str">
        <f aca="false">IF(Model!BZ21=0,"",Model!BZ21)</f>
        <v/>
      </c>
      <c r="CC15" s="194" t="str">
        <f aca="false">IF(Model!CA21=0,"",Model!CA21)</f>
        <v/>
      </c>
      <c r="CD15" s="194" t="str">
        <f aca="false">IF(Model!CB21=0,"",Model!CB21)</f>
        <v/>
      </c>
      <c r="CE15" s="194" t="str">
        <f aca="false">IF(Model!CC21=0,"",Model!CC21)</f>
        <v/>
      </c>
      <c r="CF15" s="194" t="str">
        <f aca="false">IF(Model!CD21=0,"",Model!CD21)</f>
        <v/>
      </c>
      <c r="CG15" s="194" t="str">
        <f aca="false">IF(Model!CE21=0,"",Model!CE21)</f>
        <v/>
      </c>
      <c r="CH15" s="194" t="str">
        <f aca="false">IF(Model!CF21=0,"",Model!CF21)</f>
        <v/>
      </c>
      <c r="CI15" s="194" t="str">
        <f aca="false">IF(Model!CG21=0,"",Model!CG21)</f>
        <v/>
      </c>
      <c r="CJ15" s="194" t="str">
        <f aca="false">IF(Model!CH21=0,"",Model!CH21)</f>
        <v/>
      </c>
      <c r="CK15" s="194" t="str">
        <f aca="false">IF(Model!CI21=0,"",Model!CI21)</f>
        <v/>
      </c>
      <c r="CL15" s="194" t="str">
        <f aca="false">IF(Model!CJ21=0,"",Model!CJ21)</f>
        <v/>
      </c>
      <c r="CM15" s="194" t="str">
        <f aca="false">IF(Model!CK21=0,"",Model!CK21)</f>
        <v/>
      </c>
      <c r="CN15" s="194" t="str">
        <f aca="false">IF(Model!CL21=0,"",Model!CL21)</f>
        <v/>
      </c>
      <c r="CO15" s="194" t="str">
        <f aca="false">IF(Model!CM21=0,"",Model!CM21)</f>
        <v/>
      </c>
      <c r="CP15" s="194" t="str">
        <f aca="false">IF(Model!CN21=0,"",Model!CN21)</f>
        <v/>
      </c>
      <c r="CQ15" s="194" t="str">
        <f aca="false">IF(Model!CO21=0,"",Model!CO21)</f>
        <v/>
      </c>
      <c r="CR15" s="194" t="str">
        <f aca="false">IF(Model!CP21=0,"",Model!CP21)</f>
        <v/>
      </c>
      <c r="CS15" s="194" t="str">
        <f aca="false">IF(Model!CQ21=0,"",Model!CQ21)</f>
        <v/>
      </c>
      <c r="CT15" s="194" t="str">
        <f aca="false">IF(Model!CR21=0,"",Model!CR21)</f>
        <v/>
      </c>
      <c r="CU15" s="194" t="str">
        <f aca="false">IF(Model!CS21=0,"",Model!CS21)</f>
        <v/>
      </c>
      <c r="CV15" s="194" t="str">
        <f aca="false">IF(Model!CT21=0,"",Model!CT21)</f>
        <v/>
      </c>
      <c r="CW15" s="194" t="str">
        <f aca="false">IF(Model!CU21=0,"",Model!CU21)</f>
        <v/>
      </c>
      <c r="CX15" s="194" t="str">
        <f aca="false">IF(Model!CV21=0,"",Model!CV21)</f>
        <v/>
      </c>
      <c r="CY15" s="194" t="str">
        <f aca="false">IF(Model!CW21=0,"",Model!CW21)</f>
        <v/>
      </c>
      <c r="CZ15" s="194" t="str">
        <f aca="false">IF(Model!CX21=0,"",Model!CX21)</f>
        <v/>
      </c>
      <c r="DA15" s="194" t="str">
        <f aca="false">IF(Model!CY21=0,"",Model!CY21)</f>
        <v/>
      </c>
      <c r="DB15" s="194" t="str">
        <f aca="false">IF(Model!CZ21=0,"",Model!CZ21)</f>
        <v/>
      </c>
    </row>
    <row r="16" customFormat="false" ht="15" hidden="false" customHeight="true" outlineLevel="0" collapsed="false">
      <c r="A16" s="125" t="s">
        <v>18</v>
      </c>
      <c r="B16" s="191" t="n">
        <f aca="false">Projects!$B$13</f>
        <v>45266770</v>
      </c>
      <c r="C16" s="192" t="n">
        <f aca="false">EDATE(Model!$E$2,Projects!$C$13-1)</f>
        <v>46478</v>
      </c>
      <c r="D16" s="192" t="n">
        <f aca="false">EDATE(Model!$E$2,Projects!$C$13+Projects!$D$13-2)</f>
        <v>47362</v>
      </c>
      <c r="E16" s="193" t="n">
        <f aca="false">Projects!$D$13</f>
        <v>30</v>
      </c>
      <c r="F16" s="191" t="n">
        <f aca="false">SUM(G16:DB16)</f>
        <v>39817239.36001</v>
      </c>
      <c r="G16" s="194" t="str">
        <f aca="false">IF(Model!E24=0,"",Model!E24)</f>
        <v/>
      </c>
      <c r="H16" s="194" t="str">
        <f aca="false">IF(Model!F24=0,"",Model!F24)</f>
        <v/>
      </c>
      <c r="I16" s="194" t="str">
        <f aca="false">IF(Model!G24=0,"",Model!G24)</f>
        <v/>
      </c>
      <c r="J16" s="194" t="str">
        <f aca="false">IF(Model!H24=0,"",Model!H24)</f>
        <v/>
      </c>
      <c r="K16" s="194" t="str">
        <f aca="false">IF(Model!I24=0,"",Model!I24)</f>
        <v/>
      </c>
      <c r="L16" s="194" t="str">
        <f aca="false">IF(Model!J24=0,"",Model!J24)</f>
        <v/>
      </c>
      <c r="M16" s="194" t="str">
        <f aca="false">IF(Model!K24=0,"",Model!K24)</f>
        <v/>
      </c>
      <c r="N16" s="194" t="str">
        <f aca="false">IF(Model!L24=0,"",Model!L24)</f>
        <v/>
      </c>
      <c r="O16" s="194" t="str">
        <f aca="false">IF(Model!M24=0,"",Model!M24)</f>
        <v/>
      </c>
      <c r="P16" s="194" t="str">
        <f aca="false">IF(Model!N24=0,"",Model!N24)</f>
        <v/>
      </c>
      <c r="Q16" s="194" t="str">
        <f aca="false">IF(Model!O24=0,"",Model!O24)</f>
        <v/>
      </c>
      <c r="R16" s="194" t="str">
        <f aca="false">IF(Model!P24=0,"",Model!P24)</f>
        <v/>
      </c>
      <c r="S16" s="194" t="n">
        <f aca="false">IF(Model!Q24=0,"",Model!Q24)</f>
        <v>556266.059712783</v>
      </c>
      <c r="T16" s="194" t="n">
        <f aca="false">IF(Model!R24=0,"",Model!R24)</f>
        <v>665675.842802783</v>
      </c>
      <c r="U16" s="194" t="n">
        <f aca="false">IF(Model!S24=0,"",Model!S24)</f>
        <v>781966.174932784</v>
      </c>
      <c r="V16" s="194" t="n">
        <f aca="false">IF(Model!T24=0,"",Model!T24)</f>
        <v>903552.719152783</v>
      </c>
      <c r="W16" s="194" t="n">
        <f aca="false">IF(Model!U24=0,"",Model!U24)</f>
        <v>1028579.53789278</v>
      </c>
      <c r="X16" s="194" t="n">
        <f aca="false">IF(Model!V24=0,"",Model!V24)</f>
        <v>1154783.29265278</v>
      </c>
      <c r="Y16" s="194" t="n">
        <f aca="false">IF(Model!W24=0,"",Model!W24)</f>
        <v>1279674.31108278</v>
      </c>
      <c r="Z16" s="194" t="n">
        <f aca="false">IF(Model!X24=0,"",Model!X24)</f>
        <v>1400536.58698278</v>
      </c>
      <c r="AA16" s="194" t="n">
        <f aca="false">IF(Model!Y24=0,"",Model!Y24)</f>
        <v>1514473.04707278</v>
      </c>
      <c r="AB16" s="194" t="n">
        <f aca="false">IF(Model!Z24=0,"",Model!Z24)</f>
        <v>1618722.41838278</v>
      </c>
      <c r="AC16" s="194" t="n">
        <f aca="false">IF(Model!AA24=0,"",Model!AA24)</f>
        <v>1710478.16117278</v>
      </c>
      <c r="AD16" s="194" t="n">
        <f aca="false">IF(Model!AB24=0,"",Model!AB24)</f>
        <v>1787250.60309278</v>
      </c>
      <c r="AE16" s="194" t="n">
        <f aca="false">IF(Model!AC24=0,"",Model!AC24)</f>
        <v>1846912.20595278</v>
      </c>
      <c r="AF16" s="194" t="n">
        <f aca="false">IF(Model!AD24=0,"",Model!AD24)</f>
        <v>1887652.29895278</v>
      </c>
      <c r="AG16" s="194" t="n">
        <f aca="false">IF(Model!AE24=0,"",Model!AE24)</f>
        <v>1908339.21284278</v>
      </c>
      <c r="AH16" s="194" t="n">
        <f aca="false">IF(Model!AF24=0,"",Model!AF24)</f>
        <v>1908339.21284278</v>
      </c>
      <c r="AI16" s="194" t="n">
        <f aca="false">IF(Model!AG24=0,"",Model!AG24)</f>
        <v>1887652.29895278</v>
      </c>
      <c r="AJ16" s="194" t="n">
        <f aca="false">IF(Model!AH24=0,"",Model!AH24)</f>
        <v>1846912.20595278</v>
      </c>
      <c r="AK16" s="194" t="n">
        <f aca="false">IF(Model!AI24=0,"",Model!AI24)</f>
        <v>1787250.60309278</v>
      </c>
      <c r="AL16" s="194" t="n">
        <f aca="false">IF(Model!AJ24=0,"",Model!AJ24)</f>
        <v>1710478.16117278</v>
      </c>
      <c r="AM16" s="194" t="n">
        <f aca="false">IF(Model!AK24=0,"",Model!AK24)</f>
        <v>1618722.41838278</v>
      </c>
      <c r="AN16" s="194" t="n">
        <f aca="false">IF(Model!AL24=0,"",Model!AL24)</f>
        <v>1514473.04707278</v>
      </c>
      <c r="AO16" s="194" t="n">
        <f aca="false">IF(Model!AM24=0,"",Model!AM24)</f>
        <v>1400536.58698278</v>
      </c>
      <c r="AP16" s="194" t="n">
        <f aca="false">IF(Model!AN24=0,"",Model!AN24)</f>
        <v>1279674.31108278</v>
      </c>
      <c r="AQ16" s="194" t="n">
        <f aca="false">IF(Model!AO24=0,"",Model!AO24)</f>
        <v>1154783.29265278</v>
      </c>
      <c r="AR16" s="194" t="n">
        <f aca="false">IF(Model!AP24=0,"",Model!AP24)</f>
        <v>1028579.53789278</v>
      </c>
      <c r="AS16" s="194" t="n">
        <f aca="false">IF(Model!AQ24=0,"",Model!AQ24)</f>
        <v>903552.719152783</v>
      </c>
      <c r="AT16" s="194" t="n">
        <f aca="false">IF(Model!AR24=0,"",Model!AR24)</f>
        <v>781966.174932784</v>
      </c>
      <c r="AU16" s="194" t="n">
        <f aca="false">IF(Model!AS24=0,"",Model!AS24)</f>
        <v>665675.842802783</v>
      </c>
      <c r="AV16" s="194" t="n">
        <f aca="false">IF(Model!AT24=0,"",Model!AT24)</f>
        <v>283780.474359283</v>
      </c>
      <c r="AW16" s="194" t="str">
        <f aca="false">IF(Model!AU24=0,"",Model!AU24)</f>
        <v/>
      </c>
      <c r="AX16" s="194" t="str">
        <f aca="false">IF(Model!AV24=0,"",Model!AV24)</f>
        <v/>
      </c>
      <c r="AY16" s="194" t="str">
        <f aca="false">IF(Model!AW24=0,"",Model!AW24)</f>
        <v/>
      </c>
      <c r="AZ16" s="194" t="str">
        <f aca="false">IF(Model!AX24=0,"",Model!AX24)</f>
        <v/>
      </c>
      <c r="BA16" s="194" t="str">
        <f aca="false">IF(Model!AY24=0,"",Model!AY24)</f>
        <v/>
      </c>
      <c r="BB16" s="194" t="str">
        <f aca="false">IF(Model!AZ24=0,"",Model!AZ24)</f>
        <v/>
      </c>
      <c r="BC16" s="194" t="str">
        <f aca="false">IF(Model!BA24=0,"",Model!BA24)</f>
        <v/>
      </c>
      <c r="BD16" s="194" t="str">
        <f aca="false">IF(Model!BB24=0,"",Model!BB24)</f>
        <v/>
      </c>
      <c r="BE16" s="194" t="str">
        <f aca="false">IF(Model!BC24=0,"",Model!BC24)</f>
        <v/>
      </c>
      <c r="BF16" s="194" t="str">
        <f aca="false">IF(Model!BD24=0,"",Model!BD24)</f>
        <v/>
      </c>
      <c r="BG16" s="194" t="str">
        <f aca="false">IF(Model!BE24=0,"",Model!BE24)</f>
        <v/>
      </c>
      <c r="BH16" s="194" t="str">
        <f aca="false">IF(Model!BF24=0,"",Model!BF24)</f>
        <v/>
      </c>
      <c r="BI16" s="194" t="str">
        <f aca="false">IF(Model!BG24=0,"",Model!BG24)</f>
        <v/>
      </c>
      <c r="BJ16" s="194" t="str">
        <f aca="false">IF(Model!BH24=0,"",Model!BH24)</f>
        <v/>
      </c>
      <c r="BK16" s="194" t="str">
        <f aca="false">IF(Model!BI24=0,"",Model!BI24)</f>
        <v/>
      </c>
      <c r="BL16" s="194" t="str">
        <f aca="false">IF(Model!BJ24=0,"",Model!BJ24)</f>
        <v/>
      </c>
      <c r="BM16" s="194" t="str">
        <f aca="false">IF(Model!BK24=0,"",Model!BK24)</f>
        <v/>
      </c>
      <c r="BN16" s="194" t="str">
        <f aca="false">IF(Model!BL24=0,"",Model!BL24)</f>
        <v/>
      </c>
      <c r="BO16" s="194" t="str">
        <f aca="false">IF(Model!BM24=0,"",Model!BM24)</f>
        <v/>
      </c>
      <c r="BP16" s="194" t="str">
        <f aca="false">IF(Model!BN24=0,"",Model!BN24)</f>
        <v/>
      </c>
      <c r="BQ16" s="194" t="str">
        <f aca="false">IF(Model!BO24=0,"",Model!BO24)</f>
        <v/>
      </c>
      <c r="BR16" s="194" t="str">
        <f aca="false">IF(Model!BP24=0,"",Model!BP24)</f>
        <v/>
      </c>
      <c r="BS16" s="194" t="str">
        <f aca="false">IF(Model!BQ24=0,"",Model!BQ24)</f>
        <v/>
      </c>
      <c r="BT16" s="194" t="str">
        <f aca="false">IF(Model!BR24=0,"",Model!BR24)</f>
        <v/>
      </c>
      <c r="BU16" s="194" t="str">
        <f aca="false">IF(Model!BS24=0,"",Model!BS24)</f>
        <v/>
      </c>
      <c r="BV16" s="194" t="str">
        <f aca="false">IF(Model!BT24=0,"",Model!BT24)</f>
        <v/>
      </c>
      <c r="BW16" s="194" t="str">
        <f aca="false">IF(Model!BU24=0,"",Model!BU24)</f>
        <v/>
      </c>
      <c r="BX16" s="194" t="str">
        <f aca="false">IF(Model!BV24=0,"",Model!BV24)</f>
        <v/>
      </c>
      <c r="BY16" s="194" t="str">
        <f aca="false">IF(Model!BW24=0,"",Model!BW24)</f>
        <v/>
      </c>
      <c r="BZ16" s="194" t="str">
        <f aca="false">IF(Model!BX24=0,"",Model!BX24)</f>
        <v/>
      </c>
      <c r="CA16" s="194" t="str">
        <f aca="false">IF(Model!BY24=0,"",Model!BY24)</f>
        <v/>
      </c>
      <c r="CB16" s="194" t="str">
        <f aca="false">IF(Model!BZ24=0,"",Model!BZ24)</f>
        <v/>
      </c>
      <c r="CC16" s="194" t="str">
        <f aca="false">IF(Model!CA24=0,"",Model!CA24)</f>
        <v/>
      </c>
      <c r="CD16" s="194" t="str">
        <f aca="false">IF(Model!CB24=0,"",Model!CB24)</f>
        <v/>
      </c>
      <c r="CE16" s="194" t="str">
        <f aca="false">IF(Model!CC24=0,"",Model!CC24)</f>
        <v/>
      </c>
      <c r="CF16" s="194" t="str">
        <f aca="false">IF(Model!CD24=0,"",Model!CD24)</f>
        <v/>
      </c>
      <c r="CG16" s="194" t="str">
        <f aca="false">IF(Model!CE24=0,"",Model!CE24)</f>
        <v/>
      </c>
      <c r="CH16" s="194" t="str">
        <f aca="false">IF(Model!CF24=0,"",Model!CF24)</f>
        <v/>
      </c>
      <c r="CI16" s="194" t="str">
        <f aca="false">IF(Model!CG24=0,"",Model!CG24)</f>
        <v/>
      </c>
      <c r="CJ16" s="194" t="str">
        <f aca="false">IF(Model!CH24=0,"",Model!CH24)</f>
        <v/>
      </c>
      <c r="CK16" s="194" t="str">
        <f aca="false">IF(Model!CI24=0,"",Model!CI24)</f>
        <v/>
      </c>
      <c r="CL16" s="194" t="str">
        <f aca="false">IF(Model!CJ24=0,"",Model!CJ24)</f>
        <v/>
      </c>
      <c r="CM16" s="194" t="str">
        <f aca="false">IF(Model!CK24=0,"",Model!CK24)</f>
        <v/>
      </c>
      <c r="CN16" s="194" t="str">
        <f aca="false">IF(Model!CL24=0,"",Model!CL24)</f>
        <v/>
      </c>
      <c r="CO16" s="194" t="str">
        <f aca="false">IF(Model!CM24=0,"",Model!CM24)</f>
        <v/>
      </c>
      <c r="CP16" s="194" t="str">
        <f aca="false">IF(Model!CN24=0,"",Model!CN24)</f>
        <v/>
      </c>
      <c r="CQ16" s="194" t="str">
        <f aca="false">IF(Model!CO24=0,"",Model!CO24)</f>
        <v/>
      </c>
      <c r="CR16" s="194" t="str">
        <f aca="false">IF(Model!CP24=0,"",Model!CP24)</f>
        <v/>
      </c>
      <c r="CS16" s="194" t="str">
        <f aca="false">IF(Model!CQ24=0,"",Model!CQ24)</f>
        <v/>
      </c>
      <c r="CT16" s="194" t="str">
        <f aca="false">IF(Model!CR24=0,"",Model!CR24)</f>
        <v/>
      </c>
      <c r="CU16" s="194" t="str">
        <f aca="false">IF(Model!CS24=0,"",Model!CS24)</f>
        <v/>
      </c>
      <c r="CV16" s="194" t="str">
        <f aca="false">IF(Model!CT24=0,"",Model!CT24)</f>
        <v/>
      </c>
      <c r="CW16" s="194" t="str">
        <f aca="false">IF(Model!CU24=0,"",Model!CU24)</f>
        <v/>
      </c>
      <c r="CX16" s="194" t="str">
        <f aca="false">IF(Model!CV24=0,"",Model!CV24)</f>
        <v/>
      </c>
      <c r="CY16" s="194" t="str">
        <f aca="false">IF(Model!CW24=0,"",Model!CW24)</f>
        <v/>
      </c>
      <c r="CZ16" s="194" t="str">
        <f aca="false">IF(Model!CX24=0,"",Model!CX24)</f>
        <v/>
      </c>
      <c r="DA16" s="194" t="str">
        <f aca="false">IF(Model!CY24=0,"",Model!CY24)</f>
        <v/>
      </c>
      <c r="DB16" s="194" t="str">
        <f aca="false">IF(Model!CZ24=0,"",Model!CZ24)</f>
        <v/>
      </c>
    </row>
    <row r="17" customFormat="false" ht="15" hidden="false" customHeight="true" outlineLevel="0" collapsed="false">
      <c r="A17" s="125" t="s">
        <v>19</v>
      </c>
      <c r="B17" s="191" t="n">
        <f aca="false">Projects!$B$14</f>
        <v>41354632</v>
      </c>
      <c r="C17" s="192" t="n">
        <f aca="false">EDATE(Model!$E$2,Projects!$C$14-1)</f>
        <v>46905</v>
      </c>
      <c r="D17" s="192" t="n">
        <f aca="false">EDATE(Model!$E$2,Projects!$C$14+Projects!$D$14-2)</f>
        <v>47788</v>
      </c>
      <c r="E17" s="193" t="n">
        <f aca="false">Projects!$D$14</f>
        <v>30</v>
      </c>
      <c r="F17" s="191" t="n">
        <f aca="false">SUM(G17:DB17)</f>
        <v>36376071.917416</v>
      </c>
      <c r="G17" s="194" t="str">
        <f aca="false">IF(Model!E25=0,"",Model!E25)</f>
        <v/>
      </c>
      <c r="H17" s="194" t="str">
        <f aca="false">IF(Model!F25=0,"",Model!F25)</f>
        <v/>
      </c>
      <c r="I17" s="194" t="str">
        <f aca="false">IF(Model!G25=0,"",Model!G25)</f>
        <v/>
      </c>
      <c r="J17" s="194" t="str">
        <f aca="false">IF(Model!H25=0,"",Model!H25)</f>
        <v/>
      </c>
      <c r="K17" s="194" t="str">
        <f aca="false">IF(Model!I25=0,"",Model!I25)</f>
        <v/>
      </c>
      <c r="L17" s="194" t="str">
        <f aca="false">IF(Model!J25=0,"",Model!J25)</f>
        <v/>
      </c>
      <c r="M17" s="194" t="str">
        <f aca="false">IF(Model!K25=0,"",Model!K25)</f>
        <v/>
      </c>
      <c r="N17" s="194" t="str">
        <f aca="false">IF(Model!L25=0,"",Model!L25)</f>
        <v/>
      </c>
      <c r="O17" s="194" t="str">
        <f aca="false">IF(Model!M25=0,"",Model!M25)</f>
        <v/>
      </c>
      <c r="P17" s="194" t="str">
        <f aca="false">IF(Model!N25=0,"",Model!N25)</f>
        <v/>
      </c>
      <c r="Q17" s="194" t="str">
        <f aca="false">IF(Model!O25=0,"",Model!O25)</f>
        <v/>
      </c>
      <c r="R17" s="194" t="str">
        <f aca="false">IF(Model!P25=0,"",Model!P25)</f>
        <v/>
      </c>
      <c r="S17" s="194" t="str">
        <f aca="false">IF(Model!Q25=0,"",Model!Q25)</f>
        <v/>
      </c>
      <c r="T17" s="194" t="str">
        <f aca="false">IF(Model!R25=0,"",Model!R25)</f>
        <v/>
      </c>
      <c r="U17" s="194" t="str">
        <f aca="false">IF(Model!S25=0,"",Model!S25)</f>
        <v/>
      </c>
      <c r="V17" s="194" t="str">
        <f aca="false">IF(Model!T25=0,"",Model!T25)</f>
        <v/>
      </c>
      <c r="W17" s="194" t="str">
        <f aca="false">IF(Model!U25=0,"",Model!U25)</f>
        <v/>
      </c>
      <c r="X17" s="194" t="str">
        <f aca="false">IF(Model!V25=0,"",Model!V25)</f>
        <v/>
      </c>
      <c r="Y17" s="194" t="str">
        <f aca="false">IF(Model!W25=0,"",Model!W25)</f>
        <v/>
      </c>
      <c r="Z17" s="194" t="str">
        <f aca="false">IF(Model!X25=0,"",Model!X25)</f>
        <v/>
      </c>
      <c r="AA17" s="194" t="str">
        <f aca="false">IF(Model!Y25=0,"",Model!Y25)</f>
        <v/>
      </c>
      <c r="AB17" s="194" t="str">
        <f aca="false">IF(Model!Z25=0,"",Model!Z25)</f>
        <v/>
      </c>
      <c r="AC17" s="194" t="str">
        <f aca="false">IF(Model!AA25=0,"",Model!AA25)</f>
        <v/>
      </c>
      <c r="AD17" s="194" t="str">
        <f aca="false">IF(Model!AB25=0,"",Model!AB25)</f>
        <v/>
      </c>
      <c r="AE17" s="194" t="str">
        <f aca="false">IF(Model!AC25=0,"",Model!AC25)</f>
        <v/>
      </c>
      <c r="AF17" s="194" t="str">
        <f aca="false">IF(Model!AD25=0,"",Model!AD25)</f>
        <v/>
      </c>
      <c r="AG17" s="194" t="n">
        <f aca="false">IF(Model!AE25=0,"",Model!AE25)</f>
        <v>508191.288963453</v>
      </c>
      <c r="AH17" s="194" t="n">
        <f aca="false">IF(Model!AF25=0,"",Model!AF25)</f>
        <v>608145.434507453</v>
      </c>
      <c r="AI17" s="194" t="n">
        <f aca="false">IF(Model!AG25=0,"",Model!AG25)</f>
        <v>714385.484115453</v>
      </c>
      <c r="AJ17" s="194" t="n">
        <f aca="false">IF(Model!AH25=0,"",Model!AH25)</f>
        <v>825464.025667453</v>
      </c>
      <c r="AK17" s="194" t="n">
        <f aca="false">IF(Model!AI25=0,"",Model!AI25)</f>
        <v>939685.519251453</v>
      </c>
      <c r="AL17" s="194" t="n">
        <f aca="false">IF(Model!AJ25=0,"",Model!AJ25)</f>
        <v>1054982.23326745</v>
      </c>
      <c r="AM17" s="194" t="n">
        <f aca="false">IF(Model!AK25=0,"",Model!AK25)</f>
        <v>1169079.66295545</v>
      </c>
      <c r="AN17" s="194" t="n">
        <f aca="false">IF(Model!AL25=0,"",Model!AL25)</f>
        <v>1279496.53039545</v>
      </c>
      <c r="AO17" s="194" t="n">
        <f aca="false">IF(Model!AM25=0,"",Model!AM25)</f>
        <v>1383586.13913945</v>
      </c>
      <c r="AP17" s="194" t="n">
        <f aca="false">IF(Model!AN25=0,"",Model!AN25)</f>
        <v>1478825.85663545</v>
      </c>
      <c r="AQ17" s="194" t="n">
        <f aca="false">IF(Model!AO25=0,"",Model!AO25)</f>
        <v>1562651.69569945</v>
      </c>
      <c r="AR17" s="194" t="n">
        <f aca="false">IF(Model!AP25=0,"",Model!AP25)</f>
        <v>1632789.15157145</v>
      </c>
      <c r="AS17" s="194" t="n">
        <f aca="false">IF(Model!AQ25=0,"",Model!AQ25)</f>
        <v>1687294.55654745</v>
      </c>
      <c r="AT17" s="194" t="n">
        <f aca="false">IF(Model!AR25=0,"",Model!AR25)</f>
        <v>1724513.72534745</v>
      </c>
      <c r="AU17" s="194" t="n">
        <f aca="false">IF(Model!AS25=0,"",Model!AS25)</f>
        <v>1743412.79217145</v>
      </c>
      <c r="AV17" s="194" t="n">
        <f aca="false">IF(Model!AT25=0,"",Model!AT25)</f>
        <v>1743412.79217145</v>
      </c>
      <c r="AW17" s="194" t="n">
        <f aca="false">IF(Model!AU25=0,"",Model!AU25)</f>
        <v>1724513.72534745</v>
      </c>
      <c r="AX17" s="194" t="n">
        <f aca="false">IF(Model!AV25=0,"",Model!AV25)</f>
        <v>1687294.55654745</v>
      </c>
      <c r="AY17" s="194" t="n">
        <f aca="false">IF(Model!AW25=0,"",Model!AW25)</f>
        <v>1632789.15157145</v>
      </c>
      <c r="AZ17" s="194" t="n">
        <f aca="false">IF(Model!AX25=0,"",Model!AX25)</f>
        <v>1562651.69569945</v>
      </c>
      <c r="BA17" s="194" t="n">
        <f aca="false">IF(Model!AY25=0,"",Model!AY25)</f>
        <v>1478825.85663545</v>
      </c>
      <c r="BB17" s="194" t="n">
        <f aca="false">IF(Model!AZ25=0,"",Model!AZ25)</f>
        <v>1383586.13913945</v>
      </c>
      <c r="BC17" s="194" t="n">
        <f aca="false">IF(Model!BA25=0,"",Model!BA25)</f>
        <v>1279496.53039545</v>
      </c>
      <c r="BD17" s="194" t="n">
        <f aca="false">IF(Model!BB25=0,"",Model!BB25)</f>
        <v>1169079.66295545</v>
      </c>
      <c r="BE17" s="194" t="n">
        <f aca="false">IF(Model!BC25=0,"",Model!BC25)</f>
        <v>1054982.23326745</v>
      </c>
      <c r="BF17" s="194" t="n">
        <f aca="false">IF(Model!BD25=0,"",Model!BD25)</f>
        <v>939685.519251453</v>
      </c>
      <c r="BG17" s="194" t="n">
        <f aca="false">IF(Model!BE25=0,"",Model!BE25)</f>
        <v>825464.025667453</v>
      </c>
      <c r="BH17" s="194" t="n">
        <f aca="false">IF(Model!BF25=0,"",Model!BF25)</f>
        <v>714385.484115453</v>
      </c>
      <c r="BI17" s="194" t="n">
        <f aca="false">IF(Model!BG25=0,"",Model!BG25)</f>
        <v>608145.434507453</v>
      </c>
      <c r="BJ17" s="194" t="n">
        <f aca="false">IF(Model!BH25=0,"",Model!BH25)</f>
        <v>259255.013907853</v>
      </c>
      <c r="BK17" s="194" t="str">
        <f aca="false">IF(Model!BI25=0,"",Model!BI25)</f>
        <v/>
      </c>
      <c r="BL17" s="194" t="str">
        <f aca="false">IF(Model!BJ25=0,"",Model!BJ25)</f>
        <v/>
      </c>
      <c r="BM17" s="194" t="str">
        <f aca="false">IF(Model!BK25=0,"",Model!BK25)</f>
        <v/>
      </c>
      <c r="BN17" s="194" t="str">
        <f aca="false">IF(Model!BL25=0,"",Model!BL25)</f>
        <v/>
      </c>
      <c r="BO17" s="194" t="str">
        <f aca="false">IF(Model!BM25=0,"",Model!BM25)</f>
        <v/>
      </c>
      <c r="BP17" s="194" t="str">
        <f aca="false">IF(Model!BN25=0,"",Model!BN25)</f>
        <v/>
      </c>
      <c r="BQ17" s="194" t="str">
        <f aca="false">IF(Model!BO25=0,"",Model!BO25)</f>
        <v/>
      </c>
      <c r="BR17" s="194" t="str">
        <f aca="false">IF(Model!BP25=0,"",Model!BP25)</f>
        <v/>
      </c>
      <c r="BS17" s="194" t="str">
        <f aca="false">IF(Model!BQ25=0,"",Model!BQ25)</f>
        <v/>
      </c>
      <c r="BT17" s="194" t="str">
        <f aca="false">IF(Model!BR25=0,"",Model!BR25)</f>
        <v/>
      </c>
      <c r="BU17" s="194" t="str">
        <f aca="false">IF(Model!BS25=0,"",Model!BS25)</f>
        <v/>
      </c>
      <c r="BV17" s="194" t="str">
        <f aca="false">IF(Model!BT25=0,"",Model!BT25)</f>
        <v/>
      </c>
      <c r="BW17" s="194" t="str">
        <f aca="false">IF(Model!BU25=0,"",Model!BU25)</f>
        <v/>
      </c>
      <c r="BX17" s="194" t="str">
        <f aca="false">IF(Model!BV25=0,"",Model!BV25)</f>
        <v/>
      </c>
      <c r="BY17" s="194" t="str">
        <f aca="false">IF(Model!BW25=0,"",Model!BW25)</f>
        <v/>
      </c>
      <c r="BZ17" s="194" t="str">
        <f aca="false">IF(Model!BX25=0,"",Model!BX25)</f>
        <v/>
      </c>
      <c r="CA17" s="194" t="str">
        <f aca="false">IF(Model!BY25=0,"",Model!BY25)</f>
        <v/>
      </c>
      <c r="CB17" s="194" t="str">
        <f aca="false">IF(Model!BZ25=0,"",Model!BZ25)</f>
        <v/>
      </c>
      <c r="CC17" s="194" t="str">
        <f aca="false">IF(Model!CA25=0,"",Model!CA25)</f>
        <v/>
      </c>
      <c r="CD17" s="194" t="str">
        <f aca="false">IF(Model!CB25=0,"",Model!CB25)</f>
        <v/>
      </c>
      <c r="CE17" s="194" t="str">
        <f aca="false">IF(Model!CC25=0,"",Model!CC25)</f>
        <v/>
      </c>
      <c r="CF17" s="194" t="str">
        <f aca="false">IF(Model!CD25=0,"",Model!CD25)</f>
        <v/>
      </c>
      <c r="CG17" s="194" t="str">
        <f aca="false">IF(Model!CE25=0,"",Model!CE25)</f>
        <v/>
      </c>
      <c r="CH17" s="194" t="str">
        <f aca="false">IF(Model!CF25=0,"",Model!CF25)</f>
        <v/>
      </c>
      <c r="CI17" s="194" t="str">
        <f aca="false">IF(Model!CG25=0,"",Model!CG25)</f>
        <v/>
      </c>
      <c r="CJ17" s="194" t="str">
        <f aca="false">IF(Model!CH25=0,"",Model!CH25)</f>
        <v/>
      </c>
      <c r="CK17" s="194" t="str">
        <f aca="false">IF(Model!CI25=0,"",Model!CI25)</f>
        <v/>
      </c>
      <c r="CL17" s="194" t="str">
        <f aca="false">IF(Model!CJ25=0,"",Model!CJ25)</f>
        <v/>
      </c>
      <c r="CM17" s="194" t="str">
        <f aca="false">IF(Model!CK25=0,"",Model!CK25)</f>
        <v/>
      </c>
      <c r="CN17" s="194" t="str">
        <f aca="false">IF(Model!CL25=0,"",Model!CL25)</f>
        <v/>
      </c>
      <c r="CO17" s="194" t="str">
        <f aca="false">IF(Model!CM25=0,"",Model!CM25)</f>
        <v/>
      </c>
      <c r="CP17" s="194" t="str">
        <f aca="false">IF(Model!CN25=0,"",Model!CN25)</f>
        <v/>
      </c>
      <c r="CQ17" s="194" t="str">
        <f aca="false">IF(Model!CO25=0,"",Model!CO25)</f>
        <v/>
      </c>
      <c r="CR17" s="194" t="str">
        <f aca="false">IF(Model!CP25=0,"",Model!CP25)</f>
        <v/>
      </c>
      <c r="CS17" s="194" t="str">
        <f aca="false">IF(Model!CQ25=0,"",Model!CQ25)</f>
        <v/>
      </c>
      <c r="CT17" s="194" t="str">
        <f aca="false">IF(Model!CR25=0,"",Model!CR25)</f>
        <v/>
      </c>
      <c r="CU17" s="194" t="str">
        <f aca="false">IF(Model!CS25=0,"",Model!CS25)</f>
        <v/>
      </c>
      <c r="CV17" s="194" t="str">
        <f aca="false">IF(Model!CT25=0,"",Model!CT25)</f>
        <v/>
      </c>
      <c r="CW17" s="194" t="str">
        <f aca="false">IF(Model!CU25=0,"",Model!CU25)</f>
        <v/>
      </c>
      <c r="CX17" s="194" t="str">
        <f aca="false">IF(Model!CV25=0,"",Model!CV25)</f>
        <v/>
      </c>
      <c r="CY17" s="194" t="str">
        <f aca="false">IF(Model!CW25=0,"",Model!CW25)</f>
        <v/>
      </c>
      <c r="CZ17" s="194" t="str">
        <f aca="false">IF(Model!CX25=0,"",Model!CX25)</f>
        <v/>
      </c>
      <c r="DA17" s="194" t="str">
        <f aca="false">IF(Model!CY25=0,"",Model!CY25)</f>
        <v/>
      </c>
      <c r="DB17" s="194" t="str">
        <f aca="false">IF(Model!CZ25=0,"",Model!CZ25)</f>
        <v/>
      </c>
    </row>
    <row r="18" customFormat="false" ht="15" hidden="false" customHeight="true" outlineLevel="0" collapsed="false">
      <c r="A18" s="125" t="s">
        <v>20</v>
      </c>
      <c r="B18" s="191" t="n">
        <f aca="false">Projects!$B$17</f>
        <v>15316015</v>
      </c>
      <c r="C18" s="192" t="n">
        <f aca="false">EDATE(Model!$E$2,Projects!$C$17-1)</f>
        <v>46508</v>
      </c>
      <c r="D18" s="192" t="n">
        <f aca="false">EDATE(Model!$E$2,Projects!$C$17+Projects!$D$17-2)</f>
        <v>47058</v>
      </c>
      <c r="E18" s="193" t="n">
        <f aca="false">Projects!$D$17</f>
        <v>19</v>
      </c>
      <c r="F18" s="191" t="n">
        <f aca="false">SUM(G18:DB18)</f>
        <v>13472104.638135</v>
      </c>
      <c r="G18" s="194" t="str">
        <f aca="false">IF(Model!E26=0,"",Model!E26)</f>
        <v/>
      </c>
      <c r="H18" s="194" t="str">
        <f aca="false">IF(Model!F26=0,"",Model!F26)</f>
        <v/>
      </c>
      <c r="I18" s="194" t="str">
        <f aca="false">IF(Model!G26=0,"",Model!G26)</f>
        <v/>
      </c>
      <c r="J18" s="194" t="str">
        <f aca="false">IF(Model!H26=0,"",Model!H26)</f>
        <v/>
      </c>
      <c r="K18" s="194" t="str">
        <f aca="false">IF(Model!I26=0,"",Model!I26)</f>
        <v/>
      </c>
      <c r="L18" s="194" t="str">
        <f aca="false">IF(Model!J26=0,"",Model!J26)</f>
        <v/>
      </c>
      <c r="M18" s="194" t="str">
        <f aca="false">IF(Model!K26=0,"",Model!K26)</f>
        <v/>
      </c>
      <c r="N18" s="194" t="str">
        <f aca="false">IF(Model!L26=0,"",Model!L26)</f>
        <v/>
      </c>
      <c r="O18" s="194" t="str">
        <f aca="false">IF(Model!M26=0,"",Model!M26)</f>
        <v/>
      </c>
      <c r="P18" s="194" t="str">
        <f aca="false">IF(Model!N26=0,"",Model!N26)</f>
        <v/>
      </c>
      <c r="Q18" s="194" t="str">
        <f aca="false">IF(Model!O26=0,"",Model!O26)</f>
        <v/>
      </c>
      <c r="R18" s="194" t="str">
        <f aca="false">IF(Model!P26=0,"",Model!P26)</f>
        <v/>
      </c>
      <c r="S18" s="194" t="str">
        <f aca="false">IF(Model!Q26=0,"",Model!Q26)</f>
        <v/>
      </c>
      <c r="T18" s="194" t="n">
        <f aca="false">IF(Model!R26=0,"",Model!R26)</f>
        <v>313939.25166175</v>
      </c>
      <c r="U18" s="194" t="n">
        <f aca="false">IF(Model!S26=0,"",Model!S26)</f>
        <v>409572.44932175</v>
      </c>
      <c r="V18" s="194" t="n">
        <f aca="false">IF(Model!T26=0,"",Model!T26)</f>
        <v>512511.38613675</v>
      </c>
      <c r="W18" s="194" t="n">
        <f aca="false">IF(Model!U26=0,"",Model!U26)</f>
        <v>618651.37008675</v>
      </c>
      <c r="X18" s="194" t="n">
        <f aca="false">IF(Model!V26=0,"",Model!V26)</f>
        <v>722892.16817675</v>
      </c>
      <c r="Y18" s="194" t="n">
        <f aca="false">IF(Model!W26=0,"",Model!W26)</f>
        <v>819444.32673675</v>
      </c>
      <c r="Z18" s="194" t="n">
        <f aca="false">IF(Model!X26=0,"",Model!X26)</f>
        <v>902380.54796175</v>
      </c>
      <c r="AA18" s="194" t="n">
        <f aca="false">IF(Model!Y26=0,"",Model!Y26)</f>
        <v>966202.38246675</v>
      </c>
      <c r="AB18" s="194" t="n">
        <f aca="false">IF(Model!Z26=0,"",Model!Z26)</f>
        <v>1006452.86988675</v>
      </c>
      <c r="AC18" s="194" t="n">
        <f aca="false">IF(Model!AA26=0,"",Model!AA26)</f>
        <v>1020206.65135675</v>
      </c>
      <c r="AD18" s="194" t="n">
        <f aca="false">IF(Model!AB26=0,"",Model!AB26)</f>
        <v>1006452.86988675</v>
      </c>
      <c r="AE18" s="194" t="n">
        <f aca="false">IF(Model!AC26=0,"",Model!AC26)</f>
        <v>966202.38246675</v>
      </c>
      <c r="AF18" s="194" t="n">
        <f aca="false">IF(Model!AD26=0,"",Model!AD26)</f>
        <v>902380.54796175</v>
      </c>
      <c r="AG18" s="194" t="n">
        <f aca="false">IF(Model!AE26=0,"",Model!AE26)</f>
        <v>819444.32673675</v>
      </c>
      <c r="AH18" s="194" t="n">
        <f aca="false">IF(Model!AF26=0,"",Model!AF26)</f>
        <v>722892.16817675</v>
      </c>
      <c r="AI18" s="194" t="n">
        <f aca="false">IF(Model!AG26=0,"",Model!AG26)</f>
        <v>618651.37008675</v>
      </c>
      <c r="AJ18" s="194" t="n">
        <f aca="false">IF(Model!AH26=0,"",Model!AH26)</f>
        <v>512511.38613675</v>
      </c>
      <c r="AK18" s="194" t="n">
        <f aca="false">IF(Model!AI26=0,"",Model!AI26)</f>
        <v>409572.44932175</v>
      </c>
      <c r="AL18" s="194" t="n">
        <f aca="false">IF(Model!AJ26=0,"",Model!AJ26)</f>
        <v>221743.7335685</v>
      </c>
      <c r="AM18" s="194" t="str">
        <f aca="false">IF(Model!AK26=0,"",Model!AK26)</f>
        <v/>
      </c>
      <c r="AN18" s="194" t="str">
        <f aca="false">IF(Model!AL26=0,"",Model!AL26)</f>
        <v/>
      </c>
      <c r="AO18" s="194" t="str">
        <f aca="false">IF(Model!AM26=0,"",Model!AM26)</f>
        <v/>
      </c>
      <c r="AP18" s="194" t="str">
        <f aca="false">IF(Model!AN26=0,"",Model!AN26)</f>
        <v/>
      </c>
      <c r="AQ18" s="194" t="str">
        <f aca="false">IF(Model!AO26=0,"",Model!AO26)</f>
        <v/>
      </c>
      <c r="AR18" s="194" t="str">
        <f aca="false">IF(Model!AP26=0,"",Model!AP26)</f>
        <v/>
      </c>
      <c r="AS18" s="194" t="str">
        <f aca="false">IF(Model!AQ26=0,"",Model!AQ26)</f>
        <v/>
      </c>
      <c r="AT18" s="194" t="str">
        <f aca="false">IF(Model!AR26=0,"",Model!AR26)</f>
        <v/>
      </c>
      <c r="AU18" s="194" t="str">
        <f aca="false">IF(Model!AS26=0,"",Model!AS26)</f>
        <v/>
      </c>
      <c r="AV18" s="194" t="str">
        <f aca="false">IF(Model!AT26=0,"",Model!AT26)</f>
        <v/>
      </c>
      <c r="AW18" s="194" t="str">
        <f aca="false">IF(Model!AU26=0,"",Model!AU26)</f>
        <v/>
      </c>
      <c r="AX18" s="194" t="str">
        <f aca="false">IF(Model!AV26=0,"",Model!AV26)</f>
        <v/>
      </c>
      <c r="AY18" s="194" t="str">
        <f aca="false">IF(Model!AW26=0,"",Model!AW26)</f>
        <v/>
      </c>
      <c r="AZ18" s="194" t="str">
        <f aca="false">IF(Model!AX26=0,"",Model!AX26)</f>
        <v/>
      </c>
      <c r="BA18" s="194" t="str">
        <f aca="false">IF(Model!AY26=0,"",Model!AY26)</f>
        <v/>
      </c>
      <c r="BB18" s="194" t="str">
        <f aca="false">IF(Model!AZ26=0,"",Model!AZ26)</f>
        <v/>
      </c>
      <c r="BC18" s="194" t="str">
        <f aca="false">IF(Model!BA26=0,"",Model!BA26)</f>
        <v/>
      </c>
      <c r="BD18" s="194" t="str">
        <f aca="false">IF(Model!BB26=0,"",Model!BB26)</f>
        <v/>
      </c>
      <c r="BE18" s="194" t="str">
        <f aca="false">IF(Model!BC26=0,"",Model!BC26)</f>
        <v/>
      </c>
      <c r="BF18" s="194" t="str">
        <f aca="false">IF(Model!BD26=0,"",Model!BD26)</f>
        <v/>
      </c>
      <c r="BG18" s="194" t="str">
        <f aca="false">IF(Model!BE26=0,"",Model!BE26)</f>
        <v/>
      </c>
      <c r="BH18" s="194" t="str">
        <f aca="false">IF(Model!BF26=0,"",Model!BF26)</f>
        <v/>
      </c>
      <c r="BI18" s="194" t="str">
        <f aca="false">IF(Model!BG26=0,"",Model!BG26)</f>
        <v/>
      </c>
      <c r="BJ18" s="194" t="str">
        <f aca="false">IF(Model!BH26=0,"",Model!BH26)</f>
        <v/>
      </c>
      <c r="BK18" s="194" t="str">
        <f aca="false">IF(Model!BI26=0,"",Model!BI26)</f>
        <v/>
      </c>
      <c r="BL18" s="194" t="str">
        <f aca="false">IF(Model!BJ26=0,"",Model!BJ26)</f>
        <v/>
      </c>
      <c r="BM18" s="194" t="str">
        <f aca="false">IF(Model!BK26=0,"",Model!BK26)</f>
        <v/>
      </c>
      <c r="BN18" s="194" t="str">
        <f aca="false">IF(Model!BL26=0,"",Model!BL26)</f>
        <v/>
      </c>
      <c r="BO18" s="194" t="str">
        <f aca="false">IF(Model!BM26=0,"",Model!BM26)</f>
        <v/>
      </c>
      <c r="BP18" s="194" t="str">
        <f aca="false">IF(Model!BN26=0,"",Model!BN26)</f>
        <v/>
      </c>
      <c r="BQ18" s="194" t="str">
        <f aca="false">IF(Model!BO26=0,"",Model!BO26)</f>
        <v/>
      </c>
      <c r="BR18" s="194" t="str">
        <f aca="false">IF(Model!BP26=0,"",Model!BP26)</f>
        <v/>
      </c>
      <c r="BS18" s="194" t="str">
        <f aca="false">IF(Model!BQ26=0,"",Model!BQ26)</f>
        <v/>
      </c>
      <c r="BT18" s="194" t="str">
        <f aca="false">IF(Model!BR26=0,"",Model!BR26)</f>
        <v/>
      </c>
      <c r="BU18" s="194" t="str">
        <f aca="false">IF(Model!BS26=0,"",Model!BS26)</f>
        <v/>
      </c>
      <c r="BV18" s="194" t="str">
        <f aca="false">IF(Model!BT26=0,"",Model!BT26)</f>
        <v/>
      </c>
      <c r="BW18" s="194" t="str">
        <f aca="false">IF(Model!BU26=0,"",Model!BU26)</f>
        <v/>
      </c>
      <c r="BX18" s="194" t="str">
        <f aca="false">IF(Model!BV26=0,"",Model!BV26)</f>
        <v/>
      </c>
      <c r="BY18" s="194" t="str">
        <f aca="false">IF(Model!BW26=0,"",Model!BW26)</f>
        <v/>
      </c>
      <c r="BZ18" s="194" t="str">
        <f aca="false">IF(Model!BX26=0,"",Model!BX26)</f>
        <v/>
      </c>
      <c r="CA18" s="194" t="str">
        <f aca="false">IF(Model!BY26=0,"",Model!BY26)</f>
        <v/>
      </c>
      <c r="CB18" s="194" t="str">
        <f aca="false">IF(Model!BZ26=0,"",Model!BZ26)</f>
        <v/>
      </c>
      <c r="CC18" s="194" t="str">
        <f aca="false">IF(Model!CA26=0,"",Model!CA26)</f>
        <v/>
      </c>
      <c r="CD18" s="194" t="str">
        <f aca="false">IF(Model!CB26=0,"",Model!CB26)</f>
        <v/>
      </c>
      <c r="CE18" s="194" t="str">
        <f aca="false">IF(Model!CC26=0,"",Model!CC26)</f>
        <v/>
      </c>
      <c r="CF18" s="194" t="str">
        <f aca="false">IF(Model!CD26=0,"",Model!CD26)</f>
        <v/>
      </c>
      <c r="CG18" s="194" t="str">
        <f aca="false">IF(Model!CE26=0,"",Model!CE26)</f>
        <v/>
      </c>
      <c r="CH18" s="194" t="str">
        <f aca="false">IF(Model!CF26=0,"",Model!CF26)</f>
        <v/>
      </c>
      <c r="CI18" s="194" t="str">
        <f aca="false">IF(Model!CG26=0,"",Model!CG26)</f>
        <v/>
      </c>
      <c r="CJ18" s="194" t="str">
        <f aca="false">IF(Model!CH26=0,"",Model!CH26)</f>
        <v/>
      </c>
      <c r="CK18" s="194" t="str">
        <f aca="false">IF(Model!CI26=0,"",Model!CI26)</f>
        <v/>
      </c>
      <c r="CL18" s="194" t="str">
        <f aca="false">IF(Model!CJ26=0,"",Model!CJ26)</f>
        <v/>
      </c>
      <c r="CM18" s="194" t="str">
        <f aca="false">IF(Model!CK26=0,"",Model!CK26)</f>
        <v/>
      </c>
      <c r="CN18" s="194" t="str">
        <f aca="false">IF(Model!CL26=0,"",Model!CL26)</f>
        <v/>
      </c>
      <c r="CO18" s="194" t="str">
        <f aca="false">IF(Model!CM26=0,"",Model!CM26)</f>
        <v/>
      </c>
      <c r="CP18" s="194" t="str">
        <f aca="false">IF(Model!CN26=0,"",Model!CN26)</f>
        <v/>
      </c>
      <c r="CQ18" s="194" t="str">
        <f aca="false">IF(Model!CO26=0,"",Model!CO26)</f>
        <v/>
      </c>
      <c r="CR18" s="194" t="str">
        <f aca="false">IF(Model!CP26=0,"",Model!CP26)</f>
        <v/>
      </c>
      <c r="CS18" s="194" t="str">
        <f aca="false">IF(Model!CQ26=0,"",Model!CQ26)</f>
        <v/>
      </c>
      <c r="CT18" s="194" t="str">
        <f aca="false">IF(Model!CR26=0,"",Model!CR26)</f>
        <v/>
      </c>
      <c r="CU18" s="194" t="str">
        <f aca="false">IF(Model!CS26=0,"",Model!CS26)</f>
        <v/>
      </c>
      <c r="CV18" s="194" t="str">
        <f aca="false">IF(Model!CT26=0,"",Model!CT26)</f>
        <v/>
      </c>
      <c r="CW18" s="194" t="str">
        <f aca="false">IF(Model!CU26=0,"",Model!CU26)</f>
        <v/>
      </c>
      <c r="CX18" s="194" t="str">
        <f aca="false">IF(Model!CV26=0,"",Model!CV26)</f>
        <v/>
      </c>
      <c r="CY18" s="194" t="str">
        <f aca="false">IF(Model!CW26=0,"",Model!CW26)</f>
        <v/>
      </c>
      <c r="CZ18" s="194" t="str">
        <f aca="false">IF(Model!CX26=0,"",Model!CX26)</f>
        <v/>
      </c>
      <c r="DA18" s="194" t="str">
        <f aca="false">IF(Model!CY26=0,"",Model!CY26)</f>
        <v/>
      </c>
      <c r="DB18" s="194" t="str">
        <f aca="false">IF(Model!CZ26=0,"",Model!CZ26)</f>
        <v/>
      </c>
    </row>
    <row r="19" customFormat="false" ht="15" hidden="false" customHeight="true" outlineLevel="0" collapsed="false">
      <c r="A19" s="125" t="s">
        <v>21</v>
      </c>
      <c r="B19" s="191" t="n">
        <f aca="false">Projects!$B$18</f>
        <v>11317385</v>
      </c>
      <c r="C19" s="192" t="n">
        <f aca="false">EDATE(Model!$E$2,Projects!$C$18-1)</f>
        <v>46539</v>
      </c>
      <c r="D19" s="192" t="n">
        <f aca="false">EDATE(Model!$E$2,Projects!$C$18+Projects!$D$18-2)</f>
        <v>47088</v>
      </c>
      <c r="E19" s="193" t="n">
        <f aca="false">Projects!$D$18</f>
        <v>19</v>
      </c>
      <c r="F19" s="191" t="n">
        <f aca="false">SUM(G19:DB19)</f>
        <v>9954873.702465</v>
      </c>
      <c r="G19" s="194" t="str">
        <f aca="false">IF(Model!E27=0,"",Model!E27)</f>
        <v/>
      </c>
      <c r="H19" s="194" t="str">
        <f aca="false">IF(Model!F27=0,"",Model!F27)</f>
        <v/>
      </c>
      <c r="I19" s="194" t="str">
        <f aca="false">IF(Model!G27=0,"",Model!G27)</f>
        <v/>
      </c>
      <c r="J19" s="194" t="str">
        <f aca="false">IF(Model!H27=0,"",Model!H27)</f>
        <v/>
      </c>
      <c r="K19" s="194" t="str">
        <f aca="false">IF(Model!I27=0,"",Model!I27)</f>
        <v/>
      </c>
      <c r="L19" s="194" t="str">
        <f aca="false">IF(Model!J27=0,"",Model!J27)</f>
        <v/>
      </c>
      <c r="M19" s="194" t="str">
        <f aca="false">IF(Model!K27=0,"",Model!K27)</f>
        <v/>
      </c>
      <c r="N19" s="194" t="str">
        <f aca="false">IF(Model!L27=0,"",Model!L27)</f>
        <v/>
      </c>
      <c r="O19" s="194" t="str">
        <f aca="false">IF(Model!M27=0,"",Model!M27)</f>
        <v/>
      </c>
      <c r="P19" s="194" t="str">
        <f aca="false">IF(Model!N27=0,"",Model!N27)</f>
        <v/>
      </c>
      <c r="Q19" s="194" t="str">
        <f aca="false">IF(Model!O27=0,"",Model!O27)</f>
        <v/>
      </c>
      <c r="R19" s="194" t="str">
        <f aca="false">IF(Model!P27=0,"",Model!P27)</f>
        <v/>
      </c>
      <c r="S19" s="194" t="str">
        <f aca="false">IF(Model!Q27=0,"",Model!Q27)</f>
        <v/>
      </c>
      <c r="T19" s="194" t="str">
        <f aca="false">IF(Model!R27=0,"",Model!R27)</f>
        <v/>
      </c>
      <c r="U19" s="194" t="n">
        <f aca="false">IF(Model!S27=0,"",Model!S27)</f>
        <v>231977.53316825</v>
      </c>
      <c r="V19" s="194" t="n">
        <f aca="false">IF(Model!T27=0,"",Model!T27)</f>
        <v>302643.28510825</v>
      </c>
      <c r="W19" s="194" t="n">
        <f aca="false">IF(Model!U27=0,"",Model!U27)</f>
        <v>378707.42969325</v>
      </c>
      <c r="X19" s="194" t="n">
        <f aca="false">IF(Model!V27=0,"",Model!V27)</f>
        <v>457136.90774325</v>
      </c>
      <c r="Y19" s="194" t="n">
        <f aca="false">IF(Model!W27=0,"",Model!W27)</f>
        <v>534163.03005325</v>
      </c>
      <c r="Z19" s="194" t="n">
        <f aca="false">IF(Model!X27=0,"",Model!X27)</f>
        <v>605507.82509325</v>
      </c>
      <c r="AA19" s="194" t="n">
        <f aca="false">IF(Model!Y27=0,"",Model!Y27)</f>
        <v>666791.46486825</v>
      </c>
      <c r="AB19" s="194" t="n">
        <f aca="false">IF(Model!Z27=0,"",Model!Z27)</f>
        <v>713951.00816325</v>
      </c>
      <c r="AC19" s="194" t="n">
        <f aca="false">IF(Model!AA27=0,"",Model!AA27)</f>
        <v>743693.09594325</v>
      </c>
      <c r="AD19" s="194" t="n">
        <f aca="false">IF(Model!AB27=0,"",Model!AB27)</f>
        <v>753856.10767325</v>
      </c>
      <c r="AE19" s="194" t="n">
        <f aca="false">IF(Model!AC27=0,"",Model!AC27)</f>
        <v>743693.09594325</v>
      </c>
      <c r="AF19" s="194" t="n">
        <f aca="false">IF(Model!AD27=0,"",Model!AD27)</f>
        <v>713951.00816325</v>
      </c>
      <c r="AG19" s="194" t="n">
        <f aca="false">IF(Model!AE27=0,"",Model!AE27)</f>
        <v>666791.46486825</v>
      </c>
      <c r="AH19" s="194" t="n">
        <f aca="false">IF(Model!AF27=0,"",Model!AF27)</f>
        <v>605507.82509325</v>
      </c>
      <c r="AI19" s="194" t="n">
        <f aca="false">IF(Model!AG27=0,"",Model!AG27)</f>
        <v>534163.03005325</v>
      </c>
      <c r="AJ19" s="194" t="n">
        <f aca="false">IF(Model!AH27=0,"",Model!AH27)</f>
        <v>457136.90774325</v>
      </c>
      <c r="AK19" s="194" t="n">
        <f aca="false">IF(Model!AI27=0,"",Model!AI27)</f>
        <v>378707.42969325</v>
      </c>
      <c r="AL19" s="194" t="n">
        <f aca="false">IF(Model!AJ27=0,"",Model!AJ27)</f>
        <v>302643.28510825</v>
      </c>
      <c r="AM19" s="194" t="n">
        <f aca="false">IF(Model!AK27=0,"",Model!AK27)</f>
        <v>163851.9682915</v>
      </c>
      <c r="AN19" s="194" t="str">
        <f aca="false">IF(Model!AL27=0,"",Model!AL27)</f>
        <v/>
      </c>
      <c r="AO19" s="194" t="str">
        <f aca="false">IF(Model!AM27=0,"",Model!AM27)</f>
        <v/>
      </c>
      <c r="AP19" s="194" t="str">
        <f aca="false">IF(Model!AN27=0,"",Model!AN27)</f>
        <v/>
      </c>
      <c r="AQ19" s="194" t="str">
        <f aca="false">IF(Model!AO27=0,"",Model!AO27)</f>
        <v/>
      </c>
      <c r="AR19" s="194" t="str">
        <f aca="false">IF(Model!AP27=0,"",Model!AP27)</f>
        <v/>
      </c>
      <c r="AS19" s="194" t="str">
        <f aca="false">IF(Model!AQ27=0,"",Model!AQ27)</f>
        <v/>
      </c>
      <c r="AT19" s="194" t="str">
        <f aca="false">IF(Model!AR27=0,"",Model!AR27)</f>
        <v/>
      </c>
      <c r="AU19" s="194" t="str">
        <f aca="false">IF(Model!AS27=0,"",Model!AS27)</f>
        <v/>
      </c>
      <c r="AV19" s="194" t="str">
        <f aca="false">IF(Model!AT27=0,"",Model!AT27)</f>
        <v/>
      </c>
      <c r="AW19" s="194" t="str">
        <f aca="false">IF(Model!AU27=0,"",Model!AU27)</f>
        <v/>
      </c>
      <c r="AX19" s="194" t="str">
        <f aca="false">IF(Model!AV27=0,"",Model!AV27)</f>
        <v/>
      </c>
      <c r="AY19" s="194" t="str">
        <f aca="false">IF(Model!AW27=0,"",Model!AW27)</f>
        <v/>
      </c>
      <c r="AZ19" s="194" t="str">
        <f aca="false">IF(Model!AX27=0,"",Model!AX27)</f>
        <v/>
      </c>
      <c r="BA19" s="194" t="str">
        <f aca="false">IF(Model!AY27=0,"",Model!AY27)</f>
        <v/>
      </c>
      <c r="BB19" s="194" t="str">
        <f aca="false">IF(Model!AZ27=0,"",Model!AZ27)</f>
        <v/>
      </c>
      <c r="BC19" s="194" t="str">
        <f aca="false">IF(Model!BA27=0,"",Model!BA27)</f>
        <v/>
      </c>
      <c r="BD19" s="194" t="str">
        <f aca="false">IF(Model!BB27=0,"",Model!BB27)</f>
        <v/>
      </c>
      <c r="BE19" s="194" t="str">
        <f aca="false">IF(Model!BC27=0,"",Model!BC27)</f>
        <v/>
      </c>
      <c r="BF19" s="194" t="str">
        <f aca="false">IF(Model!BD27=0,"",Model!BD27)</f>
        <v/>
      </c>
      <c r="BG19" s="194" t="str">
        <f aca="false">IF(Model!BE27=0,"",Model!BE27)</f>
        <v/>
      </c>
      <c r="BH19" s="194" t="str">
        <f aca="false">IF(Model!BF27=0,"",Model!BF27)</f>
        <v/>
      </c>
      <c r="BI19" s="194" t="str">
        <f aca="false">IF(Model!BG27=0,"",Model!BG27)</f>
        <v/>
      </c>
      <c r="BJ19" s="194" t="str">
        <f aca="false">IF(Model!BH27=0,"",Model!BH27)</f>
        <v/>
      </c>
      <c r="BK19" s="194" t="str">
        <f aca="false">IF(Model!BI27=0,"",Model!BI27)</f>
        <v/>
      </c>
      <c r="BL19" s="194" t="str">
        <f aca="false">IF(Model!BJ27=0,"",Model!BJ27)</f>
        <v/>
      </c>
      <c r="BM19" s="194" t="str">
        <f aca="false">IF(Model!BK27=0,"",Model!BK27)</f>
        <v/>
      </c>
      <c r="BN19" s="194" t="str">
        <f aca="false">IF(Model!BL27=0,"",Model!BL27)</f>
        <v/>
      </c>
      <c r="BO19" s="194" t="str">
        <f aca="false">IF(Model!BM27=0,"",Model!BM27)</f>
        <v/>
      </c>
      <c r="BP19" s="194" t="str">
        <f aca="false">IF(Model!BN27=0,"",Model!BN27)</f>
        <v/>
      </c>
      <c r="BQ19" s="194" t="str">
        <f aca="false">IF(Model!BO27=0,"",Model!BO27)</f>
        <v/>
      </c>
      <c r="BR19" s="194" t="str">
        <f aca="false">IF(Model!BP27=0,"",Model!BP27)</f>
        <v/>
      </c>
      <c r="BS19" s="194" t="str">
        <f aca="false">IF(Model!BQ27=0,"",Model!BQ27)</f>
        <v/>
      </c>
      <c r="BT19" s="194" t="str">
        <f aca="false">IF(Model!BR27=0,"",Model!BR27)</f>
        <v/>
      </c>
      <c r="BU19" s="194" t="str">
        <f aca="false">IF(Model!BS27=0,"",Model!BS27)</f>
        <v/>
      </c>
      <c r="BV19" s="194" t="str">
        <f aca="false">IF(Model!BT27=0,"",Model!BT27)</f>
        <v/>
      </c>
      <c r="BW19" s="194" t="str">
        <f aca="false">IF(Model!BU27=0,"",Model!BU27)</f>
        <v/>
      </c>
      <c r="BX19" s="194" t="str">
        <f aca="false">IF(Model!BV27=0,"",Model!BV27)</f>
        <v/>
      </c>
      <c r="BY19" s="194" t="str">
        <f aca="false">IF(Model!BW27=0,"",Model!BW27)</f>
        <v/>
      </c>
      <c r="BZ19" s="194" t="str">
        <f aca="false">IF(Model!BX27=0,"",Model!BX27)</f>
        <v/>
      </c>
      <c r="CA19" s="194" t="str">
        <f aca="false">IF(Model!BY27=0,"",Model!BY27)</f>
        <v/>
      </c>
      <c r="CB19" s="194" t="str">
        <f aca="false">IF(Model!BZ27=0,"",Model!BZ27)</f>
        <v/>
      </c>
      <c r="CC19" s="194" t="str">
        <f aca="false">IF(Model!CA27=0,"",Model!CA27)</f>
        <v/>
      </c>
      <c r="CD19" s="194" t="str">
        <f aca="false">IF(Model!CB27=0,"",Model!CB27)</f>
        <v/>
      </c>
      <c r="CE19" s="194" t="str">
        <f aca="false">IF(Model!CC27=0,"",Model!CC27)</f>
        <v/>
      </c>
      <c r="CF19" s="194" t="str">
        <f aca="false">IF(Model!CD27=0,"",Model!CD27)</f>
        <v/>
      </c>
      <c r="CG19" s="194" t="str">
        <f aca="false">IF(Model!CE27=0,"",Model!CE27)</f>
        <v/>
      </c>
      <c r="CH19" s="194" t="str">
        <f aca="false">IF(Model!CF27=0,"",Model!CF27)</f>
        <v/>
      </c>
      <c r="CI19" s="194" t="str">
        <f aca="false">IF(Model!CG27=0,"",Model!CG27)</f>
        <v/>
      </c>
      <c r="CJ19" s="194" t="str">
        <f aca="false">IF(Model!CH27=0,"",Model!CH27)</f>
        <v/>
      </c>
      <c r="CK19" s="194" t="str">
        <f aca="false">IF(Model!CI27=0,"",Model!CI27)</f>
        <v/>
      </c>
      <c r="CL19" s="194" t="str">
        <f aca="false">IF(Model!CJ27=0,"",Model!CJ27)</f>
        <v/>
      </c>
      <c r="CM19" s="194" t="str">
        <f aca="false">IF(Model!CK27=0,"",Model!CK27)</f>
        <v/>
      </c>
      <c r="CN19" s="194" t="str">
        <f aca="false">IF(Model!CL27=0,"",Model!CL27)</f>
        <v/>
      </c>
      <c r="CO19" s="194" t="str">
        <f aca="false">IF(Model!CM27=0,"",Model!CM27)</f>
        <v/>
      </c>
      <c r="CP19" s="194" t="str">
        <f aca="false">IF(Model!CN27=0,"",Model!CN27)</f>
        <v/>
      </c>
      <c r="CQ19" s="194" t="str">
        <f aca="false">IF(Model!CO27=0,"",Model!CO27)</f>
        <v/>
      </c>
      <c r="CR19" s="194" t="str">
        <f aca="false">IF(Model!CP27=0,"",Model!CP27)</f>
        <v/>
      </c>
      <c r="CS19" s="194" t="str">
        <f aca="false">IF(Model!CQ27=0,"",Model!CQ27)</f>
        <v/>
      </c>
      <c r="CT19" s="194" t="str">
        <f aca="false">IF(Model!CR27=0,"",Model!CR27)</f>
        <v/>
      </c>
      <c r="CU19" s="194" t="str">
        <f aca="false">IF(Model!CS27=0,"",Model!CS27)</f>
        <v/>
      </c>
      <c r="CV19" s="194" t="str">
        <f aca="false">IF(Model!CT27=0,"",Model!CT27)</f>
        <v/>
      </c>
      <c r="CW19" s="194" t="str">
        <f aca="false">IF(Model!CU27=0,"",Model!CU27)</f>
        <v/>
      </c>
      <c r="CX19" s="194" t="str">
        <f aca="false">IF(Model!CV27=0,"",Model!CV27)</f>
        <v/>
      </c>
      <c r="CY19" s="194" t="str">
        <f aca="false">IF(Model!CW27=0,"",Model!CW27)</f>
        <v/>
      </c>
      <c r="CZ19" s="194" t="str">
        <f aca="false">IF(Model!CX27=0,"",Model!CX27)</f>
        <v/>
      </c>
      <c r="DA19" s="194" t="str">
        <f aca="false">IF(Model!CY27=0,"",Model!CY27)</f>
        <v/>
      </c>
      <c r="DB19" s="194" t="str">
        <f aca="false">IF(Model!CZ27=0,"",Model!CZ27)</f>
        <v/>
      </c>
    </row>
    <row r="20" customFormat="false" ht="15" hidden="false" customHeight="true" outlineLevel="0" collapsed="false">
      <c r="A20" s="125" t="s">
        <v>22</v>
      </c>
      <c r="B20" s="191" t="n">
        <f aca="false">Projects!$B$19</f>
        <v>18442769</v>
      </c>
      <c r="C20" s="192" t="n">
        <f aca="false">EDATE(Model!$E$2,Projects!$C$19-1)</f>
        <v>46569</v>
      </c>
      <c r="D20" s="192" t="n">
        <f aca="false">EDATE(Model!$E$2,Projects!$C$19+Projects!$D$19-2)</f>
        <v>47119</v>
      </c>
      <c r="E20" s="193" t="n">
        <f aca="false">Projects!$D$19</f>
        <v>19</v>
      </c>
      <c r="F20" s="191" t="n">
        <f aca="false">SUM(G20:DB20)</f>
        <v>16222425.597321</v>
      </c>
      <c r="G20" s="194" t="str">
        <f aca="false">IF(Model!E28=0,"",Model!E28)</f>
        <v/>
      </c>
      <c r="H20" s="194" t="str">
        <f aca="false">IF(Model!F28=0,"",Model!F28)</f>
        <v/>
      </c>
      <c r="I20" s="194" t="str">
        <f aca="false">IF(Model!G28=0,"",Model!G28)</f>
        <v/>
      </c>
      <c r="J20" s="194" t="str">
        <f aca="false">IF(Model!H28=0,"",Model!H28)</f>
        <v/>
      </c>
      <c r="K20" s="194" t="str">
        <f aca="false">IF(Model!I28=0,"",Model!I28)</f>
        <v/>
      </c>
      <c r="L20" s="194" t="str">
        <f aca="false">IF(Model!J28=0,"",Model!J28)</f>
        <v/>
      </c>
      <c r="M20" s="194" t="str">
        <f aca="false">IF(Model!K28=0,"",Model!K28)</f>
        <v/>
      </c>
      <c r="N20" s="194" t="str">
        <f aca="false">IF(Model!L28=0,"",Model!L28)</f>
        <v/>
      </c>
      <c r="O20" s="194" t="str">
        <f aca="false">IF(Model!M28=0,"",Model!M28)</f>
        <v/>
      </c>
      <c r="P20" s="194" t="str">
        <f aca="false">IF(Model!N28=0,"",Model!N28)</f>
        <v/>
      </c>
      <c r="Q20" s="194" t="str">
        <f aca="false">IF(Model!O28=0,"",Model!O28)</f>
        <v/>
      </c>
      <c r="R20" s="194" t="str">
        <f aca="false">IF(Model!P28=0,"",Model!P28)</f>
        <v/>
      </c>
      <c r="S20" s="194" t="str">
        <f aca="false">IF(Model!Q28=0,"",Model!Q28)</f>
        <v/>
      </c>
      <c r="T20" s="194" t="str">
        <f aca="false">IF(Model!R28=0,"",Model!R28)</f>
        <v/>
      </c>
      <c r="U20" s="194" t="str">
        <f aca="false">IF(Model!S28=0,"",Model!S28)</f>
        <v/>
      </c>
      <c r="V20" s="194" t="n">
        <f aca="false">IF(Model!T28=0,"",Model!T28)</f>
        <v>378029.73543905</v>
      </c>
      <c r="W20" s="194" t="n">
        <f aca="false">IF(Model!U28=0,"",Model!U28)</f>
        <v>493186.38507505</v>
      </c>
      <c r="X20" s="194" t="n">
        <f aca="false">IF(Model!V28=0,"",Model!V28)</f>
        <v>617140.23552405</v>
      </c>
      <c r="Y20" s="194" t="n">
        <f aca="false">IF(Model!W28=0,"",Model!W28)</f>
        <v>744948.62469405</v>
      </c>
      <c r="Z20" s="194" t="n">
        <f aca="false">IF(Model!X28=0,"",Model!X28)</f>
        <v>870470.11050805</v>
      </c>
      <c r="AA20" s="194" t="n">
        <f aca="false">IF(Model!Y28=0,"",Model!Y28)</f>
        <v>986733.32628405</v>
      </c>
      <c r="AB20" s="194" t="n">
        <f aca="false">IF(Model!Z28=0,"",Model!Z28)</f>
        <v>1086600.92041905</v>
      </c>
      <c r="AC20" s="194" t="n">
        <f aca="false">IF(Model!AA28=0,"",Model!AA28)</f>
        <v>1163451.93884205</v>
      </c>
      <c r="AD20" s="194" t="n">
        <f aca="false">IF(Model!AB28=0,"",Model!AB28)</f>
        <v>1211919.53577405</v>
      </c>
      <c r="AE20" s="194" t="n">
        <f aca="false">IF(Model!AC28=0,"",Model!AC28)</f>
        <v>1228481.14233605</v>
      </c>
      <c r="AF20" s="194" t="n">
        <f aca="false">IF(Model!AD28=0,"",Model!AD28)</f>
        <v>1211919.53577405</v>
      </c>
      <c r="AG20" s="194" t="n">
        <f aca="false">IF(Model!AE28=0,"",Model!AE28)</f>
        <v>1163451.93884205</v>
      </c>
      <c r="AH20" s="194" t="n">
        <f aca="false">IF(Model!AF28=0,"",Model!AF28)</f>
        <v>1086600.92041905</v>
      </c>
      <c r="AI20" s="194" t="n">
        <f aca="false">IF(Model!AG28=0,"",Model!AG28)</f>
        <v>986733.32628405</v>
      </c>
      <c r="AJ20" s="194" t="n">
        <f aca="false">IF(Model!AH28=0,"",Model!AH28)</f>
        <v>870470.11050805</v>
      </c>
      <c r="AK20" s="194" t="n">
        <f aca="false">IF(Model!AI28=0,"",Model!AI28)</f>
        <v>744948.62469405</v>
      </c>
      <c r="AL20" s="194" t="n">
        <f aca="false">IF(Model!AJ28=0,"",Model!AJ28)</f>
        <v>617140.23552405</v>
      </c>
      <c r="AM20" s="194" t="n">
        <f aca="false">IF(Model!AK28=0,"",Model!AK28)</f>
        <v>493186.38507505</v>
      </c>
      <c r="AN20" s="194" t="n">
        <f aca="false">IF(Model!AL28=0,"",Model!AL28)</f>
        <v>267012.5653051</v>
      </c>
      <c r="AO20" s="194" t="str">
        <f aca="false">IF(Model!AM28=0,"",Model!AM28)</f>
        <v/>
      </c>
      <c r="AP20" s="194" t="str">
        <f aca="false">IF(Model!AN28=0,"",Model!AN28)</f>
        <v/>
      </c>
      <c r="AQ20" s="194" t="str">
        <f aca="false">IF(Model!AO28=0,"",Model!AO28)</f>
        <v/>
      </c>
      <c r="AR20" s="194" t="str">
        <f aca="false">IF(Model!AP28=0,"",Model!AP28)</f>
        <v/>
      </c>
      <c r="AS20" s="194" t="str">
        <f aca="false">IF(Model!AQ28=0,"",Model!AQ28)</f>
        <v/>
      </c>
      <c r="AT20" s="194" t="str">
        <f aca="false">IF(Model!AR28=0,"",Model!AR28)</f>
        <v/>
      </c>
      <c r="AU20" s="194" t="str">
        <f aca="false">IF(Model!AS28=0,"",Model!AS28)</f>
        <v/>
      </c>
      <c r="AV20" s="194" t="str">
        <f aca="false">IF(Model!AT28=0,"",Model!AT28)</f>
        <v/>
      </c>
      <c r="AW20" s="194" t="str">
        <f aca="false">IF(Model!AU28=0,"",Model!AU28)</f>
        <v/>
      </c>
      <c r="AX20" s="194" t="str">
        <f aca="false">IF(Model!AV28=0,"",Model!AV28)</f>
        <v/>
      </c>
      <c r="AY20" s="194" t="str">
        <f aca="false">IF(Model!AW28=0,"",Model!AW28)</f>
        <v/>
      </c>
      <c r="AZ20" s="194" t="str">
        <f aca="false">IF(Model!AX28=0,"",Model!AX28)</f>
        <v/>
      </c>
      <c r="BA20" s="194" t="str">
        <f aca="false">IF(Model!AY28=0,"",Model!AY28)</f>
        <v/>
      </c>
      <c r="BB20" s="194" t="str">
        <f aca="false">IF(Model!AZ28=0,"",Model!AZ28)</f>
        <v/>
      </c>
      <c r="BC20" s="194" t="str">
        <f aca="false">IF(Model!BA28=0,"",Model!BA28)</f>
        <v/>
      </c>
      <c r="BD20" s="194" t="str">
        <f aca="false">IF(Model!BB28=0,"",Model!BB28)</f>
        <v/>
      </c>
      <c r="BE20" s="194" t="str">
        <f aca="false">IF(Model!BC28=0,"",Model!BC28)</f>
        <v/>
      </c>
      <c r="BF20" s="194" t="str">
        <f aca="false">IF(Model!BD28=0,"",Model!BD28)</f>
        <v/>
      </c>
      <c r="BG20" s="194" t="str">
        <f aca="false">IF(Model!BE28=0,"",Model!BE28)</f>
        <v/>
      </c>
      <c r="BH20" s="194" t="str">
        <f aca="false">IF(Model!BF28=0,"",Model!BF28)</f>
        <v/>
      </c>
      <c r="BI20" s="194" t="str">
        <f aca="false">IF(Model!BG28=0,"",Model!BG28)</f>
        <v/>
      </c>
      <c r="BJ20" s="194" t="str">
        <f aca="false">IF(Model!BH28=0,"",Model!BH28)</f>
        <v/>
      </c>
      <c r="BK20" s="194" t="str">
        <f aca="false">IF(Model!BI28=0,"",Model!BI28)</f>
        <v/>
      </c>
      <c r="BL20" s="194" t="str">
        <f aca="false">IF(Model!BJ28=0,"",Model!BJ28)</f>
        <v/>
      </c>
      <c r="BM20" s="194" t="str">
        <f aca="false">IF(Model!BK28=0,"",Model!BK28)</f>
        <v/>
      </c>
      <c r="BN20" s="194" t="str">
        <f aca="false">IF(Model!BL28=0,"",Model!BL28)</f>
        <v/>
      </c>
      <c r="BO20" s="194" t="str">
        <f aca="false">IF(Model!BM28=0,"",Model!BM28)</f>
        <v/>
      </c>
      <c r="BP20" s="194" t="str">
        <f aca="false">IF(Model!BN28=0,"",Model!BN28)</f>
        <v/>
      </c>
      <c r="BQ20" s="194" t="str">
        <f aca="false">IF(Model!BO28=0,"",Model!BO28)</f>
        <v/>
      </c>
      <c r="BR20" s="194" t="str">
        <f aca="false">IF(Model!BP28=0,"",Model!BP28)</f>
        <v/>
      </c>
      <c r="BS20" s="194" t="str">
        <f aca="false">IF(Model!BQ28=0,"",Model!BQ28)</f>
        <v/>
      </c>
      <c r="BT20" s="194" t="str">
        <f aca="false">IF(Model!BR28=0,"",Model!BR28)</f>
        <v/>
      </c>
      <c r="BU20" s="194" t="str">
        <f aca="false">IF(Model!BS28=0,"",Model!BS28)</f>
        <v/>
      </c>
      <c r="BV20" s="194" t="str">
        <f aca="false">IF(Model!BT28=0,"",Model!BT28)</f>
        <v/>
      </c>
      <c r="BW20" s="194" t="str">
        <f aca="false">IF(Model!BU28=0,"",Model!BU28)</f>
        <v/>
      </c>
      <c r="BX20" s="194" t="str">
        <f aca="false">IF(Model!BV28=0,"",Model!BV28)</f>
        <v/>
      </c>
      <c r="BY20" s="194" t="str">
        <f aca="false">IF(Model!BW28=0,"",Model!BW28)</f>
        <v/>
      </c>
      <c r="BZ20" s="194" t="str">
        <f aca="false">IF(Model!BX28=0,"",Model!BX28)</f>
        <v/>
      </c>
      <c r="CA20" s="194" t="str">
        <f aca="false">IF(Model!BY28=0,"",Model!BY28)</f>
        <v/>
      </c>
      <c r="CB20" s="194" t="str">
        <f aca="false">IF(Model!BZ28=0,"",Model!BZ28)</f>
        <v/>
      </c>
      <c r="CC20" s="194" t="str">
        <f aca="false">IF(Model!CA28=0,"",Model!CA28)</f>
        <v/>
      </c>
      <c r="CD20" s="194" t="str">
        <f aca="false">IF(Model!CB28=0,"",Model!CB28)</f>
        <v/>
      </c>
      <c r="CE20" s="194" t="str">
        <f aca="false">IF(Model!CC28=0,"",Model!CC28)</f>
        <v/>
      </c>
      <c r="CF20" s="194" t="str">
        <f aca="false">IF(Model!CD28=0,"",Model!CD28)</f>
        <v/>
      </c>
      <c r="CG20" s="194" t="str">
        <f aca="false">IF(Model!CE28=0,"",Model!CE28)</f>
        <v/>
      </c>
      <c r="CH20" s="194" t="str">
        <f aca="false">IF(Model!CF28=0,"",Model!CF28)</f>
        <v/>
      </c>
      <c r="CI20" s="194" t="str">
        <f aca="false">IF(Model!CG28=0,"",Model!CG28)</f>
        <v/>
      </c>
      <c r="CJ20" s="194" t="str">
        <f aca="false">IF(Model!CH28=0,"",Model!CH28)</f>
        <v/>
      </c>
      <c r="CK20" s="194" t="str">
        <f aca="false">IF(Model!CI28=0,"",Model!CI28)</f>
        <v/>
      </c>
      <c r="CL20" s="194" t="str">
        <f aca="false">IF(Model!CJ28=0,"",Model!CJ28)</f>
        <v/>
      </c>
      <c r="CM20" s="194" t="str">
        <f aca="false">IF(Model!CK28=0,"",Model!CK28)</f>
        <v/>
      </c>
      <c r="CN20" s="194" t="str">
        <f aca="false">IF(Model!CL28=0,"",Model!CL28)</f>
        <v/>
      </c>
      <c r="CO20" s="194" t="str">
        <f aca="false">IF(Model!CM28=0,"",Model!CM28)</f>
        <v/>
      </c>
      <c r="CP20" s="194" t="str">
        <f aca="false">IF(Model!CN28=0,"",Model!CN28)</f>
        <v/>
      </c>
      <c r="CQ20" s="194" t="str">
        <f aca="false">IF(Model!CO28=0,"",Model!CO28)</f>
        <v/>
      </c>
      <c r="CR20" s="194" t="str">
        <f aca="false">IF(Model!CP28=0,"",Model!CP28)</f>
        <v/>
      </c>
      <c r="CS20" s="194" t="str">
        <f aca="false">IF(Model!CQ28=0,"",Model!CQ28)</f>
        <v/>
      </c>
      <c r="CT20" s="194" t="str">
        <f aca="false">IF(Model!CR28=0,"",Model!CR28)</f>
        <v/>
      </c>
      <c r="CU20" s="194" t="str">
        <f aca="false">IF(Model!CS28=0,"",Model!CS28)</f>
        <v/>
      </c>
      <c r="CV20" s="194" t="str">
        <f aca="false">IF(Model!CT28=0,"",Model!CT28)</f>
        <v/>
      </c>
      <c r="CW20" s="194" t="str">
        <f aca="false">IF(Model!CU28=0,"",Model!CU28)</f>
        <v/>
      </c>
      <c r="CX20" s="194" t="str">
        <f aca="false">IF(Model!CV28=0,"",Model!CV28)</f>
        <v/>
      </c>
      <c r="CY20" s="194" t="str">
        <f aca="false">IF(Model!CW28=0,"",Model!CW28)</f>
        <v/>
      </c>
      <c r="CZ20" s="194" t="str">
        <f aca="false">IF(Model!CX28=0,"",Model!CX28)</f>
        <v/>
      </c>
      <c r="DA20" s="194" t="str">
        <f aca="false">IF(Model!CY28=0,"",Model!CY28)</f>
        <v/>
      </c>
      <c r="DB20" s="194" t="str">
        <f aca="false">IF(Model!CZ28=0,"",Model!CZ28)</f>
        <v/>
      </c>
    </row>
    <row r="21" customFormat="false" ht="15" hidden="false" customHeight="true" outlineLevel="0" collapsed="false">
      <c r="A21" s="94" t="s">
        <v>582</v>
      </c>
      <c r="G21" s="195" t="n">
        <f aca="false">SUM(G7:G20)+SUM(G24:G27)</f>
        <v>3312759.91</v>
      </c>
      <c r="H21" s="195" t="n">
        <f aca="false">SUM(H7:H20)+SUM(H24:H27)</f>
        <v>3939278.23</v>
      </c>
      <c r="I21" s="195" t="n">
        <f aca="false">SUM(I7:I20)+SUM(I24:I27)</f>
        <v>5584522.73</v>
      </c>
      <c r="J21" s="195" t="n">
        <f aca="false">SUM(J7:J20)+SUM(J24:J27)</f>
        <v>6409057.07</v>
      </c>
      <c r="K21" s="195" t="n">
        <f aca="false">SUM(K7:K20)+SUM(K24:K27)</f>
        <v>5304128.59</v>
      </c>
      <c r="L21" s="195" t="n">
        <f aca="false">SUM(L7:L20)+SUM(L24:L27)</f>
        <v>5120266.58613186</v>
      </c>
      <c r="M21" s="195" t="n">
        <f aca="false">SUM(M7:M20)+SUM(M24:M27)</f>
        <v>5314638.36576529</v>
      </c>
      <c r="N21" s="195" t="n">
        <f aca="false">SUM(N7:N20)+SUM(N24:N27)</f>
        <v>4584134.97988837</v>
      </c>
      <c r="O21" s="195" t="n">
        <f aca="false">SUM(O7:O20)+SUM(O24:O27)</f>
        <v>4551163.93984795</v>
      </c>
      <c r="P21" s="195" t="n">
        <f aca="false">SUM(P7:P20)+SUM(P24:P27)</f>
        <v>5652213.83488249</v>
      </c>
      <c r="Q21" s="195" t="n">
        <f aca="false">SUM(Q7:Q20)+SUM(Q24:Q27)</f>
        <v>5678924.56676773</v>
      </c>
      <c r="R21" s="195" t="n">
        <f aca="false">SUM(R7:R20)+SUM(R24:R27)</f>
        <v>6369213.91179984</v>
      </c>
      <c r="S21" s="195" t="n">
        <f aca="false">SUM(S7:S20)+SUM(S24:S27)</f>
        <v>6926644.90127187</v>
      </c>
      <c r="T21" s="195" t="n">
        <f aca="false">SUM(T7:T20)+SUM(T24:T27)</f>
        <v>7328656.83552692</v>
      </c>
      <c r="U21" s="195" t="n">
        <f aca="false">SUM(U7:U20)+SUM(U24:U27)</f>
        <v>8086686.66470567</v>
      </c>
      <c r="V21" s="195" t="n">
        <f aca="false">SUM(V7:V20)+SUM(V24:V27)</f>
        <v>9702571.30793667</v>
      </c>
      <c r="W21" s="195" t="n">
        <f aca="false">SUM(W7:W20)+SUM(W24:W27)</f>
        <v>9488891.93990192</v>
      </c>
      <c r="X21" s="195" t="n">
        <f aca="false">SUM(X7:X20)+SUM(X24:X27)</f>
        <v>10375072.7581756</v>
      </c>
      <c r="Y21" s="195" t="n">
        <f aca="false">SUM(Y7:Y20)+SUM(Y24:Y27)</f>
        <v>9469764.02134012</v>
      </c>
      <c r="Z21" s="195" t="n">
        <f aca="false">SUM(Z7:Z20)+SUM(Z24:Z27)</f>
        <v>11471758.8425016</v>
      </c>
      <c r="AA21" s="195" t="n">
        <f aca="false">SUM(AA7:AA20)+SUM(AA24:AA27)</f>
        <v>10579776.7097878</v>
      </c>
      <c r="AB21" s="195" t="n">
        <f aca="false">SUM(AB7:AB20)+SUM(AB24:AB27)</f>
        <v>11610500.2428034</v>
      </c>
      <c r="AC21" s="195" t="n">
        <f aca="false">SUM(AC7:AC20)+SUM(AC24:AC27)</f>
        <v>11128162.3447432</v>
      </c>
      <c r="AD21" s="195" t="n">
        <f aca="false">SUM(AD7:AD20)+SUM(AD24:AD27)</f>
        <v>10152595.0312114</v>
      </c>
      <c r="AE21" s="195" t="n">
        <f aca="false">SUM(AE7:AE20)+SUM(AE24:AE27)</f>
        <v>9352876.60245888</v>
      </c>
      <c r="AF21" s="195" t="n">
        <f aca="false">SUM(AF7:AF20)+SUM(AF24:AF27)</f>
        <v>9280688.47959108</v>
      </c>
      <c r="AG21" s="195" t="n">
        <f aca="false">SUM(AG7:AG20)+SUM(AG24:AG27)</f>
        <v>9365467.54317764</v>
      </c>
      <c r="AH21" s="195" t="n">
        <f aca="false">SUM(AH7:AH20)+SUM(AH24:AH27)</f>
        <v>9094725.21805217</v>
      </c>
      <c r="AI21" s="195" t="n">
        <f aca="false">SUM(AI7:AI20)+SUM(AI24:AI27)</f>
        <v>9282995.43448374</v>
      </c>
      <c r="AJ21" s="195" t="n">
        <f aca="false">SUM(AJ7:AJ20)+SUM(AJ24:AJ27)</f>
        <v>8649804.1922978</v>
      </c>
      <c r="AK21" s="195" t="n">
        <f aca="false">SUM(AK7:AK20)+SUM(AK24:AK27)</f>
        <v>8200590.38443356</v>
      </c>
      <c r="AL21" s="195" t="n">
        <f aca="false">SUM(AL7:AL20)+SUM(AL24:AL27)</f>
        <v>6663689.6061317</v>
      </c>
      <c r="AM21" s="195" t="n">
        <f aca="false">SUM(AM7:AM20)+SUM(AM24:AM27)</f>
        <v>5682126.57862863</v>
      </c>
      <c r="AN21" s="195" t="n">
        <f aca="false">SUM(AN7:AN20)+SUM(AN24:AN27)</f>
        <v>5242007.50872086</v>
      </c>
      <c r="AO21" s="195" t="n">
        <f aca="false">SUM(AO7:AO20)+SUM(AO24:AO27)</f>
        <v>4879099.59614228</v>
      </c>
      <c r="AP21" s="195" t="n">
        <f aca="false">SUM(AP7:AP20)+SUM(AP24:AP27)</f>
        <v>3910551.81681888</v>
      </c>
      <c r="AQ21" s="195" t="n">
        <f aca="false">SUM(AQ7:AQ20)+SUM(AQ24:AQ27)</f>
        <v>3418060.1996247</v>
      </c>
      <c r="AR21" s="195" t="n">
        <f aca="false">SUM(AR7:AR20)+SUM(AR24:AR27)</f>
        <v>3205729.49259518</v>
      </c>
      <c r="AS21" s="195" t="n">
        <f aca="false">SUM(AS7:AS20)+SUM(AS24:AS27)</f>
        <v>2471584.87084132</v>
      </c>
      <c r="AT21" s="195" t="n">
        <f aca="false">SUM(AT7:AT20)+SUM(AT24:AT27)</f>
        <v>2387217.49542132</v>
      </c>
      <c r="AU21" s="195" t="n">
        <f aca="false">SUM(AU7:AU20)+SUM(AU24:AU27)</f>
        <v>2289826.23011532</v>
      </c>
      <c r="AV21" s="195" t="n">
        <f aca="false">SUM(AV7:AV20)+SUM(AV24:AV27)</f>
        <v>1907930.86167182</v>
      </c>
      <c r="AW21" s="195" t="n">
        <f aca="false">SUM(AW7:AW20)+SUM(AW24:AW27)</f>
        <v>1454604.0722457</v>
      </c>
      <c r="AX21" s="195" t="n">
        <f aca="false">SUM(AX7:AX20)+SUM(AX24:AX27)</f>
        <v>1687294.55654745</v>
      </c>
      <c r="AY21" s="195" t="n">
        <f aca="false">SUM(AY7:AY20)+SUM(AY24:AY27)</f>
        <v>1632789.15157145</v>
      </c>
      <c r="AZ21" s="195" t="n">
        <f aca="false">SUM(AZ7:AZ20)+SUM(AZ24:AZ27)</f>
        <v>1562651.69569945</v>
      </c>
      <c r="BA21" s="195" t="n">
        <f aca="false">SUM(BA7:BA20)+SUM(BA24:BA27)</f>
        <v>1478825.85663545</v>
      </c>
      <c r="BB21" s="195" t="n">
        <f aca="false">SUM(BB7:BB20)+SUM(BB24:BB27)</f>
        <v>1383586.13913945</v>
      </c>
      <c r="BC21" s="195" t="n">
        <f aca="false">SUM(BC7:BC20)+SUM(BC24:BC27)</f>
        <v>1279496.53039545</v>
      </c>
      <c r="BD21" s="195" t="n">
        <f aca="false">SUM(BD7:BD20)+SUM(BD24:BD27)</f>
        <v>1169079.66295545</v>
      </c>
      <c r="BE21" s="195" t="n">
        <f aca="false">SUM(BE7:BE20)+SUM(BE24:BE27)</f>
        <v>1054982.23326745</v>
      </c>
      <c r="BF21" s="195" t="n">
        <f aca="false">SUM(BF7:BF20)+SUM(BF24:BF27)</f>
        <v>939685.519251453</v>
      </c>
      <c r="BG21" s="195" t="n">
        <f aca="false">SUM(BG7:BG20)+SUM(BG24:BG27)</f>
        <v>825464.025667453</v>
      </c>
      <c r="BH21" s="195" t="n">
        <f aca="false">SUM(BH7:BH20)+SUM(BH24:BH27)</f>
        <v>714385.484115453</v>
      </c>
      <c r="BI21" s="195" t="n">
        <f aca="false">SUM(BI7:BI20)+SUM(BI24:BI27)</f>
        <v>608145.434507453</v>
      </c>
      <c r="BJ21" s="195" t="n">
        <f aca="false">SUM(BJ7:BJ20)+SUM(BJ24:BJ27)</f>
        <v>259255.013907853</v>
      </c>
      <c r="BK21" s="195" t="n">
        <f aca="false">SUM(BK7:BK20)+SUM(BK24:BK27)</f>
        <v>0</v>
      </c>
      <c r="BL21" s="195" t="n">
        <f aca="false">SUM(BL7:BL20)+SUM(BL24:BL27)</f>
        <v>0</v>
      </c>
      <c r="BM21" s="195" t="n">
        <f aca="false">SUM(BM7:BM20)+SUM(BM24:BM27)</f>
        <v>0</v>
      </c>
      <c r="BN21" s="195" t="n">
        <f aca="false">SUM(BN7:BN20)+SUM(BN24:BN27)</f>
        <v>0</v>
      </c>
      <c r="BO21" s="195" t="n">
        <f aca="false">SUM(BO7:BO20)+SUM(BO24:BO27)</f>
        <v>0</v>
      </c>
      <c r="BP21" s="195" t="n">
        <f aca="false">SUM(BP7:BP20)+SUM(BP24:BP27)</f>
        <v>0</v>
      </c>
      <c r="BQ21" s="195" t="n">
        <f aca="false">SUM(BQ7:BQ20)+SUM(BQ24:BQ27)</f>
        <v>0</v>
      </c>
      <c r="BR21" s="195" t="n">
        <f aca="false">SUM(BR7:BR20)+SUM(BR24:BR27)</f>
        <v>0</v>
      </c>
      <c r="BS21" s="195" t="n">
        <f aca="false">SUM(BS7:BS20)+SUM(BS24:BS27)</f>
        <v>0</v>
      </c>
      <c r="BT21" s="195" t="n">
        <f aca="false">SUM(BT7:BT20)+SUM(BT24:BT27)</f>
        <v>0</v>
      </c>
      <c r="BU21" s="195" t="n">
        <f aca="false">SUM(BU7:BU20)+SUM(BU24:BU27)</f>
        <v>0</v>
      </c>
      <c r="BV21" s="195" t="n">
        <f aca="false">SUM(BV7:BV20)+SUM(BV24:BV27)</f>
        <v>0</v>
      </c>
      <c r="BW21" s="195" t="n">
        <f aca="false">SUM(BW7:BW20)+SUM(BW24:BW27)</f>
        <v>0</v>
      </c>
      <c r="BX21" s="195" t="n">
        <f aca="false">SUM(BX7:BX20)+SUM(BX24:BX27)</f>
        <v>0</v>
      </c>
      <c r="BY21" s="195" t="n">
        <f aca="false">SUM(BY7:BY20)+SUM(BY24:BY27)</f>
        <v>0</v>
      </c>
      <c r="BZ21" s="195" t="n">
        <f aca="false">SUM(BZ7:BZ20)+SUM(BZ24:BZ27)</f>
        <v>0</v>
      </c>
      <c r="CA21" s="195" t="n">
        <f aca="false">SUM(CA7:CA20)+SUM(CA24:CA27)</f>
        <v>0</v>
      </c>
      <c r="CB21" s="195" t="n">
        <f aca="false">SUM(CB7:CB20)+SUM(CB24:CB27)</f>
        <v>0</v>
      </c>
      <c r="CC21" s="195" t="n">
        <f aca="false">SUM(CC7:CC20)+SUM(CC24:CC27)</f>
        <v>0</v>
      </c>
      <c r="CD21" s="195" t="n">
        <f aca="false">SUM(CD7:CD20)+SUM(CD24:CD27)</f>
        <v>0</v>
      </c>
      <c r="CE21" s="195" t="n">
        <f aca="false">SUM(CE7:CE20)+SUM(CE24:CE27)</f>
        <v>0</v>
      </c>
      <c r="CF21" s="195" t="n">
        <f aca="false">SUM(CF7:CF20)+SUM(CF24:CF27)</f>
        <v>0</v>
      </c>
      <c r="CG21" s="195" t="n">
        <f aca="false">SUM(CG7:CG20)+SUM(CG24:CG27)</f>
        <v>0</v>
      </c>
      <c r="CH21" s="195" t="n">
        <f aca="false">SUM(CH7:CH20)+SUM(CH24:CH27)</f>
        <v>0</v>
      </c>
      <c r="CI21" s="195" t="n">
        <f aca="false">SUM(CI7:CI20)+SUM(CI24:CI27)</f>
        <v>0</v>
      </c>
      <c r="CJ21" s="195" t="n">
        <f aca="false">SUM(CJ7:CJ20)+SUM(CJ24:CJ27)</f>
        <v>0</v>
      </c>
      <c r="CK21" s="195" t="n">
        <f aca="false">SUM(CK7:CK20)+SUM(CK24:CK27)</f>
        <v>0</v>
      </c>
      <c r="CL21" s="195" t="n">
        <f aca="false">SUM(CL7:CL20)+SUM(CL24:CL27)</f>
        <v>0</v>
      </c>
      <c r="CM21" s="195" t="n">
        <f aca="false">SUM(CM7:CM20)+SUM(CM24:CM27)</f>
        <v>0</v>
      </c>
      <c r="CN21" s="195" t="n">
        <f aca="false">SUM(CN7:CN20)+SUM(CN24:CN27)</f>
        <v>0</v>
      </c>
      <c r="CO21" s="195" t="n">
        <f aca="false">SUM(CO7:CO20)+SUM(CO24:CO27)</f>
        <v>0</v>
      </c>
      <c r="CP21" s="195" t="n">
        <f aca="false">SUM(CP7:CP20)+SUM(CP24:CP27)</f>
        <v>0</v>
      </c>
      <c r="CQ21" s="195" t="n">
        <f aca="false">SUM(CQ7:CQ20)+SUM(CQ24:CQ27)</f>
        <v>0</v>
      </c>
      <c r="CR21" s="195" t="n">
        <f aca="false">SUM(CR7:CR20)+SUM(CR24:CR27)</f>
        <v>0</v>
      </c>
      <c r="CS21" s="195" t="n">
        <f aca="false">SUM(CS7:CS20)+SUM(CS24:CS27)</f>
        <v>0</v>
      </c>
      <c r="CT21" s="195" t="n">
        <f aca="false">SUM(CT7:CT20)+SUM(CT24:CT27)</f>
        <v>0</v>
      </c>
      <c r="CU21" s="195" t="n">
        <f aca="false">SUM(CU7:CU20)+SUM(CU24:CU27)</f>
        <v>0</v>
      </c>
      <c r="CV21" s="195" t="n">
        <f aca="false">SUM(CV7:CV20)+SUM(CV24:CV27)</f>
        <v>0</v>
      </c>
      <c r="CW21" s="195" t="n">
        <f aca="false">SUM(CW7:CW20)+SUM(CW24:CW27)</f>
        <v>0</v>
      </c>
      <c r="CX21" s="195" t="n">
        <f aca="false">SUM(CX7:CX20)+SUM(CX24:CX27)</f>
        <v>0</v>
      </c>
      <c r="CY21" s="195" t="n">
        <f aca="false">SUM(CY7:CY20)+SUM(CY24:CY27)</f>
        <v>0</v>
      </c>
      <c r="CZ21" s="195" t="n">
        <f aca="false">SUM(CZ7:CZ20)+SUM(CZ24:CZ27)</f>
        <v>0</v>
      </c>
      <c r="DA21" s="195" t="n">
        <f aca="false">SUM(DA7:DA20)+SUM(DA24:DA27)</f>
        <v>0</v>
      </c>
      <c r="DB21" s="195" t="n">
        <f aca="false">SUM(DB7:DB20)+SUM(DB24:DB27)</f>
        <v>0</v>
      </c>
    </row>
    <row r="22" customFormat="false" ht="15" hidden="false" customHeight="true" outlineLevel="0" collapsed="false">
      <c r="A22" s="94" t="s">
        <v>583</v>
      </c>
      <c r="G22" s="196" t="n">
        <f aca="false">COUNT(G7:G20)+COUNT(G24:G27)</f>
        <v>5</v>
      </c>
      <c r="H22" s="196" t="n">
        <f aca="false">COUNT(H7:H20)+COUNT(H24:H27)</f>
        <v>5</v>
      </c>
      <c r="I22" s="196" t="n">
        <f aca="false">COUNT(I7:I20)+COUNT(I24:I27)</f>
        <v>5</v>
      </c>
      <c r="J22" s="196" t="n">
        <f aca="false">COUNT(J7:J20)+COUNT(J24:J27)</f>
        <v>7</v>
      </c>
      <c r="K22" s="196" t="n">
        <f aca="false">COUNT(K7:K20)+COUNT(K24:K27)</f>
        <v>8</v>
      </c>
      <c r="L22" s="196" t="n">
        <f aca="false">COUNT(L7:L20)+COUNT(L24:L27)</f>
        <v>8</v>
      </c>
      <c r="M22" s="196" t="n">
        <f aca="false">COUNT(M7:M20)+COUNT(M24:M27)</f>
        <v>8</v>
      </c>
      <c r="N22" s="196" t="n">
        <f aca="false">COUNT(N7:N20)+COUNT(N24:N27)</f>
        <v>8</v>
      </c>
      <c r="O22" s="196" t="n">
        <f aca="false">COUNT(O7:O20)+COUNT(O24:O27)</f>
        <v>8</v>
      </c>
      <c r="P22" s="196" t="n">
        <f aca="false">COUNT(P7:P20)+COUNT(P24:P27)</f>
        <v>10</v>
      </c>
      <c r="Q22" s="196" t="n">
        <f aca="false">COUNT(Q7:Q20)+COUNT(Q24:Q27)</f>
        <v>11</v>
      </c>
      <c r="R22" s="196" t="n">
        <f aca="false">COUNT(R7:R20)+COUNT(R24:R27)</f>
        <v>11</v>
      </c>
      <c r="S22" s="196" t="n">
        <f aca="false">COUNT(S7:S20)+COUNT(S24:S27)</f>
        <v>12</v>
      </c>
      <c r="T22" s="196" t="n">
        <f aca="false">COUNT(T7:T20)+COUNT(T24:T27)</f>
        <v>13</v>
      </c>
      <c r="U22" s="196" t="n">
        <f aca="false">COUNT(U7:U20)+COUNT(U24:U27)</f>
        <v>14</v>
      </c>
      <c r="V22" s="196" t="n">
        <f aca="false">COUNT(V7:V20)+COUNT(V24:V27)</f>
        <v>14</v>
      </c>
      <c r="W22" s="196" t="n">
        <f aca="false">COUNT(W7:W20)+COUNT(W24:W27)</f>
        <v>14</v>
      </c>
      <c r="X22" s="196" t="n">
        <f aca="false">COUNT(X7:X20)+COUNT(X24:X27)</f>
        <v>13</v>
      </c>
      <c r="Y22" s="196" t="n">
        <f aca="false">COUNT(Y7:Y20)+COUNT(Y24:Y27)</f>
        <v>12</v>
      </c>
      <c r="Z22" s="196" t="n">
        <f aca="false">COUNT(Z7:Z20)+COUNT(Z24:Z27)</f>
        <v>12</v>
      </c>
      <c r="AA22" s="196" t="n">
        <f aca="false">COUNT(AA7:AA20)+COUNT(AA24:AA27)</f>
        <v>12</v>
      </c>
      <c r="AB22" s="196" t="n">
        <f aca="false">COUNT(AB7:AB20)+COUNT(AB24:AB27)</f>
        <v>12</v>
      </c>
      <c r="AC22" s="196" t="n">
        <f aca="false">COUNT(AC7:AC20)+COUNT(AC24:AC27)</f>
        <v>12</v>
      </c>
      <c r="AD22" s="196" t="n">
        <f aca="false">COUNT(AD7:AD20)+COUNT(AD24:AD27)</f>
        <v>11</v>
      </c>
      <c r="AE22" s="196" t="n">
        <f aca="false">COUNT(AE7:AE20)+COUNT(AE24:AE27)</f>
        <v>10</v>
      </c>
      <c r="AF22" s="196" t="n">
        <f aca="false">COUNT(AF7:AF20)+COUNT(AF24:AF27)</f>
        <v>10</v>
      </c>
      <c r="AG22" s="196" t="n">
        <f aca="false">COUNT(AG7:AG20)+COUNT(AG24:AG27)</f>
        <v>11</v>
      </c>
      <c r="AH22" s="196" t="n">
        <f aca="false">COUNT(AH7:AH20)+COUNT(AH24:AH27)</f>
        <v>11</v>
      </c>
      <c r="AI22" s="196" t="n">
        <f aca="false">COUNT(AI7:AI20)+COUNT(AI24:AI27)</f>
        <v>9</v>
      </c>
      <c r="AJ22" s="196" t="n">
        <f aca="false">COUNT(AJ7:AJ20)+COUNT(AJ24:AJ27)</f>
        <v>8</v>
      </c>
      <c r="AK22" s="196" t="n">
        <f aca="false">COUNT(AK7:AK20)+COUNT(AK24:AK27)</f>
        <v>8</v>
      </c>
      <c r="AL22" s="196" t="n">
        <f aca="false">COUNT(AL7:AL20)+COUNT(AL24:AL27)</f>
        <v>8</v>
      </c>
      <c r="AM22" s="196" t="n">
        <f aca="false">COUNT(AM7:AM20)+COUNT(AM24:AM27)</f>
        <v>6</v>
      </c>
      <c r="AN22" s="196" t="n">
        <f aca="false">COUNT(AN7:AN20)+COUNT(AN24:AN27)</f>
        <v>5</v>
      </c>
      <c r="AO22" s="196" t="n">
        <f aca="false">COUNT(AO7:AO20)+COUNT(AO24:AO27)</f>
        <v>4</v>
      </c>
      <c r="AP22" s="196" t="n">
        <f aca="false">COUNT(AP7:AP20)+COUNT(AP24:AP27)</f>
        <v>4</v>
      </c>
      <c r="AQ22" s="196" t="n">
        <f aca="false">COUNT(AQ7:AQ20)+COUNT(AQ24:AQ27)</f>
        <v>3</v>
      </c>
      <c r="AR22" s="196" t="n">
        <f aca="false">COUNT(AR7:AR20)+COUNT(AR24:AR27)</f>
        <v>3</v>
      </c>
      <c r="AS22" s="196" t="n">
        <f aca="false">COUNT(AS7:AS20)+COUNT(AS24:AS27)</f>
        <v>3</v>
      </c>
      <c r="AT22" s="196" t="n">
        <f aca="false">COUNT(AT7:AT20)+COUNT(AT24:AT27)</f>
        <v>3</v>
      </c>
      <c r="AU22" s="196" t="n">
        <f aca="false">COUNT(AU7:AU20)+COUNT(AU24:AU27)</f>
        <v>3</v>
      </c>
      <c r="AV22" s="196" t="n">
        <f aca="false">COUNT(AV7:AV20)+COUNT(AV24:AV27)</f>
        <v>3</v>
      </c>
      <c r="AW22" s="196" t="n">
        <f aca="false">COUNT(AW7:AW20)+COUNT(AW24:AW27)</f>
        <v>2</v>
      </c>
      <c r="AX22" s="196" t="n">
        <f aca="false">COUNT(AX7:AX20)+COUNT(AX24:AX27)</f>
        <v>1</v>
      </c>
      <c r="AY22" s="196" t="n">
        <f aca="false">COUNT(AY7:AY20)+COUNT(AY24:AY27)</f>
        <v>1</v>
      </c>
      <c r="AZ22" s="196" t="n">
        <f aca="false">COUNT(AZ7:AZ20)+COUNT(AZ24:AZ27)</f>
        <v>1</v>
      </c>
      <c r="BA22" s="196" t="n">
        <f aca="false">COUNT(BA7:BA20)+COUNT(BA24:BA27)</f>
        <v>1</v>
      </c>
      <c r="BB22" s="196" t="n">
        <f aca="false">COUNT(BB7:BB20)+COUNT(BB24:BB27)</f>
        <v>1</v>
      </c>
      <c r="BC22" s="196" t="n">
        <f aca="false">COUNT(BC7:BC20)+COUNT(BC24:BC27)</f>
        <v>1</v>
      </c>
      <c r="BD22" s="196" t="n">
        <f aca="false">COUNT(BD7:BD20)+COUNT(BD24:BD27)</f>
        <v>1</v>
      </c>
      <c r="BE22" s="196" t="n">
        <f aca="false">COUNT(BE7:BE20)+COUNT(BE24:BE27)</f>
        <v>1</v>
      </c>
      <c r="BF22" s="196" t="n">
        <f aca="false">COUNT(BF7:BF20)+COUNT(BF24:BF27)</f>
        <v>1</v>
      </c>
      <c r="BG22" s="196" t="n">
        <f aca="false">COUNT(BG7:BG20)+COUNT(BG24:BG27)</f>
        <v>1</v>
      </c>
      <c r="BH22" s="196" t="n">
        <f aca="false">COUNT(BH7:BH20)+COUNT(BH24:BH27)</f>
        <v>1</v>
      </c>
      <c r="BI22" s="196" t="n">
        <f aca="false">COUNT(BI7:BI20)+COUNT(BI24:BI27)</f>
        <v>1</v>
      </c>
      <c r="BJ22" s="196" t="n">
        <f aca="false">COUNT(BJ7:BJ20)+COUNT(BJ24:BJ27)</f>
        <v>1</v>
      </c>
      <c r="BK22" s="196" t="n">
        <f aca="false">COUNT(BK7:BK20)+COUNT(BK24:BK27)</f>
        <v>0</v>
      </c>
      <c r="BL22" s="196" t="n">
        <f aca="false">COUNT(BL7:BL20)+COUNT(BL24:BL27)</f>
        <v>0</v>
      </c>
      <c r="BM22" s="196" t="n">
        <f aca="false">COUNT(BM7:BM20)+COUNT(BM24:BM27)</f>
        <v>0</v>
      </c>
      <c r="BN22" s="196" t="n">
        <f aca="false">COUNT(BN7:BN20)+COUNT(BN24:BN27)</f>
        <v>0</v>
      </c>
      <c r="BO22" s="196" t="n">
        <f aca="false">COUNT(BO7:BO20)+COUNT(BO24:BO27)</f>
        <v>0</v>
      </c>
      <c r="BP22" s="196" t="n">
        <f aca="false">COUNT(BP7:BP20)+COUNT(BP24:BP27)</f>
        <v>0</v>
      </c>
      <c r="BQ22" s="196" t="n">
        <f aca="false">COUNT(BQ7:BQ20)+COUNT(BQ24:BQ27)</f>
        <v>0</v>
      </c>
      <c r="BR22" s="196" t="n">
        <f aca="false">COUNT(BR7:BR20)+COUNT(BR24:BR27)</f>
        <v>0</v>
      </c>
      <c r="BS22" s="196" t="n">
        <f aca="false">COUNT(BS7:BS20)+COUNT(BS24:BS27)</f>
        <v>0</v>
      </c>
      <c r="BT22" s="196" t="n">
        <f aca="false">COUNT(BT7:BT20)+COUNT(BT24:BT27)</f>
        <v>0</v>
      </c>
      <c r="BU22" s="196" t="n">
        <f aca="false">COUNT(BU7:BU20)+COUNT(BU24:BU27)</f>
        <v>0</v>
      </c>
      <c r="BV22" s="196" t="n">
        <f aca="false">COUNT(BV7:BV20)+COUNT(BV24:BV27)</f>
        <v>0</v>
      </c>
      <c r="BW22" s="196" t="n">
        <f aca="false">COUNT(BW7:BW20)+COUNT(BW24:BW27)</f>
        <v>0</v>
      </c>
      <c r="BX22" s="196" t="n">
        <f aca="false">COUNT(BX7:BX20)+COUNT(BX24:BX27)</f>
        <v>0</v>
      </c>
      <c r="BY22" s="196" t="n">
        <f aca="false">COUNT(BY7:BY20)+COUNT(BY24:BY27)</f>
        <v>0</v>
      </c>
      <c r="BZ22" s="196" t="n">
        <f aca="false">COUNT(BZ7:BZ20)+COUNT(BZ24:BZ27)</f>
        <v>0</v>
      </c>
      <c r="CA22" s="196" t="n">
        <f aca="false">COUNT(CA7:CA20)+COUNT(CA24:CA27)</f>
        <v>0</v>
      </c>
      <c r="CB22" s="196" t="n">
        <f aca="false">COUNT(CB7:CB20)+COUNT(CB24:CB27)</f>
        <v>0</v>
      </c>
      <c r="CC22" s="196" t="n">
        <f aca="false">COUNT(CC7:CC20)+COUNT(CC24:CC27)</f>
        <v>0</v>
      </c>
      <c r="CD22" s="196" t="n">
        <f aca="false">COUNT(CD7:CD20)+COUNT(CD24:CD27)</f>
        <v>0</v>
      </c>
      <c r="CE22" s="196" t="n">
        <f aca="false">COUNT(CE7:CE20)+COUNT(CE24:CE27)</f>
        <v>0</v>
      </c>
      <c r="CF22" s="196" t="n">
        <f aca="false">COUNT(CF7:CF20)+COUNT(CF24:CF27)</f>
        <v>0</v>
      </c>
      <c r="CG22" s="196" t="n">
        <f aca="false">COUNT(CG7:CG20)+COUNT(CG24:CG27)</f>
        <v>0</v>
      </c>
      <c r="CH22" s="196" t="n">
        <f aca="false">COUNT(CH7:CH20)+COUNT(CH24:CH27)</f>
        <v>0</v>
      </c>
      <c r="CI22" s="196" t="n">
        <f aca="false">COUNT(CI7:CI20)+COUNT(CI24:CI27)</f>
        <v>0</v>
      </c>
      <c r="CJ22" s="196" t="n">
        <f aca="false">COUNT(CJ7:CJ20)+COUNT(CJ24:CJ27)</f>
        <v>0</v>
      </c>
      <c r="CK22" s="196" t="n">
        <f aca="false">COUNT(CK7:CK20)+COUNT(CK24:CK27)</f>
        <v>0</v>
      </c>
      <c r="CL22" s="196" t="n">
        <f aca="false">COUNT(CL7:CL20)+COUNT(CL24:CL27)</f>
        <v>0</v>
      </c>
      <c r="CM22" s="196" t="n">
        <f aca="false">COUNT(CM7:CM20)+COUNT(CM24:CM27)</f>
        <v>0</v>
      </c>
      <c r="CN22" s="196" t="n">
        <f aca="false">COUNT(CN7:CN20)+COUNT(CN24:CN27)</f>
        <v>0</v>
      </c>
      <c r="CO22" s="196" t="n">
        <f aca="false">COUNT(CO7:CO20)+COUNT(CO24:CO27)</f>
        <v>0</v>
      </c>
      <c r="CP22" s="196" t="n">
        <f aca="false">COUNT(CP7:CP20)+COUNT(CP24:CP27)</f>
        <v>0</v>
      </c>
      <c r="CQ22" s="196" t="n">
        <f aca="false">COUNT(CQ7:CQ20)+COUNT(CQ24:CQ27)</f>
        <v>0</v>
      </c>
      <c r="CR22" s="196" t="n">
        <f aca="false">COUNT(CR7:CR20)+COUNT(CR24:CR27)</f>
        <v>0</v>
      </c>
      <c r="CS22" s="196" t="n">
        <f aca="false">COUNT(CS7:CS20)+COUNT(CS24:CS27)</f>
        <v>0</v>
      </c>
      <c r="CT22" s="196" t="n">
        <f aca="false">COUNT(CT7:CT20)+COUNT(CT24:CT27)</f>
        <v>0</v>
      </c>
      <c r="CU22" s="196" t="n">
        <f aca="false">COUNT(CU7:CU20)+COUNT(CU24:CU27)</f>
        <v>0</v>
      </c>
      <c r="CV22" s="196" t="n">
        <f aca="false">COUNT(CV7:CV20)+COUNT(CV24:CV27)</f>
        <v>0</v>
      </c>
      <c r="CW22" s="196" t="n">
        <f aca="false">COUNT(CW7:CW20)+COUNT(CW24:CW27)</f>
        <v>0</v>
      </c>
      <c r="CX22" s="196" t="n">
        <f aca="false">COUNT(CX7:CX20)+COUNT(CX24:CX27)</f>
        <v>0</v>
      </c>
      <c r="CY22" s="196" t="n">
        <f aca="false">COUNT(CY7:CY20)+COUNT(CY24:CY27)</f>
        <v>0</v>
      </c>
      <c r="CZ22" s="196" t="n">
        <f aca="false">COUNT(CZ7:CZ20)+COUNT(CZ24:CZ27)</f>
        <v>0</v>
      </c>
      <c r="DA22" s="196" t="n">
        <f aca="false">COUNT(DA7:DA20)+COUNT(DA24:DA27)</f>
        <v>0</v>
      </c>
      <c r="DB22" s="196" t="n">
        <f aca="false">COUNT(DB7:DB20)+COUNT(DB24:DB27)</f>
        <v>0</v>
      </c>
    </row>
    <row r="23" customFormat="false" ht="15" hidden="false" customHeight="true" outlineLevel="0" collapsed="false">
      <c r="A23" s="189" t="s">
        <v>584</v>
      </c>
      <c r="B23" s="190"/>
      <c r="C23" s="190"/>
      <c r="D23" s="190"/>
      <c r="E23" s="190"/>
      <c r="F23" s="190"/>
      <c r="G23" s="190"/>
      <c r="H23" s="190"/>
      <c r="I23" s="190"/>
      <c r="J23" s="190"/>
      <c r="K23" s="190"/>
      <c r="L23" s="190"/>
      <c r="M23" s="190"/>
      <c r="N23" s="190"/>
      <c r="O23" s="190"/>
      <c r="P23" s="190"/>
      <c r="Q23" s="190"/>
      <c r="R23" s="190"/>
      <c r="S23" s="190"/>
      <c r="T23" s="190"/>
      <c r="U23" s="190"/>
      <c r="V23" s="190"/>
      <c r="W23" s="190"/>
      <c r="X23" s="190"/>
      <c r="Y23" s="190"/>
      <c r="Z23" s="190"/>
      <c r="AA23" s="190"/>
      <c r="AB23" s="190"/>
      <c r="AC23" s="190"/>
      <c r="AD23" s="190"/>
      <c r="AE23" s="190"/>
      <c r="AF23" s="190"/>
      <c r="AG23" s="190"/>
      <c r="AH23" s="190"/>
      <c r="AI23" s="190"/>
      <c r="AJ23" s="190"/>
      <c r="AK23" s="190"/>
      <c r="AL23" s="190"/>
      <c r="AM23" s="190"/>
      <c r="AN23" s="190"/>
      <c r="AO23" s="190"/>
      <c r="AP23" s="190"/>
      <c r="AQ23" s="190"/>
      <c r="AR23" s="190"/>
      <c r="AS23" s="190"/>
      <c r="AT23" s="190"/>
      <c r="AU23" s="190"/>
      <c r="AV23" s="190"/>
      <c r="AW23" s="190"/>
      <c r="AX23" s="190"/>
      <c r="AY23" s="190"/>
      <c r="AZ23" s="190"/>
      <c r="BA23" s="190"/>
      <c r="BB23" s="190"/>
      <c r="BC23" s="190"/>
      <c r="BD23" s="190"/>
      <c r="BE23" s="190"/>
      <c r="BF23" s="190"/>
      <c r="BG23" s="190"/>
      <c r="BH23" s="190"/>
      <c r="BI23" s="190"/>
      <c r="BJ23" s="190"/>
      <c r="BK23" s="190"/>
      <c r="BL23" s="190"/>
      <c r="BM23" s="190"/>
      <c r="BN23" s="190"/>
      <c r="BO23" s="190"/>
      <c r="BP23" s="190"/>
      <c r="BQ23" s="190"/>
      <c r="BR23" s="190"/>
      <c r="BS23" s="190"/>
      <c r="BT23" s="190"/>
      <c r="BU23" s="190"/>
      <c r="BV23" s="190"/>
      <c r="BW23" s="190"/>
      <c r="BX23" s="190"/>
      <c r="BY23" s="190"/>
      <c r="BZ23" s="190"/>
      <c r="CA23" s="190"/>
      <c r="CB23" s="190"/>
      <c r="CC23" s="190"/>
      <c r="CD23" s="190"/>
      <c r="CE23" s="190"/>
      <c r="CF23" s="190"/>
      <c r="CG23" s="190"/>
      <c r="CH23" s="190"/>
      <c r="CI23" s="190"/>
      <c r="CJ23" s="190"/>
      <c r="CK23" s="190"/>
      <c r="CL23" s="190"/>
      <c r="CM23" s="190"/>
      <c r="CN23" s="190"/>
      <c r="CO23" s="190"/>
      <c r="CP23" s="190"/>
      <c r="CQ23" s="190"/>
      <c r="CR23" s="190"/>
      <c r="CS23" s="190"/>
      <c r="CT23" s="190"/>
      <c r="CU23" s="190"/>
      <c r="CV23" s="190"/>
      <c r="CW23" s="190"/>
      <c r="CX23" s="190"/>
      <c r="CY23" s="190"/>
      <c r="CZ23" s="190"/>
      <c r="DA23" s="190"/>
      <c r="DB23" s="190"/>
    </row>
    <row r="24" customFormat="false" ht="15" hidden="false" customHeight="true" outlineLevel="0" collapsed="false">
      <c r="A24" s="125" t="s">
        <v>16</v>
      </c>
      <c r="B24" s="191" t="n">
        <f aca="false">Projects!$B$11</f>
        <v>9577109</v>
      </c>
      <c r="C24" s="192" t="n">
        <f aca="false">EDATE(Model!$E$2,Projects!$C$11-1)</f>
        <v>46419</v>
      </c>
      <c r="D24" s="192" t="n">
        <f aca="false">EDATE(Model!$E$2,Projects!$C$11+Projects!$D$11-2)</f>
        <v>46966</v>
      </c>
      <c r="E24" s="193" t="n">
        <f aca="false">Projects!$D$11</f>
        <v>19</v>
      </c>
      <c r="F24" s="191" t="n">
        <f aca="false">SUM(G24:DB24)</f>
        <v>8424111.270381</v>
      </c>
      <c r="G24" s="194" t="str">
        <f aca="false">IF(Model!E22=0,"",Model!E22)</f>
        <v/>
      </c>
      <c r="H24" s="194" t="str">
        <f aca="false">IF(Model!F22=0,"",Model!F22)</f>
        <v/>
      </c>
      <c r="I24" s="194" t="str">
        <f aca="false">IF(Model!G22=0,"",Model!G22)</f>
        <v/>
      </c>
      <c r="J24" s="194" t="str">
        <f aca="false">IF(Model!H22=0,"",Model!H22)</f>
        <v/>
      </c>
      <c r="K24" s="194" t="str">
        <f aca="false">IF(Model!I22=0,"",Model!I22)</f>
        <v/>
      </c>
      <c r="L24" s="194" t="str">
        <f aca="false">IF(Model!J22=0,"",Model!J22)</f>
        <v/>
      </c>
      <c r="M24" s="194" t="str">
        <f aca="false">IF(Model!K22=0,"",Model!K22)</f>
        <v/>
      </c>
      <c r="N24" s="194" t="str">
        <f aca="false">IF(Model!L22=0,"",Model!L22)</f>
        <v/>
      </c>
      <c r="O24" s="194" t="str">
        <f aca="false">IF(Model!M22=0,"",Model!M22)</f>
        <v/>
      </c>
      <c r="P24" s="194" t="str">
        <f aca="false">IF(Model!N22=0,"",Model!N22)</f>
        <v/>
      </c>
      <c r="Q24" s="194" t="n">
        <f aca="false">IF(Model!O22=0,"",Model!O22)</f>
        <v>196306.31287205</v>
      </c>
      <c r="R24" s="194" t="n">
        <f aca="false">IF(Model!P22=0,"",Model!P22)</f>
        <v>256105.78146805</v>
      </c>
      <c r="S24" s="194" t="n">
        <f aca="false">IF(Model!Q22=0,"",Model!Q22)</f>
        <v>320473.53105705</v>
      </c>
      <c r="T24" s="194" t="n">
        <f aca="false">IF(Model!R22=0,"",Model!R22)</f>
        <v>386842.89642705</v>
      </c>
      <c r="U24" s="194" t="n">
        <f aca="false">IF(Model!S22=0,"",Model!S22)</f>
        <v>452024.70028105</v>
      </c>
      <c r="V24" s="194" t="n">
        <f aca="false">IF(Model!T22=0,"",Model!T22)</f>
        <v>512398.79541705</v>
      </c>
      <c r="W24" s="194" t="n">
        <f aca="false">IF(Model!U22=0,"",Model!U22)</f>
        <v>564258.84065205</v>
      </c>
      <c r="X24" s="194" t="n">
        <f aca="false">IF(Model!V22=0,"",Model!V22)</f>
        <v>604166.65385505</v>
      </c>
      <c r="Y24" s="194" t="n">
        <f aca="false">IF(Model!W22=0,"",Model!W22)</f>
        <v>629335.29630705</v>
      </c>
      <c r="Z24" s="194" t="n">
        <f aca="false">IF(Model!X22=0,"",Model!X22)</f>
        <v>637935.54018905</v>
      </c>
      <c r="AA24" s="194" t="n">
        <f aca="false">IF(Model!Y22=0,"",Model!Y22)</f>
        <v>629335.29630705</v>
      </c>
      <c r="AB24" s="194" t="n">
        <f aca="false">IF(Model!Z22=0,"",Model!Z22)</f>
        <v>604166.65385505</v>
      </c>
      <c r="AC24" s="194" t="n">
        <f aca="false">IF(Model!AA22=0,"",Model!AA22)</f>
        <v>564258.84065205</v>
      </c>
      <c r="AD24" s="194" t="n">
        <f aca="false">IF(Model!AB22=0,"",Model!AB22)</f>
        <v>512398.79541705</v>
      </c>
      <c r="AE24" s="194" t="n">
        <f aca="false">IF(Model!AC22=0,"",Model!AC22)</f>
        <v>452024.70028105</v>
      </c>
      <c r="AF24" s="194" t="n">
        <f aca="false">IF(Model!AD22=0,"",Model!AD22)</f>
        <v>386842.89642705</v>
      </c>
      <c r="AG24" s="194" t="n">
        <f aca="false">IF(Model!AE22=0,"",Model!AE22)</f>
        <v>320473.53105705</v>
      </c>
      <c r="AH24" s="194" t="n">
        <f aca="false">IF(Model!AF22=0,"",Model!AF22)</f>
        <v>256105.78146805</v>
      </c>
      <c r="AI24" s="194" t="n">
        <f aca="false">IF(Model!AG22=0,"",Model!AG22)</f>
        <v>138656.4263911</v>
      </c>
      <c r="AJ24" s="194" t="str">
        <f aca="false">IF(Model!AH22=0,"",Model!AH22)</f>
        <v/>
      </c>
      <c r="AK24" s="194" t="str">
        <f aca="false">IF(Model!AI22=0,"",Model!AI22)</f>
        <v/>
      </c>
      <c r="AL24" s="194" t="str">
        <f aca="false">IF(Model!AJ22=0,"",Model!AJ22)</f>
        <v/>
      </c>
      <c r="AM24" s="194" t="str">
        <f aca="false">IF(Model!AK22=0,"",Model!AK22)</f>
        <v/>
      </c>
      <c r="AN24" s="194" t="str">
        <f aca="false">IF(Model!AL22=0,"",Model!AL22)</f>
        <v/>
      </c>
      <c r="AO24" s="194" t="str">
        <f aca="false">IF(Model!AM22=0,"",Model!AM22)</f>
        <v/>
      </c>
      <c r="AP24" s="194" t="str">
        <f aca="false">IF(Model!AN22=0,"",Model!AN22)</f>
        <v/>
      </c>
      <c r="AQ24" s="194" t="str">
        <f aca="false">IF(Model!AO22=0,"",Model!AO22)</f>
        <v/>
      </c>
      <c r="AR24" s="194" t="str">
        <f aca="false">IF(Model!AP22=0,"",Model!AP22)</f>
        <v/>
      </c>
      <c r="AS24" s="194" t="str">
        <f aca="false">IF(Model!AQ22=0,"",Model!AQ22)</f>
        <v/>
      </c>
      <c r="AT24" s="194" t="str">
        <f aca="false">IF(Model!AR22=0,"",Model!AR22)</f>
        <v/>
      </c>
      <c r="AU24" s="194" t="str">
        <f aca="false">IF(Model!AS22=0,"",Model!AS22)</f>
        <v/>
      </c>
      <c r="AV24" s="194" t="str">
        <f aca="false">IF(Model!AT22=0,"",Model!AT22)</f>
        <v/>
      </c>
      <c r="AW24" s="194" t="str">
        <f aca="false">IF(Model!AU22=0,"",Model!AU22)</f>
        <v/>
      </c>
      <c r="AX24" s="194" t="str">
        <f aca="false">IF(Model!AV22=0,"",Model!AV22)</f>
        <v/>
      </c>
      <c r="AY24" s="194" t="str">
        <f aca="false">IF(Model!AW22=0,"",Model!AW22)</f>
        <v/>
      </c>
      <c r="AZ24" s="194" t="str">
        <f aca="false">IF(Model!AX22=0,"",Model!AX22)</f>
        <v/>
      </c>
      <c r="BA24" s="194" t="str">
        <f aca="false">IF(Model!AY22=0,"",Model!AY22)</f>
        <v/>
      </c>
      <c r="BB24" s="194" t="str">
        <f aca="false">IF(Model!AZ22=0,"",Model!AZ22)</f>
        <v/>
      </c>
      <c r="BC24" s="194" t="str">
        <f aca="false">IF(Model!BA22=0,"",Model!BA22)</f>
        <v/>
      </c>
      <c r="BD24" s="194" t="str">
        <f aca="false">IF(Model!BB22=0,"",Model!BB22)</f>
        <v/>
      </c>
      <c r="BE24" s="194" t="str">
        <f aca="false">IF(Model!BC22=0,"",Model!BC22)</f>
        <v/>
      </c>
      <c r="BF24" s="194" t="str">
        <f aca="false">IF(Model!BD22=0,"",Model!BD22)</f>
        <v/>
      </c>
      <c r="BG24" s="194" t="str">
        <f aca="false">IF(Model!BE22=0,"",Model!BE22)</f>
        <v/>
      </c>
      <c r="BH24" s="194" t="str">
        <f aca="false">IF(Model!BF22=0,"",Model!BF22)</f>
        <v/>
      </c>
      <c r="BI24" s="194" t="str">
        <f aca="false">IF(Model!BG22=0,"",Model!BG22)</f>
        <v/>
      </c>
      <c r="BJ24" s="194" t="str">
        <f aca="false">IF(Model!BH22=0,"",Model!BH22)</f>
        <v/>
      </c>
      <c r="BK24" s="194" t="str">
        <f aca="false">IF(Model!BI22=0,"",Model!BI22)</f>
        <v/>
      </c>
      <c r="BL24" s="194" t="str">
        <f aca="false">IF(Model!BJ22=0,"",Model!BJ22)</f>
        <v/>
      </c>
      <c r="BM24" s="194" t="str">
        <f aca="false">IF(Model!BK22=0,"",Model!BK22)</f>
        <v/>
      </c>
      <c r="BN24" s="194" t="str">
        <f aca="false">IF(Model!BL22=0,"",Model!BL22)</f>
        <v/>
      </c>
      <c r="BO24" s="194" t="str">
        <f aca="false">IF(Model!BM22=0,"",Model!BM22)</f>
        <v/>
      </c>
      <c r="BP24" s="194" t="str">
        <f aca="false">IF(Model!BN22=0,"",Model!BN22)</f>
        <v/>
      </c>
      <c r="BQ24" s="194" t="str">
        <f aca="false">IF(Model!BO22=0,"",Model!BO22)</f>
        <v/>
      </c>
      <c r="BR24" s="194" t="str">
        <f aca="false">IF(Model!BP22=0,"",Model!BP22)</f>
        <v/>
      </c>
      <c r="BS24" s="194" t="str">
        <f aca="false">IF(Model!BQ22=0,"",Model!BQ22)</f>
        <v/>
      </c>
      <c r="BT24" s="194" t="str">
        <f aca="false">IF(Model!BR22=0,"",Model!BR22)</f>
        <v/>
      </c>
      <c r="BU24" s="194" t="str">
        <f aca="false">IF(Model!BS22=0,"",Model!BS22)</f>
        <v/>
      </c>
      <c r="BV24" s="194" t="str">
        <f aca="false">IF(Model!BT22=0,"",Model!BT22)</f>
        <v/>
      </c>
      <c r="BW24" s="194" t="str">
        <f aca="false">IF(Model!BU22=0,"",Model!BU22)</f>
        <v/>
      </c>
      <c r="BX24" s="194" t="str">
        <f aca="false">IF(Model!BV22=0,"",Model!BV22)</f>
        <v/>
      </c>
      <c r="BY24" s="194" t="str">
        <f aca="false">IF(Model!BW22=0,"",Model!BW22)</f>
        <v/>
      </c>
      <c r="BZ24" s="194" t="str">
        <f aca="false">IF(Model!BX22=0,"",Model!BX22)</f>
        <v/>
      </c>
      <c r="CA24" s="194" t="str">
        <f aca="false">IF(Model!BY22=0,"",Model!BY22)</f>
        <v/>
      </c>
      <c r="CB24" s="194" t="str">
        <f aca="false">IF(Model!BZ22=0,"",Model!BZ22)</f>
        <v/>
      </c>
      <c r="CC24" s="194" t="str">
        <f aca="false">IF(Model!CA22=0,"",Model!CA22)</f>
        <v/>
      </c>
      <c r="CD24" s="194" t="str">
        <f aca="false">IF(Model!CB22=0,"",Model!CB22)</f>
        <v/>
      </c>
      <c r="CE24" s="194" t="str">
        <f aca="false">IF(Model!CC22=0,"",Model!CC22)</f>
        <v/>
      </c>
      <c r="CF24" s="194" t="str">
        <f aca="false">IF(Model!CD22=0,"",Model!CD22)</f>
        <v/>
      </c>
      <c r="CG24" s="194" t="str">
        <f aca="false">IF(Model!CE22=0,"",Model!CE22)</f>
        <v/>
      </c>
      <c r="CH24" s="194" t="str">
        <f aca="false">IF(Model!CF22=0,"",Model!CF22)</f>
        <v/>
      </c>
      <c r="CI24" s="194" t="str">
        <f aca="false">IF(Model!CG22=0,"",Model!CG22)</f>
        <v/>
      </c>
      <c r="CJ24" s="194" t="str">
        <f aca="false">IF(Model!CH22=0,"",Model!CH22)</f>
        <v/>
      </c>
      <c r="CK24" s="194" t="str">
        <f aca="false">IF(Model!CI22=0,"",Model!CI22)</f>
        <v/>
      </c>
      <c r="CL24" s="194" t="str">
        <f aca="false">IF(Model!CJ22=0,"",Model!CJ22)</f>
        <v/>
      </c>
      <c r="CM24" s="194" t="str">
        <f aca="false">IF(Model!CK22=0,"",Model!CK22)</f>
        <v/>
      </c>
      <c r="CN24" s="194" t="str">
        <f aca="false">IF(Model!CL22=0,"",Model!CL22)</f>
        <v/>
      </c>
      <c r="CO24" s="194" t="str">
        <f aca="false">IF(Model!CM22=0,"",Model!CM22)</f>
        <v/>
      </c>
      <c r="CP24" s="194" t="str">
        <f aca="false">IF(Model!CN22=0,"",Model!CN22)</f>
        <v/>
      </c>
      <c r="CQ24" s="194" t="str">
        <f aca="false">IF(Model!CO22=0,"",Model!CO22)</f>
        <v/>
      </c>
      <c r="CR24" s="194" t="str">
        <f aca="false">IF(Model!CP22=0,"",Model!CP22)</f>
        <v/>
      </c>
      <c r="CS24" s="194" t="str">
        <f aca="false">IF(Model!CQ22=0,"",Model!CQ22)</f>
        <v/>
      </c>
      <c r="CT24" s="194" t="str">
        <f aca="false">IF(Model!CR22=0,"",Model!CR22)</f>
        <v/>
      </c>
      <c r="CU24" s="194" t="str">
        <f aca="false">IF(Model!CS22=0,"",Model!CS22)</f>
        <v/>
      </c>
      <c r="CV24" s="194" t="str">
        <f aca="false">IF(Model!CT22=0,"",Model!CT22)</f>
        <v/>
      </c>
      <c r="CW24" s="194" t="str">
        <f aca="false">IF(Model!CU22=0,"",Model!CU22)</f>
        <v/>
      </c>
      <c r="CX24" s="194" t="str">
        <f aca="false">IF(Model!CV22=0,"",Model!CV22)</f>
        <v/>
      </c>
      <c r="CY24" s="194" t="str">
        <f aca="false">IF(Model!CW22=0,"",Model!CW22)</f>
        <v/>
      </c>
      <c r="CZ24" s="194" t="str">
        <f aca="false">IF(Model!CX22=0,"",Model!CX22)</f>
        <v/>
      </c>
      <c r="DA24" s="194" t="str">
        <f aca="false">IF(Model!CY22=0,"",Model!CY22)</f>
        <v/>
      </c>
      <c r="DB24" s="194" t="str">
        <f aca="false">IF(Model!CZ22=0,"",Model!CZ22)</f>
        <v/>
      </c>
    </row>
    <row r="25" customFormat="false" ht="15" hidden="false" customHeight="true" outlineLevel="0" collapsed="false">
      <c r="A25" s="125" t="s">
        <v>17</v>
      </c>
      <c r="B25" s="191" t="n">
        <f aca="false">Projects!$B$12</f>
        <v>7545203</v>
      </c>
      <c r="C25" s="192" t="n">
        <f aca="false">EDATE(Model!$E$2,Projects!$C$12-1)</f>
        <v>46388</v>
      </c>
      <c r="D25" s="192" t="n">
        <f aca="false">EDATE(Model!$E$2,Projects!$C$12+Projects!$D$12-2)</f>
        <v>46935</v>
      </c>
      <c r="E25" s="193" t="n">
        <f aca="false">Projects!$D$12</f>
        <v>19</v>
      </c>
      <c r="F25" s="191" t="n">
        <f aca="false">SUM(G25:DB25)</f>
        <v>6636828.465627</v>
      </c>
      <c r="G25" s="194" t="str">
        <f aca="false">IF(Model!E23=0,"",Model!E23)</f>
        <v/>
      </c>
      <c r="H25" s="194" t="str">
        <f aca="false">IF(Model!F23=0,"",Model!F23)</f>
        <v/>
      </c>
      <c r="I25" s="194" t="str">
        <f aca="false">IF(Model!G23=0,"",Model!G23)</f>
        <v/>
      </c>
      <c r="J25" s="194" t="str">
        <f aca="false">IF(Model!H23=0,"",Model!H23)</f>
        <v/>
      </c>
      <c r="K25" s="194" t="str">
        <f aca="false">IF(Model!I23=0,"",Model!I23)</f>
        <v/>
      </c>
      <c r="L25" s="194" t="str">
        <f aca="false">IF(Model!J23=0,"",Model!J23)</f>
        <v/>
      </c>
      <c r="M25" s="194" t="str">
        <f aca="false">IF(Model!K23=0,"",Model!K23)</f>
        <v/>
      </c>
      <c r="N25" s="194" t="str">
        <f aca="false">IF(Model!L23=0,"",Model!L23)</f>
        <v/>
      </c>
      <c r="O25" s="194" t="str">
        <f aca="false">IF(Model!M23=0,"",Model!M23)</f>
        <v/>
      </c>
      <c r="P25" s="194" t="n">
        <f aca="false">IF(Model!N23=0,"",Model!N23)</f>
        <v>154657.42123235</v>
      </c>
      <c r="Q25" s="194" t="n">
        <f aca="false">IF(Model!O23=0,"",Model!O23)</f>
        <v>201769.66876435</v>
      </c>
      <c r="R25" s="194" t="n">
        <f aca="false">IF(Model!P23=0,"",Model!P23)</f>
        <v>252480.97812735</v>
      </c>
      <c r="S25" s="194" t="n">
        <f aca="false">IF(Model!Q23=0,"",Model!Q23)</f>
        <v>304769.23491735</v>
      </c>
      <c r="T25" s="194" t="n">
        <f aca="false">IF(Model!R23=0,"",Model!R23)</f>
        <v>356121.88653535</v>
      </c>
      <c r="U25" s="194" t="n">
        <f aca="false">IF(Model!S23=0,"",Model!S23)</f>
        <v>403686.84624735</v>
      </c>
      <c r="V25" s="194" t="n">
        <f aca="false">IF(Model!T23=0,"",Model!T23)</f>
        <v>444544.12049235</v>
      </c>
      <c r="W25" s="194" t="n">
        <f aca="false">IF(Model!U23=0,"",Model!U23)</f>
        <v>475984.98139335</v>
      </c>
      <c r="X25" s="194" t="n">
        <f aca="false">IF(Model!V23=0,"",Model!V23)</f>
        <v>495813.77487735</v>
      </c>
      <c r="Y25" s="194" t="n">
        <f aca="false">IF(Model!W23=0,"",Model!W23)</f>
        <v>502589.36717135</v>
      </c>
      <c r="Z25" s="194" t="n">
        <f aca="false">IF(Model!X23=0,"",Model!X23)</f>
        <v>495813.77487735</v>
      </c>
      <c r="AA25" s="194" t="n">
        <f aca="false">IF(Model!Y23=0,"",Model!Y23)</f>
        <v>475984.98139335</v>
      </c>
      <c r="AB25" s="194" t="n">
        <f aca="false">IF(Model!Z23=0,"",Model!Z23)</f>
        <v>444544.12049235</v>
      </c>
      <c r="AC25" s="194" t="n">
        <f aca="false">IF(Model!AA23=0,"",Model!AA23)</f>
        <v>403686.84624735</v>
      </c>
      <c r="AD25" s="194" t="n">
        <f aca="false">IF(Model!AB23=0,"",Model!AB23)</f>
        <v>356121.88653535</v>
      </c>
      <c r="AE25" s="194" t="n">
        <f aca="false">IF(Model!AC23=0,"",Model!AC23)</f>
        <v>304769.23491735</v>
      </c>
      <c r="AF25" s="194" t="n">
        <f aca="false">IF(Model!AD23=0,"",Model!AD23)</f>
        <v>252480.97812735</v>
      </c>
      <c r="AG25" s="194" t="n">
        <f aca="false">IF(Model!AE23=0,"",Model!AE23)</f>
        <v>201769.66876435</v>
      </c>
      <c r="AH25" s="194" t="n">
        <f aca="false">IF(Model!AF23=0,"",Model!AF23)</f>
        <v>109238.6945137</v>
      </c>
      <c r="AI25" s="194" t="str">
        <f aca="false">IF(Model!AG23=0,"",Model!AG23)</f>
        <v/>
      </c>
      <c r="AJ25" s="194" t="str">
        <f aca="false">IF(Model!AH23=0,"",Model!AH23)</f>
        <v/>
      </c>
      <c r="AK25" s="194" t="str">
        <f aca="false">IF(Model!AI23=0,"",Model!AI23)</f>
        <v/>
      </c>
      <c r="AL25" s="194" t="str">
        <f aca="false">IF(Model!AJ23=0,"",Model!AJ23)</f>
        <v/>
      </c>
      <c r="AM25" s="194" t="str">
        <f aca="false">IF(Model!AK23=0,"",Model!AK23)</f>
        <v/>
      </c>
      <c r="AN25" s="194" t="str">
        <f aca="false">IF(Model!AL23=0,"",Model!AL23)</f>
        <v/>
      </c>
      <c r="AO25" s="194" t="str">
        <f aca="false">IF(Model!AM23=0,"",Model!AM23)</f>
        <v/>
      </c>
      <c r="AP25" s="194" t="str">
        <f aca="false">IF(Model!AN23=0,"",Model!AN23)</f>
        <v/>
      </c>
      <c r="AQ25" s="194" t="str">
        <f aca="false">IF(Model!AO23=0,"",Model!AO23)</f>
        <v/>
      </c>
      <c r="AR25" s="194" t="str">
        <f aca="false">IF(Model!AP23=0,"",Model!AP23)</f>
        <v/>
      </c>
      <c r="AS25" s="194" t="str">
        <f aca="false">IF(Model!AQ23=0,"",Model!AQ23)</f>
        <v/>
      </c>
      <c r="AT25" s="194" t="str">
        <f aca="false">IF(Model!AR23=0,"",Model!AR23)</f>
        <v/>
      </c>
      <c r="AU25" s="194" t="str">
        <f aca="false">IF(Model!AS23=0,"",Model!AS23)</f>
        <v/>
      </c>
      <c r="AV25" s="194" t="str">
        <f aca="false">IF(Model!AT23=0,"",Model!AT23)</f>
        <v/>
      </c>
      <c r="AW25" s="194" t="str">
        <f aca="false">IF(Model!AU23=0,"",Model!AU23)</f>
        <v/>
      </c>
      <c r="AX25" s="194" t="str">
        <f aca="false">IF(Model!AV23=0,"",Model!AV23)</f>
        <v/>
      </c>
      <c r="AY25" s="194" t="str">
        <f aca="false">IF(Model!AW23=0,"",Model!AW23)</f>
        <v/>
      </c>
      <c r="AZ25" s="194" t="str">
        <f aca="false">IF(Model!AX23=0,"",Model!AX23)</f>
        <v/>
      </c>
      <c r="BA25" s="194" t="str">
        <f aca="false">IF(Model!AY23=0,"",Model!AY23)</f>
        <v/>
      </c>
      <c r="BB25" s="194" t="str">
        <f aca="false">IF(Model!AZ23=0,"",Model!AZ23)</f>
        <v/>
      </c>
      <c r="BC25" s="194" t="str">
        <f aca="false">IF(Model!BA23=0,"",Model!BA23)</f>
        <v/>
      </c>
      <c r="BD25" s="194" t="str">
        <f aca="false">IF(Model!BB23=0,"",Model!BB23)</f>
        <v/>
      </c>
      <c r="BE25" s="194" t="str">
        <f aca="false">IF(Model!BC23=0,"",Model!BC23)</f>
        <v/>
      </c>
      <c r="BF25" s="194" t="str">
        <f aca="false">IF(Model!BD23=0,"",Model!BD23)</f>
        <v/>
      </c>
      <c r="BG25" s="194" t="str">
        <f aca="false">IF(Model!BE23=0,"",Model!BE23)</f>
        <v/>
      </c>
      <c r="BH25" s="194" t="str">
        <f aca="false">IF(Model!BF23=0,"",Model!BF23)</f>
        <v/>
      </c>
      <c r="BI25" s="194" t="str">
        <f aca="false">IF(Model!BG23=0,"",Model!BG23)</f>
        <v/>
      </c>
      <c r="BJ25" s="194" t="str">
        <f aca="false">IF(Model!BH23=0,"",Model!BH23)</f>
        <v/>
      </c>
      <c r="BK25" s="194" t="str">
        <f aca="false">IF(Model!BI23=0,"",Model!BI23)</f>
        <v/>
      </c>
      <c r="BL25" s="194" t="str">
        <f aca="false">IF(Model!BJ23=0,"",Model!BJ23)</f>
        <v/>
      </c>
      <c r="BM25" s="194" t="str">
        <f aca="false">IF(Model!BK23=0,"",Model!BK23)</f>
        <v/>
      </c>
      <c r="BN25" s="194" t="str">
        <f aca="false">IF(Model!BL23=0,"",Model!BL23)</f>
        <v/>
      </c>
      <c r="BO25" s="194" t="str">
        <f aca="false">IF(Model!BM23=0,"",Model!BM23)</f>
        <v/>
      </c>
      <c r="BP25" s="194" t="str">
        <f aca="false">IF(Model!BN23=0,"",Model!BN23)</f>
        <v/>
      </c>
      <c r="BQ25" s="194" t="str">
        <f aca="false">IF(Model!BO23=0,"",Model!BO23)</f>
        <v/>
      </c>
      <c r="BR25" s="194" t="str">
        <f aca="false">IF(Model!BP23=0,"",Model!BP23)</f>
        <v/>
      </c>
      <c r="BS25" s="194" t="str">
        <f aca="false">IF(Model!BQ23=0,"",Model!BQ23)</f>
        <v/>
      </c>
      <c r="BT25" s="194" t="str">
        <f aca="false">IF(Model!BR23=0,"",Model!BR23)</f>
        <v/>
      </c>
      <c r="BU25" s="194" t="str">
        <f aca="false">IF(Model!BS23=0,"",Model!BS23)</f>
        <v/>
      </c>
      <c r="BV25" s="194" t="str">
        <f aca="false">IF(Model!BT23=0,"",Model!BT23)</f>
        <v/>
      </c>
      <c r="BW25" s="194" t="str">
        <f aca="false">IF(Model!BU23=0,"",Model!BU23)</f>
        <v/>
      </c>
      <c r="BX25" s="194" t="str">
        <f aca="false">IF(Model!BV23=0,"",Model!BV23)</f>
        <v/>
      </c>
      <c r="BY25" s="194" t="str">
        <f aca="false">IF(Model!BW23=0,"",Model!BW23)</f>
        <v/>
      </c>
      <c r="BZ25" s="194" t="str">
        <f aca="false">IF(Model!BX23=0,"",Model!BX23)</f>
        <v/>
      </c>
      <c r="CA25" s="194" t="str">
        <f aca="false">IF(Model!BY23=0,"",Model!BY23)</f>
        <v/>
      </c>
      <c r="CB25" s="194" t="str">
        <f aca="false">IF(Model!BZ23=0,"",Model!BZ23)</f>
        <v/>
      </c>
      <c r="CC25" s="194" t="str">
        <f aca="false">IF(Model!CA23=0,"",Model!CA23)</f>
        <v/>
      </c>
      <c r="CD25" s="194" t="str">
        <f aca="false">IF(Model!CB23=0,"",Model!CB23)</f>
        <v/>
      </c>
      <c r="CE25" s="194" t="str">
        <f aca="false">IF(Model!CC23=0,"",Model!CC23)</f>
        <v/>
      </c>
      <c r="CF25" s="194" t="str">
        <f aca="false">IF(Model!CD23=0,"",Model!CD23)</f>
        <v/>
      </c>
      <c r="CG25" s="194" t="str">
        <f aca="false">IF(Model!CE23=0,"",Model!CE23)</f>
        <v/>
      </c>
      <c r="CH25" s="194" t="str">
        <f aca="false">IF(Model!CF23=0,"",Model!CF23)</f>
        <v/>
      </c>
      <c r="CI25" s="194" t="str">
        <f aca="false">IF(Model!CG23=0,"",Model!CG23)</f>
        <v/>
      </c>
      <c r="CJ25" s="194" t="str">
        <f aca="false">IF(Model!CH23=0,"",Model!CH23)</f>
        <v/>
      </c>
      <c r="CK25" s="194" t="str">
        <f aca="false">IF(Model!CI23=0,"",Model!CI23)</f>
        <v/>
      </c>
      <c r="CL25" s="194" t="str">
        <f aca="false">IF(Model!CJ23=0,"",Model!CJ23)</f>
        <v/>
      </c>
      <c r="CM25" s="194" t="str">
        <f aca="false">IF(Model!CK23=0,"",Model!CK23)</f>
        <v/>
      </c>
      <c r="CN25" s="194" t="str">
        <f aca="false">IF(Model!CL23=0,"",Model!CL23)</f>
        <v/>
      </c>
      <c r="CO25" s="194" t="str">
        <f aca="false">IF(Model!CM23=0,"",Model!CM23)</f>
        <v/>
      </c>
      <c r="CP25" s="194" t="str">
        <f aca="false">IF(Model!CN23=0,"",Model!CN23)</f>
        <v/>
      </c>
      <c r="CQ25" s="194" t="str">
        <f aca="false">IF(Model!CO23=0,"",Model!CO23)</f>
        <v/>
      </c>
      <c r="CR25" s="194" t="str">
        <f aca="false">IF(Model!CP23=0,"",Model!CP23)</f>
        <v/>
      </c>
      <c r="CS25" s="194" t="str">
        <f aca="false">IF(Model!CQ23=0,"",Model!CQ23)</f>
        <v/>
      </c>
      <c r="CT25" s="194" t="str">
        <f aca="false">IF(Model!CR23=0,"",Model!CR23)</f>
        <v/>
      </c>
      <c r="CU25" s="194" t="str">
        <f aca="false">IF(Model!CS23=0,"",Model!CS23)</f>
        <v/>
      </c>
      <c r="CV25" s="194" t="str">
        <f aca="false">IF(Model!CT23=0,"",Model!CT23)</f>
        <v/>
      </c>
      <c r="CW25" s="194" t="str">
        <f aca="false">IF(Model!CU23=0,"",Model!CU23)</f>
        <v/>
      </c>
      <c r="CX25" s="194" t="str">
        <f aca="false">IF(Model!CV23=0,"",Model!CV23)</f>
        <v/>
      </c>
      <c r="CY25" s="194" t="str">
        <f aca="false">IF(Model!CW23=0,"",Model!CW23)</f>
        <v/>
      </c>
      <c r="CZ25" s="194" t="str">
        <f aca="false">IF(Model!CX23=0,"",Model!CX23)</f>
        <v/>
      </c>
      <c r="DA25" s="194" t="str">
        <f aca="false">IF(Model!CY23=0,"",Model!CY23)</f>
        <v/>
      </c>
      <c r="DB25" s="194" t="str">
        <f aca="false">IF(Model!CZ23=0,"",Model!CZ23)</f>
        <v/>
      </c>
    </row>
    <row r="26" customFormat="false" ht="15" hidden="false" customHeight="true" outlineLevel="0" collapsed="false">
      <c r="A26" s="125" t="s">
        <v>23</v>
      </c>
      <c r="B26" s="191" t="n">
        <f aca="false">Projects!$B$20</f>
        <v>25026330.58</v>
      </c>
      <c r="C26" s="192" t="n">
        <f aca="false">EDATE(Model!$E$2,Projects!$C$20-1)</f>
        <v>46692</v>
      </c>
      <c r="D26" s="192" t="n">
        <f aca="false">EDATE(Model!$E$2,Projects!$C$20+Projects!$D$20-2)</f>
        <v>47392</v>
      </c>
      <c r="E26" s="193" t="n">
        <f aca="false">Projects!$D$20</f>
        <v>24</v>
      </c>
      <c r="F26" s="191" t="n">
        <f aca="false">SUM(G26:DB26)</f>
        <v>22013385.6151432</v>
      </c>
      <c r="G26" s="194" t="str">
        <f aca="false">IF(Model!E29=0,"",Model!E29)</f>
        <v/>
      </c>
      <c r="H26" s="194" t="str">
        <f aca="false">IF(Model!F29=0,"",Model!F29)</f>
        <v/>
      </c>
      <c r="I26" s="194" t="str">
        <f aca="false">IF(Model!G29=0,"",Model!G29)</f>
        <v/>
      </c>
      <c r="J26" s="194" t="str">
        <f aca="false">IF(Model!H29=0,"",Model!H29)</f>
        <v/>
      </c>
      <c r="K26" s="194" t="str">
        <f aca="false">IF(Model!I29=0,"",Model!I29)</f>
        <v/>
      </c>
      <c r="L26" s="194" t="str">
        <f aca="false">IF(Model!J29=0,"",Model!J29)</f>
        <v/>
      </c>
      <c r="M26" s="194" t="str">
        <f aca="false">IF(Model!K29=0,"",Model!K29)</f>
        <v/>
      </c>
      <c r="N26" s="194" t="str">
        <f aca="false">IF(Model!L29=0,"",Model!L29)</f>
        <v/>
      </c>
      <c r="O26" s="194" t="str">
        <f aca="false">IF(Model!M29=0,"",Model!M29)</f>
        <v/>
      </c>
      <c r="P26" s="194" t="str">
        <f aca="false">IF(Model!N29=0,"",Model!N29)</f>
        <v/>
      </c>
      <c r="Q26" s="194" t="str">
        <f aca="false">IF(Model!O29=0,"",Model!O29)</f>
        <v/>
      </c>
      <c r="R26" s="194" t="str">
        <f aca="false">IF(Model!P29=0,"",Model!P29)</f>
        <v/>
      </c>
      <c r="S26" s="194" t="str">
        <f aca="false">IF(Model!Q29=0,"",Model!Q29)</f>
        <v/>
      </c>
      <c r="T26" s="194" t="str">
        <f aca="false">IF(Model!R29=0,"",Model!R29)</f>
        <v/>
      </c>
      <c r="U26" s="194" t="str">
        <f aca="false">IF(Model!S29=0,"",Model!S29)</f>
        <v/>
      </c>
      <c r="V26" s="194" t="str">
        <f aca="false">IF(Model!T29=0,"",Model!T29)</f>
        <v/>
      </c>
      <c r="W26" s="194" t="str">
        <f aca="false">IF(Model!U29=0,"",Model!U29)</f>
        <v/>
      </c>
      <c r="X26" s="194" t="str">
        <f aca="false">IF(Model!V29=0,"",Model!V29)</f>
        <v/>
      </c>
      <c r="Y26" s="194" t="str">
        <f aca="false">IF(Model!W29=0,"",Model!W29)</f>
        <v/>
      </c>
      <c r="Z26" s="194" t="n">
        <f aca="false">IF(Model!X29=0,"",Model!X29)</f>
        <v>544360.803130946</v>
      </c>
      <c r="AA26" s="194" t="n">
        <f aca="false">IF(Model!Y29=0,"",Model!Y29)</f>
        <v>700625.211272466</v>
      </c>
      <c r="AB26" s="194" t="n">
        <f aca="false">IF(Model!Z29=0,"",Model!Z29)</f>
        <v>868827.179100646</v>
      </c>
      <c r="AC26" s="194" t="n">
        <f aca="false">IF(Model!AA29=0,"",Model!AA29)</f>
        <v>1042259.65002005</v>
      </c>
      <c r="AD26" s="194" t="n">
        <f aca="false">IF(Model!AB29=0,"",Model!AB29)</f>
        <v>1212588.85594753</v>
      </c>
      <c r="AE26" s="194" t="n">
        <f aca="false">IF(Model!AC29=0,"",Model!AC29)</f>
        <v>1370354.84392385</v>
      </c>
      <c r="AF26" s="194" t="n">
        <f aca="false">IF(Model!AD29=0,"",Model!AD29)</f>
        <v>1505872.42401455</v>
      </c>
      <c r="AG26" s="194" t="n">
        <f aca="false">IF(Model!AE29=0,"",Model!AE29)</f>
        <v>1610157.14354141</v>
      </c>
      <c r="AH26" s="194" t="n">
        <f aca="false">IF(Model!AF29=0,"",Model!AF29)</f>
        <v>1675926.34030565</v>
      </c>
      <c r="AI26" s="194" t="n">
        <f aca="false">IF(Model!AG29=0,"",Model!AG29)</f>
        <v>1698399.98516649</v>
      </c>
      <c r="AJ26" s="194" t="n">
        <f aca="false">IF(Model!AH29=0,"",Model!AH29)</f>
        <v>1675926.34030565</v>
      </c>
      <c r="AK26" s="194" t="n">
        <f aca="false">IF(Model!AI29=0,"",Model!AI29)</f>
        <v>1610157.14354141</v>
      </c>
      <c r="AL26" s="194" t="n">
        <f aca="false">IF(Model!AJ29=0,"",Model!AJ29)</f>
        <v>1505872.42401455</v>
      </c>
      <c r="AM26" s="194" t="n">
        <f aca="false">IF(Model!AK29=0,"",Model!AK29)</f>
        <v>1370354.84392385</v>
      </c>
      <c r="AN26" s="194" t="n">
        <f aca="false">IF(Model!AL29=0,"",Model!AL29)</f>
        <v>1212588.85594753</v>
      </c>
      <c r="AO26" s="194" t="n">
        <f aca="false">IF(Model!AM29=0,"",Model!AM29)</f>
        <v>1042259.65002005</v>
      </c>
      <c r="AP26" s="194" t="n">
        <f aca="false">IF(Model!AN29=0,"",Model!AN29)</f>
        <v>868827.179100646</v>
      </c>
      <c r="AQ26" s="194" t="n">
        <f aca="false">IF(Model!AO29=0,"",Model!AO29)</f>
        <v>700625.211272466</v>
      </c>
      <c r="AR26" s="194" t="n">
        <f aca="false">IF(Model!AP29=0,"",Model!AP29)</f>
        <v>544360.803130946</v>
      </c>
      <c r="AS26" s="194" t="n">
        <f aca="false">IF(Model!AQ29=0,"",Model!AQ29)</f>
        <v>-119262.404858914</v>
      </c>
      <c r="AT26" s="194" t="n">
        <f aca="false">IF(Model!AR29=0,"",Model!AR29)</f>
        <v>-119262.404858914</v>
      </c>
      <c r="AU26" s="194" t="n">
        <f aca="false">IF(Model!AS29=0,"",Model!AS29)</f>
        <v>-119262.404858914</v>
      </c>
      <c r="AV26" s="194" t="n">
        <f aca="false">IF(Model!AT29=0,"",Model!AT29)</f>
        <v>-119262.404858914</v>
      </c>
      <c r="AW26" s="194" t="n">
        <f aca="false">IF(Model!AU29=0,"",Model!AU29)</f>
        <v>-269909.653101753</v>
      </c>
      <c r="AX26" s="194" t="str">
        <f aca="false">IF(Model!AV29=0,"",Model!AV29)</f>
        <v/>
      </c>
      <c r="AY26" s="194" t="str">
        <f aca="false">IF(Model!AW29=0,"",Model!AW29)</f>
        <v/>
      </c>
      <c r="AZ26" s="194" t="str">
        <f aca="false">IF(Model!AX29=0,"",Model!AX29)</f>
        <v/>
      </c>
      <c r="BA26" s="194" t="str">
        <f aca="false">IF(Model!AY29=0,"",Model!AY29)</f>
        <v/>
      </c>
      <c r="BB26" s="194" t="str">
        <f aca="false">IF(Model!AZ29=0,"",Model!AZ29)</f>
        <v/>
      </c>
      <c r="BC26" s="194" t="str">
        <f aca="false">IF(Model!BA29=0,"",Model!BA29)</f>
        <v/>
      </c>
      <c r="BD26" s="194" t="str">
        <f aca="false">IF(Model!BB29=0,"",Model!BB29)</f>
        <v/>
      </c>
      <c r="BE26" s="194" t="str">
        <f aca="false">IF(Model!BC29=0,"",Model!BC29)</f>
        <v/>
      </c>
      <c r="BF26" s="194" t="str">
        <f aca="false">IF(Model!BD29=0,"",Model!BD29)</f>
        <v/>
      </c>
      <c r="BG26" s="194" t="str">
        <f aca="false">IF(Model!BE29=0,"",Model!BE29)</f>
        <v/>
      </c>
      <c r="BH26" s="194" t="str">
        <f aca="false">IF(Model!BF29=0,"",Model!BF29)</f>
        <v/>
      </c>
      <c r="BI26" s="194" t="str">
        <f aca="false">IF(Model!BG29=0,"",Model!BG29)</f>
        <v/>
      </c>
      <c r="BJ26" s="194" t="str">
        <f aca="false">IF(Model!BH29=0,"",Model!BH29)</f>
        <v/>
      </c>
      <c r="BK26" s="194" t="str">
        <f aca="false">IF(Model!BI29=0,"",Model!BI29)</f>
        <v/>
      </c>
      <c r="BL26" s="194" t="str">
        <f aca="false">IF(Model!BJ29=0,"",Model!BJ29)</f>
        <v/>
      </c>
      <c r="BM26" s="194" t="str">
        <f aca="false">IF(Model!BK29=0,"",Model!BK29)</f>
        <v/>
      </c>
      <c r="BN26" s="194" t="str">
        <f aca="false">IF(Model!BL29=0,"",Model!BL29)</f>
        <v/>
      </c>
      <c r="BO26" s="194" t="str">
        <f aca="false">IF(Model!BM29=0,"",Model!BM29)</f>
        <v/>
      </c>
      <c r="BP26" s="194" t="str">
        <f aca="false">IF(Model!BN29=0,"",Model!BN29)</f>
        <v/>
      </c>
      <c r="BQ26" s="194" t="str">
        <f aca="false">IF(Model!BO29=0,"",Model!BO29)</f>
        <v/>
      </c>
      <c r="BR26" s="194" t="str">
        <f aca="false">IF(Model!BP29=0,"",Model!BP29)</f>
        <v/>
      </c>
      <c r="BS26" s="194" t="str">
        <f aca="false">IF(Model!BQ29=0,"",Model!BQ29)</f>
        <v/>
      </c>
      <c r="BT26" s="194" t="str">
        <f aca="false">IF(Model!BR29=0,"",Model!BR29)</f>
        <v/>
      </c>
      <c r="BU26" s="194" t="str">
        <f aca="false">IF(Model!BS29=0,"",Model!BS29)</f>
        <v/>
      </c>
      <c r="BV26" s="194" t="str">
        <f aca="false">IF(Model!BT29=0,"",Model!BT29)</f>
        <v/>
      </c>
      <c r="BW26" s="194" t="str">
        <f aca="false">IF(Model!BU29=0,"",Model!BU29)</f>
        <v/>
      </c>
      <c r="BX26" s="194" t="str">
        <f aca="false">IF(Model!BV29=0,"",Model!BV29)</f>
        <v/>
      </c>
      <c r="BY26" s="194" t="str">
        <f aca="false">IF(Model!BW29=0,"",Model!BW29)</f>
        <v/>
      </c>
      <c r="BZ26" s="194" t="str">
        <f aca="false">IF(Model!BX29=0,"",Model!BX29)</f>
        <v/>
      </c>
      <c r="CA26" s="194" t="str">
        <f aca="false">IF(Model!BY29=0,"",Model!BY29)</f>
        <v/>
      </c>
      <c r="CB26" s="194" t="str">
        <f aca="false">IF(Model!BZ29=0,"",Model!BZ29)</f>
        <v/>
      </c>
      <c r="CC26" s="194" t="str">
        <f aca="false">IF(Model!CA29=0,"",Model!CA29)</f>
        <v/>
      </c>
      <c r="CD26" s="194" t="str">
        <f aca="false">IF(Model!CB29=0,"",Model!CB29)</f>
        <v/>
      </c>
      <c r="CE26" s="194" t="str">
        <f aca="false">IF(Model!CC29=0,"",Model!CC29)</f>
        <v/>
      </c>
      <c r="CF26" s="194" t="str">
        <f aca="false">IF(Model!CD29=0,"",Model!CD29)</f>
        <v/>
      </c>
      <c r="CG26" s="194" t="str">
        <f aca="false">IF(Model!CE29=0,"",Model!CE29)</f>
        <v/>
      </c>
      <c r="CH26" s="194" t="str">
        <f aca="false">IF(Model!CF29=0,"",Model!CF29)</f>
        <v/>
      </c>
      <c r="CI26" s="194" t="str">
        <f aca="false">IF(Model!CG29=0,"",Model!CG29)</f>
        <v/>
      </c>
      <c r="CJ26" s="194" t="str">
        <f aca="false">IF(Model!CH29=0,"",Model!CH29)</f>
        <v/>
      </c>
      <c r="CK26" s="194" t="str">
        <f aca="false">IF(Model!CI29=0,"",Model!CI29)</f>
        <v/>
      </c>
      <c r="CL26" s="194" t="str">
        <f aca="false">IF(Model!CJ29=0,"",Model!CJ29)</f>
        <v/>
      </c>
      <c r="CM26" s="194" t="str">
        <f aca="false">IF(Model!CK29=0,"",Model!CK29)</f>
        <v/>
      </c>
      <c r="CN26" s="194" t="str">
        <f aca="false">IF(Model!CL29=0,"",Model!CL29)</f>
        <v/>
      </c>
      <c r="CO26" s="194" t="str">
        <f aca="false">IF(Model!CM29=0,"",Model!CM29)</f>
        <v/>
      </c>
      <c r="CP26" s="194" t="str">
        <f aca="false">IF(Model!CN29=0,"",Model!CN29)</f>
        <v/>
      </c>
      <c r="CQ26" s="194" t="str">
        <f aca="false">IF(Model!CO29=0,"",Model!CO29)</f>
        <v/>
      </c>
      <c r="CR26" s="194" t="str">
        <f aca="false">IF(Model!CP29=0,"",Model!CP29)</f>
        <v/>
      </c>
      <c r="CS26" s="194" t="str">
        <f aca="false">IF(Model!CQ29=0,"",Model!CQ29)</f>
        <v/>
      </c>
      <c r="CT26" s="194" t="str">
        <f aca="false">IF(Model!CR29=0,"",Model!CR29)</f>
        <v/>
      </c>
      <c r="CU26" s="194" t="str">
        <f aca="false">IF(Model!CS29=0,"",Model!CS29)</f>
        <v/>
      </c>
      <c r="CV26" s="194" t="str">
        <f aca="false">IF(Model!CT29=0,"",Model!CT29)</f>
        <v/>
      </c>
      <c r="CW26" s="194" t="str">
        <f aca="false">IF(Model!CU29=0,"",Model!CU29)</f>
        <v/>
      </c>
      <c r="CX26" s="194" t="str">
        <f aca="false">IF(Model!CV29=0,"",Model!CV29)</f>
        <v/>
      </c>
      <c r="CY26" s="194" t="str">
        <f aca="false">IF(Model!CW29=0,"",Model!CW29)</f>
        <v/>
      </c>
      <c r="CZ26" s="194" t="str">
        <f aca="false">IF(Model!CX29=0,"",Model!CX29)</f>
        <v/>
      </c>
      <c r="DA26" s="194" t="str">
        <f aca="false">IF(Model!CY29=0,"",Model!CY29)</f>
        <v/>
      </c>
      <c r="DB26" s="194" t="str">
        <f aca="false">IF(Model!CZ29=0,"",Model!CZ29)</f>
        <v/>
      </c>
    </row>
    <row r="27" customFormat="false" ht="15" hidden="false" customHeight="true" outlineLevel="0" collapsed="false">
      <c r="A27" s="125" t="s">
        <v>24</v>
      </c>
      <c r="B27" s="191" t="n">
        <f aca="false">Projects!$B$21</f>
        <v>15189508.75</v>
      </c>
      <c r="C27" s="192" t="n">
        <f aca="false">EDATE(Model!$E$2,Projects!$C$21-1)</f>
        <v>46388</v>
      </c>
      <c r="D27" s="192" t="n">
        <f aca="false">EDATE(Model!$E$2,Projects!$C$21+Projects!$D$21-2)</f>
        <v>46935</v>
      </c>
      <c r="E27" s="193" t="n">
        <f aca="false">Projects!$D$21</f>
        <v>19</v>
      </c>
      <c r="F27" s="191" t="n">
        <f aca="false">SUM(G27:DB27)</f>
        <v>13360828.6020788</v>
      </c>
      <c r="G27" s="194" t="str">
        <f aca="false">IF(Model!E30=0,"",Model!E30)</f>
        <v/>
      </c>
      <c r="H27" s="194" t="str">
        <f aca="false">IF(Model!F30=0,"",Model!F30)</f>
        <v/>
      </c>
      <c r="I27" s="194" t="str">
        <f aca="false">IF(Model!G30=0,"",Model!G30)</f>
        <v/>
      </c>
      <c r="J27" s="194" t="str">
        <f aca="false">IF(Model!H30=0,"",Model!H30)</f>
        <v/>
      </c>
      <c r="K27" s="194" t="str">
        <f aca="false">IF(Model!I30=0,"",Model!I30)</f>
        <v/>
      </c>
      <c r="L27" s="194" t="str">
        <f aca="false">IF(Model!J30=0,"",Model!J30)</f>
        <v/>
      </c>
      <c r="M27" s="194" t="str">
        <f aca="false">IF(Model!K30=0,"",Model!K30)</f>
        <v/>
      </c>
      <c r="N27" s="194" t="str">
        <f aca="false">IF(Model!L30=0,"",Model!L30)</f>
        <v/>
      </c>
      <c r="O27" s="194" t="str">
        <f aca="false">IF(Model!M30=0,"",Model!M30)</f>
        <v/>
      </c>
      <c r="P27" s="194" t="n">
        <f aca="false">IF(Model!N30=0,"",Model!N30)</f>
        <v>311346.196127688</v>
      </c>
      <c r="Q27" s="194" t="n">
        <f aca="false">IF(Model!O30=0,"",Model!O30)</f>
        <v>406189.488762688</v>
      </c>
      <c r="R27" s="194" t="n">
        <f aca="false">IF(Model!P30=0,"",Model!P30)</f>
        <v>508278.177071438</v>
      </c>
      <c r="S27" s="194" t="n">
        <f aca="false">IF(Model!Q30=0,"",Model!Q30)</f>
        <v>613541.472708938</v>
      </c>
      <c r="T27" s="194" t="n">
        <f aca="false">IF(Model!R30=0,"",Model!R30)</f>
        <v>716921.269261438</v>
      </c>
      <c r="U27" s="194" t="n">
        <f aca="false">IF(Model!S30=0,"",Model!S30)</f>
        <v>812675.932421438</v>
      </c>
      <c r="V27" s="194" t="n">
        <f aca="false">IF(Model!T30=0,"",Model!T30)</f>
        <v>894927.122302687</v>
      </c>
      <c r="W27" s="194" t="n">
        <f aca="false">IF(Model!U30=0,"",Model!U30)</f>
        <v>958221.805263938</v>
      </c>
      <c r="X27" s="194" t="n">
        <f aca="false">IF(Model!V30=0,"",Model!V30)</f>
        <v>998139.834258938</v>
      </c>
      <c r="Y27" s="194" t="n">
        <f aca="false">IF(Model!W30=0,"",Model!W30)</f>
        <v>1011780.01311644</v>
      </c>
      <c r="Z27" s="194" t="n">
        <f aca="false">IF(Model!X30=0,"",Model!X30)</f>
        <v>998139.834258938</v>
      </c>
      <c r="AA27" s="194" t="n">
        <f aca="false">IF(Model!Y30=0,"",Model!Y30)</f>
        <v>958221.805263938</v>
      </c>
      <c r="AB27" s="194" t="n">
        <f aca="false">IF(Model!Z30=0,"",Model!Z30)</f>
        <v>894927.122302687</v>
      </c>
      <c r="AC27" s="194" t="n">
        <f aca="false">IF(Model!AA30=0,"",Model!AA30)</f>
        <v>812675.932421438</v>
      </c>
      <c r="AD27" s="194" t="n">
        <f aca="false">IF(Model!AB30=0,"",Model!AB30)</f>
        <v>716921.269261438</v>
      </c>
      <c r="AE27" s="194" t="n">
        <f aca="false">IF(Model!AC30=0,"",Model!AC30)</f>
        <v>613541.472708938</v>
      </c>
      <c r="AF27" s="194" t="n">
        <f aca="false">IF(Model!AD30=0,"",Model!AD30)</f>
        <v>508278.177071438</v>
      </c>
      <c r="AG27" s="194" t="n">
        <f aca="false">IF(Model!AE30=0,"",Model!AE30)</f>
        <v>406189.488762688</v>
      </c>
      <c r="AH27" s="194" t="n">
        <f aca="false">IF(Model!AF30=0,"",Model!AF30)</f>
        <v>219912.188731625</v>
      </c>
      <c r="AI27" s="194" t="str">
        <f aca="false">IF(Model!AG30=0,"",Model!AG30)</f>
        <v/>
      </c>
      <c r="AJ27" s="194" t="str">
        <f aca="false">IF(Model!AH30=0,"",Model!AH30)</f>
        <v/>
      </c>
      <c r="AK27" s="194" t="str">
        <f aca="false">IF(Model!AI30=0,"",Model!AI30)</f>
        <v/>
      </c>
      <c r="AL27" s="194" t="str">
        <f aca="false">IF(Model!AJ30=0,"",Model!AJ30)</f>
        <v/>
      </c>
      <c r="AM27" s="194" t="str">
        <f aca="false">IF(Model!AK30=0,"",Model!AK30)</f>
        <v/>
      </c>
      <c r="AN27" s="194" t="str">
        <f aca="false">IF(Model!AL30=0,"",Model!AL30)</f>
        <v/>
      </c>
      <c r="AO27" s="194" t="str">
        <f aca="false">IF(Model!AM30=0,"",Model!AM30)</f>
        <v/>
      </c>
      <c r="AP27" s="194" t="str">
        <f aca="false">IF(Model!AN30=0,"",Model!AN30)</f>
        <v/>
      </c>
      <c r="AQ27" s="194" t="str">
        <f aca="false">IF(Model!AO30=0,"",Model!AO30)</f>
        <v/>
      </c>
      <c r="AR27" s="194" t="str">
        <f aca="false">IF(Model!AP30=0,"",Model!AP30)</f>
        <v/>
      </c>
      <c r="AS27" s="194" t="str">
        <f aca="false">IF(Model!AQ30=0,"",Model!AQ30)</f>
        <v/>
      </c>
      <c r="AT27" s="194" t="str">
        <f aca="false">IF(Model!AR30=0,"",Model!AR30)</f>
        <v/>
      </c>
      <c r="AU27" s="194" t="str">
        <f aca="false">IF(Model!AS30=0,"",Model!AS30)</f>
        <v/>
      </c>
      <c r="AV27" s="194" t="str">
        <f aca="false">IF(Model!AT30=0,"",Model!AT30)</f>
        <v/>
      </c>
      <c r="AW27" s="194" t="str">
        <f aca="false">IF(Model!AU30=0,"",Model!AU30)</f>
        <v/>
      </c>
      <c r="AX27" s="194" t="str">
        <f aca="false">IF(Model!AV30=0,"",Model!AV30)</f>
        <v/>
      </c>
      <c r="AY27" s="194" t="str">
        <f aca="false">IF(Model!AW30=0,"",Model!AW30)</f>
        <v/>
      </c>
      <c r="AZ27" s="194" t="str">
        <f aca="false">IF(Model!AX30=0,"",Model!AX30)</f>
        <v/>
      </c>
      <c r="BA27" s="194" t="str">
        <f aca="false">IF(Model!AY30=0,"",Model!AY30)</f>
        <v/>
      </c>
      <c r="BB27" s="194" t="str">
        <f aca="false">IF(Model!AZ30=0,"",Model!AZ30)</f>
        <v/>
      </c>
      <c r="BC27" s="194" t="str">
        <f aca="false">IF(Model!BA30=0,"",Model!BA30)</f>
        <v/>
      </c>
      <c r="BD27" s="194" t="str">
        <f aca="false">IF(Model!BB30=0,"",Model!BB30)</f>
        <v/>
      </c>
      <c r="BE27" s="194" t="str">
        <f aca="false">IF(Model!BC30=0,"",Model!BC30)</f>
        <v/>
      </c>
      <c r="BF27" s="194" t="str">
        <f aca="false">IF(Model!BD30=0,"",Model!BD30)</f>
        <v/>
      </c>
      <c r="BG27" s="194" t="str">
        <f aca="false">IF(Model!BE30=0,"",Model!BE30)</f>
        <v/>
      </c>
      <c r="BH27" s="194" t="str">
        <f aca="false">IF(Model!BF30=0,"",Model!BF30)</f>
        <v/>
      </c>
      <c r="BI27" s="194" t="str">
        <f aca="false">IF(Model!BG30=0,"",Model!BG30)</f>
        <v/>
      </c>
      <c r="BJ27" s="194" t="str">
        <f aca="false">IF(Model!BH30=0,"",Model!BH30)</f>
        <v/>
      </c>
      <c r="BK27" s="194" t="str">
        <f aca="false">IF(Model!BI30=0,"",Model!BI30)</f>
        <v/>
      </c>
      <c r="BL27" s="194" t="str">
        <f aca="false">IF(Model!BJ30=0,"",Model!BJ30)</f>
        <v/>
      </c>
      <c r="BM27" s="194" t="str">
        <f aca="false">IF(Model!BK30=0,"",Model!BK30)</f>
        <v/>
      </c>
      <c r="BN27" s="194" t="str">
        <f aca="false">IF(Model!BL30=0,"",Model!BL30)</f>
        <v/>
      </c>
      <c r="BO27" s="194" t="str">
        <f aca="false">IF(Model!BM30=0,"",Model!BM30)</f>
        <v/>
      </c>
      <c r="BP27" s="194" t="str">
        <f aca="false">IF(Model!BN30=0,"",Model!BN30)</f>
        <v/>
      </c>
      <c r="BQ27" s="194" t="str">
        <f aca="false">IF(Model!BO30=0,"",Model!BO30)</f>
        <v/>
      </c>
      <c r="BR27" s="194" t="str">
        <f aca="false">IF(Model!BP30=0,"",Model!BP30)</f>
        <v/>
      </c>
      <c r="BS27" s="194" t="str">
        <f aca="false">IF(Model!BQ30=0,"",Model!BQ30)</f>
        <v/>
      </c>
      <c r="BT27" s="194" t="str">
        <f aca="false">IF(Model!BR30=0,"",Model!BR30)</f>
        <v/>
      </c>
      <c r="BU27" s="194" t="str">
        <f aca="false">IF(Model!BS30=0,"",Model!BS30)</f>
        <v/>
      </c>
      <c r="BV27" s="194" t="str">
        <f aca="false">IF(Model!BT30=0,"",Model!BT30)</f>
        <v/>
      </c>
      <c r="BW27" s="194" t="str">
        <f aca="false">IF(Model!BU30=0,"",Model!BU30)</f>
        <v/>
      </c>
      <c r="BX27" s="194" t="str">
        <f aca="false">IF(Model!BV30=0,"",Model!BV30)</f>
        <v/>
      </c>
      <c r="BY27" s="194" t="str">
        <f aca="false">IF(Model!BW30=0,"",Model!BW30)</f>
        <v/>
      </c>
      <c r="BZ27" s="194" t="str">
        <f aca="false">IF(Model!BX30=0,"",Model!BX30)</f>
        <v/>
      </c>
      <c r="CA27" s="194" t="str">
        <f aca="false">IF(Model!BY30=0,"",Model!BY30)</f>
        <v/>
      </c>
      <c r="CB27" s="194" t="str">
        <f aca="false">IF(Model!BZ30=0,"",Model!BZ30)</f>
        <v/>
      </c>
      <c r="CC27" s="194" t="str">
        <f aca="false">IF(Model!CA30=0,"",Model!CA30)</f>
        <v/>
      </c>
      <c r="CD27" s="194" t="str">
        <f aca="false">IF(Model!CB30=0,"",Model!CB30)</f>
        <v/>
      </c>
      <c r="CE27" s="194" t="str">
        <f aca="false">IF(Model!CC30=0,"",Model!CC30)</f>
        <v/>
      </c>
      <c r="CF27" s="194" t="str">
        <f aca="false">IF(Model!CD30=0,"",Model!CD30)</f>
        <v/>
      </c>
      <c r="CG27" s="194" t="str">
        <f aca="false">IF(Model!CE30=0,"",Model!CE30)</f>
        <v/>
      </c>
      <c r="CH27" s="194" t="str">
        <f aca="false">IF(Model!CF30=0,"",Model!CF30)</f>
        <v/>
      </c>
      <c r="CI27" s="194" t="str">
        <f aca="false">IF(Model!CG30=0,"",Model!CG30)</f>
        <v/>
      </c>
      <c r="CJ27" s="194" t="str">
        <f aca="false">IF(Model!CH30=0,"",Model!CH30)</f>
        <v/>
      </c>
      <c r="CK27" s="194" t="str">
        <f aca="false">IF(Model!CI30=0,"",Model!CI30)</f>
        <v/>
      </c>
      <c r="CL27" s="194" t="str">
        <f aca="false">IF(Model!CJ30=0,"",Model!CJ30)</f>
        <v/>
      </c>
      <c r="CM27" s="194" t="str">
        <f aca="false">IF(Model!CK30=0,"",Model!CK30)</f>
        <v/>
      </c>
      <c r="CN27" s="194" t="str">
        <f aca="false">IF(Model!CL30=0,"",Model!CL30)</f>
        <v/>
      </c>
      <c r="CO27" s="194" t="str">
        <f aca="false">IF(Model!CM30=0,"",Model!CM30)</f>
        <v/>
      </c>
      <c r="CP27" s="194" t="str">
        <f aca="false">IF(Model!CN30=0,"",Model!CN30)</f>
        <v/>
      </c>
      <c r="CQ27" s="194" t="str">
        <f aca="false">IF(Model!CO30=0,"",Model!CO30)</f>
        <v/>
      </c>
      <c r="CR27" s="194" t="str">
        <f aca="false">IF(Model!CP30=0,"",Model!CP30)</f>
        <v/>
      </c>
      <c r="CS27" s="194" t="str">
        <f aca="false">IF(Model!CQ30=0,"",Model!CQ30)</f>
        <v/>
      </c>
      <c r="CT27" s="194" t="str">
        <f aca="false">IF(Model!CR30=0,"",Model!CR30)</f>
        <v/>
      </c>
      <c r="CU27" s="194" t="str">
        <f aca="false">IF(Model!CS30=0,"",Model!CS30)</f>
        <v/>
      </c>
      <c r="CV27" s="194" t="str">
        <f aca="false">IF(Model!CT30=0,"",Model!CT30)</f>
        <v/>
      </c>
      <c r="CW27" s="194" t="str">
        <f aca="false">IF(Model!CU30=0,"",Model!CU30)</f>
        <v/>
      </c>
      <c r="CX27" s="194" t="str">
        <f aca="false">IF(Model!CV30=0,"",Model!CV30)</f>
        <v/>
      </c>
      <c r="CY27" s="194" t="str">
        <f aca="false">IF(Model!CW30=0,"",Model!CW30)</f>
        <v/>
      </c>
      <c r="CZ27" s="194" t="str">
        <f aca="false">IF(Model!CX30=0,"",Model!CX30)</f>
        <v/>
      </c>
      <c r="DA27" s="194" t="str">
        <f aca="false">IF(Model!CY30=0,"",Model!CY30)</f>
        <v/>
      </c>
      <c r="DB27" s="194" t="str">
        <f aca="false">IF(Model!CZ30=0,"",Model!CZ30)</f>
        <v/>
      </c>
    </row>
    <row r="28" customFormat="false" ht="15" hidden="false" customHeight="true" outlineLevel="0" collapsed="false">
      <c r="A28" s="125" t="s">
        <v>25</v>
      </c>
      <c r="B28" s="191" t="n">
        <f aca="false">Projects!$B$22</f>
        <v>15000000</v>
      </c>
      <c r="C28" s="192" t="n">
        <f aca="false">EDATE(Model!$E$2,Projects!$C$22-1)</f>
        <v>46569</v>
      </c>
      <c r="D28" s="192" t="n">
        <f aca="false">EDATE(Model!$E$2,Projects!$C$22+Projects!$D$22-2)</f>
        <v>47119</v>
      </c>
      <c r="E28" s="193" t="n">
        <f aca="false">Projects!$D$22</f>
        <v>19</v>
      </c>
      <c r="F28" s="191" t="n">
        <f aca="false">SUM(G28:DB28)</f>
        <v>0</v>
      </c>
      <c r="G28" s="194" t="str">
        <f aca="false">IF(Model!E31=0,"",Model!E31)</f>
        <v/>
      </c>
      <c r="H28" s="194" t="str">
        <f aca="false">IF(Model!F31=0,"",Model!F31)</f>
        <v/>
      </c>
      <c r="I28" s="194" t="str">
        <f aca="false">IF(Model!G31=0,"",Model!G31)</f>
        <v/>
      </c>
      <c r="J28" s="194" t="str">
        <f aca="false">IF(Model!H31=0,"",Model!H31)</f>
        <v/>
      </c>
      <c r="K28" s="194" t="str">
        <f aca="false">IF(Model!I31=0,"",Model!I31)</f>
        <v/>
      </c>
      <c r="L28" s="194" t="str">
        <f aca="false">IF(Model!J31=0,"",Model!J31)</f>
        <v/>
      </c>
      <c r="M28" s="194" t="str">
        <f aca="false">IF(Model!K31=0,"",Model!K31)</f>
        <v/>
      </c>
      <c r="N28" s="194" t="str">
        <f aca="false">IF(Model!L31=0,"",Model!L31)</f>
        <v/>
      </c>
      <c r="O28" s="194" t="str">
        <f aca="false">IF(Model!M31=0,"",Model!M31)</f>
        <v/>
      </c>
      <c r="P28" s="194" t="str">
        <f aca="false">IF(Model!N31=0,"",Model!N31)</f>
        <v/>
      </c>
      <c r="Q28" s="194" t="str">
        <f aca="false">IF(Model!O31=0,"",Model!O31)</f>
        <v/>
      </c>
      <c r="R28" s="194" t="str">
        <f aca="false">IF(Model!P31=0,"",Model!P31)</f>
        <v/>
      </c>
      <c r="S28" s="194" t="str">
        <f aca="false">IF(Model!Q31=0,"",Model!Q31)</f>
        <v/>
      </c>
      <c r="T28" s="194" t="str">
        <f aca="false">IF(Model!R31=0,"",Model!R31)</f>
        <v/>
      </c>
      <c r="U28" s="194" t="str">
        <f aca="false">IF(Model!S31=0,"",Model!S31)</f>
        <v/>
      </c>
      <c r="V28" s="194" t="str">
        <f aca="false">IF(Model!T31=0,"",Model!T31)</f>
        <v/>
      </c>
      <c r="W28" s="194" t="str">
        <f aca="false">IF(Model!U31=0,"",Model!U31)</f>
        <v/>
      </c>
      <c r="X28" s="194" t="str">
        <f aca="false">IF(Model!V31=0,"",Model!V31)</f>
        <v/>
      </c>
      <c r="Y28" s="194" t="str">
        <f aca="false">IF(Model!W31=0,"",Model!W31)</f>
        <v/>
      </c>
      <c r="Z28" s="194" t="str">
        <f aca="false">IF(Model!X31=0,"",Model!X31)</f>
        <v/>
      </c>
      <c r="AA28" s="194" t="str">
        <f aca="false">IF(Model!Y31=0,"",Model!Y31)</f>
        <v/>
      </c>
      <c r="AB28" s="194" t="str">
        <f aca="false">IF(Model!Z31=0,"",Model!Z31)</f>
        <v/>
      </c>
      <c r="AC28" s="194" t="str">
        <f aca="false">IF(Model!AA31=0,"",Model!AA31)</f>
        <v/>
      </c>
      <c r="AD28" s="194" t="str">
        <f aca="false">IF(Model!AB31=0,"",Model!AB31)</f>
        <v/>
      </c>
      <c r="AE28" s="194" t="str">
        <f aca="false">IF(Model!AC31=0,"",Model!AC31)</f>
        <v/>
      </c>
      <c r="AF28" s="194" t="str">
        <f aca="false">IF(Model!AD31=0,"",Model!AD31)</f>
        <v/>
      </c>
      <c r="AG28" s="194" t="str">
        <f aca="false">IF(Model!AE31=0,"",Model!AE31)</f>
        <v/>
      </c>
      <c r="AH28" s="194" t="str">
        <f aca="false">IF(Model!AF31=0,"",Model!AF31)</f>
        <v/>
      </c>
      <c r="AI28" s="194" t="str">
        <f aca="false">IF(Model!AG31=0,"",Model!AG31)</f>
        <v/>
      </c>
      <c r="AJ28" s="194" t="str">
        <f aca="false">IF(Model!AH31=0,"",Model!AH31)</f>
        <v/>
      </c>
      <c r="AK28" s="194" t="str">
        <f aca="false">IF(Model!AI31=0,"",Model!AI31)</f>
        <v/>
      </c>
      <c r="AL28" s="194" t="str">
        <f aca="false">IF(Model!AJ31=0,"",Model!AJ31)</f>
        <v/>
      </c>
      <c r="AM28" s="194" t="str">
        <f aca="false">IF(Model!AK31=0,"",Model!AK31)</f>
        <v/>
      </c>
      <c r="AN28" s="194" t="str">
        <f aca="false">IF(Model!AL31=0,"",Model!AL31)</f>
        <v/>
      </c>
      <c r="AO28" s="194" t="str">
        <f aca="false">IF(Model!AM31=0,"",Model!AM31)</f>
        <v/>
      </c>
      <c r="AP28" s="194" t="str">
        <f aca="false">IF(Model!AN31=0,"",Model!AN31)</f>
        <v/>
      </c>
      <c r="AQ28" s="194" t="str">
        <f aca="false">IF(Model!AO31=0,"",Model!AO31)</f>
        <v/>
      </c>
      <c r="AR28" s="194" t="str">
        <f aca="false">IF(Model!AP31=0,"",Model!AP31)</f>
        <v/>
      </c>
      <c r="AS28" s="194" t="str">
        <f aca="false">IF(Model!AQ31=0,"",Model!AQ31)</f>
        <v/>
      </c>
      <c r="AT28" s="194" t="str">
        <f aca="false">IF(Model!AR31=0,"",Model!AR31)</f>
        <v/>
      </c>
      <c r="AU28" s="194" t="str">
        <f aca="false">IF(Model!AS31=0,"",Model!AS31)</f>
        <v/>
      </c>
      <c r="AV28" s="194" t="str">
        <f aca="false">IF(Model!AT31=0,"",Model!AT31)</f>
        <v/>
      </c>
      <c r="AW28" s="194" t="str">
        <f aca="false">IF(Model!AU31=0,"",Model!AU31)</f>
        <v/>
      </c>
      <c r="AX28" s="194" t="str">
        <f aca="false">IF(Model!AV31=0,"",Model!AV31)</f>
        <v/>
      </c>
      <c r="AY28" s="194" t="str">
        <f aca="false">IF(Model!AW31=0,"",Model!AW31)</f>
        <v/>
      </c>
      <c r="AZ28" s="194" t="str">
        <f aca="false">IF(Model!AX31=0,"",Model!AX31)</f>
        <v/>
      </c>
      <c r="BA28" s="194" t="str">
        <f aca="false">IF(Model!AY31=0,"",Model!AY31)</f>
        <v/>
      </c>
      <c r="BB28" s="194" t="str">
        <f aca="false">IF(Model!AZ31=0,"",Model!AZ31)</f>
        <v/>
      </c>
      <c r="BC28" s="194" t="str">
        <f aca="false">IF(Model!BA31=0,"",Model!BA31)</f>
        <v/>
      </c>
      <c r="BD28" s="194" t="str">
        <f aca="false">IF(Model!BB31=0,"",Model!BB31)</f>
        <v/>
      </c>
      <c r="BE28" s="194" t="str">
        <f aca="false">IF(Model!BC31=0,"",Model!BC31)</f>
        <v/>
      </c>
      <c r="BF28" s="194" t="str">
        <f aca="false">IF(Model!BD31=0,"",Model!BD31)</f>
        <v/>
      </c>
      <c r="BG28" s="194" t="str">
        <f aca="false">IF(Model!BE31=0,"",Model!BE31)</f>
        <v/>
      </c>
      <c r="BH28" s="194" t="str">
        <f aca="false">IF(Model!BF31=0,"",Model!BF31)</f>
        <v/>
      </c>
      <c r="BI28" s="194" t="str">
        <f aca="false">IF(Model!BG31=0,"",Model!BG31)</f>
        <v/>
      </c>
      <c r="BJ28" s="194" t="str">
        <f aca="false">IF(Model!BH31=0,"",Model!BH31)</f>
        <v/>
      </c>
      <c r="BK28" s="194" t="str">
        <f aca="false">IF(Model!BI31=0,"",Model!BI31)</f>
        <v/>
      </c>
      <c r="BL28" s="194" t="str">
        <f aca="false">IF(Model!BJ31=0,"",Model!BJ31)</f>
        <v/>
      </c>
      <c r="BM28" s="194" t="str">
        <f aca="false">IF(Model!BK31=0,"",Model!BK31)</f>
        <v/>
      </c>
      <c r="BN28" s="194" t="str">
        <f aca="false">IF(Model!BL31=0,"",Model!BL31)</f>
        <v/>
      </c>
      <c r="BO28" s="194" t="str">
        <f aca="false">IF(Model!BM31=0,"",Model!BM31)</f>
        <v/>
      </c>
      <c r="BP28" s="194" t="str">
        <f aca="false">IF(Model!BN31=0,"",Model!BN31)</f>
        <v/>
      </c>
      <c r="BQ28" s="194" t="str">
        <f aca="false">IF(Model!BO31=0,"",Model!BO31)</f>
        <v/>
      </c>
      <c r="BR28" s="194" t="str">
        <f aca="false">IF(Model!BP31=0,"",Model!BP31)</f>
        <v/>
      </c>
      <c r="BS28" s="194" t="str">
        <f aca="false">IF(Model!BQ31=0,"",Model!BQ31)</f>
        <v/>
      </c>
      <c r="BT28" s="194" t="str">
        <f aca="false">IF(Model!BR31=0,"",Model!BR31)</f>
        <v/>
      </c>
      <c r="BU28" s="194" t="str">
        <f aca="false">IF(Model!BS31=0,"",Model!BS31)</f>
        <v/>
      </c>
      <c r="BV28" s="194" t="str">
        <f aca="false">IF(Model!BT31=0,"",Model!BT31)</f>
        <v/>
      </c>
      <c r="BW28" s="194" t="str">
        <f aca="false">IF(Model!BU31=0,"",Model!BU31)</f>
        <v/>
      </c>
      <c r="BX28" s="194" t="str">
        <f aca="false">IF(Model!BV31=0,"",Model!BV31)</f>
        <v/>
      </c>
      <c r="BY28" s="194" t="str">
        <f aca="false">IF(Model!BW31=0,"",Model!BW31)</f>
        <v/>
      </c>
      <c r="BZ28" s="194" t="str">
        <f aca="false">IF(Model!BX31=0,"",Model!BX31)</f>
        <v/>
      </c>
      <c r="CA28" s="194" t="str">
        <f aca="false">IF(Model!BY31=0,"",Model!BY31)</f>
        <v/>
      </c>
      <c r="CB28" s="194" t="str">
        <f aca="false">IF(Model!BZ31=0,"",Model!BZ31)</f>
        <v/>
      </c>
      <c r="CC28" s="194" t="str">
        <f aca="false">IF(Model!CA31=0,"",Model!CA31)</f>
        <v/>
      </c>
      <c r="CD28" s="194" t="str">
        <f aca="false">IF(Model!CB31=0,"",Model!CB31)</f>
        <v/>
      </c>
      <c r="CE28" s="194" t="str">
        <f aca="false">IF(Model!CC31=0,"",Model!CC31)</f>
        <v/>
      </c>
      <c r="CF28" s="194" t="str">
        <f aca="false">IF(Model!CD31=0,"",Model!CD31)</f>
        <v/>
      </c>
      <c r="CG28" s="194" t="str">
        <f aca="false">IF(Model!CE31=0,"",Model!CE31)</f>
        <v/>
      </c>
      <c r="CH28" s="194" t="str">
        <f aca="false">IF(Model!CF31=0,"",Model!CF31)</f>
        <v/>
      </c>
      <c r="CI28" s="194" t="str">
        <f aca="false">IF(Model!CG31=0,"",Model!CG31)</f>
        <v/>
      </c>
      <c r="CJ28" s="194" t="str">
        <f aca="false">IF(Model!CH31=0,"",Model!CH31)</f>
        <v/>
      </c>
      <c r="CK28" s="194" t="str">
        <f aca="false">IF(Model!CI31=0,"",Model!CI31)</f>
        <v/>
      </c>
      <c r="CL28" s="194" t="str">
        <f aca="false">IF(Model!CJ31=0,"",Model!CJ31)</f>
        <v/>
      </c>
      <c r="CM28" s="194" t="str">
        <f aca="false">IF(Model!CK31=0,"",Model!CK31)</f>
        <v/>
      </c>
      <c r="CN28" s="194" t="str">
        <f aca="false">IF(Model!CL31=0,"",Model!CL31)</f>
        <v/>
      </c>
      <c r="CO28" s="194" t="str">
        <f aca="false">IF(Model!CM31=0,"",Model!CM31)</f>
        <v/>
      </c>
      <c r="CP28" s="194" t="str">
        <f aca="false">IF(Model!CN31=0,"",Model!CN31)</f>
        <v/>
      </c>
      <c r="CQ28" s="194" t="str">
        <f aca="false">IF(Model!CO31=0,"",Model!CO31)</f>
        <v/>
      </c>
      <c r="CR28" s="194" t="str">
        <f aca="false">IF(Model!CP31=0,"",Model!CP31)</f>
        <v/>
      </c>
      <c r="CS28" s="194" t="str">
        <f aca="false">IF(Model!CQ31=0,"",Model!CQ31)</f>
        <v/>
      </c>
      <c r="CT28" s="194" t="str">
        <f aca="false">IF(Model!CR31=0,"",Model!CR31)</f>
        <v/>
      </c>
      <c r="CU28" s="194" t="str">
        <f aca="false">IF(Model!CS31=0,"",Model!CS31)</f>
        <v/>
      </c>
      <c r="CV28" s="194" t="str">
        <f aca="false">IF(Model!CT31=0,"",Model!CT31)</f>
        <v/>
      </c>
      <c r="CW28" s="194" t="str">
        <f aca="false">IF(Model!CU31=0,"",Model!CU31)</f>
        <v/>
      </c>
      <c r="CX28" s="194" t="str">
        <f aca="false">IF(Model!CV31=0,"",Model!CV31)</f>
        <v/>
      </c>
      <c r="CY28" s="194" t="str">
        <f aca="false">IF(Model!CW31=0,"",Model!CW31)</f>
        <v/>
      </c>
      <c r="CZ28" s="194" t="str">
        <f aca="false">IF(Model!CX31=0,"",Model!CX31)</f>
        <v/>
      </c>
      <c r="DA28" s="194" t="str">
        <f aca="false">IF(Model!CY31=0,"",Model!CY31)</f>
        <v/>
      </c>
      <c r="DB28" s="194" t="str">
        <f aca="false">IF(Model!CZ31=0,"",Model!CZ31)</f>
        <v/>
      </c>
    </row>
    <row r="29" customFormat="false" ht="15" hidden="false" customHeight="true" outlineLevel="0" collapsed="false">
      <c r="A29" s="125" t="s">
        <v>26</v>
      </c>
      <c r="B29" s="191" t="n">
        <f aca="false">Projects!$B$23</f>
        <v>15000000</v>
      </c>
      <c r="C29" s="192" t="n">
        <f aca="false">EDATE(Model!$E$2,Projects!$C$23-1)</f>
        <v>46600</v>
      </c>
      <c r="D29" s="192" t="n">
        <f aca="false">EDATE(Model!$E$2,Projects!$C$23+Projects!$D$23-2)</f>
        <v>47150</v>
      </c>
      <c r="E29" s="193" t="n">
        <f aca="false">Projects!$D$23</f>
        <v>19</v>
      </c>
      <c r="F29" s="191" t="n">
        <f aca="false">SUM(G29:DB29)</f>
        <v>0</v>
      </c>
      <c r="G29" s="194" t="str">
        <f aca="false">IF(Model!E32=0,"",Model!E32)</f>
        <v/>
      </c>
      <c r="H29" s="194" t="str">
        <f aca="false">IF(Model!F32=0,"",Model!F32)</f>
        <v/>
      </c>
      <c r="I29" s="194" t="str">
        <f aca="false">IF(Model!G32=0,"",Model!G32)</f>
        <v/>
      </c>
      <c r="J29" s="194" t="str">
        <f aca="false">IF(Model!H32=0,"",Model!H32)</f>
        <v/>
      </c>
      <c r="K29" s="194" t="str">
        <f aca="false">IF(Model!I32=0,"",Model!I32)</f>
        <v/>
      </c>
      <c r="L29" s="194" t="str">
        <f aca="false">IF(Model!J32=0,"",Model!J32)</f>
        <v/>
      </c>
      <c r="M29" s="194" t="str">
        <f aca="false">IF(Model!K32=0,"",Model!K32)</f>
        <v/>
      </c>
      <c r="N29" s="194" t="str">
        <f aca="false">IF(Model!L32=0,"",Model!L32)</f>
        <v/>
      </c>
      <c r="O29" s="194" t="str">
        <f aca="false">IF(Model!M32=0,"",Model!M32)</f>
        <v/>
      </c>
      <c r="P29" s="194" t="str">
        <f aca="false">IF(Model!N32=0,"",Model!N32)</f>
        <v/>
      </c>
      <c r="Q29" s="194" t="str">
        <f aca="false">IF(Model!O32=0,"",Model!O32)</f>
        <v/>
      </c>
      <c r="R29" s="194" t="str">
        <f aca="false">IF(Model!P32=0,"",Model!P32)</f>
        <v/>
      </c>
      <c r="S29" s="194" t="str">
        <f aca="false">IF(Model!Q32=0,"",Model!Q32)</f>
        <v/>
      </c>
      <c r="T29" s="194" t="str">
        <f aca="false">IF(Model!R32=0,"",Model!R32)</f>
        <v/>
      </c>
      <c r="U29" s="194" t="str">
        <f aca="false">IF(Model!S32=0,"",Model!S32)</f>
        <v/>
      </c>
      <c r="V29" s="194" t="str">
        <f aca="false">IF(Model!T32=0,"",Model!T32)</f>
        <v/>
      </c>
      <c r="W29" s="194" t="str">
        <f aca="false">IF(Model!U32=0,"",Model!U32)</f>
        <v/>
      </c>
      <c r="X29" s="194" t="str">
        <f aca="false">IF(Model!V32=0,"",Model!V32)</f>
        <v/>
      </c>
      <c r="Y29" s="194" t="str">
        <f aca="false">IF(Model!W32=0,"",Model!W32)</f>
        <v/>
      </c>
      <c r="Z29" s="194" t="str">
        <f aca="false">IF(Model!X32=0,"",Model!X32)</f>
        <v/>
      </c>
      <c r="AA29" s="194" t="str">
        <f aca="false">IF(Model!Y32=0,"",Model!Y32)</f>
        <v/>
      </c>
      <c r="AB29" s="194" t="str">
        <f aca="false">IF(Model!Z32=0,"",Model!Z32)</f>
        <v/>
      </c>
      <c r="AC29" s="194" t="str">
        <f aca="false">IF(Model!AA32=0,"",Model!AA32)</f>
        <v/>
      </c>
      <c r="AD29" s="194" t="str">
        <f aca="false">IF(Model!AB32=0,"",Model!AB32)</f>
        <v/>
      </c>
      <c r="AE29" s="194" t="str">
        <f aca="false">IF(Model!AC32=0,"",Model!AC32)</f>
        <v/>
      </c>
      <c r="AF29" s="194" t="str">
        <f aca="false">IF(Model!AD32=0,"",Model!AD32)</f>
        <v/>
      </c>
      <c r="AG29" s="194" t="str">
        <f aca="false">IF(Model!AE32=0,"",Model!AE32)</f>
        <v/>
      </c>
      <c r="AH29" s="194" t="str">
        <f aca="false">IF(Model!AF32=0,"",Model!AF32)</f>
        <v/>
      </c>
      <c r="AI29" s="194" t="str">
        <f aca="false">IF(Model!AG32=0,"",Model!AG32)</f>
        <v/>
      </c>
      <c r="AJ29" s="194" t="str">
        <f aca="false">IF(Model!AH32=0,"",Model!AH32)</f>
        <v/>
      </c>
      <c r="AK29" s="194" t="str">
        <f aca="false">IF(Model!AI32=0,"",Model!AI32)</f>
        <v/>
      </c>
      <c r="AL29" s="194" t="str">
        <f aca="false">IF(Model!AJ32=0,"",Model!AJ32)</f>
        <v/>
      </c>
      <c r="AM29" s="194" t="str">
        <f aca="false">IF(Model!AK32=0,"",Model!AK32)</f>
        <v/>
      </c>
      <c r="AN29" s="194" t="str">
        <f aca="false">IF(Model!AL32=0,"",Model!AL32)</f>
        <v/>
      </c>
      <c r="AO29" s="194" t="str">
        <f aca="false">IF(Model!AM32=0,"",Model!AM32)</f>
        <v/>
      </c>
      <c r="AP29" s="194" t="str">
        <f aca="false">IF(Model!AN32=0,"",Model!AN32)</f>
        <v/>
      </c>
      <c r="AQ29" s="194" t="str">
        <f aca="false">IF(Model!AO32=0,"",Model!AO32)</f>
        <v/>
      </c>
      <c r="AR29" s="194" t="str">
        <f aca="false">IF(Model!AP32=0,"",Model!AP32)</f>
        <v/>
      </c>
      <c r="AS29" s="194" t="str">
        <f aca="false">IF(Model!AQ32=0,"",Model!AQ32)</f>
        <v/>
      </c>
      <c r="AT29" s="194" t="str">
        <f aca="false">IF(Model!AR32=0,"",Model!AR32)</f>
        <v/>
      </c>
      <c r="AU29" s="194" t="str">
        <f aca="false">IF(Model!AS32=0,"",Model!AS32)</f>
        <v/>
      </c>
      <c r="AV29" s="194" t="str">
        <f aca="false">IF(Model!AT32=0,"",Model!AT32)</f>
        <v/>
      </c>
      <c r="AW29" s="194" t="str">
        <f aca="false">IF(Model!AU32=0,"",Model!AU32)</f>
        <v/>
      </c>
      <c r="AX29" s="194" t="str">
        <f aca="false">IF(Model!AV32=0,"",Model!AV32)</f>
        <v/>
      </c>
      <c r="AY29" s="194" t="str">
        <f aca="false">IF(Model!AW32=0,"",Model!AW32)</f>
        <v/>
      </c>
      <c r="AZ29" s="194" t="str">
        <f aca="false">IF(Model!AX32=0,"",Model!AX32)</f>
        <v/>
      </c>
      <c r="BA29" s="194" t="str">
        <f aca="false">IF(Model!AY32=0,"",Model!AY32)</f>
        <v/>
      </c>
      <c r="BB29" s="194" t="str">
        <f aca="false">IF(Model!AZ32=0,"",Model!AZ32)</f>
        <v/>
      </c>
      <c r="BC29" s="194" t="str">
        <f aca="false">IF(Model!BA32=0,"",Model!BA32)</f>
        <v/>
      </c>
      <c r="BD29" s="194" t="str">
        <f aca="false">IF(Model!BB32=0,"",Model!BB32)</f>
        <v/>
      </c>
      <c r="BE29" s="194" t="str">
        <f aca="false">IF(Model!BC32=0,"",Model!BC32)</f>
        <v/>
      </c>
      <c r="BF29" s="194" t="str">
        <f aca="false">IF(Model!BD32=0,"",Model!BD32)</f>
        <v/>
      </c>
      <c r="BG29" s="194" t="str">
        <f aca="false">IF(Model!BE32=0,"",Model!BE32)</f>
        <v/>
      </c>
      <c r="BH29" s="194" t="str">
        <f aca="false">IF(Model!BF32=0,"",Model!BF32)</f>
        <v/>
      </c>
      <c r="BI29" s="194" t="str">
        <f aca="false">IF(Model!BG32=0,"",Model!BG32)</f>
        <v/>
      </c>
      <c r="BJ29" s="194" t="str">
        <f aca="false">IF(Model!BH32=0,"",Model!BH32)</f>
        <v/>
      </c>
      <c r="BK29" s="194" t="str">
        <f aca="false">IF(Model!BI32=0,"",Model!BI32)</f>
        <v/>
      </c>
      <c r="BL29" s="194" t="str">
        <f aca="false">IF(Model!BJ32=0,"",Model!BJ32)</f>
        <v/>
      </c>
      <c r="BM29" s="194" t="str">
        <f aca="false">IF(Model!BK32=0,"",Model!BK32)</f>
        <v/>
      </c>
      <c r="BN29" s="194" t="str">
        <f aca="false">IF(Model!BL32=0,"",Model!BL32)</f>
        <v/>
      </c>
      <c r="BO29" s="194" t="str">
        <f aca="false">IF(Model!BM32=0,"",Model!BM32)</f>
        <v/>
      </c>
      <c r="BP29" s="194" t="str">
        <f aca="false">IF(Model!BN32=0,"",Model!BN32)</f>
        <v/>
      </c>
      <c r="BQ29" s="194" t="str">
        <f aca="false">IF(Model!BO32=0,"",Model!BO32)</f>
        <v/>
      </c>
      <c r="BR29" s="194" t="str">
        <f aca="false">IF(Model!BP32=0,"",Model!BP32)</f>
        <v/>
      </c>
      <c r="BS29" s="194" t="str">
        <f aca="false">IF(Model!BQ32=0,"",Model!BQ32)</f>
        <v/>
      </c>
      <c r="BT29" s="194" t="str">
        <f aca="false">IF(Model!BR32=0,"",Model!BR32)</f>
        <v/>
      </c>
      <c r="BU29" s="194" t="str">
        <f aca="false">IF(Model!BS32=0,"",Model!BS32)</f>
        <v/>
      </c>
      <c r="BV29" s="194" t="str">
        <f aca="false">IF(Model!BT32=0,"",Model!BT32)</f>
        <v/>
      </c>
      <c r="BW29" s="194" t="str">
        <f aca="false">IF(Model!BU32=0,"",Model!BU32)</f>
        <v/>
      </c>
      <c r="BX29" s="194" t="str">
        <f aca="false">IF(Model!BV32=0,"",Model!BV32)</f>
        <v/>
      </c>
      <c r="BY29" s="194" t="str">
        <f aca="false">IF(Model!BW32=0,"",Model!BW32)</f>
        <v/>
      </c>
      <c r="BZ29" s="194" t="str">
        <f aca="false">IF(Model!BX32=0,"",Model!BX32)</f>
        <v/>
      </c>
      <c r="CA29" s="194" t="str">
        <f aca="false">IF(Model!BY32=0,"",Model!BY32)</f>
        <v/>
      </c>
      <c r="CB29" s="194" t="str">
        <f aca="false">IF(Model!BZ32=0,"",Model!BZ32)</f>
        <v/>
      </c>
      <c r="CC29" s="194" t="str">
        <f aca="false">IF(Model!CA32=0,"",Model!CA32)</f>
        <v/>
      </c>
      <c r="CD29" s="194" t="str">
        <f aca="false">IF(Model!CB32=0,"",Model!CB32)</f>
        <v/>
      </c>
      <c r="CE29" s="194" t="str">
        <f aca="false">IF(Model!CC32=0,"",Model!CC32)</f>
        <v/>
      </c>
      <c r="CF29" s="194" t="str">
        <f aca="false">IF(Model!CD32=0,"",Model!CD32)</f>
        <v/>
      </c>
      <c r="CG29" s="194" t="str">
        <f aca="false">IF(Model!CE32=0,"",Model!CE32)</f>
        <v/>
      </c>
      <c r="CH29" s="194" t="str">
        <f aca="false">IF(Model!CF32=0,"",Model!CF32)</f>
        <v/>
      </c>
      <c r="CI29" s="194" t="str">
        <f aca="false">IF(Model!CG32=0,"",Model!CG32)</f>
        <v/>
      </c>
      <c r="CJ29" s="194" t="str">
        <f aca="false">IF(Model!CH32=0,"",Model!CH32)</f>
        <v/>
      </c>
      <c r="CK29" s="194" t="str">
        <f aca="false">IF(Model!CI32=0,"",Model!CI32)</f>
        <v/>
      </c>
      <c r="CL29" s="194" t="str">
        <f aca="false">IF(Model!CJ32=0,"",Model!CJ32)</f>
        <v/>
      </c>
      <c r="CM29" s="194" t="str">
        <f aca="false">IF(Model!CK32=0,"",Model!CK32)</f>
        <v/>
      </c>
      <c r="CN29" s="194" t="str">
        <f aca="false">IF(Model!CL32=0,"",Model!CL32)</f>
        <v/>
      </c>
      <c r="CO29" s="194" t="str">
        <f aca="false">IF(Model!CM32=0,"",Model!CM32)</f>
        <v/>
      </c>
      <c r="CP29" s="194" t="str">
        <f aca="false">IF(Model!CN32=0,"",Model!CN32)</f>
        <v/>
      </c>
      <c r="CQ29" s="194" t="str">
        <f aca="false">IF(Model!CO32=0,"",Model!CO32)</f>
        <v/>
      </c>
      <c r="CR29" s="194" t="str">
        <f aca="false">IF(Model!CP32=0,"",Model!CP32)</f>
        <v/>
      </c>
      <c r="CS29" s="194" t="str">
        <f aca="false">IF(Model!CQ32=0,"",Model!CQ32)</f>
        <v/>
      </c>
      <c r="CT29" s="194" t="str">
        <f aca="false">IF(Model!CR32=0,"",Model!CR32)</f>
        <v/>
      </c>
      <c r="CU29" s="194" t="str">
        <f aca="false">IF(Model!CS32=0,"",Model!CS32)</f>
        <v/>
      </c>
      <c r="CV29" s="194" t="str">
        <f aca="false">IF(Model!CT32=0,"",Model!CT32)</f>
        <v/>
      </c>
      <c r="CW29" s="194" t="str">
        <f aca="false">IF(Model!CU32=0,"",Model!CU32)</f>
        <v/>
      </c>
      <c r="CX29" s="194" t="str">
        <f aca="false">IF(Model!CV32=0,"",Model!CV32)</f>
        <v/>
      </c>
      <c r="CY29" s="194" t="str">
        <f aca="false">IF(Model!CW32=0,"",Model!CW32)</f>
        <v/>
      </c>
      <c r="CZ29" s="194" t="str">
        <f aca="false">IF(Model!CX32=0,"",Model!CX32)</f>
        <v/>
      </c>
      <c r="DA29" s="194" t="str">
        <f aca="false">IF(Model!CY32=0,"",Model!CY32)</f>
        <v/>
      </c>
      <c r="DB29" s="194" t="str">
        <f aca="false">IF(Model!CZ32=0,"",Model!CZ32)</f>
        <v/>
      </c>
    </row>
    <row r="30" customFormat="false" ht="15" hidden="false" customHeight="true" outlineLevel="0" collapsed="false">
      <c r="A30" s="125" t="s">
        <v>27</v>
      </c>
      <c r="B30" s="191" t="n">
        <f aca="false">Projects!$B$24</f>
        <v>18000000</v>
      </c>
      <c r="C30" s="192" t="n">
        <f aca="false">EDATE(Model!$E$2,Projects!$C$24-1)</f>
        <v>46813</v>
      </c>
      <c r="D30" s="192" t="n">
        <f aca="false">EDATE(Model!$E$2,Projects!$C$24+Projects!$D$24-2)</f>
        <v>47362</v>
      </c>
      <c r="E30" s="193" t="n">
        <f aca="false">Projects!$D$24</f>
        <v>19</v>
      </c>
      <c r="F30" s="191" t="n">
        <f aca="false">SUM(G30:DB30)</f>
        <v>15832962</v>
      </c>
      <c r="G30" s="194" t="str">
        <f aca="false">IF(Model!E33=0,"",Model!E33)</f>
        <v/>
      </c>
      <c r="H30" s="194" t="str">
        <f aca="false">IF(Model!F33=0,"",Model!F33)</f>
        <v/>
      </c>
      <c r="I30" s="194" t="str">
        <f aca="false">IF(Model!G33=0,"",Model!G33)</f>
        <v/>
      </c>
      <c r="J30" s="194" t="str">
        <f aca="false">IF(Model!H33=0,"",Model!H33)</f>
        <v/>
      </c>
      <c r="K30" s="194" t="str">
        <f aca="false">IF(Model!I33=0,"",Model!I33)</f>
        <v/>
      </c>
      <c r="L30" s="194" t="str">
        <f aca="false">IF(Model!J33=0,"",Model!J33)</f>
        <v/>
      </c>
      <c r="M30" s="194" t="str">
        <f aca="false">IF(Model!K33=0,"",Model!K33)</f>
        <v/>
      </c>
      <c r="N30" s="194" t="str">
        <f aca="false">IF(Model!L33=0,"",Model!L33)</f>
        <v/>
      </c>
      <c r="O30" s="194" t="str">
        <f aca="false">IF(Model!M33=0,"",Model!M33)</f>
        <v/>
      </c>
      <c r="P30" s="194" t="str">
        <f aca="false">IF(Model!N33=0,"",Model!N33)</f>
        <v/>
      </c>
      <c r="Q30" s="194" t="str">
        <f aca="false">IF(Model!O33=0,"",Model!O33)</f>
        <v/>
      </c>
      <c r="R30" s="194" t="str">
        <f aca="false">IF(Model!P33=0,"",Model!P33)</f>
        <v/>
      </c>
      <c r="S30" s="194" t="str">
        <f aca="false">IF(Model!Q33=0,"",Model!Q33)</f>
        <v/>
      </c>
      <c r="T30" s="194" t="str">
        <f aca="false">IF(Model!R33=0,"",Model!R33)</f>
        <v/>
      </c>
      <c r="U30" s="194" t="str">
        <f aca="false">IF(Model!S33=0,"",Model!S33)</f>
        <v/>
      </c>
      <c r="V30" s="194" t="str">
        <f aca="false">IF(Model!T33=0,"",Model!T33)</f>
        <v/>
      </c>
      <c r="W30" s="194" t="str">
        <f aca="false">IF(Model!U33=0,"",Model!U33)</f>
        <v/>
      </c>
      <c r="X30" s="194" t="str">
        <f aca="false">IF(Model!V33=0,"",Model!V33)</f>
        <v/>
      </c>
      <c r="Y30" s="194" t="str">
        <f aca="false">IF(Model!W33=0,"",Model!W33)</f>
        <v/>
      </c>
      <c r="Z30" s="194" t="str">
        <f aca="false">IF(Model!X33=0,"",Model!X33)</f>
        <v/>
      </c>
      <c r="AA30" s="194" t="str">
        <f aca="false">IF(Model!Y33=0,"",Model!Y33)</f>
        <v/>
      </c>
      <c r="AB30" s="194" t="str">
        <f aca="false">IF(Model!Z33=0,"",Model!Z33)</f>
        <v/>
      </c>
      <c r="AC30" s="194" t="str">
        <f aca="false">IF(Model!AA33=0,"",Model!AA33)</f>
        <v/>
      </c>
      <c r="AD30" s="194" t="n">
        <f aca="false">IF(Model!AB33=0,"",Model!AB33)</f>
        <v>368954.1</v>
      </c>
      <c r="AE30" s="194" t="n">
        <f aca="false">IF(Model!AC33=0,"",Model!AC33)</f>
        <v>481346.1</v>
      </c>
      <c r="AF30" s="194" t="n">
        <f aca="false">IF(Model!AD33=0,"",Model!AD33)</f>
        <v>602324.1</v>
      </c>
      <c r="AG30" s="194" t="n">
        <f aca="false">IF(Model!AE33=0,"",Model!AE33)</f>
        <v>727064.1</v>
      </c>
      <c r="AH30" s="194" t="n">
        <f aca="false">IF(Model!AF33=0,"",Model!AF33)</f>
        <v>849572.1</v>
      </c>
      <c r="AI30" s="194" t="n">
        <f aca="false">IF(Model!AG33=0,"",Model!AG33)</f>
        <v>963044.1</v>
      </c>
      <c r="AJ30" s="194" t="n">
        <f aca="false">IF(Model!AH33=0,"",Model!AH33)</f>
        <v>1060514.1</v>
      </c>
      <c r="AK30" s="194" t="n">
        <f aca="false">IF(Model!AI33=0,"",Model!AI33)</f>
        <v>1135520.1</v>
      </c>
      <c r="AL30" s="194" t="n">
        <f aca="false">IF(Model!AJ33=0,"",Model!AJ33)</f>
        <v>1182824.1</v>
      </c>
      <c r="AM30" s="194" t="n">
        <f aca="false">IF(Model!AK33=0,"",Model!AK33)</f>
        <v>1198988.1</v>
      </c>
      <c r="AN30" s="194" t="n">
        <f aca="false">IF(Model!AL33=0,"",Model!AL33)</f>
        <v>1182824.1</v>
      </c>
      <c r="AO30" s="194" t="n">
        <f aca="false">IF(Model!AM33=0,"",Model!AM33)</f>
        <v>1135520.1</v>
      </c>
      <c r="AP30" s="194" t="n">
        <f aca="false">IF(Model!AN33=0,"",Model!AN33)</f>
        <v>1060514.1</v>
      </c>
      <c r="AQ30" s="194" t="n">
        <f aca="false">IF(Model!AO33=0,"",Model!AO33)</f>
        <v>963044.1</v>
      </c>
      <c r="AR30" s="194" t="n">
        <f aca="false">IF(Model!AP33=0,"",Model!AP33)</f>
        <v>849572.1</v>
      </c>
      <c r="AS30" s="194" t="n">
        <f aca="false">IF(Model!AQ33=0,"",Model!AQ33)</f>
        <v>727064.1</v>
      </c>
      <c r="AT30" s="194" t="n">
        <f aca="false">IF(Model!AR33=0,"",Model!AR33)</f>
        <v>602324.1</v>
      </c>
      <c r="AU30" s="194" t="n">
        <f aca="false">IF(Model!AS33=0,"",Model!AS33)</f>
        <v>481346.1</v>
      </c>
      <c r="AV30" s="194" t="n">
        <f aca="false">IF(Model!AT33=0,"",Model!AT33)</f>
        <v>260602.2</v>
      </c>
      <c r="AW30" s="194" t="str">
        <f aca="false">IF(Model!AU33=0,"",Model!AU33)</f>
        <v/>
      </c>
      <c r="AX30" s="194" t="str">
        <f aca="false">IF(Model!AV33=0,"",Model!AV33)</f>
        <v/>
      </c>
      <c r="AY30" s="194" t="str">
        <f aca="false">IF(Model!AW33=0,"",Model!AW33)</f>
        <v/>
      </c>
      <c r="AZ30" s="194" t="str">
        <f aca="false">IF(Model!AX33=0,"",Model!AX33)</f>
        <v/>
      </c>
      <c r="BA30" s="194" t="str">
        <f aca="false">IF(Model!AY33=0,"",Model!AY33)</f>
        <v/>
      </c>
      <c r="BB30" s="194" t="str">
        <f aca="false">IF(Model!AZ33=0,"",Model!AZ33)</f>
        <v/>
      </c>
      <c r="BC30" s="194" t="str">
        <f aca="false">IF(Model!BA33=0,"",Model!BA33)</f>
        <v/>
      </c>
      <c r="BD30" s="194" t="str">
        <f aca="false">IF(Model!BB33=0,"",Model!BB33)</f>
        <v/>
      </c>
      <c r="BE30" s="194" t="str">
        <f aca="false">IF(Model!BC33=0,"",Model!BC33)</f>
        <v/>
      </c>
      <c r="BF30" s="194" t="str">
        <f aca="false">IF(Model!BD33=0,"",Model!BD33)</f>
        <v/>
      </c>
      <c r="BG30" s="194" t="str">
        <f aca="false">IF(Model!BE33=0,"",Model!BE33)</f>
        <v/>
      </c>
      <c r="BH30" s="194" t="str">
        <f aca="false">IF(Model!BF33=0,"",Model!BF33)</f>
        <v/>
      </c>
      <c r="BI30" s="194" t="str">
        <f aca="false">IF(Model!BG33=0,"",Model!BG33)</f>
        <v/>
      </c>
      <c r="BJ30" s="194" t="str">
        <f aca="false">IF(Model!BH33=0,"",Model!BH33)</f>
        <v/>
      </c>
      <c r="BK30" s="194" t="str">
        <f aca="false">IF(Model!BI33=0,"",Model!BI33)</f>
        <v/>
      </c>
      <c r="BL30" s="194" t="str">
        <f aca="false">IF(Model!BJ33=0,"",Model!BJ33)</f>
        <v/>
      </c>
      <c r="BM30" s="194" t="str">
        <f aca="false">IF(Model!BK33=0,"",Model!BK33)</f>
        <v/>
      </c>
      <c r="BN30" s="194" t="str">
        <f aca="false">IF(Model!BL33=0,"",Model!BL33)</f>
        <v/>
      </c>
      <c r="BO30" s="194" t="str">
        <f aca="false">IF(Model!BM33=0,"",Model!BM33)</f>
        <v/>
      </c>
      <c r="BP30" s="194" t="str">
        <f aca="false">IF(Model!BN33=0,"",Model!BN33)</f>
        <v/>
      </c>
      <c r="BQ30" s="194" t="str">
        <f aca="false">IF(Model!BO33=0,"",Model!BO33)</f>
        <v/>
      </c>
      <c r="BR30" s="194" t="str">
        <f aca="false">IF(Model!BP33=0,"",Model!BP33)</f>
        <v/>
      </c>
      <c r="BS30" s="194" t="str">
        <f aca="false">IF(Model!BQ33=0,"",Model!BQ33)</f>
        <v/>
      </c>
      <c r="BT30" s="194" t="str">
        <f aca="false">IF(Model!BR33=0,"",Model!BR33)</f>
        <v/>
      </c>
      <c r="BU30" s="194" t="str">
        <f aca="false">IF(Model!BS33=0,"",Model!BS33)</f>
        <v/>
      </c>
      <c r="BV30" s="194" t="str">
        <f aca="false">IF(Model!BT33=0,"",Model!BT33)</f>
        <v/>
      </c>
      <c r="BW30" s="194" t="str">
        <f aca="false">IF(Model!BU33=0,"",Model!BU33)</f>
        <v/>
      </c>
      <c r="BX30" s="194" t="str">
        <f aca="false">IF(Model!BV33=0,"",Model!BV33)</f>
        <v/>
      </c>
      <c r="BY30" s="194" t="str">
        <f aca="false">IF(Model!BW33=0,"",Model!BW33)</f>
        <v/>
      </c>
      <c r="BZ30" s="194" t="str">
        <f aca="false">IF(Model!BX33=0,"",Model!BX33)</f>
        <v/>
      </c>
      <c r="CA30" s="194" t="str">
        <f aca="false">IF(Model!BY33=0,"",Model!BY33)</f>
        <v/>
      </c>
      <c r="CB30" s="194" t="str">
        <f aca="false">IF(Model!BZ33=0,"",Model!BZ33)</f>
        <v/>
      </c>
      <c r="CC30" s="194" t="str">
        <f aca="false">IF(Model!CA33=0,"",Model!CA33)</f>
        <v/>
      </c>
      <c r="CD30" s="194" t="str">
        <f aca="false">IF(Model!CB33=0,"",Model!CB33)</f>
        <v/>
      </c>
      <c r="CE30" s="194" t="str">
        <f aca="false">IF(Model!CC33=0,"",Model!CC33)</f>
        <v/>
      </c>
      <c r="CF30" s="194" t="str">
        <f aca="false">IF(Model!CD33=0,"",Model!CD33)</f>
        <v/>
      </c>
      <c r="CG30" s="194" t="str">
        <f aca="false">IF(Model!CE33=0,"",Model!CE33)</f>
        <v/>
      </c>
      <c r="CH30" s="194" t="str">
        <f aca="false">IF(Model!CF33=0,"",Model!CF33)</f>
        <v/>
      </c>
      <c r="CI30" s="194" t="str">
        <f aca="false">IF(Model!CG33=0,"",Model!CG33)</f>
        <v/>
      </c>
      <c r="CJ30" s="194" t="str">
        <f aca="false">IF(Model!CH33=0,"",Model!CH33)</f>
        <v/>
      </c>
      <c r="CK30" s="194" t="str">
        <f aca="false">IF(Model!CI33=0,"",Model!CI33)</f>
        <v/>
      </c>
      <c r="CL30" s="194" t="str">
        <f aca="false">IF(Model!CJ33=0,"",Model!CJ33)</f>
        <v/>
      </c>
      <c r="CM30" s="194" t="str">
        <f aca="false">IF(Model!CK33=0,"",Model!CK33)</f>
        <v/>
      </c>
      <c r="CN30" s="194" t="str">
        <f aca="false">IF(Model!CL33=0,"",Model!CL33)</f>
        <v/>
      </c>
      <c r="CO30" s="194" t="str">
        <f aca="false">IF(Model!CM33=0,"",Model!CM33)</f>
        <v/>
      </c>
      <c r="CP30" s="194" t="str">
        <f aca="false">IF(Model!CN33=0,"",Model!CN33)</f>
        <v/>
      </c>
      <c r="CQ30" s="194" t="str">
        <f aca="false">IF(Model!CO33=0,"",Model!CO33)</f>
        <v/>
      </c>
      <c r="CR30" s="194" t="str">
        <f aca="false">IF(Model!CP33=0,"",Model!CP33)</f>
        <v/>
      </c>
      <c r="CS30" s="194" t="str">
        <f aca="false">IF(Model!CQ33=0,"",Model!CQ33)</f>
        <v/>
      </c>
      <c r="CT30" s="194" t="str">
        <f aca="false">IF(Model!CR33=0,"",Model!CR33)</f>
        <v/>
      </c>
      <c r="CU30" s="194" t="str">
        <f aca="false">IF(Model!CS33=0,"",Model!CS33)</f>
        <v/>
      </c>
      <c r="CV30" s="194" t="str">
        <f aca="false">IF(Model!CT33=0,"",Model!CT33)</f>
        <v/>
      </c>
      <c r="CW30" s="194" t="str">
        <f aca="false">IF(Model!CU33=0,"",Model!CU33)</f>
        <v/>
      </c>
      <c r="CX30" s="194" t="str">
        <f aca="false">IF(Model!CV33=0,"",Model!CV33)</f>
        <v/>
      </c>
      <c r="CY30" s="194" t="str">
        <f aca="false">IF(Model!CW33=0,"",Model!CW33)</f>
        <v/>
      </c>
      <c r="CZ30" s="194" t="str">
        <f aca="false">IF(Model!CX33=0,"",Model!CX33)</f>
        <v/>
      </c>
      <c r="DA30" s="194" t="str">
        <f aca="false">IF(Model!CY33=0,"",Model!CY33)</f>
        <v/>
      </c>
      <c r="DB30" s="194" t="str">
        <f aca="false">IF(Model!CZ33=0,"",Model!CZ33)</f>
        <v/>
      </c>
    </row>
    <row r="31" customFormat="false" ht="15" hidden="false" customHeight="true" outlineLevel="0" collapsed="false">
      <c r="A31" s="125" t="s">
        <v>28</v>
      </c>
      <c r="B31" s="191" t="n">
        <f aca="false">Projects!$B$25</f>
        <v>18000000</v>
      </c>
      <c r="C31" s="192" t="n">
        <f aca="false">EDATE(Model!$E$2,Projects!$C$25-1)</f>
        <v>46966</v>
      </c>
      <c r="D31" s="192" t="n">
        <f aca="false">EDATE(Model!$E$2,Projects!$C$25+Projects!$D$25-2)</f>
        <v>47515</v>
      </c>
      <c r="E31" s="193" t="n">
        <f aca="false">Projects!$D$25</f>
        <v>19</v>
      </c>
      <c r="F31" s="191" t="n">
        <f aca="false">SUM(G31:DB31)</f>
        <v>15832962</v>
      </c>
      <c r="G31" s="194" t="str">
        <f aca="false">IF(Model!E34=0,"",Model!E34)</f>
        <v/>
      </c>
      <c r="H31" s="194" t="str">
        <f aca="false">IF(Model!F34=0,"",Model!F34)</f>
        <v/>
      </c>
      <c r="I31" s="194" t="str">
        <f aca="false">IF(Model!G34=0,"",Model!G34)</f>
        <v/>
      </c>
      <c r="J31" s="194" t="str">
        <f aca="false">IF(Model!H34=0,"",Model!H34)</f>
        <v/>
      </c>
      <c r="K31" s="194" t="str">
        <f aca="false">IF(Model!I34=0,"",Model!I34)</f>
        <v/>
      </c>
      <c r="L31" s="194" t="str">
        <f aca="false">IF(Model!J34=0,"",Model!J34)</f>
        <v/>
      </c>
      <c r="M31" s="194" t="str">
        <f aca="false">IF(Model!K34=0,"",Model!K34)</f>
        <v/>
      </c>
      <c r="N31" s="194" t="str">
        <f aca="false">IF(Model!L34=0,"",Model!L34)</f>
        <v/>
      </c>
      <c r="O31" s="194" t="str">
        <f aca="false">IF(Model!M34=0,"",Model!M34)</f>
        <v/>
      </c>
      <c r="P31" s="194" t="str">
        <f aca="false">IF(Model!N34=0,"",Model!N34)</f>
        <v/>
      </c>
      <c r="Q31" s="194" t="str">
        <f aca="false">IF(Model!O34=0,"",Model!O34)</f>
        <v/>
      </c>
      <c r="R31" s="194" t="str">
        <f aca="false">IF(Model!P34=0,"",Model!P34)</f>
        <v/>
      </c>
      <c r="S31" s="194" t="str">
        <f aca="false">IF(Model!Q34=0,"",Model!Q34)</f>
        <v/>
      </c>
      <c r="T31" s="194" t="str">
        <f aca="false">IF(Model!R34=0,"",Model!R34)</f>
        <v/>
      </c>
      <c r="U31" s="194" t="str">
        <f aca="false">IF(Model!S34=0,"",Model!S34)</f>
        <v/>
      </c>
      <c r="V31" s="194" t="str">
        <f aca="false">IF(Model!T34=0,"",Model!T34)</f>
        <v/>
      </c>
      <c r="W31" s="194" t="str">
        <f aca="false">IF(Model!U34=0,"",Model!U34)</f>
        <v/>
      </c>
      <c r="X31" s="194" t="str">
        <f aca="false">IF(Model!V34=0,"",Model!V34)</f>
        <v/>
      </c>
      <c r="Y31" s="194" t="str">
        <f aca="false">IF(Model!W34=0,"",Model!W34)</f>
        <v/>
      </c>
      <c r="Z31" s="194" t="str">
        <f aca="false">IF(Model!X34=0,"",Model!X34)</f>
        <v/>
      </c>
      <c r="AA31" s="194" t="str">
        <f aca="false">IF(Model!Y34=0,"",Model!Y34)</f>
        <v/>
      </c>
      <c r="AB31" s="194" t="str">
        <f aca="false">IF(Model!Z34=0,"",Model!Z34)</f>
        <v/>
      </c>
      <c r="AC31" s="194" t="str">
        <f aca="false">IF(Model!AA34=0,"",Model!AA34)</f>
        <v/>
      </c>
      <c r="AD31" s="194" t="str">
        <f aca="false">IF(Model!AB34=0,"",Model!AB34)</f>
        <v/>
      </c>
      <c r="AE31" s="194" t="str">
        <f aca="false">IF(Model!AC34=0,"",Model!AC34)</f>
        <v/>
      </c>
      <c r="AF31" s="194" t="str">
        <f aca="false">IF(Model!AD34=0,"",Model!AD34)</f>
        <v/>
      </c>
      <c r="AG31" s="194" t="str">
        <f aca="false">IF(Model!AE34=0,"",Model!AE34)</f>
        <v/>
      </c>
      <c r="AH31" s="194" t="str">
        <f aca="false">IF(Model!AF34=0,"",Model!AF34)</f>
        <v/>
      </c>
      <c r="AI31" s="194" t="n">
        <f aca="false">IF(Model!AG34=0,"",Model!AG34)</f>
        <v>368954.1</v>
      </c>
      <c r="AJ31" s="194" t="n">
        <f aca="false">IF(Model!AH34=0,"",Model!AH34)</f>
        <v>481346.1</v>
      </c>
      <c r="AK31" s="194" t="n">
        <f aca="false">IF(Model!AI34=0,"",Model!AI34)</f>
        <v>602324.1</v>
      </c>
      <c r="AL31" s="194" t="n">
        <f aca="false">IF(Model!AJ34=0,"",Model!AJ34)</f>
        <v>727064.1</v>
      </c>
      <c r="AM31" s="194" t="n">
        <f aca="false">IF(Model!AK34=0,"",Model!AK34)</f>
        <v>849572.1</v>
      </c>
      <c r="AN31" s="194" t="n">
        <f aca="false">IF(Model!AL34=0,"",Model!AL34)</f>
        <v>963044.1</v>
      </c>
      <c r="AO31" s="194" t="n">
        <f aca="false">IF(Model!AM34=0,"",Model!AM34)</f>
        <v>1060514.1</v>
      </c>
      <c r="AP31" s="194" t="n">
        <f aca="false">IF(Model!AN34=0,"",Model!AN34)</f>
        <v>1135520.1</v>
      </c>
      <c r="AQ31" s="194" t="n">
        <f aca="false">IF(Model!AO34=0,"",Model!AO34)</f>
        <v>1182824.1</v>
      </c>
      <c r="AR31" s="194" t="n">
        <f aca="false">IF(Model!AP34=0,"",Model!AP34)</f>
        <v>1198988.1</v>
      </c>
      <c r="AS31" s="194" t="n">
        <f aca="false">IF(Model!AQ34=0,"",Model!AQ34)</f>
        <v>1182824.1</v>
      </c>
      <c r="AT31" s="194" t="n">
        <f aca="false">IF(Model!AR34=0,"",Model!AR34)</f>
        <v>1135520.1</v>
      </c>
      <c r="AU31" s="194" t="n">
        <f aca="false">IF(Model!AS34=0,"",Model!AS34)</f>
        <v>1060514.1</v>
      </c>
      <c r="AV31" s="194" t="n">
        <f aca="false">IF(Model!AT34=0,"",Model!AT34)</f>
        <v>963044.1</v>
      </c>
      <c r="AW31" s="194" t="n">
        <f aca="false">IF(Model!AU34=0,"",Model!AU34)</f>
        <v>849572.1</v>
      </c>
      <c r="AX31" s="194" t="n">
        <f aca="false">IF(Model!AV34=0,"",Model!AV34)</f>
        <v>727064.1</v>
      </c>
      <c r="AY31" s="194" t="n">
        <f aca="false">IF(Model!AW34=0,"",Model!AW34)</f>
        <v>602324.1</v>
      </c>
      <c r="AZ31" s="194" t="n">
        <f aca="false">IF(Model!AX34=0,"",Model!AX34)</f>
        <v>481346.1</v>
      </c>
      <c r="BA31" s="194" t="n">
        <f aca="false">IF(Model!AY34=0,"",Model!AY34)</f>
        <v>260602.2</v>
      </c>
      <c r="BB31" s="194" t="str">
        <f aca="false">IF(Model!AZ34=0,"",Model!AZ34)</f>
        <v/>
      </c>
      <c r="BC31" s="194" t="str">
        <f aca="false">IF(Model!BA34=0,"",Model!BA34)</f>
        <v/>
      </c>
      <c r="BD31" s="194" t="str">
        <f aca="false">IF(Model!BB34=0,"",Model!BB34)</f>
        <v/>
      </c>
      <c r="BE31" s="194" t="str">
        <f aca="false">IF(Model!BC34=0,"",Model!BC34)</f>
        <v/>
      </c>
      <c r="BF31" s="194" t="str">
        <f aca="false">IF(Model!BD34=0,"",Model!BD34)</f>
        <v/>
      </c>
      <c r="BG31" s="194" t="str">
        <f aca="false">IF(Model!BE34=0,"",Model!BE34)</f>
        <v/>
      </c>
      <c r="BH31" s="194" t="str">
        <f aca="false">IF(Model!BF34=0,"",Model!BF34)</f>
        <v/>
      </c>
      <c r="BI31" s="194" t="str">
        <f aca="false">IF(Model!BG34=0,"",Model!BG34)</f>
        <v/>
      </c>
      <c r="BJ31" s="194" t="str">
        <f aca="false">IF(Model!BH34=0,"",Model!BH34)</f>
        <v/>
      </c>
      <c r="BK31" s="194" t="str">
        <f aca="false">IF(Model!BI34=0,"",Model!BI34)</f>
        <v/>
      </c>
      <c r="BL31" s="194" t="str">
        <f aca="false">IF(Model!BJ34=0,"",Model!BJ34)</f>
        <v/>
      </c>
      <c r="BM31" s="194" t="str">
        <f aca="false">IF(Model!BK34=0,"",Model!BK34)</f>
        <v/>
      </c>
      <c r="BN31" s="194" t="str">
        <f aca="false">IF(Model!BL34=0,"",Model!BL34)</f>
        <v/>
      </c>
      <c r="BO31" s="194" t="str">
        <f aca="false">IF(Model!BM34=0,"",Model!BM34)</f>
        <v/>
      </c>
      <c r="BP31" s="194" t="str">
        <f aca="false">IF(Model!BN34=0,"",Model!BN34)</f>
        <v/>
      </c>
      <c r="BQ31" s="194" t="str">
        <f aca="false">IF(Model!BO34=0,"",Model!BO34)</f>
        <v/>
      </c>
      <c r="BR31" s="194" t="str">
        <f aca="false">IF(Model!BP34=0,"",Model!BP34)</f>
        <v/>
      </c>
      <c r="BS31" s="194" t="str">
        <f aca="false">IF(Model!BQ34=0,"",Model!BQ34)</f>
        <v/>
      </c>
      <c r="BT31" s="194" t="str">
        <f aca="false">IF(Model!BR34=0,"",Model!BR34)</f>
        <v/>
      </c>
      <c r="BU31" s="194" t="str">
        <f aca="false">IF(Model!BS34=0,"",Model!BS34)</f>
        <v/>
      </c>
      <c r="BV31" s="194" t="str">
        <f aca="false">IF(Model!BT34=0,"",Model!BT34)</f>
        <v/>
      </c>
      <c r="BW31" s="194" t="str">
        <f aca="false">IF(Model!BU34=0,"",Model!BU34)</f>
        <v/>
      </c>
      <c r="BX31" s="194" t="str">
        <f aca="false">IF(Model!BV34=0,"",Model!BV34)</f>
        <v/>
      </c>
      <c r="BY31" s="194" t="str">
        <f aca="false">IF(Model!BW34=0,"",Model!BW34)</f>
        <v/>
      </c>
      <c r="BZ31" s="194" t="str">
        <f aca="false">IF(Model!BX34=0,"",Model!BX34)</f>
        <v/>
      </c>
      <c r="CA31" s="194" t="str">
        <f aca="false">IF(Model!BY34=0,"",Model!BY34)</f>
        <v/>
      </c>
      <c r="CB31" s="194" t="str">
        <f aca="false">IF(Model!BZ34=0,"",Model!BZ34)</f>
        <v/>
      </c>
      <c r="CC31" s="194" t="str">
        <f aca="false">IF(Model!CA34=0,"",Model!CA34)</f>
        <v/>
      </c>
      <c r="CD31" s="194" t="str">
        <f aca="false">IF(Model!CB34=0,"",Model!CB34)</f>
        <v/>
      </c>
      <c r="CE31" s="194" t="str">
        <f aca="false">IF(Model!CC34=0,"",Model!CC34)</f>
        <v/>
      </c>
      <c r="CF31" s="194" t="str">
        <f aca="false">IF(Model!CD34=0,"",Model!CD34)</f>
        <v/>
      </c>
      <c r="CG31" s="194" t="str">
        <f aca="false">IF(Model!CE34=0,"",Model!CE34)</f>
        <v/>
      </c>
      <c r="CH31" s="194" t="str">
        <f aca="false">IF(Model!CF34=0,"",Model!CF34)</f>
        <v/>
      </c>
      <c r="CI31" s="194" t="str">
        <f aca="false">IF(Model!CG34=0,"",Model!CG34)</f>
        <v/>
      </c>
      <c r="CJ31" s="194" t="str">
        <f aca="false">IF(Model!CH34=0,"",Model!CH34)</f>
        <v/>
      </c>
      <c r="CK31" s="194" t="str">
        <f aca="false">IF(Model!CI34=0,"",Model!CI34)</f>
        <v/>
      </c>
      <c r="CL31" s="194" t="str">
        <f aca="false">IF(Model!CJ34=0,"",Model!CJ34)</f>
        <v/>
      </c>
      <c r="CM31" s="194" t="str">
        <f aca="false">IF(Model!CK34=0,"",Model!CK34)</f>
        <v/>
      </c>
      <c r="CN31" s="194" t="str">
        <f aca="false">IF(Model!CL34=0,"",Model!CL34)</f>
        <v/>
      </c>
      <c r="CO31" s="194" t="str">
        <f aca="false">IF(Model!CM34=0,"",Model!CM34)</f>
        <v/>
      </c>
      <c r="CP31" s="194" t="str">
        <f aca="false">IF(Model!CN34=0,"",Model!CN34)</f>
        <v/>
      </c>
      <c r="CQ31" s="194" t="str">
        <f aca="false">IF(Model!CO34=0,"",Model!CO34)</f>
        <v/>
      </c>
      <c r="CR31" s="194" t="str">
        <f aca="false">IF(Model!CP34=0,"",Model!CP34)</f>
        <v/>
      </c>
      <c r="CS31" s="194" t="str">
        <f aca="false">IF(Model!CQ34=0,"",Model!CQ34)</f>
        <v/>
      </c>
      <c r="CT31" s="194" t="str">
        <f aca="false">IF(Model!CR34=0,"",Model!CR34)</f>
        <v/>
      </c>
      <c r="CU31" s="194" t="str">
        <f aca="false">IF(Model!CS34=0,"",Model!CS34)</f>
        <v/>
      </c>
      <c r="CV31" s="194" t="str">
        <f aca="false">IF(Model!CT34=0,"",Model!CT34)</f>
        <v/>
      </c>
      <c r="CW31" s="194" t="str">
        <f aca="false">IF(Model!CU34=0,"",Model!CU34)</f>
        <v/>
      </c>
      <c r="CX31" s="194" t="str">
        <f aca="false">IF(Model!CV34=0,"",Model!CV34)</f>
        <v/>
      </c>
      <c r="CY31" s="194" t="str">
        <f aca="false">IF(Model!CW34=0,"",Model!CW34)</f>
        <v/>
      </c>
      <c r="CZ31" s="194" t="str">
        <f aca="false">IF(Model!CX34=0,"",Model!CX34)</f>
        <v/>
      </c>
      <c r="DA31" s="194" t="str">
        <f aca="false">IF(Model!CY34=0,"",Model!CY34)</f>
        <v/>
      </c>
      <c r="DB31" s="194" t="str">
        <f aca="false">IF(Model!CZ34=0,"",Model!CZ34)</f>
        <v/>
      </c>
    </row>
    <row r="32" customFormat="false" ht="15" hidden="false" customHeight="true" outlineLevel="0" collapsed="false">
      <c r="A32" s="125" t="s">
        <v>29</v>
      </c>
      <c r="B32" s="191" t="n">
        <f aca="false">Projects!$B$26</f>
        <v>18000000</v>
      </c>
      <c r="C32" s="192" t="n">
        <f aca="false">EDATE(Model!$E$2,Projects!$C$26-1)</f>
        <v>46997</v>
      </c>
      <c r="D32" s="192" t="n">
        <f aca="false">EDATE(Model!$E$2,Projects!$C$26+Projects!$D$26-2)</f>
        <v>47543</v>
      </c>
      <c r="E32" s="193" t="n">
        <f aca="false">Projects!$D$26</f>
        <v>19</v>
      </c>
      <c r="F32" s="191" t="n">
        <f aca="false">SUM(G32:DB32)</f>
        <v>15832962</v>
      </c>
      <c r="G32" s="194" t="str">
        <f aca="false">IF(Model!E35=0,"",Model!E35)</f>
        <v/>
      </c>
      <c r="H32" s="194" t="str">
        <f aca="false">IF(Model!F35=0,"",Model!F35)</f>
        <v/>
      </c>
      <c r="I32" s="194" t="str">
        <f aca="false">IF(Model!G35=0,"",Model!G35)</f>
        <v/>
      </c>
      <c r="J32" s="194" t="str">
        <f aca="false">IF(Model!H35=0,"",Model!H35)</f>
        <v/>
      </c>
      <c r="K32" s="194" t="str">
        <f aca="false">IF(Model!I35=0,"",Model!I35)</f>
        <v/>
      </c>
      <c r="L32" s="194" t="str">
        <f aca="false">IF(Model!J35=0,"",Model!J35)</f>
        <v/>
      </c>
      <c r="M32" s="194" t="str">
        <f aca="false">IF(Model!K35=0,"",Model!K35)</f>
        <v/>
      </c>
      <c r="N32" s="194" t="str">
        <f aca="false">IF(Model!L35=0,"",Model!L35)</f>
        <v/>
      </c>
      <c r="O32" s="194" t="str">
        <f aca="false">IF(Model!M35=0,"",Model!M35)</f>
        <v/>
      </c>
      <c r="P32" s="194" t="str">
        <f aca="false">IF(Model!N35=0,"",Model!N35)</f>
        <v/>
      </c>
      <c r="Q32" s="194" t="str">
        <f aca="false">IF(Model!O35=0,"",Model!O35)</f>
        <v/>
      </c>
      <c r="R32" s="194" t="str">
        <f aca="false">IF(Model!P35=0,"",Model!P35)</f>
        <v/>
      </c>
      <c r="S32" s="194" t="str">
        <f aca="false">IF(Model!Q35=0,"",Model!Q35)</f>
        <v/>
      </c>
      <c r="T32" s="194" t="str">
        <f aca="false">IF(Model!R35=0,"",Model!R35)</f>
        <v/>
      </c>
      <c r="U32" s="194" t="str">
        <f aca="false">IF(Model!S35=0,"",Model!S35)</f>
        <v/>
      </c>
      <c r="V32" s="194" t="str">
        <f aca="false">IF(Model!T35=0,"",Model!T35)</f>
        <v/>
      </c>
      <c r="W32" s="194" t="str">
        <f aca="false">IF(Model!U35=0,"",Model!U35)</f>
        <v/>
      </c>
      <c r="X32" s="194" t="str">
        <f aca="false">IF(Model!V35=0,"",Model!V35)</f>
        <v/>
      </c>
      <c r="Y32" s="194" t="str">
        <f aca="false">IF(Model!W35=0,"",Model!W35)</f>
        <v/>
      </c>
      <c r="Z32" s="194" t="str">
        <f aca="false">IF(Model!X35=0,"",Model!X35)</f>
        <v/>
      </c>
      <c r="AA32" s="194" t="str">
        <f aca="false">IF(Model!Y35=0,"",Model!Y35)</f>
        <v/>
      </c>
      <c r="AB32" s="194" t="str">
        <f aca="false">IF(Model!Z35=0,"",Model!Z35)</f>
        <v/>
      </c>
      <c r="AC32" s="194" t="str">
        <f aca="false">IF(Model!AA35=0,"",Model!AA35)</f>
        <v/>
      </c>
      <c r="AD32" s="194" t="str">
        <f aca="false">IF(Model!AB35=0,"",Model!AB35)</f>
        <v/>
      </c>
      <c r="AE32" s="194" t="str">
        <f aca="false">IF(Model!AC35=0,"",Model!AC35)</f>
        <v/>
      </c>
      <c r="AF32" s="194" t="str">
        <f aca="false">IF(Model!AD35=0,"",Model!AD35)</f>
        <v/>
      </c>
      <c r="AG32" s="194" t="str">
        <f aca="false">IF(Model!AE35=0,"",Model!AE35)</f>
        <v/>
      </c>
      <c r="AH32" s="194" t="str">
        <f aca="false">IF(Model!AF35=0,"",Model!AF35)</f>
        <v/>
      </c>
      <c r="AI32" s="194" t="str">
        <f aca="false">IF(Model!AG35=0,"",Model!AG35)</f>
        <v/>
      </c>
      <c r="AJ32" s="194" t="n">
        <f aca="false">IF(Model!AH35=0,"",Model!AH35)</f>
        <v>368954.1</v>
      </c>
      <c r="AK32" s="194" t="n">
        <f aca="false">IF(Model!AI35=0,"",Model!AI35)</f>
        <v>481346.1</v>
      </c>
      <c r="AL32" s="194" t="n">
        <f aca="false">IF(Model!AJ35=0,"",Model!AJ35)</f>
        <v>602324.1</v>
      </c>
      <c r="AM32" s="194" t="n">
        <f aca="false">IF(Model!AK35=0,"",Model!AK35)</f>
        <v>727064.1</v>
      </c>
      <c r="AN32" s="194" t="n">
        <f aca="false">IF(Model!AL35=0,"",Model!AL35)</f>
        <v>849572.1</v>
      </c>
      <c r="AO32" s="194" t="n">
        <f aca="false">IF(Model!AM35=0,"",Model!AM35)</f>
        <v>963044.1</v>
      </c>
      <c r="AP32" s="194" t="n">
        <f aca="false">IF(Model!AN35=0,"",Model!AN35)</f>
        <v>1060514.1</v>
      </c>
      <c r="AQ32" s="194" t="n">
        <f aca="false">IF(Model!AO35=0,"",Model!AO35)</f>
        <v>1135520.1</v>
      </c>
      <c r="AR32" s="194" t="n">
        <f aca="false">IF(Model!AP35=0,"",Model!AP35)</f>
        <v>1182824.1</v>
      </c>
      <c r="AS32" s="194" t="n">
        <f aca="false">IF(Model!AQ35=0,"",Model!AQ35)</f>
        <v>1198988.1</v>
      </c>
      <c r="AT32" s="194" t="n">
        <f aca="false">IF(Model!AR35=0,"",Model!AR35)</f>
        <v>1182824.1</v>
      </c>
      <c r="AU32" s="194" t="n">
        <f aca="false">IF(Model!AS35=0,"",Model!AS35)</f>
        <v>1135520.1</v>
      </c>
      <c r="AV32" s="194" t="n">
        <f aca="false">IF(Model!AT35=0,"",Model!AT35)</f>
        <v>1060514.1</v>
      </c>
      <c r="AW32" s="194" t="n">
        <f aca="false">IF(Model!AU35=0,"",Model!AU35)</f>
        <v>963044.1</v>
      </c>
      <c r="AX32" s="194" t="n">
        <f aca="false">IF(Model!AV35=0,"",Model!AV35)</f>
        <v>849572.1</v>
      </c>
      <c r="AY32" s="194" t="n">
        <f aca="false">IF(Model!AW35=0,"",Model!AW35)</f>
        <v>727064.1</v>
      </c>
      <c r="AZ32" s="194" t="n">
        <f aca="false">IF(Model!AX35=0,"",Model!AX35)</f>
        <v>602324.1</v>
      </c>
      <c r="BA32" s="194" t="n">
        <f aca="false">IF(Model!AY35=0,"",Model!AY35)</f>
        <v>481346.1</v>
      </c>
      <c r="BB32" s="194" t="n">
        <f aca="false">IF(Model!AZ35=0,"",Model!AZ35)</f>
        <v>260602.2</v>
      </c>
      <c r="BC32" s="194" t="str">
        <f aca="false">IF(Model!BA35=0,"",Model!BA35)</f>
        <v/>
      </c>
      <c r="BD32" s="194" t="str">
        <f aca="false">IF(Model!BB35=0,"",Model!BB35)</f>
        <v/>
      </c>
      <c r="BE32" s="194" t="str">
        <f aca="false">IF(Model!BC35=0,"",Model!BC35)</f>
        <v/>
      </c>
      <c r="BF32" s="194" t="str">
        <f aca="false">IF(Model!BD35=0,"",Model!BD35)</f>
        <v/>
      </c>
      <c r="BG32" s="194" t="str">
        <f aca="false">IF(Model!BE35=0,"",Model!BE35)</f>
        <v/>
      </c>
      <c r="BH32" s="194" t="str">
        <f aca="false">IF(Model!BF35=0,"",Model!BF35)</f>
        <v/>
      </c>
      <c r="BI32" s="194" t="str">
        <f aca="false">IF(Model!BG35=0,"",Model!BG35)</f>
        <v/>
      </c>
      <c r="BJ32" s="194" t="str">
        <f aca="false">IF(Model!BH35=0,"",Model!BH35)</f>
        <v/>
      </c>
      <c r="BK32" s="194" t="str">
        <f aca="false">IF(Model!BI35=0,"",Model!BI35)</f>
        <v/>
      </c>
      <c r="BL32" s="194" t="str">
        <f aca="false">IF(Model!BJ35=0,"",Model!BJ35)</f>
        <v/>
      </c>
      <c r="BM32" s="194" t="str">
        <f aca="false">IF(Model!BK35=0,"",Model!BK35)</f>
        <v/>
      </c>
      <c r="BN32" s="194" t="str">
        <f aca="false">IF(Model!BL35=0,"",Model!BL35)</f>
        <v/>
      </c>
      <c r="BO32" s="194" t="str">
        <f aca="false">IF(Model!BM35=0,"",Model!BM35)</f>
        <v/>
      </c>
      <c r="BP32" s="194" t="str">
        <f aca="false">IF(Model!BN35=0,"",Model!BN35)</f>
        <v/>
      </c>
      <c r="BQ32" s="194" t="str">
        <f aca="false">IF(Model!BO35=0,"",Model!BO35)</f>
        <v/>
      </c>
      <c r="BR32" s="194" t="str">
        <f aca="false">IF(Model!BP35=0,"",Model!BP35)</f>
        <v/>
      </c>
      <c r="BS32" s="194" t="str">
        <f aca="false">IF(Model!BQ35=0,"",Model!BQ35)</f>
        <v/>
      </c>
      <c r="BT32" s="194" t="str">
        <f aca="false">IF(Model!BR35=0,"",Model!BR35)</f>
        <v/>
      </c>
      <c r="BU32" s="194" t="str">
        <f aca="false">IF(Model!BS35=0,"",Model!BS35)</f>
        <v/>
      </c>
      <c r="BV32" s="194" t="str">
        <f aca="false">IF(Model!BT35=0,"",Model!BT35)</f>
        <v/>
      </c>
      <c r="BW32" s="194" t="str">
        <f aca="false">IF(Model!BU35=0,"",Model!BU35)</f>
        <v/>
      </c>
      <c r="BX32" s="194" t="str">
        <f aca="false">IF(Model!BV35=0,"",Model!BV35)</f>
        <v/>
      </c>
      <c r="BY32" s="194" t="str">
        <f aca="false">IF(Model!BW35=0,"",Model!BW35)</f>
        <v/>
      </c>
      <c r="BZ32" s="194" t="str">
        <f aca="false">IF(Model!BX35=0,"",Model!BX35)</f>
        <v/>
      </c>
      <c r="CA32" s="194" t="str">
        <f aca="false">IF(Model!BY35=0,"",Model!BY35)</f>
        <v/>
      </c>
      <c r="CB32" s="194" t="str">
        <f aca="false">IF(Model!BZ35=0,"",Model!BZ35)</f>
        <v/>
      </c>
      <c r="CC32" s="194" t="str">
        <f aca="false">IF(Model!CA35=0,"",Model!CA35)</f>
        <v/>
      </c>
      <c r="CD32" s="194" t="str">
        <f aca="false">IF(Model!CB35=0,"",Model!CB35)</f>
        <v/>
      </c>
      <c r="CE32" s="194" t="str">
        <f aca="false">IF(Model!CC35=0,"",Model!CC35)</f>
        <v/>
      </c>
      <c r="CF32" s="194" t="str">
        <f aca="false">IF(Model!CD35=0,"",Model!CD35)</f>
        <v/>
      </c>
      <c r="CG32" s="194" t="str">
        <f aca="false">IF(Model!CE35=0,"",Model!CE35)</f>
        <v/>
      </c>
      <c r="CH32" s="194" t="str">
        <f aca="false">IF(Model!CF35=0,"",Model!CF35)</f>
        <v/>
      </c>
      <c r="CI32" s="194" t="str">
        <f aca="false">IF(Model!CG35=0,"",Model!CG35)</f>
        <v/>
      </c>
      <c r="CJ32" s="194" t="str">
        <f aca="false">IF(Model!CH35=0,"",Model!CH35)</f>
        <v/>
      </c>
      <c r="CK32" s="194" t="str">
        <f aca="false">IF(Model!CI35=0,"",Model!CI35)</f>
        <v/>
      </c>
      <c r="CL32" s="194" t="str">
        <f aca="false">IF(Model!CJ35=0,"",Model!CJ35)</f>
        <v/>
      </c>
      <c r="CM32" s="194" t="str">
        <f aca="false">IF(Model!CK35=0,"",Model!CK35)</f>
        <v/>
      </c>
      <c r="CN32" s="194" t="str">
        <f aca="false">IF(Model!CL35=0,"",Model!CL35)</f>
        <v/>
      </c>
      <c r="CO32" s="194" t="str">
        <f aca="false">IF(Model!CM35=0,"",Model!CM35)</f>
        <v/>
      </c>
      <c r="CP32" s="194" t="str">
        <f aca="false">IF(Model!CN35=0,"",Model!CN35)</f>
        <v/>
      </c>
      <c r="CQ32" s="194" t="str">
        <f aca="false">IF(Model!CO35=0,"",Model!CO35)</f>
        <v/>
      </c>
      <c r="CR32" s="194" t="str">
        <f aca="false">IF(Model!CP35=0,"",Model!CP35)</f>
        <v/>
      </c>
      <c r="CS32" s="194" t="str">
        <f aca="false">IF(Model!CQ35=0,"",Model!CQ35)</f>
        <v/>
      </c>
      <c r="CT32" s="194" t="str">
        <f aca="false">IF(Model!CR35=0,"",Model!CR35)</f>
        <v/>
      </c>
      <c r="CU32" s="194" t="str">
        <f aca="false">IF(Model!CS35=0,"",Model!CS35)</f>
        <v/>
      </c>
      <c r="CV32" s="194" t="str">
        <f aca="false">IF(Model!CT35=0,"",Model!CT35)</f>
        <v/>
      </c>
      <c r="CW32" s="194" t="str">
        <f aca="false">IF(Model!CU35=0,"",Model!CU35)</f>
        <v/>
      </c>
      <c r="CX32" s="194" t="str">
        <f aca="false">IF(Model!CV35=0,"",Model!CV35)</f>
        <v/>
      </c>
      <c r="CY32" s="194" t="str">
        <f aca="false">IF(Model!CW35=0,"",Model!CW35)</f>
        <v/>
      </c>
      <c r="CZ32" s="194" t="str">
        <f aca="false">IF(Model!CX35=0,"",Model!CX35)</f>
        <v/>
      </c>
      <c r="DA32" s="194" t="str">
        <f aca="false">IF(Model!CY35=0,"",Model!CY35)</f>
        <v/>
      </c>
      <c r="DB32" s="194" t="str">
        <f aca="false">IF(Model!CZ35=0,"",Model!CZ35)</f>
        <v/>
      </c>
    </row>
    <row r="33" customFormat="false" ht="15" hidden="false" customHeight="true" outlineLevel="0" collapsed="false">
      <c r="A33" s="125" t="s">
        <v>30</v>
      </c>
      <c r="B33" s="191" t="n">
        <f aca="false">Projects!$B$27</f>
        <v>15000000</v>
      </c>
      <c r="C33" s="192" t="n">
        <f aca="false">EDATE(Model!$E$2,Projects!$C$27-1)</f>
        <v>47027</v>
      </c>
      <c r="D33" s="192" t="n">
        <f aca="false">EDATE(Model!$E$2,Projects!$C$27+Projects!$D$27-2)</f>
        <v>47574</v>
      </c>
      <c r="E33" s="193" t="n">
        <f aca="false">Projects!$D$27</f>
        <v>19</v>
      </c>
      <c r="F33" s="191" t="n">
        <f aca="false">SUM(G33:DB33)</f>
        <v>13194135</v>
      </c>
      <c r="G33" s="194" t="str">
        <f aca="false">IF(Model!E36=0,"",Model!E36)</f>
        <v/>
      </c>
      <c r="H33" s="194" t="str">
        <f aca="false">IF(Model!F36=0,"",Model!F36)</f>
        <v/>
      </c>
      <c r="I33" s="194" t="str">
        <f aca="false">IF(Model!G36=0,"",Model!G36)</f>
        <v/>
      </c>
      <c r="J33" s="194" t="str">
        <f aca="false">IF(Model!H36=0,"",Model!H36)</f>
        <v/>
      </c>
      <c r="K33" s="194" t="str">
        <f aca="false">IF(Model!I36=0,"",Model!I36)</f>
        <v/>
      </c>
      <c r="L33" s="194" t="str">
        <f aca="false">IF(Model!J36=0,"",Model!J36)</f>
        <v/>
      </c>
      <c r="M33" s="194" t="str">
        <f aca="false">IF(Model!K36=0,"",Model!K36)</f>
        <v/>
      </c>
      <c r="N33" s="194" t="str">
        <f aca="false">IF(Model!L36=0,"",Model!L36)</f>
        <v/>
      </c>
      <c r="O33" s="194" t="str">
        <f aca="false">IF(Model!M36=0,"",Model!M36)</f>
        <v/>
      </c>
      <c r="P33" s="194" t="str">
        <f aca="false">IF(Model!N36=0,"",Model!N36)</f>
        <v/>
      </c>
      <c r="Q33" s="194" t="str">
        <f aca="false">IF(Model!O36=0,"",Model!O36)</f>
        <v/>
      </c>
      <c r="R33" s="194" t="str">
        <f aca="false">IF(Model!P36=0,"",Model!P36)</f>
        <v/>
      </c>
      <c r="S33" s="194" t="str">
        <f aca="false">IF(Model!Q36=0,"",Model!Q36)</f>
        <v/>
      </c>
      <c r="T33" s="194" t="str">
        <f aca="false">IF(Model!R36=0,"",Model!R36)</f>
        <v/>
      </c>
      <c r="U33" s="194" t="str">
        <f aca="false">IF(Model!S36=0,"",Model!S36)</f>
        <v/>
      </c>
      <c r="V33" s="194" t="str">
        <f aca="false">IF(Model!T36=0,"",Model!T36)</f>
        <v/>
      </c>
      <c r="W33" s="194" t="str">
        <f aca="false">IF(Model!U36=0,"",Model!U36)</f>
        <v/>
      </c>
      <c r="X33" s="194" t="str">
        <f aca="false">IF(Model!V36=0,"",Model!V36)</f>
        <v/>
      </c>
      <c r="Y33" s="194" t="str">
        <f aca="false">IF(Model!W36=0,"",Model!W36)</f>
        <v/>
      </c>
      <c r="Z33" s="194" t="str">
        <f aca="false">IF(Model!X36=0,"",Model!X36)</f>
        <v/>
      </c>
      <c r="AA33" s="194" t="str">
        <f aca="false">IF(Model!Y36=0,"",Model!Y36)</f>
        <v/>
      </c>
      <c r="AB33" s="194" t="str">
        <f aca="false">IF(Model!Z36=0,"",Model!Z36)</f>
        <v/>
      </c>
      <c r="AC33" s="194" t="str">
        <f aca="false">IF(Model!AA36=0,"",Model!AA36)</f>
        <v/>
      </c>
      <c r="AD33" s="194" t="str">
        <f aca="false">IF(Model!AB36=0,"",Model!AB36)</f>
        <v/>
      </c>
      <c r="AE33" s="194" t="str">
        <f aca="false">IF(Model!AC36=0,"",Model!AC36)</f>
        <v/>
      </c>
      <c r="AF33" s="194" t="str">
        <f aca="false">IF(Model!AD36=0,"",Model!AD36)</f>
        <v/>
      </c>
      <c r="AG33" s="194" t="str">
        <f aca="false">IF(Model!AE36=0,"",Model!AE36)</f>
        <v/>
      </c>
      <c r="AH33" s="194" t="str">
        <f aca="false">IF(Model!AF36=0,"",Model!AF36)</f>
        <v/>
      </c>
      <c r="AI33" s="194" t="str">
        <f aca="false">IF(Model!AG36=0,"",Model!AG36)</f>
        <v/>
      </c>
      <c r="AJ33" s="194" t="str">
        <f aca="false">IF(Model!AH36=0,"",Model!AH36)</f>
        <v/>
      </c>
      <c r="AK33" s="194" t="n">
        <f aca="false">IF(Model!AI36=0,"",Model!AI36)</f>
        <v>307461.75</v>
      </c>
      <c r="AL33" s="194" t="n">
        <f aca="false">IF(Model!AJ36=0,"",Model!AJ36)</f>
        <v>401121.75</v>
      </c>
      <c r="AM33" s="194" t="n">
        <f aca="false">IF(Model!AK36=0,"",Model!AK36)</f>
        <v>501936.75</v>
      </c>
      <c r="AN33" s="194" t="n">
        <f aca="false">IF(Model!AL36=0,"",Model!AL36)</f>
        <v>605886.75</v>
      </c>
      <c r="AO33" s="194" t="n">
        <f aca="false">IF(Model!AM36=0,"",Model!AM36)</f>
        <v>707976.75</v>
      </c>
      <c r="AP33" s="194" t="n">
        <f aca="false">IF(Model!AN36=0,"",Model!AN36)</f>
        <v>802536.75</v>
      </c>
      <c r="AQ33" s="194" t="n">
        <f aca="false">IF(Model!AO36=0,"",Model!AO36)</f>
        <v>883761.75</v>
      </c>
      <c r="AR33" s="194" t="n">
        <f aca="false">IF(Model!AP36=0,"",Model!AP36)</f>
        <v>946266.75</v>
      </c>
      <c r="AS33" s="194" t="n">
        <f aca="false">IF(Model!AQ36=0,"",Model!AQ36)</f>
        <v>985686.75</v>
      </c>
      <c r="AT33" s="194" t="n">
        <f aca="false">IF(Model!AR36=0,"",Model!AR36)</f>
        <v>999156.75</v>
      </c>
      <c r="AU33" s="194" t="n">
        <f aca="false">IF(Model!AS36=0,"",Model!AS36)</f>
        <v>985686.75</v>
      </c>
      <c r="AV33" s="194" t="n">
        <f aca="false">IF(Model!AT36=0,"",Model!AT36)</f>
        <v>946266.75</v>
      </c>
      <c r="AW33" s="194" t="n">
        <f aca="false">IF(Model!AU36=0,"",Model!AU36)</f>
        <v>883761.75</v>
      </c>
      <c r="AX33" s="194" t="n">
        <f aca="false">IF(Model!AV36=0,"",Model!AV36)</f>
        <v>802536.75</v>
      </c>
      <c r="AY33" s="194" t="n">
        <f aca="false">IF(Model!AW36=0,"",Model!AW36)</f>
        <v>707976.75</v>
      </c>
      <c r="AZ33" s="194" t="n">
        <f aca="false">IF(Model!AX36=0,"",Model!AX36)</f>
        <v>605886.75</v>
      </c>
      <c r="BA33" s="194" t="n">
        <f aca="false">IF(Model!AY36=0,"",Model!AY36)</f>
        <v>501936.75</v>
      </c>
      <c r="BB33" s="194" t="n">
        <f aca="false">IF(Model!AZ36=0,"",Model!AZ36)</f>
        <v>401121.75</v>
      </c>
      <c r="BC33" s="194" t="n">
        <f aca="false">IF(Model!BA36=0,"",Model!BA36)</f>
        <v>217168.5</v>
      </c>
      <c r="BD33" s="194" t="str">
        <f aca="false">IF(Model!BB36=0,"",Model!BB36)</f>
        <v/>
      </c>
      <c r="BE33" s="194" t="str">
        <f aca="false">IF(Model!BC36=0,"",Model!BC36)</f>
        <v/>
      </c>
      <c r="BF33" s="194" t="str">
        <f aca="false">IF(Model!BD36=0,"",Model!BD36)</f>
        <v/>
      </c>
      <c r="BG33" s="194" t="str">
        <f aca="false">IF(Model!BE36=0,"",Model!BE36)</f>
        <v/>
      </c>
      <c r="BH33" s="194" t="str">
        <f aca="false">IF(Model!BF36=0,"",Model!BF36)</f>
        <v/>
      </c>
      <c r="BI33" s="194" t="str">
        <f aca="false">IF(Model!BG36=0,"",Model!BG36)</f>
        <v/>
      </c>
      <c r="BJ33" s="194" t="str">
        <f aca="false">IF(Model!BH36=0,"",Model!BH36)</f>
        <v/>
      </c>
      <c r="BK33" s="194" t="str">
        <f aca="false">IF(Model!BI36=0,"",Model!BI36)</f>
        <v/>
      </c>
      <c r="BL33" s="194" t="str">
        <f aca="false">IF(Model!BJ36=0,"",Model!BJ36)</f>
        <v/>
      </c>
      <c r="BM33" s="194" t="str">
        <f aca="false">IF(Model!BK36=0,"",Model!BK36)</f>
        <v/>
      </c>
      <c r="BN33" s="194" t="str">
        <f aca="false">IF(Model!BL36=0,"",Model!BL36)</f>
        <v/>
      </c>
      <c r="BO33" s="194" t="str">
        <f aca="false">IF(Model!BM36=0,"",Model!BM36)</f>
        <v/>
      </c>
      <c r="BP33" s="194" t="str">
        <f aca="false">IF(Model!BN36=0,"",Model!BN36)</f>
        <v/>
      </c>
      <c r="BQ33" s="194" t="str">
        <f aca="false">IF(Model!BO36=0,"",Model!BO36)</f>
        <v/>
      </c>
      <c r="BR33" s="194" t="str">
        <f aca="false">IF(Model!BP36=0,"",Model!BP36)</f>
        <v/>
      </c>
      <c r="BS33" s="194" t="str">
        <f aca="false">IF(Model!BQ36=0,"",Model!BQ36)</f>
        <v/>
      </c>
      <c r="BT33" s="194" t="str">
        <f aca="false">IF(Model!BR36=0,"",Model!BR36)</f>
        <v/>
      </c>
      <c r="BU33" s="194" t="str">
        <f aca="false">IF(Model!BS36=0,"",Model!BS36)</f>
        <v/>
      </c>
      <c r="BV33" s="194" t="str">
        <f aca="false">IF(Model!BT36=0,"",Model!BT36)</f>
        <v/>
      </c>
      <c r="BW33" s="194" t="str">
        <f aca="false">IF(Model!BU36=0,"",Model!BU36)</f>
        <v/>
      </c>
      <c r="BX33" s="194" t="str">
        <f aca="false">IF(Model!BV36=0,"",Model!BV36)</f>
        <v/>
      </c>
      <c r="BY33" s="194" t="str">
        <f aca="false">IF(Model!BW36=0,"",Model!BW36)</f>
        <v/>
      </c>
      <c r="BZ33" s="194" t="str">
        <f aca="false">IF(Model!BX36=0,"",Model!BX36)</f>
        <v/>
      </c>
      <c r="CA33" s="194" t="str">
        <f aca="false">IF(Model!BY36=0,"",Model!BY36)</f>
        <v/>
      </c>
      <c r="CB33" s="194" t="str">
        <f aca="false">IF(Model!BZ36=0,"",Model!BZ36)</f>
        <v/>
      </c>
      <c r="CC33" s="194" t="str">
        <f aca="false">IF(Model!CA36=0,"",Model!CA36)</f>
        <v/>
      </c>
      <c r="CD33" s="194" t="str">
        <f aca="false">IF(Model!CB36=0,"",Model!CB36)</f>
        <v/>
      </c>
      <c r="CE33" s="194" t="str">
        <f aca="false">IF(Model!CC36=0,"",Model!CC36)</f>
        <v/>
      </c>
      <c r="CF33" s="194" t="str">
        <f aca="false">IF(Model!CD36=0,"",Model!CD36)</f>
        <v/>
      </c>
      <c r="CG33" s="194" t="str">
        <f aca="false">IF(Model!CE36=0,"",Model!CE36)</f>
        <v/>
      </c>
      <c r="CH33" s="194" t="str">
        <f aca="false">IF(Model!CF36=0,"",Model!CF36)</f>
        <v/>
      </c>
      <c r="CI33" s="194" t="str">
        <f aca="false">IF(Model!CG36=0,"",Model!CG36)</f>
        <v/>
      </c>
      <c r="CJ33" s="194" t="str">
        <f aca="false">IF(Model!CH36=0,"",Model!CH36)</f>
        <v/>
      </c>
      <c r="CK33" s="194" t="str">
        <f aca="false">IF(Model!CI36=0,"",Model!CI36)</f>
        <v/>
      </c>
      <c r="CL33" s="194" t="str">
        <f aca="false">IF(Model!CJ36=0,"",Model!CJ36)</f>
        <v/>
      </c>
      <c r="CM33" s="194" t="str">
        <f aca="false">IF(Model!CK36=0,"",Model!CK36)</f>
        <v/>
      </c>
      <c r="CN33" s="194" t="str">
        <f aca="false">IF(Model!CL36=0,"",Model!CL36)</f>
        <v/>
      </c>
      <c r="CO33" s="194" t="str">
        <f aca="false">IF(Model!CM36=0,"",Model!CM36)</f>
        <v/>
      </c>
      <c r="CP33" s="194" t="str">
        <f aca="false">IF(Model!CN36=0,"",Model!CN36)</f>
        <v/>
      </c>
      <c r="CQ33" s="194" t="str">
        <f aca="false">IF(Model!CO36=0,"",Model!CO36)</f>
        <v/>
      </c>
      <c r="CR33" s="194" t="str">
        <f aca="false">IF(Model!CP36=0,"",Model!CP36)</f>
        <v/>
      </c>
      <c r="CS33" s="194" t="str">
        <f aca="false">IF(Model!CQ36=0,"",Model!CQ36)</f>
        <v/>
      </c>
      <c r="CT33" s="194" t="str">
        <f aca="false">IF(Model!CR36=0,"",Model!CR36)</f>
        <v/>
      </c>
      <c r="CU33" s="194" t="str">
        <f aca="false">IF(Model!CS36=0,"",Model!CS36)</f>
        <v/>
      </c>
      <c r="CV33" s="194" t="str">
        <f aca="false">IF(Model!CT36=0,"",Model!CT36)</f>
        <v/>
      </c>
      <c r="CW33" s="194" t="str">
        <f aca="false">IF(Model!CU36=0,"",Model!CU36)</f>
        <v/>
      </c>
      <c r="CX33" s="194" t="str">
        <f aca="false">IF(Model!CV36=0,"",Model!CV36)</f>
        <v/>
      </c>
      <c r="CY33" s="194" t="str">
        <f aca="false">IF(Model!CW36=0,"",Model!CW36)</f>
        <v/>
      </c>
      <c r="CZ33" s="194" t="str">
        <f aca="false">IF(Model!CX36=0,"",Model!CX36)</f>
        <v/>
      </c>
      <c r="DA33" s="194" t="str">
        <f aca="false">IF(Model!CY36=0,"",Model!CY36)</f>
        <v/>
      </c>
      <c r="DB33" s="194" t="str">
        <f aca="false">IF(Model!CZ36=0,"",Model!CZ36)</f>
        <v/>
      </c>
    </row>
    <row r="34" customFormat="false" ht="15" hidden="false" customHeight="true" outlineLevel="0" collapsed="false">
      <c r="A34" s="125" t="s">
        <v>31</v>
      </c>
      <c r="B34" s="191" t="n">
        <f aca="false">Projects!$B$28</f>
        <v>15000000</v>
      </c>
      <c r="C34" s="192" t="n">
        <f aca="false">EDATE(Model!$E$2,Projects!$C$28-1)</f>
        <v>47058</v>
      </c>
      <c r="D34" s="192" t="n">
        <f aca="false">EDATE(Model!$E$2,Projects!$C$28+Projects!$D$28-2)</f>
        <v>47604</v>
      </c>
      <c r="E34" s="193" t="n">
        <f aca="false">Projects!$D$28</f>
        <v>19</v>
      </c>
      <c r="F34" s="191" t="n">
        <f aca="false">SUM(G34:DB34)</f>
        <v>13194135</v>
      </c>
      <c r="G34" s="194" t="str">
        <f aca="false">IF(Model!E37=0,"",Model!E37)</f>
        <v/>
      </c>
      <c r="H34" s="194" t="str">
        <f aca="false">IF(Model!F37=0,"",Model!F37)</f>
        <v/>
      </c>
      <c r="I34" s="194" t="str">
        <f aca="false">IF(Model!G37=0,"",Model!G37)</f>
        <v/>
      </c>
      <c r="J34" s="194" t="str">
        <f aca="false">IF(Model!H37=0,"",Model!H37)</f>
        <v/>
      </c>
      <c r="K34" s="194" t="str">
        <f aca="false">IF(Model!I37=0,"",Model!I37)</f>
        <v/>
      </c>
      <c r="L34" s="194" t="str">
        <f aca="false">IF(Model!J37=0,"",Model!J37)</f>
        <v/>
      </c>
      <c r="M34" s="194" t="str">
        <f aca="false">IF(Model!K37=0,"",Model!K37)</f>
        <v/>
      </c>
      <c r="N34" s="194" t="str">
        <f aca="false">IF(Model!L37=0,"",Model!L37)</f>
        <v/>
      </c>
      <c r="O34" s="194" t="str">
        <f aca="false">IF(Model!M37=0,"",Model!M37)</f>
        <v/>
      </c>
      <c r="P34" s="194" t="str">
        <f aca="false">IF(Model!N37=0,"",Model!N37)</f>
        <v/>
      </c>
      <c r="Q34" s="194" t="str">
        <f aca="false">IF(Model!O37=0,"",Model!O37)</f>
        <v/>
      </c>
      <c r="R34" s="194" t="str">
        <f aca="false">IF(Model!P37=0,"",Model!P37)</f>
        <v/>
      </c>
      <c r="S34" s="194" t="str">
        <f aca="false">IF(Model!Q37=0,"",Model!Q37)</f>
        <v/>
      </c>
      <c r="T34" s="194" t="str">
        <f aca="false">IF(Model!R37=0,"",Model!R37)</f>
        <v/>
      </c>
      <c r="U34" s="194" t="str">
        <f aca="false">IF(Model!S37=0,"",Model!S37)</f>
        <v/>
      </c>
      <c r="V34" s="194" t="str">
        <f aca="false">IF(Model!T37=0,"",Model!T37)</f>
        <v/>
      </c>
      <c r="W34" s="194" t="str">
        <f aca="false">IF(Model!U37=0,"",Model!U37)</f>
        <v/>
      </c>
      <c r="X34" s="194" t="str">
        <f aca="false">IF(Model!V37=0,"",Model!V37)</f>
        <v/>
      </c>
      <c r="Y34" s="194" t="str">
        <f aca="false">IF(Model!W37=0,"",Model!W37)</f>
        <v/>
      </c>
      <c r="Z34" s="194" t="str">
        <f aca="false">IF(Model!X37=0,"",Model!X37)</f>
        <v/>
      </c>
      <c r="AA34" s="194" t="str">
        <f aca="false">IF(Model!Y37=0,"",Model!Y37)</f>
        <v/>
      </c>
      <c r="AB34" s="194" t="str">
        <f aca="false">IF(Model!Z37=0,"",Model!Z37)</f>
        <v/>
      </c>
      <c r="AC34" s="194" t="str">
        <f aca="false">IF(Model!AA37=0,"",Model!AA37)</f>
        <v/>
      </c>
      <c r="AD34" s="194" t="str">
        <f aca="false">IF(Model!AB37=0,"",Model!AB37)</f>
        <v/>
      </c>
      <c r="AE34" s="194" t="str">
        <f aca="false">IF(Model!AC37=0,"",Model!AC37)</f>
        <v/>
      </c>
      <c r="AF34" s="194" t="str">
        <f aca="false">IF(Model!AD37=0,"",Model!AD37)</f>
        <v/>
      </c>
      <c r="AG34" s="194" t="str">
        <f aca="false">IF(Model!AE37=0,"",Model!AE37)</f>
        <v/>
      </c>
      <c r="AH34" s="194" t="str">
        <f aca="false">IF(Model!AF37=0,"",Model!AF37)</f>
        <v/>
      </c>
      <c r="AI34" s="194" t="str">
        <f aca="false">IF(Model!AG37=0,"",Model!AG37)</f>
        <v/>
      </c>
      <c r="AJ34" s="194" t="str">
        <f aca="false">IF(Model!AH37=0,"",Model!AH37)</f>
        <v/>
      </c>
      <c r="AK34" s="194" t="str">
        <f aca="false">IF(Model!AI37=0,"",Model!AI37)</f>
        <v/>
      </c>
      <c r="AL34" s="194" t="n">
        <f aca="false">IF(Model!AJ37=0,"",Model!AJ37)</f>
        <v>307461.75</v>
      </c>
      <c r="AM34" s="194" t="n">
        <f aca="false">IF(Model!AK37=0,"",Model!AK37)</f>
        <v>401121.75</v>
      </c>
      <c r="AN34" s="194" t="n">
        <f aca="false">IF(Model!AL37=0,"",Model!AL37)</f>
        <v>501936.75</v>
      </c>
      <c r="AO34" s="194" t="n">
        <f aca="false">IF(Model!AM37=0,"",Model!AM37)</f>
        <v>605886.75</v>
      </c>
      <c r="AP34" s="194" t="n">
        <f aca="false">IF(Model!AN37=0,"",Model!AN37)</f>
        <v>707976.75</v>
      </c>
      <c r="AQ34" s="194" t="n">
        <f aca="false">IF(Model!AO37=0,"",Model!AO37)</f>
        <v>802536.75</v>
      </c>
      <c r="AR34" s="194" t="n">
        <f aca="false">IF(Model!AP37=0,"",Model!AP37)</f>
        <v>883761.75</v>
      </c>
      <c r="AS34" s="194" t="n">
        <f aca="false">IF(Model!AQ37=0,"",Model!AQ37)</f>
        <v>946266.75</v>
      </c>
      <c r="AT34" s="194" t="n">
        <f aca="false">IF(Model!AR37=0,"",Model!AR37)</f>
        <v>985686.75</v>
      </c>
      <c r="AU34" s="194" t="n">
        <f aca="false">IF(Model!AS37=0,"",Model!AS37)</f>
        <v>999156.75</v>
      </c>
      <c r="AV34" s="194" t="n">
        <f aca="false">IF(Model!AT37=0,"",Model!AT37)</f>
        <v>985686.75</v>
      </c>
      <c r="AW34" s="194" t="n">
        <f aca="false">IF(Model!AU37=0,"",Model!AU37)</f>
        <v>946266.75</v>
      </c>
      <c r="AX34" s="194" t="n">
        <f aca="false">IF(Model!AV37=0,"",Model!AV37)</f>
        <v>883761.75</v>
      </c>
      <c r="AY34" s="194" t="n">
        <f aca="false">IF(Model!AW37=0,"",Model!AW37)</f>
        <v>802536.75</v>
      </c>
      <c r="AZ34" s="194" t="n">
        <f aca="false">IF(Model!AX37=0,"",Model!AX37)</f>
        <v>707976.75</v>
      </c>
      <c r="BA34" s="194" t="n">
        <f aca="false">IF(Model!AY37=0,"",Model!AY37)</f>
        <v>605886.75</v>
      </c>
      <c r="BB34" s="194" t="n">
        <f aca="false">IF(Model!AZ37=0,"",Model!AZ37)</f>
        <v>501936.75</v>
      </c>
      <c r="BC34" s="194" t="n">
        <f aca="false">IF(Model!BA37=0,"",Model!BA37)</f>
        <v>401121.75</v>
      </c>
      <c r="BD34" s="194" t="n">
        <f aca="false">IF(Model!BB37=0,"",Model!BB37)</f>
        <v>217168.5</v>
      </c>
      <c r="BE34" s="194" t="str">
        <f aca="false">IF(Model!BC37=0,"",Model!BC37)</f>
        <v/>
      </c>
      <c r="BF34" s="194" t="str">
        <f aca="false">IF(Model!BD37=0,"",Model!BD37)</f>
        <v/>
      </c>
      <c r="BG34" s="194" t="str">
        <f aca="false">IF(Model!BE37=0,"",Model!BE37)</f>
        <v/>
      </c>
      <c r="BH34" s="194" t="str">
        <f aca="false">IF(Model!BF37=0,"",Model!BF37)</f>
        <v/>
      </c>
      <c r="BI34" s="194" t="str">
        <f aca="false">IF(Model!BG37=0,"",Model!BG37)</f>
        <v/>
      </c>
      <c r="BJ34" s="194" t="str">
        <f aca="false">IF(Model!BH37=0,"",Model!BH37)</f>
        <v/>
      </c>
      <c r="BK34" s="194" t="str">
        <f aca="false">IF(Model!BI37=0,"",Model!BI37)</f>
        <v/>
      </c>
      <c r="BL34" s="194" t="str">
        <f aca="false">IF(Model!BJ37=0,"",Model!BJ37)</f>
        <v/>
      </c>
      <c r="BM34" s="194" t="str">
        <f aca="false">IF(Model!BK37=0,"",Model!BK37)</f>
        <v/>
      </c>
      <c r="BN34" s="194" t="str">
        <f aca="false">IF(Model!BL37=0,"",Model!BL37)</f>
        <v/>
      </c>
      <c r="BO34" s="194" t="str">
        <f aca="false">IF(Model!BM37=0,"",Model!BM37)</f>
        <v/>
      </c>
      <c r="BP34" s="194" t="str">
        <f aca="false">IF(Model!BN37=0,"",Model!BN37)</f>
        <v/>
      </c>
      <c r="BQ34" s="194" t="str">
        <f aca="false">IF(Model!BO37=0,"",Model!BO37)</f>
        <v/>
      </c>
      <c r="BR34" s="194" t="str">
        <f aca="false">IF(Model!BP37=0,"",Model!BP37)</f>
        <v/>
      </c>
      <c r="BS34" s="194" t="str">
        <f aca="false">IF(Model!BQ37=0,"",Model!BQ37)</f>
        <v/>
      </c>
      <c r="BT34" s="194" t="str">
        <f aca="false">IF(Model!BR37=0,"",Model!BR37)</f>
        <v/>
      </c>
      <c r="BU34" s="194" t="str">
        <f aca="false">IF(Model!BS37=0,"",Model!BS37)</f>
        <v/>
      </c>
      <c r="BV34" s="194" t="str">
        <f aca="false">IF(Model!BT37=0,"",Model!BT37)</f>
        <v/>
      </c>
      <c r="BW34" s="194" t="str">
        <f aca="false">IF(Model!BU37=0,"",Model!BU37)</f>
        <v/>
      </c>
      <c r="BX34" s="194" t="str">
        <f aca="false">IF(Model!BV37=0,"",Model!BV37)</f>
        <v/>
      </c>
      <c r="BY34" s="194" t="str">
        <f aca="false">IF(Model!BW37=0,"",Model!BW37)</f>
        <v/>
      </c>
      <c r="BZ34" s="194" t="str">
        <f aca="false">IF(Model!BX37=0,"",Model!BX37)</f>
        <v/>
      </c>
      <c r="CA34" s="194" t="str">
        <f aca="false">IF(Model!BY37=0,"",Model!BY37)</f>
        <v/>
      </c>
      <c r="CB34" s="194" t="str">
        <f aca="false">IF(Model!BZ37=0,"",Model!BZ37)</f>
        <v/>
      </c>
      <c r="CC34" s="194" t="str">
        <f aca="false">IF(Model!CA37=0,"",Model!CA37)</f>
        <v/>
      </c>
      <c r="CD34" s="194" t="str">
        <f aca="false">IF(Model!CB37=0,"",Model!CB37)</f>
        <v/>
      </c>
      <c r="CE34" s="194" t="str">
        <f aca="false">IF(Model!CC37=0,"",Model!CC37)</f>
        <v/>
      </c>
      <c r="CF34" s="194" t="str">
        <f aca="false">IF(Model!CD37=0,"",Model!CD37)</f>
        <v/>
      </c>
      <c r="CG34" s="194" t="str">
        <f aca="false">IF(Model!CE37=0,"",Model!CE37)</f>
        <v/>
      </c>
      <c r="CH34" s="194" t="str">
        <f aca="false">IF(Model!CF37=0,"",Model!CF37)</f>
        <v/>
      </c>
      <c r="CI34" s="194" t="str">
        <f aca="false">IF(Model!CG37=0,"",Model!CG37)</f>
        <v/>
      </c>
      <c r="CJ34" s="194" t="str">
        <f aca="false">IF(Model!CH37=0,"",Model!CH37)</f>
        <v/>
      </c>
      <c r="CK34" s="194" t="str">
        <f aca="false">IF(Model!CI37=0,"",Model!CI37)</f>
        <v/>
      </c>
      <c r="CL34" s="194" t="str">
        <f aca="false">IF(Model!CJ37=0,"",Model!CJ37)</f>
        <v/>
      </c>
      <c r="CM34" s="194" t="str">
        <f aca="false">IF(Model!CK37=0,"",Model!CK37)</f>
        <v/>
      </c>
      <c r="CN34" s="194" t="str">
        <f aca="false">IF(Model!CL37=0,"",Model!CL37)</f>
        <v/>
      </c>
      <c r="CO34" s="194" t="str">
        <f aca="false">IF(Model!CM37=0,"",Model!CM37)</f>
        <v/>
      </c>
      <c r="CP34" s="194" t="str">
        <f aca="false">IF(Model!CN37=0,"",Model!CN37)</f>
        <v/>
      </c>
      <c r="CQ34" s="194" t="str">
        <f aca="false">IF(Model!CO37=0,"",Model!CO37)</f>
        <v/>
      </c>
      <c r="CR34" s="194" t="str">
        <f aca="false">IF(Model!CP37=0,"",Model!CP37)</f>
        <v/>
      </c>
      <c r="CS34" s="194" t="str">
        <f aca="false">IF(Model!CQ37=0,"",Model!CQ37)</f>
        <v/>
      </c>
      <c r="CT34" s="194" t="str">
        <f aca="false">IF(Model!CR37=0,"",Model!CR37)</f>
        <v/>
      </c>
      <c r="CU34" s="194" t="str">
        <f aca="false">IF(Model!CS37=0,"",Model!CS37)</f>
        <v/>
      </c>
      <c r="CV34" s="194" t="str">
        <f aca="false">IF(Model!CT37=0,"",Model!CT37)</f>
        <v/>
      </c>
      <c r="CW34" s="194" t="str">
        <f aca="false">IF(Model!CU37=0,"",Model!CU37)</f>
        <v/>
      </c>
      <c r="CX34" s="194" t="str">
        <f aca="false">IF(Model!CV37=0,"",Model!CV37)</f>
        <v/>
      </c>
      <c r="CY34" s="194" t="str">
        <f aca="false">IF(Model!CW37=0,"",Model!CW37)</f>
        <v/>
      </c>
      <c r="CZ34" s="194" t="str">
        <f aca="false">IF(Model!CX37=0,"",Model!CX37)</f>
        <v/>
      </c>
      <c r="DA34" s="194" t="str">
        <f aca="false">IF(Model!CY37=0,"",Model!CY37)</f>
        <v/>
      </c>
      <c r="DB34" s="194" t="str">
        <f aca="false">IF(Model!CZ37=0,"",Model!CZ37)</f>
        <v/>
      </c>
    </row>
    <row r="35" customFormat="false" ht="15" hidden="false" customHeight="true" outlineLevel="0" collapsed="false">
      <c r="A35" s="125" t="s">
        <v>32</v>
      </c>
      <c r="B35" s="191" t="n">
        <f aca="false">Projects!$B$29</f>
        <v>15000000</v>
      </c>
      <c r="C35" s="192" t="n">
        <f aca="false">EDATE(Model!$E$2,Projects!$C$29-1)</f>
        <v>47088</v>
      </c>
      <c r="D35" s="192" t="n">
        <f aca="false">EDATE(Model!$E$2,Projects!$C$29+Projects!$D$29-2)</f>
        <v>47635</v>
      </c>
      <c r="E35" s="193" t="n">
        <f aca="false">Projects!$D$29</f>
        <v>19</v>
      </c>
      <c r="F35" s="191" t="n">
        <f aca="false">SUM(G35:DB35)</f>
        <v>13194135</v>
      </c>
      <c r="G35" s="194" t="str">
        <f aca="false">IF(Model!E38=0,"",Model!E38)</f>
        <v/>
      </c>
      <c r="H35" s="194" t="str">
        <f aca="false">IF(Model!F38=0,"",Model!F38)</f>
        <v/>
      </c>
      <c r="I35" s="194" t="str">
        <f aca="false">IF(Model!G38=0,"",Model!G38)</f>
        <v/>
      </c>
      <c r="J35" s="194" t="str">
        <f aca="false">IF(Model!H38=0,"",Model!H38)</f>
        <v/>
      </c>
      <c r="K35" s="194" t="str">
        <f aca="false">IF(Model!I38=0,"",Model!I38)</f>
        <v/>
      </c>
      <c r="L35" s="194" t="str">
        <f aca="false">IF(Model!J38=0,"",Model!J38)</f>
        <v/>
      </c>
      <c r="M35" s="194" t="str">
        <f aca="false">IF(Model!K38=0,"",Model!K38)</f>
        <v/>
      </c>
      <c r="N35" s="194" t="str">
        <f aca="false">IF(Model!L38=0,"",Model!L38)</f>
        <v/>
      </c>
      <c r="O35" s="194" t="str">
        <f aca="false">IF(Model!M38=0,"",Model!M38)</f>
        <v/>
      </c>
      <c r="P35" s="194" t="str">
        <f aca="false">IF(Model!N38=0,"",Model!N38)</f>
        <v/>
      </c>
      <c r="Q35" s="194" t="str">
        <f aca="false">IF(Model!O38=0,"",Model!O38)</f>
        <v/>
      </c>
      <c r="R35" s="194" t="str">
        <f aca="false">IF(Model!P38=0,"",Model!P38)</f>
        <v/>
      </c>
      <c r="S35" s="194" t="str">
        <f aca="false">IF(Model!Q38=0,"",Model!Q38)</f>
        <v/>
      </c>
      <c r="T35" s="194" t="str">
        <f aca="false">IF(Model!R38=0,"",Model!R38)</f>
        <v/>
      </c>
      <c r="U35" s="194" t="str">
        <f aca="false">IF(Model!S38=0,"",Model!S38)</f>
        <v/>
      </c>
      <c r="V35" s="194" t="str">
        <f aca="false">IF(Model!T38=0,"",Model!T38)</f>
        <v/>
      </c>
      <c r="W35" s="194" t="str">
        <f aca="false">IF(Model!U38=0,"",Model!U38)</f>
        <v/>
      </c>
      <c r="X35" s="194" t="str">
        <f aca="false">IF(Model!V38=0,"",Model!V38)</f>
        <v/>
      </c>
      <c r="Y35" s="194" t="str">
        <f aca="false">IF(Model!W38=0,"",Model!W38)</f>
        <v/>
      </c>
      <c r="Z35" s="194" t="str">
        <f aca="false">IF(Model!X38=0,"",Model!X38)</f>
        <v/>
      </c>
      <c r="AA35" s="194" t="str">
        <f aca="false">IF(Model!Y38=0,"",Model!Y38)</f>
        <v/>
      </c>
      <c r="AB35" s="194" t="str">
        <f aca="false">IF(Model!Z38=0,"",Model!Z38)</f>
        <v/>
      </c>
      <c r="AC35" s="194" t="str">
        <f aca="false">IF(Model!AA38=0,"",Model!AA38)</f>
        <v/>
      </c>
      <c r="AD35" s="194" t="str">
        <f aca="false">IF(Model!AB38=0,"",Model!AB38)</f>
        <v/>
      </c>
      <c r="AE35" s="194" t="str">
        <f aca="false">IF(Model!AC38=0,"",Model!AC38)</f>
        <v/>
      </c>
      <c r="AF35" s="194" t="str">
        <f aca="false">IF(Model!AD38=0,"",Model!AD38)</f>
        <v/>
      </c>
      <c r="AG35" s="194" t="str">
        <f aca="false">IF(Model!AE38=0,"",Model!AE38)</f>
        <v/>
      </c>
      <c r="AH35" s="194" t="str">
        <f aca="false">IF(Model!AF38=0,"",Model!AF38)</f>
        <v/>
      </c>
      <c r="AI35" s="194" t="str">
        <f aca="false">IF(Model!AG38=0,"",Model!AG38)</f>
        <v/>
      </c>
      <c r="AJ35" s="194" t="str">
        <f aca="false">IF(Model!AH38=0,"",Model!AH38)</f>
        <v/>
      </c>
      <c r="AK35" s="194" t="str">
        <f aca="false">IF(Model!AI38=0,"",Model!AI38)</f>
        <v/>
      </c>
      <c r="AL35" s="194" t="str">
        <f aca="false">IF(Model!AJ38=0,"",Model!AJ38)</f>
        <v/>
      </c>
      <c r="AM35" s="194" t="n">
        <f aca="false">IF(Model!AK38=0,"",Model!AK38)</f>
        <v>307461.75</v>
      </c>
      <c r="AN35" s="194" t="n">
        <f aca="false">IF(Model!AL38=0,"",Model!AL38)</f>
        <v>401121.75</v>
      </c>
      <c r="AO35" s="194" t="n">
        <f aca="false">IF(Model!AM38=0,"",Model!AM38)</f>
        <v>501936.75</v>
      </c>
      <c r="AP35" s="194" t="n">
        <f aca="false">IF(Model!AN38=0,"",Model!AN38)</f>
        <v>605886.75</v>
      </c>
      <c r="AQ35" s="194" t="n">
        <f aca="false">IF(Model!AO38=0,"",Model!AO38)</f>
        <v>707976.75</v>
      </c>
      <c r="AR35" s="194" t="n">
        <f aca="false">IF(Model!AP38=0,"",Model!AP38)</f>
        <v>802536.75</v>
      </c>
      <c r="AS35" s="194" t="n">
        <f aca="false">IF(Model!AQ38=0,"",Model!AQ38)</f>
        <v>883761.75</v>
      </c>
      <c r="AT35" s="194" t="n">
        <f aca="false">IF(Model!AR38=0,"",Model!AR38)</f>
        <v>946266.75</v>
      </c>
      <c r="AU35" s="194" t="n">
        <f aca="false">IF(Model!AS38=0,"",Model!AS38)</f>
        <v>985686.75</v>
      </c>
      <c r="AV35" s="194" t="n">
        <f aca="false">IF(Model!AT38=0,"",Model!AT38)</f>
        <v>999156.75</v>
      </c>
      <c r="AW35" s="194" t="n">
        <f aca="false">IF(Model!AU38=0,"",Model!AU38)</f>
        <v>985686.75</v>
      </c>
      <c r="AX35" s="194" t="n">
        <f aca="false">IF(Model!AV38=0,"",Model!AV38)</f>
        <v>946266.75</v>
      </c>
      <c r="AY35" s="194" t="n">
        <f aca="false">IF(Model!AW38=0,"",Model!AW38)</f>
        <v>883761.75</v>
      </c>
      <c r="AZ35" s="194" t="n">
        <f aca="false">IF(Model!AX38=0,"",Model!AX38)</f>
        <v>802536.75</v>
      </c>
      <c r="BA35" s="194" t="n">
        <f aca="false">IF(Model!AY38=0,"",Model!AY38)</f>
        <v>707976.75</v>
      </c>
      <c r="BB35" s="194" t="n">
        <f aca="false">IF(Model!AZ38=0,"",Model!AZ38)</f>
        <v>605886.75</v>
      </c>
      <c r="BC35" s="194" t="n">
        <f aca="false">IF(Model!BA38=0,"",Model!BA38)</f>
        <v>501936.75</v>
      </c>
      <c r="BD35" s="194" t="n">
        <f aca="false">IF(Model!BB38=0,"",Model!BB38)</f>
        <v>401121.75</v>
      </c>
      <c r="BE35" s="194" t="n">
        <f aca="false">IF(Model!BC38=0,"",Model!BC38)</f>
        <v>217168.5</v>
      </c>
      <c r="BF35" s="194" t="str">
        <f aca="false">IF(Model!BD38=0,"",Model!BD38)</f>
        <v/>
      </c>
      <c r="BG35" s="194" t="str">
        <f aca="false">IF(Model!BE38=0,"",Model!BE38)</f>
        <v/>
      </c>
      <c r="BH35" s="194" t="str">
        <f aca="false">IF(Model!BF38=0,"",Model!BF38)</f>
        <v/>
      </c>
      <c r="BI35" s="194" t="str">
        <f aca="false">IF(Model!BG38=0,"",Model!BG38)</f>
        <v/>
      </c>
      <c r="BJ35" s="194" t="str">
        <f aca="false">IF(Model!BH38=0,"",Model!BH38)</f>
        <v/>
      </c>
      <c r="BK35" s="194" t="str">
        <f aca="false">IF(Model!BI38=0,"",Model!BI38)</f>
        <v/>
      </c>
      <c r="BL35" s="194" t="str">
        <f aca="false">IF(Model!BJ38=0,"",Model!BJ38)</f>
        <v/>
      </c>
      <c r="BM35" s="194" t="str">
        <f aca="false">IF(Model!BK38=0,"",Model!BK38)</f>
        <v/>
      </c>
      <c r="BN35" s="194" t="str">
        <f aca="false">IF(Model!BL38=0,"",Model!BL38)</f>
        <v/>
      </c>
      <c r="BO35" s="194" t="str">
        <f aca="false">IF(Model!BM38=0,"",Model!BM38)</f>
        <v/>
      </c>
      <c r="BP35" s="194" t="str">
        <f aca="false">IF(Model!BN38=0,"",Model!BN38)</f>
        <v/>
      </c>
      <c r="BQ35" s="194" t="str">
        <f aca="false">IF(Model!BO38=0,"",Model!BO38)</f>
        <v/>
      </c>
      <c r="BR35" s="194" t="str">
        <f aca="false">IF(Model!BP38=0,"",Model!BP38)</f>
        <v/>
      </c>
      <c r="BS35" s="194" t="str">
        <f aca="false">IF(Model!BQ38=0,"",Model!BQ38)</f>
        <v/>
      </c>
      <c r="BT35" s="194" t="str">
        <f aca="false">IF(Model!BR38=0,"",Model!BR38)</f>
        <v/>
      </c>
      <c r="BU35" s="194" t="str">
        <f aca="false">IF(Model!BS38=0,"",Model!BS38)</f>
        <v/>
      </c>
      <c r="BV35" s="194" t="str">
        <f aca="false">IF(Model!BT38=0,"",Model!BT38)</f>
        <v/>
      </c>
      <c r="BW35" s="194" t="str">
        <f aca="false">IF(Model!BU38=0,"",Model!BU38)</f>
        <v/>
      </c>
      <c r="BX35" s="194" t="str">
        <f aca="false">IF(Model!BV38=0,"",Model!BV38)</f>
        <v/>
      </c>
      <c r="BY35" s="194" t="str">
        <f aca="false">IF(Model!BW38=0,"",Model!BW38)</f>
        <v/>
      </c>
      <c r="BZ35" s="194" t="str">
        <f aca="false">IF(Model!BX38=0,"",Model!BX38)</f>
        <v/>
      </c>
      <c r="CA35" s="194" t="str">
        <f aca="false">IF(Model!BY38=0,"",Model!BY38)</f>
        <v/>
      </c>
      <c r="CB35" s="194" t="str">
        <f aca="false">IF(Model!BZ38=0,"",Model!BZ38)</f>
        <v/>
      </c>
      <c r="CC35" s="194" t="str">
        <f aca="false">IF(Model!CA38=0,"",Model!CA38)</f>
        <v/>
      </c>
      <c r="CD35" s="194" t="str">
        <f aca="false">IF(Model!CB38=0,"",Model!CB38)</f>
        <v/>
      </c>
      <c r="CE35" s="194" t="str">
        <f aca="false">IF(Model!CC38=0,"",Model!CC38)</f>
        <v/>
      </c>
      <c r="CF35" s="194" t="str">
        <f aca="false">IF(Model!CD38=0,"",Model!CD38)</f>
        <v/>
      </c>
      <c r="CG35" s="194" t="str">
        <f aca="false">IF(Model!CE38=0,"",Model!CE38)</f>
        <v/>
      </c>
      <c r="CH35" s="194" t="str">
        <f aca="false">IF(Model!CF38=0,"",Model!CF38)</f>
        <v/>
      </c>
      <c r="CI35" s="194" t="str">
        <f aca="false">IF(Model!CG38=0,"",Model!CG38)</f>
        <v/>
      </c>
      <c r="CJ35" s="194" t="str">
        <f aca="false">IF(Model!CH38=0,"",Model!CH38)</f>
        <v/>
      </c>
      <c r="CK35" s="194" t="str">
        <f aca="false">IF(Model!CI38=0,"",Model!CI38)</f>
        <v/>
      </c>
      <c r="CL35" s="194" t="str">
        <f aca="false">IF(Model!CJ38=0,"",Model!CJ38)</f>
        <v/>
      </c>
      <c r="CM35" s="194" t="str">
        <f aca="false">IF(Model!CK38=0,"",Model!CK38)</f>
        <v/>
      </c>
      <c r="CN35" s="194" t="str">
        <f aca="false">IF(Model!CL38=0,"",Model!CL38)</f>
        <v/>
      </c>
      <c r="CO35" s="194" t="str">
        <f aca="false">IF(Model!CM38=0,"",Model!CM38)</f>
        <v/>
      </c>
      <c r="CP35" s="194" t="str">
        <f aca="false">IF(Model!CN38=0,"",Model!CN38)</f>
        <v/>
      </c>
      <c r="CQ35" s="194" t="str">
        <f aca="false">IF(Model!CO38=0,"",Model!CO38)</f>
        <v/>
      </c>
      <c r="CR35" s="194" t="str">
        <f aca="false">IF(Model!CP38=0,"",Model!CP38)</f>
        <v/>
      </c>
      <c r="CS35" s="194" t="str">
        <f aca="false">IF(Model!CQ38=0,"",Model!CQ38)</f>
        <v/>
      </c>
      <c r="CT35" s="194" t="str">
        <f aca="false">IF(Model!CR38=0,"",Model!CR38)</f>
        <v/>
      </c>
      <c r="CU35" s="194" t="str">
        <f aca="false">IF(Model!CS38=0,"",Model!CS38)</f>
        <v/>
      </c>
      <c r="CV35" s="194" t="str">
        <f aca="false">IF(Model!CT38=0,"",Model!CT38)</f>
        <v/>
      </c>
      <c r="CW35" s="194" t="str">
        <f aca="false">IF(Model!CU38=0,"",Model!CU38)</f>
        <v/>
      </c>
      <c r="CX35" s="194" t="str">
        <f aca="false">IF(Model!CV38=0,"",Model!CV38)</f>
        <v/>
      </c>
      <c r="CY35" s="194" t="str">
        <f aca="false">IF(Model!CW38=0,"",Model!CW38)</f>
        <v/>
      </c>
      <c r="CZ35" s="194" t="str">
        <f aca="false">IF(Model!CX38=0,"",Model!CX38)</f>
        <v/>
      </c>
      <c r="DA35" s="194" t="str">
        <f aca="false">IF(Model!CY38=0,"",Model!CY38)</f>
        <v/>
      </c>
      <c r="DB35" s="194" t="str">
        <f aca="false">IF(Model!CZ38=0,"",Model!CZ38)</f>
        <v/>
      </c>
    </row>
    <row r="36" customFormat="false" ht="15" hidden="false" customHeight="true" outlineLevel="0" collapsed="false">
      <c r="A36" s="125" t="s">
        <v>33</v>
      </c>
      <c r="B36" s="191" t="n">
        <f aca="false">Projects!$B$30</f>
        <v>15000000</v>
      </c>
      <c r="C36" s="192" t="n">
        <f aca="false">EDATE(Model!$E$2,Projects!$C$30-1)</f>
        <v>47119</v>
      </c>
      <c r="D36" s="192" t="n">
        <f aca="false">EDATE(Model!$E$2,Projects!$C$30+Projects!$D$30-2)</f>
        <v>47665</v>
      </c>
      <c r="E36" s="193" t="n">
        <f aca="false">Projects!$D$30</f>
        <v>19</v>
      </c>
      <c r="F36" s="191" t="n">
        <f aca="false">SUM(G36:DB36)</f>
        <v>13194135</v>
      </c>
      <c r="G36" s="194" t="str">
        <f aca="false">IF(Model!E39=0,"",Model!E39)</f>
        <v/>
      </c>
      <c r="H36" s="194" t="str">
        <f aca="false">IF(Model!F39=0,"",Model!F39)</f>
        <v/>
      </c>
      <c r="I36" s="194" t="str">
        <f aca="false">IF(Model!G39=0,"",Model!G39)</f>
        <v/>
      </c>
      <c r="J36" s="194" t="str">
        <f aca="false">IF(Model!H39=0,"",Model!H39)</f>
        <v/>
      </c>
      <c r="K36" s="194" t="str">
        <f aca="false">IF(Model!I39=0,"",Model!I39)</f>
        <v/>
      </c>
      <c r="L36" s="194" t="str">
        <f aca="false">IF(Model!J39=0,"",Model!J39)</f>
        <v/>
      </c>
      <c r="M36" s="194" t="str">
        <f aca="false">IF(Model!K39=0,"",Model!K39)</f>
        <v/>
      </c>
      <c r="N36" s="194" t="str">
        <f aca="false">IF(Model!L39=0,"",Model!L39)</f>
        <v/>
      </c>
      <c r="O36" s="194" t="str">
        <f aca="false">IF(Model!M39=0,"",Model!M39)</f>
        <v/>
      </c>
      <c r="P36" s="194" t="str">
        <f aca="false">IF(Model!N39=0,"",Model!N39)</f>
        <v/>
      </c>
      <c r="Q36" s="194" t="str">
        <f aca="false">IF(Model!O39=0,"",Model!O39)</f>
        <v/>
      </c>
      <c r="R36" s="194" t="str">
        <f aca="false">IF(Model!P39=0,"",Model!P39)</f>
        <v/>
      </c>
      <c r="S36" s="194" t="str">
        <f aca="false">IF(Model!Q39=0,"",Model!Q39)</f>
        <v/>
      </c>
      <c r="T36" s="194" t="str">
        <f aca="false">IF(Model!R39=0,"",Model!R39)</f>
        <v/>
      </c>
      <c r="U36" s="194" t="str">
        <f aca="false">IF(Model!S39=0,"",Model!S39)</f>
        <v/>
      </c>
      <c r="V36" s="194" t="str">
        <f aca="false">IF(Model!T39=0,"",Model!T39)</f>
        <v/>
      </c>
      <c r="W36" s="194" t="str">
        <f aca="false">IF(Model!U39=0,"",Model!U39)</f>
        <v/>
      </c>
      <c r="X36" s="194" t="str">
        <f aca="false">IF(Model!V39=0,"",Model!V39)</f>
        <v/>
      </c>
      <c r="Y36" s="194" t="str">
        <f aca="false">IF(Model!W39=0,"",Model!W39)</f>
        <v/>
      </c>
      <c r="Z36" s="194" t="str">
        <f aca="false">IF(Model!X39=0,"",Model!X39)</f>
        <v/>
      </c>
      <c r="AA36" s="194" t="str">
        <f aca="false">IF(Model!Y39=0,"",Model!Y39)</f>
        <v/>
      </c>
      <c r="AB36" s="194" t="str">
        <f aca="false">IF(Model!Z39=0,"",Model!Z39)</f>
        <v/>
      </c>
      <c r="AC36" s="194" t="str">
        <f aca="false">IF(Model!AA39=0,"",Model!AA39)</f>
        <v/>
      </c>
      <c r="AD36" s="194" t="str">
        <f aca="false">IF(Model!AB39=0,"",Model!AB39)</f>
        <v/>
      </c>
      <c r="AE36" s="194" t="str">
        <f aca="false">IF(Model!AC39=0,"",Model!AC39)</f>
        <v/>
      </c>
      <c r="AF36" s="194" t="str">
        <f aca="false">IF(Model!AD39=0,"",Model!AD39)</f>
        <v/>
      </c>
      <c r="AG36" s="194" t="str">
        <f aca="false">IF(Model!AE39=0,"",Model!AE39)</f>
        <v/>
      </c>
      <c r="AH36" s="194" t="str">
        <f aca="false">IF(Model!AF39=0,"",Model!AF39)</f>
        <v/>
      </c>
      <c r="AI36" s="194" t="str">
        <f aca="false">IF(Model!AG39=0,"",Model!AG39)</f>
        <v/>
      </c>
      <c r="AJ36" s="194" t="str">
        <f aca="false">IF(Model!AH39=0,"",Model!AH39)</f>
        <v/>
      </c>
      <c r="AK36" s="194" t="str">
        <f aca="false">IF(Model!AI39=0,"",Model!AI39)</f>
        <v/>
      </c>
      <c r="AL36" s="194" t="str">
        <f aca="false">IF(Model!AJ39=0,"",Model!AJ39)</f>
        <v/>
      </c>
      <c r="AM36" s="194" t="str">
        <f aca="false">IF(Model!AK39=0,"",Model!AK39)</f>
        <v/>
      </c>
      <c r="AN36" s="194" t="n">
        <f aca="false">IF(Model!AL39=0,"",Model!AL39)</f>
        <v>307461.75</v>
      </c>
      <c r="AO36" s="194" t="n">
        <f aca="false">IF(Model!AM39=0,"",Model!AM39)</f>
        <v>401121.75</v>
      </c>
      <c r="AP36" s="194" t="n">
        <f aca="false">IF(Model!AN39=0,"",Model!AN39)</f>
        <v>501936.75</v>
      </c>
      <c r="AQ36" s="194" t="n">
        <f aca="false">IF(Model!AO39=0,"",Model!AO39)</f>
        <v>605886.75</v>
      </c>
      <c r="AR36" s="194" t="n">
        <f aca="false">IF(Model!AP39=0,"",Model!AP39)</f>
        <v>707976.75</v>
      </c>
      <c r="AS36" s="194" t="n">
        <f aca="false">IF(Model!AQ39=0,"",Model!AQ39)</f>
        <v>802536.75</v>
      </c>
      <c r="AT36" s="194" t="n">
        <f aca="false">IF(Model!AR39=0,"",Model!AR39)</f>
        <v>883761.75</v>
      </c>
      <c r="AU36" s="194" t="n">
        <f aca="false">IF(Model!AS39=0,"",Model!AS39)</f>
        <v>946266.75</v>
      </c>
      <c r="AV36" s="194" t="n">
        <f aca="false">IF(Model!AT39=0,"",Model!AT39)</f>
        <v>985686.75</v>
      </c>
      <c r="AW36" s="194" t="n">
        <f aca="false">IF(Model!AU39=0,"",Model!AU39)</f>
        <v>999156.75</v>
      </c>
      <c r="AX36" s="194" t="n">
        <f aca="false">IF(Model!AV39=0,"",Model!AV39)</f>
        <v>985686.75</v>
      </c>
      <c r="AY36" s="194" t="n">
        <f aca="false">IF(Model!AW39=0,"",Model!AW39)</f>
        <v>946266.75</v>
      </c>
      <c r="AZ36" s="194" t="n">
        <f aca="false">IF(Model!AX39=0,"",Model!AX39)</f>
        <v>883761.75</v>
      </c>
      <c r="BA36" s="194" t="n">
        <f aca="false">IF(Model!AY39=0,"",Model!AY39)</f>
        <v>802536.75</v>
      </c>
      <c r="BB36" s="194" t="n">
        <f aca="false">IF(Model!AZ39=0,"",Model!AZ39)</f>
        <v>707976.75</v>
      </c>
      <c r="BC36" s="194" t="n">
        <f aca="false">IF(Model!BA39=0,"",Model!BA39)</f>
        <v>605886.75</v>
      </c>
      <c r="BD36" s="194" t="n">
        <f aca="false">IF(Model!BB39=0,"",Model!BB39)</f>
        <v>501936.75</v>
      </c>
      <c r="BE36" s="194" t="n">
        <f aca="false">IF(Model!BC39=0,"",Model!BC39)</f>
        <v>401121.75</v>
      </c>
      <c r="BF36" s="194" t="n">
        <f aca="false">IF(Model!BD39=0,"",Model!BD39)</f>
        <v>217168.5</v>
      </c>
      <c r="BG36" s="194" t="str">
        <f aca="false">IF(Model!BE39=0,"",Model!BE39)</f>
        <v/>
      </c>
      <c r="BH36" s="194" t="str">
        <f aca="false">IF(Model!BF39=0,"",Model!BF39)</f>
        <v/>
      </c>
      <c r="BI36" s="194" t="str">
        <f aca="false">IF(Model!BG39=0,"",Model!BG39)</f>
        <v/>
      </c>
      <c r="BJ36" s="194" t="str">
        <f aca="false">IF(Model!BH39=0,"",Model!BH39)</f>
        <v/>
      </c>
      <c r="BK36" s="194" t="str">
        <f aca="false">IF(Model!BI39=0,"",Model!BI39)</f>
        <v/>
      </c>
      <c r="BL36" s="194" t="str">
        <f aca="false">IF(Model!BJ39=0,"",Model!BJ39)</f>
        <v/>
      </c>
      <c r="BM36" s="194" t="str">
        <f aca="false">IF(Model!BK39=0,"",Model!BK39)</f>
        <v/>
      </c>
      <c r="BN36" s="194" t="str">
        <f aca="false">IF(Model!BL39=0,"",Model!BL39)</f>
        <v/>
      </c>
      <c r="BO36" s="194" t="str">
        <f aca="false">IF(Model!BM39=0,"",Model!BM39)</f>
        <v/>
      </c>
      <c r="BP36" s="194" t="str">
        <f aca="false">IF(Model!BN39=0,"",Model!BN39)</f>
        <v/>
      </c>
      <c r="BQ36" s="194" t="str">
        <f aca="false">IF(Model!BO39=0,"",Model!BO39)</f>
        <v/>
      </c>
      <c r="BR36" s="194" t="str">
        <f aca="false">IF(Model!BP39=0,"",Model!BP39)</f>
        <v/>
      </c>
      <c r="BS36" s="194" t="str">
        <f aca="false">IF(Model!BQ39=0,"",Model!BQ39)</f>
        <v/>
      </c>
      <c r="BT36" s="194" t="str">
        <f aca="false">IF(Model!BR39=0,"",Model!BR39)</f>
        <v/>
      </c>
      <c r="BU36" s="194" t="str">
        <f aca="false">IF(Model!BS39=0,"",Model!BS39)</f>
        <v/>
      </c>
      <c r="BV36" s="194" t="str">
        <f aca="false">IF(Model!BT39=0,"",Model!BT39)</f>
        <v/>
      </c>
      <c r="BW36" s="194" t="str">
        <f aca="false">IF(Model!BU39=0,"",Model!BU39)</f>
        <v/>
      </c>
      <c r="BX36" s="194" t="str">
        <f aca="false">IF(Model!BV39=0,"",Model!BV39)</f>
        <v/>
      </c>
      <c r="BY36" s="194" t="str">
        <f aca="false">IF(Model!BW39=0,"",Model!BW39)</f>
        <v/>
      </c>
      <c r="BZ36" s="194" t="str">
        <f aca="false">IF(Model!BX39=0,"",Model!BX39)</f>
        <v/>
      </c>
      <c r="CA36" s="194" t="str">
        <f aca="false">IF(Model!BY39=0,"",Model!BY39)</f>
        <v/>
      </c>
      <c r="CB36" s="194" t="str">
        <f aca="false">IF(Model!BZ39=0,"",Model!BZ39)</f>
        <v/>
      </c>
      <c r="CC36" s="194" t="str">
        <f aca="false">IF(Model!CA39=0,"",Model!CA39)</f>
        <v/>
      </c>
      <c r="CD36" s="194" t="str">
        <f aca="false">IF(Model!CB39=0,"",Model!CB39)</f>
        <v/>
      </c>
      <c r="CE36" s="194" t="str">
        <f aca="false">IF(Model!CC39=0,"",Model!CC39)</f>
        <v/>
      </c>
      <c r="CF36" s="194" t="str">
        <f aca="false">IF(Model!CD39=0,"",Model!CD39)</f>
        <v/>
      </c>
      <c r="CG36" s="194" t="str">
        <f aca="false">IF(Model!CE39=0,"",Model!CE39)</f>
        <v/>
      </c>
      <c r="CH36" s="194" t="str">
        <f aca="false">IF(Model!CF39=0,"",Model!CF39)</f>
        <v/>
      </c>
      <c r="CI36" s="194" t="str">
        <f aca="false">IF(Model!CG39=0,"",Model!CG39)</f>
        <v/>
      </c>
      <c r="CJ36" s="194" t="str">
        <f aca="false">IF(Model!CH39=0,"",Model!CH39)</f>
        <v/>
      </c>
      <c r="CK36" s="194" t="str">
        <f aca="false">IF(Model!CI39=0,"",Model!CI39)</f>
        <v/>
      </c>
      <c r="CL36" s="194" t="str">
        <f aca="false">IF(Model!CJ39=0,"",Model!CJ39)</f>
        <v/>
      </c>
      <c r="CM36" s="194" t="str">
        <f aca="false">IF(Model!CK39=0,"",Model!CK39)</f>
        <v/>
      </c>
      <c r="CN36" s="194" t="str">
        <f aca="false">IF(Model!CL39=0,"",Model!CL39)</f>
        <v/>
      </c>
      <c r="CO36" s="194" t="str">
        <f aca="false">IF(Model!CM39=0,"",Model!CM39)</f>
        <v/>
      </c>
      <c r="CP36" s="194" t="str">
        <f aca="false">IF(Model!CN39=0,"",Model!CN39)</f>
        <v/>
      </c>
      <c r="CQ36" s="194" t="str">
        <f aca="false">IF(Model!CO39=0,"",Model!CO39)</f>
        <v/>
      </c>
      <c r="CR36" s="194" t="str">
        <f aca="false">IF(Model!CP39=0,"",Model!CP39)</f>
        <v/>
      </c>
      <c r="CS36" s="194" t="str">
        <f aca="false">IF(Model!CQ39=0,"",Model!CQ39)</f>
        <v/>
      </c>
      <c r="CT36" s="194" t="str">
        <f aca="false">IF(Model!CR39=0,"",Model!CR39)</f>
        <v/>
      </c>
      <c r="CU36" s="194" t="str">
        <f aca="false">IF(Model!CS39=0,"",Model!CS39)</f>
        <v/>
      </c>
      <c r="CV36" s="194" t="str">
        <f aca="false">IF(Model!CT39=0,"",Model!CT39)</f>
        <v/>
      </c>
      <c r="CW36" s="194" t="str">
        <f aca="false">IF(Model!CU39=0,"",Model!CU39)</f>
        <v/>
      </c>
      <c r="CX36" s="194" t="str">
        <f aca="false">IF(Model!CV39=0,"",Model!CV39)</f>
        <v/>
      </c>
      <c r="CY36" s="194" t="str">
        <f aca="false">IF(Model!CW39=0,"",Model!CW39)</f>
        <v/>
      </c>
      <c r="CZ36" s="194" t="str">
        <f aca="false">IF(Model!CX39=0,"",Model!CX39)</f>
        <v/>
      </c>
      <c r="DA36" s="194" t="str">
        <f aca="false">IF(Model!CY39=0,"",Model!CY39)</f>
        <v/>
      </c>
      <c r="DB36" s="194" t="str">
        <f aca="false">IF(Model!CZ39=0,"",Model!CZ39)</f>
        <v/>
      </c>
    </row>
    <row r="37" customFormat="false" ht="15" hidden="false" customHeight="true" outlineLevel="0" collapsed="false">
      <c r="A37" s="125" t="s">
        <v>34</v>
      </c>
      <c r="B37" s="191" t="n">
        <f aca="false">Projects!$B$31</f>
        <v>18000000</v>
      </c>
      <c r="C37" s="192" t="n">
        <f aca="false">EDATE(Model!$E$2,Projects!$C$31-1)</f>
        <v>47150</v>
      </c>
      <c r="D37" s="192" t="n">
        <f aca="false">EDATE(Model!$E$2,Projects!$C$31+Projects!$D$31-2)</f>
        <v>47696</v>
      </c>
      <c r="E37" s="193" t="n">
        <f aca="false">Projects!$D$31</f>
        <v>19</v>
      </c>
      <c r="F37" s="191" t="n">
        <f aca="false">SUM(G37:DB37)</f>
        <v>15832962</v>
      </c>
      <c r="G37" s="194" t="str">
        <f aca="false">IF(Model!E40=0,"",Model!E40)</f>
        <v/>
      </c>
      <c r="H37" s="194" t="str">
        <f aca="false">IF(Model!F40=0,"",Model!F40)</f>
        <v/>
      </c>
      <c r="I37" s="194" t="str">
        <f aca="false">IF(Model!G40=0,"",Model!G40)</f>
        <v/>
      </c>
      <c r="J37" s="194" t="str">
        <f aca="false">IF(Model!H40=0,"",Model!H40)</f>
        <v/>
      </c>
      <c r="K37" s="194" t="str">
        <f aca="false">IF(Model!I40=0,"",Model!I40)</f>
        <v/>
      </c>
      <c r="L37" s="194" t="str">
        <f aca="false">IF(Model!J40=0,"",Model!J40)</f>
        <v/>
      </c>
      <c r="M37" s="194" t="str">
        <f aca="false">IF(Model!K40=0,"",Model!K40)</f>
        <v/>
      </c>
      <c r="N37" s="194" t="str">
        <f aca="false">IF(Model!L40=0,"",Model!L40)</f>
        <v/>
      </c>
      <c r="O37" s="194" t="str">
        <f aca="false">IF(Model!M40=0,"",Model!M40)</f>
        <v/>
      </c>
      <c r="P37" s="194" t="str">
        <f aca="false">IF(Model!N40=0,"",Model!N40)</f>
        <v/>
      </c>
      <c r="Q37" s="194" t="str">
        <f aca="false">IF(Model!O40=0,"",Model!O40)</f>
        <v/>
      </c>
      <c r="R37" s="194" t="str">
        <f aca="false">IF(Model!P40=0,"",Model!P40)</f>
        <v/>
      </c>
      <c r="S37" s="194" t="str">
        <f aca="false">IF(Model!Q40=0,"",Model!Q40)</f>
        <v/>
      </c>
      <c r="T37" s="194" t="str">
        <f aca="false">IF(Model!R40=0,"",Model!R40)</f>
        <v/>
      </c>
      <c r="U37" s="194" t="str">
        <f aca="false">IF(Model!S40=0,"",Model!S40)</f>
        <v/>
      </c>
      <c r="V37" s="194" t="str">
        <f aca="false">IF(Model!T40=0,"",Model!T40)</f>
        <v/>
      </c>
      <c r="W37" s="194" t="str">
        <f aca="false">IF(Model!U40=0,"",Model!U40)</f>
        <v/>
      </c>
      <c r="X37" s="194" t="str">
        <f aca="false">IF(Model!V40=0,"",Model!V40)</f>
        <v/>
      </c>
      <c r="Y37" s="194" t="str">
        <f aca="false">IF(Model!W40=0,"",Model!W40)</f>
        <v/>
      </c>
      <c r="Z37" s="194" t="str">
        <f aca="false">IF(Model!X40=0,"",Model!X40)</f>
        <v/>
      </c>
      <c r="AA37" s="194" t="str">
        <f aca="false">IF(Model!Y40=0,"",Model!Y40)</f>
        <v/>
      </c>
      <c r="AB37" s="194" t="str">
        <f aca="false">IF(Model!Z40=0,"",Model!Z40)</f>
        <v/>
      </c>
      <c r="AC37" s="194" t="str">
        <f aca="false">IF(Model!AA40=0,"",Model!AA40)</f>
        <v/>
      </c>
      <c r="AD37" s="194" t="str">
        <f aca="false">IF(Model!AB40=0,"",Model!AB40)</f>
        <v/>
      </c>
      <c r="AE37" s="194" t="str">
        <f aca="false">IF(Model!AC40=0,"",Model!AC40)</f>
        <v/>
      </c>
      <c r="AF37" s="194" t="str">
        <f aca="false">IF(Model!AD40=0,"",Model!AD40)</f>
        <v/>
      </c>
      <c r="AG37" s="194" t="str">
        <f aca="false">IF(Model!AE40=0,"",Model!AE40)</f>
        <v/>
      </c>
      <c r="AH37" s="194" t="str">
        <f aca="false">IF(Model!AF40=0,"",Model!AF40)</f>
        <v/>
      </c>
      <c r="AI37" s="194" t="str">
        <f aca="false">IF(Model!AG40=0,"",Model!AG40)</f>
        <v/>
      </c>
      <c r="AJ37" s="194" t="str">
        <f aca="false">IF(Model!AH40=0,"",Model!AH40)</f>
        <v/>
      </c>
      <c r="AK37" s="194" t="str">
        <f aca="false">IF(Model!AI40=0,"",Model!AI40)</f>
        <v/>
      </c>
      <c r="AL37" s="194" t="str">
        <f aca="false">IF(Model!AJ40=0,"",Model!AJ40)</f>
        <v/>
      </c>
      <c r="AM37" s="194" t="str">
        <f aca="false">IF(Model!AK40=0,"",Model!AK40)</f>
        <v/>
      </c>
      <c r="AN37" s="194" t="str">
        <f aca="false">IF(Model!AL40=0,"",Model!AL40)</f>
        <v/>
      </c>
      <c r="AO37" s="194" t="n">
        <f aca="false">IF(Model!AM40=0,"",Model!AM40)</f>
        <v>368954.1</v>
      </c>
      <c r="AP37" s="194" t="n">
        <f aca="false">IF(Model!AN40=0,"",Model!AN40)</f>
        <v>481346.1</v>
      </c>
      <c r="AQ37" s="194" t="n">
        <f aca="false">IF(Model!AO40=0,"",Model!AO40)</f>
        <v>602324.1</v>
      </c>
      <c r="AR37" s="194" t="n">
        <f aca="false">IF(Model!AP40=0,"",Model!AP40)</f>
        <v>727064.1</v>
      </c>
      <c r="AS37" s="194" t="n">
        <f aca="false">IF(Model!AQ40=0,"",Model!AQ40)</f>
        <v>849572.1</v>
      </c>
      <c r="AT37" s="194" t="n">
        <f aca="false">IF(Model!AR40=0,"",Model!AR40)</f>
        <v>963044.1</v>
      </c>
      <c r="AU37" s="194" t="n">
        <f aca="false">IF(Model!AS40=0,"",Model!AS40)</f>
        <v>1060514.1</v>
      </c>
      <c r="AV37" s="194" t="n">
        <f aca="false">IF(Model!AT40=0,"",Model!AT40)</f>
        <v>1135520.1</v>
      </c>
      <c r="AW37" s="194" t="n">
        <f aca="false">IF(Model!AU40=0,"",Model!AU40)</f>
        <v>1182824.1</v>
      </c>
      <c r="AX37" s="194" t="n">
        <f aca="false">IF(Model!AV40=0,"",Model!AV40)</f>
        <v>1198988.1</v>
      </c>
      <c r="AY37" s="194" t="n">
        <f aca="false">IF(Model!AW40=0,"",Model!AW40)</f>
        <v>1182824.1</v>
      </c>
      <c r="AZ37" s="194" t="n">
        <f aca="false">IF(Model!AX40=0,"",Model!AX40)</f>
        <v>1135520.1</v>
      </c>
      <c r="BA37" s="194" t="n">
        <f aca="false">IF(Model!AY40=0,"",Model!AY40)</f>
        <v>1060514.1</v>
      </c>
      <c r="BB37" s="194" t="n">
        <f aca="false">IF(Model!AZ40=0,"",Model!AZ40)</f>
        <v>963044.1</v>
      </c>
      <c r="BC37" s="194" t="n">
        <f aca="false">IF(Model!BA40=0,"",Model!BA40)</f>
        <v>849572.1</v>
      </c>
      <c r="BD37" s="194" t="n">
        <f aca="false">IF(Model!BB40=0,"",Model!BB40)</f>
        <v>727064.1</v>
      </c>
      <c r="BE37" s="194" t="n">
        <f aca="false">IF(Model!BC40=0,"",Model!BC40)</f>
        <v>602324.1</v>
      </c>
      <c r="BF37" s="194" t="n">
        <f aca="false">IF(Model!BD40=0,"",Model!BD40)</f>
        <v>481346.1</v>
      </c>
      <c r="BG37" s="194" t="n">
        <f aca="false">IF(Model!BE40=0,"",Model!BE40)</f>
        <v>260602.2</v>
      </c>
      <c r="BH37" s="194" t="str">
        <f aca="false">IF(Model!BF40=0,"",Model!BF40)</f>
        <v/>
      </c>
      <c r="BI37" s="194" t="str">
        <f aca="false">IF(Model!BG40=0,"",Model!BG40)</f>
        <v/>
      </c>
      <c r="BJ37" s="194" t="str">
        <f aca="false">IF(Model!BH40=0,"",Model!BH40)</f>
        <v/>
      </c>
      <c r="BK37" s="194" t="str">
        <f aca="false">IF(Model!BI40=0,"",Model!BI40)</f>
        <v/>
      </c>
      <c r="BL37" s="194" t="str">
        <f aca="false">IF(Model!BJ40=0,"",Model!BJ40)</f>
        <v/>
      </c>
      <c r="BM37" s="194" t="str">
        <f aca="false">IF(Model!BK40=0,"",Model!BK40)</f>
        <v/>
      </c>
      <c r="BN37" s="194" t="str">
        <f aca="false">IF(Model!BL40=0,"",Model!BL40)</f>
        <v/>
      </c>
      <c r="BO37" s="194" t="str">
        <f aca="false">IF(Model!BM40=0,"",Model!BM40)</f>
        <v/>
      </c>
      <c r="BP37" s="194" t="str">
        <f aca="false">IF(Model!BN40=0,"",Model!BN40)</f>
        <v/>
      </c>
      <c r="BQ37" s="194" t="str">
        <f aca="false">IF(Model!BO40=0,"",Model!BO40)</f>
        <v/>
      </c>
      <c r="BR37" s="194" t="str">
        <f aca="false">IF(Model!BP40=0,"",Model!BP40)</f>
        <v/>
      </c>
      <c r="BS37" s="194" t="str">
        <f aca="false">IF(Model!BQ40=0,"",Model!BQ40)</f>
        <v/>
      </c>
      <c r="BT37" s="194" t="str">
        <f aca="false">IF(Model!BR40=0,"",Model!BR40)</f>
        <v/>
      </c>
      <c r="BU37" s="194" t="str">
        <f aca="false">IF(Model!BS40=0,"",Model!BS40)</f>
        <v/>
      </c>
      <c r="BV37" s="194" t="str">
        <f aca="false">IF(Model!BT40=0,"",Model!BT40)</f>
        <v/>
      </c>
      <c r="BW37" s="194" t="str">
        <f aca="false">IF(Model!BU40=0,"",Model!BU40)</f>
        <v/>
      </c>
      <c r="BX37" s="194" t="str">
        <f aca="false">IF(Model!BV40=0,"",Model!BV40)</f>
        <v/>
      </c>
      <c r="BY37" s="194" t="str">
        <f aca="false">IF(Model!BW40=0,"",Model!BW40)</f>
        <v/>
      </c>
      <c r="BZ37" s="194" t="str">
        <f aca="false">IF(Model!BX40=0,"",Model!BX40)</f>
        <v/>
      </c>
      <c r="CA37" s="194" t="str">
        <f aca="false">IF(Model!BY40=0,"",Model!BY40)</f>
        <v/>
      </c>
      <c r="CB37" s="194" t="str">
        <f aca="false">IF(Model!BZ40=0,"",Model!BZ40)</f>
        <v/>
      </c>
      <c r="CC37" s="194" t="str">
        <f aca="false">IF(Model!CA40=0,"",Model!CA40)</f>
        <v/>
      </c>
      <c r="CD37" s="194" t="str">
        <f aca="false">IF(Model!CB40=0,"",Model!CB40)</f>
        <v/>
      </c>
      <c r="CE37" s="194" t="str">
        <f aca="false">IF(Model!CC40=0,"",Model!CC40)</f>
        <v/>
      </c>
      <c r="CF37" s="194" t="str">
        <f aca="false">IF(Model!CD40=0,"",Model!CD40)</f>
        <v/>
      </c>
      <c r="CG37" s="194" t="str">
        <f aca="false">IF(Model!CE40=0,"",Model!CE40)</f>
        <v/>
      </c>
      <c r="CH37" s="194" t="str">
        <f aca="false">IF(Model!CF40=0,"",Model!CF40)</f>
        <v/>
      </c>
      <c r="CI37" s="194" t="str">
        <f aca="false">IF(Model!CG40=0,"",Model!CG40)</f>
        <v/>
      </c>
      <c r="CJ37" s="194" t="str">
        <f aca="false">IF(Model!CH40=0,"",Model!CH40)</f>
        <v/>
      </c>
      <c r="CK37" s="194" t="str">
        <f aca="false">IF(Model!CI40=0,"",Model!CI40)</f>
        <v/>
      </c>
      <c r="CL37" s="194" t="str">
        <f aca="false">IF(Model!CJ40=0,"",Model!CJ40)</f>
        <v/>
      </c>
      <c r="CM37" s="194" t="str">
        <f aca="false">IF(Model!CK40=0,"",Model!CK40)</f>
        <v/>
      </c>
      <c r="CN37" s="194" t="str">
        <f aca="false">IF(Model!CL40=0,"",Model!CL40)</f>
        <v/>
      </c>
      <c r="CO37" s="194" t="str">
        <f aca="false">IF(Model!CM40=0,"",Model!CM40)</f>
        <v/>
      </c>
      <c r="CP37" s="194" t="str">
        <f aca="false">IF(Model!CN40=0,"",Model!CN40)</f>
        <v/>
      </c>
      <c r="CQ37" s="194" t="str">
        <f aca="false">IF(Model!CO40=0,"",Model!CO40)</f>
        <v/>
      </c>
      <c r="CR37" s="194" t="str">
        <f aca="false">IF(Model!CP40=0,"",Model!CP40)</f>
        <v/>
      </c>
      <c r="CS37" s="194" t="str">
        <f aca="false">IF(Model!CQ40=0,"",Model!CQ40)</f>
        <v/>
      </c>
      <c r="CT37" s="194" t="str">
        <f aca="false">IF(Model!CR40=0,"",Model!CR40)</f>
        <v/>
      </c>
      <c r="CU37" s="194" t="str">
        <f aca="false">IF(Model!CS40=0,"",Model!CS40)</f>
        <v/>
      </c>
      <c r="CV37" s="194" t="str">
        <f aca="false">IF(Model!CT40=0,"",Model!CT40)</f>
        <v/>
      </c>
      <c r="CW37" s="194" t="str">
        <f aca="false">IF(Model!CU40=0,"",Model!CU40)</f>
        <v/>
      </c>
      <c r="CX37" s="194" t="str">
        <f aca="false">IF(Model!CV40=0,"",Model!CV40)</f>
        <v/>
      </c>
      <c r="CY37" s="194" t="str">
        <f aca="false">IF(Model!CW40=0,"",Model!CW40)</f>
        <v/>
      </c>
      <c r="CZ37" s="194" t="str">
        <f aca="false">IF(Model!CX40=0,"",Model!CX40)</f>
        <v/>
      </c>
      <c r="DA37" s="194" t="str">
        <f aca="false">IF(Model!CY40=0,"",Model!CY40)</f>
        <v/>
      </c>
      <c r="DB37" s="194" t="str">
        <f aca="false">IF(Model!CZ40=0,"",Model!CZ40)</f>
        <v/>
      </c>
    </row>
    <row r="38" customFormat="false" ht="15" hidden="false" customHeight="true" outlineLevel="0" collapsed="false">
      <c r="A38" s="125" t="s">
        <v>35</v>
      </c>
      <c r="B38" s="191" t="n">
        <f aca="false">Projects!$B$32</f>
        <v>15000000</v>
      </c>
      <c r="C38" s="192" t="n">
        <f aca="false">EDATE(Model!$E$2,Projects!$C$32-1)</f>
        <v>47178</v>
      </c>
      <c r="D38" s="192" t="n">
        <f aca="false">EDATE(Model!$E$2,Projects!$C$32+Projects!$D$32-2)</f>
        <v>47727</v>
      </c>
      <c r="E38" s="193" t="n">
        <f aca="false">Projects!$D$32</f>
        <v>19</v>
      </c>
      <c r="F38" s="191" t="n">
        <f aca="false">SUM(G38:DB38)</f>
        <v>13194135</v>
      </c>
      <c r="G38" s="194" t="str">
        <f aca="false">IF(Model!E41=0,"",Model!E41)</f>
        <v/>
      </c>
      <c r="H38" s="194" t="str">
        <f aca="false">IF(Model!F41=0,"",Model!F41)</f>
        <v/>
      </c>
      <c r="I38" s="194" t="str">
        <f aca="false">IF(Model!G41=0,"",Model!G41)</f>
        <v/>
      </c>
      <c r="J38" s="194" t="str">
        <f aca="false">IF(Model!H41=0,"",Model!H41)</f>
        <v/>
      </c>
      <c r="K38" s="194" t="str">
        <f aca="false">IF(Model!I41=0,"",Model!I41)</f>
        <v/>
      </c>
      <c r="L38" s="194" t="str">
        <f aca="false">IF(Model!J41=0,"",Model!J41)</f>
        <v/>
      </c>
      <c r="M38" s="194" t="str">
        <f aca="false">IF(Model!K41=0,"",Model!K41)</f>
        <v/>
      </c>
      <c r="N38" s="194" t="str">
        <f aca="false">IF(Model!L41=0,"",Model!L41)</f>
        <v/>
      </c>
      <c r="O38" s="194" t="str">
        <f aca="false">IF(Model!M41=0,"",Model!M41)</f>
        <v/>
      </c>
      <c r="P38" s="194" t="str">
        <f aca="false">IF(Model!N41=0,"",Model!N41)</f>
        <v/>
      </c>
      <c r="Q38" s="194" t="str">
        <f aca="false">IF(Model!O41=0,"",Model!O41)</f>
        <v/>
      </c>
      <c r="R38" s="194" t="str">
        <f aca="false">IF(Model!P41=0,"",Model!P41)</f>
        <v/>
      </c>
      <c r="S38" s="194" t="str">
        <f aca="false">IF(Model!Q41=0,"",Model!Q41)</f>
        <v/>
      </c>
      <c r="T38" s="194" t="str">
        <f aca="false">IF(Model!R41=0,"",Model!R41)</f>
        <v/>
      </c>
      <c r="U38" s="194" t="str">
        <f aca="false">IF(Model!S41=0,"",Model!S41)</f>
        <v/>
      </c>
      <c r="V38" s="194" t="str">
        <f aca="false">IF(Model!T41=0,"",Model!T41)</f>
        <v/>
      </c>
      <c r="W38" s="194" t="str">
        <f aca="false">IF(Model!U41=0,"",Model!U41)</f>
        <v/>
      </c>
      <c r="X38" s="194" t="str">
        <f aca="false">IF(Model!V41=0,"",Model!V41)</f>
        <v/>
      </c>
      <c r="Y38" s="194" t="str">
        <f aca="false">IF(Model!W41=0,"",Model!W41)</f>
        <v/>
      </c>
      <c r="Z38" s="194" t="str">
        <f aca="false">IF(Model!X41=0,"",Model!X41)</f>
        <v/>
      </c>
      <c r="AA38" s="194" t="str">
        <f aca="false">IF(Model!Y41=0,"",Model!Y41)</f>
        <v/>
      </c>
      <c r="AB38" s="194" t="str">
        <f aca="false">IF(Model!Z41=0,"",Model!Z41)</f>
        <v/>
      </c>
      <c r="AC38" s="194" t="str">
        <f aca="false">IF(Model!AA41=0,"",Model!AA41)</f>
        <v/>
      </c>
      <c r="AD38" s="194" t="str">
        <f aca="false">IF(Model!AB41=0,"",Model!AB41)</f>
        <v/>
      </c>
      <c r="AE38" s="194" t="str">
        <f aca="false">IF(Model!AC41=0,"",Model!AC41)</f>
        <v/>
      </c>
      <c r="AF38" s="194" t="str">
        <f aca="false">IF(Model!AD41=0,"",Model!AD41)</f>
        <v/>
      </c>
      <c r="AG38" s="194" t="str">
        <f aca="false">IF(Model!AE41=0,"",Model!AE41)</f>
        <v/>
      </c>
      <c r="AH38" s="194" t="str">
        <f aca="false">IF(Model!AF41=0,"",Model!AF41)</f>
        <v/>
      </c>
      <c r="AI38" s="194" t="str">
        <f aca="false">IF(Model!AG41=0,"",Model!AG41)</f>
        <v/>
      </c>
      <c r="AJ38" s="194" t="str">
        <f aca="false">IF(Model!AH41=0,"",Model!AH41)</f>
        <v/>
      </c>
      <c r="AK38" s="194" t="str">
        <f aca="false">IF(Model!AI41=0,"",Model!AI41)</f>
        <v/>
      </c>
      <c r="AL38" s="194" t="str">
        <f aca="false">IF(Model!AJ41=0,"",Model!AJ41)</f>
        <v/>
      </c>
      <c r="AM38" s="194" t="str">
        <f aca="false">IF(Model!AK41=0,"",Model!AK41)</f>
        <v/>
      </c>
      <c r="AN38" s="194" t="str">
        <f aca="false">IF(Model!AL41=0,"",Model!AL41)</f>
        <v/>
      </c>
      <c r="AO38" s="194" t="str">
        <f aca="false">IF(Model!AM41=0,"",Model!AM41)</f>
        <v/>
      </c>
      <c r="AP38" s="194" t="n">
        <f aca="false">IF(Model!AN41=0,"",Model!AN41)</f>
        <v>307461.75</v>
      </c>
      <c r="AQ38" s="194" t="n">
        <f aca="false">IF(Model!AO41=0,"",Model!AO41)</f>
        <v>401121.75</v>
      </c>
      <c r="AR38" s="194" t="n">
        <f aca="false">IF(Model!AP41=0,"",Model!AP41)</f>
        <v>501936.75</v>
      </c>
      <c r="AS38" s="194" t="n">
        <f aca="false">IF(Model!AQ41=0,"",Model!AQ41)</f>
        <v>605886.75</v>
      </c>
      <c r="AT38" s="194" t="n">
        <f aca="false">IF(Model!AR41=0,"",Model!AR41)</f>
        <v>707976.75</v>
      </c>
      <c r="AU38" s="194" t="n">
        <f aca="false">IF(Model!AS41=0,"",Model!AS41)</f>
        <v>802536.75</v>
      </c>
      <c r="AV38" s="194" t="n">
        <f aca="false">IF(Model!AT41=0,"",Model!AT41)</f>
        <v>883761.75</v>
      </c>
      <c r="AW38" s="194" t="n">
        <f aca="false">IF(Model!AU41=0,"",Model!AU41)</f>
        <v>946266.75</v>
      </c>
      <c r="AX38" s="194" t="n">
        <f aca="false">IF(Model!AV41=0,"",Model!AV41)</f>
        <v>985686.75</v>
      </c>
      <c r="AY38" s="194" t="n">
        <f aca="false">IF(Model!AW41=0,"",Model!AW41)</f>
        <v>999156.75</v>
      </c>
      <c r="AZ38" s="194" t="n">
        <f aca="false">IF(Model!AX41=0,"",Model!AX41)</f>
        <v>985686.75</v>
      </c>
      <c r="BA38" s="194" t="n">
        <f aca="false">IF(Model!AY41=0,"",Model!AY41)</f>
        <v>946266.75</v>
      </c>
      <c r="BB38" s="194" t="n">
        <f aca="false">IF(Model!AZ41=0,"",Model!AZ41)</f>
        <v>883761.75</v>
      </c>
      <c r="BC38" s="194" t="n">
        <f aca="false">IF(Model!BA41=0,"",Model!BA41)</f>
        <v>802536.75</v>
      </c>
      <c r="BD38" s="194" t="n">
        <f aca="false">IF(Model!BB41=0,"",Model!BB41)</f>
        <v>707976.75</v>
      </c>
      <c r="BE38" s="194" t="n">
        <f aca="false">IF(Model!BC41=0,"",Model!BC41)</f>
        <v>605886.75</v>
      </c>
      <c r="BF38" s="194" t="n">
        <f aca="false">IF(Model!BD41=0,"",Model!BD41)</f>
        <v>501936.75</v>
      </c>
      <c r="BG38" s="194" t="n">
        <f aca="false">IF(Model!BE41=0,"",Model!BE41)</f>
        <v>401121.75</v>
      </c>
      <c r="BH38" s="194" t="n">
        <f aca="false">IF(Model!BF41=0,"",Model!BF41)</f>
        <v>217168.5</v>
      </c>
      <c r="BI38" s="194" t="str">
        <f aca="false">IF(Model!BG41=0,"",Model!BG41)</f>
        <v/>
      </c>
      <c r="BJ38" s="194" t="str">
        <f aca="false">IF(Model!BH41=0,"",Model!BH41)</f>
        <v/>
      </c>
      <c r="BK38" s="194" t="str">
        <f aca="false">IF(Model!BI41=0,"",Model!BI41)</f>
        <v/>
      </c>
      <c r="BL38" s="194" t="str">
        <f aca="false">IF(Model!BJ41=0,"",Model!BJ41)</f>
        <v/>
      </c>
      <c r="BM38" s="194" t="str">
        <f aca="false">IF(Model!BK41=0,"",Model!BK41)</f>
        <v/>
      </c>
      <c r="BN38" s="194" t="str">
        <f aca="false">IF(Model!BL41=0,"",Model!BL41)</f>
        <v/>
      </c>
      <c r="BO38" s="194" t="str">
        <f aca="false">IF(Model!BM41=0,"",Model!BM41)</f>
        <v/>
      </c>
      <c r="BP38" s="194" t="str">
        <f aca="false">IF(Model!BN41=0,"",Model!BN41)</f>
        <v/>
      </c>
      <c r="BQ38" s="194" t="str">
        <f aca="false">IF(Model!BO41=0,"",Model!BO41)</f>
        <v/>
      </c>
      <c r="BR38" s="194" t="str">
        <f aca="false">IF(Model!BP41=0,"",Model!BP41)</f>
        <v/>
      </c>
      <c r="BS38" s="194" t="str">
        <f aca="false">IF(Model!BQ41=0,"",Model!BQ41)</f>
        <v/>
      </c>
      <c r="BT38" s="194" t="str">
        <f aca="false">IF(Model!BR41=0,"",Model!BR41)</f>
        <v/>
      </c>
      <c r="BU38" s="194" t="str">
        <f aca="false">IF(Model!BS41=0,"",Model!BS41)</f>
        <v/>
      </c>
      <c r="BV38" s="194" t="str">
        <f aca="false">IF(Model!BT41=0,"",Model!BT41)</f>
        <v/>
      </c>
      <c r="BW38" s="194" t="str">
        <f aca="false">IF(Model!BU41=0,"",Model!BU41)</f>
        <v/>
      </c>
      <c r="BX38" s="194" t="str">
        <f aca="false">IF(Model!BV41=0,"",Model!BV41)</f>
        <v/>
      </c>
      <c r="BY38" s="194" t="str">
        <f aca="false">IF(Model!BW41=0,"",Model!BW41)</f>
        <v/>
      </c>
      <c r="BZ38" s="194" t="str">
        <f aca="false">IF(Model!BX41=0,"",Model!BX41)</f>
        <v/>
      </c>
      <c r="CA38" s="194" t="str">
        <f aca="false">IF(Model!BY41=0,"",Model!BY41)</f>
        <v/>
      </c>
      <c r="CB38" s="194" t="str">
        <f aca="false">IF(Model!BZ41=0,"",Model!BZ41)</f>
        <v/>
      </c>
      <c r="CC38" s="194" t="str">
        <f aca="false">IF(Model!CA41=0,"",Model!CA41)</f>
        <v/>
      </c>
      <c r="CD38" s="194" t="str">
        <f aca="false">IF(Model!CB41=0,"",Model!CB41)</f>
        <v/>
      </c>
      <c r="CE38" s="194" t="str">
        <f aca="false">IF(Model!CC41=0,"",Model!CC41)</f>
        <v/>
      </c>
      <c r="CF38" s="194" t="str">
        <f aca="false">IF(Model!CD41=0,"",Model!CD41)</f>
        <v/>
      </c>
      <c r="CG38" s="194" t="str">
        <f aca="false">IF(Model!CE41=0,"",Model!CE41)</f>
        <v/>
      </c>
      <c r="CH38" s="194" t="str">
        <f aca="false">IF(Model!CF41=0,"",Model!CF41)</f>
        <v/>
      </c>
      <c r="CI38" s="194" t="str">
        <f aca="false">IF(Model!CG41=0,"",Model!CG41)</f>
        <v/>
      </c>
      <c r="CJ38" s="194" t="str">
        <f aca="false">IF(Model!CH41=0,"",Model!CH41)</f>
        <v/>
      </c>
      <c r="CK38" s="194" t="str">
        <f aca="false">IF(Model!CI41=0,"",Model!CI41)</f>
        <v/>
      </c>
      <c r="CL38" s="194" t="str">
        <f aca="false">IF(Model!CJ41=0,"",Model!CJ41)</f>
        <v/>
      </c>
      <c r="CM38" s="194" t="str">
        <f aca="false">IF(Model!CK41=0,"",Model!CK41)</f>
        <v/>
      </c>
      <c r="CN38" s="194" t="str">
        <f aca="false">IF(Model!CL41=0,"",Model!CL41)</f>
        <v/>
      </c>
      <c r="CO38" s="194" t="str">
        <f aca="false">IF(Model!CM41=0,"",Model!CM41)</f>
        <v/>
      </c>
      <c r="CP38" s="194" t="str">
        <f aca="false">IF(Model!CN41=0,"",Model!CN41)</f>
        <v/>
      </c>
      <c r="CQ38" s="194" t="str">
        <f aca="false">IF(Model!CO41=0,"",Model!CO41)</f>
        <v/>
      </c>
      <c r="CR38" s="194" t="str">
        <f aca="false">IF(Model!CP41=0,"",Model!CP41)</f>
        <v/>
      </c>
      <c r="CS38" s="194" t="str">
        <f aca="false">IF(Model!CQ41=0,"",Model!CQ41)</f>
        <v/>
      </c>
      <c r="CT38" s="194" t="str">
        <f aca="false">IF(Model!CR41=0,"",Model!CR41)</f>
        <v/>
      </c>
      <c r="CU38" s="194" t="str">
        <f aca="false">IF(Model!CS41=0,"",Model!CS41)</f>
        <v/>
      </c>
      <c r="CV38" s="194" t="str">
        <f aca="false">IF(Model!CT41=0,"",Model!CT41)</f>
        <v/>
      </c>
      <c r="CW38" s="194" t="str">
        <f aca="false">IF(Model!CU41=0,"",Model!CU41)</f>
        <v/>
      </c>
      <c r="CX38" s="194" t="str">
        <f aca="false">IF(Model!CV41=0,"",Model!CV41)</f>
        <v/>
      </c>
      <c r="CY38" s="194" t="str">
        <f aca="false">IF(Model!CW41=0,"",Model!CW41)</f>
        <v/>
      </c>
      <c r="CZ38" s="194" t="str">
        <f aca="false">IF(Model!CX41=0,"",Model!CX41)</f>
        <v/>
      </c>
      <c r="DA38" s="194" t="str">
        <f aca="false">IF(Model!CY41=0,"",Model!CY41)</f>
        <v/>
      </c>
      <c r="DB38" s="194" t="str">
        <f aca="false">IF(Model!CZ41=0,"",Model!CZ41)</f>
        <v/>
      </c>
    </row>
    <row r="39" customFormat="false" ht="15" hidden="false" customHeight="true" outlineLevel="0" collapsed="false">
      <c r="A39" s="125" t="s">
        <v>36</v>
      </c>
      <c r="B39" s="191" t="n">
        <f aca="false">Projects!$B$33</f>
        <v>15000000</v>
      </c>
      <c r="C39" s="192" t="n">
        <f aca="false">EDATE(Model!$E$2,Projects!$C$33-1)</f>
        <v>47209</v>
      </c>
      <c r="D39" s="192" t="n">
        <f aca="false">EDATE(Model!$E$2,Projects!$C$33+Projects!$D$33-2)</f>
        <v>47757</v>
      </c>
      <c r="E39" s="193" t="n">
        <f aca="false">Projects!$D$33</f>
        <v>19</v>
      </c>
      <c r="F39" s="191" t="n">
        <f aca="false">SUM(G39:DB39)</f>
        <v>13194135</v>
      </c>
      <c r="G39" s="194" t="str">
        <f aca="false">IF(Model!E42=0,"",Model!E42)</f>
        <v/>
      </c>
      <c r="H39" s="194" t="str">
        <f aca="false">IF(Model!F42=0,"",Model!F42)</f>
        <v/>
      </c>
      <c r="I39" s="194" t="str">
        <f aca="false">IF(Model!G42=0,"",Model!G42)</f>
        <v/>
      </c>
      <c r="J39" s="194" t="str">
        <f aca="false">IF(Model!H42=0,"",Model!H42)</f>
        <v/>
      </c>
      <c r="K39" s="194" t="str">
        <f aca="false">IF(Model!I42=0,"",Model!I42)</f>
        <v/>
      </c>
      <c r="L39" s="194" t="str">
        <f aca="false">IF(Model!J42=0,"",Model!J42)</f>
        <v/>
      </c>
      <c r="M39" s="194" t="str">
        <f aca="false">IF(Model!K42=0,"",Model!K42)</f>
        <v/>
      </c>
      <c r="N39" s="194" t="str">
        <f aca="false">IF(Model!L42=0,"",Model!L42)</f>
        <v/>
      </c>
      <c r="O39" s="194" t="str">
        <f aca="false">IF(Model!M42=0,"",Model!M42)</f>
        <v/>
      </c>
      <c r="P39" s="194" t="str">
        <f aca="false">IF(Model!N42=0,"",Model!N42)</f>
        <v/>
      </c>
      <c r="Q39" s="194" t="str">
        <f aca="false">IF(Model!O42=0,"",Model!O42)</f>
        <v/>
      </c>
      <c r="R39" s="194" t="str">
        <f aca="false">IF(Model!P42=0,"",Model!P42)</f>
        <v/>
      </c>
      <c r="S39" s="194" t="str">
        <f aca="false">IF(Model!Q42=0,"",Model!Q42)</f>
        <v/>
      </c>
      <c r="T39" s="194" t="str">
        <f aca="false">IF(Model!R42=0,"",Model!R42)</f>
        <v/>
      </c>
      <c r="U39" s="194" t="str">
        <f aca="false">IF(Model!S42=0,"",Model!S42)</f>
        <v/>
      </c>
      <c r="V39" s="194" t="str">
        <f aca="false">IF(Model!T42=0,"",Model!T42)</f>
        <v/>
      </c>
      <c r="W39" s="194" t="str">
        <f aca="false">IF(Model!U42=0,"",Model!U42)</f>
        <v/>
      </c>
      <c r="X39" s="194" t="str">
        <f aca="false">IF(Model!V42=0,"",Model!V42)</f>
        <v/>
      </c>
      <c r="Y39" s="194" t="str">
        <f aca="false">IF(Model!W42=0,"",Model!W42)</f>
        <v/>
      </c>
      <c r="Z39" s="194" t="str">
        <f aca="false">IF(Model!X42=0,"",Model!X42)</f>
        <v/>
      </c>
      <c r="AA39" s="194" t="str">
        <f aca="false">IF(Model!Y42=0,"",Model!Y42)</f>
        <v/>
      </c>
      <c r="AB39" s="194" t="str">
        <f aca="false">IF(Model!Z42=0,"",Model!Z42)</f>
        <v/>
      </c>
      <c r="AC39" s="194" t="str">
        <f aca="false">IF(Model!AA42=0,"",Model!AA42)</f>
        <v/>
      </c>
      <c r="AD39" s="194" t="str">
        <f aca="false">IF(Model!AB42=0,"",Model!AB42)</f>
        <v/>
      </c>
      <c r="AE39" s="194" t="str">
        <f aca="false">IF(Model!AC42=0,"",Model!AC42)</f>
        <v/>
      </c>
      <c r="AF39" s="194" t="str">
        <f aca="false">IF(Model!AD42=0,"",Model!AD42)</f>
        <v/>
      </c>
      <c r="AG39" s="194" t="str">
        <f aca="false">IF(Model!AE42=0,"",Model!AE42)</f>
        <v/>
      </c>
      <c r="AH39" s="194" t="str">
        <f aca="false">IF(Model!AF42=0,"",Model!AF42)</f>
        <v/>
      </c>
      <c r="AI39" s="194" t="str">
        <f aca="false">IF(Model!AG42=0,"",Model!AG42)</f>
        <v/>
      </c>
      <c r="AJ39" s="194" t="str">
        <f aca="false">IF(Model!AH42=0,"",Model!AH42)</f>
        <v/>
      </c>
      <c r="AK39" s="194" t="str">
        <f aca="false">IF(Model!AI42=0,"",Model!AI42)</f>
        <v/>
      </c>
      <c r="AL39" s="194" t="str">
        <f aca="false">IF(Model!AJ42=0,"",Model!AJ42)</f>
        <v/>
      </c>
      <c r="AM39" s="194" t="str">
        <f aca="false">IF(Model!AK42=0,"",Model!AK42)</f>
        <v/>
      </c>
      <c r="AN39" s="194" t="str">
        <f aca="false">IF(Model!AL42=0,"",Model!AL42)</f>
        <v/>
      </c>
      <c r="AO39" s="194" t="str">
        <f aca="false">IF(Model!AM42=0,"",Model!AM42)</f>
        <v/>
      </c>
      <c r="AP39" s="194" t="str">
        <f aca="false">IF(Model!AN42=0,"",Model!AN42)</f>
        <v/>
      </c>
      <c r="AQ39" s="194" t="n">
        <f aca="false">IF(Model!AO42=0,"",Model!AO42)</f>
        <v>307461.75</v>
      </c>
      <c r="AR39" s="194" t="n">
        <f aca="false">IF(Model!AP42=0,"",Model!AP42)</f>
        <v>401121.75</v>
      </c>
      <c r="AS39" s="194" t="n">
        <f aca="false">IF(Model!AQ42=0,"",Model!AQ42)</f>
        <v>501936.75</v>
      </c>
      <c r="AT39" s="194" t="n">
        <f aca="false">IF(Model!AR42=0,"",Model!AR42)</f>
        <v>605886.75</v>
      </c>
      <c r="AU39" s="194" t="n">
        <f aca="false">IF(Model!AS42=0,"",Model!AS42)</f>
        <v>707976.75</v>
      </c>
      <c r="AV39" s="194" t="n">
        <f aca="false">IF(Model!AT42=0,"",Model!AT42)</f>
        <v>802536.75</v>
      </c>
      <c r="AW39" s="194" t="n">
        <f aca="false">IF(Model!AU42=0,"",Model!AU42)</f>
        <v>883761.75</v>
      </c>
      <c r="AX39" s="194" t="n">
        <f aca="false">IF(Model!AV42=0,"",Model!AV42)</f>
        <v>946266.75</v>
      </c>
      <c r="AY39" s="194" t="n">
        <f aca="false">IF(Model!AW42=0,"",Model!AW42)</f>
        <v>985686.75</v>
      </c>
      <c r="AZ39" s="194" t="n">
        <f aca="false">IF(Model!AX42=0,"",Model!AX42)</f>
        <v>999156.75</v>
      </c>
      <c r="BA39" s="194" t="n">
        <f aca="false">IF(Model!AY42=0,"",Model!AY42)</f>
        <v>985686.75</v>
      </c>
      <c r="BB39" s="194" t="n">
        <f aca="false">IF(Model!AZ42=0,"",Model!AZ42)</f>
        <v>946266.75</v>
      </c>
      <c r="BC39" s="194" t="n">
        <f aca="false">IF(Model!BA42=0,"",Model!BA42)</f>
        <v>883761.75</v>
      </c>
      <c r="BD39" s="194" t="n">
        <f aca="false">IF(Model!BB42=0,"",Model!BB42)</f>
        <v>802536.75</v>
      </c>
      <c r="BE39" s="194" t="n">
        <f aca="false">IF(Model!BC42=0,"",Model!BC42)</f>
        <v>707976.75</v>
      </c>
      <c r="BF39" s="194" t="n">
        <f aca="false">IF(Model!BD42=0,"",Model!BD42)</f>
        <v>605886.75</v>
      </c>
      <c r="BG39" s="194" t="n">
        <f aca="false">IF(Model!BE42=0,"",Model!BE42)</f>
        <v>501936.75</v>
      </c>
      <c r="BH39" s="194" t="n">
        <f aca="false">IF(Model!BF42=0,"",Model!BF42)</f>
        <v>401121.75</v>
      </c>
      <c r="BI39" s="194" t="n">
        <f aca="false">IF(Model!BG42=0,"",Model!BG42)</f>
        <v>217168.5</v>
      </c>
      <c r="BJ39" s="194" t="str">
        <f aca="false">IF(Model!BH42=0,"",Model!BH42)</f>
        <v/>
      </c>
      <c r="BK39" s="194" t="str">
        <f aca="false">IF(Model!BI42=0,"",Model!BI42)</f>
        <v/>
      </c>
      <c r="BL39" s="194" t="str">
        <f aca="false">IF(Model!BJ42=0,"",Model!BJ42)</f>
        <v/>
      </c>
      <c r="BM39" s="194" t="str">
        <f aca="false">IF(Model!BK42=0,"",Model!BK42)</f>
        <v/>
      </c>
      <c r="BN39" s="194" t="str">
        <f aca="false">IF(Model!BL42=0,"",Model!BL42)</f>
        <v/>
      </c>
      <c r="BO39" s="194" t="str">
        <f aca="false">IF(Model!BM42=0,"",Model!BM42)</f>
        <v/>
      </c>
      <c r="BP39" s="194" t="str">
        <f aca="false">IF(Model!BN42=0,"",Model!BN42)</f>
        <v/>
      </c>
      <c r="BQ39" s="194" t="str">
        <f aca="false">IF(Model!BO42=0,"",Model!BO42)</f>
        <v/>
      </c>
      <c r="BR39" s="194" t="str">
        <f aca="false">IF(Model!BP42=0,"",Model!BP42)</f>
        <v/>
      </c>
      <c r="BS39" s="194" t="str">
        <f aca="false">IF(Model!BQ42=0,"",Model!BQ42)</f>
        <v/>
      </c>
      <c r="BT39" s="194" t="str">
        <f aca="false">IF(Model!BR42=0,"",Model!BR42)</f>
        <v/>
      </c>
      <c r="BU39" s="194" t="str">
        <f aca="false">IF(Model!BS42=0,"",Model!BS42)</f>
        <v/>
      </c>
      <c r="BV39" s="194" t="str">
        <f aca="false">IF(Model!BT42=0,"",Model!BT42)</f>
        <v/>
      </c>
      <c r="BW39" s="194" t="str">
        <f aca="false">IF(Model!BU42=0,"",Model!BU42)</f>
        <v/>
      </c>
      <c r="BX39" s="194" t="str">
        <f aca="false">IF(Model!BV42=0,"",Model!BV42)</f>
        <v/>
      </c>
      <c r="BY39" s="194" t="str">
        <f aca="false">IF(Model!BW42=0,"",Model!BW42)</f>
        <v/>
      </c>
      <c r="BZ39" s="194" t="str">
        <f aca="false">IF(Model!BX42=0,"",Model!BX42)</f>
        <v/>
      </c>
      <c r="CA39" s="194" t="str">
        <f aca="false">IF(Model!BY42=0,"",Model!BY42)</f>
        <v/>
      </c>
      <c r="CB39" s="194" t="str">
        <f aca="false">IF(Model!BZ42=0,"",Model!BZ42)</f>
        <v/>
      </c>
      <c r="CC39" s="194" t="str">
        <f aca="false">IF(Model!CA42=0,"",Model!CA42)</f>
        <v/>
      </c>
      <c r="CD39" s="194" t="str">
        <f aca="false">IF(Model!CB42=0,"",Model!CB42)</f>
        <v/>
      </c>
      <c r="CE39" s="194" t="str">
        <f aca="false">IF(Model!CC42=0,"",Model!CC42)</f>
        <v/>
      </c>
      <c r="CF39" s="194" t="str">
        <f aca="false">IF(Model!CD42=0,"",Model!CD42)</f>
        <v/>
      </c>
      <c r="CG39" s="194" t="str">
        <f aca="false">IF(Model!CE42=0,"",Model!CE42)</f>
        <v/>
      </c>
      <c r="CH39" s="194" t="str">
        <f aca="false">IF(Model!CF42=0,"",Model!CF42)</f>
        <v/>
      </c>
      <c r="CI39" s="194" t="str">
        <f aca="false">IF(Model!CG42=0,"",Model!CG42)</f>
        <v/>
      </c>
      <c r="CJ39" s="194" t="str">
        <f aca="false">IF(Model!CH42=0,"",Model!CH42)</f>
        <v/>
      </c>
      <c r="CK39" s="194" t="str">
        <f aca="false">IF(Model!CI42=0,"",Model!CI42)</f>
        <v/>
      </c>
      <c r="CL39" s="194" t="str">
        <f aca="false">IF(Model!CJ42=0,"",Model!CJ42)</f>
        <v/>
      </c>
      <c r="CM39" s="194" t="str">
        <f aca="false">IF(Model!CK42=0,"",Model!CK42)</f>
        <v/>
      </c>
      <c r="CN39" s="194" t="str">
        <f aca="false">IF(Model!CL42=0,"",Model!CL42)</f>
        <v/>
      </c>
      <c r="CO39" s="194" t="str">
        <f aca="false">IF(Model!CM42=0,"",Model!CM42)</f>
        <v/>
      </c>
      <c r="CP39" s="194" t="str">
        <f aca="false">IF(Model!CN42=0,"",Model!CN42)</f>
        <v/>
      </c>
      <c r="CQ39" s="194" t="str">
        <f aca="false">IF(Model!CO42=0,"",Model!CO42)</f>
        <v/>
      </c>
      <c r="CR39" s="194" t="str">
        <f aca="false">IF(Model!CP42=0,"",Model!CP42)</f>
        <v/>
      </c>
      <c r="CS39" s="194" t="str">
        <f aca="false">IF(Model!CQ42=0,"",Model!CQ42)</f>
        <v/>
      </c>
      <c r="CT39" s="194" t="str">
        <f aca="false">IF(Model!CR42=0,"",Model!CR42)</f>
        <v/>
      </c>
      <c r="CU39" s="194" t="str">
        <f aca="false">IF(Model!CS42=0,"",Model!CS42)</f>
        <v/>
      </c>
      <c r="CV39" s="194" t="str">
        <f aca="false">IF(Model!CT42=0,"",Model!CT42)</f>
        <v/>
      </c>
      <c r="CW39" s="194" t="str">
        <f aca="false">IF(Model!CU42=0,"",Model!CU42)</f>
        <v/>
      </c>
      <c r="CX39" s="194" t="str">
        <f aca="false">IF(Model!CV42=0,"",Model!CV42)</f>
        <v/>
      </c>
      <c r="CY39" s="194" t="str">
        <f aca="false">IF(Model!CW42=0,"",Model!CW42)</f>
        <v/>
      </c>
      <c r="CZ39" s="194" t="str">
        <f aca="false">IF(Model!CX42=0,"",Model!CX42)</f>
        <v/>
      </c>
      <c r="DA39" s="194" t="str">
        <f aca="false">IF(Model!CY42=0,"",Model!CY42)</f>
        <v/>
      </c>
      <c r="DB39" s="194" t="str">
        <f aca="false">IF(Model!CZ42=0,"",Model!CZ42)</f>
        <v/>
      </c>
    </row>
    <row r="40" customFormat="false" ht="15" hidden="false" customHeight="true" outlineLevel="0" collapsed="false">
      <c r="A40" s="125" t="s">
        <v>37</v>
      </c>
      <c r="B40" s="191" t="n">
        <f aca="false">Projects!$B$34</f>
        <v>18000000</v>
      </c>
      <c r="C40" s="192" t="n">
        <f aca="false">EDATE(Model!$E$2,Projects!$C$34-1)</f>
        <v>47239</v>
      </c>
      <c r="D40" s="192" t="n">
        <f aca="false">EDATE(Model!$E$2,Projects!$C$34+Projects!$D$34-2)</f>
        <v>47788</v>
      </c>
      <c r="E40" s="193" t="n">
        <f aca="false">Projects!$D$34</f>
        <v>19</v>
      </c>
      <c r="F40" s="191" t="n">
        <f aca="false">SUM(G40:DB40)</f>
        <v>15832962</v>
      </c>
      <c r="G40" s="194" t="str">
        <f aca="false">IF(Model!E43=0,"",Model!E43)</f>
        <v/>
      </c>
      <c r="H40" s="194" t="str">
        <f aca="false">IF(Model!F43=0,"",Model!F43)</f>
        <v/>
      </c>
      <c r="I40" s="194" t="str">
        <f aca="false">IF(Model!G43=0,"",Model!G43)</f>
        <v/>
      </c>
      <c r="J40" s="194" t="str">
        <f aca="false">IF(Model!H43=0,"",Model!H43)</f>
        <v/>
      </c>
      <c r="K40" s="194" t="str">
        <f aca="false">IF(Model!I43=0,"",Model!I43)</f>
        <v/>
      </c>
      <c r="L40" s="194" t="str">
        <f aca="false">IF(Model!J43=0,"",Model!J43)</f>
        <v/>
      </c>
      <c r="M40" s="194" t="str">
        <f aca="false">IF(Model!K43=0,"",Model!K43)</f>
        <v/>
      </c>
      <c r="N40" s="194" t="str">
        <f aca="false">IF(Model!L43=0,"",Model!L43)</f>
        <v/>
      </c>
      <c r="O40" s="194" t="str">
        <f aca="false">IF(Model!M43=0,"",Model!M43)</f>
        <v/>
      </c>
      <c r="P40" s="194" t="str">
        <f aca="false">IF(Model!N43=0,"",Model!N43)</f>
        <v/>
      </c>
      <c r="Q40" s="194" t="str">
        <f aca="false">IF(Model!O43=0,"",Model!O43)</f>
        <v/>
      </c>
      <c r="R40" s="194" t="str">
        <f aca="false">IF(Model!P43=0,"",Model!P43)</f>
        <v/>
      </c>
      <c r="S40" s="194" t="str">
        <f aca="false">IF(Model!Q43=0,"",Model!Q43)</f>
        <v/>
      </c>
      <c r="T40" s="194" t="str">
        <f aca="false">IF(Model!R43=0,"",Model!R43)</f>
        <v/>
      </c>
      <c r="U40" s="194" t="str">
        <f aca="false">IF(Model!S43=0,"",Model!S43)</f>
        <v/>
      </c>
      <c r="V40" s="194" t="str">
        <f aca="false">IF(Model!T43=0,"",Model!T43)</f>
        <v/>
      </c>
      <c r="W40" s="194" t="str">
        <f aca="false">IF(Model!U43=0,"",Model!U43)</f>
        <v/>
      </c>
      <c r="X40" s="194" t="str">
        <f aca="false">IF(Model!V43=0,"",Model!V43)</f>
        <v/>
      </c>
      <c r="Y40" s="194" t="str">
        <f aca="false">IF(Model!W43=0,"",Model!W43)</f>
        <v/>
      </c>
      <c r="Z40" s="194" t="str">
        <f aca="false">IF(Model!X43=0,"",Model!X43)</f>
        <v/>
      </c>
      <c r="AA40" s="194" t="str">
        <f aca="false">IF(Model!Y43=0,"",Model!Y43)</f>
        <v/>
      </c>
      <c r="AB40" s="194" t="str">
        <f aca="false">IF(Model!Z43=0,"",Model!Z43)</f>
        <v/>
      </c>
      <c r="AC40" s="194" t="str">
        <f aca="false">IF(Model!AA43=0,"",Model!AA43)</f>
        <v/>
      </c>
      <c r="AD40" s="194" t="str">
        <f aca="false">IF(Model!AB43=0,"",Model!AB43)</f>
        <v/>
      </c>
      <c r="AE40" s="194" t="str">
        <f aca="false">IF(Model!AC43=0,"",Model!AC43)</f>
        <v/>
      </c>
      <c r="AF40" s="194" t="str">
        <f aca="false">IF(Model!AD43=0,"",Model!AD43)</f>
        <v/>
      </c>
      <c r="AG40" s="194" t="str">
        <f aca="false">IF(Model!AE43=0,"",Model!AE43)</f>
        <v/>
      </c>
      <c r="AH40" s="194" t="str">
        <f aca="false">IF(Model!AF43=0,"",Model!AF43)</f>
        <v/>
      </c>
      <c r="AI40" s="194" t="str">
        <f aca="false">IF(Model!AG43=0,"",Model!AG43)</f>
        <v/>
      </c>
      <c r="AJ40" s="194" t="str">
        <f aca="false">IF(Model!AH43=0,"",Model!AH43)</f>
        <v/>
      </c>
      <c r="AK40" s="194" t="str">
        <f aca="false">IF(Model!AI43=0,"",Model!AI43)</f>
        <v/>
      </c>
      <c r="AL40" s="194" t="str">
        <f aca="false">IF(Model!AJ43=0,"",Model!AJ43)</f>
        <v/>
      </c>
      <c r="AM40" s="194" t="str">
        <f aca="false">IF(Model!AK43=0,"",Model!AK43)</f>
        <v/>
      </c>
      <c r="AN40" s="194" t="str">
        <f aca="false">IF(Model!AL43=0,"",Model!AL43)</f>
        <v/>
      </c>
      <c r="AO40" s="194" t="str">
        <f aca="false">IF(Model!AM43=0,"",Model!AM43)</f>
        <v/>
      </c>
      <c r="AP40" s="194" t="str">
        <f aca="false">IF(Model!AN43=0,"",Model!AN43)</f>
        <v/>
      </c>
      <c r="AQ40" s="194" t="str">
        <f aca="false">IF(Model!AO43=0,"",Model!AO43)</f>
        <v/>
      </c>
      <c r="AR40" s="194" t="n">
        <f aca="false">IF(Model!AP43=0,"",Model!AP43)</f>
        <v>368954.1</v>
      </c>
      <c r="AS40" s="194" t="n">
        <f aca="false">IF(Model!AQ43=0,"",Model!AQ43)</f>
        <v>481346.1</v>
      </c>
      <c r="AT40" s="194" t="n">
        <f aca="false">IF(Model!AR43=0,"",Model!AR43)</f>
        <v>602324.1</v>
      </c>
      <c r="AU40" s="194" t="n">
        <f aca="false">IF(Model!AS43=0,"",Model!AS43)</f>
        <v>727064.1</v>
      </c>
      <c r="AV40" s="194" t="n">
        <f aca="false">IF(Model!AT43=0,"",Model!AT43)</f>
        <v>849572.1</v>
      </c>
      <c r="AW40" s="194" t="n">
        <f aca="false">IF(Model!AU43=0,"",Model!AU43)</f>
        <v>963044.1</v>
      </c>
      <c r="AX40" s="194" t="n">
        <f aca="false">IF(Model!AV43=0,"",Model!AV43)</f>
        <v>1060514.1</v>
      </c>
      <c r="AY40" s="194" t="n">
        <f aca="false">IF(Model!AW43=0,"",Model!AW43)</f>
        <v>1135520.1</v>
      </c>
      <c r="AZ40" s="194" t="n">
        <f aca="false">IF(Model!AX43=0,"",Model!AX43)</f>
        <v>1182824.1</v>
      </c>
      <c r="BA40" s="194" t="n">
        <f aca="false">IF(Model!AY43=0,"",Model!AY43)</f>
        <v>1198988.1</v>
      </c>
      <c r="BB40" s="194" t="n">
        <f aca="false">IF(Model!AZ43=0,"",Model!AZ43)</f>
        <v>1182824.1</v>
      </c>
      <c r="BC40" s="194" t="n">
        <f aca="false">IF(Model!BA43=0,"",Model!BA43)</f>
        <v>1135520.1</v>
      </c>
      <c r="BD40" s="194" t="n">
        <f aca="false">IF(Model!BB43=0,"",Model!BB43)</f>
        <v>1060514.1</v>
      </c>
      <c r="BE40" s="194" t="n">
        <f aca="false">IF(Model!BC43=0,"",Model!BC43)</f>
        <v>963044.1</v>
      </c>
      <c r="BF40" s="194" t="n">
        <f aca="false">IF(Model!BD43=0,"",Model!BD43)</f>
        <v>849572.1</v>
      </c>
      <c r="BG40" s="194" t="n">
        <f aca="false">IF(Model!BE43=0,"",Model!BE43)</f>
        <v>727064.1</v>
      </c>
      <c r="BH40" s="194" t="n">
        <f aca="false">IF(Model!BF43=0,"",Model!BF43)</f>
        <v>602324.1</v>
      </c>
      <c r="BI40" s="194" t="n">
        <f aca="false">IF(Model!BG43=0,"",Model!BG43)</f>
        <v>481346.1</v>
      </c>
      <c r="BJ40" s="194" t="n">
        <f aca="false">IF(Model!BH43=0,"",Model!BH43)</f>
        <v>260602.2</v>
      </c>
      <c r="BK40" s="194" t="str">
        <f aca="false">IF(Model!BI43=0,"",Model!BI43)</f>
        <v/>
      </c>
      <c r="BL40" s="194" t="str">
        <f aca="false">IF(Model!BJ43=0,"",Model!BJ43)</f>
        <v/>
      </c>
      <c r="BM40" s="194" t="str">
        <f aca="false">IF(Model!BK43=0,"",Model!BK43)</f>
        <v/>
      </c>
      <c r="BN40" s="194" t="str">
        <f aca="false">IF(Model!BL43=0,"",Model!BL43)</f>
        <v/>
      </c>
      <c r="BO40" s="194" t="str">
        <f aca="false">IF(Model!BM43=0,"",Model!BM43)</f>
        <v/>
      </c>
      <c r="BP40" s="194" t="str">
        <f aca="false">IF(Model!BN43=0,"",Model!BN43)</f>
        <v/>
      </c>
      <c r="BQ40" s="194" t="str">
        <f aca="false">IF(Model!BO43=0,"",Model!BO43)</f>
        <v/>
      </c>
      <c r="BR40" s="194" t="str">
        <f aca="false">IF(Model!BP43=0,"",Model!BP43)</f>
        <v/>
      </c>
      <c r="BS40" s="194" t="str">
        <f aca="false">IF(Model!BQ43=0,"",Model!BQ43)</f>
        <v/>
      </c>
      <c r="BT40" s="194" t="str">
        <f aca="false">IF(Model!BR43=0,"",Model!BR43)</f>
        <v/>
      </c>
      <c r="BU40" s="194" t="str">
        <f aca="false">IF(Model!BS43=0,"",Model!BS43)</f>
        <v/>
      </c>
      <c r="BV40" s="194" t="str">
        <f aca="false">IF(Model!BT43=0,"",Model!BT43)</f>
        <v/>
      </c>
      <c r="BW40" s="194" t="str">
        <f aca="false">IF(Model!BU43=0,"",Model!BU43)</f>
        <v/>
      </c>
      <c r="BX40" s="194" t="str">
        <f aca="false">IF(Model!BV43=0,"",Model!BV43)</f>
        <v/>
      </c>
      <c r="BY40" s="194" t="str">
        <f aca="false">IF(Model!BW43=0,"",Model!BW43)</f>
        <v/>
      </c>
      <c r="BZ40" s="194" t="str">
        <f aca="false">IF(Model!BX43=0,"",Model!BX43)</f>
        <v/>
      </c>
      <c r="CA40" s="194" t="str">
        <f aca="false">IF(Model!BY43=0,"",Model!BY43)</f>
        <v/>
      </c>
      <c r="CB40" s="194" t="str">
        <f aca="false">IF(Model!BZ43=0,"",Model!BZ43)</f>
        <v/>
      </c>
      <c r="CC40" s="194" t="str">
        <f aca="false">IF(Model!CA43=0,"",Model!CA43)</f>
        <v/>
      </c>
      <c r="CD40" s="194" t="str">
        <f aca="false">IF(Model!CB43=0,"",Model!CB43)</f>
        <v/>
      </c>
      <c r="CE40" s="194" t="str">
        <f aca="false">IF(Model!CC43=0,"",Model!CC43)</f>
        <v/>
      </c>
      <c r="CF40" s="194" t="str">
        <f aca="false">IF(Model!CD43=0,"",Model!CD43)</f>
        <v/>
      </c>
      <c r="CG40" s="194" t="str">
        <f aca="false">IF(Model!CE43=0,"",Model!CE43)</f>
        <v/>
      </c>
      <c r="CH40" s="194" t="str">
        <f aca="false">IF(Model!CF43=0,"",Model!CF43)</f>
        <v/>
      </c>
      <c r="CI40" s="194" t="str">
        <f aca="false">IF(Model!CG43=0,"",Model!CG43)</f>
        <v/>
      </c>
      <c r="CJ40" s="194" t="str">
        <f aca="false">IF(Model!CH43=0,"",Model!CH43)</f>
        <v/>
      </c>
      <c r="CK40" s="194" t="str">
        <f aca="false">IF(Model!CI43=0,"",Model!CI43)</f>
        <v/>
      </c>
      <c r="CL40" s="194" t="str">
        <f aca="false">IF(Model!CJ43=0,"",Model!CJ43)</f>
        <v/>
      </c>
      <c r="CM40" s="194" t="str">
        <f aca="false">IF(Model!CK43=0,"",Model!CK43)</f>
        <v/>
      </c>
      <c r="CN40" s="194" t="str">
        <f aca="false">IF(Model!CL43=0,"",Model!CL43)</f>
        <v/>
      </c>
      <c r="CO40" s="194" t="str">
        <f aca="false">IF(Model!CM43=0,"",Model!CM43)</f>
        <v/>
      </c>
      <c r="CP40" s="194" t="str">
        <f aca="false">IF(Model!CN43=0,"",Model!CN43)</f>
        <v/>
      </c>
      <c r="CQ40" s="194" t="str">
        <f aca="false">IF(Model!CO43=0,"",Model!CO43)</f>
        <v/>
      </c>
      <c r="CR40" s="194" t="str">
        <f aca="false">IF(Model!CP43=0,"",Model!CP43)</f>
        <v/>
      </c>
      <c r="CS40" s="194" t="str">
        <f aca="false">IF(Model!CQ43=0,"",Model!CQ43)</f>
        <v/>
      </c>
      <c r="CT40" s="194" t="str">
        <f aca="false">IF(Model!CR43=0,"",Model!CR43)</f>
        <v/>
      </c>
      <c r="CU40" s="194" t="str">
        <f aca="false">IF(Model!CS43=0,"",Model!CS43)</f>
        <v/>
      </c>
      <c r="CV40" s="194" t="str">
        <f aca="false">IF(Model!CT43=0,"",Model!CT43)</f>
        <v/>
      </c>
      <c r="CW40" s="194" t="str">
        <f aca="false">IF(Model!CU43=0,"",Model!CU43)</f>
        <v/>
      </c>
      <c r="CX40" s="194" t="str">
        <f aca="false">IF(Model!CV43=0,"",Model!CV43)</f>
        <v/>
      </c>
      <c r="CY40" s="194" t="str">
        <f aca="false">IF(Model!CW43=0,"",Model!CW43)</f>
        <v/>
      </c>
      <c r="CZ40" s="194" t="str">
        <f aca="false">IF(Model!CX43=0,"",Model!CX43)</f>
        <v/>
      </c>
      <c r="DA40" s="194" t="str">
        <f aca="false">IF(Model!CY43=0,"",Model!CY43)</f>
        <v/>
      </c>
      <c r="DB40" s="194" t="str">
        <f aca="false">IF(Model!CZ43=0,"",Model!CZ43)</f>
        <v/>
      </c>
    </row>
    <row r="41" customFormat="false" ht="15" hidden="false" customHeight="true" outlineLevel="0" collapsed="false">
      <c r="A41" s="125" t="s">
        <v>38</v>
      </c>
      <c r="B41" s="191" t="n">
        <f aca="false">Projects!$B$35</f>
        <v>15000000</v>
      </c>
      <c r="C41" s="192" t="n">
        <f aca="false">EDATE(Model!$E$2,Projects!$C$35-1)</f>
        <v>47270</v>
      </c>
      <c r="D41" s="192" t="n">
        <f aca="false">EDATE(Model!$E$2,Projects!$C$35+Projects!$D$35-2)</f>
        <v>47818</v>
      </c>
      <c r="E41" s="193" t="n">
        <f aca="false">Projects!$D$35</f>
        <v>19</v>
      </c>
      <c r="F41" s="191" t="n">
        <f aca="false">SUM(G41:DB41)</f>
        <v>13194135</v>
      </c>
      <c r="G41" s="194" t="str">
        <f aca="false">IF(Model!E44=0,"",Model!E44)</f>
        <v/>
      </c>
      <c r="H41" s="194" t="str">
        <f aca="false">IF(Model!F44=0,"",Model!F44)</f>
        <v/>
      </c>
      <c r="I41" s="194" t="str">
        <f aca="false">IF(Model!G44=0,"",Model!G44)</f>
        <v/>
      </c>
      <c r="J41" s="194" t="str">
        <f aca="false">IF(Model!H44=0,"",Model!H44)</f>
        <v/>
      </c>
      <c r="K41" s="194" t="str">
        <f aca="false">IF(Model!I44=0,"",Model!I44)</f>
        <v/>
      </c>
      <c r="L41" s="194" t="str">
        <f aca="false">IF(Model!J44=0,"",Model!J44)</f>
        <v/>
      </c>
      <c r="M41" s="194" t="str">
        <f aca="false">IF(Model!K44=0,"",Model!K44)</f>
        <v/>
      </c>
      <c r="N41" s="194" t="str">
        <f aca="false">IF(Model!L44=0,"",Model!L44)</f>
        <v/>
      </c>
      <c r="O41" s="194" t="str">
        <f aca="false">IF(Model!M44=0,"",Model!M44)</f>
        <v/>
      </c>
      <c r="P41" s="194" t="str">
        <f aca="false">IF(Model!N44=0,"",Model!N44)</f>
        <v/>
      </c>
      <c r="Q41" s="194" t="str">
        <f aca="false">IF(Model!O44=0,"",Model!O44)</f>
        <v/>
      </c>
      <c r="R41" s="194" t="str">
        <f aca="false">IF(Model!P44=0,"",Model!P44)</f>
        <v/>
      </c>
      <c r="S41" s="194" t="str">
        <f aca="false">IF(Model!Q44=0,"",Model!Q44)</f>
        <v/>
      </c>
      <c r="T41" s="194" t="str">
        <f aca="false">IF(Model!R44=0,"",Model!R44)</f>
        <v/>
      </c>
      <c r="U41" s="194" t="str">
        <f aca="false">IF(Model!S44=0,"",Model!S44)</f>
        <v/>
      </c>
      <c r="V41" s="194" t="str">
        <f aca="false">IF(Model!T44=0,"",Model!T44)</f>
        <v/>
      </c>
      <c r="W41" s="194" t="str">
        <f aca="false">IF(Model!U44=0,"",Model!U44)</f>
        <v/>
      </c>
      <c r="X41" s="194" t="str">
        <f aca="false">IF(Model!V44=0,"",Model!V44)</f>
        <v/>
      </c>
      <c r="Y41" s="194" t="str">
        <f aca="false">IF(Model!W44=0,"",Model!W44)</f>
        <v/>
      </c>
      <c r="Z41" s="194" t="str">
        <f aca="false">IF(Model!X44=0,"",Model!X44)</f>
        <v/>
      </c>
      <c r="AA41" s="194" t="str">
        <f aca="false">IF(Model!Y44=0,"",Model!Y44)</f>
        <v/>
      </c>
      <c r="AB41" s="194" t="str">
        <f aca="false">IF(Model!Z44=0,"",Model!Z44)</f>
        <v/>
      </c>
      <c r="AC41" s="194" t="str">
        <f aca="false">IF(Model!AA44=0,"",Model!AA44)</f>
        <v/>
      </c>
      <c r="AD41" s="194" t="str">
        <f aca="false">IF(Model!AB44=0,"",Model!AB44)</f>
        <v/>
      </c>
      <c r="AE41" s="194" t="str">
        <f aca="false">IF(Model!AC44=0,"",Model!AC44)</f>
        <v/>
      </c>
      <c r="AF41" s="194" t="str">
        <f aca="false">IF(Model!AD44=0,"",Model!AD44)</f>
        <v/>
      </c>
      <c r="AG41" s="194" t="str">
        <f aca="false">IF(Model!AE44=0,"",Model!AE44)</f>
        <v/>
      </c>
      <c r="AH41" s="194" t="str">
        <f aca="false">IF(Model!AF44=0,"",Model!AF44)</f>
        <v/>
      </c>
      <c r="AI41" s="194" t="str">
        <f aca="false">IF(Model!AG44=0,"",Model!AG44)</f>
        <v/>
      </c>
      <c r="AJ41" s="194" t="str">
        <f aca="false">IF(Model!AH44=0,"",Model!AH44)</f>
        <v/>
      </c>
      <c r="AK41" s="194" t="str">
        <f aca="false">IF(Model!AI44=0,"",Model!AI44)</f>
        <v/>
      </c>
      <c r="AL41" s="194" t="str">
        <f aca="false">IF(Model!AJ44=0,"",Model!AJ44)</f>
        <v/>
      </c>
      <c r="AM41" s="194" t="str">
        <f aca="false">IF(Model!AK44=0,"",Model!AK44)</f>
        <v/>
      </c>
      <c r="AN41" s="194" t="str">
        <f aca="false">IF(Model!AL44=0,"",Model!AL44)</f>
        <v/>
      </c>
      <c r="AO41" s="194" t="str">
        <f aca="false">IF(Model!AM44=0,"",Model!AM44)</f>
        <v/>
      </c>
      <c r="AP41" s="194" t="str">
        <f aca="false">IF(Model!AN44=0,"",Model!AN44)</f>
        <v/>
      </c>
      <c r="AQ41" s="194" t="str">
        <f aca="false">IF(Model!AO44=0,"",Model!AO44)</f>
        <v/>
      </c>
      <c r="AR41" s="194" t="str">
        <f aca="false">IF(Model!AP44=0,"",Model!AP44)</f>
        <v/>
      </c>
      <c r="AS41" s="194" t="n">
        <f aca="false">IF(Model!AQ44=0,"",Model!AQ44)</f>
        <v>307461.75</v>
      </c>
      <c r="AT41" s="194" t="n">
        <f aca="false">IF(Model!AR44=0,"",Model!AR44)</f>
        <v>401121.75</v>
      </c>
      <c r="AU41" s="194" t="n">
        <f aca="false">IF(Model!AS44=0,"",Model!AS44)</f>
        <v>501936.75</v>
      </c>
      <c r="AV41" s="194" t="n">
        <f aca="false">IF(Model!AT44=0,"",Model!AT44)</f>
        <v>605886.75</v>
      </c>
      <c r="AW41" s="194" t="n">
        <f aca="false">IF(Model!AU44=0,"",Model!AU44)</f>
        <v>707976.75</v>
      </c>
      <c r="AX41" s="194" t="n">
        <f aca="false">IF(Model!AV44=0,"",Model!AV44)</f>
        <v>802536.75</v>
      </c>
      <c r="AY41" s="194" t="n">
        <f aca="false">IF(Model!AW44=0,"",Model!AW44)</f>
        <v>883761.75</v>
      </c>
      <c r="AZ41" s="194" t="n">
        <f aca="false">IF(Model!AX44=0,"",Model!AX44)</f>
        <v>946266.75</v>
      </c>
      <c r="BA41" s="194" t="n">
        <f aca="false">IF(Model!AY44=0,"",Model!AY44)</f>
        <v>985686.75</v>
      </c>
      <c r="BB41" s="194" t="n">
        <f aca="false">IF(Model!AZ44=0,"",Model!AZ44)</f>
        <v>999156.75</v>
      </c>
      <c r="BC41" s="194" t="n">
        <f aca="false">IF(Model!BA44=0,"",Model!BA44)</f>
        <v>985686.75</v>
      </c>
      <c r="BD41" s="194" t="n">
        <f aca="false">IF(Model!BB44=0,"",Model!BB44)</f>
        <v>946266.75</v>
      </c>
      <c r="BE41" s="194" t="n">
        <f aca="false">IF(Model!BC44=0,"",Model!BC44)</f>
        <v>883761.75</v>
      </c>
      <c r="BF41" s="194" t="n">
        <f aca="false">IF(Model!BD44=0,"",Model!BD44)</f>
        <v>802536.75</v>
      </c>
      <c r="BG41" s="194" t="n">
        <f aca="false">IF(Model!BE44=0,"",Model!BE44)</f>
        <v>707976.75</v>
      </c>
      <c r="BH41" s="194" t="n">
        <f aca="false">IF(Model!BF44=0,"",Model!BF44)</f>
        <v>605886.75</v>
      </c>
      <c r="BI41" s="194" t="n">
        <f aca="false">IF(Model!BG44=0,"",Model!BG44)</f>
        <v>501936.75</v>
      </c>
      <c r="BJ41" s="194" t="n">
        <f aca="false">IF(Model!BH44=0,"",Model!BH44)</f>
        <v>401121.75</v>
      </c>
      <c r="BK41" s="194" t="n">
        <f aca="false">IF(Model!BI44=0,"",Model!BI44)</f>
        <v>217168.5</v>
      </c>
      <c r="BL41" s="194" t="str">
        <f aca="false">IF(Model!BJ44=0,"",Model!BJ44)</f>
        <v/>
      </c>
      <c r="BM41" s="194" t="str">
        <f aca="false">IF(Model!BK44=0,"",Model!BK44)</f>
        <v/>
      </c>
      <c r="BN41" s="194" t="str">
        <f aca="false">IF(Model!BL44=0,"",Model!BL44)</f>
        <v/>
      </c>
      <c r="BO41" s="194" t="str">
        <f aca="false">IF(Model!BM44=0,"",Model!BM44)</f>
        <v/>
      </c>
      <c r="BP41" s="194" t="str">
        <f aca="false">IF(Model!BN44=0,"",Model!BN44)</f>
        <v/>
      </c>
      <c r="BQ41" s="194" t="str">
        <f aca="false">IF(Model!BO44=0,"",Model!BO44)</f>
        <v/>
      </c>
      <c r="BR41" s="194" t="str">
        <f aca="false">IF(Model!BP44=0,"",Model!BP44)</f>
        <v/>
      </c>
      <c r="BS41" s="194" t="str">
        <f aca="false">IF(Model!BQ44=0,"",Model!BQ44)</f>
        <v/>
      </c>
      <c r="BT41" s="194" t="str">
        <f aca="false">IF(Model!BR44=0,"",Model!BR44)</f>
        <v/>
      </c>
      <c r="BU41" s="194" t="str">
        <f aca="false">IF(Model!BS44=0,"",Model!BS44)</f>
        <v/>
      </c>
      <c r="BV41" s="194" t="str">
        <f aca="false">IF(Model!BT44=0,"",Model!BT44)</f>
        <v/>
      </c>
      <c r="BW41" s="194" t="str">
        <f aca="false">IF(Model!BU44=0,"",Model!BU44)</f>
        <v/>
      </c>
      <c r="BX41" s="194" t="str">
        <f aca="false">IF(Model!BV44=0,"",Model!BV44)</f>
        <v/>
      </c>
      <c r="BY41" s="194" t="str">
        <f aca="false">IF(Model!BW44=0,"",Model!BW44)</f>
        <v/>
      </c>
      <c r="BZ41" s="194" t="str">
        <f aca="false">IF(Model!BX44=0,"",Model!BX44)</f>
        <v/>
      </c>
      <c r="CA41" s="194" t="str">
        <f aca="false">IF(Model!BY44=0,"",Model!BY44)</f>
        <v/>
      </c>
      <c r="CB41" s="194" t="str">
        <f aca="false">IF(Model!BZ44=0,"",Model!BZ44)</f>
        <v/>
      </c>
      <c r="CC41" s="194" t="str">
        <f aca="false">IF(Model!CA44=0,"",Model!CA44)</f>
        <v/>
      </c>
      <c r="CD41" s="194" t="str">
        <f aca="false">IF(Model!CB44=0,"",Model!CB44)</f>
        <v/>
      </c>
      <c r="CE41" s="194" t="str">
        <f aca="false">IF(Model!CC44=0,"",Model!CC44)</f>
        <v/>
      </c>
      <c r="CF41" s="194" t="str">
        <f aca="false">IF(Model!CD44=0,"",Model!CD44)</f>
        <v/>
      </c>
      <c r="CG41" s="194" t="str">
        <f aca="false">IF(Model!CE44=0,"",Model!CE44)</f>
        <v/>
      </c>
      <c r="CH41" s="194" t="str">
        <f aca="false">IF(Model!CF44=0,"",Model!CF44)</f>
        <v/>
      </c>
      <c r="CI41" s="194" t="str">
        <f aca="false">IF(Model!CG44=0,"",Model!CG44)</f>
        <v/>
      </c>
      <c r="CJ41" s="194" t="str">
        <f aca="false">IF(Model!CH44=0,"",Model!CH44)</f>
        <v/>
      </c>
      <c r="CK41" s="194" t="str">
        <f aca="false">IF(Model!CI44=0,"",Model!CI44)</f>
        <v/>
      </c>
      <c r="CL41" s="194" t="str">
        <f aca="false">IF(Model!CJ44=0,"",Model!CJ44)</f>
        <v/>
      </c>
      <c r="CM41" s="194" t="str">
        <f aca="false">IF(Model!CK44=0,"",Model!CK44)</f>
        <v/>
      </c>
      <c r="CN41" s="194" t="str">
        <f aca="false">IF(Model!CL44=0,"",Model!CL44)</f>
        <v/>
      </c>
      <c r="CO41" s="194" t="str">
        <f aca="false">IF(Model!CM44=0,"",Model!CM44)</f>
        <v/>
      </c>
      <c r="CP41" s="194" t="str">
        <f aca="false">IF(Model!CN44=0,"",Model!CN44)</f>
        <v/>
      </c>
      <c r="CQ41" s="194" t="str">
        <f aca="false">IF(Model!CO44=0,"",Model!CO44)</f>
        <v/>
      </c>
      <c r="CR41" s="194" t="str">
        <f aca="false">IF(Model!CP44=0,"",Model!CP44)</f>
        <v/>
      </c>
      <c r="CS41" s="194" t="str">
        <f aca="false">IF(Model!CQ44=0,"",Model!CQ44)</f>
        <v/>
      </c>
      <c r="CT41" s="194" t="str">
        <f aca="false">IF(Model!CR44=0,"",Model!CR44)</f>
        <v/>
      </c>
      <c r="CU41" s="194" t="str">
        <f aca="false">IF(Model!CS44=0,"",Model!CS44)</f>
        <v/>
      </c>
      <c r="CV41" s="194" t="str">
        <f aca="false">IF(Model!CT44=0,"",Model!CT44)</f>
        <v/>
      </c>
      <c r="CW41" s="194" t="str">
        <f aca="false">IF(Model!CU44=0,"",Model!CU44)</f>
        <v/>
      </c>
      <c r="CX41" s="194" t="str">
        <f aca="false">IF(Model!CV44=0,"",Model!CV44)</f>
        <v/>
      </c>
      <c r="CY41" s="194" t="str">
        <f aca="false">IF(Model!CW44=0,"",Model!CW44)</f>
        <v/>
      </c>
      <c r="CZ41" s="194" t="str">
        <f aca="false">IF(Model!CX44=0,"",Model!CX44)</f>
        <v/>
      </c>
      <c r="DA41" s="194" t="str">
        <f aca="false">IF(Model!CY44=0,"",Model!CY44)</f>
        <v/>
      </c>
      <c r="DB41" s="194" t="str">
        <f aca="false">IF(Model!CZ44=0,"",Model!CZ44)</f>
        <v/>
      </c>
    </row>
    <row r="42" customFormat="false" ht="15" hidden="false" customHeight="true" outlineLevel="0" collapsed="false">
      <c r="A42" s="125" t="s">
        <v>39</v>
      </c>
      <c r="B42" s="191" t="n">
        <f aca="false">Projects!$B$36</f>
        <v>18000000</v>
      </c>
      <c r="C42" s="192" t="n">
        <f aca="false">EDATE(Model!$E$2,Projects!$C$36-1)</f>
        <v>47392</v>
      </c>
      <c r="D42" s="192" t="n">
        <f aca="false">EDATE(Model!$E$2,Projects!$C$36+Projects!$D$36-2)</f>
        <v>47939</v>
      </c>
      <c r="E42" s="193" t="n">
        <f aca="false">Projects!$D$36</f>
        <v>19</v>
      </c>
      <c r="F42" s="191" t="n">
        <f aca="false">SUM(G42:DB42)</f>
        <v>15832962</v>
      </c>
      <c r="G42" s="194" t="str">
        <f aca="false">IF(Model!E45=0,"",Model!E45)</f>
        <v/>
      </c>
      <c r="H42" s="194" t="str">
        <f aca="false">IF(Model!F45=0,"",Model!F45)</f>
        <v/>
      </c>
      <c r="I42" s="194" t="str">
        <f aca="false">IF(Model!G45=0,"",Model!G45)</f>
        <v/>
      </c>
      <c r="J42" s="194" t="str">
        <f aca="false">IF(Model!H45=0,"",Model!H45)</f>
        <v/>
      </c>
      <c r="K42" s="194" t="str">
        <f aca="false">IF(Model!I45=0,"",Model!I45)</f>
        <v/>
      </c>
      <c r="L42" s="194" t="str">
        <f aca="false">IF(Model!J45=0,"",Model!J45)</f>
        <v/>
      </c>
      <c r="M42" s="194" t="str">
        <f aca="false">IF(Model!K45=0,"",Model!K45)</f>
        <v/>
      </c>
      <c r="N42" s="194" t="str">
        <f aca="false">IF(Model!L45=0,"",Model!L45)</f>
        <v/>
      </c>
      <c r="O42" s="194" t="str">
        <f aca="false">IF(Model!M45=0,"",Model!M45)</f>
        <v/>
      </c>
      <c r="P42" s="194" t="str">
        <f aca="false">IF(Model!N45=0,"",Model!N45)</f>
        <v/>
      </c>
      <c r="Q42" s="194" t="str">
        <f aca="false">IF(Model!O45=0,"",Model!O45)</f>
        <v/>
      </c>
      <c r="R42" s="194" t="str">
        <f aca="false">IF(Model!P45=0,"",Model!P45)</f>
        <v/>
      </c>
      <c r="S42" s="194" t="str">
        <f aca="false">IF(Model!Q45=0,"",Model!Q45)</f>
        <v/>
      </c>
      <c r="T42" s="194" t="str">
        <f aca="false">IF(Model!R45=0,"",Model!R45)</f>
        <v/>
      </c>
      <c r="U42" s="194" t="str">
        <f aca="false">IF(Model!S45=0,"",Model!S45)</f>
        <v/>
      </c>
      <c r="V42" s="194" t="str">
        <f aca="false">IF(Model!T45=0,"",Model!T45)</f>
        <v/>
      </c>
      <c r="W42" s="194" t="str">
        <f aca="false">IF(Model!U45=0,"",Model!U45)</f>
        <v/>
      </c>
      <c r="X42" s="194" t="str">
        <f aca="false">IF(Model!V45=0,"",Model!V45)</f>
        <v/>
      </c>
      <c r="Y42" s="194" t="str">
        <f aca="false">IF(Model!W45=0,"",Model!W45)</f>
        <v/>
      </c>
      <c r="Z42" s="194" t="str">
        <f aca="false">IF(Model!X45=0,"",Model!X45)</f>
        <v/>
      </c>
      <c r="AA42" s="194" t="str">
        <f aca="false">IF(Model!Y45=0,"",Model!Y45)</f>
        <v/>
      </c>
      <c r="AB42" s="194" t="str">
        <f aca="false">IF(Model!Z45=0,"",Model!Z45)</f>
        <v/>
      </c>
      <c r="AC42" s="194" t="str">
        <f aca="false">IF(Model!AA45=0,"",Model!AA45)</f>
        <v/>
      </c>
      <c r="AD42" s="194" t="str">
        <f aca="false">IF(Model!AB45=0,"",Model!AB45)</f>
        <v/>
      </c>
      <c r="AE42" s="194" t="str">
        <f aca="false">IF(Model!AC45=0,"",Model!AC45)</f>
        <v/>
      </c>
      <c r="AF42" s="194" t="str">
        <f aca="false">IF(Model!AD45=0,"",Model!AD45)</f>
        <v/>
      </c>
      <c r="AG42" s="194" t="str">
        <f aca="false">IF(Model!AE45=0,"",Model!AE45)</f>
        <v/>
      </c>
      <c r="AH42" s="194" t="str">
        <f aca="false">IF(Model!AF45=0,"",Model!AF45)</f>
        <v/>
      </c>
      <c r="AI42" s="194" t="str">
        <f aca="false">IF(Model!AG45=0,"",Model!AG45)</f>
        <v/>
      </c>
      <c r="AJ42" s="194" t="str">
        <f aca="false">IF(Model!AH45=0,"",Model!AH45)</f>
        <v/>
      </c>
      <c r="AK42" s="194" t="str">
        <f aca="false">IF(Model!AI45=0,"",Model!AI45)</f>
        <v/>
      </c>
      <c r="AL42" s="194" t="str">
        <f aca="false">IF(Model!AJ45=0,"",Model!AJ45)</f>
        <v/>
      </c>
      <c r="AM42" s="194" t="str">
        <f aca="false">IF(Model!AK45=0,"",Model!AK45)</f>
        <v/>
      </c>
      <c r="AN42" s="194" t="str">
        <f aca="false">IF(Model!AL45=0,"",Model!AL45)</f>
        <v/>
      </c>
      <c r="AO42" s="194" t="str">
        <f aca="false">IF(Model!AM45=0,"",Model!AM45)</f>
        <v/>
      </c>
      <c r="AP42" s="194" t="str">
        <f aca="false">IF(Model!AN45=0,"",Model!AN45)</f>
        <v/>
      </c>
      <c r="AQ42" s="194" t="str">
        <f aca="false">IF(Model!AO45=0,"",Model!AO45)</f>
        <v/>
      </c>
      <c r="AR42" s="194" t="str">
        <f aca="false">IF(Model!AP45=0,"",Model!AP45)</f>
        <v/>
      </c>
      <c r="AS42" s="194" t="str">
        <f aca="false">IF(Model!AQ45=0,"",Model!AQ45)</f>
        <v/>
      </c>
      <c r="AT42" s="194" t="str">
        <f aca="false">IF(Model!AR45=0,"",Model!AR45)</f>
        <v/>
      </c>
      <c r="AU42" s="194" t="str">
        <f aca="false">IF(Model!AS45=0,"",Model!AS45)</f>
        <v/>
      </c>
      <c r="AV42" s="194" t="str">
        <f aca="false">IF(Model!AT45=0,"",Model!AT45)</f>
        <v/>
      </c>
      <c r="AW42" s="194" t="n">
        <f aca="false">IF(Model!AU45=0,"",Model!AU45)</f>
        <v>368954.1</v>
      </c>
      <c r="AX42" s="194" t="n">
        <f aca="false">IF(Model!AV45=0,"",Model!AV45)</f>
        <v>481346.1</v>
      </c>
      <c r="AY42" s="194" t="n">
        <f aca="false">IF(Model!AW45=0,"",Model!AW45)</f>
        <v>602324.1</v>
      </c>
      <c r="AZ42" s="194" t="n">
        <f aca="false">IF(Model!AX45=0,"",Model!AX45)</f>
        <v>727064.1</v>
      </c>
      <c r="BA42" s="194" t="n">
        <f aca="false">IF(Model!AY45=0,"",Model!AY45)</f>
        <v>849572.1</v>
      </c>
      <c r="BB42" s="194" t="n">
        <f aca="false">IF(Model!AZ45=0,"",Model!AZ45)</f>
        <v>963044.1</v>
      </c>
      <c r="BC42" s="194" t="n">
        <f aca="false">IF(Model!BA45=0,"",Model!BA45)</f>
        <v>1060514.1</v>
      </c>
      <c r="BD42" s="194" t="n">
        <f aca="false">IF(Model!BB45=0,"",Model!BB45)</f>
        <v>1135520.1</v>
      </c>
      <c r="BE42" s="194" t="n">
        <f aca="false">IF(Model!BC45=0,"",Model!BC45)</f>
        <v>1182824.1</v>
      </c>
      <c r="BF42" s="194" t="n">
        <f aca="false">IF(Model!BD45=0,"",Model!BD45)</f>
        <v>1198988.1</v>
      </c>
      <c r="BG42" s="194" t="n">
        <f aca="false">IF(Model!BE45=0,"",Model!BE45)</f>
        <v>1182824.1</v>
      </c>
      <c r="BH42" s="194" t="n">
        <f aca="false">IF(Model!BF45=0,"",Model!BF45)</f>
        <v>1135520.1</v>
      </c>
      <c r="BI42" s="194" t="n">
        <f aca="false">IF(Model!BG45=0,"",Model!BG45)</f>
        <v>1060514.1</v>
      </c>
      <c r="BJ42" s="194" t="n">
        <f aca="false">IF(Model!BH45=0,"",Model!BH45)</f>
        <v>963044.1</v>
      </c>
      <c r="BK42" s="194" t="n">
        <f aca="false">IF(Model!BI45=0,"",Model!BI45)</f>
        <v>849572.1</v>
      </c>
      <c r="BL42" s="194" t="n">
        <f aca="false">IF(Model!BJ45=0,"",Model!BJ45)</f>
        <v>727064.1</v>
      </c>
      <c r="BM42" s="194" t="n">
        <f aca="false">IF(Model!BK45=0,"",Model!BK45)</f>
        <v>602324.1</v>
      </c>
      <c r="BN42" s="194" t="n">
        <f aca="false">IF(Model!BL45=0,"",Model!BL45)</f>
        <v>481346.1</v>
      </c>
      <c r="BO42" s="194" t="n">
        <f aca="false">IF(Model!BM45=0,"",Model!BM45)</f>
        <v>260602.2</v>
      </c>
      <c r="BP42" s="194" t="str">
        <f aca="false">IF(Model!BN45=0,"",Model!BN45)</f>
        <v/>
      </c>
      <c r="BQ42" s="194" t="str">
        <f aca="false">IF(Model!BO45=0,"",Model!BO45)</f>
        <v/>
      </c>
      <c r="BR42" s="194" t="str">
        <f aca="false">IF(Model!BP45=0,"",Model!BP45)</f>
        <v/>
      </c>
      <c r="BS42" s="194" t="str">
        <f aca="false">IF(Model!BQ45=0,"",Model!BQ45)</f>
        <v/>
      </c>
      <c r="BT42" s="194" t="str">
        <f aca="false">IF(Model!BR45=0,"",Model!BR45)</f>
        <v/>
      </c>
      <c r="BU42" s="194" t="str">
        <f aca="false">IF(Model!BS45=0,"",Model!BS45)</f>
        <v/>
      </c>
      <c r="BV42" s="194" t="str">
        <f aca="false">IF(Model!BT45=0,"",Model!BT45)</f>
        <v/>
      </c>
      <c r="BW42" s="194" t="str">
        <f aca="false">IF(Model!BU45=0,"",Model!BU45)</f>
        <v/>
      </c>
      <c r="BX42" s="194" t="str">
        <f aca="false">IF(Model!BV45=0,"",Model!BV45)</f>
        <v/>
      </c>
      <c r="BY42" s="194" t="str">
        <f aca="false">IF(Model!BW45=0,"",Model!BW45)</f>
        <v/>
      </c>
      <c r="BZ42" s="194" t="str">
        <f aca="false">IF(Model!BX45=0,"",Model!BX45)</f>
        <v/>
      </c>
      <c r="CA42" s="194" t="str">
        <f aca="false">IF(Model!BY45=0,"",Model!BY45)</f>
        <v/>
      </c>
      <c r="CB42" s="194" t="str">
        <f aca="false">IF(Model!BZ45=0,"",Model!BZ45)</f>
        <v/>
      </c>
      <c r="CC42" s="194" t="str">
        <f aca="false">IF(Model!CA45=0,"",Model!CA45)</f>
        <v/>
      </c>
      <c r="CD42" s="194" t="str">
        <f aca="false">IF(Model!CB45=0,"",Model!CB45)</f>
        <v/>
      </c>
      <c r="CE42" s="194" t="str">
        <f aca="false">IF(Model!CC45=0,"",Model!CC45)</f>
        <v/>
      </c>
      <c r="CF42" s="194" t="str">
        <f aca="false">IF(Model!CD45=0,"",Model!CD45)</f>
        <v/>
      </c>
      <c r="CG42" s="194" t="str">
        <f aca="false">IF(Model!CE45=0,"",Model!CE45)</f>
        <v/>
      </c>
      <c r="CH42" s="194" t="str">
        <f aca="false">IF(Model!CF45=0,"",Model!CF45)</f>
        <v/>
      </c>
      <c r="CI42" s="194" t="str">
        <f aca="false">IF(Model!CG45=0,"",Model!CG45)</f>
        <v/>
      </c>
      <c r="CJ42" s="194" t="str">
        <f aca="false">IF(Model!CH45=0,"",Model!CH45)</f>
        <v/>
      </c>
      <c r="CK42" s="194" t="str">
        <f aca="false">IF(Model!CI45=0,"",Model!CI45)</f>
        <v/>
      </c>
      <c r="CL42" s="194" t="str">
        <f aca="false">IF(Model!CJ45=0,"",Model!CJ45)</f>
        <v/>
      </c>
      <c r="CM42" s="194" t="str">
        <f aca="false">IF(Model!CK45=0,"",Model!CK45)</f>
        <v/>
      </c>
      <c r="CN42" s="194" t="str">
        <f aca="false">IF(Model!CL45=0,"",Model!CL45)</f>
        <v/>
      </c>
      <c r="CO42" s="194" t="str">
        <f aca="false">IF(Model!CM45=0,"",Model!CM45)</f>
        <v/>
      </c>
      <c r="CP42" s="194" t="str">
        <f aca="false">IF(Model!CN45=0,"",Model!CN45)</f>
        <v/>
      </c>
      <c r="CQ42" s="194" t="str">
        <f aca="false">IF(Model!CO45=0,"",Model!CO45)</f>
        <v/>
      </c>
      <c r="CR42" s="194" t="str">
        <f aca="false">IF(Model!CP45=0,"",Model!CP45)</f>
        <v/>
      </c>
      <c r="CS42" s="194" t="str">
        <f aca="false">IF(Model!CQ45=0,"",Model!CQ45)</f>
        <v/>
      </c>
      <c r="CT42" s="194" t="str">
        <f aca="false">IF(Model!CR45=0,"",Model!CR45)</f>
        <v/>
      </c>
      <c r="CU42" s="194" t="str">
        <f aca="false">IF(Model!CS45=0,"",Model!CS45)</f>
        <v/>
      </c>
      <c r="CV42" s="194" t="str">
        <f aca="false">IF(Model!CT45=0,"",Model!CT45)</f>
        <v/>
      </c>
      <c r="CW42" s="194" t="str">
        <f aca="false">IF(Model!CU45=0,"",Model!CU45)</f>
        <v/>
      </c>
      <c r="CX42" s="194" t="str">
        <f aca="false">IF(Model!CV45=0,"",Model!CV45)</f>
        <v/>
      </c>
      <c r="CY42" s="194" t="str">
        <f aca="false">IF(Model!CW45=0,"",Model!CW45)</f>
        <v/>
      </c>
      <c r="CZ42" s="194" t="str">
        <f aca="false">IF(Model!CX45=0,"",Model!CX45)</f>
        <v/>
      </c>
      <c r="DA42" s="194" t="str">
        <f aca="false">IF(Model!CY45=0,"",Model!CY45)</f>
        <v/>
      </c>
      <c r="DB42" s="194" t="str">
        <f aca="false">IF(Model!CZ45=0,"",Model!CZ45)</f>
        <v/>
      </c>
    </row>
    <row r="43" customFormat="false" ht="15" hidden="false" customHeight="true" outlineLevel="0" collapsed="false">
      <c r="A43" s="125" t="s">
        <v>40</v>
      </c>
      <c r="B43" s="191" t="n">
        <f aca="false">Projects!$B$37</f>
        <v>15000000</v>
      </c>
      <c r="C43" s="192" t="n">
        <f aca="false">EDATE(Model!$E$2,Projects!$C$37-1)</f>
        <v>47423</v>
      </c>
      <c r="D43" s="192" t="n">
        <f aca="false">EDATE(Model!$E$2,Projects!$C$37+Projects!$D$37-2)</f>
        <v>47969</v>
      </c>
      <c r="E43" s="193" t="n">
        <f aca="false">Projects!$D$37</f>
        <v>19</v>
      </c>
      <c r="F43" s="191" t="n">
        <f aca="false">SUM(G43:DB43)</f>
        <v>13194135</v>
      </c>
      <c r="G43" s="194" t="str">
        <f aca="false">IF(Model!E46=0,"",Model!E46)</f>
        <v/>
      </c>
      <c r="H43" s="194" t="str">
        <f aca="false">IF(Model!F46=0,"",Model!F46)</f>
        <v/>
      </c>
      <c r="I43" s="194" t="str">
        <f aca="false">IF(Model!G46=0,"",Model!G46)</f>
        <v/>
      </c>
      <c r="J43" s="194" t="str">
        <f aca="false">IF(Model!H46=0,"",Model!H46)</f>
        <v/>
      </c>
      <c r="K43" s="194" t="str">
        <f aca="false">IF(Model!I46=0,"",Model!I46)</f>
        <v/>
      </c>
      <c r="L43" s="194" t="str">
        <f aca="false">IF(Model!J46=0,"",Model!J46)</f>
        <v/>
      </c>
      <c r="M43" s="194" t="str">
        <f aca="false">IF(Model!K46=0,"",Model!K46)</f>
        <v/>
      </c>
      <c r="N43" s="194" t="str">
        <f aca="false">IF(Model!L46=0,"",Model!L46)</f>
        <v/>
      </c>
      <c r="O43" s="194" t="str">
        <f aca="false">IF(Model!M46=0,"",Model!M46)</f>
        <v/>
      </c>
      <c r="P43" s="194" t="str">
        <f aca="false">IF(Model!N46=0,"",Model!N46)</f>
        <v/>
      </c>
      <c r="Q43" s="194" t="str">
        <f aca="false">IF(Model!O46=0,"",Model!O46)</f>
        <v/>
      </c>
      <c r="R43" s="194" t="str">
        <f aca="false">IF(Model!P46=0,"",Model!P46)</f>
        <v/>
      </c>
      <c r="S43" s="194" t="str">
        <f aca="false">IF(Model!Q46=0,"",Model!Q46)</f>
        <v/>
      </c>
      <c r="T43" s="194" t="str">
        <f aca="false">IF(Model!R46=0,"",Model!R46)</f>
        <v/>
      </c>
      <c r="U43" s="194" t="str">
        <f aca="false">IF(Model!S46=0,"",Model!S46)</f>
        <v/>
      </c>
      <c r="V43" s="194" t="str">
        <f aca="false">IF(Model!T46=0,"",Model!T46)</f>
        <v/>
      </c>
      <c r="W43" s="194" t="str">
        <f aca="false">IF(Model!U46=0,"",Model!U46)</f>
        <v/>
      </c>
      <c r="X43" s="194" t="str">
        <f aca="false">IF(Model!V46=0,"",Model!V46)</f>
        <v/>
      </c>
      <c r="Y43" s="194" t="str">
        <f aca="false">IF(Model!W46=0,"",Model!W46)</f>
        <v/>
      </c>
      <c r="Z43" s="194" t="str">
        <f aca="false">IF(Model!X46=0,"",Model!X46)</f>
        <v/>
      </c>
      <c r="AA43" s="194" t="str">
        <f aca="false">IF(Model!Y46=0,"",Model!Y46)</f>
        <v/>
      </c>
      <c r="AB43" s="194" t="str">
        <f aca="false">IF(Model!Z46=0,"",Model!Z46)</f>
        <v/>
      </c>
      <c r="AC43" s="194" t="str">
        <f aca="false">IF(Model!AA46=0,"",Model!AA46)</f>
        <v/>
      </c>
      <c r="AD43" s="194" t="str">
        <f aca="false">IF(Model!AB46=0,"",Model!AB46)</f>
        <v/>
      </c>
      <c r="AE43" s="194" t="str">
        <f aca="false">IF(Model!AC46=0,"",Model!AC46)</f>
        <v/>
      </c>
      <c r="AF43" s="194" t="str">
        <f aca="false">IF(Model!AD46=0,"",Model!AD46)</f>
        <v/>
      </c>
      <c r="AG43" s="194" t="str">
        <f aca="false">IF(Model!AE46=0,"",Model!AE46)</f>
        <v/>
      </c>
      <c r="AH43" s="194" t="str">
        <f aca="false">IF(Model!AF46=0,"",Model!AF46)</f>
        <v/>
      </c>
      <c r="AI43" s="194" t="str">
        <f aca="false">IF(Model!AG46=0,"",Model!AG46)</f>
        <v/>
      </c>
      <c r="AJ43" s="194" t="str">
        <f aca="false">IF(Model!AH46=0,"",Model!AH46)</f>
        <v/>
      </c>
      <c r="AK43" s="194" t="str">
        <f aca="false">IF(Model!AI46=0,"",Model!AI46)</f>
        <v/>
      </c>
      <c r="AL43" s="194" t="str">
        <f aca="false">IF(Model!AJ46=0,"",Model!AJ46)</f>
        <v/>
      </c>
      <c r="AM43" s="194" t="str">
        <f aca="false">IF(Model!AK46=0,"",Model!AK46)</f>
        <v/>
      </c>
      <c r="AN43" s="194" t="str">
        <f aca="false">IF(Model!AL46=0,"",Model!AL46)</f>
        <v/>
      </c>
      <c r="AO43" s="194" t="str">
        <f aca="false">IF(Model!AM46=0,"",Model!AM46)</f>
        <v/>
      </c>
      <c r="AP43" s="194" t="str">
        <f aca="false">IF(Model!AN46=0,"",Model!AN46)</f>
        <v/>
      </c>
      <c r="AQ43" s="194" t="str">
        <f aca="false">IF(Model!AO46=0,"",Model!AO46)</f>
        <v/>
      </c>
      <c r="AR43" s="194" t="str">
        <f aca="false">IF(Model!AP46=0,"",Model!AP46)</f>
        <v/>
      </c>
      <c r="AS43" s="194" t="str">
        <f aca="false">IF(Model!AQ46=0,"",Model!AQ46)</f>
        <v/>
      </c>
      <c r="AT43" s="194" t="str">
        <f aca="false">IF(Model!AR46=0,"",Model!AR46)</f>
        <v/>
      </c>
      <c r="AU43" s="194" t="str">
        <f aca="false">IF(Model!AS46=0,"",Model!AS46)</f>
        <v/>
      </c>
      <c r="AV43" s="194" t="str">
        <f aca="false">IF(Model!AT46=0,"",Model!AT46)</f>
        <v/>
      </c>
      <c r="AW43" s="194" t="str">
        <f aca="false">IF(Model!AU46=0,"",Model!AU46)</f>
        <v/>
      </c>
      <c r="AX43" s="194" t="n">
        <f aca="false">IF(Model!AV46=0,"",Model!AV46)</f>
        <v>307461.75</v>
      </c>
      <c r="AY43" s="194" t="n">
        <f aca="false">IF(Model!AW46=0,"",Model!AW46)</f>
        <v>401121.75</v>
      </c>
      <c r="AZ43" s="194" t="n">
        <f aca="false">IF(Model!AX46=0,"",Model!AX46)</f>
        <v>501936.75</v>
      </c>
      <c r="BA43" s="194" t="n">
        <f aca="false">IF(Model!AY46=0,"",Model!AY46)</f>
        <v>605886.75</v>
      </c>
      <c r="BB43" s="194" t="n">
        <f aca="false">IF(Model!AZ46=0,"",Model!AZ46)</f>
        <v>707976.75</v>
      </c>
      <c r="BC43" s="194" t="n">
        <f aca="false">IF(Model!BA46=0,"",Model!BA46)</f>
        <v>802536.75</v>
      </c>
      <c r="BD43" s="194" t="n">
        <f aca="false">IF(Model!BB46=0,"",Model!BB46)</f>
        <v>883761.75</v>
      </c>
      <c r="BE43" s="194" t="n">
        <f aca="false">IF(Model!BC46=0,"",Model!BC46)</f>
        <v>946266.75</v>
      </c>
      <c r="BF43" s="194" t="n">
        <f aca="false">IF(Model!BD46=0,"",Model!BD46)</f>
        <v>985686.75</v>
      </c>
      <c r="BG43" s="194" t="n">
        <f aca="false">IF(Model!BE46=0,"",Model!BE46)</f>
        <v>999156.75</v>
      </c>
      <c r="BH43" s="194" t="n">
        <f aca="false">IF(Model!BF46=0,"",Model!BF46)</f>
        <v>985686.75</v>
      </c>
      <c r="BI43" s="194" t="n">
        <f aca="false">IF(Model!BG46=0,"",Model!BG46)</f>
        <v>946266.75</v>
      </c>
      <c r="BJ43" s="194" t="n">
        <f aca="false">IF(Model!BH46=0,"",Model!BH46)</f>
        <v>883761.75</v>
      </c>
      <c r="BK43" s="194" t="n">
        <f aca="false">IF(Model!BI46=0,"",Model!BI46)</f>
        <v>802536.75</v>
      </c>
      <c r="BL43" s="194" t="n">
        <f aca="false">IF(Model!BJ46=0,"",Model!BJ46)</f>
        <v>707976.75</v>
      </c>
      <c r="BM43" s="194" t="n">
        <f aca="false">IF(Model!BK46=0,"",Model!BK46)</f>
        <v>605886.75</v>
      </c>
      <c r="BN43" s="194" t="n">
        <f aca="false">IF(Model!BL46=0,"",Model!BL46)</f>
        <v>501936.75</v>
      </c>
      <c r="BO43" s="194" t="n">
        <f aca="false">IF(Model!BM46=0,"",Model!BM46)</f>
        <v>401121.75</v>
      </c>
      <c r="BP43" s="194" t="n">
        <f aca="false">IF(Model!BN46=0,"",Model!BN46)</f>
        <v>217168.5</v>
      </c>
      <c r="BQ43" s="194" t="str">
        <f aca="false">IF(Model!BO46=0,"",Model!BO46)</f>
        <v/>
      </c>
      <c r="BR43" s="194" t="str">
        <f aca="false">IF(Model!BP46=0,"",Model!BP46)</f>
        <v/>
      </c>
      <c r="BS43" s="194" t="str">
        <f aca="false">IF(Model!BQ46=0,"",Model!BQ46)</f>
        <v/>
      </c>
      <c r="BT43" s="194" t="str">
        <f aca="false">IF(Model!BR46=0,"",Model!BR46)</f>
        <v/>
      </c>
      <c r="BU43" s="194" t="str">
        <f aca="false">IF(Model!BS46=0,"",Model!BS46)</f>
        <v/>
      </c>
      <c r="BV43" s="194" t="str">
        <f aca="false">IF(Model!BT46=0,"",Model!BT46)</f>
        <v/>
      </c>
      <c r="BW43" s="194" t="str">
        <f aca="false">IF(Model!BU46=0,"",Model!BU46)</f>
        <v/>
      </c>
      <c r="BX43" s="194" t="str">
        <f aca="false">IF(Model!BV46=0,"",Model!BV46)</f>
        <v/>
      </c>
      <c r="BY43" s="194" t="str">
        <f aca="false">IF(Model!BW46=0,"",Model!BW46)</f>
        <v/>
      </c>
      <c r="BZ43" s="194" t="str">
        <f aca="false">IF(Model!BX46=0,"",Model!BX46)</f>
        <v/>
      </c>
      <c r="CA43" s="194" t="str">
        <f aca="false">IF(Model!BY46=0,"",Model!BY46)</f>
        <v/>
      </c>
      <c r="CB43" s="194" t="str">
        <f aca="false">IF(Model!BZ46=0,"",Model!BZ46)</f>
        <v/>
      </c>
      <c r="CC43" s="194" t="str">
        <f aca="false">IF(Model!CA46=0,"",Model!CA46)</f>
        <v/>
      </c>
      <c r="CD43" s="194" t="str">
        <f aca="false">IF(Model!CB46=0,"",Model!CB46)</f>
        <v/>
      </c>
      <c r="CE43" s="194" t="str">
        <f aca="false">IF(Model!CC46=0,"",Model!CC46)</f>
        <v/>
      </c>
      <c r="CF43" s="194" t="str">
        <f aca="false">IF(Model!CD46=0,"",Model!CD46)</f>
        <v/>
      </c>
      <c r="CG43" s="194" t="str">
        <f aca="false">IF(Model!CE46=0,"",Model!CE46)</f>
        <v/>
      </c>
      <c r="CH43" s="194" t="str">
        <f aca="false">IF(Model!CF46=0,"",Model!CF46)</f>
        <v/>
      </c>
      <c r="CI43" s="194" t="str">
        <f aca="false">IF(Model!CG46=0,"",Model!CG46)</f>
        <v/>
      </c>
      <c r="CJ43" s="194" t="str">
        <f aca="false">IF(Model!CH46=0,"",Model!CH46)</f>
        <v/>
      </c>
      <c r="CK43" s="194" t="str">
        <f aca="false">IF(Model!CI46=0,"",Model!CI46)</f>
        <v/>
      </c>
      <c r="CL43" s="194" t="str">
        <f aca="false">IF(Model!CJ46=0,"",Model!CJ46)</f>
        <v/>
      </c>
      <c r="CM43" s="194" t="str">
        <f aca="false">IF(Model!CK46=0,"",Model!CK46)</f>
        <v/>
      </c>
      <c r="CN43" s="194" t="str">
        <f aca="false">IF(Model!CL46=0,"",Model!CL46)</f>
        <v/>
      </c>
      <c r="CO43" s="194" t="str">
        <f aca="false">IF(Model!CM46=0,"",Model!CM46)</f>
        <v/>
      </c>
      <c r="CP43" s="194" t="str">
        <f aca="false">IF(Model!CN46=0,"",Model!CN46)</f>
        <v/>
      </c>
      <c r="CQ43" s="194" t="str">
        <f aca="false">IF(Model!CO46=0,"",Model!CO46)</f>
        <v/>
      </c>
      <c r="CR43" s="194" t="str">
        <f aca="false">IF(Model!CP46=0,"",Model!CP46)</f>
        <v/>
      </c>
      <c r="CS43" s="194" t="str">
        <f aca="false">IF(Model!CQ46=0,"",Model!CQ46)</f>
        <v/>
      </c>
      <c r="CT43" s="194" t="str">
        <f aca="false">IF(Model!CR46=0,"",Model!CR46)</f>
        <v/>
      </c>
      <c r="CU43" s="194" t="str">
        <f aca="false">IF(Model!CS46=0,"",Model!CS46)</f>
        <v/>
      </c>
      <c r="CV43" s="194" t="str">
        <f aca="false">IF(Model!CT46=0,"",Model!CT46)</f>
        <v/>
      </c>
      <c r="CW43" s="194" t="str">
        <f aca="false">IF(Model!CU46=0,"",Model!CU46)</f>
        <v/>
      </c>
      <c r="CX43" s="194" t="str">
        <f aca="false">IF(Model!CV46=0,"",Model!CV46)</f>
        <v/>
      </c>
      <c r="CY43" s="194" t="str">
        <f aca="false">IF(Model!CW46=0,"",Model!CW46)</f>
        <v/>
      </c>
      <c r="CZ43" s="194" t="str">
        <f aca="false">IF(Model!CX46=0,"",Model!CX46)</f>
        <v/>
      </c>
      <c r="DA43" s="194" t="str">
        <f aca="false">IF(Model!CY46=0,"",Model!CY46)</f>
        <v/>
      </c>
      <c r="DB43" s="194" t="str">
        <f aca="false">IF(Model!CZ46=0,"",Model!CZ46)</f>
        <v/>
      </c>
    </row>
    <row r="44" customFormat="false" ht="15" hidden="false" customHeight="true" outlineLevel="0" collapsed="false">
      <c r="A44" s="125" t="s">
        <v>41</v>
      </c>
      <c r="B44" s="191" t="n">
        <f aca="false">Projects!$B$38</f>
        <v>15000000</v>
      </c>
      <c r="C44" s="192" t="n">
        <f aca="false">EDATE(Model!$E$2,Projects!$C$38-1)</f>
        <v>47543</v>
      </c>
      <c r="D44" s="192" t="n">
        <f aca="false">EDATE(Model!$E$2,Projects!$C$38+Projects!$D$38-2)</f>
        <v>48092</v>
      </c>
      <c r="E44" s="193" t="n">
        <f aca="false">Projects!$D$38</f>
        <v>19</v>
      </c>
      <c r="F44" s="191" t="n">
        <f aca="false">SUM(G44:DB44)</f>
        <v>13194135</v>
      </c>
      <c r="G44" s="194" t="str">
        <f aca="false">IF(Model!E47=0,"",Model!E47)</f>
        <v/>
      </c>
      <c r="H44" s="194" t="str">
        <f aca="false">IF(Model!F47=0,"",Model!F47)</f>
        <v/>
      </c>
      <c r="I44" s="194" t="str">
        <f aca="false">IF(Model!G47=0,"",Model!G47)</f>
        <v/>
      </c>
      <c r="J44" s="194" t="str">
        <f aca="false">IF(Model!H47=0,"",Model!H47)</f>
        <v/>
      </c>
      <c r="K44" s="194" t="str">
        <f aca="false">IF(Model!I47=0,"",Model!I47)</f>
        <v/>
      </c>
      <c r="L44" s="194" t="str">
        <f aca="false">IF(Model!J47=0,"",Model!J47)</f>
        <v/>
      </c>
      <c r="M44" s="194" t="str">
        <f aca="false">IF(Model!K47=0,"",Model!K47)</f>
        <v/>
      </c>
      <c r="N44" s="194" t="str">
        <f aca="false">IF(Model!L47=0,"",Model!L47)</f>
        <v/>
      </c>
      <c r="O44" s="194" t="str">
        <f aca="false">IF(Model!M47=0,"",Model!M47)</f>
        <v/>
      </c>
      <c r="P44" s="194" t="str">
        <f aca="false">IF(Model!N47=0,"",Model!N47)</f>
        <v/>
      </c>
      <c r="Q44" s="194" t="str">
        <f aca="false">IF(Model!O47=0,"",Model!O47)</f>
        <v/>
      </c>
      <c r="R44" s="194" t="str">
        <f aca="false">IF(Model!P47=0,"",Model!P47)</f>
        <v/>
      </c>
      <c r="S44" s="194" t="str">
        <f aca="false">IF(Model!Q47=0,"",Model!Q47)</f>
        <v/>
      </c>
      <c r="T44" s="194" t="str">
        <f aca="false">IF(Model!R47=0,"",Model!R47)</f>
        <v/>
      </c>
      <c r="U44" s="194" t="str">
        <f aca="false">IF(Model!S47=0,"",Model!S47)</f>
        <v/>
      </c>
      <c r="V44" s="194" t="str">
        <f aca="false">IF(Model!T47=0,"",Model!T47)</f>
        <v/>
      </c>
      <c r="W44" s="194" t="str">
        <f aca="false">IF(Model!U47=0,"",Model!U47)</f>
        <v/>
      </c>
      <c r="X44" s="194" t="str">
        <f aca="false">IF(Model!V47=0,"",Model!V47)</f>
        <v/>
      </c>
      <c r="Y44" s="194" t="str">
        <f aca="false">IF(Model!W47=0,"",Model!W47)</f>
        <v/>
      </c>
      <c r="Z44" s="194" t="str">
        <f aca="false">IF(Model!X47=0,"",Model!X47)</f>
        <v/>
      </c>
      <c r="AA44" s="194" t="str">
        <f aca="false">IF(Model!Y47=0,"",Model!Y47)</f>
        <v/>
      </c>
      <c r="AB44" s="194" t="str">
        <f aca="false">IF(Model!Z47=0,"",Model!Z47)</f>
        <v/>
      </c>
      <c r="AC44" s="194" t="str">
        <f aca="false">IF(Model!AA47=0,"",Model!AA47)</f>
        <v/>
      </c>
      <c r="AD44" s="194" t="str">
        <f aca="false">IF(Model!AB47=0,"",Model!AB47)</f>
        <v/>
      </c>
      <c r="AE44" s="194" t="str">
        <f aca="false">IF(Model!AC47=0,"",Model!AC47)</f>
        <v/>
      </c>
      <c r="AF44" s="194" t="str">
        <f aca="false">IF(Model!AD47=0,"",Model!AD47)</f>
        <v/>
      </c>
      <c r="AG44" s="194" t="str">
        <f aca="false">IF(Model!AE47=0,"",Model!AE47)</f>
        <v/>
      </c>
      <c r="AH44" s="194" t="str">
        <f aca="false">IF(Model!AF47=0,"",Model!AF47)</f>
        <v/>
      </c>
      <c r="AI44" s="194" t="str">
        <f aca="false">IF(Model!AG47=0,"",Model!AG47)</f>
        <v/>
      </c>
      <c r="AJ44" s="194" t="str">
        <f aca="false">IF(Model!AH47=0,"",Model!AH47)</f>
        <v/>
      </c>
      <c r="AK44" s="194" t="str">
        <f aca="false">IF(Model!AI47=0,"",Model!AI47)</f>
        <v/>
      </c>
      <c r="AL44" s="194" t="str">
        <f aca="false">IF(Model!AJ47=0,"",Model!AJ47)</f>
        <v/>
      </c>
      <c r="AM44" s="194" t="str">
        <f aca="false">IF(Model!AK47=0,"",Model!AK47)</f>
        <v/>
      </c>
      <c r="AN44" s="194" t="str">
        <f aca="false">IF(Model!AL47=0,"",Model!AL47)</f>
        <v/>
      </c>
      <c r="AO44" s="194" t="str">
        <f aca="false">IF(Model!AM47=0,"",Model!AM47)</f>
        <v/>
      </c>
      <c r="AP44" s="194" t="str">
        <f aca="false">IF(Model!AN47=0,"",Model!AN47)</f>
        <v/>
      </c>
      <c r="AQ44" s="194" t="str">
        <f aca="false">IF(Model!AO47=0,"",Model!AO47)</f>
        <v/>
      </c>
      <c r="AR44" s="194" t="str">
        <f aca="false">IF(Model!AP47=0,"",Model!AP47)</f>
        <v/>
      </c>
      <c r="AS44" s="194" t="str">
        <f aca="false">IF(Model!AQ47=0,"",Model!AQ47)</f>
        <v/>
      </c>
      <c r="AT44" s="194" t="str">
        <f aca="false">IF(Model!AR47=0,"",Model!AR47)</f>
        <v/>
      </c>
      <c r="AU44" s="194" t="str">
        <f aca="false">IF(Model!AS47=0,"",Model!AS47)</f>
        <v/>
      </c>
      <c r="AV44" s="194" t="str">
        <f aca="false">IF(Model!AT47=0,"",Model!AT47)</f>
        <v/>
      </c>
      <c r="AW44" s="194" t="str">
        <f aca="false">IF(Model!AU47=0,"",Model!AU47)</f>
        <v/>
      </c>
      <c r="AX44" s="194" t="str">
        <f aca="false">IF(Model!AV47=0,"",Model!AV47)</f>
        <v/>
      </c>
      <c r="AY44" s="194" t="str">
        <f aca="false">IF(Model!AW47=0,"",Model!AW47)</f>
        <v/>
      </c>
      <c r="AZ44" s="194" t="str">
        <f aca="false">IF(Model!AX47=0,"",Model!AX47)</f>
        <v/>
      </c>
      <c r="BA44" s="194" t="str">
        <f aca="false">IF(Model!AY47=0,"",Model!AY47)</f>
        <v/>
      </c>
      <c r="BB44" s="194" t="n">
        <f aca="false">IF(Model!AZ47=0,"",Model!AZ47)</f>
        <v>307461.75</v>
      </c>
      <c r="BC44" s="194" t="n">
        <f aca="false">IF(Model!BA47=0,"",Model!BA47)</f>
        <v>401121.75</v>
      </c>
      <c r="BD44" s="194" t="n">
        <f aca="false">IF(Model!BB47=0,"",Model!BB47)</f>
        <v>501936.75</v>
      </c>
      <c r="BE44" s="194" t="n">
        <f aca="false">IF(Model!BC47=0,"",Model!BC47)</f>
        <v>605886.75</v>
      </c>
      <c r="BF44" s="194" t="n">
        <f aca="false">IF(Model!BD47=0,"",Model!BD47)</f>
        <v>707976.75</v>
      </c>
      <c r="BG44" s="194" t="n">
        <f aca="false">IF(Model!BE47=0,"",Model!BE47)</f>
        <v>802536.75</v>
      </c>
      <c r="BH44" s="194" t="n">
        <f aca="false">IF(Model!BF47=0,"",Model!BF47)</f>
        <v>883761.75</v>
      </c>
      <c r="BI44" s="194" t="n">
        <f aca="false">IF(Model!BG47=0,"",Model!BG47)</f>
        <v>946266.75</v>
      </c>
      <c r="BJ44" s="194" t="n">
        <f aca="false">IF(Model!BH47=0,"",Model!BH47)</f>
        <v>985686.75</v>
      </c>
      <c r="BK44" s="194" t="n">
        <f aca="false">IF(Model!BI47=0,"",Model!BI47)</f>
        <v>999156.75</v>
      </c>
      <c r="BL44" s="194" t="n">
        <f aca="false">IF(Model!BJ47=0,"",Model!BJ47)</f>
        <v>985686.75</v>
      </c>
      <c r="BM44" s="194" t="n">
        <f aca="false">IF(Model!BK47=0,"",Model!BK47)</f>
        <v>946266.75</v>
      </c>
      <c r="BN44" s="194" t="n">
        <f aca="false">IF(Model!BL47=0,"",Model!BL47)</f>
        <v>883761.75</v>
      </c>
      <c r="BO44" s="194" t="n">
        <f aca="false">IF(Model!BM47=0,"",Model!BM47)</f>
        <v>802536.75</v>
      </c>
      <c r="BP44" s="194" t="n">
        <f aca="false">IF(Model!BN47=0,"",Model!BN47)</f>
        <v>707976.75</v>
      </c>
      <c r="BQ44" s="194" t="n">
        <f aca="false">IF(Model!BO47=0,"",Model!BO47)</f>
        <v>605886.75</v>
      </c>
      <c r="BR44" s="194" t="n">
        <f aca="false">IF(Model!BP47=0,"",Model!BP47)</f>
        <v>501936.75</v>
      </c>
      <c r="BS44" s="194" t="n">
        <f aca="false">IF(Model!BQ47=0,"",Model!BQ47)</f>
        <v>401121.75</v>
      </c>
      <c r="BT44" s="194" t="n">
        <f aca="false">IF(Model!BR47=0,"",Model!BR47)</f>
        <v>217168.5</v>
      </c>
      <c r="BU44" s="194" t="str">
        <f aca="false">IF(Model!BS47=0,"",Model!BS47)</f>
        <v/>
      </c>
      <c r="BV44" s="194" t="str">
        <f aca="false">IF(Model!BT47=0,"",Model!BT47)</f>
        <v/>
      </c>
      <c r="BW44" s="194" t="str">
        <f aca="false">IF(Model!BU47=0,"",Model!BU47)</f>
        <v/>
      </c>
      <c r="BX44" s="194" t="str">
        <f aca="false">IF(Model!BV47=0,"",Model!BV47)</f>
        <v/>
      </c>
      <c r="BY44" s="194" t="str">
        <f aca="false">IF(Model!BW47=0,"",Model!BW47)</f>
        <v/>
      </c>
      <c r="BZ44" s="194" t="str">
        <f aca="false">IF(Model!BX47=0,"",Model!BX47)</f>
        <v/>
      </c>
      <c r="CA44" s="194" t="str">
        <f aca="false">IF(Model!BY47=0,"",Model!BY47)</f>
        <v/>
      </c>
      <c r="CB44" s="194" t="str">
        <f aca="false">IF(Model!BZ47=0,"",Model!BZ47)</f>
        <v/>
      </c>
      <c r="CC44" s="194" t="str">
        <f aca="false">IF(Model!CA47=0,"",Model!CA47)</f>
        <v/>
      </c>
      <c r="CD44" s="194" t="str">
        <f aca="false">IF(Model!CB47=0,"",Model!CB47)</f>
        <v/>
      </c>
      <c r="CE44" s="194" t="str">
        <f aca="false">IF(Model!CC47=0,"",Model!CC47)</f>
        <v/>
      </c>
      <c r="CF44" s="194" t="str">
        <f aca="false">IF(Model!CD47=0,"",Model!CD47)</f>
        <v/>
      </c>
      <c r="CG44" s="194" t="str">
        <f aca="false">IF(Model!CE47=0,"",Model!CE47)</f>
        <v/>
      </c>
      <c r="CH44" s="194" t="str">
        <f aca="false">IF(Model!CF47=0,"",Model!CF47)</f>
        <v/>
      </c>
      <c r="CI44" s="194" t="str">
        <f aca="false">IF(Model!CG47=0,"",Model!CG47)</f>
        <v/>
      </c>
      <c r="CJ44" s="194" t="str">
        <f aca="false">IF(Model!CH47=0,"",Model!CH47)</f>
        <v/>
      </c>
      <c r="CK44" s="194" t="str">
        <f aca="false">IF(Model!CI47=0,"",Model!CI47)</f>
        <v/>
      </c>
      <c r="CL44" s="194" t="str">
        <f aca="false">IF(Model!CJ47=0,"",Model!CJ47)</f>
        <v/>
      </c>
      <c r="CM44" s="194" t="str">
        <f aca="false">IF(Model!CK47=0,"",Model!CK47)</f>
        <v/>
      </c>
      <c r="CN44" s="194" t="str">
        <f aca="false">IF(Model!CL47=0,"",Model!CL47)</f>
        <v/>
      </c>
      <c r="CO44" s="194" t="str">
        <f aca="false">IF(Model!CM47=0,"",Model!CM47)</f>
        <v/>
      </c>
      <c r="CP44" s="194" t="str">
        <f aca="false">IF(Model!CN47=0,"",Model!CN47)</f>
        <v/>
      </c>
      <c r="CQ44" s="194" t="str">
        <f aca="false">IF(Model!CO47=0,"",Model!CO47)</f>
        <v/>
      </c>
      <c r="CR44" s="194" t="str">
        <f aca="false">IF(Model!CP47=0,"",Model!CP47)</f>
        <v/>
      </c>
      <c r="CS44" s="194" t="str">
        <f aca="false">IF(Model!CQ47=0,"",Model!CQ47)</f>
        <v/>
      </c>
      <c r="CT44" s="194" t="str">
        <f aca="false">IF(Model!CR47=0,"",Model!CR47)</f>
        <v/>
      </c>
      <c r="CU44" s="194" t="str">
        <f aca="false">IF(Model!CS47=0,"",Model!CS47)</f>
        <v/>
      </c>
      <c r="CV44" s="194" t="str">
        <f aca="false">IF(Model!CT47=0,"",Model!CT47)</f>
        <v/>
      </c>
      <c r="CW44" s="194" t="str">
        <f aca="false">IF(Model!CU47=0,"",Model!CU47)</f>
        <v/>
      </c>
      <c r="CX44" s="194" t="str">
        <f aca="false">IF(Model!CV47=0,"",Model!CV47)</f>
        <v/>
      </c>
      <c r="CY44" s="194" t="str">
        <f aca="false">IF(Model!CW47=0,"",Model!CW47)</f>
        <v/>
      </c>
      <c r="CZ44" s="194" t="str">
        <f aca="false">IF(Model!CX47=0,"",Model!CX47)</f>
        <v/>
      </c>
      <c r="DA44" s="194" t="str">
        <f aca="false">IF(Model!CY47=0,"",Model!CY47)</f>
        <v/>
      </c>
      <c r="DB44" s="194" t="str">
        <f aca="false">IF(Model!CZ47=0,"",Model!CZ47)</f>
        <v/>
      </c>
    </row>
    <row r="45" customFormat="false" ht="15" hidden="false" customHeight="true" outlineLevel="0" collapsed="false">
      <c r="A45" s="125" t="s">
        <v>42</v>
      </c>
      <c r="B45" s="191" t="n">
        <f aca="false">Projects!$B$39</f>
        <v>18000000</v>
      </c>
      <c r="C45" s="192" t="n">
        <f aca="false">EDATE(Model!$E$2,Projects!$C$39-1)</f>
        <v>47574</v>
      </c>
      <c r="D45" s="192" t="n">
        <f aca="false">EDATE(Model!$E$2,Projects!$C$39+Projects!$D$39-2)</f>
        <v>48122</v>
      </c>
      <c r="E45" s="193" t="n">
        <f aca="false">Projects!$D$39</f>
        <v>19</v>
      </c>
      <c r="F45" s="191" t="n">
        <f aca="false">SUM(G45:DB45)</f>
        <v>15832962</v>
      </c>
      <c r="G45" s="194" t="str">
        <f aca="false">IF(Model!E48=0,"",Model!E48)</f>
        <v/>
      </c>
      <c r="H45" s="194" t="str">
        <f aca="false">IF(Model!F48=0,"",Model!F48)</f>
        <v/>
      </c>
      <c r="I45" s="194" t="str">
        <f aca="false">IF(Model!G48=0,"",Model!G48)</f>
        <v/>
      </c>
      <c r="J45" s="194" t="str">
        <f aca="false">IF(Model!H48=0,"",Model!H48)</f>
        <v/>
      </c>
      <c r="K45" s="194" t="str">
        <f aca="false">IF(Model!I48=0,"",Model!I48)</f>
        <v/>
      </c>
      <c r="L45" s="194" t="str">
        <f aca="false">IF(Model!J48=0,"",Model!J48)</f>
        <v/>
      </c>
      <c r="M45" s="194" t="str">
        <f aca="false">IF(Model!K48=0,"",Model!K48)</f>
        <v/>
      </c>
      <c r="N45" s="194" t="str">
        <f aca="false">IF(Model!L48=0,"",Model!L48)</f>
        <v/>
      </c>
      <c r="O45" s="194" t="str">
        <f aca="false">IF(Model!M48=0,"",Model!M48)</f>
        <v/>
      </c>
      <c r="P45" s="194" t="str">
        <f aca="false">IF(Model!N48=0,"",Model!N48)</f>
        <v/>
      </c>
      <c r="Q45" s="194" t="str">
        <f aca="false">IF(Model!O48=0,"",Model!O48)</f>
        <v/>
      </c>
      <c r="R45" s="194" t="str">
        <f aca="false">IF(Model!P48=0,"",Model!P48)</f>
        <v/>
      </c>
      <c r="S45" s="194" t="str">
        <f aca="false">IF(Model!Q48=0,"",Model!Q48)</f>
        <v/>
      </c>
      <c r="T45" s="194" t="str">
        <f aca="false">IF(Model!R48=0,"",Model!R48)</f>
        <v/>
      </c>
      <c r="U45" s="194" t="str">
        <f aca="false">IF(Model!S48=0,"",Model!S48)</f>
        <v/>
      </c>
      <c r="V45" s="194" t="str">
        <f aca="false">IF(Model!T48=0,"",Model!T48)</f>
        <v/>
      </c>
      <c r="W45" s="194" t="str">
        <f aca="false">IF(Model!U48=0,"",Model!U48)</f>
        <v/>
      </c>
      <c r="X45" s="194" t="str">
        <f aca="false">IF(Model!V48=0,"",Model!V48)</f>
        <v/>
      </c>
      <c r="Y45" s="194" t="str">
        <f aca="false">IF(Model!W48=0,"",Model!W48)</f>
        <v/>
      </c>
      <c r="Z45" s="194" t="str">
        <f aca="false">IF(Model!X48=0,"",Model!X48)</f>
        <v/>
      </c>
      <c r="AA45" s="194" t="str">
        <f aca="false">IF(Model!Y48=0,"",Model!Y48)</f>
        <v/>
      </c>
      <c r="AB45" s="194" t="str">
        <f aca="false">IF(Model!Z48=0,"",Model!Z48)</f>
        <v/>
      </c>
      <c r="AC45" s="194" t="str">
        <f aca="false">IF(Model!AA48=0,"",Model!AA48)</f>
        <v/>
      </c>
      <c r="AD45" s="194" t="str">
        <f aca="false">IF(Model!AB48=0,"",Model!AB48)</f>
        <v/>
      </c>
      <c r="AE45" s="194" t="str">
        <f aca="false">IF(Model!AC48=0,"",Model!AC48)</f>
        <v/>
      </c>
      <c r="AF45" s="194" t="str">
        <f aca="false">IF(Model!AD48=0,"",Model!AD48)</f>
        <v/>
      </c>
      <c r="AG45" s="194" t="str">
        <f aca="false">IF(Model!AE48=0,"",Model!AE48)</f>
        <v/>
      </c>
      <c r="AH45" s="194" t="str">
        <f aca="false">IF(Model!AF48=0,"",Model!AF48)</f>
        <v/>
      </c>
      <c r="AI45" s="194" t="str">
        <f aca="false">IF(Model!AG48=0,"",Model!AG48)</f>
        <v/>
      </c>
      <c r="AJ45" s="194" t="str">
        <f aca="false">IF(Model!AH48=0,"",Model!AH48)</f>
        <v/>
      </c>
      <c r="AK45" s="194" t="str">
        <f aca="false">IF(Model!AI48=0,"",Model!AI48)</f>
        <v/>
      </c>
      <c r="AL45" s="194" t="str">
        <f aca="false">IF(Model!AJ48=0,"",Model!AJ48)</f>
        <v/>
      </c>
      <c r="AM45" s="194" t="str">
        <f aca="false">IF(Model!AK48=0,"",Model!AK48)</f>
        <v/>
      </c>
      <c r="AN45" s="194" t="str">
        <f aca="false">IF(Model!AL48=0,"",Model!AL48)</f>
        <v/>
      </c>
      <c r="AO45" s="194" t="str">
        <f aca="false">IF(Model!AM48=0,"",Model!AM48)</f>
        <v/>
      </c>
      <c r="AP45" s="194" t="str">
        <f aca="false">IF(Model!AN48=0,"",Model!AN48)</f>
        <v/>
      </c>
      <c r="AQ45" s="194" t="str">
        <f aca="false">IF(Model!AO48=0,"",Model!AO48)</f>
        <v/>
      </c>
      <c r="AR45" s="194" t="str">
        <f aca="false">IF(Model!AP48=0,"",Model!AP48)</f>
        <v/>
      </c>
      <c r="AS45" s="194" t="str">
        <f aca="false">IF(Model!AQ48=0,"",Model!AQ48)</f>
        <v/>
      </c>
      <c r="AT45" s="194" t="str">
        <f aca="false">IF(Model!AR48=0,"",Model!AR48)</f>
        <v/>
      </c>
      <c r="AU45" s="194" t="str">
        <f aca="false">IF(Model!AS48=0,"",Model!AS48)</f>
        <v/>
      </c>
      <c r="AV45" s="194" t="str">
        <f aca="false">IF(Model!AT48=0,"",Model!AT48)</f>
        <v/>
      </c>
      <c r="AW45" s="194" t="str">
        <f aca="false">IF(Model!AU48=0,"",Model!AU48)</f>
        <v/>
      </c>
      <c r="AX45" s="194" t="str">
        <f aca="false">IF(Model!AV48=0,"",Model!AV48)</f>
        <v/>
      </c>
      <c r="AY45" s="194" t="str">
        <f aca="false">IF(Model!AW48=0,"",Model!AW48)</f>
        <v/>
      </c>
      <c r="AZ45" s="194" t="str">
        <f aca="false">IF(Model!AX48=0,"",Model!AX48)</f>
        <v/>
      </c>
      <c r="BA45" s="194" t="str">
        <f aca="false">IF(Model!AY48=0,"",Model!AY48)</f>
        <v/>
      </c>
      <c r="BB45" s="194" t="str">
        <f aca="false">IF(Model!AZ48=0,"",Model!AZ48)</f>
        <v/>
      </c>
      <c r="BC45" s="194" t="n">
        <f aca="false">IF(Model!BA48=0,"",Model!BA48)</f>
        <v>368954.1</v>
      </c>
      <c r="BD45" s="194" t="n">
        <f aca="false">IF(Model!BB48=0,"",Model!BB48)</f>
        <v>481346.1</v>
      </c>
      <c r="BE45" s="194" t="n">
        <f aca="false">IF(Model!BC48=0,"",Model!BC48)</f>
        <v>602324.1</v>
      </c>
      <c r="BF45" s="194" t="n">
        <f aca="false">IF(Model!BD48=0,"",Model!BD48)</f>
        <v>727064.1</v>
      </c>
      <c r="BG45" s="194" t="n">
        <f aca="false">IF(Model!BE48=0,"",Model!BE48)</f>
        <v>849572.1</v>
      </c>
      <c r="BH45" s="194" t="n">
        <f aca="false">IF(Model!BF48=0,"",Model!BF48)</f>
        <v>963044.1</v>
      </c>
      <c r="BI45" s="194" t="n">
        <f aca="false">IF(Model!BG48=0,"",Model!BG48)</f>
        <v>1060514.1</v>
      </c>
      <c r="BJ45" s="194" t="n">
        <f aca="false">IF(Model!BH48=0,"",Model!BH48)</f>
        <v>1135520.1</v>
      </c>
      <c r="BK45" s="194" t="n">
        <f aca="false">IF(Model!BI48=0,"",Model!BI48)</f>
        <v>1182824.1</v>
      </c>
      <c r="BL45" s="194" t="n">
        <f aca="false">IF(Model!BJ48=0,"",Model!BJ48)</f>
        <v>1198988.1</v>
      </c>
      <c r="BM45" s="194" t="n">
        <f aca="false">IF(Model!BK48=0,"",Model!BK48)</f>
        <v>1182824.1</v>
      </c>
      <c r="BN45" s="194" t="n">
        <f aca="false">IF(Model!BL48=0,"",Model!BL48)</f>
        <v>1135520.1</v>
      </c>
      <c r="BO45" s="194" t="n">
        <f aca="false">IF(Model!BM48=0,"",Model!BM48)</f>
        <v>1060514.1</v>
      </c>
      <c r="BP45" s="194" t="n">
        <f aca="false">IF(Model!BN48=0,"",Model!BN48)</f>
        <v>963044.1</v>
      </c>
      <c r="BQ45" s="194" t="n">
        <f aca="false">IF(Model!BO48=0,"",Model!BO48)</f>
        <v>849572.1</v>
      </c>
      <c r="BR45" s="194" t="n">
        <f aca="false">IF(Model!BP48=0,"",Model!BP48)</f>
        <v>727064.1</v>
      </c>
      <c r="BS45" s="194" t="n">
        <f aca="false">IF(Model!BQ48=0,"",Model!BQ48)</f>
        <v>602324.1</v>
      </c>
      <c r="BT45" s="194" t="n">
        <f aca="false">IF(Model!BR48=0,"",Model!BR48)</f>
        <v>481346.1</v>
      </c>
      <c r="BU45" s="194" t="n">
        <f aca="false">IF(Model!BS48=0,"",Model!BS48)</f>
        <v>260602.2</v>
      </c>
      <c r="BV45" s="194" t="str">
        <f aca="false">IF(Model!BT48=0,"",Model!BT48)</f>
        <v/>
      </c>
      <c r="BW45" s="194" t="str">
        <f aca="false">IF(Model!BU48=0,"",Model!BU48)</f>
        <v/>
      </c>
      <c r="BX45" s="194" t="str">
        <f aca="false">IF(Model!BV48=0,"",Model!BV48)</f>
        <v/>
      </c>
      <c r="BY45" s="194" t="str">
        <f aca="false">IF(Model!BW48=0,"",Model!BW48)</f>
        <v/>
      </c>
      <c r="BZ45" s="194" t="str">
        <f aca="false">IF(Model!BX48=0,"",Model!BX48)</f>
        <v/>
      </c>
      <c r="CA45" s="194" t="str">
        <f aca="false">IF(Model!BY48=0,"",Model!BY48)</f>
        <v/>
      </c>
      <c r="CB45" s="194" t="str">
        <f aca="false">IF(Model!BZ48=0,"",Model!BZ48)</f>
        <v/>
      </c>
      <c r="CC45" s="194" t="str">
        <f aca="false">IF(Model!CA48=0,"",Model!CA48)</f>
        <v/>
      </c>
      <c r="CD45" s="194" t="str">
        <f aca="false">IF(Model!CB48=0,"",Model!CB48)</f>
        <v/>
      </c>
      <c r="CE45" s="194" t="str">
        <f aca="false">IF(Model!CC48=0,"",Model!CC48)</f>
        <v/>
      </c>
      <c r="CF45" s="194" t="str">
        <f aca="false">IF(Model!CD48=0,"",Model!CD48)</f>
        <v/>
      </c>
      <c r="CG45" s="194" t="str">
        <f aca="false">IF(Model!CE48=0,"",Model!CE48)</f>
        <v/>
      </c>
      <c r="CH45" s="194" t="str">
        <f aca="false">IF(Model!CF48=0,"",Model!CF48)</f>
        <v/>
      </c>
      <c r="CI45" s="194" t="str">
        <f aca="false">IF(Model!CG48=0,"",Model!CG48)</f>
        <v/>
      </c>
      <c r="CJ45" s="194" t="str">
        <f aca="false">IF(Model!CH48=0,"",Model!CH48)</f>
        <v/>
      </c>
      <c r="CK45" s="194" t="str">
        <f aca="false">IF(Model!CI48=0,"",Model!CI48)</f>
        <v/>
      </c>
      <c r="CL45" s="194" t="str">
        <f aca="false">IF(Model!CJ48=0,"",Model!CJ48)</f>
        <v/>
      </c>
      <c r="CM45" s="194" t="str">
        <f aca="false">IF(Model!CK48=0,"",Model!CK48)</f>
        <v/>
      </c>
      <c r="CN45" s="194" t="str">
        <f aca="false">IF(Model!CL48=0,"",Model!CL48)</f>
        <v/>
      </c>
      <c r="CO45" s="194" t="str">
        <f aca="false">IF(Model!CM48=0,"",Model!CM48)</f>
        <v/>
      </c>
      <c r="CP45" s="194" t="str">
        <f aca="false">IF(Model!CN48=0,"",Model!CN48)</f>
        <v/>
      </c>
      <c r="CQ45" s="194" t="str">
        <f aca="false">IF(Model!CO48=0,"",Model!CO48)</f>
        <v/>
      </c>
      <c r="CR45" s="194" t="str">
        <f aca="false">IF(Model!CP48=0,"",Model!CP48)</f>
        <v/>
      </c>
      <c r="CS45" s="194" t="str">
        <f aca="false">IF(Model!CQ48=0,"",Model!CQ48)</f>
        <v/>
      </c>
      <c r="CT45" s="194" t="str">
        <f aca="false">IF(Model!CR48=0,"",Model!CR48)</f>
        <v/>
      </c>
      <c r="CU45" s="194" t="str">
        <f aca="false">IF(Model!CS48=0,"",Model!CS48)</f>
        <v/>
      </c>
      <c r="CV45" s="194" t="str">
        <f aca="false">IF(Model!CT48=0,"",Model!CT48)</f>
        <v/>
      </c>
      <c r="CW45" s="194" t="str">
        <f aca="false">IF(Model!CU48=0,"",Model!CU48)</f>
        <v/>
      </c>
      <c r="CX45" s="194" t="str">
        <f aca="false">IF(Model!CV48=0,"",Model!CV48)</f>
        <v/>
      </c>
      <c r="CY45" s="194" t="str">
        <f aca="false">IF(Model!CW48=0,"",Model!CW48)</f>
        <v/>
      </c>
      <c r="CZ45" s="194" t="str">
        <f aca="false">IF(Model!CX48=0,"",Model!CX48)</f>
        <v/>
      </c>
      <c r="DA45" s="194" t="str">
        <f aca="false">IF(Model!CY48=0,"",Model!CY48)</f>
        <v/>
      </c>
      <c r="DB45" s="194" t="str">
        <f aca="false">IF(Model!CZ48=0,"",Model!CZ48)</f>
        <v/>
      </c>
    </row>
    <row r="46" customFormat="false" ht="15" hidden="false" customHeight="true" outlineLevel="0" collapsed="false">
      <c r="A46" s="125" t="s">
        <v>43</v>
      </c>
      <c r="B46" s="191" t="n">
        <f aca="false">Projects!$B$40</f>
        <v>15000000</v>
      </c>
      <c r="C46" s="192" t="n">
        <f aca="false">EDATE(Model!$E$2,Projects!$C$40-1)</f>
        <v>47604</v>
      </c>
      <c r="D46" s="192" t="n">
        <f aca="false">EDATE(Model!$E$2,Projects!$C$40+Projects!$D$40-2)</f>
        <v>48153</v>
      </c>
      <c r="E46" s="193" t="n">
        <f aca="false">Projects!$D$40</f>
        <v>19</v>
      </c>
      <c r="F46" s="191" t="n">
        <f aca="false">SUM(G46:DB46)</f>
        <v>13194135</v>
      </c>
      <c r="G46" s="194" t="str">
        <f aca="false">IF(Model!E49=0,"",Model!E49)</f>
        <v/>
      </c>
      <c r="H46" s="194" t="str">
        <f aca="false">IF(Model!F49=0,"",Model!F49)</f>
        <v/>
      </c>
      <c r="I46" s="194" t="str">
        <f aca="false">IF(Model!G49=0,"",Model!G49)</f>
        <v/>
      </c>
      <c r="J46" s="194" t="str">
        <f aca="false">IF(Model!H49=0,"",Model!H49)</f>
        <v/>
      </c>
      <c r="K46" s="194" t="str">
        <f aca="false">IF(Model!I49=0,"",Model!I49)</f>
        <v/>
      </c>
      <c r="L46" s="194" t="str">
        <f aca="false">IF(Model!J49=0,"",Model!J49)</f>
        <v/>
      </c>
      <c r="M46" s="194" t="str">
        <f aca="false">IF(Model!K49=0,"",Model!K49)</f>
        <v/>
      </c>
      <c r="N46" s="194" t="str">
        <f aca="false">IF(Model!L49=0,"",Model!L49)</f>
        <v/>
      </c>
      <c r="O46" s="194" t="str">
        <f aca="false">IF(Model!M49=0,"",Model!M49)</f>
        <v/>
      </c>
      <c r="P46" s="194" t="str">
        <f aca="false">IF(Model!N49=0,"",Model!N49)</f>
        <v/>
      </c>
      <c r="Q46" s="194" t="str">
        <f aca="false">IF(Model!O49=0,"",Model!O49)</f>
        <v/>
      </c>
      <c r="R46" s="194" t="str">
        <f aca="false">IF(Model!P49=0,"",Model!P49)</f>
        <v/>
      </c>
      <c r="S46" s="194" t="str">
        <f aca="false">IF(Model!Q49=0,"",Model!Q49)</f>
        <v/>
      </c>
      <c r="T46" s="194" t="str">
        <f aca="false">IF(Model!R49=0,"",Model!R49)</f>
        <v/>
      </c>
      <c r="U46" s="194" t="str">
        <f aca="false">IF(Model!S49=0,"",Model!S49)</f>
        <v/>
      </c>
      <c r="V46" s="194" t="str">
        <f aca="false">IF(Model!T49=0,"",Model!T49)</f>
        <v/>
      </c>
      <c r="W46" s="194" t="str">
        <f aca="false">IF(Model!U49=0,"",Model!U49)</f>
        <v/>
      </c>
      <c r="X46" s="194" t="str">
        <f aca="false">IF(Model!V49=0,"",Model!V49)</f>
        <v/>
      </c>
      <c r="Y46" s="194" t="str">
        <f aca="false">IF(Model!W49=0,"",Model!W49)</f>
        <v/>
      </c>
      <c r="Z46" s="194" t="str">
        <f aca="false">IF(Model!X49=0,"",Model!X49)</f>
        <v/>
      </c>
      <c r="AA46" s="194" t="str">
        <f aca="false">IF(Model!Y49=0,"",Model!Y49)</f>
        <v/>
      </c>
      <c r="AB46" s="194" t="str">
        <f aca="false">IF(Model!Z49=0,"",Model!Z49)</f>
        <v/>
      </c>
      <c r="AC46" s="194" t="str">
        <f aca="false">IF(Model!AA49=0,"",Model!AA49)</f>
        <v/>
      </c>
      <c r="AD46" s="194" t="str">
        <f aca="false">IF(Model!AB49=0,"",Model!AB49)</f>
        <v/>
      </c>
      <c r="AE46" s="194" t="str">
        <f aca="false">IF(Model!AC49=0,"",Model!AC49)</f>
        <v/>
      </c>
      <c r="AF46" s="194" t="str">
        <f aca="false">IF(Model!AD49=0,"",Model!AD49)</f>
        <v/>
      </c>
      <c r="AG46" s="194" t="str">
        <f aca="false">IF(Model!AE49=0,"",Model!AE49)</f>
        <v/>
      </c>
      <c r="AH46" s="194" t="str">
        <f aca="false">IF(Model!AF49=0,"",Model!AF49)</f>
        <v/>
      </c>
      <c r="AI46" s="194" t="str">
        <f aca="false">IF(Model!AG49=0,"",Model!AG49)</f>
        <v/>
      </c>
      <c r="AJ46" s="194" t="str">
        <f aca="false">IF(Model!AH49=0,"",Model!AH49)</f>
        <v/>
      </c>
      <c r="AK46" s="194" t="str">
        <f aca="false">IF(Model!AI49=0,"",Model!AI49)</f>
        <v/>
      </c>
      <c r="AL46" s="194" t="str">
        <f aca="false">IF(Model!AJ49=0,"",Model!AJ49)</f>
        <v/>
      </c>
      <c r="AM46" s="194" t="str">
        <f aca="false">IF(Model!AK49=0,"",Model!AK49)</f>
        <v/>
      </c>
      <c r="AN46" s="194" t="str">
        <f aca="false">IF(Model!AL49=0,"",Model!AL49)</f>
        <v/>
      </c>
      <c r="AO46" s="194" t="str">
        <f aca="false">IF(Model!AM49=0,"",Model!AM49)</f>
        <v/>
      </c>
      <c r="AP46" s="194" t="str">
        <f aca="false">IF(Model!AN49=0,"",Model!AN49)</f>
        <v/>
      </c>
      <c r="AQ46" s="194" t="str">
        <f aca="false">IF(Model!AO49=0,"",Model!AO49)</f>
        <v/>
      </c>
      <c r="AR46" s="194" t="str">
        <f aca="false">IF(Model!AP49=0,"",Model!AP49)</f>
        <v/>
      </c>
      <c r="AS46" s="194" t="str">
        <f aca="false">IF(Model!AQ49=0,"",Model!AQ49)</f>
        <v/>
      </c>
      <c r="AT46" s="194" t="str">
        <f aca="false">IF(Model!AR49=0,"",Model!AR49)</f>
        <v/>
      </c>
      <c r="AU46" s="194" t="str">
        <f aca="false">IF(Model!AS49=0,"",Model!AS49)</f>
        <v/>
      </c>
      <c r="AV46" s="194" t="str">
        <f aca="false">IF(Model!AT49=0,"",Model!AT49)</f>
        <v/>
      </c>
      <c r="AW46" s="194" t="str">
        <f aca="false">IF(Model!AU49=0,"",Model!AU49)</f>
        <v/>
      </c>
      <c r="AX46" s="194" t="str">
        <f aca="false">IF(Model!AV49=0,"",Model!AV49)</f>
        <v/>
      </c>
      <c r="AY46" s="194" t="str">
        <f aca="false">IF(Model!AW49=0,"",Model!AW49)</f>
        <v/>
      </c>
      <c r="AZ46" s="194" t="str">
        <f aca="false">IF(Model!AX49=0,"",Model!AX49)</f>
        <v/>
      </c>
      <c r="BA46" s="194" t="str">
        <f aca="false">IF(Model!AY49=0,"",Model!AY49)</f>
        <v/>
      </c>
      <c r="BB46" s="194" t="str">
        <f aca="false">IF(Model!AZ49=0,"",Model!AZ49)</f>
        <v/>
      </c>
      <c r="BC46" s="194" t="str">
        <f aca="false">IF(Model!BA49=0,"",Model!BA49)</f>
        <v/>
      </c>
      <c r="BD46" s="194" t="n">
        <f aca="false">IF(Model!BB49=0,"",Model!BB49)</f>
        <v>307461.75</v>
      </c>
      <c r="BE46" s="194" t="n">
        <f aca="false">IF(Model!BC49=0,"",Model!BC49)</f>
        <v>401121.75</v>
      </c>
      <c r="BF46" s="194" t="n">
        <f aca="false">IF(Model!BD49=0,"",Model!BD49)</f>
        <v>501936.75</v>
      </c>
      <c r="BG46" s="194" t="n">
        <f aca="false">IF(Model!BE49=0,"",Model!BE49)</f>
        <v>605886.75</v>
      </c>
      <c r="BH46" s="194" t="n">
        <f aca="false">IF(Model!BF49=0,"",Model!BF49)</f>
        <v>707976.75</v>
      </c>
      <c r="BI46" s="194" t="n">
        <f aca="false">IF(Model!BG49=0,"",Model!BG49)</f>
        <v>802536.75</v>
      </c>
      <c r="BJ46" s="194" t="n">
        <f aca="false">IF(Model!BH49=0,"",Model!BH49)</f>
        <v>883761.75</v>
      </c>
      <c r="BK46" s="194" t="n">
        <f aca="false">IF(Model!BI49=0,"",Model!BI49)</f>
        <v>946266.75</v>
      </c>
      <c r="BL46" s="194" t="n">
        <f aca="false">IF(Model!BJ49=0,"",Model!BJ49)</f>
        <v>985686.75</v>
      </c>
      <c r="BM46" s="194" t="n">
        <f aca="false">IF(Model!BK49=0,"",Model!BK49)</f>
        <v>999156.75</v>
      </c>
      <c r="BN46" s="194" t="n">
        <f aca="false">IF(Model!BL49=0,"",Model!BL49)</f>
        <v>985686.75</v>
      </c>
      <c r="BO46" s="194" t="n">
        <f aca="false">IF(Model!BM49=0,"",Model!BM49)</f>
        <v>946266.75</v>
      </c>
      <c r="BP46" s="194" t="n">
        <f aca="false">IF(Model!BN49=0,"",Model!BN49)</f>
        <v>883761.75</v>
      </c>
      <c r="BQ46" s="194" t="n">
        <f aca="false">IF(Model!BO49=0,"",Model!BO49)</f>
        <v>802536.75</v>
      </c>
      <c r="BR46" s="194" t="n">
        <f aca="false">IF(Model!BP49=0,"",Model!BP49)</f>
        <v>707976.75</v>
      </c>
      <c r="BS46" s="194" t="n">
        <f aca="false">IF(Model!BQ49=0,"",Model!BQ49)</f>
        <v>605886.75</v>
      </c>
      <c r="BT46" s="194" t="n">
        <f aca="false">IF(Model!BR49=0,"",Model!BR49)</f>
        <v>501936.75</v>
      </c>
      <c r="BU46" s="194" t="n">
        <f aca="false">IF(Model!BS49=0,"",Model!BS49)</f>
        <v>401121.75</v>
      </c>
      <c r="BV46" s="194" t="n">
        <f aca="false">IF(Model!BT49=0,"",Model!BT49)</f>
        <v>217168.5</v>
      </c>
      <c r="BW46" s="194" t="str">
        <f aca="false">IF(Model!BU49=0,"",Model!BU49)</f>
        <v/>
      </c>
      <c r="BX46" s="194" t="str">
        <f aca="false">IF(Model!BV49=0,"",Model!BV49)</f>
        <v/>
      </c>
      <c r="BY46" s="194" t="str">
        <f aca="false">IF(Model!BW49=0,"",Model!BW49)</f>
        <v/>
      </c>
      <c r="BZ46" s="194" t="str">
        <f aca="false">IF(Model!BX49=0,"",Model!BX49)</f>
        <v/>
      </c>
      <c r="CA46" s="194" t="str">
        <f aca="false">IF(Model!BY49=0,"",Model!BY49)</f>
        <v/>
      </c>
      <c r="CB46" s="194" t="str">
        <f aca="false">IF(Model!BZ49=0,"",Model!BZ49)</f>
        <v/>
      </c>
      <c r="CC46" s="194" t="str">
        <f aca="false">IF(Model!CA49=0,"",Model!CA49)</f>
        <v/>
      </c>
      <c r="CD46" s="194" t="str">
        <f aca="false">IF(Model!CB49=0,"",Model!CB49)</f>
        <v/>
      </c>
      <c r="CE46" s="194" t="str">
        <f aca="false">IF(Model!CC49=0,"",Model!CC49)</f>
        <v/>
      </c>
      <c r="CF46" s="194" t="str">
        <f aca="false">IF(Model!CD49=0,"",Model!CD49)</f>
        <v/>
      </c>
      <c r="CG46" s="194" t="str">
        <f aca="false">IF(Model!CE49=0,"",Model!CE49)</f>
        <v/>
      </c>
      <c r="CH46" s="194" t="str">
        <f aca="false">IF(Model!CF49=0,"",Model!CF49)</f>
        <v/>
      </c>
      <c r="CI46" s="194" t="str">
        <f aca="false">IF(Model!CG49=0,"",Model!CG49)</f>
        <v/>
      </c>
      <c r="CJ46" s="194" t="str">
        <f aca="false">IF(Model!CH49=0,"",Model!CH49)</f>
        <v/>
      </c>
      <c r="CK46" s="194" t="str">
        <f aca="false">IF(Model!CI49=0,"",Model!CI49)</f>
        <v/>
      </c>
      <c r="CL46" s="194" t="str">
        <f aca="false">IF(Model!CJ49=0,"",Model!CJ49)</f>
        <v/>
      </c>
      <c r="CM46" s="194" t="str">
        <f aca="false">IF(Model!CK49=0,"",Model!CK49)</f>
        <v/>
      </c>
      <c r="CN46" s="194" t="str">
        <f aca="false">IF(Model!CL49=0,"",Model!CL49)</f>
        <v/>
      </c>
      <c r="CO46" s="194" t="str">
        <f aca="false">IF(Model!CM49=0,"",Model!CM49)</f>
        <v/>
      </c>
      <c r="CP46" s="194" t="str">
        <f aca="false">IF(Model!CN49=0,"",Model!CN49)</f>
        <v/>
      </c>
      <c r="CQ46" s="194" t="str">
        <f aca="false">IF(Model!CO49=0,"",Model!CO49)</f>
        <v/>
      </c>
      <c r="CR46" s="194" t="str">
        <f aca="false">IF(Model!CP49=0,"",Model!CP49)</f>
        <v/>
      </c>
      <c r="CS46" s="194" t="str">
        <f aca="false">IF(Model!CQ49=0,"",Model!CQ49)</f>
        <v/>
      </c>
      <c r="CT46" s="194" t="str">
        <f aca="false">IF(Model!CR49=0,"",Model!CR49)</f>
        <v/>
      </c>
      <c r="CU46" s="194" t="str">
        <f aca="false">IF(Model!CS49=0,"",Model!CS49)</f>
        <v/>
      </c>
      <c r="CV46" s="194" t="str">
        <f aca="false">IF(Model!CT49=0,"",Model!CT49)</f>
        <v/>
      </c>
      <c r="CW46" s="194" t="str">
        <f aca="false">IF(Model!CU49=0,"",Model!CU49)</f>
        <v/>
      </c>
      <c r="CX46" s="194" t="str">
        <f aca="false">IF(Model!CV49=0,"",Model!CV49)</f>
        <v/>
      </c>
      <c r="CY46" s="194" t="str">
        <f aca="false">IF(Model!CW49=0,"",Model!CW49)</f>
        <v/>
      </c>
      <c r="CZ46" s="194" t="str">
        <f aca="false">IF(Model!CX49=0,"",Model!CX49)</f>
        <v/>
      </c>
      <c r="DA46" s="194" t="str">
        <f aca="false">IF(Model!CY49=0,"",Model!CY49)</f>
        <v/>
      </c>
      <c r="DB46" s="194" t="str">
        <f aca="false">IF(Model!CZ49=0,"",Model!CZ49)</f>
        <v/>
      </c>
    </row>
    <row r="47" customFormat="false" ht="15" hidden="false" customHeight="true" outlineLevel="0" collapsed="false">
      <c r="A47" s="125" t="s">
        <v>44</v>
      </c>
      <c r="B47" s="191" t="n">
        <f aca="false">Projects!$B$41</f>
        <v>15000000</v>
      </c>
      <c r="C47" s="192" t="n">
        <f aca="false">EDATE(Model!$E$2,Projects!$C$41-1)</f>
        <v>47635</v>
      </c>
      <c r="D47" s="192" t="n">
        <f aca="false">EDATE(Model!$E$2,Projects!$C$41+Projects!$D$41-2)</f>
        <v>48183</v>
      </c>
      <c r="E47" s="193" t="n">
        <f aca="false">Projects!$D$41</f>
        <v>19</v>
      </c>
      <c r="F47" s="191" t="n">
        <f aca="false">SUM(G47:DB47)</f>
        <v>13194135</v>
      </c>
      <c r="G47" s="194" t="str">
        <f aca="false">IF(Model!E50=0,"",Model!E50)</f>
        <v/>
      </c>
      <c r="H47" s="194" t="str">
        <f aca="false">IF(Model!F50=0,"",Model!F50)</f>
        <v/>
      </c>
      <c r="I47" s="194" t="str">
        <f aca="false">IF(Model!G50=0,"",Model!G50)</f>
        <v/>
      </c>
      <c r="J47" s="194" t="str">
        <f aca="false">IF(Model!H50=0,"",Model!H50)</f>
        <v/>
      </c>
      <c r="K47" s="194" t="str">
        <f aca="false">IF(Model!I50=0,"",Model!I50)</f>
        <v/>
      </c>
      <c r="L47" s="194" t="str">
        <f aca="false">IF(Model!J50=0,"",Model!J50)</f>
        <v/>
      </c>
      <c r="M47" s="194" t="str">
        <f aca="false">IF(Model!K50=0,"",Model!K50)</f>
        <v/>
      </c>
      <c r="N47" s="194" t="str">
        <f aca="false">IF(Model!L50=0,"",Model!L50)</f>
        <v/>
      </c>
      <c r="O47" s="194" t="str">
        <f aca="false">IF(Model!M50=0,"",Model!M50)</f>
        <v/>
      </c>
      <c r="P47" s="194" t="str">
        <f aca="false">IF(Model!N50=0,"",Model!N50)</f>
        <v/>
      </c>
      <c r="Q47" s="194" t="str">
        <f aca="false">IF(Model!O50=0,"",Model!O50)</f>
        <v/>
      </c>
      <c r="R47" s="194" t="str">
        <f aca="false">IF(Model!P50=0,"",Model!P50)</f>
        <v/>
      </c>
      <c r="S47" s="194" t="str">
        <f aca="false">IF(Model!Q50=0,"",Model!Q50)</f>
        <v/>
      </c>
      <c r="T47" s="194" t="str">
        <f aca="false">IF(Model!R50=0,"",Model!R50)</f>
        <v/>
      </c>
      <c r="U47" s="194" t="str">
        <f aca="false">IF(Model!S50=0,"",Model!S50)</f>
        <v/>
      </c>
      <c r="V47" s="194" t="str">
        <f aca="false">IF(Model!T50=0,"",Model!T50)</f>
        <v/>
      </c>
      <c r="W47" s="194" t="str">
        <f aca="false">IF(Model!U50=0,"",Model!U50)</f>
        <v/>
      </c>
      <c r="X47" s="194" t="str">
        <f aca="false">IF(Model!V50=0,"",Model!V50)</f>
        <v/>
      </c>
      <c r="Y47" s="194" t="str">
        <f aca="false">IF(Model!W50=0,"",Model!W50)</f>
        <v/>
      </c>
      <c r="Z47" s="194" t="str">
        <f aca="false">IF(Model!X50=0,"",Model!X50)</f>
        <v/>
      </c>
      <c r="AA47" s="194" t="str">
        <f aca="false">IF(Model!Y50=0,"",Model!Y50)</f>
        <v/>
      </c>
      <c r="AB47" s="194" t="str">
        <f aca="false">IF(Model!Z50=0,"",Model!Z50)</f>
        <v/>
      </c>
      <c r="AC47" s="194" t="str">
        <f aca="false">IF(Model!AA50=0,"",Model!AA50)</f>
        <v/>
      </c>
      <c r="AD47" s="194" t="str">
        <f aca="false">IF(Model!AB50=0,"",Model!AB50)</f>
        <v/>
      </c>
      <c r="AE47" s="194" t="str">
        <f aca="false">IF(Model!AC50=0,"",Model!AC50)</f>
        <v/>
      </c>
      <c r="AF47" s="194" t="str">
        <f aca="false">IF(Model!AD50=0,"",Model!AD50)</f>
        <v/>
      </c>
      <c r="AG47" s="194" t="str">
        <f aca="false">IF(Model!AE50=0,"",Model!AE50)</f>
        <v/>
      </c>
      <c r="AH47" s="194" t="str">
        <f aca="false">IF(Model!AF50=0,"",Model!AF50)</f>
        <v/>
      </c>
      <c r="AI47" s="194" t="str">
        <f aca="false">IF(Model!AG50=0,"",Model!AG50)</f>
        <v/>
      </c>
      <c r="AJ47" s="194" t="str">
        <f aca="false">IF(Model!AH50=0,"",Model!AH50)</f>
        <v/>
      </c>
      <c r="AK47" s="194" t="str">
        <f aca="false">IF(Model!AI50=0,"",Model!AI50)</f>
        <v/>
      </c>
      <c r="AL47" s="194" t="str">
        <f aca="false">IF(Model!AJ50=0,"",Model!AJ50)</f>
        <v/>
      </c>
      <c r="AM47" s="194" t="str">
        <f aca="false">IF(Model!AK50=0,"",Model!AK50)</f>
        <v/>
      </c>
      <c r="AN47" s="194" t="str">
        <f aca="false">IF(Model!AL50=0,"",Model!AL50)</f>
        <v/>
      </c>
      <c r="AO47" s="194" t="str">
        <f aca="false">IF(Model!AM50=0,"",Model!AM50)</f>
        <v/>
      </c>
      <c r="AP47" s="194" t="str">
        <f aca="false">IF(Model!AN50=0,"",Model!AN50)</f>
        <v/>
      </c>
      <c r="AQ47" s="194" t="str">
        <f aca="false">IF(Model!AO50=0,"",Model!AO50)</f>
        <v/>
      </c>
      <c r="AR47" s="194" t="str">
        <f aca="false">IF(Model!AP50=0,"",Model!AP50)</f>
        <v/>
      </c>
      <c r="AS47" s="194" t="str">
        <f aca="false">IF(Model!AQ50=0,"",Model!AQ50)</f>
        <v/>
      </c>
      <c r="AT47" s="194" t="str">
        <f aca="false">IF(Model!AR50=0,"",Model!AR50)</f>
        <v/>
      </c>
      <c r="AU47" s="194" t="str">
        <f aca="false">IF(Model!AS50=0,"",Model!AS50)</f>
        <v/>
      </c>
      <c r="AV47" s="194" t="str">
        <f aca="false">IF(Model!AT50=0,"",Model!AT50)</f>
        <v/>
      </c>
      <c r="AW47" s="194" t="str">
        <f aca="false">IF(Model!AU50=0,"",Model!AU50)</f>
        <v/>
      </c>
      <c r="AX47" s="194" t="str">
        <f aca="false">IF(Model!AV50=0,"",Model!AV50)</f>
        <v/>
      </c>
      <c r="AY47" s="194" t="str">
        <f aca="false">IF(Model!AW50=0,"",Model!AW50)</f>
        <v/>
      </c>
      <c r="AZ47" s="194" t="str">
        <f aca="false">IF(Model!AX50=0,"",Model!AX50)</f>
        <v/>
      </c>
      <c r="BA47" s="194" t="str">
        <f aca="false">IF(Model!AY50=0,"",Model!AY50)</f>
        <v/>
      </c>
      <c r="BB47" s="194" t="str">
        <f aca="false">IF(Model!AZ50=0,"",Model!AZ50)</f>
        <v/>
      </c>
      <c r="BC47" s="194" t="str">
        <f aca="false">IF(Model!BA50=0,"",Model!BA50)</f>
        <v/>
      </c>
      <c r="BD47" s="194" t="str">
        <f aca="false">IF(Model!BB50=0,"",Model!BB50)</f>
        <v/>
      </c>
      <c r="BE47" s="194" t="n">
        <f aca="false">IF(Model!BC50=0,"",Model!BC50)</f>
        <v>307461.75</v>
      </c>
      <c r="BF47" s="194" t="n">
        <f aca="false">IF(Model!BD50=0,"",Model!BD50)</f>
        <v>401121.75</v>
      </c>
      <c r="BG47" s="194" t="n">
        <f aca="false">IF(Model!BE50=0,"",Model!BE50)</f>
        <v>501936.75</v>
      </c>
      <c r="BH47" s="194" t="n">
        <f aca="false">IF(Model!BF50=0,"",Model!BF50)</f>
        <v>605886.75</v>
      </c>
      <c r="BI47" s="194" t="n">
        <f aca="false">IF(Model!BG50=0,"",Model!BG50)</f>
        <v>707976.75</v>
      </c>
      <c r="BJ47" s="194" t="n">
        <f aca="false">IF(Model!BH50=0,"",Model!BH50)</f>
        <v>802536.75</v>
      </c>
      <c r="BK47" s="194" t="n">
        <f aca="false">IF(Model!BI50=0,"",Model!BI50)</f>
        <v>883761.75</v>
      </c>
      <c r="BL47" s="194" t="n">
        <f aca="false">IF(Model!BJ50=0,"",Model!BJ50)</f>
        <v>946266.75</v>
      </c>
      <c r="BM47" s="194" t="n">
        <f aca="false">IF(Model!BK50=0,"",Model!BK50)</f>
        <v>985686.75</v>
      </c>
      <c r="BN47" s="194" t="n">
        <f aca="false">IF(Model!BL50=0,"",Model!BL50)</f>
        <v>999156.75</v>
      </c>
      <c r="BO47" s="194" t="n">
        <f aca="false">IF(Model!BM50=0,"",Model!BM50)</f>
        <v>985686.75</v>
      </c>
      <c r="BP47" s="194" t="n">
        <f aca="false">IF(Model!BN50=0,"",Model!BN50)</f>
        <v>946266.75</v>
      </c>
      <c r="BQ47" s="194" t="n">
        <f aca="false">IF(Model!BO50=0,"",Model!BO50)</f>
        <v>883761.75</v>
      </c>
      <c r="BR47" s="194" t="n">
        <f aca="false">IF(Model!BP50=0,"",Model!BP50)</f>
        <v>802536.75</v>
      </c>
      <c r="BS47" s="194" t="n">
        <f aca="false">IF(Model!BQ50=0,"",Model!BQ50)</f>
        <v>707976.75</v>
      </c>
      <c r="BT47" s="194" t="n">
        <f aca="false">IF(Model!BR50=0,"",Model!BR50)</f>
        <v>605886.75</v>
      </c>
      <c r="BU47" s="194" t="n">
        <f aca="false">IF(Model!BS50=0,"",Model!BS50)</f>
        <v>501936.75</v>
      </c>
      <c r="BV47" s="194" t="n">
        <f aca="false">IF(Model!BT50=0,"",Model!BT50)</f>
        <v>401121.75</v>
      </c>
      <c r="BW47" s="194" t="n">
        <f aca="false">IF(Model!BU50=0,"",Model!BU50)</f>
        <v>217168.5</v>
      </c>
      <c r="BX47" s="194" t="str">
        <f aca="false">IF(Model!BV50=0,"",Model!BV50)</f>
        <v/>
      </c>
      <c r="BY47" s="194" t="str">
        <f aca="false">IF(Model!BW50=0,"",Model!BW50)</f>
        <v/>
      </c>
      <c r="BZ47" s="194" t="str">
        <f aca="false">IF(Model!BX50=0,"",Model!BX50)</f>
        <v/>
      </c>
      <c r="CA47" s="194" t="str">
        <f aca="false">IF(Model!BY50=0,"",Model!BY50)</f>
        <v/>
      </c>
      <c r="CB47" s="194" t="str">
        <f aca="false">IF(Model!BZ50=0,"",Model!BZ50)</f>
        <v/>
      </c>
      <c r="CC47" s="194" t="str">
        <f aca="false">IF(Model!CA50=0,"",Model!CA50)</f>
        <v/>
      </c>
      <c r="CD47" s="194" t="str">
        <f aca="false">IF(Model!CB50=0,"",Model!CB50)</f>
        <v/>
      </c>
      <c r="CE47" s="194" t="str">
        <f aca="false">IF(Model!CC50=0,"",Model!CC50)</f>
        <v/>
      </c>
      <c r="CF47" s="194" t="str">
        <f aca="false">IF(Model!CD50=0,"",Model!CD50)</f>
        <v/>
      </c>
      <c r="CG47" s="194" t="str">
        <f aca="false">IF(Model!CE50=0,"",Model!CE50)</f>
        <v/>
      </c>
      <c r="CH47" s="194" t="str">
        <f aca="false">IF(Model!CF50=0,"",Model!CF50)</f>
        <v/>
      </c>
      <c r="CI47" s="194" t="str">
        <f aca="false">IF(Model!CG50=0,"",Model!CG50)</f>
        <v/>
      </c>
      <c r="CJ47" s="194" t="str">
        <f aca="false">IF(Model!CH50=0,"",Model!CH50)</f>
        <v/>
      </c>
      <c r="CK47" s="194" t="str">
        <f aca="false">IF(Model!CI50=0,"",Model!CI50)</f>
        <v/>
      </c>
      <c r="CL47" s="194" t="str">
        <f aca="false">IF(Model!CJ50=0,"",Model!CJ50)</f>
        <v/>
      </c>
      <c r="CM47" s="194" t="str">
        <f aca="false">IF(Model!CK50=0,"",Model!CK50)</f>
        <v/>
      </c>
      <c r="CN47" s="194" t="str">
        <f aca="false">IF(Model!CL50=0,"",Model!CL50)</f>
        <v/>
      </c>
      <c r="CO47" s="194" t="str">
        <f aca="false">IF(Model!CM50=0,"",Model!CM50)</f>
        <v/>
      </c>
      <c r="CP47" s="194" t="str">
        <f aca="false">IF(Model!CN50=0,"",Model!CN50)</f>
        <v/>
      </c>
      <c r="CQ47" s="194" t="str">
        <f aca="false">IF(Model!CO50=0,"",Model!CO50)</f>
        <v/>
      </c>
      <c r="CR47" s="194" t="str">
        <f aca="false">IF(Model!CP50=0,"",Model!CP50)</f>
        <v/>
      </c>
      <c r="CS47" s="194" t="str">
        <f aca="false">IF(Model!CQ50=0,"",Model!CQ50)</f>
        <v/>
      </c>
      <c r="CT47" s="194" t="str">
        <f aca="false">IF(Model!CR50=0,"",Model!CR50)</f>
        <v/>
      </c>
      <c r="CU47" s="194" t="str">
        <f aca="false">IF(Model!CS50=0,"",Model!CS50)</f>
        <v/>
      </c>
      <c r="CV47" s="194" t="str">
        <f aca="false">IF(Model!CT50=0,"",Model!CT50)</f>
        <v/>
      </c>
      <c r="CW47" s="194" t="str">
        <f aca="false">IF(Model!CU50=0,"",Model!CU50)</f>
        <v/>
      </c>
      <c r="CX47" s="194" t="str">
        <f aca="false">IF(Model!CV50=0,"",Model!CV50)</f>
        <v/>
      </c>
      <c r="CY47" s="194" t="str">
        <f aca="false">IF(Model!CW50=0,"",Model!CW50)</f>
        <v/>
      </c>
      <c r="CZ47" s="194" t="str">
        <f aca="false">IF(Model!CX50=0,"",Model!CX50)</f>
        <v/>
      </c>
      <c r="DA47" s="194" t="str">
        <f aca="false">IF(Model!CY50=0,"",Model!CY50)</f>
        <v/>
      </c>
      <c r="DB47" s="194" t="str">
        <f aca="false">IF(Model!CZ50=0,"",Model!CZ50)</f>
        <v/>
      </c>
    </row>
    <row r="48" customFormat="false" ht="15" hidden="false" customHeight="true" outlineLevel="0" collapsed="false">
      <c r="A48" s="125" t="s">
        <v>45</v>
      </c>
      <c r="B48" s="191" t="n">
        <f aca="false">Projects!$B$42</f>
        <v>18000000</v>
      </c>
      <c r="C48" s="192" t="n">
        <f aca="false">EDATE(Model!$E$2,Projects!$C$42-1)</f>
        <v>47665</v>
      </c>
      <c r="D48" s="192" t="n">
        <f aca="false">EDATE(Model!$E$2,Projects!$C$42+Projects!$D$42-2)</f>
        <v>48214</v>
      </c>
      <c r="E48" s="193" t="n">
        <f aca="false">Projects!$D$42</f>
        <v>19</v>
      </c>
      <c r="F48" s="191" t="n">
        <f aca="false">SUM(G48:DB48)</f>
        <v>15832962</v>
      </c>
      <c r="G48" s="194" t="str">
        <f aca="false">IF(Model!E51=0,"",Model!E51)</f>
        <v/>
      </c>
      <c r="H48" s="194" t="str">
        <f aca="false">IF(Model!F51=0,"",Model!F51)</f>
        <v/>
      </c>
      <c r="I48" s="194" t="str">
        <f aca="false">IF(Model!G51=0,"",Model!G51)</f>
        <v/>
      </c>
      <c r="J48" s="194" t="str">
        <f aca="false">IF(Model!H51=0,"",Model!H51)</f>
        <v/>
      </c>
      <c r="K48" s="194" t="str">
        <f aca="false">IF(Model!I51=0,"",Model!I51)</f>
        <v/>
      </c>
      <c r="L48" s="194" t="str">
        <f aca="false">IF(Model!J51=0,"",Model!J51)</f>
        <v/>
      </c>
      <c r="M48" s="194" t="str">
        <f aca="false">IF(Model!K51=0,"",Model!K51)</f>
        <v/>
      </c>
      <c r="N48" s="194" t="str">
        <f aca="false">IF(Model!L51=0,"",Model!L51)</f>
        <v/>
      </c>
      <c r="O48" s="194" t="str">
        <f aca="false">IF(Model!M51=0,"",Model!M51)</f>
        <v/>
      </c>
      <c r="P48" s="194" t="str">
        <f aca="false">IF(Model!N51=0,"",Model!N51)</f>
        <v/>
      </c>
      <c r="Q48" s="194" t="str">
        <f aca="false">IF(Model!O51=0,"",Model!O51)</f>
        <v/>
      </c>
      <c r="R48" s="194" t="str">
        <f aca="false">IF(Model!P51=0,"",Model!P51)</f>
        <v/>
      </c>
      <c r="S48" s="194" t="str">
        <f aca="false">IF(Model!Q51=0,"",Model!Q51)</f>
        <v/>
      </c>
      <c r="T48" s="194" t="str">
        <f aca="false">IF(Model!R51=0,"",Model!R51)</f>
        <v/>
      </c>
      <c r="U48" s="194" t="str">
        <f aca="false">IF(Model!S51=0,"",Model!S51)</f>
        <v/>
      </c>
      <c r="V48" s="194" t="str">
        <f aca="false">IF(Model!T51=0,"",Model!T51)</f>
        <v/>
      </c>
      <c r="W48" s="194" t="str">
        <f aca="false">IF(Model!U51=0,"",Model!U51)</f>
        <v/>
      </c>
      <c r="X48" s="194" t="str">
        <f aca="false">IF(Model!V51=0,"",Model!V51)</f>
        <v/>
      </c>
      <c r="Y48" s="194" t="str">
        <f aca="false">IF(Model!W51=0,"",Model!W51)</f>
        <v/>
      </c>
      <c r="Z48" s="194" t="str">
        <f aca="false">IF(Model!X51=0,"",Model!X51)</f>
        <v/>
      </c>
      <c r="AA48" s="194" t="str">
        <f aca="false">IF(Model!Y51=0,"",Model!Y51)</f>
        <v/>
      </c>
      <c r="AB48" s="194" t="str">
        <f aca="false">IF(Model!Z51=0,"",Model!Z51)</f>
        <v/>
      </c>
      <c r="AC48" s="194" t="str">
        <f aca="false">IF(Model!AA51=0,"",Model!AA51)</f>
        <v/>
      </c>
      <c r="AD48" s="194" t="str">
        <f aca="false">IF(Model!AB51=0,"",Model!AB51)</f>
        <v/>
      </c>
      <c r="AE48" s="194" t="str">
        <f aca="false">IF(Model!AC51=0,"",Model!AC51)</f>
        <v/>
      </c>
      <c r="AF48" s="194" t="str">
        <f aca="false">IF(Model!AD51=0,"",Model!AD51)</f>
        <v/>
      </c>
      <c r="AG48" s="194" t="str">
        <f aca="false">IF(Model!AE51=0,"",Model!AE51)</f>
        <v/>
      </c>
      <c r="AH48" s="194" t="str">
        <f aca="false">IF(Model!AF51=0,"",Model!AF51)</f>
        <v/>
      </c>
      <c r="AI48" s="194" t="str">
        <f aca="false">IF(Model!AG51=0,"",Model!AG51)</f>
        <v/>
      </c>
      <c r="AJ48" s="194" t="str">
        <f aca="false">IF(Model!AH51=0,"",Model!AH51)</f>
        <v/>
      </c>
      <c r="AK48" s="194" t="str">
        <f aca="false">IF(Model!AI51=0,"",Model!AI51)</f>
        <v/>
      </c>
      <c r="AL48" s="194" t="str">
        <f aca="false">IF(Model!AJ51=0,"",Model!AJ51)</f>
        <v/>
      </c>
      <c r="AM48" s="194" t="str">
        <f aca="false">IF(Model!AK51=0,"",Model!AK51)</f>
        <v/>
      </c>
      <c r="AN48" s="194" t="str">
        <f aca="false">IF(Model!AL51=0,"",Model!AL51)</f>
        <v/>
      </c>
      <c r="AO48" s="194" t="str">
        <f aca="false">IF(Model!AM51=0,"",Model!AM51)</f>
        <v/>
      </c>
      <c r="AP48" s="194" t="str">
        <f aca="false">IF(Model!AN51=0,"",Model!AN51)</f>
        <v/>
      </c>
      <c r="AQ48" s="194" t="str">
        <f aca="false">IF(Model!AO51=0,"",Model!AO51)</f>
        <v/>
      </c>
      <c r="AR48" s="194" t="str">
        <f aca="false">IF(Model!AP51=0,"",Model!AP51)</f>
        <v/>
      </c>
      <c r="AS48" s="194" t="str">
        <f aca="false">IF(Model!AQ51=0,"",Model!AQ51)</f>
        <v/>
      </c>
      <c r="AT48" s="194" t="str">
        <f aca="false">IF(Model!AR51=0,"",Model!AR51)</f>
        <v/>
      </c>
      <c r="AU48" s="194" t="str">
        <f aca="false">IF(Model!AS51=0,"",Model!AS51)</f>
        <v/>
      </c>
      <c r="AV48" s="194" t="str">
        <f aca="false">IF(Model!AT51=0,"",Model!AT51)</f>
        <v/>
      </c>
      <c r="AW48" s="194" t="str">
        <f aca="false">IF(Model!AU51=0,"",Model!AU51)</f>
        <v/>
      </c>
      <c r="AX48" s="194" t="str">
        <f aca="false">IF(Model!AV51=0,"",Model!AV51)</f>
        <v/>
      </c>
      <c r="AY48" s="194" t="str">
        <f aca="false">IF(Model!AW51=0,"",Model!AW51)</f>
        <v/>
      </c>
      <c r="AZ48" s="194" t="str">
        <f aca="false">IF(Model!AX51=0,"",Model!AX51)</f>
        <v/>
      </c>
      <c r="BA48" s="194" t="str">
        <f aca="false">IF(Model!AY51=0,"",Model!AY51)</f>
        <v/>
      </c>
      <c r="BB48" s="194" t="str">
        <f aca="false">IF(Model!AZ51=0,"",Model!AZ51)</f>
        <v/>
      </c>
      <c r="BC48" s="194" t="str">
        <f aca="false">IF(Model!BA51=0,"",Model!BA51)</f>
        <v/>
      </c>
      <c r="BD48" s="194" t="str">
        <f aca="false">IF(Model!BB51=0,"",Model!BB51)</f>
        <v/>
      </c>
      <c r="BE48" s="194" t="str">
        <f aca="false">IF(Model!BC51=0,"",Model!BC51)</f>
        <v/>
      </c>
      <c r="BF48" s="194" t="n">
        <f aca="false">IF(Model!BD51=0,"",Model!BD51)</f>
        <v>368954.1</v>
      </c>
      <c r="BG48" s="194" t="n">
        <f aca="false">IF(Model!BE51=0,"",Model!BE51)</f>
        <v>481346.1</v>
      </c>
      <c r="BH48" s="194" t="n">
        <f aca="false">IF(Model!BF51=0,"",Model!BF51)</f>
        <v>602324.1</v>
      </c>
      <c r="BI48" s="194" t="n">
        <f aca="false">IF(Model!BG51=0,"",Model!BG51)</f>
        <v>727064.1</v>
      </c>
      <c r="BJ48" s="194" t="n">
        <f aca="false">IF(Model!BH51=0,"",Model!BH51)</f>
        <v>849572.1</v>
      </c>
      <c r="BK48" s="194" t="n">
        <f aca="false">IF(Model!BI51=0,"",Model!BI51)</f>
        <v>963044.1</v>
      </c>
      <c r="BL48" s="194" t="n">
        <f aca="false">IF(Model!BJ51=0,"",Model!BJ51)</f>
        <v>1060514.1</v>
      </c>
      <c r="BM48" s="194" t="n">
        <f aca="false">IF(Model!BK51=0,"",Model!BK51)</f>
        <v>1135520.1</v>
      </c>
      <c r="BN48" s="194" t="n">
        <f aca="false">IF(Model!BL51=0,"",Model!BL51)</f>
        <v>1182824.1</v>
      </c>
      <c r="BO48" s="194" t="n">
        <f aca="false">IF(Model!BM51=0,"",Model!BM51)</f>
        <v>1198988.1</v>
      </c>
      <c r="BP48" s="194" t="n">
        <f aca="false">IF(Model!BN51=0,"",Model!BN51)</f>
        <v>1182824.1</v>
      </c>
      <c r="BQ48" s="194" t="n">
        <f aca="false">IF(Model!BO51=0,"",Model!BO51)</f>
        <v>1135520.1</v>
      </c>
      <c r="BR48" s="194" t="n">
        <f aca="false">IF(Model!BP51=0,"",Model!BP51)</f>
        <v>1060514.1</v>
      </c>
      <c r="BS48" s="194" t="n">
        <f aca="false">IF(Model!BQ51=0,"",Model!BQ51)</f>
        <v>963044.1</v>
      </c>
      <c r="BT48" s="194" t="n">
        <f aca="false">IF(Model!BR51=0,"",Model!BR51)</f>
        <v>849572.1</v>
      </c>
      <c r="BU48" s="194" t="n">
        <f aca="false">IF(Model!BS51=0,"",Model!BS51)</f>
        <v>727064.1</v>
      </c>
      <c r="BV48" s="194" t="n">
        <f aca="false">IF(Model!BT51=0,"",Model!BT51)</f>
        <v>602324.1</v>
      </c>
      <c r="BW48" s="194" t="n">
        <f aca="false">IF(Model!BU51=0,"",Model!BU51)</f>
        <v>481346.1</v>
      </c>
      <c r="BX48" s="194" t="n">
        <f aca="false">IF(Model!BV51=0,"",Model!BV51)</f>
        <v>260602.2</v>
      </c>
      <c r="BY48" s="194" t="str">
        <f aca="false">IF(Model!BW51=0,"",Model!BW51)</f>
        <v/>
      </c>
      <c r="BZ48" s="194" t="str">
        <f aca="false">IF(Model!BX51=0,"",Model!BX51)</f>
        <v/>
      </c>
      <c r="CA48" s="194" t="str">
        <f aca="false">IF(Model!BY51=0,"",Model!BY51)</f>
        <v/>
      </c>
      <c r="CB48" s="194" t="str">
        <f aca="false">IF(Model!BZ51=0,"",Model!BZ51)</f>
        <v/>
      </c>
      <c r="CC48" s="194" t="str">
        <f aca="false">IF(Model!CA51=0,"",Model!CA51)</f>
        <v/>
      </c>
      <c r="CD48" s="194" t="str">
        <f aca="false">IF(Model!CB51=0,"",Model!CB51)</f>
        <v/>
      </c>
      <c r="CE48" s="194" t="str">
        <f aca="false">IF(Model!CC51=0,"",Model!CC51)</f>
        <v/>
      </c>
      <c r="CF48" s="194" t="str">
        <f aca="false">IF(Model!CD51=0,"",Model!CD51)</f>
        <v/>
      </c>
      <c r="CG48" s="194" t="str">
        <f aca="false">IF(Model!CE51=0,"",Model!CE51)</f>
        <v/>
      </c>
      <c r="CH48" s="194" t="str">
        <f aca="false">IF(Model!CF51=0,"",Model!CF51)</f>
        <v/>
      </c>
      <c r="CI48" s="194" t="str">
        <f aca="false">IF(Model!CG51=0,"",Model!CG51)</f>
        <v/>
      </c>
      <c r="CJ48" s="194" t="str">
        <f aca="false">IF(Model!CH51=0,"",Model!CH51)</f>
        <v/>
      </c>
      <c r="CK48" s="194" t="str">
        <f aca="false">IF(Model!CI51=0,"",Model!CI51)</f>
        <v/>
      </c>
      <c r="CL48" s="194" t="str">
        <f aca="false">IF(Model!CJ51=0,"",Model!CJ51)</f>
        <v/>
      </c>
      <c r="CM48" s="194" t="str">
        <f aca="false">IF(Model!CK51=0,"",Model!CK51)</f>
        <v/>
      </c>
      <c r="CN48" s="194" t="str">
        <f aca="false">IF(Model!CL51=0,"",Model!CL51)</f>
        <v/>
      </c>
      <c r="CO48" s="194" t="str">
        <f aca="false">IF(Model!CM51=0,"",Model!CM51)</f>
        <v/>
      </c>
      <c r="CP48" s="194" t="str">
        <f aca="false">IF(Model!CN51=0,"",Model!CN51)</f>
        <v/>
      </c>
      <c r="CQ48" s="194" t="str">
        <f aca="false">IF(Model!CO51=0,"",Model!CO51)</f>
        <v/>
      </c>
      <c r="CR48" s="194" t="str">
        <f aca="false">IF(Model!CP51=0,"",Model!CP51)</f>
        <v/>
      </c>
      <c r="CS48" s="194" t="str">
        <f aca="false">IF(Model!CQ51=0,"",Model!CQ51)</f>
        <v/>
      </c>
      <c r="CT48" s="194" t="str">
        <f aca="false">IF(Model!CR51=0,"",Model!CR51)</f>
        <v/>
      </c>
      <c r="CU48" s="194" t="str">
        <f aca="false">IF(Model!CS51=0,"",Model!CS51)</f>
        <v/>
      </c>
      <c r="CV48" s="194" t="str">
        <f aca="false">IF(Model!CT51=0,"",Model!CT51)</f>
        <v/>
      </c>
      <c r="CW48" s="194" t="str">
        <f aca="false">IF(Model!CU51=0,"",Model!CU51)</f>
        <v/>
      </c>
      <c r="CX48" s="194" t="str">
        <f aca="false">IF(Model!CV51=0,"",Model!CV51)</f>
        <v/>
      </c>
      <c r="CY48" s="194" t="str">
        <f aca="false">IF(Model!CW51=0,"",Model!CW51)</f>
        <v/>
      </c>
      <c r="CZ48" s="194" t="str">
        <f aca="false">IF(Model!CX51=0,"",Model!CX51)</f>
        <v/>
      </c>
      <c r="DA48" s="194" t="str">
        <f aca="false">IF(Model!CY51=0,"",Model!CY51)</f>
        <v/>
      </c>
      <c r="DB48" s="194" t="str">
        <f aca="false">IF(Model!CZ51=0,"",Model!CZ51)</f>
        <v/>
      </c>
    </row>
    <row r="49" customFormat="false" ht="15" hidden="false" customHeight="true" outlineLevel="0" collapsed="false">
      <c r="A49" s="125" t="s">
        <v>46</v>
      </c>
      <c r="B49" s="191" t="n">
        <f aca="false">Projects!$B$43</f>
        <v>15000000</v>
      </c>
      <c r="C49" s="192" t="n">
        <f aca="false">EDATE(Model!$E$2,Projects!$C$43-1)</f>
        <v>47696</v>
      </c>
      <c r="D49" s="192" t="n">
        <f aca="false">EDATE(Model!$E$2,Projects!$C$43+Projects!$D$43-2)</f>
        <v>48245</v>
      </c>
      <c r="E49" s="193" t="n">
        <f aca="false">Projects!$D$43</f>
        <v>19</v>
      </c>
      <c r="F49" s="191" t="n">
        <f aca="false">SUM(G49:DB49)</f>
        <v>13194135</v>
      </c>
      <c r="G49" s="194" t="str">
        <f aca="false">IF(Model!E52=0,"",Model!E52)</f>
        <v/>
      </c>
      <c r="H49" s="194" t="str">
        <f aca="false">IF(Model!F52=0,"",Model!F52)</f>
        <v/>
      </c>
      <c r="I49" s="194" t="str">
        <f aca="false">IF(Model!G52=0,"",Model!G52)</f>
        <v/>
      </c>
      <c r="J49" s="194" t="str">
        <f aca="false">IF(Model!H52=0,"",Model!H52)</f>
        <v/>
      </c>
      <c r="K49" s="194" t="str">
        <f aca="false">IF(Model!I52=0,"",Model!I52)</f>
        <v/>
      </c>
      <c r="L49" s="194" t="str">
        <f aca="false">IF(Model!J52=0,"",Model!J52)</f>
        <v/>
      </c>
      <c r="M49" s="194" t="str">
        <f aca="false">IF(Model!K52=0,"",Model!K52)</f>
        <v/>
      </c>
      <c r="N49" s="194" t="str">
        <f aca="false">IF(Model!L52=0,"",Model!L52)</f>
        <v/>
      </c>
      <c r="O49" s="194" t="str">
        <f aca="false">IF(Model!M52=0,"",Model!M52)</f>
        <v/>
      </c>
      <c r="P49" s="194" t="str">
        <f aca="false">IF(Model!N52=0,"",Model!N52)</f>
        <v/>
      </c>
      <c r="Q49" s="194" t="str">
        <f aca="false">IF(Model!O52=0,"",Model!O52)</f>
        <v/>
      </c>
      <c r="R49" s="194" t="str">
        <f aca="false">IF(Model!P52=0,"",Model!P52)</f>
        <v/>
      </c>
      <c r="S49" s="194" t="str">
        <f aca="false">IF(Model!Q52=0,"",Model!Q52)</f>
        <v/>
      </c>
      <c r="T49" s="194" t="str">
        <f aca="false">IF(Model!R52=0,"",Model!R52)</f>
        <v/>
      </c>
      <c r="U49" s="194" t="str">
        <f aca="false">IF(Model!S52=0,"",Model!S52)</f>
        <v/>
      </c>
      <c r="V49" s="194" t="str">
        <f aca="false">IF(Model!T52=0,"",Model!T52)</f>
        <v/>
      </c>
      <c r="W49" s="194" t="str">
        <f aca="false">IF(Model!U52=0,"",Model!U52)</f>
        <v/>
      </c>
      <c r="X49" s="194" t="str">
        <f aca="false">IF(Model!V52=0,"",Model!V52)</f>
        <v/>
      </c>
      <c r="Y49" s="194" t="str">
        <f aca="false">IF(Model!W52=0,"",Model!W52)</f>
        <v/>
      </c>
      <c r="Z49" s="194" t="str">
        <f aca="false">IF(Model!X52=0,"",Model!X52)</f>
        <v/>
      </c>
      <c r="AA49" s="194" t="str">
        <f aca="false">IF(Model!Y52=0,"",Model!Y52)</f>
        <v/>
      </c>
      <c r="AB49" s="194" t="str">
        <f aca="false">IF(Model!Z52=0,"",Model!Z52)</f>
        <v/>
      </c>
      <c r="AC49" s="194" t="str">
        <f aca="false">IF(Model!AA52=0,"",Model!AA52)</f>
        <v/>
      </c>
      <c r="AD49" s="194" t="str">
        <f aca="false">IF(Model!AB52=0,"",Model!AB52)</f>
        <v/>
      </c>
      <c r="AE49" s="194" t="str">
        <f aca="false">IF(Model!AC52=0,"",Model!AC52)</f>
        <v/>
      </c>
      <c r="AF49" s="194" t="str">
        <f aca="false">IF(Model!AD52=0,"",Model!AD52)</f>
        <v/>
      </c>
      <c r="AG49" s="194" t="str">
        <f aca="false">IF(Model!AE52=0,"",Model!AE52)</f>
        <v/>
      </c>
      <c r="AH49" s="194" t="str">
        <f aca="false">IF(Model!AF52=0,"",Model!AF52)</f>
        <v/>
      </c>
      <c r="AI49" s="194" t="str">
        <f aca="false">IF(Model!AG52=0,"",Model!AG52)</f>
        <v/>
      </c>
      <c r="AJ49" s="194" t="str">
        <f aca="false">IF(Model!AH52=0,"",Model!AH52)</f>
        <v/>
      </c>
      <c r="AK49" s="194" t="str">
        <f aca="false">IF(Model!AI52=0,"",Model!AI52)</f>
        <v/>
      </c>
      <c r="AL49" s="194" t="str">
        <f aca="false">IF(Model!AJ52=0,"",Model!AJ52)</f>
        <v/>
      </c>
      <c r="AM49" s="194" t="str">
        <f aca="false">IF(Model!AK52=0,"",Model!AK52)</f>
        <v/>
      </c>
      <c r="AN49" s="194" t="str">
        <f aca="false">IF(Model!AL52=0,"",Model!AL52)</f>
        <v/>
      </c>
      <c r="AO49" s="194" t="str">
        <f aca="false">IF(Model!AM52=0,"",Model!AM52)</f>
        <v/>
      </c>
      <c r="AP49" s="194" t="str">
        <f aca="false">IF(Model!AN52=0,"",Model!AN52)</f>
        <v/>
      </c>
      <c r="AQ49" s="194" t="str">
        <f aca="false">IF(Model!AO52=0,"",Model!AO52)</f>
        <v/>
      </c>
      <c r="AR49" s="194" t="str">
        <f aca="false">IF(Model!AP52=0,"",Model!AP52)</f>
        <v/>
      </c>
      <c r="AS49" s="194" t="str">
        <f aca="false">IF(Model!AQ52=0,"",Model!AQ52)</f>
        <v/>
      </c>
      <c r="AT49" s="194" t="str">
        <f aca="false">IF(Model!AR52=0,"",Model!AR52)</f>
        <v/>
      </c>
      <c r="AU49" s="194" t="str">
        <f aca="false">IF(Model!AS52=0,"",Model!AS52)</f>
        <v/>
      </c>
      <c r="AV49" s="194" t="str">
        <f aca="false">IF(Model!AT52=0,"",Model!AT52)</f>
        <v/>
      </c>
      <c r="AW49" s="194" t="str">
        <f aca="false">IF(Model!AU52=0,"",Model!AU52)</f>
        <v/>
      </c>
      <c r="AX49" s="194" t="str">
        <f aca="false">IF(Model!AV52=0,"",Model!AV52)</f>
        <v/>
      </c>
      <c r="AY49" s="194" t="str">
        <f aca="false">IF(Model!AW52=0,"",Model!AW52)</f>
        <v/>
      </c>
      <c r="AZ49" s="194" t="str">
        <f aca="false">IF(Model!AX52=0,"",Model!AX52)</f>
        <v/>
      </c>
      <c r="BA49" s="194" t="str">
        <f aca="false">IF(Model!AY52=0,"",Model!AY52)</f>
        <v/>
      </c>
      <c r="BB49" s="194" t="str">
        <f aca="false">IF(Model!AZ52=0,"",Model!AZ52)</f>
        <v/>
      </c>
      <c r="BC49" s="194" t="str">
        <f aca="false">IF(Model!BA52=0,"",Model!BA52)</f>
        <v/>
      </c>
      <c r="BD49" s="194" t="str">
        <f aca="false">IF(Model!BB52=0,"",Model!BB52)</f>
        <v/>
      </c>
      <c r="BE49" s="194" t="str">
        <f aca="false">IF(Model!BC52=0,"",Model!BC52)</f>
        <v/>
      </c>
      <c r="BF49" s="194" t="str">
        <f aca="false">IF(Model!BD52=0,"",Model!BD52)</f>
        <v/>
      </c>
      <c r="BG49" s="194" t="n">
        <f aca="false">IF(Model!BE52=0,"",Model!BE52)</f>
        <v>307461.75</v>
      </c>
      <c r="BH49" s="194" t="n">
        <f aca="false">IF(Model!BF52=0,"",Model!BF52)</f>
        <v>401121.75</v>
      </c>
      <c r="BI49" s="194" t="n">
        <f aca="false">IF(Model!BG52=0,"",Model!BG52)</f>
        <v>501936.75</v>
      </c>
      <c r="BJ49" s="194" t="n">
        <f aca="false">IF(Model!BH52=0,"",Model!BH52)</f>
        <v>605886.75</v>
      </c>
      <c r="BK49" s="194" t="n">
        <f aca="false">IF(Model!BI52=0,"",Model!BI52)</f>
        <v>707976.75</v>
      </c>
      <c r="BL49" s="194" t="n">
        <f aca="false">IF(Model!BJ52=0,"",Model!BJ52)</f>
        <v>802536.75</v>
      </c>
      <c r="BM49" s="194" t="n">
        <f aca="false">IF(Model!BK52=0,"",Model!BK52)</f>
        <v>883761.75</v>
      </c>
      <c r="BN49" s="194" t="n">
        <f aca="false">IF(Model!BL52=0,"",Model!BL52)</f>
        <v>946266.75</v>
      </c>
      <c r="BO49" s="194" t="n">
        <f aca="false">IF(Model!BM52=0,"",Model!BM52)</f>
        <v>985686.75</v>
      </c>
      <c r="BP49" s="194" t="n">
        <f aca="false">IF(Model!BN52=0,"",Model!BN52)</f>
        <v>999156.75</v>
      </c>
      <c r="BQ49" s="194" t="n">
        <f aca="false">IF(Model!BO52=0,"",Model!BO52)</f>
        <v>985686.75</v>
      </c>
      <c r="BR49" s="194" t="n">
        <f aca="false">IF(Model!BP52=0,"",Model!BP52)</f>
        <v>946266.75</v>
      </c>
      <c r="BS49" s="194" t="n">
        <f aca="false">IF(Model!BQ52=0,"",Model!BQ52)</f>
        <v>883761.75</v>
      </c>
      <c r="BT49" s="194" t="n">
        <f aca="false">IF(Model!BR52=0,"",Model!BR52)</f>
        <v>802536.75</v>
      </c>
      <c r="BU49" s="194" t="n">
        <f aca="false">IF(Model!BS52=0,"",Model!BS52)</f>
        <v>707976.75</v>
      </c>
      <c r="BV49" s="194" t="n">
        <f aca="false">IF(Model!BT52=0,"",Model!BT52)</f>
        <v>605886.75</v>
      </c>
      <c r="BW49" s="194" t="n">
        <f aca="false">IF(Model!BU52=0,"",Model!BU52)</f>
        <v>501936.75</v>
      </c>
      <c r="BX49" s="194" t="n">
        <f aca="false">IF(Model!BV52=0,"",Model!BV52)</f>
        <v>401121.75</v>
      </c>
      <c r="BY49" s="194" t="n">
        <f aca="false">IF(Model!BW52=0,"",Model!BW52)</f>
        <v>217168.5</v>
      </c>
      <c r="BZ49" s="194" t="str">
        <f aca="false">IF(Model!BX52=0,"",Model!BX52)</f>
        <v/>
      </c>
      <c r="CA49" s="194" t="str">
        <f aca="false">IF(Model!BY52=0,"",Model!BY52)</f>
        <v/>
      </c>
      <c r="CB49" s="194" t="str">
        <f aca="false">IF(Model!BZ52=0,"",Model!BZ52)</f>
        <v/>
      </c>
      <c r="CC49" s="194" t="str">
        <f aca="false">IF(Model!CA52=0,"",Model!CA52)</f>
        <v/>
      </c>
      <c r="CD49" s="194" t="str">
        <f aca="false">IF(Model!CB52=0,"",Model!CB52)</f>
        <v/>
      </c>
      <c r="CE49" s="194" t="str">
        <f aca="false">IF(Model!CC52=0,"",Model!CC52)</f>
        <v/>
      </c>
      <c r="CF49" s="194" t="str">
        <f aca="false">IF(Model!CD52=0,"",Model!CD52)</f>
        <v/>
      </c>
      <c r="CG49" s="194" t="str">
        <f aca="false">IF(Model!CE52=0,"",Model!CE52)</f>
        <v/>
      </c>
      <c r="CH49" s="194" t="str">
        <f aca="false">IF(Model!CF52=0,"",Model!CF52)</f>
        <v/>
      </c>
      <c r="CI49" s="194" t="str">
        <f aca="false">IF(Model!CG52=0,"",Model!CG52)</f>
        <v/>
      </c>
      <c r="CJ49" s="194" t="str">
        <f aca="false">IF(Model!CH52=0,"",Model!CH52)</f>
        <v/>
      </c>
      <c r="CK49" s="194" t="str">
        <f aca="false">IF(Model!CI52=0,"",Model!CI52)</f>
        <v/>
      </c>
      <c r="CL49" s="194" t="str">
        <f aca="false">IF(Model!CJ52=0,"",Model!CJ52)</f>
        <v/>
      </c>
      <c r="CM49" s="194" t="str">
        <f aca="false">IF(Model!CK52=0,"",Model!CK52)</f>
        <v/>
      </c>
      <c r="CN49" s="194" t="str">
        <f aca="false">IF(Model!CL52=0,"",Model!CL52)</f>
        <v/>
      </c>
      <c r="CO49" s="194" t="str">
        <f aca="false">IF(Model!CM52=0,"",Model!CM52)</f>
        <v/>
      </c>
      <c r="CP49" s="194" t="str">
        <f aca="false">IF(Model!CN52=0,"",Model!CN52)</f>
        <v/>
      </c>
      <c r="CQ49" s="194" t="str">
        <f aca="false">IF(Model!CO52=0,"",Model!CO52)</f>
        <v/>
      </c>
      <c r="CR49" s="194" t="str">
        <f aca="false">IF(Model!CP52=0,"",Model!CP52)</f>
        <v/>
      </c>
      <c r="CS49" s="194" t="str">
        <f aca="false">IF(Model!CQ52=0,"",Model!CQ52)</f>
        <v/>
      </c>
      <c r="CT49" s="194" t="str">
        <f aca="false">IF(Model!CR52=0,"",Model!CR52)</f>
        <v/>
      </c>
      <c r="CU49" s="194" t="str">
        <f aca="false">IF(Model!CS52=0,"",Model!CS52)</f>
        <v/>
      </c>
      <c r="CV49" s="194" t="str">
        <f aca="false">IF(Model!CT52=0,"",Model!CT52)</f>
        <v/>
      </c>
      <c r="CW49" s="194" t="str">
        <f aca="false">IF(Model!CU52=0,"",Model!CU52)</f>
        <v/>
      </c>
      <c r="CX49" s="194" t="str">
        <f aca="false">IF(Model!CV52=0,"",Model!CV52)</f>
        <v/>
      </c>
      <c r="CY49" s="194" t="str">
        <f aca="false">IF(Model!CW52=0,"",Model!CW52)</f>
        <v/>
      </c>
      <c r="CZ49" s="194" t="str">
        <f aca="false">IF(Model!CX52=0,"",Model!CX52)</f>
        <v/>
      </c>
      <c r="DA49" s="194" t="str">
        <f aca="false">IF(Model!CY52=0,"",Model!CY52)</f>
        <v/>
      </c>
      <c r="DB49" s="194" t="str">
        <f aca="false">IF(Model!CZ52=0,"",Model!CZ52)</f>
        <v/>
      </c>
    </row>
    <row r="50" customFormat="false" ht="15" hidden="false" customHeight="true" outlineLevel="0" collapsed="false">
      <c r="A50" s="125" t="s">
        <v>47</v>
      </c>
      <c r="B50" s="191" t="n">
        <f aca="false">Projects!$B$44</f>
        <v>15000000</v>
      </c>
      <c r="C50" s="192" t="n">
        <f aca="false">EDATE(Model!$E$2,Projects!$C$44-1)</f>
        <v>47727</v>
      </c>
      <c r="D50" s="192" t="n">
        <f aca="false">EDATE(Model!$E$2,Projects!$C$44+Projects!$D$44-2)</f>
        <v>48274</v>
      </c>
      <c r="E50" s="193" t="n">
        <f aca="false">Projects!$D$44</f>
        <v>19</v>
      </c>
      <c r="F50" s="191" t="n">
        <f aca="false">SUM(G50:DB50)</f>
        <v>13194135</v>
      </c>
      <c r="G50" s="194" t="str">
        <f aca="false">IF(Model!E53=0,"",Model!E53)</f>
        <v/>
      </c>
      <c r="H50" s="194" t="str">
        <f aca="false">IF(Model!F53=0,"",Model!F53)</f>
        <v/>
      </c>
      <c r="I50" s="194" t="str">
        <f aca="false">IF(Model!G53=0,"",Model!G53)</f>
        <v/>
      </c>
      <c r="J50" s="194" t="str">
        <f aca="false">IF(Model!H53=0,"",Model!H53)</f>
        <v/>
      </c>
      <c r="K50" s="194" t="str">
        <f aca="false">IF(Model!I53=0,"",Model!I53)</f>
        <v/>
      </c>
      <c r="L50" s="194" t="str">
        <f aca="false">IF(Model!J53=0,"",Model!J53)</f>
        <v/>
      </c>
      <c r="M50" s="194" t="str">
        <f aca="false">IF(Model!K53=0,"",Model!K53)</f>
        <v/>
      </c>
      <c r="N50" s="194" t="str">
        <f aca="false">IF(Model!L53=0,"",Model!L53)</f>
        <v/>
      </c>
      <c r="O50" s="194" t="str">
        <f aca="false">IF(Model!M53=0,"",Model!M53)</f>
        <v/>
      </c>
      <c r="P50" s="194" t="str">
        <f aca="false">IF(Model!N53=0,"",Model!N53)</f>
        <v/>
      </c>
      <c r="Q50" s="194" t="str">
        <f aca="false">IF(Model!O53=0,"",Model!O53)</f>
        <v/>
      </c>
      <c r="R50" s="194" t="str">
        <f aca="false">IF(Model!P53=0,"",Model!P53)</f>
        <v/>
      </c>
      <c r="S50" s="194" t="str">
        <f aca="false">IF(Model!Q53=0,"",Model!Q53)</f>
        <v/>
      </c>
      <c r="T50" s="194" t="str">
        <f aca="false">IF(Model!R53=0,"",Model!R53)</f>
        <v/>
      </c>
      <c r="U50" s="194" t="str">
        <f aca="false">IF(Model!S53=0,"",Model!S53)</f>
        <v/>
      </c>
      <c r="V50" s="194" t="str">
        <f aca="false">IF(Model!T53=0,"",Model!T53)</f>
        <v/>
      </c>
      <c r="W50" s="194" t="str">
        <f aca="false">IF(Model!U53=0,"",Model!U53)</f>
        <v/>
      </c>
      <c r="X50" s="194" t="str">
        <f aca="false">IF(Model!V53=0,"",Model!V53)</f>
        <v/>
      </c>
      <c r="Y50" s="194" t="str">
        <f aca="false">IF(Model!W53=0,"",Model!W53)</f>
        <v/>
      </c>
      <c r="Z50" s="194" t="str">
        <f aca="false">IF(Model!X53=0,"",Model!X53)</f>
        <v/>
      </c>
      <c r="AA50" s="194" t="str">
        <f aca="false">IF(Model!Y53=0,"",Model!Y53)</f>
        <v/>
      </c>
      <c r="AB50" s="194" t="str">
        <f aca="false">IF(Model!Z53=0,"",Model!Z53)</f>
        <v/>
      </c>
      <c r="AC50" s="194" t="str">
        <f aca="false">IF(Model!AA53=0,"",Model!AA53)</f>
        <v/>
      </c>
      <c r="AD50" s="194" t="str">
        <f aca="false">IF(Model!AB53=0,"",Model!AB53)</f>
        <v/>
      </c>
      <c r="AE50" s="194" t="str">
        <f aca="false">IF(Model!AC53=0,"",Model!AC53)</f>
        <v/>
      </c>
      <c r="AF50" s="194" t="str">
        <f aca="false">IF(Model!AD53=0,"",Model!AD53)</f>
        <v/>
      </c>
      <c r="AG50" s="194" t="str">
        <f aca="false">IF(Model!AE53=0,"",Model!AE53)</f>
        <v/>
      </c>
      <c r="AH50" s="194" t="str">
        <f aca="false">IF(Model!AF53=0,"",Model!AF53)</f>
        <v/>
      </c>
      <c r="AI50" s="194" t="str">
        <f aca="false">IF(Model!AG53=0,"",Model!AG53)</f>
        <v/>
      </c>
      <c r="AJ50" s="194" t="str">
        <f aca="false">IF(Model!AH53=0,"",Model!AH53)</f>
        <v/>
      </c>
      <c r="AK50" s="194" t="str">
        <f aca="false">IF(Model!AI53=0,"",Model!AI53)</f>
        <v/>
      </c>
      <c r="AL50" s="194" t="str">
        <f aca="false">IF(Model!AJ53=0,"",Model!AJ53)</f>
        <v/>
      </c>
      <c r="AM50" s="194" t="str">
        <f aca="false">IF(Model!AK53=0,"",Model!AK53)</f>
        <v/>
      </c>
      <c r="AN50" s="194" t="str">
        <f aca="false">IF(Model!AL53=0,"",Model!AL53)</f>
        <v/>
      </c>
      <c r="AO50" s="194" t="str">
        <f aca="false">IF(Model!AM53=0,"",Model!AM53)</f>
        <v/>
      </c>
      <c r="AP50" s="194" t="str">
        <f aca="false">IF(Model!AN53=0,"",Model!AN53)</f>
        <v/>
      </c>
      <c r="AQ50" s="194" t="str">
        <f aca="false">IF(Model!AO53=0,"",Model!AO53)</f>
        <v/>
      </c>
      <c r="AR50" s="194" t="str">
        <f aca="false">IF(Model!AP53=0,"",Model!AP53)</f>
        <v/>
      </c>
      <c r="AS50" s="194" t="str">
        <f aca="false">IF(Model!AQ53=0,"",Model!AQ53)</f>
        <v/>
      </c>
      <c r="AT50" s="194" t="str">
        <f aca="false">IF(Model!AR53=0,"",Model!AR53)</f>
        <v/>
      </c>
      <c r="AU50" s="194" t="str">
        <f aca="false">IF(Model!AS53=0,"",Model!AS53)</f>
        <v/>
      </c>
      <c r="AV50" s="194" t="str">
        <f aca="false">IF(Model!AT53=0,"",Model!AT53)</f>
        <v/>
      </c>
      <c r="AW50" s="194" t="str">
        <f aca="false">IF(Model!AU53=0,"",Model!AU53)</f>
        <v/>
      </c>
      <c r="AX50" s="194" t="str">
        <f aca="false">IF(Model!AV53=0,"",Model!AV53)</f>
        <v/>
      </c>
      <c r="AY50" s="194" t="str">
        <f aca="false">IF(Model!AW53=0,"",Model!AW53)</f>
        <v/>
      </c>
      <c r="AZ50" s="194" t="str">
        <f aca="false">IF(Model!AX53=0,"",Model!AX53)</f>
        <v/>
      </c>
      <c r="BA50" s="194" t="str">
        <f aca="false">IF(Model!AY53=0,"",Model!AY53)</f>
        <v/>
      </c>
      <c r="BB50" s="194" t="str">
        <f aca="false">IF(Model!AZ53=0,"",Model!AZ53)</f>
        <v/>
      </c>
      <c r="BC50" s="194" t="str">
        <f aca="false">IF(Model!BA53=0,"",Model!BA53)</f>
        <v/>
      </c>
      <c r="BD50" s="194" t="str">
        <f aca="false">IF(Model!BB53=0,"",Model!BB53)</f>
        <v/>
      </c>
      <c r="BE50" s="194" t="str">
        <f aca="false">IF(Model!BC53=0,"",Model!BC53)</f>
        <v/>
      </c>
      <c r="BF50" s="194" t="str">
        <f aca="false">IF(Model!BD53=0,"",Model!BD53)</f>
        <v/>
      </c>
      <c r="BG50" s="194" t="str">
        <f aca="false">IF(Model!BE53=0,"",Model!BE53)</f>
        <v/>
      </c>
      <c r="BH50" s="194" t="n">
        <f aca="false">IF(Model!BF53=0,"",Model!BF53)</f>
        <v>307461.75</v>
      </c>
      <c r="BI50" s="194" t="n">
        <f aca="false">IF(Model!BG53=0,"",Model!BG53)</f>
        <v>401121.75</v>
      </c>
      <c r="BJ50" s="194" t="n">
        <f aca="false">IF(Model!BH53=0,"",Model!BH53)</f>
        <v>501936.75</v>
      </c>
      <c r="BK50" s="194" t="n">
        <f aca="false">IF(Model!BI53=0,"",Model!BI53)</f>
        <v>605886.75</v>
      </c>
      <c r="BL50" s="194" t="n">
        <f aca="false">IF(Model!BJ53=0,"",Model!BJ53)</f>
        <v>707976.75</v>
      </c>
      <c r="BM50" s="194" t="n">
        <f aca="false">IF(Model!BK53=0,"",Model!BK53)</f>
        <v>802536.75</v>
      </c>
      <c r="BN50" s="194" t="n">
        <f aca="false">IF(Model!BL53=0,"",Model!BL53)</f>
        <v>883761.75</v>
      </c>
      <c r="BO50" s="194" t="n">
        <f aca="false">IF(Model!BM53=0,"",Model!BM53)</f>
        <v>946266.75</v>
      </c>
      <c r="BP50" s="194" t="n">
        <f aca="false">IF(Model!BN53=0,"",Model!BN53)</f>
        <v>985686.75</v>
      </c>
      <c r="BQ50" s="194" t="n">
        <f aca="false">IF(Model!BO53=0,"",Model!BO53)</f>
        <v>999156.75</v>
      </c>
      <c r="BR50" s="194" t="n">
        <f aca="false">IF(Model!BP53=0,"",Model!BP53)</f>
        <v>985686.75</v>
      </c>
      <c r="BS50" s="194" t="n">
        <f aca="false">IF(Model!BQ53=0,"",Model!BQ53)</f>
        <v>946266.75</v>
      </c>
      <c r="BT50" s="194" t="n">
        <f aca="false">IF(Model!BR53=0,"",Model!BR53)</f>
        <v>883761.75</v>
      </c>
      <c r="BU50" s="194" t="n">
        <f aca="false">IF(Model!BS53=0,"",Model!BS53)</f>
        <v>802536.75</v>
      </c>
      <c r="BV50" s="194" t="n">
        <f aca="false">IF(Model!BT53=0,"",Model!BT53)</f>
        <v>707976.75</v>
      </c>
      <c r="BW50" s="194" t="n">
        <f aca="false">IF(Model!BU53=0,"",Model!BU53)</f>
        <v>605886.75</v>
      </c>
      <c r="BX50" s="194" t="n">
        <f aca="false">IF(Model!BV53=0,"",Model!BV53)</f>
        <v>501936.75</v>
      </c>
      <c r="BY50" s="194" t="n">
        <f aca="false">IF(Model!BW53=0,"",Model!BW53)</f>
        <v>401121.75</v>
      </c>
      <c r="BZ50" s="194" t="n">
        <f aca="false">IF(Model!BX53=0,"",Model!BX53)</f>
        <v>217168.5</v>
      </c>
      <c r="CA50" s="194" t="str">
        <f aca="false">IF(Model!BY53=0,"",Model!BY53)</f>
        <v/>
      </c>
      <c r="CB50" s="194" t="str">
        <f aca="false">IF(Model!BZ53=0,"",Model!BZ53)</f>
        <v/>
      </c>
      <c r="CC50" s="194" t="str">
        <f aca="false">IF(Model!CA53=0,"",Model!CA53)</f>
        <v/>
      </c>
      <c r="CD50" s="194" t="str">
        <f aca="false">IF(Model!CB53=0,"",Model!CB53)</f>
        <v/>
      </c>
      <c r="CE50" s="194" t="str">
        <f aca="false">IF(Model!CC53=0,"",Model!CC53)</f>
        <v/>
      </c>
      <c r="CF50" s="194" t="str">
        <f aca="false">IF(Model!CD53=0,"",Model!CD53)</f>
        <v/>
      </c>
      <c r="CG50" s="194" t="str">
        <f aca="false">IF(Model!CE53=0,"",Model!CE53)</f>
        <v/>
      </c>
      <c r="CH50" s="194" t="str">
        <f aca="false">IF(Model!CF53=0,"",Model!CF53)</f>
        <v/>
      </c>
      <c r="CI50" s="194" t="str">
        <f aca="false">IF(Model!CG53=0,"",Model!CG53)</f>
        <v/>
      </c>
      <c r="CJ50" s="194" t="str">
        <f aca="false">IF(Model!CH53=0,"",Model!CH53)</f>
        <v/>
      </c>
      <c r="CK50" s="194" t="str">
        <f aca="false">IF(Model!CI53=0,"",Model!CI53)</f>
        <v/>
      </c>
      <c r="CL50" s="194" t="str">
        <f aca="false">IF(Model!CJ53=0,"",Model!CJ53)</f>
        <v/>
      </c>
      <c r="CM50" s="194" t="str">
        <f aca="false">IF(Model!CK53=0,"",Model!CK53)</f>
        <v/>
      </c>
      <c r="CN50" s="194" t="str">
        <f aca="false">IF(Model!CL53=0,"",Model!CL53)</f>
        <v/>
      </c>
      <c r="CO50" s="194" t="str">
        <f aca="false">IF(Model!CM53=0,"",Model!CM53)</f>
        <v/>
      </c>
      <c r="CP50" s="194" t="str">
        <f aca="false">IF(Model!CN53=0,"",Model!CN53)</f>
        <v/>
      </c>
      <c r="CQ50" s="194" t="str">
        <f aca="false">IF(Model!CO53=0,"",Model!CO53)</f>
        <v/>
      </c>
      <c r="CR50" s="194" t="str">
        <f aca="false">IF(Model!CP53=0,"",Model!CP53)</f>
        <v/>
      </c>
      <c r="CS50" s="194" t="str">
        <f aca="false">IF(Model!CQ53=0,"",Model!CQ53)</f>
        <v/>
      </c>
      <c r="CT50" s="194" t="str">
        <f aca="false">IF(Model!CR53=0,"",Model!CR53)</f>
        <v/>
      </c>
      <c r="CU50" s="194" t="str">
        <f aca="false">IF(Model!CS53=0,"",Model!CS53)</f>
        <v/>
      </c>
      <c r="CV50" s="194" t="str">
        <f aca="false">IF(Model!CT53=0,"",Model!CT53)</f>
        <v/>
      </c>
      <c r="CW50" s="194" t="str">
        <f aca="false">IF(Model!CU53=0,"",Model!CU53)</f>
        <v/>
      </c>
      <c r="CX50" s="194" t="str">
        <f aca="false">IF(Model!CV53=0,"",Model!CV53)</f>
        <v/>
      </c>
      <c r="CY50" s="194" t="str">
        <f aca="false">IF(Model!CW53=0,"",Model!CW53)</f>
        <v/>
      </c>
      <c r="CZ50" s="194" t="str">
        <f aca="false">IF(Model!CX53=0,"",Model!CX53)</f>
        <v/>
      </c>
      <c r="DA50" s="194" t="str">
        <f aca="false">IF(Model!CY53=0,"",Model!CY53)</f>
        <v/>
      </c>
      <c r="DB50" s="194" t="str">
        <f aca="false">IF(Model!CZ53=0,"",Model!CZ53)</f>
        <v/>
      </c>
    </row>
    <row r="51" customFormat="false" ht="15" hidden="false" customHeight="true" outlineLevel="0" collapsed="false">
      <c r="A51" s="125" t="s">
        <v>48</v>
      </c>
      <c r="B51" s="191" t="n">
        <f aca="false">Projects!$B$45</f>
        <v>18000000</v>
      </c>
      <c r="C51" s="192" t="n">
        <f aca="false">EDATE(Model!$E$2,Projects!$C$45-1)</f>
        <v>47757</v>
      </c>
      <c r="D51" s="192" t="n">
        <f aca="false">EDATE(Model!$E$2,Projects!$C$45+Projects!$D$45-2)</f>
        <v>48305</v>
      </c>
      <c r="E51" s="193" t="n">
        <f aca="false">Projects!$D$45</f>
        <v>19</v>
      </c>
      <c r="F51" s="191" t="n">
        <f aca="false">SUM(G51:DB51)</f>
        <v>15832962</v>
      </c>
      <c r="G51" s="194" t="str">
        <f aca="false">IF(Model!E54=0,"",Model!E54)</f>
        <v/>
      </c>
      <c r="H51" s="194" t="str">
        <f aca="false">IF(Model!F54=0,"",Model!F54)</f>
        <v/>
      </c>
      <c r="I51" s="194" t="str">
        <f aca="false">IF(Model!G54=0,"",Model!G54)</f>
        <v/>
      </c>
      <c r="J51" s="194" t="str">
        <f aca="false">IF(Model!H54=0,"",Model!H54)</f>
        <v/>
      </c>
      <c r="K51" s="194" t="str">
        <f aca="false">IF(Model!I54=0,"",Model!I54)</f>
        <v/>
      </c>
      <c r="L51" s="194" t="str">
        <f aca="false">IF(Model!J54=0,"",Model!J54)</f>
        <v/>
      </c>
      <c r="M51" s="194" t="str">
        <f aca="false">IF(Model!K54=0,"",Model!K54)</f>
        <v/>
      </c>
      <c r="N51" s="194" t="str">
        <f aca="false">IF(Model!L54=0,"",Model!L54)</f>
        <v/>
      </c>
      <c r="O51" s="194" t="str">
        <f aca="false">IF(Model!M54=0,"",Model!M54)</f>
        <v/>
      </c>
      <c r="P51" s="194" t="str">
        <f aca="false">IF(Model!N54=0,"",Model!N54)</f>
        <v/>
      </c>
      <c r="Q51" s="194" t="str">
        <f aca="false">IF(Model!O54=0,"",Model!O54)</f>
        <v/>
      </c>
      <c r="R51" s="194" t="str">
        <f aca="false">IF(Model!P54=0,"",Model!P54)</f>
        <v/>
      </c>
      <c r="S51" s="194" t="str">
        <f aca="false">IF(Model!Q54=0,"",Model!Q54)</f>
        <v/>
      </c>
      <c r="T51" s="194" t="str">
        <f aca="false">IF(Model!R54=0,"",Model!R54)</f>
        <v/>
      </c>
      <c r="U51" s="194" t="str">
        <f aca="false">IF(Model!S54=0,"",Model!S54)</f>
        <v/>
      </c>
      <c r="V51" s="194" t="str">
        <f aca="false">IF(Model!T54=0,"",Model!T54)</f>
        <v/>
      </c>
      <c r="W51" s="194" t="str">
        <f aca="false">IF(Model!U54=0,"",Model!U54)</f>
        <v/>
      </c>
      <c r="X51" s="194" t="str">
        <f aca="false">IF(Model!V54=0,"",Model!V54)</f>
        <v/>
      </c>
      <c r="Y51" s="194" t="str">
        <f aca="false">IF(Model!W54=0,"",Model!W54)</f>
        <v/>
      </c>
      <c r="Z51" s="194" t="str">
        <f aca="false">IF(Model!X54=0,"",Model!X54)</f>
        <v/>
      </c>
      <c r="AA51" s="194" t="str">
        <f aca="false">IF(Model!Y54=0,"",Model!Y54)</f>
        <v/>
      </c>
      <c r="AB51" s="194" t="str">
        <f aca="false">IF(Model!Z54=0,"",Model!Z54)</f>
        <v/>
      </c>
      <c r="AC51" s="194" t="str">
        <f aca="false">IF(Model!AA54=0,"",Model!AA54)</f>
        <v/>
      </c>
      <c r="AD51" s="194" t="str">
        <f aca="false">IF(Model!AB54=0,"",Model!AB54)</f>
        <v/>
      </c>
      <c r="AE51" s="194" t="str">
        <f aca="false">IF(Model!AC54=0,"",Model!AC54)</f>
        <v/>
      </c>
      <c r="AF51" s="194" t="str">
        <f aca="false">IF(Model!AD54=0,"",Model!AD54)</f>
        <v/>
      </c>
      <c r="AG51" s="194" t="str">
        <f aca="false">IF(Model!AE54=0,"",Model!AE54)</f>
        <v/>
      </c>
      <c r="AH51" s="194" t="str">
        <f aca="false">IF(Model!AF54=0,"",Model!AF54)</f>
        <v/>
      </c>
      <c r="AI51" s="194" t="str">
        <f aca="false">IF(Model!AG54=0,"",Model!AG54)</f>
        <v/>
      </c>
      <c r="AJ51" s="194" t="str">
        <f aca="false">IF(Model!AH54=0,"",Model!AH54)</f>
        <v/>
      </c>
      <c r="AK51" s="194" t="str">
        <f aca="false">IF(Model!AI54=0,"",Model!AI54)</f>
        <v/>
      </c>
      <c r="AL51" s="194" t="str">
        <f aca="false">IF(Model!AJ54=0,"",Model!AJ54)</f>
        <v/>
      </c>
      <c r="AM51" s="194" t="str">
        <f aca="false">IF(Model!AK54=0,"",Model!AK54)</f>
        <v/>
      </c>
      <c r="AN51" s="194" t="str">
        <f aca="false">IF(Model!AL54=0,"",Model!AL54)</f>
        <v/>
      </c>
      <c r="AO51" s="194" t="str">
        <f aca="false">IF(Model!AM54=0,"",Model!AM54)</f>
        <v/>
      </c>
      <c r="AP51" s="194" t="str">
        <f aca="false">IF(Model!AN54=0,"",Model!AN54)</f>
        <v/>
      </c>
      <c r="AQ51" s="194" t="str">
        <f aca="false">IF(Model!AO54=0,"",Model!AO54)</f>
        <v/>
      </c>
      <c r="AR51" s="194" t="str">
        <f aca="false">IF(Model!AP54=0,"",Model!AP54)</f>
        <v/>
      </c>
      <c r="AS51" s="194" t="str">
        <f aca="false">IF(Model!AQ54=0,"",Model!AQ54)</f>
        <v/>
      </c>
      <c r="AT51" s="194" t="str">
        <f aca="false">IF(Model!AR54=0,"",Model!AR54)</f>
        <v/>
      </c>
      <c r="AU51" s="194" t="str">
        <f aca="false">IF(Model!AS54=0,"",Model!AS54)</f>
        <v/>
      </c>
      <c r="AV51" s="194" t="str">
        <f aca="false">IF(Model!AT54=0,"",Model!AT54)</f>
        <v/>
      </c>
      <c r="AW51" s="194" t="str">
        <f aca="false">IF(Model!AU54=0,"",Model!AU54)</f>
        <v/>
      </c>
      <c r="AX51" s="194" t="str">
        <f aca="false">IF(Model!AV54=0,"",Model!AV54)</f>
        <v/>
      </c>
      <c r="AY51" s="194" t="str">
        <f aca="false">IF(Model!AW54=0,"",Model!AW54)</f>
        <v/>
      </c>
      <c r="AZ51" s="194" t="str">
        <f aca="false">IF(Model!AX54=0,"",Model!AX54)</f>
        <v/>
      </c>
      <c r="BA51" s="194" t="str">
        <f aca="false">IF(Model!AY54=0,"",Model!AY54)</f>
        <v/>
      </c>
      <c r="BB51" s="194" t="str">
        <f aca="false">IF(Model!AZ54=0,"",Model!AZ54)</f>
        <v/>
      </c>
      <c r="BC51" s="194" t="str">
        <f aca="false">IF(Model!BA54=0,"",Model!BA54)</f>
        <v/>
      </c>
      <c r="BD51" s="194" t="str">
        <f aca="false">IF(Model!BB54=0,"",Model!BB54)</f>
        <v/>
      </c>
      <c r="BE51" s="194" t="str">
        <f aca="false">IF(Model!BC54=0,"",Model!BC54)</f>
        <v/>
      </c>
      <c r="BF51" s="194" t="str">
        <f aca="false">IF(Model!BD54=0,"",Model!BD54)</f>
        <v/>
      </c>
      <c r="BG51" s="194" t="str">
        <f aca="false">IF(Model!BE54=0,"",Model!BE54)</f>
        <v/>
      </c>
      <c r="BH51" s="194" t="str">
        <f aca="false">IF(Model!BF54=0,"",Model!BF54)</f>
        <v/>
      </c>
      <c r="BI51" s="194" t="n">
        <f aca="false">IF(Model!BG54=0,"",Model!BG54)</f>
        <v>368954.1</v>
      </c>
      <c r="BJ51" s="194" t="n">
        <f aca="false">IF(Model!BH54=0,"",Model!BH54)</f>
        <v>481346.1</v>
      </c>
      <c r="BK51" s="194" t="n">
        <f aca="false">IF(Model!BI54=0,"",Model!BI54)</f>
        <v>602324.1</v>
      </c>
      <c r="BL51" s="194" t="n">
        <f aca="false">IF(Model!BJ54=0,"",Model!BJ54)</f>
        <v>727064.1</v>
      </c>
      <c r="BM51" s="194" t="n">
        <f aca="false">IF(Model!BK54=0,"",Model!BK54)</f>
        <v>849572.1</v>
      </c>
      <c r="BN51" s="194" t="n">
        <f aca="false">IF(Model!BL54=0,"",Model!BL54)</f>
        <v>963044.1</v>
      </c>
      <c r="BO51" s="194" t="n">
        <f aca="false">IF(Model!BM54=0,"",Model!BM54)</f>
        <v>1060514.1</v>
      </c>
      <c r="BP51" s="194" t="n">
        <f aca="false">IF(Model!BN54=0,"",Model!BN54)</f>
        <v>1135520.1</v>
      </c>
      <c r="BQ51" s="194" t="n">
        <f aca="false">IF(Model!BO54=0,"",Model!BO54)</f>
        <v>1182824.1</v>
      </c>
      <c r="BR51" s="194" t="n">
        <f aca="false">IF(Model!BP54=0,"",Model!BP54)</f>
        <v>1198988.1</v>
      </c>
      <c r="BS51" s="194" t="n">
        <f aca="false">IF(Model!BQ54=0,"",Model!BQ54)</f>
        <v>1182824.1</v>
      </c>
      <c r="BT51" s="194" t="n">
        <f aca="false">IF(Model!BR54=0,"",Model!BR54)</f>
        <v>1135520.1</v>
      </c>
      <c r="BU51" s="194" t="n">
        <f aca="false">IF(Model!BS54=0,"",Model!BS54)</f>
        <v>1060514.1</v>
      </c>
      <c r="BV51" s="194" t="n">
        <f aca="false">IF(Model!BT54=0,"",Model!BT54)</f>
        <v>963044.1</v>
      </c>
      <c r="BW51" s="194" t="n">
        <f aca="false">IF(Model!BU54=0,"",Model!BU54)</f>
        <v>849572.1</v>
      </c>
      <c r="BX51" s="194" t="n">
        <f aca="false">IF(Model!BV54=0,"",Model!BV54)</f>
        <v>727064.1</v>
      </c>
      <c r="BY51" s="194" t="n">
        <f aca="false">IF(Model!BW54=0,"",Model!BW54)</f>
        <v>602324.1</v>
      </c>
      <c r="BZ51" s="194" t="n">
        <f aca="false">IF(Model!BX54=0,"",Model!BX54)</f>
        <v>481346.1</v>
      </c>
      <c r="CA51" s="194" t="n">
        <f aca="false">IF(Model!BY54=0,"",Model!BY54)</f>
        <v>260602.2</v>
      </c>
      <c r="CB51" s="194" t="str">
        <f aca="false">IF(Model!BZ54=0,"",Model!BZ54)</f>
        <v/>
      </c>
      <c r="CC51" s="194" t="str">
        <f aca="false">IF(Model!CA54=0,"",Model!CA54)</f>
        <v/>
      </c>
      <c r="CD51" s="194" t="str">
        <f aca="false">IF(Model!CB54=0,"",Model!CB54)</f>
        <v/>
      </c>
      <c r="CE51" s="194" t="str">
        <f aca="false">IF(Model!CC54=0,"",Model!CC54)</f>
        <v/>
      </c>
      <c r="CF51" s="194" t="str">
        <f aca="false">IF(Model!CD54=0,"",Model!CD54)</f>
        <v/>
      </c>
      <c r="CG51" s="194" t="str">
        <f aca="false">IF(Model!CE54=0,"",Model!CE54)</f>
        <v/>
      </c>
      <c r="CH51" s="194" t="str">
        <f aca="false">IF(Model!CF54=0,"",Model!CF54)</f>
        <v/>
      </c>
      <c r="CI51" s="194" t="str">
        <f aca="false">IF(Model!CG54=0,"",Model!CG54)</f>
        <v/>
      </c>
      <c r="CJ51" s="194" t="str">
        <f aca="false">IF(Model!CH54=0,"",Model!CH54)</f>
        <v/>
      </c>
      <c r="CK51" s="194" t="str">
        <f aca="false">IF(Model!CI54=0,"",Model!CI54)</f>
        <v/>
      </c>
      <c r="CL51" s="194" t="str">
        <f aca="false">IF(Model!CJ54=0,"",Model!CJ54)</f>
        <v/>
      </c>
      <c r="CM51" s="194" t="str">
        <f aca="false">IF(Model!CK54=0,"",Model!CK54)</f>
        <v/>
      </c>
      <c r="CN51" s="194" t="str">
        <f aca="false">IF(Model!CL54=0,"",Model!CL54)</f>
        <v/>
      </c>
      <c r="CO51" s="194" t="str">
        <f aca="false">IF(Model!CM54=0,"",Model!CM54)</f>
        <v/>
      </c>
      <c r="CP51" s="194" t="str">
        <f aca="false">IF(Model!CN54=0,"",Model!CN54)</f>
        <v/>
      </c>
      <c r="CQ51" s="194" t="str">
        <f aca="false">IF(Model!CO54=0,"",Model!CO54)</f>
        <v/>
      </c>
      <c r="CR51" s="194" t="str">
        <f aca="false">IF(Model!CP54=0,"",Model!CP54)</f>
        <v/>
      </c>
      <c r="CS51" s="194" t="str">
        <f aca="false">IF(Model!CQ54=0,"",Model!CQ54)</f>
        <v/>
      </c>
      <c r="CT51" s="194" t="str">
        <f aca="false">IF(Model!CR54=0,"",Model!CR54)</f>
        <v/>
      </c>
      <c r="CU51" s="194" t="str">
        <f aca="false">IF(Model!CS54=0,"",Model!CS54)</f>
        <v/>
      </c>
      <c r="CV51" s="194" t="str">
        <f aca="false">IF(Model!CT54=0,"",Model!CT54)</f>
        <v/>
      </c>
      <c r="CW51" s="194" t="str">
        <f aca="false">IF(Model!CU54=0,"",Model!CU54)</f>
        <v/>
      </c>
      <c r="CX51" s="194" t="str">
        <f aca="false">IF(Model!CV54=0,"",Model!CV54)</f>
        <v/>
      </c>
      <c r="CY51" s="194" t="str">
        <f aca="false">IF(Model!CW54=0,"",Model!CW54)</f>
        <v/>
      </c>
      <c r="CZ51" s="194" t="str">
        <f aca="false">IF(Model!CX54=0,"",Model!CX54)</f>
        <v/>
      </c>
      <c r="DA51" s="194" t="str">
        <f aca="false">IF(Model!CY54=0,"",Model!CY54)</f>
        <v/>
      </c>
      <c r="DB51" s="194" t="str">
        <f aca="false">IF(Model!CZ54=0,"",Model!CZ54)</f>
        <v/>
      </c>
    </row>
    <row r="52" customFormat="false" ht="15" hidden="false" customHeight="true" outlineLevel="0" collapsed="false">
      <c r="A52" s="125" t="s">
        <v>49</v>
      </c>
      <c r="B52" s="191" t="n">
        <f aca="false">Projects!$B$46</f>
        <v>15000000</v>
      </c>
      <c r="C52" s="192" t="n">
        <f aca="false">EDATE(Model!$E$2,Projects!$C$46-1)</f>
        <v>47788</v>
      </c>
      <c r="D52" s="192" t="n">
        <f aca="false">EDATE(Model!$E$2,Projects!$C$46+Projects!$D$46-2)</f>
        <v>48335</v>
      </c>
      <c r="E52" s="193" t="n">
        <f aca="false">Projects!$D$46</f>
        <v>19</v>
      </c>
      <c r="F52" s="191" t="n">
        <f aca="false">SUM(G52:DB52)</f>
        <v>13194135</v>
      </c>
      <c r="G52" s="194" t="str">
        <f aca="false">IF(Model!E55=0,"",Model!E55)</f>
        <v/>
      </c>
      <c r="H52" s="194" t="str">
        <f aca="false">IF(Model!F55=0,"",Model!F55)</f>
        <v/>
      </c>
      <c r="I52" s="194" t="str">
        <f aca="false">IF(Model!G55=0,"",Model!G55)</f>
        <v/>
      </c>
      <c r="J52" s="194" t="str">
        <f aca="false">IF(Model!H55=0,"",Model!H55)</f>
        <v/>
      </c>
      <c r="K52" s="194" t="str">
        <f aca="false">IF(Model!I55=0,"",Model!I55)</f>
        <v/>
      </c>
      <c r="L52" s="194" t="str">
        <f aca="false">IF(Model!J55=0,"",Model!J55)</f>
        <v/>
      </c>
      <c r="M52" s="194" t="str">
        <f aca="false">IF(Model!K55=0,"",Model!K55)</f>
        <v/>
      </c>
      <c r="N52" s="194" t="str">
        <f aca="false">IF(Model!L55=0,"",Model!L55)</f>
        <v/>
      </c>
      <c r="O52" s="194" t="str">
        <f aca="false">IF(Model!M55=0,"",Model!M55)</f>
        <v/>
      </c>
      <c r="P52" s="194" t="str">
        <f aca="false">IF(Model!N55=0,"",Model!N55)</f>
        <v/>
      </c>
      <c r="Q52" s="194" t="str">
        <f aca="false">IF(Model!O55=0,"",Model!O55)</f>
        <v/>
      </c>
      <c r="R52" s="194" t="str">
        <f aca="false">IF(Model!P55=0,"",Model!P55)</f>
        <v/>
      </c>
      <c r="S52" s="194" t="str">
        <f aca="false">IF(Model!Q55=0,"",Model!Q55)</f>
        <v/>
      </c>
      <c r="T52" s="194" t="str">
        <f aca="false">IF(Model!R55=0,"",Model!R55)</f>
        <v/>
      </c>
      <c r="U52" s="194" t="str">
        <f aca="false">IF(Model!S55=0,"",Model!S55)</f>
        <v/>
      </c>
      <c r="V52" s="194" t="str">
        <f aca="false">IF(Model!T55=0,"",Model!T55)</f>
        <v/>
      </c>
      <c r="W52" s="194" t="str">
        <f aca="false">IF(Model!U55=0,"",Model!U55)</f>
        <v/>
      </c>
      <c r="X52" s="194" t="str">
        <f aca="false">IF(Model!V55=0,"",Model!V55)</f>
        <v/>
      </c>
      <c r="Y52" s="194" t="str">
        <f aca="false">IF(Model!W55=0,"",Model!W55)</f>
        <v/>
      </c>
      <c r="Z52" s="194" t="str">
        <f aca="false">IF(Model!X55=0,"",Model!X55)</f>
        <v/>
      </c>
      <c r="AA52" s="194" t="str">
        <f aca="false">IF(Model!Y55=0,"",Model!Y55)</f>
        <v/>
      </c>
      <c r="AB52" s="194" t="str">
        <f aca="false">IF(Model!Z55=0,"",Model!Z55)</f>
        <v/>
      </c>
      <c r="AC52" s="194" t="str">
        <f aca="false">IF(Model!AA55=0,"",Model!AA55)</f>
        <v/>
      </c>
      <c r="AD52" s="194" t="str">
        <f aca="false">IF(Model!AB55=0,"",Model!AB55)</f>
        <v/>
      </c>
      <c r="AE52" s="194" t="str">
        <f aca="false">IF(Model!AC55=0,"",Model!AC55)</f>
        <v/>
      </c>
      <c r="AF52" s="194" t="str">
        <f aca="false">IF(Model!AD55=0,"",Model!AD55)</f>
        <v/>
      </c>
      <c r="AG52" s="194" t="str">
        <f aca="false">IF(Model!AE55=0,"",Model!AE55)</f>
        <v/>
      </c>
      <c r="AH52" s="194" t="str">
        <f aca="false">IF(Model!AF55=0,"",Model!AF55)</f>
        <v/>
      </c>
      <c r="AI52" s="194" t="str">
        <f aca="false">IF(Model!AG55=0,"",Model!AG55)</f>
        <v/>
      </c>
      <c r="AJ52" s="194" t="str">
        <f aca="false">IF(Model!AH55=0,"",Model!AH55)</f>
        <v/>
      </c>
      <c r="AK52" s="194" t="str">
        <f aca="false">IF(Model!AI55=0,"",Model!AI55)</f>
        <v/>
      </c>
      <c r="AL52" s="194" t="str">
        <f aca="false">IF(Model!AJ55=0,"",Model!AJ55)</f>
        <v/>
      </c>
      <c r="AM52" s="194" t="str">
        <f aca="false">IF(Model!AK55=0,"",Model!AK55)</f>
        <v/>
      </c>
      <c r="AN52" s="194" t="str">
        <f aca="false">IF(Model!AL55=0,"",Model!AL55)</f>
        <v/>
      </c>
      <c r="AO52" s="194" t="str">
        <f aca="false">IF(Model!AM55=0,"",Model!AM55)</f>
        <v/>
      </c>
      <c r="AP52" s="194" t="str">
        <f aca="false">IF(Model!AN55=0,"",Model!AN55)</f>
        <v/>
      </c>
      <c r="AQ52" s="194" t="str">
        <f aca="false">IF(Model!AO55=0,"",Model!AO55)</f>
        <v/>
      </c>
      <c r="AR52" s="194" t="str">
        <f aca="false">IF(Model!AP55=0,"",Model!AP55)</f>
        <v/>
      </c>
      <c r="AS52" s="194" t="str">
        <f aca="false">IF(Model!AQ55=0,"",Model!AQ55)</f>
        <v/>
      </c>
      <c r="AT52" s="194" t="str">
        <f aca="false">IF(Model!AR55=0,"",Model!AR55)</f>
        <v/>
      </c>
      <c r="AU52" s="194" t="str">
        <f aca="false">IF(Model!AS55=0,"",Model!AS55)</f>
        <v/>
      </c>
      <c r="AV52" s="194" t="str">
        <f aca="false">IF(Model!AT55=0,"",Model!AT55)</f>
        <v/>
      </c>
      <c r="AW52" s="194" t="str">
        <f aca="false">IF(Model!AU55=0,"",Model!AU55)</f>
        <v/>
      </c>
      <c r="AX52" s="194" t="str">
        <f aca="false">IF(Model!AV55=0,"",Model!AV55)</f>
        <v/>
      </c>
      <c r="AY52" s="194" t="str">
        <f aca="false">IF(Model!AW55=0,"",Model!AW55)</f>
        <v/>
      </c>
      <c r="AZ52" s="194" t="str">
        <f aca="false">IF(Model!AX55=0,"",Model!AX55)</f>
        <v/>
      </c>
      <c r="BA52" s="194" t="str">
        <f aca="false">IF(Model!AY55=0,"",Model!AY55)</f>
        <v/>
      </c>
      <c r="BB52" s="194" t="str">
        <f aca="false">IF(Model!AZ55=0,"",Model!AZ55)</f>
        <v/>
      </c>
      <c r="BC52" s="194" t="str">
        <f aca="false">IF(Model!BA55=0,"",Model!BA55)</f>
        <v/>
      </c>
      <c r="BD52" s="194" t="str">
        <f aca="false">IF(Model!BB55=0,"",Model!BB55)</f>
        <v/>
      </c>
      <c r="BE52" s="194" t="str">
        <f aca="false">IF(Model!BC55=0,"",Model!BC55)</f>
        <v/>
      </c>
      <c r="BF52" s="194" t="str">
        <f aca="false">IF(Model!BD55=0,"",Model!BD55)</f>
        <v/>
      </c>
      <c r="BG52" s="194" t="str">
        <f aca="false">IF(Model!BE55=0,"",Model!BE55)</f>
        <v/>
      </c>
      <c r="BH52" s="194" t="str">
        <f aca="false">IF(Model!BF55=0,"",Model!BF55)</f>
        <v/>
      </c>
      <c r="BI52" s="194" t="str">
        <f aca="false">IF(Model!BG55=0,"",Model!BG55)</f>
        <v/>
      </c>
      <c r="BJ52" s="194" t="n">
        <f aca="false">IF(Model!BH55=0,"",Model!BH55)</f>
        <v>307461.75</v>
      </c>
      <c r="BK52" s="194" t="n">
        <f aca="false">IF(Model!BI55=0,"",Model!BI55)</f>
        <v>401121.75</v>
      </c>
      <c r="BL52" s="194" t="n">
        <f aca="false">IF(Model!BJ55=0,"",Model!BJ55)</f>
        <v>501936.75</v>
      </c>
      <c r="BM52" s="194" t="n">
        <f aca="false">IF(Model!BK55=0,"",Model!BK55)</f>
        <v>605886.75</v>
      </c>
      <c r="BN52" s="194" t="n">
        <f aca="false">IF(Model!BL55=0,"",Model!BL55)</f>
        <v>707976.75</v>
      </c>
      <c r="BO52" s="194" t="n">
        <f aca="false">IF(Model!BM55=0,"",Model!BM55)</f>
        <v>802536.75</v>
      </c>
      <c r="BP52" s="194" t="n">
        <f aca="false">IF(Model!BN55=0,"",Model!BN55)</f>
        <v>883761.75</v>
      </c>
      <c r="BQ52" s="194" t="n">
        <f aca="false">IF(Model!BO55=0,"",Model!BO55)</f>
        <v>946266.75</v>
      </c>
      <c r="BR52" s="194" t="n">
        <f aca="false">IF(Model!BP55=0,"",Model!BP55)</f>
        <v>985686.75</v>
      </c>
      <c r="BS52" s="194" t="n">
        <f aca="false">IF(Model!BQ55=0,"",Model!BQ55)</f>
        <v>999156.75</v>
      </c>
      <c r="BT52" s="194" t="n">
        <f aca="false">IF(Model!BR55=0,"",Model!BR55)</f>
        <v>985686.75</v>
      </c>
      <c r="BU52" s="194" t="n">
        <f aca="false">IF(Model!BS55=0,"",Model!BS55)</f>
        <v>946266.75</v>
      </c>
      <c r="BV52" s="194" t="n">
        <f aca="false">IF(Model!BT55=0,"",Model!BT55)</f>
        <v>883761.75</v>
      </c>
      <c r="BW52" s="194" t="n">
        <f aca="false">IF(Model!BU55=0,"",Model!BU55)</f>
        <v>802536.75</v>
      </c>
      <c r="BX52" s="194" t="n">
        <f aca="false">IF(Model!BV55=0,"",Model!BV55)</f>
        <v>707976.75</v>
      </c>
      <c r="BY52" s="194" t="n">
        <f aca="false">IF(Model!BW55=0,"",Model!BW55)</f>
        <v>605886.75</v>
      </c>
      <c r="BZ52" s="194" t="n">
        <f aca="false">IF(Model!BX55=0,"",Model!BX55)</f>
        <v>501936.75</v>
      </c>
      <c r="CA52" s="194" t="n">
        <f aca="false">IF(Model!BY55=0,"",Model!BY55)</f>
        <v>401121.75</v>
      </c>
      <c r="CB52" s="194" t="n">
        <f aca="false">IF(Model!BZ55=0,"",Model!BZ55)</f>
        <v>217168.5</v>
      </c>
      <c r="CC52" s="194" t="str">
        <f aca="false">IF(Model!CA55=0,"",Model!CA55)</f>
        <v/>
      </c>
      <c r="CD52" s="194" t="str">
        <f aca="false">IF(Model!CB55=0,"",Model!CB55)</f>
        <v/>
      </c>
      <c r="CE52" s="194" t="str">
        <f aca="false">IF(Model!CC55=0,"",Model!CC55)</f>
        <v/>
      </c>
      <c r="CF52" s="194" t="str">
        <f aca="false">IF(Model!CD55=0,"",Model!CD55)</f>
        <v/>
      </c>
      <c r="CG52" s="194" t="str">
        <f aca="false">IF(Model!CE55=0,"",Model!CE55)</f>
        <v/>
      </c>
      <c r="CH52" s="194" t="str">
        <f aca="false">IF(Model!CF55=0,"",Model!CF55)</f>
        <v/>
      </c>
      <c r="CI52" s="194" t="str">
        <f aca="false">IF(Model!CG55=0,"",Model!CG55)</f>
        <v/>
      </c>
      <c r="CJ52" s="194" t="str">
        <f aca="false">IF(Model!CH55=0,"",Model!CH55)</f>
        <v/>
      </c>
      <c r="CK52" s="194" t="str">
        <f aca="false">IF(Model!CI55=0,"",Model!CI55)</f>
        <v/>
      </c>
      <c r="CL52" s="194" t="str">
        <f aca="false">IF(Model!CJ55=0,"",Model!CJ55)</f>
        <v/>
      </c>
      <c r="CM52" s="194" t="str">
        <f aca="false">IF(Model!CK55=0,"",Model!CK55)</f>
        <v/>
      </c>
      <c r="CN52" s="194" t="str">
        <f aca="false">IF(Model!CL55=0,"",Model!CL55)</f>
        <v/>
      </c>
      <c r="CO52" s="194" t="str">
        <f aca="false">IF(Model!CM55=0,"",Model!CM55)</f>
        <v/>
      </c>
      <c r="CP52" s="194" t="str">
        <f aca="false">IF(Model!CN55=0,"",Model!CN55)</f>
        <v/>
      </c>
      <c r="CQ52" s="194" t="str">
        <f aca="false">IF(Model!CO55=0,"",Model!CO55)</f>
        <v/>
      </c>
      <c r="CR52" s="194" t="str">
        <f aca="false">IF(Model!CP55=0,"",Model!CP55)</f>
        <v/>
      </c>
      <c r="CS52" s="194" t="str">
        <f aca="false">IF(Model!CQ55=0,"",Model!CQ55)</f>
        <v/>
      </c>
      <c r="CT52" s="194" t="str">
        <f aca="false">IF(Model!CR55=0,"",Model!CR55)</f>
        <v/>
      </c>
      <c r="CU52" s="194" t="str">
        <f aca="false">IF(Model!CS55=0,"",Model!CS55)</f>
        <v/>
      </c>
      <c r="CV52" s="194" t="str">
        <f aca="false">IF(Model!CT55=0,"",Model!CT55)</f>
        <v/>
      </c>
      <c r="CW52" s="194" t="str">
        <f aca="false">IF(Model!CU55=0,"",Model!CU55)</f>
        <v/>
      </c>
      <c r="CX52" s="194" t="str">
        <f aca="false">IF(Model!CV55=0,"",Model!CV55)</f>
        <v/>
      </c>
      <c r="CY52" s="194" t="str">
        <f aca="false">IF(Model!CW55=0,"",Model!CW55)</f>
        <v/>
      </c>
      <c r="CZ52" s="194" t="str">
        <f aca="false">IF(Model!CX55=0,"",Model!CX55)</f>
        <v/>
      </c>
      <c r="DA52" s="194" t="str">
        <f aca="false">IF(Model!CY55=0,"",Model!CY55)</f>
        <v/>
      </c>
      <c r="DB52" s="194" t="str">
        <f aca="false">IF(Model!CZ55=0,"",Model!CZ55)</f>
        <v/>
      </c>
    </row>
    <row r="53" customFormat="false" ht="15" hidden="false" customHeight="true" outlineLevel="0" collapsed="false">
      <c r="A53" s="94" t="s">
        <v>585</v>
      </c>
      <c r="G53" s="195" t="n">
        <f aca="false">SUM(G28:G52)</f>
        <v>0</v>
      </c>
      <c r="H53" s="195" t="n">
        <f aca="false">SUM(H28:H52)</f>
        <v>0</v>
      </c>
      <c r="I53" s="195" t="n">
        <f aca="false">SUM(I28:I52)</f>
        <v>0</v>
      </c>
      <c r="J53" s="195" t="n">
        <f aca="false">SUM(J28:J52)</f>
        <v>0</v>
      </c>
      <c r="K53" s="195" t="n">
        <f aca="false">SUM(K28:K52)</f>
        <v>0</v>
      </c>
      <c r="L53" s="195" t="n">
        <f aca="false">SUM(L28:L52)</f>
        <v>0</v>
      </c>
      <c r="M53" s="195" t="n">
        <f aca="false">SUM(M28:M52)</f>
        <v>0</v>
      </c>
      <c r="N53" s="195" t="n">
        <f aca="false">SUM(N28:N52)</f>
        <v>0</v>
      </c>
      <c r="O53" s="195" t="n">
        <f aca="false">SUM(O28:O52)</f>
        <v>0</v>
      </c>
      <c r="P53" s="195" t="n">
        <f aca="false">SUM(P28:P52)</f>
        <v>0</v>
      </c>
      <c r="Q53" s="195" t="n">
        <f aca="false">SUM(Q28:Q52)</f>
        <v>0</v>
      </c>
      <c r="R53" s="195" t="n">
        <f aca="false">SUM(R28:R52)</f>
        <v>0</v>
      </c>
      <c r="S53" s="195" t="n">
        <f aca="false">SUM(S28:S52)</f>
        <v>0</v>
      </c>
      <c r="T53" s="195" t="n">
        <f aca="false">SUM(T28:T52)</f>
        <v>0</v>
      </c>
      <c r="U53" s="195" t="n">
        <f aca="false">SUM(U28:U52)</f>
        <v>0</v>
      </c>
      <c r="V53" s="195" t="n">
        <f aca="false">SUM(V28:V52)</f>
        <v>0</v>
      </c>
      <c r="W53" s="195" t="n">
        <f aca="false">SUM(W28:W52)</f>
        <v>0</v>
      </c>
      <c r="X53" s="195" t="n">
        <f aca="false">SUM(X28:X52)</f>
        <v>0</v>
      </c>
      <c r="Y53" s="195" t="n">
        <f aca="false">SUM(Y28:Y52)</f>
        <v>0</v>
      </c>
      <c r="Z53" s="195" t="n">
        <f aca="false">SUM(Z28:Z52)</f>
        <v>0</v>
      </c>
      <c r="AA53" s="195" t="n">
        <f aca="false">SUM(AA28:AA52)</f>
        <v>0</v>
      </c>
      <c r="AB53" s="195" t="n">
        <f aca="false">SUM(AB28:AB52)</f>
        <v>0</v>
      </c>
      <c r="AC53" s="195" t="n">
        <f aca="false">SUM(AC28:AC52)</f>
        <v>0</v>
      </c>
      <c r="AD53" s="195" t="n">
        <f aca="false">SUM(AD28:AD52)</f>
        <v>368954.1</v>
      </c>
      <c r="AE53" s="195" t="n">
        <f aca="false">SUM(AE28:AE52)</f>
        <v>481346.1</v>
      </c>
      <c r="AF53" s="195" t="n">
        <f aca="false">SUM(AF28:AF52)</f>
        <v>602324.1</v>
      </c>
      <c r="AG53" s="195" t="n">
        <f aca="false">SUM(AG28:AG52)</f>
        <v>727064.1</v>
      </c>
      <c r="AH53" s="195" t="n">
        <f aca="false">SUM(AH28:AH52)</f>
        <v>849572.1</v>
      </c>
      <c r="AI53" s="195" t="n">
        <f aca="false">SUM(AI28:AI52)</f>
        <v>1331998.2</v>
      </c>
      <c r="AJ53" s="195" t="n">
        <f aca="false">SUM(AJ28:AJ52)</f>
        <v>1910814.3</v>
      </c>
      <c r="AK53" s="195" t="n">
        <f aca="false">SUM(AK28:AK52)</f>
        <v>2526652.05</v>
      </c>
      <c r="AL53" s="195" t="n">
        <f aca="false">SUM(AL28:AL52)</f>
        <v>3220795.8</v>
      </c>
      <c r="AM53" s="195" t="n">
        <f aca="false">SUM(AM28:AM52)</f>
        <v>3986144.55</v>
      </c>
      <c r="AN53" s="195" t="n">
        <f aca="false">SUM(AN28:AN52)</f>
        <v>4811847.3</v>
      </c>
      <c r="AO53" s="195" t="n">
        <f aca="false">SUM(AO28:AO52)</f>
        <v>5744954.4</v>
      </c>
      <c r="AP53" s="195" t="n">
        <f aca="false">SUM(AP28:AP52)</f>
        <v>6663693.15</v>
      </c>
      <c r="AQ53" s="195" t="n">
        <f aca="false">SUM(AQ28:AQ52)</f>
        <v>7592457.9</v>
      </c>
      <c r="AR53" s="195" t="n">
        <f aca="false">SUM(AR28:AR52)</f>
        <v>8571003</v>
      </c>
      <c r="AS53" s="195" t="n">
        <f aca="false">SUM(AS28:AS52)</f>
        <v>9473331.75</v>
      </c>
      <c r="AT53" s="195" t="n">
        <f aca="false">SUM(AT28:AT52)</f>
        <v>10015893.75</v>
      </c>
      <c r="AU53" s="195" t="n">
        <f aca="false">SUM(AU28:AU52)</f>
        <v>10394205.75</v>
      </c>
      <c r="AV53" s="195" t="n">
        <f aca="false">SUM(AV28:AV52)</f>
        <v>10478234.85</v>
      </c>
      <c r="AW53" s="195" t="n">
        <f aca="false">SUM(AW28:AW52)</f>
        <v>10680315.75</v>
      </c>
      <c r="AX53" s="195" t="n">
        <f aca="false">SUM(AX28:AX52)</f>
        <v>10977688.5</v>
      </c>
      <c r="AY53" s="195" t="n">
        <f aca="false">SUM(AY28:AY52)</f>
        <v>10860325.5</v>
      </c>
      <c r="AZ53" s="195" t="n">
        <f aca="false">SUM(AZ28:AZ52)</f>
        <v>10562287.5</v>
      </c>
      <c r="BA53" s="195" t="n">
        <f aca="false">SUM(BA28:BA52)</f>
        <v>9992886.6</v>
      </c>
      <c r="BB53" s="195" t="n">
        <f aca="false">SUM(BB28:BB52)</f>
        <v>9431060.25</v>
      </c>
      <c r="BC53" s="195" t="n">
        <f aca="false">SUM(BC28:BC52)</f>
        <v>9016317.9</v>
      </c>
      <c r="BD53" s="195" t="n">
        <f aca="false">SUM(BD28:BD52)</f>
        <v>8674611.9</v>
      </c>
      <c r="BE53" s="195" t="n">
        <f aca="false">SUM(BE28:BE52)</f>
        <v>8427168.9</v>
      </c>
      <c r="BF53" s="195" t="n">
        <f aca="false">SUM(BF28:BF52)</f>
        <v>8350175.25</v>
      </c>
      <c r="BG53" s="195" t="n">
        <f aca="false">SUM(BG28:BG52)</f>
        <v>8329422.6</v>
      </c>
      <c r="BH53" s="195" t="n">
        <f aca="false">SUM(BH28:BH52)</f>
        <v>8419284.9</v>
      </c>
      <c r="BI53" s="195" t="n">
        <f aca="false">SUM(BI28:BI52)</f>
        <v>8723603.25</v>
      </c>
      <c r="BJ53" s="195" t="n">
        <f aca="false">SUM(BJ28:BJ52)</f>
        <v>9062238.6</v>
      </c>
      <c r="BK53" s="195" t="n">
        <f aca="false">SUM(BK28:BK52)</f>
        <v>9161640.15</v>
      </c>
      <c r="BL53" s="195" t="n">
        <f aca="false">SUM(BL28:BL52)</f>
        <v>9351697.65</v>
      </c>
      <c r="BM53" s="195" t="n">
        <f aca="false">SUM(BM28:BM52)</f>
        <v>9599422.65</v>
      </c>
      <c r="BN53" s="195" t="n">
        <f aca="false">SUM(BN28:BN52)</f>
        <v>9671281.65</v>
      </c>
      <c r="BO53" s="195" t="n">
        <f aca="false">SUM(BO28:BO52)</f>
        <v>9450720.75</v>
      </c>
      <c r="BP53" s="195" t="n">
        <f aca="false">SUM(BP28:BP52)</f>
        <v>8905167.3</v>
      </c>
      <c r="BQ53" s="195" t="n">
        <f aca="false">SUM(BQ28:BQ52)</f>
        <v>8391211.8</v>
      </c>
      <c r="BR53" s="195" t="n">
        <f aca="false">SUM(BR28:BR52)</f>
        <v>7916656.8</v>
      </c>
      <c r="BS53" s="195" t="n">
        <f aca="false">SUM(BS28:BS52)</f>
        <v>7292362.8</v>
      </c>
      <c r="BT53" s="195" t="n">
        <f aca="false">SUM(BT28:BT52)</f>
        <v>6463415.55</v>
      </c>
      <c r="BU53" s="195" t="n">
        <f aca="false">SUM(BU28:BU52)</f>
        <v>5408019.15</v>
      </c>
      <c r="BV53" s="195" t="n">
        <f aca="false">SUM(BV28:BV52)</f>
        <v>4381283.7</v>
      </c>
      <c r="BW53" s="195" t="n">
        <f aca="false">SUM(BW28:BW52)</f>
        <v>3458446.95</v>
      </c>
      <c r="BX53" s="195" t="n">
        <f aca="false">SUM(BX28:BX52)</f>
        <v>2598701.55</v>
      </c>
      <c r="BY53" s="195" t="n">
        <f aca="false">SUM(BY28:BY52)</f>
        <v>1826501.1</v>
      </c>
      <c r="BZ53" s="195" t="n">
        <f aca="false">SUM(BZ28:BZ52)</f>
        <v>1200451.35</v>
      </c>
      <c r="CA53" s="195" t="n">
        <f aca="false">SUM(CA28:CA52)</f>
        <v>661723.95</v>
      </c>
      <c r="CB53" s="195" t="n">
        <f aca="false">SUM(CB28:CB52)</f>
        <v>217168.5</v>
      </c>
      <c r="CC53" s="195" t="n">
        <f aca="false">SUM(CC28:CC52)</f>
        <v>0</v>
      </c>
      <c r="CD53" s="195" t="n">
        <f aca="false">SUM(CD28:CD52)</f>
        <v>0</v>
      </c>
      <c r="CE53" s="195" t="n">
        <f aca="false">SUM(CE28:CE52)</f>
        <v>0</v>
      </c>
      <c r="CF53" s="195" t="n">
        <f aca="false">SUM(CF28:CF52)</f>
        <v>0</v>
      </c>
      <c r="CG53" s="195" t="n">
        <f aca="false">SUM(CG28:CG52)</f>
        <v>0</v>
      </c>
      <c r="CH53" s="195" t="n">
        <f aca="false">SUM(CH28:CH52)</f>
        <v>0</v>
      </c>
      <c r="CI53" s="195" t="n">
        <f aca="false">SUM(CI28:CI52)</f>
        <v>0</v>
      </c>
      <c r="CJ53" s="195" t="n">
        <f aca="false">SUM(CJ28:CJ52)</f>
        <v>0</v>
      </c>
      <c r="CK53" s="195" t="n">
        <f aca="false">SUM(CK28:CK52)</f>
        <v>0</v>
      </c>
      <c r="CL53" s="195" t="n">
        <f aca="false">SUM(CL28:CL52)</f>
        <v>0</v>
      </c>
      <c r="CM53" s="195" t="n">
        <f aca="false">SUM(CM28:CM52)</f>
        <v>0</v>
      </c>
      <c r="CN53" s="195" t="n">
        <f aca="false">SUM(CN28:CN52)</f>
        <v>0</v>
      </c>
      <c r="CO53" s="195" t="n">
        <f aca="false">SUM(CO28:CO52)</f>
        <v>0</v>
      </c>
      <c r="CP53" s="195" t="n">
        <f aca="false">SUM(CP28:CP52)</f>
        <v>0</v>
      </c>
      <c r="CQ53" s="195" t="n">
        <f aca="false">SUM(CQ28:CQ52)</f>
        <v>0</v>
      </c>
      <c r="CR53" s="195" t="n">
        <f aca="false">SUM(CR28:CR52)</f>
        <v>0</v>
      </c>
      <c r="CS53" s="195" t="n">
        <f aca="false">SUM(CS28:CS52)</f>
        <v>0</v>
      </c>
      <c r="CT53" s="195" t="n">
        <f aca="false">SUM(CT28:CT52)</f>
        <v>0</v>
      </c>
      <c r="CU53" s="195" t="n">
        <f aca="false">SUM(CU28:CU52)</f>
        <v>0</v>
      </c>
      <c r="CV53" s="195" t="n">
        <f aca="false">SUM(CV28:CV52)</f>
        <v>0</v>
      </c>
      <c r="CW53" s="195" t="n">
        <f aca="false">SUM(CW28:CW52)</f>
        <v>0</v>
      </c>
      <c r="CX53" s="195" t="n">
        <f aca="false">SUM(CX28:CX52)</f>
        <v>0</v>
      </c>
      <c r="CY53" s="195" t="n">
        <f aca="false">SUM(CY28:CY52)</f>
        <v>0</v>
      </c>
      <c r="CZ53" s="195" t="n">
        <f aca="false">SUM(CZ28:CZ52)</f>
        <v>0</v>
      </c>
      <c r="DA53" s="195" t="n">
        <f aca="false">SUM(DA28:DA52)</f>
        <v>0</v>
      </c>
      <c r="DB53" s="195" t="n">
        <f aca="false">SUM(DB28:DB52)</f>
        <v>0</v>
      </c>
    </row>
    <row r="54" customFormat="false" ht="15" hidden="false" customHeight="true" outlineLevel="0" collapsed="false">
      <c r="A54" s="94" t="s">
        <v>586</v>
      </c>
      <c r="G54" s="196" t="n">
        <f aca="false">COUNT(G28:G52)</f>
        <v>0</v>
      </c>
      <c r="H54" s="196" t="n">
        <f aca="false">COUNT(H28:H52)</f>
        <v>0</v>
      </c>
      <c r="I54" s="196" t="n">
        <f aca="false">COUNT(I28:I52)</f>
        <v>0</v>
      </c>
      <c r="J54" s="196" t="n">
        <f aca="false">COUNT(J28:J52)</f>
        <v>0</v>
      </c>
      <c r="K54" s="196" t="n">
        <f aca="false">COUNT(K28:K52)</f>
        <v>0</v>
      </c>
      <c r="L54" s="196" t="n">
        <f aca="false">COUNT(L28:L52)</f>
        <v>0</v>
      </c>
      <c r="M54" s="196" t="n">
        <f aca="false">COUNT(M28:M52)</f>
        <v>0</v>
      </c>
      <c r="N54" s="196" t="n">
        <f aca="false">COUNT(N28:N52)</f>
        <v>0</v>
      </c>
      <c r="O54" s="196" t="n">
        <f aca="false">COUNT(O28:O52)</f>
        <v>0</v>
      </c>
      <c r="P54" s="196" t="n">
        <f aca="false">COUNT(P28:P52)</f>
        <v>0</v>
      </c>
      <c r="Q54" s="196" t="n">
        <f aca="false">COUNT(Q28:Q52)</f>
        <v>0</v>
      </c>
      <c r="R54" s="196" t="n">
        <f aca="false">COUNT(R28:R52)</f>
        <v>0</v>
      </c>
      <c r="S54" s="196" t="n">
        <f aca="false">COUNT(S28:S52)</f>
        <v>0</v>
      </c>
      <c r="T54" s="196" t="n">
        <f aca="false">COUNT(T28:T52)</f>
        <v>0</v>
      </c>
      <c r="U54" s="196" t="n">
        <f aca="false">COUNT(U28:U52)</f>
        <v>0</v>
      </c>
      <c r="V54" s="196" t="n">
        <f aca="false">COUNT(V28:V52)</f>
        <v>0</v>
      </c>
      <c r="W54" s="196" t="n">
        <f aca="false">COUNT(W28:W52)</f>
        <v>0</v>
      </c>
      <c r="X54" s="196" t="n">
        <f aca="false">COUNT(X28:X52)</f>
        <v>0</v>
      </c>
      <c r="Y54" s="196" t="n">
        <f aca="false">COUNT(Y28:Y52)</f>
        <v>0</v>
      </c>
      <c r="Z54" s="196" t="n">
        <f aca="false">COUNT(Z28:Z52)</f>
        <v>0</v>
      </c>
      <c r="AA54" s="196" t="n">
        <f aca="false">COUNT(AA28:AA52)</f>
        <v>0</v>
      </c>
      <c r="AB54" s="196" t="n">
        <f aca="false">COUNT(AB28:AB52)</f>
        <v>0</v>
      </c>
      <c r="AC54" s="196" t="n">
        <f aca="false">COUNT(AC28:AC52)</f>
        <v>0</v>
      </c>
      <c r="AD54" s="196" t="n">
        <f aca="false">COUNT(AD28:AD52)</f>
        <v>1</v>
      </c>
      <c r="AE54" s="196" t="n">
        <f aca="false">COUNT(AE28:AE52)</f>
        <v>1</v>
      </c>
      <c r="AF54" s="196" t="n">
        <f aca="false">COUNT(AF28:AF52)</f>
        <v>1</v>
      </c>
      <c r="AG54" s="196" t="n">
        <f aca="false">COUNT(AG28:AG52)</f>
        <v>1</v>
      </c>
      <c r="AH54" s="196" t="n">
        <f aca="false">COUNT(AH28:AH52)</f>
        <v>1</v>
      </c>
      <c r="AI54" s="196" t="n">
        <f aca="false">COUNT(AI28:AI52)</f>
        <v>2</v>
      </c>
      <c r="AJ54" s="196" t="n">
        <f aca="false">COUNT(AJ28:AJ52)</f>
        <v>3</v>
      </c>
      <c r="AK54" s="196" t="n">
        <f aca="false">COUNT(AK28:AK52)</f>
        <v>4</v>
      </c>
      <c r="AL54" s="196" t="n">
        <f aca="false">COUNT(AL28:AL52)</f>
        <v>5</v>
      </c>
      <c r="AM54" s="196" t="n">
        <f aca="false">COUNT(AM28:AM52)</f>
        <v>6</v>
      </c>
      <c r="AN54" s="196" t="n">
        <f aca="false">COUNT(AN28:AN52)</f>
        <v>7</v>
      </c>
      <c r="AO54" s="196" t="n">
        <f aca="false">COUNT(AO28:AO52)</f>
        <v>8</v>
      </c>
      <c r="AP54" s="196" t="n">
        <f aca="false">COUNT(AP28:AP52)</f>
        <v>9</v>
      </c>
      <c r="AQ54" s="196" t="n">
        <f aca="false">COUNT(AQ28:AQ52)</f>
        <v>10</v>
      </c>
      <c r="AR54" s="196" t="n">
        <f aca="false">COUNT(AR28:AR52)</f>
        <v>11</v>
      </c>
      <c r="AS54" s="196" t="n">
        <f aca="false">COUNT(AS28:AS52)</f>
        <v>12</v>
      </c>
      <c r="AT54" s="196" t="n">
        <f aca="false">COUNT(AT28:AT52)</f>
        <v>12</v>
      </c>
      <c r="AU54" s="196" t="n">
        <f aca="false">COUNT(AU28:AU52)</f>
        <v>12</v>
      </c>
      <c r="AV54" s="196" t="n">
        <f aca="false">COUNT(AV28:AV52)</f>
        <v>12</v>
      </c>
      <c r="AW54" s="196" t="n">
        <f aca="false">COUNT(AW28:AW52)</f>
        <v>12</v>
      </c>
      <c r="AX54" s="196" t="n">
        <f aca="false">COUNT(AX28:AX52)</f>
        <v>13</v>
      </c>
      <c r="AY54" s="196" t="n">
        <f aca="false">COUNT(AY28:AY52)</f>
        <v>13</v>
      </c>
      <c r="AZ54" s="196" t="n">
        <f aca="false">COUNT(AZ28:AZ52)</f>
        <v>13</v>
      </c>
      <c r="BA54" s="196" t="n">
        <f aca="false">COUNT(BA28:BA52)</f>
        <v>13</v>
      </c>
      <c r="BB54" s="196" t="n">
        <f aca="false">COUNT(BB28:BB52)</f>
        <v>13</v>
      </c>
      <c r="BC54" s="196" t="n">
        <f aca="false">COUNT(BC28:BC52)</f>
        <v>13</v>
      </c>
      <c r="BD54" s="196" t="n">
        <f aca="false">COUNT(BD28:BD52)</f>
        <v>13</v>
      </c>
      <c r="BE54" s="196" t="n">
        <f aca="false">COUNT(BE28:BE52)</f>
        <v>13</v>
      </c>
      <c r="BF54" s="196" t="n">
        <f aca="false">COUNT(BF28:BF52)</f>
        <v>13</v>
      </c>
      <c r="BG54" s="196" t="n">
        <f aca="false">COUNT(BG28:BG52)</f>
        <v>13</v>
      </c>
      <c r="BH54" s="196" t="n">
        <f aca="false">COUNT(BH28:BH52)</f>
        <v>13</v>
      </c>
      <c r="BI54" s="196" t="n">
        <f aca="false">COUNT(BI28:BI52)</f>
        <v>13</v>
      </c>
      <c r="BJ54" s="196" t="n">
        <f aca="false">COUNT(BJ28:BJ52)</f>
        <v>13</v>
      </c>
      <c r="BK54" s="196" t="n">
        <f aca="false">COUNT(BK28:BK52)</f>
        <v>12</v>
      </c>
      <c r="BL54" s="196" t="n">
        <f aca="false">COUNT(BL28:BL52)</f>
        <v>11</v>
      </c>
      <c r="BM54" s="196" t="n">
        <f aca="false">COUNT(BM28:BM52)</f>
        <v>11</v>
      </c>
      <c r="BN54" s="196" t="n">
        <f aca="false">COUNT(BN28:BN52)</f>
        <v>11</v>
      </c>
      <c r="BO54" s="196" t="n">
        <f aca="false">COUNT(BO28:BO52)</f>
        <v>11</v>
      </c>
      <c r="BP54" s="196" t="n">
        <f aca="false">COUNT(BP28:BP52)</f>
        <v>10</v>
      </c>
      <c r="BQ54" s="196" t="n">
        <f aca="false">COUNT(BQ28:BQ52)</f>
        <v>9</v>
      </c>
      <c r="BR54" s="196" t="n">
        <f aca="false">COUNT(BR28:BR52)</f>
        <v>9</v>
      </c>
      <c r="BS54" s="196" t="n">
        <f aca="false">COUNT(BS28:BS52)</f>
        <v>9</v>
      </c>
      <c r="BT54" s="196" t="n">
        <f aca="false">COUNT(BT28:BT52)</f>
        <v>9</v>
      </c>
      <c r="BU54" s="196" t="n">
        <f aca="false">COUNT(BU28:BU52)</f>
        <v>8</v>
      </c>
      <c r="BV54" s="196" t="n">
        <f aca="false">COUNT(BV28:BV52)</f>
        <v>7</v>
      </c>
      <c r="BW54" s="196" t="n">
        <f aca="false">COUNT(BW28:BW52)</f>
        <v>6</v>
      </c>
      <c r="BX54" s="196" t="n">
        <f aca="false">COUNT(BX28:BX52)</f>
        <v>5</v>
      </c>
      <c r="BY54" s="196" t="n">
        <f aca="false">COUNT(BY28:BY52)</f>
        <v>4</v>
      </c>
      <c r="BZ54" s="196" t="n">
        <f aca="false">COUNT(BZ28:BZ52)</f>
        <v>3</v>
      </c>
      <c r="CA54" s="196" t="n">
        <f aca="false">COUNT(CA28:CA52)</f>
        <v>2</v>
      </c>
      <c r="CB54" s="196" t="n">
        <f aca="false">COUNT(CB28:CB52)</f>
        <v>1</v>
      </c>
      <c r="CC54" s="196" t="n">
        <f aca="false">COUNT(CC28:CC52)</f>
        <v>0</v>
      </c>
      <c r="CD54" s="196" t="n">
        <f aca="false">COUNT(CD28:CD52)</f>
        <v>0</v>
      </c>
      <c r="CE54" s="196" t="n">
        <f aca="false">COUNT(CE28:CE52)</f>
        <v>0</v>
      </c>
      <c r="CF54" s="196" t="n">
        <f aca="false">COUNT(CF28:CF52)</f>
        <v>0</v>
      </c>
      <c r="CG54" s="196" t="n">
        <f aca="false">COUNT(CG28:CG52)</f>
        <v>0</v>
      </c>
      <c r="CH54" s="196" t="n">
        <f aca="false">COUNT(CH28:CH52)</f>
        <v>0</v>
      </c>
      <c r="CI54" s="196" t="n">
        <f aca="false">COUNT(CI28:CI52)</f>
        <v>0</v>
      </c>
      <c r="CJ54" s="196" t="n">
        <f aca="false">COUNT(CJ28:CJ52)</f>
        <v>0</v>
      </c>
      <c r="CK54" s="196" t="n">
        <f aca="false">COUNT(CK28:CK52)</f>
        <v>0</v>
      </c>
      <c r="CL54" s="196" t="n">
        <f aca="false">COUNT(CL28:CL52)</f>
        <v>0</v>
      </c>
      <c r="CM54" s="196" t="n">
        <f aca="false">COUNT(CM28:CM52)</f>
        <v>0</v>
      </c>
      <c r="CN54" s="196" t="n">
        <f aca="false">COUNT(CN28:CN52)</f>
        <v>0</v>
      </c>
      <c r="CO54" s="196" t="n">
        <f aca="false">COUNT(CO28:CO52)</f>
        <v>0</v>
      </c>
      <c r="CP54" s="196" t="n">
        <f aca="false">COUNT(CP28:CP52)</f>
        <v>0</v>
      </c>
      <c r="CQ54" s="196" t="n">
        <f aca="false">COUNT(CQ28:CQ52)</f>
        <v>0</v>
      </c>
      <c r="CR54" s="196" t="n">
        <f aca="false">COUNT(CR28:CR52)</f>
        <v>0</v>
      </c>
      <c r="CS54" s="196" t="n">
        <f aca="false">COUNT(CS28:CS52)</f>
        <v>0</v>
      </c>
      <c r="CT54" s="196" t="n">
        <f aca="false">COUNT(CT28:CT52)</f>
        <v>0</v>
      </c>
      <c r="CU54" s="196" t="n">
        <f aca="false">COUNT(CU28:CU52)</f>
        <v>0</v>
      </c>
      <c r="CV54" s="196" t="n">
        <f aca="false">COUNT(CV28:CV52)</f>
        <v>0</v>
      </c>
      <c r="CW54" s="196" t="n">
        <f aca="false">COUNT(CW28:CW52)</f>
        <v>0</v>
      </c>
      <c r="CX54" s="196" t="n">
        <f aca="false">COUNT(CX28:CX52)</f>
        <v>0</v>
      </c>
      <c r="CY54" s="196" t="n">
        <f aca="false">COUNT(CY28:CY52)</f>
        <v>0</v>
      </c>
      <c r="CZ54" s="196" t="n">
        <f aca="false">COUNT(CZ28:CZ52)</f>
        <v>0</v>
      </c>
      <c r="DA54" s="196" t="n">
        <f aca="false">COUNT(DA28:DA52)</f>
        <v>0</v>
      </c>
      <c r="DB54" s="196" t="n">
        <f aca="false">COUNT(DB28:DB52)</f>
        <v>0</v>
      </c>
    </row>
    <row r="55" customFormat="false" ht="13.5" hidden="false" customHeight="true" outlineLevel="0" collapsed="false">
      <c r="A55" s="197" t="s">
        <v>587</v>
      </c>
      <c r="G55" s="198" t="n">
        <f aca="false">Model!E10+Model!E11+Model!E56</f>
        <v>379597.99</v>
      </c>
      <c r="H55" s="198" t="n">
        <f aca="false">Model!F10+Model!F11+Model!F56</f>
        <v>476783.4</v>
      </c>
      <c r="I55" s="198" t="n">
        <f aca="false">Model!G10+Model!G11+Model!G56</f>
        <v>667740.25</v>
      </c>
      <c r="J55" s="198" t="n">
        <f aca="false">Model!H10+Model!H11+Model!H56</f>
        <v>616538.58</v>
      </c>
      <c r="K55" s="198" t="n">
        <f aca="false">Model!I10+Model!I11+Model!I56</f>
        <v>760604.39</v>
      </c>
      <c r="L55" s="198" t="n">
        <f aca="false">Model!J10+Model!J11+Model!J56</f>
        <v>721911.521852589</v>
      </c>
      <c r="M55" s="198" t="n">
        <f aca="false">Model!K10+Model!K11+Model!K56</f>
        <v>760111.762712477</v>
      </c>
      <c r="N55" s="198" t="n">
        <f aca="false">Model!L10+Model!L11+Model!L56</f>
        <v>639055.760459158</v>
      </c>
      <c r="O55" s="198" t="n">
        <f aca="false">Model!M10+Model!M11+Model!M56</f>
        <v>674103.097224053</v>
      </c>
      <c r="P55" s="198" t="n">
        <f aca="false">Model!N10+Model!N11+Model!N56</f>
        <v>846380.631338765</v>
      </c>
      <c r="Q55" s="198" t="n">
        <f aca="false">Model!O10+Model!O11+Model!O56</f>
        <v>841196.977819715</v>
      </c>
      <c r="R55" s="198" t="n">
        <f aca="false">Model!P10+Model!P11+Model!P56</f>
        <v>868594.557819716</v>
      </c>
      <c r="S55" s="198" t="n">
        <f aca="false">Model!Q10+Model!Q11+Model!Q56</f>
        <v>989708.391876932</v>
      </c>
      <c r="T55" s="198" t="n">
        <f aca="false">Model!R10+Model!R11+Model!R56</f>
        <v>1038584.63997018</v>
      </c>
      <c r="U55" s="198" t="n">
        <f aca="false">Model!S10+Model!S11+Model!S56</f>
        <v>1119092.79484693</v>
      </c>
      <c r="V55" s="198" t="n">
        <f aca="false">Model!T10+Model!T11+Model!T56</f>
        <v>1324184.76498088</v>
      </c>
      <c r="W55" s="198" t="n">
        <f aca="false">Model!U10+Model!U11+Model!U56</f>
        <v>1215743.79498088</v>
      </c>
      <c r="X55" s="198" t="n">
        <f aca="false">Model!V10+Model!V11+Model!V56</f>
        <v>1290031.16498088</v>
      </c>
      <c r="Y55" s="198" t="n">
        <f aca="false">Model!W10+Model!W11+Model!W56</f>
        <v>1110973.59498088</v>
      </c>
      <c r="Z55" s="198" t="n">
        <f aca="false">Model!X10+Model!X11+Model!X56</f>
        <v>1404851.5398398</v>
      </c>
      <c r="AA55" s="198" t="n">
        <f aca="false">Model!Y10+Model!Y11+Model!Y56</f>
        <v>1243090.7198398</v>
      </c>
      <c r="AB55" s="198" t="n">
        <f aca="false">Model!Z10+Model!Z11+Model!Z56</f>
        <v>1369436.8998398</v>
      </c>
      <c r="AC55" s="198" t="n">
        <f aca="false">Model!AA10+Model!AA11+Model!AA56</f>
        <v>1398675.55320094</v>
      </c>
      <c r="AD55" s="198" t="n">
        <f aca="false">Model!AB10+Model!AB11+Model!AB56</f>
        <v>1320695.73110043</v>
      </c>
      <c r="AE55" s="198" t="n">
        <f aca="false">Model!AC10+Model!AC11+Model!AC56</f>
        <v>1091970.26185688</v>
      </c>
      <c r="AF55" s="198" t="n">
        <f aca="false">Model!AD10+Model!AD11+Model!AD56</f>
        <v>1114920.17185688</v>
      </c>
      <c r="AG55" s="198" t="n">
        <f aca="false">Model!AE10+Model!AE11+Model!AE56</f>
        <v>1263511.82272543</v>
      </c>
      <c r="AH55" s="198" t="n">
        <f aca="false">Model!AF10+Model!AF11+Model!AF56</f>
        <v>1433131.63684014</v>
      </c>
      <c r="AI55" s="198" t="n">
        <f aca="false">Model!AG10+Model!AG11+Model!AG56</f>
        <v>1451580.62509166</v>
      </c>
      <c r="AJ55" s="198" t="n">
        <f aca="false">Model!AH10+Model!AH11+Model!AH56</f>
        <v>1423239.20212976</v>
      </c>
      <c r="AK55" s="198" t="n">
        <f aca="false">Model!AI10+Model!AI11+Model!AI56</f>
        <v>1507365.58212976</v>
      </c>
      <c r="AL55" s="198" t="n">
        <f aca="false">Model!AJ10+Model!AJ11+Model!AJ56</f>
        <v>1695225.44979076</v>
      </c>
      <c r="AM55" s="198" t="n">
        <f aca="false">Model!AK10+Model!AK11+Model!AK56</f>
        <v>1414918.80967213</v>
      </c>
      <c r="AN55" s="198" t="n">
        <f aca="false">Model!AL10+Model!AL11+Model!AL56</f>
        <v>1494288.17005258</v>
      </c>
      <c r="AO55" s="198" t="n">
        <f aca="false">Model!AM10+Model!AM11+Model!AM56</f>
        <v>1392487.50978468</v>
      </c>
      <c r="AP55" s="198" t="n">
        <f aca="false">Model!AN10+Model!AN11+Model!AN56</f>
        <v>1374298.70978468</v>
      </c>
      <c r="AQ55" s="198" t="n">
        <f aca="false">Model!AO10+Model!AO11+Model!AO56</f>
        <v>1424663.34978468</v>
      </c>
      <c r="AR55" s="198" t="n">
        <f aca="false">Model!AP10+Model!AP11+Model!AP56</f>
        <v>1533015.24978468</v>
      </c>
      <c r="AS55" s="198" t="n">
        <f aca="false">Model!AQ10+Model!AQ11+Model!AQ56</f>
        <v>1623308.49978468</v>
      </c>
      <c r="AT55" s="198" t="n">
        <f aca="false">Model!AR10+Model!AR11+Model!AR56</f>
        <v>1623308.49978468</v>
      </c>
      <c r="AU55" s="198" t="n">
        <f aca="false">Model!AS10+Model!AS11+Model!AS56</f>
        <v>1623308.49978468</v>
      </c>
      <c r="AV55" s="198" t="n">
        <f aca="false">Model!AT10+Model!AT11+Model!AT56</f>
        <v>2004145.98513818</v>
      </c>
      <c r="AW55" s="198" t="n">
        <f aca="false">Model!AU10+Model!AU11+Model!AU56</f>
        <v>1601381.5439703</v>
      </c>
      <c r="AX55" s="198" t="n">
        <f aca="false">Model!AV10+Model!AV11+Model!AV56</f>
        <v>1421765.14086855</v>
      </c>
      <c r="AY55" s="198" t="n">
        <f aca="false">Model!AW10+Model!AW11+Model!AW56</f>
        <v>1421765.14086855</v>
      </c>
      <c r="AZ55" s="198" t="n">
        <f aca="false">Model!AX10+Model!AX11+Model!AX56</f>
        <v>1421765.14086855</v>
      </c>
      <c r="BA55" s="198" t="n">
        <f aca="false">Model!AY10+Model!AY11+Model!AY56</f>
        <v>1530117.04086855</v>
      </c>
      <c r="BB55" s="198" t="n">
        <f aca="false">Model!AZ10+Model!AZ11+Model!AZ56</f>
        <v>1512058.39086855</v>
      </c>
      <c r="BC55" s="198" t="n">
        <f aca="false">Model!BA10+Model!BA11+Model!BA56</f>
        <v>1493999.74086855</v>
      </c>
      <c r="BD55" s="198" t="n">
        <f aca="false">Model!BB10+Model!BB11+Model!BB56</f>
        <v>1493999.74086855</v>
      </c>
      <c r="BE55" s="198" t="n">
        <f aca="false">Model!BC10+Model!BC11+Model!BC56</f>
        <v>1493999.74086855</v>
      </c>
      <c r="BF55" s="198" t="n">
        <f aca="false">Model!BD10+Model!BD11+Model!BD56</f>
        <v>1512058.39086855</v>
      </c>
      <c r="BG55" s="198" t="n">
        <f aca="false">Model!BE10+Model!BE11+Model!BE56</f>
        <v>1530117.04086855</v>
      </c>
      <c r="BH55" s="198" t="n">
        <f aca="false">Model!BF10+Model!BF11+Model!BF56</f>
        <v>1493999.74086855</v>
      </c>
      <c r="BI55" s="198" t="n">
        <f aca="false">Model!BG10+Model!BG11+Model!BG56</f>
        <v>1512058.39086855</v>
      </c>
      <c r="BJ55" s="198" t="n">
        <f aca="false">Model!BH10+Model!BH11+Model!BH56</f>
        <v>1779053.31592415</v>
      </c>
      <c r="BK55" s="198" t="n">
        <f aca="false">Model!BI10+Model!BI11+Model!BI56</f>
        <v>1246046.85</v>
      </c>
      <c r="BL55" s="198" t="n">
        <f aca="false">Model!BJ10+Model!BJ11+Model!BJ56</f>
        <v>1065460.35</v>
      </c>
      <c r="BM55" s="198" t="n">
        <f aca="false">Model!BK10+Model!BK11+Model!BK56</f>
        <v>1065460.35</v>
      </c>
      <c r="BN55" s="198" t="n">
        <f aca="false">Model!BL10+Model!BL11+Model!BL56</f>
        <v>1065460.35</v>
      </c>
      <c r="BO55" s="198" t="n">
        <f aca="false">Model!BM10+Model!BM11+Model!BM56</f>
        <v>1173812.25</v>
      </c>
      <c r="BP55" s="198" t="n">
        <f aca="false">Model!BN10+Model!BN11+Model!BN56</f>
        <v>1047401.7</v>
      </c>
      <c r="BQ55" s="198" t="n">
        <f aca="false">Model!BO10+Model!BO11+Model!BO56</f>
        <v>866815.2</v>
      </c>
      <c r="BR55" s="198" t="n">
        <f aca="false">Model!BP10+Model!BP11+Model!BP56</f>
        <v>866815.2</v>
      </c>
      <c r="BS55" s="198" t="n">
        <f aca="false">Model!BQ10+Model!BQ11+Model!BQ56</f>
        <v>866815.2</v>
      </c>
      <c r="BT55" s="198" t="n">
        <f aca="false">Model!BR10+Model!BR11+Model!BR56</f>
        <v>957108.45</v>
      </c>
      <c r="BU55" s="198" t="n">
        <f aca="false">Model!BS10+Model!BS11+Model!BS56</f>
        <v>884873.85</v>
      </c>
      <c r="BV55" s="198" t="n">
        <f aca="false">Model!BT10+Model!BT11+Model!BT56</f>
        <v>758463.3</v>
      </c>
      <c r="BW55" s="198" t="n">
        <f aca="false">Model!BU10+Model!BU11+Model!BU56</f>
        <v>668170.05</v>
      </c>
      <c r="BX55" s="198" t="n">
        <f aca="false">Model!BV10+Model!BV11+Model!BV56</f>
        <v>595935.45</v>
      </c>
      <c r="BY55" s="198" t="n">
        <f aca="false">Model!BW10+Model!BW11+Model!BW56</f>
        <v>469524.9</v>
      </c>
      <c r="BZ55" s="198" t="n">
        <f aca="false">Model!BX10+Model!BX11+Model!BX56</f>
        <v>379231.65</v>
      </c>
      <c r="CA55" s="198" t="n">
        <f aca="false">Model!BY10+Model!BY11+Model!BY56</f>
        <v>306997.05</v>
      </c>
      <c r="CB55" s="198" t="n">
        <f aca="false">Model!BZ10+Model!BZ11+Model!BZ56</f>
        <v>180586.5</v>
      </c>
      <c r="CC55" s="198" t="n">
        <f aca="false">Model!CA10+Model!CA11+Model!CA56</f>
        <v>0</v>
      </c>
      <c r="CD55" s="198" t="n">
        <f aca="false">Model!CB10+Model!CB11+Model!CB56</f>
        <v>0</v>
      </c>
      <c r="CE55" s="198" t="n">
        <f aca="false">Model!CC10+Model!CC11+Model!CC56</f>
        <v>0</v>
      </c>
      <c r="CF55" s="198" t="n">
        <f aca="false">Model!CD10+Model!CD11+Model!CD56</f>
        <v>0</v>
      </c>
      <c r="CG55" s="198" t="n">
        <f aca="false">Model!CE10+Model!CE11+Model!CE56</f>
        <v>0</v>
      </c>
      <c r="CH55" s="198" t="n">
        <f aca="false">Model!CF10+Model!CF11+Model!CF56</f>
        <v>0</v>
      </c>
      <c r="CI55" s="198" t="n">
        <f aca="false">Model!CG10+Model!CG11+Model!CG56</f>
        <v>0</v>
      </c>
      <c r="CJ55" s="198" t="n">
        <f aca="false">Model!CH10+Model!CH11+Model!CH56</f>
        <v>0</v>
      </c>
      <c r="CK55" s="198" t="n">
        <f aca="false">Model!CI10+Model!CI11+Model!CI56</f>
        <v>0</v>
      </c>
      <c r="CL55" s="198" t="n">
        <f aca="false">Model!CJ10+Model!CJ11+Model!CJ56</f>
        <v>0</v>
      </c>
      <c r="CM55" s="198" t="n">
        <f aca="false">Model!CK10+Model!CK11+Model!CK56</f>
        <v>0</v>
      </c>
      <c r="CN55" s="198" t="n">
        <f aca="false">Model!CL10+Model!CL11+Model!CL56</f>
        <v>0</v>
      </c>
      <c r="CO55" s="198" t="n">
        <f aca="false">Model!CM10+Model!CM11+Model!CM56</f>
        <v>0</v>
      </c>
      <c r="CP55" s="198" t="n">
        <f aca="false">Model!CN10+Model!CN11+Model!CN56</f>
        <v>0</v>
      </c>
      <c r="CQ55" s="198" t="n">
        <f aca="false">Model!CO10+Model!CO11+Model!CO56</f>
        <v>0</v>
      </c>
      <c r="CR55" s="198" t="n">
        <f aca="false">Model!CP10+Model!CP11+Model!CP56</f>
        <v>0</v>
      </c>
      <c r="CS55" s="198" t="n">
        <f aca="false">Model!CQ10+Model!CQ11+Model!CQ56</f>
        <v>0</v>
      </c>
      <c r="CT55" s="198" t="n">
        <f aca="false">Model!CR10+Model!CR11+Model!CR56</f>
        <v>0</v>
      </c>
      <c r="CU55" s="198" t="n">
        <f aca="false">Model!CS10+Model!CS11+Model!CS56</f>
        <v>0</v>
      </c>
      <c r="CV55" s="198" t="n">
        <f aca="false">Model!CT10+Model!CT11+Model!CT56</f>
        <v>0</v>
      </c>
      <c r="CW55" s="198" t="n">
        <f aca="false">Model!CU10+Model!CU11+Model!CU56</f>
        <v>0</v>
      </c>
      <c r="CX55" s="198" t="n">
        <f aca="false">Model!CV10+Model!CV11+Model!CV56</f>
        <v>0</v>
      </c>
      <c r="CY55" s="198" t="n">
        <f aca="false">Model!CW10+Model!CW11+Model!CW56</f>
        <v>0</v>
      </c>
      <c r="CZ55" s="198" t="n">
        <f aca="false">Model!CX10+Model!CX11+Model!CX56</f>
        <v>0</v>
      </c>
      <c r="DA55" s="198" t="n">
        <f aca="false">Model!CY10+Model!CY11+Model!CY56</f>
        <v>0</v>
      </c>
      <c r="DB55" s="198" t="n">
        <f aca="false">Model!CZ10+Model!CZ11+Model!CZ56</f>
        <v>0</v>
      </c>
    </row>
    <row r="56" customFormat="false" ht="15" hidden="false" customHeight="true" outlineLevel="0" collapsed="false">
      <c r="A56" s="199" t="s">
        <v>588</v>
      </c>
      <c r="B56" s="200"/>
      <c r="C56" s="200"/>
      <c r="D56" s="200"/>
      <c r="E56" s="200"/>
      <c r="F56" s="200"/>
      <c r="G56" s="201" t="n">
        <f aca="false">G21+G53+G55</f>
        <v>3692357.9</v>
      </c>
      <c r="H56" s="201" t="n">
        <f aca="false">H21+H53+H55</f>
        <v>4416061.63</v>
      </c>
      <c r="I56" s="201" t="n">
        <f aca="false">I21+I53+I55</f>
        <v>6252262.98</v>
      </c>
      <c r="J56" s="201" t="n">
        <f aca="false">J21+J53+J55</f>
        <v>7025595.65</v>
      </c>
      <c r="K56" s="201" t="n">
        <f aca="false">K21+K53+K55</f>
        <v>6064732.98</v>
      </c>
      <c r="L56" s="201" t="n">
        <f aca="false">L21+L53+L55</f>
        <v>5842178.10798445</v>
      </c>
      <c r="M56" s="201" t="n">
        <f aca="false">M21+M53+M55</f>
        <v>6074750.12847776</v>
      </c>
      <c r="N56" s="201" t="n">
        <f aca="false">N21+N53+N55</f>
        <v>5223190.74034752</v>
      </c>
      <c r="O56" s="201" t="n">
        <f aca="false">O21+O53+O55</f>
        <v>5225267.037072</v>
      </c>
      <c r="P56" s="201" t="n">
        <f aca="false">P21+P53+P55</f>
        <v>6498594.46622125</v>
      </c>
      <c r="Q56" s="201" t="n">
        <f aca="false">Q21+Q53+Q55</f>
        <v>6520121.54458745</v>
      </c>
      <c r="R56" s="201" t="n">
        <f aca="false">R21+R53+R55</f>
        <v>7237808.46961955</v>
      </c>
      <c r="S56" s="201" t="n">
        <f aca="false">S21+S53+S55</f>
        <v>7916353.2931488</v>
      </c>
      <c r="T56" s="201" t="n">
        <f aca="false">T21+T53+T55</f>
        <v>8367241.4754971</v>
      </c>
      <c r="U56" s="201" t="n">
        <f aca="false">U21+U53+U55</f>
        <v>9205779.4595526</v>
      </c>
      <c r="V56" s="201" t="n">
        <f aca="false">V21+V53+V55</f>
        <v>11026756.0729176</v>
      </c>
      <c r="W56" s="201" t="n">
        <f aca="false">W21+W53+W55</f>
        <v>10704635.7348828</v>
      </c>
      <c r="X56" s="201" t="n">
        <f aca="false">X21+X53+X55</f>
        <v>11665103.9231565</v>
      </c>
      <c r="Y56" s="201" t="n">
        <f aca="false">Y21+Y53+Y55</f>
        <v>10580737.616321</v>
      </c>
      <c r="Z56" s="201" t="n">
        <f aca="false">Z21+Z53+Z55</f>
        <v>12876610.3823414</v>
      </c>
      <c r="AA56" s="201" t="n">
        <f aca="false">AA21+AA53+AA55</f>
        <v>11822867.4296276</v>
      </c>
      <c r="AB56" s="201" t="n">
        <f aca="false">AB21+AB53+AB55</f>
        <v>12979937.1426432</v>
      </c>
      <c r="AC56" s="201" t="n">
        <f aca="false">AC21+AC53+AC55</f>
        <v>12526837.8979441</v>
      </c>
      <c r="AD56" s="201" t="n">
        <f aca="false">AD21+AD53+AD55</f>
        <v>11842244.8623118</v>
      </c>
      <c r="AE56" s="201" t="n">
        <f aca="false">AE21+AE53+AE55</f>
        <v>10926192.9643158</v>
      </c>
      <c r="AF56" s="201" t="n">
        <f aca="false">AF21+AF53+AF55</f>
        <v>10997932.751448</v>
      </c>
      <c r="AG56" s="201" t="n">
        <f aca="false">AG21+AG53+AG55</f>
        <v>11356043.4659031</v>
      </c>
      <c r="AH56" s="201" t="n">
        <f aca="false">AH21+AH53+AH55</f>
        <v>11377428.9548923</v>
      </c>
      <c r="AI56" s="201" t="n">
        <f aca="false">AI21+AI53+AI55</f>
        <v>12066574.2595754</v>
      </c>
      <c r="AJ56" s="201" t="n">
        <f aca="false">AJ21+AJ53+AJ55</f>
        <v>11983857.6944276</v>
      </c>
      <c r="AK56" s="201" t="n">
        <f aca="false">AK21+AK53+AK55</f>
        <v>12234608.0165633</v>
      </c>
      <c r="AL56" s="201" t="n">
        <f aca="false">AL21+AL53+AL55</f>
        <v>11579710.8559225</v>
      </c>
      <c r="AM56" s="201" t="n">
        <f aca="false">AM21+AM53+AM55</f>
        <v>11083189.9383008</v>
      </c>
      <c r="AN56" s="201" t="n">
        <f aca="false">AN21+AN53+AN55</f>
        <v>11548142.9787734</v>
      </c>
      <c r="AO56" s="201" t="n">
        <f aca="false">AO21+AO53+AO55</f>
        <v>12016541.505927</v>
      </c>
      <c r="AP56" s="201" t="n">
        <f aca="false">AP21+AP53+AP55</f>
        <v>11948543.6766036</v>
      </c>
      <c r="AQ56" s="201" t="n">
        <f aca="false">AQ21+AQ53+AQ55</f>
        <v>12435181.4494094</v>
      </c>
      <c r="AR56" s="201" t="n">
        <f aca="false">AR21+AR53+AR55</f>
        <v>13309747.7423799</v>
      </c>
      <c r="AS56" s="201" t="n">
        <f aca="false">AS21+AS53+AS55</f>
        <v>13568225.120626</v>
      </c>
      <c r="AT56" s="201" t="n">
        <f aca="false">AT21+AT53+AT55</f>
        <v>14026419.745206</v>
      </c>
      <c r="AU56" s="201" t="n">
        <f aca="false">AU21+AU53+AU55</f>
        <v>14307340.4799</v>
      </c>
      <c r="AV56" s="201" t="n">
        <f aca="false">AV21+AV53+AV55</f>
        <v>14390311.69681</v>
      </c>
      <c r="AW56" s="201" t="n">
        <f aca="false">AW21+AW53+AW55</f>
        <v>13736301.366216</v>
      </c>
      <c r="AX56" s="201" t="n">
        <f aca="false">AX21+AX53+AX55</f>
        <v>14086748.197416</v>
      </c>
      <c r="AY56" s="201" t="n">
        <f aca="false">AY21+AY53+AY55</f>
        <v>13914879.79244</v>
      </c>
      <c r="AZ56" s="201" t="n">
        <f aca="false">AZ21+AZ53+AZ55</f>
        <v>13546704.336568</v>
      </c>
      <c r="BA56" s="201" t="n">
        <f aca="false">BA21+BA53+BA55</f>
        <v>13001829.497504</v>
      </c>
      <c r="BB56" s="201" t="n">
        <f aca="false">BB21+BB53+BB55</f>
        <v>12326704.780008</v>
      </c>
      <c r="BC56" s="201" t="n">
        <f aca="false">BC21+BC53+BC55</f>
        <v>11789814.171264</v>
      </c>
      <c r="BD56" s="201" t="n">
        <f aca="false">BD21+BD53+BD55</f>
        <v>11337691.303824</v>
      </c>
      <c r="BE56" s="201" t="n">
        <f aca="false">BE21+BE53+BE55</f>
        <v>10976150.874136</v>
      </c>
      <c r="BF56" s="201" t="n">
        <f aca="false">BF21+BF53+BF55</f>
        <v>10801919.16012</v>
      </c>
      <c r="BG56" s="201" t="n">
        <f aca="false">BG21+BG53+BG55</f>
        <v>10685003.666536</v>
      </c>
      <c r="BH56" s="201" t="n">
        <f aca="false">BH21+BH53+BH55</f>
        <v>10627670.124984</v>
      </c>
      <c r="BI56" s="201" t="n">
        <f aca="false">BI21+BI53+BI55</f>
        <v>10843807.075376</v>
      </c>
      <c r="BJ56" s="201" t="n">
        <f aca="false">BJ21+BJ53+BJ55</f>
        <v>11100546.929832</v>
      </c>
      <c r="BK56" s="201" t="n">
        <f aca="false">BK21+BK53+BK55</f>
        <v>10407687</v>
      </c>
      <c r="BL56" s="201" t="n">
        <f aca="false">BL21+BL53+BL55</f>
        <v>10417158</v>
      </c>
      <c r="BM56" s="201" t="n">
        <f aca="false">BM21+BM53+BM55</f>
        <v>10664883</v>
      </c>
      <c r="BN56" s="201" t="n">
        <f aca="false">BN21+BN53+BN55</f>
        <v>10736742</v>
      </c>
      <c r="BO56" s="201" t="n">
        <f aca="false">BO21+BO53+BO55</f>
        <v>10624533</v>
      </c>
      <c r="BP56" s="201" t="n">
        <f aca="false">BP21+BP53+BP55</f>
        <v>9952569</v>
      </c>
      <c r="BQ56" s="201" t="n">
        <f aca="false">BQ21+BQ53+BQ55</f>
        <v>9258027</v>
      </c>
      <c r="BR56" s="201" t="n">
        <f aca="false">BR21+BR53+BR55</f>
        <v>8783472</v>
      </c>
      <c r="BS56" s="201" t="n">
        <f aca="false">BS21+BS53+BS55</f>
        <v>8159178</v>
      </c>
      <c r="BT56" s="201" t="n">
        <f aca="false">BT21+BT53+BT55</f>
        <v>7420524</v>
      </c>
      <c r="BU56" s="201" t="n">
        <f aca="false">BU21+BU53+BU55</f>
        <v>6292893</v>
      </c>
      <c r="BV56" s="201" t="n">
        <f aca="false">BV21+BV53+BV55</f>
        <v>5139747</v>
      </c>
      <c r="BW56" s="201" t="n">
        <f aca="false">BW21+BW53+BW55</f>
        <v>4126617</v>
      </c>
      <c r="BX56" s="201" t="n">
        <f aca="false">BX21+BX53+BX55</f>
        <v>3194637</v>
      </c>
      <c r="BY56" s="201" t="n">
        <f aca="false">BY21+BY53+BY55</f>
        <v>2296026</v>
      </c>
      <c r="BZ56" s="201" t="n">
        <f aca="false">BZ21+BZ53+BZ55</f>
        <v>1579683</v>
      </c>
      <c r="CA56" s="201" t="n">
        <f aca="false">CA21+CA53+CA55</f>
        <v>968721</v>
      </c>
      <c r="CB56" s="201" t="n">
        <f aca="false">CB21+CB53+CB55</f>
        <v>397755</v>
      </c>
      <c r="CC56" s="201" t="n">
        <f aca="false">CC21+CC53+CC55</f>
        <v>0</v>
      </c>
      <c r="CD56" s="201" t="n">
        <f aca="false">CD21+CD53+CD55</f>
        <v>0</v>
      </c>
      <c r="CE56" s="201" t="n">
        <f aca="false">CE21+CE53+CE55</f>
        <v>0</v>
      </c>
      <c r="CF56" s="201" t="n">
        <f aca="false">CF21+CF53+CF55</f>
        <v>0</v>
      </c>
      <c r="CG56" s="201" t="n">
        <f aca="false">CG21+CG53+CG55</f>
        <v>0</v>
      </c>
      <c r="CH56" s="201" t="n">
        <f aca="false">CH21+CH53+CH55</f>
        <v>0</v>
      </c>
      <c r="CI56" s="201" t="n">
        <f aca="false">CI21+CI53+CI55</f>
        <v>0</v>
      </c>
      <c r="CJ56" s="201" t="n">
        <f aca="false">CJ21+CJ53+CJ55</f>
        <v>0</v>
      </c>
      <c r="CK56" s="201" t="n">
        <f aca="false">CK21+CK53+CK55</f>
        <v>0</v>
      </c>
      <c r="CL56" s="201" t="n">
        <f aca="false">CL21+CL53+CL55</f>
        <v>0</v>
      </c>
      <c r="CM56" s="201" t="n">
        <f aca="false">CM21+CM53+CM55</f>
        <v>0</v>
      </c>
      <c r="CN56" s="201" t="n">
        <f aca="false">CN21+CN53+CN55</f>
        <v>0</v>
      </c>
      <c r="CO56" s="201" t="n">
        <f aca="false">CO21+CO53+CO55</f>
        <v>0</v>
      </c>
      <c r="CP56" s="201" t="n">
        <f aca="false">CP21+CP53+CP55</f>
        <v>0</v>
      </c>
      <c r="CQ56" s="201" t="n">
        <f aca="false">CQ21+CQ53+CQ55</f>
        <v>0</v>
      </c>
      <c r="CR56" s="201" t="n">
        <f aca="false">CR21+CR53+CR55</f>
        <v>0</v>
      </c>
      <c r="CS56" s="201" t="n">
        <f aca="false">CS21+CS53+CS55</f>
        <v>0</v>
      </c>
      <c r="CT56" s="201" t="n">
        <f aca="false">CT21+CT53+CT55</f>
        <v>0</v>
      </c>
      <c r="CU56" s="201" t="n">
        <f aca="false">CU21+CU53+CU55</f>
        <v>0</v>
      </c>
      <c r="CV56" s="201" t="n">
        <f aca="false">CV21+CV53+CV55</f>
        <v>0</v>
      </c>
      <c r="CW56" s="201" t="n">
        <f aca="false">CW21+CW53+CW55</f>
        <v>0</v>
      </c>
      <c r="CX56" s="201" t="n">
        <f aca="false">CX21+CX53+CX55</f>
        <v>0</v>
      </c>
      <c r="CY56" s="201" t="n">
        <f aca="false">CY21+CY53+CY55</f>
        <v>0</v>
      </c>
      <c r="CZ56" s="201" t="n">
        <f aca="false">CZ21+CZ53+CZ55</f>
        <v>0</v>
      </c>
      <c r="DA56" s="201" t="n">
        <f aca="false">DA21+DA53+DA55</f>
        <v>0</v>
      </c>
      <c r="DB56" s="201" t="n">
        <f aca="false">DB21+DB53+DB55</f>
        <v>0</v>
      </c>
    </row>
    <row r="57" customFormat="false" ht="15" hidden="false" customHeight="true" outlineLevel="0" collapsed="false">
      <c r="A57" s="199" t="s">
        <v>589</v>
      </c>
      <c r="B57" s="200"/>
      <c r="C57" s="200"/>
      <c r="D57" s="200"/>
      <c r="E57" s="200"/>
      <c r="F57" s="200"/>
      <c r="G57" s="202" t="n">
        <f aca="false">G22+G54</f>
        <v>5</v>
      </c>
      <c r="H57" s="202" t="n">
        <f aca="false">H22+H54</f>
        <v>5</v>
      </c>
      <c r="I57" s="202" t="n">
        <f aca="false">I22+I54</f>
        <v>5</v>
      </c>
      <c r="J57" s="202" t="n">
        <f aca="false">J22+J54</f>
        <v>7</v>
      </c>
      <c r="K57" s="202" t="n">
        <f aca="false">K22+K54</f>
        <v>8</v>
      </c>
      <c r="L57" s="202" t="n">
        <f aca="false">L22+L54</f>
        <v>8</v>
      </c>
      <c r="M57" s="202" t="n">
        <f aca="false">M22+M54</f>
        <v>8</v>
      </c>
      <c r="N57" s="202" t="n">
        <f aca="false">N22+N54</f>
        <v>8</v>
      </c>
      <c r="O57" s="202" t="n">
        <f aca="false">O22+O54</f>
        <v>8</v>
      </c>
      <c r="P57" s="202" t="n">
        <f aca="false">P22+P54</f>
        <v>10</v>
      </c>
      <c r="Q57" s="202" t="n">
        <f aca="false">Q22+Q54</f>
        <v>11</v>
      </c>
      <c r="R57" s="202" t="n">
        <f aca="false">R22+R54</f>
        <v>11</v>
      </c>
      <c r="S57" s="202" t="n">
        <f aca="false">S22+S54</f>
        <v>12</v>
      </c>
      <c r="T57" s="202" t="n">
        <f aca="false">T22+T54</f>
        <v>13</v>
      </c>
      <c r="U57" s="202" t="n">
        <f aca="false">U22+U54</f>
        <v>14</v>
      </c>
      <c r="V57" s="202" t="n">
        <f aca="false">V22+V54</f>
        <v>14</v>
      </c>
      <c r="W57" s="202" t="n">
        <f aca="false">W22+W54</f>
        <v>14</v>
      </c>
      <c r="X57" s="202" t="n">
        <f aca="false">X22+X54</f>
        <v>13</v>
      </c>
      <c r="Y57" s="202" t="n">
        <f aca="false">Y22+Y54</f>
        <v>12</v>
      </c>
      <c r="Z57" s="202" t="n">
        <f aca="false">Z22+Z54</f>
        <v>12</v>
      </c>
      <c r="AA57" s="202" t="n">
        <f aca="false">AA22+AA54</f>
        <v>12</v>
      </c>
      <c r="AB57" s="202" t="n">
        <f aca="false">AB22+AB54</f>
        <v>12</v>
      </c>
      <c r="AC57" s="202" t="n">
        <f aca="false">AC22+AC54</f>
        <v>12</v>
      </c>
      <c r="AD57" s="202" t="n">
        <f aca="false">AD22+AD54</f>
        <v>12</v>
      </c>
      <c r="AE57" s="202" t="n">
        <f aca="false">AE22+AE54</f>
        <v>11</v>
      </c>
      <c r="AF57" s="202" t="n">
        <f aca="false">AF22+AF54</f>
        <v>11</v>
      </c>
      <c r="AG57" s="202" t="n">
        <f aca="false">AG22+AG54</f>
        <v>12</v>
      </c>
      <c r="AH57" s="202" t="n">
        <f aca="false">AH22+AH54</f>
        <v>12</v>
      </c>
      <c r="AI57" s="202" t="n">
        <f aca="false">AI22+AI54</f>
        <v>11</v>
      </c>
      <c r="AJ57" s="202" t="n">
        <f aca="false">AJ22+AJ54</f>
        <v>11</v>
      </c>
      <c r="AK57" s="202" t="n">
        <f aca="false">AK22+AK54</f>
        <v>12</v>
      </c>
      <c r="AL57" s="202" t="n">
        <f aca="false">AL22+AL54</f>
        <v>13</v>
      </c>
      <c r="AM57" s="202" t="n">
        <f aca="false">AM22+AM54</f>
        <v>12</v>
      </c>
      <c r="AN57" s="202" t="n">
        <f aca="false">AN22+AN54</f>
        <v>12</v>
      </c>
      <c r="AO57" s="202" t="n">
        <f aca="false">AO22+AO54</f>
        <v>12</v>
      </c>
      <c r="AP57" s="202" t="n">
        <f aca="false">AP22+AP54</f>
        <v>13</v>
      </c>
      <c r="AQ57" s="202" t="n">
        <f aca="false">AQ22+AQ54</f>
        <v>13</v>
      </c>
      <c r="AR57" s="202" t="n">
        <f aca="false">AR22+AR54</f>
        <v>14</v>
      </c>
      <c r="AS57" s="202" t="n">
        <f aca="false">AS22+AS54</f>
        <v>15</v>
      </c>
      <c r="AT57" s="202" t="n">
        <f aca="false">AT22+AT54</f>
        <v>15</v>
      </c>
      <c r="AU57" s="202" t="n">
        <f aca="false">AU22+AU54</f>
        <v>15</v>
      </c>
      <c r="AV57" s="202" t="n">
        <f aca="false">AV22+AV54</f>
        <v>15</v>
      </c>
      <c r="AW57" s="202" t="n">
        <f aca="false">AW22+AW54</f>
        <v>14</v>
      </c>
      <c r="AX57" s="202" t="n">
        <f aca="false">AX22+AX54</f>
        <v>14</v>
      </c>
      <c r="AY57" s="202" t="n">
        <f aca="false">AY22+AY54</f>
        <v>14</v>
      </c>
      <c r="AZ57" s="202" t="n">
        <f aca="false">AZ22+AZ54</f>
        <v>14</v>
      </c>
      <c r="BA57" s="202" t="n">
        <f aca="false">BA22+BA54</f>
        <v>14</v>
      </c>
      <c r="BB57" s="202" t="n">
        <f aca="false">BB22+BB54</f>
        <v>14</v>
      </c>
      <c r="BC57" s="202" t="n">
        <f aca="false">BC22+BC54</f>
        <v>14</v>
      </c>
      <c r="BD57" s="202" t="n">
        <f aca="false">BD22+BD54</f>
        <v>14</v>
      </c>
      <c r="BE57" s="202" t="n">
        <f aca="false">BE22+BE54</f>
        <v>14</v>
      </c>
      <c r="BF57" s="202" t="n">
        <f aca="false">BF22+BF54</f>
        <v>14</v>
      </c>
      <c r="BG57" s="202" t="n">
        <f aca="false">BG22+BG54</f>
        <v>14</v>
      </c>
      <c r="BH57" s="202" t="n">
        <f aca="false">BH22+BH54</f>
        <v>14</v>
      </c>
      <c r="BI57" s="202" t="n">
        <f aca="false">BI22+BI54</f>
        <v>14</v>
      </c>
      <c r="BJ57" s="202" t="n">
        <f aca="false">BJ22+BJ54</f>
        <v>14</v>
      </c>
      <c r="BK57" s="202" t="n">
        <f aca="false">BK22+BK54</f>
        <v>12</v>
      </c>
      <c r="BL57" s="202" t="n">
        <f aca="false">BL22+BL54</f>
        <v>11</v>
      </c>
      <c r="BM57" s="202" t="n">
        <f aca="false">BM22+BM54</f>
        <v>11</v>
      </c>
      <c r="BN57" s="202" t="n">
        <f aca="false">BN22+BN54</f>
        <v>11</v>
      </c>
      <c r="BO57" s="202" t="n">
        <f aca="false">BO22+BO54</f>
        <v>11</v>
      </c>
      <c r="BP57" s="202" t="n">
        <f aca="false">BP22+BP54</f>
        <v>10</v>
      </c>
      <c r="BQ57" s="202" t="n">
        <f aca="false">BQ22+BQ54</f>
        <v>9</v>
      </c>
      <c r="BR57" s="202" t="n">
        <f aca="false">BR22+BR54</f>
        <v>9</v>
      </c>
      <c r="BS57" s="202" t="n">
        <f aca="false">BS22+BS54</f>
        <v>9</v>
      </c>
      <c r="BT57" s="202" t="n">
        <f aca="false">BT22+BT54</f>
        <v>9</v>
      </c>
      <c r="BU57" s="202" t="n">
        <f aca="false">BU22+BU54</f>
        <v>8</v>
      </c>
      <c r="BV57" s="202" t="n">
        <f aca="false">BV22+BV54</f>
        <v>7</v>
      </c>
      <c r="BW57" s="202" t="n">
        <f aca="false">BW22+BW54</f>
        <v>6</v>
      </c>
      <c r="BX57" s="202" t="n">
        <f aca="false">BX22+BX54</f>
        <v>5</v>
      </c>
      <c r="BY57" s="202" t="n">
        <f aca="false">BY22+BY54</f>
        <v>4</v>
      </c>
      <c r="BZ57" s="202" t="n">
        <f aca="false">BZ22+BZ54</f>
        <v>3</v>
      </c>
      <c r="CA57" s="202" t="n">
        <f aca="false">CA22+CA54</f>
        <v>2</v>
      </c>
      <c r="CB57" s="202" t="n">
        <f aca="false">CB22+CB54</f>
        <v>1</v>
      </c>
      <c r="CC57" s="202" t="n">
        <f aca="false">CC22+CC54</f>
        <v>0</v>
      </c>
      <c r="CD57" s="202" t="n">
        <f aca="false">CD22+CD54</f>
        <v>0</v>
      </c>
      <c r="CE57" s="202" t="n">
        <f aca="false">CE22+CE54</f>
        <v>0</v>
      </c>
      <c r="CF57" s="202" t="n">
        <f aca="false">CF22+CF54</f>
        <v>0</v>
      </c>
      <c r="CG57" s="202" t="n">
        <f aca="false">CG22+CG54</f>
        <v>0</v>
      </c>
      <c r="CH57" s="202" t="n">
        <f aca="false">CH22+CH54</f>
        <v>0</v>
      </c>
      <c r="CI57" s="202" t="n">
        <f aca="false">CI22+CI54</f>
        <v>0</v>
      </c>
      <c r="CJ57" s="202" t="n">
        <f aca="false">CJ22+CJ54</f>
        <v>0</v>
      </c>
      <c r="CK57" s="202" t="n">
        <f aca="false">CK22+CK54</f>
        <v>0</v>
      </c>
      <c r="CL57" s="202" t="n">
        <f aca="false">CL22+CL54</f>
        <v>0</v>
      </c>
      <c r="CM57" s="202" t="n">
        <f aca="false">CM22+CM54</f>
        <v>0</v>
      </c>
      <c r="CN57" s="202" t="n">
        <f aca="false">CN22+CN54</f>
        <v>0</v>
      </c>
      <c r="CO57" s="202" t="n">
        <f aca="false">CO22+CO54</f>
        <v>0</v>
      </c>
      <c r="CP57" s="202" t="n">
        <f aca="false">CP22+CP54</f>
        <v>0</v>
      </c>
      <c r="CQ57" s="202" t="n">
        <f aca="false">CQ22+CQ54</f>
        <v>0</v>
      </c>
      <c r="CR57" s="202" t="n">
        <f aca="false">CR22+CR54</f>
        <v>0</v>
      </c>
      <c r="CS57" s="202" t="n">
        <f aca="false">CS22+CS54</f>
        <v>0</v>
      </c>
      <c r="CT57" s="202" t="n">
        <f aca="false">CT22+CT54</f>
        <v>0</v>
      </c>
      <c r="CU57" s="202" t="n">
        <f aca="false">CU22+CU54</f>
        <v>0</v>
      </c>
      <c r="CV57" s="202" t="n">
        <f aca="false">CV22+CV54</f>
        <v>0</v>
      </c>
      <c r="CW57" s="202" t="n">
        <f aca="false">CW22+CW54</f>
        <v>0</v>
      </c>
      <c r="CX57" s="202" t="n">
        <f aca="false">CX22+CX54</f>
        <v>0</v>
      </c>
      <c r="CY57" s="202" t="n">
        <f aca="false">CY22+CY54</f>
        <v>0</v>
      </c>
      <c r="CZ57" s="202" t="n">
        <f aca="false">CZ22+CZ54</f>
        <v>0</v>
      </c>
      <c r="DA57" s="202" t="n">
        <f aca="false">DA22+DA54</f>
        <v>0</v>
      </c>
      <c r="DB57" s="202" t="n">
        <f aca="false">DB22+DB54</f>
        <v>0</v>
      </c>
    </row>
    <row r="59" customFormat="false" ht="15" hidden="false" customHeight="true" outlineLevel="0" collapsed="false">
      <c r="A59" s="94" t="s">
        <v>590</v>
      </c>
      <c r="G59" s="198" t="n">
        <f aca="false">-(Model!E236+Model!E292)</f>
        <v>269336.28</v>
      </c>
      <c r="H59" s="198" t="n">
        <f aca="false">-(Model!F236+Model!F292)</f>
        <v>687944.37</v>
      </c>
      <c r="I59" s="198" t="n">
        <f aca="false">-(Model!G236+Model!G292)</f>
        <v>471394.68</v>
      </c>
      <c r="J59" s="198" t="n">
        <f aca="false">-(Model!H236+Model!H292)</f>
        <v>518009.51</v>
      </c>
      <c r="K59" s="198" t="n">
        <f aca="false">-(Model!I236+Model!I292)</f>
        <v>569578.44</v>
      </c>
      <c r="L59" s="198" t="n">
        <f aca="false">-(Model!J236+Model!J292)</f>
        <v>592482.068333333</v>
      </c>
      <c r="M59" s="198" t="n">
        <f aca="false">-(Model!K236+Model!K292)</f>
        <v>582482.068333333</v>
      </c>
      <c r="N59" s="198" t="n">
        <f aca="false">-(Model!L236+Model!L292)</f>
        <v>582482.068333333</v>
      </c>
      <c r="O59" s="198" t="n">
        <f aca="false">-(Model!M236+Model!M292)</f>
        <v>648925.818333333</v>
      </c>
      <c r="P59" s="198" t="n">
        <f aca="false">-(Model!N236+Model!N292)</f>
        <v>812542.431666667</v>
      </c>
      <c r="Q59" s="198" t="n">
        <f aca="false">-(Model!O236+Model!O292)</f>
        <v>947587.346875</v>
      </c>
      <c r="R59" s="198" t="n">
        <f aca="false">-(Model!P236+Model!P292)</f>
        <v>672092.485</v>
      </c>
      <c r="S59" s="198" t="n">
        <f aca="false">-(Model!Q236+Model!Q292)</f>
        <v>755921.9597</v>
      </c>
      <c r="T59" s="198" t="n">
        <f aca="false">-(Model!R236+Model!R292)</f>
        <v>804682.2097</v>
      </c>
      <c r="U59" s="198" t="n">
        <f aca="false">-(Model!S236+Model!S292)</f>
        <v>818387.8722</v>
      </c>
      <c r="V59" s="198" t="n">
        <f aca="false">-(Model!T236+Model!T292)</f>
        <v>820556.9222</v>
      </c>
      <c r="W59" s="198" t="n">
        <f aca="false">-(Model!U236+Model!U292)</f>
        <v>819620.3822</v>
      </c>
      <c r="X59" s="198" t="n">
        <f aca="false">-(Model!V236+Model!V292)</f>
        <v>773513.4597</v>
      </c>
      <c r="Y59" s="198" t="n">
        <f aca="false">-(Model!W236+Model!W292)</f>
        <v>773513.4597</v>
      </c>
      <c r="Z59" s="198" t="n">
        <f aca="false">-(Model!X236+Model!X292)</f>
        <v>773513.4597</v>
      </c>
      <c r="AA59" s="198" t="n">
        <f aca="false">-(Model!Y236+Model!Y292)</f>
        <v>836079.28615</v>
      </c>
      <c r="AB59" s="198" t="n">
        <f aca="false">-(Model!Z236+Model!Z292)</f>
        <v>770963.219315385</v>
      </c>
      <c r="AC59" s="198" t="n">
        <f aca="false">-(Model!AA236+Model!AA292)</f>
        <v>761347.8347</v>
      </c>
      <c r="AD59" s="198" t="n">
        <f aca="false">-(Model!AB236+Model!AB292)</f>
        <v>759715.680853846</v>
      </c>
      <c r="AE59" s="198" t="n">
        <f aca="false">-(Model!AC236+Model!AC292)</f>
        <v>813533.071394</v>
      </c>
      <c r="AF59" s="198" t="n">
        <f aca="false">-(Model!AD236+Model!AD292)</f>
        <v>768533.071394</v>
      </c>
      <c r="AG59" s="198" t="n">
        <f aca="false">-(Model!AE236+Model!AE292)</f>
        <v>768533.071394</v>
      </c>
      <c r="AH59" s="198" t="n">
        <f aca="false">-(Model!AF236+Model!AF292)</f>
        <v>768533.071394</v>
      </c>
      <c r="AI59" s="198" t="n">
        <f aca="false">-(Model!AG236+Model!AG292)</f>
        <v>768533.071394</v>
      </c>
      <c r="AJ59" s="198" t="n">
        <f aca="false">-(Model!AH236+Model!AH292)</f>
        <v>813533.071394</v>
      </c>
      <c r="AK59" s="198" t="n">
        <f aca="false">-(Model!AI236+Model!AI292)</f>
        <v>813533.071394</v>
      </c>
      <c r="AL59" s="198" t="n">
        <f aca="false">-(Model!AJ236+Model!AJ292)</f>
        <v>857133.728894</v>
      </c>
      <c r="AM59" s="198" t="n">
        <f aca="false">-(Model!AK236+Model!AK292)</f>
        <v>826383.728894</v>
      </c>
      <c r="AN59" s="198" t="n">
        <f aca="false">-(Model!AL236+Model!AL292)</f>
        <v>897486.277762043</v>
      </c>
      <c r="AO59" s="198" t="n">
        <f aca="false">-(Model!AM236+Model!AM292)</f>
        <v>826383.728894</v>
      </c>
      <c r="AP59" s="198" t="n">
        <f aca="false">-(Model!AN236+Model!AN292)</f>
        <v>833883.728894</v>
      </c>
      <c r="AQ59" s="198" t="n">
        <f aca="false">-(Model!AO236+Model!AO292)</f>
        <v>842061.40347188</v>
      </c>
      <c r="AR59" s="198" t="n">
        <f aca="false">-(Model!AP236+Model!AP292)</f>
        <v>842061.40347188</v>
      </c>
      <c r="AS59" s="198" t="n">
        <f aca="false">-(Model!AQ236+Model!AQ292)</f>
        <v>913631.92062188</v>
      </c>
      <c r="AT59" s="198" t="n">
        <f aca="false">-(Model!AR236+Model!AR292)</f>
        <v>867881.92062188</v>
      </c>
      <c r="AU59" s="198" t="n">
        <f aca="false">-(Model!AS236+Model!AS292)</f>
        <v>830381.92062188</v>
      </c>
      <c r="AV59" s="198" t="n">
        <f aca="false">-(Model!AT236+Model!AT292)</f>
        <v>987074.980947636</v>
      </c>
      <c r="AW59" s="198" t="n">
        <f aca="false">-(Model!AU236+Model!AU292)</f>
        <v>1009098.28807922</v>
      </c>
      <c r="AX59" s="198" t="n">
        <f aca="false">-(Model!AV236+Model!AV292)</f>
        <v>900696.15312188</v>
      </c>
      <c r="AY59" s="198" t="n">
        <f aca="false">-(Model!AW236+Model!AW292)</f>
        <v>971714.75222188</v>
      </c>
      <c r="AZ59" s="198" t="n">
        <f aca="false">-(Model!AX236+Model!AX292)</f>
        <v>842532.75222188</v>
      </c>
      <c r="BA59" s="198" t="n">
        <f aca="false">-(Model!AY236+Model!AY292)</f>
        <v>921124.561551593</v>
      </c>
      <c r="BB59" s="198" t="n">
        <f aca="false">-(Model!AZ236+Model!AZ292)</f>
        <v>1003952.28976719</v>
      </c>
      <c r="BC59" s="198" t="n">
        <f aca="false">-(Model!BA236+Model!BA292)</f>
        <v>942414.277211053</v>
      </c>
      <c r="BD59" s="198" t="n">
        <f aca="false">-(Model!BB236+Model!BB292)</f>
        <v>923414.946651651</v>
      </c>
      <c r="BE59" s="198" t="n">
        <f aca="false">-(Model!BC236+Model!BC292)</f>
        <v>1826901.89657857</v>
      </c>
      <c r="BF59" s="198" t="n">
        <f aca="false">-(Model!BD236+Model!BD292)</f>
        <v>894504.416106257</v>
      </c>
      <c r="BG59" s="198" t="n">
        <f aca="false">-(Model!BE236+Model!BE292)</f>
        <v>931745.23563394</v>
      </c>
      <c r="BH59" s="198" t="n">
        <f aca="false">-(Model!BF236+Model!BF292)</f>
        <v>1027629.45516162</v>
      </c>
      <c r="BI59" s="198" t="n">
        <f aca="false">-(Model!BG236+Model!BG292)</f>
        <v>897422.693550085</v>
      </c>
      <c r="BJ59" s="198" t="n">
        <f aca="false">-(Model!BH236+Model!BH292)</f>
        <v>933920.380375169</v>
      </c>
      <c r="BK59" s="198" t="n">
        <f aca="false">-(Model!BI236+Model!BI292)</f>
        <v>1028007.56953584</v>
      </c>
      <c r="BL59" s="198" t="n">
        <f aca="false">-(Model!BJ236+Model!BJ292)</f>
        <v>801961.859193318</v>
      </c>
      <c r="BM59" s="198" t="n">
        <f aca="false">-(Model!BK236+Model!BK292)</f>
        <v>798535.190275318</v>
      </c>
      <c r="BN59" s="198" t="n">
        <f aca="false">-(Model!BL236+Model!BL292)</f>
        <v>919411.190275318</v>
      </c>
      <c r="BO59" s="198" t="n">
        <f aca="false">-(Model!BM236+Model!BM292)</f>
        <v>882412.006326063</v>
      </c>
      <c r="BP59" s="198" t="n">
        <f aca="false">-(Model!BN236+Model!BN292)</f>
        <v>837516.033059779</v>
      </c>
      <c r="BQ59" s="198" t="n">
        <f aca="false">-(Model!BO236+Model!BO292)</f>
        <v>885394.217439379</v>
      </c>
      <c r="BR59" s="198" t="n">
        <f aca="false">-(Model!BP236+Model!BP292)</f>
        <v>706032.581635821</v>
      </c>
      <c r="BS59" s="198" t="n">
        <f aca="false">-(Model!BQ236+Model!BQ292)</f>
        <v>680414.302416384</v>
      </c>
      <c r="BT59" s="198" t="n">
        <f aca="false">-(Model!BR236+Model!BR292)</f>
        <v>808323.046048168</v>
      </c>
      <c r="BU59" s="198" t="n">
        <f aca="false">-(Model!BS236+Model!BS292)</f>
        <v>746566.777574581</v>
      </c>
      <c r="BV59" s="198" t="n">
        <f aca="false">-(Model!BT236+Model!BT292)</f>
        <v>711459.822768409</v>
      </c>
      <c r="BW59" s="198" t="n">
        <f aca="false">-(Model!BU236+Model!BU292)</f>
        <v>762793.431208286</v>
      </c>
      <c r="BX59" s="198" t="n">
        <f aca="false">-(Model!BV236+Model!BV292)</f>
        <v>690747.031493788</v>
      </c>
      <c r="BY59" s="198" t="n">
        <f aca="false">-(Model!BW236+Model!BW292)</f>
        <v>655927.989468765</v>
      </c>
      <c r="BZ59" s="198" t="n">
        <f aca="false">-(Model!BX236+Model!BX292)</f>
        <v>720864.382054404</v>
      </c>
      <c r="CA59" s="198" t="n">
        <f aca="false">-(Model!BY236+Model!BY292)</f>
        <v>670084.811444224</v>
      </c>
      <c r="CB59" s="198" t="n">
        <f aca="false">-(Model!BZ236+Model!BZ292)</f>
        <v>635905.262908421</v>
      </c>
      <c r="CC59" s="198" t="n">
        <f aca="false">-(Model!CA236+Model!CA292)</f>
        <v>783701.262908421</v>
      </c>
      <c r="CD59" s="198" t="n">
        <f aca="false">-(Model!CB236+Model!CB292)</f>
        <v>635905.262908421</v>
      </c>
      <c r="CE59" s="198" t="n">
        <f aca="false">-(Model!CC236+Model!CC292)</f>
        <v>635905.262908421</v>
      </c>
      <c r="CF59" s="198" t="n">
        <f aca="false">-(Model!CD236+Model!CD292)</f>
        <v>790423.262908421</v>
      </c>
      <c r="CG59" s="198" t="n">
        <f aca="false">-(Model!CE236+Model!CE292)</f>
        <v>635905.262908421</v>
      </c>
      <c r="CH59" s="198" t="n">
        <f aca="false">-(Model!CF236+Model!CF292)</f>
        <v>635905.262908421</v>
      </c>
      <c r="CI59" s="198" t="n">
        <f aca="false">-(Model!CG236+Model!CG292)</f>
        <v>790422.262908421</v>
      </c>
      <c r="CJ59" s="198" t="n">
        <f aca="false">-(Model!CH236+Model!CH292)</f>
        <v>635905.262908421</v>
      </c>
      <c r="CK59" s="198" t="n">
        <f aca="false">-(Model!CI236+Model!CI292)</f>
        <v>635905.262908421</v>
      </c>
      <c r="CL59" s="198" t="n">
        <f aca="false">-(Model!CJ236+Model!CJ292)</f>
        <v>783814.236301942</v>
      </c>
      <c r="CM59" s="198" t="n">
        <f aca="false">-(Model!CK236+Model!CK292)</f>
        <v>721678.368166589</v>
      </c>
      <c r="CN59" s="198" t="n">
        <f aca="false">-(Model!CL236+Model!CL292)</f>
        <v>721678.368166589</v>
      </c>
      <c r="CO59" s="198" t="n">
        <f aca="false">-(Model!CM236+Model!CM292)</f>
        <v>721678.368166589</v>
      </c>
      <c r="CP59" s="198" t="n">
        <f aca="false">-(Model!CN236+Model!CN292)</f>
        <v>721678.368166589</v>
      </c>
      <c r="CQ59" s="198" t="n">
        <f aca="false">-(Model!CO236+Model!CO292)</f>
        <v>721678.368166589</v>
      </c>
      <c r="CR59" s="198" t="n">
        <f aca="false">-(Model!CP236+Model!CP292)</f>
        <v>721678.368166589</v>
      </c>
      <c r="CS59" s="198" t="n">
        <f aca="false">-(Model!CQ236+Model!CQ292)</f>
        <v>721678.368166589</v>
      </c>
      <c r="CT59" s="198" t="n">
        <f aca="false">-(Model!CR236+Model!CR292)</f>
        <v>721678.368166589</v>
      </c>
      <c r="CU59" s="198" t="n">
        <f aca="false">-(Model!CS236+Model!CS292)</f>
        <v>721678.368166589</v>
      </c>
      <c r="CV59" s="198" t="n">
        <f aca="false">-(Model!CT236+Model!CT292)</f>
        <v>660876.239873812</v>
      </c>
      <c r="CW59" s="198" t="n">
        <f aca="false">-(Model!CU236+Model!CU292)</f>
        <v>660876.239873812</v>
      </c>
      <c r="CX59" s="198" t="n">
        <f aca="false">-(Model!CV236+Model!CV292)</f>
        <v>660876.239873812</v>
      </c>
      <c r="CY59" s="198" t="n">
        <f aca="false">-(Model!CW236+Model!CW292)</f>
        <v>616822.513607695</v>
      </c>
      <c r="CZ59" s="198" t="n">
        <f aca="false">-(Model!CX236+Model!CX292)</f>
        <v>599375.664671288</v>
      </c>
      <c r="DA59" s="198" t="n">
        <f aca="false">-(Model!CY236+Model!CY292)</f>
        <v>599375.664671288</v>
      </c>
      <c r="DB59" s="198" t="n">
        <f aca="false">-(Model!CZ236+Model!CZ292)</f>
        <v>599375.664671288</v>
      </c>
    </row>
    <row r="60" customFormat="false" ht="15" hidden="false" customHeight="true" outlineLevel="0" collapsed="false">
      <c r="A60" s="94" t="s">
        <v>591</v>
      </c>
      <c r="G60" s="198" t="n">
        <f aca="false">Model!E199</f>
        <v>447358.25</v>
      </c>
      <c r="H60" s="198" t="n">
        <f aca="false">Model!F199</f>
        <v>465536.7</v>
      </c>
      <c r="I60" s="198" t="n">
        <f aca="false">Model!G199</f>
        <v>641351.13</v>
      </c>
      <c r="J60" s="198" t="n">
        <f aca="false">Model!H199</f>
        <v>1766649.51</v>
      </c>
      <c r="K60" s="198" t="n">
        <f aca="false">Model!I199</f>
        <v>-132141.505125</v>
      </c>
      <c r="L60" s="198" t="n">
        <f aca="false">Model!J199</f>
        <v>702607.028396964</v>
      </c>
      <c r="M60" s="198" t="n">
        <f aca="false">Model!K199</f>
        <v>770495.389718767</v>
      </c>
      <c r="N60" s="198" t="n">
        <f aca="false">Model!L199</f>
        <v>609302.628116041</v>
      </c>
      <c r="O60" s="198" t="n">
        <f aca="false">Model!M199</f>
        <v>202550.231435551</v>
      </c>
      <c r="P60" s="198" t="n">
        <f aca="false">Model!N199</f>
        <v>921198.021338766</v>
      </c>
      <c r="Q60" s="198" t="n">
        <f aca="false">Model!O199</f>
        <v>831983.497819715</v>
      </c>
      <c r="R60" s="198" t="n">
        <f aca="false">Model!P199</f>
        <v>852806.987819716</v>
      </c>
      <c r="S60" s="198" t="n">
        <f aca="false">Model!Q199</f>
        <v>169427.681211907</v>
      </c>
      <c r="T60" s="198" t="n">
        <f aca="false">Model!R199</f>
        <v>736482.701731266</v>
      </c>
      <c r="U60" s="198" t="n">
        <f aca="false">Model!S199</f>
        <v>861251.627420825</v>
      </c>
      <c r="V60" s="198" t="n">
        <f aca="false">Model!T199</f>
        <v>922973.338934083</v>
      </c>
      <c r="W60" s="198" t="n">
        <f aca="false">Model!U199</f>
        <v>1144080.80498088</v>
      </c>
      <c r="X60" s="198" t="n">
        <f aca="false">Model!V199</f>
        <v>1222659.89498088</v>
      </c>
      <c r="Y60" s="198" t="n">
        <f aca="false">Model!W199</f>
        <v>1110973.59498088</v>
      </c>
      <c r="Z60" s="198" t="n">
        <f aca="false">Model!X199</f>
        <v>1404851.5398398</v>
      </c>
      <c r="AA60" s="198" t="n">
        <f aca="false">Model!Y199</f>
        <v>1243090.7198398</v>
      </c>
      <c r="AB60" s="198" t="n">
        <f aca="false">Model!Z199</f>
        <v>1369436.8998398</v>
      </c>
      <c r="AC60" s="198" t="n">
        <f aca="false">Model!AA199</f>
        <v>1398675.55320094</v>
      </c>
      <c r="AD60" s="198" t="n">
        <f aca="false">Model!AB199</f>
        <v>1320695.73110043</v>
      </c>
      <c r="AE60" s="198" t="n">
        <f aca="false">Model!AC199</f>
        <v>1091970.26185688</v>
      </c>
      <c r="AF60" s="198" t="n">
        <f aca="false">Model!AD199</f>
        <v>1114920.17185688</v>
      </c>
      <c r="AG60" s="198" t="n">
        <f aca="false">Model!AE199</f>
        <v>530638.47976976</v>
      </c>
      <c r="AH60" s="198" t="n">
        <f aca="false">Model!AF199</f>
        <v>1433131.63684014</v>
      </c>
      <c r="AI60" s="198" t="n">
        <f aca="false">Model!AG199</f>
        <v>1451580.62509166</v>
      </c>
      <c r="AJ60" s="198" t="n">
        <f aca="false">Model!AH199</f>
        <v>1423239.20212976</v>
      </c>
      <c r="AK60" s="198" t="n">
        <f aca="false">Model!AI199</f>
        <v>1507365.58212976</v>
      </c>
      <c r="AL60" s="198" t="n">
        <f aca="false">Model!AJ199</f>
        <v>1429400.32663805</v>
      </c>
      <c r="AM60" s="198" t="n">
        <f aca="false">Model!AK199</f>
        <v>1414918.80967213</v>
      </c>
      <c r="AN60" s="198" t="n">
        <f aca="false">Model!AL199</f>
        <v>1494288.17005258</v>
      </c>
      <c r="AO60" s="198" t="n">
        <f aca="false">Model!AM199</f>
        <v>1392487.50978468</v>
      </c>
      <c r="AP60" s="198" t="n">
        <f aca="false">Model!AN199</f>
        <v>1374298.70978468</v>
      </c>
      <c r="AQ60" s="198" t="n">
        <f aca="false">Model!AO199</f>
        <v>1424663.34978468</v>
      </c>
      <c r="AR60" s="198" t="n">
        <f aca="false">Model!AP199</f>
        <v>1214025.10200143</v>
      </c>
      <c r="AS60" s="198" t="n">
        <f aca="false">Model!AQ199</f>
        <v>1623308.49978468</v>
      </c>
      <c r="AT60" s="198" t="n">
        <f aca="false">Model!AR199</f>
        <v>1623308.49978468</v>
      </c>
      <c r="AU60" s="198" t="n">
        <f aca="false">Model!AS199</f>
        <v>1623308.49978468</v>
      </c>
      <c r="AV60" s="198" t="n">
        <f aca="false">Model!AT199</f>
        <v>2004145.98513818</v>
      </c>
      <c r="AW60" s="198" t="n">
        <f aca="false">Model!AU199</f>
        <v>1601381.5439703</v>
      </c>
      <c r="AX60" s="198" t="n">
        <f aca="false">Model!AV199</f>
        <v>1421765.14086855</v>
      </c>
      <c r="AY60" s="198" t="n">
        <f aca="false">Model!AW199</f>
        <v>1421765.14086855</v>
      </c>
      <c r="AZ60" s="198" t="n">
        <f aca="false">Model!AX199</f>
        <v>1421765.14086855</v>
      </c>
      <c r="BA60" s="198" t="n">
        <f aca="false">Model!AY199</f>
        <v>1530117.04086855</v>
      </c>
      <c r="BB60" s="198" t="n">
        <f aca="false">Model!AZ199</f>
        <v>1512058.39086855</v>
      </c>
      <c r="BC60" s="198" t="n">
        <f aca="false">Model!BA199</f>
        <v>1493999.74086855</v>
      </c>
      <c r="BD60" s="198" t="n">
        <f aca="false">Model!BB199</f>
        <v>1228174.61771584</v>
      </c>
      <c r="BE60" s="198" t="n">
        <f aca="false">Model!BC199</f>
        <v>1493999.74086855</v>
      </c>
      <c r="BF60" s="198" t="n">
        <f aca="false">Model!BD199</f>
        <v>1512058.39086855</v>
      </c>
      <c r="BG60" s="198" t="n">
        <f aca="false">Model!BE199</f>
        <v>1530117.04086855</v>
      </c>
      <c r="BH60" s="198" t="n">
        <f aca="false">Model!BF199</f>
        <v>1493999.74086855</v>
      </c>
      <c r="BI60" s="198" t="n">
        <f aca="false">Model!BG199</f>
        <v>1512058.39086855</v>
      </c>
      <c r="BJ60" s="198" t="n">
        <f aca="false">Model!BH199</f>
        <v>1513228.19277144</v>
      </c>
      <c r="BK60" s="198" t="n">
        <f aca="false">Model!BI199</f>
        <v>1246046.85</v>
      </c>
      <c r="BL60" s="198" t="n">
        <f aca="false">Model!BJ199</f>
        <v>1065460.35</v>
      </c>
      <c r="BM60" s="198" t="n">
        <f aca="false">Model!BK199</f>
        <v>1065460.35</v>
      </c>
      <c r="BN60" s="198" t="n">
        <f aca="false">Model!BL199</f>
        <v>1065460.35</v>
      </c>
      <c r="BO60" s="198" t="n">
        <f aca="false">Model!BM199</f>
        <v>1173812.25</v>
      </c>
      <c r="BP60" s="198" t="n">
        <f aca="false">Model!BN199</f>
        <v>1047401.7</v>
      </c>
      <c r="BQ60" s="198" t="n">
        <f aca="false">Model!BO199</f>
        <v>866815.199999999</v>
      </c>
      <c r="BR60" s="198" t="n">
        <f aca="false">Model!BP199</f>
        <v>866815.2</v>
      </c>
      <c r="BS60" s="198" t="n">
        <f aca="false">Model!BQ199</f>
        <v>866815.2</v>
      </c>
      <c r="BT60" s="198" t="n">
        <f aca="false">Model!BR199</f>
        <v>957108.45</v>
      </c>
      <c r="BU60" s="198" t="n">
        <f aca="false">Model!BS199</f>
        <v>884873.85</v>
      </c>
      <c r="BV60" s="198" t="n">
        <f aca="false">Model!BT199</f>
        <v>758463.3</v>
      </c>
      <c r="BW60" s="198" t="n">
        <f aca="false">Model!BU199</f>
        <v>668170.05</v>
      </c>
      <c r="BX60" s="198" t="n">
        <f aca="false">Model!BV199</f>
        <v>595935.45</v>
      </c>
      <c r="BY60" s="198" t="n">
        <f aca="false">Model!BW199</f>
        <v>469524.9</v>
      </c>
      <c r="BZ60" s="198" t="n">
        <f aca="false">Model!BX199</f>
        <v>379231.65</v>
      </c>
      <c r="CA60" s="198" t="n">
        <f aca="false">Model!BY199</f>
        <v>306997.05</v>
      </c>
      <c r="CB60" s="198" t="n">
        <f aca="false">Model!BZ199</f>
        <v>180586.5</v>
      </c>
      <c r="CC60" s="198" t="n">
        <f aca="false">Model!CA199</f>
        <v>0</v>
      </c>
      <c r="CD60" s="198" t="n">
        <f aca="false">Model!CB199</f>
        <v>0</v>
      </c>
      <c r="CE60" s="198" t="n">
        <f aca="false">Model!CC199</f>
        <v>0</v>
      </c>
      <c r="CF60" s="198" t="n">
        <f aca="false">Model!CD199</f>
        <v>0</v>
      </c>
      <c r="CG60" s="198" t="n">
        <f aca="false">Model!CE199</f>
        <v>0</v>
      </c>
      <c r="CH60" s="198" t="n">
        <f aca="false">Model!CF199</f>
        <v>0</v>
      </c>
      <c r="CI60" s="198" t="n">
        <f aca="false">Model!CG199</f>
        <v>0</v>
      </c>
      <c r="CJ60" s="198" t="n">
        <f aca="false">Model!CH199</f>
        <v>0</v>
      </c>
      <c r="CK60" s="198" t="n">
        <f aca="false">Model!CI199</f>
        <v>0</v>
      </c>
      <c r="CL60" s="198" t="n">
        <f aca="false">Model!CJ199</f>
        <v>0</v>
      </c>
      <c r="CM60" s="198" t="n">
        <f aca="false">Model!CK199</f>
        <v>0</v>
      </c>
      <c r="CN60" s="198" t="n">
        <f aca="false">Model!CL199</f>
        <v>0</v>
      </c>
      <c r="CO60" s="198" t="n">
        <f aca="false">Model!CM199</f>
        <v>0</v>
      </c>
      <c r="CP60" s="198" t="n">
        <f aca="false">Model!CN199</f>
        <v>0</v>
      </c>
      <c r="CQ60" s="198" t="n">
        <f aca="false">Model!CO199</f>
        <v>0</v>
      </c>
      <c r="CR60" s="198" t="n">
        <f aca="false">Model!CP199</f>
        <v>0</v>
      </c>
      <c r="CS60" s="198" t="n">
        <f aca="false">Model!CQ199</f>
        <v>0</v>
      </c>
      <c r="CT60" s="198" t="n">
        <f aca="false">Model!CR199</f>
        <v>0</v>
      </c>
      <c r="CU60" s="198" t="n">
        <f aca="false">Model!CS199</f>
        <v>0</v>
      </c>
      <c r="CV60" s="198" t="n">
        <f aca="false">Model!CT199</f>
        <v>0</v>
      </c>
      <c r="CW60" s="198" t="n">
        <f aca="false">Model!CU199</f>
        <v>0</v>
      </c>
      <c r="CX60" s="198" t="n">
        <f aca="false">Model!CV199</f>
        <v>0</v>
      </c>
      <c r="CY60" s="198" t="n">
        <f aca="false">Model!CW199</f>
        <v>0</v>
      </c>
      <c r="CZ60" s="198" t="n">
        <f aca="false">Model!CX199</f>
        <v>0</v>
      </c>
      <c r="DA60" s="198" t="n">
        <f aca="false">Model!CY199</f>
        <v>0</v>
      </c>
      <c r="DB60" s="198" t="n">
        <f aca="false">Model!CZ199</f>
        <v>0</v>
      </c>
    </row>
    <row r="61" customFormat="false" ht="15" hidden="false" customHeight="true" outlineLevel="0" collapsed="false">
      <c r="A61" s="94" t="s">
        <v>592</v>
      </c>
      <c r="G61" s="203" t="n">
        <f aca="false">IFERROR(G60/G56,0)</f>
        <v>0.121157878546931</v>
      </c>
      <c r="H61" s="203" t="n">
        <f aca="false">IFERROR(H60/H56,0)</f>
        <v>0.105418977135063</v>
      </c>
      <c r="I61" s="203" t="n">
        <f aca="false">IFERROR(I60/I56,0)</f>
        <v>0.1025790393097</v>
      </c>
      <c r="J61" s="203" t="n">
        <f aca="false">IFERROR(J60/J56,0)</f>
        <v>0.251459036074756</v>
      </c>
      <c r="K61" s="203" t="n">
        <f aca="false">IFERROR(K60/K56,0)</f>
        <v>-0.0217885116394688</v>
      </c>
      <c r="L61" s="203" t="n">
        <f aca="false">IFERROR(L60/L56,0)</f>
        <v>0.120264568352806</v>
      </c>
      <c r="M61" s="203" t="n">
        <f aca="false">IFERROR(M60/M56,0)</f>
        <v>0.126835733721255</v>
      </c>
      <c r="N61" s="203" t="n">
        <f aca="false">IFERROR(N60/N56,0)</f>
        <v>0.116653336706502</v>
      </c>
      <c r="O61" s="203" t="n">
        <f aca="false">IFERROR(O60/O56,0)</f>
        <v>0.0387636134188943</v>
      </c>
      <c r="P61" s="203" t="n">
        <f aca="false">IFERROR(P60/P56,0)</f>
        <v>0.141753424702375</v>
      </c>
      <c r="Q61" s="203" t="n">
        <f aca="false">IFERROR(Q60/Q56,0)</f>
        <v>0.127602452213543</v>
      </c>
      <c r="R61" s="203" t="n">
        <f aca="false">IFERROR(R60/R56,0)</f>
        <v>0.117826686268274</v>
      </c>
      <c r="S61" s="203" t="n">
        <f aca="false">IFERROR(S60/S56,0)</f>
        <v>0.0214022384976853</v>
      </c>
      <c r="T61" s="203" t="n">
        <f aca="false">IFERROR(T60/T56,0)</f>
        <v>0.0880197737674963</v>
      </c>
      <c r="U61" s="203" t="n">
        <f aca="false">IFERROR(U60/U56,0)</f>
        <v>0.093555535542091</v>
      </c>
      <c r="V61" s="203" t="n">
        <f aca="false">IFERROR(V60/V56,0)</f>
        <v>0.0837030703164793</v>
      </c>
      <c r="W61" s="203" t="n">
        <f aca="false">IFERROR(W60/W56,0)</f>
        <v>0.106877135599552</v>
      </c>
      <c r="X61" s="203" t="n">
        <f aca="false">IFERROR(X60/X56,0)</f>
        <v>0.104813459274355</v>
      </c>
      <c r="Y61" s="203" t="n">
        <f aca="false">IFERROR(Y60/Y56,0)</f>
        <v>0.104999635683923</v>
      </c>
      <c r="Z61" s="203" t="n">
        <f aca="false">IFERROR(Z60/Z56,0)</f>
        <v>0.109101036540359</v>
      </c>
      <c r="AA61" s="203" t="n">
        <f aca="false">IFERROR(AA60/AA56,0)</f>
        <v>0.105142912854175</v>
      </c>
      <c r="AB61" s="203" t="n">
        <f aca="false">IFERROR(AB60/AB56,0)</f>
        <v>0.105504124156408</v>
      </c>
      <c r="AC61" s="203" t="n">
        <f aca="false">IFERROR(AC60/AC56,0)</f>
        <v>0.111654318878868</v>
      </c>
      <c r="AD61" s="203" t="n">
        <f aca="false">IFERROR(AD60/AD56,0)</f>
        <v>0.111524102605206</v>
      </c>
      <c r="AE61" s="203" t="n">
        <f aca="false">IFERROR(AE60/AE56,0)</f>
        <v>0.0999405982873616</v>
      </c>
      <c r="AF61" s="203" t="n">
        <f aca="false">IFERROR(AF60/AF56,0)</f>
        <v>0.101375430915423</v>
      </c>
      <c r="AG61" s="203" t="n">
        <f aca="false">IFERROR(AG60/AG56,0)</f>
        <v>0.0467274083058083</v>
      </c>
      <c r="AH61" s="203" t="n">
        <f aca="false">IFERROR(AH60/AH56,0)</f>
        <v>0.125962697066448</v>
      </c>
      <c r="AI61" s="203" t="n">
        <f aca="false">IFERROR(AI60/AI56,0)</f>
        <v>0.120297658131078</v>
      </c>
      <c r="AJ61" s="203" t="n">
        <f aca="false">IFERROR(AJ60/AJ56,0)</f>
        <v>0.118763025932089</v>
      </c>
      <c r="AK61" s="203" t="n">
        <f aca="false">IFERROR(AK60/AK56,0)</f>
        <v>0.123205057333188</v>
      </c>
      <c r="AL61" s="203" t="n">
        <f aca="false">IFERROR(AL60/AL56,0)</f>
        <v>0.123440070691142</v>
      </c>
      <c r="AM61" s="203" t="n">
        <f aca="false">IFERROR(AM60/AM56,0)</f>
        <v>0.127663499186504</v>
      </c>
      <c r="AN61" s="203" t="n">
        <f aca="false">IFERROR(AN60/AN56,0)</f>
        <v>0.129396403629503</v>
      </c>
      <c r="AO61" s="203" t="n">
        <f aca="false">IFERROR(AO60/AO56,0)</f>
        <v>0.11588088878134</v>
      </c>
      <c r="AP61" s="203" t="n">
        <f aca="false">IFERROR(AP60/AP56,0)</f>
        <v>0.115018093165253</v>
      </c>
      <c r="AQ61" s="203" t="n">
        <f aca="false">IFERROR(AQ60/AQ56,0)</f>
        <v>0.114567154132869</v>
      </c>
      <c r="AR61" s="203" t="n">
        <f aca="false">IFERROR(AR60/AR56,0)</f>
        <v>0.0912132314976807</v>
      </c>
      <c r="AS61" s="203" t="n">
        <f aca="false">IFERROR(AS60/AS56,0)</f>
        <v>0.119640445625933</v>
      </c>
      <c r="AT61" s="203" t="n">
        <f aca="false">IFERROR(AT60/AT56,0)</f>
        <v>0.115732206027807</v>
      </c>
      <c r="AU61" s="203" t="n">
        <f aca="false">IFERROR(AU60/AU56,0)</f>
        <v>0.113459835674228</v>
      </c>
      <c r="AV61" s="203" t="n">
        <f aca="false">IFERROR(AV60/AV56,0)</f>
        <v>0.139270505557044</v>
      </c>
      <c r="AW61" s="203" t="n">
        <f aca="false">IFERROR(AW60/AW56,0)</f>
        <v>0.116580257034026</v>
      </c>
      <c r="AX61" s="203" t="n">
        <f aca="false">IFERROR(AX60/AX56,0)</f>
        <v>0.100929264933503</v>
      </c>
      <c r="AY61" s="203" t="n">
        <f aca="false">IFERROR(AY60/AY56,0)</f>
        <v>0.102175883807562</v>
      </c>
      <c r="AZ61" s="203" t="n">
        <f aca="false">IFERROR(AZ60/AZ56,0)</f>
        <v>0.104952843551079</v>
      </c>
      <c r="BA61" s="203" t="n">
        <f aca="false">IFERROR(BA60/BA56,0)</f>
        <v>0.117684748993385</v>
      </c>
      <c r="BB61" s="203" t="n">
        <f aca="false">IFERROR(BB60/BB56,0)</f>
        <v>0.122665255463964</v>
      </c>
      <c r="BC61" s="203" t="n">
        <f aca="false">IFERROR(BC60/BC56,0)</f>
        <v>0.126719532569899</v>
      </c>
      <c r="BD61" s="203" t="n">
        <f aca="false">IFERROR(BD60/BD56,0)</f>
        <v>0.108326694104081</v>
      </c>
      <c r="BE61" s="203" t="n">
        <f aca="false">IFERROR(BE60/BE56,0)</f>
        <v>0.136113265752294</v>
      </c>
      <c r="BF61" s="203" t="n">
        <f aca="false">IFERROR(BF60/BF56,0)</f>
        <v>0.139980532019807</v>
      </c>
      <c r="BG61" s="203" t="n">
        <f aca="false">IFERROR(BG60/BG56,0)</f>
        <v>0.143202294413868</v>
      </c>
      <c r="BH61" s="203" t="n">
        <f aca="false">IFERROR(BH60/BH56,0)</f>
        <v>0.140576412637835</v>
      </c>
      <c r="BI61" s="203" t="n">
        <f aca="false">IFERROR(BI60/BI56,0)</f>
        <v>0.139439809317718</v>
      </c>
      <c r="BJ61" s="203" t="n">
        <f aca="false">IFERROR(BJ60/BJ56,0)</f>
        <v>0.136320147316772</v>
      </c>
      <c r="BK61" s="203" t="n">
        <f aca="false">IFERROR(BK60/BK56,0)</f>
        <v>0.119723705180603</v>
      </c>
      <c r="BL61" s="203" t="n">
        <f aca="false">IFERROR(BL60/BL56,0)</f>
        <v>0.102279369286709</v>
      </c>
      <c r="BM61" s="203" t="n">
        <f aca="false">IFERROR(BM60/BM56,0)</f>
        <v>0.0999036135698816</v>
      </c>
      <c r="BN61" s="203" t="n">
        <f aca="false">IFERROR(BN60/BN56,0)</f>
        <v>0.099234977426113</v>
      </c>
      <c r="BO61" s="203" t="n">
        <f aca="false">IFERROR(BO60/BO56,0)</f>
        <v>0.110481303037037</v>
      </c>
      <c r="BP61" s="203" t="n">
        <f aca="false">IFERROR(BP60/BP56,0)</f>
        <v>0.105239330669297</v>
      </c>
      <c r="BQ61" s="203" t="n">
        <f aca="false">IFERROR(BQ60/BQ56,0)</f>
        <v>0.0936285020555675</v>
      </c>
      <c r="BR61" s="203" t="n">
        <f aca="false">IFERROR(BR60/BR56,0)</f>
        <v>0.0986870795512299</v>
      </c>
      <c r="BS61" s="203" t="n">
        <f aca="false">IFERROR(BS60/BS56,0)</f>
        <v>0.10623805486288</v>
      </c>
      <c r="BT61" s="203" t="n">
        <f aca="false">IFERROR(BT60/BT56,0)</f>
        <v>0.128981248494042</v>
      </c>
      <c r="BU61" s="203" t="n">
        <f aca="false">IFERROR(BU60/BU56,0)</f>
        <v>0.140614793545671</v>
      </c>
      <c r="BV61" s="203" t="n">
        <f aca="false">IFERROR(BV60/BV56,0)</f>
        <v>0.147568216879158</v>
      </c>
      <c r="BW61" s="203" t="n">
        <f aca="false">IFERROR(BW60/BW56,0)</f>
        <v>0.161917146660327</v>
      </c>
      <c r="BX61" s="203" t="n">
        <f aca="false">IFERROR(BX60/BX56,0)</f>
        <v>0.186542461631791</v>
      </c>
      <c r="BY61" s="203" t="n">
        <f aca="false">IFERROR(BY60/BY56,0)</f>
        <v>0.204494591960196</v>
      </c>
      <c r="BZ61" s="203" t="n">
        <f aca="false">IFERROR(BZ60/BZ56,0)</f>
        <v>0.240068197226912</v>
      </c>
      <c r="CA61" s="203" t="n">
        <f aca="false">IFERROR(CA60/CA56,0)</f>
        <v>0.316909667489401</v>
      </c>
      <c r="CB61" s="203" t="n">
        <f aca="false">IFERROR(CB60/CB56,0)</f>
        <v>0.454014405852849</v>
      </c>
      <c r="CC61" s="203" t="n">
        <f aca="false">IFERROR(CC60/CC56,0)</f>
        <v>0</v>
      </c>
      <c r="CD61" s="203" t="n">
        <f aca="false">IFERROR(CD60/CD56,0)</f>
        <v>0</v>
      </c>
      <c r="CE61" s="203" t="n">
        <f aca="false">IFERROR(CE60/CE56,0)</f>
        <v>0</v>
      </c>
      <c r="CF61" s="203" t="n">
        <f aca="false">IFERROR(CF60/CF56,0)</f>
        <v>0</v>
      </c>
      <c r="CG61" s="203" t="n">
        <f aca="false">IFERROR(CG60/CG56,0)</f>
        <v>0</v>
      </c>
      <c r="CH61" s="203" t="n">
        <f aca="false">IFERROR(CH60/CH56,0)</f>
        <v>0</v>
      </c>
      <c r="CI61" s="203" t="n">
        <f aca="false">IFERROR(CI60/CI56,0)</f>
        <v>0</v>
      </c>
      <c r="CJ61" s="203" t="n">
        <f aca="false">IFERROR(CJ60/CJ56,0)</f>
        <v>0</v>
      </c>
      <c r="CK61" s="203" t="n">
        <f aca="false">IFERROR(CK60/CK56,0)</f>
        <v>0</v>
      </c>
      <c r="CL61" s="203" t="n">
        <f aca="false">IFERROR(CL60/CL56,0)</f>
        <v>0</v>
      </c>
      <c r="CM61" s="203" t="n">
        <f aca="false">IFERROR(CM60/CM56,0)</f>
        <v>0</v>
      </c>
      <c r="CN61" s="203" t="n">
        <f aca="false">IFERROR(CN60/CN56,0)</f>
        <v>0</v>
      </c>
      <c r="CO61" s="203" t="n">
        <f aca="false">IFERROR(CO60/CO56,0)</f>
        <v>0</v>
      </c>
      <c r="CP61" s="203" t="n">
        <f aca="false">IFERROR(CP60/CP56,0)</f>
        <v>0</v>
      </c>
      <c r="CQ61" s="203" t="n">
        <f aca="false">IFERROR(CQ60/CQ56,0)</f>
        <v>0</v>
      </c>
      <c r="CR61" s="203" t="n">
        <f aca="false">IFERROR(CR60/CR56,0)</f>
        <v>0</v>
      </c>
      <c r="CS61" s="203" t="n">
        <f aca="false">IFERROR(CS60/CS56,0)</f>
        <v>0</v>
      </c>
      <c r="CT61" s="203" t="n">
        <f aca="false">IFERROR(CT60/CT56,0)</f>
        <v>0</v>
      </c>
      <c r="CU61" s="203" t="n">
        <f aca="false">IFERROR(CU60/CU56,0)</f>
        <v>0</v>
      </c>
      <c r="CV61" s="203" t="n">
        <f aca="false">IFERROR(CV60/CV56,0)</f>
        <v>0</v>
      </c>
      <c r="CW61" s="203" t="n">
        <f aca="false">IFERROR(CW60/CW56,0)</f>
        <v>0</v>
      </c>
      <c r="CX61" s="203" t="n">
        <f aca="false">IFERROR(CX60/CX56,0)</f>
        <v>0</v>
      </c>
      <c r="CY61" s="203" t="n">
        <f aca="false">IFERROR(CY60/CY56,0)</f>
        <v>0</v>
      </c>
      <c r="CZ61" s="203" t="n">
        <f aca="false">IFERROR(CZ60/CZ56,0)</f>
        <v>0</v>
      </c>
      <c r="DA61" s="203" t="n">
        <f aca="false">IFERROR(DA60/DA56,0)</f>
        <v>0</v>
      </c>
      <c r="DB61" s="203" t="n">
        <f aca="false">IFERROR(DB60/DB56,0)</f>
        <v>0</v>
      </c>
    </row>
    <row r="62" customFormat="false" ht="13.5" hidden="false" customHeight="true" outlineLevel="0" collapsed="false">
      <c r="A62" s="94" t="s">
        <v>593</v>
      </c>
      <c r="G62" s="198" t="n">
        <f aca="false">IF(G61&gt;0,G59/G61,"n/m")</f>
        <v>2223019.11547314</v>
      </c>
      <c r="H62" s="198" t="n">
        <f aca="false">IF(H61&gt;0,H59/H61,"n/m")</f>
        <v>6525811.46863721</v>
      </c>
      <c r="I62" s="198" t="n">
        <f aca="false">IF(I61&gt;0,I59/I61,"n/m")</f>
        <v>4595428.88266674</v>
      </c>
      <c r="J62" s="198" t="n">
        <f aca="false">IF(J61&gt;0,J59/J61,"n/m")</f>
        <v>2060015.49232854</v>
      </c>
      <c r="K62" s="198" t="str">
        <f aca="false">IF(K61&gt;0,K59/K61,"n/m")</f>
        <v>n/m</v>
      </c>
      <c r="L62" s="198" t="n">
        <f aca="false">IF(L61&gt;0,L59/L61,"n/m")</f>
        <v>4926488.96053273</v>
      </c>
      <c r="M62" s="198" t="n">
        <f aca="false">IF(M61&gt;0,M59/M61,"n/m")</f>
        <v>4592412.96788998</v>
      </c>
      <c r="N62" s="198" t="n">
        <f aca="false">IF(N61&gt;0,N59/N61,"n/m")</f>
        <v>4993273.95836822</v>
      </c>
      <c r="O62" s="198" t="n">
        <f aca="false">IF(O61&gt;0,O59/O61,"n/m")</f>
        <v>16740591.5264089</v>
      </c>
      <c r="P62" s="198" t="n">
        <f aca="false">IF(P61&gt;0,P59/P61,"n/m")</f>
        <v>5732083.25211667</v>
      </c>
      <c r="Q62" s="198" t="n">
        <f aca="false">IF(Q61&gt;0,Q59/Q61,"n/m")</f>
        <v>7426090.41156362</v>
      </c>
      <c r="R62" s="198" t="n">
        <f aca="false">IF(R61&gt;0,R59/R61,"n/m")</f>
        <v>5704076.94798228</v>
      </c>
      <c r="S62" s="198" t="n">
        <f aca="false">IF(S61&gt;0,S59/S61,"n/m")</f>
        <v>35319761.5184858</v>
      </c>
      <c r="T62" s="198" t="n">
        <f aca="false">IF(T61&gt;0,T59/T61,"n/m")</f>
        <v>9142061.78063538</v>
      </c>
      <c r="U62" s="198" t="n">
        <f aca="false">IF(U61&gt;0,U59/U61,"n/m")</f>
        <v>8747615.70716256</v>
      </c>
      <c r="V62" s="198" t="n">
        <f aca="false">IF(V61&gt;0,V59/V61,"n/m")</f>
        <v>9803187.85317545</v>
      </c>
      <c r="W62" s="198" t="n">
        <f aca="false">IF(W61&gt;0,W59/W61,"n/m")</f>
        <v>7668809.40064634</v>
      </c>
      <c r="X62" s="198" t="n">
        <f aca="false">IF(X61&gt;0,X59/X61,"n/m")</f>
        <v>7379905.83513979</v>
      </c>
      <c r="Y62" s="198" t="n">
        <f aca="false">IF(Y61&gt;0,Y59/Y61,"n/m")</f>
        <v>7366820.41477253</v>
      </c>
      <c r="Z62" s="198" t="n">
        <f aca="false">IF(Z61&gt;0,Z59/Z61,"n/m")</f>
        <v>7089881.85839881</v>
      </c>
      <c r="AA62" s="198" t="n">
        <f aca="false">IF(AA61&gt;0,AA59/AA61,"n/m")</f>
        <v>7951836.82336799</v>
      </c>
      <c r="AB62" s="198" t="n">
        <f aca="false">IF(AB61&gt;0,AB59/AB61,"n/m")</f>
        <v>7307422.58162769</v>
      </c>
      <c r="AC62" s="198" t="n">
        <f aca="false">IF(AC61&gt;0,AC59/AC61,"n/m")</f>
        <v>6818794.31395732</v>
      </c>
      <c r="AD62" s="198" t="n">
        <f aca="false">IF(AD61&gt;0,AD59/AD61,"n/m")</f>
        <v>6812120.99543388</v>
      </c>
      <c r="AE62" s="198" t="n">
        <f aca="false">IF(AE61&gt;0,AE59/AE61,"n/m")</f>
        <v>8140166.11202215</v>
      </c>
      <c r="AF62" s="198" t="n">
        <f aca="false">IF(AF61&gt;0,AF59/AF61,"n/m")</f>
        <v>7581058.49172848</v>
      </c>
      <c r="AG62" s="198" t="n">
        <f aca="false">IF(AG61&gt;0,AG59/AG61,"n/m")</f>
        <v>16447158.0868411</v>
      </c>
      <c r="AH62" s="198" t="n">
        <f aca="false">IF(AH61&gt;0,AH59/AH61,"n/m")</f>
        <v>6101275.13376901</v>
      </c>
      <c r="AI62" s="198" t="n">
        <f aca="false">IF(AI61&gt;0,AI59/AI61,"n/m")</f>
        <v>6388595.45010093</v>
      </c>
      <c r="AJ62" s="198" t="n">
        <f aca="false">IF(AJ61&gt;0,AJ59/AJ61,"n/m")</f>
        <v>6850053.4152708</v>
      </c>
      <c r="AK62" s="198" t="n">
        <f aca="false">IF(AK61&gt;0,AK59/AK61,"n/m")</f>
        <v>6603081.79715329</v>
      </c>
      <c r="AL62" s="198" t="n">
        <f aca="false">IF(AL61&gt;0,AL59/AL61,"n/m")</f>
        <v>6943723.57448356</v>
      </c>
      <c r="AM62" s="198" t="n">
        <f aca="false">IF(AM61&gt;0,AM59/AM61,"n/m")</f>
        <v>6473140.20185781</v>
      </c>
      <c r="AN62" s="198" t="n">
        <f aca="false">IF(AN61&gt;0,AN59/AN61,"n/m")</f>
        <v>6935944.52850321</v>
      </c>
      <c r="AO62" s="198" t="n">
        <f aca="false">IF(AO61&gt;0,AO59/AO61,"n/m")</f>
        <v>7131320.25120496</v>
      </c>
      <c r="AP62" s="198" t="n">
        <f aca="false">IF(AP61&gt;0,AP59/AP61,"n/m")</f>
        <v>7250022.20038473</v>
      </c>
      <c r="AQ62" s="198" t="n">
        <f aca="false">IF(AQ61&gt;0,AQ59/AQ61,"n/m")</f>
        <v>7349937.33452872</v>
      </c>
      <c r="AR62" s="198" t="n">
        <f aca="false">IF(AR61&gt;0,AR59/AR61,"n/m")</f>
        <v>9231790.05551724</v>
      </c>
      <c r="AS62" s="198" t="n">
        <f aca="false">IF(AS61&gt;0,AS59/AS61,"n/m")</f>
        <v>7636480.42133204</v>
      </c>
      <c r="AT62" s="198" t="n">
        <f aca="false">IF(AT61&gt;0,AT59/AT61,"n/m")</f>
        <v>7499052.77372277</v>
      </c>
      <c r="AU62" s="198" t="n">
        <f aca="false">IF(AU61&gt;0,AU59/AU61,"n/m")</f>
        <v>7318730.1540443</v>
      </c>
      <c r="AV62" s="198" t="n">
        <f aca="false">IF(AV61&gt;0,AV59/AV61,"n/m")</f>
        <v>7087466.05750875</v>
      </c>
      <c r="AW62" s="198" t="n">
        <f aca="false">IF(AW61&gt;0,AW59/AW61,"n/m")</f>
        <v>8655824.86908307</v>
      </c>
      <c r="AX62" s="198" t="n">
        <f aca="false">IF(AX61&gt;0,AX59/AX61,"n/m")</f>
        <v>8924033.61616971</v>
      </c>
      <c r="AY62" s="198" t="n">
        <f aca="false">IF(AY61&gt;0,AY59/AY61,"n/m")</f>
        <v>9510216.26641375</v>
      </c>
      <c r="AZ62" s="198" t="n">
        <f aca="false">IF(AZ61&gt;0,AZ59/AZ61,"n/m")</f>
        <v>8027726.77437588</v>
      </c>
      <c r="BA62" s="198" t="n">
        <f aca="false">IF(BA61&gt;0,BA59/BA61,"n/m")</f>
        <v>7827051.2486148</v>
      </c>
      <c r="BB62" s="198" t="n">
        <f aca="false">IF(BB61&gt;0,BB59/BB61,"n/m")</f>
        <v>8184487.82395542</v>
      </c>
      <c r="BC62" s="198" t="n">
        <f aca="false">IF(BC61&gt;0,BC59/BC61,"n/m")</f>
        <v>7437008.78703299</v>
      </c>
      <c r="BD62" s="198" t="n">
        <f aca="false">IF(BD61&gt;0,BD59/BD61,"n/m")</f>
        <v>8524352.69338536</v>
      </c>
      <c r="BE62" s="198" t="n">
        <f aca="false">IF(BE61&gt;0,BE59/BE61,"n/m")</f>
        <v>13421923.9137445</v>
      </c>
      <c r="BF62" s="198" t="n">
        <f aca="false">IF(BF61&gt;0,BF59/BF61,"n/m")</f>
        <v>6390205.86076702</v>
      </c>
      <c r="BG62" s="198" t="n">
        <f aca="false">IF(BG61&gt;0,BG59/BG61,"n/m")</f>
        <v>6506496.55752798</v>
      </c>
      <c r="BH62" s="198" t="n">
        <f aca="false">IF(BH61&gt;0,BH59/BH61,"n/m")</f>
        <v>7310112.95478914</v>
      </c>
      <c r="BI62" s="198" t="n">
        <f aca="false">IF(BI61&gt;0,BI59/BI61,"n/m")</f>
        <v>6435914.52068958</v>
      </c>
      <c r="BJ62" s="198" t="n">
        <f aca="false">IF(BJ61&gt;0,BJ59/BJ61,"n/m")</f>
        <v>6850934.3538559</v>
      </c>
      <c r="BK62" s="198" t="n">
        <f aca="false">IF(BK61&gt;0,BK59/BK61,"n/m")</f>
        <v>8586499.79120754</v>
      </c>
      <c r="BL62" s="198" t="n">
        <f aca="false">IF(BL61&gt;0,BL59/BL61,"n/m")</f>
        <v>7840895.62524832</v>
      </c>
      <c r="BM62" s="198" t="n">
        <f aca="false">IF(BM61&gt;0,BM59/BM61,"n/m")</f>
        <v>7993056.12420866</v>
      </c>
      <c r="BN62" s="198" t="n">
        <f aca="false">IF(BN61&gt;0,BN59/BN61,"n/m")</f>
        <v>9264991.17672375</v>
      </c>
      <c r="BO62" s="198" t="n">
        <f aca="false">IF(BO61&gt;0,BO59/BO61,"n/m")</f>
        <v>7986980.43985098</v>
      </c>
      <c r="BP62" s="198" t="n">
        <f aca="false">IF(BP61&gt;0,BP59/BP61,"n/m")</f>
        <v>7958203.72225263</v>
      </c>
      <c r="BQ62" s="198" t="n">
        <f aca="false">IF(BQ61&gt;0,BQ59/BQ61,"n/m")</f>
        <v>9456460.35129247</v>
      </c>
      <c r="BR62" s="198" t="n">
        <f aca="false">IF(BR61&gt;0,BR59/BR61,"n/m")</f>
        <v>7154255.49977198</v>
      </c>
      <c r="BS62" s="198" t="n">
        <f aca="false">IF(BS61&gt;0,BS59/BS61,"n/m")</f>
        <v>6404619.35503797</v>
      </c>
      <c r="BT62" s="198" t="n">
        <f aca="false">IF(BT61&gt;0,BT59/BT61,"n/m")</f>
        <v>6266981.09598085</v>
      </c>
      <c r="BU62" s="198" t="n">
        <f aca="false">IF(BU61&gt;0,BU59/BU61,"n/m")</f>
        <v>5309304.65244469</v>
      </c>
      <c r="BV62" s="198" t="n">
        <f aca="false">IF(BV61&gt;0,BV59/BV61,"n/m")</f>
        <v>4821226.66936484</v>
      </c>
      <c r="BW62" s="198" t="n">
        <f aca="false">IF(BW61&gt;0,BW59/BW61,"n/m")</f>
        <v>4711010.82832498</v>
      </c>
      <c r="BX62" s="198" t="n">
        <f aca="false">IF(BX61&gt;0,BX59/BX61,"n/m")</f>
        <v>3702894.37295637</v>
      </c>
      <c r="BY62" s="198" t="n">
        <f aca="false">IF(BY61&gt;0,BY59/BY61,"n/m")</f>
        <v>3207556.65556397</v>
      </c>
      <c r="BZ62" s="198" t="n">
        <f aca="false">IF(BZ61&gt;0,BZ59/BZ61,"n/m")</f>
        <v>3002748.3456005</v>
      </c>
      <c r="CA62" s="198" t="n">
        <f aca="false">IF(CA61&gt;0,CA59/CA61,"n/m")</f>
        <v>2114434.74335359</v>
      </c>
      <c r="CB62" s="198" t="n">
        <f aca="false">IF(CB61&gt;0,CB59/CB61,"n/m")</f>
        <v>1400627.94200086</v>
      </c>
      <c r="CC62" s="198" t="str">
        <f aca="false">IF(CC61&gt;0,CC59/CC61,"n/m")</f>
        <v>n/m</v>
      </c>
      <c r="CD62" s="198" t="str">
        <f aca="false">IF(CD61&gt;0,CD59/CD61,"n/m")</f>
        <v>n/m</v>
      </c>
      <c r="CE62" s="198" t="str">
        <f aca="false">IF(CE61&gt;0,CE59/CE61,"n/m")</f>
        <v>n/m</v>
      </c>
      <c r="CF62" s="198" t="str">
        <f aca="false">IF(CF61&gt;0,CF59/CF61,"n/m")</f>
        <v>n/m</v>
      </c>
      <c r="CG62" s="198" t="str">
        <f aca="false">IF(CG61&gt;0,CG59/CG61,"n/m")</f>
        <v>n/m</v>
      </c>
      <c r="CH62" s="198" t="str">
        <f aca="false">IF(CH61&gt;0,CH59/CH61,"n/m")</f>
        <v>n/m</v>
      </c>
      <c r="CI62" s="198" t="str">
        <f aca="false">IF(CI61&gt;0,CI59/CI61,"n/m")</f>
        <v>n/m</v>
      </c>
      <c r="CJ62" s="198" t="str">
        <f aca="false">IF(CJ61&gt;0,CJ59/CJ61,"n/m")</f>
        <v>n/m</v>
      </c>
      <c r="CK62" s="198" t="str">
        <f aca="false">IF(CK61&gt;0,CK59/CK61,"n/m")</f>
        <v>n/m</v>
      </c>
      <c r="CL62" s="198" t="str">
        <f aca="false">IF(CL61&gt;0,CL59/CL61,"n/m")</f>
        <v>n/m</v>
      </c>
      <c r="CM62" s="198" t="str">
        <f aca="false">IF(CM61&gt;0,CM59/CM61,"n/m")</f>
        <v>n/m</v>
      </c>
      <c r="CN62" s="198" t="str">
        <f aca="false">IF(CN61&gt;0,CN59/CN61,"n/m")</f>
        <v>n/m</v>
      </c>
      <c r="CO62" s="198" t="str">
        <f aca="false">IF(CO61&gt;0,CO59/CO61,"n/m")</f>
        <v>n/m</v>
      </c>
      <c r="CP62" s="198" t="str">
        <f aca="false">IF(CP61&gt;0,CP59/CP61,"n/m")</f>
        <v>n/m</v>
      </c>
      <c r="CQ62" s="198" t="str">
        <f aca="false">IF(CQ61&gt;0,CQ59/CQ61,"n/m")</f>
        <v>n/m</v>
      </c>
      <c r="CR62" s="198" t="str">
        <f aca="false">IF(CR61&gt;0,CR59/CR61,"n/m")</f>
        <v>n/m</v>
      </c>
      <c r="CS62" s="198" t="str">
        <f aca="false">IF(CS61&gt;0,CS59/CS61,"n/m")</f>
        <v>n/m</v>
      </c>
      <c r="CT62" s="198" t="str">
        <f aca="false">IF(CT61&gt;0,CT59/CT61,"n/m")</f>
        <v>n/m</v>
      </c>
      <c r="CU62" s="198" t="str">
        <f aca="false">IF(CU61&gt;0,CU59/CU61,"n/m")</f>
        <v>n/m</v>
      </c>
      <c r="CV62" s="198" t="str">
        <f aca="false">IF(CV61&gt;0,CV59/CV61,"n/m")</f>
        <v>n/m</v>
      </c>
      <c r="CW62" s="198" t="str">
        <f aca="false">IF(CW61&gt;0,CW59/CW61,"n/m")</f>
        <v>n/m</v>
      </c>
      <c r="CX62" s="198" t="str">
        <f aca="false">IF(CX61&gt;0,CX59/CX61,"n/m")</f>
        <v>n/m</v>
      </c>
      <c r="CY62" s="198" t="str">
        <f aca="false">IF(CY61&gt;0,CY59/CY61,"n/m")</f>
        <v>n/m</v>
      </c>
      <c r="CZ62" s="198" t="str">
        <f aca="false">IF(CZ61&gt;0,CZ59/CZ61,"n/m")</f>
        <v>n/m</v>
      </c>
      <c r="DA62" s="198" t="str">
        <f aca="false">IF(DA61&gt;0,DA59/DA61,"n/m")</f>
        <v>n/m</v>
      </c>
      <c r="DB62" s="198" t="str">
        <f aca="false">IF(DB61&gt;0,DB59/DB61,"n/m")</f>
        <v>n/m</v>
      </c>
    </row>
    <row r="63" customFormat="false" ht="13.5" hidden="false" customHeight="true" outlineLevel="0" collapsed="false">
      <c r="A63" s="94" t="s">
        <v>594</v>
      </c>
      <c r="G63" s="203" t="n">
        <f aca="false">IF(ISNUMBER(G62),G56-G62,G60-G59)</f>
        <v>1469338.78452686</v>
      </c>
      <c r="H63" s="203" t="n">
        <f aca="false">IF(ISNUMBER(H62),H56-H62,H60-H59)</f>
        <v>-2109749.83863721</v>
      </c>
      <c r="I63" s="203" t="n">
        <f aca="false">IF(ISNUMBER(I62),I56-I62,I60-I59)</f>
        <v>1656834.09733327</v>
      </c>
      <c r="J63" s="203" t="n">
        <f aca="false">IF(ISNUMBER(J62),J56-J62,J60-J59)</f>
        <v>4965580.15767146</v>
      </c>
      <c r="K63" s="203" t="n">
        <f aca="false">IF(ISNUMBER(K62),K56-K62,K60-K59)</f>
        <v>-701719.945125</v>
      </c>
      <c r="L63" s="203" t="n">
        <f aca="false">IF(ISNUMBER(L62),L56-L62,L60-L59)</f>
        <v>915689.147451724</v>
      </c>
      <c r="M63" s="203" t="n">
        <f aca="false">IF(ISNUMBER(M62),M56-M62,M60-M59)</f>
        <v>1482337.16058778</v>
      </c>
      <c r="N63" s="203" t="n">
        <f aca="false">IF(ISNUMBER(N62),N56-N62,N60-N59)</f>
        <v>229916.781979305</v>
      </c>
      <c r="O63" s="203" t="n">
        <f aca="false">IF(ISNUMBER(O62),O56-O62,O60-O59)</f>
        <v>-11515324.4893369</v>
      </c>
      <c r="P63" s="203" t="n">
        <f aca="false">IF(ISNUMBER(P62),P56-P62,P60-P59)</f>
        <v>766511.21410458</v>
      </c>
      <c r="Q63" s="203" t="n">
        <f aca="false">IF(ISNUMBER(Q62),Q56-Q62,Q60-Q59)</f>
        <v>-905968.866976171</v>
      </c>
      <c r="R63" s="203" t="n">
        <f aca="false">IF(ISNUMBER(R62),R56-R62,R60-R59)</f>
        <v>1533731.52163727</v>
      </c>
      <c r="S63" s="203" t="n">
        <f aca="false">IF(ISNUMBER(S62),S56-S62,S60-S59)</f>
        <v>-27403408.2253369</v>
      </c>
      <c r="T63" s="203" t="n">
        <f aca="false">IF(ISNUMBER(T62),T56-T62,T60-T59)</f>
        <v>-774820.305138281</v>
      </c>
      <c r="U63" s="203" t="n">
        <f aca="false">IF(ISNUMBER(U62),U56-U62,U60-U59)</f>
        <v>458163.752390044</v>
      </c>
      <c r="V63" s="203" t="n">
        <f aca="false">IF(ISNUMBER(V62),V56-V62,V60-V59)</f>
        <v>1223568.2197421</v>
      </c>
      <c r="W63" s="203" t="n">
        <f aca="false">IF(ISNUMBER(W62),W56-W62,W60-W59)</f>
        <v>3035826.33423646</v>
      </c>
      <c r="X63" s="203" t="n">
        <f aca="false">IF(ISNUMBER(X62),X56-X62,X60-X59)</f>
        <v>4285198.08801667</v>
      </c>
      <c r="Y63" s="203" t="n">
        <f aca="false">IF(ISNUMBER(Y62),Y56-Y62,Y60-Y59)</f>
        <v>3213917.20154848</v>
      </c>
      <c r="Z63" s="203" t="n">
        <f aca="false">IF(ISNUMBER(Z62),Z56-Z62,Z60-Z59)</f>
        <v>5786728.52394255</v>
      </c>
      <c r="AA63" s="203" t="n">
        <f aca="false">IF(ISNUMBER(AA62),AA56-AA62,AA60-AA59)</f>
        <v>3871030.60625959</v>
      </c>
      <c r="AB63" s="203" t="n">
        <f aca="false">IF(ISNUMBER(AB62),AB56-AB62,AB60-AB59)</f>
        <v>5672514.56101552</v>
      </c>
      <c r="AC63" s="203" t="n">
        <f aca="false">IF(ISNUMBER(AC62),AC56-AC62,AC60-AC59)</f>
        <v>5708043.58398679</v>
      </c>
      <c r="AD63" s="203" t="n">
        <f aca="false">IF(ISNUMBER(AD62),AD56-AD62,AD60-AD59)</f>
        <v>5030123.86687791</v>
      </c>
      <c r="AE63" s="203" t="n">
        <f aca="false">IF(ISNUMBER(AE62),AE56-AE62,AE60-AE59)</f>
        <v>2786026.85229361</v>
      </c>
      <c r="AF63" s="203" t="n">
        <f aca="false">IF(ISNUMBER(AF62),AF56-AF62,AF60-AF59)</f>
        <v>3416874.25971948</v>
      </c>
      <c r="AG63" s="203" t="n">
        <f aca="false">IF(ISNUMBER(AG62),AG56-AG62,AG60-AG59)</f>
        <v>-5091114.620938</v>
      </c>
      <c r="AH63" s="203" t="n">
        <f aca="false">IF(ISNUMBER(AH62),AH56-AH62,AH60-AH59)</f>
        <v>5276153.8211233</v>
      </c>
      <c r="AI63" s="203" t="n">
        <f aca="false">IF(ISNUMBER(AI62),AI56-AI62,AI60-AI59)</f>
        <v>5677978.80947447</v>
      </c>
      <c r="AJ63" s="203" t="n">
        <f aca="false">IF(ISNUMBER(AJ62),AJ56-AJ62,AJ60-AJ59)</f>
        <v>5133804.27915676</v>
      </c>
      <c r="AK63" s="203" t="n">
        <f aca="false">IF(ISNUMBER(AK62),AK56-AK62,AK60-AK59)</f>
        <v>5631526.21941003</v>
      </c>
      <c r="AL63" s="203" t="n">
        <f aca="false">IF(ISNUMBER(AL62),AL56-AL62,AL60-AL59)</f>
        <v>4635987.2814389</v>
      </c>
      <c r="AM63" s="203" t="n">
        <f aca="false">IF(ISNUMBER(AM62),AM56-AM62,AM60-AM59)</f>
        <v>4610049.73644295</v>
      </c>
      <c r="AN63" s="203" t="n">
        <f aca="false">IF(ISNUMBER(AN62),AN56-AN62,AN60-AN59)</f>
        <v>4612198.45027023</v>
      </c>
      <c r="AO63" s="203" t="n">
        <f aca="false">IF(ISNUMBER(AO62),AO56-AO62,AO60-AO59)</f>
        <v>4885221.254722</v>
      </c>
      <c r="AP63" s="203" t="n">
        <f aca="false">IF(ISNUMBER(AP62),AP56-AP62,AP60-AP59)</f>
        <v>4698521.47621883</v>
      </c>
      <c r="AQ63" s="203" t="n">
        <f aca="false">IF(ISNUMBER(AQ62),AQ56-AQ62,AQ60-AQ59)</f>
        <v>5085244.11488066</v>
      </c>
      <c r="AR63" s="203" t="n">
        <f aca="false">IF(ISNUMBER(AR62),AR56-AR62,AR60-AR59)</f>
        <v>4077957.68686262</v>
      </c>
      <c r="AS63" s="203" t="n">
        <f aca="false">IF(ISNUMBER(AS62),AS56-AS62,AS60-AS59)</f>
        <v>5931744.69929397</v>
      </c>
      <c r="AT63" s="203" t="n">
        <f aca="false">IF(ISNUMBER(AT62),AT56-AT62,AT60-AT59)</f>
        <v>6527366.97148323</v>
      </c>
      <c r="AU63" s="203" t="n">
        <f aca="false">IF(ISNUMBER(AU62),AU56-AU62,AU60-AU59)</f>
        <v>6988610.3258557</v>
      </c>
      <c r="AV63" s="203" t="n">
        <f aca="false">IF(ISNUMBER(AV62),AV56-AV62,AV60-AV59)</f>
        <v>7302845.63930125</v>
      </c>
      <c r="AW63" s="203" t="n">
        <f aca="false">IF(ISNUMBER(AW62),AW56-AW62,AW60-AW59)</f>
        <v>5080476.49713293</v>
      </c>
      <c r="AX63" s="203" t="n">
        <f aca="false">IF(ISNUMBER(AX62),AX56-AX62,AX60-AX59)</f>
        <v>5162714.58124629</v>
      </c>
      <c r="AY63" s="203" t="n">
        <f aca="false">IF(ISNUMBER(AY62),AY56-AY62,AY60-AY59)</f>
        <v>4404663.52602625</v>
      </c>
      <c r="AZ63" s="203" t="n">
        <f aca="false">IF(ISNUMBER(AZ62),AZ56-AZ62,AZ60-AZ59)</f>
        <v>5518977.56219213</v>
      </c>
      <c r="BA63" s="203" t="n">
        <f aca="false">IF(ISNUMBER(BA62),BA56-BA62,BA60-BA59)</f>
        <v>5174778.2488892</v>
      </c>
      <c r="BB63" s="203" t="n">
        <f aca="false">IF(ISNUMBER(BB62),BB56-BB62,BB60-BB59)</f>
        <v>4142216.95605258</v>
      </c>
      <c r="BC63" s="203" t="n">
        <f aca="false">IF(ISNUMBER(BC62),BC56-BC62,BC60-BC59)</f>
        <v>4352805.38423101</v>
      </c>
      <c r="BD63" s="203" t="n">
        <f aca="false">IF(ISNUMBER(BD62),BD56-BD62,BD60-BD59)</f>
        <v>2813338.61043865</v>
      </c>
      <c r="BE63" s="203" t="n">
        <f aca="false">IF(ISNUMBER(BE62),BE56-BE62,BE60-BE59)</f>
        <v>-2445773.0396085</v>
      </c>
      <c r="BF63" s="203" t="n">
        <f aca="false">IF(ISNUMBER(BF62),BF56-BF62,BF60-BF59)</f>
        <v>4411713.29935298</v>
      </c>
      <c r="BG63" s="203" t="n">
        <f aca="false">IF(ISNUMBER(BG62),BG56-BG62,BG60-BG59)</f>
        <v>4178507.10900802</v>
      </c>
      <c r="BH63" s="203" t="n">
        <f aca="false">IF(ISNUMBER(BH62),BH56-BH62,BH60-BH59)</f>
        <v>3317557.17019486</v>
      </c>
      <c r="BI63" s="203" t="n">
        <f aca="false">IF(ISNUMBER(BI62),BI56-BI62,BI60-BI59)</f>
        <v>4407892.55468642</v>
      </c>
      <c r="BJ63" s="203" t="n">
        <f aca="false">IF(ISNUMBER(BJ62),BJ56-BJ62,BJ60-BJ59)</f>
        <v>4249612.57597611</v>
      </c>
      <c r="BK63" s="203" t="n">
        <f aca="false">IF(ISNUMBER(BK62),BK56-BK62,BK60-BK59)</f>
        <v>1821187.20879246</v>
      </c>
      <c r="BL63" s="203" t="n">
        <f aca="false">IF(ISNUMBER(BL62),BL56-BL62,BL60-BL59)</f>
        <v>2576262.37475168</v>
      </c>
      <c r="BM63" s="203" t="n">
        <f aca="false">IF(ISNUMBER(BM62),BM56-BM62,BM60-BM59)</f>
        <v>2671826.87579134</v>
      </c>
      <c r="BN63" s="203" t="n">
        <f aca="false">IF(ISNUMBER(BN62),BN56-BN62,BN60-BN59)</f>
        <v>1471750.82327625</v>
      </c>
      <c r="BO63" s="203" t="n">
        <f aca="false">IF(ISNUMBER(BO62),BO56-BO62,BO60-BO59)</f>
        <v>2637552.56014902</v>
      </c>
      <c r="BP63" s="203" t="n">
        <f aca="false">IF(ISNUMBER(BP62),BP56-BP62,BP60-BP59)</f>
        <v>1994365.27774736</v>
      </c>
      <c r="BQ63" s="203" t="n">
        <f aca="false">IF(ISNUMBER(BQ62),BQ56-BQ62,BQ60-BQ59)</f>
        <v>-198433.351292469</v>
      </c>
      <c r="BR63" s="203" t="n">
        <f aca="false">IF(ISNUMBER(BR62),BR56-BR62,BR60-BR59)</f>
        <v>1629216.50022802</v>
      </c>
      <c r="BS63" s="203" t="n">
        <f aca="false">IF(ISNUMBER(BS62),BS56-BS62,BS60-BS59)</f>
        <v>1754558.64496203</v>
      </c>
      <c r="BT63" s="203" t="n">
        <f aca="false">IF(ISNUMBER(BT62),BT56-BT62,BT60-BT59)</f>
        <v>1153542.90401915</v>
      </c>
      <c r="BU63" s="203" t="n">
        <f aca="false">IF(ISNUMBER(BU62),BU56-BU62,BU60-BU59)</f>
        <v>983588.347555315</v>
      </c>
      <c r="BV63" s="203" t="n">
        <f aca="false">IF(ISNUMBER(BV62),BV56-BV62,BV60-BV59)</f>
        <v>318520.330635162</v>
      </c>
      <c r="BW63" s="203" t="n">
        <f aca="false">IF(ISNUMBER(BW62),BW56-BW62,BW60-BW59)</f>
        <v>-584393.82832498</v>
      </c>
      <c r="BX63" s="203" t="n">
        <f aca="false">IF(ISNUMBER(BX62),BX56-BX62,BX60-BX59)</f>
        <v>-508257.372956365</v>
      </c>
      <c r="BY63" s="203" t="n">
        <f aca="false">IF(ISNUMBER(BY62),BY56-BY62,BY60-BY59)</f>
        <v>-911530.655563975</v>
      </c>
      <c r="BZ63" s="203" t="n">
        <f aca="false">IF(ISNUMBER(BZ62),BZ56-BZ62,BZ60-BZ59)</f>
        <v>-1423065.3456005</v>
      </c>
      <c r="CA63" s="203" t="n">
        <f aca="false">IF(ISNUMBER(CA62),CA56-CA62,CA60-CA59)</f>
        <v>-1145713.74335359</v>
      </c>
      <c r="CB63" s="203" t="n">
        <f aca="false">IF(ISNUMBER(CB62),CB56-CB62,CB60-CB59)</f>
        <v>-1002872.94200086</v>
      </c>
      <c r="CC63" s="203" t="n">
        <f aca="false">IF(ISNUMBER(CC62),CC56-CC62,CC60-CC59)</f>
        <v>-783701.262908421</v>
      </c>
      <c r="CD63" s="203" t="n">
        <f aca="false">IF(ISNUMBER(CD62),CD56-CD62,CD60-CD59)</f>
        <v>-635905.262908421</v>
      </c>
      <c r="CE63" s="203" t="n">
        <f aca="false">IF(ISNUMBER(CE62),CE56-CE62,CE60-CE59)</f>
        <v>-635905.262908421</v>
      </c>
      <c r="CF63" s="203" t="n">
        <f aca="false">IF(ISNUMBER(CF62),CF56-CF62,CF60-CF59)</f>
        <v>-790423.262908421</v>
      </c>
      <c r="CG63" s="203" t="n">
        <f aca="false">IF(ISNUMBER(CG62),CG56-CG62,CG60-CG59)</f>
        <v>-635905.262908421</v>
      </c>
      <c r="CH63" s="203" t="n">
        <f aca="false">IF(ISNUMBER(CH62),CH56-CH62,CH60-CH59)</f>
        <v>-635905.262908421</v>
      </c>
      <c r="CI63" s="203" t="n">
        <f aca="false">IF(ISNUMBER(CI62),CI56-CI62,CI60-CI59)</f>
        <v>-790422.262908421</v>
      </c>
      <c r="CJ63" s="203" t="n">
        <f aca="false">IF(ISNUMBER(CJ62),CJ56-CJ62,CJ60-CJ59)</f>
        <v>-635905.262908421</v>
      </c>
      <c r="CK63" s="203" t="n">
        <f aca="false">IF(ISNUMBER(CK62),CK56-CK62,CK60-CK59)</f>
        <v>-635905.262908421</v>
      </c>
      <c r="CL63" s="203" t="n">
        <f aca="false">IF(ISNUMBER(CL62),CL56-CL62,CL60-CL59)</f>
        <v>-783814.236301942</v>
      </c>
      <c r="CM63" s="203" t="n">
        <f aca="false">IF(ISNUMBER(CM62),CM56-CM62,CM60-CM59)</f>
        <v>-721678.368166589</v>
      </c>
      <c r="CN63" s="203" t="n">
        <f aca="false">IF(ISNUMBER(CN62),CN56-CN62,CN60-CN59)</f>
        <v>-721678.368166589</v>
      </c>
      <c r="CO63" s="203" t="n">
        <f aca="false">IF(ISNUMBER(CO62),CO56-CO62,CO60-CO59)</f>
        <v>-721678.368166589</v>
      </c>
      <c r="CP63" s="203" t="n">
        <f aca="false">IF(ISNUMBER(CP62),CP56-CP62,CP60-CP59)</f>
        <v>-721678.368166589</v>
      </c>
      <c r="CQ63" s="203" t="n">
        <f aca="false">IF(ISNUMBER(CQ62),CQ56-CQ62,CQ60-CQ59)</f>
        <v>-721678.368166589</v>
      </c>
      <c r="CR63" s="203" t="n">
        <f aca="false">IF(ISNUMBER(CR62),CR56-CR62,CR60-CR59)</f>
        <v>-721678.368166589</v>
      </c>
      <c r="CS63" s="203" t="n">
        <f aca="false">IF(ISNUMBER(CS62),CS56-CS62,CS60-CS59)</f>
        <v>-721678.368166589</v>
      </c>
      <c r="CT63" s="203" t="n">
        <f aca="false">IF(ISNUMBER(CT62),CT56-CT62,CT60-CT59)</f>
        <v>-721678.368166589</v>
      </c>
      <c r="CU63" s="203" t="n">
        <f aca="false">IF(ISNUMBER(CU62),CU56-CU62,CU60-CU59)</f>
        <v>-721678.368166589</v>
      </c>
      <c r="CV63" s="203" t="n">
        <f aca="false">IF(ISNUMBER(CV62),CV56-CV62,CV60-CV59)</f>
        <v>-660876.239873812</v>
      </c>
      <c r="CW63" s="203" t="n">
        <f aca="false">IF(ISNUMBER(CW62),CW56-CW62,CW60-CW59)</f>
        <v>-660876.239873812</v>
      </c>
      <c r="CX63" s="203" t="n">
        <f aca="false">IF(ISNUMBER(CX62),CX56-CX62,CX60-CX59)</f>
        <v>-660876.239873812</v>
      </c>
      <c r="CY63" s="203" t="n">
        <f aca="false">IF(ISNUMBER(CY62),CY56-CY62,CY60-CY59)</f>
        <v>-616822.513607695</v>
      </c>
      <c r="CZ63" s="203" t="n">
        <f aca="false">IF(ISNUMBER(CZ62),CZ56-CZ62,CZ60-CZ59)</f>
        <v>-599375.664671288</v>
      </c>
      <c r="DA63" s="203" t="n">
        <f aca="false">IF(ISNUMBER(DA62),DA56-DA62,DA60-DA59)</f>
        <v>-599375.664671288</v>
      </c>
      <c r="DB63" s="203" t="n">
        <f aca="false">IF(ISNUMBER(DB62),DB56-DB62,DB60-DB59)</f>
        <v>-599375.664671288</v>
      </c>
    </row>
    <row r="64" customFormat="false" ht="13.5" hidden="false" customHeight="true" outlineLevel="0" collapsed="false">
      <c r="A64" s="94" t="s">
        <v>595</v>
      </c>
      <c r="G64" s="204" t="n">
        <f aca="false">IFERROR(G60/G59,"")</f>
        <v>1.66096542953664</v>
      </c>
      <c r="H64" s="204" t="n">
        <f aca="false">IFERROR(H60/H59,"")</f>
        <v>0.676706897099834</v>
      </c>
      <c r="I64" s="204" t="n">
        <f aca="false">IFERROR(I60/I59,"")</f>
        <v>1.36053960133789</v>
      </c>
      <c r="J64" s="204" t="n">
        <f aca="false">IFERROR(J60/J59,"")</f>
        <v>3.41045767673262</v>
      </c>
      <c r="K64" s="204" t="n">
        <f aca="false">IFERROR(K60/K59,"")</f>
        <v>-0.231998783389695</v>
      </c>
      <c r="L64" s="204" t="n">
        <f aca="false">IFERROR(L60/L59,"")</f>
        <v>1.1858705367631</v>
      </c>
      <c r="M64" s="204" t="n">
        <f aca="false">IFERROR(M60/M59,"")</f>
        <v>1.32277958688651</v>
      </c>
      <c r="N64" s="204" t="n">
        <f aca="false">IFERROR(N60/N59,"")</f>
        <v>1.04604529691266</v>
      </c>
      <c r="O64" s="204" t="n">
        <f aca="false">IFERROR(O60/O59,"")</f>
        <v>0.312131565293194</v>
      </c>
      <c r="P64" s="204" t="n">
        <f aca="false">IFERROR(P60/P59,"")</f>
        <v>1.13372297302583</v>
      </c>
      <c r="Q64" s="204" t="n">
        <f aca="false">IFERROR(Q60/Q59,"")</f>
        <v>0.878001907226253</v>
      </c>
      <c r="R64" s="204" t="n">
        <f aca="false">IFERROR(R60/R59,"")</f>
        <v>1.2688833856247</v>
      </c>
      <c r="S64" s="204" t="n">
        <f aca="false">IFERROR(S60/S59,"")</f>
        <v>0.224133826300201</v>
      </c>
      <c r="T64" s="204" t="n">
        <f aca="false">IFERROR(T60/T59,"")</f>
        <v>0.915246656199645</v>
      </c>
      <c r="U64" s="204" t="n">
        <f aca="false">IFERROR(U60/U59,"")</f>
        <v>1.0523758436273</v>
      </c>
      <c r="V64" s="204" t="n">
        <f aca="false">IFERROR(V60/V59,"")</f>
        <v>1.12481329931322</v>
      </c>
      <c r="W64" s="204" t="n">
        <f aca="false">IFERROR(W60/W59,"")</f>
        <v>1.39586670832901</v>
      </c>
      <c r="X64" s="204" t="n">
        <f aca="false">IFERROR(X60/X59,"")</f>
        <v>1.58065755630817</v>
      </c>
      <c r="Y64" s="204" t="n">
        <f aca="false">IFERROR(Y60/Y59,"")</f>
        <v>1.43626924787031</v>
      </c>
      <c r="Z64" s="204" t="n">
        <f aca="false">IFERROR(Z60/Z59,"")</f>
        <v>1.81619533858487</v>
      </c>
      <c r="AA64" s="204" t="n">
        <f aca="false">IFERROR(AA60/AA59,"")</f>
        <v>1.48680961295431</v>
      </c>
      <c r="AB64" s="204" t="n">
        <f aca="false">IFERROR(AB60/AB59,"")</f>
        <v>1.77626748660702</v>
      </c>
      <c r="AC64" s="204" t="n">
        <f aca="false">IFERROR(AC60/AC59,"")</f>
        <v>1.83710452628012</v>
      </c>
      <c r="AD64" s="204" t="n">
        <f aca="false">IFERROR(AD60/AD59,"")</f>
        <v>1.73840788650841</v>
      </c>
      <c r="AE64" s="204" t="n">
        <f aca="false">IFERROR(AE60/AE59,"")</f>
        <v>1.34225675667465</v>
      </c>
      <c r="AF64" s="204" t="n">
        <f aca="false">IFERROR(AF60/AF59,"")</f>
        <v>1.45071202965226</v>
      </c>
      <c r="AG64" s="204" t="n">
        <f aca="false">IFERROR(AG60/AG59,"")</f>
        <v>0.690456272502709</v>
      </c>
      <c r="AH64" s="204" t="n">
        <f aca="false">IFERROR(AH60/AH59,"")</f>
        <v>1.86476248086587</v>
      </c>
      <c r="AI64" s="204" t="n">
        <f aca="false">IFERROR(AI60/AI59,"")</f>
        <v>1.88876793871566</v>
      </c>
      <c r="AJ64" s="204" t="n">
        <f aca="false">IFERROR(AJ60/AJ59,"")</f>
        <v>1.74945463457438</v>
      </c>
      <c r="AK64" s="204" t="n">
        <f aca="false">IFERROR(AK60/AK59,"")</f>
        <v>1.8528633132847</v>
      </c>
      <c r="AL64" s="204" t="n">
        <f aca="false">IFERROR(AL60/AL59,"")</f>
        <v>1.66765147427167</v>
      </c>
      <c r="AM64" s="204" t="n">
        <f aca="false">IFERROR(AM60/AM59,"")</f>
        <v>1.7121813513509</v>
      </c>
      <c r="AN64" s="204" t="n">
        <f aca="false">IFERROR(AN60/AN59,"")</f>
        <v>1.66497049267284</v>
      </c>
      <c r="AO64" s="204" t="n">
        <f aca="false">IFERROR(AO60/AO59,"")</f>
        <v>1.68503742401648</v>
      </c>
      <c r="AP64" s="204" t="n">
        <f aca="false">IFERROR(AP60/AP59,"")</f>
        <v>1.64806994328507</v>
      </c>
      <c r="AQ64" s="204" t="n">
        <f aca="false">IFERROR(AQ60/AQ59,"")</f>
        <v>1.69187584647709</v>
      </c>
      <c r="AR64" s="204" t="n">
        <f aca="false">IFERROR(AR60/AR59,"")</f>
        <v>1.44172989878875</v>
      </c>
      <c r="AS64" s="204" t="n">
        <f aca="false">IFERROR(AS60/AS59,"")</f>
        <v>1.77676421230964</v>
      </c>
      <c r="AT64" s="204" t="n">
        <f aca="false">IFERROR(AT60/AT59,"")</f>
        <v>1.87042552818879</v>
      </c>
      <c r="AU64" s="204" t="n">
        <f aca="false">IFERROR(AU60/AU59,"")</f>
        <v>1.95489383796912</v>
      </c>
      <c r="AV64" s="204" t="n">
        <f aca="false">IFERROR(AV60/AV59,"")</f>
        <v>2.0303887990496</v>
      </c>
      <c r="AW64" s="204" t="n">
        <f aca="false">IFERROR(AW60/AW59,"")</f>
        <v>1.58694307867519</v>
      </c>
      <c r="AX64" s="204" t="n">
        <f aca="false">IFERROR(AX60/AX59,"")</f>
        <v>1.57851805621752</v>
      </c>
      <c r="AY64" s="204" t="n">
        <f aca="false">IFERROR(AY60/AY59,"")</f>
        <v>1.46315072156474</v>
      </c>
      <c r="AZ64" s="204" t="n">
        <f aca="false">IFERROR(AZ60/AZ59,"")</f>
        <v>1.68748946212375</v>
      </c>
      <c r="BA64" s="204" t="n">
        <f aca="false">IFERROR(BA60/BA59,"")</f>
        <v>1.66114020267914</v>
      </c>
      <c r="BB64" s="204" t="n">
        <f aca="false">IFERROR(BB60/BB59,"")</f>
        <v>1.50610582423113</v>
      </c>
      <c r="BC64" s="204" t="n">
        <f aca="false">IFERROR(BC60/BC59,"")</f>
        <v>1.58528979982119</v>
      </c>
      <c r="BD64" s="204" t="n">
        <f aca="false">IFERROR(BD60/BD59,"")</f>
        <v>1.33003545390863</v>
      </c>
      <c r="BE64" s="204" t="n">
        <f aca="false">IFERROR(BE60/BE59,"")</f>
        <v>0.817777760079243</v>
      </c>
      <c r="BF64" s="204" t="n">
        <f aca="false">IFERROR(BF60/BF59,"")</f>
        <v>1.69038672547921</v>
      </c>
      <c r="BG64" s="204" t="n">
        <f aca="false">IFERROR(BG60/BG59,"")</f>
        <v>1.6422053822765</v>
      </c>
      <c r="BH64" s="204" t="n">
        <f aca="false">IFERROR(BH60/BH59,"")</f>
        <v>1.45383117753624</v>
      </c>
      <c r="BI64" s="204" t="n">
        <f aca="false">IFERROR(BI60/BI59,"")</f>
        <v>1.68488985372884</v>
      </c>
      <c r="BJ64" s="204" t="n">
        <f aca="false">IFERROR(BJ60/BJ59,"")</f>
        <v>1.62029678821609</v>
      </c>
      <c r="BK64" s="204" t="n">
        <f aca="false">IFERROR(BK60/BK59,"")</f>
        <v>1.21209890561662</v>
      </c>
      <c r="BL64" s="204" t="n">
        <f aca="false">IFERROR(BL60/BL59,"")</f>
        <v>1.32856735988883</v>
      </c>
      <c r="BM64" s="204" t="n">
        <f aca="false">IFERROR(BM60/BM59,"")</f>
        <v>1.33426849934147</v>
      </c>
      <c r="BN64" s="204" t="n">
        <f aca="false">IFERROR(BN60/BN59,"")</f>
        <v>1.15885075281817</v>
      </c>
      <c r="BO64" s="204" t="n">
        <f aca="false">IFERROR(BO60/BO59,"")</f>
        <v>1.33023150363421</v>
      </c>
      <c r="BP64" s="204" t="n">
        <f aca="false">IFERROR(BP60/BP59,"")</f>
        <v>1.25060495400121</v>
      </c>
      <c r="BQ64" s="204" t="n">
        <f aca="false">IFERROR(BQ60/BQ59,"")</f>
        <v>0.979016107092825</v>
      </c>
      <c r="BR64" s="204" t="n">
        <f aca="false">IFERROR(BR60/BR59,"")</f>
        <v>1.2277269102676</v>
      </c>
      <c r="BS64" s="204" t="n">
        <f aca="false">IFERROR(BS60/BS59,"")</f>
        <v>1.27395205674196</v>
      </c>
      <c r="BT64" s="204" t="n">
        <f aca="false">IFERROR(BT60/BT59,"")</f>
        <v>1.18406675979268</v>
      </c>
      <c r="BU64" s="204" t="n">
        <f aca="false">IFERROR(BU60/BU59,"")</f>
        <v>1.18525747003469</v>
      </c>
      <c r="BV64" s="204" t="n">
        <f aca="false">IFERROR(BV60/BV59,"")</f>
        <v>1.06606624257248</v>
      </c>
      <c r="BW64" s="204" t="n">
        <f aca="false">IFERROR(BW60/BW59,"")</f>
        <v>0.875951499663022</v>
      </c>
      <c r="BX64" s="204" t="n">
        <f aca="false">IFERROR(BX60/BX59,"")</f>
        <v>0.862740515455056</v>
      </c>
      <c r="BY64" s="204" t="n">
        <f aca="false">IFERROR(BY60/BY59,"")</f>
        <v>0.71581775368401</v>
      </c>
      <c r="BZ64" s="204" t="n">
        <f aca="false">IFERROR(BZ60/BZ59,"")</f>
        <v>0.526079050984904</v>
      </c>
      <c r="CA64" s="204" t="n">
        <f aca="false">IFERROR(CA60/CA59,"")</f>
        <v>0.458146558102599</v>
      </c>
      <c r="CB64" s="204" t="n">
        <f aca="false">IFERROR(CB60/CB59,"")</f>
        <v>0.283983339238391</v>
      </c>
      <c r="CC64" s="204" t="n">
        <f aca="false">IFERROR(CC60/CC59,"")</f>
        <v>0</v>
      </c>
      <c r="CD64" s="204" t="n">
        <f aca="false">IFERROR(CD60/CD59,"")</f>
        <v>0</v>
      </c>
      <c r="CE64" s="204" t="n">
        <f aca="false">IFERROR(CE60/CE59,"")</f>
        <v>0</v>
      </c>
      <c r="CF64" s="204" t="n">
        <f aca="false">IFERROR(CF60/CF59,"")</f>
        <v>0</v>
      </c>
      <c r="CG64" s="204" t="n">
        <f aca="false">IFERROR(CG60/CG59,"")</f>
        <v>0</v>
      </c>
      <c r="CH64" s="204" t="n">
        <f aca="false">IFERROR(CH60/CH59,"")</f>
        <v>0</v>
      </c>
      <c r="CI64" s="204" t="n">
        <f aca="false">IFERROR(CI60/CI59,"")</f>
        <v>0</v>
      </c>
      <c r="CJ64" s="204" t="n">
        <f aca="false">IFERROR(CJ60/CJ59,"")</f>
        <v>0</v>
      </c>
      <c r="CK64" s="204" t="n">
        <f aca="false">IFERROR(CK60/CK59,"")</f>
        <v>0</v>
      </c>
      <c r="CL64" s="204" t="n">
        <f aca="false">IFERROR(CL60/CL59,"")</f>
        <v>0</v>
      </c>
      <c r="CM64" s="204" t="n">
        <f aca="false">IFERROR(CM60/CM59,"")</f>
        <v>0</v>
      </c>
      <c r="CN64" s="204" t="n">
        <f aca="false">IFERROR(CN60/CN59,"")</f>
        <v>0</v>
      </c>
      <c r="CO64" s="204" t="n">
        <f aca="false">IFERROR(CO60/CO59,"")</f>
        <v>0</v>
      </c>
      <c r="CP64" s="204" t="n">
        <f aca="false">IFERROR(CP60/CP59,"")</f>
        <v>0</v>
      </c>
      <c r="CQ64" s="204" t="n">
        <f aca="false">IFERROR(CQ60/CQ59,"")</f>
        <v>0</v>
      </c>
      <c r="CR64" s="204" t="n">
        <f aca="false">IFERROR(CR60/CR59,"")</f>
        <v>0</v>
      </c>
      <c r="CS64" s="204" t="n">
        <f aca="false">IFERROR(CS60/CS59,"")</f>
        <v>0</v>
      </c>
      <c r="CT64" s="204" t="n">
        <f aca="false">IFERROR(CT60/CT59,"")</f>
        <v>0</v>
      </c>
      <c r="CU64" s="204" t="n">
        <f aca="false">IFERROR(CU60/CU59,"")</f>
        <v>0</v>
      </c>
      <c r="CV64" s="204" t="n">
        <f aca="false">IFERROR(CV60/CV59,"")</f>
        <v>0</v>
      </c>
      <c r="CW64" s="204" t="n">
        <f aca="false">IFERROR(CW60/CW59,"")</f>
        <v>0</v>
      </c>
      <c r="CX64" s="204" t="n">
        <f aca="false">IFERROR(CX60/CX59,"")</f>
        <v>0</v>
      </c>
      <c r="CY64" s="204" t="n">
        <f aca="false">IFERROR(CY60/CY59,"")</f>
        <v>0</v>
      </c>
      <c r="CZ64" s="204" t="n">
        <f aca="false">IFERROR(CZ60/CZ59,"")</f>
        <v>0</v>
      </c>
      <c r="DA64" s="204" t="n">
        <f aca="false">IFERROR(DA60/DA59,"")</f>
        <v>0</v>
      </c>
      <c r="DB64" s="204" t="n">
        <f aca="false">IFERROR(DB60/DB59,"")</f>
        <v>0</v>
      </c>
    </row>
    <row r="65" customFormat="false" ht="13.5" hidden="false" customHeight="true" outlineLevel="0" collapsed="false">
      <c r="A65" s="94" t="s">
        <v>596</v>
      </c>
      <c r="G65" s="205" t="n">
        <f aca="false">ROUND(G56-Model!E58,0)</f>
        <v>0</v>
      </c>
      <c r="H65" s="205" t="n">
        <f aca="false">ROUND(H56-Model!F58,0)</f>
        <v>0</v>
      </c>
      <c r="I65" s="205" t="n">
        <f aca="false">ROUND(I56-Model!G58,0)</f>
        <v>0</v>
      </c>
      <c r="J65" s="205" t="n">
        <f aca="false">ROUND(J56-Model!H58,0)</f>
        <v>0</v>
      </c>
      <c r="K65" s="205" t="n">
        <f aca="false">ROUND(K56-Model!I58,0)</f>
        <v>0</v>
      </c>
      <c r="L65" s="205" t="n">
        <f aca="false">ROUND(L56-Model!J58,0)</f>
        <v>0</v>
      </c>
      <c r="M65" s="205" t="n">
        <f aca="false">ROUND(M56-Model!K58,0)</f>
        <v>0</v>
      </c>
      <c r="N65" s="205" t="n">
        <f aca="false">ROUND(N56-Model!L58,0)</f>
        <v>0</v>
      </c>
      <c r="O65" s="205" t="n">
        <f aca="false">ROUND(O56-Model!M58,0)</f>
        <v>0</v>
      </c>
      <c r="P65" s="205" t="n">
        <f aca="false">ROUND(P56-Model!N58,0)</f>
        <v>0</v>
      </c>
      <c r="Q65" s="205" t="n">
        <f aca="false">ROUND(Q56-Model!O58,0)</f>
        <v>0</v>
      </c>
      <c r="R65" s="205" t="n">
        <f aca="false">ROUND(R56-Model!P58,0)</f>
        <v>0</v>
      </c>
      <c r="S65" s="205" t="n">
        <f aca="false">ROUND(S56-Model!Q58,0)</f>
        <v>0</v>
      </c>
      <c r="T65" s="205" t="n">
        <f aca="false">ROUND(T56-Model!R58,0)</f>
        <v>0</v>
      </c>
      <c r="U65" s="205" t="n">
        <f aca="false">ROUND(U56-Model!S58,0)</f>
        <v>0</v>
      </c>
      <c r="V65" s="205" t="n">
        <f aca="false">ROUND(V56-Model!T58,0)</f>
        <v>0</v>
      </c>
      <c r="W65" s="205" t="n">
        <f aca="false">ROUND(W56-Model!U58,0)</f>
        <v>0</v>
      </c>
      <c r="X65" s="205" t="n">
        <f aca="false">ROUND(X56-Model!V58,0)</f>
        <v>0</v>
      </c>
      <c r="Y65" s="205" t="n">
        <f aca="false">ROUND(Y56-Model!W58,0)</f>
        <v>0</v>
      </c>
      <c r="Z65" s="205" t="n">
        <f aca="false">ROUND(Z56-Model!X58,0)</f>
        <v>0</v>
      </c>
      <c r="AA65" s="205" t="n">
        <f aca="false">ROUND(AA56-Model!Y58,0)</f>
        <v>0</v>
      </c>
      <c r="AB65" s="205" t="n">
        <f aca="false">ROUND(AB56-Model!Z58,0)</f>
        <v>0</v>
      </c>
      <c r="AC65" s="205" t="n">
        <f aca="false">ROUND(AC56-Model!AA58,0)</f>
        <v>0</v>
      </c>
      <c r="AD65" s="205" t="n">
        <f aca="false">ROUND(AD56-Model!AB58,0)</f>
        <v>0</v>
      </c>
      <c r="AE65" s="205" t="n">
        <f aca="false">ROUND(AE56-Model!AC58,0)</f>
        <v>0</v>
      </c>
      <c r="AF65" s="205" t="n">
        <f aca="false">ROUND(AF56-Model!AD58,0)</f>
        <v>0</v>
      </c>
      <c r="AG65" s="205" t="n">
        <f aca="false">ROUND(AG56-Model!AE58,0)</f>
        <v>0</v>
      </c>
      <c r="AH65" s="205" t="n">
        <f aca="false">ROUND(AH56-Model!AF58,0)</f>
        <v>0</v>
      </c>
      <c r="AI65" s="205" t="n">
        <f aca="false">ROUND(AI56-Model!AG58,0)</f>
        <v>0</v>
      </c>
      <c r="AJ65" s="205" t="n">
        <f aca="false">ROUND(AJ56-Model!AH58,0)</f>
        <v>0</v>
      </c>
      <c r="AK65" s="205" t="n">
        <f aca="false">ROUND(AK56-Model!AI58,0)</f>
        <v>0</v>
      </c>
      <c r="AL65" s="205" t="n">
        <f aca="false">ROUND(AL56-Model!AJ58,0)</f>
        <v>0</v>
      </c>
      <c r="AM65" s="205" t="n">
        <f aca="false">ROUND(AM56-Model!AK58,0)</f>
        <v>0</v>
      </c>
      <c r="AN65" s="205" t="n">
        <f aca="false">ROUND(AN56-Model!AL58,0)</f>
        <v>0</v>
      </c>
      <c r="AO65" s="205" t="n">
        <f aca="false">ROUND(AO56-Model!AM58,0)</f>
        <v>0</v>
      </c>
      <c r="AP65" s="205" t="n">
        <f aca="false">ROUND(AP56-Model!AN58,0)</f>
        <v>0</v>
      </c>
      <c r="AQ65" s="205" t="n">
        <f aca="false">ROUND(AQ56-Model!AO58,0)</f>
        <v>0</v>
      </c>
      <c r="AR65" s="205" t="n">
        <f aca="false">ROUND(AR56-Model!AP58,0)</f>
        <v>0</v>
      </c>
      <c r="AS65" s="205" t="n">
        <f aca="false">ROUND(AS56-Model!AQ58,0)</f>
        <v>0</v>
      </c>
      <c r="AT65" s="205" t="n">
        <f aca="false">ROUND(AT56-Model!AR58,0)</f>
        <v>0</v>
      </c>
      <c r="AU65" s="205" t="n">
        <f aca="false">ROUND(AU56-Model!AS58,0)</f>
        <v>0</v>
      </c>
      <c r="AV65" s="205" t="n">
        <f aca="false">ROUND(AV56-Model!AT58,0)</f>
        <v>0</v>
      </c>
      <c r="AW65" s="205" t="n">
        <f aca="false">ROUND(AW56-Model!AU58,0)</f>
        <v>0</v>
      </c>
      <c r="AX65" s="205" t="n">
        <f aca="false">ROUND(AX56-Model!AV58,0)</f>
        <v>0</v>
      </c>
      <c r="AY65" s="205" t="n">
        <f aca="false">ROUND(AY56-Model!AW58,0)</f>
        <v>0</v>
      </c>
      <c r="AZ65" s="205" t="n">
        <f aca="false">ROUND(AZ56-Model!AX58,0)</f>
        <v>0</v>
      </c>
      <c r="BA65" s="205" t="n">
        <f aca="false">ROUND(BA56-Model!AY58,0)</f>
        <v>0</v>
      </c>
      <c r="BB65" s="205" t="n">
        <f aca="false">ROUND(BB56-Model!AZ58,0)</f>
        <v>0</v>
      </c>
      <c r="BC65" s="205" t="n">
        <f aca="false">ROUND(BC56-Model!BA58,0)</f>
        <v>0</v>
      </c>
      <c r="BD65" s="205" t="n">
        <f aca="false">ROUND(BD56-Model!BB58,0)</f>
        <v>0</v>
      </c>
      <c r="BE65" s="205" t="n">
        <f aca="false">ROUND(BE56-Model!BC58,0)</f>
        <v>0</v>
      </c>
      <c r="BF65" s="205" t="n">
        <f aca="false">ROUND(BF56-Model!BD58,0)</f>
        <v>0</v>
      </c>
      <c r="BG65" s="205" t="n">
        <f aca="false">ROUND(BG56-Model!BE58,0)</f>
        <v>0</v>
      </c>
      <c r="BH65" s="205" t="n">
        <f aca="false">ROUND(BH56-Model!BF58,0)</f>
        <v>0</v>
      </c>
      <c r="BI65" s="205" t="n">
        <f aca="false">ROUND(BI56-Model!BG58,0)</f>
        <v>0</v>
      </c>
      <c r="BJ65" s="205" t="n">
        <f aca="false">ROUND(BJ56-Model!BH58,0)</f>
        <v>0</v>
      </c>
      <c r="BK65" s="205" t="n">
        <f aca="false">ROUND(BK56-Model!BI58,0)</f>
        <v>0</v>
      </c>
      <c r="BL65" s="205" t="n">
        <f aca="false">ROUND(BL56-Model!BJ58,0)</f>
        <v>0</v>
      </c>
      <c r="BM65" s="205" t="n">
        <f aca="false">ROUND(BM56-Model!BK58,0)</f>
        <v>0</v>
      </c>
      <c r="BN65" s="205" t="n">
        <f aca="false">ROUND(BN56-Model!BL58,0)</f>
        <v>0</v>
      </c>
      <c r="BO65" s="205" t="n">
        <f aca="false">ROUND(BO56-Model!BM58,0)</f>
        <v>0</v>
      </c>
      <c r="BP65" s="205" t="n">
        <f aca="false">ROUND(BP56-Model!BN58,0)</f>
        <v>0</v>
      </c>
      <c r="BQ65" s="205" t="n">
        <f aca="false">ROUND(BQ56-Model!BO58,0)</f>
        <v>0</v>
      </c>
      <c r="BR65" s="205" t="n">
        <f aca="false">ROUND(BR56-Model!BP58,0)</f>
        <v>0</v>
      </c>
      <c r="BS65" s="205" t="n">
        <f aca="false">ROUND(BS56-Model!BQ58,0)</f>
        <v>0</v>
      </c>
      <c r="BT65" s="205" t="n">
        <f aca="false">ROUND(BT56-Model!BR58,0)</f>
        <v>0</v>
      </c>
      <c r="BU65" s="205" t="n">
        <f aca="false">ROUND(BU56-Model!BS58,0)</f>
        <v>0</v>
      </c>
      <c r="BV65" s="205" t="n">
        <f aca="false">ROUND(BV56-Model!BT58,0)</f>
        <v>0</v>
      </c>
      <c r="BW65" s="205" t="n">
        <f aca="false">ROUND(BW56-Model!BU58,0)</f>
        <v>0</v>
      </c>
      <c r="BX65" s="205" t="n">
        <f aca="false">ROUND(BX56-Model!BV58,0)</f>
        <v>0</v>
      </c>
      <c r="BY65" s="205" t="n">
        <f aca="false">ROUND(BY56-Model!BW58,0)</f>
        <v>0</v>
      </c>
      <c r="BZ65" s="205" t="n">
        <f aca="false">ROUND(BZ56-Model!BX58,0)</f>
        <v>0</v>
      </c>
      <c r="CA65" s="205" t="n">
        <f aca="false">ROUND(CA56-Model!BY58,0)</f>
        <v>0</v>
      </c>
      <c r="CB65" s="205" t="n">
        <f aca="false">ROUND(CB56-Model!BZ58,0)</f>
        <v>0</v>
      </c>
      <c r="CC65" s="205" t="n">
        <f aca="false">ROUND(CC56-Model!CA58,0)</f>
        <v>0</v>
      </c>
      <c r="CD65" s="205" t="n">
        <f aca="false">ROUND(CD56-Model!CB58,0)</f>
        <v>0</v>
      </c>
      <c r="CE65" s="205" t="n">
        <f aca="false">ROUND(CE56-Model!CC58,0)</f>
        <v>0</v>
      </c>
      <c r="CF65" s="205" t="n">
        <f aca="false">ROUND(CF56-Model!CD58,0)</f>
        <v>0</v>
      </c>
      <c r="CG65" s="205" t="n">
        <f aca="false">ROUND(CG56-Model!CE58,0)</f>
        <v>0</v>
      </c>
      <c r="CH65" s="205" t="n">
        <f aca="false">ROUND(CH56-Model!CF58,0)</f>
        <v>0</v>
      </c>
      <c r="CI65" s="205" t="n">
        <f aca="false">ROUND(CI56-Model!CG58,0)</f>
        <v>0</v>
      </c>
      <c r="CJ65" s="205" t="n">
        <f aca="false">ROUND(CJ56-Model!CH58,0)</f>
        <v>0</v>
      </c>
      <c r="CK65" s="205" t="n">
        <f aca="false">ROUND(CK56-Model!CI58,0)</f>
        <v>0</v>
      </c>
      <c r="CL65" s="205" t="n">
        <f aca="false">ROUND(CL56-Model!CJ58,0)</f>
        <v>0</v>
      </c>
      <c r="CM65" s="205" t="n">
        <f aca="false">ROUND(CM56-Model!CK58,0)</f>
        <v>0</v>
      </c>
      <c r="CN65" s="205" t="n">
        <f aca="false">ROUND(CN56-Model!CL58,0)</f>
        <v>0</v>
      </c>
      <c r="CO65" s="205" t="n">
        <f aca="false">ROUND(CO56-Model!CM58,0)</f>
        <v>0</v>
      </c>
      <c r="CP65" s="205" t="n">
        <f aca="false">ROUND(CP56-Model!CN58,0)</f>
        <v>0</v>
      </c>
      <c r="CQ65" s="205" t="n">
        <f aca="false">ROUND(CQ56-Model!CO58,0)</f>
        <v>0</v>
      </c>
      <c r="CR65" s="205" t="n">
        <f aca="false">ROUND(CR56-Model!CP58,0)</f>
        <v>0</v>
      </c>
      <c r="CS65" s="205" t="n">
        <f aca="false">ROUND(CS56-Model!CQ58,0)</f>
        <v>0</v>
      </c>
      <c r="CT65" s="205" t="n">
        <f aca="false">ROUND(CT56-Model!CR58,0)</f>
        <v>0</v>
      </c>
      <c r="CU65" s="205" t="n">
        <f aca="false">ROUND(CU56-Model!CS58,0)</f>
        <v>0</v>
      </c>
      <c r="CV65" s="205" t="n">
        <f aca="false">ROUND(CV56-Model!CT58,0)</f>
        <v>0</v>
      </c>
      <c r="CW65" s="205" t="n">
        <f aca="false">ROUND(CW56-Model!CU58,0)</f>
        <v>0</v>
      </c>
      <c r="CX65" s="205" t="n">
        <f aca="false">ROUND(CX56-Model!CV58,0)</f>
        <v>0</v>
      </c>
      <c r="CY65" s="205" t="n">
        <f aca="false">ROUND(CY56-Model!CW58,0)</f>
        <v>0</v>
      </c>
      <c r="CZ65" s="205" t="n">
        <f aca="false">ROUND(CZ56-Model!CX58,0)</f>
        <v>0</v>
      </c>
      <c r="DA65" s="205" t="n">
        <f aca="false">ROUND(DA56-Model!CY58,0)</f>
        <v>0</v>
      </c>
      <c r="DB65" s="205" t="n">
        <f aca="false">ROUND(DB56-Model!CZ58,0)</f>
        <v>0</v>
      </c>
    </row>
  </sheetData>
  <conditionalFormatting sqref="G7:DB20">
    <cfRule type="expression" priority="2" aboveAverage="0" equalAverage="0" bottom="0" percent="0" rank="0" text="" dxfId="3">
      <formula>G7&lt;&gt;""</formula>
    </cfRule>
  </conditionalFormatting>
  <conditionalFormatting sqref="G24:DB52">
    <cfRule type="expression" priority="3" aboveAverage="0" equalAverage="0" bottom="0" percent="0" rank="0" text="" dxfId="4">
      <formula>G24&lt;&gt;""</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Q63"/>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59375" defaultRowHeight="13.5" zeroHeight="false" outlineLevelRow="0" outlineLevelCol="0"/>
  <cols>
    <col collapsed="false" customWidth="true" hidden="false" outlineLevel="0" max="1" min="1" style="1" width="30"/>
    <col collapsed="false" customWidth="true" hidden="false" outlineLevel="0" max="2" min="2" style="1" width="26"/>
    <col collapsed="false" customWidth="true" hidden="false" outlineLevel="0" max="4" min="3" style="1" width="14"/>
    <col collapsed="false" customWidth="true" hidden="false" outlineLevel="0" max="5" min="5" style="1" width="12"/>
    <col collapsed="false" customWidth="true" hidden="false" outlineLevel="0" max="6" min="6" style="1" width="10"/>
    <col collapsed="false" customWidth="true" hidden="false" outlineLevel="0" max="7" min="7" style="1" width="9"/>
    <col collapsed="false" customWidth="true" hidden="false" outlineLevel="0" max="8" min="8" style="1" width="11"/>
    <col collapsed="false" customWidth="true" hidden="false" outlineLevel="0" max="9" min="9" style="1" width="12"/>
    <col collapsed="false" customWidth="true" hidden="false" outlineLevel="0" max="10" min="10" style="1" width="13"/>
    <col collapsed="false" customWidth="true" hidden="false" outlineLevel="0" max="11" min="11" style="1" width="12"/>
    <col collapsed="false" customWidth="true" hidden="false" outlineLevel="0" max="12" min="12" style="1" width="22"/>
    <col collapsed="false" customWidth="true" hidden="false" outlineLevel="0" max="13" min="13" style="1" width="20"/>
    <col collapsed="false" customWidth="true" hidden="false" outlineLevel="0" max="14" min="14" style="1" width="42"/>
    <col collapsed="false" customWidth="true" hidden="false" outlineLevel="0" max="15" min="15" style="1" width="12"/>
    <col collapsed="false" customWidth="true" hidden="false" outlineLevel="0" max="16" min="16" style="1" width="11"/>
  </cols>
  <sheetData>
    <row r="1" customFormat="false" ht="15.75" hidden="false" customHeight="true" outlineLevel="0" collapsed="false">
      <c r="A1" s="206" t="s">
        <v>597</v>
      </c>
    </row>
    <row r="2" customFormat="false" ht="13.5" hidden="false" customHeight="true" outlineLevel="0" collapsed="false">
      <c r="A2" s="207" t="s">
        <v>598</v>
      </c>
    </row>
    <row r="3" customFormat="false" ht="13.5" hidden="false" customHeight="true" outlineLevel="0" collapsed="false">
      <c r="C3" s="208" t="s">
        <v>599</v>
      </c>
      <c r="D3" s="208" t="s">
        <v>600</v>
      </c>
    </row>
    <row r="4" customFormat="false" ht="13.5" hidden="false" customHeight="true" outlineLevel="0" collapsed="false">
      <c r="A4" s="125" t="s">
        <v>601</v>
      </c>
      <c r="C4" s="120" t="n">
        <f aca="false">COUNTIFS($F$9:$F$100,"GC",$L$9:$L$100,"Current*")-COUNTIFS($A$9:$A$100,"*(Corporate)*",$F$9:$F$100,"GC")</f>
        <v>25</v>
      </c>
      <c r="D4" s="209" t="n">
        <f aca="false">SUMIFS($C$9:$C$100,$F$9:$F$100,"GC",$L$9:$L$100,"Current*")</f>
        <v>3440572</v>
      </c>
    </row>
    <row r="5" customFormat="false" ht="13.5" hidden="false" customHeight="true" outlineLevel="0" collapsed="false">
      <c r="A5" s="125" t="s">
        <v>602</v>
      </c>
      <c r="C5" s="120" t="n">
        <f aca="false">COUNTIFS($F$9:$F$100,"SixPeak",$L$9:$L$100,"Current*")</f>
        <v>7</v>
      </c>
      <c r="D5" s="209" t="n">
        <f aca="false">SUMIFS($C$9:$C$100,$F$9:$F$100,"SixPeak",$L$9:$L$100,"Current*")</f>
        <v>1787000</v>
      </c>
    </row>
    <row r="6" customFormat="false" ht="13.5" hidden="false" customHeight="true" outlineLevel="0" collapsed="false">
      <c r="A6" s="210" t="s">
        <v>603</v>
      </c>
    </row>
    <row r="8" customFormat="false" ht="27" hidden="false" customHeight="true" outlineLevel="0" collapsed="false">
      <c r="A8" s="176" t="s">
        <v>604</v>
      </c>
      <c r="B8" s="176" t="s">
        <v>605</v>
      </c>
      <c r="C8" s="176" t="s">
        <v>606</v>
      </c>
      <c r="D8" s="176" t="s">
        <v>607</v>
      </c>
      <c r="E8" s="176" t="s">
        <v>548</v>
      </c>
      <c r="F8" s="176" t="s">
        <v>557</v>
      </c>
      <c r="G8" s="176" t="s">
        <v>552</v>
      </c>
      <c r="H8" s="176" t="s">
        <v>608</v>
      </c>
      <c r="I8" s="176" t="s">
        <v>609</v>
      </c>
      <c r="J8" s="176" t="s">
        <v>610</v>
      </c>
      <c r="K8" s="176" t="s">
        <v>566</v>
      </c>
      <c r="L8" s="176" t="s">
        <v>611</v>
      </c>
      <c r="M8" s="176" t="s">
        <v>612</v>
      </c>
      <c r="N8" s="176" t="s">
        <v>613</v>
      </c>
      <c r="O8" s="176" t="s">
        <v>614</v>
      </c>
      <c r="P8" s="176" t="s">
        <v>615</v>
      </c>
      <c r="Q8" s="176" t="s">
        <v>616</v>
      </c>
    </row>
    <row r="9" customFormat="false" ht="13.5" hidden="false" customHeight="true" outlineLevel="0" collapsed="false">
      <c r="A9" s="211" t="s">
        <v>617</v>
      </c>
      <c r="B9" s="212"/>
      <c r="C9" s="212"/>
      <c r="D9" s="212"/>
      <c r="E9" s="212"/>
      <c r="F9" s="212"/>
      <c r="G9" s="212"/>
      <c r="H9" s="212"/>
      <c r="I9" s="212"/>
      <c r="J9" s="212"/>
      <c r="K9" s="212"/>
      <c r="L9" s="212"/>
      <c r="M9" s="212"/>
      <c r="N9" s="212"/>
      <c r="O9" s="212"/>
      <c r="P9" s="212"/>
    </row>
    <row r="10" customFormat="false" ht="13.5" hidden="false" customHeight="true" outlineLevel="0" collapsed="false">
      <c r="A10" s="110" t="s">
        <v>618</v>
      </c>
      <c r="B10" s="110" t="s">
        <v>619</v>
      </c>
      <c r="C10" s="213" t="n">
        <v>70000</v>
      </c>
      <c r="D10" s="213" t="n">
        <f aca="false">C10/12</f>
        <v>5833.33333333333</v>
      </c>
      <c r="E10" s="182" t="n">
        <v>1</v>
      </c>
      <c r="F10" s="110" t="s">
        <v>620</v>
      </c>
      <c r="G10" s="182" t="s">
        <v>568</v>
      </c>
      <c r="H10" s="214" t="n">
        <v>0</v>
      </c>
      <c r="I10" s="214" t="n">
        <v>0</v>
      </c>
      <c r="J10" s="110" t="s">
        <v>621</v>
      </c>
      <c r="K10" s="182"/>
      <c r="L10" s="110" t="s">
        <v>622</v>
      </c>
      <c r="M10" s="110"/>
      <c r="N10" s="110"/>
      <c r="O10" s="110" t="s">
        <v>620</v>
      </c>
      <c r="P10" s="110" t="s">
        <v>623</v>
      </c>
      <c r="Q10" s="1" t="s">
        <v>568</v>
      </c>
    </row>
    <row r="11" customFormat="false" ht="13.5" hidden="false" customHeight="true" outlineLevel="0" collapsed="false">
      <c r="A11" s="215" t="s">
        <v>624</v>
      </c>
      <c r="B11" s="215" t="s">
        <v>625</v>
      </c>
      <c r="C11" s="216" t="n">
        <v>80000</v>
      </c>
      <c r="D11" s="216" t="n">
        <f aca="false">C11/12</f>
        <v>6666.66666666667</v>
      </c>
      <c r="E11" s="217" t="n">
        <v>1</v>
      </c>
      <c r="F11" s="215" t="s">
        <v>620</v>
      </c>
      <c r="G11" s="217" t="s">
        <v>568</v>
      </c>
      <c r="H11" s="218" t="n">
        <v>0.5</v>
      </c>
      <c r="I11" s="218" t="n">
        <v>0</v>
      </c>
      <c r="J11" s="215" t="s">
        <v>621</v>
      </c>
      <c r="K11" s="217"/>
      <c r="L11" s="215" t="s">
        <v>622</v>
      </c>
      <c r="M11" s="215"/>
      <c r="N11" s="215"/>
      <c r="O11" s="215" t="s">
        <v>620</v>
      </c>
      <c r="P11" s="215" t="s">
        <v>623</v>
      </c>
      <c r="Q11" s="1" t="s">
        <v>568</v>
      </c>
    </row>
    <row r="12" customFormat="false" ht="13.5" hidden="false" customHeight="true" outlineLevel="0" collapsed="false">
      <c r="A12" s="110" t="s">
        <v>626</v>
      </c>
      <c r="B12" s="110" t="s">
        <v>627</v>
      </c>
      <c r="C12" s="213" t="n">
        <v>25000</v>
      </c>
      <c r="D12" s="213" t="n">
        <f aca="false">C12/12</f>
        <v>2083.33333333333</v>
      </c>
      <c r="E12" s="182" t="n">
        <v>1</v>
      </c>
      <c r="F12" s="110" t="s">
        <v>620</v>
      </c>
      <c r="G12" s="182" t="s">
        <v>568</v>
      </c>
      <c r="H12" s="214" t="n">
        <v>0.5</v>
      </c>
      <c r="I12" s="214" t="n">
        <v>0</v>
      </c>
      <c r="J12" s="110" t="s">
        <v>621</v>
      </c>
      <c r="K12" s="182" t="n">
        <v>9</v>
      </c>
      <c r="L12" s="110" t="s">
        <v>628</v>
      </c>
      <c r="M12" s="110"/>
      <c r="N12" s="110" t="s">
        <v>629</v>
      </c>
      <c r="O12" s="110" t="s">
        <v>620</v>
      </c>
      <c r="P12" s="110" t="s">
        <v>623</v>
      </c>
      <c r="Q12" s="1" t="s">
        <v>568</v>
      </c>
    </row>
    <row r="13" customFormat="false" ht="13.5" hidden="false" customHeight="true" outlineLevel="0" collapsed="false">
      <c r="A13" s="215" t="s">
        <v>630</v>
      </c>
      <c r="B13" s="215" t="s">
        <v>627</v>
      </c>
      <c r="C13" s="216" t="n">
        <v>10000</v>
      </c>
      <c r="D13" s="216" t="n">
        <f aca="false">C13/12</f>
        <v>833.333333333333</v>
      </c>
      <c r="E13" s="217" t="n">
        <v>1</v>
      </c>
      <c r="F13" s="215" t="s">
        <v>620</v>
      </c>
      <c r="G13" s="217" t="s">
        <v>568</v>
      </c>
      <c r="H13" s="218" t="n">
        <v>0</v>
      </c>
      <c r="I13" s="218" t="n">
        <v>0</v>
      </c>
      <c r="J13" s="215" t="s">
        <v>621</v>
      </c>
      <c r="K13" s="217"/>
      <c r="L13" s="215" t="s">
        <v>622</v>
      </c>
      <c r="M13" s="215"/>
      <c r="N13" s="215"/>
      <c r="O13" s="215" t="s">
        <v>620</v>
      </c>
      <c r="P13" s="215" t="s">
        <v>623</v>
      </c>
      <c r="Q13" s="1" t="s">
        <v>568</v>
      </c>
    </row>
    <row r="14" customFormat="false" ht="13.5" hidden="false" customHeight="true" outlineLevel="0" collapsed="false">
      <c r="A14" s="110" t="s">
        <v>631</v>
      </c>
      <c r="B14" s="110" t="s">
        <v>632</v>
      </c>
      <c r="C14" s="213" t="n">
        <v>20000</v>
      </c>
      <c r="D14" s="213" t="n">
        <f aca="false">C14/12</f>
        <v>1666.66666666667</v>
      </c>
      <c r="E14" s="182" t="n">
        <v>1</v>
      </c>
      <c r="F14" s="110" t="s">
        <v>620</v>
      </c>
      <c r="G14" s="182" t="s">
        <v>568</v>
      </c>
      <c r="H14" s="214" t="n">
        <v>0</v>
      </c>
      <c r="I14" s="214" t="n">
        <v>0</v>
      </c>
      <c r="J14" s="110" t="s">
        <v>621</v>
      </c>
      <c r="K14" s="182"/>
      <c r="L14" s="110" t="s">
        <v>622</v>
      </c>
      <c r="M14" s="110"/>
      <c r="N14" s="110"/>
      <c r="O14" s="110" t="s">
        <v>620</v>
      </c>
      <c r="P14" s="110" t="s">
        <v>623</v>
      </c>
      <c r="Q14" s="1" t="s">
        <v>568</v>
      </c>
    </row>
    <row r="16" customFormat="false" ht="13.5" hidden="false" customHeight="true" outlineLevel="0" collapsed="false">
      <c r="A16" s="211" t="s">
        <v>633</v>
      </c>
      <c r="B16" s="212"/>
      <c r="C16" s="212"/>
      <c r="D16" s="212"/>
      <c r="E16" s="212"/>
      <c r="F16" s="212"/>
      <c r="G16" s="212"/>
      <c r="H16" s="212"/>
      <c r="I16" s="212"/>
      <c r="J16" s="212"/>
      <c r="K16" s="212"/>
      <c r="L16" s="212"/>
      <c r="M16" s="212"/>
      <c r="N16" s="212"/>
      <c r="O16" s="212"/>
      <c r="P16" s="212"/>
    </row>
    <row r="17" customFormat="false" ht="13.5" hidden="false" customHeight="true" outlineLevel="0" collapsed="false">
      <c r="A17" s="110" t="s">
        <v>634</v>
      </c>
      <c r="B17" s="110" t="s">
        <v>625</v>
      </c>
      <c r="C17" s="213" t="n">
        <v>320000</v>
      </c>
      <c r="D17" s="213" t="n">
        <f aca="false">C17/12</f>
        <v>26666.6666666667</v>
      </c>
      <c r="E17" s="182" t="n">
        <v>1</v>
      </c>
      <c r="F17" s="110" t="s">
        <v>620</v>
      </c>
      <c r="G17" s="182" t="s">
        <v>568</v>
      </c>
      <c r="H17" s="214" t="n">
        <v>0.5</v>
      </c>
      <c r="I17" s="214" t="n">
        <v>0</v>
      </c>
      <c r="J17" s="110" t="s">
        <v>635</v>
      </c>
      <c r="K17" s="182"/>
      <c r="L17" s="110" t="s">
        <v>622</v>
      </c>
      <c r="M17" s="110"/>
      <c r="N17" s="110"/>
      <c r="O17" s="110" t="s">
        <v>620</v>
      </c>
      <c r="P17" s="110" t="s">
        <v>623</v>
      </c>
      <c r="Q17" s="1" t="s">
        <v>568</v>
      </c>
    </row>
    <row r="18" customFormat="false" ht="13.5" hidden="false" customHeight="true" outlineLevel="0" collapsed="false">
      <c r="A18" s="215" t="s">
        <v>636</v>
      </c>
      <c r="B18" s="215" t="s">
        <v>627</v>
      </c>
      <c r="C18" s="216" t="n">
        <v>225000</v>
      </c>
      <c r="D18" s="216" t="n">
        <f aca="false">C18/12</f>
        <v>18750</v>
      </c>
      <c r="E18" s="217" t="n">
        <v>1</v>
      </c>
      <c r="F18" s="215" t="s">
        <v>620</v>
      </c>
      <c r="G18" s="217" t="s">
        <v>568</v>
      </c>
      <c r="H18" s="218" t="n">
        <v>0.5</v>
      </c>
      <c r="I18" s="218" t="n">
        <v>0</v>
      </c>
      <c r="J18" s="215" t="s">
        <v>635</v>
      </c>
      <c r="K18" s="217" t="n">
        <v>9</v>
      </c>
      <c r="L18" s="215" t="s">
        <v>628</v>
      </c>
      <c r="M18" s="215"/>
      <c r="N18" s="215" t="s">
        <v>629</v>
      </c>
      <c r="O18" s="215" t="s">
        <v>620</v>
      </c>
      <c r="P18" s="215" t="s">
        <v>623</v>
      </c>
      <c r="Q18" s="1" t="s">
        <v>568</v>
      </c>
    </row>
    <row r="19" customFormat="false" ht="13.5" hidden="false" customHeight="true" outlineLevel="0" collapsed="false">
      <c r="A19" s="110" t="s">
        <v>637</v>
      </c>
      <c r="B19" s="110" t="s">
        <v>627</v>
      </c>
      <c r="C19" s="213" t="n">
        <v>180000</v>
      </c>
      <c r="D19" s="213" t="n">
        <f aca="false">C19/12</f>
        <v>15000</v>
      </c>
      <c r="E19" s="182" t="n">
        <v>1</v>
      </c>
      <c r="F19" s="110" t="s">
        <v>620</v>
      </c>
      <c r="G19" s="182" t="s">
        <v>568</v>
      </c>
      <c r="H19" s="214" t="n">
        <v>0</v>
      </c>
      <c r="I19" s="214" t="n">
        <v>0</v>
      </c>
      <c r="J19" s="110" t="s">
        <v>635</v>
      </c>
      <c r="K19" s="182"/>
      <c r="L19" s="110" t="s">
        <v>622</v>
      </c>
      <c r="M19" s="110"/>
      <c r="N19" s="110"/>
      <c r="O19" s="110" t="s">
        <v>620</v>
      </c>
      <c r="P19" s="110" t="s">
        <v>638</v>
      </c>
      <c r="Q19" s="1" t="s">
        <v>568</v>
      </c>
    </row>
    <row r="20" customFormat="false" ht="13.5" hidden="false" customHeight="true" outlineLevel="0" collapsed="false">
      <c r="A20" s="215" t="s">
        <v>639</v>
      </c>
      <c r="B20" s="215" t="s">
        <v>632</v>
      </c>
      <c r="C20" s="216" t="n">
        <v>180000</v>
      </c>
      <c r="D20" s="216" t="n">
        <f aca="false">C20/12</f>
        <v>15000</v>
      </c>
      <c r="E20" s="217" t="n">
        <v>1</v>
      </c>
      <c r="F20" s="215" t="s">
        <v>620</v>
      </c>
      <c r="G20" s="217" t="s">
        <v>568</v>
      </c>
      <c r="H20" s="218" t="n">
        <v>0</v>
      </c>
      <c r="I20" s="218" t="n">
        <v>0</v>
      </c>
      <c r="J20" s="215" t="s">
        <v>635</v>
      </c>
      <c r="K20" s="217"/>
      <c r="L20" s="215" t="s">
        <v>622</v>
      </c>
      <c r="M20" s="215"/>
      <c r="N20" s="215"/>
      <c r="O20" s="215" t="s">
        <v>620</v>
      </c>
      <c r="P20" s="215" t="s">
        <v>638</v>
      </c>
      <c r="Q20" s="1" t="s">
        <v>568</v>
      </c>
    </row>
    <row r="21" customFormat="false" ht="13.5" hidden="false" customHeight="true" outlineLevel="0" collapsed="false">
      <c r="A21" s="110" t="s">
        <v>640</v>
      </c>
      <c r="B21" s="110" t="s">
        <v>641</v>
      </c>
      <c r="C21" s="213" t="n">
        <v>105000</v>
      </c>
      <c r="D21" s="213" t="n">
        <f aca="false">C21/12</f>
        <v>8750</v>
      </c>
      <c r="E21" s="182" t="n">
        <v>3</v>
      </c>
      <c r="F21" s="110" t="s">
        <v>620</v>
      </c>
      <c r="G21" s="182" t="s">
        <v>568</v>
      </c>
      <c r="H21" s="214" t="n">
        <v>0</v>
      </c>
      <c r="I21" s="214" t="n">
        <v>0</v>
      </c>
      <c r="J21" s="110" t="s">
        <v>635</v>
      </c>
      <c r="K21" s="182"/>
      <c r="L21" s="110" t="s">
        <v>622</v>
      </c>
      <c r="M21" s="110"/>
      <c r="N21" s="110"/>
      <c r="O21" s="110" t="s">
        <v>620</v>
      </c>
      <c r="P21" s="110" t="s">
        <v>642</v>
      </c>
      <c r="Q21" s="1" t="s">
        <v>568</v>
      </c>
    </row>
    <row r="22" customFormat="false" ht="13.5" hidden="false" customHeight="true" outlineLevel="0" collapsed="false">
      <c r="A22" s="215" t="s">
        <v>643</v>
      </c>
      <c r="B22" s="215" t="s">
        <v>644</v>
      </c>
      <c r="C22" s="216" t="n">
        <v>155000</v>
      </c>
      <c r="D22" s="216" t="n">
        <f aca="false">C22/12</f>
        <v>12916.6666666667</v>
      </c>
      <c r="E22" s="217" t="n">
        <v>1</v>
      </c>
      <c r="F22" s="215" t="s">
        <v>620</v>
      </c>
      <c r="G22" s="217" t="s">
        <v>568</v>
      </c>
      <c r="H22" s="218" t="n">
        <v>0</v>
      </c>
      <c r="I22" s="218" t="n">
        <v>0</v>
      </c>
      <c r="J22" s="215" t="s">
        <v>635</v>
      </c>
      <c r="K22" s="217"/>
      <c r="L22" s="215" t="s">
        <v>622</v>
      </c>
      <c r="M22" s="215"/>
      <c r="N22" s="215"/>
      <c r="O22" s="215" t="s">
        <v>620</v>
      </c>
      <c r="P22" s="215" t="s">
        <v>638</v>
      </c>
      <c r="Q22" s="1" t="s">
        <v>568</v>
      </c>
    </row>
    <row r="23" customFormat="false" ht="13.5" hidden="false" customHeight="true" outlineLevel="0" collapsed="false">
      <c r="A23" s="110" t="s">
        <v>645</v>
      </c>
      <c r="B23" s="110" t="s">
        <v>646</v>
      </c>
      <c r="C23" s="213" t="n">
        <v>185000</v>
      </c>
      <c r="D23" s="213" t="n">
        <f aca="false">C23/12</f>
        <v>15416.6666666667</v>
      </c>
      <c r="E23" s="182" t="n">
        <v>1</v>
      </c>
      <c r="F23" s="110" t="s">
        <v>620</v>
      </c>
      <c r="G23" s="182" t="s">
        <v>568</v>
      </c>
      <c r="H23" s="214" t="n">
        <v>0</v>
      </c>
      <c r="I23" s="214" t="n">
        <v>0</v>
      </c>
      <c r="J23" s="110" t="s">
        <v>635</v>
      </c>
      <c r="K23" s="182"/>
      <c r="L23" s="110" t="s">
        <v>622</v>
      </c>
      <c r="M23" s="110"/>
      <c r="N23" s="110"/>
      <c r="O23" s="110" t="s">
        <v>620</v>
      </c>
      <c r="P23" s="110" t="s">
        <v>647</v>
      </c>
      <c r="Q23" s="1" t="s">
        <v>568</v>
      </c>
    </row>
    <row r="24" customFormat="false" ht="13.5" hidden="false" customHeight="true" outlineLevel="0" collapsed="false">
      <c r="A24" s="215" t="s">
        <v>648</v>
      </c>
      <c r="B24" s="215" t="s">
        <v>649</v>
      </c>
      <c r="C24" s="216" t="n">
        <v>90000</v>
      </c>
      <c r="D24" s="216" t="n">
        <f aca="false">C24/12</f>
        <v>7500</v>
      </c>
      <c r="E24" s="217" t="n">
        <v>3</v>
      </c>
      <c r="F24" s="215" t="s">
        <v>620</v>
      </c>
      <c r="G24" s="217" t="s">
        <v>568</v>
      </c>
      <c r="H24" s="218" t="n">
        <v>0</v>
      </c>
      <c r="I24" s="218" t="n">
        <v>0</v>
      </c>
      <c r="J24" s="215" t="s">
        <v>635</v>
      </c>
      <c r="K24" s="217"/>
      <c r="L24" s="215" t="s">
        <v>622</v>
      </c>
      <c r="M24" s="215"/>
      <c r="N24" s="215"/>
      <c r="O24" s="215" t="s">
        <v>620</v>
      </c>
      <c r="P24" s="215" t="s">
        <v>650</v>
      </c>
      <c r="Q24" s="1" t="s">
        <v>568</v>
      </c>
    </row>
    <row r="25" customFormat="false" ht="13.5" hidden="false" customHeight="true" outlineLevel="0" collapsed="false">
      <c r="A25" s="110" t="s">
        <v>651</v>
      </c>
      <c r="B25" s="110" t="s">
        <v>649</v>
      </c>
      <c r="C25" s="213" t="n">
        <v>97500</v>
      </c>
      <c r="D25" s="213" t="n">
        <f aca="false">C25/12</f>
        <v>8125</v>
      </c>
      <c r="E25" s="182" t="n">
        <v>1</v>
      </c>
      <c r="F25" s="110" t="s">
        <v>620</v>
      </c>
      <c r="G25" s="182" t="s">
        <v>568</v>
      </c>
      <c r="H25" s="214" t="n">
        <v>0</v>
      </c>
      <c r="I25" s="214" t="n">
        <v>0</v>
      </c>
      <c r="J25" s="110" t="s">
        <v>635</v>
      </c>
      <c r="K25" s="182"/>
      <c r="L25" s="110" t="s">
        <v>622</v>
      </c>
      <c r="M25" s="110"/>
      <c r="N25" s="110"/>
      <c r="O25" s="110" t="s">
        <v>620</v>
      </c>
      <c r="P25" s="110" t="s">
        <v>650</v>
      </c>
      <c r="Q25" s="1" t="s">
        <v>568</v>
      </c>
    </row>
    <row r="26" customFormat="false" ht="13.5" hidden="false" customHeight="true" outlineLevel="0" collapsed="false">
      <c r="A26" s="215" t="s">
        <v>652</v>
      </c>
      <c r="B26" s="215" t="s">
        <v>646</v>
      </c>
      <c r="C26" s="216" t="n">
        <v>150000</v>
      </c>
      <c r="D26" s="216" t="n">
        <f aca="false">C26/12</f>
        <v>12500</v>
      </c>
      <c r="E26" s="217" t="n">
        <v>1</v>
      </c>
      <c r="F26" s="215" t="s">
        <v>620</v>
      </c>
      <c r="G26" s="217" t="s">
        <v>568</v>
      </c>
      <c r="H26" s="218" t="n">
        <v>0</v>
      </c>
      <c r="I26" s="218" t="n">
        <v>0</v>
      </c>
      <c r="J26" s="215" t="s">
        <v>635</v>
      </c>
      <c r="K26" s="217"/>
      <c r="L26" s="215" t="s">
        <v>622</v>
      </c>
      <c r="M26" s="215"/>
      <c r="N26" s="215"/>
      <c r="O26" s="215" t="s">
        <v>620</v>
      </c>
      <c r="P26" s="215" t="s">
        <v>647</v>
      </c>
      <c r="Q26" s="1" t="s">
        <v>568</v>
      </c>
    </row>
    <row r="27" customFormat="false" ht="13.5" hidden="false" customHeight="true" outlineLevel="0" collapsed="false">
      <c r="A27" s="110" t="s">
        <v>653</v>
      </c>
      <c r="B27" s="110" t="s">
        <v>646</v>
      </c>
      <c r="C27" s="213" t="n">
        <v>150000</v>
      </c>
      <c r="D27" s="213" t="n">
        <f aca="false">C27/12</f>
        <v>12500</v>
      </c>
      <c r="E27" s="182" t="n">
        <v>1</v>
      </c>
      <c r="F27" s="110" t="s">
        <v>620</v>
      </c>
      <c r="G27" s="182" t="s">
        <v>568</v>
      </c>
      <c r="H27" s="214" t="n">
        <v>0</v>
      </c>
      <c r="I27" s="214" t="n">
        <v>0</v>
      </c>
      <c r="J27" s="110" t="s">
        <v>635</v>
      </c>
      <c r="K27" s="182"/>
      <c r="L27" s="110" t="s">
        <v>622</v>
      </c>
      <c r="M27" s="110"/>
      <c r="N27" s="110"/>
      <c r="O27" s="110" t="s">
        <v>620</v>
      </c>
      <c r="P27" s="110" t="s">
        <v>647</v>
      </c>
      <c r="Q27" s="1" t="s">
        <v>568</v>
      </c>
    </row>
    <row r="28" customFormat="false" ht="13.5" hidden="false" customHeight="true" outlineLevel="0" collapsed="false">
      <c r="A28" s="215" t="s">
        <v>654</v>
      </c>
      <c r="B28" s="215" t="s">
        <v>646</v>
      </c>
      <c r="C28" s="216" t="n">
        <v>170000</v>
      </c>
      <c r="D28" s="216" t="n">
        <f aca="false">C28/12</f>
        <v>14166.6666666667</v>
      </c>
      <c r="E28" s="217" t="n">
        <v>2</v>
      </c>
      <c r="F28" s="215" t="s">
        <v>620</v>
      </c>
      <c r="G28" s="217" t="s">
        <v>568</v>
      </c>
      <c r="H28" s="218" t="n">
        <v>0</v>
      </c>
      <c r="I28" s="218" t="n">
        <v>0</v>
      </c>
      <c r="J28" s="215" t="s">
        <v>635</v>
      </c>
      <c r="K28" s="217"/>
      <c r="L28" s="215" t="s">
        <v>622</v>
      </c>
      <c r="M28" s="215"/>
      <c r="N28" s="215"/>
      <c r="O28" s="215" t="s">
        <v>620</v>
      </c>
      <c r="P28" s="215" t="s">
        <v>647</v>
      </c>
      <c r="Q28" s="1" t="s">
        <v>568</v>
      </c>
    </row>
    <row r="29" customFormat="false" ht="13.5" hidden="false" customHeight="true" outlineLevel="0" collapsed="false">
      <c r="A29" s="110" t="s">
        <v>655</v>
      </c>
      <c r="B29" s="110" t="s">
        <v>646</v>
      </c>
      <c r="C29" s="213" t="n">
        <v>170000</v>
      </c>
      <c r="D29" s="213" t="n">
        <f aca="false">C29/12</f>
        <v>14166.6666666667</v>
      </c>
      <c r="E29" s="182" t="n">
        <v>4</v>
      </c>
      <c r="F29" s="110" t="s">
        <v>620</v>
      </c>
      <c r="G29" s="182" t="s">
        <v>568</v>
      </c>
      <c r="H29" s="214" t="n">
        <v>0</v>
      </c>
      <c r="I29" s="214" t="n">
        <v>0</v>
      </c>
      <c r="J29" s="110" t="s">
        <v>635</v>
      </c>
      <c r="K29" s="182"/>
      <c r="L29" s="110" t="s">
        <v>622</v>
      </c>
      <c r="M29" s="110"/>
      <c r="N29" s="110"/>
      <c r="O29" s="110" t="s">
        <v>620</v>
      </c>
      <c r="P29" s="110" t="s">
        <v>647</v>
      </c>
      <c r="Q29" s="1" t="s">
        <v>568</v>
      </c>
    </row>
    <row r="30" customFormat="false" ht="13.5" hidden="false" customHeight="true" outlineLevel="0" collapsed="false">
      <c r="A30" s="215" t="s">
        <v>656</v>
      </c>
      <c r="B30" s="215" t="s">
        <v>646</v>
      </c>
      <c r="C30" s="216" t="n">
        <v>130000</v>
      </c>
      <c r="D30" s="216" t="n">
        <f aca="false">C30/12</f>
        <v>10833.3333333333</v>
      </c>
      <c r="E30" s="217" t="n">
        <v>5</v>
      </c>
      <c r="F30" s="215" t="s">
        <v>620</v>
      </c>
      <c r="G30" s="217" t="s">
        <v>568</v>
      </c>
      <c r="H30" s="218" t="n">
        <v>0</v>
      </c>
      <c r="I30" s="218" t="n">
        <v>0</v>
      </c>
      <c r="J30" s="215" t="s">
        <v>635</v>
      </c>
      <c r="K30" s="217"/>
      <c r="L30" s="215" t="s">
        <v>622</v>
      </c>
      <c r="M30" s="215"/>
      <c r="N30" s="215"/>
      <c r="O30" s="215" t="s">
        <v>620</v>
      </c>
      <c r="P30" s="215" t="s">
        <v>647</v>
      </c>
      <c r="Q30" s="1" t="s">
        <v>568</v>
      </c>
    </row>
    <row r="31" customFormat="false" ht="13.5" hidden="false" customHeight="true" outlineLevel="0" collapsed="false">
      <c r="A31" s="110" t="s">
        <v>657</v>
      </c>
      <c r="B31" s="110" t="s">
        <v>646</v>
      </c>
      <c r="C31" s="213" t="n">
        <v>160000</v>
      </c>
      <c r="D31" s="213" t="n">
        <f aca="false">C31/12</f>
        <v>13333.3333333333</v>
      </c>
      <c r="E31" s="182" t="n">
        <v>6</v>
      </c>
      <c r="F31" s="110" t="s">
        <v>620</v>
      </c>
      <c r="G31" s="182" t="s">
        <v>568</v>
      </c>
      <c r="H31" s="214" t="n">
        <v>0</v>
      </c>
      <c r="I31" s="214" t="n">
        <v>0</v>
      </c>
      <c r="J31" s="110" t="s">
        <v>635</v>
      </c>
      <c r="K31" s="182"/>
      <c r="L31" s="110" t="s">
        <v>622</v>
      </c>
      <c r="M31" s="110" t="s">
        <v>15</v>
      </c>
      <c r="N31" s="110" t="s">
        <v>658</v>
      </c>
      <c r="O31" s="110" t="s">
        <v>620</v>
      </c>
      <c r="P31" s="110" t="s">
        <v>647</v>
      </c>
      <c r="Q31" s="1" t="s">
        <v>567</v>
      </c>
    </row>
    <row r="32" customFormat="false" ht="13.5" hidden="false" customHeight="true" outlineLevel="0" collapsed="false">
      <c r="A32" s="215" t="s">
        <v>659</v>
      </c>
      <c r="B32" s="215" t="s">
        <v>660</v>
      </c>
      <c r="C32" s="216" t="n">
        <v>75000</v>
      </c>
      <c r="D32" s="216" t="n">
        <f aca="false">C32/12</f>
        <v>6250</v>
      </c>
      <c r="E32" s="217" t="n">
        <v>1</v>
      </c>
      <c r="F32" s="215" t="s">
        <v>620</v>
      </c>
      <c r="G32" s="217" t="s">
        <v>568</v>
      </c>
      <c r="H32" s="218" t="n">
        <v>0</v>
      </c>
      <c r="I32" s="218" t="n">
        <v>0</v>
      </c>
      <c r="J32" s="215" t="s">
        <v>635</v>
      </c>
      <c r="K32" s="217"/>
      <c r="L32" s="215" t="s">
        <v>622</v>
      </c>
      <c r="M32" s="215"/>
      <c r="N32" s="215"/>
      <c r="O32" s="215" t="s">
        <v>620</v>
      </c>
      <c r="P32" s="215" t="s">
        <v>642</v>
      </c>
      <c r="Q32" s="1" t="s">
        <v>568</v>
      </c>
    </row>
    <row r="33" customFormat="false" ht="13.5" hidden="false" customHeight="true" outlineLevel="0" collapsed="false">
      <c r="A33" s="110" t="s">
        <v>661</v>
      </c>
      <c r="B33" s="110" t="s">
        <v>641</v>
      </c>
      <c r="C33" s="213" t="n">
        <v>105000</v>
      </c>
      <c r="D33" s="213" t="n">
        <f aca="false">C33/12</f>
        <v>8750</v>
      </c>
      <c r="E33" s="182" t="n">
        <v>3</v>
      </c>
      <c r="F33" s="110" t="s">
        <v>620</v>
      </c>
      <c r="G33" s="182" t="s">
        <v>568</v>
      </c>
      <c r="H33" s="214" t="n">
        <v>0</v>
      </c>
      <c r="I33" s="214" t="n">
        <v>0</v>
      </c>
      <c r="J33" s="110" t="s">
        <v>635</v>
      </c>
      <c r="K33" s="182"/>
      <c r="L33" s="110" t="s">
        <v>622</v>
      </c>
      <c r="M33" s="110"/>
      <c r="N33" s="110"/>
      <c r="O33" s="110" t="s">
        <v>620</v>
      </c>
      <c r="P33" s="110" t="s">
        <v>642</v>
      </c>
      <c r="Q33" s="1" t="s">
        <v>568</v>
      </c>
    </row>
    <row r="34" customFormat="false" ht="13.5" hidden="false" customHeight="true" outlineLevel="0" collapsed="false">
      <c r="A34" s="215" t="s">
        <v>662</v>
      </c>
      <c r="B34" s="215" t="s">
        <v>663</v>
      </c>
      <c r="C34" s="216" t="n">
        <v>62400</v>
      </c>
      <c r="D34" s="216" t="n">
        <f aca="false">C34/12</f>
        <v>5200</v>
      </c>
      <c r="E34" s="217" t="n">
        <v>1</v>
      </c>
      <c r="F34" s="215" t="s">
        <v>620</v>
      </c>
      <c r="G34" s="217" t="s">
        <v>568</v>
      </c>
      <c r="H34" s="218" t="n">
        <v>0</v>
      </c>
      <c r="I34" s="218" t="n">
        <v>0</v>
      </c>
      <c r="J34" s="215" t="s">
        <v>635</v>
      </c>
      <c r="K34" s="217"/>
      <c r="L34" s="215" t="s">
        <v>622</v>
      </c>
      <c r="M34" s="215"/>
      <c r="N34" s="215"/>
      <c r="O34" s="215" t="s">
        <v>620</v>
      </c>
      <c r="P34" s="215" t="s">
        <v>664</v>
      </c>
      <c r="Q34" s="1" t="s">
        <v>568</v>
      </c>
    </row>
    <row r="35" customFormat="false" ht="13.5" hidden="false" customHeight="true" outlineLevel="0" collapsed="false">
      <c r="A35" s="110" t="s">
        <v>665</v>
      </c>
      <c r="B35" s="110" t="s">
        <v>666</v>
      </c>
      <c r="C35" s="213" t="n">
        <v>115000</v>
      </c>
      <c r="D35" s="213" t="n">
        <f aca="false">C35/12</f>
        <v>9583.33333333333</v>
      </c>
      <c r="E35" s="182" t="n">
        <v>1</v>
      </c>
      <c r="F35" s="110" t="s">
        <v>620</v>
      </c>
      <c r="G35" s="182" t="s">
        <v>568</v>
      </c>
      <c r="H35" s="214" t="n">
        <v>0</v>
      </c>
      <c r="I35" s="214" t="n">
        <v>0</v>
      </c>
      <c r="J35" s="110" t="s">
        <v>635</v>
      </c>
      <c r="K35" s="182"/>
      <c r="L35" s="110" t="s">
        <v>622</v>
      </c>
      <c r="M35" s="110"/>
      <c r="N35" s="110"/>
      <c r="O35" s="110" t="s">
        <v>620</v>
      </c>
      <c r="P35" s="110" t="s">
        <v>667</v>
      </c>
      <c r="Q35" s="1" t="s">
        <v>568</v>
      </c>
    </row>
    <row r="36" customFormat="false" ht="13.5" hidden="false" customHeight="true" outlineLevel="0" collapsed="false">
      <c r="A36" s="215" t="s">
        <v>668</v>
      </c>
      <c r="B36" s="215" t="s">
        <v>669</v>
      </c>
      <c r="C36" s="216" t="n">
        <v>69992</v>
      </c>
      <c r="D36" s="216" t="n">
        <f aca="false">C36/12</f>
        <v>5832.66666666667</v>
      </c>
      <c r="E36" s="217" t="n">
        <v>1</v>
      </c>
      <c r="F36" s="215" t="s">
        <v>620</v>
      </c>
      <c r="G36" s="217" t="s">
        <v>568</v>
      </c>
      <c r="H36" s="218" t="n">
        <v>0</v>
      </c>
      <c r="I36" s="218" t="n">
        <v>0</v>
      </c>
      <c r="J36" s="215" t="s">
        <v>635</v>
      </c>
      <c r="K36" s="217"/>
      <c r="L36" s="215" t="s">
        <v>622</v>
      </c>
      <c r="M36" s="215"/>
      <c r="N36" s="215"/>
      <c r="O36" s="215" t="s">
        <v>620</v>
      </c>
      <c r="P36" s="215" t="s">
        <v>670</v>
      </c>
      <c r="Q36" s="1" t="s">
        <v>568</v>
      </c>
    </row>
    <row r="37" customFormat="false" ht="13.5" hidden="false" customHeight="true" outlineLevel="0" collapsed="false">
      <c r="A37" s="110" t="s">
        <v>671</v>
      </c>
      <c r="B37" s="110" t="s">
        <v>669</v>
      </c>
      <c r="C37" s="213" t="n">
        <v>52000</v>
      </c>
      <c r="D37" s="213" t="n">
        <f aca="false">C37/12</f>
        <v>4333.33333333333</v>
      </c>
      <c r="E37" s="182" t="n">
        <v>1</v>
      </c>
      <c r="F37" s="110" t="s">
        <v>620</v>
      </c>
      <c r="G37" s="182" t="s">
        <v>568</v>
      </c>
      <c r="H37" s="214" t="n">
        <v>0</v>
      </c>
      <c r="I37" s="214" t="n">
        <v>0</v>
      </c>
      <c r="J37" s="110" t="s">
        <v>635</v>
      </c>
      <c r="K37" s="182"/>
      <c r="L37" s="110" t="s">
        <v>622</v>
      </c>
      <c r="M37" s="110"/>
      <c r="N37" s="110"/>
      <c r="O37" s="110" t="s">
        <v>620</v>
      </c>
      <c r="P37" s="110" t="s">
        <v>670</v>
      </c>
      <c r="Q37" s="1" t="s">
        <v>568</v>
      </c>
    </row>
    <row r="38" customFormat="false" ht="13.5" hidden="false" customHeight="true" outlineLevel="0" collapsed="false">
      <c r="A38" s="215" t="s">
        <v>672</v>
      </c>
      <c r="B38" s="215" t="s">
        <v>673</v>
      </c>
      <c r="C38" s="216" t="n">
        <v>43680</v>
      </c>
      <c r="D38" s="216" t="n">
        <f aca="false">C38/12</f>
        <v>3640</v>
      </c>
      <c r="E38" s="217" t="n">
        <v>1</v>
      </c>
      <c r="F38" s="215" t="s">
        <v>620</v>
      </c>
      <c r="G38" s="217" t="s">
        <v>568</v>
      </c>
      <c r="H38" s="218" t="n">
        <v>0</v>
      </c>
      <c r="I38" s="218" t="n">
        <v>0</v>
      </c>
      <c r="J38" s="215" t="s">
        <v>635</v>
      </c>
      <c r="K38" s="217"/>
      <c r="L38" s="215" t="s">
        <v>622</v>
      </c>
      <c r="M38" s="215"/>
      <c r="N38" s="215"/>
      <c r="O38" s="215" t="s">
        <v>620</v>
      </c>
      <c r="P38" s="215" t="s">
        <v>670</v>
      </c>
      <c r="Q38" s="1" t="s">
        <v>568</v>
      </c>
    </row>
    <row r="40" customFormat="false" ht="13.5" hidden="false" customHeight="true" outlineLevel="0" collapsed="false">
      <c r="A40" s="211" t="s">
        <v>674</v>
      </c>
      <c r="B40" s="212"/>
      <c r="C40" s="212"/>
      <c r="D40" s="212"/>
      <c r="E40" s="212"/>
      <c r="F40" s="212"/>
      <c r="G40" s="212"/>
      <c r="H40" s="212"/>
      <c r="I40" s="212"/>
      <c r="J40" s="212"/>
      <c r="K40" s="212"/>
      <c r="L40" s="212"/>
      <c r="M40" s="212"/>
      <c r="N40" s="212"/>
      <c r="O40" s="212"/>
      <c r="P40" s="212"/>
    </row>
    <row r="41" customFormat="false" ht="13.5" hidden="false" customHeight="true" outlineLevel="0" collapsed="false">
      <c r="A41" s="110" t="s">
        <v>675</v>
      </c>
      <c r="B41" s="110" t="s">
        <v>649</v>
      </c>
      <c r="C41" s="213" t="n">
        <v>90000</v>
      </c>
      <c r="D41" s="213" t="n">
        <f aca="false">C41/12</f>
        <v>7500</v>
      </c>
      <c r="E41" s="182" t="n">
        <v>10</v>
      </c>
      <c r="F41" s="110" t="s">
        <v>620</v>
      </c>
      <c r="G41" s="182" t="s">
        <v>568</v>
      </c>
      <c r="H41" s="214" t="n">
        <v>0</v>
      </c>
      <c r="I41" s="214" t="n">
        <v>0</v>
      </c>
      <c r="J41" s="110" t="s">
        <v>635</v>
      </c>
      <c r="K41" s="182"/>
      <c r="L41" s="110" t="s">
        <v>676</v>
      </c>
      <c r="M41" s="110" t="s">
        <v>677</v>
      </c>
      <c r="N41" s="110" t="s">
        <v>678</v>
      </c>
      <c r="O41" s="110" t="s">
        <v>620</v>
      </c>
      <c r="P41" s="110" t="s">
        <v>650</v>
      </c>
      <c r="Q41" s="1" t="s">
        <v>568</v>
      </c>
    </row>
    <row r="43" customFormat="false" ht="13.5" hidden="false" customHeight="true" outlineLevel="0" collapsed="false">
      <c r="A43" s="211" t="s">
        <v>679</v>
      </c>
      <c r="B43" s="212"/>
      <c r="C43" s="212"/>
      <c r="D43" s="212"/>
      <c r="E43" s="212"/>
      <c r="F43" s="212"/>
      <c r="G43" s="212"/>
      <c r="H43" s="212"/>
      <c r="I43" s="212"/>
      <c r="J43" s="212"/>
      <c r="K43" s="212"/>
      <c r="L43" s="212"/>
      <c r="M43" s="212"/>
      <c r="N43" s="212"/>
      <c r="O43" s="212"/>
      <c r="P43" s="212"/>
    </row>
    <row r="44" customFormat="false" ht="13.5" hidden="false" customHeight="true" outlineLevel="0" collapsed="false">
      <c r="A44" s="110" t="s">
        <v>680</v>
      </c>
      <c r="B44" s="110" t="s">
        <v>681</v>
      </c>
      <c r="C44" s="213" t="n">
        <v>400000</v>
      </c>
      <c r="D44" s="213" t="n">
        <f aca="false">C44/12</f>
        <v>33333.3333333333</v>
      </c>
      <c r="E44" s="182" t="n">
        <v>1</v>
      </c>
      <c r="F44" s="110" t="s">
        <v>682</v>
      </c>
      <c r="G44" s="182" t="s">
        <v>568</v>
      </c>
      <c r="H44" s="214" t="n">
        <v>1</v>
      </c>
      <c r="I44" s="214" t="n">
        <v>0</v>
      </c>
      <c r="J44" s="110" t="s">
        <v>683</v>
      </c>
      <c r="K44" s="182"/>
      <c r="L44" s="110" t="s">
        <v>622</v>
      </c>
      <c r="M44" s="110"/>
      <c r="N44" s="110"/>
      <c r="O44" s="110" t="s">
        <v>684</v>
      </c>
      <c r="P44" s="110" t="s">
        <v>683</v>
      </c>
      <c r="Q44" s="1" t="s">
        <v>568</v>
      </c>
    </row>
    <row r="45" customFormat="false" ht="13.5" hidden="false" customHeight="true" outlineLevel="0" collapsed="false">
      <c r="A45" s="215" t="s">
        <v>685</v>
      </c>
      <c r="B45" s="215" t="s">
        <v>681</v>
      </c>
      <c r="C45" s="216" t="n">
        <v>400000</v>
      </c>
      <c r="D45" s="216" t="n">
        <f aca="false">C45/12</f>
        <v>33333.3333333333</v>
      </c>
      <c r="E45" s="217" t="n">
        <v>1</v>
      </c>
      <c r="F45" s="215" t="s">
        <v>682</v>
      </c>
      <c r="G45" s="217" t="s">
        <v>568</v>
      </c>
      <c r="H45" s="218" t="n">
        <v>1</v>
      </c>
      <c r="I45" s="218" t="n">
        <v>0</v>
      </c>
      <c r="J45" s="215" t="s">
        <v>683</v>
      </c>
      <c r="K45" s="217"/>
      <c r="L45" s="215" t="s">
        <v>622</v>
      </c>
      <c r="M45" s="215"/>
      <c r="N45" s="215"/>
      <c r="O45" s="215" t="s">
        <v>684</v>
      </c>
      <c r="P45" s="215" t="s">
        <v>683</v>
      </c>
      <c r="Q45" s="1" t="s">
        <v>568</v>
      </c>
    </row>
    <row r="46" customFormat="false" ht="13.5" hidden="false" customHeight="true" outlineLevel="0" collapsed="false">
      <c r="A46" s="110" t="s">
        <v>686</v>
      </c>
      <c r="B46" s="110" t="s">
        <v>687</v>
      </c>
      <c r="C46" s="213" t="n">
        <v>222000</v>
      </c>
      <c r="D46" s="213" t="n">
        <f aca="false">C46/12</f>
        <v>18500</v>
      </c>
      <c r="E46" s="182" t="n">
        <v>1</v>
      </c>
      <c r="F46" s="110" t="s">
        <v>682</v>
      </c>
      <c r="G46" s="182" t="s">
        <v>568</v>
      </c>
      <c r="H46" s="214" t="n">
        <v>1</v>
      </c>
      <c r="I46" s="214" t="n">
        <v>0</v>
      </c>
      <c r="J46" s="110" t="s">
        <v>683</v>
      </c>
      <c r="K46" s="182"/>
      <c r="L46" s="110" t="s">
        <v>622</v>
      </c>
      <c r="M46" s="110"/>
      <c r="N46" s="110"/>
      <c r="O46" s="110" t="s">
        <v>688</v>
      </c>
      <c r="P46" s="110" t="s">
        <v>683</v>
      </c>
      <c r="Q46" s="1" t="s">
        <v>568</v>
      </c>
    </row>
    <row r="47" customFormat="false" ht="13.5" hidden="false" customHeight="true" outlineLevel="0" collapsed="false">
      <c r="A47" s="215" t="s">
        <v>689</v>
      </c>
      <c r="B47" s="215" t="s">
        <v>690</v>
      </c>
      <c r="C47" s="216" t="n">
        <v>115000</v>
      </c>
      <c r="D47" s="216" t="n">
        <f aca="false">C47/12</f>
        <v>9583.33333333333</v>
      </c>
      <c r="E47" s="217" t="n">
        <v>1</v>
      </c>
      <c r="F47" s="215" t="s">
        <v>682</v>
      </c>
      <c r="G47" s="217" t="s">
        <v>568</v>
      </c>
      <c r="H47" s="218" t="n">
        <v>1</v>
      </c>
      <c r="I47" s="218" t="n">
        <v>0</v>
      </c>
      <c r="J47" s="215" t="s">
        <v>683</v>
      </c>
      <c r="K47" s="217"/>
      <c r="L47" s="215" t="s">
        <v>622</v>
      </c>
      <c r="M47" s="215"/>
      <c r="N47" s="215"/>
      <c r="O47" s="215" t="s">
        <v>688</v>
      </c>
      <c r="P47" s="215" t="s">
        <v>683</v>
      </c>
      <c r="Q47" s="1" t="s">
        <v>568</v>
      </c>
    </row>
    <row r="48" customFormat="false" ht="13.5" hidden="false" customHeight="true" outlineLevel="0" collapsed="false">
      <c r="A48" s="110" t="s">
        <v>691</v>
      </c>
      <c r="B48" s="110" t="s">
        <v>692</v>
      </c>
      <c r="C48" s="213" t="n">
        <v>250000</v>
      </c>
      <c r="D48" s="213" t="n">
        <f aca="false">C48/12</f>
        <v>20833.3333333333</v>
      </c>
      <c r="E48" s="182" t="n">
        <v>1</v>
      </c>
      <c r="F48" s="110" t="s">
        <v>682</v>
      </c>
      <c r="G48" s="182" t="s">
        <v>568</v>
      </c>
      <c r="H48" s="214" t="n">
        <v>0</v>
      </c>
      <c r="I48" s="214" t="n">
        <v>0</v>
      </c>
      <c r="J48" s="110" t="s">
        <v>683</v>
      </c>
      <c r="K48" s="182"/>
      <c r="L48" s="110" t="s">
        <v>622</v>
      </c>
      <c r="M48" s="110"/>
      <c r="N48" s="110"/>
      <c r="O48" s="110" t="s">
        <v>693</v>
      </c>
      <c r="P48" s="110" t="s">
        <v>683</v>
      </c>
      <c r="Q48" s="1" t="s">
        <v>568</v>
      </c>
    </row>
    <row r="49" customFormat="false" ht="13.5" hidden="false" customHeight="true" outlineLevel="0" collapsed="false">
      <c r="A49" s="215" t="s">
        <v>694</v>
      </c>
      <c r="B49" s="215" t="s">
        <v>695</v>
      </c>
      <c r="C49" s="216" t="n">
        <v>150000</v>
      </c>
      <c r="D49" s="216" t="n">
        <f aca="false">C49/12</f>
        <v>12500</v>
      </c>
      <c r="E49" s="217" t="n">
        <v>1</v>
      </c>
      <c r="F49" s="215" t="s">
        <v>682</v>
      </c>
      <c r="G49" s="217" t="s">
        <v>568</v>
      </c>
      <c r="H49" s="218" t="n">
        <v>0</v>
      </c>
      <c r="I49" s="218" t="n">
        <v>0</v>
      </c>
      <c r="J49" s="215" t="s">
        <v>683</v>
      </c>
      <c r="K49" s="217"/>
      <c r="L49" s="215" t="s">
        <v>622</v>
      </c>
      <c r="M49" s="215"/>
      <c r="N49" s="215"/>
      <c r="O49" s="215" t="s">
        <v>693</v>
      </c>
      <c r="P49" s="215" t="s">
        <v>683</v>
      </c>
      <c r="Q49" s="1" t="s">
        <v>568</v>
      </c>
    </row>
    <row r="50" customFormat="false" ht="13.5" hidden="false" customHeight="true" outlineLevel="0" collapsed="false">
      <c r="A50" s="110" t="s">
        <v>696</v>
      </c>
      <c r="B50" s="110" t="s">
        <v>697</v>
      </c>
      <c r="C50" s="213" t="n">
        <v>250000</v>
      </c>
      <c r="D50" s="213" t="n">
        <f aca="false">C50/12</f>
        <v>20833.3333333333</v>
      </c>
      <c r="E50" s="182" t="n">
        <v>1</v>
      </c>
      <c r="F50" s="110" t="s">
        <v>682</v>
      </c>
      <c r="G50" s="182" t="s">
        <v>568</v>
      </c>
      <c r="H50" s="214" t="n">
        <v>0</v>
      </c>
      <c r="I50" s="214" t="n">
        <v>0</v>
      </c>
      <c r="J50" s="110" t="s">
        <v>683</v>
      </c>
      <c r="K50" s="182"/>
      <c r="L50" s="110" t="s">
        <v>622</v>
      </c>
      <c r="M50" s="110"/>
      <c r="N50" s="110"/>
      <c r="O50" s="110" t="s">
        <v>693</v>
      </c>
      <c r="P50" s="110" t="s">
        <v>683</v>
      </c>
      <c r="Q50" s="1" t="s">
        <v>568</v>
      </c>
    </row>
    <row r="52" customFormat="false" ht="13.5" hidden="false" customHeight="true" outlineLevel="0" collapsed="false">
      <c r="A52" s="211" t="s">
        <v>698</v>
      </c>
      <c r="B52" s="212"/>
      <c r="C52" s="212"/>
      <c r="D52" s="212"/>
      <c r="E52" s="212"/>
      <c r="F52" s="212"/>
      <c r="G52" s="212"/>
      <c r="H52" s="212"/>
      <c r="I52" s="212"/>
      <c r="J52" s="212"/>
      <c r="K52" s="212"/>
      <c r="L52" s="212"/>
      <c r="M52" s="212"/>
      <c r="N52" s="212"/>
      <c r="O52" s="212"/>
      <c r="P52" s="212"/>
    </row>
    <row r="53" customFormat="false" ht="13.5" hidden="false" customHeight="true" outlineLevel="0" collapsed="false">
      <c r="A53" s="110" t="s">
        <v>699</v>
      </c>
      <c r="B53" s="110" t="s">
        <v>700</v>
      </c>
      <c r="C53" s="213" t="n">
        <v>125000</v>
      </c>
      <c r="D53" s="213" t="n">
        <f aca="false">C53/12</f>
        <v>10416.6666666667</v>
      </c>
      <c r="E53" s="182" t="n">
        <v>2</v>
      </c>
      <c r="F53" s="110" t="s">
        <v>620</v>
      </c>
      <c r="G53" s="182" t="s">
        <v>568</v>
      </c>
      <c r="H53" s="214" t="n">
        <v>0</v>
      </c>
      <c r="I53" s="214" t="n">
        <v>0</v>
      </c>
      <c r="J53" s="110" t="s">
        <v>635</v>
      </c>
      <c r="K53" s="182" t="n">
        <v>4</v>
      </c>
      <c r="L53" s="110" t="s">
        <v>701</v>
      </c>
      <c r="M53" s="110"/>
      <c r="N53" s="110" t="s">
        <v>702</v>
      </c>
      <c r="O53" s="110" t="s">
        <v>620</v>
      </c>
      <c r="P53" s="110" t="s">
        <v>667</v>
      </c>
      <c r="Q53" s="1" t="s">
        <v>568</v>
      </c>
    </row>
    <row r="54" customFormat="false" ht="13.5" hidden="false" customHeight="true" outlineLevel="0" collapsed="false">
      <c r="A54" s="215" t="s">
        <v>703</v>
      </c>
      <c r="B54" s="215" t="s">
        <v>704</v>
      </c>
      <c r="C54" s="216" t="n">
        <v>110000</v>
      </c>
      <c r="D54" s="216" t="n">
        <f aca="false">C54/12</f>
        <v>9166.66666666667</v>
      </c>
      <c r="E54" s="217" t="n">
        <v>1</v>
      </c>
      <c r="F54" s="215" t="s">
        <v>620</v>
      </c>
      <c r="G54" s="217" t="s">
        <v>568</v>
      </c>
      <c r="H54" s="218" t="n">
        <v>0</v>
      </c>
      <c r="I54" s="218" t="n">
        <v>0</v>
      </c>
      <c r="J54" s="215" t="s">
        <v>635</v>
      </c>
      <c r="K54" s="217" t="n">
        <v>4</v>
      </c>
      <c r="L54" s="215" t="s">
        <v>701</v>
      </c>
      <c r="M54" s="215"/>
      <c r="N54" s="215" t="s">
        <v>702</v>
      </c>
      <c r="O54" s="215" t="s">
        <v>620</v>
      </c>
      <c r="P54" s="215" t="s">
        <v>647</v>
      </c>
      <c r="Q54" s="1" t="s">
        <v>568</v>
      </c>
    </row>
    <row r="56" customFormat="false" ht="13.5" hidden="false" customHeight="true" outlineLevel="0" collapsed="false">
      <c r="A56" s="211" t="s">
        <v>705</v>
      </c>
      <c r="B56" s="212"/>
      <c r="C56" s="212"/>
      <c r="D56" s="212"/>
      <c r="E56" s="212"/>
      <c r="F56" s="212"/>
      <c r="G56" s="212"/>
      <c r="H56" s="212"/>
      <c r="I56" s="212"/>
      <c r="J56" s="212"/>
      <c r="K56" s="212"/>
      <c r="L56" s="212"/>
      <c r="M56" s="212"/>
      <c r="N56" s="212"/>
      <c r="O56" s="212"/>
      <c r="P56" s="212"/>
    </row>
    <row r="57" customFormat="false" ht="13.5" hidden="false" customHeight="true" outlineLevel="0" collapsed="false">
      <c r="A57" s="215" t="s">
        <v>706</v>
      </c>
      <c r="B57" s="215" t="s">
        <v>641</v>
      </c>
      <c r="C57" s="216" t="n">
        <v>120000</v>
      </c>
      <c r="D57" s="216" t="n">
        <f aca="false">C57/12</f>
        <v>10000</v>
      </c>
      <c r="E57" s="217" t="n">
        <v>5</v>
      </c>
      <c r="F57" s="215" t="s">
        <v>620</v>
      </c>
      <c r="G57" s="217" t="s">
        <v>568</v>
      </c>
      <c r="H57" s="218" t="n">
        <v>0</v>
      </c>
      <c r="I57" s="218" t="n">
        <v>0</v>
      </c>
      <c r="J57" s="215" t="s">
        <v>635</v>
      </c>
      <c r="K57" s="217"/>
      <c r="L57" s="215" t="s">
        <v>622</v>
      </c>
      <c r="M57" s="215"/>
      <c r="N57" s="215" t="s">
        <v>707</v>
      </c>
      <c r="O57" s="215" t="s">
        <v>620</v>
      </c>
      <c r="P57" s="215" t="s">
        <v>642</v>
      </c>
      <c r="Q57" s="1" t="s">
        <v>567</v>
      </c>
    </row>
    <row r="58" customFormat="false" ht="13.5" hidden="false" customHeight="true" outlineLevel="0" collapsed="false">
      <c r="A58" s="215" t="s">
        <v>708</v>
      </c>
      <c r="B58" s="215" t="s">
        <v>666</v>
      </c>
      <c r="C58" s="216" t="n">
        <v>125000</v>
      </c>
      <c r="D58" s="216" t="n">
        <f aca="false">C58/12</f>
        <v>10416.6666666667</v>
      </c>
      <c r="E58" s="217" t="n">
        <v>6</v>
      </c>
      <c r="F58" s="215" t="s">
        <v>620</v>
      </c>
      <c r="G58" s="217" t="s">
        <v>568</v>
      </c>
      <c r="H58" s="218" t="n">
        <v>0</v>
      </c>
      <c r="I58" s="218" t="n">
        <v>0</v>
      </c>
      <c r="J58" s="215" t="s">
        <v>635</v>
      </c>
      <c r="K58" s="217"/>
      <c r="L58" s="215" t="s">
        <v>622</v>
      </c>
      <c r="M58" s="215"/>
      <c r="N58" s="215" t="s">
        <v>707</v>
      </c>
      <c r="O58" s="215" t="s">
        <v>620</v>
      </c>
      <c r="P58" s="215" t="s">
        <v>667</v>
      </c>
      <c r="Q58" s="1" t="s">
        <v>567</v>
      </c>
    </row>
    <row r="59" customFormat="false" ht="13.5" hidden="false" customHeight="true" outlineLevel="0" collapsed="false">
      <c r="A59" s="110"/>
      <c r="B59" s="110"/>
      <c r="C59" s="213"/>
      <c r="D59" s="213"/>
      <c r="E59" s="182"/>
      <c r="F59" s="110"/>
      <c r="G59" s="182"/>
      <c r="H59" s="214"/>
      <c r="I59" s="214"/>
      <c r="J59" s="110"/>
      <c r="K59" s="182"/>
      <c r="L59" s="110"/>
      <c r="M59" s="110"/>
      <c r="N59" s="110"/>
      <c r="O59" s="110"/>
      <c r="P59" s="110"/>
    </row>
    <row r="60" customFormat="false" ht="13.5" hidden="false" customHeight="true" outlineLevel="0" collapsed="false">
      <c r="A60" s="215"/>
      <c r="B60" s="215"/>
      <c r="C60" s="216"/>
      <c r="D60" s="216"/>
      <c r="E60" s="217"/>
      <c r="F60" s="215"/>
      <c r="G60" s="217"/>
      <c r="H60" s="218"/>
      <c r="I60" s="218"/>
      <c r="J60" s="215"/>
      <c r="K60" s="217"/>
      <c r="L60" s="215"/>
      <c r="M60" s="215"/>
      <c r="N60" s="215"/>
      <c r="O60" s="215"/>
      <c r="P60" s="215"/>
    </row>
    <row r="61" customFormat="false" ht="13.5" hidden="false" customHeight="true" outlineLevel="0" collapsed="false">
      <c r="A61" s="110"/>
      <c r="B61" s="110"/>
      <c r="C61" s="213"/>
      <c r="D61" s="213"/>
      <c r="E61" s="182"/>
      <c r="F61" s="110"/>
      <c r="G61" s="182"/>
      <c r="H61" s="214"/>
      <c r="I61" s="214"/>
      <c r="J61" s="110"/>
      <c r="K61" s="182"/>
      <c r="L61" s="110"/>
      <c r="M61" s="110"/>
      <c r="N61" s="110"/>
      <c r="O61" s="110"/>
      <c r="P61" s="110"/>
    </row>
    <row r="62" customFormat="false" ht="13.5" hidden="false" customHeight="true" outlineLevel="0" collapsed="false">
      <c r="A62" s="215"/>
      <c r="B62" s="215"/>
      <c r="C62" s="216"/>
      <c r="D62" s="216"/>
      <c r="E62" s="217"/>
      <c r="F62" s="215"/>
      <c r="G62" s="217"/>
      <c r="H62" s="218"/>
      <c r="I62" s="218"/>
      <c r="J62" s="215"/>
      <c r="K62" s="217"/>
      <c r="L62" s="215"/>
      <c r="M62" s="215"/>
      <c r="N62" s="215"/>
      <c r="O62" s="215"/>
      <c r="P62" s="215"/>
    </row>
    <row r="63" customFormat="false" ht="13.5" hidden="false" customHeight="true" outlineLevel="0" collapsed="false">
      <c r="A63" s="110"/>
      <c r="B63" s="110"/>
      <c r="C63" s="213"/>
      <c r="D63" s="213"/>
      <c r="E63" s="182"/>
      <c r="F63" s="110"/>
      <c r="G63" s="182"/>
      <c r="H63" s="214"/>
      <c r="I63" s="214"/>
      <c r="J63" s="110"/>
      <c r="K63" s="182"/>
      <c r="L63" s="110"/>
      <c r="M63" s="110"/>
      <c r="N63" s="110"/>
      <c r="O63" s="110"/>
      <c r="P63" s="110"/>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CH11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109375" defaultRowHeight="13.5" zeroHeight="false" outlineLevelRow="0" outlineLevelCol="0"/>
  <cols>
    <col collapsed="false" customWidth="true" hidden="false" outlineLevel="0" max="1" min="1" style="1" width="40"/>
    <col collapsed="false" customWidth="true" hidden="false" outlineLevel="0" max="86" min="2" style="1" width="27"/>
  </cols>
  <sheetData>
    <row r="1" customFormat="false" ht="15" hidden="false" customHeight="true" outlineLevel="0" collapsed="false">
      <c r="A1" s="97" t="s">
        <v>709</v>
      </c>
    </row>
    <row r="2" customFormat="false" ht="15" hidden="false" customHeight="true" outlineLevel="0" collapsed="false">
      <c r="A2" s="90" t="s">
        <v>552</v>
      </c>
      <c r="B2" s="97" t="s">
        <v>568</v>
      </c>
    </row>
    <row r="4" customFormat="false" ht="15" hidden="false" customHeight="true" outlineLevel="0" collapsed="false">
      <c r="A4" s="189" t="s">
        <v>710</v>
      </c>
      <c r="B4" s="189"/>
      <c r="C4" s="189"/>
      <c r="D4" s="189"/>
      <c r="E4" s="189"/>
      <c r="F4" s="189"/>
      <c r="G4" s="189"/>
      <c r="H4" s="189"/>
      <c r="I4" s="189"/>
      <c r="J4" s="189"/>
      <c r="K4" s="189"/>
    </row>
    <row r="5" customFormat="false" ht="15" hidden="false" customHeight="true" outlineLevel="0" collapsed="false">
      <c r="A5" s="90" t="s">
        <v>711</v>
      </c>
      <c r="B5" s="90" t="s">
        <v>709</v>
      </c>
    </row>
    <row r="6" customFormat="false" ht="15" hidden="false" customHeight="true" outlineLevel="0" collapsed="false">
      <c r="A6" s="90" t="s">
        <v>712</v>
      </c>
      <c r="B6" s="90" t="s">
        <v>713</v>
      </c>
    </row>
    <row r="7" customFormat="false" ht="15" hidden="false" customHeight="true" outlineLevel="0" collapsed="false">
      <c r="A7" s="90" t="s">
        <v>714</v>
      </c>
      <c r="B7" s="219" t="n">
        <v>60</v>
      </c>
    </row>
    <row r="8" customFormat="false" ht="15" hidden="false" customHeight="true" outlineLevel="0" collapsed="false">
      <c r="A8" s="90" t="s">
        <v>715</v>
      </c>
      <c r="B8" s="90" t="s">
        <v>716</v>
      </c>
    </row>
    <row r="9" customFormat="false" ht="15" hidden="false" customHeight="true" outlineLevel="0" collapsed="false">
      <c r="A9" s="90" t="s">
        <v>717</v>
      </c>
      <c r="B9" s="220" t="n">
        <v>1400000</v>
      </c>
    </row>
    <row r="10" customFormat="false" ht="15" hidden="false" customHeight="true" outlineLevel="0" collapsed="false">
      <c r="A10" s="90" t="s">
        <v>718</v>
      </c>
      <c r="B10" s="220" t="n">
        <v>1609391</v>
      </c>
    </row>
    <row r="11" customFormat="false" ht="15" hidden="false" customHeight="true" outlineLevel="0" collapsed="false">
      <c r="A11" s="90" t="s">
        <v>719</v>
      </c>
      <c r="B11" s="220" t="n">
        <v>3419763</v>
      </c>
    </row>
    <row r="12" customFormat="false" ht="15" hidden="false" customHeight="true" outlineLevel="0" collapsed="false">
      <c r="A12" s="90" t="s">
        <v>561</v>
      </c>
      <c r="B12" s="221" t="n">
        <f aca="false">B16</f>
        <v>9009665</v>
      </c>
    </row>
    <row r="14" customFormat="false" ht="15" hidden="false" customHeight="true" outlineLevel="0" collapsed="false">
      <c r="A14" s="222" t="s">
        <v>720</v>
      </c>
      <c r="B14" s="222"/>
      <c r="C14" s="222"/>
      <c r="D14" s="222"/>
      <c r="E14" s="222"/>
      <c r="F14" s="222"/>
      <c r="G14" s="222"/>
      <c r="H14" s="222"/>
      <c r="I14" s="222"/>
      <c r="J14" s="222"/>
      <c r="K14" s="222"/>
    </row>
    <row r="15" customFormat="false" ht="15" hidden="false" customHeight="true" outlineLevel="0" collapsed="false">
      <c r="B15" s="223" t="s">
        <v>472</v>
      </c>
      <c r="C15" s="223" t="s">
        <v>268</v>
      </c>
      <c r="D15" s="223" t="s">
        <v>269</v>
      </c>
      <c r="E15" s="223" t="s">
        <v>270</v>
      </c>
      <c r="F15" s="223" t="s">
        <v>271</v>
      </c>
      <c r="G15" s="223" t="s">
        <v>272</v>
      </c>
      <c r="H15" s="223" t="s">
        <v>273</v>
      </c>
      <c r="I15" s="223" t="s">
        <v>274</v>
      </c>
      <c r="J15" s="223" t="s">
        <v>275</v>
      </c>
    </row>
    <row r="16" customFormat="false" ht="15" hidden="false" customHeight="true" outlineLevel="0" collapsed="false">
      <c r="A16" s="90" t="s">
        <v>561</v>
      </c>
      <c r="B16" s="221" t="n">
        <f aca="false">C16+D16+E16+F16+G16+H16+I16+J16</f>
        <v>9009665</v>
      </c>
      <c r="C16" s="220" t="n">
        <f aca="false">SUM(C99:K99)</f>
        <v>0</v>
      </c>
      <c r="D16" s="220" t="n">
        <f aca="false">SUM(L99:W99)</f>
        <v>560818.2</v>
      </c>
      <c r="E16" s="220" t="n">
        <f aca="false">SUM(X99:AI99)</f>
        <v>3251765.36</v>
      </c>
      <c r="F16" s="220" t="n">
        <f aca="false">SUM(AJ99:AU99)</f>
        <v>2911623.7</v>
      </c>
      <c r="G16" s="220" t="n">
        <f aca="false">SUM(AV99:BG99)</f>
        <v>1523048.59</v>
      </c>
      <c r="H16" s="220" t="n">
        <f aca="false">SUM(BH99:BS99)</f>
        <v>762409.15</v>
      </c>
      <c r="I16" s="220" t="n">
        <f aca="false">SUM(BT99:CE99)</f>
        <v>0</v>
      </c>
      <c r="J16" s="220" t="n">
        <f aca="false">SUM(CF99:CH99)</f>
        <v>0</v>
      </c>
    </row>
    <row r="17" customFormat="false" ht="15" hidden="false" customHeight="true" outlineLevel="0" collapsed="false">
      <c r="A17" s="90" t="s">
        <v>721</v>
      </c>
      <c r="B17" s="221" t="n">
        <f aca="false">C17+D17+E17+F17+G17+H17+I17+J17</f>
        <v>-1500039</v>
      </c>
      <c r="C17" s="220" t="n">
        <f aca="false">SUM(C100:K100)</f>
        <v>0</v>
      </c>
      <c r="D17" s="220" t="n">
        <f aca="false">SUM(L100:W100)</f>
        <v>-120836</v>
      </c>
      <c r="E17" s="220" t="n">
        <f aca="false">SUM(X100:AI100)</f>
        <v>-366676</v>
      </c>
      <c r="F17" s="220" t="n">
        <f aca="false">SUM(AJ100:AU100)</f>
        <v>-450012</v>
      </c>
      <c r="G17" s="220" t="n">
        <f aca="false">SUM(AV100:BG100)</f>
        <v>-450012</v>
      </c>
      <c r="H17" s="220" t="n">
        <f aca="false">SUM(BH100:BS100)</f>
        <v>-112503</v>
      </c>
      <c r="I17" s="220" t="n">
        <f aca="false">SUM(BT100:CE100)</f>
        <v>0</v>
      </c>
      <c r="J17" s="220" t="n">
        <f aca="false">SUM(CF100:CH100)</f>
        <v>0</v>
      </c>
    </row>
    <row r="18" customFormat="false" ht="15" hidden="false" customHeight="true" outlineLevel="0" collapsed="false">
      <c r="A18" s="90" t="s">
        <v>722</v>
      </c>
      <c r="B18" s="221" t="n">
        <f aca="false">C18+D18+E18+F18+G18+H18+I18+J18</f>
        <v>-456000</v>
      </c>
      <c r="C18" s="220" t="n">
        <f aca="false">SUM(C101:K101)</f>
        <v>0</v>
      </c>
      <c r="D18" s="220" t="n">
        <f aca="false">SUM(L101:W101)</f>
        <v>-85500</v>
      </c>
      <c r="E18" s="220" t="n">
        <f aca="false">SUM(X101:AI101)</f>
        <v>-114000</v>
      </c>
      <c r="F18" s="220" t="n">
        <f aca="false">SUM(AJ101:AU101)</f>
        <v>-114000</v>
      </c>
      <c r="G18" s="220" t="n">
        <f aca="false">SUM(AV101:BG101)</f>
        <v>-114000</v>
      </c>
      <c r="H18" s="220" t="n">
        <f aca="false">SUM(BH101:BS101)</f>
        <v>-28500</v>
      </c>
      <c r="I18" s="220" t="n">
        <f aca="false">SUM(BT101:CE101)</f>
        <v>0</v>
      </c>
      <c r="J18" s="220" t="n">
        <f aca="false">SUM(CF101:CH101)</f>
        <v>0</v>
      </c>
    </row>
    <row r="19" customFormat="false" ht="15" hidden="false" customHeight="true" outlineLevel="0" collapsed="false">
      <c r="A19" s="224" t="s">
        <v>723</v>
      </c>
      <c r="B19" s="225" t="n">
        <f aca="false">C19+D19+E19+F19+G19+H19+I19+J19</f>
        <v>7053626</v>
      </c>
      <c r="C19" s="225" t="n">
        <f aca="false">SUM(C102:K102)</f>
        <v>0</v>
      </c>
      <c r="D19" s="225" t="n">
        <f aca="false">SUM(L102:W102)</f>
        <v>354482.2</v>
      </c>
      <c r="E19" s="225" t="n">
        <f aca="false">SUM(X102:AI102)</f>
        <v>2771089.36</v>
      </c>
      <c r="F19" s="225" t="n">
        <f aca="false">SUM(AJ102:AU102)</f>
        <v>2347611.7</v>
      </c>
      <c r="G19" s="225" t="n">
        <f aca="false">SUM(AV102:BG102)</f>
        <v>959036.59</v>
      </c>
      <c r="H19" s="225" t="n">
        <f aca="false">SUM(BH102:BS102)</f>
        <v>621406.15</v>
      </c>
      <c r="I19" s="225" t="n">
        <f aca="false">SUM(BT102:CE102)</f>
        <v>0</v>
      </c>
      <c r="J19" s="225" t="n">
        <f aca="false">SUM(CF102:CH102)</f>
        <v>0</v>
      </c>
    </row>
    <row r="20" customFormat="false" ht="15" hidden="false" customHeight="true" outlineLevel="0" collapsed="false">
      <c r="A20" s="90" t="s">
        <v>724</v>
      </c>
      <c r="B20" s="221" t="n">
        <f aca="false">C20+D20+E20+F20+G20+H20+I20+J20</f>
        <v>563192.617</v>
      </c>
      <c r="C20" s="220" t="n">
        <f aca="false">SUM(C103:K103)</f>
        <v>0</v>
      </c>
      <c r="D20" s="220" t="n">
        <f aca="false">SUM(L103:W103)</f>
        <v>56081.82</v>
      </c>
      <c r="E20" s="220" t="n">
        <f aca="false">SUM(X103:AI103)</f>
        <v>150000</v>
      </c>
      <c r="F20" s="220" t="n">
        <f aca="false">SUM(AJ103:AU103)</f>
        <v>149030.827</v>
      </c>
      <c r="G20" s="220" t="n">
        <f aca="false">SUM(AV103:BG103)</f>
        <v>140675.254</v>
      </c>
      <c r="H20" s="220" t="n">
        <f aca="false">SUM(BH103:BS103)</f>
        <v>67404.716</v>
      </c>
      <c r="I20" s="220" t="n">
        <f aca="false">SUM(BT103:CE103)</f>
        <v>0</v>
      </c>
      <c r="J20" s="220" t="n">
        <f aca="false">SUM(CF103:CH103)</f>
        <v>0</v>
      </c>
    </row>
    <row r="21" customFormat="false" ht="15" hidden="false" customHeight="true" outlineLevel="0" collapsed="false">
      <c r="A21" s="224" t="s">
        <v>725</v>
      </c>
      <c r="B21" s="225" t="n">
        <f aca="false">C21+D21+E21+F21+G21+H21+I21+J21</f>
        <v>6490433.383</v>
      </c>
      <c r="C21" s="225" t="n">
        <f aca="false">SUM(C104:K104)</f>
        <v>0</v>
      </c>
      <c r="D21" s="225" t="n">
        <f aca="false">SUM(L104:W104)</f>
        <v>298400.38</v>
      </c>
      <c r="E21" s="225" t="n">
        <f aca="false">SUM(X104:AI104)</f>
        <v>2621089.36</v>
      </c>
      <c r="F21" s="225" t="n">
        <f aca="false">SUM(AJ104:AU104)</f>
        <v>2198580.873</v>
      </c>
      <c r="G21" s="225" t="n">
        <f aca="false">SUM(AV104:BG104)</f>
        <v>818361.336</v>
      </c>
      <c r="H21" s="225" t="n">
        <f aca="false">SUM(BH104:BS104)</f>
        <v>554001.434</v>
      </c>
      <c r="I21" s="225" t="n">
        <f aca="false">SUM(BT104:CE104)</f>
        <v>0</v>
      </c>
      <c r="J21" s="225" t="n">
        <f aca="false">SUM(CF104:CH104)</f>
        <v>0</v>
      </c>
    </row>
    <row r="22" customFormat="false" ht="15" hidden="false" customHeight="true" outlineLevel="0" collapsed="false">
      <c r="A22" s="90" t="s">
        <v>726</v>
      </c>
      <c r="B22" s="221" t="n">
        <f aca="false">C22+D22+E22+F22+G22+H22+I22+J22</f>
        <v>2951665.926</v>
      </c>
      <c r="C22" s="220" t="n">
        <f aca="false">SUM(C105:K105)</f>
        <v>0</v>
      </c>
      <c r="D22" s="220" t="n">
        <f aca="false">SUM(L105:W105)</f>
        <v>119360.152</v>
      </c>
      <c r="E22" s="220" t="n">
        <f aca="false">SUM(X105:AI105)</f>
        <v>1130206.6955</v>
      </c>
      <c r="F22" s="220" t="n">
        <f aca="false">SUM(AJ105:AU105)</f>
        <v>1015917.6935</v>
      </c>
      <c r="G22" s="220" t="n">
        <f aca="false">SUM(AV105:BG105)</f>
        <v>409180.668</v>
      </c>
      <c r="H22" s="220" t="n">
        <f aca="false">SUM(BH105:BS105)</f>
        <v>277000.717</v>
      </c>
      <c r="I22" s="220" t="n">
        <f aca="false">SUM(BT105:CE105)</f>
        <v>0</v>
      </c>
      <c r="J22" s="220" t="n">
        <f aca="false">SUM(CF105:CH105)</f>
        <v>0</v>
      </c>
    </row>
    <row r="23" customFormat="false" ht="15" hidden="false" customHeight="true" outlineLevel="0" collapsed="false">
      <c r="A23" s="90" t="s">
        <v>727</v>
      </c>
      <c r="B23" s="221" t="n">
        <f aca="false">C23+D23+E23+F23+G23+H23+I23+J23</f>
        <v>3538767.457</v>
      </c>
      <c r="C23" s="220" t="n">
        <f aca="false">SUM(C106:K106)</f>
        <v>0</v>
      </c>
      <c r="D23" s="220" t="n">
        <f aca="false">SUM(L106:W106)</f>
        <v>179040.228</v>
      </c>
      <c r="E23" s="220" t="n">
        <f aca="false">SUM(X106:AI106)</f>
        <v>1490882.6645</v>
      </c>
      <c r="F23" s="220" t="n">
        <f aca="false">SUM(AJ106:AU106)</f>
        <v>1182663.1795</v>
      </c>
      <c r="G23" s="220" t="n">
        <f aca="false">SUM(AV106:BG106)</f>
        <v>409180.668</v>
      </c>
      <c r="H23" s="220" t="n">
        <f aca="false">SUM(BH106:BS106)</f>
        <v>277000.717</v>
      </c>
      <c r="I23" s="220" t="n">
        <f aca="false">SUM(BT106:CE106)</f>
        <v>0</v>
      </c>
      <c r="J23" s="220" t="n">
        <f aca="false">SUM(CF106:CH106)</f>
        <v>0</v>
      </c>
    </row>
    <row r="24" customFormat="false" ht="15" hidden="false" customHeight="true" outlineLevel="0" collapsed="false">
      <c r="A24" s="226" t="s">
        <v>728</v>
      </c>
      <c r="B24" s="227" t="n">
        <f aca="false">C24+D24+E24+F24+G24+H24+I24+J24</f>
        <v>4101960.074</v>
      </c>
      <c r="C24" s="227" t="n">
        <f aca="false">SUM(C107:K107)</f>
        <v>0</v>
      </c>
      <c r="D24" s="227" t="n">
        <f aca="false">SUM(L107:W107)</f>
        <v>235122.048</v>
      </c>
      <c r="E24" s="227" t="n">
        <f aca="false">SUM(X107:AI107)</f>
        <v>1640882.6645</v>
      </c>
      <c r="F24" s="227" t="n">
        <f aca="false">SUM(AJ107:AU107)</f>
        <v>1331694.0065</v>
      </c>
      <c r="G24" s="227" t="n">
        <f aca="false">SUM(AV107:BG107)</f>
        <v>549855.922</v>
      </c>
      <c r="H24" s="227" t="n">
        <f aca="false">SUM(BH107:BS107)</f>
        <v>344405.433</v>
      </c>
      <c r="I24" s="227" t="n">
        <f aca="false">SUM(BT107:CE107)</f>
        <v>0</v>
      </c>
      <c r="J24" s="227" t="n">
        <f aca="false">SUM(CF107:CH107)</f>
        <v>0</v>
      </c>
    </row>
    <row r="26" customFormat="false" ht="15" hidden="false" customHeight="true" outlineLevel="0" collapsed="false">
      <c r="A26" s="228" t="s">
        <v>729</v>
      </c>
      <c r="B26" s="228"/>
      <c r="C26" s="228"/>
      <c r="D26" s="228"/>
      <c r="E26" s="228"/>
      <c r="F26" s="228"/>
      <c r="G26" s="228"/>
      <c r="H26" s="228"/>
      <c r="I26" s="228"/>
      <c r="J26" s="228"/>
      <c r="K26" s="228"/>
    </row>
    <row r="27" customFormat="false" ht="15" hidden="false" customHeight="true" outlineLevel="0" collapsed="false">
      <c r="A27" s="229" t="s">
        <v>730</v>
      </c>
      <c r="B27" s="229" t="s">
        <v>731</v>
      </c>
      <c r="C27" s="229" t="s">
        <v>732</v>
      </c>
      <c r="D27" s="229" t="s">
        <v>717</v>
      </c>
      <c r="E27" s="229" t="s">
        <v>611</v>
      </c>
    </row>
    <row r="28" customFormat="false" ht="15" hidden="false" customHeight="true" outlineLevel="0" collapsed="false">
      <c r="A28" s="90" t="s">
        <v>733</v>
      </c>
      <c r="B28" s="219" t="n">
        <v>6</v>
      </c>
      <c r="C28" s="90" t="s">
        <v>734</v>
      </c>
      <c r="D28" s="220" t="n">
        <v>1400000</v>
      </c>
      <c r="E28" s="230" t="s">
        <v>735</v>
      </c>
    </row>
    <row r="29" customFormat="false" ht="15" hidden="false" customHeight="true" outlineLevel="0" collapsed="false">
      <c r="A29" s="90" t="s">
        <v>736</v>
      </c>
      <c r="B29" s="219" t="n">
        <v>18</v>
      </c>
      <c r="C29" s="90" t="s">
        <v>737</v>
      </c>
      <c r="D29" s="220" t="n">
        <v>1400000</v>
      </c>
      <c r="E29" s="230" t="s">
        <v>738</v>
      </c>
    </row>
    <row r="30" customFormat="false" ht="15" hidden="false" customHeight="true" outlineLevel="0" collapsed="false">
      <c r="A30" s="90" t="s">
        <v>739</v>
      </c>
      <c r="B30" s="219" t="n">
        <v>18</v>
      </c>
      <c r="C30" s="90" t="s">
        <v>740</v>
      </c>
      <c r="D30" s="220" t="n">
        <v>1400000</v>
      </c>
      <c r="E30" s="230" t="s">
        <v>741</v>
      </c>
    </row>
    <row r="31" customFormat="false" ht="15" hidden="false" customHeight="true" outlineLevel="0" collapsed="false">
      <c r="A31" s="90" t="s">
        <v>742</v>
      </c>
      <c r="B31" s="219" t="n">
        <v>18</v>
      </c>
      <c r="C31" s="90" t="s">
        <v>743</v>
      </c>
      <c r="D31" s="220" t="n">
        <v>1400000</v>
      </c>
      <c r="E31" s="230" t="s">
        <v>744</v>
      </c>
    </row>
    <row r="32" customFormat="false" ht="15" hidden="false" customHeight="true" outlineLevel="0" collapsed="false">
      <c r="A32" s="229" t="s">
        <v>472</v>
      </c>
      <c r="B32" s="231" t="n">
        <v>60</v>
      </c>
      <c r="C32" s="229" t="s">
        <v>745</v>
      </c>
      <c r="D32" s="232" t="n">
        <v>1400000</v>
      </c>
    </row>
    <row r="34" customFormat="false" ht="15" hidden="false" customHeight="true" outlineLevel="0" collapsed="false">
      <c r="A34" s="233" t="s">
        <v>746</v>
      </c>
      <c r="B34" s="233"/>
      <c r="C34" s="233"/>
      <c r="D34" s="233"/>
      <c r="E34" s="233"/>
      <c r="F34" s="233"/>
      <c r="G34" s="233"/>
      <c r="H34" s="233"/>
      <c r="I34" s="233"/>
      <c r="J34" s="233"/>
      <c r="K34" s="233"/>
    </row>
    <row r="35" customFormat="false" ht="15" hidden="false" customHeight="true" outlineLevel="0" collapsed="false">
      <c r="A35" s="234" t="s">
        <v>747</v>
      </c>
      <c r="B35" s="234" t="s">
        <v>748</v>
      </c>
      <c r="C35" s="234" t="s">
        <v>749</v>
      </c>
      <c r="D35" s="234" t="s">
        <v>750</v>
      </c>
      <c r="E35" s="234" t="s">
        <v>751</v>
      </c>
      <c r="F35" s="234" t="s">
        <v>752</v>
      </c>
    </row>
    <row r="36" customFormat="false" ht="15" hidden="false" customHeight="true" outlineLevel="0" collapsed="false">
      <c r="A36" s="90" t="s">
        <v>753</v>
      </c>
      <c r="B36" s="90" t="s">
        <v>754</v>
      </c>
      <c r="C36" s="90" t="s">
        <v>755</v>
      </c>
      <c r="D36" s="220" t="n">
        <v>14000</v>
      </c>
      <c r="E36" s="220" t="n">
        <v>840000</v>
      </c>
      <c r="F36" s="90" t="s">
        <v>756</v>
      </c>
    </row>
    <row r="37" customFormat="false" ht="15" hidden="false" customHeight="true" outlineLevel="0" collapsed="false">
      <c r="A37" s="90" t="s">
        <v>757</v>
      </c>
      <c r="B37" s="90" t="s">
        <v>758</v>
      </c>
      <c r="C37" s="90" t="s">
        <v>759</v>
      </c>
      <c r="D37" s="220" t="n">
        <v>96563</v>
      </c>
      <c r="E37" s="220" t="n">
        <v>5793808</v>
      </c>
      <c r="F37" s="90" t="s">
        <v>760</v>
      </c>
    </row>
    <row r="38" customFormat="false" ht="15" hidden="false" customHeight="true" outlineLevel="0" collapsed="false">
      <c r="A38" s="90" t="s">
        <v>761</v>
      </c>
      <c r="B38" s="90" t="s">
        <v>762</v>
      </c>
      <c r="C38" s="90" t="s">
        <v>763</v>
      </c>
      <c r="D38" s="220" t="n">
        <v>5400</v>
      </c>
      <c r="E38" s="220" t="n">
        <v>324000</v>
      </c>
      <c r="F38" s="90" t="s">
        <v>764</v>
      </c>
    </row>
    <row r="39" customFormat="false" ht="15" hidden="false" customHeight="true" outlineLevel="0" collapsed="false">
      <c r="A39" s="90" t="s">
        <v>765</v>
      </c>
      <c r="B39" s="90" t="s">
        <v>754</v>
      </c>
      <c r="C39" s="90" t="s">
        <v>766</v>
      </c>
      <c r="D39" s="220" t="n">
        <v>34198</v>
      </c>
      <c r="E39" s="220" t="n">
        <v>2051858</v>
      </c>
      <c r="F39" s="90" t="s">
        <v>767</v>
      </c>
    </row>
    <row r="40" customFormat="false" ht="15" hidden="false" customHeight="true" outlineLevel="0" collapsed="false">
      <c r="A40" s="234" t="s">
        <v>561</v>
      </c>
      <c r="D40" s="235" t="n">
        <v>150161</v>
      </c>
      <c r="E40" s="235" t="n">
        <v>9009665</v>
      </c>
    </row>
    <row r="42" customFormat="false" ht="15" hidden="false" customHeight="true" outlineLevel="0" collapsed="false">
      <c r="A42" s="236" t="s">
        <v>768</v>
      </c>
      <c r="B42" s="236"/>
      <c r="C42" s="236"/>
      <c r="D42" s="236"/>
      <c r="E42" s="236"/>
      <c r="F42" s="236"/>
      <c r="G42" s="236"/>
      <c r="H42" s="236"/>
      <c r="I42" s="236"/>
      <c r="J42" s="236"/>
      <c r="K42" s="236"/>
    </row>
    <row r="43" customFormat="false" ht="15" hidden="false" customHeight="true" outlineLevel="0" collapsed="false">
      <c r="A43" s="237" t="s">
        <v>605</v>
      </c>
      <c r="B43" s="237" t="s">
        <v>769</v>
      </c>
      <c r="C43" s="237" t="s">
        <v>770</v>
      </c>
      <c r="D43" s="237" t="s">
        <v>577</v>
      </c>
      <c r="E43" s="237" t="s">
        <v>771</v>
      </c>
      <c r="F43" s="237" t="s">
        <v>772</v>
      </c>
      <c r="G43" s="237" t="s">
        <v>773</v>
      </c>
    </row>
    <row r="44" customFormat="false" ht="15" hidden="false" customHeight="true" outlineLevel="0" collapsed="false">
      <c r="A44" s="90" t="s">
        <v>774</v>
      </c>
      <c r="B44" s="220" t="n">
        <v>125000</v>
      </c>
      <c r="C44" s="220" t="n">
        <v>10417</v>
      </c>
      <c r="D44" s="90" t="s">
        <v>775</v>
      </c>
      <c r="E44" s="90" t="s">
        <v>776</v>
      </c>
      <c r="F44" s="90" t="n">
        <v>47</v>
      </c>
      <c r="G44" s="220" t="n">
        <f aca="false">C44*F44</f>
        <v>489599</v>
      </c>
    </row>
    <row r="45" customFormat="false" ht="15" hidden="false" customHeight="true" outlineLevel="0" collapsed="false">
      <c r="A45" s="90" t="s">
        <v>649</v>
      </c>
      <c r="B45" s="220" t="n">
        <v>90000</v>
      </c>
      <c r="C45" s="220" t="n">
        <v>7500</v>
      </c>
      <c r="D45" s="90" t="s">
        <v>777</v>
      </c>
      <c r="E45" s="90" t="s">
        <v>776</v>
      </c>
      <c r="F45" s="90" t="n">
        <v>44</v>
      </c>
      <c r="G45" s="220" t="n">
        <f aca="false">C45*F45</f>
        <v>330000</v>
      </c>
    </row>
    <row r="46" customFormat="false" ht="15" hidden="false" customHeight="true" outlineLevel="0" collapsed="false">
      <c r="A46" s="90" t="s">
        <v>778</v>
      </c>
      <c r="B46" s="220" t="n">
        <v>110000</v>
      </c>
      <c r="C46" s="220" t="n">
        <v>9167</v>
      </c>
      <c r="D46" s="90" t="s">
        <v>779</v>
      </c>
      <c r="E46" s="90" t="s">
        <v>776</v>
      </c>
      <c r="F46" s="90" t="n">
        <v>39</v>
      </c>
      <c r="G46" s="220" t="n">
        <f aca="false">C46*F46</f>
        <v>357513</v>
      </c>
    </row>
    <row r="47" customFormat="false" ht="15" hidden="false" customHeight="true" outlineLevel="0" collapsed="false">
      <c r="A47" s="90" t="s">
        <v>780</v>
      </c>
      <c r="B47" s="220" t="n">
        <v>125000</v>
      </c>
      <c r="C47" s="220" t="n">
        <v>10417</v>
      </c>
      <c r="D47" s="90" t="s">
        <v>781</v>
      </c>
      <c r="E47" s="90" t="s">
        <v>776</v>
      </c>
      <c r="F47" s="90" t="n">
        <v>31</v>
      </c>
      <c r="G47" s="220" t="n">
        <f aca="false">C47*F47</f>
        <v>322927</v>
      </c>
    </row>
    <row r="48" customFormat="false" ht="15" hidden="false" customHeight="true" outlineLevel="0" collapsed="false">
      <c r="A48" s="237" t="s">
        <v>782</v>
      </c>
      <c r="G48" s="238" t="n">
        <f aca="false">SUM(G44:G47)</f>
        <v>1500039</v>
      </c>
    </row>
    <row r="50" customFormat="false" ht="15" hidden="false" customHeight="true" outlineLevel="0" collapsed="false">
      <c r="A50" s="239" t="s">
        <v>783</v>
      </c>
      <c r="B50" s="239"/>
      <c r="C50" s="239"/>
      <c r="D50" s="239"/>
      <c r="E50" s="239"/>
      <c r="F50" s="239"/>
      <c r="G50" s="239"/>
      <c r="H50" s="239"/>
      <c r="I50" s="239"/>
      <c r="J50" s="239"/>
      <c r="K50" s="239"/>
    </row>
    <row r="51" customFormat="false" ht="15" hidden="false" customHeight="true" outlineLevel="0" collapsed="false">
      <c r="A51" s="240" t="s">
        <v>784</v>
      </c>
      <c r="B51" s="240" t="s">
        <v>785</v>
      </c>
      <c r="C51" s="240" t="s">
        <v>770</v>
      </c>
      <c r="D51" s="240" t="s">
        <v>786</v>
      </c>
      <c r="E51" s="240" t="s">
        <v>472</v>
      </c>
    </row>
    <row r="52" customFormat="false" ht="15" hidden="false" customHeight="true" outlineLevel="0" collapsed="false">
      <c r="A52" s="90" t="s">
        <v>787</v>
      </c>
      <c r="B52" s="220" t="n">
        <v>40000</v>
      </c>
      <c r="C52" s="220" t="n">
        <v>3333</v>
      </c>
      <c r="D52" s="90" t="n">
        <v>4</v>
      </c>
      <c r="E52" s="220" t="n">
        <v>160000</v>
      </c>
    </row>
    <row r="53" customFormat="false" ht="15" hidden="false" customHeight="true" outlineLevel="0" collapsed="false">
      <c r="A53" s="90" t="s">
        <v>788</v>
      </c>
      <c r="B53" s="220" t="n">
        <v>20000</v>
      </c>
      <c r="C53" s="220" t="n">
        <v>1667</v>
      </c>
      <c r="D53" s="90" t="n">
        <v>4</v>
      </c>
      <c r="E53" s="220" t="n">
        <v>80000</v>
      </c>
    </row>
    <row r="54" customFormat="false" ht="15" hidden="false" customHeight="true" outlineLevel="0" collapsed="false">
      <c r="A54" s="90" t="s">
        <v>789</v>
      </c>
      <c r="B54" s="220" t="n">
        <v>30000</v>
      </c>
      <c r="C54" s="220" t="n">
        <v>2500</v>
      </c>
      <c r="D54" s="90" t="n">
        <v>4</v>
      </c>
      <c r="E54" s="220" t="n">
        <v>120000</v>
      </c>
    </row>
    <row r="55" customFormat="false" ht="15" hidden="false" customHeight="true" outlineLevel="0" collapsed="false">
      <c r="A55" s="90" t="s">
        <v>790</v>
      </c>
      <c r="B55" s="220" t="n">
        <v>24000</v>
      </c>
      <c r="C55" s="220" t="n">
        <v>2000</v>
      </c>
      <c r="D55" s="90" t="n">
        <v>4</v>
      </c>
      <c r="E55" s="220" t="n">
        <v>96000</v>
      </c>
    </row>
    <row r="56" customFormat="false" ht="15" hidden="false" customHeight="true" outlineLevel="0" collapsed="false">
      <c r="A56" s="240" t="s">
        <v>791</v>
      </c>
      <c r="E56" s="241" t="n">
        <v>456000</v>
      </c>
    </row>
    <row r="57" customFormat="false" ht="15" hidden="false" customHeight="true" outlineLevel="0" collapsed="false">
      <c r="A57" s="242" t="s">
        <v>792</v>
      </c>
    </row>
    <row r="59" customFormat="false" ht="15" hidden="false" customHeight="true" outlineLevel="0" collapsed="false">
      <c r="A59" s="112" t="s">
        <v>793</v>
      </c>
      <c r="B59" s="112"/>
      <c r="C59" s="112"/>
      <c r="D59" s="112"/>
      <c r="E59" s="112"/>
      <c r="F59" s="112"/>
      <c r="G59" s="112"/>
      <c r="H59" s="112"/>
      <c r="I59" s="112"/>
      <c r="J59" s="112"/>
      <c r="K59" s="112"/>
    </row>
    <row r="60" customFormat="false" ht="15" hidden="false" customHeight="true" outlineLevel="0" collapsed="false">
      <c r="A60" s="90" t="s">
        <v>794</v>
      </c>
      <c r="B60" s="220" t="n">
        <f aca="false">B16</f>
        <v>9009665</v>
      </c>
    </row>
    <row r="61" customFormat="false" ht="15" hidden="false" customHeight="true" outlineLevel="0" collapsed="false">
      <c r="A61" s="90" t="s">
        <v>721</v>
      </c>
      <c r="B61" s="220" t="n">
        <f aca="false">B17</f>
        <v>-1500039</v>
      </c>
    </row>
    <row r="62" customFormat="false" ht="15" hidden="false" customHeight="true" outlineLevel="0" collapsed="false">
      <c r="A62" s="90" t="s">
        <v>722</v>
      </c>
      <c r="B62" s="220" t="n">
        <f aca="false">B18</f>
        <v>-456000</v>
      </c>
    </row>
    <row r="63" customFormat="false" ht="15" hidden="false" customHeight="true" outlineLevel="0" collapsed="false">
      <c r="A63" s="229" t="s">
        <v>723</v>
      </c>
      <c r="B63" s="232" t="n">
        <f aca="false">B60+B61+B62</f>
        <v>7053626</v>
      </c>
    </row>
    <row r="64" customFormat="false" ht="15" hidden="false" customHeight="true" outlineLevel="0" collapsed="false">
      <c r="A64" s="90" t="s">
        <v>795</v>
      </c>
      <c r="B64" s="220" t="n">
        <f aca="false">-B20</f>
        <v>-563192.617</v>
      </c>
    </row>
    <row r="65" customFormat="false" ht="15" hidden="false" customHeight="true" outlineLevel="0" collapsed="false">
      <c r="A65" s="229" t="s">
        <v>725</v>
      </c>
      <c r="B65" s="232" t="n">
        <f aca="false">B63+B64</f>
        <v>6490433.383</v>
      </c>
    </row>
    <row r="66" customFormat="false" ht="15" hidden="false" customHeight="true" outlineLevel="0" collapsed="false">
      <c r="A66" s="90" t="s">
        <v>796</v>
      </c>
      <c r="B66" s="220" t="n">
        <f aca="false">-B22</f>
        <v>-2951665.926</v>
      </c>
    </row>
    <row r="67" customFormat="false" ht="15" hidden="false" customHeight="true" outlineLevel="0" collapsed="false">
      <c r="A67" s="229" t="s">
        <v>727</v>
      </c>
      <c r="B67" s="232" t="n">
        <f aca="false">B65+B66</f>
        <v>3538767.457</v>
      </c>
    </row>
    <row r="68" customFormat="false" ht="15" hidden="false" customHeight="true" outlineLevel="0" collapsed="false">
      <c r="A68" s="90" t="s">
        <v>724</v>
      </c>
      <c r="B68" s="220" t="n">
        <f aca="false">B20</f>
        <v>563192.617</v>
      </c>
    </row>
    <row r="69" customFormat="false" ht="15" hidden="false" customHeight="true" outlineLevel="0" collapsed="false">
      <c r="A69" s="229" t="s">
        <v>728</v>
      </c>
      <c r="B69" s="232" t="n">
        <f aca="false">B67+B68</f>
        <v>4101960.074</v>
      </c>
    </row>
    <row r="71" customFormat="false" ht="15" hidden="false" customHeight="true" outlineLevel="0" collapsed="false">
      <c r="A71" s="233" t="s">
        <v>797</v>
      </c>
      <c r="B71" s="233"/>
      <c r="C71" s="233"/>
      <c r="D71" s="233"/>
      <c r="E71" s="233"/>
      <c r="F71" s="233"/>
      <c r="G71" s="233"/>
      <c r="H71" s="233"/>
      <c r="I71" s="233"/>
      <c r="J71" s="233"/>
      <c r="K71" s="233"/>
    </row>
    <row r="72" customFormat="false" ht="15" hidden="false" customHeight="true" outlineLevel="0" collapsed="false">
      <c r="A72" s="234" t="s">
        <v>604</v>
      </c>
      <c r="B72" s="234" t="s">
        <v>605</v>
      </c>
      <c r="C72" s="234" t="s">
        <v>798</v>
      </c>
    </row>
    <row r="73" customFormat="false" ht="31.5" hidden="false" customHeight="true" outlineLevel="0" collapsed="false">
      <c r="A73" s="97" t="s">
        <v>689</v>
      </c>
      <c r="B73" s="90" t="s">
        <v>799</v>
      </c>
      <c r="C73" s="243" t="s">
        <v>800</v>
      </c>
      <c r="D73" s="243"/>
      <c r="E73" s="243"/>
      <c r="F73" s="243"/>
      <c r="G73" s="243"/>
    </row>
    <row r="74" customFormat="false" ht="31.5" hidden="false" customHeight="true" outlineLevel="0" collapsed="false">
      <c r="A74" s="97" t="s">
        <v>680</v>
      </c>
      <c r="B74" s="90" t="s">
        <v>801</v>
      </c>
      <c r="C74" s="243" t="s">
        <v>802</v>
      </c>
      <c r="D74" s="243"/>
      <c r="E74" s="243"/>
      <c r="F74" s="243"/>
      <c r="G74" s="243"/>
    </row>
    <row r="75" customFormat="false" ht="31.5" hidden="false" customHeight="true" outlineLevel="0" collapsed="false">
      <c r="A75" s="97" t="s">
        <v>691</v>
      </c>
      <c r="B75" s="90" t="s">
        <v>803</v>
      </c>
      <c r="C75" s="243" t="s">
        <v>804</v>
      </c>
      <c r="D75" s="243"/>
      <c r="E75" s="243"/>
      <c r="F75" s="243"/>
      <c r="G75" s="243"/>
    </row>
    <row r="76" customFormat="false" ht="31.5" hidden="false" customHeight="true" outlineLevel="0" collapsed="false">
      <c r="A76" s="97" t="s">
        <v>696</v>
      </c>
      <c r="B76" s="90" t="s">
        <v>805</v>
      </c>
      <c r="C76" s="243" t="s">
        <v>806</v>
      </c>
      <c r="D76" s="243"/>
      <c r="E76" s="243"/>
      <c r="F76" s="243"/>
      <c r="G76" s="243"/>
    </row>
    <row r="77" customFormat="false" ht="31.5" hidden="false" customHeight="true" outlineLevel="0" collapsed="false">
      <c r="A77" s="97" t="s">
        <v>694</v>
      </c>
      <c r="B77" s="90" t="s">
        <v>805</v>
      </c>
      <c r="C77" s="243" t="s">
        <v>807</v>
      </c>
      <c r="D77" s="243"/>
      <c r="E77" s="243"/>
      <c r="F77" s="243"/>
      <c r="G77" s="243"/>
    </row>
    <row r="78" customFormat="false" ht="31.5" hidden="false" customHeight="true" outlineLevel="0" collapsed="false">
      <c r="A78" s="97" t="s">
        <v>686</v>
      </c>
      <c r="B78" s="90" t="s">
        <v>808</v>
      </c>
      <c r="C78" s="243" t="s">
        <v>809</v>
      </c>
      <c r="D78" s="243"/>
      <c r="E78" s="243"/>
      <c r="F78" s="243"/>
      <c r="G78" s="243"/>
    </row>
    <row r="80" customFormat="false" ht="15" hidden="false" customHeight="true" outlineLevel="0" collapsed="false">
      <c r="A80" s="244" t="s">
        <v>810</v>
      </c>
      <c r="B80" s="244"/>
      <c r="C80" s="244"/>
      <c r="D80" s="244"/>
      <c r="E80" s="244"/>
      <c r="F80" s="244"/>
      <c r="G80" s="244"/>
      <c r="H80" s="244"/>
      <c r="I80" s="244"/>
      <c r="J80" s="244"/>
      <c r="K80" s="244"/>
    </row>
    <row r="81" customFormat="false" ht="27.75" hidden="false" customHeight="true" outlineLevel="0" collapsed="false">
      <c r="A81" s="97" t="s">
        <v>811</v>
      </c>
      <c r="B81" s="243" t="s">
        <v>812</v>
      </c>
      <c r="C81" s="243"/>
      <c r="D81" s="243"/>
      <c r="E81" s="243"/>
      <c r="F81" s="243"/>
      <c r="G81" s="243"/>
    </row>
    <row r="82" customFormat="false" ht="27.75" hidden="false" customHeight="true" outlineLevel="0" collapsed="false">
      <c r="A82" s="97" t="s">
        <v>813</v>
      </c>
      <c r="B82" s="243" t="s">
        <v>814</v>
      </c>
      <c r="C82" s="243"/>
      <c r="D82" s="243"/>
      <c r="E82" s="243"/>
      <c r="F82" s="243"/>
      <c r="G82" s="243"/>
    </row>
    <row r="83" customFormat="false" ht="27.75" hidden="false" customHeight="true" outlineLevel="0" collapsed="false">
      <c r="A83" s="97" t="s">
        <v>815</v>
      </c>
      <c r="B83" s="243" t="s">
        <v>816</v>
      </c>
      <c r="C83" s="243"/>
      <c r="D83" s="243"/>
      <c r="E83" s="243"/>
      <c r="F83" s="243"/>
      <c r="G83" s="243"/>
    </row>
    <row r="84" customFormat="false" ht="27.75" hidden="false" customHeight="true" outlineLevel="0" collapsed="false">
      <c r="A84" s="97" t="s">
        <v>817</v>
      </c>
      <c r="B84" s="243" t="s">
        <v>818</v>
      </c>
      <c r="C84" s="243"/>
      <c r="D84" s="243"/>
      <c r="E84" s="243"/>
      <c r="F84" s="243"/>
      <c r="G84" s="243"/>
    </row>
    <row r="85" customFormat="false" ht="27.75" hidden="false" customHeight="true" outlineLevel="0" collapsed="false">
      <c r="A85" s="97" t="s">
        <v>819</v>
      </c>
      <c r="B85" s="243" t="s">
        <v>820</v>
      </c>
      <c r="C85" s="243"/>
      <c r="D85" s="243"/>
      <c r="E85" s="243"/>
      <c r="F85" s="243"/>
      <c r="G85" s="243"/>
    </row>
    <row r="86" customFormat="false" ht="27.75" hidden="false" customHeight="true" outlineLevel="0" collapsed="false">
      <c r="A86" s="97" t="s">
        <v>821</v>
      </c>
      <c r="B86" s="243" t="s">
        <v>822</v>
      </c>
      <c r="C86" s="243"/>
      <c r="D86" s="243"/>
      <c r="E86" s="243"/>
      <c r="F86" s="243"/>
      <c r="G86" s="243"/>
    </row>
    <row r="87" customFormat="false" ht="27.75" hidden="false" customHeight="true" outlineLevel="0" collapsed="false">
      <c r="A87" s="97" t="s">
        <v>823</v>
      </c>
      <c r="B87" s="243" t="s">
        <v>824</v>
      </c>
      <c r="C87" s="243"/>
      <c r="D87" s="243"/>
      <c r="E87" s="243"/>
      <c r="F87" s="243"/>
      <c r="G87" s="243"/>
    </row>
    <row r="88" customFormat="false" ht="27.75" hidden="false" customHeight="true" outlineLevel="0" collapsed="false">
      <c r="A88" s="97" t="s">
        <v>825</v>
      </c>
      <c r="B88" s="243" t="s">
        <v>826</v>
      </c>
      <c r="C88" s="243"/>
      <c r="D88" s="243"/>
      <c r="E88" s="243"/>
      <c r="F88" s="243"/>
      <c r="G88" s="243"/>
    </row>
    <row r="89" customFormat="false" ht="27.75" hidden="false" customHeight="true" outlineLevel="0" collapsed="false">
      <c r="A89" s="97" t="s">
        <v>827</v>
      </c>
      <c r="B89" s="243" t="s">
        <v>828</v>
      </c>
      <c r="C89" s="243"/>
      <c r="D89" s="243"/>
      <c r="E89" s="243"/>
      <c r="F89" s="243"/>
      <c r="G89" s="243"/>
    </row>
    <row r="90" customFormat="false" ht="27.75" hidden="false" customHeight="true" outlineLevel="0" collapsed="false">
      <c r="A90" s="97" t="s">
        <v>829</v>
      </c>
      <c r="B90" s="243" t="s">
        <v>830</v>
      </c>
      <c r="C90" s="243"/>
      <c r="D90" s="243"/>
      <c r="E90" s="243"/>
      <c r="F90" s="243"/>
      <c r="G90" s="243"/>
    </row>
    <row r="91" customFormat="false" ht="15" hidden="false" customHeight="true" outlineLevel="0" collapsed="false">
      <c r="A91" s="1" t="s">
        <v>831</v>
      </c>
      <c r="B91" s="1" t="s">
        <v>832</v>
      </c>
    </row>
    <row r="93" customFormat="false" ht="15" hidden="false" customHeight="true" outlineLevel="0" collapsed="false">
      <c r="A93" s="228" t="s">
        <v>833</v>
      </c>
      <c r="B93" s="228"/>
      <c r="C93" s="228"/>
      <c r="D93" s="228"/>
      <c r="E93" s="228"/>
      <c r="F93" s="228"/>
      <c r="G93" s="228"/>
      <c r="H93" s="228"/>
      <c r="I93" s="228"/>
      <c r="J93" s="228"/>
      <c r="K93" s="228"/>
    </row>
    <row r="94" customFormat="false" ht="15" hidden="false" customHeight="true" outlineLevel="0" collapsed="false">
      <c r="A94" s="90" t="s">
        <v>834</v>
      </c>
      <c r="B94" s="245" t="n">
        <v>0.1</v>
      </c>
    </row>
    <row r="95" customFormat="false" ht="15" hidden="false" customHeight="true" outlineLevel="0" collapsed="false">
      <c r="A95" s="90" t="s">
        <v>835</v>
      </c>
      <c r="B95" s="245" t="n">
        <v>150000</v>
      </c>
    </row>
    <row r="96" customFormat="false" ht="15" hidden="false" customHeight="true" outlineLevel="0" collapsed="false">
      <c r="A96" s="1" t="s">
        <v>836</v>
      </c>
      <c r="B96" s="1" t="s">
        <v>837</v>
      </c>
    </row>
    <row r="97" customFormat="false" ht="15" hidden="false" customHeight="true" outlineLevel="0" collapsed="false">
      <c r="A97" s="112" t="s">
        <v>838</v>
      </c>
      <c r="B97" s="112"/>
      <c r="C97" s="112"/>
      <c r="D97" s="112"/>
      <c r="E97" s="112"/>
      <c r="F97" s="112"/>
      <c r="G97" s="112"/>
      <c r="H97" s="112"/>
      <c r="I97" s="112"/>
      <c r="J97" s="112"/>
      <c r="K97" s="112"/>
    </row>
    <row r="98" customFormat="false" ht="15" hidden="false" customHeight="true" outlineLevel="0" collapsed="false">
      <c r="C98" s="99" t="n">
        <v>1</v>
      </c>
      <c r="D98" s="99" t="n">
        <v>2</v>
      </c>
      <c r="E98" s="99" t="n">
        <v>3</v>
      </c>
      <c r="F98" s="99" t="n">
        <v>4</v>
      </c>
      <c r="G98" s="99" t="n">
        <v>5</v>
      </c>
      <c r="H98" s="99" t="n">
        <v>6</v>
      </c>
      <c r="I98" s="99" t="n">
        <v>7</v>
      </c>
      <c r="J98" s="99" t="n">
        <v>8</v>
      </c>
      <c r="K98" s="99" t="n">
        <v>9</v>
      </c>
      <c r="L98" s="99" t="n">
        <v>10</v>
      </c>
      <c r="M98" s="99" t="n">
        <v>11</v>
      </c>
      <c r="N98" s="99" t="n">
        <v>12</v>
      </c>
      <c r="O98" s="99" t="n">
        <v>13</v>
      </c>
      <c r="P98" s="99" t="n">
        <v>14</v>
      </c>
      <c r="Q98" s="99" t="n">
        <v>15</v>
      </c>
      <c r="R98" s="99" t="n">
        <v>16</v>
      </c>
      <c r="S98" s="99" t="n">
        <v>17</v>
      </c>
      <c r="T98" s="99" t="n">
        <v>18</v>
      </c>
      <c r="U98" s="99" t="n">
        <v>19</v>
      </c>
      <c r="V98" s="99" t="n">
        <v>20</v>
      </c>
      <c r="W98" s="99" t="n">
        <v>21</v>
      </c>
      <c r="X98" s="99" t="n">
        <v>22</v>
      </c>
      <c r="Y98" s="99" t="n">
        <v>23</v>
      </c>
      <c r="Z98" s="99" t="n">
        <v>24</v>
      </c>
      <c r="AA98" s="99" t="n">
        <v>25</v>
      </c>
      <c r="AB98" s="99" t="n">
        <v>26</v>
      </c>
      <c r="AC98" s="99" t="n">
        <v>27</v>
      </c>
      <c r="AD98" s="99" t="n">
        <v>28</v>
      </c>
      <c r="AE98" s="99" t="n">
        <v>29</v>
      </c>
      <c r="AF98" s="99" t="n">
        <v>30</v>
      </c>
      <c r="AG98" s="99" t="n">
        <v>31</v>
      </c>
      <c r="AH98" s="99" t="n">
        <v>32</v>
      </c>
      <c r="AI98" s="99" t="n">
        <v>33</v>
      </c>
      <c r="AJ98" s="99" t="n">
        <v>34</v>
      </c>
      <c r="AK98" s="99" t="n">
        <v>35</v>
      </c>
      <c r="AL98" s="99" t="n">
        <v>36</v>
      </c>
      <c r="AM98" s="99" t="n">
        <v>37</v>
      </c>
      <c r="AN98" s="99" t="n">
        <v>38</v>
      </c>
      <c r="AO98" s="99" t="n">
        <v>39</v>
      </c>
      <c r="AP98" s="99" t="n">
        <v>40</v>
      </c>
      <c r="AQ98" s="99" t="n">
        <v>41</v>
      </c>
      <c r="AR98" s="99" t="n">
        <v>42</v>
      </c>
      <c r="AS98" s="99" t="n">
        <v>43</v>
      </c>
      <c r="AT98" s="99" t="n">
        <v>44</v>
      </c>
      <c r="AU98" s="99" t="n">
        <v>45</v>
      </c>
      <c r="AV98" s="99" t="n">
        <v>46</v>
      </c>
      <c r="AW98" s="99" t="n">
        <v>47</v>
      </c>
      <c r="AX98" s="99" t="n">
        <v>48</v>
      </c>
      <c r="AY98" s="99" t="n">
        <v>49</v>
      </c>
      <c r="AZ98" s="99" t="n">
        <v>50</v>
      </c>
      <c r="BA98" s="99" t="n">
        <v>51</v>
      </c>
      <c r="BB98" s="99" t="n">
        <v>52</v>
      </c>
      <c r="BC98" s="99" t="n">
        <v>53</v>
      </c>
      <c r="BD98" s="99" t="n">
        <v>54</v>
      </c>
      <c r="BE98" s="99" t="n">
        <v>55</v>
      </c>
      <c r="BF98" s="99" t="n">
        <v>56</v>
      </c>
      <c r="BG98" s="99" t="n">
        <v>57</v>
      </c>
      <c r="BH98" s="99" t="n">
        <v>58</v>
      </c>
      <c r="BI98" s="99" t="n">
        <v>59</v>
      </c>
      <c r="BJ98" s="99" t="n">
        <v>60</v>
      </c>
      <c r="BK98" s="99" t="n">
        <v>61</v>
      </c>
      <c r="BL98" s="99" t="n">
        <v>62</v>
      </c>
      <c r="BM98" s="99" t="n">
        <v>63</v>
      </c>
      <c r="BN98" s="99" t="n">
        <v>64</v>
      </c>
      <c r="BO98" s="99" t="n">
        <v>65</v>
      </c>
      <c r="BP98" s="99" t="n">
        <v>66</v>
      </c>
      <c r="BQ98" s="99" t="n">
        <v>67</v>
      </c>
      <c r="BR98" s="99" t="n">
        <v>68</v>
      </c>
      <c r="BS98" s="99" t="n">
        <v>69</v>
      </c>
      <c r="BT98" s="99" t="n">
        <v>70</v>
      </c>
      <c r="BU98" s="99" t="n">
        <v>71</v>
      </c>
      <c r="BV98" s="99" t="n">
        <v>72</v>
      </c>
      <c r="BW98" s="99" t="n">
        <v>73</v>
      </c>
      <c r="BX98" s="99" t="n">
        <v>74</v>
      </c>
      <c r="BY98" s="99" t="n">
        <v>75</v>
      </c>
      <c r="BZ98" s="99" t="n">
        <v>76</v>
      </c>
      <c r="CA98" s="99" t="n">
        <v>77</v>
      </c>
      <c r="CB98" s="99" t="n">
        <v>78</v>
      </c>
      <c r="CC98" s="99" t="n">
        <v>79</v>
      </c>
      <c r="CD98" s="99" t="n">
        <v>80</v>
      </c>
      <c r="CE98" s="99" t="n">
        <v>81</v>
      </c>
      <c r="CF98" s="99" t="n">
        <v>82</v>
      </c>
      <c r="CG98" s="99" t="n">
        <v>83</v>
      </c>
      <c r="CH98" s="99" t="n">
        <v>84</v>
      </c>
    </row>
    <row r="99" customFormat="false" ht="15" hidden="false" customHeight="true" outlineLevel="0" collapsed="false">
      <c r="A99" s="99" t="s">
        <v>561</v>
      </c>
      <c r="B99" s="246" t="n">
        <f aca="false">SUM(C99:CH99)</f>
        <v>9009665</v>
      </c>
      <c r="L99" s="247"/>
      <c r="M99" s="247"/>
      <c r="N99" s="247"/>
      <c r="O99" s="247" t="n">
        <v>45050.36</v>
      </c>
      <c r="P99" s="247" t="n">
        <v>45050.36</v>
      </c>
      <c r="Q99" s="247" t="n">
        <v>45050.36</v>
      </c>
      <c r="R99" s="247" t="n">
        <v>45050.36</v>
      </c>
      <c r="S99" s="247" t="n">
        <v>45050.36</v>
      </c>
      <c r="T99" s="247" t="n">
        <v>45050.36</v>
      </c>
      <c r="U99" s="247" t="n">
        <v>70944.52</v>
      </c>
      <c r="V99" s="247" t="n">
        <v>96838.68</v>
      </c>
      <c r="W99" s="247" t="n">
        <v>122732.84</v>
      </c>
      <c r="X99" s="247" t="n">
        <v>148626.99</v>
      </c>
      <c r="Y99" s="247" t="n">
        <v>174521.16</v>
      </c>
      <c r="Z99" s="247" t="n">
        <v>200415.31</v>
      </c>
      <c r="AA99" s="247" t="n">
        <v>226309.46</v>
      </c>
      <c r="AB99" s="247" t="n">
        <v>252203.62</v>
      </c>
      <c r="AC99" s="247" t="n">
        <v>278097.79</v>
      </c>
      <c r="AD99" s="247" t="n">
        <v>303991.94</v>
      </c>
      <c r="AE99" s="247" t="n">
        <v>329886.11</v>
      </c>
      <c r="AF99" s="247" t="n">
        <v>400830.61</v>
      </c>
      <c r="AG99" s="247" t="n">
        <v>311512.01</v>
      </c>
      <c r="AH99" s="247" t="n">
        <v>312294.13</v>
      </c>
      <c r="AI99" s="247" t="n">
        <v>313076.23</v>
      </c>
      <c r="AJ99" s="247" t="n">
        <v>313858.34</v>
      </c>
      <c r="AK99" s="247" t="n">
        <v>314640.44</v>
      </c>
      <c r="AL99" s="247" t="n">
        <v>341316.71</v>
      </c>
      <c r="AM99" s="247" t="n">
        <v>316204.67</v>
      </c>
      <c r="AN99" s="247" t="n">
        <v>291092.62</v>
      </c>
      <c r="AO99" s="247" t="n">
        <v>265980.57</v>
      </c>
      <c r="AP99" s="247" t="n">
        <v>240868.51</v>
      </c>
      <c r="AQ99" s="247" t="n">
        <v>215756.47</v>
      </c>
      <c r="AR99" s="247" t="n">
        <v>190644.42</v>
      </c>
      <c r="AS99" s="247" t="n">
        <v>165532.36</v>
      </c>
      <c r="AT99" s="247" t="n">
        <v>140420.32</v>
      </c>
      <c r="AU99" s="247" t="n">
        <v>115308.27</v>
      </c>
      <c r="AV99" s="247" t="n">
        <v>196095.1</v>
      </c>
      <c r="AW99" s="247" t="n">
        <v>170200.95</v>
      </c>
      <c r="AX99" s="247" t="n">
        <v>119194.75</v>
      </c>
      <c r="AY99" s="247" t="n">
        <v>118412.64</v>
      </c>
      <c r="AZ99" s="247" t="n">
        <v>117630.52</v>
      </c>
      <c r="BA99" s="247" t="n">
        <v>116848.42</v>
      </c>
      <c r="BB99" s="247" t="n">
        <v>116066.31</v>
      </c>
      <c r="BC99" s="247" t="n">
        <v>115284.2</v>
      </c>
      <c r="BD99" s="247" t="n">
        <v>114502.09</v>
      </c>
      <c r="BE99" s="247" t="n">
        <v>113719.98</v>
      </c>
      <c r="BF99" s="247" t="n">
        <v>112937.87</v>
      </c>
      <c r="BG99" s="247" t="n">
        <v>112155.76</v>
      </c>
      <c r="BH99" s="247" t="n">
        <v>111373.65</v>
      </c>
      <c r="BI99" s="247" t="n">
        <v>110591.54</v>
      </c>
      <c r="BJ99" s="247" t="n">
        <v>109809.44</v>
      </c>
      <c r="BK99" s="1" t="n">
        <v>109027.32</v>
      </c>
      <c r="BL99" s="1" t="n">
        <v>108245.21</v>
      </c>
      <c r="BM99" s="1" t="n">
        <v>213361.99</v>
      </c>
    </row>
    <row r="100" customFormat="false" ht="15" hidden="false" customHeight="true" outlineLevel="0" collapsed="false">
      <c r="A100" s="99" t="s">
        <v>721</v>
      </c>
      <c r="B100" s="246" t="n">
        <f aca="false">SUM(C100:CH100)</f>
        <v>-1500039</v>
      </c>
      <c r="C100" s="1" t="n">
        <v>0</v>
      </c>
      <c r="D100" s="1" t="n">
        <v>0</v>
      </c>
      <c r="E100" s="1" t="n">
        <v>0</v>
      </c>
      <c r="F100" s="1" t="n">
        <v>0</v>
      </c>
      <c r="G100" s="1" t="n">
        <v>0</v>
      </c>
      <c r="H100" s="1" t="n">
        <v>0</v>
      </c>
      <c r="I100" s="1" t="n">
        <v>0</v>
      </c>
      <c r="J100" s="1" t="n">
        <v>0</v>
      </c>
      <c r="K100" s="1" t="n">
        <v>0</v>
      </c>
      <c r="L100" s="247" t="n">
        <v>0</v>
      </c>
      <c r="M100" s="247" t="n">
        <v>0</v>
      </c>
      <c r="N100" s="247" t="n">
        <v>0</v>
      </c>
      <c r="O100" s="247" t="n">
        <v>0</v>
      </c>
      <c r="P100" s="247" t="n">
        <v>-10417</v>
      </c>
      <c r="Q100" s="247" t="n">
        <v>-10417</v>
      </c>
      <c r="R100" s="247" t="n">
        <v>-10417</v>
      </c>
      <c r="S100" s="247" t="n">
        <v>-17917</v>
      </c>
      <c r="T100" s="247" t="n">
        <v>-17917</v>
      </c>
      <c r="U100" s="247" t="n">
        <v>-17917</v>
      </c>
      <c r="V100" s="247" t="n">
        <v>-17917</v>
      </c>
      <c r="W100" s="247" t="n">
        <v>-17917</v>
      </c>
      <c r="X100" s="247" t="n">
        <v>-27084</v>
      </c>
      <c r="Y100" s="247" t="n">
        <v>-27084</v>
      </c>
      <c r="Z100" s="247" t="n">
        <v>-27084</v>
      </c>
      <c r="AA100" s="247" t="n">
        <v>-27084</v>
      </c>
      <c r="AB100" s="247" t="n">
        <v>-27084</v>
      </c>
      <c r="AC100" s="247" t="n">
        <v>-27084</v>
      </c>
      <c r="AD100" s="247" t="n">
        <v>-27084</v>
      </c>
      <c r="AE100" s="247" t="n">
        <v>-27084</v>
      </c>
      <c r="AF100" s="247" t="n">
        <v>-37501</v>
      </c>
      <c r="AG100" s="247" t="n">
        <v>-37501</v>
      </c>
      <c r="AH100" s="247" t="n">
        <v>-37501</v>
      </c>
      <c r="AI100" s="247" t="n">
        <v>-37501</v>
      </c>
      <c r="AJ100" s="247" t="n">
        <v>-37501</v>
      </c>
      <c r="AK100" s="247" t="n">
        <v>-37501</v>
      </c>
      <c r="AL100" s="247" t="n">
        <v>-37501</v>
      </c>
      <c r="AM100" s="247" t="n">
        <v>-37501</v>
      </c>
      <c r="AN100" s="247" t="n">
        <v>-37501</v>
      </c>
      <c r="AO100" s="247" t="n">
        <v>-37501</v>
      </c>
      <c r="AP100" s="247" t="n">
        <v>-37501</v>
      </c>
      <c r="AQ100" s="247" t="n">
        <v>-37501</v>
      </c>
      <c r="AR100" s="247" t="n">
        <v>-37501</v>
      </c>
      <c r="AS100" s="247" t="n">
        <v>-37501</v>
      </c>
      <c r="AT100" s="247" t="n">
        <v>-37501</v>
      </c>
      <c r="AU100" s="247" t="n">
        <v>-37501</v>
      </c>
      <c r="AV100" s="247" t="n">
        <v>-37501</v>
      </c>
      <c r="AW100" s="247" t="n">
        <v>-37501</v>
      </c>
      <c r="AX100" s="247" t="n">
        <v>-37501</v>
      </c>
      <c r="AY100" s="247" t="n">
        <v>-37501</v>
      </c>
      <c r="AZ100" s="247" t="n">
        <v>-37501</v>
      </c>
      <c r="BA100" s="247" t="n">
        <v>-37501</v>
      </c>
      <c r="BB100" s="247" t="n">
        <v>-37501</v>
      </c>
      <c r="BC100" s="247" t="n">
        <v>-37501</v>
      </c>
      <c r="BD100" s="247" t="n">
        <v>-37501</v>
      </c>
      <c r="BE100" s="247" t="n">
        <v>-37501</v>
      </c>
      <c r="BF100" s="247" t="n">
        <v>-37501</v>
      </c>
      <c r="BG100" s="247" t="n">
        <v>-37501</v>
      </c>
      <c r="BH100" s="1" t="n">
        <v>-37501</v>
      </c>
      <c r="BI100" s="1" t="n">
        <v>-37501</v>
      </c>
      <c r="BJ100" s="1" t="n">
        <v>-37501</v>
      </c>
      <c r="BK100" s="1" t="n">
        <v>0</v>
      </c>
      <c r="BL100" s="1" t="n">
        <v>0</v>
      </c>
      <c r="BM100" s="1" t="n">
        <v>0</v>
      </c>
      <c r="BN100" s="1" t="n">
        <v>0</v>
      </c>
      <c r="BO100" s="1" t="n">
        <v>0</v>
      </c>
      <c r="BP100" s="1" t="n">
        <v>0</v>
      </c>
      <c r="BQ100" s="1" t="n">
        <v>0</v>
      </c>
      <c r="BR100" s="1" t="n">
        <v>0</v>
      </c>
      <c r="BS100" s="1" t="n">
        <v>0</v>
      </c>
      <c r="BT100" s="1" t="n">
        <v>0</v>
      </c>
      <c r="BU100" s="1" t="n">
        <v>0</v>
      </c>
      <c r="BV100" s="1" t="n">
        <v>0</v>
      </c>
      <c r="BW100" s="1" t="n">
        <v>0</v>
      </c>
      <c r="BX100" s="1" t="n">
        <v>0</v>
      </c>
      <c r="BY100" s="1" t="n">
        <v>0</v>
      </c>
      <c r="BZ100" s="1" t="n">
        <v>0</v>
      </c>
      <c r="CA100" s="1" t="n">
        <v>0</v>
      </c>
      <c r="CB100" s="1" t="n">
        <v>0</v>
      </c>
      <c r="CC100" s="1" t="n">
        <v>0</v>
      </c>
      <c r="CD100" s="1" t="n">
        <v>0</v>
      </c>
      <c r="CE100" s="1" t="n">
        <v>0</v>
      </c>
      <c r="CF100" s="1" t="n">
        <v>0</v>
      </c>
      <c r="CG100" s="1" t="n">
        <v>0</v>
      </c>
      <c r="CH100" s="1" t="n">
        <v>0</v>
      </c>
    </row>
    <row r="101" customFormat="false" ht="15" hidden="false" customHeight="true" outlineLevel="0" collapsed="false">
      <c r="A101" s="99" t="s">
        <v>722</v>
      </c>
      <c r="B101" s="246" t="n">
        <f aca="false">SUM(C101:CH101)</f>
        <v>-456000</v>
      </c>
      <c r="L101" s="247"/>
      <c r="M101" s="247"/>
      <c r="N101" s="247"/>
      <c r="O101" s="247" t="n">
        <v>-9500</v>
      </c>
      <c r="P101" s="247" t="n">
        <v>-9500</v>
      </c>
      <c r="Q101" s="247" t="n">
        <v>-9500</v>
      </c>
      <c r="R101" s="247" t="n">
        <v>-9500</v>
      </c>
      <c r="S101" s="247" t="n">
        <v>-9500</v>
      </c>
      <c r="T101" s="247" t="n">
        <v>-9500</v>
      </c>
      <c r="U101" s="247" t="n">
        <v>-9500</v>
      </c>
      <c r="V101" s="247" t="n">
        <v>-9500</v>
      </c>
      <c r="W101" s="247" t="n">
        <v>-9500</v>
      </c>
      <c r="X101" s="247" t="n">
        <v>-9500</v>
      </c>
      <c r="Y101" s="247" t="n">
        <v>-9500</v>
      </c>
      <c r="Z101" s="247" t="n">
        <v>-9500</v>
      </c>
      <c r="AA101" s="247" t="n">
        <v>-9500</v>
      </c>
      <c r="AB101" s="247" t="n">
        <v>-9500</v>
      </c>
      <c r="AC101" s="247" t="n">
        <v>-9500</v>
      </c>
      <c r="AD101" s="247" t="n">
        <v>-9500</v>
      </c>
      <c r="AE101" s="247" t="n">
        <v>-9500</v>
      </c>
      <c r="AF101" s="247" t="n">
        <v>-9500</v>
      </c>
      <c r="AG101" s="247" t="n">
        <v>-9500</v>
      </c>
      <c r="AH101" s="247" t="n">
        <v>-9500</v>
      </c>
      <c r="AI101" s="247" t="n">
        <v>-9500</v>
      </c>
      <c r="AJ101" s="247" t="n">
        <v>-9500</v>
      </c>
      <c r="AK101" s="247" t="n">
        <v>-9500</v>
      </c>
      <c r="AL101" s="247" t="n">
        <v>-9500</v>
      </c>
      <c r="AM101" s="247" t="n">
        <v>-9500</v>
      </c>
      <c r="AN101" s="247" t="n">
        <v>-9500</v>
      </c>
      <c r="AO101" s="247" t="n">
        <v>-9500</v>
      </c>
      <c r="AP101" s="247" t="n">
        <v>-9500</v>
      </c>
      <c r="AQ101" s="247" t="n">
        <v>-9500</v>
      </c>
      <c r="AR101" s="247" t="n">
        <v>-9500</v>
      </c>
      <c r="AS101" s="247" t="n">
        <v>-9500</v>
      </c>
      <c r="AT101" s="247" t="n">
        <v>-9500</v>
      </c>
      <c r="AU101" s="247" t="n">
        <v>-9500</v>
      </c>
      <c r="AV101" s="247" t="n">
        <v>-9500</v>
      </c>
      <c r="AW101" s="247" t="n">
        <v>-9500</v>
      </c>
      <c r="AX101" s="247" t="n">
        <v>-9500</v>
      </c>
      <c r="AY101" s="247" t="n">
        <v>-9500</v>
      </c>
      <c r="AZ101" s="247" t="n">
        <v>-9500</v>
      </c>
      <c r="BA101" s="247" t="n">
        <v>-9500</v>
      </c>
      <c r="BB101" s="247" t="n">
        <v>-9500</v>
      </c>
      <c r="BC101" s="247" t="n">
        <v>-9500</v>
      </c>
      <c r="BD101" s="247" t="n">
        <v>-9500</v>
      </c>
      <c r="BE101" s="247" t="n">
        <v>-9500</v>
      </c>
      <c r="BF101" s="247" t="n">
        <v>-9500</v>
      </c>
      <c r="BG101" s="247" t="n">
        <v>-9500</v>
      </c>
      <c r="BH101" s="1" t="n">
        <v>-9500</v>
      </c>
      <c r="BI101" s="1" t="n">
        <v>-9500</v>
      </c>
      <c r="BJ101" s="1" t="n">
        <v>-9500</v>
      </c>
    </row>
    <row r="102" customFormat="false" ht="15" hidden="false" customHeight="true" outlineLevel="0" collapsed="false">
      <c r="A102" s="99" t="s">
        <v>723</v>
      </c>
      <c r="B102" s="246" t="n">
        <f aca="false">SUM(C102:CH102)</f>
        <v>7053626</v>
      </c>
      <c r="C102" s="248" t="n">
        <f aca="false">C99+C100+C101</f>
        <v>0</v>
      </c>
      <c r="D102" s="248" t="n">
        <f aca="false">D99+D100+D101</f>
        <v>0</v>
      </c>
      <c r="E102" s="248" t="n">
        <f aca="false">E99+E100+E101</f>
        <v>0</v>
      </c>
      <c r="F102" s="248" t="n">
        <f aca="false">F99+F100+F101</f>
        <v>0</v>
      </c>
      <c r="G102" s="248" t="n">
        <f aca="false">G99+G100+G101</f>
        <v>0</v>
      </c>
      <c r="H102" s="248" t="n">
        <f aca="false">H99+H100+H101</f>
        <v>0</v>
      </c>
      <c r="I102" s="248" t="n">
        <f aca="false">I99+I100+I101</f>
        <v>0</v>
      </c>
      <c r="J102" s="248" t="n">
        <f aca="false">J99+J100+J101</f>
        <v>0</v>
      </c>
      <c r="K102" s="248" t="n">
        <f aca="false">K99+K100+K101</f>
        <v>0</v>
      </c>
      <c r="L102" s="248" t="n">
        <f aca="false">L99+L100+L101</f>
        <v>0</v>
      </c>
      <c r="M102" s="248" t="n">
        <f aca="false">M99+M100+M101</f>
        <v>0</v>
      </c>
      <c r="N102" s="248" t="n">
        <f aca="false">N99+N100+N101</f>
        <v>0</v>
      </c>
      <c r="O102" s="248" t="n">
        <f aca="false">O99+O100+O101</f>
        <v>35550.36</v>
      </c>
      <c r="P102" s="248" t="n">
        <f aca="false">P99+P100+P101</f>
        <v>25133.36</v>
      </c>
      <c r="Q102" s="248" t="n">
        <f aca="false">Q99+Q100+Q101</f>
        <v>25133.36</v>
      </c>
      <c r="R102" s="248" t="n">
        <f aca="false">R99+R100+R101</f>
        <v>25133.36</v>
      </c>
      <c r="S102" s="248" t="n">
        <f aca="false">S99+S100+S101</f>
        <v>17633.36</v>
      </c>
      <c r="T102" s="248" t="n">
        <f aca="false">T99+T100+T101</f>
        <v>17633.36</v>
      </c>
      <c r="U102" s="248" t="n">
        <f aca="false">U99+U100+U101</f>
        <v>43527.52</v>
      </c>
      <c r="V102" s="248" t="n">
        <f aca="false">V99+V100+V101</f>
        <v>69421.68</v>
      </c>
      <c r="W102" s="248" t="n">
        <f aca="false">W99+W100+W101</f>
        <v>95315.84</v>
      </c>
      <c r="X102" s="248" t="n">
        <f aca="false">X99+X100+X101</f>
        <v>112042.99</v>
      </c>
      <c r="Y102" s="248" t="n">
        <f aca="false">Y99+Y100+Y101</f>
        <v>137937.16</v>
      </c>
      <c r="Z102" s="248" t="n">
        <f aca="false">Z99+Z100+Z101</f>
        <v>163831.31</v>
      </c>
      <c r="AA102" s="248" t="n">
        <f aca="false">AA99+AA100+AA101</f>
        <v>189725.46</v>
      </c>
      <c r="AB102" s="248" t="n">
        <f aca="false">AB99+AB100+AB101</f>
        <v>215619.62</v>
      </c>
      <c r="AC102" s="248" t="n">
        <f aca="false">AC99+AC100+AC101</f>
        <v>241513.79</v>
      </c>
      <c r="AD102" s="248" t="n">
        <f aca="false">AD99+AD100+AD101</f>
        <v>267407.94</v>
      </c>
      <c r="AE102" s="248" t="n">
        <f aca="false">AE99+AE100+AE101</f>
        <v>293302.11</v>
      </c>
      <c r="AF102" s="248" t="n">
        <f aca="false">AF99+AF100+AF101</f>
        <v>353829.61</v>
      </c>
      <c r="AG102" s="248" t="n">
        <f aca="false">AG99+AG100+AG101</f>
        <v>264511.01</v>
      </c>
      <c r="AH102" s="248" t="n">
        <f aca="false">AH99+AH100+AH101</f>
        <v>265293.13</v>
      </c>
      <c r="AI102" s="248" t="n">
        <f aca="false">AI99+AI100+AI101</f>
        <v>266075.23</v>
      </c>
      <c r="AJ102" s="248" t="n">
        <f aca="false">AJ99+AJ100+AJ101</f>
        <v>266857.34</v>
      </c>
      <c r="AK102" s="248" t="n">
        <f aca="false">AK99+AK100+AK101</f>
        <v>267639.44</v>
      </c>
      <c r="AL102" s="248" t="n">
        <f aca="false">AL99+AL100+AL101</f>
        <v>294315.71</v>
      </c>
      <c r="AM102" s="248" t="n">
        <f aca="false">AM99+AM100+AM101</f>
        <v>269203.67</v>
      </c>
      <c r="AN102" s="248" t="n">
        <f aca="false">AN99+AN100+AN101</f>
        <v>244091.62</v>
      </c>
      <c r="AO102" s="248" t="n">
        <f aca="false">AO99+AO100+AO101</f>
        <v>218979.57</v>
      </c>
      <c r="AP102" s="248" t="n">
        <f aca="false">AP99+AP100+AP101</f>
        <v>193867.51</v>
      </c>
      <c r="AQ102" s="248" t="n">
        <f aca="false">AQ99+AQ100+AQ101</f>
        <v>168755.47</v>
      </c>
      <c r="AR102" s="248" t="n">
        <f aca="false">AR99+AR100+AR101</f>
        <v>143643.42</v>
      </c>
      <c r="AS102" s="248" t="n">
        <f aca="false">AS99+AS100+AS101</f>
        <v>118531.36</v>
      </c>
      <c r="AT102" s="248" t="n">
        <f aca="false">AT99+AT100+AT101</f>
        <v>93419.32</v>
      </c>
      <c r="AU102" s="248" t="n">
        <f aca="false">AU99+AU100+AU101</f>
        <v>68307.27</v>
      </c>
      <c r="AV102" s="248" t="n">
        <f aca="false">AV99+AV100+AV101</f>
        <v>149094.1</v>
      </c>
      <c r="AW102" s="248" t="n">
        <f aca="false">AW99+AW100+AW101</f>
        <v>123199.95</v>
      </c>
      <c r="AX102" s="248" t="n">
        <f aca="false">AX99+AX100+AX101</f>
        <v>72193.75</v>
      </c>
      <c r="AY102" s="248" t="n">
        <f aca="false">AY99+AY100+AY101</f>
        <v>71411.64</v>
      </c>
      <c r="AZ102" s="248" t="n">
        <f aca="false">AZ99+AZ100+AZ101</f>
        <v>70629.52</v>
      </c>
      <c r="BA102" s="248" t="n">
        <f aca="false">BA99+BA100+BA101</f>
        <v>69847.42</v>
      </c>
      <c r="BB102" s="248" t="n">
        <f aca="false">BB99+BB100+BB101</f>
        <v>69065.31</v>
      </c>
      <c r="BC102" s="248" t="n">
        <f aca="false">BC99+BC100+BC101</f>
        <v>68283.2</v>
      </c>
      <c r="BD102" s="248" t="n">
        <f aca="false">BD99+BD100+BD101</f>
        <v>67501.09</v>
      </c>
      <c r="BE102" s="248" t="n">
        <f aca="false">BE99+BE100+BE101</f>
        <v>66718.98</v>
      </c>
      <c r="BF102" s="248" t="n">
        <f aca="false">BF99+BF100+BF101</f>
        <v>65936.87</v>
      </c>
      <c r="BG102" s="248" t="n">
        <f aca="false">BG99+BG100+BG101</f>
        <v>65154.76</v>
      </c>
      <c r="BH102" s="248" t="n">
        <f aca="false">BH99+BH100+BH101</f>
        <v>64372.65</v>
      </c>
      <c r="BI102" s="248" t="n">
        <f aca="false">BI99+BI100+BI101</f>
        <v>63590.54</v>
      </c>
      <c r="BJ102" s="248" t="n">
        <f aca="false">BJ99+BJ100+BJ101</f>
        <v>62808.44</v>
      </c>
      <c r="BK102" s="248" t="n">
        <f aca="false">BK99+BK100+BK101</f>
        <v>109027.32</v>
      </c>
      <c r="BL102" s="248" t="n">
        <f aca="false">BL99+BL100+BL101</f>
        <v>108245.21</v>
      </c>
      <c r="BM102" s="248" t="n">
        <f aca="false">BM99+BM100+BM101</f>
        <v>213361.99</v>
      </c>
      <c r="BN102" s="248" t="n">
        <f aca="false">BN99+BN100+BN101</f>
        <v>0</v>
      </c>
      <c r="BO102" s="248" t="n">
        <f aca="false">BO99+BO100+BO101</f>
        <v>0</v>
      </c>
      <c r="BP102" s="248" t="n">
        <f aca="false">BP99+BP100+BP101</f>
        <v>0</v>
      </c>
      <c r="BQ102" s="248" t="n">
        <f aca="false">BQ99+BQ100+BQ101</f>
        <v>0</v>
      </c>
      <c r="BR102" s="248" t="n">
        <f aca="false">BR99+BR100+BR101</f>
        <v>0</v>
      </c>
      <c r="BS102" s="248" t="n">
        <f aca="false">BS99+BS100+BS101</f>
        <v>0</v>
      </c>
      <c r="BT102" s="248" t="n">
        <f aca="false">BT99+BT100+BT101</f>
        <v>0</v>
      </c>
      <c r="BU102" s="248" t="n">
        <f aca="false">BU99+BU100+BU101</f>
        <v>0</v>
      </c>
      <c r="BV102" s="248" t="n">
        <f aca="false">BV99+BV100+BV101</f>
        <v>0</v>
      </c>
      <c r="BW102" s="248" t="n">
        <f aca="false">BW99+BW100+BW101</f>
        <v>0</v>
      </c>
      <c r="BX102" s="248" t="n">
        <f aca="false">BX99+BX100+BX101</f>
        <v>0</v>
      </c>
      <c r="BY102" s="248" t="n">
        <f aca="false">BY99+BY100+BY101</f>
        <v>0</v>
      </c>
      <c r="BZ102" s="248" t="n">
        <f aca="false">BZ99+BZ100+BZ101</f>
        <v>0</v>
      </c>
      <c r="CA102" s="248" t="n">
        <f aca="false">CA99+CA100+CA101</f>
        <v>0</v>
      </c>
      <c r="CB102" s="248" t="n">
        <f aca="false">CB99+CB100+CB101</f>
        <v>0</v>
      </c>
      <c r="CC102" s="248" t="n">
        <f aca="false">CC99+CC100+CC101</f>
        <v>0</v>
      </c>
      <c r="CD102" s="248" t="n">
        <f aca="false">CD99+CD100+CD101</f>
        <v>0</v>
      </c>
      <c r="CE102" s="248" t="n">
        <f aca="false">CE99+CE100+CE101</f>
        <v>0</v>
      </c>
      <c r="CF102" s="248" t="n">
        <f aca="false">CF99+CF100+CF101</f>
        <v>0</v>
      </c>
      <c r="CG102" s="248" t="n">
        <f aca="false">CG99+CG100+CG101</f>
        <v>0</v>
      </c>
      <c r="CH102" s="248" t="n">
        <f aca="false">CH99+CH100+CH101</f>
        <v>0</v>
      </c>
    </row>
    <row r="103" customFormat="false" ht="15" hidden="false" customHeight="true" outlineLevel="0" collapsed="false">
      <c r="A103" s="99" t="s">
        <v>724</v>
      </c>
      <c r="B103" s="246" t="n">
        <f aca="false">SUM(C103:CH103)</f>
        <v>563192.617</v>
      </c>
      <c r="C103" s="248" t="n">
        <f aca="false">MIN(C99*$B$94,12500)</f>
        <v>0</v>
      </c>
      <c r="D103" s="248" t="n">
        <f aca="false">MIN(D99*$B$94,12500)</f>
        <v>0</v>
      </c>
      <c r="E103" s="248" t="n">
        <f aca="false">MIN(E99*$B$94,12500)</f>
        <v>0</v>
      </c>
      <c r="F103" s="248" t="n">
        <f aca="false">MIN(F99*$B$94,12500)</f>
        <v>0</v>
      </c>
      <c r="G103" s="248" t="n">
        <f aca="false">MIN(G99*$B$94,12500)</f>
        <v>0</v>
      </c>
      <c r="H103" s="248" t="n">
        <f aca="false">MIN(H99*$B$94,12500)</f>
        <v>0</v>
      </c>
      <c r="I103" s="248" t="n">
        <f aca="false">MIN(I99*$B$94,12500)</f>
        <v>0</v>
      </c>
      <c r="J103" s="248" t="n">
        <f aca="false">MIN(J99*$B$94,12500)</f>
        <v>0</v>
      </c>
      <c r="K103" s="248" t="n">
        <f aca="false">MIN(K99*$B$94,12500)</f>
        <v>0</v>
      </c>
      <c r="L103" s="248" t="n">
        <f aca="false">MIN(L99*$B$94,12500)</f>
        <v>0</v>
      </c>
      <c r="M103" s="248" t="n">
        <f aca="false">MIN(M99*$B$94,12500)</f>
        <v>0</v>
      </c>
      <c r="N103" s="248" t="n">
        <f aca="false">MIN(N99*$B$94,12500)</f>
        <v>0</v>
      </c>
      <c r="O103" s="248" t="n">
        <f aca="false">MIN(O99*$B$94,12500)</f>
        <v>4505.036</v>
      </c>
      <c r="P103" s="248" t="n">
        <f aca="false">MIN(P99*$B$94,12500)</f>
        <v>4505.036</v>
      </c>
      <c r="Q103" s="248" t="n">
        <f aca="false">MIN(Q99*$B$94,12500)</f>
        <v>4505.036</v>
      </c>
      <c r="R103" s="248" t="n">
        <f aca="false">MIN(R99*$B$94,12500)</f>
        <v>4505.036</v>
      </c>
      <c r="S103" s="248" t="n">
        <f aca="false">MIN(S99*$B$94,12500)</f>
        <v>4505.036</v>
      </c>
      <c r="T103" s="248" t="n">
        <f aca="false">MIN(T99*$B$94,12500)</f>
        <v>4505.036</v>
      </c>
      <c r="U103" s="248" t="n">
        <f aca="false">MIN(U99*$B$94,12500)</f>
        <v>7094.452</v>
      </c>
      <c r="V103" s="248" t="n">
        <f aca="false">MIN(V99*$B$94,12500)</f>
        <v>9683.868</v>
      </c>
      <c r="W103" s="248" t="n">
        <f aca="false">MIN(W99*$B$94,12500)</f>
        <v>12273.284</v>
      </c>
      <c r="X103" s="248" t="n">
        <f aca="false">MIN(X99*$B$94,12500)</f>
        <v>12500</v>
      </c>
      <c r="Y103" s="248" t="n">
        <f aca="false">MIN(Y99*$B$94,12500)</f>
        <v>12500</v>
      </c>
      <c r="Z103" s="248" t="n">
        <f aca="false">MIN(Z99*$B$94,12500)</f>
        <v>12500</v>
      </c>
      <c r="AA103" s="248" t="n">
        <f aca="false">MIN(AA99*$B$94,12500)</f>
        <v>12500</v>
      </c>
      <c r="AB103" s="248" t="n">
        <f aca="false">MIN(AB99*$B$94,12500)</f>
        <v>12500</v>
      </c>
      <c r="AC103" s="248" t="n">
        <f aca="false">MIN(AC99*$B$94,12500)</f>
        <v>12500</v>
      </c>
      <c r="AD103" s="248" t="n">
        <f aca="false">MIN(AD99*$B$94,12500)</f>
        <v>12500</v>
      </c>
      <c r="AE103" s="248" t="n">
        <f aca="false">MIN(AE99*$B$94,12500)</f>
        <v>12500</v>
      </c>
      <c r="AF103" s="248" t="n">
        <f aca="false">MIN(AF99*$B$94,12500)</f>
        <v>12500</v>
      </c>
      <c r="AG103" s="248" t="n">
        <f aca="false">MIN(AG99*$B$94,12500)</f>
        <v>12500</v>
      </c>
      <c r="AH103" s="248" t="n">
        <f aca="false">MIN(AH99*$B$94,12500)</f>
        <v>12500</v>
      </c>
      <c r="AI103" s="248" t="n">
        <f aca="false">MIN(AI99*$B$94,12500)</f>
        <v>12500</v>
      </c>
      <c r="AJ103" s="248" t="n">
        <f aca="false">MIN(AJ99*$B$94,12500)</f>
        <v>12500</v>
      </c>
      <c r="AK103" s="248" t="n">
        <f aca="false">MIN(AK99*$B$94,12500)</f>
        <v>12500</v>
      </c>
      <c r="AL103" s="248" t="n">
        <f aca="false">MIN(AL99*$B$94,12500)</f>
        <v>12500</v>
      </c>
      <c r="AM103" s="248" t="n">
        <f aca="false">MIN(AM99*$B$94,12500)</f>
        <v>12500</v>
      </c>
      <c r="AN103" s="248" t="n">
        <f aca="false">MIN(AN99*$B$94,12500)</f>
        <v>12500</v>
      </c>
      <c r="AO103" s="248" t="n">
        <f aca="false">MIN(AO99*$B$94,12500)</f>
        <v>12500</v>
      </c>
      <c r="AP103" s="248" t="n">
        <f aca="false">MIN(AP99*$B$94,12500)</f>
        <v>12500</v>
      </c>
      <c r="AQ103" s="248" t="n">
        <f aca="false">MIN(AQ99*$B$94,12500)</f>
        <v>12500</v>
      </c>
      <c r="AR103" s="248" t="n">
        <f aca="false">MIN(AR99*$B$94,12500)</f>
        <v>12500</v>
      </c>
      <c r="AS103" s="248" t="n">
        <f aca="false">MIN(AS99*$B$94,12500)</f>
        <v>12500</v>
      </c>
      <c r="AT103" s="248" t="n">
        <f aca="false">MIN(AT99*$B$94,12500)</f>
        <v>12500</v>
      </c>
      <c r="AU103" s="248" t="n">
        <f aca="false">MIN(AU99*$B$94,12500)</f>
        <v>11530.827</v>
      </c>
      <c r="AV103" s="248" t="n">
        <f aca="false">MIN(AV99*$B$94,12500)</f>
        <v>12500</v>
      </c>
      <c r="AW103" s="248" t="n">
        <f aca="false">MIN(AW99*$B$94,12500)</f>
        <v>12500</v>
      </c>
      <c r="AX103" s="248" t="n">
        <f aca="false">MIN(AX99*$B$94,12500)</f>
        <v>11919.475</v>
      </c>
      <c r="AY103" s="248" t="n">
        <f aca="false">MIN(AY99*$B$94,12500)</f>
        <v>11841.264</v>
      </c>
      <c r="AZ103" s="248" t="n">
        <f aca="false">MIN(AZ99*$B$94,12500)</f>
        <v>11763.052</v>
      </c>
      <c r="BA103" s="248" t="n">
        <f aca="false">MIN(BA99*$B$94,12500)</f>
        <v>11684.842</v>
      </c>
      <c r="BB103" s="248" t="n">
        <f aca="false">MIN(BB99*$B$94,12500)</f>
        <v>11606.631</v>
      </c>
      <c r="BC103" s="248" t="n">
        <f aca="false">MIN(BC99*$B$94,12500)</f>
        <v>11528.42</v>
      </c>
      <c r="BD103" s="248" t="n">
        <f aca="false">MIN(BD99*$B$94,12500)</f>
        <v>11450.209</v>
      </c>
      <c r="BE103" s="248" t="n">
        <f aca="false">MIN(BE99*$B$94,12500)</f>
        <v>11371.998</v>
      </c>
      <c r="BF103" s="248" t="n">
        <f aca="false">MIN(BF99*$B$94,12500)</f>
        <v>11293.787</v>
      </c>
      <c r="BG103" s="248" t="n">
        <f aca="false">MIN(BG99*$B$94,12500)</f>
        <v>11215.576</v>
      </c>
      <c r="BH103" s="248" t="n">
        <f aca="false">MIN(BH99*$B$94,12500)</f>
        <v>11137.365</v>
      </c>
      <c r="BI103" s="248" t="n">
        <f aca="false">MIN(BI99*$B$94,12500)</f>
        <v>11059.154</v>
      </c>
      <c r="BJ103" s="248" t="n">
        <f aca="false">MIN(BJ99*$B$94,12500)</f>
        <v>10980.944</v>
      </c>
      <c r="BK103" s="248" t="n">
        <f aca="false">MIN(BK99*$B$94,12500)</f>
        <v>10902.732</v>
      </c>
      <c r="BL103" s="248" t="n">
        <f aca="false">MIN(BL99*$B$94,12500)</f>
        <v>10824.521</v>
      </c>
      <c r="BM103" s="248" t="n">
        <f aca="false">MIN(BM99*$B$94,12500)</f>
        <v>12500</v>
      </c>
      <c r="BN103" s="248" t="n">
        <f aca="false">MIN(BN99*$B$94,12500)</f>
        <v>0</v>
      </c>
      <c r="BO103" s="248" t="n">
        <f aca="false">MIN(BO99*$B$94,12500)</f>
        <v>0</v>
      </c>
      <c r="BP103" s="248" t="n">
        <f aca="false">MIN(BP99*$B$94,12500)</f>
        <v>0</v>
      </c>
      <c r="BQ103" s="248" t="n">
        <f aca="false">MIN(BQ99*$B$94,12500)</f>
        <v>0</v>
      </c>
      <c r="BR103" s="248" t="n">
        <f aca="false">MIN(BR99*$B$94,12500)</f>
        <v>0</v>
      </c>
      <c r="BS103" s="248" t="n">
        <f aca="false">MIN(BS99*$B$94,12500)</f>
        <v>0</v>
      </c>
      <c r="BT103" s="248" t="n">
        <f aca="false">MIN(BT99*$B$94,12500)</f>
        <v>0</v>
      </c>
      <c r="BU103" s="248" t="n">
        <f aca="false">MIN(BU99*$B$94,12500)</f>
        <v>0</v>
      </c>
      <c r="BV103" s="248" t="n">
        <f aca="false">MIN(BV99*$B$94,12500)</f>
        <v>0</v>
      </c>
      <c r="BW103" s="248" t="n">
        <f aca="false">MIN(BW99*$B$94,12500)</f>
        <v>0</v>
      </c>
      <c r="BX103" s="248" t="n">
        <f aca="false">MIN(BX99*$B$94,12500)</f>
        <v>0</v>
      </c>
      <c r="BY103" s="248" t="n">
        <f aca="false">MIN(BY99*$B$94,12500)</f>
        <v>0</v>
      </c>
      <c r="BZ103" s="248" t="n">
        <f aca="false">MIN(BZ99*$B$94,12500)</f>
        <v>0</v>
      </c>
      <c r="CA103" s="248" t="n">
        <f aca="false">MIN(CA99*$B$94,12500)</f>
        <v>0</v>
      </c>
      <c r="CB103" s="248" t="n">
        <f aca="false">MIN(CB99*$B$94,12500)</f>
        <v>0</v>
      </c>
      <c r="CC103" s="248" t="n">
        <f aca="false">MIN(CC99*$B$94,12500)</f>
        <v>0</v>
      </c>
      <c r="CD103" s="248" t="n">
        <f aca="false">MIN(CD99*$B$94,12500)</f>
        <v>0</v>
      </c>
      <c r="CE103" s="248" t="n">
        <f aca="false">MIN(CE99*$B$94,12500)</f>
        <v>0</v>
      </c>
      <c r="CF103" s="248" t="n">
        <f aca="false">MIN(CF99*$B$94,12500)</f>
        <v>0</v>
      </c>
      <c r="CG103" s="248" t="n">
        <f aca="false">MIN(CG99*$B$94,12500)</f>
        <v>0</v>
      </c>
      <c r="CH103" s="248" t="n">
        <f aca="false">MIN(CH99*$B$94,12500)</f>
        <v>0</v>
      </c>
    </row>
    <row r="104" customFormat="false" ht="15" hidden="false" customHeight="true" outlineLevel="0" collapsed="false">
      <c r="A104" s="99" t="s">
        <v>725</v>
      </c>
      <c r="B104" s="246" t="n">
        <f aca="false">SUM(C104:CH104)</f>
        <v>6490433.383</v>
      </c>
      <c r="C104" s="248" t="n">
        <f aca="false">C102-C103</f>
        <v>0</v>
      </c>
      <c r="D104" s="248" t="n">
        <f aca="false">D102-D103</f>
        <v>0</v>
      </c>
      <c r="E104" s="248" t="n">
        <f aca="false">E102-E103</f>
        <v>0</v>
      </c>
      <c r="F104" s="248" t="n">
        <f aca="false">F102-F103</f>
        <v>0</v>
      </c>
      <c r="G104" s="248" t="n">
        <f aca="false">G102-G103</f>
        <v>0</v>
      </c>
      <c r="H104" s="248" t="n">
        <f aca="false">H102-H103</f>
        <v>0</v>
      </c>
      <c r="I104" s="248" t="n">
        <f aca="false">I102-I103</f>
        <v>0</v>
      </c>
      <c r="J104" s="248" t="n">
        <f aca="false">J102-J103</f>
        <v>0</v>
      </c>
      <c r="K104" s="248" t="n">
        <f aca="false">K102-K103</f>
        <v>0</v>
      </c>
      <c r="L104" s="248" t="n">
        <f aca="false">L102-L103</f>
        <v>0</v>
      </c>
      <c r="M104" s="248" t="n">
        <f aca="false">M102-M103</f>
        <v>0</v>
      </c>
      <c r="N104" s="248" t="n">
        <f aca="false">N102-N103</f>
        <v>0</v>
      </c>
      <c r="O104" s="248" t="n">
        <f aca="false">O102-O103</f>
        <v>31045.324</v>
      </c>
      <c r="P104" s="248" t="n">
        <f aca="false">P102-P103</f>
        <v>20628.324</v>
      </c>
      <c r="Q104" s="248" t="n">
        <f aca="false">Q102-Q103</f>
        <v>20628.324</v>
      </c>
      <c r="R104" s="248" t="n">
        <f aca="false">R102-R103</f>
        <v>20628.324</v>
      </c>
      <c r="S104" s="248" t="n">
        <f aca="false">S102-S103</f>
        <v>13128.324</v>
      </c>
      <c r="T104" s="248" t="n">
        <f aca="false">T102-T103</f>
        <v>13128.324</v>
      </c>
      <c r="U104" s="248" t="n">
        <f aca="false">U102-U103</f>
        <v>36433.068</v>
      </c>
      <c r="V104" s="248" t="n">
        <f aca="false">V102-V103</f>
        <v>59737.812</v>
      </c>
      <c r="W104" s="248" t="n">
        <f aca="false">W102-W103</f>
        <v>83042.556</v>
      </c>
      <c r="X104" s="248" t="n">
        <f aca="false">X102-X103</f>
        <v>99542.99</v>
      </c>
      <c r="Y104" s="248" t="n">
        <f aca="false">Y102-Y103</f>
        <v>125437.16</v>
      </c>
      <c r="Z104" s="248" t="n">
        <f aca="false">Z102-Z103</f>
        <v>151331.31</v>
      </c>
      <c r="AA104" s="248" t="n">
        <f aca="false">AA102-AA103</f>
        <v>177225.46</v>
      </c>
      <c r="AB104" s="248" t="n">
        <f aca="false">AB102-AB103</f>
        <v>203119.62</v>
      </c>
      <c r="AC104" s="248" t="n">
        <f aca="false">AC102-AC103</f>
        <v>229013.79</v>
      </c>
      <c r="AD104" s="248" t="n">
        <f aca="false">AD102-AD103</f>
        <v>254907.94</v>
      </c>
      <c r="AE104" s="248" t="n">
        <f aca="false">AE102-AE103</f>
        <v>280802.11</v>
      </c>
      <c r="AF104" s="248" t="n">
        <f aca="false">AF102-AF103</f>
        <v>341329.61</v>
      </c>
      <c r="AG104" s="248" t="n">
        <f aca="false">AG102-AG103</f>
        <v>252011.01</v>
      </c>
      <c r="AH104" s="248" t="n">
        <f aca="false">AH102-AH103</f>
        <v>252793.13</v>
      </c>
      <c r="AI104" s="248" t="n">
        <f aca="false">AI102-AI103</f>
        <v>253575.23</v>
      </c>
      <c r="AJ104" s="248" t="n">
        <f aca="false">AJ102-AJ103</f>
        <v>254357.34</v>
      </c>
      <c r="AK104" s="248" t="n">
        <f aca="false">AK102-AK103</f>
        <v>255139.44</v>
      </c>
      <c r="AL104" s="248" t="n">
        <f aca="false">AL102-AL103</f>
        <v>281815.71</v>
      </c>
      <c r="AM104" s="248" t="n">
        <f aca="false">AM102-AM103</f>
        <v>256703.67</v>
      </c>
      <c r="AN104" s="248" t="n">
        <f aca="false">AN102-AN103</f>
        <v>231591.62</v>
      </c>
      <c r="AO104" s="248" t="n">
        <f aca="false">AO102-AO103</f>
        <v>206479.57</v>
      </c>
      <c r="AP104" s="248" t="n">
        <f aca="false">AP102-AP103</f>
        <v>181367.51</v>
      </c>
      <c r="AQ104" s="248" t="n">
        <f aca="false">AQ102-AQ103</f>
        <v>156255.47</v>
      </c>
      <c r="AR104" s="248" t="n">
        <f aca="false">AR102-AR103</f>
        <v>131143.42</v>
      </c>
      <c r="AS104" s="248" t="n">
        <f aca="false">AS102-AS103</f>
        <v>106031.36</v>
      </c>
      <c r="AT104" s="248" t="n">
        <f aca="false">AT102-AT103</f>
        <v>80919.32</v>
      </c>
      <c r="AU104" s="248" t="n">
        <f aca="false">AU102-AU103</f>
        <v>56776.443</v>
      </c>
      <c r="AV104" s="248" t="n">
        <f aca="false">AV102-AV103</f>
        <v>136594.1</v>
      </c>
      <c r="AW104" s="248" t="n">
        <f aca="false">AW102-AW103</f>
        <v>110699.95</v>
      </c>
      <c r="AX104" s="248" t="n">
        <f aca="false">AX102-AX103</f>
        <v>60274.275</v>
      </c>
      <c r="AY104" s="248" t="n">
        <f aca="false">AY102-AY103</f>
        <v>59570.376</v>
      </c>
      <c r="AZ104" s="248" t="n">
        <f aca="false">AZ102-AZ103</f>
        <v>58866.468</v>
      </c>
      <c r="BA104" s="248" t="n">
        <f aca="false">BA102-BA103</f>
        <v>58162.578</v>
      </c>
      <c r="BB104" s="248" t="n">
        <f aca="false">BB102-BB103</f>
        <v>57458.679</v>
      </c>
      <c r="BC104" s="248" t="n">
        <f aca="false">BC102-BC103</f>
        <v>56754.78</v>
      </c>
      <c r="BD104" s="248" t="n">
        <f aca="false">BD102-BD103</f>
        <v>56050.881</v>
      </c>
      <c r="BE104" s="248" t="n">
        <f aca="false">BE102-BE103</f>
        <v>55346.982</v>
      </c>
      <c r="BF104" s="248" t="n">
        <f aca="false">BF102-BF103</f>
        <v>54643.083</v>
      </c>
      <c r="BG104" s="248" t="n">
        <f aca="false">BG102-BG103</f>
        <v>53939.184</v>
      </c>
      <c r="BH104" s="248" t="n">
        <f aca="false">BH102-BH103</f>
        <v>53235.285</v>
      </c>
      <c r="BI104" s="248" t="n">
        <f aca="false">BI102-BI103</f>
        <v>52531.386</v>
      </c>
      <c r="BJ104" s="248" t="n">
        <f aca="false">BJ102-BJ103</f>
        <v>51827.496</v>
      </c>
      <c r="BK104" s="248" t="n">
        <f aca="false">BK102-BK103</f>
        <v>98124.588</v>
      </c>
      <c r="BL104" s="248" t="n">
        <f aca="false">BL102-BL103</f>
        <v>97420.689</v>
      </c>
      <c r="BM104" s="248" t="n">
        <f aca="false">BM102-BM103</f>
        <v>200861.99</v>
      </c>
      <c r="BN104" s="248" t="n">
        <f aca="false">BN102-BN103</f>
        <v>0</v>
      </c>
      <c r="BO104" s="248" t="n">
        <f aca="false">BO102-BO103</f>
        <v>0</v>
      </c>
      <c r="BP104" s="248" t="n">
        <f aca="false">BP102-BP103</f>
        <v>0</v>
      </c>
      <c r="BQ104" s="248" t="n">
        <f aca="false">BQ102-BQ103</f>
        <v>0</v>
      </c>
      <c r="BR104" s="248" t="n">
        <f aca="false">BR102-BR103</f>
        <v>0</v>
      </c>
      <c r="BS104" s="248" t="n">
        <f aca="false">BS102-BS103</f>
        <v>0</v>
      </c>
      <c r="BT104" s="248" t="n">
        <f aca="false">BT102-BT103</f>
        <v>0</v>
      </c>
      <c r="BU104" s="248" t="n">
        <f aca="false">BU102-BU103</f>
        <v>0</v>
      </c>
      <c r="BV104" s="248" t="n">
        <f aca="false">BV102-BV103</f>
        <v>0</v>
      </c>
      <c r="BW104" s="248" t="n">
        <f aca="false">BW102-BW103</f>
        <v>0</v>
      </c>
      <c r="BX104" s="248" t="n">
        <f aca="false">BX102-BX103</f>
        <v>0</v>
      </c>
      <c r="BY104" s="248" t="n">
        <f aca="false">BY102-BY103</f>
        <v>0</v>
      </c>
      <c r="BZ104" s="248" t="n">
        <f aca="false">BZ102-BZ103</f>
        <v>0</v>
      </c>
      <c r="CA104" s="248" t="n">
        <f aca="false">CA102-CA103</f>
        <v>0</v>
      </c>
      <c r="CB104" s="248" t="n">
        <f aca="false">CB102-CB103</f>
        <v>0</v>
      </c>
      <c r="CC104" s="248" t="n">
        <f aca="false">CC102-CC103</f>
        <v>0</v>
      </c>
      <c r="CD104" s="248" t="n">
        <f aca="false">CD102-CD103</f>
        <v>0</v>
      </c>
      <c r="CE104" s="248" t="n">
        <f aca="false">CE102-CE103</f>
        <v>0</v>
      </c>
      <c r="CF104" s="248" t="n">
        <f aca="false">CF102-CF103</f>
        <v>0</v>
      </c>
      <c r="CG104" s="248" t="n">
        <f aca="false">CG102-CG103</f>
        <v>0</v>
      </c>
      <c r="CH104" s="248" t="n">
        <f aca="false">CH102-CH103</f>
        <v>0</v>
      </c>
    </row>
    <row r="105" customFormat="false" ht="15" hidden="false" customHeight="true" outlineLevel="0" collapsed="false">
      <c r="A105" s="99" t="s">
        <v>726</v>
      </c>
      <c r="B105" s="246" t="n">
        <f aca="false">SUM(C105:CH105)</f>
        <v>2951665.926</v>
      </c>
      <c r="C105" s="248" t="n">
        <v>0</v>
      </c>
      <c r="D105" s="248" t="n">
        <v>0</v>
      </c>
      <c r="E105" s="248" t="n">
        <v>0</v>
      </c>
      <c r="F105" s="248" t="n">
        <v>0</v>
      </c>
      <c r="G105" s="248" t="n">
        <v>0</v>
      </c>
      <c r="H105" s="248" t="n">
        <v>0</v>
      </c>
      <c r="I105" s="248" t="n">
        <v>0</v>
      </c>
      <c r="J105" s="248" t="n">
        <v>0</v>
      </c>
      <c r="K105" s="248" t="n">
        <v>0</v>
      </c>
      <c r="L105" s="248" t="n">
        <v>0</v>
      </c>
      <c r="M105" s="248" t="n">
        <v>0</v>
      </c>
      <c r="N105" s="248" t="n">
        <v>0</v>
      </c>
      <c r="O105" s="248" t="n">
        <f aca="false">MAX(0,O104)*0.4</f>
        <v>12418.1296</v>
      </c>
      <c r="P105" s="248" t="n">
        <f aca="false">MAX(0,P104)*0.4</f>
        <v>8251.3296</v>
      </c>
      <c r="Q105" s="248" t="n">
        <f aca="false">MAX(0,Q104)*0.4</f>
        <v>8251.3296</v>
      </c>
      <c r="R105" s="248" t="n">
        <f aca="false">MAX(0,R104)*0.4</f>
        <v>8251.3296</v>
      </c>
      <c r="S105" s="248" t="n">
        <f aca="false">MAX(0,S104)*0.4</f>
        <v>5251.3296</v>
      </c>
      <c r="T105" s="248" t="n">
        <f aca="false">MAX(0,T104)*0.4</f>
        <v>5251.3296</v>
      </c>
      <c r="U105" s="248" t="n">
        <f aca="false">MAX(0,U104)*0.4</f>
        <v>14573.2272</v>
      </c>
      <c r="V105" s="248" t="n">
        <f aca="false">MAX(0,V104)*0.4</f>
        <v>23895.1248</v>
      </c>
      <c r="W105" s="248" t="n">
        <f aca="false">MAX(0,W104)*0.4</f>
        <v>33217.0224</v>
      </c>
      <c r="X105" s="248" t="n">
        <f aca="false">MAX(0,X104)*0.4</f>
        <v>39817.196</v>
      </c>
      <c r="Y105" s="248" t="n">
        <f aca="false">MAX(0,Y104)*0.4</f>
        <v>50174.864</v>
      </c>
      <c r="Z105" s="248" t="n">
        <f aca="false">MAX(0,Z104)*0.4</f>
        <v>60532.524</v>
      </c>
      <c r="AA105" s="248" t="n">
        <f aca="false">MAX(0,AA104)*0.4</f>
        <v>70890.184</v>
      </c>
      <c r="AB105" s="248" t="n">
        <f aca="false">MAX(0,AB104)*0.4</f>
        <v>81247.848</v>
      </c>
      <c r="AC105" s="248" t="n">
        <f aca="false">MAX(0,AC104)*0.4</f>
        <v>91605.516</v>
      </c>
      <c r="AD105" s="248" t="n">
        <f aca="false">MAX(0,AD104)*0.45</f>
        <v>114708.573</v>
      </c>
      <c r="AE105" s="248" t="n">
        <f aca="false">MAX(0,AE104)*0.45</f>
        <v>126360.9495</v>
      </c>
      <c r="AF105" s="248" t="n">
        <f aca="false">MAX(0,AF104)*0.45</f>
        <v>153598.3245</v>
      </c>
      <c r="AG105" s="248" t="n">
        <f aca="false">MAX(0,AG104)*0.45</f>
        <v>113404.9545</v>
      </c>
      <c r="AH105" s="248" t="n">
        <f aca="false">MAX(0,AH104)*0.45</f>
        <v>113756.9085</v>
      </c>
      <c r="AI105" s="248" t="n">
        <f aca="false">MAX(0,AI104)*0.45</f>
        <v>114108.8535</v>
      </c>
      <c r="AJ105" s="248" t="n">
        <f aca="false">MAX(0,AJ104)*0.45</f>
        <v>114460.803</v>
      </c>
      <c r="AK105" s="248" t="n">
        <f aca="false">MAX(0,AK104)*0.45</f>
        <v>114812.748</v>
      </c>
      <c r="AL105" s="248" t="n">
        <f aca="false">MAX(0,AL104)*0.45</f>
        <v>126817.0695</v>
      </c>
      <c r="AM105" s="248" t="n">
        <f aca="false">MAX(0,AM104)*0.45</f>
        <v>115516.6515</v>
      </c>
      <c r="AN105" s="248" t="n">
        <f aca="false">MAX(0,AN104)*0.45</f>
        <v>104216.229</v>
      </c>
      <c r="AO105" s="248" t="n">
        <f aca="false">MAX(0,AO104)*0.45</f>
        <v>92915.8065</v>
      </c>
      <c r="AP105" s="248" t="n">
        <f aca="false">MAX(0,AP104)*0.45</f>
        <v>81615.3795</v>
      </c>
      <c r="AQ105" s="248" t="n">
        <f aca="false">MAX(0,AQ104)*0.5</f>
        <v>78127.735</v>
      </c>
      <c r="AR105" s="248" t="n">
        <f aca="false">MAX(0,AR104)*0.5</f>
        <v>65571.71</v>
      </c>
      <c r="AS105" s="248" t="n">
        <f aca="false">MAX(0,AS104)*0.5</f>
        <v>53015.68</v>
      </c>
      <c r="AT105" s="248" t="n">
        <f aca="false">MAX(0,AT104)*0.5</f>
        <v>40459.66</v>
      </c>
      <c r="AU105" s="248" t="n">
        <f aca="false">MAX(0,AU104)*0.5</f>
        <v>28388.2215</v>
      </c>
      <c r="AV105" s="248" t="n">
        <f aca="false">MAX(0,AV104)*0.5</f>
        <v>68297.05</v>
      </c>
      <c r="AW105" s="248" t="n">
        <f aca="false">MAX(0,AW104)*0.5</f>
        <v>55349.975</v>
      </c>
      <c r="AX105" s="248" t="n">
        <f aca="false">MAX(0,AX104)*0.5</f>
        <v>30137.1375</v>
      </c>
      <c r="AY105" s="248" t="n">
        <f aca="false">MAX(0,AY104)*0.5</f>
        <v>29785.188</v>
      </c>
      <c r="AZ105" s="248" t="n">
        <f aca="false">MAX(0,AZ104)*0.5</f>
        <v>29433.234</v>
      </c>
      <c r="BA105" s="248" t="n">
        <f aca="false">MAX(0,BA104)*0.5</f>
        <v>29081.289</v>
      </c>
      <c r="BB105" s="248" t="n">
        <f aca="false">MAX(0,BB104)*0.5</f>
        <v>28729.3395</v>
      </c>
      <c r="BC105" s="248" t="n">
        <f aca="false">MAX(0,BC104)*0.5</f>
        <v>28377.39</v>
      </c>
      <c r="BD105" s="248" t="n">
        <f aca="false">MAX(0,BD104)*0.5</f>
        <v>28025.4405</v>
      </c>
      <c r="BE105" s="248" t="n">
        <f aca="false">MAX(0,BE104)*0.5</f>
        <v>27673.491</v>
      </c>
      <c r="BF105" s="248" t="n">
        <f aca="false">MAX(0,BF104)*0.5</f>
        <v>27321.5415</v>
      </c>
      <c r="BG105" s="248" t="n">
        <f aca="false">MAX(0,BG104)*0.5</f>
        <v>26969.592</v>
      </c>
      <c r="BH105" s="248" t="n">
        <f aca="false">MAX(0,BH104)*0.5</f>
        <v>26617.6425</v>
      </c>
      <c r="BI105" s="248" t="n">
        <f aca="false">MAX(0,BI104)*0.5</f>
        <v>26265.693</v>
      </c>
      <c r="BJ105" s="248" t="n">
        <f aca="false">MAX(0,BJ104)*0.5</f>
        <v>25913.748</v>
      </c>
      <c r="BK105" s="248" t="n">
        <f aca="false">MAX(0,BK104)*0.5</f>
        <v>49062.294</v>
      </c>
      <c r="BL105" s="248" t="n">
        <f aca="false">MAX(0,BL104)*0.5</f>
        <v>48710.3445</v>
      </c>
      <c r="BM105" s="248" t="n">
        <f aca="false">MAX(0,BM104)*0.5</f>
        <v>100430.995</v>
      </c>
      <c r="BN105" s="248" t="n">
        <f aca="false">MAX(0,BN104)*0.5</f>
        <v>0</v>
      </c>
      <c r="BO105" s="248" t="n">
        <f aca="false">MAX(0,BO104)*0.5</f>
        <v>0</v>
      </c>
      <c r="BP105" s="248" t="n">
        <f aca="false">MAX(0,BP104)*0.5</f>
        <v>0</v>
      </c>
      <c r="BQ105" s="248" t="n">
        <f aca="false">MAX(0,BQ104)*0.5</f>
        <v>0</v>
      </c>
      <c r="BR105" s="248" t="n">
        <f aca="false">MAX(0,BR104)*0.5</f>
        <v>0</v>
      </c>
      <c r="BS105" s="248" t="n">
        <f aca="false">MAX(0,BS104)*0.5</f>
        <v>0</v>
      </c>
      <c r="BT105" s="248" t="n">
        <f aca="false">MAX(0,BT104)*0.5</f>
        <v>0</v>
      </c>
      <c r="BU105" s="248" t="n">
        <f aca="false">MAX(0,BU104)*0.5</f>
        <v>0</v>
      </c>
      <c r="BV105" s="248" t="n">
        <f aca="false">MAX(0,BV104)*0.5</f>
        <v>0</v>
      </c>
      <c r="BW105" s="248" t="n">
        <f aca="false">MAX(0,BW104)*0.5</f>
        <v>0</v>
      </c>
      <c r="BX105" s="248" t="n">
        <f aca="false">MAX(0,BX104)*0.5</f>
        <v>0</v>
      </c>
      <c r="BY105" s="248" t="n">
        <f aca="false">MAX(0,BY104)*0.5</f>
        <v>0</v>
      </c>
      <c r="BZ105" s="248" t="n">
        <f aca="false">MAX(0,BZ104)*0.5</f>
        <v>0</v>
      </c>
      <c r="CA105" s="248" t="n">
        <f aca="false">MAX(0,CA104)*0.5</f>
        <v>0</v>
      </c>
      <c r="CB105" s="248" t="n">
        <f aca="false">MAX(0,CB104)*0.5</f>
        <v>0</v>
      </c>
      <c r="CC105" s="248" t="n">
        <f aca="false">MAX(0,CC104)*0.5</f>
        <v>0</v>
      </c>
      <c r="CD105" s="248" t="n">
        <f aca="false">MAX(0,CD104)*0.5</f>
        <v>0</v>
      </c>
      <c r="CE105" s="248" t="n">
        <f aca="false">MAX(0,CE104)*0.5</f>
        <v>0</v>
      </c>
      <c r="CF105" s="248" t="n">
        <f aca="false">MAX(0,CF104)*0.5</f>
        <v>0</v>
      </c>
      <c r="CG105" s="248" t="n">
        <f aca="false">MAX(0,CG104)*0.5</f>
        <v>0</v>
      </c>
      <c r="CH105" s="248" t="n">
        <f aca="false">MAX(0,CH104)*$B$95</f>
        <v>0</v>
      </c>
    </row>
    <row r="106" customFormat="false" ht="15" hidden="false" customHeight="true" outlineLevel="0" collapsed="false">
      <c r="A106" s="99" t="s">
        <v>727</v>
      </c>
      <c r="B106" s="246" t="n">
        <f aca="false">B104-B105</f>
        <v>3538767.457</v>
      </c>
      <c r="C106" s="248" t="n">
        <f aca="false">C104-C105</f>
        <v>0</v>
      </c>
      <c r="D106" s="248" t="n">
        <f aca="false">D104-D105</f>
        <v>0</v>
      </c>
      <c r="E106" s="248" t="n">
        <f aca="false">E104-E105</f>
        <v>0</v>
      </c>
      <c r="F106" s="248" t="n">
        <f aca="false">F104-F105</f>
        <v>0</v>
      </c>
      <c r="G106" s="248" t="n">
        <f aca="false">G104-G105</f>
        <v>0</v>
      </c>
      <c r="H106" s="248" t="n">
        <f aca="false">H104-H105</f>
        <v>0</v>
      </c>
      <c r="I106" s="248" t="n">
        <f aca="false">I104-I105</f>
        <v>0</v>
      </c>
      <c r="J106" s="248" t="n">
        <f aca="false">J104-J105</f>
        <v>0</v>
      </c>
      <c r="K106" s="248" t="n">
        <f aca="false">K104-K105</f>
        <v>0</v>
      </c>
      <c r="L106" s="248" t="n">
        <f aca="false">L104-L105</f>
        <v>0</v>
      </c>
      <c r="M106" s="248" t="n">
        <f aca="false">M104-M105</f>
        <v>0</v>
      </c>
      <c r="N106" s="248" t="n">
        <f aca="false">N104-N105</f>
        <v>0</v>
      </c>
      <c r="O106" s="248" t="n">
        <f aca="false">O104-O105</f>
        <v>18627.1944</v>
      </c>
      <c r="P106" s="248" t="n">
        <f aca="false">P104-P105</f>
        <v>12376.9944</v>
      </c>
      <c r="Q106" s="248" t="n">
        <f aca="false">Q104-Q105</f>
        <v>12376.9944</v>
      </c>
      <c r="R106" s="248" t="n">
        <f aca="false">R104-R105</f>
        <v>12376.9944</v>
      </c>
      <c r="S106" s="248" t="n">
        <f aca="false">S104-S105</f>
        <v>7876.9944</v>
      </c>
      <c r="T106" s="248" t="n">
        <f aca="false">T104-T105</f>
        <v>7876.9944</v>
      </c>
      <c r="U106" s="248" t="n">
        <f aca="false">U104-U105</f>
        <v>21859.8408</v>
      </c>
      <c r="V106" s="248" t="n">
        <f aca="false">V104-V105</f>
        <v>35842.6872</v>
      </c>
      <c r="W106" s="248" t="n">
        <f aca="false">W104-W105</f>
        <v>49825.5336</v>
      </c>
      <c r="X106" s="248" t="n">
        <f aca="false">X104-X105</f>
        <v>59725.794</v>
      </c>
      <c r="Y106" s="248" t="n">
        <f aca="false">Y104-Y105</f>
        <v>75262.296</v>
      </c>
      <c r="Z106" s="248" t="n">
        <f aca="false">Z104-Z105</f>
        <v>90798.786</v>
      </c>
      <c r="AA106" s="248" t="n">
        <f aca="false">AA104-AA105</f>
        <v>106335.276</v>
      </c>
      <c r="AB106" s="248" t="n">
        <f aca="false">AB104-AB105</f>
        <v>121871.772</v>
      </c>
      <c r="AC106" s="248" t="n">
        <f aca="false">AC104-AC105</f>
        <v>137408.274</v>
      </c>
      <c r="AD106" s="248" t="n">
        <f aca="false">AD104-AD105</f>
        <v>140199.367</v>
      </c>
      <c r="AE106" s="248" t="n">
        <f aca="false">AE104-AE105</f>
        <v>154441.1605</v>
      </c>
      <c r="AF106" s="248" t="n">
        <f aca="false">AF104-AF105</f>
        <v>187731.2855</v>
      </c>
      <c r="AG106" s="248" t="n">
        <f aca="false">AG104-AG105</f>
        <v>138606.0555</v>
      </c>
      <c r="AH106" s="248" t="n">
        <f aca="false">AH104-AH105</f>
        <v>139036.2215</v>
      </c>
      <c r="AI106" s="248" t="n">
        <f aca="false">AI104-AI105</f>
        <v>139466.3765</v>
      </c>
      <c r="AJ106" s="248" t="n">
        <f aca="false">AJ104-AJ105</f>
        <v>139896.537</v>
      </c>
      <c r="AK106" s="248" t="n">
        <f aca="false">AK104-AK105</f>
        <v>140326.692</v>
      </c>
      <c r="AL106" s="248" t="n">
        <f aca="false">AL104-AL105</f>
        <v>154998.6405</v>
      </c>
      <c r="AM106" s="248" t="n">
        <f aca="false">AM104-AM105</f>
        <v>141187.0185</v>
      </c>
      <c r="AN106" s="248" t="n">
        <f aca="false">AN104-AN105</f>
        <v>127375.391</v>
      </c>
      <c r="AO106" s="248" t="n">
        <f aca="false">AO104-AO105</f>
        <v>113563.7635</v>
      </c>
      <c r="AP106" s="248" t="n">
        <f aca="false">AP104-AP105</f>
        <v>99752.1305</v>
      </c>
      <c r="AQ106" s="248" t="n">
        <f aca="false">AQ104-AQ105</f>
        <v>78127.735</v>
      </c>
      <c r="AR106" s="248" t="n">
        <f aca="false">AR104-AR105</f>
        <v>65571.71</v>
      </c>
      <c r="AS106" s="248" t="n">
        <f aca="false">AS104-AS105</f>
        <v>53015.68</v>
      </c>
      <c r="AT106" s="248" t="n">
        <f aca="false">AT104-AT105</f>
        <v>40459.66</v>
      </c>
      <c r="AU106" s="248" t="n">
        <f aca="false">AU104-AU105</f>
        <v>28388.2215</v>
      </c>
      <c r="AV106" s="248" t="n">
        <f aca="false">AV104-AV105</f>
        <v>68297.05</v>
      </c>
      <c r="AW106" s="248" t="n">
        <f aca="false">AW104-AW105</f>
        <v>55349.975</v>
      </c>
      <c r="AX106" s="248" t="n">
        <f aca="false">AX104-AX105</f>
        <v>30137.1375</v>
      </c>
      <c r="AY106" s="248" t="n">
        <f aca="false">AY104-AY105</f>
        <v>29785.188</v>
      </c>
      <c r="AZ106" s="248" t="n">
        <f aca="false">AZ104-AZ105</f>
        <v>29433.234</v>
      </c>
      <c r="BA106" s="248" t="n">
        <f aca="false">BA104-BA105</f>
        <v>29081.289</v>
      </c>
      <c r="BB106" s="248" t="n">
        <f aca="false">BB104-BB105</f>
        <v>28729.3395</v>
      </c>
      <c r="BC106" s="248" t="n">
        <f aca="false">BC104-BC105</f>
        <v>28377.39</v>
      </c>
      <c r="BD106" s="248" t="n">
        <f aca="false">BD104-BD105</f>
        <v>28025.4405</v>
      </c>
      <c r="BE106" s="248" t="n">
        <f aca="false">BE104-BE105</f>
        <v>27673.491</v>
      </c>
      <c r="BF106" s="248" t="n">
        <f aca="false">BF104-BF105</f>
        <v>27321.5415</v>
      </c>
      <c r="BG106" s="248" t="n">
        <f aca="false">BG104-BG105</f>
        <v>26969.592</v>
      </c>
      <c r="BH106" s="248" t="n">
        <f aca="false">BH104-BH105</f>
        <v>26617.6425</v>
      </c>
      <c r="BI106" s="248" t="n">
        <f aca="false">BI104-BI105</f>
        <v>26265.693</v>
      </c>
      <c r="BJ106" s="248" t="n">
        <f aca="false">BJ104-BJ105</f>
        <v>25913.748</v>
      </c>
      <c r="BK106" s="248" t="n">
        <f aca="false">BK104-BK105</f>
        <v>49062.294</v>
      </c>
      <c r="BL106" s="248" t="n">
        <f aca="false">BL104-BL105</f>
        <v>48710.3445</v>
      </c>
      <c r="BM106" s="248" t="n">
        <f aca="false">BM104-BM105</f>
        <v>100430.995</v>
      </c>
      <c r="BN106" s="248" t="n">
        <f aca="false">BN104-BN105</f>
        <v>0</v>
      </c>
      <c r="BO106" s="248" t="n">
        <f aca="false">BO104-BO105</f>
        <v>0</v>
      </c>
      <c r="BP106" s="248" t="n">
        <f aca="false">BP104-BP105</f>
        <v>0</v>
      </c>
      <c r="BQ106" s="248" t="n">
        <f aca="false">BQ104-BQ105</f>
        <v>0</v>
      </c>
      <c r="BR106" s="248" t="n">
        <f aca="false">BR104-BR105</f>
        <v>0</v>
      </c>
      <c r="BS106" s="248" t="n">
        <f aca="false">BS104-BS105</f>
        <v>0</v>
      </c>
      <c r="BT106" s="248" t="n">
        <f aca="false">BT104-BT105</f>
        <v>0</v>
      </c>
      <c r="BU106" s="248" t="n">
        <f aca="false">BU104-BU105</f>
        <v>0</v>
      </c>
      <c r="BV106" s="248" t="n">
        <f aca="false">BV104-BV105</f>
        <v>0</v>
      </c>
      <c r="BW106" s="248" t="n">
        <f aca="false">BW104-BW105</f>
        <v>0</v>
      </c>
      <c r="BX106" s="248" t="n">
        <f aca="false">BX104-BX105</f>
        <v>0</v>
      </c>
      <c r="BY106" s="248" t="n">
        <f aca="false">BY104-BY105</f>
        <v>0</v>
      </c>
      <c r="BZ106" s="248" t="n">
        <f aca="false">BZ104-BZ105</f>
        <v>0</v>
      </c>
      <c r="CA106" s="248" t="n">
        <f aca="false">CA104-CA105</f>
        <v>0</v>
      </c>
      <c r="CB106" s="248" t="n">
        <f aca="false">CB104-CB105</f>
        <v>0</v>
      </c>
      <c r="CC106" s="248" t="n">
        <f aca="false">CC104-CC105</f>
        <v>0</v>
      </c>
      <c r="CD106" s="248" t="n">
        <f aca="false">CD104-CD105</f>
        <v>0</v>
      </c>
      <c r="CE106" s="248" t="n">
        <f aca="false">CE104-CE105</f>
        <v>0</v>
      </c>
      <c r="CF106" s="248" t="n">
        <f aca="false">CF104-CF105</f>
        <v>0</v>
      </c>
      <c r="CG106" s="248" t="n">
        <f aca="false">CG104-CG105</f>
        <v>0</v>
      </c>
      <c r="CH106" s="248" t="n">
        <f aca="false">CH104-CH105</f>
        <v>0</v>
      </c>
    </row>
    <row r="107" customFormat="false" ht="15" hidden="false" customHeight="true" outlineLevel="0" collapsed="false">
      <c r="A107" s="99" t="s">
        <v>728</v>
      </c>
      <c r="B107" s="246" t="n">
        <f aca="false">B103+B106</f>
        <v>4101960.074</v>
      </c>
      <c r="C107" s="248" t="n">
        <f aca="false">C103+C106</f>
        <v>0</v>
      </c>
      <c r="D107" s="248" t="n">
        <f aca="false">D103+D106</f>
        <v>0</v>
      </c>
      <c r="E107" s="248" t="n">
        <f aca="false">E103+E106</f>
        <v>0</v>
      </c>
      <c r="F107" s="248" t="n">
        <f aca="false">F103+F106</f>
        <v>0</v>
      </c>
      <c r="G107" s="248" t="n">
        <f aca="false">G103+G106</f>
        <v>0</v>
      </c>
      <c r="H107" s="248" t="n">
        <f aca="false">H103+H106</f>
        <v>0</v>
      </c>
      <c r="I107" s="248" t="n">
        <f aca="false">I103+I106</f>
        <v>0</v>
      </c>
      <c r="J107" s="248" t="n">
        <f aca="false">J103+J106</f>
        <v>0</v>
      </c>
      <c r="K107" s="248" t="n">
        <f aca="false">K103+K106</f>
        <v>0</v>
      </c>
      <c r="L107" s="248" t="n">
        <f aca="false">L103+L106</f>
        <v>0</v>
      </c>
      <c r="M107" s="248" t="n">
        <f aca="false">M103+M106</f>
        <v>0</v>
      </c>
      <c r="N107" s="248" t="n">
        <f aca="false">N103+N106</f>
        <v>0</v>
      </c>
      <c r="O107" s="248" t="n">
        <f aca="false">O103+O106</f>
        <v>23132.2304</v>
      </c>
      <c r="P107" s="248" t="n">
        <f aca="false">P103+P106</f>
        <v>16882.0304</v>
      </c>
      <c r="Q107" s="248" t="n">
        <f aca="false">Q103+Q106</f>
        <v>16882.0304</v>
      </c>
      <c r="R107" s="248" t="n">
        <f aca="false">R103+R106</f>
        <v>16882.0304</v>
      </c>
      <c r="S107" s="248" t="n">
        <f aca="false">S103+S106</f>
        <v>12382.0304</v>
      </c>
      <c r="T107" s="248" t="n">
        <f aca="false">T103+T106</f>
        <v>12382.0304</v>
      </c>
      <c r="U107" s="248" t="n">
        <f aca="false">U103+U106</f>
        <v>28954.2928</v>
      </c>
      <c r="V107" s="248" t="n">
        <f aca="false">V103+V106</f>
        <v>45526.5552</v>
      </c>
      <c r="W107" s="248" t="n">
        <f aca="false">W103+W106</f>
        <v>62098.8176</v>
      </c>
      <c r="X107" s="248" t="n">
        <f aca="false">X103+X106</f>
        <v>72225.794</v>
      </c>
      <c r="Y107" s="248" t="n">
        <f aca="false">Y103+Y106</f>
        <v>87762.296</v>
      </c>
      <c r="Z107" s="248" t="n">
        <f aca="false">Z103+Z106</f>
        <v>103298.786</v>
      </c>
      <c r="AA107" s="248" t="n">
        <f aca="false">AA103+AA106</f>
        <v>118835.276</v>
      </c>
      <c r="AB107" s="248" t="n">
        <f aca="false">AB103+AB106</f>
        <v>134371.772</v>
      </c>
      <c r="AC107" s="248" t="n">
        <f aca="false">AC103+AC106</f>
        <v>149908.274</v>
      </c>
      <c r="AD107" s="248" t="n">
        <f aca="false">AD103+AD106</f>
        <v>152699.367</v>
      </c>
      <c r="AE107" s="248" t="n">
        <f aca="false">AE103+AE106</f>
        <v>166941.1605</v>
      </c>
      <c r="AF107" s="248" t="n">
        <f aca="false">AF103+AF106</f>
        <v>200231.2855</v>
      </c>
      <c r="AG107" s="248" t="n">
        <f aca="false">AG103+AG106</f>
        <v>151106.0555</v>
      </c>
      <c r="AH107" s="248" t="n">
        <f aca="false">AH103+AH106</f>
        <v>151536.2215</v>
      </c>
      <c r="AI107" s="248" t="n">
        <f aca="false">AI103+AI106</f>
        <v>151966.3765</v>
      </c>
      <c r="AJ107" s="248" t="n">
        <f aca="false">AJ103+AJ106</f>
        <v>152396.537</v>
      </c>
      <c r="AK107" s="248" t="n">
        <f aca="false">AK103+AK106</f>
        <v>152826.692</v>
      </c>
      <c r="AL107" s="248" t="n">
        <f aca="false">AL103+AL106</f>
        <v>167498.6405</v>
      </c>
      <c r="AM107" s="248" t="n">
        <f aca="false">AM103+AM106</f>
        <v>153687.0185</v>
      </c>
      <c r="AN107" s="248" t="n">
        <f aca="false">AN103+AN106</f>
        <v>139875.391</v>
      </c>
      <c r="AO107" s="248" t="n">
        <f aca="false">AO103+AO106</f>
        <v>126063.7635</v>
      </c>
      <c r="AP107" s="248" t="n">
        <f aca="false">AP103+AP106</f>
        <v>112252.1305</v>
      </c>
      <c r="AQ107" s="248" t="n">
        <f aca="false">AQ103+AQ106</f>
        <v>90627.735</v>
      </c>
      <c r="AR107" s="248" t="n">
        <f aca="false">AR103+AR106</f>
        <v>78071.71</v>
      </c>
      <c r="AS107" s="248" t="n">
        <f aca="false">AS103+AS106</f>
        <v>65515.68</v>
      </c>
      <c r="AT107" s="248" t="n">
        <f aca="false">AT103+AT106</f>
        <v>52959.66</v>
      </c>
      <c r="AU107" s="248" t="n">
        <f aca="false">AU103+AU106</f>
        <v>39919.0485</v>
      </c>
      <c r="AV107" s="248" t="n">
        <f aca="false">AV103+AV106</f>
        <v>80797.05</v>
      </c>
      <c r="AW107" s="248" t="n">
        <f aca="false">AW103+AW106</f>
        <v>67849.975</v>
      </c>
      <c r="AX107" s="248" t="n">
        <f aca="false">AX103+AX106</f>
        <v>42056.6125</v>
      </c>
      <c r="AY107" s="248" t="n">
        <f aca="false">AY103+AY106</f>
        <v>41626.452</v>
      </c>
      <c r="AZ107" s="248" t="n">
        <f aca="false">AZ103+AZ106</f>
        <v>41196.286</v>
      </c>
      <c r="BA107" s="248" t="n">
        <f aca="false">BA103+BA106</f>
        <v>40766.131</v>
      </c>
      <c r="BB107" s="248" t="n">
        <f aca="false">BB103+BB106</f>
        <v>40335.9705</v>
      </c>
      <c r="BC107" s="248" t="n">
        <f aca="false">BC103+BC106</f>
        <v>39905.81</v>
      </c>
      <c r="BD107" s="248" t="n">
        <f aca="false">BD103+BD106</f>
        <v>39475.6495</v>
      </c>
      <c r="BE107" s="248" t="n">
        <f aca="false">BE103+BE106</f>
        <v>39045.489</v>
      </c>
      <c r="BF107" s="248" t="n">
        <f aca="false">BF103+BF106</f>
        <v>38615.3285</v>
      </c>
      <c r="BG107" s="248" t="n">
        <f aca="false">BG103+BG106</f>
        <v>38185.168</v>
      </c>
      <c r="BH107" s="248" t="n">
        <f aca="false">BH103+BH106</f>
        <v>37755.0075</v>
      </c>
      <c r="BI107" s="248" t="n">
        <f aca="false">BI103+BI106</f>
        <v>37324.847</v>
      </c>
      <c r="BJ107" s="248" t="n">
        <f aca="false">BJ103+BJ106</f>
        <v>36894.692</v>
      </c>
      <c r="BK107" s="248" t="n">
        <f aca="false">BK103+BK106</f>
        <v>59965.026</v>
      </c>
      <c r="BL107" s="248" t="n">
        <f aca="false">BL103+BL106</f>
        <v>59534.8655</v>
      </c>
      <c r="BM107" s="248" t="n">
        <f aca="false">BM103+BM106</f>
        <v>112930.995</v>
      </c>
      <c r="BN107" s="248" t="n">
        <f aca="false">BN103+BN106</f>
        <v>0</v>
      </c>
      <c r="BO107" s="248" t="n">
        <f aca="false">BO103+BO106</f>
        <v>0</v>
      </c>
      <c r="BP107" s="248" t="n">
        <f aca="false">BP103+BP106</f>
        <v>0</v>
      </c>
      <c r="BQ107" s="248" t="n">
        <f aca="false">BQ103+BQ106</f>
        <v>0</v>
      </c>
      <c r="BR107" s="248" t="n">
        <f aca="false">BR103+BR106</f>
        <v>0</v>
      </c>
      <c r="BS107" s="248" t="n">
        <f aca="false">BS103+BS106</f>
        <v>0</v>
      </c>
      <c r="BT107" s="248" t="n">
        <f aca="false">BT103+BT106</f>
        <v>0</v>
      </c>
      <c r="BU107" s="248" t="n">
        <f aca="false">BU103+BU106</f>
        <v>0</v>
      </c>
      <c r="BV107" s="248" t="n">
        <f aca="false">BV103+BV106</f>
        <v>0</v>
      </c>
      <c r="BW107" s="248" t="n">
        <f aca="false">BW103+BW106</f>
        <v>0</v>
      </c>
      <c r="BX107" s="248" t="n">
        <f aca="false">BX103+BX106</f>
        <v>0</v>
      </c>
      <c r="BY107" s="248" t="n">
        <f aca="false">BY103+BY106</f>
        <v>0</v>
      </c>
      <c r="BZ107" s="248" t="n">
        <f aca="false">BZ103+BZ106</f>
        <v>0</v>
      </c>
      <c r="CA107" s="248" t="n">
        <f aca="false">CA103+CA106</f>
        <v>0</v>
      </c>
      <c r="CB107" s="248" t="n">
        <f aca="false">CB103+CB106</f>
        <v>0</v>
      </c>
      <c r="CC107" s="248" t="n">
        <f aca="false">CC103+CC106</f>
        <v>0</v>
      </c>
      <c r="CD107" s="248" t="n">
        <f aca="false">CD103+CD106</f>
        <v>0</v>
      </c>
      <c r="CE107" s="248" t="n">
        <f aca="false">CE103+CE106</f>
        <v>0</v>
      </c>
      <c r="CF107" s="248" t="n">
        <f aca="false">CF103+CF106</f>
        <v>0</v>
      </c>
      <c r="CG107" s="248" t="n">
        <f aca="false">CG103+CG106</f>
        <v>0</v>
      </c>
      <c r="CH107" s="248" t="n">
        <f aca="false">CH103+CH106</f>
        <v>0</v>
      </c>
    </row>
    <row r="112" customFormat="false" ht="15" hidden="false" customHeight="true" outlineLevel="0" collapsed="false">
      <c r="A112" s="1" t="s">
        <v>839</v>
      </c>
    </row>
    <row r="113" customFormat="false" ht="15" hidden="false" customHeight="true" outlineLevel="0" collapsed="false">
      <c r="A113" s="1" t="s">
        <v>840</v>
      </c>
    </row>
    <row r="114" customFormat="false" ht="15" hidden="false" customHeight="true" outlineLevel="0" collapsed="false">
      <c r="A114" s="1" t="s">
        <v>841</v>
      </c>
    </row>
    <row r="115" customFormat="false" ht="15" hidden="false" customHeight="true" outlineLevel="0" collapsed="false">
      <c r="A115" s="1" t="s">
        <v>842</v>
      </c>
    </row>
    <row r="116" customFormat="false" ht="15" hidden="false" customHeight="true" outlineLevel="0" collapsed="false">
      <c r="A116" s="1" t="s">
        <v>843</v>
      </c>
    </row>
  </sheetData>
  <mergeCells count="16">
    <mergeCell ref="C73:G73"/>
    <mergeCell ref="C74:G74"/>
    <mergeCell ref="C75:G75"/>
    <mergeCell ref="C76:G76"/>
    <mergeCell ref="C77:G77"/>
    <mergeCell ref="C78:G78"/>
    <mergeCell ref="B81:G81"/>
    <mergeCell ref="B82:G82"/>
    <mergeCell ref="B83:G83"/>
    <mergeCell ref="B84:G84"/>
    <mergeCell ref="B85:G85"/>
    <mergeCell ref="B86:G86"/>
    <mergeCell ref="B87:G87"/>
    <mergeCell ref="B88:G88"/>
    <mergeCell ref="B89:G89"/>
    <mergeCell ref="B90:G9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CH57"/>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7109375" defaultRowHeight="13.5" zeroHeight="false" outlineLevelRow="0" outlineLevelCol="0"/>
  <cols>
    <col collapsed="false" customWidth="true" hidden="false" outlineLevel="0" max="1" min="1" style="1" width="28"/>
    <col collapsed="false" customWidth="true" hidden="false" outlineLevel="0" max="86" min="2" style="1" width="14"/>
  </cols>
  <sheetData>
    <row r="1" customFormat="false" ht="17.25" hidden="false" customHeight="true" outlineLevel="0" collapsed="false">
      <c r="A1" s="76" t="s">
        <v>844</v>
      </c>
      <c r="B1" s="76"/>
      <c r="C1" s="76"/>
      <c r="D1" s="76"/>
      <c r="E1" s="76"/>
      <c r="F1" s="76"/>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row>
    <row r="2" customFormat="false" ht="15" hidden="false" customHeight="true" outlineLevel="0" collapsed="false">
      <c r="A2" s="4"/>
      <c r="B2" s="4"/>
      <c r="C2" s="5" t="n">
        <v>46113</v>
      </c>
      <c r="D2" s="5" t="n">
        <v>46143</v>
      </c>
      <c r="E2" s="5" t="n">
        <v>46174</v>
      </c>
      <c r="F2" s="5" t="n">
        <v>46204</v>
      </c>
      <c r="G2" s="5" t="n">
        <v>46235</v>
      </c>
      <c r="H2" s="5" t="n">
        <v>46266</v>
      </c>
      <c r="I2" s="5" t="n">
        <v>46296</v>
      </c>
      <c r="J2" s="5" t="n">
        <v>46327</v>
      </c>
      <c r="K2" s="5" t="n">
        <v>46357</v>
      </c>
      <c r="L2" s="5" t="n">
        <v>46388</v>
      </c>
      <c r="M2" s="5" t="n">
        <v>46419</v>
      </c>
      <c r="N2" s="5" t="n">
        <v>46447</v>
      </c>
      <c r="O2" s="5" t="n">
        <v>46478</v>
      </c>
      <c r="P2" s="5" t="n">
        <v>46508</v>
      </c>
      <c r="Q2" s="5" t="n">
        <v>46539</v>
      </c>
      <c r="R2" s="5" t="n">
        <v>46569</v>
      </c>
      <c r="S2" s="5" t="n">
        <v>46600</v>
      </c>
      <c r="T2" s="5" t="n">
        <v>46631</v>
      </c>
      <c r="U2" s="5" t="n">
        <v>46661</v>
      </c>
      <c r="V2" s="5" t="n">
        <v>46692</v>
      </c>
      <c r="W2" s="5" t="n">
        <v>46722</v>
      </c>
      <c r="X2" s="5" t="n">
        <v>46753</v>
      </c>
      <c r="Y2" s="5" t="n">
        <v>46784</v>
      </c>
      <c r="Z2" s="5" t="n">
        <v>46813</v>
      </c>
      <c r="AA2" s="5" t="n">
        <v>46844</v>
      </c>
      <c r="AB2" s="5" t="n">
        <v>46874</v>
      </c>
      <c r="AC2" s="5" t="n">
        <v>46905</v>
      </c>
      <c r="AD2" s="5" t="n">
        <v>46935</v>
      </c>
      <c r="AE2" s="5" t="n">
        <v>46966</v>
      </c>
      <c r="AF2" s="5" t="n">
        <v>46997</v>
      </c>
      <c r="AG2" s="5" t="n">
        <v>47027</v>
      </c>
      <c r="AH2" s="5" t="n">
        <v>47058</v>
      </c>
      <c r="AI2" s="5" t="n">
        <v>47088</v>
      </c>
      <c r="AJ2" s="5" t="n">
        <v>47119</v>
      </c>
      <c r="AK2" s="5" t="n">
        <v>47150</v>
      </c>
      <c r="AL2" s="5" t="n">
        <v>47178</v>
      </c>
      <c r="AM2" s="5" t="n">
        <v>47209</v>
      </c>
      <c r="AN2" s="5" t="n">
        <v>47239</v>
      </c>
      <c r="AO2" s="5" t="n">
        <v>47270</v>
      </c>
      <c r="AP2" s="5" t="n">
        <v>47300</v>
      </c>
      <c r="AQ2" s="5" t="n">
        <v>47331</v>
      </c>
      <c r="AR2" s="5" t="n">
        <v>47362</v>
      </c>
      <c r="AS2" s="5" t="n">
        <v>47392</v>
      </c>
      <c r="AT2" s="5" t="n">
        <v>47423</v>
      </c>
      <c r="AU2" s="5" t="n">
        <v>47453</v>
      </c>
      <c r="AV2" s="5" t="n">
        <v>47484</v>
      </c>
      <c r="AW2" s="5" t="n">
        <v>47515</v>
      </c>
      <c r="AX2" s="5" t="n">
        <v>47543</v>
      </c>
      <c r="AY2" s="5" t="n">
        <v>47574</v>
      </c>
      <c r="AZ2" s="5" t="n">
        <v>47604</v>
      </c>
      <c r="BA2" s="5" t="n">
        <v>47635</v>
      </c>
      <c r="BB2" s="5" t="n">
        <v>47665</v>
      </c>
      <c r="BC2" s="5" t="n">
        <v>47696</v>
      </c>
      <c r="BD2" s="5" t="n">
        <v>47727</v>
      </c>
      <c r="BE2" s="5" t="n">
        <v>47757</v>
      </c>
      <c r="BF2" s="5" t="n">
        <v>47788</v>
      </c>
      <c r="BG2" s="5" t="n">
        <v>47818</v>
      </c>
      <c r="BH2" s="5" t="n">
        <v>47849</v>
      </c>
      <c r="BI2" s="5" t="n">
        <v>47880</v>
      </c>
      <c r="BJ2" s="5" t="n">
        <v>47908</v>
      </c>
      <c r="BK2" s="5" t="n">
        <v>47939</v>
      </c>
      <c r="BL2" s="5" t="n">
        <v>47969</v>
      </c>
      <c r="BM2" s="5" t="n">
        <v>48000</v>
      </c>
      <c r="BN2" s="5" t="n">
        <v>48030</v>
      </c>
      <c r="BO2" s="5" t="n">
        <v>48061</v>
      </c>
      <c r="BP2" s="5" t="n">
        <v>48092</v>
      </c>
      <c r="BQ2" s="5" t="n">
        <v>48122</v>
      </c>
      <c r="BR2" s="5" t="n">
        <v>48153</v>
      </c>
      <c r="BS2" s="5" t="n">
        <v>48183</v>
      </c>
      <c r="BT2" s="5" t="n">
        <v>48214</v>
      </c>
      <c r="BU2" s="5" t="n">
        <v>48245</v>
      </c>
      <c r="BV2" s="5" t="n">
        <v>48274</v>
      </c>
      <c r="BW2" s="5" t="n">
        <v>48305</v>
      </c>
      <c r="BX2" s="5" t="n">
        <v>48335</v>
      </c>
      <c r="BY2" s="5" t="n">
        <v>48366</v>
      </c>
      <c r="BZ2" s="5" t="n">
        <v>48396</v>
      </c>
      <c r="CA2" s="5" t="n">
        <v>48427</v>
      </c>
      <c r="CB2" s="5" t="n">
        <v>48458</v>
      </c>
      <c r="CC2" s="5" t="n">
        <v>48488</v>
      </c>
      <c r="CD2" s="5" t="n">
        <v>48519</v>
      </c>
      <c r="CE2" s="5" t="n">
        <v>48549</v>
      </c>
      <c r="CF2" s="5" t="n">
        <v>48580</v>
      </c>
      <c r="CG2" s="5" t="n">
        <v>48611</v>
      </c>
      <c r="CH2" s="5" t="n">
        <v>48639</v>
      </c>
    </row>
    <row r="3" customFormat="false" ht="15" hidden="false" customHeight="true" outlineLevel="0" collapsed="false">
      <c r="A3" s="23" t="s">
        <v>7</v>
      </c>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c r="CH3" s="23"/>
    </row>
    <row r="4" customFormat="false" ht="15" hidden="false" customHeight="true" outlineLevel="0" collapsed="false">
      <c r="A4" s="79" t="s">
        <v>845</v>
      </c>
      <c r="B4" s="3"/>
      <c r="C4" s="249" t="n">
        <f aca="false">Model!E246</f>
        <v>9375</v>
      </c>
      <c r="D4" s="249" t="n">
        <f aca="false">Model!F246</f>
        <v>9375</v>
      </c>
      <c r="E4" s="249" t="n">
        <f aca="false">Model!G246</f>
        <v>9375</v>
      </c>
      <c r="F4" s="249" t="n">
        <f aca="false">Model!H246</f>
        <v>9375</v>
      </c>
      <c r="G4" s="249" t="n">
        <f aca="false">Model!I246</f>
        <v>9375</v>
      </c>
      <c r="H4" s="249" t="n">
        <f aca="false">Model!J246</f>
        <v>9375</v>
      </c>
      <c r="I4" s="249" t="n">
        <f aca="false">Model!K246</f>
        <v>9375</v>
      </c>
      <c r="J4" s="249" t="n">
        <f aca="false">Model!L246</f>
        <v>0</v>
      </c>
      <c r="K4" s="249" t="n">
        <f aca="false">Model!M246</f>
        <v>0</v>
      </c>
      <c r="L4" s="249" t="n">
        <f aca="false">Model!N246</f>
        <v>0</v>
      </c>
      <c r="M4" s="249" t="n">
        <f aca="false">Model!O246</f>
        <v>0</v>
      </c>
      <c r="N4" s="249" t="n">
        <f aca="false">Model!P246</f>
        <v>0</v>
      </c>
      <c r="O4" s="249" t="n">
        <f aca="false">Model!Q246</f>
        <v>0</v>
      </c>
      <c r="P4" s="249" t="n">
        <f aca="false">Model!R246</f>
        <v>0</v>
      </c>
      <c r="Q4" s="249" t="n">
        <f aca="false">Model!S246</f>
        <v>0</v>
      </c>
      <c r="R4" s="249" t="n">
        <f aca="false">Model!T246</f>
        <v>0</v>
      </c>
      <c r="S4" s="249" t="n">
        <f aca="false">Model!U246</f>
        <v>0</v>
      </c>
      <c r="T4" s="249" t="n">
        <f aca="false">Model!V246</f>
        <v>0</v>
      </c>
      <c r="U4" s="249" t="n">
        <f aca="false">Model!W246</f>
        <v>0</v>
      </c>
      <c r="V4" s="249" t="n">
        <f aca="false">Model!X246</f>
        <v>0</v>
      </c>
      <c r="W4" s="249" t="n">
        <f aca="false">Model!Y246</f>
        <v>0</v>
      </c>
      <c r="X4" s="249" t="n">
        <f aca="false">Model!Z246</f>
        <v>0</v>
      </c>
      <c r="Y4" s="249" t="n">
        <f aca="false">Model!AA246</f>
        <v>0</v>
      </c>
      <c r="Z4" s="249" t="n">
        <f aca="false">Model!AB246</f>
        <v>0</v>
      </c>
      <c r="AA4" s="249" t="n">
        <f aca="false">Model!AC246</f>
        <v>0</v>
      </c>
      <c r="AB4" s="249" t="n">
        <f aca="false">Model!AD246</f>
        <v>0</v>
      </c>
      <c r="AC4" s="249" t="n">
        <f aca="false">Model!AE246</f>
        <v>0</v>
      </c>
      <c r="AD4" s="249" t="n">
        <f aca="false">Model!AF246</f>
        <v>0</v>
      </c>
      <c r="AE4" s="249" t="n">
        <f aca="false">Model!AG246</f>
        <v>0</v>
      </c>
      <c r="AF4" s="249" t="n">
        <f aca="false">Model!AH246</f>
        <v>0</v>
      </c>
      <c r="AG4" s="249" t="n">
        <f aca="false">Model!AI246</f>
        <v>0</v>
      </c>
      <c r="AH4" s="249" t="n">
        <f aca="false">Model!AJ246</f>
        <v>0</v>
      </c>
      <c r="AI4" s="249" t="n">
        <f aca="false">Model!AK246</f>
        <v>0</v>
      </c>
      <c r="AJ4" s="249" t="n">
        <f aca="false">Model!AL246</f>
        <v>0</v>
      </c>
      <c r="AK4" s="249" t="n">
        <f aca="false">Model!AM246</f>
        <v>0</v>
      </c>
      <c r="AL4" s="249" t="n">
        <f aca="false">Model!AN246</f>
        <v>0</v>
      </c>
      <c r="AM4" s="249" t="n">
        <f aca="false">Model!AO246</f>
        <v>0</v>
      </c>
      <c r="AN4" s="249" t="n">
        <f aca="false">Model!AP246</f>
        <v>0</v>
      </c>
      <c r="AO4" s="249" t="n">
        <f aca="false">Model!AQ246</f>
        <v>0</v>
      </c>
      <c r="AP4" s="249" t="n">
        <f aca="false">Model!AR246</f>
        <v>0</v>
      </c>
      <c r="AQ4" s="249" t="n">
        <f aca="false">Model!AS246</f>
        <v>0</v>
      </c>
      <c r="AR4" s="249" t="n">
        <f aca="false">Model!AT246</f>
        <v>0</v>
      </c>
      <c r="AS4" s="249" t="n">
        <f aca="false">Model!AU246</f>
        <v>0</v>
      </c>
      <c r="AT4" s="249" t="n">
        <f aca="false">Model!AV246</f>
        <v>0</v>
      </c>
      <c r="AU4" s="249" t="n">
        <f aca="false">Model!AW246</f>
        <v>0</v>
      </c>
      <c r="AV4" s="249" t="n">
        <f aca="false">Model!AX246</f>
        <v>0</v>
      </c>
      <c r="AW4" s="249" t="n">
        <f aca="false">Model!AY246</f>
        <v>0</v>
      </c>
      <c r="AX4" s="249" t="n">
        <f aca="false">Model!AZ246</f>
        <v>0</v>
      </c>
      <c r="AY4" s="249" t="n">
        <f aca="false">Model!BA246</f>
        <v>0</v>
      </c>
      <c r="AZ4" s="249" t="n">
        <f aca="false">Model!BB246</f>
        <v>0</v>
      </c>
      <c r="BA4" s="249" t="n">
        <f aca="false">Model!BC246</f>
        <v>0</v>
      </c>
      <c r="BB4" s="249" t="n">
        <f aca="false">Model!BD246</f>
        <v>0</v>
      </c>
      <c r="BC4" s="249" t="n">
        <f aca="false">Model!BE246</f>
        <v>0</v>
      </c>
      <c r="BD4" s="249" t="n">
        <f aca="false">Model!BF246</f>
        <v>0</v>
      </c>
      <c r="BE4" s="249" t="n">
        <f aca="false">Model!BG246</f>
        <v>0</v>
      </c>
      <c r="BF4" s="249" t="n">
        <f aca="false">Model!BH246</f>
        <v>0</v>
      </c>
      <c r="BG4" s="249" t="n">
        <f aca="false">Model!BI246</f>
        <v>0</v>
      </c>
      <c r="BH4" s="249" t="n">
        <f aca="false">Model!BJ246</f>
        <v>0</v>
      </c>
      <c r="BI4" s="249" t="n">
        <f aca="false">Model!BK246</f>
        <v>0</v>
      </c>
      <c r="BJ4" s="249" t="n">
        <f aca="false">Model!BL246</f>
        <v>0</v>
      </c>
      <c r="BK4" s="249" t="n">
        <f aca="false">Model!BM246</f>
        <v>0</v>
      </c>
      <c r="BL4" s="249" t="n">
        <f aca="false">Model!BN246</f>
        <v>0</v>
      </c>
      <c r="BM4" s="249" t="n">
        <f aca="false">Model!BO246</f>
        <v>0</v>
      </c>
      <c r="BN4" s="249" t="n">
        <f aca="false">Model!BP246</f>
        <v>0</v>
      </c>
      <c r="BO4" s="249" t="n">
        <f aca="false">Model!BQ246</f>
        <v>0</v>
      </c>
      <c r="BP4" s="249" t="n">
        <f aca="false">Model!BR246</f>
        <v>0</v>
      </c>
      <c r="BQ4" s="249" t="n">
        <f aca="false">Model!BS246</f>
        <v>0</v>
      </c>
      <c r="BR4" s="249" t="n">
        <f aca="false">Model!BT246</f>
        <v>0</v>
      </c>
      <c r="BS4" s="249" t="n">
        <f aca="false">Model!BU246</f>
        <v>0</v>
      </c>
      <c r="BT4" s="249" t="n">
        <f aca="false">Model!BV246</f>
        <v>0</v>
      </c>
      <c r="BU4" s="249" t="n">
        <f aca="false">Model!BW246</f>
        <v>0</v>
      </c>
      <c r="BV4" s="249" t="n">
        <f aca="false">Model!BX246</f>
        <v>0</v>
      </c>
      <c r="BW4" s="249" t="n">
        <f aca="false">Model!BY246</f>
        <v>0</v>
      </c>
      <c r="BX4" s="249" t="n">
        <f aca="false">Model!BZ246</f>
        <v>0</v>
      </c>
      <c r="BY4" s="249" t="n">
        <f aca="false">Model!CA246</f>
        <v>0</v>
      </c>
      <c r="BZ4" s="249" t="n">
        <f aca="false">Model!CB246</f>
        <v>0</v>
      </c>
      <c r="CA4" s="249" t="n">
        <f aca="false">Model!CC246</f>
        <v>0</v>
      </c>
      <c r="CB4" s="249" t="n">
        <f aca="false">Model!CD246</f>
        <v>0</v>
      </c>
      <c r="CC4" s="249" t="n">
        <f aca="false">Model!CE246</f>
        <v>0</v>
      </c>
      <c r="CD4" s="249" t="n">
        <f aca="false">Model!CF246</f>
        <v>0</v>
      </c>
      <c r="CE4" s="249" t="n">
        <f aca="false">Model!CG246</f>
        <v>0</v>
      </c>
      <c r="CF4" s="249" t="n">
        <f aca="false">Model!CH246</f>
        <v>0</v>
      </c>
      <c r="CG4" s="249" t="n">
        <f aca="false">Model!CI246</f>
        <v>0</v>
      </c>
      <c r="CH4" s="249" t="n">
        <f aca="false">Model!CJ246</f>
        <v>0</v>
      </c>
    </row>
    <row r="5" customFormat="false" ht="15" hidden="false" customHeight="true" outlineLevel="0" collapsed="false">
      <c r="A5" s="250" t="s">
        <v>846</v>
      </c>
      <c r="B5" s="250"/>
      <c r="C5" s="251" t="n">
        <f aca="false">C4</f>
        <v>9375</v>
      </c>
      <c r="D5" s="251" t="n">
        <f aca="false">D4</f>
        <v>9375</v>
      </c>
      <c r="E5" s="251" t="n">
        <f aca="false">E4</f>
        <v>9375</v>
      </c>
      <c r="F5" s="251" t="n">
        <f aca="false">F4</f>
        <v>9375</v>
      </c>
      <c r="G5" s="251" t="n">
        <f aca="false">G4</f>
        <v>9375</v>
      </c>
      <c r="H5" s="251" t="n">
        <f aca="false">H4</f>
        <v>9375</v>
      </c>
      <c r="I5" s="251" t="n">
        <f aca="false">I4</f>
        <v>9375</v>
      </c>
      <c r="J5" s="251" t="n">
        <f aca="false">J4</f>
        <v>0</v>
      </c>
      <c r="K5" s="251" t="n">
        <f aca="false">K4</f>
        <v>0</v>
      </c>
      <c r="L5" s="251" t="n">
        <f aca="false">L4</f>
        <v>0</v>
      </c>
      <c r="M5" s="251" t="n">
        <f aca="false">M4</f>
        <v>0</v>
      </c>
      <c r="N5" s="251" t="n">
        <f aca="false">N4</f>
        <v>0</v>
      </c>
      <c r="O5" s="251" t="n">
        <f aca="false">O4</f>
        <v>0</v>
      </c>
      <c r="P5" s="251" t="n">
        <f aca="false">P4</f>
        <v>0</v>
      </c>
      <c r="Q5" s="251" t="n">
        <f aca="false">Q4</f>
        <v>0</v>
      </c>
      <c r="R5" s="251" t="n">
        <f aca="false">R4</f>
        <v>0</v>
      </c>
      <c r="S5" s="251" t="n">
        <f aca="false">S4</f>
        <v>0</v>
      </c>
      <c r="T5" s="251" t="n">
        <f aca="false">T4</f>
        <v>0</v>
      </c>
      <c r="U5" s="251" t="n">
        <f aca="false">U4</f>
        <v>0</v>
      </c>
      <c r="V5" s="251" t="n">
        <f aca="false">V4</f>
        <v>0</v>
      </c>
      <c r="W5" s="251" t="n">
        <f aca="false">W4</f>
        <v>0</v>
      </c>
      <c r="X5" s="251" t="n">
        <f aca="false">X4</f>
        <v>0</v>
      </c>
      <c r="Y5" s="251" t="n">
        <f aca="false">Y4</f>
        <v>0</v>
      </c>
      <c r="Z5" s="251" t="n">
        <f aca="false">Z4</f>
        <v>0</v>
      </c>
      <c r="AA5" s="251" t="n">
        <f aca="false">AA4</f>
        <v>0</v>
      </c>
      <c r="AB5" s="251" t="n">
        <f aca="false">AB4</f>
        <v>0</v>
      </c>
      <c r="AC5" s="251" t="n">
        <f aca="false">AC4</f>
        <v>0</v>
      </c>
      <c r="AD5" s="251" t="n">
        <f aca="false">AD4</f>
        <v>0</v>
      </c>
      <c r="AE5" s="251" t="n">
        <f aca="false">AE4</f>
        <v>0</v>
      </c>
      <c r="AF5" s="251" t="n">
        <f aca="false">AF4</f>
        <v>0</v>
      </c>
      <c r="AG5" s="251" t="n">
        <f aca="false">AG4</f>
        <v>0</v>
      </c>
      <c r="AH5" s="251" t="n">
        <f aca="false">AH4</f>
        <v>0</v>
      </c>
      <c r="AI5" s="251" t="n">
        <f aca="false">AI4</f>
        <v>0</v>
      </c>
      <c r="AJ5" s="251" t="n">
        <f aca="false">AJ4</f>
        <v>0</v>
      </c>
      <c r="AK5" s="251" t="n">
        <f aca="false">AK4</f>
        <v>0</v>
      </c>
      <c r="AL5" s="251" t="n">
        <f aca="false">AL4</f>
        <v>0</v>
      </c>
      <c r="AM5" s="251" t="n">
        <f aca="false">AM4</f>
        <v>0</v>
      </c>
      <c r="AN5" s="251" t="n">
        <f aca="false">AN4</f>
        <v>0</v>
      </c>
      <c r="AO5" s="251" t="n">
        <f aca="false">AO4</f>
        <v>0</v>
      </c>
      <c r="AP5" s="251" t="n">
        <f aca="false">AP4</f>
        <v>0</v>
      </c>
      <c r="AQ5" s="251" t="n">
        <f aca="false">AQ4</f>
        <v>0</v>
      </c>
      <c r="AR5" s="251" t="n">
        <f aca="false">AR4</f>
        <v>0</v>
      </c>
      <c r="AS5" s="251" t="n">
        <f aca="false">AS4</f>
        <v>0</v>
      </c>
      <c r="AT5" s="251" t="n">
        <f aca="false">AT4</f>
        <v>0</v>
      </c>
      <c r="AU5" s="251" t="n">
        <f aca="false">AU4</f>
        <v>0</v>
      </c>
      <c r="AV5" s="251" t="n">
        <f aca="false">AV4</f>
        <v>0</v>
      </c>
      <c r="AW5" s="251" t="n">
        <f aca="false">AW4</f>
        <v>0</v>
      </c>
      <c r="AX5" s="251" t="n">
        <f aca="false">AX4</f>
        <v>0</v>
      </c>
      <c r="AY5" s="251" t="n">
        <f aca="false">AY4</f>
        <v>0</v>
      </c>
      <c r="AZ5" s="251" t="n">
        <f aca="false">AZ4</f>
        <v>0</v>
      </c>
      <c r="BA5" s="251" t="n">
        <f aca="false">BA4</f>
        <v>0</v>
      </c>
      <c r="BB5" s="251" t="n">
        <f aca="false">BB4</f>
        <v>0</v>
      </c>
      <c r="BC5" s="251" t="n">
        <f aca="false">BC4</f>
        <v>0</v>
      </c>
      <c r="BD5" s="251" t="n">
        <f aca="false">BD4</f>
        <v>0</v>
      </c>
      <c r="BE5" s="251" t="n">
        <f aca="false">BE4</f>
        <v>0</v>
      </c>
      <c r="BF5" s="251" t="n">
        <f aca="false">BF4</f>
        <v>0</v>
      </c>
      <c r="BG5" s="251" t="n">
        <f aca="false">BG4</f>
        <v>0</v>
      </c>
      <c r="BH5" s="251" t="n">
        <f aca="false">BH4</f>
        <v>0</v>
      </c>
      <c r="BI5" s="251" t="n">
        <f aca="false">BI4</f>
        <v>0</v>
      </c>
      <c r="BJ5" s="251" t="n">
        <f aca="false">BJ4</f>
        <v>0</v>
      </c>
      <c r="BK5" s="251" t="n">
        <f aca="false">BK4</f>
        <v>0</v>
      </c>
      <c r="BL5" s="251" t="n">
        <f aca="false">BL4</f>
        <v>0</v>
      </c>
      <c r="BM5" s="251" t="n">
        <f aca="false">BM4</f>
        <v>0</v>
      </c>
      <c r="BN5" s="251" t="n">
        <f aca="false">BN4</f>
        <v>0</v>
      </c>
      <c r="BO5" s="251" t="n">
        <f aca="false">BO4</f>
        <v>0</v>
      </c>
      <c r="BP5" s="251" t="n">
        <f aca="false">BP4</f>
        <v>0</v>
      </c>
      <c r="BQ5" s="251" t="n">
        <f aca="false">BQ4</f>
        <v>0</v>
      </c>
      <c r="BR5" s="251" t="n">
        <f aca="false">BR4</f>
        <v>0</v>
      </c>
      <c r="BS5" s="251" t="n">
        <f aca="false">BS4</f>
        <v>0</v>
      </c>
      <c r="BT5" s="251" t="n">
        <f aca="false">BT4</f>
        <v>0</v>
      </c>
      <c r="BU5" s="251" t="n">
        <f aca="false">BU4</f>
        <v>0</v>
      </c>
      <c r="BV5" s="251" t="n">
        <f aca="false">BV4</f>
        <v>0</v>
      </c>
      <c r="BW5" s="251" t="n">
        <f aca="false">BW4</f>
        <v>0</v>
      </c>
      <c r="BX5" s="251" t="n">
        <f aca="false">BX4</f>
        <v>0</v>
      </c>
      <c r="BY5" s="251" t="n">
        <f aca="false">BY4</f>
        <v>0</v>
      </c>
      <c r="BZ5" s="251" t="n">
        <f aca="false">BZ4</f>
        <v>0</v>
      </c>
      <c r="CA5" s="251" t="n">
        <f aca="false">CA4</f>
        <v>0</v>
      </c>
      <c r="CB5" s="251" t="n">
        <f aca="false">CB4</f>
        <v>0</v>
      </c>
      <c r="CC5" s="251" t="n">
        <f aca="false">CC4</f>
        <v>0</v>
      </c>
      <c r="CD5" s="251" t="n">
        <f aca="false">CD4</f>
        <v>0</v>
      </c>
      <c r="CE5" s="251" t="n">
        <f aca="false">CE4</f>
        <v>0</v>
      </c>
      <c r="CF5" s="251" t="n">
        <f aca="false">CF4</f>
        <v>0</v>
      </c>
      <c r="CG5" s="251" t="n">
        <f aca="false">CG4</f>
        <v>0</v>
      </c>
      <c r="CH5" s="251" t="n">
        <f aca="false">CH4</f>
        <v>0</v>
      </c>
    </row>
    <row r="6" customFormat="false" ht="15" hidden="false" customHeight="true" outlineLevel="0" collapsed="false">
      <c r="A6" s="2" t="s">
        <v>847</v>
      </c>
      <c r="B6" s="3"/>
      <c r="C6" s="252" t="n">
        <f aca="false">C5</f>
        <v>9375</v>
      </c>
      <c r="D6" s="252" t="n">
        <f aca="false">C6+D5</f>
        <v>18750</v>
      </c>
      <c r="E6" s="252" t="n">
        <f aca="false">D6+E5</f>
        <v>28125</v>
      </c>
      <c r="F6" s="252" t="n">
        <f aca="false">E6+F5</f>
        <v>37500</v>
      </c>
      <c r="G6" s="252" t="n">
        <f aca="false">F6+G5</f>
        <v>46875</v>
      </c>
      <c r="H6" s="252" t="n">
        <f aca="false">G6+H5</f>
        <v>56250</v>
      </c>
      <c r="I6" s="252" t="n">
        <f aca="false">H6+I5</f>
        <v>65625</v>
      </c>
      <c r="J6" s="252" t="n">
        <f aca="false">I6+J5</f>
        <v>65625</v>
      </c>
      <c r="K6" s="252" t="n">
        <f aca="false">J6+K5</f>
        <v>65625</v>
      </c>
      <c r="L6" s="252" t="n">
        <f aca="false">K6+L5</f>
        <v>65625</v>
      </c>
      <c r="M6" s="252" t="n">
        <f aca="false">L6+M5</f>
        <v>65625</v>
      </c>
      <c r="N6" s="252" t="n">
        <f aca="false">M6+N5</f>
        <v>65625</v>
      </c>
      <c r="O6" s="252" t="n">
        <f aca="false">N6+O5</f>
        <v>65625</v>
      </c>
      <c r="P6" s="252" t="n">
        <f aca="false">O6+P5</f>
        <v>65625</v>
      </c>
      <c r="Q6" s="252" t="n">
        <f aca="false">P6+Q5</f>
        <v>65625</v>
      </c>
      <c r="R6" s="252" t="n">
        <f aca="false">Q6+R5</f>
        <v>65625</v>
      </c>
      <c r="S6" s="252" t="n">
        <f aca="false">R6+S5</f>
        <v>65625</v>
      </c>
      <c r="T6" s="252" t="n">
        <f aca="false">S6+T5</f>
        <v>65625</v>
      </c>
      <c r="U6" s="252" t="n">
        <f aca="false">T6+U5</f>
        <v>65625</v>
      </c>
      <c r="V6" s="252" t="n">
        <f aca="false">U6+V5</f>
        <v>65625</v>
      </c>
      <c r="W6" s="252" t="n">
        <f aca="false">V6+W5</f>
        <v>65625</v>
      </c>
      <c r="X6" s="252" t="n">
        <f aca="false">W6+X5</f>
        <v>65625</v>
      </c>
      <c r="Y6" s="252" t="n">
        <f aca="false">X6+Y5</f>
        <v>65625</v>
      </c>
      <c r="Z6" s="252" t="n">
        <f aca="false">Y6+Z5</f>
        <v>65625</v>
      </c>
      <c r="AA6" s="252" t="n">
        <f aca="false">Z6+AA5</f>
        <v>65625</v>
      </c>
      <c r="AB6" s="252" t="n">
        <f aca="false">AA6+AB5</f>
        <v>65625</v>
      </c>
      <c r="AC6" s="252" t="n">
        <f aca="false">AB6+AC5</f>
        <v>65625</v>
      </c>
      <c r="AD6" s="252" t="n">
        <f aca="false">AC6+AD5</f>
        <v>65625</v>
      </c>
      <c r="AE6" s="252" t="n">
        <f aca="false">AD6+AE5</f>
        <v>65625</v>
      </c>
      <c r="AF6" s="252" t="n">
        <f aca="false">AE6+AF5</f>
        <v>65625</v>
      </c>
      <c r="AG6" s="252" t="n">
        <f aca="false">AF6+AG5</f>
        <v>65625</v>
      </c>
      <c r="AH6" s="252" t="n">
        <f aca="false">AG6+AH5</f>
        <v>65625</v>
      </c>
      <c r="AI6" s="252" t="n">
        <f aca="false">AH6+AI5</f>
        <v>65625</v>
      </c>
      <c r="AJ6" s="252" t="n">
        <f aca="false">AI6+AJ5</f>
        <v>65625</v>
      </c>
      <c r="AK6" s="252" t="n">
        <f aca="false">AJ6+AK5</f>
        <v>65625</v>
      </c>
      <c r="AL6" s="252" t="n">
        <f aca="false">AK6+AL5</f>
        <v>65625</v>
      </c>
      <c r="AM6" s="252" t="n">
        <f aca="false">AL6+AM5</f>
        <v>65625</v>
      </c>
      <c r="AN6" s="252" t="n">
        <f aca="false">AM6+AN5</f>
        <v>65625</v>
      </c>
      <c r="AO6" s="252" t="n">
        <f aca="false">AN6+AO5</f>
        <v>65625</v>
      </c>
      <c r="AP6" s="252" t="n">
        <f aca="false">AO6+AP5</f>
        <v>65625</v>
      </c>
      <c r="AQ6" s="252" t="n">
        <f aca="false">AP6+AQ5</f>
        <v>65625</v>
      </c>
      <c r="AR6" s="252" t="n">
        <f aca="false">AQ6+AR5</f>
        <v>65625</v>
      </c>
      <c r="AS6" s="252" t="n">
        <f aca="false">AR6+AS5</f>
        <v>65625</v>
      </c>
      <c r="AT6" s="252" t="n">
        <f aca="false">AS6+AT5</f>
        <v>65625</v>
      </c>
      <c r="AU6" s="252" t="n">
        <f aca="false">AT6+AU5</f>
        <v>65625</v>
      </c>
      <c r="AV6" s="252" t="n">
        <f aca="false">AU6+AV5</f>
        <v>65625</v>
      </c>
      <c r="AW6" s="252" t="n">
        <f aca="false">AV6+AW5</f>
        <v>65625</v>
      </c>
      <c r="AX6" s="252" t="n">
        <f aca="false">AW6+AX5</f>
        <v>65625</v>
      </c>
      <c r="AY6" s="252" t="n">
        <f aca="false">AX6+AY5</f>
        <v>65625</v>
      </c>
      <c r="AZ6" s="252" t="n">
        <f aca="false">AY6+AZ5</f>
        <v>65625</v>
      </c>
      <c r="BA6" s="252" t="n">
        <f aca="false">AZ6+BA5</f>
        <v>65625</v>
      </c>
      <c r="BB6" s="252" t="n">
        <f aca="false">BA6+BB5</f>
        <v>65625</v>
      </c>
      <c r="BC6" s="252" t="n">
        <f aca="false">BB6+BC5</f>
        <v>65625</v>
      </c>
      <c r="BD6" s="252" t="n">
        <f aca="false">BC6+BD5</f>
        <v>65625</v>
      </c>
      <c r="BE6" s="252" t="n">
        <f aca="false">BD6+BE5</f>
        <v>65625</v>
      </c>
      <c r="BF6" s="252" t="n">
        <f aca="false">BE6+BF5</f>
        <v>65625</v>
      </c>
      <c r="BG6" s="252" t="n">
        <f aca="false">BF6+BG5</f>
        <v>65625</v>
      </c>
      <c r="BH6" s="252" t="n">
        <f aca="false">BG6+BH5</f>
        <v>65625</v>
      </c>
      <c r="BI6" s="252" t="n">
        <f aca="false">BH6+BI5</f>
        <v>65625</v>
      </c>
      <c r="BJ6" s="252" t="n">
        <f aca="false">BI6+BJ5</f>
        <v>65625</v>
      </c>
      <c r="BK6" s="252" t="n">
        <f aca="false">BJ6+BK5</f>
        <v>65625</v>
      </c>
      <c r="BL6" s="252" t="n">
        <f aca="false">BK6+BL5</f>
        <v>65625</v>
      </c>
      <c r="BM6" s="252" t="n">
        <f aca="false">BL6+BM5</f>
        <v>65625</v>
      </c>
      <c r="BN6" s="252" t="n">
        <f aca="false">BM6+BN5</f>
        <v>65625</v>
      </c>
      <c r="BO6" s="252" t="n">
        <f aca="false">BN6+BO5</f>
        <v>65625</v>
      </c>
      <c r="BP6" s="252" t="n">
        <f aca="false">BO6+BP5</f>
        <v>65625</v>
      </c>
      <c r="BQ6" s="252" t="n">
        <f aca="false">BP6+BQ5</f>
        <v>65625</v>
      </c>
      <c r="BR6" s="252" t="n">
        <f aca="false">BQ6+BR5</f>
        <v>65625</v>
      </c>
      <c r="BS6" s="252" t="n">
        <f aca="false">BR6+BS5</f>
        <v>65625</v>
      </c>
      <c r="BT6" s="252" t="n">
        <f aca="false">BS6+BT5</f>
        <v>65625</v>
      </c>
      <c r="BU6" s="252" t="n">
        <f aca="false">BT6+BU5</f>
        <v>65625</v>
      </c>
      <c r="BV6" s="252" t="n">
        <f aca="false">BU6+BV5</f>
        <v>65625</v>
      </c>
      <c r="BW6" s="252" t="n">
        <f aca="false">BV6+BW5</f>
        <v>65625</v>
      </c>
      <c r="BX6" s="252" t="n">
        <f aca="false">BW6+BX5</f>
        <v>65625</v>
      </c>
      <c r="BY6" s="252" t="n">
        <f aca="false">BX6+BY5</f>
        <v>65625</v>
      </c>
      <c r="BZ6" s="252" t="n">
        <f aca="false">BY6+BZ5</f>
        <v>65625</v>
      </c>
      <c r="CA6" s="252" t="n">
        <f aca="false">BZ6+CA5</f>
        <v>65625</v>
      </c>
      <c r="CB6" s="252" t="n">
        <f aca="false">CA6+CB5</f>
        <v>65625</v>
      </c>
      <c r="CC6" s="252" t="n">
        <f aca="false">CB6+CC5</f>
        <v>65625</v>
      </c>
      <c r="CD6" s="252" t="n">
        <f aca="false">CC6+CD5</f>
        <v>65625</v>
      </c>
      <c r="CE6" s="252" t="n">
        <f aca="false">CD6+CE5</f>
        <v>65625</v>
      </c>
      <c r="CF6" s="252" t="n">
        <f aca="false">CE6+CF5</f>
        <v>65625</v>
      </c>
      <c r="CG6" s="252" t="n">
        <f aca="false">CF6+CG5</f>
        <v>65625</v>
      </c>
      <c r="CH6" s="252" t="n">
        <f aca="false">CG6+CH5</f>
        <v>65625</v>
      </c>
    </row>
    <row r="7" customFormat="false" ht="15" hidden="false" customHeight="true" outlineLevel="0" collapsed="false">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row>
    <row r="8" customFormat="false" ht="15" hidden="false" customHeight="true" outlineLevel="0" collapsed="false">
      <c r="A8" s="23" t="s">
        <v>8</v>
      </c>
      <c r="B8" s="23"/>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c r="BZ8" s="23"/>
      <c r="CA8" s="23"/>
      <c r="CB8" s="23"/>
      <c r="CC8" s="23"/>
      <c r="CD8" s="23"/>
      <c r="CE8" s="23"/>
      <c r="CF8" s="23"/>
      <c r="CG8" s="23"/>
      <c r="CH8" s="23"/>
    </row>
    <row r="9" customFormat="false" ht="15" hidden="false" customHeight="true" outlineLevel="0" collapsed="false">
      <c r="A9" s="79" t="s">
        <v>845</v>
      </c>
      <c r="B9" s="3"/>
      <c r="C9" s="249" t="n">
        <f aca="false">Model!E242+Model!E243+Model!E244+Model!E245</f>
        <v>23906.25</v>
      </c>
      <c r="D9" s="249" t="n">
        <f aca="false">Model!F242+Model!F243+Model!F244+Model!F245</f>
        <v>23906.25</v>
      </c>
      <c r="E9" s="249" t="n">
        <f aca="false">Model!G242+Model!G243+Model!G244+Model!G245</f>
        <v>23906.25</v>
      </c>
      <c r="F9" s="249" t="n">
        <f aca="false">Model!H242+Model!H243+Model!H244+Model!H245</f>
        <v>23906.25</v>
      </c>
      <c r="G9" s="249" t="n">
        <f aca="false">Model!I242+Model!I243+Model!I244+Model!I245</f>
        <v>23906.25</v>
      </c>
      <c r="H9" s="249" t="n">
        <f aca="false">Model!J242+Model!J243+Model!J244+Model!J245</f>
        <v>23906.25</v>
      </c>
      <c r="I9" s="249" t="n">
        <f aca="false">Model!K242+Model!K243+Model!K244+Model!K245</f>
        <v>23906.25</v>
      </c>
      <c r="J9" s="249" t="n">
        <f aca="false">Model!L242+Model!L243+Model!L244+Model!L245</f>
        <v>23906.25</v>
      </c>
      <c r="K9" s="249" t="n">
        <f aca="false">Model!M242+Model!M243+Model!M244+Model!M245</f>
        <v>23906.25</v>
      </c>
      <c r="L9" s="249" t="n">
        <f aca="false">Model!N242+Model!N243+Model!N244+Model!N245</f>
        <v>23906.25</v>
      </c>
      <c r="M9" s="249" t="n">
        <f aca="false">Model!O242+Model!O243+Model!O244+Model!O245</f>
        <v>23906.25</v>
      </c>
      <c r="N9" s="249" t="n">
        <f aca="false">Model!P242+Model!P243+Model!P244+Model!P245</f>
        <v>23906.25</v>
      </c>
      <c r="O9" s="249" t="n">
        <f aca="false">Model!Q242+Model!Q243+Model!Q244+Model!Q245</f>
        <v>23906.25</v>
      </c>
      <c r="P9" s="249" t="n">
        <f aca="false">Model!R242+Model!R243+Model!R244+Model!R245</f>
        <v>23906.25</v>
      </c>
      <c r="Q9" s="249" t="n">
        <f aca="false">Model!S242+Model!S243+Model!S244+Model!S245</f>
        <v>23906.25</v>
      </c>
      <c r="R9" s="249" t="n">
        <f aca="false">Model!T242+Model!T243+Model!T244+Model!T245</f>
        <v>0</v>
      </c>
      <c r="S9" s="249" t="n">
        <f aca="false">Model!U242+Model!U243+Model!U244+Model!U245</f>
        <v>0</v>
      </c>
      <c r="T9" s="249" t="n">
        <f aca="false">Model!V242+Model!V243+Model!V244+Model!V245</f>
        <v>0</v>
      </c>
      <c r="U9" s="249" t="n">
        <f aca="false">Model!W242+Model!W243+Model!W244+Model!W245</f>
        <v>0</v>
      </c>
      <c r="V9" s="249" t="n">
        <f aca="false">Model!X242+Model!X243+Model!X244+Model!X245</f>
        <v>0</v>
      </c>
      <c r="W9" s="249" t="n">
        <f aca="false">Model!Y242+Model!Y243+Model!Y244+Model!Y245</f>
        <v>57375</v>
      </c>
      <c r="X9" s="249" t="n">
        <f aca="false">Model!Z242+Model!Z243+Model!Z244+Model!Z245</f>
        <v>0</v>
      </c>
      <c r="Y9" s="249" t="n">
        <f aca="false">Model!AA242+Model!AA243+Model!AA244+Model!AA245</f>
        <v>0</v>
      </c>
      <c r="Z9" s="249" t="n">
        <f aca="false">Model!AB242+Model!AB243+Model!AB244+Model!AB245</f>
        <v>57375</v>
      </c>
      <c r="AA9" s="249" t="n">
        <f aca="false">Model!AC242+Model!AC243+Model!AC244+Model!AC245</f>
        <v>0</v>
      </c>
      <c r="AB9" s="249" t="n">
        <f aca="false">Model!AD242+Model!AD243+Model!AD244+Model!AD245</f>
        <v>0</v>
      </c>
      <c r="AC9" s="249" t="n">
        <f aca="false">Model!AE242+Model!AE243+Model!AE244+Model!AE245</f>
        <v>57375</v>
      </c>
      <c r="AD9" s="249" t="n">
        <f aca="false">Model!AF242+Model!AF243+Model!AF244+Model!AF245</f>
        <v>0</v>
      </c>
      <c r="AE9" s="249" t="n">
        <f aca="false">Model!AG242+Model!AG243+Model!AG244+Model!AG245</f>
        <v>0</v>
      </c>
      <c r="AF9" s="249" t="n">
        <f aca="false">Model!AH242+Model!AH243+Model!AH244+Model!AH245</f>
        <v>0</v>
      </c>
      <c r="AG9" s="249" t="n">
        <f aca="false">Model!AI242+Model!AI243+Model!AI244+Model!AI245</f>
        <v>0</v>
      </c>
      <c r="AH9" s="249" t="n">
        <f aca="false">Model!AJ242+Model!AJ243+Model!AJ244+Model!AJ245</f>
        <v>0</v>
      </c>
      <c r="AI9" s="249" t="n">
        <f aca="false">Model!AK242+Model!AK243+Model!AK244+Model!AK245</f>
        <v>0</v>
      </c>
      <c r="AJ9" s="249" t="n">
        <f aca="false">Model!AL242+Model!AL243+Model!AL244+Model!AL245</f>
        <v>0</v>
      </c>
      <c r="AK9" s="249" t="n">
        <f aca="false">Model!AM242+Model!AM243+Model!AM244+Model!AM245</f>
        <v>0</v>
      </c>
      <c r="AL9" s="249" t="n">
        <f aca="false">Model!AN242+Model!AN243+Model!AN244+Model!AN245</f>
        <v>0</v>
      </c>
      <c r="AM9" s="249" t="n">
        <f aca="false">Model!AO242+Model!AO243+Model!AO244+Model!AO245</f>
        <v>0</v>
      </c>
      <c r="AN9" s="249" t="n">
        <f aca="false">Model!AP242+Model!AP243+Model!AP244+Model!AP245</f>
        <v>0</v>
      </c>
      <c r="AO9" s="249" t="n">
        <f aca="false">Model!AQ242+Model!AQ243+Model!AQ244+Model!AQ245</f>
        <v>0</v>
      </c>
      <c r="AP9" s="249" t="n">
        <f aca="false">Model!AR242+Model!AR243+Model!AR244+Model!AR245</f>
        <v>0</v>
      </c>
      <c r="AQ9" s="249" t="n">
        <f aca="false">Model!AS242+Model!AS243+Model!AS244+Model!AS245</f>
        <v>0</v>
      </c>
      <c r="AR9" s="249" t="n">
        <f aca="false">Model!AT242+Model!AT243+Model!AT244+Model!AT245</f>
        <v>0</v>
      </c>
      <c r="AS9" s="249" t="n">
        <f aca="false">Model!AU242+Model!AU243+Model!AU244+Model!AU245</f>
        <v>0</v>
      </c>
      <c r="AT9" s="249" t="n">
        <f aca="false">Model!AV242+Model!AV243+Model!AV244+Model!AV245</f>
        <v>0</v>
      </c>
      <c r="AU9" s="249" t="n">
        <f aca="false">Model!AW242+Model!AW243+Model!AW244+Model!AW245</f>
        <v>0</v>
      </c>
      <c r="AV9" s="249" t="n">
        <f aca="false">Model!AX242+Model!AX243+Model!AX244+Model!AX245</f>
        <v>0</v>
      </c>
      <c r="AW9" s="249" t="n">
        <f aca="false">Model!AY242+Model!AY243+Model!AY244+Model!AY245</f>
        <v>0</v>
      </c>
      <c r="AX9" s="249" t="n">
        <f aca="false">Model!AZ242+Model!AZ243+Model!AZ244+Model!AZ245</f>
        <v>0</v>
      </c>
      <c r="AY9" s="249" t="n">
        <f aca="false">Model!BA242+Model!BA243+Model!BA244+Model!BA245</f>
        <v>0</v>
      </c>
      <c r="AZ9" s="249" t="n">
        <f aca="false">Model!BB242+Model!BB243+Model!BB244+Model!BB245</f>
        <v>0</v>
      </c>
      <c r="BA9" s="249" t="n">
        <f aca="false">Model!BC242+Model!BC243+Model!BC244+Model!BC245</f>
        <v>0</v>
      </c>
      <c r="BB9" s="249" t="n">
        <f aca="false">Model!BD242+Model!BD243+Model!BD244+Model!BD245</f>
        <v>0</v>
      </c>
      <c r="BC9" s="249" t="n">
        <f aca="false">Model!BE242+Model!BE243+Model!BE244+Model!BE245</f>
        <v>0</v>
      </c>
      <c r="BD9" s="249" t="n">
        <f aca="false">Model!BF242+Model!BF243+Model!BF244+Model!BF245</f>
        <v>0</v>
      </c>
      <c r="BE9" s="249" t="n">
        <f aca="false">Model!BG242+Model!BG243+Model!BG244+Model!BG245</f>
        <v>0</v>
      </c>
      <c r="BF9" s="249" t="n">
        <f aca="false">Model!BH242+Model!BH243+Model!BH244+Model!BH245</f>
        <v>0</v>
      </c>
      <c r="BG9" s="249" t="n">
        <f aca="false">Model!BI242+Model!BI243+Model!BI244+Model!BI245</f>
        <v>0</v>
      </c>
      <c r="BH9" s="249" t="n">
        <f aca="false">Model!BJ242+Model!BJ243+Model!BJ244+Model!BJ245</f>
        <v>0</v>
      </c>
      <c r="BI9" s="249" t="n">
        <f aca="false">Model!BK242+Model!BK243+Model!BK244+Model!BK245</f>
        <v>0</v>
      </c>
      <c r="BJ9" s="249" t="n">
        <f aca="false">Model!BL242+Model!BL243+Model!BL244+Model!BL245</f>
        <v>0</v>
      </c>
      <c r="BK9" s="249" t="n">
        <f aca="false">Model!BM242+Model!BM243+Model!BM244+Model!BM245</f>
        <v>0</v>
      </c>
      <c r="BL9" s="249" t="n">
        <f aca="false">Model!BN242+Model!BN243+Model!BN244+Model!BN245</f>
        <v>0</v>
      </c>
      <c r="BM9" s="249" t="n">
        <f aca="false">Model!BO242+Model!BO243+Model!BO244+Model!BO245</f>
        <v>0</v>
      </c>
      <c r="BN9" s="249" t="n">
        <f aca="false">Model!BP242+Model!BP243+Model!BP244+Model!BP245</f>
        <v>0</v>
      </c>
      <c r="BO9" s="249" t="n">
        <f aca="false">Model!BQ242+Model!BQ243+Model!BQ244+Model!BQ245</f>
        <v>0</v>
      </c>
      <c r="BP9" s="249" t="n">
        <f aca="false">Model!BR242+Model!BR243+Model!BR244+Model!BR245</f>
        <v>0</v>
      </c>
      <c r="BQ9" s="249" t="n">
        <f aca="false">Model!BS242+Model!BS243+Model!BS244+Model!BS245</f>
        <v>0</v>
      </c>
      <c r="BR9" s="249" t="n">
        <f aca="false">Model!BT242+Model!BT243+Model!BT244+Model!BT245</f>
        <v>0</v>
      </c>
      <c r="BS9" s="249" t="n">
        <f aca="false">Model!BU242+Model!BU243+Model!BU244+Model!BU245</f>
        <v>0</v>
      </c>
      <c r="BT9" s="249" t="n">
        <f aca="false">Model!BV242+Model!BV243+Model!BV244+Model!BV245</f>
        <v>0</v>
      </c>
      <c r="BU9" s="249" t="n">
        <f aca="false">Model!BW242+Model!BW243+Model!BW244+Model!BW245</f>
        <v>0</v>
      </c>
      <c r="BV9" s="249" t="n">
        <f aca="false">Model!BX242+Model!BX243+Model!BX244+Model!BX245</f>
        <v>0</v>
      </c>
      <c r="BW9" s="249" t="n">
        <f aca="false">Model!BY242+Model!BY243+Model!BY244+Model!BY245</f>
        <v>0</v>
      </c>
      <c r="BX9" s="249" t="n">
        <f aca="false">Model!BZ242+Model!BZ243+Model!BZ244+Model!BZ245</f>
        <v>0</v>
      </c>
      <c r="BY9" s="249" t="n">
        <f aca="false">Model!CA242+Model!CA243+Model!CA244+Model!CA245</f>
        <v>0</v>
      </c>
      <c r="BZ9" s="249" t="n">
        <f aca="false">Model!CB242+Model!CB243+Model!CB244+Model!CB245</f>
        <v>0</v>
      </c>
      <c r="CA9" s="249" t="n">
        <f aca="false">Model!CC242+Model!CC243+Model!CC244+Model!CC245</f>
        <v>0</v>
      </c>
      <c r="CB9" s="249" t="n">
        <f aca="false">Model!CD242+Model!CD243+Model!CD244+Model!CD245</f>
        <v>0</v>
      </c>
      <c r="CC9" s="249" t="n">
        <f aca="false">Model!CE242+Model!CE243+Model!CE244+Model!CE245</f>
        <v>0</v>
      </c>
      <c r="CD9" s="249" t="n">
        <f aca="false">Model!CF242+Model!CF243+Model!CF244+Model!CF245</f>
        <v>0</v>
      </c>
      <c r="CE9" s="249" t="n">
        <f aca="false">Model!CG242+Model!CG243+Model!CG244+Model!CG245</f>
        <v>0</v>
      </c>
      <c r="CF9" s="249" t="n">
        <f aca="false">Model!CH242+Model!CH243+Model!CH244+Model!CH245</f>
        <v>0</v>
      </c>
      <c r="CG9" s="249" t="n">
        <f aca="false">Model!CI242+Model!CI243+Model!CI244+Model!CI245</f>
        <v>0</v>
      </c>
      <c r="CH9" s="249" t="n">
        <f aca="false">Model!CJ242+Model!CJ243+Model!CJ244+Model!CJ245</f>
        <v>0</v>
      </c>
    </row>
    <row r="10" customFormat="false" ht="15" hidden="false" customHeight="true" outlineLevel="0" collapsed="false">
      <c r="A10" s="250" t="s">
        <v>846</v>
      </c>
      <c r="B10" s="250"/>
      <c r="C10" s="251" t="n">
        <f aca="false">C9</f>
        <v>23906.25</v>
      </c>
      <c r="D10" s="251" t="n">
        <f aca="false">D9</f>
        <v>23906.25</v>
      </c>
      <c r="E10" s="251" t="n">
        <f aca="false">E9</f>
        <v>23906.25</v>
      </c>
      <c r="F10" s="251" t="n">
        <f aca="false">F9</f>
        <v>23906.25</v>
      </c>
      <c r="G10" s="251" t="n">
        <f aca="false">G9</f>
        <v>23906.25</v>
      </c>
      <c r="H10" s="251" t="n">
        <f aca="false">H9</f>
        <v>23906.25</v>
      </c>
      <c r="I10" s="251" t="n">
        <f aca="false">I9</f>
        <v>23906.25</v>
      </c>
      <c r="J10" s="251" t="n">
        <f aca="false">J9</f>
        <v>23906.25</v>
      </c>
      <c r="K10" s="251" t="n">
        <f aca="false">K9</f>
        <v>23906.25</v>
      </c>
      <c r="L10" s="251" t="n">
        <f aca="false">L9</f>
        <v>23906.25</v>
      </c>
      <c r="M10" s="251" t="n">
        <f aca="false">M9</f>
        <v>23906.25</v>
      </c>
      <c r="N10" s="251" t="n">
        <f aca="false">N9</f>
        <v>23906.25</v>
      </c>
      <c r="O10" s="251" t="n">
        <f aca="false">O9</f>
        <v>23906.25</v>
      </c>
      <c r="P10" s="251" t="n">
        <f aca="false">P9</f>
        <v>23906.25</v>
      </c>
      <c r="Q10" s="251" t="n">
        <f aca="false">Q9</f>
        <v>23906.25</v>
      </c>
      <c r="R10" s="251" t="n">
        <f aca="false">R9</f>
        <v>0</v>
      </c>
      <c r="S10" s="251" t="n">
        <f aca="false">S9</f>
        <v>0</v>
      </c>
      <c r="T10" s="251" t="n">
        <f aca="false">T9</f>
        <v>0</v>
      </c>
      <c r="U10" s="251" t="n">
        <f aca="false">U9</f>
        <v>0</v>
      </c>
      <c r="V10" s="251" t="n">
        <f aca="false">V9</f>
        <v>0</v>
      </c>
      <c r="W10" s="251" t="n">
        <f aca="false">W9</f>
        <v>57375</v>
      </c>
      <c r="X10" s="251" t="n">
        <f aca="false">X9</f>
        <v>0</v>
      </c>
      <c r="Y10" s="251" t="n">
        <f aca="false">Y9</f>
        <v>0</v>
      </c>
      <c r="Z10" s="251" t="n">
        <f aca="false">Z9</f>
        <v>57375</v>
      </c>
      <c r="AA10" s="251" t="n">
        <f aca="false">AA9</f>
        <v>0</v>
      </c>
      <c r="AB10" s="251" t="n">
        <f aca="false">AB9</f>
        <v>0</v>
      </c>
      <c r="AC10" s="251" t="n">
        <f aca="false">AC9</f>
        <v>57375</v>
      </c>
      <c r="AD10" s="251" t="n">
        <f aca="false">AD9</f>
        <v>0</v>
      </c>
      <c r="AE10" s="251" t="n">
        <f aca="false">AE9</f>
        <v>0</v>
      </c>
      <c r="AF10" s="251" t="n">
        <f aca="false">AF9</f>
        <v>0</v>
      </c>
      <c r="AG10" s="251" t="n">
        <f aca="false">AG9</f>
        <v>0</v>
      </c>
      <c r="AH10" s="251" t="n">
        <f aca="false">AH9</f>
        <v>0</v>
      </c>
      <c r="AI10" s="251" t="n">
        <f aca="false">AI9</f>
        <v>0</v>
      </c>
      <c r="AJ10" s="251" t="n">
        <f aca="false">AJ9</f>
        <v>0</v>
      </c>
      <c r="AK10" s="251" t="n">
        <f aca="false">AK9</f>
        <v>0</v>
      </c>
      <c r="AL10" s="251" t="n">
        <f aca="false">AL9</f>
        <v>0</v>
      </c>
      <c r="AM10" s="251" t="n">
        <f aca="false">AM9</f>
        <v>0</v>
      </c>
      <c r="AN10" s="251" t="n">
        <f aca="false">AN9</f>
        <v>0</v>
      </c>
      <c r="AO10" s="251" t="n">
        <f aca="false">AO9</f>
        <v>0</v>
      </c>
      <c r="AP10" s="251" t="n">
        <f aca="false">AP9</f>
        <v>0</v>
      </c>
      <c r="AQ10" s="251" t="n">
        <f aca="false">AQ9</f>
        <v>0</v>
      </c>
      <c r="AR10" s="251" t="n">
        <f aca="false">AR9</f>
        <v>0</v>
      </c>
      <c r="AS10" s="251" t="n">
        <f aca="false">AS9</f>
        <v>0</v>
      </c>
      <c r="AT10" s="251" t="n">
        <f aca="false">AT9</f>
        <v>0</v>
      </c>
      <c r="AU10" s="251" t="n">
        <f aca="false">AU9</f>
        <v>0</v>
      </c>
      <c r="AV10" s="251" t="n">
        <f aca="false">AV9</f>
        <v>0</v>
      </c>
      <c r="AW10" s="251" t="n">
        <f aca="false">AW9</f>
        <v>0</v>
      </c>
      <c r="AX10" s="251" t="n">
        <f aca="false">AX9</f>
        <v>0</v>
      </c>
      <c r="AY10" s="251" t="n">
        <f aca="false">AY9</f>
        <v>0</v>
      </c>
      <c r="AZ10" s="251" t="n">
        <f aca="false">AZ9</f>
        <v>0</v>
      </c>
      <c r="BA10" s="251" t="n">
        <f aca="false">BA9</f>
        <v>0</v>
      </c>
      <c r="BB10" s="251" t="n">
        <f aca="false">BB9</f>
        <v>0</v>
      </c>
      <c r="BC10" s="251" t="n">
        <f aca="false">BC9</f>
        <v>0</v>
      </c>
      <c r="BD10" s="251" t="n">
        <f aca="false">BD9</f>
        <v>0</v>
      </c>
      <c r="BE10" s="251" t="n">
        <f aca="false">BE9</f>
        <v>0</v>
      </c>
      <c r="BF10" s="251" t="n">
        <f aca="false">BF9</f>
        <v>0</v>
      </c>
      <c r="BG10" s="251" t="n">
        <f aca="false">BG9</f>
        <v>0</v>
      </c>
      <c r="BH10" s="251" t="n">
        <f aca="false">BH9</f>
        <v>0</v>
      </c>
      <c r="BI10" s="251" t="n">
        <f aca="false">BI9</f>
        <v>0</v>
      </c>
      <c r="BJ10" s="251" t="n">
        <f aca="false">BJ9</f>
        <v>0</v>
      </c>
      <c r="BK10" s="251" t="n">
        <f aca="false">BK9</f>
        <v>0</v>
      </c>
      <c r="BL10" s="251" t="n">
        <f aca="false">BL9</f>
        <v>0</v>
      </c>
      <c r="BM10" s="251" t="n">
        <f aca="false">BM9</f>
        <v>0</v>
      </c>
      <c r="BN10" s="251" t="n">
        <f aca="false">BN9</f>
        <v>0</v>
      </c>
      <c r="BO10" s="251" t="n">
        <f aca="false">BO9</f>
        <v>0</v>
      </c>
      <c r="BP10" s="251" t="n">
        <f aca="false">BP9</f>
        <v>0</v>
      </c>
      <c r="BQ10" s="251" t="n">
        <f aca="false">BQ9</f>
        <v>0</v>
      </c>
      <c r="BR10" s="251" t="n">
        <f aca="false">BR9</f>
        <v>0</v>
      </c>
      <c r="BS10" s="251" t="n">
        <f aca="false">BS9</f>
        <v>0</v>
      </c>
      <c r="BT10" s="251" t="n">
        <f aca="false">BT9</f>
        <v>0</v>
      </c>
      <c r="BU10" s="251" t="n">
        <f aca="false">BU9</f>
        <v>0</v>
      </c>
      <c r="BV10" s="251" t="n">
        <f aca="false">BV9</f>
        <v>0</v>
      </c>
      <c r="BW10" s="251" t="n">
        <f aca="false">BW9</f>
        <v>0</v>
      </c>
      <c r="BX10" s="251" t="n">
        <f aca="false">BX9</f>
        <v>0</v>
      </c>
      <c r="BY10" s="251" t="n">
        <f aca="false">BY9</f>
        <v>0</v>
      </c>
      <c r="BZ10" s="251" t="n">
        <f aca="false">BZ9</f>
        <v>0</v>
      </c>
      <c r="CA10" s="251" t="n">
        <f aca="false">CA9</f>
        <v>0</v>
      </c>
      <c r="CB10" s="251" t="n">
        <f aca="false">CB9</f>
        <v>0</v>
      </c>
      <c r="CC10" s="251" t="n">
        <f aca="false">CC9</f>
        <v>0</v>
      </c>
      <c r="CD10" s="251" t="n">
        <f aca="false">CD9</f>
        <v>0</v>
      </c>
      <c r="CE10" s="251" t="n">
        <f aca="false">CE9</f>
        <v>0</v>
      </c>
      <c r="CF10" s="251" t="n">
        <f aca="false">CF9</f>
        <v>0</v>
      </c>
      <c r="CG10" s="251" t="n">
        <f aca="false">CG9</f>
        <v>0</v>
      </c>
      <c r="CH10" s="251" t="n">
        <f aca="false">CH9</f>
        <v>0</v>
      </c>
    </row>
    <row r="11" customFormat="false" ht="15" hidden="false" customHeight="true" outlineLevel="0" collapsed="false">
      <c r="A11" s="2" t="s">
        <v>847</v>
      </c>
      <c r="B11" s="3"/>
      <c r="C11" s="252" t="n">
        <f aca="false">C10</f>
        <v>23906.25</v>
      </c>
      <c r="D11" s="252" t="n">
        <f aca="false">C11+D10</f>
        <v>47812.5</v>
      </c>
      <c r="E11" s="252" t="n">
        <f aca="false">D11+E10</f>
        <v>71718.75</v>
      </c>
      <c r="F11" s="252" t="n">
        <f aca="false">E11+F10</f>
        <v>95625</v>
      </c>
      <c r="G11" s="252" t="n">
        <f aca="false">F11+G10</f>
        <v>119531.25</v>
      </c>
      <c r="H11" s="252" t="n">
        <f aca="false">G11+H10</f>
        <v>143437.5</v>
      </c>
      <c r="I11" s="252" t="n">
        <f aca="false">H11+I10</f>
        <v>167343.75</v>
      </c>
      <c r="J11" s="252" t="n">
        <f aca="false">I11+J10</f>
        <v>191250</v>
      </c>
      <c r="K11" s="252" t="n">
        <f aca="false">J11+K10</f>
        <v>215156.25</v>
      </c>
      <c r="L11" s="252" t="n">
        <f aca="false">K11+L10</f>
        <v>239062.5</v>
      </c>
      <c r="M11" s="252" t="n">
        <f aca="false">L11+M10</f>
        <v>262968.75</v>
      </c>
      <c r="N11" s="252" t="n">
        <f aca="false">M11+N10</f>
        <v>286875</v>
      </c>
      <c r="O11" s="252" t="n">
        <f aca="false">N11+O10</f>
        <v>310781.25</v>
      </c>
      <c r="P11" s="252" t="n">
        <f aca="false">O11+P10</f>
        <v>334687.5</v>
      </c>
      <c r="Q11" s="252" t="n">
        <f aca="false">P11+Q10</f>
        <v>358593.75</v>
      </c>
      <c r="R11" s="252" t="n">
        <f aca="false">Q11+R10</f>
        <v>358593.75</v>
      </c>
      <c r="S11" s="252" t="n">
        <f aca="false">R11+S10</f>
        <v>358593.75</v>
      </c>
      <c r="T11" s="252" t="n">
        <f aca="false">S11+T10</f>
        <v>358593.75</v>
      </c>
      <c r="U11" s="252" t="n">
        <f aca="false">T11+U10</f>
        <v>358593.75</v>
      </c>
      <c r="V11" s="252" t="n">
        <f aca="false">U11+V10</f>
        <v>358593.75</v>
      </c>
      <c r="W11" s="252" t="n">
        <f aca="false">V11+W10</f>
        <v>415968.75</v>
      </c>
      <c r="X11" s="252" t="n">
        <f aca="false">W11+X10</f>
        <v>415968.75</v>
      </c>
      <c r="Y11" s="252" t="n">
        <f aca="false">X11+Y10</f>
        <v>415968.75</v>
      </c>
      <c r="Z11" s="252" t="n">
        <f aca="false">Y11+Z10</f>
        <v>473343.75</v>
      </c>
      <c r="AA11" s="252" t="n">
        <f aca="false">Z11+AA10</f>
        <v>473343.75</v>
      </c>
      <c r="AB11" s="252" t="n">
        <f aca="false">AA11+AB10</f>
        <v>473343.75</v>
      </c>
      <c r="AC11" s="252" t="n">
        <f aca="false">AB11+AC10</f>
        <v>530718.75</v>
      </c>
      <c r="AD11" s="252" t="n">
        <f aca="false">AC11+AD10</f>
        <v>530718.75</v>
      </c>
      <c r="AE11" s="252" t="n">
        <f aca="false">AD11+AE10</f>
        <v>530718.75</v>
      </c>
      <c r="AF11" s="252" t="n">
        <f aca="false">AE11+AF10</f>
        <v>530718.75</v>
      </c>
      <c r="AG11" s="252" t="n">
        <f aca="false">AF11+AG10</f>
        <v>530718.75</v>
      </c>
      <c r="AH11" s="252" t="n">
        <f aca="false">AG11+AH10</f>
        <v>530718.75</v>
      </c>
      <c r="AI11" s="252" t="n">
        <f aca="false">AH11+AI10</f>
        <v>530718.75</v>
      </c>
      <c r="AJ11" s="252" t="n">
        <f aca="false">AI11+AJ10</f>
        <v>530718.75</v>
      </c>
      <c r="AK11" s="252" t="n">
        <f aca="false">AJ11+AK10</f>
        <v>530718.75</v>
      </c>
      <c r="AL11" s="252" t="n">
        <f aca="false">AK11+AL10</f>
        <v>530718.75</v>
      </c>
      <c r="AM11" s="252" t="n">
        <f aca="false">AL11+AM10</f>
        <v>530718.75</v>
      </c>
      <c r="AN11" s="252" t="n">
        <f aca="false">AM11+AN10</f>
        <v>530718.75</v>
      </c>
      <c r="AO11" s="252" t="n">
        <f aca="false">AN11+AO10</f>
        <v>530718.75</v>
      </c>
      <c r="AP11" s="252" t="n">
        <f aca="false">AO11+AP10</f>
        <v>530718.75</v>
      </c>
      <c r="AQ11" s="252" t="n">
        <f aca="false">AP11+AQ10</f>
        <v>530718.75</v>
      </c>
      <c r="AR11" s="252" t="n">
        <f aca="false">AQ11+AR10</f>
        <v>530718.75</v>
      </c>
      <c r="AS11" s="252" t="n">
        <f aca="false">AR11+AS10</f>
        <v>530718.75</v>
      </c>
      <c r="AT11" s="252" t="n">
        <f aca="false">AS11+AT10</f>
        <v>530718.75</v>
      </c>
      <c r="AU11" s="252" t="n">
        <f aca="false">AT11+AU10</f>
        <v>530718.75</v>
      </c>
      <c r="AV11" s="252" t="n">
        <f aca="false">AU11+AV10</f>
        <v>530718.75</v>
      </c>
      <c r="AW11" s="252" t="n">
        <f aca="false">AV11+AW10</f>
        <v>530718.75</v>
      </c>
      <c r="AX11" s="252" t="n">
        <f aca="false">AW11+AX10</f>
        <v>530718.75</v>
      </c>
      <c r="AY11" s="252" t="n">
        <f aca="false">AX11+AY10</f>
        <v>530718.75</v>
      </c>
      <c r="AZ11" s="252" t="n">
        <f aca="false">AY11+AZ10</f>
        <v>530718.75</v>
      </c>
      <c r="BA11" s="252" t="n">
        <f aca="false">AZ11+BA10</f>
        <v>530718.75</v>
      </c>
      <c r="BB11" s="252" t="n">
        <f aca="false">BA11+BB10</f>
        <v>530718.75</v>
      </c>
      <c r="BC11" s="252" t="n">
        <f aca="false">BB11+BC10</f>
        <v>530718.75</v>
      </c>
      <c r="BD11" s="252" t="n">
        <f aca="false">BC11+BD10</f>
        <v>530718.75</v>
      </c>
      <c r="BE11" s="252" t="n">
        <f aca="false">BD11+BE10</f>
        <v>530718.75</v>
      </c>
      <c r="BF11" s="252" t="n">
        <f aca="false">BE11+BF10</f>
        <v>530718.75</v>
      </c>
      <c r="BG11" s="252" t="n">
        <f aca="false">BF11+BG10</f>
        <v>530718.75</v>
      </c>
      <c r="BH11" s="252" t="n">
        <f aca="false">BG11+BH10</f>
        <v>530718.75</v>
      </c>
      <c r="BI11" s="252" t="n">
        <f aca="false">BH11+BI10</f>
        <v>530718.75</v>
      </c>
      <c r="BJ11" s="252" t="n">
        <f aca="false">BI11+BJ10</f>
        <v>530718.75</v>
      </c>
      <c r="BK11" s="252" t="n">
        <f aca="false">BJ11+BK10</f>
        <v>530718.75</v>
      </c>
      <c r="BL11" s="252" t="n">
        <f aca="false">BK11+BL10</f>
        <v>530718.75</v>
      </c>
      <c r="BM11" s="252" t="n">
        <f aca="false">BL11+BM10</f>
        <v>530718.75</v>
      </c>
      <c r="BN11" s="252" t="n">
        <f aca="false">BM11+BN10</f>
        <v>530718.75</v>
      </c>
      <c r="BO11" s="252" t="n">
        <f aca="false">BN11+BO10</f>
        <v>530718.75</v>
      </c>
      <c r="BP11" s="252" t="n">
        <f aca="false">BO11+BP10</f>
        <v>530718.75</v>
      </c>
      <c r="BQ11" s="252" t="n">
        <f aca="false">BP11+BQ10</f>
        <v>530718.75</v>
      </c>
      <c r="BR11" s="252" t="n">
        <f aca="false">BQ11+BR10</f>
        <v>530718.75</v>
      </c>
      <c r="BS11" s="252" t="n">
        <f aca="false">BR11+BS10</f>
        <v>530718.75</v>
      </c>
      <c r="BT11" s="252" t="n">
        <f aca="false">BS11+BT10</f>
        <v>530718.75</v>
      </c>
      <c r="BU11" s="252" t="n">
        <f aca="false">BT11+BU10</f>
        <v>530718.75</v>
      </c>
      <c r="BV11" s="252" t="n">
        <f aca="false">BU11+BV10</f>
        <v>530718.75</v>
      </c>
      <c r="BW11" s="252" t="n">
        <f aca="false">BV11+BW10</f>
        <v>530718.75</v>
      </c>
      <c r="BX11" s="252" t="n">
        <f aca="false">BW11+BX10</f>
        <v>530718.75</v>
      </c>
      <c r="BY11" s="252" t="n">
        <f aca="false">BX11+BY10</f>
        <v>530718.75</v>
      </c>
      <c r="BZ11" s="252" t="n">
        <f aca="false">BY11+BZ10</f>
        <v>530718.75</v>
      </c>
      <c r="CA11" s="252" t="n">
        <f aca="false">BZ11+CA10</f>
        <v>530718.75</v>
      </c>
      <c r="CB11" s="252" t="n">
        <f aca="false">CA11+CB10</f>
        <v>530718.75</v>
      </c>
      <c r="CC11" s="252" t="n">
        <f aca="false">CB11+CC10</f>
        <v>530718.75</v>
      </c>
      <c r="CD11" s="252" t="n">
        <f aca="false">CC11+CD10</f>
        <v>530718.75</v>
      </c>
      <c r="CE11" s="252" t="n">
        <f aca="false">CD11+CE10</f>
        <v>530718.75</v>
      </c>
      <c r="CF11" s="252" t="n">
        <f aca="false">CE11+CF10</f>
        <v>530718.75</v>
      </c>
      <c r="CG11" s="252" t="n">
        <f aca="false">CF11+CG10</f>
        <v>530718.75</v>
      </c>
      <c r="CH11" s="252" t="n">
        <f aca="false">CG11+CH10</f>
        <v>530718.75</v>
      </c>
    </row>
    <row r="12" customFormat="false" ht="15" hidden="false" customHeight="true" outlineLevel="0" collapsed="false">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row>
    <row r="13" customFormat="false" ht="15" hidden="false" customHeight="true" outlineLevel="0" collapsed="false">
      <c r="A13" s="23" t="s">
        <v>16</v>
      </c>
      <c r="B13" s="23"/>
      <c r="C13" s="23"/>
      <c r="D13" s="23"/>
      <c r="E13" s="23"/>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c r="BM13" s="23"/>
      <c r="BN13" s="23"/>
      <c r="BO13" s="23"/>
      <c r="BP13" s="23"/>
      <c r="BQ13" s="23"/>
      <c r="BR13" s="23"/>
      <c r="BS13" s="23"/>
      <c r="BT13" s="23"/>
      <c r="BU13" s="23"/>
      <c r="BV13" s="23"/>
      <c r="BW13" s="23"/>
      <c r="BX13" s="23"/>
      <c r="BY13" s="23"/>
      <c r="BZ13" s="23"/>
      <c r="CA13" s="23"/>
      <c r="CB13" s="23"/>
      <c r="CC13" s="23"/>
      <c r="CD13" s="23"/>
      <c r="CE13" s="23"/>
      <c r="CF13" s="23"/>
      <c r="CG13" s="23"/>
      <c r="CH13" s="23"/>
    </row>
    <row r="14" customFormat="false" ht="15" hidden="false" customHeight="true" outlineLevel="0" collapsed="false">
      <c r="A14" s="79" t="s">
        <v>845</v>
      </c>
      <c r="B14" s="3"/>
      <c r="C14" s="249" t="n">
        <f aca="false">Model!E248+Model!E249+Model!E250</f>
        <v>0</v>
      </c>
      <c r="D14" s="249" t="n">
        <f aca="false">Model!F248+Model!F249+Model!F250</f>
        <v>0</v>
      </c>
      <c r="E14" s="249" t="n">
        <f aca="false">Model!G248+Model!G249+Model!G250</f>
        <v>0</v>
      </c>
      <c r="F14" s="249" t="n">
        <f aca="false">Model!H248+Model!H249+Model!H250</f>
        <v>0</v>
      </c>
      <c r="G14" s="249" t="n">
        <f aca="false">Model!I248+Model!I249+Model!I250</f>
        <v>0</v>
      </c>
      <c r="H14" s="249" t="n">
        <f aca="false">Model!J248+Model!J249+Model!J250</f>
        <v>0</v>
      </c>
      <c r="I14" s="249" t="n">
        <f aca="false">Model!K248+Model!K249+Model!K250</f>
        <v>0</v>
      </c>
      <c r="J14" s="249" t="n">
        <f aca="false">Model!L248+Model!L249+Model!L250</f>
        <v>0</v>
      </c>
      <c r="K14" s="249" t="n">
        <f aca="false">Model!M248+Model!M249+Model!M250</f>
        <v>0</v>
      </c>
      <c r="L14" s="249" t="n">
        <f aca="false">Model!N248+Model!N249+Model!N250</f>
        <v>0</v>
      </c>
      <c r="M14" s="249" t="n">
        <f aca="false">Model!O248+Model!O249+Model!O250</f>
        <v>266611.58</v>
      </c>
      <c r="N14" s="249" t="n">
        <f aca="false">Model!P248+Model!P249+Model!P250</f>
        <v>12631.58</v>
      </c>
      <c r="O14" s="249" t="n">
        <f aca="false">Model!Q248+Model!Q249+Model!Q250</f>
        <v>12631.58</v>
      </c>
      <c r="P14" s="249" t="n">
        <f aca="false">Model!R248+Model!R249+Model!R250</f>
        <v>12631.58</v>
      </c>
      <c r="Q14" s="249" t="n">
        <f aca="false">Model!S248+Model!S249+Model!S250</f>
        <v>12631.58</v>
      </c>
      <c r="R14" s="249" t="n">
        <f aca="false">Model!T248+Model!T249+Model!T250</f>
        <v>12631.58</v>
      </c>
      <c r="S14" s="249" t="n">
        <f aca="false">Model!U248+Model!U249+Model!U250</f>
        <v>12631.58</v>
      </c>
      <c r="T14" s="249" t="n">
        <f aca="false">Model!V248+Model!V249+Model!V250</f>
        <v>12631.58</v>
      </c>
      <c r="U14" s="249" t="n">
        <f aca="false">Model!W248+Model!W249+Model!W250</f>
        <v>12631.58</v>
      </c>
      <c r="V14" s="249" t="n">
        <f aca="false">Model!X248+Model!X249+Model!X250</f>
        <v>12631.58</v>
      </c>
      <c r="W14" s="249" t="n">
        <f aca="false">Model!Y248+Model!Y249+Model!Y250</f>
        <v>12631.58</v>
      </c>
      <c r="X14" s="249" t="n">
        <f aca="false">Model!Z248+Model!Z249+Model!Z250</f>
        <v>12631.58</v>
      </c>
      <c r="Y14" s="249" t="n">
        <f aca="false">Model!AA248+Model!AA249+Model!AA250</f>
        <v>12631.58</v>
      </c>
      <c r="Z14" s="249" t="n">
        <f aca="false">Model!AB248+Model!AB249+Model!AB250</f>
        <v>12631.58</v>
      </c>
      <c r="AA14" s="249" t="n">
        <f aca="false">Model!AC248+Model!AC249+Model!AC250</f>
        <v>12631.58</v>
      </c>
      <c r="AB14" s="249" t="n">
        <f aca="false">Model!AD248+Model!AD249+Model!AD250</f>
        <v>12631.58</v>
      </c>
      <c r="AC14" s="249" t="n">
        <f aca="false">Model!AE248+Model!AE249+Model!AE250</f>
        <v>12631.58</v>
      </c>
      <c r="AD14" s="249" t="n">
        <f aca="false">Model!AF248+Model!AF249+Model!AF250</f>
        <v>12631.58</v>
      </c>
      <c r="AE14" s="249" t="n">
        <f aca="false">Model!AG248+Model!AG249+Model!AG250</f>
        <v>12631.58</v>
      </c>
      <c r="AF14" s="249" t="n">
        <f aca="false">Model!AH248+Model!AH249+Model!AH250</f>
        <v>0</v>
      </c>
      <c r="AG14" s="249" t="n">
        <f aca="false">Model!AI248+Model!AI249+Model!AI250</f>
        <v>0</v>
      </c>
      <c r="AH14" s="249" t="n">
        <f aca="false">Model!AJ248+Model!AJ249+Model!AJ250</f>
        <v>0</v>
      </c>
      <c r="AI14" s="249" t="n">
        <f aca="false">Model!AK248+Model!AK249+Model!AK250</f>
        <v>0</v>
      </c>
      <c r="AJ14" s="249" t="n">
        <f aca="false">Model!AL248+Model!AL249+Model!AL250</f>
        <v>0</v>
      </c>
      <c r="AK14" s="249" t="n">
        <f aca="false">Model!AM248+Model!AM249+Model!AM250</f>
        <v>0</v>
      </c>
      <c r="AL14" s="249" t="n">
        <f aca="false">Model!AN248+Model!AN249+Model!AN250</f>
        <v>0</v>
      </c>
      <c r="AM14" s="249" t="n">
        <f aca="false">Model!AO248+Model!AO249+Model!AO250</f>
        <v>0</v>
      </c>
      <c r="AN14" s="249" t="n">
        <f aca="false">Model!AP248+Model!AP249+Model!AP250</f>
        <v>0</v>
      </c>
      <c r="AO14" s="249" t="n">
        <f aca="false">Model!AQ248+Model!AQ249+Model!AQ250</f>
        <v>0</v>
      </c>
      <c r="AP14" s="249" t="n">
        <f aca="false">Model!AR248+Model!AR249+Model!AR250</f>
        <v>0</v>
      </c>
      <c r="AQ14" s="249" t="n">
        <f aca="false">Model!AS248+Model!AS249+Model!AS250</f>
        <v>0</v>
      </c>
      <c r="AR14" s="249" t="n">
        <f aca="false">Model!AT248+Model!AT249+Model!AT250</f>
        <v>0</v>
      </c>
      <c r="AS14" s="249" t="n">
        <f aca="false">Model!AU248+Model!AU249+Model!AU250</f>
        <v>0</v>
      </c>
      <c r="AT14" s="249" t="n">
        <f aca="false">Model!AV248+Model!AV249+Model!AV250</f>
        <v>0</v>
      </c>
      <c r="AU14" s="249" t="n">
        <f aca="false">Model!AW248+Model!AW249+Model!AW250</f>
        <v>0</v>
      </c>
      <c r="AV14" s="249" t="n">
        <f aca="false">Model!AX248+Model!AX249+Model!AX250</f>
        <v>0</v>
      </c>
      <c r="AW14" s="249" t="n">
        <f aca="false">Model!AY248+Model!AY249+Model!AY250</f>
        <v>0</v>
      </c>
      <c r="AX14" s="249" t="n">
        <f aca="false">Model!AZ248+Model!AZ249+Model!AZ250</f>
        <v>0</v>
      </c>
      <c r="AY14" s="249" t="n">
        <f aca="false">Model!BA248+Model!BA249+Model!BA250</f>
        <v>0</v>
      </c>
      <c r="AZ14" s="249" t="n">
        <f aca="false">Model!BB248+Model!BB249+Model!BB250</f>
        <v>0</v>
      </c>
      <c r="BA14" s="249" t="n">
        <f aca="false">Model!BC248+Model!BC249+Model!BC250</f>
        <v>0</v>
      </c>
      <c r="BB14" s="249" t="n">
        <f aca="false">Model!BD248+Model!BD249+Model!BD250</f>
        <v>0</v>
      </c>
      <c r="BC14" s="249" t="n">
        <f aca="false">Model!BE248+Model!BE249+Model!BE250</f>
        <v>0</v>
      </c>
      <c r="BD14" s="249" t="n">
        <f aca="false">Model!BF248+Model!BF249+Model!BF250</f>
        <v>0</v>
      </c>
      <c r="BE14" s="249" t="n">
        <f aca="false">Model!BG248+Model!BG249+Model!BG250</f>
        <v>0</v>
      </c>
      <c r="BF14" s="249" t="n">
        <f aca="false">Model!BH248+Model!BH249+Model!BH250</f>
        <v>0</v>
      </c>
      <c r="BG14" s="249" t="n">
        <f aca="false">Model!BI248+Model!BI249+Model!BI250</f>
        <v>0</v>
      </c>
      <c r="BH14" s="249" t="n">
        <f aca="false">Model!BJ248+Model!BJ249+Model!BJ250</f>
        <v>0</v>
      </c>
      <c r="BI14" s="249" t="n">
        <f aca="false">Model!BK248+Model!BK249+Model!BK250</f>
        <v>0</v>
      </c>
      <c r="BJ14" s="249" t="n">
        <f aca="false">Model!BL248+Model!BL249+Model!BL250</f>
        <v>0</v>
      </c>
      <c r="BK14" s="249" t="n">
        <f aca="false">Model!BM248+Model!BM249+Model!BM250</f>
        <v>0</v>
      </c>
      <c r="BL14" s="249" t="n">
        <f aca="false">Model!BN248+Model!BN249+Model!BN250</f>
        <v>0</v>
      </c>
      <c r="BM14" s="249" t="n">
        <f aca="false">Model!BO248+Model!BO249+Model!BO250</f>
        <v>0</v>
      </c>
      <c r="BN14" s="249" t="n">
        <f aca="false">Model!BP248+Model!BP249+Model!BP250</f>
        <v>0</v>
      </c>
      <c r="BO14" s="249" t="n">
        <f aca="false">Model!BQ248+Model!BQ249+Model!BQ250</f>
        <v>0</v>
      </c>
      <c r="BP14" s="249" t="n">
        <f aca="false">Model!BR248+Model!BR249+Model!BR250</f>
        <v>0</v>
      </c>
      <c r="BQ14" s="249" t="n">
        <f aca="false">Model!BS248+Model!BS249+Model!BS250</f>
        <v>0</v>
      </c>
      <c r="BR14" s="249" t="n">
        <f aca="false">Model!BT248+Model!BT249+Model!BT250</f>
        <v>0</v>
      </c>
      <c r="BS14" s="249" t="n">
        <f aca="false">Model!BU248+Model!BU249+Model!BU250</f>
        <v>0</v>
      </c>
      <c r="BT14" s="249" t="n">
        <f aca="false">Model!BV248+Model!BV249+Model!BV250</f>
        <v>0</v>
      </c>
      <c r="BU14" s="249" t="n">
        <f aca="false">Model!BW248+Model!BW249+Model!BW250</f>
        <v>0</v>
      </c>
      <c r="BV14" s="249" t="n">
        <f aca="false">Model!BX248+Model!BX249+Model!BX250</f>
        <v>0</v>
      </c>
      <c r="BW14" s="249" t="n">
        <f aca="false">Model!BY248+Model!BY249+Model!BY250</f>
        <v>0</v>
      </c>
      <c r="BX14" s="249" t="n">
        <f aca="false">Model!BZ248+Model!BZ249+Model!BZ250</f>
        <v>0</v>
      </c>
      <c r="BY14" s="249" t="n">
        <f aca="false">Model!CA248+Model!CA249+Model!CA250</f>
        <v>0</v>
      </c>
      <c r="BZ14" s="249" t="n">
        <f aca="false">Model!CB248+Model!CB249+Model!CB250</f>
        <v>0</v>
      </c>
      <c r="CA14" s="249" t="n">
        <f aca="false">Model!CC248+Model!CC249+Model!CC250</f>
        <v>0</v>
      </c>
      <c r="CB14" s="249" t="n">
        <f aca="false">Model!CD248+Model!CD249+Model!CD250</f>
        <v>0</v>
      </c>
      <c r="CC14" s="249" t="n">
        <f aca="false">Model!CE248+Model!CE249+Model!CE250</f>
        <v>0</v>
      </c>
      <c r="CD14" s="249" t="n">
        <f aca="false">Model!CF248+Model!CF249+Model!CF250</f>
        <v>0</v>
      </c>
      <c r="CE14" s="249" t="n">
        <f aca="false">Model!CG248+Model!CG249+Model!CG250</f>
        <v>0</v>
      </c>
      <c r="CF14" s="249" t="n">
        <f aca="false">Model!CH248+Model!CH249+Model!CH250</f>
        <v>0</v>
      </c>
      <c r="CG14" s="249" t="n">
        <f aca="false">Model!CI248+Model!CI249+Model!CI250</f>
        <v>0</v>
      </c>
      <c r="CH14" s="249" t="n">
        <f aca="false">Model!CJ248+Model!CJ249+Model!CJ250</f>
        <v>0</v>
      </c>
    </row>
    <row r="15" customFormat="false" ht="15" hidden="false" customHeight="true" outlineLevel="0" collapsed="false">
      <c r="A15" s="253" t="s">
        <v>848</v>
      </c>
      <c r="B15" s="3"/>
      <c r="C15" s="254" t="n">
        <f aca="false">IF(AND(Projects!$G$11="Yes",1=Projects!$C$11),-155771,0)</f>
        <v>0</v>
      </c>
      <c r="D15" s="254" t="n">
        <f aca="false">IF(AND(Projects!$G$11="Yes",2=Projects!$C$11),-155771,0)</f>
        <v>0</v>
      </c>
      <c r="E15" s="254" t="n">
        <f aca="false">IF(AND(Projects!$G$11="Yes",3=Projects!$C$11),-155771,0)</f>
        <v>0</v>
      </c>
      <c r="F15" s="254" t="n">
        <f aca="false">IF(AND(Projects!$G$11="Yes",4=Projects!$C$11),-155771,0)</f>
        <v>0</v>
      </c>
      <c r="G15" s="254" t="n">
        <f aca="false">IF(AND(Projects!$G$11="Yes",5=Projects!$C$11),-155771,0)</f>
        <v>0</v>
      </c>
      <c r="H15" s="254" t="n">
        <f aca="false">IF(AND(Projects!$G$11="Yes",6=Projects!$C$11),-155771,0)</f>
        <v>0</v>
      </c>
      <c r="I15" s="254" t="n">
        <f aca="false">IF(AND(Projects!$G$11="Yes",7=Projects!$C$11),-155771,0)</f>
        <v>0</v>
      </c>
      <c r="J15" s="254" t="n">
        <f aca="false">IF(AND(Projects!$G$11="Yes",8=Projects!$C$11),-155771,0)</f>
        <v>0</v>
      </c>
      <c r="K15" s="254" t="n">
        <f aca="false">IF(AND(Projects!$G$11="Yes",9=Projects!$C$11),-155771,0)</f>
        <v>0</v>
      </c>
      <c r="L15" s="254" t="n">
        <f aca="false">IF(AND(Projects!$G$11="Yes",10=Projects!$C$11),-155771,0)</f>
        <v>0</v>
      </c>
      <c r="M15" s="254" t="n">
        <f aca="false">IF(AND(Projects!$G$11="Yes",11=Projects!$C$11),-155771,0)</f>
        <v>-155771</v>
      </c>
      <c r="N15" s="254" t="n">
        <f aca="false">IF(AND(Projects!$G$11="Yes",12=Projects!$C$11),-155771,0)</f>
        <v>0</v>
      </c>
      <c r="O15" s="254" t="n">
        <f aca="false">IF(AND(Projects!$G$11="Yes",13=Projects!$C$11),-155771,0)</f>
        <v>0</v>
      </c>
      <c r="P15" s="254" t="n">
        <f aca="false">IF(AND(Projects!$G$11="Yes",14=Projects!$C$11),-155771,0)</f>
        <v>0</v>
      </c>
      <c r="Q15" s="254" t="n">
        <f aca="false">IF(AND(Projects!$G$11="Yes",15=Projects!$C$11),-155771,0)</f>
        <v>0</v>
      </c>
      <c r="R15" s="254" t="n">
        <f aca="false">IF(AND(Projects!$G$11="Yes",16=Projects!$C$11),-155771,0)</f>
        <v>0</v>
      </c>
      <c r="S15" s="254" t="n">
        <f aca="false">IF(AND(Projects!$G$11="Yes",17=Projects!$C$11),-155771,0)</f>
        <v>0</v>
      </c>
      <c r="T15" s="254" t="n">
        <f aca="false">IF(AND(Projects!$G$11="Yes",18=Projects!$C$11),-155771,0)</f>
        <v>0</v>
      </c>
      <c r="U15" s="254" t="n">
        <f aca="false">IF(AND(Projects!$G$11="Yes",19=Projects!$C$11),-155771,0)</f>
        <v>0</v>
      </c>
      <c r="V15" s="254" t="n">
        <f aca="false">IF(AND(Projects!$G$11="Yes",20=Projects!$C$11),-155771,0)</f>
        <v>0</v>
      </c>
      <c r="W15" s="254" t="n">
        <f aca="false">IF(AND(Projects!$G$11="Yes",21=Projects!$C$11),-155771,0)</f>
        <v>0</v>
      </c>
      <c r="X15" s="254" t="n">
        <f aca="false">IF(AND(Projects!$G$11="Yes",22=Projects!$C$11),-155771,0)</f>
        <v>0</v>
      </c>
      <c r="Y15" s="254" t="n">
        <f aca="false">IF(AND(Projects!$G$11="Yes",23=Projects!$C$11),-155771,0)</f>
        <v>0</v>
      </c>
      <c r="Z15" s="254" t="n">
        <f aca="false">IF(AND(Projects!$G$11="Yes",24=Projects!$C$11),-155771,0)</f>
        <v>0</v>
      </c>
      <c r="AA15" s="254" t="n">
        <f aca="false">IF(AND(Projects!$G$11="Yes",25=Projects!$C$11),-155771,0)</f>
        <v>0</v>
      </c>
      <c r="AB15" s="254" t="n">
        <f aca="false">IF(AND(Projects!$G$11="Yes",26=Projects!$C$11),-155771,0)</f>
        <v>0</v>
      </c>
      <c r="AC15" s="254" t="n">
        <f aca="false">IF(AND(Projects!$G$11="Yes",27=Projects!$C$11),-155771,0)</f>
        <v>0</v>
      </c>
      <c r="AD15" s="254" t="n">
        <f aca="false">IF(AND(Projects!$G$11="Yes",28=Projects!$C$11),-155771,0)</f>
        <v>0</v>
      </c>
      <c r="AE15" s="254" t="n">
        <f aca="false">IF(AND(Projects!$G$11="Yes",29=Projects!$C$11),-155771,0)</f>
        <v>0</v>
      </c>
      <c r="AF15" s="254" t="n">
        <f aca="false">IF(AND(Projects!$G$11="Yes",30=Projects!$C$11),-155771,0)</f>
        <v>0</v>
      </c>
      <c r="AG15" s="254" t="n">
        <f aca="false">IF(AND(Projects!$G$11="Yes",31=Projects!$C$11),-155771,0)</f>
        <v>0</v>
      </c>
      <c r="AH15" s="254" t="n">
        <f aca="false">IF(AND(Projects!$G$11="Yes",32=Projects!$C$11),-155771,0)</f>
        <v>0</v>
      </c>
      <c r="AI15" s="254" t="n">
        <f aca="false">IF(AND(Projects!$G$11="Yes",33=Projects!$C$11),-155771,0)</f>
        <v>0</v>
      </c>
      <c r="AJ15" s="254" t="n">
        <f aca="false">IF(AND(Projects!$G$11="Yes",34=Projects!$C$11),-155771,0)</f>
        <v>0</v>
      </c>
      <c r="AK15" s="254" t="n">
        <f aca="false">IF(AND(Projects!$G$11="Yes",35=Projects!$C$11),-155771,0)</f>
        <v>0</v>
      </c>
      <c r="AL15" s="254" t="n">
        <f aca="false">IF(AND(Projects!$G$11="Yes",36=Projects!$C$11),-155771,0)</f>
        <v>0</v>
      </c>
      <c r="AM15" s="254" t="n">
        <f aca="false">IF(AND(Projects!$G$11="Yes",37=Projects!$C$11),-155771,0)</f>
        <v>0</v>
      </c>
      <c r="AN15" s="254" t="n">
        <f aca="false">IF(AND(Projects!$G$11="Yes",38=Projects!$C$11),-155771,0)</f>
        <v>0</v>
      </c>
      <c r="AO15" s="254" t="n">
        <f aca="false">IF(AND(Projects!$G$11="Yes",39=Projects!$C$11),-155771,0)</f>
        <v>0</v>
      </c>
      <c r="AP15" s="254" t="n">
        <f aca="false">IF(AND(Projects!$G$11="Yes",40=Projects!$C$11),-155771,0)</f>
        <v>0</v>
      </c>
      <c r="AQ15" s="254" t="n">
        <f aca="false">IF(AND(Projects!$G$11="Yes",41=Projects!$C$11),-155771,0)</f>
        <v>0</v>
      </c>
      <c r="AR15" s="254" t="n">
        <f aca="false">IF(AND(Projects!$G$11="Yes",42=Projects!$C$11),-155771,0)</f>
        <v>0</v>
      </c>
      <c r="AS15" s="254" t="n">
        <f aca="false">IF(AND(Projects!$G$11="Yes",43=Projects!$C$11),-155771,0)</f>
        <v>0</v>
      </c>
      <c r="AT15" s="254" t="n">
        <f aca="false">IF(AND(Projects!$G$11="Yes",44=Projects!$C$11),-155771,0)</f>
        <v>0</v>
      </c>
      <c r="AU15" s="254" t="n">
        <f aca="false">IF(AND(Projects!$G$11="Yes",45=Projects!$C$11),-155771,0)</f>
        <v>0</v>
      </c>
      <c r="AV15" s="254" t="n">
        <f aca="false">IF(AND(Projects!$G$11="Yes",46=Projects!$C$11),-155771,0)</f>
        <v>0</v>
      </c>
      <c r="AW15" s="254" t="n">
        <f aca="false">IF(AND(Projects!$G$11="Yes",47=Projects!$C$11),-155771,0)</f>
        <v>0</v>
      </c>
      <c r="AX15" s="254" t="n">
        <f aca="false">IF(AND(Projects!$G$11="Yes",48=Projects!$C$11),-155771,0)</f>
        <v>0</v>
      </c>
      <c r="AY15" s="254" t="n">
        <f aca="false">IF(AND(Projects!$G$11="Yes",49=Projects!$C$11),-155771,0)</f>
        <v>0</v>
      </c>
      <c r="AZ15" s="254" t="n">
        <f aca="false">IF(AND(Projects!$G$11="Yes",50=Projects!$C$11),-155771,0)</f>
        <v>0</v>
      </c>
      <c r="BA15" s="254" t="n">
        <f aca="false">IF(AND(Projects!$G$11="Yes",51=Projects!$C$11),-155771,0)</f>
        <v>0</v>
      </c>
      <c r="BB15" s="254" t="n">
        <f aca="false">IF(AND(Projects!$G$11="Yes",52=Projects!$C$11),-155771,0)</f>
        <v>0</v>
      </c>
      <c r="BC15" s="254" t="n">
        <f aca="false">IF(AND(Projects!$G$11="Yes",53=Projects!$C$11),-155771,0)</f>
        <v>0</v>
      </c>
      <c r="BD15" s="254" t="n">
        <f aca="false">IF(AND(Projects!$G$11="Yes",54=Projects!$C$11),-155771,0)</f>
        <v>0</v>
      </c>
      <c r="BE15" s="254" t="n">
        <f aca="false">IF(AND(Projects!$G$11="Yes",55=Projects!$C$11),-155771,0)</f>
        <v>0</v>
      </c>
      <c r="BF15" s="254" t="n">
        <f aca="false">IF(AND(Projects!$G$11="Yes",56=Projects!$C$11),-155771,0)</f>
        <v>0</v>
      </c>
      <c r="BG15" s="254" t="n">
        <f aca="false">IF(AND(Projects!$G$11="Yes",57=Projects!$C$11),-155771,0)</f>
        <v>0</v>
      </c>
      <c r="BH15" s="254" t="n">
        <f aca="false">IF(AND(Projects!$G$11="Yes",58=Projects!$C$11),-155771,0)</f>
        <v>0</v>
      </c>
      <c r="BI15" s="254" t="n">
        <f aca="false">IF(AND(Projects!$G$11="Yes",59=Projects!$C$11),-155771,0)</f>
        <v>0</v>
      </c>
      <c r="BJ15" s="254" t="n">
        <f aca="false">IF(AND(Projects!$G$11="Yes",60=Projects!$C$11),-155771,0)</f>
        <v>0</v>
      </c>
      <c r="BK15" s="254" t="n">
        <f aca="false">IF(AND(Projects!$G$11="Yes",61=Projects!$C$11),-155771,0)</f>
        <v>0</v>
      </c>
      <c r="BL15" s="254" t="n">
        <f aca="false">IF(AND(Projects!$G$11="Yes",62=Projects!$C$11),-155771,0)</f>
        <v>0</v>
      </c>
      <c r="BM15" s="254" t="n">
        <f aca="false">IF(AND(Projects!$G$11="Yes",63=Projects!$C$11),-155771,0)</f>
        <v>0</v>
      </c>
      <c r="BN15" s="254" t="n">
        <f aca="false">IF(AND(Projects!$G$11="Yes",64=Projects!$C$11),-155771,0)</f>
        <v>0</v>
      </c>
      <c r="BO15" s="254" t="n">
        <f aca="false">IF(AND(Projects!$G$11="Yes",65=Projects!$C$11),-155771,0)</f>
        <v>0</v>
      </c>
      <c r="BP15" s="254" t="n">
        <f aca="false">IF(AND(Projects!$G$11="Yes",66=Projects!$C$11),-155771,0)</f>
        <v>0</v>
      </c>
      <c r="BQ15" s="254" t="n">
        <f aca="false">IF(AND(Projects!$G$11="Yes",67=Projects!$C$11),-155771,0)</f>
        <v>0</v>
      </c>
      <c r="BR15" s="254" t="n">
        <f aca="false">IF(AND(Projects!$G$11="Yes",68=Projects!$C$11),-155771,0)</f>
        <v>0</v>
      </c>
      <c r="BS15" s="254" t="n">
        <f aca="false">IF(AND(Projects!$G$11="Yes",69=Projects!$C$11),-155771,0)</f>
        <v>0</v>
      </c>
      <c r="BT15" s="254" t="n">
        <f aca="false">IF(AND(Projects!$G$11="Yes",70=Projects!$C$11),-155771,0)</f>
        <v>0</v>
      </c>
      <c r="BU15" s="254" t="n">
        <f aca="false">IF(AND(Projects!$G$11="Yes",71=Projects!$C$11),-155771,0)</f>
        <v>0</v>
      </c>
      <c r="BV15" s="254" t="n">
        <f aca="false">IF(AND(Projects!$G$11="Yes",72=Projects!$C$11),-155771,0)</f>
        <v>0</v>
      </c>
      <c r="BW15" s="254" t="n">
        <f aca="false">IF(AND(Projects!$G$11="Yes",73=Projects!$C$11),-155771,0)</f>
        <v>0</v>
      </c>
      <c r="BX15" s="254" t="n">
        <f aca="false">IF(AND(Projects!$G$11="Yes",74=Projects!$C$11),-155771,0)</f>
        <v>0</v>
      </c>
      <c r="BY15" s="254" t="n">
        <f aca="false">IF(AND(Projects!$G$11="Yes",75=Projects!$C$11),-155771,0)</f>
        <v>0</v>
      </c>
      <c r="BZ15" s="254" t="n">
        <f aca="false">IF(AND(Projects!$G$11="Yes",76=Projects!$C$11),-155771,0)</f>
        <v>0</v>
      </c>
      <c r="CA15" s="254" t="n">
        <f aca="false">IF(AND(Projects!$G$11="Yes",77=Projects!$C$11),-155771,0)</f>
        <v>0</v>
      </c>
      <c r="CB15" s="254" t="n">
        <f aca="false">IF(AND(Projects!$G$11="Yes",78=Projects!$C$11),-155771,0)</f>
        <v>0</v>
      </c>
      <c r="CC15" s="254" t="n">
        <f aca="false">IF(AND(Projects!$G$11="Yes",79=Projects!$C$11),-155771,0)</f>
        <v>0</v>
      </c>
      <c r="CD15" s="254" t="n">
        <f aca="false">IF(AND(Projects!$G$11="Yes",80=Projects!$C$11),-155771,0)</f>
        <v>0</v>
      </c>
      <c r="CE15" s="254" t="n">
        <f aca="false">IF(AND(Projects!$G$11="Yes",81=Projects!$C$11),-155771,0)</f>
        <v>0</v>
      </c>
      <c r="CF15" s="254" t="n">
        <f aca="false">IF(AND(Projects!$G$11="Yes",82=Projects!$C$11),-155771,0)</f>
        <v>0</v>
      </c>
      <c r="CG15" s="254" t="n">
        <f aca="false">IF(AND(Projects!$G$11="Yes",83=Projects!$C$11),-155771,0)</f>
        <v>0</v>
      </c>
      <c r="CH15" s="254" t="n">
        <f aca="false">IF(AND(Projects!$G$11="Yes",84=Projects!$C$11),-155771,0)</f>
        <v>0</v>
      </c>
    </row>
    <row r="16" customFormat="false" ht="15" hidden="false" customHeight="true" outlineLevel="0" collapsed="false">
      <c r="A16" s="250" t="s">
        <v>846</v>
      </c>
      <c r="B16" s="250"/>
      <c r="C16" s="251" t="n">
        <f aca="false">C14+C15</f>
        <v>0</v>
      </c>
      <c r="D16" s="251" t="n">
        <f aca="false">D14+D15</f>
        <v>0</v>
      </c>
      <c r="E16" s="251" t="n">
        <f aca="false">E14+E15</f>
        <v>0</v>
      </c>
      <c r="F16" s="251" t="n">
        <f aca="false">F14+F15</f>
        <v>0</v>
      </c>
      <c r="G16" s="251" t="n">
        <f aca="false">G14+G15</f>
        <v>0</v>
      </c>
      <c r="H16" s="251" t="n">
        <f aca="false">H14+H15</f>
        <v>0</v>
      </c>
      <c r="I16" s="251" t="n">
        <f aca="false">I14+I15</f>
        <v>0</v>
      </c>
      <c r="J16" s="251" t="n">
        <f aca="false">J14+J15</f>
        <v>0</v>
      </c>
      <c r="K16" s="251" t="n">
        <f aca="false">K14+K15</f>
        <v>0</v>
      </c>
      <c r="L16" s="251" t="n">
        <f aca="false">L14+L15</f>
        <v>0</v>
      </c>
      <c r="M16" s="251" t="n">
        <f aca="false">M14+M15</f>
        <v>110840.58</v>
      </c>
      <c r="N16" s="251" t="n">
        <f aca="false">N14+N15</f>
        <v>12631.58</v>
      </c>
      <c r="O16" s="251" t="n">
        <f aca="false">O14+O15</f>
        <v>12631.58</v>
      </c>
      <c r="P16" s="251" t="n">
        <f aca="false">P14+P15</f>
        <v>12631.58</v>
      </c>
      <c r="Q16" s="251" t="n">
        <f aca="false">Q14+Q15</f>
        <v>12631.58</v>
      </c>
      <c r="R16" s="251" t="n">
        <f aca="false">R14+R15</f>
        <v>12631.58</v>
      </c>
      <c r="S16" s="251" t="n">
        <f aca="false">S14+S15</f>
        <v>12631.58</v>
      </c>
      <c r="T16" s="251" t="n">
        <f aca="false">T14+T15</f>
        <v>12631.58</v>
      </c>
      <c r="U16" s="251" t="n">
        <f aca="false">U14+U15</f>
        <v>12631.58</v>
      </c>
      <c r="V16" s="251" t="n">
        <f aca="false">V14+V15</f>
        <v>12631.58</v>
      </c>
      <c r="W16" s="251" t="n">
        <f aca="false">W14+W15</f>
        <v>12631.58</v>
      </c>
      <c r="X16" s="251" t="n">
        <f aca="false">X14+X15</f>
        <v>12631.58</v>
      </c>
      <c r="Y16" s="251" t="n">
        <f aca="false">Y14+Y15</f>
        <v>12631.58</v>
      </c>
      <c r="Z16" s="251" t="n">
        <f aca="false">Z14+Z15</f>
        <v>12631.58</v>
      </c>
      <c r="AA16" s="251" t="n">
        <f aca="false">AA14+AA15</f>
        <v>12631.58</v>
      </c>
      <c r="AB16" s="251" t="n">
        <f aca="false">AB14+AB15</f>
        <v>12631.58</v>
      </c>
      <c r="AC16" s="251" t="n">
        <f aca="false">AC14+AC15</f>
        <v>12631.58</v>
      </c>
      <c r="AD16" s="251" t="n">
        <f aca="false">AD14+AD15</f>
        <v>12631.58</v>
      </c>
      <c r="AE16" s="251" t="n">
        <f aca="false">AE14+AE15</f>
        <v>12631.58</v>
      </c>
      <c r="AF16" s="251" t="n">
        <f aca="false">AF14+AF15</f>
        <v>0</v>
      </c>
      <c r="AG16" s="251" t="n">
        <f aca="false">AG14+AG15</f>
        <v>0</v>
      </c>
      <c r="AH16" s="251" t="n">
        <f aca="false">AH14+AH15</f>
        <v>0</v>
      </c>
      <c r="AI16" s="251" t="n">
        <f aca="false">AI14+AI15</f>
        <v>0</v>
      </c>
      <c r="AJ16" s="251" t="n">
        <f aca="false">AJ14+AJ15</f>
        <v>0</v>
      </c>
      <c r="AK16" s="251" t="n">
        <f aca="false">AK14+AK15</f>
        <v>0</v>
      </c>
      <c r="AL16" s="251" t="n">
        <f aca="false">AL14+AL15</f>
        <v>0</v>
      </c>
      <c r="AM16" s="251" t="n">
        <f aca="false">AM14+AM15</f>
        <v>0</v>
      </c>
      <c r="AN16" s="251" t="n">
        <f aca="false">AN14+AN15</f>
        <v>0</v>
      </c>
      <c r="AO16" s="251" t="n">
        <f aca="false">AO14+AO15</f>
        <v>0</v>
      </c>
      <c r="AP16" s="251" t="n">
        <f aca="false">AP14+AP15</f>
        <v>0</v>
      </c>
      <c r="AQ16" s="251" t="n">
        <f aca="false">AQ14+AQ15</f>
        <v>0</v>
      </c>
      <c r="AR16" s="251" t="n">
        <f aca="false">AR14+AR15</f>
        <v>0</v>
      </c>
      <c r="AS16" s="251" t="n">
        <f aca="false">AS14+AS15</f>
        <v>0</v>
      </c>
      <c r="AT16" s="251" t="n">
        <f aca="false">AT14+AT15</f>
        <v>0</v>
      </c>
      <c r="AU16" s="251" t="n">
        <f aca="false">AU14+AU15</f>
        <v>0</v>
      </c>
      <c r="AV16" s="251" t="n">
        <f aca="false">AV14+AV15</f>
        <v>0</v>
      </c>
      <c r="AW16" s="251" t="n">
        <f aca="false">AW14+AW15</f>
        <v>0</v>
      </c>
      <c r="AX16" s="251" t="n">
        <f aca="false">AX14+AX15</f>
        <v>0</v>
      </c>
      <c r="AY16" s="251" t="n">
        <f aca="false">AY14+AY15</f>
        <v>0</v>
      </c>
      <c r="AZ16" s="251" t="n">
        <f aca="false">AZ14+AZ15</f>
        <v>0</v>
      </c>
      <c r="BA16" s="251" t="n">
        <f aca="false">BA14+BA15</f>
        <v>0</v>
      </c>
      <c r="BB16" s="251" t="n">
        <f aca="false">BB14+BB15</f>
        <v>0</v>
      </c>
      <c r="BC16" s="251" t="n">
        <f aca="false">BC14+BC15</f>
        <v>0</v>
      </c>
      <c r="BD16" s="251" t="n">
        <f aca="false">BD14+BD15</f>
        <v>0</v>
      </c>
      <c r="BE16" s="251" t="n">
        <f aca="false">BE14+BE15</f>
        <v>0</v>
      </c>
      <c r="BF16" s="251" t="n">
        <f aca="false">BF14+BF15</f>
        <v>0</v>
      </c>
      <c r="BG16" s="251" t="n">
        <f aca="false">BG14+BG15</f>
        <v>0</v>
      </c>
      <c r="BH16" s="251" t="n">
        <f aca="false">BH14+BH15</f>
        <v>0</v>
      </c>
      <c r="BI16" s="251" t="n">
        <f aca="false">BI14+BI15</f>
        <v>0</v>
      </c>
      <c r="BJ16" s="251" t="n">
        <f aca="false">BJ14+BJ15</f>
        <v>0</v>
      </c>
      <c r="BK16" s="251" t="n">
        <f aca="false">BK14+BK15</f>
        <v>0</v>
      </c>
      <c r="BL16" s="251" t="n">
        <f aca="false">BL14+BL15</f>
        <v>0</v>
      </c>
      <c r="BM16" s="251" t="n">
        <f aca="false">BM14+BM15</f>
        <v>0</v>
      </c>
      <c r="BN16" s="251" t="n">
        <f aca="false">BN14+BN15</f>
        <v>0</v>
      </c>
      <c r="BO16" s="251" t="n">
        <f aca="false">BO14+BO15</f>
        <v>0</v>
      </c>
      <c r="BP16" s="251" t="n">
        <f aca="false">BP14+BP15</f>
        <v>0</v>
      </c>
      <c r="BQ16" s="251" t="n">
        <f aca="false">BQ14+BQ15</f>
        <v>0</v>
      </c>
      <c r="BR16" s="251" t="n">
        <f aca="false">BR14+BR15</f>
        <v>0</v>
      </c>
      <c r="BS16" s="251" t="n">
        <f aca="false">BS14+BS15</f>
        <v>0</v>
      </c>
      <c r="BT16" s="251" t="n">
        <f aca="false">BT14+BT15</f>
        <v>0</v>
      </c>
      <c r="BU16" s="251" t="n">
        <f aca="false">BU14+BU15</f>
        <v>0</v>
      </c>
      <c r="BV16" s="251" t="n">
        <f aca="false">BV14+BV15</f>
        <v>0</v>
      </c>
      <c r="BW16" s="251" t="n">
        <f aca="false">BW14+BW15</f>
        <v>0</v>
      </c>
      <c r="BX16" s="251" t="n">
        <f aca="false">BX14+BX15</f>
        <v>0</v>
      </c>
      <c r="BY16" s="251" t="n">
        <f aca="false">BY14+BY15</f>
        <v>0</v>
      </c>
      <c r="BZ16" s="251" t="n">
        <f aca="false">BZ14+BZ15</f>
        <v>0</v>
      </c>
      <c r="CA16" s="251" t="n">
        <f aca="false">CA14+CA15</f>
        <v>0</v>
      </c>
      <c r="CB16" s="251" t="n">
        <f aca="false">CB14+CB15</f>
        <v>0</v>
      </c>
      <c r="CC16" s="251" t="n">
        <f aca="false">CC14+CC15</f>
        <v>0</v>
      </c>
      <c r="CD16" s="251" t="n">
        <f aca="false">CD14+CD15</f>
        <v>0</v>
      </c>
      <c r="CE16" s="251" t="n">
        <f aca="false">CE14+CE15</f>
        <v>0</v>
      </c>
      <c r="CF16" s="251" t="n">
        <f aca="false">CF14+CF15</f>
        <v>0</v>
      </c>
      <c r="CG16" s="251" t="n">
        <f aca="false">CG14+CG15</f>
        <v>0</v>
      </c>
      <c r="CH16" s="251" t="n">
        <f aca="false">CH14+CH15</f>
        <v>0</v>
      </c>
    </row>
    <row r="17" customFormat="false" ht="15" hidden="false" customHeight="true" outlineLevel="0" collapsed="false">
      <c r="A17" s="2" t="s">
        <v>847</v>
      </c>
      <c r="B17" s="3"/>
      <c r="C17" s="252" t="n">
        <f aca="false">C16</f>
        <v>0</v>
      </c>
      <c r="D17" s="252" t="n">
        <f aca="false">C17+D16</f>
        <v>0</v>
      </c>
      <c r="E17" s="252" t="n">
        <f aca="false">D17+E16</f>
        <v>0</v>
      </c>
      <c r="F17" s="252" t="n">
        <f aca="false">E17+F16</f>
        <v>0</v>
      </c>
      <c r="G17" s="252" t="n">
        <f aca="false">F17+G16</f>
        <v>0</v>
      </c>
      <c r="H17" s="252" t="n">
        <f aca="false">G17+H16</f>
        <v>0</v>
      </c>
      <c r="I17" s="252" t="n">
        <f aca="false">H17+I16</f>
        <v>0</v>
      </c>
      <c r="J17" s="252" t="n">
        <f aca="false">I17+J16</f>
        <v>0</v>
      </c>
      <c r="K17" s="252" t="n">
        <f aca="false">J17+K16</f>
        <v>0</v>
      </c>
      <c r="L17" s="252" t="n">
        <f aca="false">K17+L16</f>
        <v>0</v>
      </c>
      <c r="M17" s="252" t="n">
        <f aca="false">L17+M16</f>
        <v>110840.58</v>
      </c>
      <c r="N17" s="252" t="n">
        <f aca="false">M17+N16</f>
        <v>123472.16</v>
      </c>
      <c r="O17" s="252" t="n">
        <f aca="false">N17+O16</f>
        <v>136103.74</v>
      </c>
      <c r="P17" s="252" t="n">
        <f aca="false">O17+P16</f>
        <v>148735.32</v>
      </c>
      <c r="Q17" s="252" t="n">
        <f aca="false">P17+Q16</f>
        <v>161366.9</v>
      </c>
      <c r="R17" s="252" t="n">
        <f aca="false">Q17+R16</f>
        <v>173998.48</v>
      </c>
      <c r="S17" s="252" t="n">
        <f aca="false">R17+S16</f>
        <v>186630.06</v>
      </c>
      <c r="T17" s="252" t="n">
        <f aca="false">S17+T16</f>
        <v>199261.64</v>
      </c>
      <c r="U17" s="252" t="n">
        <f aca="false">T17+U16</f>
        <v>211893.22</v>
      </c>
      <c r="V17" s="252" t="n">
        <f aca="false">U17+V16</f>
        <v>224524.8</v>
      </c>
      <c r="W17" s="252" t="n">
        <f aca="false">V17+W16</f>
        <v>237156.38</v>
      </c>
      <c r="X17" s="252" t="n">
        <f aca="false">W17+X16</f>
        <v>249787.96</v>
      </c>
      <c r="Y17" s="252" t="n">
        <f aca="false">X17+Y16</f>
        <v>262419.54</v>
      </c>
      <c r="Z17" s="252" t="n">
        <f aca="false">Y17+Z16</f>
        <v>275051.12</v>
      </c>
      <c r="AA17" s="252" t="n">
        <f aca="false">Z17+AA16</f>
        <v>287682.7</v>
      </c>
      <c r="AB17" s="252" t="n">
        <f aca="false">AA17+AB16</f>
        <v>300314.28</v>
      </c>
      <c r="AC17" s="252" t="n">
        <f aca="false">AB17+AC16</f>
        <v>312945.86</v>
      </c>
      <c r="AD17" s="252" t="n">
        <f aca="false">AC17+AD16</f>
        <v>325577.44</v>
      </c>
      <c r="AE17" s="252" t="n">
        <f aca="false">AD17+AE16</f>
        <v>338209.02</v>
      </c>
      <c r="AF17" s="252" t="n">
        <f aca="false">AE17+AF16</f>
        <v>338209.02</v>
      </c>
      <c r="AG17" s="252" t="n">
        <f aca="false">AF17+AG16</f>
        <v>338209.02</v>
      </c>
      <c r="AH17" s="252" t="n">
        <f aca="false">AG17+AH16</f>
        <v>338209.02</v>
      </c>
      <c r="AI17" s="252" t="n">
        <f aca="false">AH17+AI16</f>
        <v>338209.02</v>
      </c>
      <c r="AJ17" s="252" t="n">
        <f aca="false">AI17+AJ16</f>
        <v>338209.02</v>
      </c>
      <c r="AK17" s="252" t="n">
        <f aca="false">AJ17+AK16</f>
        <v>338209.02</v>
      </c>
      <c r="AL17" s="252" t="n">
        <f aca="false">AK17+AL16</f>
        <v>338209.02</v>
      </c>
      <c r="AM17" s="252" t="n">
        <f aca="false">AL17+AM16</f>
        <v>338209.02</v>
      </c>
      <c r="AN17" s="252" t="n">
        <f aca="false">AM17+AN16</f>
        <v>338209.02</v>
      </c>
      <c r="AO17" s="252" t="n">
        <f aca="false">AN17+AO16</f>
        <v>338209.02</v>
      </c>
      <c r="AP17" s="252" t="n">
        <f aca="false">AO17+AP16</f>
        <v>338209.02</v>
      </c>
      <c r="AQ17" s="252" t="n">
        <f aca="false">AP17+AQ16</f>
        <v>338209.02</v>
      </c>
      <c r="AR17" s="252" t="n">
        <f aca="false">AQ17+AR16</f>
        <v>338209.02</v>
      </c>
      <c r="AS17" s="252" t="n">
        <f aca="false">AR17+AS16</f>
        <v>338209.02</v>
      </c>
      <c r="AT17" s="252" t="n">
        <f aca="false">AS17+AT16</f>
        <v>338209.02</v>
      </c>
      <c r="AU17" s="252" t="n">
        <f aca="false">AT17+AU16</f>
        <v>338209.02</v>
      </c>
      <c r="AV17" s="252" t="n">
        <f aca="false">AU17+AV16</f>
        <v>338209.02</v>
      </c>
      <c r="AW17" s="252" t="n">
        <f aca="false">AV17+AW16</f>
        <v>338209.02</v>
      </c>
      <c r="AX17" s="252" t="n">
        <f aca="false">AW17+AX16</f>
        <v>338209.02</v>
      </c>
      <c r="AY17" s="252" t="n">
        <f aca="false">AX17+AY16</f>
        <v>338209.02</v>
      </c>
      <c r="AZ17" s="252" t="n">
        <f aca="false">AY17+AZ16</f>
        <v>338209.02</v>
      </c>
      <c r="BA17" s="252" t="n">
        <f aca="false">AZ17+BA16</f>
        <v>338209.02</v>
      </c>
      <c r="BB17" s="252" t="n">
        <f aca="false">BA17+BB16</f>
        <v>338209.02</v>
      </c>
      <c r="BC17" s="252" t="n">
        <f aca="false">BB17+BC16</f>
        <v>338209.02</v>
      </c>
      <c r="BD17" s="252" t="n">
        <f aca="false">BC17+BD16</f>
        <v>338209.02</v>
      </c>
      <c r="BE17" s="252" t="n">
        <f aca="false">BD17+BE16</f>
        <v>338209.02</v>
      </c>
      <c r="BF17" s="252" t="n">
        <f aca="false">BE17+BF16</f>
        <v>338209.02</v>
      </c>
      <c r="BG17" s="252" t="n">
        <f aca="false">BF17+BG16</f>
        <v>338209.02</v>
      </c>
      <c r="BH17" s="252" t="n">
        <f aca="false">BG17+BH16</f>
        <v>338209.02</v>
      </c>
      <c r="BI17" s="252" t="n">
        <f aca="false">BH17+BI16</f>
        <v>338209.02</v>
      </c>
      <c r="BJ17" s="252" t="n">
        <f aca="false">BI17+BJ16</f>
        <v>338209.02</v>
      </c>
      <c r="BK17" s="252" t="n">
        <f aca="false">BJ17+BK16</f>
        <v>338209.02</v>
      </c>
      <c r="BL17" s="252" t="n">
        <f aca="false">BK17+BL16</f>
        <v>338209.02</v>
      </c>
      <c r="BM17" s="252" t="n">
        <f aca="false">BL17+BM16</f>
        <v>338209.02</v>
      </c>
      <c r="BN17" s="252" t="n">
        <f aca="false">BM17+BN16</f>
        <v>338209.02</v>
      </c>
      <c r="BO17" s="252" t="n">
        <f aca="false">BN17+BO16</f>
        <v>338209.02</v>
      </c>
      <c r="BP17" s="252" t="n">
        <f aca="false">BO17+BP16</f>
        <v>338209.02</v>
      </c>
      <c r="BQ17" s="252" t="n">
        <f aca="false">BP17+BQ16</f>
        <v>338209.02</v>
      </c>
      <c r="BR17" s="252" t="n">
        <f aca="false">BQ17+BR16</f>
        <v>338209.02</v>
      </c>
      <c r="BS17" s="252" t="n">
        <f aca="false">BR17+BS16</f>
        <v>338209.02</v>
      </c>
      <c r="BT17" s="252" t="n">
        <f aca="false">BS17+BT16</f>
        <v>338209.02</v>
      </c>
      <c r="BU17" s="252" t="n">
        <f aca="false">BT17+BU16</f>
        <v>338209.02</v>
      </c>
      <c r="BV17" s="252" t="n">
        <f aca="false">BU17+BV16</f>
        <v>338209.02</v>
      </c>
      <c r="BW17" s="252" t="n">
        <f aca="false">BV17+BW16</f>
        <v>338209.02</v>
      </c>
      <c r="BX17" s="252" t="n">
        <f aca="false">BW17+BX16</f>
        <v>338209.02</v>
      </c>
      <c r="BY17" s="252" t="n">
        <f aca="false">BX17+BY16</f>
        <v>338209.02</v>
      </c>
      <c r="BZ17" s="252" t="n">
        <f aca="false">BY17+BZ16</f>
        <v>338209.02</v>
      </c>
      <c r="CA17" s="252" t="n">
        <f aca="false">BZ17+CA16</f>
        <v>338209.02</v>
      </c>
      <c r="CB17" s="252" t="n">
        <f aca="false">CA17+CB16</f>
        <v>338209.02</v>
      </c>
      <c r="CC17" s="252" t="n">
        <f aca="false">CB17+CC16</f>
        <v>338209.02</v>
      </c>
      <c r="CD17" s="252" t="n">
        <f aca="false">CC17+CD16</f>
        <v>338209.02</v>
      </c>
      <c r="CE17" s="252" t="n">
        <f aca="false">CD17+CE16</f>
        <v>338209.02</v>
      </c>
      <c r="CF17" s="252" t="n">
        <f aca="false">CE17+CF16</f>
        <v>338209.02</v>
      </c>
      <c r="CG17" s="252" t="n">
        <f aca="false">CF17+CG16</f>
        <v>338209.02</v>
      </c>
      <c r="CH17" s="252" t="n">
        <f aca="false">CG17+CH16</f>
        <v>338209.02</v>
      </c>
    </row>
    <row r="18" customFormat="false" ht="15" hidden="false" customHeight="true" outlineLevel="0" collapsed="false">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row>
    <row r="19" customFormat="false" ht="15" hidden="false" customHeight="true" outlineLevel="0" collapsed="false">
      <c r="A19" s="23" t="s">
        <v>17</v>
      </c>
      <c r="B19" s="23"/>
      <c r="C19" s="23"/>
      <c r="D19" s="23"/>
      <c r="E19" s="23"/>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23"/>
      <c r="AW19" s="23"/>
      <c r="AX19" s="23"/>
      <c r="AY19" s="23"/>
      <c r="AZ19" s="23"/>
      <c r="BA19" s="23"/>
      <c r="BB19" s="23"/>
      <c r="BC19" s="23"/>
      <c r="BD19" s="23"/>
      <c r="BE19" s="23"/>
      <c r="BF19" s="23"/>
      <c r="BG19" s="23"/>
      <c r="BH19" s="23"/>
      <c r="BI19" s="23"/>
      <c r="BJ19" s="23"/>
      <c r="BK19" s="23"/>
      <c r="BL19" s="23"/>
      <c r="BM19" s="23"/>
      <c r="BN19" s="23"/>
      <c r="BO19" s="23"/>
      <c r="BP19" s="23"/>
      <c r="BQ19" s="23"/>
      <c r="BR19" s="23"/>
      <c r="BS19" s="23"/>
      <c r="BT19" s="23"/>
      <c r="BU19" s="23"/>
      <c r="BV19" s="23"/>
      <c r="BW19" s="23"/>
      <c r="BX19" s="23"/>
      <c r="BY19" s="23"/>
      <c r="BZ19" s="23"/>
      <c r="CA19" s="23"/>
      <c r="CB19" s="23"/>
      <c r="CC19" s="23"/>
      <c r="CD19" s="23"/>
      <c r="CE19" s="23"/>
      <c r="CF19" s="23"/>
      <c r="CG19" s="23"/>
      <c r="CH19" s="23"/>
    </row>
    <row r="20" customFormat="false" ht="15" hidden="false" customHeight="true" outlineLevel="0" collapsed="false">
      <c r="A20" s="79" t="s">
        <v>845</v>
      </c>
      <c r="B20" s="3"/>
      <c r="C20" s="249" t="n">
        <f aca="false">Model!E251+Model!E252+Model!E253</f>
        <v>0</v>
      </c>
      <c r="D20" s="249" t="n">
        <f aca="false">Model!F251+Model!F252+Model!F253</f>
        <v>0</v>
      </c>
      <c r="E20" s="249" t="n">
        <f aca="false">Model!G251+Model!G252+Model!G253</f>
        <v>0</v>
      </c>
      <c r="F20" s="249" t="n">
        <f aca="false">Model!H251+Model!H252+Model!H253</f>
        <v>0</v>
      </c>
      <c r="G20" s="249" t="n">
        <f aca="false">Model!I251+Model!I252+Model!I253</f>
        <v>0</v>
      </c>
      <c r="H20" s="249" t="n">
        <f aca="false">Model!J251+Model!J252+Model!J253</f>
        <v>0</v>
      </c>
      <c r="I20" s="249" t="n">
        <f aca="false">Model!K251+Model!K252+Model!K253</f>
        <v>0</v>
      </c>
      <c r="J20" s="249" t="n">
        <f aca="false">Model!L251+Model!L252+Model!L253</f>
        <v>0</v>
      </c>
      <c r="K20" s="249" t="n">
        <f aca="false">Model!M251+Model!M252+Model!M253</f>
        <v>0</v>
      </c>
      <c r="L20" s="249" t="n">
        <f aca="false">Model!N251+Model!N252+Model!N253</f>
        <v>192797.63</v>
      </c>
      <c r="M20" s="249" t="n">
        <f aca="false">Model!O251+Model!O252+Model!O253</f>
        <v>11052.63</v>
      </c>
      <c r="N20" s="249" t="n">
        <f aca="false">Model!P251+Model!P252+Model!P253</f>
        <v>11052.63</v>
      </c>
      <c r="O20" s="249" t="n">
        <f aca="false">Model!Q251+Model!Q252+Model!Q253</f>
        <v>11052.63</v>
      </c>
      <c r="P20" s="249" t="n">
        <f aca="false">Model!R251+Model!R252+Model!R253</f>
        <v>11052.63</v>
      </c>
      <c r="Q20" s="249" t="n">
        <f aca="false">Model!S251+Model!S252+Model!S253</f>
        <v>11052.63</v>
      </c>
      <c r="R20" s="249" t="n">
        <f aca="false">Model!T251+Model!T252+Model!T253</f>
        <v>11052.63</v>
      </c>
      <c r="S20" s="249" t="n">
        <f aca="false">Model!U251+Model!U252+Model!U253</f>
        <v>11052.63</v>
      </c>
      <c r="T20" s="249" t="n">
        <f aca="false">Model!V251+Model!V252+Model!V253</f>
        <v>11052.63</v>
      </c>
      <c r="U20" s="249" t="n">
        <f aca="false">Model!W251+Model!W252+Model!W253</f>
        <v>11052.63</v>
      </c>
      <c r="V20" s="249" t="n">
        <f aca="false">Model!X251+Model!X252+Model!X253</f>
        <v>11052.63</v>
      </c>
      <c r="W20" s="249" t="n">
        <f aca="false">Model!Y251+Model!Y252+Model!Y253</f>
        <v>11052.63</v>
      </c>
      <c r="X20" s="249" t="n">
        <f aca="false">Model!Z251+Model!Z252+Model!Z253</f>
        <v>11052.63</v>
      </c>
      <c r="Y20" s="249" t="n">
        <f aca="false">Model!AA251+Model!AA252+Model!AA253</f>
        <v>11052.63</v>
      </c>
      <c r="Z20" s="249" t="n">
        <f aca="false">Model!AB251+Model!AB252+Model!AB253</f>
        <v>11052.63</v>
      </c>
      <c r="AA20" s="249" t="n">
        <f aca="false">Model!AC251+Model!AC252+Model!AC253</f>
        <v>11052.63</v>
      </c>
      <c r="AB20" s="249" t="n">
        <f aca="false">Model!AD251+Model!AD252+Model!AD253</f>
        <v>11052.63</v>
      </c>
      <c r="AC20" s="249" t="n">
        <f aca="false">Model!AE251+Model!AE252+Model!AE253</f>
        <v>11052.63</v>
      </c>
      <c r="AD20" s="249" t="n">
        <f aca="false">Model!AF251+Model!AF252+Model!AF253</f>
        <v>11052.63</v>
      </c>
      <c r="AE20" s="249" t="n">
        <f aca="false">Model!AG251+Model!AG252+Model!AG253</f>
        <v>0</v>
      </c>
      <c r="AF20" s="249" t="n">
        <f aca="false">Model!AH251+Model!AH252+Model!AH253</f>
        <v>0</v>
      </c>
      <c r="AG20" s="249" t="n">
        <f aca="false">Model!AI251+Model!AI252+Model!AI253</f>
        <v>0</v>
      </c>
      <c r="AH20" s="249" t="n">
        <f aca="false">Model!AJ251+Model!AJ252+Model!AJ253</f>
        <v>0</v>
      </c>
      <c r="AI20" s="249" t="n">
        <f aca="false">Model!AK251+Model!AK252+Model!AK253</f>
        <v>0</v>
      </c>
      <c r="AJ20" s="249" t="n">
        <f aca="false">Model!AL251+Model!AL252+Model!AL253</f>
        <v>0</v>
      </c>
      <c r="AK20" s="249" t="n">
        <f aca="false">Model!AM251+Model!AM252+Model!AM253</f>
        <v>0</v>
      </c>
      <c r="AL20" s="249" t="n">
        <f aca="false">Model!AN251+Model!AN252+Model!AN253</f>
        <v>0</v>
      </c>
      <c r="AM20" s="249" t="n">
        <f aca="false">Model!AO251+Model!AO252+Model!AO253</f>
        <v>0</v>
      </c>
      <c r="AN20" s="249" t="n">
        <f aca="false">Model!AP251+Model!AP252+Model!AP253</f>
        <v>0</v>
      </c>
      <c r="AO20" s="249" t="n">
        <f aca="false">Model!AQ251+Model!AQ252+Model!AQ253</f>
        <v>0</v>
      </c>
      <c r="AP20" s="249" t="n">
        <f aca="false">Model!AR251+Model!AR252+Model!AR253</f>
        <v>0</v>
      </c>
      <c r="AQ20" s="249" t="n">
        <f aca="false">Model!AS251+Model!AS252+Model!AS253</f>
        <v>0</v>
      </c>
      <c r="AR20" s="249" t="n">
        <f aca="false">Model!AT251+Model!AT252+Model!AT253</f>
        <v>0</v>
      </c>
      <c r="AS20" s="249" t="n">
        <f aca="false">Model!AU251+Model!AU252+Model!AU253</f>
        <v>0</v>
      </c>
      <c r="AT20" s="249" t="n">
        <f aca="false">Model!AV251+Model!AV252+Model!AV253</f>
        <v>0</v>
      </c>
      <c r="AU20" s="249" t="n">
        <f aca="false">Model!AW251+Model!AW252+Model!AW253</f>
        <v>0</v>
      </c>
      <c r="AV20" s="249" t="n">
        <f aca="false">Model!AX251+Model!AX252+Model!AX253</f>
        <v>0</v>
      </c>
      <c r="AW20" s="249" t="n">
        <f aca="false">Model!AY251+Model!AY252+Model!AY253</f>
        <v>0</v>
      </c>
      <c r="AX20" s="249" t="n">
        <f aca="false">Model!AZ251+Model!AZ252+Model!AZ253</f>
        <v>0</v>
      </c>
      <c r="AY20" s="249" t="n">
        <f aca="false">Model!BA251+Model!BA252+Model!BA253</f>
        <v>0</v>
      </c>
      <c r="AZ20" s="249" t="n">
        <f aca="false">Model!BB251+Model!BB252+Model!BB253</f>
        <v>0</v>
      </c>
      <c r="BA20" s="249" t="n">
        <f aca="false">Model!BC251+Model!BC252+Model!BC253</f>
        <v>0</v>
      </c>
      <c r="BB20" s="249" t="n">
        <f aca="false">Model!BD251+Model!BD252+Model!BD253</f>
        <v>0</v>
      </c>
      <c r="BC20" s="249" t="n">
        <f aca="false">Model!BE251+Model!BE252+Model!BE253</f>
        <v>0</v>
      </c>
      <c r="BD20" s="249" t="n">
        <f aca="false">Model!BF251+Model!BF252+Model!BF253</f>
        <v>0</v>
      </c>
      <c r="BE20" s="249" t="n">
        <f aca="false">Model!BG251+Model!BG252+Model!BG253</f>
        <v>0</v>
      </c>
      <c r="BF20" s="249" t="n">
        <f aca="false">Model!BH251+Model!BH252+Model!BH253</f>
        <v>0</v>
      </c>
      <c r="BG20" s="249" t="n">
        <f aca="false">Model!BI251+Model!BI252+Model!BI253</f>
        <v>0</v>
      </c>
      <c r="BH20" s="249" t="n">
        <f aca="false">Model!BJ251+Model!BJ252+Model!BJ253</f>
        <v>0</v>
      </c>
      <c r="BI20" s="249" t="n">
        <f aca="false">Model!BK251+Model!BK252+Model!BK253</f>
        <v>0</v>
      </c>
      <c r="BJ20" s="249" t="n">
        <f aca="false">Model!BL251+Model!BL252+Model!BL253</f>
        <v>0</v>
      </c>
      <c r="BK20" s="249" t="n">
        <f aca="false">Model!BM251+Model!BM252+Model!BM253</f>
        <v>0</v>
      </c>
      <c r="BL20" s="249" t="n">
        <f aca="false">Model!BN251+Model!BN252+Model!BN253</f>
        <v>0</v>
      </c>
      <c r="BM20" s="249" t="n">
        <f aca="false">Model!BO251+Model!BO252+Model!BO253</f>
        <v>0</v>
      </c>
      <c r="BN20" s="249" t="n">
        <f aca="false">Model!BP251+Model!BP252+Model!BP253</f>
        <v>0</v>
      </c>
      <c r="BO20" s="249" t="n">
        <f aca="false">Model!BQ251+Model!BQ252+Model!BQ253</f>
        <v>0</v>
      </c>
      <c r="BP20" s="249" t="n">
        <f aca="false">Model!BR251+Model!BR252+Model!BR253</f>
        <v>0</v>
      </c>
      <c r="BQ20" s="249" t="n">
        <f aca="false">Model!BS251+Model!BS252+Model!BS253</f>
        <v>0</v>
      </c>
      <c r="BR20" s="249" t="n">
        <f aca="false">Model!BT251+Model!BT252+Model!BT253</f>
        <v>0</v>
      </c>
      <c r="BS20" s="249" t="n">
        <f aca="false">Model!BU251+Model!BU252+Model!BU253</f>
        <v>0</v>
      </c>
      <c r="BT20" s="249" t="n">
        <f aca="false">Model!BV251+Model!BV252+Model!BV253</f>
        <v>0</v>
      </c>
      <c r="BU20" s="249" t="n">
        <f aca="false">Model!BW251+Model!BW252+Model!BW253</f>
        <v>0</v>
      </c>
      <c r="BV20" s="249" t="n">
        <f aca="false">Model!BX251+Model!BX252+Model!BX253</f>
        <v>0</v>
      </c>
      <c r="BW20" s="249" t="n">
        <f aca="false">Model!BY251+Model!BY252+Model!BY253</f>
        <v>0</v>
      </c>
      <c r="BX20" s="249" t="n">
        <f aca="false">Model!BZ251+Model!BZ252+Model!BZ253</f>
        <v>0</v>
      </c>
      <c r="BY20" s="249" t="n">
        <f aca="false">Model!CA251+Model!CA252+Model!CA253</f>
        <v>0</v>
      </c>
      <c r="BZ20" s="249" t="n">
        <f aca="false">Model!CB251+Model!CB252+Model!CB253</f>
        <v>0</v>
      </c>
      <c r="CA20" s="249" t="n">
        <f aca="false">Model!CC251+Model!CC252+Model!CC253</f>
        <v>0</v>
      </c>
      <c r="CB20" s="249" t="n">
        <f aca="false">Model!CD251+Model!CD252+Model!CD253</f>
        <v>0</v>
      </c>
      <c r="CC20" s="249" t="n">
        <f aca="false">Model!CE251+Model!CE252+Model!CE253</f>
        <v>0</v>
      </c>
      <c r="CD20" s="249" t="n">
        <f aca="false">Model!CF251+Model!CF252+Model!CF253</f>
        <v>0</v>
      </c>
      <c r="CE20" s="249" t="n">
        <f aca="false">Model!CG251+Model!CG252+Model!CG253</f>
        <v>0</v>
      </c>
      <c r="CF20" s="249" t="n">
        <f aca="false">Model!CH251+Model!CH252+Model!CH253</f>
        <v>0</v>
      </c>
      <c r="CG20" s="249" t="n">
        <f aca="false">Model!CI251+Model!CI252+Model!CI253</f>
        <v>0</v>
      </c>
      <c r="CH20" s="249" t="n">
        <f aca="false">Model!CJ251+Model!CJ252+Model!CJ253</f>
        <v>0</v>
      </c>
    </row>
    <row r="21" customFormat="false" ht="15" hidden="false" customHeight="true" outlineLevel="0" collapsed="false">
      <c r="A21" s="253" t="s">
        <v>848</v>
      </c>
      <c r="B21" s="3"/>
      <c r="C21" s="254" t="n">
        <f aca="false">IF(AND(Projects!$G$12="Yes",1=Projects!$C$12),-135452,0)</f>
        <v>0</v>
      </c>
      <c r="D21" s="254" t="n">
        <f aca="false">IF(AND(Projects!$G$12="Yes",2=Projects!$C$12),-135452,0)</f>
        <v>0</v>
      </c>
      <c r="E21" s="254" t="n">
        <f aca="false">IF(AND(Projects!$G$12="Yes",3=Projects!$C$12),-135452,0)</f>
        <v>0</v>
      </c>
      <c r="F21" s="254" t="n">
        <f aca="false">IF(AND(Projects!$G$12="Yes",4=Projects!$C$12),-135452,0)</f>
        <v>0</v>
      </c>
      <c r="G21" s="254" t="n">
        <f aca="false">IF(AND(Projects!$G$12="Yes",5=Projects!$C$12),-135452,0)</f>
        <v>0</v>
      </c>
      <c r="H21" s="254" t="n">
        <f aca="false">IF(AND(Projects!$G$12="Yes",6=Projects!$C$12),-135452,0)</f>
        <v>0</v>
      </c>
      <c r="I21" s="254" t="n">
        <f aca="false">IF(AND(Projects!$G$12="Yes",7=Projects!$C$12),-135452,0)</f>
        <v>0</v>
      </c>
      <c r="J21" s="254" t="n">
        <f aca="false">IF(AND(Projects!$G$12="Yes",8=Projects!$C$12),-135452,0)</f>
        <v>0</v>
      </c>
      <c r="K21" s="254" t="n">
        <f aca="false">IF(AND(Projects!$G$12="Yes",9=Projects!$C$12),-135452,0)</f>
        <v>0</v>
      </c>
      <c r="L21" s="254" t="n">
        <f aca="false">IF(AND(Projects!$G$12="Yes",10=Projects!$C$12),-135452,0)</f>
        <v>-135452</v>
      </c>
      <c r="M21" s="254" t="n">
        <f aca="false">IF(AND(Projects!$G$12="Yes",11=Projects!$C$12),-135452,0)</f>
        <v>0</v>
      </c>
      <c r="N21" s="254" t="n">
        <f aca="false">IF(AND(Projects!$G$12="Yes",12=Projects!$C$12),-135452,0)</f>
        <v>0</v>
      </c>
      <c r="O21" s="254" t="n">
        <f aca="false">IF(AND(Projects!$G$12="Yes",13=Projects!$C$12),-135452,0)</f>
        <v>0</v>
      </c>
      <c r="P21" s="254" t="n">
        <f aca="false">IF(AND(Projects!$G$12="Yes",14=Projects!$C$12),-135452,0)</f>
        <v>0</v>
      </c>
      <c r="Q21" s="254" t="n">
        <f aca="false">IF(AND(Projects!$G$12="Yes",15=Projects!$C$12),-135452,0)</f>
        <v>0</v>
      </c>
      <c r="R21" s="254" t="n">
        <f aca="false">IF(AND(Projects!$G$12="Yes",16=Projects!$C$12),-135452,0)</f>
        <v>0</v>
      </c>
      <c r="S21" s="254" t="n">
        <f aca="false">IF(AND(Projects!$G$12="Yes",17=Projects!$C$12),-135452,0)</f>
        <v>0</v>
      </c>
      <c r="T21" s="254" t="n">
        <f aca="false">IF(AND(Projects!$G$12="Yes",18=Projects!$C$12),-135452,0)</f>
        <v>0</v>
      </c>
      <c r="U21" s="254" t="n">
        <f aca="false">IF(AND(Projects!$G$12="Yes",19=Projects!$C$12),-135452,0)</f>
        <v>0</v>
      </c>
      <c r="V21" s="254" t="n">
        <f aca="false">IF(AND(Projects!$G$12="Yes",20=Projects!$C$12),-135452,0)</f>
        <v>0</v>
      </c>
      <c r="W21" s="254" t="n">
        <f aca="false">IF(AND(Projects!$G$12="Yes",21=Projects!$C$12),-135452,0)</f>
        <v>0</v>
      </c>
      <c r="X21" s="254" t="n">
        <f aca="false">IF(AND(Projects!$G$12="Yes",22=Projects!$C$12),-135452,0)</f>
        <v>0</v>
      </c>
      <c r="Y21" s="254" t="n">
        <f aca="false">IF(AND(Projects!$G$12="Yes",23=Projects!$C$12),-135452,0)</f>
        <v>0</v>
      </c>
      <c r="Z21" s="254" t="n">
        <f aca="false">IF(AND(Projects!$G$12="Yes",24=Projects!$C$12),-135452,0)</f>
        <v>0</v>
      </c>
      <c r="AA21" s="254" t="n">
        <f aca="false">IF(AND(Projects!$G$12="Yes",25=Projects!$C$12),-135452,0)</f>
        <v>0</v>
      </c>
      <c r="AB21" s="254" t="n">
        <f aca="false">IF(AND(Projects!$G$12="Yes",26=Projects!$C$12),-135452,0)</f>
        <v>0</v>
      </c>
      <c r="AC21" s="254" t="n">
        <f aca="false">IF(AND(Projects!$G$12="Yes",27=Projects!$C$12),-135452,0)</f>
        <v>0</v>
      </c>
      <c r="AD21" s="254" t="n">
        <f aca="false">IF(AND(Projects!$G$12="Yes",28=Projects!$C$12),-135452,0)</f>
        <v>0</v>
      </c>
      <c r="AE21" s="254" t="n">
        <f aca="false">IF(AND(Projects!$G$12="Yes",29=Projects!$C$12),-135452,0)</f>
        <v>0</v>
      </c>
      <c r="AF21" s="254" t="n">
        <f aca="false">IF(AND(Projects!$G$12="Yes",30=Projects!$C$12),-135452,0)</f>
        <v>0</v>
      </c>
      <c r="AG21" s="254" t="n">
        <f aca="false">IF(AND(Projects!$G$12="Yes",31=Projects!$C$12),-135452,0)</f>
        <v>0</v>
      </c>
      <c r="AH21" s="254" t="n">
        <f aca="false">IF(AND(Projects!$G$12="Yes",32=Projects!$C$12),-135452,0)</f>
        <v>0</v>
      </c>
      <c r="AI21" s="254" t="n">
        <f aca="false">IF(AND(Projects!$G$12="Yes",33=Projects!$C$12),-135452,0)</f>
        <v>0</v>
      </c>
      <c r="AJ21" s="254" t="n">
        <f aca="false">IF(AND(Projects!$G$12="Yes",34=Projects!$C$12),-135452,0)</f>
        <v>0</v>
      </c>
      <c r="AK21" s="254" t="n">
        <f aca="false">IF(AND(Projects!$G$12="Yes",35=Projects!$C$12),-135452,0)</f>
        <v>0</v>
      </c>
      <c r="AL21" s="254" t="n">
        <f aca="false">IF(AND(Projects!$G$12="Yes",36=Projects!$C$12),-135452,0)</f>
        <v>0</v>
      </c>
      <c r="AM21" s="254" t="n">
        <f aca="false">IF(AND(Projects!$G$12="Yes",37=Projects!$C$12),-135452,0)</f>
        <v>0</v>
      </c>
      <c r="AN21" s="254" t="n">
        <f aca="false">IF(AND(Projects!$G$12="Yes",38=Projects!$C$12),-135452,0)</f>
        <v>0</v>
      </c>
      <c r="AO21" s="254" t="n">
        <f aca="false">IF(AND(Projects!$G$12="Yes",39=Projects!$C$12),-135452,0)</f>
        <v>0</v>
      </c>
      <c r="AP21" s="254" t="n">
        <f aca="false">IF(AND(Projects!$G$12="Yes",40=Projects!$C$12),-135452,0)</f>
        <v>0</v>
      </c>
      <c r="AQ21" s="254" t="n">
        <f aca="false">IF(AND(Projects!$G$12="Yes",41=Projects!$C$12),-135452,0)</f>
        <v>0</v>
      </c>
      <c r="AR21" s="254" t="n">
        <f aca="false">IF(AND(Projects!$G$12="Yes",42=Projects!$C$12),-135452,0)</f>
        <v>0</v>
      </c>
      <c r="AS21" s="254" t="n">
        <f aca="false">IF(AND(Projects!$G$12="Yes",43=Projects!$C$12),-135452,0)</f>
        <v>0</v>
      </c>
      <c r="AT21" s="254" t="n">
        <f aca="false">IF(AND(Projects!$G$12="Yes",44=Projects!$C$12),-135452,0)</f>
        <v>0</v>
      </c>
      <c r="AU21" s="254" t="n">
        <f aca="false">IF(AND(Projects!$G$12="Yes",45=Projects!$C$12),-135452,0)</f>
        <v>0</v>
      </c>
      <c r="AV21" s="254" t="n">
        <f aca="false">IF(AND(Projects!$G$12="Yes",46=Projects!$C$12),-135452,0)</f>
        <v>0</v>
      </c>
      <c r="AW21" s="254" t="n">
        <f aca="false">IF(AND(Projects!$G$12="Yes",47=Projects!$C$12),-135452,0)</f>
        <v>0</v>
      </c>
      <c r="AX21" s="254" t="n">
        <f aca="false">IF(AND(Projects!$G$12="Yes",48=Projects!$C$12),-135452,0)</f>
        <v>0</v>
      </c>
      <c r="AY21" s="254" t="n">
        <f aca="false">IF(AND(Projects!$G$12="Yes",49=Projects!$C$12),-135452,0)</f>
        <v>0</v>
      </c>
      <c r="AZ21" s="254" t="n">
        <f aca="false">IF(AND(Projects!$G$12="Yes",50=Projects!$C$12),-135452,0)</f>
        <v>0</v>
      </c>
      <c r="BA21" s="254" t="n">
        <f aca="false">IF(AND(Projects!$G$12="Yes",51=Projects!$C$12),-135452,0)</f>
        <v>0</v>
      </c>
      <c r="BB21" s="254" t="n">
        <f aca="false">IF(AND(Projects!$G$12="Yes",52=Projects!$C$12),-135452,0)</f>
        <v>0</v>
      </c>
      <c r="BC21" s="254" t="n">
        <f aca="false">IF(AND(Projects!$G$12="Yes",53=Projects!$C$12),-135452,0)</f>
        <v>0</v>
      </c>
      <c r="BD21" s="254" t="n">
        <f aca="false">IF(AND(Projects!$G$12="Yes",54=Projects!$C$12),-135452,0)</f>
        <v>0</v>
      </c>
      <c r="BE21" s="254" t="n">
        <f aca="false">IF(AND(Projects!$G$12="Yes",55=Projects!$C$12),-135452,0)</f>
        <v>0</v>
      </c>
      <c r="BF21" s="254" t="n">
        <f aca="false">IF(AND(Projects!$G$12="Yes",56=Projects!$C$12),-135452,0)</f>
        <v>0</v>
      </c>
      <c r="BG21" s="254" t="n">
        <f aca="false">IF(AND(Projects!$G$12="Yes",57=Projects!$C$12),-135452,0)</f>
        <v>0</v>
      </c>
      <c r="BH21" s="254" t="n">
        <f aca="false">IF(AND(Projects!$G$12="Yes",58=Projects!$C$12),-135452,0)</f>
        <v>0</v>
      </c>
      <c r="BI21" s="254" t="n">
        <f aca="false">IF(AND(Projects!$G$12="Yes",59=Projects!$C$12),-135452,0)</f>
        <v>0</v>
      </c>
      <c r="BJ21" s="254" t="n">
        <f aca="false">IF(AND(Projects!$G$12="Yes",60=Projects!$C$12),-135452,0)</f>
        <v>0</v>
      </c>
      <c r="BK21" s="254" t="n">
        <f aca="false">IF(AND(Projects!$G$12="Yes",61=Projects!$C$12),-135452,0)</f>
        <v>0</v>
      </c>
      <c r="BL21" s="254" t="n">
        <f aca="false">IF(AND(Projects!$G$12="Yes",62=Projects!$C$12),-135452,0)</f>
        <v>0</v>
      </c>
      <c r="BM21" s="254" t="n">
        <f aca="false">IF(AND(Projects!$G$12="Yes",63=Projects!$C$12),-135452,0)</f>
        <v>0</v>
      </c>
      <c r="BN21" s="254" t="n">
        <f aca="false">IF(AND(Projects!$G$12="Yes",64=Projects!$C$12),-135452,0)</f>
        <v>0</v>
      </c>
      <c r="BO21" s="254" t="n">
        <f aca="false">IF(AND(Projects!$G$12="Yes",65=Projects!$C$12),-135452,0)</f>
        <v>0</v>
      </c>
      <c r="BP21" s="254" t="n">
        <f aca="false">IF(AND(Projects!$G$12="Yes",66=Projects!$C$12),-135452,0)</f>
        <v>0</v>
      </c>
      <c r="BQ21" s="254" t="n">
        <f aca="false">IF(AND(Projects!$G$12="Yes",67=Projects!$C$12),-135452,0)</f>
        <v>0</v>
      </c>
      <c r="BR21" s="254" t="n">
        <f aca="false">IF(AND(Projects!$G$12="Yes",68=Projects!$C$12),-135452,0)</f>
        <v>0</v>
      </c>
      <c r="BS21" s="254" t="n">
        <f aca="false">IF(AND(Projects!$G$12="Yes",69=Projects!$C$12),-135452,0)</f>
        <v>0</v>
      </c>
      <c r="BT21" s="254" t="n">
        <f aca="false">IF(AND(Projects!$G$12="Yes",70=Projects!$C$12),-135452,0)</f>
        <v>0</v>
      </c>
      <c r="BU21" s="254" t="n">
        <f aca="false">IF(AND(Projects!$G$12="Yes",71=Projects!$C$12),-135452,0)</f>
        <v>0</v>
      </c>
      <c r="BV21" s="254" t="n">
        <f aca="false">IF(AND(Projects!$G$12="Yes",72=Projects!$C$12),-135452,0)</f>
        <v>0</v>
      </c>
      <c r="BW21" s="254" t="n">
        <f aca="false">IF(AND(Projects!$G$12="Yes",73=Projects!$C$12),-135452,0)</f>
        <v>0</v>
      </c>
      <c r="BX21" s="254" t="n">
        <f aca="false">IF(AND(Projects!$G$12="Yes",74=Projects!$C$12),-135452,0)</f>
        <v>0</v>
      </c>
      <c r="BY21" s="254" t="n">
        <f aca="false">IF(AND(Projects!$G$12="Yes",75=Projects!$C$12),-135452,0)</f>
        <v>0</v>
      </c>
      <c r="BZ21" s="254" t="n">
        <f aca="false">IF(AND(Projects!$G$12="Yes",76=Projects!$C$12),-135452,0)</f>
        <v>0</v>
      </c>
      <c r="CA21" s="254" t="n">
        <f aca="false">IF(AND(Projects!$G$12="Yes",77=Projects!$C$12),-135452,0)</f>
        <v>0</v>
      </c>
      <c r="CB21" s="254" t="n">
        <f aca="false">IF(AND(Projects!$G$12="Yes",78=Projects!$C$12),-135452,0)</f>
        <v>0</v>
      </c>
      <c r="CC21" s="254" t="n">
        <f aca="false">IF(AND(Projects!$G$12="Yes",79=Projects!$C$12),-135452,0)</f>
        <v>0</v>
      </c>
      <c r="CD21" s="254" t="n">
        <f aca="false">IF(AND(Projects!$G$12="Yes",80=Projects!$C$12),-135452,0)</f>
        <v>0</v>
      </c>
      <c r="CE21" s="254" t="n">
        <f aca="false">IF(AND(Projects!$G$12="Yes",81=Projects!$C$12),-135452,0)</f>
        <v>0</v>
      </c>
      <c r="CF21" s="254" t="n">
        <f aca="false">IF(AND(Projects!$G$12="Yes",82=Projects!$C$12),-135452,0)</f>
        <v>0</v>
      </c>
      <c r="CG21" s="254" t="n">
        <f aca="false">IF(AND(Projects!$G$12="Yes",83=Projects!$C$12),-135452,0)</f>
        <v>0</v>
      </c>
      <c r="CH21" s="254" t="n">
        <f aca="false">IF(AND(Projects!$G$12="Yes",84=Projects!$C$12),-135452,0)</f>
        <v>0</v>
      </c>
    </row>
    <row r="22" customFormat="false" ht="15" hidden="false" customHeight="true" outlineLevel="0" collapsed="false">
      <c r="A22" s="250" t="s">
        <v>846</v>
      </c>
      <c r="B22" s="250"/>
      <c r="C22" s="251" t="n">
        <f aca="false">C20+C21</f>
        <v>0</v>
      </c>
      <c r="D22" s="251" t="n">
        <f aca="false">D20+D21</f>
        <v>0</v>
      </c>
      <c r="E22" s="251" t="n">
        <f aca="false">E20+E21</f>
        <v>0</v>
      </c>
      <c r="F22" s="251" t="n">
        <f aca="false">F20+F21</f>
        <v>0</v>
      </c>
      <c r="G22" s="251" t="n">
        <f aca="false">G20+G21</f>
        <v>0</v>
      </c>
      <c r="H22" s="251" t="n">
        <f aca="false">H20+H21</f>
        <v>0</v>
      </c>
      <c r="I22" s="251" t="n">
        <f aca="false">I20+I21</f>
        <v>0</v>
      </c>
      <c r="J22" s="251" t="n">
        <f aca="false">J20+J21</f>
        <v>0</v>
      </c>
      <c r="K22" s="251" t="n">
        <f aca="false">K20+K21</f>
        <v>0</v>
      </c>
      <c r="L22" s="251" t="n">
        <f aca="false">L20+L21</f>
        <v>57345.63</v>
      </c>
      <c r="M22" s="251" t="n">
        <f aca="false">M20+M21</f>
        <v>11052.63</v>
      </c>
      <c r="N22" s="251" t="n">
        <f aca="false">N20+N21</f>
        <v>11052.63</v>
      </c>
      <c r="O22" s="251" t="n">
        <f aca="false">O20+O21</f>
        <v>11052.63</v>
      </c>
      <c r="P22" s="251" t="n">
        <f aca="false">P20+P21</f>
        <v>11052.63</v>
      </c>
      <c r="Q22" s="251" t="n">
        <f aca="false">Q20+Q21</f>
        <v>11052.63</v>
      </c>
      <c r="R22" s="251" t="n">
        <f aca="false">R20+R21</f>
        <v>11052.63</v>
      </c>
      <c r="S22" s="251" t="n">
        <f aca="false">S20+S21</f>
        <v>11052.63</v>
      </c>
      <c r="T22" s="251" t="n">
        <f aca="false">T20+T21</f>
        <v>11052.63</v>
      </c>
      <c r="U22" s="251" t="n">
        <f aca="false">U20+U21</f>
        <v>11052.63</v>
      </c>
      <c r="V22" s="251" t="n">
        <f aca="false">V20+V21</f>
        <v>11052.63</v>
      </c>
      <c r="W22" s="251" t="n">
        <f aca="false">W20+W21</f>
        <v>11052.63</v>
      </c>
      <c r="X22" s="251" t="n">
        <f aca="false">X20+X21</f>
        <v>11052.63</v>
      </c>
      <c r="Y22" s="251" t="n">
        <f aca="false">Y20+Y21</f>
        <v>11052.63</v>
      </c>
      <c r="Z22" s="251" t="n">
        <f aca="false">Z20+Z21</f>
        <v>11052.63</v>
      </c>
      <c r="AA22" s="251" t="n">
        <f aca="false">AA20+AA21</f>
        <v>11052.63</v>
      </c>
      <c r="AB22" s="251" t="n">
        <f aca="false">AB20+AB21</f>
        <v>11052.63</v>
      </c>
      <c r="AC22" s="251" t="n">
        <f aca="false">AC20+AC21</f>
        <v>11052.63</v>
      </c>
      <c r="AD22" s="251" t="n">
        <f aca="false">AD20+AD21</f>
        <v>11052.63</v>
      </c>
      <c r="AE22" s="251" t="n">
        <f aca="false">AE20+AE21</f>
        <v>0</v>
      </c>
      <c r="AF22" s="251" t="n">
        <f aca="false">AF20+AF21</f>
        <v>0</v>
      </c>
      <c r="AG22" s="251" t="n">
        <f aca="false">AG20+AG21</f>
        <v>0</v>
      </c>
      <c r="AH22" s="251" t="n">
        <f aca="false">AH20+AH21</f>
        <v>0</v>
      </c>
      <c r="AI22" s="251" t="n">
        <f aca="false">AI20+AI21</f>
        <v>0</v>
      </c>
      <c r="AJ22" s="251" t="n">
        <f aca="false">AJ20+AJ21</f>
        <v>0</v>
      </c>
      <c r="AK22" s="251" t="n">
        <f aca="false">AK20+AK21</f>
        <v>0</v>
      </c>
      <c r="AL22" s="251" t="n">
        <f aca="false">AL20+AL21</f>
        <v>0</v>
      </c>
      <c r="AM22" s="251" t="n">
        <f aca="false">AM20+AM21</f>
        <v>0</v>
      </c>
      <c r="AN22" s="251" t="n">
        <f aca="false">AN20+AN21</f>
        <v>0</v>
      </c>
      <c r="AO22" s="251" t="n">
        <f aca="false">AO20+AO21</f>
        <v>0</v>
      </c>
      <c r="AP22" s="251" t="n">
        <f aca="false">AP20+AP21</f>
        <v>0</v>
      </c>
      <c r="AQ22" s="251" t="n">
        <f aca="false">AQ20+AQ21</f>
        <v>0</v>
      </c>
      <c r="AR22" s="251" t="n">
        <f aca="false">AR20+AR21</f>
        <v>0</v>
      </c>
      <c r="AS22" s="251" t="n">
        <f aca="false">AS20+AS21</f>
        <v>0</v>
      </c>
      <c r="AT22" s="251" t="n">
        <f aca="false">AT20+AT21</f>
        <v>0</v>
      </c>
      <c r="AU22" s="251" t="n">
        <f aca="false">AU20+AU21</f>
        <v>0</v>
      </c>
      <c r="AV22" s="251" t="n">
        <f aca="false">AV20+AV21</f>
        <v>0</v>
      </c>
      <c r="AW22" s="251" t="n">
        <f aca="false">AW20+AW21</f>
        <v>0</v>
      </c>
      <c r="AX22" s="251" t="n">
        <f aca="false">AX20+AX21</f>
        <v>0</v>
      </c>
      <c r="AY22" s="251" t="n">
        <f aca="false">AY20+AY21</f>
        <v>0</v>
      </c>
      <c r="AZ22" s="251" t="n">
        <f aca="false">AZ20+AZ21</f>
        <v>0</v>
      </c>
      <c r="BA22" s="251" t="n">
        <f aca="false">BA20+BA21</f>
        <v>0</v>
      </c>
      <c r="BB22" s="251" t="n">
        <f aca="false">BB20+BB21</f>
        <v>0</v>
      </c>
      <c r="BC22" s="251" t="n">
        <f aca="false">BC20+BC21</f>
        <v>0</v>
      </c>
      <c r="BD22" s="251" t="n">
        <f aca="false">BD20+BD21</f>
        <v>0</v>
      </c>
      <c r="BE22" s="251" t="n">
        <f aca="false">BE20+BE21</f>
        <v>0</v>
      </c>
      <c r="BF22" s="251" t="n">
        <f aca="false">BF20+BF21</f>
        <v>0</v>
      </c>
      <c r="BG22" s="251" t="n">
        <f aca="false">BG20+BG21</f>
        <v>0</v>
      </c>
      <c r="BH22" s="251" t="n">
        <f aca="false">BH20+BH21</f>
        <v>0</v>
      </c>
      <c r="BI22" s="251" t="n">
        <f aca="false">BI20+BI21</f>
        <v>0</v>
      </c>
      <c r="BJ22" s="251" t="n">
        <f aca="false">BJ20+BJ21</f>
        <v>0</v>
      </c>
      <c r="BK22" s="251" t="n">
        <f aca="false">BK20+BK21</f>
        <v>0</v>
      </c>
      <c r="BL22" s="251" t="n">
        <f aca="false">BL20+BL21</f>
        <v>0</v>
      </c>
      <c r="BM22" s="251" t="n">
        <f aca="false">BM20+BM21</f>
        <v>0</v>
      </c>
      <c r="BN22" s="251" t="n">
        <f aca="false">BN20+BN21</f>
        <v>0</v>
      </c>
      <c r="BO22" s="251" t="n">
        <f aca="false">BO20+BO21</f>
        <v>0</v>
      </c>
      <c r="BP22" s="251" t="n">
        <f aca="false">BP20+BP21</f>
        <v>0</v>
      </c>
      <c r="BQ22" s="251" t="n">
        <f aca="false">BQ20+BQ21</f>
        <v>0</v>
      </c>
      <c r="BR22" s="251" t="n">
        <f aca="false">BR20+BR21</f>
        <v>0</v>
      </c>
      <c r="BS22" s="251" t="n">
        <f aca="false">BS20+BS21</f>
        <v>0</v>
      </c>
      <c r="BT22" s="251" t="n">
        <f aca="false">BT20+BT21</f>
        <v>0</v>
      </c>
      <c r="BU22" s="251" t="n">
        <f aca="false">BU20+BU21</f>
        <v>0</v>
      </c>
      <c r="BV22" s="251" t="n">
        <f aca="false">BV20+BV21</f>
        <v>0</v>
      </c>
      <c r="BW22" s="251" t="n">
        <f aca="false">BW20+BW21</f>
        <v>0</v>
      </c>
      <c r="BX22" s="251" t="n">
        <f aca="false">BX20+BX21</f>
        <v>0</v>
      </c>
      <c r="BY22" s="251" t="n">
        <f aca="false">BY20+BY21</f>
        <v>0</v>
      </c>
      <c r="BZ22" s="251" t="n">
        <f aca="false">BZ20+BZ21</f>
        <v>0</v>
      </c>
      <c r="CA22" s="251" t="n">
        <f aca="false">CA20+CA21</f>
        <v>0</v>
      </c>
      <c r="CB22" s="251" t="n">
        <f aca="false">CB20+CB21</f>
        <v>0</v>
      </c>
      <c r="CC22" s="251" t="n">
        <f aca="false">CC20+CC21</f>
        <v>0</v>
      </c>
      <c r="CD22" s="251" t="n">
        <f aca="false">CD20+CD21</f>
        <v>0</v>
      </c>
      <c r="CE22" s="251" t="n">
        <f aca="false">CE20+CE21</f>
        <v>0</v>
      </c>
      <c r="CF22" s="251" t="n">
        <f aca="false">CF20+CF21</f>
        <v>0</v>
      </c>
      <c r="CG22" s="251" t="n">
        <f aca="false">CG20+CG21</f>
        <v>0</v>
      </c>
      <c r="CH22" s="251" t="n">
        <f aca="false">CH20+CH21</f>
        <v>0</v>
      </c>
    </row>
    <row r="23" customFormat="false" ht="15" hidden="false" customHeight="true" outlineLevel="0" collapsed="false">
      <c r="A23" s="2" t="s">
        <v>847</v>
      </c>
      <c r="B23" s="3"/>
      <c r="C23" s="252" t="n">
        <f aca="false">C22</f>
        <v>0</v>
      </c>
      <c r="D23" s="252" t="n">
        <f aca="false">C23+D22</f>
        <v>0</v>
      </c>
      <c r="E23" s="252" t="n">
        <f aca="false">D23+E22</f>
        <v>0</v>
      </c>
      <c r="F23" s="252" t="n">
        <f aca="false">E23+F22</f>
        <v>0</v>
      </c>
      <c r="G23" s="252" t="n">
        <f aca="false">F23+G22</f>
        <v>0</v>
      </c>
      <c r="H23" s="252" t="n">
        <f aca="false">G23+H22</f>
        <v>0</v>
      </c>
      <c r="I23" s="252" t="n">
        <f aca="false">H23+I22</f>
        <v>0</v>
      </c>
      <c r="J23" s="252" t="n">
        <f aca="false">I23+J22</f>
        <v>0</v>
      </c>
      <c r="K23" s="252" t="n">
        <f aca="false">J23+K22</f>
        <v>0</v>
      </c>
      <c r="L23" s="252" t="n">
        <f aca="false">K23+L22</f>
        <v>57345.63</v>
      </c>
      <c r="M23" s="252" t="n">
        <f aca="false">L23+M22</f>
        <v>68398.26</v>
      </c>
      <c r="N23" s="252" t="n">
        <f aca="false">M23+N22</f>
        <v>79450.89</v>
      </c>
      <c r="O23" s="252" t="n">
        <f aca="false">N23+O22</f>
        <v>90503.52</v>
      </c>
      <c r="P23" s="252" t="n">
        <f aca="false">O23+P22</f>
        <v>101556.15</v>
      </c>
      <c r="Q23" s="252" t="n">
        <f aca="false">P23+Q22</f>
        <v>112608.78</v>
      </c>
      <c r="R23" s="252" t="n">
        <f aca="false">Q23+R22</f>
        <v>123661.41</v>
      </c>
      <c r="S23" s="252" t="n">
        <f aca="false">R23+S22</f>
        <v>134714.04</v>
      </c>
      <c r="T23" s="252" t="n">
        <f aca="false">S23+T22</f>
        <v>145766.67</v>
      </c>
      <c r="U23" s="252" t="n">
        <f aca="false">T23+U22</f>
        <v>156819.3</v>
      </c>
      <c r="V23" s="252" t="n">
        <f aca="false">U23+V22</f>
        <v>167871.93</v>
      </c>
      <c r="W23" s="252" t="n">
        <f aca="false">V23+W22</f>
        <v>178924.56</v>
      </c>
      <c r="X23" s="252" t="n">
        <f aca="false">W23+X22</f>
        <v>189977.19</v>
      </c>
      <c r="Y23" s="252" t="n">
        <f aca="false">X23+Y22</f>
        <v>201029.82</v>
      </c>
      <c r="Z23" s="252" t="n">
        <f aca="false">Y23+Z22</f>
        <v>212082.45</v>
      </c>
      <c r="AA23" s="252" t="n">
        <f aca="false">Z23+AA22</f>
        <v>223135.08</v>
      </c>
      <c r="AB23" s="252" t="n">
        <f aca="false">AA23+AB22</f>
        <v>234187.71</v>
      </c>
      <c r="AC23" s="252" t="n">
        <f aca="false">AB23+AC22</f>
        <v>245240.34</v>
      </c>
      <c r="AD23" s="252" t="n">
        <f aca="false">AC23+AD22</f>
        <v>256292.97</v>
      </c>
      <c r="AE23" s="252" t="n">
        <f aca="false">AD23+AE22</f>
        <v>256292.97</v>
      </c>
      <c r="AF23" s="252" t="n">
        <f aca="false">AE23+AF22</f>
        <v>256292.97</v>
      </c>
      <c r="AG23" s="252" t="n">
        <f aca="false">AF23+AG22</f>
        <v>256292.97</v>
      </c>
      <c r="AH23" s="252" t="n">
        <f aca="false">AG23+AH22</f>
        <v>256292.97</v>
      </c>
      <c r="AI23" s="252" t="n">
        <f aca="false">AH23+AI22</f>
        <v>256292.97</v>
      </c>
      <c r="AJ23" s="252" t="n">
        <f aca="false">AI23+AJ22</f>
        <v>256292.97</v>
      </c>
      <c r="AK23" s="252" t="n">
        <f aca="false">AJ23+AK22</f>
        <v>256292.97</v>
      </c>
      <c r="AL23" s="252" t="n">
        <f aca="false">AK23+AL22</f>
        <v>256292.97</v>
      </c>
      <c r="AM23" s="252" t="n">
        <f aca="false">AL23+AM22</f>
        <v>256292.97</v>
      </c>
      <c r="AN23" s="252" t="n">
        <f aca="false">AM23+AN22</f>
        <v>256292.97</v>
      </c>
      <c r="AO23" s="252" t="n">
        <f aca="false">AN23+AO22</f>
        <v>256292.97</v>
      </c>
      <c r="AP23" s="252" t="n">
        <f aca="false">AO23+AP22</f>
        <v>256292.97</v>
      </c>
      <c r="AQ23" s="252" t="n">
        <f aca="false">AP23+AQ22</f>
        <v>256292.97</v>
      </c>
      <c r="AR23" s="252" t="n">
        <f aca="false">AQ23+AR22</f>
        <v>256292.97</v>
      </c>
      <c r="AS23" s="252" t="n">
        <f aca="false">AR23+AS22</f>
        <v>256292.97</v>
      </c>
      <c r="AT23" s="252" t="n">
        <f aca="false">AS23+AT22</f>
        <v>256292.97</v>
      </c>
      <c r="AU23" s="252" t="n">
        <f aca="false">AT23+AU22</f>
        <v>256292.97</v>
      </c>
      <c r="AV23" s="252" t="n">
        <f aca="false">AU23+AV22</f>
        <v>256292.97</v>
      </c>
      <c r="AW23" s="252" t="n">
        <f aca="false">AV23+AW22</f>
        <v>256292.97</v>
      </c>
      <c r="AX23" s="252" t="n">
        <f aca="false">AW23+AX22</f>
        <v>256292.97</v>
      </c>
      <c r="AY23" s="252" t="n">
        <f aca="false">AX23+AY22</f>
        <v>256292.97</v>
      </c>
      <c r="AZ23" s="252" t="n">
        <f aca="false">AY23+AZ22</f>
        <v>256292.97</v>
      </c>
      <c r="BA23" s="252" t="n">
        <f aca="false">AZ23+BA22</f>
        <v>256292.97</v>
      </c>
      <c r="BB23" s="252" t="n">
        <f aca="false">BA23+BB22</f>
        <v>256292.97</v>
      </c>
      <c r="BC23" s="252" t="n">
        <f aca="false">BB23+BC22</f>
        <v>256292.97</v>
      </c>
      <c r="BD23" s="252" t="n">
        <f aca="false">BC23+BD22</f>
        <v>256292.97</v>
      </c>
      <c r="BE23" s="252" t="n">
        <f aca="false">BD23+BE22</f>
        <v>256292.97</v>
      </c>
      <c r="BF23" s="252" t="n">
        <f aca="false">BE23+BF22</f>
        <v>256292.97</v>
      </c>
      <c r="BG23" s="252" t="n">
        <f aca="false">BF23+BG22</f>
        <v>256292.97</v>
      </c>
      <c r="BH23" s="252" t="n">
        <f aca="false">BG23+BH22</f>
        <v>256292.97</v>
      </c>
      <c r="BI23" s="252" t="n">
        <f aca="false">BH23+BI22</f>
        <v>256292.97</v>
      </c>
      <c r="BJ23" s="252" t="n">
        <f aca="false">BI23+BJ22</f>
        <v>256292.97</v>
      </c>
      <c r="BK23" s="252" t="n">
        <f aca="false">BJ23+BK22</f>
        <v>256292.97</v>
      </c>
      <c r="BL23" s="252" t="n">
        <f aca="false">BK23+BL22</f>
        <v>256292.97</v>
      </c>
      <c r="BM23" s="252" t="n">
        <f aca="false">BL23+BM22</f>
        <v>256292.97</v>
      </c>
      <c r="BN23" s="252" t="n">
        <f aca="false">BM23+BN22</f>
        <v>256292.97</v>
      </c>
      <c r="BO23" s="252" t="n">
        <f aca="false">BN23+BO22</f>
        <v>256292.97</v>
      </c>
      <c r="BP23" s="252" t="n">
        <f aca="false">BO23+BP22</f>
        <v>256292.97</v>
      </c>
      <c r="BQ23" s="252" t="n">
        <f aca="false">BP23+BQ22</f>
        <v>256292.97</v>
      </c>
      <c r="BR23" s="252" t="n">
        <f aca="false">BQ23+BR22</f>
        <v>256292.97</v>
      </c>
      <c r="BS23" s="252" t="n">
        <f aca="false">BR23+BS22</f>
        <v>256292.97</v>
      </c>
      <c r="BT23" s="252" t="n">
        <f aca="false">BS23+BT22</f>
        <v>256292.97</v>
      </c>
      <c r="BU23" s="252" t="n">
        <f aca="false">BT23+BU22</f>
        <v>256292.97</v>
      </c>
      <c r="BV23" s="252" t="n">
        <f aca="false">BU23+BV22</f>
        <v>256292.97</v>
      </c>
      <c r="BW23" s="252" t="n">
        <f aca="false">BV23+BW22</f>
        <v>256292.97</v>
      </c>
      <c r="BX23" s="252" t="n">
        <f aca="false">BW23+BX22</f>
        <v>256292.97</v>
      </c>
      <c r="BY23" s="252" t="n">
        <f aca="false">BX23+BY22</f>
        <v>256292.97</v>
      </c>
      <c r="BZ23" s="252" t="n">
        <f aca="false">BY23+BZ22</f>
        <v>256292.97</v>
      </c>
      <c r="CA23" s="252" t="n">
        <f aca="false">BZ23+CA22</f>
        <v>256292.97</v>
      </c>
      <c r="CB23" s="252" t="n">
        <f aca="false">CA23+CB22</f>
        <v>256292.97</v>
      </c>
      <c r="CC23" s="252" t="n">
        <f aca="false">CB23+CC22</f>
        <v>256292.97</v>
      </c>
      <c r="CD23" s="252" t="n">
        <f aca="false">CC23+CD22</f>
        <v>256292.97</v>
      </c>
      <c r="CE23" s="252" t="n">
        <f aca="false">CD23+CE22</f>
        <v>256292.97</v>
      </c>
      <c r="CF23" s="252" t="n">
        <f aca="false">CE23+CF22</f>
        <v>256292.97</v>
      </c>
      <c r="CG23" s="252" t="n">
        <f aca="false">CF23+CG22</f>
        <v>256292.97</v>
      </c>
      <c r="CH23" s="252" t="n">
        <f aca="false">CG23+CH22</f>
        <v>256292.97</v>
      </c>
    </row>
    <row r="24" customFormat="false" ht="15" hidden="false" customHeight="true" outlineLevel="0" collapsed="false">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row>
    <row r="25" customFormat="false" ht="15" hidden="false" customHeight="true" outlineLevel="0" collapsed="false">
      <c r="A25" s="23" t="s">
        <v>12</v>
      </c>
      <c r="B25" s="23"/>
      <c r="C25" s="23"/>
      <c r="D25" s="23"/>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3"/>
      <c r="BQ25" s="23"/>
      <c r="BR25" s="23"/>
      <c r="BS25" s="23"/>
      <c r="BT25" s="23"/>
      <c r="BU25" s="23"/>
      <c r="BV25" s="23"/>
      <c r="BW25" s="23"/>
      <c r="BX25" s="23"/>
      <c r="BY25" s="23"/>
      <c r="BZ25" s="23"/>
      <c r="CA25" s="23"/>
      <c r="CB25" s="23"/>
      <c r="CC25" s="23"/>
      <c r="CD25" s="23"/>
      <c r="CE25" s="23"/>
      <c r="CF25" s="23"/>
      <c r="CG25" s="23"/>
      <c r="CH25" s="23"/>
    </row>
    <row r="26" customFormat="false" ht="15" hidden="false" customHeight="true" outlineLevel="0" collapsed="false">
      <c r="A26" s="79" t="s">
        <v>845</v>
      </c>
      <c r="B26" s="3"/>
      <c r="C26" s="249" t="n">
        <f aca="false">Model!E254</f>
        <v>0</v>
      </c>
      <c r="D26" s="249" t="n">
        <f aca="false">Model!F254</f>
        <v>0</v>
      </c>
      <c r="E26" s="249" t="n">
        <f aca="false">Model!G254</f>
        <v>0</v>
      </c>
      <c r="F26" s="249" t="n">
        <f aca="false">Model!H254</f>
        <v>0</v>
      </c>
      <c r="G26" s="249" t="n">
        <f aca="false">Model!I254</f>
        <v>127514</v>
      </c>
      <c r="H26" s="249" t="n">
        <f aca="false">Model!J254</f>
        <v>0</v>
      </c>
      <c r="I26" s="249" t="n">
        <f aca="false">Model!K254</f>
        <v>0</v>
      </c>
      <c r="J26" s="249" t="n">
        <f aca="false">Model!L254</f>
        <v>0</v>
      </c>
      <c r="K26" s="249" t="n">
        <f aca="false">Model!M254</f>
        <v>0</v>
      </c>
      <c r="L26" s="249" t="n">
        <f aca="false">Model!N254</f>
        <v>0</v>
      </c>
      <c r="M26" s="249" t="n">
        <f aca="false">Model!O254</f>
        <v>0</v>
      </c>
      <c r="N26" s="249" t="n">
        <f aca="false">Model!P254</f>
        <v>0</v>
      </c>
      <c r="O26" s="249" t="n">
        <f aca="false">Model!Q254</f>
        <v>0</v>
      </c>
      <c r="P26" s="249" t="n">
        <f aca="false">Model!R254</f>
        <v>0</v>
      </c>
      <c r="Q26" s="249" t="n">
        <f aca="false">Model!S254</f>
        <v>0</v>
      </c>
      <c r="R26" s="249" t="n">
        <f aca="false">Model!T254</f>
        <v>0</v>
      </c>
      <c r="S26" s="249" t="n">
        <f aca="false">Model!U254</f>
        <v>0</v>
      </c>
      <c r="T26" s="249" t="n">
        <f aca="false">Model!V254</f>
        <v>0</v>
      </c>
      <c r="U26" s="249" t="n">
        <f aca="false">Model!W254</f>
        <v>0</v>
      </c>
      <c r="V26" s="249" t="n">
        <f aca="false">Model!X254</f>
        <v>0</v>
      </c>
      <c r="W26" s="249" t="n">
        <f aca="false">Model!Y254</f>
        <v>0</v>
      </c>
      <c r="X26" s="249" t="n">
        <f aca="false">Model!Z254</f>
        <v>0</v>
      </c>
      <c r="Y26" s="249" t="n">
        <f aca="false">Model!AA254</f>
        <v>0</v>
      </c>
      <c r="Z26" s="249" t="n">
        <f aca="false">Model!AB254</f>
        <v>0</v>
      </c>
      <c r="AA26" s="249" t="n">
        <f aca="false">Model!AC254</f>
        <v>0</v>
      </c>
      <c r="AB26" s="249" t="n">
        <f aca="false">Model!AD254</f>
        <v>0</v>
      </c>
      <c r="AC26" s="249" t="n">
        <f aca="false">Model!AE254</f>
        <v>0</v>
      </c>
      <c r="AD26" s="249" t="n">
        <f aca="false">Model!AF254</f>
        <v>0</v>
      </c>
      <c r="AE26" s="249" t="n">
        <f aca="false">Model!AG254</f>
        <v>0</v>
      </c>
      <c r="AF26" s="249" t="n">
        <f aca="false">Model!AH254</f>
        <v>0</v>
      </c>
      <c r="AG26" s="249" t="n">
        <f aca="false">Model!AI254</f>
        <v>0</v>
      </c>
      <c r="AH26" s="249" t="n">
        <f aca="false">Model!AJ254</f>
        <v>0</v>
      </c>
      <c r="AI26" s="249" t="n">
        <f aca="false">Model!AK254</f>
        <v>0</v>
      </c>
      <c r="AJ26" s="249" t="n">
        <f aca="false">Model!AL254</f>
        <v>0</v>
      </c>
      <c r="AK26" s="249" t="n">
        <f aca="false">Model!AM254</f>
        <v>0</v>
      </c>
      <c r="AL26" s="249" t="n">
        <f aca="false">Model!AN254</f>
        <v>0</v>
      </c>
      <c r="AM26" s="249" t="n">
        <f aca="false">Model!AO254</f>
        <v>0</v>
      </c>
      <c r="AN26" s="249" t="n">
        <f aca="false">Model!AP254</f>
        <v>0</v>
      </c>
      <c r="AO26" s="249" t="n">
        <f aca="false">Model!AQ254</f>
        <v>0</v>
      </c>
      <c r="AP26" s="249" t="n">
        <f aca="false">Model!AR254</f>
        <v>0</v>
      </c>
      <c r="AQ26" s="249" t="n">
        <f aca="false">Model!AS254</f>
        <v>0</v>
      </c>
      <c r="AR26" s="249" t="n">
        <f aca="false">Model!AT254</f>
        <v>81683</v>
      </c>
      <c r="AS26" s="249" t="n">
        <f aca="false">Model!AU254</f>
        <v>0</v>
      </c>
      <c r="AT26" s="249" t="n">
        <f aca="false">Model!AV254</f>
        <v>0</v>
      </c>
      <c r="AU26" s="249" t="n">
        <f aca="false">Model!AW254</f>
        <v>81682</v>
      </c>
      <c r="AV26" s="249" t="n">
        <f aca="false">Model!AX254</f>
        <v>0</v>
      </c>
      <c r="AW26" s="249" t="n">
        <f aca="false">Model!AY254</f>
        <v>0</v>
      </c>
      <c r="AX26" s="249" t="n">
        <f aca="false">Model!AZ254</f>
        <v>81682</v>
      </c>
      <c r="AY26" s="249" t="n">
        <f aca="false">Model!BA254</f>
        <v>0</v>
      </c>
      <c r="AZ26" s="249" t="n">
        <f aca="false">Model!BB254</f>
        <v>0</v>
      </c>
      <c r="BA26" s="249" t="n">
        <f aca="false">Model!BC254</f>
        <v>81682</v>
      </c>
      <c r="BB26" s="249" t="n">
        <f aca="false">Model!BD254</f>
        <v>0</v>
      </c>
      <c r="BC26" s="249" t="n">
        <f aca="false">Model!BE254</f>
        <v>0</v>
      </c>
      <c r="BD26" s="249" t="n">
        <f aca="false">Model!BF254</f>
        <v>59178</v>
      </c>
      <c r="BE26" s="249" t="n">
        <f aca="false">Model!BG254</f>
        <v>0</v>
      </c>
      <c r="BF26" s="249" t="n">
        <f aca="false">Model!BH254</f>
        <v>0</v>
      </c>
      <c r="BG26" s="249" t="n">
        <f aca="false">Model!BI254</f>
        <v>59176</v>
      </c>
      <c r="BH26" s="249" t="n">
        <f aca="false">Model!BJ254</f>
        <v>0</v>
      </c>
      <c r="BI26" s="249" t="n">
        <f aca="false">Model!BK254</f>
        <v>0</v>
      </c>
      <c r="BJ26" s="249" t="n">
        <f aca="false">Model!BL254</f>
        <v>59176</v>
      </c>
      <c r="BK26" s="249" t="n">
        <f aca="false">Model!BM254</f>
        <v>0</v>
      </c>
      <c r="BL26" s="249" t="n">
        <f aca="false">Model!BN254</f>
        <v>0</v>
      </c>
      <c r="BM26" s="249" t="n">
        <f aca="false">Model!BO254</f>
        <v>59176</v>
      </c>
      <c r="BN26" s="249" t="n">
        <f aca="false">Model!BP254</f>
        <v>0</v>
      </c>
      <c r="BO26" s="249" t="n">
        <f aca="false">Model!BQ254</f>
        <v>0</v>
      </c>
      <c r="BP26" s="249" t="n">
        <f aca="false">Model!BR254</f>
        <v>67763</v>
      </c>
      <c r="BQ26" s="249" t="n">
        <f aca="false">Model!BS254</f>
        <v>0</v>
      </c>
      <c r="BR26" s="249" t="n">
        <f aca="false">Model!BT254</f>
        <v>0</v>
      </c>
      <c r="BS26" s="249" t="n">
        <f aca="false">Model!BU254</f>
        <v>67762</v>
      </c>
      <c r="BT26" s="249" t="n">
        <f aca="false">Model!BV254</f>
        <v>0</v>
      </c>
      <c r="BU26" s="249" t="n">
        <f aca="false">Model!BW254</f>
        <v>0</v>
      </c>
      <c r="BV26" s="249" t="n">
        <f aca="false">Model!BX254</f>
        <v>67762</v>
      </c>
      <c r="BW26" s="249" t="n">
        <f aca="false">Model!BY254</f>
        <v>0</v>
      </c>
      <c r="BX26" s="249" t="n">
        <f aca="false">Model!BZ254</f>
        <v>0</v>
      </c>
      <c r="BY26" s="249" t="n">
        <f aca="false">Model!CA254</f>
        <v>67762</v>
      </c>
      <c r="BZ26" s="249" t="n">
        <f aca="false">Model!CB254</f>
        <v>0</v>
      </c>
      <c r="CA26" s="249" t="n">
        <f aca="false">Model!CC254</f>
        <v>0</v>
      </c>
      <c r="CB26" s="249" t="n">
        <f aca="false">Model!CD254</f>
        <v>76499</v>
      </c>
      <c r="CC26" s="249" t="n">
        <f aca="false">Model!CE254</f>
        <v>0</v>
      </c>
      <c r="CD26" s="249" t="n">
        <f aca="false">Model!CF254</f>
        <v>0</v>
      </c>
      <c r="CE26" s="249" t="n">
        <f aca="false">Model!CG254</f>
        <v>76499</v>
      </c>
      <c r="CF26" s="249" t="n">
        <f aca="false">Model!CH254</f>
        <v>0</v>
      </c>
      <c r="CG26" s="249" t="n">
        <f aca="false">Model!CI254</f>
        <v>0</v>
      </c>
      <c r="CH26" s="249" t="n">
        <f aca="false">Model!CJ254</f>
        <v>76499</v>
      </c>
    </row>
    <row r="27" customFormat="false" ht="15" hidden="false" customHeight="true" outlineLevel="0" collapsed="false">
      <c r="A27" s="253" t="s">
        <v>848</v>
      </c>
      <c r="B27" s="3"/>
      <c r="C27" s="254" t="n">
        <f aca="false">Model!E289</f>
        <v>-0</v>
      </c>
      <c r="D27" s="254" t="n">
        <f aca="false">Model!F289</f>
        <v>-0</v>
      </c>
      <c r="E27" s="254" t="n">
        <f aca="false">Model!G289</f>
        <v>-0</v>
      </c>
      <c r="F27" s="254" t="n">
        <f aca="false">Model!H289</f>
        <v>-0</v>
      </c>
      <c r="G27" s="254" t="n">
        <f aca="false">Model!I289</f>
        <v>0</v>
      </c>
      <c r="H27" s="254" t="n">
        <f aca="false">Model!J289</f>
        <v>-0</v>
      </c>
      <c r="I27" s="254" t="n">
        <f aca="false">Model!K289</f>
        <v>-0</v>
      </c>
      <c r="J27" s="254" t="n">
        <f aca="false">Model!L289</f>
        <v>-0</v>
      </c>
      <c r="K27" s="254" t="n">
        <f aca="false">Model!M289</f>
        <v>-0</v>
      </c>
      <c r="L27" s="254" t="n">
        <f aca="false">Model!N289</f>
        <v>-0</v>
      </c>
      <c r="M27" s="254" t="n">
        <f aca="false">Model!O289</f>
        <v>-0</v>
      </c>
      <c r="N27" s="254" t="n">
        <f aca="false">Model!P289</f>
        <v>-0</v>
      </c>
      <c r="O27" s="254" t="n">
        <f aca="false">Model!Q289</f>
        <v>-0</v>
      </c>
      <c r="P27" s="254" t="n">
        <f aca="false">Model!R289</f>
        <v>-0</v>
      </c>
      <c r="Q27" s="254" t="n">
        <f aca="false">Model!S289</f>
        <v>-0</v>
      </c>
      <c r="R27" s="254" t="n">
        <f aca="false">Model!T289</f>
        <v>-0</v>
      </c>
      <c r="S27" s="254" t="n">
        <f aca="false">Model!U289</f>
        <v>-0</v>
      </c>
      <c r="T27" s="254" t="n">
        <f aca="false">Model!V289</f>
        <v>-0</v>
      </c>
      <c r="U27" s="254" t="n">
        <f aca="false">Model!W289</f>
        <v>-0</v>
      </c>
      <c r="V27" s="254" t="n">
        <f aca="false">Model!X289</f>
        <v>-0</v>
      </c>
      <c r="W27" s="254" t="n">
        <f aca="false">Model!Y289</f>
        <v>-0</v>
      </c>
      <c r="X27" s="254" t="n">
        <f aca="false">Model!Z289</f>
        <v>-0</v>
      </c>
      <c r="Y27" s="254" t="n">
        <f aca="false">Model!AA289</f>
        <v>-0</v>
      </c>
      <c r="Z27" s="254" t="n">
        <f aca="false">Model!AB289</f>
        <v>-0</v>
      </c>
      <c r="AA27" s="254" t="n">
        <f aca="false">Model!AC289</f>
        <v>-0</v>
      </c>
      <c r="AB27" s="254" t="n">
        <f aca="false">Model!AD289</f>
        <v>-0</v>
      </c>
      <c r="AC27" s="254" t="n">
        <f aca="false">Model!AE289</f>
        <v>-0</v>
      </c>
      <c r="AD27" s="254" t="n">
        <f aca="false">Model!AF289</f>
        <v>-0</v>
      </c>
      <c r="AE27" s="254" t="n">
        <f aca="false">Model!AG289</f>
        <v>-0</v>
      </c>
      <c r="AF27" s="254" t="n">
        <f aca="false">Model!AH289</f>
        <v>-0</v>
      </c>
      <c r="AG27" s="254" t="n">
        <f aca="false">Model!AI289</f>
        <v>-0</v>
      </c>
      <c r="AH27" s="254" t="n">
        <f aca="false">Model!AJ289</f>
        <v>-0</v>
      </c>
      <c r="AI27" s="254" t="n">
        <f aca="false">Model!AK289</f>
        <v>-0</v>
      </c>
      <c r="AJ27" s="254" t="n">
        <f aca="false">Model!AL289</f>
        <v>-0</v>
      </c>
      <c r="AK27" s="254" t="n">
        <f aca="false">Model!AM289</f>
        <v>-0</v>
      </c>
      <c r="AL27" s="254" t="n">
        <f aca="false">Model!AN289</f>
        <v>-0</v>
      </c>
      <c r="AM27" s="254" t="n">
        <f aca="false">Model!AO289</f>
        <v>-0</v>
      </c>
      <c r="AN27" s="254" t="n">
        <f aca="false">Model!AP289</f>
        <v>-0</v>
      </c>
      <c r="AO27" s="254" t="n">
        <f aca="false">Model!AQ289</f>
        <v>-0</v>
      </c>
      <c r="AP27" s="254" t="n">
        <f aca="false">Model!AR289</f>
        <v>-0</v>
      </c>
      <c r="AQ27" s="254" t="n">
        <f aca="false">Model!AS289</f>
        <v>-0</v>
      </c>
      <c r="AR27" s="254" t="n">
        <f aca="false">Model!AT289</f>
        <v>-81683</v>
      </c>
      <c r="AS27" s="254" t="n">
        <f aca="false">Model!AU289</f>
        <v>-0</v>
      </c>
      <c r="AT27" s="254" t="n">
        <f aca="false">Model!AV289</f>
        <v>-0</v>
      </c>
      <c r="AU27" s="254" t="n">
        <f aca="false">Model!AW289</f>
        <v>-81682</v>
      </c>
      <c r="AV27" s="254" t="n">
        <f aca="false">Model!AX289</f>
        <v>-0</v>
      </c>
      <c r="AW27" s="254" t="n">
        <f aca="false">Model!AY289</f>
        <v>-0</v>
      </c>
      <c r="AX27" s="254" t="n">
        <f aca="false">Model!AZ289</f>
        <v>-81682</v>
      </c>
      <c r="AY27" s="254" t="n">
        <f aca="false">Model!BA289</f>
        <v>-0</v>
      </c>
      <c r="AZ27" s="254" t="n">
        <f aca="false">Model!BB289</f>
        <v>-0</v>
      </c>
      <c r="BA27" s="254" t="n">
        <f aca="false">Model!BC289</f>
        <v>-81682</v>
      </c>
      <c r="BB27" s="254" t="n">
        <f aca="false">Model!BD289</f>
        <v>-0</v>
      </c>
      <c r="BC27" s="254" t="n">
        <f aca="false">Model!BE289</f>
        <v>-0</v>
      </c>
      <c r="BD27" s="254" t="n">
        <f aca="false">Model!BF289</f>
        <v>-59178</v>
      </c>
      <c r="BE27" s="254" t="n">
        <f aca="false">Model!BG289</f>
        <v>-0</v>
      </c>
      <c r="BF27" s="254" t="n">
        <f aca="false">Model!BH289</f>
        <v>-0</v>
      </c>
      <c r="BG27" s="254" t="n">
        <f aca="false">Model!BI289</f>
        <v>-59176</v>
      </c>
      <c r="BH27" s="254" t="n">
        <f aca="false">Model!BJ289</f>
        <v>-0</v>
      </c>
      <c r="BI27" s="254" t="n">
        <f aca="false">Model!BK289</f>
        <v>-0</v>
      </c>
      <c r="BJ27" s="254" t="n">
        <f aca="false">Model!BL289</f>
        <v>-59176</v>
      </c>
      <c r="BK27" s="254" t="n">
        <f aca="false">Model!BM289</f>
        <v>-0</v>
      </c>
      <c r="BL27" s="254" t="n">
        <f aca="false">Model!BN289</f>
        <v>-0</v>
      </c>
      <c r="BM27" s="254" t="n">
        <f aca="false">Model!BO289</f>
        <v>-59176</v>
      </c>
      <c r="BN27" s="254" t="n">
        <f aca="false">Model!BP289</f>
        <v>-0</v>
      </c>
      <c r="BO27" s="254" t="n">
        <f aca="false">Model!BQ289</f>
        <v>-0</v>
      </c>
      <c r="BP27" s="254" t="n">
        <f aca="false">Model!BR289</f>
        <v>-14512.65</v>
      </c>
      <c r="BQ27" s="254" t="n">
        <f aca="false">Model!BS289</f>
        <v>-0</v>
      </c>
      <c r="BR27" s="254" t="n">
        <f aca="false">Model!BT289</f>
        <v>-0</v>
      </c>
      <c r="BS27" s="254" t="n">
        <f aca="false">Model!BU289</f>
        <v>-0</v>
      </c>
      <c r="BT27" s="254" t="n">
        <f aca="false">Model!BV289</f>
        <v>-0</v>
      </c>
      <c r="BU27" s="254" t="n">
        <f aca="false">Model!BW289</f>
        <v>-0</v>
      </c>
      <c r="BV27" s="254" t="n">
        <f aca="false">Model!BX289</f>
        <v>-0</v>
      </c>
      <c r="BW27" s="254" t="n">
        <f aca="false">Model!BY289</f>
        <v>-0</v>
      </c>
      <c r="BX27" s="254" t="n">
        <f aca="false">Model!BZ289</f>
        <v>-0</v>
      </c>
      <c r="BY27" s="254" t="n">
        <f aca="false">Model!CA289</f>
        <v>-0</v>
      </c>
      <c r="BZ27" s="254" t="n">
        <f aca="false">Model!CB289</f>
        <v>-0</v>
      </c>
      <c r="CA27" s="254" t="n">
        <f aca="false">Model!CC289</f>
        <v>-0</v>
      </c>
      <c r="CB27" s="254" t="n">
        <f aca="false">Model!CD289</f>
        <v>-0</v>
      </c>
      <c r="CC27" s="254" t="n">
        <f aca="false">Model!CE289</f>
        <v>-0</v>
      </c>
      <c r="CD27" s="254" t="n">
        <f aca="false">Model!CF289</f>
        <v>-0</v>
      </c>
      <c r="CE27" s="254" t="n">
        <f aca="false">Model!CG289</f>
        <v>-0</v>
      </c>
      <c r="CF27" s="254" t="n">
        <f aca="false">Model!CH289</f>
        <v>-0</v>
      </c>
      <c r="CG27" s="254" t="n">
        <f aca="false">Model!CI289</f>
        <v>-0</v>
      </c>
      <c r="CH27" s="254" t="n">
        <f aca="false">Model!CJ289</f>
        <v>-0</v>
      </c>
    </row>
    <row r="28" customFormat="false" ht="15" hidden="false" customHeight="true" outlineLevel="0" collapsed="false">
      <c r="A28" s="250" t="s">
        <v>846</v>
      </c>
      <c r="B28" s="250"/>
      <c r="C28" s="251" t="n">
        <f aca="false">C26+C27</f>
        <v>0</v>
      </c>
      <c r="D28" s="251" t="n">
        <f aca="false">D26+D27</f>
        <v>0</v>
      </c>
      <c r="E28" s="251" t="n">
        <f aca="false">E26+E27</f>
        <v>0</v>
      </c>
      <c r="F28" s="251" t="n">
        <f aca="false">F26+F27</f>
        <v>0</v>
      </c>
      <c r="G28" s="251" t="n">
        <f aca="false">G26+G27</f>
        <v>127514</v>
      </c>
      <c r="H28" s="251" t="n">
        <f aca="false">H26+H27</f>
        <v>0</v>
      </c>
      <c r="I28" s="251" t="n">
        <f aca="false">I26+I27</f>
        <v>0</v>
      </c>
      <c r="J28" s="251" t="n">
        <f aca="false">J26+J27</f>
        <v>0</v>
      </c>
      <c r="K28" s="251" t="n">
        <f aca="false">K26+K27</f>
        <v>0</v>
      </c>
      <c r="L28" s="251" t="n">
        <f aca="false">L26+L27</f>
        <v>0</v>
      </c>
      <c r="M28" s="251" t="n">
        <f aca="false">M26+M27</f>
        <v>0</v>
      </c>
      <c r="N28" s="251" t="n">
        <f aca="false">N26+N27</f>
        <v>0</v>
      </c>
      <c r="O28" s="251" t="n">
        <f aca="false">O26+O27</f>
        <v>0</v>
      </c>
      <c r="P28" s="251" t="n">
        <f aca="false">P26+P27</f>
        <v>0</v>
      </c>
      <c r="Q28" s="251" t="n">
        <f aca="false">Q26+Q27</f>
        <v>0</v>
      </c>
      <c r="R28" s="251" t="n">
        <f aca="false">R26+R27</f>
        <v>0</v>
      </c>
      <c r="S28" s="251" t="n">
        <f aca="false">S26+S27</f>
        <v>0</v>
      </c>
      <c r="T28" s="251" t="n">
        <f aca="false">T26+T27</f>
        <v>0</v>
      </c>
      <c r="U28" s="251" t="n">
        <f aca="false">U26+U27</f>
        <v>0</v>
      </c>
      <c r="V28" s="251" t="n">
        <f aca="false">V26+V27</f>
        <v>0</v>
      </c>
      <c r="W28" s="251" t="n">
        <f aca="false">W26+W27</f>
        <v>0</v>
      </c>
      <c r="X28" s="251" t="n">
        <f aca="false">X26+X27</f>
        <v>0</v>
      </c>
      <c r="Y28" s="251" t="n">
        <f aca="false">Y26+Y27</f>
        <v>0</v>
      </c>
      <c r="Z28" s="251" t="n">
        <f aca="false">Z26+Z27</f>
        <v>0</v>
      </c>
      <c r="AA28" s="251" t="n">
        <f aca="false">AA26+AA27</f>
        <v>0</v>
      </c>
      <c r="AB28" s="251" t="n">
        <f aca="false">AB26+AB27</f>
        <v>0</v>
      </c>
      <c r="AC28" s="251" t="n">
        <f aca="false">AC26+AC27</f>
        <v>0</v>
      </c>
      <c r="AD28" s="251" t="n">
        <f aca="false">AD26+AD27</f>
        <v>0</v>
      </c>
      <c r="AE28" s="251" t="n">
        <f aca="false">AE26+AE27</f>
        <v>0</v>
      </c>
      <c r="AF28" s="251" t="n">
        <f aca="false">AF26+AF27</f>
        <v>0</v>
      </c>
      <c r="AG28" s="251" t="n">
        <f aca="false">AG26+AG27</f>
        <v>0</v>
      </c>
      <c r="AH28" s="251" t="n">
        <f aca="false">AH26+AH27</f>
        <v>0</v>
      </c>
      <c r="AI28" s="251" t="n">
        <f aca="false">AI26+AI27</f>
        <v>0</v>
      </c>
      <c r="AJ28" s="251" t="n">
        <f aca="false">AJ26+AJ27</f>
        <v>0</v>
      </c>
      <c r="AK28" s="251" t="n">
        <f aca="false">AK26+AK27</f>
        <v>0</v>
      </c>
      <c r="AL28" s="251" t="n">
        <f aca="false">AL26+AL27</f>
        <v>0</v>
      </c>
      <c r="AM28" s="251" t="n">
        <f aca="false">AM26+AM27</f>
        <v>0</v>
      </c>
      <c r="AN28" s="251" t="n">
        <f aca="false">AN26+AN27</f>
        <v>0</v>
      </c>
      <c r="AO28" s="251" t="n">
        <f aca="false">AO26+AO27</f>
        <v>0</v>
      </c>
      <c r="AP28" s="251" t="n">
        <f aca="false">AP26+AP27</f>
        <v>0</v>
      </c>
      <c r="AQ28" s="251" t="n">
        <f aca="false">AQ26+AQ27</f>
        <v>0</v>
      </c>
      <c r="AR28" s="251" t="n">
        <f aca="false">AR26+AR27</f>
        <v>0</v>
      </c>
      <c r="AS28" s="251" t="n">
        <f aca="false">AS26+AS27</f>
        <v>0</v>
      </c>
      <c r="AT28" s="251" t="n">
        <f aca="false">AT26+AT27</f>
        <v>0</v>
      </c>
      <c r="AU28" s="251" t="n">
        <f aca="false">AU26+AU27</f>
        <v>0</v>
      </c>
      <c r="AV28" s="251" t="n">
        <f aca="false">AV26+AV27</f>
        <v>0</v>
      </c>
      <c r="AW28" s="251" t="n">
        <f aca="false">AW26+AW27</f>
        <v>0</v>
      </c>
      <c r="AX28" s="251" t="n">
        <f aca="false">AX26+AX27</f>
        <v>0</v>
      </c>
      <c r="AY28" s="251" t="n">
        <f aca="false">AY26+AY27</f>
        <v>0</v>
      </c>
      <c r="AZ28" s="251" t="n">
        <f aca="false">AZ26+AZ27</f>
        <v>0</v>
      </c>
      <c r="BA28" s="251" t="n">
        <f aca="false">BA26+BA27</f>
        <v>0</v>
      </c>
      <c r="BB28" s="251" t="n">
        <f aca="false">BB26+BB27</f>
        <v>0</v>
      </c>
      <c r="BC28" s="251" t="n">
        <f aca="false">BC26+BC27</f>
        <v>0</v>
      </c>
      <c r="BD28" s="251" t="n">
        <f aca="false">BD26+BD27</f>
        <v>0</v>
      </c>
      <c r="BE28" s="251" t="n">
        <f aca="false">BE26+BE27</f>
        <v>0</v>
      </c>
      <c r="BF28" s="251" t="n">
        <f aca="false">BF26+BF27</f>
        <v>0</v>
      </c>
      <c r="BG28" s="251" t="n">
        <f aca="false">BG26+BG27</f>
        <v>0</v>
      </c>
      <c r="BH28" s="251" t="n">
        <f aca="false">BH26+BH27</f>
        <v>0</v>
      </c>
      <c r="BI28" s="251" t="n">
        <f aca="false">BI26+BI27</f>
        <v>0</v>
      </c>
      <c r="BJ28" s="251" t="n">
        <f aca="false">BJ26+BJ27</f>
        <v>0</v>
      </c>
      <c r="BK28" s="251" t="n">
        <f aca="false">BK26+BK27</f>
        <v>0</v>
      </c>
      <c r="BL28" s="251" t="n">
        <f aca="false">BL26+BL27</f>
        <v>0</v>
      </c>
      <c r="BM28" s="251" t="n">
        <f aca="false">BM26+BM27</f>
        <v>0</v>
      </c>
      <c r="BN28" s="251" t="n">
        <f aca="false">BN26+BN27</f>
        <v>0</v>
      </c>
      <c r="BO28" s="251" t="n">
        <f aca="false">BO26+BO27</f>
        <v>0</v>
      </c>
      <c r="BP28" s="251" t="n">
        <f aca="false">BP26+BP27</f>
        <v>53250.35</v>
      </c>
      <c r="BQ28" s="251" t="n">
        <f aca="false">BQ26+BQ27</f>
        <v>0</v>
      </c>
      <c r="BR28" s="251" t="n">
        <f aca="false">BR26+BR27</f>
        <v>0</v>
      </c>
      <c r="BS28" s="251" t="n">
        <f aca="false">BS26+BS27</f>
        <v>67762</v>
      </c>
      <c r="BT28" s="251" t="n">
        <f aca="false">BT26+BT27</f>
        <v>0</v>
      </c>
      <c r="BU28" s="251" t="n">
        <f aca="false">BU26+BU27</f>
        <v>0</v>
      </c>
      <c r="BV28" s="251" t="n">
        <f aca="false">BV26+BV27</f>
        <v>67762</v>
      </c>
      <c r="BW28" s="251" t="n">
        <f aca="false">BW26+BW27</f>
        <v>0</v>
      </c>
      <c r="BX28" s="251" t="n">
        <f aca="false">BX26+BX27</f>
        <v>0</v>
      </c>
      <c r="BY28" s="251" t="n">
        <f aca="false">BY26+BY27</f>
        <v>67762</v>
      </c>
      <c r="BZ28" s="251" t="n">
        <f aca="false">BZ26+BZ27</f>
        <v>0</v>
      </c>
      <c r="CA28" s="251" t="n">
        <f aca="false">CA26+CA27</f>
        <v>0</v>
      </c>
      <c r="CB28" s="251" t="n">
        <f aca="false">CB26+CB27</f>
        <v>76499</v>
      </c>
      <c r="CC28" s="251" t="n">
        <f aca="false">CC26+CC27</f>
        <v>0</v>
      </c>
      <c r="CD28" s="251" t="n">
        <f aca="false">CD26+CD27</f>
        <v>0</v>
      </c>
      <c r="CE28" s="251" t="n">
        <f aca="false">CE26+CE27</f>
        <v>76499</v>
      </c>
      <c r="CF28" s="251" t="n">
        <f aca="false">CF26+CF27</f>
        <v>0</v>
      </c>
      <c r="CG28" s="251" t="n">
        <f aca="false">CG26+CG27</f>
        <v>0</v>
      </c>
      <c r="CH28" s="251" t="n">
        <f aca="false">CH26+CH27</f>
        <v>76499</v>
      </c>
    </row>
    <row r="29" customFormat="false" ht="15" hidden="false" customHeight="true" outlineLevel="0" collapsed="false">
      <c r="A29" s="2" t="s">
        <v>847</v>
      </c>
      <c r="B29" s="3"/>
      <c r="C29" s="252" t="n">
        <f aca="false">C28</f>
        <v>0</v>
      </c>
      <c r="D29" s="252" t="n">
        <f aca="false">C29+D28</f>
        <v>0</v>
      </c>
      <c r="E29" s="252" t="n">
        <f aca="false">D29+E28</f>
        <v>0</v>
      </c>
      <c r="F29" s="252" t="n">
        <f aca="false">E29+F28</f>
        <v>0</v>
      </c>
      <c r="G29" s="252" t="n">
        <f aca="false">F29+G28</f>
        <v>127514</v>
      </c>
      <c r="H29" s="252" t="n">
        <f aca="false">G29+H28</f>
        <v>127514</v>
      </c>
      <c r="I29" s="252" t="n">
        <f aca="false">H29+I28</f>
        <v>127514</v>
      </c>
      <c r="J29" s="252" t="n">
        <f aca="false">I29+J28</f>
        <v>127514</v>
      </c>
      <c r="K29" s="252" t="n">
        <f aca="false">J29+K28</f>
        <v>127514</v>
      </c>
      <c r="L29" s="252" t="n">
        <f aca="false">K29+L28</f>
        <v>127514</v>
      </c>
      <c r="M29" s="252" t="n">
        <f aca="false">L29+M28</f>
        <v>127514</v>
      </c>
      <c r="N29" s="252" t="n">
        <f aca="false">M29+N28</f>
        <v>127514</v>
      </c>
      <c r="O29" s="252" t="n">
        <f aca="false">N29+O28</f>
        <v>127514</v>
      </c>
      <c r="P29" s="252" t="n">
        <f aca="false">O29+P28</f>
        <v>127514</v>
      </c>
      <c r="Q29" s="252" t="n">
        <f aca="false">P29+Q28</f>
        <v>127514</v>
      </c>
      <c r="R29" s="252" t="n">
        <f aca="false">Q29+R28</f>
        <v>127514</v>
      </c>
      <c r="S29" s="252" t="n">
        <f aca="false">R29+S28</f>
        <v>127514</v>
      </c>
      <c r="T29" s="252" t="n">
        <f aca="false">S29+T28</f>
        <v>127514</v>
      </c>
      <c r="U29" s="252" t="n">
        <f aca="false">T29+U28</f>
        <v>127514</v>
      </c>
      <c r="V29" s="252" t="n">
        <f aca="false">U29+V28</f>
        <v>127514</v>
      </c>
      <c r="W29" s="252" t="n">
        <f aca="false">V29+W28</f>
        <v>127514</v>
      </c>
      <c r="X29" s="252" t="n">
        <f aca="false">W29+X28</f>
        <v>127514</v>
      </c>
      <c r="Y29" s="252" t="n">
        <f aca="false">X29+Y28</f>
        <v>127514</v>
      </c>
      <c r="Z29" s="252" t="n">
        <f aca="false">Y29+Z28</f>
        <v>127514</v>
      </c>
      <c r="AA29" s="252" t="n">
        <f aca="false">Z29+AA28</f>
        <v>127514</v>
      </c>
      <c r="AB29" s="252" t="n">
        <f aca="false">AA29+AB28</f>
        <v>127514</v>
      </c>
      <c r="AC29" s="252" t="n">
        <f aca="false">AB29+AC28</f>
        <v>127514</v>
      </c>
      <c r="AD29" s="252" t="n">
        <f aca="false">AC29+AD28</f>
        <v>127514</v>
      </c>
      <c r="AE29" s="252" t="n">
        <f aca="false">AD29+AE28</f>
        <v>127514</v>
      </c>
      <c r="AF29" s="252" t="n">
        <f aca="false">AE29+AF28</f>
        <v>127514</v>
      </c>
      <c r="AG29" s="252" t="n">
        <f aca="false">AF29+AG28</f>
        <v>127514</v>
      </c>
      <c r="AH29" s="252" t="n">
        <f aca="false">AG29+AH28</f>
        <v>127514</v>
      </c>
      <c r="AI29" s="252" t="n">
        <f aca="false">AH29+AI28</f>
        <v>127514</v>
      </c>
      <c r="AJ29" s="252" t="n">
        <f aca="false">AI29+AJ28</f>
        <v>127514</v>
      </c>
      <c r="AK29" s="252" t="n">
        <f aca="false">AJ29+AK28</f>
        <v>127514</v>
      </c>
      <c r="AL29" s="252" t="n">
        <f aca="false">AK29+AL28</f>
        <v>127514</v>
      </c>
      <c r="AM29" s="252" t="n">
        <f aca="false">AL29+AM28</f>
        <v>127514</v>
      </c>
      <c r="AN29" s="252" t="n">
        <f aca="false">AM29+AN28</f>
        <v>127514</v>
      </c>
      <c r="AO29" s="252" t="n">
        <f aca="false">AN29+AO28</f>
        <v>127514</v>
      </c>
      <c r="AP29" s="252" t="n">
        <f aca="false">AO29+AP28</f>
        <v>127514</v>
      </c>
      <c r="AQ29" s="252" t="n">
        <f aca="false">AP29+AQ28</f>
        <v>127514</v>
      </c>
      <c r="AR29" s="252" t="n">
        <f aca="false">AQ29+AR28</f>
        <v>127514</v>
      </c>
      <c r="AS29" s="252" t="n">
        <f aca="false">AR29+AS28</f>
        <v>127514</v>
      </c>
      <c r="AT29" s="252" t="n">
        <f aca="false">AS29+AT28</f>
        <v>127514</v>
      </c>
      <c r="AU29" s="252" t="n">
        <f aca="false">AT29+AU28</f>
        <v>127514</v>
      </c>
      <c r="AV29" s="252" t="n">
        <f aca="false">AU29+AV28</f>
        <v>127514</v>
      </c>
      <c r="AW29" s="252" t="n">
        <f aca="false">AV29+AW28</f>
        <v>127514</v>
      </c>
      <c r="AX29" s="252" t="n">
        <f aca="false">AW29+AX28</f>
        <v>127514</v>
      </c>
      <c r="AY29" s="252" t="n">
        <f aca="false">AX29+AY28</f>
        <v>127514</v>
      </c>
      <c r="AZ29" s="252" t="n">
        <f aca="false">AY29+AZ28</f>
        <v>127514</v>
      </c>
      <c r="BA29" s="252" t="n">
        <f aca="false">AZ29+BA28</f>
        <v>127514</v>
      </c>
      <c r="BB29" s="252" t="n">
        <f aca="false">BA29+BB28</f>
        <v>127514</v>
      </c>
      <c r="BC29" s="252" t="n">
        <f aca="false">BB29+BC28</f>
        <v>127514</v>
      </c>
      <c r="BD29" s="252" t="n">
        <f aca="false">BC29+BD28</f>
        <v>127514</v>
      </c>
      <c r="BE29" s="252" t="n">
        <f aca="false">BD29+BE28</f>
        <v>127514</v>
      </c>
      <c r="BF29" s="252" t="n">
        <f aca="false">BE29+BF28</f>
        <v>127514</v>
      </c>
      <c r="BG29" s="252" t="n">
        <f aca="false">BF29+BG28</f>
        <v>127514</v>
      </c>
      <c r="BH29" s="252" t="n">
        <f aca="false">BG29+BH28</f>
        <v>127514</v>
      </c>
      <c r="BI29" s="252" t="n">
        <f aca="false">BH29+BI28</f>
        <v>127514</v>
      </c>
      <c r="BJ29" s="252" t="n">
        <f aca="false">BI29+BJ28</f>
        <v>127514</v>
      </c>
      <c r="BK29" s="252" t="n">
        <f aca="false">BJ29+BK28</f>
        <v>127514</v>
      </c>
      <c r="BL29" s="252" t="n">
        <f aca="false">BK29+BL28</f>
        <v>127514</v>
      </c>
      <c r="BM29" s="252" t="n">
        <f aca="false">BL29+BM28</f>
        <v>127514</v>
      </c>
      <c r="BN29" s="252" t="n">
        <f aca="false">BM29+BN28</f>
        <v>127514</v>
      </c>
      <c r="BO29" s="252" t="n">
        <f aca="false">BN29+BO28</f>
        <v>127514</v>
      </c>
      <c r="BP29" s="252" t="n">
        <f aca="false">BO29+BP28</f>
        <v>180764.35</v>
      </c>
      <c r="BQ29" s="252" t="n">
        <f aca="false">BP29+BQ28</f>
        <v>180764.35</v>
      </c>
      <c r="BR29" s="252" t="n">
        <f aca="false">BQ29+BR28</f>
        <v>180764.35</v>
      </c>
      <c r="BS29" s="252" t="n">
        <f aca="false">BR29+BS28</f>
        <v>248526.35</v>
      </c>
      <c r="BT29" s="252" t="n">
        <f aca="false">BS29+BT28</f>
        <v>248526.35</v>
      </c>
      <c r="BU29" s="252" t="n">
        <f aca="false">BT29+BU28</f>
        <v>248526.35</v>
      </c>
      <c r="BV29" s="252" t="n">
        <f aca="false">BU29+BV28</f>
        <v>316288.35</v>
      </c>
      <c r="BW29" s="252" t="n">
        <f aca="false">BV29+BW28</f>
        <v>316288.35</v>
      </c>
      <c r="BX29" s="252" t="n">
        <f aca="false">BW29+BX28</f>
        <v>316288.35</v>
      </c>
      <c r="BY29" s="252" t="n">
        <f aca="false">BX29+BY28</f>
        <v>384050.35</v>
      </c>
      <c r="BZ29" s="252" t="n">
        <f aca="false">BY29+BZ28</f>
        <v>384050.35</v>
      </c>
      <c r="CA29" s="252" t="n">
        <f aca="false">BZ29+CA28</f>
        <v>384050.35</v>
      </c>
      <c r="CB29" s="252" t="n">
        <f aca="false">CA29+CB28</f>
        <v>460549.35</v>
      </c>
      <c r="CC29" s="252" t="n">
        <f aca="false">CB29+CC28</f>
        <v>460549.35</v>
      </c>
      <c r="CD29" s="252" t="n">
        <f aca="false">CC29+CD28</f>
        <v>460549.35</v>
      </c>
      <c r="CE29" s="252" t="n">
        <f aca="false">CD29+CE28</f>
        <v>537048.35</v>
      </c>
      <c r="CF29" s="252" t="n">
        <f aca="false">CE29+CF28</f>
        <v>537048.35</v>
      </c>
      <c r="CG29" s="252" t="n">
        <f aca="false">CF29+CG28</f>
        <v>537048.35</v>
      </c>
      <c r="CH29" s="252" t="n">
        <f aca="false">CG29+CH28</f>
        <v>613547.35</v>
      </c>
    </row>
    <row r="30" customFormat="false" ht="15" hidden="false" customHeight="true" outlineLevel="0" collapsed="false">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row>
    <row r="31" customFormat="false" ht="15" hidden="false" customHeight="true" outlineLevel="0" collapsed="false">
      <c r="A31" s="23" t="s">
        <v>18</v>
      </c>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3"/>
      <c r="BQ31" s="23"/>
      <c r="BR31" s="23"/>
      <c r="BS31" s="23"/>
      <c r="BT31" s="23"/>
      <c r="BU31" s="23"/>
      <c r="BV31" s="23"/>
      <c r="BW31" s="23"/>
      <c r="BX31" s="23"/>
      <c r="BY31" s="23"/>
      <c r="BZ31" s="23"/>
      <c r="CA31" s="23"/>
      <c r="CB31" s="23"/>
      <c r="CC31" s="23"/>
      <c r="CD31" s="23"/>
      <c r="CE31" s="23"/>
      <c r="CF31" s="23"/>
      <c r="CG31" s="23"/>
      <c r="CH31" s="23"/>
    </row>
    <row r="32" customFormat="false" ht="15" hidden="false" customHeight="true" outlineLevel="0" collapsed="false">
      <c r="A32" s="79" t="s">
        <v>845</v>
      </c>
      <c r="B32" s="3"/>
      <c r="C32" s="249" t="n">
        <f aca="false">Model!E255</f>
        <v>0</v>
      </c>
      <c r="D32" s="249" t="n">
        <f aca="false">Model!F255</f>
        <v>0</v>
      </c>
      <c r="E32" s="249" t="n">
        <f aca="false">Model!G255</f>
        <v>0</v>
      </c>
      <c r="F32" s="249" t="n">
        <f aca="false">Model!H255</f>
        <v>0</v>
      </c>
      <c r="G32" s="249" t="n">
        <f aca="false">Model!I255</f>
        <v>0</v>
      </c>
      <c r="H32" s="249" t="n">
        <f aca="false">Model!J255</f>
        <v>0</v>
      </c>
      <c r="I32" s="249" t="n">
        <f aca="false">Model!K255</f>
        <v>0</v>
      </c>
      <c r="J32" s="249" t="n">
        <f aca="false">Model!L255</f>
        <v>0</v>
      </c>
      <c r="K32" s="249" t="n">
        <f aca="false">Model!M255</f>
        <v>0</v>
      </c>
      <c r="L32" s="249" t="n">
        <f aca="false">Model!N255</f>
        <v>0</v>
      </c>
      <c r="M32" s="249" t="n">
        <f aca="false">Model!O255</f>
        <v>0</v>
      </c>
      <c r="N32" s="249" t="n">
        <f aca="false">Model!P255</f>
        <v>0</v>
      </c>
      <c r="O32" s="249" t="n">
        <f aca="false">Model!Q255</f>
        <v>0</v>
      </c>
      <c r="P32" s="249" t="n">
        <f aca="false">Model!R255</f>
        <v>0</v>
      </c>
      <c r="Q32" s="249" t="n">
        <f aca="false">Model!S255</f>
        <v>0</v>
      </c>
      <c r="R32" s="249" t="n">
        <f aca="false">Model!T255</f>
        <v>0</v>
      </c>
      <c r="S32" s="249" t="n">
        <f aca="false">Model!U255</f>
        <v>0</v>
      </c>
      <c r="T32" s="249" t="n">
        <f aca="false">Model!V255</f>
        <v>0</v>
      </c>
      <c r="U32" s="249" t="n">
        <f aca="false">Model!W255</f>
        <v>0</v>
      </c>
      <c r="V32" s="249" t="n">
        <f aca="false">Model!X255</f>
        <v>0</v>
      </c>
      <c r="W32" s="249" t="n">
        <f aca="false">Model!Y255</f>
        <v>0</v>
      </c>
      <c r="X32" s="249" t="n">
        <f aca="false">Model!Z255</f>
        <v>0</v>
      </c>
      <c r="Y32" s="249" t="n">
        <f aca="false">Model!AA255</f>
        <v>0</v>
      </c>
      <c r="Z32" s="249" t="n">
        <f aca="false">Model!AB255</f>
        <v>0</v>
      </c>
      <c r="AA32" s="249" t="n">
        <f aca="false">Model!AC255</f>
        <v>0</v>
      </c>
      <c r="AB32" s="249" t="n">
        <f aca="false">Model!AD255</f>
        <v>0</v>
      </c>
      <c r="AC32" s="249" t="n">
        <f aca="false">Model!AE255</f>
        <v>0</v>
      </c>
      <c r="AD32" s="249" t="n">
        <f aca="false">Model!AF255</f>
        <v>0</v>
      </c>
      <c r="AE32" s="249" t="n">
        <f aca="false">Model!AG255</f>
        <v>0</v>
      </c>
      <c r="AF32" s="249" t="n">
        <f aca="false">Model!AH255</f>
        <v>0</v>
      </c>
      <c r="AG32" s="249" t="n">
        <f aca="false">Model!AI255</f>
        <v>0</v>
      </c>
      <c r="AH32" s="249" t="n">
        <f aca="false">Model!AJ255</f>
        <v>0</v>
      </c>
      <c r="AI32" s="249" t="n">
        <f aca="false">Model!AK255</f>
        <v>0</v>
      </c>
      <c r="AJ32" s="249" t="n">
        <f aca="false">Model!AL255</f>
        <v>0</v>
      </c>
      <c r="AK32" s="249" t="n">
        <f aca="false">Model!AM255</f>
        <v>0</v>
      </c>
      <c r="AL32" s="249" t="n">
        <f aca="false">Model!AN255</f>
        <v>0</v>
      </c>
      <c r="AM32" s="249" t="n">
        <f aca="false">Model!AO255</f>
        <v>0</v>
      </c>
      <c r="AN32" s="249" t="n">
        <f aca="false">Model!AP255</f>
        <v>0</v>
      </c>
      <c r="AO32" s="249" t="n">
        <f aca="false">Model!AQ255</f>
        <v>0</v>
      </c>
      <c r="AP32" s="249" t="n">
        <f aca="false">Model!AR255</f>
        <v>0</v>
      </c>
      <c r="AQ32" s="249" t="n">
        <f aca="false">Model!AS255</f>
        <v>0</v>
      </c>
      <c r="AR32" s="249" t="n">
        <f aca="false">Model!AT255</f>
        <v>0</v>
      </c>
      <c r="AS32" s="249" t="n">
        <f aca="false">Model!AU255</f>
        <v>0</v>
      </c>
      <c r="AT32" s="249" t="n">
        <f aca="false">Model!AV255</f>
        <v>0</v>
      </c>
      <c r="AU32" s="249" t="n">
        <f aca="false">Model!AW255</f>
        <v>0</v>
      </c>
      <c r="AV32" s="249" t="n">
        <f aca="false">Model!AX255</f>
        <v>0</v>
      </c>
      <c r="AW32" s="249" t="n">
        <f aca="false">Model!AY255</f>
        <v>0</v>
      </c>
      <c r="AX32" s="249" t="n">
        <f aca="false">Model!AZ255</f>
        <v>0</v>
      </c>
      <c r="AY32" s="249" t="n">
        <f aca="false">Model!BA255</f>
        <v>0</v>
      </c>
      <c r="AZ32" s="249" t="n">
        <f aca="false">Model!BB255</f>
        <v>0</v>
      </c>
      <c r="BA32" s="249" t="n">
        <f aca="false">Model!BC255</f>
        <v>851839</v>
      </c>
      <c r="BB32" s="249" t="n">
        <f aca="false">Model!BD255</f>
        <v>0</v>
      </c>
      <c r="BC32" s="249" t="n">
        <f aca="false">Model!BE255</f>
        <v>0</v>
      </c>
      <c r="BD32" s="249" t="n">
        <f aca="false">Model!BF255</f>
        <v>71700</v>
      </c>
      <c r="BE32" s="249" t="n">
        <f aca="false">Model!BG255</f>
        <v>0</v>
      </c>
      <c r="BF32" s="249" t="n">
        <f aca="false">Model!BH255</f>
        <v>0</v>
      </c>
      <c r="BG32" s="249" t="n">
        <f aca="false">Model!BI255</f>
        <v>71700</v>
      </c>
      <c r="BH32" s="249" t="n">
        <f aca="false">Model!BJ255</f>
        <v>0</v>
      </c>
      <c r="BI32" s="249" t="n">
        <f aca="false">Model!BK255</f>
        <v>0</v>
      </c>
      <c r="BJ32" s="249" t="n">
        <f aca="false">Model!BL255</f>
        <v>71700</v>
      </c>
      <c r="BK32" s="249" t="n">
        <f aca="false">Model!BM255</f>
        <v>0</v>
      </c>
      <c r="BL32" s="249" t="n">
        <f aca="false">Model!BN255</f>
        <v>0</v>
      </c>
      <c r="BM32" s="249" t="n">
        <f aca="false">Model!BO255</f>
        <v>71700</v>
      </c>
      <c r="BN32" s="249" t="n">
        <f aca="false">Model!BP255</f>
        <v>0</v>
      </c>
      <c r="BO32" s="249" t="n">
        <f aca="false">Model!BQ255</f>
        <v>0</v>
      </c>
      <c r="BP32" s="249" t="n">
        <f aca="false">Model!BR255</f>
        <v>74643</v>
      </c>
      <c r="BQ32" s="249" t="n">
        <f aca="false">Model!BS255</f>
        <v>0</v>
      </c>
      <c r="BR32" s="249" t="n">
        <f aca="false">Model!BT255</f>
        <v>0</v>
      </c>
      <c r="BS32" s="249" t="n">
        <f aca="false">Model!BU255</f>
        <v>74640</v>
      </c>
      <c r="BT32" s="249" t="n">
        <f aca="false">Model!BV255</f>
        <v>0</v>
      </c>
      <c r="BU32" s="249" t="n">
        <f aca="false">Model!BW255</f>
        <v>0</v>
      </c>
      <c r="BV32" s="249" t="n">
        <f aca="false">Model!BX255</f>
        <v>74640</v>
      </c>
      <c r="BW32" s="249" t="n">
        <f aca="false">Model!BY255</f>
        <v>0</v>
      </c>
      <c r="BX32" s="249" t="n">
        <f aca="false">Model!BZ255</f>
        <v>0</v>
      </c>
      <c r="BY32" s="249" t="n">
        <f aca="false">Model!CA255</f>
        <v>74640</v>
      </c>
      <c r="BZ32" s="249" t="n">
        <f aca="false">Model!CB255</f>
        <v>0</v>
      </c>
      <c r="CA32" s="249" t="n">
        <f aca="false">Model!CC255</f>
        <v>0</v>
      </c>
      <c r="CB32" s="249" t="n">
        <f aca="false">Model!CD255</f>
        <v>81363</v>
      </c>
      <c r="CC32" s="249" t="n">
        <f aca="false">Model!CE255</f>
        <v>0</v>
      </c>
      <c r="CD32" s="249" t="n">
        <f aca="false">Model!CF255</f>
        <v>0</v>
      </c>
      <c r="CE32" s="249" t="n">
        <f aca="false">Model!CG255</f>
        <v>81362</v>
      </c>
      <c r="CF32" s="249" t="n">
        <f aca="false">Model!CH255</f>
        <v>0</v>
      </c>
      <c r="CG32" s="249" t="n">
        <f aca="false">Model!CI255</f>
        <v>0</v>
      </c>
      <c r="CH32" s="249" t="n">
        <f aca="false">Model!CJ255</f>
        <v>81362</v>
      </c>
    </row>
    <row r="33" customFormat="false" ht="15" hidden="false" customHeight="true" outlineLevel="0" collapsed="false">
      <c r="A33" s="253" t="s">
        <v>848</v>
      </c>
      <c r="B33" s="3"/>
      <c r="C33" s="254" t="n">
        <f aca="false">Model!E290</f>
        <v>-0</v>
      </c>
      <c r="D33" s="254" t="n">
        <f aca="false">Model!F290</f>
        <v>-0</v>
      </c>
      <c r="E33" s="254" t="n">
        <f aca="false">Model!G290</f>
        <v>-0</v>
      </c>
      <c r="F33" s="254" t="n">
        <f aca="false">Model!H290</f>
        <v>-0</v>
      </c>
      <c r="G33" s="254" t="n">
        <f aca="false">Model!I290</f>
        <v>-0</v>
      </c>
      <c r="H33" s="254" t="n">
        <f aca="false">Model!J290</f>
        <v>-0</v>
      </c>
      <c r="I33" s="254" t="n">
        <f aca="false">Model!K290</f>
        <v>-0</v>
      </c>
      <c r="J33" s="254" t="n">
        <f aca="false">Model!L290</f>
        <v>-0</v>
      </c>
      <c r="K33" s="254" t="n">
        <f aca="false">Model!M290</f>
        <v>-0</v>
      </c>
      <c r="L33" s="254" t="n">
        <f aca="false">Model!N290</f>
        <v>-0</v>
      </c>
      <c r="M33" s="254" t="n">
        <f aca="false">Model!O290</f>
        <v>-0</v>
      </c>
      <c r="N33" s="254" t="n">
        <f aca="false">Model!P290</f>
        <v>-0</v>
      </c>
      <c r="O33" s="254" t="n">
        <f aca="false">Model!Q290</f>
        <v>-0</v>
      </c>
      <c r="P33" s="254" t="n">
        <f aca="false">Model!R290</f>
        <v>-0</v>
      </c>
      <c r="Q33" s="254" t="n">
        <f aca="false">Model!S290</f>
        <v>-0</v>
      </c>
      <c r="R33" s="254" t="n">
        <f aca="false">Model!T290</f>
        <v>-0</v>
      </c>
      <c r="S33" s="254" t="n">
        <f aca="false">Model!U290</f>
        <v>-0</v>
      </c>
      <c r="T33" s="254" t="n">
        <f aca="false">Model!V290</f>
        <v>-0</v>
      </c>
      <c r="U33" s="254" t="n">
        <f aca="false">Model!W290</f>
        <v>-0</v>
      </c>
      <c r="V33" s="254" t="n">
        <f aca="false">Model!X290</f>
        <v>-0</v>
      </c>
      <c r="W33" s="254" t="n">
        <f aca="false">Model!Y290</f>
        <v>-0</v>
      </c>
      <c r="X33" s="254" t="n">
        <f aca="false">Model!Z290</f>
        <v>-0</v>
      </c>
      <c r="Y33" s="254" t="n">
        <f aca="false">Model!AA290</f>
        <v>-0</v>
      </c>
      <c r="Z33" s="254" t="n">
        <f aca="false">Model!AB290</f>
        <v>-0</v>
      </c>
      <c r="AA33" s="254" t="n">
        <f aca="false">Model!AC290</f>
        <v>-0</v>
      </c>
      <c r="AB33" s="254" t="n">
        <f aca="false">Model!AD290</f>
        <v>-0</v>
      </c>
      <c r="AC33" s="254" t="n">
        <f aca="false">Model!AE290</f>
        <v>-0</v>
      </c>
      <c r="AD33" s="254" t="n">
        <f aca="false">Model!AF290</f>
        <v>-0</v>
      </c>
      <c r="AE33" s="254" t="n">
        <f aca="false">Model!AG290</f>
        <v>-0</v>
      </c>
      <c r="AF33" s="254" t="n">
        <f aca="false">Model!AH290</f>
        <v>-0</v>
      </c>
      <c r="AG33" s="254" t="n">
        <f aca="false">Model!AI290</f>
        <v>-0</v>
      </c>
      <c r="AH33" s="254" t="n">
        <f aca="false">Model!AJ290</f>
        <v>-0</v>
      </c>
      <c r="AI33" s="254" t="n">
        <f aca="false">Model!AK290</f>
        <v>-0</v>
      </c>
      <c r="AJ33" s="254" t="n">
        <f aca="false">Model!AL290</f>
        <v>-0</v>
      </c>
      <c r="AK33" s="254" t="n">
        <f aca="false">Model!AM290</f>
        <v>-0</v>
      </c>
      <c r="AL33" s="254" t="n">
        <f aca="false">Model!AN290</f>
        <v>-0</v>
      </c>
      <c r="AM33" s="254" t="n">
        <f aca="false">Model!AO290</f>
        <v>-0</v>
      </c>
      <c r="AN33" s="254" t="n">
        <f aca="false">Model!AP290</f>
        <v>-0</v>
      </c>
      <c r="AO33" s="254" t="n">
        <f aca="false">Model!AQ290</f>
        <v>-0</v>
      </c>
      <c r="AP33" s="254" t="n">
        <f aca="false">Model!AR290</f>
        <v>-0</v>
      </c>
      <c r="AQ33" s="254" t="n">
        <f aca="false">Model!AS290</f>
        <v>-0</v>
      </c>
      <c r="AR33" s="254" t="n">
        <f aca="false">Model!AT290</f>
        <v>-0</v>
      </c>
      <c r="AS33" s="254" t="n">
        <f aca="false">Model!AU290</f>
        <v>-0</v>
      </c>
      <c r="AT33" s="254" t="n">
        <f aca="false">Model!AV290</f>
        <v>-0</v>
      </c>
      <c r="AU33" s="254" t="n">
        <f aca="false">Model!AW290</f>
        <v>-0</v>
      </c>
      <c r="AV33" s="254" t="n">
        <f aca="false">Model!AX290</f>
        <v>-0</v>
      </c>
      <c r="AW33" s="254" t="n">
        <f aca="false">Model!AY290</f>
        <v>-0</v>
      </c>
      <c r="AX33" s="254" t="n">
        <f aca="false">Model!AZ290</f>
        <v>-0</v>
      </c>
      <c r="AY33" s="254" t="n">
        <f aca="false">Model!BA290</f>
        <v>-0</v>
      </c>
      <c r="AZ33" s="254" t="n">
        <f aca="false">Model!BB290</f>
        <v>-0</v>
      </c>
      <c r="BA33" s="254" t="n">
        <f aca="false">Model!BC290</f>
        <v>-851839</v>
      </c>
      <c r="BB33" s="254" t="n">
        <f aca="false">Model!BD290</f>
        <v>-0</v>
      </c>
      <c r="BC33" s="254" t="n">
        <f aca="false">Model!BE290</f>
        <v>-0</v>
      </c>
      <c r="BD33" s="254" t="n">
        <f aca="false">Model!BF290</f>
        <v>-71700</v>
      </c>
      <c r="BE33" s="254" t="n">
        <f aca="false">Model!BG290</f>
        <v>-0</v>
      </c>
      <c r="BF33" s="254" t="n">
        <f aca="false">Model!BH290</f>
        <v>-0</v>
      </c>
      <c r="BG33" s="254" t="n">
        <f aca="false">Model!BI290</f>
        <v>-71700</v>
      </c>
      <c r="BH33" s="254" t="n">
        <f aca="false">Model!BJ290</f>
        <v>-0</v>
      </c>
      <c r="BI33" s="254" t="n">
        <f aca="false">Model!BK290</f>
        <v>-0</v>
      </c>
      <c r="BJ33" s="254" t="n">
        <f aca="false">Model!BL290</f>
        <v>-71700</v>
      </c>
      <c r="BK33" s="254" t="n">
        <f aca="false">Model!BM290</f>
        <v>-0</v>
      </c>
      <c r="BL33" s="254" t="n">
        <f aca="false">Model!BN290</f>
        <v>-0</v>
      </c>
      <c r="BM33" s="254" t="n">
        <f aca="false">Model!BO290</f>
        <v>-71700</v>
      </c>
      <c r="BN33" s="254" t="n">
        <f aca="false">Model!BP290</f>
        <v>-0</v>
      </c>
      <c r="BO33" s="254" t="n">
        <f aca="false">Model!BQ290</f>
        <v>-0</v>
      </c>
      <c r="BP33" s="254" t="n">
        <f aca="false">Model!BR290</f>
        <v>-74643</v>
      </c>
      <c r="BQ33" s="254" t="n">
        <f aca="false">Model!BS290</f>
        <v>-0</v>
      </c>
      <c r="BR33" s="254" t="n">
        <f aca="false">Model!BT290</f>
        <v>-0</v>
      </c>
      <c r="BS33" s="254" t="n">
        <f aca="false">Model!BU290</f>
        <v>-74640</v>
      </c>
      <c r="BT33" s="254" t="n">
        <f aca="false">Model!BV290</f>
        <v>-0</v>
      </c>
      <c r="BU33" s="254" t="n">
        <f aca="false">Model!BW290</f>
        <v>-0</v>
      </c>
      <c r="BV33" s="254" t="n">
        <f aca="false">Model!BX290</f>
        <v>-74640</v>
      </c>
      <c r="BW33" s="254" t="n">
        <f aca="false">Model!BY290</f>
        <v>-0</v>
      </c>
      <c r="BX33" s="254" t="n">
        <f aca="false">Model!BZ290</f>
        <v>-0</v>
      </c>
      <c r="BY33" s="254" t="n">
        <f aca="false">Model!CA290</f>
        <v>-74640</v>
      </c>
      <c r="BZ33" s="254" t="n">
        <f aca="false">Model!CB290</f>
        <v>-0</v>
      </c>
      <c r="CA33" s="254" t="n">
        <f aca="false">Model!CC290</f>
        <v>-0</v>
      </c>
      <c r="CB33" s="254" t="n">
        <f aca="false">Model!CD290</f>
        <v>-81363</v>
      </c>
      <c r="CC33" s="254" t="n">
        <f aca="false">Model!CE290</f>
        <v>-0</v>
      </c>
      <c r="CD33" s="254" t="n">
        <f aca="false">Model!CF290</f>
        <v>-0</v>
      </c>
      <c r="CE33" s="254" t="n">
        <f aca="false">Model!CG290</f>
        <v>-81362</v>
      </c>
      <c r="CF33" s="254" t="n">
        <f aca="false">Model!CH290</f>
        <v>-0</v>
      </c>
      <c r="CG33" s="254" t="n">
        <f aca="false">Model!CI290</f>
        <v>-0</v>
      </c>
      <c r="CH33" s="254" t="n">
        <f aca="false">Model!CJ290</f>
        <v>-74753.9733935208</v>
      </c>
    </row>
    <row r="34" customFormat="false" ht="15" hidden="false" customHeight="true" outlineLevel="0" collapsed="false">
      <c r="A34" s="253" t="s">
        <v>300</v>
      </c>
      <c r="B34" s="3"/>
      <c r="C34" s="254" t="n">
        <f aca="false">Model!E372</f>
        <v>0</v>
      </c>
      <c r="D34" s="254" t="n">
        <f aca="false">Model!F372</f>
        <v>0</v>
      </c>
      <c r="E34" s="254" t="n">
        <f aca="false">Model!G372</f>
        <v>0</v>
      </c>
      <c r="F34" s="254" t="n">
        <f aca="false">Model!H372</f>
        <v>0</v>
      </c>
      <c r="G34" s="254" t="n">
        <f aca="false">Model!I372</f>
        <v>0</v>
      </c>
      <c r="H34" s="254" t="n">
        <f aca="false">Model!J372</f>
        <v>0</v>
      </c>
      <c r="I34" s="254" t="n">
        <f aca="false">Model!K372</f>
        <v>0</v>
      </c>
      <c r="J34" s="254" t="n">
        <f aca="false">Model!L372</f>
        <v>0</v>
      </c>
      <c r="K34" s="254" t="n">
        <f aca="false">Model!M372</f>
        <v>0</v>
      </c>
      <c r="L34" s="254" t="n">
        <f aca="false">Model!N372</f>
        <v>0</v>
      </c>
      <c r="M34" s="254" t="n">
        <f aca="false">Model!O372</f>
        <v>0</v>
      </c>
      <c r="N34" s="254" t="n">
        <f aca="false">Model!P372</f>
        <v>0</v>
      </c>
      <c r="O34" s="254" t="n">
        <f aca="false">Model!Q372</f>
        <v>0</v>
      </c>
      <c r="P34" s="254" t="n">
        <f aca="false">Model!R372</f>
        <v>0</v>
      </c>
      <c r="Q34" s="254" t="n">
        <f aca="false">Model!S372</f>
        <v>0</v>
      </c>
      <c r="R34" s="254" t="n">
        <f aca="false">Model!T372</f>
        <v>0</v>
      </c>
      <c r="S34" s="254" t="n">
        <f aca="false">Model!U372</f>
        <v>0</v>
      </c>
      <c r="T34" s="254" t="n">
        <f aca="false">Model!V372</f>
        <v>0</v>
      </c>
      <c r="U34" s="254" t="n">
        <f aca="false">Model!W372</f>
        <v>0</v>
      </c>
      <c r="V34" s="254" t="n">
        <f aca="false">Model!X372</f>
        <v>0</v>
      </c>
      <c r="W34" s="254" t="n">
        <f aca="false">Model!Y372</f>
        <v>0</v>
      </c>
      <c r="X34" s="254" t="n">
        <f aca="false">Model!Z372</f>
        <v>0</v>
      </c>
      <c r="Y34" s="254" t="n">
        <f aca="false">Model!AA372</f>
        <v>0</v>
      </c>
      <c r="Z34" s="254" t="n">
        <f aca="false">Model!AB372</f>
        <v>0</v>
      </c>
      <c r="AA34" s="254" t="n">
        <f aca="false">Model!AC372</f>
        <v>0</v>
      </c>
      <c r="AB34" s="254" t="n">
        <f aca="false">Model!AD372</f>
        <v>0</v>
      </c>
      <c r="AC34" s="254" t="n">
        <f aca="false">Model!AE372</f>
        <v>0</v>
      </c>
      <c r="AD34" s="254" t="n">
        <f aca="false">Model!AF372</f>
        <v>0</v>
      </c>
      <c r="AE34" s="254" t="n">
        <f aca="false">Model!AG372</f>
        <v>0</v>
      </c>
      <c r="AF34" s="254" t="n">
        <f aca="false">Model!AH372</f>
        <v>0</v>
      </c>
      <c r="AG34" s="254" t="n">
        <f aca="false">Model!AI372</f>
        <v>0</v>
      </c>
      <c r="AH34" s="254" t="n">
        <f aca="false">Model!AJ372</f>
        <v>0</v>
      </c>
      <c r="AI34" s="254" t="n">
        <f aca="false">Model!AK372</f>
        <v>0</v>
      </c>
      <c r="AJ34" s="254" t="n">
        <f aca="false">Model!AL372</f>
        <v>0</v>
      </c>
      <c r="AK34" s="254" t="n">
        <f aca="false">Model!AM372</f>
        <v>0</v>
      </c>
      <c r="AL34" s="254" t="n">
        <f aca="false">Model!AN372</f>
        <v>0</v>
      </c>
      <c r="AM34" s="254" t="n">
        <f aca="false">Model!AO372</f>
        <v>0</v>
      </c>
      <c r="AN34" s="254" t="n">
        <f aca="false">Model!AP372</f>
        <v>0</v>
      </c>
      <c r="AO34" s="254" t="n">
        <f aca="false">Model!AQ372</f>
        <v>0</v>
      </c>
      <c r="AP34" s="254" t="n">
        <f aca="false">Model!AR372</f>
        <v>0</v>
      </c>
      <c r="AQ34" s="254" t="n">
        <f aca="false">Model!AS372</f>
        <v>0</v>
      </c>
      <c r="AR34" s="254" t="n">
        <f aca="false">Model!AT372</f>
        <v>0</v>
      </c>
      <c r="AS34" s="254" t="n">
        <f aca="false">Model!AU372</f>
        <v>0</v>
      </c>
      <c r="AT34" s="254" t="n">
        <f aca="false">Model!AV372</f>
        <v>0</v>
      </c>
      <c r="AU34" s="254" t="n">
        <f aca="false">Model!AW372</f>
        <v>0</v>
      </c>
      <c r="AV34" s="254" t="n">
        <f aca="false">Model!AX372</f>
        <v>0</v>
      </c>
      <c r="AW34" s="254" t="n">
        <f aca="false">Model!AY372</f>
        <v>0</v>
      </c>
      <c r="AX34" s="254" t="n">
        <f aca="false">Model!AZ372</f>
        <v>0</v>
      </c>
      <c r="AY34" s="254" t="n">
        <f aca="false">Model!BA372</f>
        <v>0</v>
      </c>
      <c r="AZ34" s="254" t="n">
        <f aca="false">Model!BB372</f>
        <v>0</v>
      </c>
      <c r="BA34" s="254" t="n">
        <f aca="false">Model!BC372</f>
        <v>0</v>
      </c>
      <c r="BB34" s="254" t="n">
        <f aca="false">Model!BD372</f>
        <v>0</v>
      </c>
      <c r="BC34" s="254" t="n">
        <f aca="false">Model!BE372</f>
        <v>0</v>
      </c>
      <c r="BD34" s="254" t="n">
        <f aca="false">Model!BF372</f>
        <v>0</v>
      </c>
      <c r="BE34" s="254" t="n">
        <f aca="false">Model!BG372</f>
        <v>0</v>
      </c>
      <c r="BF34" s="254" t="n">
        <f aca="false">Model!BH372</f>
        <v>0</v>
      </c>
      <c r="BG34" s="254" t="n">
        <f aca="false">Model!BI372</f>
        <v>0</v>
      </c>
      <c r="BH34" s="254" t="n">
        <f aca="false">Model!BJ372</f>
        <v>0</v>
      </c>
      <c r="BI34" s="254" t="n">
        <f aca="false">Model!BK372</f>
        <v>0</v>
      </c>
      <c r="BJ34" s="254" t="n">
        <f aca="false">Model!BL372</f>
        <v>0</v>
      </c>
      <c r="BK34" s="254" t="n">
        <f aca="false">Model!BM372</f>
        <v>0</v>
      </c>
      <c r="BL34" s="254" t="n">
        <f aca="false">Model!BN372</f>
        <v>0</v>
      </c>
      <c r="BM34" s="254" t="n">
        <f aca="false">Model!BO372</f>
        <v>0</v>
      </c>
      <c r="BN34" s="254" t="n">
        <f aca="false">Model!BP372</f>
        <v>0</v>
      </c>
      <c r="BO34" s="254" t="n">
        <f aca="false">Model!BQ372</f>
        <v>0</v>
      </c>
      <c r="BP34" s="254" t="n">
        <f aca="false">Model!BR372</f>
        <v>0</v>
      </c>
      <c r="BQ34" s="254" t="n">
        <f aca="false">Model!BS372</f>
        <v>0</v>
      </c>
      <c r="BR34" s="254" t="n">
        <f aca="false">Model!BT372</f>
        <v>0</v>
      </c>
      <c r="BS34" s="254" t="n">
        <f aca="false">Model!BU372</f>
        <v>0</v>
      </c>
      <c r="BT34" s="254" t="n">
        <f aca="false">Model!BV372</f>
        <v>0</v>
      </c>
      <c r="BU34" s="254" t="n">
        <f aca="false">Model!BW372</f>
        <v>0</v>
      </c>
      <c r="BV34" s="254" t="n">
        <f aca="false">Model!BX372</f>
        <v>0</v>
      </c>
      <c r="BW34" s="254" t="n">
        <f aca="false">Model!BY372</f>
        <v>0</v>
      </c>
      <c r="BX34" s="254" t="n">
        <f aca="false">Model!BZ372</f>
        <v>0</v>
      </c>
      <c r="BY34" s="254" t="n">
        <f aca="false">Model!CA372</f>
        <v>0</v>
      </c>
      <c r="BZ34" s="254" t="n">
        <f aca="false">Model!CB372</f>
        <v>0</v>
      </c>
      <c r="CA34" s="254" t="n">
        <f aca="false">Model!CC372</f>
        <v>0</v>
      </c>
      <c r="CB34" s="254" t="n">
        <f aca="false">Model!CD372</f>
        <v>0</v>
      </c>
      <c r="CC34" s="254" t="n">
        <f aca="false">Model!CE372</f>
        <v>0</v>
      </c>
      <c r="CD34" s="254" t="n">
        <f aca="false">Model!CF372</f>
        <v>0</v>
      </c>
      <c r="CE34" s="254" t="n">
        <f aca="false">Model!CG372</f>
        <v>0</v>
      </c>
      <c r="CF34" s="254" t="n">
        <f aca="false">Model!CH372</f>
        <v>0</v>
      </c>
      <c r="CG34" s="254" t="n">
        <f aca="false">Model!CI372</f>
        <v>0</v>
      </c>
      <c r="CH34" s="254" t="n">
        <f aca="false">Model!CJ372</f>
        <v>0</v>
      </c>
    </row>
    <row r="35" customFormat="false" ht="15" hidden="false" customHeight="true" outlineLevel="0" collapsed="false">
      <c r="A35" s="250" t="s">
        <v>846</v>
      </c>
      <c r="B35" s="250"/>
      <c r="C35" s="251" t="n">
        <f aca="false">C32+C33+C34</f>
        <v>0</v>
      </c>
      <c r="D35" s="251" t="n">
        <f aca="false">D32+D33+D34</f>
        <v>0</v>
      </c>
      <c r="E35" s="251" t="n">
        <f aca="false">E32+E33+E34</f>
        <v>0</v>
      </c>
      <c r="F35" s="251" t="n">
        <f aca="false">F32+F33+F34</f>
        <v>0</v>
      </c>
      <c r="G35" s="251" t="n">
        <f aca="false">G32+G33+G34</f>
        <v>0</v>
      </c>
      <c r="H35" s="251" t="n">
        <f aca="false">H32+H33+H34</f>
        <v>0</v>
      </c>
      <c r="I35" s="251" t="n">
        <f aca="false">I32+I33+I34</f>
        <v>0</v>
      </c>
      <c r="J35" s="251" t="n">
        <f aca="false">J32+J33+J34</f>
        <v>0</v>
      </c>
      <c r="K35" s="251" t="n">
        <f aca="false">K32+K33+K34</f>
        <v>0</v>
      </c>
      <c r="L35" s="251" t="n">
        <f aca="false">L32+L33+L34</f>
        <v>0</v>
      </c>
      <c r="M35" s="251" t="n">
        <f aca="false">M32+M33+M34</f>
        <v>0</v>
      </c>
      <c r="N35" s="251" t="n">
        <f aca="false">N32+N33+N34</f>
        <v>0</v>
      </c>
      <c r="O35" s="251" t="n">
        <f aca="false">O32+O33+O34</f>
        <v>0</v>
      </c>
      <c r="P35" s="251" t="n">
        <f aca="false">P32+P33+P34</f>
        <v>0</v>
      </c>
      <c r="Q35" s="251" t="n">
        <f aca="false">Q32+Q33+Q34</f>
        <v>0</v>
      </c>
      <c r="R35" s="251" t="n">
        <f aca="false">R32+R33+R34</f>
        <v>0</v>
      </c>
      <c r="S35" s="251" t="n">
        <f aca="false">S32+S33+S34</f>
        <v>0</v>
      </c>
      <c r="T35" s="251" t="n">
        <f aca="false">T32+T33+T34</f>
        <v>0</v>
      </c>
      <c r="U35" s="251" t="n">
        <f aca="false">U32+U33+U34</f>
        <v>0</v>
      </c>
      <c r="V35" s="251" t="n">
        <f aca="false">V32+V33+V34</f>
        <v>0</v>
      </c>
      <c r="W35" s="251" t="n">
        <f aca="false">W32+W33+W34</f>
        <v>0</v>
      </c>
      <c r="X35" s="251" t="n">
        <f aca="false">X32+X33+X34</f>
        <v>0</v>
      </c>
      <c r="Y35" s="251" t="n">
        <f aca="false">Y32+Y33+Y34</f>
        <v>0</v>
      </c>
      <c r="Z35" s="251" t="n">
        <f aca="false">Z32+Z33+Z34</f>
        <v>0</v>
      </c>
      <c r="AA35" s="251" t="n">
        <f aca="false">AA32+AA33+AA34</f>
        <v>0</v>
      </c>
      <c r="AB35" s="251" t="n">
        <f aca="false">AB32+AB33+AB34</f>
        <v>0</v>
      </c>
      <c r="AC35" s="251" t="n">
        <f aca="false">AC32+AC33+AC34</f>
        <v>0</v>
      </c>
      <c r="AD35" s="251" t="n">
        <f aca="false">AD32+AD33+AD34</f>
        <v>0</v>
      </c>
      <c r="AE35" s="251" t="n">
        <f aca="false">AE32+AE33+AE34</f>
        <v>0</v>
      </c>
      <c r="AF35" s="251" t="n">
        <f aca="false">AF32+AF33+AF34</f>
        <v>0</v>
      </c>
      <c r="AG35" s="251" t="n">
        <f aca="false">AG32+AG33+AG34</f>
        <v>0</v>
      </c>
      <c r="AH35" s="251" t="n">
        <f aca="false">AH32+AH33+AH34</f>
        <v>0</v>
      </c>
      <c r="AI35" s="251" t="n">
        <f aca="false">AI32+AI33+AI34</f>
        <v>0</v>
      </c>
      <c r="AJ35" s="251" t="n">
        <f aca="false">AJ32+AJ33+AJ34</f>
        <v>0</v>
      </c>
      <c r="AK35" s="251" t="n">
        <f aca="false">AK32+AK33+AK34</f>
        <v>0</v>
      </c>
      <c r="AL35" s="251" t="n">
        <f aca="false">AL32+AL33+AL34</f>
        <v>0</v>
      </c>
      <c r="AM35" s="251" t="n">
        <f aca="false">AM32+AM33+AM34</f>
        <v>0</v>
      </c>
      <c r="AN35" s="251" t="n">
        <f aca="false">AN32+AN33+AN34</f>
        <v>0</v>
      </c>
      <c r="AO35" s="251" t="n">
        <f aca="false">AO32+AO33+AO34</f>
        <v>0</v>
      </c>
      <c r="AP35" s="251" t="n">
        <f aca="false">AP32+AP33+AP34</f>
        <v>0</v>
      </c>
      <c r="AQ35" s="251" t="n">
        <f aca="false">AQ32+AQ33+AQ34</f>
        <v>0</v>
      </c>
      <c r="AR35" s="251" t="n">
        <f aca="false">AR32+AR33+AR34</f>
        <v>0</v>
      </c>
      <c r="AS35" s="251" t="n">
        <f aca="false">AS32+AS33+AS34</f>
        <v>0</v>
      </c>
      <c r="AT35" s="251" t="n">
        <f aca="false">AT32+AT33+AT34</f>
        <v>0</v>
      </c>
      <c r="AU35" s="251" t="n">
        <f aca="false">AU32+AU33+AU34</f>
        <v>0</v>
      </c>
      <c r="AV35" s="251" t="n">
        <f aca="false">AV32+AV33+AV34</f>
        <v>0</v>
      </c>
      <c r="AW35" s="251" t="n">
        <f aca="false">AW32+AW33+AW34</f>
        <v>0</v>
      </c>
      <c r="AX35" s="251" t="n">
        <f aca="false">AX32+AX33+AX34</f>
        <v>0</v>
      </c>
      <c r="AY35" s="251" t="n">
        <f aca="false">AY32+AY33+AY34</f>
        <v>0</v>
      </c>
      <c r="AZ35" s="251" t="n">
        <f aca="false">AZ32+AZ33+AZ34</f>
        <v>0</v>
      </c>
      <c r="BA35" s="251" t="n">
        <f aca="false">BA32+BA33+BA34</f>
        <v>0</v>
      </c>
      <c r="BB35" s="251" t="n">
        <f aca="false">BB32+BB33+BB34</f>
        <v>0</v>
      </c>
      <c r="BC35" s="251" t="n">
        <f aca="false">BC32+BC33+BC34</f>
        <v>0</v>
      </c>
      <c r="BD35" s="251" t="n">
        <f aca="false">BD32+BD33+BD34</f>
        <v>0</v>
      </c>
      <c r="BE35" s="251" t="n">
        <f aca="false">BE32+BE33+BE34</f>
        <v>0</v>
      </c>
      <c r="BF35" s="251" t="n">
        <f aca="false">BF32+BF33+BF34</f>
        <v>0</v>
      </c>
      <c r="BG35" s="251" t="n">
        <f aca="false">BG32+BG33+BG34</f>
        <v>0</v>
      </c>
      <c r="BH35" s="251" t="n">
        <f aca="false">BH32+BH33+BH34</f>
        <v>0</v>
      </c>
      <c r="BI35" s="251" t="n">
        <f aca="false">BI32+BI33+BI34</f>
        <v>0</v>
      </c>
      <c r="BJ35" s="251" t="n">
        <f aca="false">BJ32+BJ33+BJ34</f>
        <v>0</v>
      </c>
      <c r="BK35" s="251" t="n">
        <f aca="false">BK32+BK33+BK34</f>
        <v>0</v>
      </c>
      <c r="BL35" s="251" t="n">
        <f aca="false">BL32+BL33+BL34</f>
        <v>0</v>
      </c>
      <c r="BM35" s="251" t="n">
        <f aca="false">BM32+BM33+BM34</f>
        <v>0</v>
      </c>
      <c r="BN35" s="251" t="n">
        <f aca="false">BN32+BN33+BN34</f>
        <v>0</v>
      </c>
      <c r="BO35" s="251" t="n">
        <f aca="false">BO32+BO33+BO34</f>
        <v>0</v>
      </c>
      <c r="BP35" s="251" t="n">
        <f aca="false">BP32+BP33+BP34</f>
        <v>0</v>
      </c>
      <c r="BQ35" s="251" t="n">
        <f aca="false">BQ32+BQ33+BQ34</f>
        <v>0</v>
      </c>
      <c r="BR35" s="251" t="n">
        <f aca="false">BR32+BR33+BR34</f>
        <v>0</v>
      </c>
      <c r="BS35" s="251" t="n">
        <f aca="false">BS32+BS33+BS34</f>
        <v>0</v>
      </c>
      <c r="BT35" s="251" t="n">
        <f aca="false">BT32+BT33+BT34</f>
        <v>0</v>
      </c>
      <c r="BU35" s="251" t="n">
        <f aca="false">BU32+BU33+BU34</f>
        <v>0</v>
      </c>
      <c r="BV35" s="251" t="n">
        <f aca="false">BV32+BV33+BV34</f>
        <v>0</v>
      </c>
      <c r="BW35" s="251" t="n">
        <f aca="false">BW32+BW33+BW34</f>
        <v>0</v>
      </c>
      <c r="BX35" s="251" t="n">
        <f aca="false">BX32+BX33+BX34</f>
        <v>0</v>
      </c>
      <c r="BY35" s="251" t="n">
        <f aca="false">BY32+BY33+BY34</f>
        <v>0</v>
      </c>
      <c r="BZ35" s="251" t="n">
        <f aca="false">BZ32+BZ33+BZ34</f>
        <v>0</v>
      </c>
      <c r="CA35" s="251" t="n">
        <f aca="false">CA32+CA33+CA34</f>
        <v>0</v>
      </c>
      <c r="CB35" s="251" t="n">
        <f aca="false">CB32+CB33+CB34</f>
        <v>0</v>
      </c>
      <c r="CC35" s="251" t="n">
        <f aca="false">CC32+CC33+CC34</f>
        <v>0</v>
      </c>
      <c r="CD35" s="251" t="n">
        <f aca="false">CD32+CD33+CD34</f>
        <v>0</v>
      </c>
      <c r="CE35" s="251" t="n">
        <f aca="false">CE32+CE33+CE34</f>
        <v>0</v>
      </c>
      <c r="CF35" s="251" t="n">
        <f aca="false">CF32+CF33+CF34</f>
        <v>0</v>
      </c>
      <c r="CG35" s="251" t="n">
        <f aca="false">CG32+CG33+CG34</f>
        <v>0</v>
      </c>
      <c r="CH35" s="251" t="n">
        <f aca="false">CH32+CH33+CH34</f>
        <v>6608.02660647922</v>
      </c>
    </row>
    <row r="36" customFormat="false" ht="15" hidden="false" customHeight="true" outlineLevel="0" collapsed="false">
      <c r="A36" s="2" t="s">
        <v>847</v>
      </c>
      <c r="B36" s="3"/>
      <c r="C36" s="252" t="n">
        <f aca="false">C35</f>
        <v>0</v>
      </c>
      <c r="D36" s="252" t="n">
        <f aca="false">C36+D35</f>
        <v>0</v>
      </c>
      <c r="E36" s="252" t="n">
        <f aca="false">D36+E35</f>
        <v>0</v>
      </c>
      <c r="F36" s="252" t="n">
        <f aca="false">E36+F35</f>
        <v>0</v>
      </c>
      <c r="G36" s="252" t="n">
        <f aca="false">F36+G35</f>
        <v>0</v>
      </c>
      <c r="H36" s="252" t="n">
        <f aca="false">G36+H35</f>
        <v>0</v>
      </c>
      <c r="I36" s="252" t="n">
        <f aca="false">H36+I35</f>
        <v>0</v>
      </c>
      <c r="J36" s="252" t="n">
        <f aca="false">I36+J35</f>
        <v>0</v>
      </c>
      <c r="K36" s="252" t="n">
        <f aca="false">J36+K35</f>
        <v>0</v>
      </c>
      <c r="L36" s="252" t="n">
        <f aca="false">K36+L35</f>
        <v>0</v>
      </c>
      <c r="M36" s="252" t="n">
        <f aca="false">L36+M35</f>
        <v>0</v>
      </c>
      <c r="N36" s="252" t="n">
        <f aca="false">M36+N35</f>
        <v>0</v>
      </c>
      <c r="O36" s="252" t="n">
        <f aca="false">N36+O35</f>
        <v>0</v>
      </c>
      <c r="P36" s="252" t="n">
        <f aca="false">O36+P35</f>
        <v>0</v>
      </c>
      <c r="Q36" s="252" t="n">
        <f aca="false">P36+Q35</f>
        <v>0</v>
      </c>
      <c r="R36" s="252" t="n">
        <f aca="false">Q36+R35</f>
        <v>0</v>
      </c>
      <c r="S36" s="252" t="n">
        <f aca="false">R36+S35</f>
        <v>0</v>
      </c>
      <c r="T36" s="252" t="n">
        <f aca="false">S36+T35</f>
        <v>0</v>
      </c>
      <c r="U36" s="252" t="n">
        <f aca="false">T36+U35</f>
        <v>0</v>
      </c>
      <c r="V36" s="252" t="n">
        <f aca="false">U36+V35</f>
        <v>0</v>
      </c>
      <c r="W36" s="252" t="n">
        <f aca="false">V36+W35</f>
        <v>0</v>
      </c>
      <c r="X36" s="252" t="n">
        <f aca="false">W36+X35</f>
        <v>0</v>
      </c>
      <c r="Y36" s="252" t="n">
        <f aca="false">X36+Y35</f>
        <v>0</v>
      </c>
      <c r="Z36" s="252" t="n">
        <f aca="false">Y36+Z35</f>
        <v>0</v>
      </c>
      <c r="AA36" s="252" t="n">
        <f aca="false">Z36+AA35</f>
        <v>0</v>
      </c>
      <c r="AB36" s="252" t="n">
        <f aca="false">AA36+AB35</f>
        <v>0</v>
      </c>
      <c r="AC36" s="252" t="n">
        <f aca="false">AB36+AC35</f>
        <v>0</v>
      </c>
      <c r="AD36" s="252" t="n">
        <f aca="false">AC36+AD35</f>
        <v>0</v>
      </c>
      <c r="AE36" s="252" t="n">
        <f aca="false">AD36+AE35</f>
        <v>0</v>
      </c>
      <c r="AF36" s="252" t="n">
        <f aca="false">AE36+AF35</f>
        <v>0</v>
      </c>
      <c r="AG36" s="252" t="n">
        <f aca="false">AF36+AG35</f>
        <v>0</v>
      </c>
      <c r="AH36" s="252" t="n">
        <f aca="false">AG36+AH35</f>
        <v>0</v>
      </c>
      <c r="AI36" s="252" t="n">
        <f aca="false">AH36+AI35</f>
        <v>0</v>
      </c>
      <c r="AJ36" s="252" t="n">
        <f aca="false">AI36+AJ35</f>
        <v>0</v>
      </c>
      <c r="AK36" s="252" t="n">
        <f aca="false">AJ36+AK35</f>
        <v>0</v>
      </c>
      <c r="AL36" s="252" t="n">
        <f aca="false">AK36+AL35</f>
        <v>0</v>
      </c>
      <c r="AM36" s="252" t="n">
        <f aca="false">AL36+AM35</f>
        <v>0</v>
      </c>
      <c r="AN36" s="252" t="n">
        <f aca="false">AM36+AN35</f>
        <v>0</v>
      </c>
      <c r="AO36" s="252" t="n">
        <f aca="false">AN36+AO35</f>
        <v>0</v>
      </c>
      <c r="AP36" s="252" t="n">
        <f aca="false">AO36+AP35</f>
        <v>0</v>
      </c>
      <c r="AQ36" s="252" t="n">
        <f aca="false">AP36+AQ35</f>
        <v>0</v>
      </c>
      <c r="AR36" s="252" t="n">
        <f aca="false">AQ36+AR35</f>
        <v>0</v>
      </c>
      <c r="AS36" s="252" t="n">
        <f aca="false">AR36+AS35</f>
        <v>0</v>
      </c>
      <c r="AT36" s="252" t="n">
        <f aca="false">AS36+AT35</f>
        <v>0</v>
      </c>
      <c r="AU36" s="252" t="n">
        <f aca="false">AT36+AU35</f>
        <v>0</v>
      </c>
      <c r="AV36" s="252" t="n">
        <f aca="false">AU36+AV35</f>
        <v>0</v>
      </c>
      <c r="AW36" s="252" t="n">
        <f aca="false">AV36+AW35</f>
        <v>0</v>
      </c>
      <c r="AX36" s="252" t="n">
        <f aca="false">AW36+AX35</f>
        <v>0</v>
      </c>
      <c r="AY36" s="252" t="n">
        <f aca="false">AX36+AY35</f>
        <v>0</v>
      </c>
      <c r="AZ36" s="252" t="n">
        <f aca="false">AY36+AZ35</f>
        <v>0</v>
      </c>
      <c r="BA36" s="252" t="n">
        <f aca="false">AZ36+BA35</f>
        <v>0</v>
      </c>
      <c r="BB36" s="252" t="n">
        <f aca="false">BA36+BB35</f>
        <v>0</v>
      </c>
      <c r="BC36" s="252" t="n">
        <f aca="false">BB36+BC35</f>
        <v>0</v>
      </c>
      <c r="BD36" s="252" t="n">
        <f aca="false">BC36+BD35</f>
        <v>0</v>
      </c>
      <c r="BE36" s="252" t="n">
        <f aca="false">BD36+BE35</f>
        <v>0</v>
      </c>
      <c r="BF36" s="252" t="n">
        <f aca="false">BE36+BF35</f>
        <v>0</v>
      </c>
      <c r="BG36" s="252" t="n">
        <f aca="false">BF36+BG35</f>
        <v>0</v>
      </c>
      <c r="BH36" s="252" t="n">
        <f aca="false">BG36+BH35</f>
        <v>0</v>
      </c>
      <c r="BI36" s="252" t="n">
        <f aca="false">BH36+BI35</f>
        <v>0</v>
      </c>
      <c r="BJ36" s="252" t="n">
        <f aca="false">BI36+BJ35</f>
        <v>0</v>
      </c>
      <c r="BK36" s="252" t="n">
        <f aca="false">BJ36+BK35</f>
        <v>0</v>
      </c>
      <c r="BL36" s="252" t="n">
        <f aca="false">BK36+BL35</f>
        <v>0</v>
      </c>
      <c r="BM36" s="252" t="n">
        <f aca="false">BL36+BM35</f>
        <v>0</v>
      </c>
      <c r="BN36" s="252" t="n">
        <f aca="false">BM36+BN35</f>
        <v>0</v>
      </c>
      <c r="BO36" s="252" t="n">
        <f aca="false">BN36+BO35</f>
        <v>0</v>
      </c>
      <c r="BP36" s="252" t="n">
        <f aca="false">BO36+BP35</f>
        <v>0</v>
      </c>
      <c r="BQ36" s="252" t="n">
        <f aca="false">BP36+BQ35</f>
        <v>0</v>
      </c>
      <c r="BR36" s="252" t="n">
        <f aca="false">BQ36+BR35</f>
        <v>0</v>
      </c>
      <c r="BS36" s="252" t="n">
        <f aca="false">BR36+BS35</f>
        <v>0</v>
      </c>
      <c r="BT36" s="252" t="n">
        <f aca="false">BS36+BT35</f>
        <v>0</v>
      </c>
      <c r="BU36" s="252" t="n">
        <f aca="false">BT36+BU35</f>
        <v>0</v>
      </c>
      <c r="BV36" s="252" t="n">
        <f aca="false">BU36+BV35</f>
        <v>0</v>
      </c>
      <c r="BW36" s="252" t="n">
        <f aca="false">BV36+BW35</f>
        <v>0</v>
      </c>
      <c r="BX36" s="252" t="n">
        <f aca="false">BW36+BX35</f>
        <v>0</v>
      </c>
      <c r="BY36" s="252" t="n">
        <f aca="false">BX36+BY35</f>
        <v>0</v>
      </c>
      <c r="BZ36" s="252" t="n">
        <f aca="false">BY36+BZ35</f>
        <v>0</v>
      </c>
      <c r="CA36" s="252" t="n">
        <f aca="false">BZ36+CA35</f>
        <v>0</v>
      </c>
      <c r="CB36" s="252" t="n">
        <f aca="false">CA36+CB35</f>
        <v>0</v>
      </c>
      <c r="CC36" s="252" t="n">
        <f aca="false">CB36+CC35</f>
        <v>0</v>
      </c>
      <c r="CD36" s="252" t="n">
        <f aca="false">CC36+CD35</f>
        <v>0</v>
      </c>
      <c r="CE36" s="252" t="n">
        <f aca="false">CD36+CE35</f>
        <v>0</v>
      </c>
      <c r="CF36" s="252" t="n">
        <f aca="false">CE36+CF35</f>
        <v>0</v>
      </c>
      <c r="CG36" s="252" t="n">
        <f aca="false">CF36+CG35</f>
        <v>0</v>
      </c>
      <c r="CH36" s="252" t="n">
        <f aca="false">CG36+CH35</f>
        <v>6608.02660647922</v>
      </c>
    </row>
    <row r="37" customFormat="false" ht="15" hidden="false" customHeight="true" outlineLevel="0" collapsed="false">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row>
    <row r="38" customFormat="false" ht="15" hidden="false" customHeight="true" outlineLevel="0" collapsed="false">
      <c r="A38" s="23" t="s">
        <v>19</v>
      </c>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3"/>
      <c r="BR38" s="23"/>
      <c r="BS38" s="23"/>
      <c r="BT38" s="23"/>
      <c r="BU38" s="23"/>
      <c r="BV38" s="23"/>
      <c r="BW38" s="23"/>
      <c r="BX38" s="23"/>
      <c r="BY38" s="23"/>
      <c r="BZ38" s="23"/>
      <c r="CA38" s="23"/>
      <c r="CB38" s="23"/>
      <c r="CC38" s="23"/>
      <c r="CD38" s="23"/>
      <c r="CE38" s="23"/>
      <c r="CF38" s="23"/>
      <c r="CG38" s="23"/>
      <c r="CH38" s="23"/>
    </row>
    <row r="39" customFormat="false" ht="15" hidden="false" customHeight="true" outlineLevel="0" collapsed="false">
      <c r="A39" s="79" t="s">
        <v>845</v>
      </c>
      <c r="B39" s="3"/>
      <c r="C39" s="249" t="n">
        <v>0</v>
      </c>
      <c r="D39" s="249" t="n">
        <v>0</v>
      </c>
      <c r="E39" s="249" t="n">
        <v>0</v>
      </c>
      <c r="F39" s="249" t="n">
        <v>0</v>
      </c>
      <c r="G39" s="249" t="n">
        <v>0</v>
      </c>
      <c r="H39" s="249" t="n">
        <v>0</v>
      </c>
      <c r="I39" s="249" t="n">
        <v>0</v>
      </c>
      <c r="J39" s="249" t="n">
        <v>0</v>
      </c>
      <c r="K39" s="249" t="n">
        <v>0</v>
      </c>
      <c r="L39" s="249" t="n">
        <v>0</v>
      </c>
      <c r="M39" s="249" t="n">
        <v>0</v>
      </c>
      <c r="N39" s="249" t="n">
        <v>0</v>
      </c>
      <c r="O39" s="249" t="n">
        <v>0</v>
      </c>
      <c r="P39" s="249" t="n">
        <v>0</v>
      </c>
      <c r="Q39" s="249" t="n">
        <v>0</v>
      </c>
      <c r="R39" s="249" t="n">
        <v>0</v>
      </c>
      <c r="S39" s="249" t="n">
        <v>0</v>
      </c>
      <c r="T39" s="249" t="n">
        <v>0</v>
      </c>
      <c r="U39" s="249" t="n">
        <v>0</v>
      </c>
      <c r="V39" s="249" t="n">
        <v>0</v>
      </c>
      <c r="W39" s="249" t="n">
        <v>0</v>
      </c>
      <c r="X39" s="249" t="n">
        <v>0</v>
      </c>
      <c r="Y39" s="249" t="n">
        <v>0</v>
      </c>
      <c r="Z39" s="249" t="n">
        <v>0</v>
      </c>
      <c r="AA39" s="249" t="n">
        <v>0</v>
      </c>
      <c r="AB39" s="249" t="n">
        <v>0</v>
      </c>
      <c r="AC39" s="249" t="n">
        <v>0</v>
      </c>
      <c r="AD39" s="249" t="n">
        <v>0</v>
      </c>
      <c r="AE39" s="249" t="n">
        <v>0</v>
      </c>
      <c r="AF39" s="249" t="n">
        <v>0</v>
      </c>
      <c r="AG39" s="249" t="n">
        <v>0</v>
      </c>
      <c r="AH39" s="249" t="n">
        <v>0</v>
      </c>
      <c r="AI39" s="249" t="n">
        <v>0</v>
      </c>
      <c r="AJ39" s="249" t="n">
        <v>0</v>
      </c>
      <c r="AK39" s="249" t="n">
        <v>0</v>
      </c>
      <c r="AL39" s="249" t="n">
        <v>0</v>
      </c>
      <c r="AM39" s="249" t="n">
        <v>0</v>
      </c>
      <c r="AN39" s="249" t="n">
        <v>0</v>
      </c>
      <c r="AO39" s="249" t="n">
        <v>0</v>
      </c>
      <c r="AP39" s="249" t="n">
        <v>0</v>
      </c>
      <c r="AQ39" s="249" t="n">
        <v>0</v>
      </c>
      <c r="AR39" s="249" t="n">
        <v>0</v>
      </c>
      <c r="AS39" s="249" t="n">
        <v>0</v>
      </c>
      <c r="AT39" s="249" t="n">
        <v>0</v>
      </c>
      <c r="AU39" s="249" t="n">
        <v>0</v>
      </c>
      <c r="AV39" s="249" t="n">
        <v>0</v>
      </c>
      <c r="AW39" s="249" t="n">
        <v>0</v>
      </c>
      <c r="AX39" s="249" t="n">
        <v>0</v>
      </c>
      <c r="AY39" s="249" t="n">
        <v>0</v>
      </c>
      <c r="AZ39" s="249" t="n">
        <v>0</v>
      </c>
      <c r="BA39" s="249" t="n">
        <v>0</v>
      </c>
      <c r="BB39" s="249" t="n">
        <v>0</v>
      </c>
      <c r="BC39" s="249" t="n">
        <v>0</v>
      </c>
      <c r="BD39" s="249" t="n">
        <v>0</v>
      </c>
      <c r="BE39" s="249" t="n">
        <v>0</v>
      </c>
      <c r="BF39" s="249" t="n">
        <v>0</v>
      </c>
      <c r="BG39" s="249" t="n">
        <v>0</v>
      </c>
      <c r="BH39" s="249" t="n">
        <v>0</v>
      </c>
      <c r="BI39" s="249" t="n">
        <v>0</v>
      </c>
      <c r="BJ39" s="249" t="n">
        <v>0</v>
      </c>
      <c r="BK39" s="249" t="n">
        <v>0</v>
      </c>
      <c r="BL39" s="249" t="n">
        <v>0</v>
      </c>
      <c r="BM39" s="249" t="n">
        <v>0</v>
      </c>
      <c r="BN39" s="249" t="n">
        <v>0</v>
      </c>
      <c r="BO39" s="249" t="n">
        <v>0</v>
      </c>
      <c r="BP39" s="249" t="n">
        <v>0</v>
      </c>
      <c r="BQ39" s="249" t="n">
        <v>0</v>
      </c>
      <c r="BR39" s="249" t="n">
        <v>0</v>
      </c>
      <c r="BS39" s="249" t="n">
        <v>0</v>
      </c>
      <c r="BT39" s="249" t="n">
        <v>0</v>
      </c>
      <c r="BU39" s="249" t="n">
        <v>0</v>
      </c>
      <c r="BV39" s="249" t="n">
        <v>0</v>
      </c>
      <c r="BW39" s="249" t="n">
        <v>0</v>
      </c>
      <c r="BX39" s="249" t="n">
        <v>0</v>
      </c>
      <c r="BY39" s="249" t="n">
        <v>0</v>
      </c>
      <c r="BZ39" s="249" t="n">
        <v>0</v>
      </c>
      <c r="CA39" s="249" t="n">
        <v>0</v>
      </c>
      <c r="CB39" s="249" t="n">
        <v>0</v>
      </c>
      <c r="CC39" s="249" t="n">
        <v>0</v>
      </c>
      <c r="CD39" s="249" t="n">
        <v>0</v>
      </c>
      <c r="CE39" s="249" t="n">
        <v>0</v>
      </c>
      <c r="CF39" s="249" t="n">
        <v>0</v>
      </c>
      <c r="CG39" s="249" t="n">
        <v>0</v>
      </c>
      <c r="CH39" s="249" t="n">
        <v>0</v>
      </c>
    </row>
    <row r="40" customFormat="false" ht="15" hidden="false" customHeight="true" outlineLevel="0" collapsed="false">
      <c r="A40" s="253" t="s">
        <v>848</v>
      </c>
      <c r="B40" s="3"/>
      <c r="C40" s="254" t="n">
        <f aca="false">Model!E291</f>
        <v>-0</v>
      </c>
      <c r="D40" s="254" t="n">
        <f aca="false">Model!F291</f>
        <v>-0</v>
      </c>
      <c r="E40" s="254" t="n">
        <f aca="false">Model!G291</f>
        <v>-0</v>
      </c>
      <c r="F40" s="254" t="n">
        <f aca="false">Model!H291</f>
        <v>-0</v>
      </c>
      <c r="G40" s="254" t="n">
        <f aca="false">Model!I291</f>
        <v>-0</v>
      </c>
      <c r="H40" s="254" t="n">
        <f aca="false">Model!J291</f>
        <v>-0</v>
      </c>
      <c r="I40" s="254" t="n">
        <f aca="false">Model!K291</f>
        <v>-0</v>
      </c>
      <c r="J40" s="254" t="n">
        <f aca="false">Model!L291</f>
        <v>-0</v>
      </c>
      <c r="K40" s="254" t="n">
        <f aca="false">Model!M291</f>
        <v>-0</v>
      </c>
      <c r="L40" s="254" t="n">
        <f aca="false">Model!N291</f>
        <v>-0</v>
      </c>
      <c r="M40" s="254" t="n">
        <f aca="false">Model!O291</f>
        <v>-0</v>
      </c>
      <c r="N40" s="254" t="n">
        <f aca="false">Model!P291</f>
        <v>-0</v>
      </c>
      <c r="O40" s="254" t="n">
        <f aca="false">Model!Q291</f>
        <v>-0</v>
      </c>
      <c r="P40" s="254" t="n">
        <f aca="false">Model!R291</f>
        <v>-0</v>
      </c>
      <c r="Q40" s="254" t="n">
        <f aca="false">Model!S291</f>
        <v>-0</v>
      </c>
      <c r="R40" s="254" t="n">
        <f aca="false">Model!T291</f>
        <v>-0</v>
      </c>
      <c r="S40" s="254" t="n">
        <f aca="false">Model!U291</f>
        <v>-0</v>
      </c>
      <c r="T40" s="254" t="n">
        <f aca="false">Model!V291</f>
        <v>-0</v>
      </c>
      <c r="U40" s="254" t="n">
        <f aca="false">Model!W291</f>
        <v>-0</v>
      </c>
      <c r="V40" s="254" t="n">
        <f aca="false">Model!X291</f>
        <v>-0</v>
      </c>
      <c r="W40" s="254" t="n">
        <f aca="false">Model!Y291</f>
        <v>-0</v>
      </c>
      <c r="X40" s="254" t="n">
        <f aca="false">Model!Z291</f>
        <v>-0</v>
      </c>
      <c r="Y40" s="254" t="n">
        <f aca="false">Model!AA291</f>
        <v>-0</v>
      </c>
      <c r="Z40" s="254" t="n">
        <f aca="false">Model!AB291</f>
        <v>-0</v>
      </c>
      <c r="AA40" s="254" t="n">
        <f aca="false">Model!AC291</f>
        <v>-0</v>
      </c>
      <c r="AB40" s="254" t="n">
        <f aca="false">Model!AD291</f>
        <v>-0</v>
      </c>
      <c r="AC40" s="254" t="n">
        <f aca="false">Model!AE291</f>
        <v>-0</v>
      </c>
      <c r="AD40" s="254" t="n">
        <f aca="false">Model!AF291</f>
        <v>-0</v>
      </c>
      <c r="AE40" s="254" t="n">
        <f aca="false">Model!AG291</f>
        <v>-0</v>
      </c>
      <c r="AF40" s="254" t="n">
        <f aca="false">Model!AH291</f>
        <v>-0</v>
      </c>
      <c r="AG40" s="254" t="n">
        <f aca="false">Model!AI291</f>
        <v>-0</v>
      </c>
      <c r="AH40" s="254" t="n">
        <f aca="false">Model!AJ291</f>
        <v>-0</v>
      </c>
      <c r="AI40" s="254" t="n">
        <f aca="false">Model!AK291</f>
        <v>-0</v>
      </c>
      <c r="AJ40" s="254" t="n">
        <f aca="false">Model!AL291</f>
        <v>-0</v>
      </c>
      <c r="AK40" s="254" t="n">
        <f aca="false">Model!AM291</f>
        <v>-0</v>
      </c>
      <c r="AL40" s="254" t="n">
        <f aca="false">Model!AN291</f>
        <v>-0</v>
      </c>
      <c r="AM40" s="254" t="n">
        <f aca="false">Model!AO291</f>
        <v>-0</v>
      </c>
      <c r="AN40" s="254" t="n">
        <f aca="false">Model!AP291</f>
        <v>-0</v>
      </c>
      <c r="AO40" s="254" t="n">
        <f aca="false">Model!AQ291</f>
        <v>-0</v>
      </c>
      <c r="AP40" s="254" t="n">
        <f aca="false">Model!AR291</f>
        <v>-0</v>
      </c>
      <c r="AQ40" s="254" t="n">
        <f aca="false">Model!AS291</f>
        <v>-0</v>
      </c>
      <c r="AR40" s="254" t="n">
        <f aca="false">Model!AT291</f>
        <v>-0</v>
      </c>
      <c r="AS40" s="254" t="n">
        <f aca="false">Model!AU291</f>
        <v>-0</v>
      </c>
      <c r="AT40" s="254" t="n">
        <f aca="false">Model!AV291</f>
        <v>-0</v>
      </c>
      <c r="AU40" s="254" t="n">
        <f aca="false">Model!AW291</f>
        <v>-0</v>
      </c>
      <c r="AV40" s="254" t="n">
        <f aca="false">Model!AX291</f>
        <v>-0</v>
      </c>
      <c r="AW40" s="254" t="n">
        <f aca="false">Model!AY291</f>
        <v>-0</v>
      </c>
      <c r="AX40" s="254" t="n">
        <f aca="false">Model!AZ291</f>
        <v>-0</v>
      </c>
      <c r="AY40" s="254" t="n">
        <f aca="false">Model!BA291</f>
        <v>-0</v>
      </c>
      <c r="AZ40" s="254" t="n">
        <f aca="false">Model!BB291</f>
        <v>-0</v>
      </c>
      <c r="BA40" s="254" t="n">
        <f aca="false">Model!BC291</f>
        <v>-0</v>
      </c>
      <c r="BB40" s="254" t="n">
        <f aca="false">Model!BD291</f>
        <v>-0</v>
      </c>
      <c r="BC40" s="254" t="n">
        <f aca="false">Model!BE291</f>
        <v>-0</v>
      </c>
      <c r="BD40" s="254" t="n">
        <f aca="false">Model!BF291</f>
        <v>-0</v>
      </c>
      <c r="BE40" s="254" t="n">
        <f aca="false">Model!BG291</f>
        <v>-0</v>
      </c>
      <c r="BF40" s="254" t="n">
        <f aca="false">Model!BH291</f>
        <v>-0</v>
      </c>
      <c r="BG40" s="254" t="n">
        <f aca="false">Model!BI291</f>
        <v>-0</v>
      </c>
      <c r="BH40" s="254" t="n">
        <f aca="false">Model!BJ291</f>
        <v>-0</v>
      </c>
      <c r="BI40" s="254" t="n">
        <f aca="false">Model!BK291</f>
        <v>-0</v>
      </c>
      <c r="BJ40" s="254" t="n">
        <f aca="false">Model!BL291</f>
        <v>-0</v>
      </c>
      <c r="BK40" s="254" t="n">
        <f aca="false">Model!BM291</f>
        <v>-0</v>
      </c>
      <c r="BL40" s="254" t="n">
        <f aca="false">Model!BN291</f>
        <v>-0</v>
      </c>
      <c r="BM40" s="254" t="n">
        <f aca="false">Model!BO291</f>
        <v>-0</v>
      </c>
      <c r="BN40" s="254" t="n">
        <f aca="false">Model!BP291</f>
        <v>-0</v>
      </c>
      <c r="BO40" s="254" t="n">
        <f aca="false">Model!BQ291</f>
        <v>-0</v>
      </c>
      <c r="BP40" s="254" t="n">
        <f aca="false">Model!BR291</f>
        <v>-0</v>
      </c>
      <c r="BQ40" s="254" t="n">
        <f aca="false">Model!BS291</f>
        <v>-0</v>
      </c>
      <c r="BR40" s="254" t="n">
        <f aca="false">Model!BT291</f>
        <v>-0</v>
      </c>
      <c r="BS40" s="254" t="n">
        <f aca="false">Model!BU291</f>
        <v>-0</v>
      </c>
      <c r="BT40" s="254" t="n">
        <f aca="false">Model!BV291</f>
        <v>-0</v>
      </c>
      <c r="BU40" s="254" t="n">
        <f aca="false">Model!BW291</f>
        <v>-0</v>
      </c>
      <c r="BV40" s="254" t="n">
        <f aca="false">Model!BX291</f>
        <v>-0</v>
      </c>
      <c r="BW40" s="254" t="n">
        <f aca="false">Model!BY291</f>
        <v>-0</v>
      </c>
      <c r="BX40" s="254" t="n">
        <f aca="false">Model!BZ291</f>
        <v>-0</v>
      </c>
      <c r="BY40" s="254" t="n">
        <f aca="false">Model!CA291</f>
        <v>-73156</v>
      </c>
      <c r="BZ40" s="254" t="n">
        <f aca="false">Model!CB291</f>
        <v>-0</v>
      </c>
      <c r="CA40" s="254" t="n">
        <f aca="false">Model!CC291</f>
        <v>-0</v>
      </c>
      <c r="CB40" s="254" t="n">
        <f aca="false">Model!CD291</f>
        <v>-73155</v>
      </c>
      <c r="CC40" s="254" t="n">
        <f aca="false">Model!CE291</f>
        <v>-0</v>
      </c>
      <c r="CD40" s="254" t="n">
        <f aca="false">Model!CF291</f>
        <v>-0</v>
      </c>
      <c r="CE40" s="254" t="n">
        <f aca="false">Model!CG291</f>
        <v>-73155</v>
      </c>
      <c r="CF40" s="254" t="n">
        <f aca="false">Model!CH291</f>
        <v>-0</v>
      </c>
      <c r="CG40" s="254" t="n">
        <f aca="false">Model!CI291</f>
        <v>-0</v>
      </c>
      <c r="CH40" s="254" t="n">
        <f aca="false">Model!CJ291</f>
        <v>-73155</v>
      </c>
    </row>
    <row r="41" customFormat="false" ht="15" hidden="false" customHeight="true" outlineLevel="0" collapsed="false">
      <c r="A41" s="250" t="s">
        <v>846</v>
      </c>
      <c r="B41" s="250"/>
      <c r="C41" s="251" t="n">
        <f aca="false">C39+C40</f>
        <v>0</v>
      </c>
      <c r="D41" s="251" t="n">
        <f aca="false">D39+D40</f>
        <v>0</v>
      </c>
      <c r="E41" s="251" t="n">
        <f aca="false">E39+E40</f>
        <v>0</v>
      </c>
      <c r="F41" s="251" t="n">
        <f aca="false">F39+F40</f>
        <v>0</v>
      </c>
      <c r="G41" s="251" t="n">
        <f aca="false">G39+G40</f>
        <v>0</v>
      </c>
      <c r="H41" s="251" t="n">
        <f aca="false">H39+H40</f>
        <v>0</v>
      </c>
      <c r="I41" s="251" t="n">
        <f aca="false">I39+I40</f>
        <v>0</v>
      </c>
      <c r="J41" s="251" t="n">
        <f aca="false">J39+J40</f>
        <v>0</v>
      </c>
      <c r="K41" s="251" t="n">
        <f aca="false">K39+K40</f>
        <v>0</v>
      </c>
      <c r="L41" s="251" t="n">
        <f aca="false">L39+L40</f>
        <v>0</v>
      </c>
      <c r="M41" s="251" t="n">
        <f aca="false">M39+M40</f>
        <v>0</v>
      </c>
      <c r="N41" s="251" t="n">
        <f aca="false">N39+N40</f>
        <v>0</v>
      </c>
      <c r="O41" s="251" t="n">
        <f aca="false">O39+O40</f>
        <v>0</v>
      </c>
      <c r="P41" s="251" t="n">
        <f aca="false">P39+P40</f>
        <v>0</v>
      </c>
      <c r="Q41" s="251" t="n">
        <f aca="false">Q39+Q40</f>
        <v>0</v>
      </c>
      <c r="R41" s="251" t="n">
        <f aca="false">R39+R40</f>
        <v>0</v>
      </c>
      <c r="S41" s="251" t="n">
        <f aca="false">S39+S40</f>
        <v>0</v>
      </c>
      <c r="T41" s="251" t="n">
        <f aca="false">T39+T40</f>
        <v>0</v>
      </c>
      <c r="U41" s="251" t="n">
        <f aca="false">U39+U40</f>
        <v>0</v>
      </c>
      <c r="V41" s="251" t="n">
        <f aca="false">V39+V40</f>
        <v>0</v>
      </c>
      <c r="W41" s="251" t="n">
        <f aca="false">W39+W40</f>
        <v>0</v>
      </c>
      <c r="X41" s="251" t="n">
        <f aca="false">X39+X40</f>
        <v>0</v>
      </c>
      <c r="Y41" s="251" t="n">
        <f aca="false">Y39+Y40</f>
        <v>0</v>
      </c>
      <c r="Z41" s="251" t="n">
        <f aca="false">Z39+Z40</f>
        <v>0</v>
      </c>
      <c r="AA41" s="251" t="n">
        <f aca="false">AA39+AA40</f>
        <v>0</v>
      </c>
      <c r="AB41" s="251" t="n">
        <f aca="false">AB39+AB40</f>
        <v>0</v>
      </c>
      <c r="AC41" s="251" t="n">
        <f aca="false">AC39+AC40</f>
        <v>0</v>
      </c>
      <c r="AD41" s="251" t="n">
        <f aca="false">AD39+AD40</f>
        <v>0</v>
      </c>
      <c r="AE41" s="251" t="n">
        <f aca="false">AE39+AE40</f>
        <v>0</v>
      </c>
      <c r="AF41" s="251" t="n">
        <f aca="false">AF39+AF40</f>
        <v>0</v>
      </c>
      <c r="AG41" s="251" t="n">
        <f aca="false">AG39+AG40</f>
        <v>0</v>
      </c>
      <c r="AH41" s="251" t="n">
        <f aca="false">AH39+AH40</f>
        <v>0</v>
      </c>
      <c r="AI41" s="251" t="n">
        <f aca="false">AI39+AI40</f>
        <v>0</v>
      </c>
      <c r="AJ41" s="251" t="n">
        <f aca="false">AJ39+AJ40</f>
        <v>0</v>
      </c>
      <c r="AK41" s="251" t="n">
        <f aca="false">AK39+AK40</f>
        <v>0</v>
      </c>
      <c r="AL41" s="251" t="n">
        <f aca="false">AL39+AL40</f>
        <v>0</v>
      </c>
      <c r="AM41" s="251" t="n">
        <f aca="false">AM39+AM40</f>
        <v>0</v>
      </c>
      <c r="AN41" s="251" t="n">
        <f aca="false">AN39+AN40</f>
        <v>0</v>
      </c>
      <c r="AO41" s="251" t="n">
        <f aca="false">AO39+AO40</f>
        <v>0</v>
      </c>
      <c r="AP41" s="251" t="n">
        <f aca="false">AP39+AP40</f>
        <v>0</v>
      </c>
      <c r="AQ41" s="251" t="n">
        <f aca="false">AQ39+AQ40</f>
        <v>0</v>
      </c>
      <c r="AR41" s="251" t="n">
        <f aca="false">AR39+AR40</f>
        <v>0</v>
      </c>
      <c r="AS41" s="251" t="n">
        <f aca="false">AS39+AS40</f>
        <v>0</v>
      </c>
      <c r="AT41" s="251" t="n">
        <f aca="false">AT39+AT40</f>
        <v>0</v>
      </c>
      <c r="AU41" s="251" t="n">
        <f aca="false">AU39+AU40</f>
        <v>0</v>
      </c>
      <c r="AV41" s="251" t="n">
        <f aca="false">AV39+AV40</f>
        <v>0</v>
      </c>
      <c r="AW41" s="251" t="n">
        <f aca="false">AW39+AW40</f>
        <v>0</v>
      </c>
      <c r="AX41" s="251" t="n">
        <f aca="false">AX39+AX40</f>
        <v>0</v>
      </c>
      <c r="AY41" s="251" t="n">
        <f aca="false">AY39+AY40</f>
        <v>0</v>
      </c>
      <c r="AZ41" s="251" t="n">
        <f aca="false">AZ39+AZ40</f>
        <v>0</v>
      </c>
      <c r="BA41" s="251" t="n">
        <f aca="false">BA39+BA40</f>
        <v>0</v>
      </c>
      <c r="BB41" s="251" t="n">
        <f aca="false">BB39+BB40</f>
        <v>0</v>
      </c>
      <c r="BC41" s="251" t="n">
        <f aca="false">BC39+BC40</f>
        <v>0</v>
      </c>
      <c r="BD41" s="251" t="n">
        <f aca="false">BD39+BD40</f>
        <v>0</v>
      </c>
      <c r="BE41" s="251" t="n">
        <f aca="false">BE39+BE40</f>
        <v>0</v>
      </c>
      <c r="BF41" s="251" t="n">
        <f aca="false">BF39+BF40</f>
        <v>0</v>
      </c>
      <c r="BG41" s="251" t="n">
        <f aca="false">BG39+BG40</f>
        <v>0</v>
      </c>
      <c r="BH41" s="251" t="n">
        <f aca="false">BH39+BH40</f>
        <v>0</v>
      </c>
      <c r="BI41" s="251" t="n">
        <f aca="false">BI39+BI40</f>
        <v>0</v>
      </c>
      <c r="BJ41" s="251" t="n">
        <f aca="false">BJ39+BJ40</f>
        <v>0</v>
      </c>
      <c r="BK41" s="251" t="n">
        <f aca="false">BK39+BK40</f>
        <v>0</v>
      </c>
      <c r="BL41" s="251" t="n">
        <f aca="false">BL39+BL40</f>
        <v>0</v>
      </c>
      <c r="BM41" s="251" t="n">
        <f aca="false">BM39+BM40</f>
        <v>0</v>
      </c>
      <c r="BN41" s="251" t="n">
        <f aca="false">BN39+BN40</f>
        <v>0</v>
      </c>
      <c r="BO41" s="251" t="n">
        <f aca="false">BO39+BO40</f>
        <v>0</v>
      </c>
      <c r="BP41" s="251" t="n">
        <f aca="false">BP39+BP40</f>
        <v>0</v>
      </c>
      <c r="BQ41" s="251" t="n">
        <f aca="false">BQ39+BQ40</f>
        <v>0</v>
      </c>
      <c r="BR41" s="251" t="n">
        <f aca="false">BR39+BR40</f>
        <v>0</v>
      </c>
      <c r="BS41" s="251" t="n">
        <f aca="false">BS39+BS40</f>
        <v>0</v>
      </c>
      <c r="BT41" s="251" t="n">
        <f aca="false">BT39+BT40</f>
        <v>0</v>
      </c>
      <c r="BU41" s="251" t="n">
        <f aca="false">BU39+BU40</f>
        <v>0</v>
      </c>
      <c r="BV41" s="251" t="n">
        <f aca="false">BV39+BV40</f>
        <v>0</v>
      </c>
      <c r="BW41" s="251" t="n">
        <f aca="false">BW39+BW40</f>
        <v>0</v>
      </c>
      <c r="BX41" s="251" t="n">
        <f aca="false">BX39+BX40</f>
        <v>0</v>
      </c>
      <c r="BY41" s="251" t="n">
        <f aca="false">BY39+BY40</f>
        <v>-73156</v>
      </c>
      <c r="BZ41" s="251" t="n">
        <f aca="false">BZ39+BZ40</f>
        <v>0</v>
      </c>
      <c r="CA41" s="251" t="n">
        <f aca="false">CA39+CA40</f>
        <v>0</v>
      </c>
      <c r="CB41" s="251" t="n">
        <f aca="false">CB39+CB40</f>
        <v>-73155</v>
      </c>
      <c r="CC41" s="251" t="n">
        <f aca="false">CC39+CC40</f>
        <v>0</v>
      </c>
      <c r="CD41" s="251" t="n">
        <f aca="false">CD39+CD40</f>
        <v>0</v>
      </c>
      <c r="CE41" s="251" t="n">
        <f aca="false">CE39+CE40</f>
        <v>-73155</v>
      </c>
      <c r="CF41" s="251" t="n">
        <f aca="false">CF39+CF40</f>
        <v>0</v>
      </c>
      <c r="CG41" s="251" t="n">
        <f aca="false">CG39+CG40</f>
        <v>0</v>
      </c>
      <c r="CH41" s="251" t="n">
        <f aca="false">CH39+CH40</f>
        <v>-73155</v>
      </c>
    </row>
    <row r="42" customFormat="false" ht="15" hidden="false" customHeight="true" outlineLevel="0" collapsed="false">
      <c r="A42" s="2" t="s">
        <v>847</v>
      </c>
      <c r="B42" s="3"/>
      <c r="C42" s="252" t="n">
        <f aca="false">C41</f>
        <v>0</v>
      </c>
      <c r="D42" s="252" t="n">
        <f aca="false">C42+D41</f>
        <v>0</v>
      </c>
      <c r="E42" s="252" t="n">
        <f aca="false">D42+E41</f>
        <v>0</v>
      </c>
      <c r="F42" s="252" t="n">
        <f aca="false">E42+F41</f>
        <v>0</v>
      </c>
      <c r="G42" s="252" t="n">
        <f aca="false">F42+G41</f>
        <v>0</v>
      </c>
      <c r="H42" s="252" t="n">
        <f aca="false">G42+H41</f>
        <v>0</v>
      </c>
      <c r="I42" s="252" t="n">
        <f aca="false">H42+I41</f>
        <v>0</v>
      </c>
      <c r="J42" s="252" t="n">
        <f aca="false">I42+J41</f>
        <v>0</v>
      </c>
      <c r="K42" s="252" t="n">
        <f aca="false">J42+K41</f>
        <v>0</v>
      </c>
      <c r="L42" s="252" t="n">
        <f aca="false">K42+L41</f>
        <v>0</v>
      </c>
      <c r="M42" s="252" t="n">
        <f aca="false">L42+M41</f>
        <v>0</v>
      </c>
      <c r="N42" s="252" t="n">
        <f aca="false">M42+N41</f>
        <v>0</v>
      </c>
      <c r="O42" s="252" t="n">
        <f aca="false">N42+O41</f>
        <v>0</v>
      </c>
      <c r="P42" s="252" t="n">
        <f aca="false">O42+P41</f>
        <v>0</v>
      </c>
      <c r="Q42" s="252" t="n">
        <f aca="false">P42+Q41</f>
        <v>0</v>
      </c>
      <c r="R42" s="252" t="n">
        <f aca="false">Q42+R41</f>
        <v>0</v>
      </c>
      <c r="S42" s="252" t="n">
        <f aca="false">R42+S41</f>
        <v>0</v>
      </c>
      <c r="T42" s="252" t="n">
        <f aca="false">S42+T41</f>
        <v>0</v>
      </c>
      <c r="U42" s="252" t="n">
        <f aca="false">T42+U41</f>
        <v>0</v>
      </c>
      <c r="V42" s="252" t="n">
        <f aca="false">U42+V41</f>
        <v>0</v>
      </c>
      <c r="W42" s="252" t="n">
        <f aca="false">V42+W41</f>
        <v>0</v>
      </c>
      <c r="X42" s="252" t="n">
        <f aca="false">W42+X41</f>
        <v>0</v>
      </c>
      <c r="Y42" s="252" t="n">
        <f aca="false">X42+Y41</f>
        <v>0</v>
      </c>
      <c r="Z42" s="252" t="n">
        <f aca="false">Y42+Z41</f>
        <v>0</v>
      </c>
      <c r="AA42" s="252" t="n">
        <f aca="false">Z42+AA41</f>
        <v>0</v>
      </c>
      <c r="AB42" s="252" t="n">
        <f aca="false">AA42+AB41</f>
        <v>0</v>
      </c>
      <c r="AC42" s="252" t="n">
        <f aca="false">AB42+AC41</f>
        <v>0</v>
      </c>
      <c r="AD42" s="252" t="n">
        <f aca="false">AC42+AD41</f>
        <v>0</v>
      </c>
      <c r="AE42" s="252" t="n">
        <f aca="false">AD42+AE41</f>
        <v>0</v>
      </c>
      <c r="AF42" s="252" t="n">
        <f aca="false">AE42+AF41</f>
        <v>0</v>
      </c>
      <c r="AG42" s="252" t="n">
        <f aca="false">AF42+AG41</f>
        <v>0</v>
      </c>
      <c r="AH42" s="252" t="n">
        <f aca="false">AG42+AH41</f>
        <v>0</v>
      </c>
      <c r="AI42" s="252" t="n">
        <f aca="false">AH42+AI41</f>
        <v>0</v>
      </c>
      <c r="AJ42" s="252" t="n">
        <f aca="false">AI42+AJ41</f>
        <v>0</v>
      </c>
      <c r="AK42" s="252" t="n">
        <f aca="false">AJ42+AK41</f>
        <v>0</v>
      </c>
      <c r="AL42" s="252" t="n">
        <f aca="false">AK42+AL41</f>
        <v>0</v>
      </c>
      <c r="AM42" s="252" t="n">
        <f aca="false">AL42+AM41</f>
        <v>0</v>
      </c>
      <c r="AN42" s="252" t="n">
        <f aca="false">AM42+AN41</f>
        <v>0</v>
      </c>
      <c r="AO42" s="252" t="n">
        <f aca="false">AN42+AO41</f>
        <v>0</v>
      </c>
      <c r="AP42" s="252" t="n">
        <f aca="false">AO42+AP41</f>
        <v>0</v>
      </c>
      <c r="AQ42" s="252" t="n">
        <f aca="false">AP42+AQ41</f>
        <v>0</v>
      </c>
      <c r="AR42" s="252" t="n">
        <f aca="false">AQ42+AR41</f>
        <v>0</v>
      </c>
      <c r="AS42" s="252" t="n">
        <f aca="false">AR42+AS41</f>
        <v>0</v>
      </c>
      <c r="AT42" s="252" t="n">
        <f aca="false">AS42+AT41</f>
        <v>0</v>
      </c>
      <c r="AU42" s="252" t="n">
        <f aca="false">AT42+AU41</f>
        <v>0</v>
      </c>
      <c r="AV42" s="252" t="n">
        <f aca="false">AU42+AV41</f>
        <v>0</v>
      </c>
      <c r="AW42" s="252" t="n">
        <f aca="false">AV42+AW41</f>
        <v>0</v>
      </c>
      <c r="AX42" s="252" t="n">
        <f aca="false">AW42+AX41</f>
        <v>0</v>
      </c>
      <c r="AY42" s="252" t="n">
        <f aca="false">AX42+AY41</f>
        <v>0</v>
      </c>
      <c r="AZ42" s="252" t="n">
        <f aca="false">AY42+AZ41</f>
        <v>0</v>
      </c>
      <c r="BA42" s="252" t="n">
        <f aca="false">AZ42+BA41</f>
        <v>0</v>
      </c>
      <c r="BB42" s="252" t="n">
        <f aca="false">BA42+BB41</f>
        <v>0</v>
      </c>
      <c r="BC42" s="252" t="n">
        <f aca="false">BB42+BC41</f>
        <v>0</v>
      </c>
      <c r="BD42" s="252" t="n">
        <f aca="false">BC42+BD41</f>
        <v>0</v>
      </c>
      <c r="BE42" s="252" t="n">
        <f aca="false">BD42+BE41</f>
        <v>0</v>
      </c>
      <c r="BF42" s="252" t="n">
        <f aca="false">BE42+BF41</f>
        <v>0</v>
      </c>
      <c r="BG42" s="252" t="n">
        <f aca="false">BF42+BG41</f>
        <v>0</v>
      </c>
      <c r="BH42" s="252" t="n">
        <f aca="false">BG42+BH41</f>
        <v>0</v>
      </c>
      <c r="BI42" s="252" t="n">
        <f aca="false">BH42+BI41</f>
        <v>0</v>
      </c>
      <c r="BJ42" s="252" t="n">
        <f aca="false">BI42+BJ41</f>
        <v>0</v>
      </c>
      <c r="BK42" s="252" t="n">
        <f aca="false">BJ42+BK41</f>
        <v>0</v>
      </c>
      <c r="BL42" s="252" t="n">
        <f aca="false">BK42+BL41</f>
        <v>0</v>
      </c>
      <c r="BM42" s="252" t="n">
        <f aca="false">BL42+BM41</f>
        <v>0</v>
      </c>
      <c r="BN42" s="252" t="n">
        <f aca="false">BM42+BN41</f>
        <v>0</v>
      </c>
      <c r="BO42" s="252" t="n">
        <f aca="false">BN42+BO41</f>
        <v>0</v>
      </c>
      <c r="BP42" s="252" t="n">
        <f aca="false">BO42+BP41</f>
        <v>0</v>
      </c>
      <c r="BQ42" s="252" t="n">
        <f aca="false">BP42+BQ41</f>
        <v>0</v>
      </c>
      <c r="BR42" s="252" t="n">
        <f aca="false">BQ42+BR41</f>
        <v>0</v>
      </c>
      <c r="BS42" s="252" t="n">
        <f aca="false">BR42+BS41</f>
        <v>0</v>
      </c>
      <c r="BT42" s="252" t="n">
        <f aca="false">BS42+BT41</f>
        <v>0</v>
      </c>
      <c r="BU42" s="252" t="n">
        <f aca="false">BT42+BU41</f>
        <v>0</v>
      </c>
      <c r="BV42" s="252" t="n">
        <f aca="false">BU42+BV41</f>
        <v>0</v>
      </c>
      <c r="BW42" s="252" t="n">
        <f aca="false">BV42+BW41</f>
        <v>0</v>
      </c>
      <c r="BX42" s="252" t="n">
        <f aca="false">BW42+BX41</f>
        <v>0</v>
      </c>
      <c r="BY42" s="252" t="n">
        <f aca="false">BX42+BY41</f>
        <v>-73156</v>
      </c>
      <c r="BZ42" s="252" t="n">
        <f aca="false">BY42+BZ41</f>
        <v>-73156</v>
      </c>
      <c r="CA42" s="252" t="n">
        <f aca="false">BZ42+CA41</f>
        <v>-73156</v>
      </c>
      <c r="CB42" s="252" t="n">
        <f aca="false">CA42+CB41</f>
        <v>-146311</v>
      </c>
      <c r="CC42" s="252" t="n">
        <f aca="false">CB42+CC41</f>
        <v>-146311</v>
      </c>
      <c r="CD42" s="252" t="n">
        <f aca="false">CC42+CD41</f>
        <v>-146311</v>
      </c>
      <c r="CE42" s="252" t="n">
        <f aca="false">CD42+CE41</f>
        <v>-219466</v>
      </c>
      <c r="CF42" s="252" t="n">
        <f aca="false">CE42+CF41</f>
        <v>-219466</v>
      </c>
      <c r="CG42" s="252" t="n">
        <f aca="false">CF42+CG41</f>
        <v>-219466</v>
      </c>
      <c r="CH42" s="252" t="n">
        <f aca="false">CG42+CH41</f>
        <v>-292621</v>
      </c>
    </row>
    <row r="43" customFormat="false" ht="15" hidden="false" customHeight="true" outlineLevel="0" collapsed="false">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row>
    <row r="44" customFormat="false" ht="27.75" hidden="false" customHeight="true" outlineLevel="0" collapsed="false">
      <c r="A44" s="44" t="s">
        <v>849</v>
      </c>
      <c r="B44" s="44"/>
      <c r="C44" s="44"/>
      <c r="D44" s="44"/>
      <c r="E44" s="44"/>
      <c r="F44" s="44"/>
      <c r="G44" s="44"/>
      <c r="H44" s="44"/>
      <c r="I44" s="44"/>
      <c r="J44" s="44"/>
      <c r="K44" s="44"/>
      <c r="L44" s="44"/>
      <c r="M44" s="44"/>
      <c r="N44" s="44"/>
      <c r="O44" s="44"/>
      <c r="P44" s="44"/>
      <c r="Q44" s="44"/>
      <c r="R44" s="44"/>
      <c r="S44" s="44"/>
      <c r="T44" s="44"/>
      <c r="U44" s="44"/>
      <c r="V44" s="44"/>
      <c r="W44" s="44"/>
      <c r="X44" s="44"/>
      <c r="Y44" s="44"/>
      <c r="Z44" s="44"/>
      <c r="AA44" s="44"/>
      <c r="AB44" s="44"/>
      <c r="AC44" s="44"/>
      <c r="AD44" s="44"/>
      <c r="AE44" s="44"/>
      <c r="AF44" s="44"/>
      <c r="AG44" s="44"/>
      <c r="AH44" s="44"/>
      <c r="AI44" s="44"/>
      <c r="AJ44" s="44"/>
      <c r="AK44" s="44"/>
      <c r="AL44" s="44"/>
      <c r="AM44" s="44"/>
      <c r="AN44" s="44"/>
      <c r="AO44" s="44"/>
      <c r="AP44" s="44"/>
      <c r="AQ44" s="44"/>
      <c r="AR44" s="44"/>
      <c r="AS44" s="44"/>
      <c r="AT44" s="44"/>
      <c r="AU44" s="44"/>
      <c r="AV44" s="44"/>
      <c r="AW44" s="44"/>
      <c r="AX44" s="44"/>
      <c r="AY44" s="44"/>
      <c r="AZ44" s="44"/>
      <c r="BA44" s="44"/>
      <c r="BB44" s="44"/>
      <c r="BC44" s="44"/>
      <c r="BD44" s="44"/>
      <c r="BE44" s="44"/>
      <c r="BF44" s="44"/>
      <c r="BG44" s="44"/>
      <c r="BH44" s="44"/>
      <c r="BI44" s="44"/>
      <c r="BJ44" s="44"/>
      <c r="BK44" s="44"/>
      <c r="BL44" s="44"/>
      <c r="BM44" s="44"/>
      <c r="BN44" s="44"/>
      <c r="BO44" s="44"/>
      <c r="BP44" s="44"/>
      <c r="BQ44" s="44"/>
      <c r="BR44" s="44"/>
      <c r="BS44" s="44"/>
      <c r="BT44" s="44"/>
      <c r="BU44" s="44"/>
      <c r="BV44" s="44"/>
      <c r="BW44" s="44"/>
      <c r="BX44" s="44"/>
      <c r="BY44" s="44"/>
      <c r="BZ44" s="44"/>
      <c r="CA44" s="44"/>
      <c r="CB44" s="44"/>
      <c r="CC44" s="44"/>
      <c r="CD44" s="44"/>
      <c r="CE44" s="44"/>
      <c r="CF44" s="44"/>
      <c r="CG44" s="44"/>
      <c r="CH44" s="44"/>
    </row>
    <row r="45" customFormat="false" ht="15" hidden="false" customHeight="true" outlineLevel="0" collapsed="false">
      <c r="A45" s="250" t="s">
        <v>850</v>
      </c>
      <c r="B45" s="250"/>
      <c r="C45" s="251" t="n">
        <f aca="false">C5+C10+C16+C22+C28+C35+C41</f>
        <v>33281.25</v>
      </c>
      <c r="D45" s="251" t="n">
        <f aca="false">D5+D10+D16+D22+D28+D35+D41</f>
        <v>33281.25</v>
      </c>
      <c r="E45" s="251" t="n">
        <f aca="false">E5+E10+E16+E22+E28+E35+E41</f>
        <v>33281.25</v>
      </c>
      <c r="F45" s="251" t="n">
        <f aca="false">F5+F10+F16+F22+F28+F35+F41</f>
        <v>33281.25</v>
      </c>
      <c r="G45" s="251" t="n">
        <f aca="false">G5+G10+G16+G22+G28+G35+G41</f>
        <v>160795.25</v>
      </c>
      <c r="H45" s="251" t="n">
        <f aca="false">H5+H10+H16+H22+H28+H35+H41</f>
        <v>33281.25</v>
      </c>
      <c r="I45" s="251" t="n">
        <f aca="false">I5+I10+I16+I22+I28+I35+I41</f>
        <v>33281.25</v>
      </c>
      <c r="J45" s="251" t="n">
        <f aca="false">J5+J10+J16+J22+J28+J35+J41</f>
        <v>23906.25</v>
      </c>
      <c r="K45" s="251" t="n">
        <f aca="false">K5+K10+K16+K22+K28+K35+K41</f>
        <v>23906.25</v>
      </c>
      <c r="L45" s="251" t="n">
        <f aca="false">L5+L10+L16+L22+L28+L35+L41</f>
        <v>81251.88</v>
      </c>
      <c r="M45" s="251" t="n">
        <f aca="false">M5+M10+M16+M22+M28+M35+M41</f>
        <v>145799.46</v>
      </c>
      <c r="N45" s="251" t="n">
        <f aca="false">N5+N10+N16+N22+N28+N35+N41</f>
        <v>47590.46</v>
      </c>
      <c r="O45" s="251" t="n">
        <f aca="false">O5+O10+O16+O22+O28+O35+O41</f>
        <v>47590.46</v>
      </c>
      <c r="P45" s="251" t="n">
        <f aca="false">P5+P10+P16+P22+P28+P35+P41</f>
        <v>47590.46</v>
      </c>
      <c r="Q45" s="251" t="n">
        <f aca="false">Q5+Q10+Q16+Q22+Q28+Q35+Q41</f>
        <v>47590.46</v>
      </c>
      <c r="R45" s="251" t="n">
        <f aca="false">R5+R10+R16+R22+R28+R35+R41</f>
        <v>23684.21</v>
      </c>
      <c r="S45" s="251" t="n">
        <f aca="false">S5+S10+S16+S22+S28+S35+S41</f>
        <v>23684.21</v>
      </c>
      <c r="T45" s="251" t="n">
        <f aca="false">T5+T10+T16+T22+T28+T35+T41</f>
        <v>23684.21</v>
      </c>
      <c r="U45" s="251" t="n">
        <f aca="false">U5+U10+U16+U22+U28+U35+U41</f>
        <v>23684.21</v>
      </c>
      <c r="V45" s="251" t="n">
        <f aca="false">V5+V10+V16+V22+V28+V35+V41</f>
        <v>23684.21</v>
      </c>
      <c r="W45" s="251" t="n">
        <f aca="false">W5+W10+W16+W22+W28+W35+W41</f>
        <v>81059.21</v>
      </c>
      <c r="X45" s="251" t="n">
        <f aca="false">X5+X10+X16+X22+X28+X35+X41</f>
        <v>23684.21</v>
      </c>
      <c r="Y45" s="251" t="n">
        <f aca="false">Y5+Y10+Y16+Y22+Y28+Y35+Y41</f>
        <v>23684.21</v>
      </c>
      <c r="Z45" s="251" t="n">
        <f aca="false">Z5+Z10+Z16+Z22+Z28+Z35+Z41</f>
        <v>81059.21</v>
      </c>
      <c r="AA45" s="251" t="n">
        <f aca="false">AA5+AA10+AA16+AA22+AA28+AA35+AA41</f>
        <v>23684.21</v>
      </c>
      <c r="AB45" s="251" t="n">
        <f aca="false">AB5+AB10+AB16+AB22+AB28+AB35+AB41</f>
        <v>23684.21</v>
      </c>
      <c r="AC45" s="251" t="n">
        <f aca="false">AC5+AC10+AC16+AC22+AC28+AC35+AC41</f>
        <v>81059.21</v>
      </c>
      <c r="AD45" s="251" t="n">
        <f aca="false">AD5+AD10+AD16+AD22+AD28+AD35+AD41</f>
        <v>23684.21</v>
      </c>
      <c r="AE45" s="251" t="n">
        <f aca="false">AE5+AE10+AE16+AE22+AE28+AE35+AE41</f>
        <v>12631.58</v>
      </c>
      <c r="AF45" s="251" t="n">
        <f aca="false">AF5+AF10+AF16+AF22+AF28+AF35+AF41</f>
        <v>0</v>
      </c>
      <c r="AG45" s="251" t="n">
        <f aca="false">AG5+AG10+AG16+AG22+AG28+AG35+AG41</f>
        <v>0</v>
      </c>
      <c r="AH45" s="251" t="n">
        <f aca="false">AH5+AH10+AH16+AH22+AH28+AH35+AH41</f>
        <v>0</v>
      </c>
      <c r="AI45" s="251" t="n">
        <f aca="false">AI5+AI10+AI16+AI22+AI28+AI35+AI41</f>
        <v>0</v>
      </c>
      <c r="AJ45" s="251" t="n">
        <f aca="false">AJ5+AJ10+AJ16+AJ22+AJ28+AJ35+AJ41</f>
        <v>0</v>
      </c>
      <c r="AK45" s="251" t="n">
        <f aca="false">AK5+AK10+AK16+AK22+AK28+AK35+AK41</f>
        <v>0</v>
      </c>
      <c r="AL45" s="251" t="n">
        <f aca="false">AL5+AL10+AL16+AL22+AL28+AL35+AL41</f>
        <v>0</v>
      </c>
      <c r="AM45" s="251" t="n">
        <f aca="false">AM5+AM10+AM16+AM22+AM28+AM35+AM41</f>
        <v>0</v>
      </c>
      <c r="AN45" s="251" t="n">
        <f aca="false">AN5+AN10+AN16+AN22+AN28+AN35+AN41</f>
        <v>0</v>
      </c>
      <c r="AO45" s="251" t="n">
        <f aca="false">AO5+AO10+AO16+AO22+AO28+AO35+AO41</f>
        <v>0</v>
      </c>
      <c r="AP45" s="251" t="n">
        <f aca="false">AP5+AP10+AP16+AP22+AP28+AP35+AP41</f>
        <v>0</v>
      </c>
      <c r="AQ45" s="251" t="n">
        <f aca="false">AQ5+AQ10+AQ16+AQ22+AQ28+AQ35+AQ41</f>
        <v>0</v>
      </c>
      <c r="AR45" s="251" t="n">
        <f aca="false">AR5+AR10+AR16+AR22+AR28+AR35+AR41</f>
        <v>0</v>
      </c>
      <c r="AS45" s="251" t="n">
        <f aca="false">AS5+AS10+AS16+AS22+AS28+AS35+AS41</f>
        <v>0</v>
      </c>
      <c r="AT45" s="251" t="n">
        <f aca="false">AT5+AT10+AT16+AT22+AT28+AT35+AT41</f>
        <v>0</v>
      </c>
      <c r="AU45" s="251" t="n">
        <f aca="false">AU5+AU10+AU16+AU22+AU28+AU35+AU41</f>
        <v>0</v>
      </c>
      <c r="AV45" s="251" t="n">
        <f aca="false">AV5+AV10+AV16+AV22+AV28+AV35+AV41</f>
        <v>0</v>
      </c>
      <c r="AW45" s="251" t="n">
        <f aca="false">AW5+AW10+AW16+AW22+AW28+AW35+AW41</f>
        <v>0</v>
      </c>
      <c r="AX45" s="251" t="n">
        <f aca="false">AX5+AX10+AX16+AX22+AX28+AX35+AX41</f>
        <v>0</v>
      </c>
      <c r="AY45" s="251" t="n">
        <f aca="false">AY5+AY10+AY16+AY22+AY28+AY35+AY41</f>
        <v>0</v>
      </c>
      <c r="AZ45" s="251" t="n">
        <f aca="false">AZ5+AZ10+AZ16+AZ22+AZ28+AZ35+AZ41</f>
        <v>0</v>
      </c>
      <c r="BA45" s="251" t="n">
        <f aca="false">BA5+BA10+BA16+BA22+BA28+BA35+BA41</f>
        <v>0</v>
      </c>
      <c r="BB45" s="251" t="n">
        <f aca="false">BB5+BB10+BB16+BB22+BB28+BB35+BB41</f>
        <v>0</v>
      </c>
      <c r="BC45" s="251" t="n">
        <f aca="false">BC5+BC10+BC16+BC22+BC28+BC35+BC41</f>
        <v>0</v>
      </c>
      <c r="BD45" s="251" t="n">
        <f aca="false">BD5+BD10+BD16+BD22+BD28+BD35+BD41</f>
        <v>0</v>
      </c>
      <c r="BE45" s="251" t="n">
        <f aca="false">BE5+BE10+BE16+BE22+BE28+BE35+BE41</f>
        <v>0</v>
      </c>
      <c r="BF45" s="251" t="n">
        <f aca="false">BF5+BF10+BF16+BF22+BF28+BF35+BF41</f>
        <v>0</v>
      </c>
      <c r="BG45" s="251" t="n">
        <f aca="false">BG5+BG10+BG16+BG22+BG28+BG35+BG41</f>
        <v>0</v>
      </c>
      <c r="BH45" s="251" t="n">
        <f aca="false">BH5+BH10+BH16+BH22+BH28+BH35+BH41</f>
        <v>0</v>
      </c>
      <c r="BI45" s="251" t="n">
        <f aca="false">BI5+BI10+BI16+BI22+BI28+BI35+BI41</f>
        <v>0</v>
      </c>
      <c r="BJ45" s="251" t="n">
        <f aca="false">BJ5+BJ10+BJ16+BJ22+BJ28+BJ35+BJ41</f>
        <v>0</v>
      </c>
      <c r="BK45" s="251" t="n">
        <f aca="false">BK5+BK10+BK16+BK22+BK28+BK35+BK41</f>
        <v>0</v>
      </c>
      <c r="BL45" s="251" t="n">
        <f aca="false">BL5+BL10+BL16+BL22+BL28+BL35+BL41</f>
        <v>0</v>
      </c>
      <c r="BM45" s="251" t="n">
        <f aca="false">BM5+BM10+BM16+BM22+BM28+BM35+BM41</f>
        <v>0</v>
      </c>
      <c r="BN45" s="251" t="n">
        <f aca="false">BN5+BN10+BN16+BN22+BN28+BN35+BN41</f>
        <v>0</v>
      </c>
      <c r="BO45" s="251" t="n">
        <f aca="false">BO5+BO10+BO16+BO22+BO28+BO35+BO41</f>
        <v>0</v>
      </c>
      <c r="BP45" s="251" t="n">
        <f aca="false">BP5+BP10+BP16+BP22+BP28+BP35+BP41</f>
        <v>53250.35</v>
      </c>
      <c r="BQ45" s="251" t="n">
        <f aca="false">BQ5+BQ10+BQ16+BQ22+BQ28+BQ35+BQ41</f>
        <v>0</v>
      </c>
      <c r="BR45" s="251" t="n">
        <f aca="false">BR5+BR10+BR16+BR22+BR28+BR35+BR41</f>
        <v>0</v>
      </c>
      <c r="BS45" s="251" t="n">
        <f aca="false">BS5+BS10+BS16+BS22+BS28+BS35+BS41</f>
        <v>67762</v>
      </c>
      <c r="BT45" s="251" t="n">
        <f aca="false">BT5+BT10+BT16+BT22+BT28+BT35+BT41</f>
        <v>0</v>
      </c>
      <c r="BU45" s="251" t="n">
        <f aca="false">BU5+BU10+BU16+BU22+BU28+BU35+BU41</f>
        <v>0</v>
      </c>
      <c r="BV45" s="251" t="n">
        <f aca="false">BV5+BV10+BV16+BV22+BV28+BV35+BV41</f>
        <v>67762</v>
      </c>
      <c r="BW45" s="251" t="n">
        <f aca="false">BW5+BW10+BW16+BW22+BW28+BW35+BW41</f>
        <v>0</v>
      </c>
      <c r="BX45" s="251" t="n">
        <f aca="false">BX5+BX10+BX16+BX22+BX28+BX35+BX41</f>
        <v>0</v>
      </c>
      <c r="BY45" s="251" t="n">
        <f aca="false">BY5+BY10+BY16+BY22+BY28+BY35+BY41</f>
        <v>-5394</v>
      </c>
      <c r="BZ45" s="251" t="n">
        <f aca="false">BZ5+BZ10+BZ16+BZ22+BZ28+BZ35+BZ41</f>
        <v>0</v>
      </c>
      <c r="CA45" s="251" t="n">
        <f aca="false">CA5+CA10+CA16+CA22+CA28+CA35+CA41</f>
        <v>0</v>
      </c>
      <c r="CB45" s="251" t="n">
        <f aca="false">CB5+CB10+CB16+CB22+CB28+CB35+CB41</f>
        <v>3344</v>
      </c>
      <c r="CC45" s="251" t="n">
        <f aca="false">CC5+CC10+CC16+CC22+CC28+CC35+CC41</f>
        <v>0</v>
      </c>
      <c r="CD45" s="251" t="n">
        <f aca="false">CD5+CD10+CD16+CD22+CD28+CD35+CD41</f>
        <v>0</v>
      </c>
      <c r="CE45" s="251" t="n">
        <f aca="false">CE5+CE10+CE16+CE22+CE28+CE35+CE41</f>
        <v>3344</v>
      </c>
      <c r="CF45" s="251" t="n">
        <f aca="false">CF5+CF10+CF16+CF22+CF28+CF35+CF41</f>
        <v>0</v>
      </c>
      <c r="CG45" s="251" t="n">
        <f aca="false">CG5+CG10+CG16+CG22+CG28+CG35+CG41</f>
        <v>0</v>
      </c>
      <c r="CH45" s="251" t="n">
        <f aca="false">CH5+CH10+CH16+CH22+CH28+CH35+CH41</f>
        <v>9952.02660647922</v>
      </c>
    </row>
    <row r="46" customFormat="false" ht="15" hidden="false" customHeight="true" outlineLevel="0" collapsed="false">
      <c r="A46" s="2" t="s">
        <v>851</v>
      </c>
      <c r="B46" s="3"/>
      <c r="C46" s="252" t="n">
        <f aca="false">C45</f>
        <v>33281.25</v>
      </c>
      <c r="D46" s="252" t="n">
        <f aca="false">C46+D45</f>
        <v>66562.5</v>
      </c>
      <c r="E46" s="252" t="n">
        <f aca="false">D46+E45</f>
        <v>99843.75</v>
      </c>
      <c r="F46" s="252" t="n">
        <f aca="false">E46+F45</f>
        <v>133125</v>
      </c>
      <c r="G46" s="252" t="n">
        <f aca="false">F46+G45</f>
        <v>293920.25</v>
      </c>
      <c r="H46" s="252" t="n">
        <f aca="false">G46+H45</f>
        <v>327201.5</v>
      </c>
      <c r="I46" s="252" t="n">
        <f aca="false">H46+I45</f>
        <v>360482.75</v>
      </c>
      <c r="J46" s="252" t="n">
        <f aca="false">I46+J45</f>
        <v>384389</v>
      </c>
      <c r="K46" s="252" t="n">
        <f aca="false">J46+K45</f>
        <v>408295.25</v>
      </c>
      <c r="L46" s="252" t="n">
        <f aca="false">K46+L45</f>
        <v>489547.13</v>
      </c>
      <c r="M46" s="252" t="n">
        <f aca="false">L46+M45</f>
        <v>635346.59</v>
      </c>
      <c r="N46" s="252" t="n">
        <f aca="false">M46+N45</f>
        <v>682937.05</v>
      </c>
      <c r="O46" s="252" t="n">
        <f aca="false">N46+O45</f>
        <v>730527.51</v>
      </c>
      <c r="P46" s="252" t="n">
        <f aca="false">O46+P45</f>
        <v>778117.97</v>
      </c>
      <c r="Q46" s="252" t="n">
        <f aca="false">P46+Q45</f>
        <v>825708.43</v>
      </c>
      <c r="R46" s="252" t="n">
        <f aca="false">Q46+R45</f>
        <v>849392.64</v>
      </c>
      <c r="S46" s="252" t="n">
        <f aca="false">R46+S45</f>
        <v>873076.85</v>
      </c>
      <c r="T46" s="252" t="n">
        <f aca="false">S46+T45</f>
        <v>896761.06</v>
      </c>
      <c r="U46" s="252" t="n">
        <f aca="false">T46+U45</f>
        <v>920445.27</v>
      </c>
      <c r="V46" s="252" t="n">
        <f aca="false">U46+V45</f>
        <v>944129.48</v>
      </c>
      <c r="W46" s="252" t="n">
        <f aca="false">V46+W45</f>
        <v>1025188.69</v>
      </c>
      <c r="X46" s="252" t="n">
        <f aca="false">W46+X45</f>
        <v>1048872.9</v>
      </c>
      <c r="Y46" s="252" t="n">
        <f aca="false">X46+Y45</f>
        <v>1072557.11</v>
      </c>
      <c r="Z46" s="252" t="n">
        <f aca="false">Y46+Z45</f>
        <v>1153616.32</v>
      </c>
      <c r="AA46" s="252" t="n">
        <f aca="false">Z46+AA45</f>
        <v>1177300.53</v>
      </c>
      <c r="AB46" s="252" t="n">
        <f aca="false">AA46+AB45</f>
        <v>1200984.74</v>
      </c>
      <c r="AC46" s="252" t="n">
        <f aca="false">AB46+AC45</f>
        <v>1282043.95</v>
      </c>
      <c r="AD46" s="252" t="n">
        <f aca="false">AC46+AD45</f>
        <v>1305728.16</v>
      </c>
      <c r="AE46" s="252" t="n">
        <f aca="false">AD46+AE45</f>
        <v>1318359.74</v>
      </c>
      <c r="AF46" s="252" t="n">
        <f aca="false">AE46+AF45</f>
        <v>1318359.74</v>
      </c>
      <c r="AG46" s="252" t="n">
        <f aca="false">AF46+AG45</f>
        <v>1318359.74</v>
      </c>
      <c r="AH46" s="252" t="n">
        <f aca="false">AG46+AH45</f>
        <v>1318359.74</v>
      </c>
      <c r="AI46" s="252" t="n">
        <f aca="false">AH46+AI45</f>
        <v>1318359.74</v>
      </c>
      <c r="AJ46" s="252" t="n">
        <f aca="false">AI46+AJ45</f>
        <v>1318359.74</v>
      </c>
      <c r="AK46" s="252" t="n">
        <f aca="false">AJ46+AK45</f>
        <v>1318359.74</v>
      </c>
      <c r="AL46" s="252" t="n">
        <f aca="false">AK46+AL45</f>
        <v>1318359.74</v>
      </c>
      <c r="AM46" s="252" t="n">
        <f aca="false">AL46+AM45</f>
        <v>1318359.74</v>
      </c>
      <c r="AN46" s="252" t="n">
        <f aca="false">AM46+AN45</f>
        <v>1318359.74</v>
      </c>
      <c r="AO46" s="252" t="n">
        <f aca="false">AN46+AO45</f>
        <v>1318359.74</v>
      </c>
      <c r="AP46" s="252" t="n">
        <f aca="false">AO46+AP45</f>
        <v>1318359.74</v>
      </c>
      <c r="AQ46" s="252" t="n">
        <f aca="false">AP46+AQ45</f>
        <v>1318359.74</v>
      </c>
      <c r="AR46" s="252" t="n">
        <f aca="false">AQ46+AR45</f>
        <v>1318359.74</v>
      </c>
      <c r="AS46" s="252" t="n">
        <f aca="false">AR46+AS45</f>
        <v>1318359.74</v>
      </c>
      <c r="AT46" s="252" t="n">
        <f aca="false">AS46+AT45</f>
        <v>1318359.74</v>
      </c>
      <c r="AU46" s="252" t="n">
        <f aca="false">AT46+AU45</f>
        <v>1318359.74</v>
      </c>
      <c r="AV46" s="252" t="n">
        <f aca="false">AU46+AV45</f>
        <v>1318359.74</v>
      </c>
      <c r="AW46" s="252" t="n">
        <f aca="false">AV46+AW45</f>
        <v>1318359.74</v>
      </c>
      <c r="AX46" s="252" t="n">
        <f aca="false">AW46+AX45</f>
        <v>1318359.74</v>
      </c>
      <c r="AY46" s="252" t="n">
        <f aca="false">AX46+AY45</f>
        <v>1318359.74</v>
      </c>
      <c r="AZ46" s="252" t="n">
        <f aca="false">AY46+AZ45</f>
        <v>1318359.74</v>
      </c>
      <c r="BA46" s="252" t="n">
        <f aca="false">AZ46+BA45</f>
        <v>1318359.74</v>
      </c>
      <c r="BB46" s="252" t="n">
        <f aca="false">BA46+BB45</f>
        <v>1318359.74</v>
      </c>
      <c r="BC46" s="252" t="n">
        <f aca="false">BB46+BC45</f>
        <v>1318359.74</v>
      </c>
      <c r="BD46" s="252" t="n">
        <f aca="false">BC46+BD45</f>
        <v>1318359.74</v>
      </c>
      <c r="BE46" s="252" t="n">
        <f aca="false">BD46+BE45</f>
        <v>1318359.74</v>
      </c>
      <c r="BF46" s="252" t="n">
        <f aca="false">BE46+BF45</f>
        <v>1318359.74</v>
      </c>
      <c r="BG46" s="252" t="n">
        <f aca="false">BF46+BG45</f>
        <v>1318359.74</v>
      </c>
      <c r="BH46" s="252" t="n">
        <f aca="false">BG46+BH45</f>
        <v>1318359.74</v>
      </c>
      <c r="BI46" s="252" t="n">
        <f aca="false">BH46+BI45</f>
        <v>1318359.74</v>
      </c>
      <c r="BJ46" s="252" t="n">
        <f aca="false">BI46+BJ45</f>
        <v>1318359.74</v>
      </c>
      <c r="BK46" s="252" t="n">
        <f aca="false">BJ46+BK45</f>
        <v>1318359.74</v>
      </c>
      <c r="BL46" s="252" t="n">
        <f aca="false">BK46+BL45</f>
        <v>1318359.74</v>
      </c>
      <c r="BM46" s="252" t="n">
        <f aca="false">BL46+BM45</f>
        <v>1318359.74</v>
      </c>
      <c r="BN46" s="252" t="n">
        <f aca="false">BM46+BN45</f>
        <v>1318359.74</v>
      </c>
      <c r="BO46" s="252" t="n">
        <f aca="false">BN46+BO45</f>
        <v>1318359.74</v>
      </c>
      <c r="BP46" s="252" t="n">
        <f aca="false">BO46+BP45</f>
        <v>1371610.09</v>
      </c>
      <c r="BQ46" s="252" t="n">
        <f aca="false">BP46+BQ45</f>
        <v>1371610.09</v>
      </c>
      <c r="BR46" s="252" t="n">
        <f aca="false">BQ46+BR45</f>
        <v>1371610.09</v>
      </c>
      <c r="BS46" s="252" t="n">
        <f aca="false">BR46+BS45</f>
        <v>1439372.09</v>
      </c>
      <c r="BT46" s="252" t="n">
        <f aca="false">BS46+BT45</f>
        <v>1439372.09</v>
      </c>
      <c r="BU46" s="252" t="n">
        <f aca="false">BT46+BU45</f>
        <v>1439372.09</v>
      </c>
      <c r="BV46" s="252" t="n">
        <f aca="false">BU46+BV45</f>
        <v>1507134.09</v>
      </c>
      <c r="BW46" s="252" t="n">
        <f aca="false">BV46+BW45</f>
        <v>1507134.09</v>
      </c>
      <c r="BX46" s="252" t="n">
        <f aca="false">BW46+BX45</f>
        <v>1507134.09</v>
      </c>
      <c r="BY46" s="252" t="n">
        <f aca="false">BX46+BY45</f>
        <v>1501740.09</v>
      </c>
      <c r="BZ46" s="252" t="n">
        <f aca="false">BY46+BZ45</f>
        <v>1501740.09</v>
      </c>
      <c r="CA46" s="252" t="n">
        <f aca="false">BZ46+CA45</f>
        <v>1501740.09</v>
      </c>
      <c r="CB46" s="252" t="n">
        <f aca="false">CA46+CB45</f>
        <v>1505084.09</v>
      </c>
      <c r="CC46" s="252" t="n">
        <f aca="false">CB46+CC45</f>
        <v>1505084.09</v>
      </c>
      <c r="CD46" s="252" t="n">
        <f aca="false">CC46+CD45</f>
        <v>1505084.09</v>
      </c>
      <c r="CE46" s="252" t="n">
        <f aca="false">CD46+CE45</f>
        <v>1508428.09</v>
      </c>
      <c r="CF46" s="252" t="n">
        <f aca="false">CE46+CF45</f>
        <v>1508428.09</v>
      </c>
      <c r="CG46" s="252" t="n">
        <f aca="false">CF46+CG45</f>
        <v>1508428.09</v>
      </c>
      <c r="CH46" s="252" t="n">
        <f aca="false">CG46+CH45</f>
        <v>1518380.11660648</v>
      </c>
    </row>
    <row r="47" customFormat="false" ht="15" hidden="false" customHeight="tru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row>
    <row r="48" customFormat="false" ht="15" hidden="false" customHeight="true" outlineLevel="0" collapsed="false">
      <c r="A48" s="2" t="s">
        <v>852</v>
      </c>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row>
    <row r="49" customFormat="false" ht="15" hidden="false" customHeight="true" outlineLevel="0" collapsed="false">
      <c r="A49" s="79" t="s">
        <v>853</v>
      </c>
      <c r="B49" s="255" t="n">
        <v>46113</v>
      </c>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row>
    <row r="50" customFormat="false" ht="15" hidden="false" customHeight="true" outlineLevel="0" collapsed="false">
      <c r="A50" s="79" t="s">
        <v>854</v>
      </c>
      <c r="B50" s="255" t="n">
        <v>46113</v>
      </c>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row>
    <row r="51" customFormat="false" ht="15" hidden="false" customHeight="true" outlineLevel="0" collapsed="false">
      <c r="A51" s="79" t="s">
        <v>855</v>
      </c>
      <c r="B51" s="255" t="n">
        <v>46235</v>
      </c>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row>
    <row r="52" customFormat="false" ht="15" hidden="false" customHeight="true" outlineLevel="0" collapsed="false">
      <c r="A52" s="79" t="s">
        <v>856</v>
      </c>
      <c r="B52" s="255" t="n">
        <v>46266</v>
      </c>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row>
    <row r="53" customFormat="false" ht="15" hidden="false" customHeight="true" outlineLevel="0" collapsed="false">
      <c r="A53" s="79" t="s">
        <v>857</v>
      </c>
      <c r="B53" s="255" t="n">
        <v>48092</v>
      </c>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row>
    <row r="54" customFormat="false" ht="15" hidden="false" customHeight="true" outlineLevel="0" collapsed="false">
      <c r="A54" s="79" t="s">
        <v>858</v>
      </c>
      <c r="B54" s="255" t="n">
        <v>47635</v>
      </c>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row>
    <row r="55" customFormat="false" ht="15" hidden="false" customHeight="true" outlineLevel="0" collapsed="false">
      <c r="A55" s="79" t="s">
        <v>859</v>
      </c>
      <c r="B55" s="256" t="s">
        <v>860</v>
      </c>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row>
    <row r="56" customFormat="false" ht="15" hidden="false" customHeight="true" outlineLevel="0" collapsed="false">
      <c r="A56" s="2" t="s">
        <v>861</v>
      </c>
      <c r="B56" s="257" t="n">
        <v>46113</v>
      </c>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row>
    <row r="57" customFormat="false" ht="15" hidden="false" customHeight="true" outlineLevel="0" collapsed="false">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I132"/>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3" topLeftCell="B18" activePane="bottomRight" state="frozen"/>
      <selection pane="topLeft" activeCell="A1" activeCellId="0" sqref="A1"/>
      <selection pane="topRight" activeCell="B1" activeCellId="0" sqref="B1"/>
      <selection pane="bottomLeft" activeCell="A18" activeCellId="0" sqref="A18"/>
      <selection pane="bottomRight" activeCell="C45" activeCellId="0" sqref="C45"/>
    </sheetView>
  </sheetViews>
  <sheetFormatPr defaultColWidth="8.7109375" defaultRowHeight="13.5" zeroHeight="false" outlineLevelRow="0" outlineLevelCol="0"/>
  <cols>
    <col collapsed="false" customWidth="true" hidden="false" outlineLevel="0" max="1" min="1" style="1" width="38"/>
    <col collapsed="false" customWidth="true" hidden="false" outlineLevel="0" max="7" min="2" style="1" width="14"/>
    <col collapsed="false" customWidth="true" hidden="false" outlineLevel="0" max="9" min="8" style="1" width="13"/>
  </cols>
  <sheetData>
    <row r="1" customFormat="false" ht="17.25" hidden="false" customHeight="true" outlineLevel="0" collapsed="false">
      <c r="A1" s="76" t="s">
        <v>862</v>
      </c>
      <c r="B1" s="76"/>
      <c r="C1" s="76"/>
      <c r="D1" s="76"/>
      <c r="E1" s="76"/>
      <c r="F1" s="76"/>
      <c r="G1" s="76"/>
      <c r="H1" s="3"/>
      <c r="I1" s="3"/>
    </row>
    <row r="2" customFormat="false" ht="15" hidden="false" customHeight="true" outlineLevel="0" collapsed="false">
      <c r="A2" s="3"/>
      <c r="B2" s="3"/>
      <c r="C2" s="3"/>
      <c r="D2" s="3"/>
      <c r="E2" s="3"/>
      <c r="F2" s="3"/>
      <c r="G2" s="3"/>
      <c r="H2" s="3"/>
      <c r="I2" s="3"/>
    </row>
    <row r="3" customFormat="false" ht="15" hidden="false" customHeight="true" outlineLevel="0" collapsed="false">
      <c r="A3" s="4" t="s">
        <v>863</v>
      </c>
      <c r="B3" s="4"/>
      <c r="C3" s="4"/>
      <c r="D3" s="4"/>
      <c r="E3" s="4"/>
      <c r="F3" s="4"/>
      <c r="G3" s="4"/>
      <c r="H3" s="3"/>
      <c r="I3" s="3"/>
    </row>
    <row r="4" customFormat="false" ht="15" hidden="false" customHeight="true" outlineLevel="0" collapsed="false">
      <c r="A4" s="23" t="s">
        <v>864</v>
      </c>
      <c r="B4" s="23" t="s">
        <v>865</v>
      </c>
      <c r="C4" s="23" t="s">
        <v>866</v>
      </c>
      <c r="D4" s="23" t="s">
        <v>867</v>
      </c>
      <c r="E4" s="23" t="s">
        <v>868</v>
      </c>
      <c r="F4" s="23" t="s">
        <v>869</v>
      </c>
      <c r="G4" s="23" t="s">
        <v>752</v>
      </c>
      <c r="H4" s="3"/>
      <c r="I4" s="3"/>
    </row>
    <row r="5" customFormat="false" ht="15" hidden="false" customHeight="true" outlineLevel="0" collapsed="false">
      <c r="A5" s="79" t="s">
        <v>870</v>
      </c>
      <c r="B5" s="258" t="n">
        <f aca="false">Assumptions!B4</f>
        <v>0.06</v>
      </c>
      <c r="C5" s="259" t="n">
        <v>0.06</v>
      </c>
      <c r="D5" s="260" t="n">
        <v>0.04</v>
      </c>
      <c r="E5" s="260" t="n">
        <v>0.08</v>
      </c>
      <c r="F5" s="79" t="s">
        <v>871</v>
      </c>
      <c r="G5" s="69" t="s">
        <v>872</v>
      </c>
      <c r="H5" s="3"/>
      <c r="I5" s="3"/>
    </row>
    <row r="6" customFormat="false" ht="15" hidden="false" customHeight="true" outlineLevel="0" collapsed="false">
      <c r="A6" s="79" t="s">
        <v>873</v>
      </c>
      <c r="B6" s="258" t="n">
        <f aca="false">Assumptions!B5</f>
        <v>0.06</v>
      </c>
      <c r="C6" s="259" t="n">
        <v>0.06</v>
      </c>
      <c r="D6" s="260" t="n">
        <v>0.04</v>
      </c>
      <c r="E6" s="260" t="n">
        <v>0.08</v>
      </c>
      <c r="F6" s="79" t="s">
        <v>871</v>
      </c>
      <c r="G6" s="69" t="s">
        <v>872</v>
      </c>
      <c r="H6" s="3"/>
      <c r="I6" s="3"/>
    </row>
    <row r="7" customFormat="false" ht="15" hidden="false" customHeight="true" outlineLevel="0" collapsed="false">
      <c r="A7" s="79" t="s">
        <v>874</v>
      </c>
      <c r="B7" s="258" t="n">
        <f aca="false">Assumptions!B6</f>
        <v>0.02</v>
      </c>
      <c r="C7" s="259" t="n">
        <v>0.02</v>
      </c>
      <c r="D7" s="260" t="n">
        <v>0.01</v>
      </c>
      <c r="E7" s="260" t="n">
        <v>0.03</v>
      </c>
      <c r="F7" s="79" t="s">
        <v>871</v>
      </c>
      <c r="G7" s="69" t="s">
        <v>875</v>
      </c>
      <c r="H7" s="3"/>
      <c r="I7" s="3"/>
    </row>
    <row r="8" customFormat="false" ht="15" hidden="false" customHeight="true" outlineLevel="0" collapsed="false">
      <c r="A8" s="79"/>
      <c r="B8" s="258"/>
      <c r="C8" s="259"/>
      <c r="D8" s="260"/>
      <c r="E8" s="260"/>
      <c r="F8" s="79"/>
      <c r="G8" s="69"/>
      <c r="H8" s="3"/>
      <c r="I8" s="3"/>
    </row>
    <row r="9" customFormat="false" ht="15" hidden="false" customHeight="true" outlineLevel="0" collapsed="false">
      <c r="A9" s="79" t="s">
        <v>876</v>
      </c>
      <c r="B9" s="258" t="n">
        <f aca="false">Assumptions!B26</f>
        <v>0.02</v>
      </c>
      <c r="C9" s="259" t="n">
        <v>0.02</v>
      </c>
      <c r="D9" s="260" t="n">
        <v>0</v>
      </c>
      <c r="E9" s="260" t="n">
        <v>0.04</v>
      </c>
      <c r="F9" s="79" t="s">
        <v>871</v>
      </c>
      <c r="G9" s="69" t="s">
        <v>877</v>
      </c>
      <c r="H9" s="3"/>
      <c r="I9" s="3"/>
    </row>
    <row r="10" customFormat="false" ht="15" hidden="false" customHeight="true" outlineLevel="0" collapsed="false">
      <c r="A10" s="79" t="s">
        <v>878</v>
      </c>
      <c r="B10" s="258" t="n">
        <f aca="false">Assumptions!B15</f>
        <v>0.015</v>
      </c>
      <c r="C10" s="259" t="n">
        <v>0.015</v>
      </c>
      <c r="D10" s="260" t="n">
        <v>0.01</v>
      </c>
      <c r="E10" s="260" t="n">
        <v>0.02</v>
      </c>
      <c r="F10" s="79" t="s">
        <v>871</v>
      </c>
      <c r="G10" s="69" t="s">
        <v>879</v>
      </c>
      <c r="H10" s="3"/>
      <c r="I10" s="3"/>
    </row>
    <row r="11" customFormat="false" ht="15" hidden="false" customHeight="true" outlineLevel="0" collapsed="false">
      <c r="A11" s="79" t="s">
        <v>880</v>
      </c>
      <c r="B11" s="258" t="n">
        <f aca="false">Assumptions!B16</f>
        <v>0.0074</v>
      </c>
      <c r="C11" s="259" t="n">
        <v>0.0074</v>
      </c>
      <c r="D11" s="260" t="n">
        <v>0.005</v>
      </c>
      <c r="E11" s="260" t="n">
        <v>0.015</v>
      </c>
      <c r="F11" s="79" t="s">
        <v>871</v>
      </c>
      <c r="G11" s="69" t="s">
        <v>881</v>
      </c>
      <c r="H11" s="3"/>
      <c r="I11" s="3"/>
    </row>
    <row r="12" customFormat="false" ht="15" hidden="false" customHeight="true" outlineLevel="0" collapsed="false">
      <c r="A12" s="79" t="s">
        <v>882</v>
      </c>
      <c r="B12" s="258" t="n">
        <f aca="false">Assumptions!B17</f>
        <v>0.0325</v>
      </c>
      <c r="C12" s="259" t="n">
        <v>0.0325</v>
      </c>
      <c r="D12" s="260" t="n">
        <v>0.02</v>
      </c>
      <c r="E12" s="260" t="n">
        <v>0.05</v>
      </c>
      <c r="F12" s="79" t="s">
        <v>871</v>
      </c>
      <c r="G12" s="69" t="s">
        <v>883</v>
      </c>
      <c r="H12" s="3"/>
      <c r="I12" s="3"/>
    </row>
    <row r="13" customFormat="false" ht="15" hidden="false" customHeight="true" outlineLevel="0" collapsed="false">
      <c r="A13" s="79" t="s">
        <v>884</v>
      </c>
      <c r="B13" s="258" t="n">
        <f aca="false">Assumptions!B34</f>
        <v>0.15</v>
      </c>
      <c r="C13" s="259" t="n">
        <v>0.15</v>
      </c>
      <c r="D13" s="260" t="n">
        <v>0.1</v>
      </c>
      <c r="E13" s="260" t="n">
        <v>0.2</v>
      </c>
      <c r="F13" s="79" t="s">
        <v>871</v>
      </c>
      <c r="G13" s="69" t="s">
        <v>885</v>
      </c>
      <c r="H13" s="3"/>
      <c r="I13" s="3"/>
    </row>
    <row r="14" customFormat="false" ht="15" hidden="false" customHeight="true" outlineLevel="0" collapsed="false">
      <c r="A14" s="79" t="s">
        <v>886</v>
      </c>
      <c r="B14" s="249" t="n">
        <f aca="false">Assumptions!B36</f>
        <v>112000</v>
      </c>
      <c r="C14" s="261" t="n">
        <v>130000</v>
      </c>
      <c r="D14" s="262" t="n">
        <v>100000</v>
      </c>
      <c r="E14" s="262" t="n">
        <v>175000</v>
      </c>
      <c r="F14" s="79" t="s">
        <v>887</v>
      </c>
      <c r="G14" s="69" t="s">
        <v>888</v>
      </c>
      <c r="H14" s="3"/>
      <c r="I14" s="3"/>
    </row>
    <row r="15" customFormat="false" ht="15" hidden="false" customHeight="true" outlineLevel="0" collapsed="false">
      <c r="A15" s="79" t="s">
        <v>889</v>
      </c>
      <c r="B15" s="258" t="n">
        <f aca="false">Assumptions!B58</f>
        <v>0.15</v>
      </c>
      <c r="C15" s="259" t="n">
        <v>0.15</v>
      </c>
      <c r="D15" s="260" t="n">
        <v>0.1</v>
      </c>
      <c r="E15" s="260" t="n">
        <v>0.2</v>
      </c>
      <c r="F15" s="79" t="s">
        <v>871</v>
      </c>
      <c r="G15" s="69" t="s">
        <v>890</v>
      </c>
      <c r="H15" s="3"/>
      <c r="I15" s="3"/>
    </row>
    <row r="16" customFormat="false" ht="15" hidden="false" customHeight="true" outlineLevel="0" collapsed="false">
      <c r="A16" s="79" t="s">
        <v>891</v>
      </c>
      <c r="B16" s="258" t="n">
        <f aca="false">Assumptions!B47</f>
        <v>0.01</v>
      </c>
      <c r="C16" s="259" t="n">
        <v>0.01</v>
      </c>
      <c r="D16" s="260" t="n">
        <v>0.005</v>
      </c>
      <c r="E16" s="260" t="n">
        <v>0.02</v>
      </c>
      <c r="F16" s="79" t="s">
        <v>871</v>
      </c>
      <c r="G16" s="69" t="s">
        <v>892</v>
      </c>
      <c r="H16" s="3"/>
      <c r="I16" s="3"/>
    </row>
    <row r="17" customFormat="false" ht="15" hidden="false" customHeight="true" outlineLevel="0" collapsed="false">
      <c r="A17" s="79" t="s">
        <v>893</v>
      </c>
      <c r="B17" s="258" t="n">
        <f aca="false">Assumptions!B48</f>
        <v>0.03</v>
      </c>
      <c r="C17" s="259" t="n">
        <v>0.03</v>
      </c>
      <c r="D17" s="260" t="n">
        <v>0.02</v>
      </c>
      <c r="E17" s="260" t="n">
        <v>0.05</v>
      </c>
      <c r="F17" s="79" t="s">
        <v>871</v>
      </c>
      <c r="G17" s="69" t="s">
        <v>894</v>
      </c>
      <c r="H17" s="3"/>
      <c r="I17" s="3"/>
    </row>
    <row r="18" customFormat="false" ht="15" hidden="false" customHeight="true" outlineLevel="0" collapsed="false">
      <c r="A18" s="79" t="s">
        <v>895</v>
      </c>
      <c r="B18" s="263" t="n">
        <v>10</v>
      </c>
      <c r="C18" s="264" t="n">
        <v>10</v>
      </c>
      <c r="D18" s="265" t="n">
        <v>5</v>
      </c>
      <c r="E18" s="265" t="n">
        <v>15</v>
      </c>
      <c r="F18" s="79" t="s">
        <v>896</v>
      </c>
      <c r="G18" s="69" t="s">
        <v>897</v>
      </c>
      <c r="H18" s="3"/>
      <c r="I18" s="3"/>
    </row>
    <row r="19" customFormat="false" ht="15" hidden="false" customHeight="true" outlineLevel="0" collapsed="false">
      <c r="A19" s="79" t="s">
        <v>898</v>
      </c>
      <c r="B19" s="266" t="n">
        <v>18700</v>
      </c>
      <c r="C19" s="261" t="n">
        <v>18700</v>
      </c>
      <c r="D19" s="262" t="n">
        <v>15000</v>
      </c>
      <c r="E19" s="262" t="n">
        <v>25000</v>
      </c>
      <c r="F19" s="79" t="s">
        <v>887</v>
      </c>
      <c r="G19" s="69" t="s">
        <v>899</v>
      </c>
      <c r="H19" s="3"/>
      <c r="I19" s="3"/>
    </row>
    <row r="20" customFormat="false" ht="15" hidden="false" customHeight="true" outlineLevel="0" collapsed="false">
      <c r="A20" s="3"/>
      <c r="B20" s="3"/>
      <c r="C20" s="3"/>
      <c r="D20" s="3"/>
      <c r="E20" s="3"/>
      <c r="F20" s="3"/>
      <c r="G20" s="3"/>
      <c r="H20" s="3"/>
      <c r="I20" s="3"/>
    </row>
    <row r="21" customFormat="false" ht="15" hidden="false" customHeight="true" outlineLevel="0" collapsed="false">
      <c r="A21" s="3"/>
      <c r="B21" s="3"/>
      <c r="C21" s="3"/>
      <c r="D21" s="3"/>
      <c r="E21" s="3"/>
      <c r="F21" s="3"/>
      <c r="G21" s="3"/>
      <c r="H21" s="3"/>
      <c r="I21" s="3"/>
    </row>
    <row r="22" customFormat="false" ht="15" hidden="false" customHeight="true" outlineLevel="0" collapsed="false">
      <c r="A22" s="4" t="s">
        <v>900</v>
      </c>
      <c r="B22" s="4"/>
      <c r="C22" s="4"/>
      <c r="D22" s="4"/>
      <c r="E22" s="4"/>
      <c r="F22" s="4"/>
      <c r="G22" s="4"/>
      <c r="H22" s="3"/>
      <c r="I22" s="3"/>
    </row>
    <row r="23" customFormat="false" ht="15" hidden="false" customHeight="true" outlineLevel="0" collapsed="false">
      <c r="A23" s="23" t="s">
        <v>546</v>
      </c>
      <c r="B23" s="23" t="s">
        <v>552</v>
      </c>
      <c r="C23" s="23" t="s">
        <v>901</v>
      </c>
      <c r="D23" s="23" t="s">
        <v>557</v>
      </c>
      <c r="E23" s="23" t="s">
        <v>549</v>
      </c>
      <c r="F23" s="23" t="s">
        <v>902</v>
      </c>
      <c r="G23" s="23" t="s">
        <v>556</v>
      </c>
      <c r="H23" s="3"/>
      <c r="I23" s="3"/>
    </row>
    <row r="24" customFormat="false" ht="15" hidden="false" customHeight="true" outlineLevel="0" collapsed="false">
      <c r="A24" s="79" t="s">
        <v>7</v>
      </c>
      <c r="B24" s="267" t="str">
        <f aca="false">Projects!$G$2</f>
        <v>Yes</v>
      </c>
      <c r="C24" s="266" t="n">
        <v>5321971</v>
      </c>
      <c r="D24" s="79" t="s">
        <v>903</v>
      </c>
      <c r="E24" s="79" t="s">
        <v>904</v>
      </c>
      <c r="F24" s="79" t="s">
        <v>567</v>
      </c>
      <c r="G24" s="79" t="s">
        <v>567</v>
      </c>
      <c r="H24" s="3"/>
      <c r="I24" s="3"/>
    </row>
    <row r="25" customFormat="false" ht="15" hidden="false" customHeight="true" outlineLevel="0" collapsed="false">
      <c r="A25" s="79" t="s">
        <v>8</v>
      </c>
      <c r="B25" s="267" t="str">
        <f aca="false">Projects!$G$3</f>
        <v>Yes</v>
      </c>
      <c r="C25" s="266" t="n">
        <v>19982132</v>
      </c>
      <c r="D25" s="79" t="s">
        <v>903</v>
      </c>
      <c r="E25" s="79" t="s">
        <v>905</v>
      </c>
      <c r="F25" s="79" t="s">
        <v>567</v>
      </c>
      <c r="G25" s="79" t="s">
        <v>567</v>
      </c>
      <c r="H25" s="3"/>
      <c r="I25" s="3"/>
    </row>
    <row r="26" customFormat="false" ht="15" hidden="false" customHeight="true" outlineLevel="0" collapsed="false">
      <c r="A26" s="79" t="s">
        <v>9</v>
      </c>
      <c r="B26" s="267" t="str">
        <f aca="false">Projects!$G$4</f>
        <v>Yes</v>
      </c>
      <c r="C26" s="266" t="n">
        <v>11673185</v>
      </c>
      <c r="D26" s="79" t="s">
        <v>906</v>
      </c>
      <c r="E26" s="79" t="s">
        <v>907</v>
      </c>
      <c r="F26" s="79" t="s">
        <v>567</v>
      </c>
      <c r="G26" s="79" t="s">
        <v>568</v>
      </c>
      <c r="H26" s="3"/>
      <c r="I26" s="3"/>
    </row>
    <row r="27" customFormat="false" ht="15" hidden="false" customHeight="true" outlineLevel="0" collapsed="false">
      <c r="A27" s="79" t="s">
        <v>10</v>
      </c>
      <c r="B27" s="267" t="str">
        <f aca="false">Projects!$G$5</f>
        <v>Yes</v>
      </c>
      <c r="C27" s="266" t="n">
        <v>13492534</v>
      </c>
      <c r="D27" s="79" t="s">
        <v>906</v>
      </c>
      <c r="E27" s="79" t="s">
        <v>907</v>
      </c>
      <c r="F27" s="79" t="s">
        <v>567</v>
      </c>
      <c r="G27" s="79" t="s">
        <v>568</v>
      </c>
      <c r="H27" s="3"/>
      <c r="I27" s="3"/>
    </row>
    <row r="28" customFormat="false" ht="15" hidden="false" customHeight="true" outlineLevel="0" collapsed="false">
      <c r="A28" s="79" t="s">
        <v>11</v>
      </c>
      <c r="B28" s="267" t="str">
        <f aca="false">Projects!$G$6</f>
        <v>Yes</v>
      </c>
      <c r="C28" s="266" t="n">
        <v>4052747</v>
      </c>
      <c r="D28" s="79" t="s">
        <v>906</v>
      </c>
      <c r="E28" s="79" t="s">
        <v>908</v>
      </c>
      <c r="F28" s="79" t="s">
        <v>567</v>
      </c>
      <c r="G28" s="79" t="s">
        <v>568</v>
      </c>
      <c r="H28" s="3"/>
      <c r="I28" s="3"/>
    </row>
    <row r="29" customFormat="false" ht="15" hidden="false" customHeight="true" outlineLevel="0" collapsed="false">
      <c r="A29" s="79" t="s">
        <v>12</v>
      </c>
      <c r="B29" s="267" t="str">
        <f aca="false">Projects!$G$7</f>
        <v>Yes</v>
      </c>
      <c r="C29" s="266" t="n">
        <v>42794765</v>
      </c>
      <c r="D29" s="79" t="s">
        <v>903</v>
      </c>
      <c r="E29" s="79" t="s">
        <v>909</v>
      </c>
      <c r="F29" s="79" t="s">
        <v>568</v>
      </c>
      <c r="G29" s="79" t="s">
        <v>568</v>
      </c>
      <c r="H29" s="3"/>
      <c r="I29" s="3"/>
    </row>
    <row r="30" customFormat="false" ht="15" hidden="false" customHeight="true" outlineLevel="0" collapsed="false">
      <c r="A30" s="79" t="s">
        <v>13</v>
      </c>
      <c r="B30" s="267" t="str">
        <f aca="false">Projects!$G$8</f>
        <v>Yes</v>
      </c>
      <c r="C30" s="266" t="n">
        <v>12993776.05</v>
      </c>
      <c r="D30" s="79" t="s">
        <v>906</v>
      </c>
      <c r="E30" s="79" t="s">
        <v>908</v>
      </c>
      <c r="F30" s="79" t="s">
        <v>567</v>
      </c>
      <c r="G30" s="79" t="s">
        <v>568</v>
      </c>
      <c r="H30" s="3"/>
      <c r="I30" s="3"/>
    </row>
    <row r="31" customFormat="false" ht="15" hidden="false" customHeight="true" outlineLevel="0" collapsed="false">
      <c r="A31" s="79" t="s">
        <v>14</v>
      </c>
      <c r="B31" s="267" t="str">
        <f aca="false">Projects!$G$9</f>
        <v>Yes</v>
      </c>
      <c r="C31" s="266" t="n">
        <v>14337010.8</v>
      </c>
      <c r="D31" s="79" t="s">
        <v>906</v>
      </c>
      <c r="E31" s="79" t="s">
        <v>910</v>
      </c>
      <c r="F31" s="79" t="s">
        <v>567</v>
      </c>
      <c r="G31" s="79" t="s">
        <v>568</v>
      </c>
      <c r="H31" s="3"/>
      <c r="I31" s="3"/>
    </row>
    <row r="32" customFormat="false" ht="15" hidden="false" customHeight="true" outlineLevel="0" collapsed="false">
      <c r="A32" s="79" t="s">
        <v>15</v>
      </c>
      <c r="B32" s="267" t="str">
        <f aca="false">Projects!$G$10</f>
        <v>Yes</v>
      </c>
      <c r="C32" s="266" t="n">
        <v>21263405</v>
      </c>
      <c r="D32" s="79" t="s">
        <v>906</v>
      </c>
      <c r="E32" s="79" t="s">
        <v>908</v>
      </c>
      <c r="F32" s="79" t="s">
        <v>567</v>
      </c>
      <c r="G32" s="79" t="s">
        <v>568</v>
      </c>
      <c r="H32" s="3"/>
      <c r="I32" s="3"/>
    </row>
    <row r="33" customFormat="false" ht="15" hidden="false" customHeight="true" outlineLevel="0" collapsed="false">
      <c r="A33" s="79" t="s">
        <v>16</v>
      </c>
      <c r="B33" s="267" t="str">
        <f aca="false">Projects!$G$11</f>
        <v>Yes</v>
      </c>
      <c r="C33" s="266" t="n">
        <v>9577109</v>
      </c>
      <c r="D33" s="79" t="s">
        <v>903</v>
      </c>
      <c r="E33" s="79" t="s">
        <v>908</v>
      </c>
      <c r="F33" s="79" t="s">
        <v>568</v>
      </c>
      <c r="G33" s="79" t="s">
        <v>567</v>
      </c>
      <c r="H33" s="3"/>
      <c r="I33" s="3"/>
    </row>
    <row r="34" customFormat="false" ht="15" hidden="false" customHeight="true" outlineLevel="0" collapsed="false">
      <c r="A34" s="79" t="s">
        <v>17</v>
      </c>
      <c r="B34" s="267" t="str">
        <f aca="false">Projects!$G$12</f>
        <v>Yes</v>
      </c>
      <c r="C34" s="266" t="n">
        <v>7545203</v>
      </c>
      <c r="D34" s="79" t="s">
        <v>903</v>
      </c>
      <c r="E34" s="79" t="s">
        <v>908</v>
      </c>
      <c r="F34" s="79" t="s">
        <v>568</v>
      </c>
      <c r="G34" s="79" t="s">
        <v>567</v>
      </c>
      <c r="H34" s="3"/>
      <c r="I34" s="3"/>
    </row>
    <row r="35" customFormat="false" ht="15" hidden="false" customHeight="true" outlineLevel="0" collapsed="false">
      <c r="A35" s="79" t="s">
        <v>18</v>
      </c>
      <c r="B35" s="267" t="str">
        <f aca="false">Projects!$G$13</f>
        <v>Yes</v>
      </c>
      <c r="C35" s="266" t="n">
        <v>45266770</v>
      </c>
      <c r="D35" s="79" t="s">
        <v>903</v>
      </c>
      <c r="E35" s="79" t="s">
        <v>910</v>
      </c>
      <c r="F35" s="79" t="s">
        <v>568</v>
      </c>
      <c r="G35" s="79" t="s">
        <v>568</v>
      </c>
      <c r="H35" s="3"/>
      <c r="I35" s="3"/>
    </row>
    <row r="36" customFormat="false" ht="15" hidden="false" customHeight="true" outlineLevel="0" collapsed="false">
      <c r="A36" s="79" t="s">
        <v>19</v>
      </c>
      <c r="B36" s="267" t="str">
        <f aca="false">Projects!$G$14</f>
        <v>Yes</v>
      </c>
      <c r="C36" s="266" t="n">
        <v>41354632</v>
      </c>
      <c r="D36" s="79" t="s">
        <v>903</v>
      </c>
      <c r="E36" s="79" t="s">
        <v>910</v>
      </c>
      <c r="F36" s="79" t="s">
        <v>568</v>
      </c>
      <c r="G36" s="79" t="s">
        <v>568</v>
      </c>
      <c r="H36" s="3"/>
      <c r="I36" s="3"/>
    </row>
    <row r="37" customFormat="false" ht="15" hidden="false" customHeight="true" outlineLevel="0" collapsed="false">
      <c r="A37" s="3"/>
      <c r="B37" s="3"/>
      <c r="C37" s="3"/>
      <c r="D37" s="3"/>
      <c r="E37" s="3"/>
      <c r="F37" s="3"/>
      <c r="G37" s="3"/>
      <c r="H37" s="3"/>
      <c r="I37" s="3"/>
    </row>
    <row r="38" customFormat="false" ht="15" hidden="false" customHeight="true" outlineLevel="0" collapsed="false">
      <c r="A38" s="3"/>
      <c r="B38" s="3"/>
      <c r="C38" s="3"/>
      <c r="D38" s="3"/>
      <c r="E38" s="3"/>
      <c r="F38" s="3"/>
      <c r="G38" s="3"/>
      <c r="H38" s="3"/>
      <c r="I38" s="3"/>
    </row>
    <row r="39" customFormat="false" ht="15" hidden="false" customHeight="true" outlineLevel="0" collapsed="false">
      <c r="A39" s="4" t="s">
        <v>911</v>
      </c>
      <c r="B39" s="4"/>
      <c r="C39" s="4"/>
      <c r="D39" s="4"/>
      <c r="E39" s="4"/>
      <c r="F39" s="4"/>
      <c r="G39" s="4"/>
      <c r="H39" s="4"/>
      <c r="I39" s="4"/>
    </row>
    <row r="40" customFormat="false" ht="15" hidden="false" customHeight="true" outlineLevel="0" collapsed="false">
      <c r="A40" s="23" t="s">
        <v>912</v>
      </c>
      <c r="B40" s="268" t="s">
        <v>268</v>
      </c>
      <c r="C40" s="268" t="s">
        <v>269</v>
      </c>
      <c r="D40" s="268" t="s">
        <v>270</v>
      </c>
      <c r="E40" s="268" t="s">
        <v>271</v>
      </c>
      <c r="F40" s="268" t="s">
        <v>272</v>
      </c>
      <c r="G40" s="268" t="s">
        <v>273</v>
      </c>
      <c r="H40" s="268" t="s">
        <v>274</v>
      </c>
      <c r="I40" s="268" t="s">
        <v>275</v>
      </c>
    </row>
    <row r="41" customFormat="false" ht="15" hidden="false" customHeight="true" outlineLevel="0" collapsed="false">
      <c r="A41" s="250" t="s">
        <v>913</v>
      </c>
      <c r="B41" s="251" t="n">
        <f aca="false">'Annual Summary'!B7</f>
        <v>56964925.6938817</v>
      </c>
      <c r="C41" s="251" t="n">
        <f aca="false">'Annual Summary'!C7</f>
        <v>114422609.867874</v>
      </c>
      <c r="D41" s="251" t="n">
        <f aca="false">'Annual Summary'!D7</f>
        <v>140954558.804248</v>
      </c>
      <c r="E41" s="251" t="n">
        <f aca="false">'Annual Summary'!E7</f>
        <v>159288383.751707</v>
      </c>
      <c r="F41" s="251" t="n">
        <f aca="false">'Annual Summary'!F7</f>
        <v>137445528.920152</v>
      </c>
      <c r="G41" s="251" t="n">
        <f aca="false">'Annual Summary'!G7</f>
        <v>101576343</v>
      </c>
      <c r="H41" s="251" t="n">
        <f aca="false">'Annual Summary'!H7</f>
        <v>8436822</v>
      </c>
      <c r="I41" s="251" t="n">
        <f aca="false">'Annual Summary'!I7</f>
        <v>0</v>
      </c>
    </row>
    <row r="42" customFormat="false" ht="15" hidden="false" customHeight="true" outlineLevel="0" collapsed="false">
      <c r="A42" s="42" t="s">
        <v>98</v>
      </c>
      <c r="B42" s="269" t="n">
        <f aca="false">'Annual Summary'!B22</f>
        <v>2163919.66254232</v>
      </c>
      <c r="C42" s="269" t="n">
        <f aca="false">'Annual Summary'!C22</f>
        <v>4352716.76010685</v>
      </c>
      <c r="D42" s="269" t="n">
        <f aca="false">'Annual Summary'!D22</f>
        <v>8287176.58179096</v>
      </c>
      <c r="E42" s="269" t="n">
        <f aca="false">'Annual Summary'!E22</f>
        <v>9995863.24683919</v>
      </c>
      <c r="F42" s="269" t="n">
        <f aca="false">'Annual Summary'!F22</f>
        <v>8972640.54940016</v>
      </c>
      <c r="G42" s="269" t="n">
        <f aca="false">'Annual Summary'!G22</f>
        <v>4599446.80212882</v>
      </c>
      <c r="H42" s="269" t="n">
        <f aca="false">'Annual Summary'!H22</f>
        <v>-3342526.14017191</v>
      </c>
      <c r="I42" s="269" t="n">
        <f aca="false">'Annual Summary'!I22</f>
        <v>-5220692.98211679</v>
      </c>
    </row>
    <row r="43" customFormat="false" ht="15" hidden="false" customHeight="true" outlineLevel="0" collapsed="false">
      <c r="A43" s="79" t="s">
        <v>914</v>
      </c>
      <c r="B43" s="258" t="n">
        <f aca="false">'Annual Summary'!B23</f>
        <v>0.0379868776476739</v>
      </c>
      <c r="C43" s="258" t="n">
        <f aca="false">'Annual Summary'!C23</f>
        <v>0.0380407051118047</v>
      </c>
      <c r="D43" s="258" t="n">
        <f aca="false">'Annual Summary'!D23</f>
        <v>0.0587932497685291</v>
      </c>
      <c r="E43" s="258" t="n">
        <f aca="false">'Annual Summary'!E23</f>
        <v>0.0627532467302849</v>
      </c>
      <c r="F43" s="258" t="n">
        <f aca="false">'Annual Summary'!F23</f>
        <v>0.0652814290860836</v>
      </c>
      <c r="G43" s="258" t="n">
        <f aca="false">'Annual Summary'!G23</f>
        <v>0.0452806890491108</v>
      </c>
      <c r="H43" s="258" t="n">
        <f aca="false">'Annual Summary'!H23</f>
        <v>-0.396183081754232</v>
      </c>
      <c r="I43" s="258" t="n">
        <f aca="false">'Annual Summary'!I23</f>
        <v>0</v>
      </c>
    </row>
    <row r="44" customFormat="false" ht="15" hidden="false" customHeight="true" outlineLevel="0" collapsed="false">
      <c r="A44" s="3"/>
      <c r="B44" s="3"/>
      <c r="C44" s="3"/>
      <c r="D44" s="3"/>
      <c r="E44" s="3"/>
      <c r="F44" s="3"/>
      <c r="G44" s="3"/>
      <c r="H44" s="3"/>
      <c r="I44" s="3"/>
    </row>
    <row r="45" customFormat="false" ht="15" hidden="false" customHeight="true" outlineLevel="0" collapsed="false">
      <c r="A45" s="250" t="s">
        <v>100</v>
      </c>
      <c r="B45" s="251" t="n">
        <f aca="false">'Annual Summary'!B25</f>
        <v>615805.64</v>
      </c>
      <c r="C45" s="251" t="n">
        <f aca="false">'Annual Summary'!C25</f>
        <v>1351293.34514286</v>
      </c>
      <c r="D45" s="251" t="n">
        <f aca="false">'Annual Summary'!D25</f>
        <v>2019553.7145</v>
      </c>
      <c r="E45" s="251" t="n">
        <f aca="false">'Annual Summary'!E25</f>
        <v>1495059.0065</v>
      </c>
      <c r="F45" s="251" t="n">
        <f aca="false">'Annual Summary'!F25</f>
        <v>1826812.922</v>
      </c>
      <c r="G45" s="251" t="n">
        <f aca="false">'Annual Summary'!G25</f>
        <v>890965.433</v>
      </c>
      <c r="H45" s="251" t="n">
        <f aca="false">'Annual Summary'!H25</f>
        <v>819993</v>
      </c>
      <c r="I45" s="251" t="n">
        <f aca="false">'Annual Summary'!I25</f>
        <v>2310160</v>
      </c>
    </row>
    <row r="46" customFormat="false" ht="15" hidden="false" customHeight="true" outlineLevel="0" collapsed="false">
      <c r="A46" s="42" t="s">
        <v>138</v>
      </c>
      <c r="B46" s="269" t="n">
        <f aca="false">'Annual Summary'!B27</f>
        <v>-1754300.95333333</v>
      </c>
      <c r="C46" s="269" t="n">
        <f aca="false">'Annual Summary'!C27</f>
        <v>-1187654.27885714</v>
      </c>
      <c r="D46" s="269" t="n">
        <f aca="false">'Annual Summary'!D27</f>
        <v>-271925.27958</v>
      </c>
      <c r="E46" s="269" t="n">
        <f aca="false">'Annual Summary'!E27</f>
        <v>-1004414.5674616</v>
      </c>
      <c r="F46" s="269" t="n">
        <f aca="false">'Annual Summary'!F27</f>
        <v>-1831774.82344083</v>
      </c>
      <c r="G46" s="269" t="n">
        <f aca="false">'Annual Summary'!G27</f>
        <v>-1962645.57734965</v>
      </c>
      <c r="H46" s="269" t="n">
        <f aca="false">'Annual Summary'!H27</f>
        <v>-2186902.62755664</v>
      </c>
      <c r="I46" s="269" t="n">
        <f aca="false">'Annual Summary'!I27</f>
        <v>-1019877.0935013</v>
      </c>
    </row>
    <row r="47" customFormat="false" ht="15" hidden="false" customHeight="true" outlineLevel="0" collapsed="false">
      <c r="A47" s="3"/>
      <c r="B47" s="3"/>
      <c r="C47" s="3"/>
      <c r="D47" s="3"/>
      <c r="E47" s="3"/>
      <c r="F47" s="3"/>
      <c r="G47" s="3"/>
      <c r="H47" s="3"/>
      <c r="I47" s="3"/>
    </row>
    <row r="48" customFormat="false" ht="15" hidden="false" customHeight="true" outlineLevel="0" collapsed="false">
      <c r="A48" s="42" t="s">
        <v>144</v>
      </c>
      <c r="B48" s="269" t="n">
        <f aca="false">'Annual Summary'!B29</f>
        <v>409618.70920899</v>
      </c>
      <c r="C48" s="269" t="n">
        <f aca="false">'Annual Summary'!C29</f>
        <v>3165062.48124971</v>
      </c>
      <c r="D48" s="269" t="n">
        <f aca="false">'Annual Summary'!D29</f>
        <v>8015251.30221096</v>
      </c>
      <c r="E48" s="269" t="n">
        <f aca="false">'Annual Summary'!E29</f>
        <v>8991448.67937759</v>
      </c>
      <c r="F48" s="269" t="n">
        <f aca="false">'Annual Summary'!F29</f>
        <v>7140865.72595933</v>
      </c>
      <c r="G48" s="269" t="n">
        <f aca="false">'Annual Summary'!G29</f>
        <v>2636801.22477918</v>
      </c>
      <c r="H48" s="269" t="n">
        <f aca="false">'Annual Summary'!H29</f>
        <v>-5529428.76772855</v>
      </c>
      <c r="I48" s="269" t="n">
        <f aca="false">'Annual Summary'!I29</f>
        <v>-6240570.07561809</v>
      </c>
    </row>
    <row r="49" customFormat="false" ht="15" hidden="false" customHeight="true" outlineLevel="0" collapsed="false">
      <c r="A49" s="3"/>
      <c r="B49" s="3"/>
      <c r="C49" s="3"/>
      <c r="D49" s="3"/>
      <c r="E49" s="3"/>
      <c r="F49" s="3"/>
      <c r="G49" s="3"/>
      <c r="H49" s="3"/>
      <c r="I49" s="3"/>
    </row>
    <row r="50" customFormat="false" ht="15" hidden="false" customHeight="true" outlineLevel="0" collapsed="false">
      <c r="A50" s="270" t="s">
        <v>915</v>
      </c>
      <c r="B50" s="271" t="n">
        <f aca="false">'Annual Summary'!B51</f>
        <v>2229655.31378602</v>
      </c>
      <c r="C50" s="271" t="n">
        <f aca="false">'Annual Summary'!C51</f>
        <v>1945413.80334272</v>
      </c>
      <c r="D50" s="271" t="n">
        <f aca="false">'Annual Summary'!D51</f>
        <v>8709942.20838621</v>
      </c>
      <c r="E50" s="271" t="n">
        <f aca="false">'Annual Summary'!E51</f>
        <v>17417531.5413281</v>
      </c>
      <c r="F50" s="271" t="n">
        <f aca="false">'Annual Summary'!F51</f>
        <v>24897548.5069811</v>
      </c>
      <c r="G50" s="271" t="n">
        <f aca="false">'Annual Summary'!G51</f>
        <v>27875770.5192603</v>
      </c>
      <c r="H50" s="271" t="n">
        <f aca="false">'Annual Summary'!H51</f>
        <v>23405481.5740317</v>
      </c>
      <c r="I50" s="271" t="n">
        <f aca="false">'Annual Summary'!I51</f>
        <v>17164911.4984136</v>
      </c>
    </row>
    <row r="51" customFormat="false" ht="15" hidden="false" customHeight="true" outlineLevel="0" collapsed="false">
      <c r="A51" s="270" t="s">
        <v>188</v>
      </c>
      <c r="B51" s="271" t="n">
        <f aca="false">'Annual Summary'!B48</f>
        <v>2168054.84711936</v>
      </c>
      <c r="C51" s="271" t="n">
        <f aca="false">'Annual Summary'!C48</f>
        <v>4415467.61553319</v>
      </c>
      <c r="D51" s="271" t="n">
        <f aca="false">'Annual Summary'!D48</f>
        <v>12353902.7304353</v>
      </c>
      <c r="E51" s="271" t="n">
        <f aca="false">'Annual Summary'!E48</f>
        <v>22315906.6308388</v>
      </c>
      <c r="F51" s="271" t="n">
        <f aca="false">'Annual Summary'!F48</f>
        <v>31877698.4199326</v>
      </c>
      <c r="G51" s="271" t="n">
        <f aca="false">'Annual Summary'!G48</f>
        <v>37068566.0095614</v>
      </c>
      <c r="H51" s="271" t="n">
        <f aca="false">'Annual Summary'!H48</f>
        <v>34785179.6918895</v>
      </c>
      <c r="I51" s="271" t="n">
        <f aca="false">'Annual Summary'!I48</f>
        <v>29564486.7097727</v>
      </c>
    </row>
    <row r="52" customFormat="false" ht="15" hidden="false" customHeight="true" outlineLevel="0" collapsed="false">
      <c r="A52" s="270" t="s">
        <v>195</v>
      </c>
      <c r="B52" s="271" t="n">
        <f aca="false">'Annual Summary'!B49</f>
        <v>61600.4666666667</v>
      </c>
      <c r="C52" s="271" t="n">
        <f aca="false">'Annual Summary'!C49</f>
        <v>-2470053.81219048</v>
      </c>
      <c r="D52" s="271" t="n">
        <f aca="false">'Annual Summary'!D49</f>
        <v>-3643960.52204908</v>
      </c>
      <c r="E52" s="271" t="n">
        <f aca="false">'Annual Summary'!E49</f>
        <v>-4898375.08951068</v>
      </c>
      <c r="F52" s="271" t="n">
        <f aca="false">'Annual Summary'!F49</f>
        <v>-6980149.91295151</v>
      </c>
      <c r="G52" s="271" t="n">
        <f aca="false">'Annual Summary'!G49</f>
        <v>-9192795.49030116</v>
      </c>
      <c r="H52" s="271" t="n">
        <f aca="false">'Annual Summary'!H49</f>
        <v>-11379698.1178578</v>
      </c>
      <c r="I52" s="271" t="n">
        <f aca="false">'Annual Summary'!I49</f>
        <v>-12399575.2113591</v>
      </c>
    </row>
    <row r="53" customFormat="false" ht="15" hidden="false" customHeight="true" outlineLevel="0" collapsed="false">
      <c r="A53" s="3"/>
      <c r="B53" s="3"/>
      <c r="C53" s="3"/>
      <c r="D53" s="3"/>
      <c r="E53" s="3"/>
      <c r="F53" s="3"/>
      <c r="G53" s="3"/>
      <c r="H53" s="3"/>
      <c r="I53" s="3"/>
    </row>
    <row r="54" customFormat="false" ht="15" hidden="false" customHeight="true" outlineLevel="0" collapsed="false">
      <c r="A54" s="79" t="s">
        <v>176</v>
      </c>
      <c r="B54" s="249" t="n">
        <f aca="false">'Annual Summary'!B46</f>
        <v>93841157.4299332</v>
      </c>
      <c r="C54" s="249" t="n">
        <f aca="false">'Annual Summary'!C46</f>
        <v>101419054.905732</v>
      </c>
      <c r="D54" s="249" t="n">
        <f aca="false">'Annual Summary'!D46</f>
        <v>62570340.652485</v>
      </c>
      <c r="E54" s="249" t="n">
        <f aca="false">'Annual Summary'!E46</f>
        <v>27179280.501624</v>
      </c>
      <c r="F54" s="249" t="n">
        <f aca="false">'Annual Summary'!F46</f>
        <v>23231535</v>
      </c>
      <c r="G54" s="249" t="n">
        <f aca="false">'Annual Summary'!G46</f>
        <v>2975850</v>
      </c>
      <c r="H54" s="249" t="n">
        <f aca="false">'Annual Summary'!H46</f>
        <v>0</v>
      </c>
      <c r="I54" s="249" t="n">
        <f aca="false">'Annual Summary'!I46</f>
        <v>0</v>
      </c>
    </row>
    <row r="55" customFormat="false" ht="15" hidden="false" customHeight="true" outlineLevel="0" collapsed="false">
      <c r="A55" s="79" t="s">
        <v>916</v>
      </c>
      <c r="B55" s="249" t="n">
        <f aca="false">'Annual Summary'!B44</f>
        <v>2378399.92018311</v>
      </c>
      <c r="C55" s="249" t="n">
        <f aca="false">'Annual Summary'!C44</f>
        <v>1714451.09866009</v>
      </c>
      <c r="D55" s="249" t="n">
        <f aca="false">'Annual Summary'!D44</f>
        <v>1035128.51554915</v>
      </c>
      <c r="E55" s="249" t="n">
        <f aca="false">'Annual Summary'!E44</f>
        <v>1199352.08415979</v>
      </c>
      <c r="F55" s="249" t="n">
        <f aca="false">'Annual Summary'!F44</f>
        <v>975331.495449082</v>
      </c>
      <c r="G55" s="249" t="n">
        <f aca="false">'Annual Summary'!G44</f>
        <v>820735.28594806</v>
      </c>
      <c r="H55" s="249" t="n">
        <f aca="false">'Annual Summary'!H44</f>
        <v>621470.381107174</v>
      </c>
      <c r="I55" s="249" t="n">
        <f aca="false">'Annual Summary'!I44</f>
        <v>233637.0833122</v>
      </c>
    </row>
    <row r="56" customFormat="false" ht="15" hidden="false" customHeight="true" outlineLevel="0" collapsed="false">
      <c r="A56" s="3"/>
      <c r="B56" s="3"/>
      <c r="C56" s="3"/>
      <c r="D56" s="3"/>
      <c r="E56" s="3"/>
      <c r="F56" s="3"/>
      <c r="G56" s="3"/>
      <c r="H56" s="3"/>
      <c r="I56" s="3"/>
    </row>
    <row r="57" customFormat="false" ht="15" hidden="false" customHeight="true" outlineLevel="0" collapsed="false">
      <c r="A57" s="3"/>
      <c r="B57" s="3"/>
      <c r="C57" s="3"/>
      <c r="D57" s="3"/>
      <c r="E57" s="3"/>
      <c r="F57" s="3"/>
      <c r="G57" s="3"/>
      <c r="H57" s="3"/>
      <c r="I57" s="3"/>
    </row>
    <row r="58" customFormat="false" ht="15" hidden="false" customHeight="true" outlineLevel="0" collapsed="false">
      <c r="A58" s="4" t="s">
        <v>917</v>
      </c>
      <c r="B58" s="4"/>
      <c r="C58" s="4"/>
      <c r="D58" s="4"/>
      <c r="E58" s="4"/>
      <c r="F58" s="4"/>
      <c r="G58" s="4"/>
      <c r="H58" s="3"/>
      <c r="I58" s="3"/>
    </row>
    <row r="59" customFormat="false" ht="15" hidden="false" customHeight="true" outlineLevel="0" collapsed="false">
      <c r="A59" s="69" t="s">
        <v>918</v>
      </c>
      <c r="B59" s="3"/>
      <c r="C59" s="3"/>
      <c r="D59" s="3"/>
      <c r="E59" s="3"/>
      <c r="F59" s="3"/>
      <c r="G59" s="3"/>
      <c r="H59" s="3"/>
      <c r="I59" s="3"/>
    </row>
    <row r="60" customFormat="false" ht="15" hidden="false" customHeight="true" outlineLevel="0" collapsed="false">
      <c r="A60" s="272" t="s">
        <v>919</v>
      </c>
      <c r="B60" s="273" t="n">
        <v>0.07</v>
      </c>
      <c r="C60" s="273" t="n">
        <v>0.08</v>
      </c>
      <c r="D60" s="273" t="n">
        <v>0.092</v>
      </c>
      <c r="E60" s="273" t="n">
        <v>0.1</v>
      </c>
      <c r="F60" s="273" t="n">
        <v>0.12</v>
      </c>
      <c r="G60" s="3"/>
      <c r="H60" s="3"/>
      <c r="I60" s="3"/>
    </row>
    <row r="61" customFormat="false" ht="15" hidden="false" customHeight="true" outlineLevel="0" collapsed="false">
      <c r="A61" s="274" t="n">
        <v>0.1</v>
      </c>
      <c r="B61" s="262" t="n">
        <v>21535794</v>
      </c>
      <c r="C61" s="262" t="n">
        <v>21353287</v>
      </c>
      <c r="D61" s="262" t="n">
        <v>21138321</v>
      </c>
      <c r="E61" s="262" t="n">
        <v>20997399</v>
      </c>
      <c r="F61" s="262" t="n">
        <v>20653180</v>
      </c>
      <c r="G61" s="3"/>
      <c r="H61" s="3"/>
      <c r="I61" s="3"/>
    </row>
    <row r="62" customFormat="false" ht="15" hidden="false" customHeight="true" outlineLevel="0" collapsed="false">
      <c r="A62" s="274" t="n">
        <v>0.12</v>
      </c>
      <c r="B62" s="262" t="n">
        <v>25408618</v>
      </c>
      <c r="C62" s="262" t="n">
        <v>25196879</v>
      </c>
      <c r="D62" s="262" t="n">
        <v>24947405</v>
      </c>
      <c r="E62" s="262" t="n">
        <v>24783816</v>
      </c>
      <c r="F62" s="262" t="n">
        <v>24384077</v>
      </c>
      <c r="G62" s="3"/>
      <c r="H62" s="3"/>
      <c r="I62" s="3"/>
    </row>
    <row r="63" customFormat="false" ht="15" hidden="false" customHeight="true" outlineLevel="0" collapsed="false">
      <c r="A63" s="274" t="n">
        <v>0.14</v>
      </c>
      <c r="B63" s="262" t="n">
        <v>29153414</v>
      </c>
      <c r="C63" s="262" t="n">
        <v>28914451</v>
      </c>
      <c r="D63" s="275" t="n">
        <v>28632817</v>
      </c>
      <c r="E63" s="262" t="n">
        <v>28448089</v>
      </c>
      <c r="F63" s="262" t="n">
        <v>27996532</v>
      </c>
      <c r="G63" s="3"/>
      <c r="H63" s="3"/>
      <c r="I63" s="3"/>
    </row>
    <row r="64" customFormat="false" ht="15" hidden="false" customHeight="true" outlineLevel="0" collapsed="false">
      <c r="A64" s="274" t="n">
        <v>0.16</v>
      </c>
      <c r="B64" s="262" t="n">
        <v>32776428</v>
      </c>
      <c r="C64" s="262" t="n">
        <v>32512102</v>
      </c>
      <c r="D64" s="262" t="n">
        <v>32200484</v>
      </c>
      <c r="E64" s="262" t="n">
        <v>31996037</v>
      </c>
      <c r="F64" s="262" t="n">
        <v>31496099</v>
      </c>
      <c r="G64" s="3"/>
      <c r="H64" s="3"/>
      <c r="I64" s="3"/>
    </row>
    <row r="65" customFormat="false" ht="15" hidden="false" customHeight="true" outlineLevel="0" collapsed="false">
      <c r="A65" s="274" t="n">
        <v>0.18</v>
      </c>
      <c r="B65" s="262" t="n">
        <v>36283506</v>
      </c>
      <c r="C65" s="262" t="n">
        <v>35995542</v>
      </c>
      <c r="D65" s="262" t="n">
        <v>35655961</v>
      </c>
      <c r="E65" s="262" t="n">
        <v>35433111</v>
      </c>
      <c r="F65" s="262" t="n">
        <v>34887986</v>
      </c>
      <c r="G65" s="3"/>
      <c r="H65" s="3"/>
      <c r="I65" s="3"/>
    </row>
    <row r="66" customFormat="false" ht="15" hidden="false" customHeight="true" outlineLevel="0" collapsed="false">
      <c r="A66" s="3"/>
      <c r="B66" s="3"/>
      <c r="C66" s="3"/>
      <c r="D66" s="3"/>
      <c r="E66" s="3"/>
      <c r="F66" s="3"/>
      <c r="G66" s="3"/>
      <c r="H66" s="3"/>
      <c r="I66" s="3"/>
    </row>
    <row r="67" customFormat="false" ht="15" hidden="false" customHeight="true" outlineLevel="0" collapsed="false">
      <c r="A67" s="3"/>
      <c r="B67" s="3"/>
      <c r="C67" s="3"/>
      <c r="D67" s="3"/>
      <c r="E67" s="3"/>
      <c r="F67" s="3"/>
      <c r="G67" s="3"/>
      <c r="H67" s="3"/>
      <c r="I67" s="3"/>
    </row>
    <row r="68" customFormat="false" ht="15" hidden="false" customHeight="true" outlineLevel="0" collapsed="false">
      <c r="A68" s="4" t="s">
        <v>920</v>
      </c>
      <c r="B68" s="4"/>
      <c r="C68" s="4"/>
      <c r="D68" s="4"/>
      <c r="E68" s="4"/>
      <c r="F68" s="4"/>
      <c r="G68" s="3"/>
      <c r="H68" s="3"/>
      <c r="I68" s="3"/>
    </row>
    <row r="69" customFormat="false" ht="15" hidden="false" customHeight="true" outlineLevel="0" collapsed="false">
      <c r="A69" s="23" t="s">
        <v>921</v>
      </c>
      <c r="B69" s="23" t="s">
        <v>922</v>
      </c>
      <c r="C69" s="23" t="s">
        <v>923</v>
      </c>
      <c r="D69" s="23" t="s">
        <v>924</v>
      </c>
      <c r="E69" s="23" t="s">
        <v>925</v>
      </c>
      <c r="F69" s="23" t="s">
        <v>926</v>
      </c>
      <c r="G69" s="3"/>
      <c r="H69" s="3"/>
      <c r="I69" s="3"/>
    </row>
    <row r="70" customFormat="false" ht="15" hidden="false" customHeight="true" outlineLevel="0" collapsed="false">
      <c r="A70" s="79" t="s">
        <v>927</v>
      </c>
      <c r="B70" s="266" t="n">
        <f aca="false">'Annual Summary'!B48</f>
        <v>2168054.84711936</v>
      </c>
      <c r="C70" s="262" t="n">
        <f aca="false">'Annual Summary'!C48</f>
        <v>4415467.61553319</v>
      </c>
      <c r="D70" s="262" t="n">
        <f aca="false">'Annual Summary'!E48</f>
        <v>22315906.6308388</v>
      </c>
      <c r="E70" s="262" t="n">
        <f aca="false">'Annual Summary'!G48</f>
        <v>37068566.0095614</v>
      </c>
      <c r="F70" s="262" t="n">
        <f aca="false">'Annual Summary'!I48</f>
        <v>29564486.7097727</v>
      </c>
      <c r="G70" s="3"/>
      <c r="H70" s="3"/>
      <c r="I70" s="3"/>
    </row>
    <row r="71" customFormat="false" ht="15" hidden="false" customHeight="true" outlineLevel="0" collapsed="false">
      <c r="A71" s="79" t="s">
        <v>928</v>
      </c>
      <c r="B71" s="266" t="n">
        <f aca="false">'Annual Summary'!B49</f>
        <v>61600.4666666667</v>
      </c>
      <c r="C71" s="262" t="n">
        <f aca="false">'Annual Summary'!C49</f>
        <v>-2470053.81219048</v>
      </c>
      <c r="D71" s="262" t="n">
        <f aca="false">'Annual Summary'!E49</f>
        <v>-4898375.08951068</v>
      </c>
      <c r="E71" s="262" t="n">
        <f aca="false">'Annual Summary'!G49</f>
        <v>-9192795.49030116</v>
      </c>
      <c r="F71" s="262" t="n">
        <f aca="false">'Annual Summary'!I49</f>
        <v>-12399575.2113591</v>
      </c>
      <c r="G71" s="3"/>
      <c r="H71" s="3"/>
      <c r="I71" s="3"/>
    </row>
    <row r="72" customFormat="false" ht="15" hidden="false" customHeight="true" outlineLevel="0" collapsed="false">
      <c r="A72" s="270" t="s">
        <v>929</v>
      </c>
      <c r="B72" s="276" t="n">
        <f aca="false">'Annual Summary'!B51</f>
        <v>2229655.31378602</v>
      </c>
      <c r="C72" s="277" t="n">
        <f aca="false">'Annual Summary'!C51</f>
        <v>1945413.80334272</v>
      </c>
      <c r="D72" s="277" t="n">
        <f aca="false">'Annual Summary'!E51</f>
        <v>17417531.5413281</v>
      </c>
      <c r="E72" s="277" t="n">
        <f aca="false">'Annual Summary'!G51</f>
        <v>27875770.5192603</v>
      </c>
      <c r="F72" s="277" t="n">
        <f aca="false">'Annual Summary'!I51</f>
        <v>17164911.4984136</v>
      </c>
      <c r="G72" s="3"/>
      <c r="H72" s="3"/>
      <c r="I72" s="3"/>
    </row>
    <row r="73" customFormat="false" ht="15" hidden="false" customHeight="true" outlineLevel="0" collapsed="false">
      <c r="A73" s="3"/>
      <c r="B73" s="3"/>
      <c r="C73" s="3"/>
      <c r="D73" s="3"/>
      <c r="E73" s="3"/>
      <c r="F73" s="3"/>
      <c r="G73" s="3"/>
      <c r="H73" s="3"/>
      <c r="I73" s="3"/>
    </row>
    <row r="74" customFormat="false" ht="15" hidden="false" customHeight="true" outlineLevel="0" collapsed="false">
      <c r="A74" s="3"/>
      <c r="B74" s="3"/>
      <c r="C74" s="3"/>
      <c r="D74" s="3"/>
      <c r="E74" s="3"/>
      <c r="F74" s="3"/>
      <c r="G74" s="3"/>
      <c r="H74" s="3"/>
      <c r="I74" s="3"/>
    </row>
    <row r="75" customFormat="false" ht="15" hidden="false" customHeight="true" outlineLevel="0" collapsed="false">
      <c r="A75" s="4" t="s">
        <v>930</v>
      </c>
      <c r="B75" s="4"/>
      <c r="C75" s="4"/>
      <c r="D75" s="4"/>
      <c r="E75" s="4"/>
      <c r="F75" s="4"/>
      <c r="G75" s="3"/>
      <c r="H75" s="3"/>
      <c r="I75" s="3"/>
    </row>
    <row r="76" customFormat="false" ht="15" hidden="false" customHeight="true" outlineLevel="0" collapsed="false">
      <c r="A76" s="23" t="s">
        <v>546</v>
      </c>
      <c r="B76" s="23" t="s">
        <v>931</v>
      </c>
      <c r="C76" s="23" t="s">
        <v>932</v>
      </c>
      <c r="D76" s="23" t="s">
        <v>933</v>
      </c>
      <c r="E76" s="23" t="s">
        <v>934</v>
      </c>
      <c r="F76" s="23" t="s">
        <v>935</v>
      </c>
      <c r="G76" s="3"/>
      <c r="H76" s="3"/>
      <c r="I76" s="3"/>
    </row>
    <row r="77" customFormat="false" ht="15" hidden="false" customHeight="true" outlineLevel="0" collapsed="false">
      <c r="A77" s="79" t="s">
        <v>16</v>
      </c>
      <c r="B77" s="254" t="n">
        <v>95771</v>
      </c>
      <c r="C77" s="254" t="n">
        <v>60000</v>
      </c>
      <c r="D77" s="254" t="n">
        <v>0</v>
      </c>
      <c r="E77" s="252" t="n">
        <v>155771</v>
      </c>
      <c r="F77" s="69" t="s">
        <v>936</v>
      </c>
      <c r="G77" s="3"/>
      <c r="H77" s="3"/>
      <c r="I77" s="3"/>
    </row>
    <row r="78" customFormat="false" ht="15" hidden="false" customHeight="true" outlineLevel="0" collapsed="false">
      <c r="A78" s="79" t="s">
        <v>17</v>
      </c>
      <c r="B78" s="254" t="n">
        <v>75452</v>
      </c>
      <c r="C78" s="254" t="n">
        <v>60000</v>
      </c>
      <c r="D78" s="254" t="n">
        <v>0</v>
      </c>
      <c r="E78" s="252" t="n">
        <v>135452</v>
      </c>
      <c r="F78" s="69" t="s">
        <v>936</v>
      </c>
      <c r="G78" s="3"/>
      <c r="H78" s="3"/>
      <c r="I78" s="3"/>
    </row>
    <row r="79" customFormat="false" ht="15" hidden="false" customHeight="true" outlineLevel="0" collapsed="false">
      <c r="A79" s="79" t="s">
        <v>12</v>
      </c>
      <c r="B79" s="254" t="n">
        <v>579684</v>
      </c>
      <c r="C79" s="254" t="n">
        <v>150000</v>
      </c>
      <c r="D79" s="254" t="n">
        <v>0</v>
      </c>
      <c r="E79" s="252" t="n">
        <v>729684</v>
      </c>
      <c r="F79" s="69" t="s">
        <v>937</v>
      </c>
      <c r="G79" s="3"/>
      <c r="H79" s="3"/>
      <c r="I79" s="3"/>
    </row>
    <row r="80" customFormat="false" ht="15" hidden="false" customHeight="true" outlineLevel="0" collapsed="false">
      <c r="A80" s="79" t="s">
        <v>18</v>
      </c>
      <c r="B80" s="254" t="n">
        <v>602668</v>
      </c>
      <c r="C80" s="254" t="n">
        <v>150000</v>
      </c>
      <c r="D80" s="254" t="n">
        <v>1450000</v>
      </c>
      <c r="E80" s="252" t="n">
        <v>752668</v>
      </c>
      <c r="F80" s="69" t="s">
        <v>937</v>
      </c>
      <c r="G80" s="3"/>
      <c r="H80" s="3"/>
      <c r="I80" s="3"/>
    </row>
    <row r="81" customFormat="false" ht="15" hidden="false" customHeight="true" outlineLevel="0" collapsed="false">
      <c r="A81" s="79" t="s">
        <v>19</v>
      </c>
      <c r="B81" s="254" t="n">
        <v>563546</v>
      </c>
      <c r="C81" s="254" t="n">
        <v>150000</v>
      </c>
      <c r="D81" s="254" t="n">
        <v>0</v>
      </c>
      <c r="E81" s="252" t="n">
        <v>713546</v>
      </c>
      <c r="F81" s="69" t="s">
        <v>938</v>
      </c>
      <c r="G81" s="3"/>
      <c r="H81" s="3"/>
      <c r="I81" s="3"/>
    </row>
    <row r="82" customFormat="false" ht="15" hidden="false" customHeight="true" outlineLevel="0" collapsed="false">
      <c r="A82" s="250" t="s">
        <v>535</v>
      </c>
      <c r="B82" s="251" t="n">
        <v>1917121</v>
      </c>
      <c r="C82" s="251" t="n">
        <v>570000</v>
      </c>
      <c r="D82" s="251" t="n">
        <v>1450000</v>
      </c>
      <c r="E82" s="251" t="n">
        <v>2487121</v>
      </c>
      <c r="F82" s="250"/>
      <c r="G82" s="3"/>
      <c r="H82" s="3"/>
      <c r="I82" s="3"/>
    </row>
    <row r="83" customFormat="false" ht="15" hidden="false" customHeight="true" outlineLevel="0" collapsed="false">
      <c r="A83" s="3"/>
      <c r="B83" s="3"/>
      <c r="C83" s="3"/>
      <c r="D83" s="3"/>
      <c r="E83" s="3"/>
      <c r="F83" s="3"/>
      <c r="G83" s="3"/>
      <c r="H83" s="3"/>
      <c r="I83" s="3"/>
    </row>
    <row r="84" customFormat="false" ht="15" hidden="false" customHeight="true" outlineLevel="0" collapsed="false">
      <c r="A84" s="3"/>
      <c r="B84" s="3"/>
      <c r="C84" s="3"/>
      <c r="D84" s="3"/>
      <c r="E84" s="3"/>
      <c r="F84" s="3"/>
      <c r="G84" s="3"/>
      <c r="H84" s="3"/>
      <c r="I84" s="3"/>
    </row>
    <row r="85" customFormat="false" ht="15" hidden="false" customHeight="true" outlineLevel="0" collapsed="false">
      <c r="A85" s="4" t="s">
        <v>939</v>
      </c>
      <c r="B85" s="4"/>
      <c r="C85" s="4"/>
      <c r="D85" s="4"/>
      <c r="E85" s="4"/>
      <c r="F85" s="4"/>
      <c r="G85" s="4"/>
      <c r="H85" s="3"/>
      <c r="I85" s="3"/>
    </row>
    <row r="86" customFormat="false" ht="15" hidden="false" customHeight="true" outlineLevel="0" collapsed="false">
      <c r="A86" s="79" t="s">
        <v>940</v>
      </c>
      <c r="B86" s="266" t="n">
        <v>86621402</v>
      </c>
      <c r="C86" s="3"/>
      <c r="D86" s="3"/>
      <c r="E86" s="3"/>
      <c r="F86" s="3"/>
      <c r="G86" s="3"/>
      <c r="H86" s="3"/>
      <c r="I86" s="3"/>
    </row>
    <row r="87" customFormat="false" ht="15" hidden="false" customHeight="true" outlineLevel="0" collapsed="false">
      <c r="A87" s="79" t="s">
        <v>941</v>
      </c>
      <c r="B87" s="278" t="n">
        <v>0.0325</v>
      </c>
      <c r="C87" s="3"/>
      <c r="D87" s="3"/>
      <c r="E87" s="3"/>
      <c r="F87" s="3"/>
      <c r="G87" s="3"/>
      <c r="H87" s="3"/>
      <c r="I87" s="3"/>
    </row>
    <row r="88" customFormat="false" ht="15" hidden="false" customHeight="true" outlineLevel="0" collapsed="false">
      <c r="A88" s="79" t="s">
        <v>942</v>
      </c>
      <c r="B88" s="259" t="n">
        <v>0.015</v>
      </c>
      <c r="C88" s="3"/>
      <c r="D88" s="3"/>
      <c r="E88" s="3"/>
      <c r="F88" s="3"/>
      <c r="G88" s="3"/>
      <c r="H88" s="3"/>
      <c r="I88" s="3"/>
    </row>
    <row r="89" customFormat="false" ht="15" hidden="false" customHeight="true" outlineLevel="0" collapsed="false">
      <c r="A89" s="23"/>
      <c r="B89" s="23" t="s">
        <v>268</v>
      </c>
      <c r="C89" s="23" t="s">
        <v>269</v>
      </c>
      <c r="D89" s="23" t="s">
        <v>270</v>
      </c>
      <c r="E89" s="23" t="s">
        <v>271</v>
      </c>
      <c r="F89" s="23" t="s">
        <v>472</v>
      </c>
      <c r="G89" s="3"/>
      <c r="H89" s="3"/>
      <c r="I89" s="3"/>
    </row>
    <row r="90" customFormat="false" ht="15" hidden="false" customHeight="true" outlineLevel="0" collapsed="false">
      <c r="A90" s="253" t="s">
        <v>943</v>
      </c>
      <c r="B90" s="254" t="n">
        <v>0</v>
      </c>
      <c r="C90" s="254" t="n">
        <v>-956261</v>
      </c>
      <c r="D90" s="254" t="n">
        <v>-1465718</v>
      </c>
      <c r="E90" s="254" t="n">
        <v>-967911</v>
      </c>
      <c r="F90" s="254" t="n">
        <v>-3389890</v>
      </c>
      <c r="G90" s="3"/>
      <c r="H90" s="3"/>
      <c r="I90" s="3"/>
    </row>
    <row r="91" customFormat="false" ht="15" hidden="false" customHeight="true" outlineLevel="0" collapsed="false">
      <c r="A91" s="267" t="s">
        <v>944</v>
      </c>
      <c r="B91" s="249" t="n">
        <v>0</v>
      </c>
      <c r="C91" s="249" t="n">
        <v>-441351</v>
      </c>
      <c r="D91" s="249" t="n">
        <v>-676485</v>
      </c>
      <c r="E91" s="249" t="n">
        <v>-446728</v>
      </c>
      <c r="F91" s="249" t="n">
        <v>-1564564</v>
      </c>
      <c r="G91" s="3"/>
      <c r="H91" s="3"/>
      <c r="I91" s="3"/>
    </row>
    <row r="92" customFormat="false" ht="15" hidden="false" customHeight="true" outlineLevel="0" collapsed="false">
      <c r="A92" s="250" t="s">
        <v>945</v>
      </c>
      <c r="B92" s="251" t="n">
        <v>0</v>
      </c>
      <c r="C92" s="251" t="n">
        <v>514910</v>
      </c>
      <c r="D92" s="251" t="n">
        <v>789233</v>
      </c>
      <c r="E92" s="251" t="n">
        <v>521183</v>
      </c>
      <c r="F92" s="251" t="n">
        <v>1825325</v>
      </c>
      <c r="G92" s="3"/>
      <c r="H92" s="3"/>
      <c r="I92" s="3"/>
    </row>
    <row r="93" customFormat="false" ht="15" hidden="false" customHeight="true" outlineLevel="0" collapsed="false">
      <c r="A93" s="3"/>
      <c r="B93" s="3"/>
      <c r="C93" s="3"/>
      <c r="D93" s="3"/>
      <c r="E93" s="3"/>
      <c r="F93" s="3"/>
      <c r="G93" s="3"/>
      <c r="H93" s="3"/>
      <c r="I93" s="3"/>
    </row>
    <row r="94" customFormat="false" ht="15" hidden="false" customHeight="true" outlineLevel="0" collapsed="false">
      <c r="A94" s="3"/>
      <c r="B94" s="3"/>
      <c r="C94" s="3"/>
      <c r="D94" s="3"/>
      <c r="E94" s="3"/>
      <c r="F94" s="3"/>
      <c r="G94" s="3"/>
      <c r="H94" s="3"/>
      <c r="I94" s="3"/>
    </row>
    <row r="95" customFormat="false" ht="15" hidden="false" customHeight="true" outlineLevel="0" collapsed="false">
      <c r="A95" s="4" t="s">
        <v>946</v>
      </c>
      <c r="B95" s="4"/>
      <c r="C95" s="4"/>
      <c r="D95" s="4"/>
      <c r="E95" s="4"/>
      <c r="F95" s="4"/>
      <c r="G95" s="4"/>
      <c r="H95" s="3"/>
      <c r="I95" s="3"/>
    </row>
    <row r="96" customFormat="false" ht="15" hidden="false" customHeight="true" outlineLevel="0" collapsed="false">
      <c r="A96" s="69" t="s">
        <v>947</v>
      </c>
      <c r="B96" s="3"/>
      <c r="C96" s="3"/>
      <c r="D96" s="3"/>
      <c r="E96" s="3"/>
      <c r="F96" s="3"/>
      <c r="G96" s="3"/>
      <c r="H96" s="3"/>
      <c r="I96" s="3"/>
    </row>
    <row r="97" customFormat="false" ht="15" hidden="false" customHeight="true" outlineLevel="0" collapsed="false">
      <c r="A97" s="23"/>
      <c r="B97" s="23" t="s">
        <v>268</v>
      </c>
      <c r="C97" s="23" t="s">
        <v>269</v>
      </c>
      <c r="D97" s="23" t="s">
        <v>270</v>
      </c>
      <c r="E97" s="23" t="s">
        <v>271</v>
      </c>
      <c r="F97" s="3"/>
      <c r="G97" s="3"/>
      <c r="H97" s="3"/>
      <c r="I97" s="3"/>
    </row>
    <row r="98" customFormat="false" ht="15" hidden="false" customHeight="true" outlineLevel="0" collapsed="false">
      <c r="A98" s="79" t="s">
        <v>948</v>
      </c>
      <c r="B98" s="262" t="n">
        <f aca="false">'Annual Summary'!B46</f>
        <v>93841157.4299332</v>
      </c>
      <c r="C98" s="262" t="n">
        <f aca="false">'Annual Summary'!C46</f>
        <v>101419054.905732</v>
      </c>
      <c r="D98" s="262" t="n">
        <f aca="false">'Annual Summary'!D46</f>
        <v>62570340.652485</v>
      </c>
      <c r="E98" s="262" t="n">
        <f aca="false">'Annual Summary'!E46</f>
        <v>27179280.501624</v>
      </c>
      <c r="F98" s="3"/>
      <c r="G98" s="3"/>
      <c r="H98" s="3"/>
      <c r="I98" s="3"/>
    </row>
    <row r="99" customFormat="false" ht="15" hidden="false" customHeight="true" outlineLevel="0" collapsed="false">
      <c r="A99" s="253" t="s">
        <v>949</v>
      </c>
      <c r="B99" s="254" t="n">
        <f aca="false">B98*0.025</f>
        <v>2346028.93574833</v>
      </c>
      <c r="C99" s="254" t="n">
        <f aca="false">C98*0.025</f>
        <v>2535476.3726433</v>
      </c>
      <c r="D99" s="254" t="n">
        <f aca="false">D98*0.025</f>
        <v>1564258.51631213</v>
      </c>
      <c r="E99" s="254" t="n">
        <f aca="false">E98*0.025</f>
        <v>679482.0125406</v>
      </c>
      <c r="F99" s="3"/>
      <c r="G99" s="3"/>
      <c r="H99" s="3"/>
      <c r="I99" s="3"/>
    </row>
    <row r="100" customFormat="false" ht="15" hidden="false" customHeight="true" outlineLevel="0" collapsed="false">
      <c r="A100" s="79" t="s">
        <v>950</v>
      </c>
      <c r="B100" s="262" t="n">
        <f aca="false">'Annual Summary'!B51</f>
        <v>2229655.31378602</v>
      </c>
      <c r="C100" s="262" t="n">
        <f aca="false">'Annual Summary'!C51</f>
        <v>1945413.80334272</v>
      </c>
      <c r="D100" s="262" t="n">
        <f aca="false">'Annual Summary'!D51</f>
        <v>8709942.20838621</v>
      </c>
      <c r="E100" s="262" t="n">
        <f aca="false">'Annual Summary'!E51</f>
        <v>17417531.5413281</v>
      </c>
      <c r="F100" s="3"/>
      <c r="G100" s="3"/>
      <c r="H100" s="3"/>
      <c r="I100" s="3"/>
    </row>
    <row r="101" customFormat="false" ht="15" hidden="false" customHeight="true" outlineLevel="0" collapsed="false">
      <c r="A101" s="79" t="s">
        <v>951</v>
      </c>
      <c r="B101" s="262" t="n">
        <f aca="false">'Annual Summary'!B22*0.05</f>
        <v>108195.983127116</v>
      </c>
      <c r="C101" s="262" t="n">
        <f aca="false">'Annual Summary'!C22*0.05</f>
        <v>217635.838005342</v>
      </c>
      <c r="D101" s="262" t="n">
        <f aca="false">'Annual Summary'!D22*0.05</f>
        <v>414358.829089548</v>
      </c>
      <c r="E101" s="262" t="n">
        <f aca="false">'Annual Summary'!E22*0.05</f>
        <v>499793.162341959</v>
      </c>
      <c r="F101" s="3"/>
      <c r="G101" s="3"/>
      <c r="H101" s="3"/>
      <c r="I101" s="3"/>
    </row>
    <row r="102" customFormat="false" ht="15" hidden="false" customHeight="true" outlineLevel="0" collapsed="false">
      <c r="A102" s="79" t="s">
        <v>952</v>
      </c>
      <c r="B102" s="262" t="n">
        <f aca="false">B100+B101</f>
        <v>2337851.29691314</v>
      </c>
      <c r="C102" s="262" t="n">
        <f aca="false">C100+C101</f>
        <v>2163049.64134806</v>
      </c>
      <c r="D102" s="262" t="n">
        <f aca="false">D100+D101</f>
        <v>9124301.03747576</v>
      </c>
      <c r="E102" s="262" t="n">
        <f aca="false">E100+E101</f>
        <v>17917324.7036701</v>
      </c>
      <c r="F102" s="3"/>
      <c r="G102" s="3"/>
      <c r="H102" s="3"/>
      <c r="I102" s="3"/>
    </row>
    <row r="103" customFormat="false" ht="15" hidden="false" customHeight="true" outlineLevel="0" collapsed="false">
      <c r="A103" s="250" t="s">
        <v>953</v>
      </c>
      <c r="B103" s="251" t="n">
        <f aca="false">B102-B99</f>
        <v>-8177.6388351894</v>
      </c>
      <c r="C103" s="251" t="n">
        <f aca="false">C102-C99</f>
        <v>-372426.731295242</v>
      </c>
      <c r="D103" s="251" t="n">
        <f aca="false">D102-D99</f>
        <v>7560042.52116363</v>
      </c>
      <c r="E103" s="251" t="n">
        <f aca="false">E102-E99</f>
        <v>17237842.6911295</v>
      </c>
      <c r="F103" s="3"/>
      <c r="G103" s="3"/>
      <c r="H103" s="3"/>
      <c r="I103" s="3"/>
    </row>
    <row r="104" customFormat="false" ht="15" hidden="false" customHeight="true" outlineLevel="0" collapsed="false">
      <c r="A104" s="3"/>
      <c r="B104" s="3"/>
      <c r="C104" s="3"/>
      <c r="D104" s="3"/>
      <c r="E104" s="3"/>
      <c r="F104" s="3"/>
      <c r="G104" s="3"/>
      <c r="H104" s="3"/>
      <c r="I104" s="3"/>
    </row>
    <row r="105" customFormat="false" ht="15" hidden="false" customHeight="true" outlineLevel="0" collapsed="false">
      <c r="A105" s="3"/>
      <c r="B105" s="3"/>
      <c r="C105" s="3"/>
      <c r="D105" s="3"/>
      <c r="E105" s="3"/>
      <c r="F105" s="3"/>
      <c r="G105" s="3"/>
      <c r="H105" s="3"/>
      <c r="I105" s="3"/>
    </row>
    <row r="106" customFormat="false" ht="15" hidden="false" customHeight="true" outlineLevel="0" collapsed="false">
      <c r="A106" s="4" t="s">
        <v>954</v>
      </c>
      <c r="B106" s="4"/>
      <c r="C106" s="4"/>
      <c r="D106" s="4"/>
      <c r="E106" s="4"/>
      <c r="F106" s="4"/>
      <c r="G106" s="4"/>
      <c r="H106" s="3"/>
      <c r="I106" s="3"/>
    </row>
    <row r="107" customFormat="false" ht="15" hidden="false" customHeight="true" outlineLevel="0" collapsed="false">
      <c r="A107" s="79" t="s">
        <v>955</v>
      </c>
      <c r="B107" s="266" t="n">
        <v>15179956</v>
      </c>
      <c r="C107" s="3"/>
      <c r="D107" s="3"/>
      <c r="E107" s="3"/>
      <c r="F107" s="3"/>
      <c r="G107" s="3"/>
      <c r="H107" s="3"/>
      <c r="I107" s="3"/>
    </row>
    <row r="108" customFormat="false" ht="15" hidden="false" customHeight="true" outlineLevel="0" collapsed="false">
      <c r="A108" s="79" t="s">
        <v>956</v>
      </c>
      <c r="B108" s="278" t="n">
        <v>0.1136</v>
      </c>
      <c r="C108" s="3"/>
      <c r="D108" s="3"/>
      <c r="E108" s="3"/>
      <c r="F108" s="3"/>
      <c r="G108" s="3"/>
      <c r="H108" s="3"/>
      <c r="I108" s="3"/>
    </row>
    <row r="109" customFormat="false" ht="15" hidden="false" customHeight="true" outlineLevel="0" collapsed="false">
      <c r="A109" s="79" t="s">
        <v>957</v>
      </c>
      <c r="B109" s="252" t="n">
        <v>1724443</v>
      </c>
      <c r="C109" s="3"/>
      <c r="D109" s="3"/>
      <c r="E109" s="3"/>
      <c r="F109" s="3"/>
      <c r="G109" s="3"/>
      <c r="H109" s="3"/>
      <c r="I109" s="3"/>
    </row>
    <row r="110" customFormat="false" ht="15" hidden="false" customHeight="true" outlineLevel="0" collapsed="false">
      <c r="A110" s="79" t="s">
        <v>958</v>
      </c>
      <c r="B110" s="279" t="n">
        <v>3</v>
      </c>
      <c r="C110" s="3"/>
      <c r="D110" s="3"/>
      <c r="E110" s="3"/>
      <c r="F110" s="3"/>
      <c r="G110" s="3"/>
      <c r="H110" s="3"/>
      <c r="I110" s="3"/>
    </row>
    <row r="111" customFormat="false" ht="15" hidden="false" customHeight="true" outlineLevel="0" collapsed="false">
      <c r="A111" s="250" t="s">
        <v>959</v>
      </c>
      <c r="B111" s="251" t="n">
        <v>45539868</v>
      </c>
      <c r="C111" s="250"/>
      <c r="D111" s="250"/>
      <c r="E111" s="250"/>
      <c r="F111" s="250"/>
      <c r="G111" s="3"/>
      <c r="H111" s="3"/>
      <c r="I111" s="3"/>
    </row>
    <row r="112" customFormat="false" ht="15" hidden="false" customHeight="true" outlineLevel="0" collapsed="false">
      <c r="A112" s="3"/>
      <c r="B112" s="3"/>
      <c r="C112" s="3"/>
      <c r="D112" s="3"/>
      <c r="E112" s="3"/>
      <c r="F112" s="3"/>
      <c r="G112" s="3"/>
      <c r="H112" s="3"/>
      <c r="I112" s="3"/>
    </row>
    <row r="113" customFormat="false" ht="15" hidden="false" customHeight="true" outlineLevel="0" collapsed="false">
      <c r="A113" s="2" t="s">
        <v>960</v>
      </c>
      <c r="B113" s="3"/>
      <c r="C113" s="3"/>
      <c r="D113" s="3"/>
      <c r="E113" s="3"/>
      <c r="F113" s="3"/>
      <c r="G113" s="3"/>
      <c r="H113" s="3"/>
      <c r="I113" s="3"/>
    </row>
    <row r="114" customFormat="false" ht="15" hidden="false" customHeight="true" outlineLevel="0" collapsed="false">
      <c r="A114" s="23"/>
      <c r="B114" s="23" t="s">
        <v>269</v>
      </c>
      <c r="C114" s="23" t="s">
        <v>270</v>
      </c>
      <c r="D114" s="23" t="s">
        <v>271</v>
      </c>
      <c r="E114" s="23" t="s">
        <v>272</v>
      </c>
      <c r="F114" s="23" t="s">
        <v>472</v>
      </c>
      <c r="G114" s="3"/>
      <c r="H114" s="3"/>
      <c r="I114" s="3"/>
    </row>
    <row r="115" customFormat="false" ht="15" hidden="false" customHeight="true" outlineLevel="0" collapsed="false">
      <c r="A115" s="79" t="s">
        <v>961</v>
      </c>
      <c r="B115" s="262" t="n">
        <v>0</v>
      </c>
      <c r="C115" s="262" t="n">
        <v>1896887</v>
      </c>
      <c r="D115" s="262" t="n">
        <v>1379554</v>
      </c>
      <c r="E115" s="262" t="n">
        <v>172444</v>
      </c>
      <c r="F115" s="252" t="n">
        <v>3448885</v>
      </c>
      <c r="G115" s="3"/>
      <c r="H115" s="3"/>
      <c r="I115" s="3"/>
    </row>
    <row r="116" customFormat="false" ht="15" hidden="false" customHeight="true" outlineLevel="0" collapsed="false">
      <c r="A116" s="79" t="s">
        <v>962</v>
      </c>
      <c r="B116" s="262" t="n">
        <v>0</v>
      </c>
      <c r="C116" s="262" t="n">
        <v>603555</v>
      </c>
      <c r="D116" s="262" t="n">
        <v>948444</v>
      </c>
      <c r="E116" s="262" t="n">
        <v>172444</v>
      </c>
      <c r="F116" s="252" t="n">
        <v>1724443</v>
      </c>
      <c r="G116" s="3"/>
      <c r="H116" s="3"/>
      <c r="I116" s="3"/>
    </row>
    <row r="117" customFormat="false" ht="15" hidden="false" customHeight="true" outlineLevel="0" collapsed="false">
      <c r="A117" s="250" t="s">
        <v>963</v>
      </c>
      <c r="B117" s="251" t="n">
        <v>0</v>
      </c>
      <c r="C117" s="251" t="n">
        <v>2500442</v>
      </c>
      <c r="D117" s="251" t="n">
        <v>2327998</v>
      </c>
      <c r="E117" s="251" t="n">
        <v>344888</v>
      </c>
      <c r="F117" s="251" t="n">
        <v>5173328</v>
      </c>
      <c r="G117" s="3"/>
      <c r="H117" s="3"/>
      <c r="I117" s="3"/>
    </row>
    <row r="118" customFormat="false" ht="15" hidden="false" customHeight="true" outlineLevel="0" collapsed="false">
      <c r="A118" s="3"/>
      <c r="B118" s="3"/>
      <c r="C118" s="3"/>
      <c r="D118" s="3"/>
      <c r="E118" s="3"/>
      <c r="F118" s="3"/>
      <c r="G118" s="3"/>
      <c r="H118" s="3"/>
      <c r="I118" s="3"/>
    </row>
    <row r="119" customFormat="false" ht="15" hidden="false" customHeight="true" outlineLevel="0" collapsed="false">
      <c r="A119" s="69" t="s">
        <v>964</v>
      </c>
      <c r="B119" s="3"/>
      <c r="C119" s="3"/>
      <c r="D119" s="3"/>
      <c r="E119" s="3"/>
      <c r="F119" s="3"/>
      <c r="G119" s="3"/>
      <c r="H119" s="3"/>
      <c r="I119" s="3"/>
    </row>
    <row r="120" customFormat="false" ht="15" hidden="false" customHeight="true" outlineLevel="0" collapsed="false">
      <c r="A120" s="3"/>
      <c r="B120" s="3"/>
      <c r="C120" s="3"/>
      <c r="D120" s="3"/>
      <c r="E120" s="3"/>
      <c r="F120" s="3"/>
      <c r="G120" s="3"/>
      <c r="H120" s="3"/>
      <c r="I120" s="3"/>
    </row>
    <row r="121" customFormat="false" ht="15" hidden="false" customHeight="true" outlineLevel="0" collapsed="false">
      <c r="A121" s="3"/>
      <c r="B121" s="3"/>
      <c r="C121" s="3"/>
      <c r="D121" s="3"/>
      <c r="E121" s="3"/>
      <c r="F121" s="3"/>
      <c r="G121" s="3"/>
      <c r="H121" s="3"/>
      <c r="I121" s="3"/>
    </row>
    <row r="122" customFormat="false" ht="15" hidden="false" customHeight="true" outlineLevel="0" collapsed="false">
      <c r="A122" s="4" t="s">
        <v>965</v>
      </c>
      <c r="B122" s="4"/>
      <c r="C122" s="4"/>
      <c r="D122" s="4"/>
      <c r="E122" s="4"/>
      <c r="F122" s="4"/>
      <c r="G122" s="4"/>
      <c r="H122" s="3"/>
      <c r="I122" s="3"/>
    </row>
    <row r="123" customFormat="false" ht="15" hidden="false" customHeight="true" outlineLevel="0" collapsed="false">
      <c r="A123" s="69" t="s">
        <v>966</v>
      </c>
      <c r="B123" s="3"/>
      <c r="C123" s="3"/>
      <c r="D123" s="3"/>
      <c r="E123" s="3"/>
      <c r="F123" s="3"/>
      <c r="G123" s="3"/>
      <c r="H123" s="3"/>
      <c r="I123" s="3"/>
    </row>
    <row r="124" customFormat="false" ht="15" hidden="false" customHeight="true" outlineLevel="0" collapsed="false">
      <c r="A124" s="23"/>
      <c r="B124" s="23" t="s">
        <v>967</v>
      </c>
      <c r="C124" s="23" t="s">
        <v>968</v>
      </c>
      <c r="D124" s="23" t="s">
        <v>752</v>
      </c>
      <c r="E124" s="3"/>
      <c r="F124" s="3"/>
      <c r="G124" s="3"/>
      <c r="H124" s="3"/>
      <c r="I124" s="3"/>
    </row>
    <row r="125" customFormat="false" ht="15" hidden="false" customHeight="true" outlineLevel="0" collapsed="false">
      <c r="A125" s="79" t="s">
        <v>969</v>
      </c>
      <c r="B125" s="266" t="n">
        <v>1450000</v>
      </c>
      <c r="C125" s="280" t="s">
        <v>970</v>
      </c>
      <c r="D125" s="69" t="s">
        <v>971</v>
      </c>
      <c r="E125" s="3"/>
      <c r="F125" s="3"/>
      <c r="G125" s="3"/>
      <c r="H125" s="3"/>
      <c r="I125" s="3"/>
    </row>
    <row r="126" customFormat="false" ht="15" hidden="false" customHeight="true" outlineLevel="0" collapsed="false">
      <c r="A126" s="79" t="s">
        <v>972</v>
      </c>
      <c r="B126" s="254" t="n">
        <v>-1450000</v>
      </c>
      <c r="C126" s="280" t="s">
        <v>973</v>
      </c>
      <c r="D126" s="69" t="s">
        <v>974</v>
      </c>
      <c r="E126" s="3"/>
      <c r="F126" s="3"/>
      <c r="G126" s="3"/>
      <c r="H126" s="3"/>
      <c r="I126" s="3"/>
    </row>
    <row r="127" customFormat="false" ht="15" hidden="false" customHeight="true" outlineLevel="0" collapsed="false">
      <c r="A127" s="79" t="s">
        <v>975</v>
      </c>
      <c r="B127" s="3"/>
      <c r="C127" s="280" t="s">
        <v>976</v>
      </c>
      <c r="D127" s="69" t="s">
        <v>977</v>
      </c>
      <c r="E127" s="3"/>
      <c r="F127" s="3"/>
      <c r="G127" s="3"/>
      <c r="H127" s="3"/>
      <c r="I127" s="3"/>
    </row>
    <row r="128" customFormat="false" ht="15" hidden="false" customHeight="true" outlineLevel="0" collapsed="false">
      <c r="A128" s="250" t="s">
        <v>978</v>
      </c>
      <c r="B128" s="251" t="n">
        <v>0</v>
      </c>
      <c r="C128" s="250" t="s">
        <v>979</v>
      </c>
      <c r="D128" s="250" t="s">
        <v>980</v>
      </c>
      <c r="E128" s="3"/>
      <c r="F128" s="3"/>
      <c r="G128" s="3"/>
      <c r="H128" s="3"/>
      <c r="I128" s="3"/>
    </row>
    <row r="129" customFormat="false" ht="15" hidden="false" customHeight="true" outlineLevel="0" collapsed="false">
      <c r="A129" s="3"/>
      <c r="B129" s="3"/>
      <c r="C129" s="3"/>
      <c r="D129" s="3"/>
      <c r="E129" s="3"/>
      <c r="F129" s="3"/>
      <c r="G129" s="3"/>
      <c r="H129" s="3"/>
      <c r="I129" s="3"/>
    </row>
    <row r="130" customFormat="false" ht="15" hidden="false" customHeight="true" outlineLevel="0" collapsed="false">
      <c r="A130" s="79" t="s">
        <v>981</v>
      </c>
      <c r="B130" s="281" t="n">
        <v>362885</v>
      </c>
      <c r="C130" s="280" t="s">
        <v>982</v>
      </c>
      <c r="D130" s="69" t="s">
        <v>983</v>
      </c>
      <c r="E130" s="3"/>
      <c r="F130" s="3"/>
      <c r="G130" s="3"/>
      <c r="H130" s="3"/>
      <c r="I130" s="3"/>
    </row>
    <row r="131" customFormat="false" ht="15" hidden="false" customHeight="true" outlineLevel="0" collapsed="false">
      <c r="A131" s="250" t="s">
        <v>984</v>
      </c>
      <c r="B131" s="251" t="n">
        <v>1812885</v>
      </c>
      <c r="C131" s="250" t="s">
        <v>985</v>
      </c>
      <c r="D131" s="250" t="s">
        <v>986</v>
      </c>
      <c r="E131" s="3"/>
      <c r="F131" s="3"/>
      <c r="G131" s="3"/>
      <c r="H131" s="3"/>
      <c r="I131" s="3"/>
    </row>
    <row r="132" customFormat="false" ht="15" hidden="false" customHeight="true" outlineLevel="0" collapsed="false">
      <c r="A132" s="3"/>
      <c r="B132" s="3"/>
      <c r="C132" s="3"/>
      <c r="D132" s="3"/>
      <c r="E132" s="3"/>
      <c r="F132" s="3"/>
      <c r="G132" s="3"/>
      <c r="H132" s="3"/>
      <c r="I132" s="3"/>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AO9"/>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109375" defaultRowHeight="13.5" zeroHeight="false" outlineLevelRow="0" outlineLevelCol="0"/>
  <cols>
    <col collapsed="false" customWidth="true" hidden="false" outlineLevel="0" max="1" min="1" style="1" width="20"/>
  </cols>
  <sheetData>
    <row r="1" customFormat="false" ht="15" hidden="false" customHeight="true" outlineLevel="0" collapsed="false">
      <c r="A1" s="4" t="s">
        <v>550</v>
      </c>
      <c r="B1" s="49" t="s">
        <v>987</v>
      </c>
      <c r="C1" s="49" t="s">
        <v>988</v>
      </c>
      <c r="D1" s="49" t="s">
        <v>989</v>
      </c>
      <c r="E1" s="49" t="s">
        <v>990</v>
      </c>
      <c r="F1" s="49" t="s">
        <v>991</v>
      </c>
      <c r="G1" s="49" t="s">
        <v>992</v>
      </c>
      <c r="H1" s="49" t="s">
        <v>993</v>
      </c>
      <c r="I1" s="49" t="s">
        <v>994</v>
      </c>
      <c r="J1" s="49" t="s">
        <v>995</v>
      </c>
      <c r="K1" s="49" t="s">
        <v>996</v>
      </c>
      <c r="L1" s="49" t="s">
        <v>997</v>
      </c>
      <c r="M1" s="49" t="s">
        <v>998</v>
      </c>
      <c r="N1" s="49" t="s">
        <v>999</v>
      </c>
      <c r="O1" s="49" t="s">
        <v>775</v>
      </c>
      <c r="P1" s="49" t="s">
        <v>1000</v>
      </c>
      <c r="Q1" s="49" t="s">
        <v>1001</v>
      </c>
      <c r="R1" s="49" t="s">
        <v>777</v>
      </c>
      <c r="S1" s="49" t="s">
        <v>1002</v>
      </c>
      <c r="T1" s="49" t="s">
        <v>1003</v>
      </c>
      <c r="U1" s="49" t="s">
        <v>1004</v>
      </c>
      <c r="V1" s="49" t="s">
        <v>1005</v>
      </c>
      <c r="W1" s="49" t="s">
        <v>779</v>
      </c>
      <c r="X1" s="49" t="s">
        <v>1006</v>
      </c>
      <c r="Y1" s="49" t="s">
        <v>1007</v>
      </c>
      <c r="Z1" s="49" t="s">
        <v>1008</v>
      </c>
      <c r="AA1" s="49" t="s">
        <v>1009</v>
      </c>
      <c r="AB1" s="49" t="s">
        <v>1010</v>
      </c>
      <c r="AC1" s="49" t="s">
        <v>1011</v>
      </c>
      <c r="AD1" s="49" t="s">
        <v>1012</v>
      </c>
      <c r="AE1" s="49" t="s">
        <v>781</v>
      </c>
      <c r="AF1" s="49" t="s">
        <v>1013</v>
      </c>
      <c r="AG1" s="49" t="s">
        <v>1014</v>
      </c>
      <c r="AH1" s="49" t="s">
        <v>1015</v>
      </c>
      <c r="AI1" s="49" t="s">
        <v>1016</v>
      </c>
      <c r="AJ1" s="49" t="s">
        <v>1017</v>
      </c>
      <c r="AK1" s="49" t="s">
        <v>1018</v>
      </c>
      <c r="AL1" s="49" t="s">
        <v>1019</v>
      </c>
      <c r="AM1" s="49" t="s">
        <v>1020</v>
      </c>
      <c r="AN1" s="49" t="s">
        <v>1021</v>
      </c>
      <c r="AO1" s="49" t="s">
        <v>1022</v>
      </c>
    </row>
    <row r="2" customFormat="false" ht="15" hidden="false" customHeight="true" outlineLevel="0" collapsed="false">
      <c r="A2" s="177" t="s">
        <v>1023</v>
      </c>
      <c r="B2" s="282" t="n">
        <v>0.016101</v>
      </c>
      <c r="C2" s="282" t="n">
        <v>0.018518</v>
      </c>
      <c r="D2" s="282" t="n">
        <v>0.021087</v>
      </c>
      <c r="E2" s="282" t="n">
        <v>0.023773</v>
      </c>
      <c r="F2" s="282" t="n">
        <v>0.026535</v>
      </c>
      <c r="G2" s="282" t="n">
        <v>0.029323</v>
      </c>
      <c r="H2" s="282" t="n">
        <v>0.032082</v>
      </c>
      <c r="I2" s="282" t="n">
        <v>0.034752</v>
      </c>
      <c r="J2" s="282" t="n">
        <v>0.037269</v>
      </c>
      <c r="K2" s="282" t="n">
        <v>0.039572</v>
      </c>
      <c r="L2" s="282" t="n">
        <v>0.041599</v>
      </c>
      <c r="M2" s="282" t="n">
        <v>0.043295</v>
      </c>
      <c r="N2" s="282" t="n">
        <v>0.044613</v>
      </c>
      <c r="O2" s="282" t="n">
        <v>0.045513</v>
      </c>
      <c r="P2" s="282" t="n">
        <v>0.04597</v>
      </c>
      <c r="Q2" s="282" t="n">
        <v>0.04597</v>
      </c>
      <c r="R2" s="282" t="n">
        <v>0.045513</v>
      </c>
      <c r="S2" s="282" t="n">
        <v>0.044613</v>
      </c>
      <c r="T2" s="282" t="n">
        <v>0.043295</v>
      </c>
      <c r="U2" s="282" t="n">
        <v>0.041599</v>
      </c>
      <c r="V2" s="282" t="n">
        <v>0.039572</v>
      </c>
      <c r="W2" s="282" t="n">
        <v>0.037269</v>
      </c>
      <c r="X2" s="282" t="n">
        <v>0.034752</v>
      </c>
      <c r="Y2" s="282" t="n">
        <v>0.032082</v>
      </c>
      <c r="Z2" s="282" t="n">
        <v>0.029323</v>
      </c>
      <c r="AA2" s="282" t="n">
        <v>0.026535</v>
      </c>
      <c r="AB2" s="282" t="n">
        <v>0.023773</v>
      </c>
      <c r="AC2" s="282" t="n">
        <v>0.021087</v>
      </c>
      <c r="AD2" s="282" t="n">
        <v>0.018518</v>
      </c>
      <c r="AE2" s="282" t="n">
        <v>0.016101</v>
      </c>
    </row>
    <row r="3" customFormat="false" ht="15" hidden="false" customHeight="true" outlineLevel="0" collapsed="false">
      <c r="A3" s="177" t="s">
        <v>1024</v>
      </c>
      <c r="B3" s="282" t="n">
        <v>0.020497</v>
      </c>
      <c r="C3" s="282" t="n">
        <v>0.024336</v>
      </c>
      <c r="D3" s="282" t="n">
        <v>0.028445</v>
      </c>
      <c r="E3" s="282" t="n">
        <v>0.032735</v>
      </c>
      <c r="F3" s="282" t="n">
        <v>0.037087</v>
      </c>
      <c r="G3" s="282" t="n">
        <v>0.041368</v>
      </c>
      <c r="H3" s="282" t="n">
        <v>0.045428</v>
      </c>
      <c r="I3" s="282" t="n">
        <v>0.049114</v>
      </c>
      <c r="J3" s="282" t="n">
        <v>0.052278</v>
      </c>
      <c r="K3" s="282" t="n">
        <v>0.054783</v>
      </c>
      <c r="L3" s="282" t="n">
        <v>0.05652</v>
      </c>
      <c r="M3" s="282" t="n">
        <v>0.057409</v>
      </c>
      <c r="N3" s="282" t="n">
        <v>0.057409</v>
      </c>
      <c r="O3" s="282" t="n">
        <v>0.05652</v>
      </c>
      <c r="P3" s="282" t="n">
        <v>0.054783</v>
      </c>
      <c r="Q3" s="282" t="n">
        <v>0.052278</v>
      </c>
      <c r="R3" s="282" t="n">
        <v>0.049114</v>
      </c>
      <c r="S3" s="282" t="n">
        <v>0.045428</v>
      </c>
      <c r="T3" s="282" t="n">
        <v>0.041368</v>
      </c>
      <c r="U3" s="282" t="n">
        <v>0.037087</v>
      </c>
      <c r="V3" s="282" t="n">
        <v>0.032735</v>
      </c>
      <c r="W3" s="282" t="n">
        <v>0.028445</v>
      </c>
      <c r="X3" s="282" t="n">
        <v>0.024336</v>
      </c>
      <c r="Y3" s="282" t="n">
        <v>0.020497</v>
      </c>
    </row>
    <row r="4" customFormat="false" ht="15" hidden="false" customHeight="true" outlineLevel="0" collapsed="false">
      <c r="A4" s="177" t="s">
        <v>1025</v>
      </c>
      <c r="B4" s="282" t="n">
        <v>0.026517</v>
      </c>
      <c r="C4" s="282" t="n">
        <v>0.032761</v>
      </c>
      <c r="D4" s="282" t="n">
        <v>0.039482</v>
      </c>
      <c r="E4" s="282" t="n">
        <v>0.046412</v>
      </c>
      <c r="F4" s="282" t="n">
        <v>0.053218</v>
      </c>
      <c r="G4" s="282" t="n">
        <v>0.059522</v>
      </c>
      <c r="H4" s="282" t="n">
        <v>0.064937</v>
      </c>
      <c r="I4" s="282" t="n">
        <v>0.069104</v>
      </c>
      <c r="J4" s="282" t="n">
        <v>0.071732</v>
      </c>
      <c r="K4" s="282" t="n">
        <v>0.07263</v>
      </c>
      <c r="L4" s="282" t="n">
        <v>0.071732</v>
      </c>
      <c r="M4" s="282" t="n">
        <v>0.069104</v>
      </c>
      <c r="N4" s="282" t="n">
        <v>0.064937</v>
      </c>
      <c r="O4" s="282" t="n">
        <v>0.059522</v>
      </c>
      <c r="P4" s="282" t="n">
        <v>0.053218</v>
      </c>
      <c r="Q4" s="282" t="n">
        <v>0.046412</v>
      </c>
      <c r="R4" s="282" t="n">
        <v>0.039482</v>
      </c>
      <c r="S4" s="282" t="n">
        <v>0.032761</v>
      </c>
      <c r="T4" s="282" t="n">
        <v>0.026517</v>
      </c>
    </row>
    <row r="5" customFormat="false" ht="15" hidden="false" customHeight="true" outlineLevel="0" collapsed="false">
      <c r="A5" s="283" t="s">
        <v>1026</v>
      </c>
    </row>
    <row r="6" customFormat="false" ht="15" hidden="false" customHeight="true" outlineLevel="0" collapsed="false">
      <c r="A6" s="177" t="s">
        <v>7</v>
      </c>
      <c r="B6" s="282" t="n">
        <v>0.176029532991649</v>
      </c>
      <c r="C6" s="282" t="n">
        <v>0.162818536970001</v>
      </c>
      <c r="D6" s="282" t="n">
        <v>0.148267087201176</v>
      </c>
      <c r="E6" s="282" t="n">
        <v>0.1329235511272</v>
      </c>
      <c r="F6" s="282" t="n">
        <v>0.117325543887316</v>
      </c>
      <c r="G6" s="282" t="n">
        <v>0.101949750904986</v>
      </c>
      <c r="H6" s="282" t="n">
        <v>0.0872226801906742</v>
      </c>
      <c r="I6" s="282" t="n">
        <v>0.073463316726999</v>
      </c>
    </row>
    <row r="7" customFormat="false" ht="15" hidden="false" customHeight="true" outlineLevel="0" collapsed="false">
      <c r="A7" s="177" t="s">
        <v>8</v>
      </c>
      <c r="B7" s="282" t="n">
        <v>0.0725086339616361</v>
      </c>
      <c r="C7" s="282" t="n">
        <v>0.0759830233429035</v>
      </c>
      <c r="D7" s="282" t="n">
        <v>0.0783922107102734</v>
      </c>
      <c r="E7" s="282" t="n">
        <v>0.0796252375206314</v>
      </c>
      <c r="F7" s="282" t="n">
        <v>0.0796252375206314</v>
      </c>
      <c r="G7" s="282" t="n">
        <v>0.0783922107102734</v>
      </c>
      <c r="H7" s="282" t="n">
        <v>0.0759830233429035</v>
      </c>
      <c r="I7" s="282" t="n">
        <v>0.0725086339616361</v>
      </c>
      <c r="J7" s="282" t="n">
        <v>0.0681202235814644</v>
      </c>
      <c r="K7" s="282" t="n">
        <v>0.0630078087074717</v>
      </c>
      <c r="L7" s="282" t="n">
        <v>0.0573766626444195</v>
      </c>
      <c r="M7" s="282" t="n">
        <v>0.051438993606014</v>
      </c>
      <c r="N7" s="282" t="n">
        <v>0.0454028488605945</v>
      </c>
      <c r="O7" s="282" t="n">
        <v>0.0394526969860886</v>
      </c>
      <c r="P7" s="282" t="n">
        <v>0.0337535888153789</v>
      </c>
      <c r="Q7" s="282" t="n">
        <v>0.02842896572768</v>
      </c>
    </row>
    <row r="8" customFormat="false" ht="15" hidden="false" customHeight="true" outlineLevel="0" collapsed="false">
      <c r="A8" s="177" t="s">
        <v>9</v>
      </c>
      <c r="B8" s="282" t="n">
        <v>0.0622557988273664</v>
      </c>
      <c r="C8" s="282" t="n">
        <v>0.0696303817844058</v>
      </c>
      <c r="D8" s="282" t="n">
        <v>0.0759649894481697</v>
      </c>
      <c r="E8" s="282" t="n">
        <v>0.0808396542930274</v>
      </c>
      <c r="F8" s="282" t="n">
        <v>0.0839139569597627</v>
      </c>
      <c r="G8" s="282" t="n">
        <v>0.0849644606868282</v>
      </c>
      <c r="H8" s="282" t="n">
        <v>0.0839139569597627</v>
      </c>
      <c r="I8" s="282" t="n">
        <v>0.0808396542930274</v>
      </c>
      <c r="J8" s="282" t="n">
        <v>0.0759649894481697</v>
      </c>
      <c r="K8" s="282" t="n">
        <v>0.0696303817844058</v>
      </c>
      <c r="L8" s="282" t="n">
        <v>0.0622557988273664</v>
      </c>
      <c r="M8" s="282" t="n">
        <v>0.0542939632300299</v>
      </c>
      <c r="N8" s="282" t="n">
        <v>0.0461870692115841</v>
      </c>
      <c r="O8" s="282" t="n">
        <v>0.038324668822266</v>
      </c>
      <c r="P8" s="282" t="n">
        <v>0.031020275423828</v>
      </c>
    </row>
    <row r="9" customFormat="false" ht="15" hidden="false" customHeight="true" outlineLevel="0" collapsed="false">
      <c r="A9" s="177" t="s">
        <v>10</v>
      </c>
      <c r="B9" s="282" t="n">
        <v>0.0622557988273664</v>
      </c>
      <c r="C9" s="282" t="n">
        <v>0.0696303817844058</v>
      </c>
      <c r="D9" s="282" t="n">
        <v>0.0759649894481697</v>
      </c>
      <c r="E9" s="282" t="n">
        <v>0.0808396542930274</v>
      </c>
      <c r="F9" s="282" t="n">
        <v>0.0839139569597627</v>
      </c>
      <c r="G9" s="282" t="n">
        <v>0.0849644606868282</v>
      </c>
      <c r="H9" s="282" t="n">
        <v>0.0839139569597627</v>
      </c>
      <c r="I9" s="282" t="n">
        <v>0.0808396542930274</v>
      </c>
      <c r="J9" s="282" t="n">
        <v>0.0759649894481697</v>
      </c>
      <c r="K9" s="282" t="n">
        <v>0.0696303817844058</v>
      </c>
      <c r="L9" s="282" t="n">
        <v>0.0622557988273664</v>
      </c>
      <c r="M9" s="282" t="n">
        <v>0.0542939632300299</v>
      </c>
      <c r="N9" s="282" t="n">
        <v>0.0461870692115841</v>
      </c>
      <c r="O9" s="282" t="n">
        <v>0.038324668822266</v>
      </c>
      <c r="P9" s="282" t="n">
        <v>0.031020275423828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D149"/>
  <sheetViews>
    <sheetView showFormulas="false" showGridLines="true" showRowColHeaders="true" showZeros="true" rightToLeft="false" tabSelected="true" showOutlineSymbols="true" defaultGridColor="true" view="normal" topLeftCell="A1" colorId="64" zoomScale="85" zoomScaleNormal="85" zoomScalePageLayoutView="100" workbookViewId="0">
      <selection pane="topLeft" activeCell="F283" activeCellId="0" sqref="F283"/>
    </sheetView>
  </sheetViews>
  <sheetFormatPr defaultColWidth="8.7109375" defaultRowHeight="13.5" zeroHeight="false" outlineLevelRow="0" outlineLevelCol="0"/>
  <cols>
    <col collapsed="false" customWidth="true" hidden="false" outlineLevel="0" max="1" min="1" style="1" width="40"/>
    <col collapsed="false" customWidth="true" hidden="false" outlineLevel="0" max="2" min="2" style="1" width="30"/>
    <col collapsed="false" customWidth="true" hidden="false" outlineLevel="0" max="3" min="3" style="1" width="22"/>
  </cols>
  <sheetData>
    <row r="1" customFormat="false" ht="17.25" hidden="false" customHeight="true" outlineLevel="0" collapsed="false">
      <c r="A1" s="284" t="s">
        <v>1027</v>
      </c>
      <c r="B1" s="284"/>
      <c r="C1" s="284"/>
      <c r="D1" s="284"/>
    </row>
    <row r="3" customFormat="false" ht="15" hidden="false" customHeight="true" outlineLevel="0" collapsed="false">
      <c r="A3" s="23" t="s">
        <v>1028</v>
      </c>
      <c r="B3" s="23"/>
      <c r="C3" s="23"/>
      <c r="D3" s="23"/>
    </row>
    <row r="4" customFormat="false" ht="15" hidden="false" customHeight="true" outlineLevel="0" collapsed="false">
      <c r="A4" s="177" t="s">
        <v>1029</v>
      </c>
      <c r="B4" s="282" t="n">
        <v>0.06</v>
      </c>
    </row>
    <row r="5" customFormat="false" ht="15" hidden="false" customHeight="true" outlineLevel="0" collapsed="false">
      <c r="A5" s="177" t="s">
        <v>873</v>
      </c>
      <c r="B5" s="282" t="n">
        <v>0.06</v>
      </c>
    </row>
    <row r="6" customFormat="false" ht="15" hidden="false" customHeight="true" outlineLevel="0" collapsed="false">
      <c r="A6" s="177" t="s">
        <v>1030</v>
      </c>
      <c r="B6" s="282" t="n">
        <v>0.02</v>
      </c>
    </row>
    <row r="7" customFormat="false" ht="15" hidden="false" customHeight="true" outlineLevel="0" collapsed="false">
      <c r="A7" s="177" t="s">
        <v>1031</v>
      </c>
      <c r="B7" s="180" t="n">
        <f aca="false">B4+B5+B6</f>
        <v>0.14</v>
      </c>
    </row>
    <row r="8" customFormat="false" ht="15" hidden="false" customHeight="true" outlineLevel="0" collapsed="false">
      <c r="A8" s="177"/>
      <c r="B8" s="282"/>
    </row>
    <row r="9" customFormat="false" ht="15" hidden="false" customHeight="true" outlineLevel="0" collapsed="false">
      <c r="A9" s="177" t="s">
        <v>1032</v>
      </c>
      <c r="B9" s="180" t="n">
        <f aca="false">SUM(B10:B12)</f>
        <v>0.120391</v>
      </c>
      <c r="C9" s="1" t="s">
        <v>1033</v>
      </c>
    </row>
    <row r="10" customFormat="false" ht="15" hidden="false" customHeight="true" outlineLevel="0" collapsed="false">
      <c r="A10" s="177" t="s">
        <v>1034</v>
      </c>
      <c r="B10" s="180" t="n">
        <v>0.051596</v>
      </c>
    </row>
    <row r="11" customFormat="false" ht="15" hidden="false" customHeight="true" outlineLevel="0" collapsed="false">
      <c r="A11" s="177" t="s">
        <v>1035</v>
      </c>
      <c r="B11" s="180" t="n">
        <v>0.051596</v>
      </c>
    </row>
    <row r="12" customFormat="false" ht="15" hidden="false" customHeight="true" outlineLevel="0" collapsed="false">
      <c r="A12" s="177" t="s">
        <v>1036</v>
      </c>
      <c r="B12" s="180" t="n">
        <v>0.017199</v>
      </c>
    </row>
    <row r="14" customFormat="false" ht="15" hidden="false" customHeight="true" outlineLevel="0" collapsed="false">
      <c r="A14" s="23" t="s">
        <v>1037</v>
      </c>
      <c r="B14" s="23"/>
      <c r="C14" s="23"/>
      <c r="D14" s="23"/>
    </row>
    <row r="15" customFormat="false" ht="15" hidden="false" customHeight="true" outlineLevel="0" collapsed="false">
      <c r="A15" s="177" t="s">
        <v>878</v>
      </c>
      <c r="B15" s="282" t="n">
        <v>0.015</v>
      </c>
    </row>
    <row r="16" customFormat="false" ht="15" hidden="false" customHeight="true" outlineLevel="0" collapsed="false">
      <c r="A16" s="177" t="s">
        <v>880</v>
      </c>
      <c r="B16" s="282" t="n">
        <v>0.0074</v>
      </c>
    </row>
    <row r="17" customFormat="false" ht="15" hidden="false" customHeight="true" outlineLevel="0" collapsed="false">
      <c r="A17" s="177" t="s">
        <v>882</v>
      </c>
      <c r="B17" s="282" t="n">
        <v>0.0325</v>
      </c>
    </row>
    <row r="18" customFormat="false" ht="15" hidden="false" customHeight="true" outlineLevel="0" collapsed="false">
      <c r="A18" s="1" t="s">
        <v>1038</v>
      </c>
      <c r="B18" s="285" t="n">
        <f aca="false">103966/14337010.8</f>
        <v>0.00725158134079107</v>
      </c>
      <c r="C18" s="1" t="s">
        <v>1039</v>
      </c>
      <c r="D18" s="286"/>
    </row>
    <row r="19" customFormat="false" ht="15" hidden="false" customHeight="true" outlineLevel="0" collapsed="false">
      <c r="A19" s="23" t="s">
        <v>1040</v>
      </c>
      <c r="B19" s="23"/>
      <c r="C19" s="23"/>
      <c r="D19" s="23"/>
    </row>
    <row r="20" customFormat="false" ht="15" hidden="false" customHeight="true" outlineLevel="0" collapsed="false">
      <c r="A20" s="177" t="s">
        <v>1041</v>
      </c>
      <c r="B20" s="282" t="n">
        <v>0.07</v>
      </c>
    </row>
    <row r="21" customFormat="false" ht="15" hidden="false" customHeight="true" outlineLevel="0" collapsed="false">
      <c r="A21" s="177" t="s">
        <v>1042</v>
      </c>
      <c r="B21" s="282" t="n">
        <v>0.005</v>
      </c>
    </row>
    <row r="22" customFormat="false" ht="15" hidden="false" customHeight="true" outlineLevel="0" collapsed="false">
      <c r="A22" s="177" t="s">
        <v>1043</v>
      </c>
      <c r="B22" s="282" t="n">
        <v>0.05</v>
      </c>
    </row>
    <row r="23" customFormat="false" ht="15" hidden="false" customHeight="true" outlineLevel="0" collapsed="false">
      <c r="A23" s="177" t="s">
        <v>1044</v>
      </c>
      <c r="B23" s="282" t="n">
        <v>0.02</v>
      </c>
    </row>
    <row r="25" customFormat="false" ht="15" hidden="false" customHeight="true" outlineLevel="0" collapsed="false">
      <c r="A25" s="23" t="s">
        <v>1045</v>
      </c>
      <c r="B25" s="23"/>
      <c r="C25" s="23"/>
      <c r="D25" s="23"/>
    </row>
    <row r="26" customFormat="false" ht="15" hidden="false" customHeight="true" outlineLevel="0" collapsed="false">
      <c r="A26" s="177" t="s">
        <v>1046</v>
      </c>
      <c r="B26" s="259" t="n">
        <v>0.02</v>
      </c>
    </row>
    <row r="28" customFormat="false" ht="15" hidden="false" customHeight="true" outlineLevel="0" collapsed="false">
      <c r="A28" s="23" t="s">
        <v>1047</v>
      </c>
      <c r="B28" s="23"/>
      <c r="C28" s="23"/>
      <c r="D28" s="23"/>
    </row>
    <row r="29" customFormat="false" ht="15" hidden="false" customHeight="true" outlineLevel="0" collapsed="false">
      <c r="A29" s="177" t="s">
        <v>1048</v>
      </c>
      <c r="B29" s="261" t="n">
        <v>1287106</v>
      </c>
    </row>
    <row r="30" customFormat="false" ht="15" hidden="false" customHeight="true" outlineLevel="0" collapsed="false">
      <c r="A30" s="177" t="s">
        <v>1049</v>
      </c>
      <c r="B30" s="261" t="n">
        <v>658190</v>
      </c>
    </row>
    <row r="32" customFormat="false" ht="15" hidden="false" customHeight="true" outlineLevel="0" collapsed="false">
      <c r="A32" s="23" t="s">
        <v>1050</v>
      </c>
      <c r="B32" s="23"/>
      <c r="C32" s="23"/>
      <c r="D32" s="23"/>
    </row>
    <row r="33" customFormat="false" ht="15" hidden="false" customHeight="true" outlineLevel="0" collapsed="false">
      <c r="A33" s="177" t="s">
        <v>1051</v>
      </c>
      <c r="B33" s="261" t="n">
        <v>1615485</v>
      </c>
    </row>
    <row r="34" customFormat="false" ht="15" hidden="false" customHeight="true" outlineLevel="0" collapsed="false">
      <c r="A34" s="177" t="s">
        <v>1052</v>
      </c>
      <c r="B34" s="282" t="n">
        <v>0.15</v>
      </c>
    </row>
    <row r="35" customFormat="false" ht="15" hidden="false" customHeight="true" outlineLevel="0" collapsed="false">
      <c r="A35" s="177" t="s">
        <v>1053</v>
      </c>
      <c r="B35" s="180" t="n">
        <f aca="false">B34/4</f>
        <v>0.0375</v>
      </c>
    </row>
    <row r="36" customFormat="false" ht="15" hidden="false" customHeight="true" outlineLevel="0" collapsed="false">
      <c r="A36" s="177" t="s">
        <v>1054</v>
      </c>
      <c r="B36" s="261" t="n">
        <v>112000</v>
      </c>
    </row>
    <row r="37" customFormat="false" ht="15" hidden="false" customHeight="true" outlineLevel="0" collapsed="false">
      <c r="A37" s="177" t="s">
        <v>1055</v>
      </c>
      <c r="B37" s="287" t="n">
        <v>10</v>
      </c>
    </row>
    <row r="38" customFormat="false" ht="15" hidden="false" customHeight="true" outlineLevel="0" collapsed="false">
      <c r="A38" s="288" t="s">
        <v>1056</v>
      </c>
    </row>
    <row r="40" customFormat="false" ht="15" hidden="false" customHeight="true" outlineLevel="0" collapsed="false">
      <c r="A40" s="23" t="s">
        <v>1057</v>
      </c>
      <c r="B40" s="23"/>
      <c r="C40" s="23"/>
      <c r="D40" s="23"/>
    </row>
    <row r="41" customFormat="false" ht="15" hidden="false" customHeight="true" outlineLevel="0" collapsed="false">
      <c r="A41" s="177" t="s">
        <v>1058</v>
      </c>
      <c r="B41" s="261" t="n">
        <v>1000000</v>
      </c>
    </row>
    <row r="42" customFormat="false" ht="15" hidden="false" customHeight="true" outlineLevel="0" collapsed="false">
      <c r="A42" s="177" t="s">
        <v>1059</v>
      </c>
      <c r="B42" s="289" t="n">
        <f aca="false">B41*0.25</f>
        <v>250000</v>
      </c>
    </row>
    <row r="43" customFormat="false" ht="15" hidden="false" customHeight="true" outlineLevel="0" collapsed="false">
      <c r="A43" s="177" t="s">
        <v>1060</v>
      </c>
      <c r="B43" s="261" t="n">
        <v>1000000</v>
      </c>
    </row>
    <row r="44" customFormat="false" ht="15" hidden="false" customHeight="true" outlineLevel="0" collapsed="false">
      <c r="A44" s="288" t="s">
        <v>1061</v>
      </c>
    </row>
    <row r="46" customFormat="false" ht="15" hidden="false" customHeight="true" outlineLevel="0" collapsed="false">
      <c r="A46" s="23" t="s">
        <v>1062</v>
      </c>
      <c r="B46" s="23"/>
      <c r="C46" s="23"/>
      <c r="D46" s="23"/>
    </row>
    <row r="47" customFormat="false" ht="15" hidden="false" customHeight="true" outlineLevel="0" collapsed="false">
      <c r="A47" s="177" t="s">
        <v>1063</v>
      </c>
      <c r="B47" s="282" t="n">
        <v>0.01</v>
      </c>
    </row>
    <row r="48" customFormat="false" ht="15" hidden="false" customHeight="true" outlineLevel="0" collapsed="false">
      <c r="A48" s="177" t="s">
        <v>1064</v>
      </c>
      <c r="B48" s="282" t="n">
        <v>0.03</v>
      </c>
    </row>
    <row r="50" customFormat="false" ht="15" hidden="false" customHeight="true" outlineLevel="0" collapsed="false">
      <c r="A50" s="23" t="s">
        <v>1065</v>
      </c>
      <c r="B50" s="23"/>
      <c r="C50" s="290"/>
      <c r="D50" s="23"/>
    </row>
    <row r="51" customFormat="false" ht="15" hidden="false" customHeight="true" outlineLevel="0" collapsed="false">
      <c r="A51" s="177" t="s">
        <v>16</v>
      </c>
      <c r="B51" s="261" t="n">
        <v>2000000</v>
      </c>
    </row>
    <row r="52" customFormat="false" ht="15" hidden="false" customHeight="true" outlineLevel="0" collapsed="false">
      <c r="A52" s="177" t="s">
        <v>17</v>
      </c>
      <c r="B52" s="261" t="n">
        <v>2000000</v>
      </c>
    </row>
    <row r="53" customFormat="false" ht="15" hidden="false" customHeight="true" outlineLevel="0" collapsed="false">
      <c r="A53" s="177" t="s">
        <v>12</v>
      </c>
      <c r="B53" s="261" t="n">
        <v>5000000</v>
      </c>
      <c r="C53" s="90"/>
    </row>
    <row r="54" customFormat="false" ht="15" hidden="false" customHeight="true" outlineLevel="0" collapsed="false">
      <c r="A54" s="177" t="s">
        <v>18</v>
      </c>
      <c r="B54" s="261" t="n">
        <v>5000000</v>
      </c>
      <c r="C54" s="90"/>
    </row>
    <row r="55" customFormat="false" ht="15" hidden="false" customHeight="true" outlineLevel="0" collapsed="false">
      <c r="A55" s="177" t="s">
        <v>19</v>
      </c>
      <c r="B55" s="261" t="n">
        <v>5000000</v>
      </c>
      <c r="C55" s="90"/>
    </row>
    <row r="57" customFormat="false" ht="15" hidden="false" customHeight="true" outlineLevel="0" collapsed="false">
      <c r="A57" s="23" t="s">
        <v>1066</v>
      </c>
      <c r="B57" s="23"/>
      <c r="C57" s="23"/>
      <c r="D57" s="23"/>
    </row>
    <row r="58" customFormat="false" ht="15" hidden="false" customHeight="true" outlineLevel="0" collapsed="false">
      <c r="A58" s="177" t="s">
        <v>1067</v>
      </c>
      <c r="B58" s="282" t="n">
        <v>0.15</v>
      </c>
    </row>
    <row r="59" customFormat="false" ht="15" hidden="false" customHeight="true" outlineLevel="0" collapsed="false">
      <c r="A59" s="177" t="s">
        <v>1068</v>
      </c>
      <c r="B59" s="180" t="n">
        <f aca="false">B58/4</f>
        <v>0.0375</v>
      </c>
    </row>
    <row r="60" customFormat="false" ht="15" hidden="false" customHeight="true" outlineLevel="0" collapsed="false">
      <c r="A60" s="177" t="s">
        <v>1069</v>
      </c>
      <c r="B60" s="261" t="n">
        <v>0</v>
      </c>
    </row>
    <row r="61" customFormat="false" ht="15" hidden="false" customHeight="true" outlineLevel="0" collapsed="false">
      <c r="A61" s="177" t="s">
        <v>1070</v>
      </c>
      <c r="B61" s="261" t="n">
        <v>0</v>
      </c>
    </row>
    <row r="62" customFormat="false" ht="15" hidden="false" customHeight="true" outlineLevel="0" collapsed="false">
      <c r="A62" s="177" t="s">
        <v>1071</v>
      </c>
      <c r="B62" s="261" t="n">
        <v>1784000</v>
      </c>
    </row>
    <row r="63" customFormat="false" ht="15" hidden="false" customHeight="true" outlineLevel="0" collapsed="false">
      <c r="A63" s="177" t="s">
        <v>1072</v>
      </c>
      <c r="B63" s="261" t="n">
        <v>1766181</v>
      </c>
    </row>
    <row r="64" customFormat="false" ht="15" hidden="false" customHeight="true" outlineLevel="0" collapsed="false">
      <c r="A64" s="288" t="s">
        <v>1073</v>
      </c>
    </row>
    <row r="66" customFormat="false" ht="15" hidden="false" customHeight="true" outlineLevel="0" collapsed="false">
      <c r="A66" s="97" t="s">
        <v>101</v>
      </c>
    </row>
    <row r="67" customFormat="false" ht="15" hidden="false" customHeight="true" outlineLevel="0" collapsed="false">
      <c r="A67" s="90" t="s">
        <v>1074</v>
      </c>
      <c r="B67" s="291" t="n">
        <v>833.33</v>
      </c>
    </row>
    <row r="68" customFormat="false" ht="15" hidden="false" customHeight="true" outlineLevel="0" collapsed="false">
      <c r="A68" s="90" t="s">
        <v>1075</v>
      </c>
      <c r="B68" s="90" t="n">
        <v>5</v>
      </c>
    </row>
    <row r="70" customFormat="false" ht="15" hidden="false" customHeight="true" outlineLevel="0" collapsed="false">
      <c r="A70" s="292" t="s">
        <v>1076</v>
      </c>
      <c r="B70" s="292"/>
    </row>
    <row r="71" customFormat="false" ht="15" hidden="false" customHeight="true" outlineLevel="0" collapsed="false">
      <c r="A71" s="293" t="s">
        <v>1077</v>
      </c>
      <c r="B71" s="294" t="n">
        <v>1134000</v>
      </c>
    </row>
    <row r="72" customFormat="false" ht="15" hidden="false" customHeight="true" outlineLevel="0" collapsed="false">
      <c r="A72" s="295" t="s">
        <v>1078</v>
      </c>
      <c r="B72" s="296" t="n">
        <v>50000</v>
      </c>
    </row>
    <row r="73" customFormat="false" ht="15" hidden="false" customHeight="true" outlineLevel="0" collapsed="false">
      <c r="A73" s="293" t="s">
        <v>1079</v>
      </c>
      <c r="B73" s="297" t="n">
        <v>14</v>
      </c>
    </row>
    <row r="74" customFormat="false" ht="15" hidden="false" customHeight="true" outlineLevel="0" collapsed="false">
      <c r="A74" s="295" t="s">
        <v>172</v>
      </c>
      <c r="B74" s="296" t="n">
        <v>-1450000</v>
      </c>
    </row>
    <row r="75" customFormat="false" ht="15" hidden="false" customHeight="true" outlineLevel="0" collapsed="false">
      <c r="A75" s="293" t="s">
        <v>1080</v>
      </c>
      <c r="B75" s="294" t="n">
        <v>264927.15</v>
      </c>
    </row>
    <row r="76" customFormat="false" ht="15" hidden="false" customHeight="true" outlineLevel="0" collapsed="false">
      <c r="A76" s="295" t="s">
        <v>1081</v>
      </c>
      <c r="B76" s="296" t="n">
        <v>883090.5</v>
      </c>
    </row>
    <row r="77" customFormat="false" ht="15" hidden="false" customHeight="true" outlineLevel="0" collapsed="false">
      <c r="A77" s="293" t="s">
        <v>167</v>
      </c>
      <c r="B77" s="294" t="n">
        <v>-1800000</v>
      </c>
    </row>
    <row r="79" customFormat="false" ht="19.5" hidden="false" customHeight="true" outlineLevel="0" collapsed="false">
      <c r="A79" s="298" t="s">
        <v>1082</v>
      </c>
    </row>
    <row r="80" customFormat="false" ht="15" hidden="false" customHeight="true" outlineLevel="0" collapsed="false">
      <c r="A80" s="299" t="s">
        <v>1083</v>
      </c>
      <c r="B80" s="300" t="n">
        <v>1</v>
      </c>
    </row>
    <row r="82" customFormat="false" ht="27.75" hidden="false" customHeight="true" outlineLevel="0" collapsed="false">
      <c r="A82" s="156" t="s">
        <v>1084</v>
      </c>
      <c r="B82" s="156" t="s">
        <v>1085</v>
      </c>
      <c r="C82" s="156" t="s">
        <v>1086</v>
      </c>
    </row>
    <row r="83" customFormat="false" ht="15" hidden="false" customHeight="true" outlineLevel="0" collapsed="false">
      <c r="A83" s="301" t="s">
        <v>1087</v>
      </c>
      <c r="B83" s="302" t="n">
        <v>0</v>
      </c>
      <c r="C83" s="303" t="n">
        <v>0.25</v>
      </c>
    </row>
    <row r="84" customFormat="false" ht="15" hidden="false" customHeight="true" outlineLevel="0" collapsed="false">
      <c r="A84" s="301" t="s">
        <v>1088</v>
      </c>
      <c r="B84" s="302" t="n">
        <v>20000000</v>
      </c>
      <c r="C84" s="303" t="n">
        <v>0.5</v>
      </c>
    </row>
    <row r="85" customFormat="false" ht="15" hidden="false" customHeight="true" outlineLevel="0" collapsed="false">
      <c r="A85" s="301" t="s">
        <v>1089</v>
      </c>
      <c r="B85" s="302" t="n">
        <v>40000000</v>
      </c>
      <c r="C85" s="303" t="n">
        <v>0.75</v>
      </c>
    </row>
    <row r="86" customFormat="false" ht="15" hidden="false" customHeight="true" outlineLevel="0" collapsed="false">
      <c r="A86" s="301" t="s">
        <v>1090</v>
      </c>
      <c r="B86" s="302" t="n">
        <v>60000000</v>
      </c>
      <c r="C86" s="303" t="n">
        <v>1</v>
      </c>
    </row>
    <row r="88" customFormat="false" ht="15" hidden="false" customHeight="true" outlineLevel="0" collapsed="false">
      <c r="A88" s="72" t="s">
        <v>1091</v>
      </c>
    </row>
    <row r="92" customFormat="false" ht="15" hidden="false" customHeight="true" outlineLevel="0" collapsed="false">
      <c r="A92" s="1" t="s">
        <v>1092</v>
      </c>
    </row>
    <row r="93" customFormat="false" ht="15" hidden="false" customHeight="true" outlineLevel="0" collapsed="false">
      <c r="A93" s="1" t="s">
        <v>1093</v>
      </c>
    </row>
    <row r="94" customFormat="false" ht="15" hidden="false" customHeight="true" outlineLevel="0" collapsed="false">
      <c r="A94" s="1" t="s">
        <v>1094</v>
      </c>
    </row>
    <row r="95" customFormat="false" ht="15" hidden="false" customHeight="true" outlineLevel="0" collapsed="false">
      <c r="A95" s="1" t="s">
        <v>1095</v>
      </c>
    </row>
    <row r="96" customFormat="false" ht="15" hidden="false" customHeight="true" outlineLevel="0" collapsed="false">
      <c r="A96" s="1" t="s">
        <v>1096</v>
      </c>
    </row>
    <row r="97" customFormat="false" ht="15" hidden="false" customHeight="true" outlineLevel="0" collapsed="false">
      <c r="A97" s="1" t="s">
        <v>1097</v>
      </c>
    </row>
    <row r="98" customFormat="false" ht="15" hidden="false" customHeight="true" outlineLevel="0" collapsed="false">
      <c r="A98" s="1" t="s">
        <v>1098</v>
      </c>
    </row>
    <row r="99" customFormat="false" ht="15" hidden="false" customHeight="true" outlineLevel="0" collapsed="false">
      <c r="A99" s="1" t="s">
        <v>1099</v>
      </c>
    </row>
    <row r="100" customFormat="false" ht="15" hidden="false" customHeight="true" outlineLevel="0" collapsed="false">
      <c r="A100" s="1" t="s">
        <v>1100</v>
      </c>
    </row>
    <row r="101" customFormat="false" ht="15" hidden="false" customHeight="true" outlineLevel="0" collapsed="false">
      <c r="A101" s="1" t="s">
        <v>1101</v>
      </c>
    </row>
    <row r="102" customFormat="false" ht="15" hidden="false" customHeight="true" outlineLevel="0" collapsed="false">
      <c r="A102" s="1" t="s">
        <v>1102</v>
      </c>
    </row>
    <row r="103" customFormat="false" ht="15" hidden="false" customHeight="true" outlineLevel="0" collapsed="false">
      <c r="A103" s="1" t="s">
        <v>1103</v>
      </c>
    </row>
    <row r="104" customFormat="false" ht="15" hidden="false" customHeight="true" outlineLevel="0" collapsed="false">
      <c r="A104" s="1" t="s">
        <v>1104</v>
      </c>
    </row>
    <row r="105" customFormat="false" ht="15" hidden="false" customHeight="true" outlineLevel="0" collapsed="false">
      <c r="A105" s="1" t="s">
        <v>1105</v>
      </c>
    </row>
    <row r="106" customFormat="false" ht="15" hidden="false" customHeight="true" outlineLevel="0" collapsed="false">
      <c r="A106" s="1" t="s">
        <v>1106</v>
      </c>
    </row>
    <row r="108" customFormat="false" ht="15" hidden="false" customHeight="true" outlineLevel="0" collapsed="false">
      <c r="A108" s="1" t="s">
        <v>1107</v>
      </c>
    </row>
    <row r="109" customFormat="false" ht="15" hidden="false" customHeight="true" outlineLevel="0" collapsed="false">
      <c r="A109" s="1" t="s">
        <v>1108</v>
      </c>
    </row>
    <row r="110" customFormat="false" ht="15" hidden="false" customHeight="true" outlineLevel="0" collapsed="false">
      <c r="A110" s="1" t="s">
        <v>1109</v>
      </c>
    </row>
    <row r="112" customFormat="false" ht="15" hidden="false" customHeight="true" outlineLevel="0" collapsed="false">
      <c r="A112" s="1" t="s">
        <v>1110</v>
      </c>
    </row>
    <row r="113" customFormat="false" ht="15" hidden="false" customHeight="true" outlineLevel="0" collapsed="false">
      <c r="A113" s="1" t="s">
        <v>1111</v>
      </c>
    </row>
    <row r="114" customFormat="false" ht="15" hidden="false" customHeight="true" outlineLevel="0" collapsed="false">
      <c r="A114" s="1" t="s">
        <v>1112</v>
      </c>
    </row>
    <row r="115" customFormat="false" ht="15" hidden="false" customHeight="true" outlineLevel="0" collapsed="false">
      <c r="A115" s="1" t="s">
        <v>1113</v>
      </c>
    </row>
    <row r="117" customFormat="false" ht="15" hidden="false" customHeight="true" outlineLevel="0" collapsed="false">
      <c r="A117" s="1" t="s">
        <v>1114</v>
      </c>
    </row>
    <row r="118" customFormat="false" ht="15" hidden="false" customHeight="true" outlineLevel="0" collapsed="false">
      <c r="A118" s="1" t="s">
        <v>1115</v>
      </c>
    </row>
    <row r="119" customFormat="false" ht="15" hidden="false" customHeight="true" outlineLevel="0" collapsed="false">
      <c r="A119" s="1" t="s">
        <v>1116</v>
      </c>
    </row>
    <row r="120" customFormat="false" ht="15" hidden="false" customHeight="true" outlineLevel="0" collapsed="false">
      <c r="A120" s="1" t="s">
        <v>1117</v>
      </c>
    </row>
    <row r="121" customFormat="false" ht="15" hidden="false" customHeight="true" outlineLevel="0" collapsed="false">
      <c r="A121" s="1" t="s">
        <v>1118</v>
      </c>
    </row>
    <row r="123" customFormat="false" ht="15" hidden="false" customHeight="true" outlineLevel="0" collapsed="false">
      <c r="A123" s="1" t="s">
        <v>1119</v>
      </c>
    </row>
    <row r="124" customFormat="false" ht="15" hidden="false" customHeight="true" outlineLevel="0" collapsed="false">
      <c r="A124" s="1" t="s">
        <v>1120</v>
      </c>
    </row>
    <row r="130" customFormat="false" ht="15" hidden="false" customHeight="true" outlineLevel="0" collapsed="false">
      <c r="A130" s="1" t="s">
        <v>1121</v>
      </c>
    </row>
    <row r="131" customFormat="false" ht="15" hidden="false" customHeight="true" outlineLevel="0" collapsed="false">
      <c r="A131" s="1" t="s">
        <v>1122</v>
      </c>
    </row>
    <row r="132" customFormat="false" ht="15" hidden="false" customHeight="true" outlineLevel="0" collapsed="false">
      <c r="A132" s="1" t="s">
        <v>1123</v>
      </c>
    </row>
    <row r="133" customFormat="false" ht="15" hidden="false" customHeight="true" outlineLevel="0" collapsed="false">
      <c r="A133" s="1" t="s">
        <v>1124</v>
      </c>
    </row>
    <row r="134" customFormat="false" ht="15" hidden="false" customHeight="true" outlineLevel="0" collapsed="false">
      <c r="A134" s="1" t="s">
        <v>1125</v>
      </c>
    </row>
    <row r="135" customFormat="false" ht="15" hidden="false" customHeight="true" outlineLevel="0" collapsed="false">
      <c r="A135" s="1" t="s">
        <v>1126</v>
      </c>
    </row>
    <row r="136" customFormat="false" ht="15" hidden="false" customHeight="true" outlineLevel="0" collapsed="false">
      <c r="A136" s="1" t="s">
        <v>1127</v>
      </c>
    </row>
    <row r="137" customFormat="false" ht="15" hidden="false" customHeight="true" outlineLevel="0" collapsed="false">
      <c r="A137" s="1" t="s">
        <v>1128</v>
      </c>
    </row>
    <row r="138" customFormat="false" ht="15" hidden="false" customHeight="true" outlineLevel="0" collapsed="false">
      <c r="A138" s="1" t="s">
        <v>1129</v>
      </c>
    </row>
    <row r="139" customFormat="false" ht="15" hidden="false" customHeight="true" outlineLevel="0" collapsed="false">
      <c r="A139" s="1" t="s">
        <v>1130</v>
      </c>
    </row>
    <row r="141" customFormat="false" ht="15" hidden="false" customHeight="true" outlineLevel="0" collapsed="false">
      <c r="A141" s="1" t="s">
        <v>1131</v>
      </c>
    </row>
    <row r="142" customFormat="false" ht="15" hidden="false" customHeight="true" outlineLevel="0" collapsed="false">
      <c r="A142" s="1" t="s">
        <v>1132</v>
      </c>
    </row>
    <row r="143" customFormat="false" ht="15" hidden="false" customHeight="true" outlineLevel="0" collapsed="false">
      <c r="A143" s="1" t="s">
        <v>1133</v>
      </c>
    </row>
    <row r="144" customFormat="false" ht="15" hidden="false" customHeight="true" outlineLevel="0" collapsed="false">
      <c r="A144" s="1" t="s">
        <v>1134</v>
      </c>
    </row>
    <row r="145" customFormat="false" ht="15" hidden="false" customHeight="true" outlineLevel="0" collapsed="false">
      <c r="A145" s="1" t="s">
        <v>1135</v>
      </c>
    </row>
    <row r="146" customFormat="false" ht="15" hidden="false" customHeight="true" outlineLevel="0" collapsed="false">
      <c r="A146" s="1" t="s">
        <v>1136</v>
      </c>
    </row>
    <row r="147" customFormat="false" ht="15" hidden="false" customHeight="true" outlineLevel="0" collapsed="false">
      <c r="A147" s="1" t="s">
        <v>1137</v>
      </c>
    </row>
    <row r="148" customFormat="false" ht="15" hidden="false" customHeight="true" outlineLevel="0" collapsed="false">
      <c r="A148" s="1" t="s">
        <v>1138</v>
      </c>
    </row>
    <row r="149" customFormat="false" ht="15" hidden="false" customHeight="true" outlineLevel="0" collapsed="false">
      <c r="A149" s="1" t="s">
        <v>1139</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B10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7109375" defaultRowHeight="13.5" zeroHeight="false" outlineLevelRow="0" outlineLevelCol="0"/>
  <cols>
    <col collapsed="false" customWidth="true" hidden="false" outlineLevel="0" max="1" min="1" style="1" width="10"/>
    <col collapsed="false" customWidth="true" hidden="false" outlineLevel="0" max="2" min="2" style="1" width="12"/>
  </cols>
  <sheetData>
    <row r="1" customFormat="false" ht="15" hidden="false" customHeight="true" outlineLevel="0" collapsed="false">
      <c r="A1" s="4" t="s">
        <v>1140</v>
      </c>
      <c r="B1" s="4" t="s">
        <v>1141</v>
      </c>
    </row>
    <row r="2" customFormat="false" ht="15" hidden="false" customHeight="true" outlineLevel="0" collapsed="false">
      <c r="A2" s="299" t="n">
        <v>1</v>
      </c>
      <c r="B2" s="304" t="n">
        <f aca="false">(1+Assumptions!$B$26)^INT((A2-1)/12)</f>
        <v>1</v>
      </c>
    </row>
    <row r="3" customFormat="false" ht="15" hidden="false" customHeight="true" outlineLevel="0" collapsed="false">
      <c r="A3" s="299" t="n">
        <v>2</v>
      </c>
      <c r="B3" s="304" t="n">
        <f aca="false">(1+Assumptions!$B$26)^INT((A3-1)/12)</f>
        <v>1</v>
      </c>
    </row>
    <row r="4" customFormat="false" ht="15" hidden="false" customHeight="true" outlineLevel="0" collapsed="false">
      <c r="A4" s="299" t="n">
        <v>3</v>
      </c>
      <c r="B4" s="304" t="n">
        <f aca="false">(1+Assumptions!$B$26)^INT((A4-1)/12)</f>
        <v>1</v>
      </c>
    </row>
    <row r="5" customFormat="false" ht="15" hidden="false" customHeight="true" outlineLevel="0" collapsed="false">
      <c r="A5" s="299" t="n">
        <v>4</v>
      </c>
      <c r="B5" s="304" t="n">
        <f aca="false">(1+Assumptions!$B$26)^INT((A5-1)/12)</f>
        <v>1</v>
      </c>
    </row>
    <row r="6" customFormat="false" ht="15" hidden="false" customHeight="true" outlineLevel="0" collapsed="false">
      <c r="A6" s="299" t="n">
        <v>5</v>
      </c>
      <c r="B6" s="304" t="n">
        <f aca="false">(1+Assumptions!$B$26)^INT((A6-1)/12)</f>
        <v>1</v>
      </c>
    </row>
    <row r="7" customFormat="false" ht="15" hidden="false" customHeight="true" outlineLevel="0" collapsed="false">
      <c r="A7" s="299" t="n">
        <v>6</v>
      </c>
      <c r="B7" s="304" t="n">
        <f aca="false">(1+Assumptions!$B$26)^INT((A7-1)/12)</f>
        <v>1</v>
      </c>
    </row>
    <row r="8" customFormat="false" ht="15" hidden="false" customHeight="true" outlineLevel="0" collapsed="false">
      <c r="A8" s="299" t="n">
        <v>7</v>
      </c>
      <c r="B8" s="304" t="n">
        <f aca="false">(1+Assumptions!$B$26)^INT((A8-1)/12)</f>
        <v>1</v>
      </c>
    </row>
    <row r="9" customFormat="false" ht="15" hidden="false" customHeight="true" outlineLevel="0" collapsed="false">
      <c r="A9" s="299" t="n">
        <v>8</v>
      </c>
      <c r="B9" s="304" t="n">
        <f aca="false">(1+Assumptions!$B$26)^INT((A9-1)/12)</f>
        <v>1</v>
      </c>
    </row>
    <row r="10" customFormat="false" ht="15" hidden="false" customHeight="true" outlineLevel="0" collapsed="false">
      <c r="A10" s="299" t="n">
        <v>9</v>
      </c>
      <c r="B10" s="304" t="n">
        <f aca="false">(1+Assumptions!$B$26)^INT((A10-1)/12)</f>
        <v>1</v>
      </c>
    </row>
    <row r="11" customFormat="false" ht="15" hidden="false" customHeight="true" outlineLevel="0" collapsed="false">
      <c r="A11" s="299" t="n">
        <v>10</v>
      </c>
      <c r="B11" s="304" t="n">
        <f aca="false">(1+Assumptions!$B$26)^INT((A11-1)/12)</f>
        <v>1</v>
      </c>
    </row>
    <row r="12" customFormat="false" ht="15" hidden="false" customHeight="true" outlineLevel="0" collapsed="false">
      <c r="A12" s="299" t="n">
        <v>11</v>
      </c>
      <c r="B12" s="304" t="n">
        <f aca="false">(1+Assumptions!$B$26)^INT((A12-1)/12)</f>
        <v>1</v>
      </c>
    </row>
    <row r="13" customFormat="false" ht="15" hidden="false" customHeight="true" outlineLevel="0" collapsed="false">
      <c r="A13" s="299" t="n">
        <v>12</v>
      </c>
      <c r="B13" s="304" t="n">
        <f aca="false">(1+Assumptions!$B$26)^INT((A13-1)/12)</f>
        <v>1</v>
      </c>
    </row>
    <row r="14" customFormat="false" ht="15" hidden="false" customHeight="true" outlineLevel="0" collapsed="false">
      <c r="A14" s="299" t="n">
        <v>13</v>
      </c>
      <c r="B14" s="304" t="n">
        <f aca="false">(1+Assumptions!$B$26)^INT((A14-1)/12)</f>
        <v>1.02</v>
      </c>
    </row>
    <row r="15" customFormat="false" ht="15" hidden="false" customHeight="true" outlineLevel="0" collapsed="false">
      <c r="A15" s="299" t="n">
        <v>14</v>
      </c>
      <c r="B15" s="304" t="n">
        <f aca="false">(1+Assumptions!$B$26)^INT((A15-1)/12)</f>
        <v>1.02</v>
      </c>
    </row>
    <row r="16" customFormat="false" ht="15" hidden="false" customHeight="true" outlineLevel="0" collapsed="false">
      <c r="A16" s="299" t="n">
        <v>15</v>
      </c>
      <c r="B16" s="304" t="n">
        <f aca="false">(1+Assumptions!$B$26)^INT((A16-1)/12)</f>
        <v>1.02</v>
      </c>
    </row>
    <row r="17" customFormat="false" ht="15" hidden="false" customHeight="true" outlineLevel="0" collapsed="false">
      <c r="A17" s="299" t="n">
        <v>16</v>
      </c>
      <c r="B17" s="304" t="n">
        <f aca="false">(1+Assumptions!$B$26)^INT((A17-1)/12)</f>
        <v>1.02</v>
      </c>
    </row>
    <row r="18" customFormat="false" ht="15" hidden="false" customHeight="true" outlineLevel="0" collapsed="false">
      <c r="A18" s="299" t="n">
        <v>17</v>
      </c>
      <c r="B18" s="304" t="n">
        <f aca="false">(1+Assumptions!$B$26)^INT((A18-1)/12)</f>
        <v>1.02</v>
      </c>
    </row>
    <row r="19" customFormat="false" ht="15" hidden="false" customHeight="true" outlineLevel="0" collapsed="false">
      <c r="A19" s="299" t="n">
        <v>18</v>
      </c>
      <c r="B19" s="304" t="n">
        <f aca="false">(1+Assumptions!$B$26)^INT((A19-1)/12)</f>
        <v>1.02</v>
      </c>
    </row>
    <row r="20" customFormat="false" ht="15" hidden="false" customHeight="true" outlineLevel="0" collapsed="false">
      <c r="A20" s="299" t="n">
        <v>19</v>
      </c>
      <c r="B20" s="304" t="n">
        <f aca="false">(1+Assumptions!$B$26)^INT((A20-1)/12)</f>
        <v>1.02</v>
      </c>
    </row>
    <row r="21" customFormat="false" ht="15" hidden="false" customHeight="true" outlineLevel="0" collapsed="false">
      <c r="A21" s="299" t="n">
        <v>20</v>
      </c>
      <c r="B21" s="304" t="n">
        <f aca="false">(1+Assumptions!$B$26)^INT((A21-1)/12)</f>
        <v>1.02</v>
      </c>
    </row>
    <row r="22" customFormat="false" ht="15" hidden="false" customHeight="true" outlineLevel="0" collapsed="false">
      <c r="A22" s="299" t="n">
        <v>21</v>
      </c>
      <c r="B22" s="304" t="n">
        <f aca="false">(1+Assumptions!$B$26)^INT((A22-1)/12)</f>
        <v>1.02</v>
      </c>
    </row>
    <row r="23" customFormat="false" ht="15" hidden="false" customHeight="true" outlineLevel="0" collapsed="false">
      <c r="A23" s="299" t="n">
        <v>22</v>
      </c>
      <c r="B23" s="304" t="n">
        <f aca="false">(1+Assumptions!$B$26)^INT((A23-1)/12)</f>
        <v>1.02</v>
      </c>
    </row>
    <row r="24" customFormat="false" ht="15" hidden="false" customHeight="true" outlineLevel="0" collapsed="false">
      <c r="A24" s="299" t="n">
        <v>23</v>
      </c>
      <c r="B24" s="304" t="n">
        <f aca="false">(1+Assumptions!$B$26)^INT((A24-1)/12)</f>
        <v>1.02</v>
      </c>
    </row>
    <row r="25" customFormat="false" ht="15" hidden="false" customHeight="true" outlineLevel="0" collapsed="false">
      <c r="A25" s="299" t="n">
        <v>24</v>
      </c>
      <c r="B25" s="304" t="n">
        <f aca="false">(1+Assumptions!$B$26)^INT((A25-1)/12)</f>
        <v>1.02</v>
      </c>
    </row>
    <row r="26" customFormat="false" ht="15" hidden="false" customHeight="true" outlineLevel="0" collapsed="false">
      <c r="A26" s="299" t="n">
        <v>25</v>
      </c>
      <c r="B26" s="304" t="n">
        <f aca="false">(1+Assumptions!$B$26)^INT((A26-1)/12)</f>
        <v>1.0404</v>
      </c>
    </row>
    <row r="27" customFormat="false" ht="15" hidden="false" customHeight="true" outlineLevel="0" collapsed="false">
      <c r="A27" s="299" t="n">
        <v>26</v>
      </c>
      <c r="B27" s="304" t="n">
        <f aca="false">(1+Assumptions!$B$26)^INT((A27-1)/12)</f>
        <v>1.0404</v>
      </c>
    </row>
    <row r="28" customFormat="false" ht="15" hidden="false" customHeight="true" outlineLevel="0" collapsed="false">
      <c r="A28" s="299" t="n">
        <v>27</v>
      </c>
      <c r="B28" s="304" t="n">
        <f aca="false">(1+Assumptions!$B$26)^INT((A28-1)/12)</f>
        <v>1.0404</v>
      </c>
    </row>
    <row r="29" customFormat="false" ht="15" hidden="false" customHeight="true" outlineLevel="0" collapsed="false">
      <c r="A29" s="299" t="n">
        <v>28</v>
      </c>
      <c r="B29" s="304" t="n">
        <f aca="false">(1+Assumptions!$B$26)^INT((A29-1)/12)</f>
        <v>1.0404</v>
      </c>
    </row>
    <row r="30" customFormat="false" ht="15" hidden="false" customHeight="true" outlineLevel="0" collapsed="false">
      <c r="A30" s="299" t="n">
        <v>29</v>
      </c>
      <c r="B30" s="304" t="n">
        <f aca="false">(1+Assumptions!$B$26)^INT((A30-1)/12)</f>
        <v>1.0404</v>
      </c>
    </row>
    <row r="31" customFormat="false" ht="15" hidden="false" customHeight="true" outlineLevel="0" collapsed="false">
      <c r="A31" s="299" t="n">
        <v>30</v>
      </c>
      <c r="B31" s="304" t="n">
        <f aca="false">(1+Assumptions!$B$26)^INT((A31-1)/12)</f>
        <v>1.0404</v>
      </c>
    </row>
    <row r="32" customFormat="false" ht="15" hidden="false" customHeight="true" outlineLevel="0" collapsed="false">
      <c r="A32" s="299" t="n">
        <v>31</v>
      </c>
      <c r="B32" s="304" t="n">
        <f aca="false">(1+Assumptions!$B$26)^INT((A32-1)/12)</f>
        <v>1.0404</v>
      </c>
    </row>
    <row r="33" customFormat="false" ht="15" hidden="false" customHeight="true" outlineLevel="0" collapsed="false">
      <c r="A33" s="299" t="n">
        <v>32</v>
      </c>
      <c r="B33" s="304" t="n">
        <f aca="false">(1+Assumptions!$B$26)^INT((A33-1)/12)</f>
        <v>1.0404</v>
      </c>
    </row>
    <row r="34" customFormat="false" ht="15" hidden="false" customHeight="true" outlineLevel="0" collapsed="false">
      <c r="A34" s="299" t="n">
        <v>33</v>
      </c>
      <c r="B34" s="304" t="n">
        <f aca="false">(1+Assumptions!$B$26)^INT((A34-1)/12)</f>
        <v>1.0404</v>
      </c>
    </row>
    <row r="35" customFormat="false" ht="15" hidden="false" customHeight="true" outlineLevel="0" collapsed="false">
      <c r="A35" s="299" t="n">
        <v>34</v>
      </c>
      <c r="B35" s="304" t="n">
        <f aca="false">(1+Assumptions!$B$26)^INT((A35-1)/12)</f>
        <v>1.0404</v>
      </c>
    </row>
    <row r="36" customFormat="false" ht="15" hidden="false" customHeight="true" outlineLevel="0" collapsed="false">
      <c r="A36" s="299" t="n">
        <v>35</v>
      </c>
      <c r="B36" s="304" t="n">
        <f aca="false">(1+Assumptions!$B$26)^INT((A36-1)/12)</f>
        <v>1.0404</v>
      </c>
    </row>
    <row r="37" customFormat="false" ht="15" hidden="false" customHeight="true" outlineLevel="0" collapsed="false">
      <c r="A37" s="299" t="n">
        <v>36</v>
      </c>
      <c r="B37" s="304" t="n">
        <f aca="false">(1+Assumptions!$B$26)^INT((A37-1)/12)</f>
        <v>1.0404</v>
      </c>
    </row>
    <row r="38" customFormat="false" ht="15" hidden="false" customHeight="true" outlineLevel="0" collapsed="false">
      <c r="A38" s="299" t="n">
        <v>37</v>
      </c>
      <c r="B38" s="304" t="n">
        <f aca="false">(1+Assumptions!$B$26)^INT((A38-1)/12)</f>
        <v>1.061208</v>
      </c>
    </row>
    <row r="39" customFormat="false" ht="15" hidden="false" customHeight="true" outlineLevel="0" collapsed="false">
      <c r="A39" s="299" t="n">
        <v>38</v>
      </c>
      <c r="B39" s="304" t="n">
        <f aca="false">(1+Assumptions!$B$26)^INT((A39-1)/12)</f>
        <v>1.061208</v>
      </c>
    </row>
    <row r="40" customFormat="false" ht="15" hidden="false" customHeight="true" outlineLevel="0" collapsed="false">
      <c r="A40" s="299" t="n">
        <v>39</v>
      </c>
      <c r="B40" s="304" t="n">
        <f aca="false">(1+Assumptions!$B$26)^INT((A40-1)/12)</f>
        <v>1.061208</v>
      </c>
    </row>
    <row r="41" customFormat="false" ht="15" hidden="false" customHeight="true" outlineLevel="0" collapsed="false">
      <c r="A41" s="299" t="n">
        <v>40</v>
      </c>
      <c r="B41" s="304" t="n">
        <f aca="false">(1+Assumptions!$B$26)^INT((A41-1)/12)</f>
        <v>1.061208</v>
      </c>
    </row>
    <row r="42" customFormat="false" ht="15" hidden="false" customHeight="true" outlineLevel="0" collapsed="false">
      <c r="A42" s="299" t="n">
        <v>41</v>
      </c>
      <c r="B42" s="304" t="n">
        <f aca="false">(1+Assumptions!$B$26)^INT((A42-1)/12)</f>
        <v>1.061208</v>
      </c>
    </row>
    <row r="43" customFormat="false" ht="15" hidden="false" customHeight="true" outlineLevel="0" collapsed="false">
      <c r="A43" s="299" t="n">
        <v>42</v>
      </c>
      <c r="B43" s="304" t="n">
        <f aca="false">(1+Assumptions!$B$26)^INT((A43-1)/12)</f>
        <v>1.061208</v>
      </c>
    </row>
    <row r="44" customFormat="false" ht="15" hidden="false" customHeight="true" outlineLevel="0" collapsed="false">
      <c r="A44" s="299" t="n">
        <v>43</v>
      </c>
      <c r="B44" s="304" t="n">
        <f aca="false">(1+Assumptions!$B$26)^INT((A44-1)/12)</f>
        <v>1.061208</v>
      </c>
    </row>
    <row r="45" customFormat="false" ht="15" hidden="false" customHeight="true" outlineLevel="0" collapsed="false">
      <c r="A45" s="299" t="n">
        <v>44</v>
      </c>
      <c r="B45" s="304" t="n">
        <f aca="false">(1+Assumptions!$B$26)^INT((A45-1)/12)</f>
        <v>1.061208</v>
      </c>
    </row>
    <row r="46" customFormat="false" ht="15" hidden="false" customHeight="true" outlineLevel="0" collapsed="false">
      <c r="A46" s="299" t="n">
        <v>45</v>
      </c>
      <c r="B46" s="304" t="n">
        <f aca="false">(1+Assumptions!$B$26)^INT((A46-1)/12)</f>
        <v>1.061208</v>
      </c>
    </row>
    <row r="47" customFormat="false" ht="15" hidden="false" customHeight="true" outlineLevel="0" collapsed="false">
      <c r="A47" s="299" t="n">
        <v>46</v>
      </c>
      <c r="B47" s="304" t="n">
        <f aca="false">(1+Assumptions!$B$26)^INT((A47-1)/12)</f>
        <v>1.061208</v>
      </c>
    </row>
    <row r="48" customFormat="false" ht="15" hidden="false" customHeight="true" outlineLevel="0" collapsed="false">
      <c r="A48" s="299" t="n">
        <v>47</v>
      </c>
      <c r="B48" s="304" t="n">
        <f aca="false">(1+Assumptions!$B$26)^INT((A48-1)/12)</f>
        <v>1.061208</v>
      </c>
    </row>
    <row r="49" customFormat="false" ht="15" hidden="false" customHeight="true" outlineLevel="0" collapsed="false">
      <c r="A49" s="299" t="n">
        <v>48</v>
      </c>
      <c r="B49" s="304" t="n">
        <f aca="false">(1+Assumptions!$B$26)^INT((A49-1)/12)</f>
        <v>1.061208</v>
      </c>
    </row>
    <row r="50" customFormat="false" ht="15" hidden="false" customHeight="true" outlineLevel="0" collapsed="false">
      <c r="A50" s="299" t="n">
        <v>49</v>
      </c>
      <c r="B50" s="304" t="n">
        <f aca="false">(1+Assumptions!$B$26)^INT((A50-1)/12)</f>
        <v>1.08243216</v>
      </c>
    </row>
    <row r="51" customFormat="false" ht="15" hidden="false" customHeight="true" outlineLevel="0" collapsed="false">
      <c r="A51" s="299" t="n">
        <v>50</v>
      </c>
      <c r="B51" s="304" t="n">
        <f aca="false">(1+Assumptions!$B$26)^INT((A51-1)/12)</f>
        <v>1.08243216</v>
      </c>
    </row>
    <row r="52" customFormat="false" ht="15" hidden="false" customHeight="true" outlineLevel="0" collapsed="false">
      <c r="A52" s="299" t="n">
        <v>51</v>
      </c>
      <c r="B52" s="304" t="n">
        <f aca="false">(1+Assumptions!$B$26)^INT((A52-1)/12)</f>
        <v>1.08243216</v>
      </c>
    </row>
    <row r="53" customFormat="false" ht="15" hidden="false" customHeight="true" outlineLevel="0" collapsed="false">
      <c r="A53" s="299" t="n">
        <v>52</v>
      </c>
      <c r="B53" s="304" t="n">
        <f aca="false">(1+Assumptions!$B$26)^INT((A53-1)/12)</f>
        <v>1.08243216</v>
      </c>
    </row>
    <row r="54" customFormat="false" ht="15" hidden="false" customHeight="true" outlineLevel="0" collapsed="false">
      <c r="A54" s="299" t="n">
        <v>53</v>
      </c>
      <c r="B54" s="304" t="n">
        <f aca="false">(1+Assumptions!$B$26)^INT((A54-1)/12)</f>
        <v>1.08243216</v>
      </c>
    </row>
    <row r="55" customFormat="false" ht="15" hidden="false" customHeight="true" outlineLevel="0" collapsed="false">
      <c r="A55" s="299" t="n">
        <v>54</v>
      </c>
      <c r="B55" s="304" t="n">
        <f aca="false">(1+Assumptions!$B$26)^INT((A55-1)/12)</f>
        <v>1.08243216</v>
      </c>
    </row>
    <row r="56" customFormat="false" ht="15" hidden="false" customHeight="true" outlineLevel="0" collapsed="false">
      <c r="A56" s="299" t="n">
        <v>55</v>
      </c>
      <c r="B56" s="304" t="n">
        <f aca="false">(1+Assumptions!$B$26)^INT((A56-1)/12)</f>
        <v>1.08243216</v>
      </c>
    </row>
    <row r="57" customFormat="false" ht="15" hidden="false" customHeight="true" outlineLevel="0" collapsed="false">
      <c r="A57" s="299" t="n">
        <v>56</v>
      </c>
      <c r="B57" s="304" t="n">
        <f aca="false">(1+Assumptions!$B$26)^INT((A57-1)/12)</f>
        <v>1.08243216</v>
      </c>
    </row>
    <row r="58" customFormat="false" ht="15" hidden="false" customHeight="true" outlineLevel="0" collapsed="false">
      <c r="A58" s="299" t="n">
        <v>57</v>
      </c>
      <c r="B58" s="304" t="n">
        <f aca="false">(1+Assumptions!$B$26)^INT((A58-1)/12)</f>
        <v>1.08243216</v>
      </c>
    </row>
    <row r="59" customFormat="false" ht="15" hidden="false" customHeight="true" outlineLevel="0" collapsed="false">
      <c r="A59" s="299" t="n">
        <v>58</v>
      </c>
      <c r="B59" s="304" t="n">
        <f aca="false">(1+Assumptions!$B$26)^INT((A59-1)/12)</f>
        <v>1.08243216</v>
      </c>
    </row>
    <row r="60" customFormat="false" ht="15" hidden="false" customHeight="true" outlineLevel="0" collapsed="false">
      <c r="A60" s="299" t="n">
        <v>59</v>
      </c>
      <c r="B60" s="304" t="n">
        <f aca="false">(1+Assumptions!$B$26)^INT((A60-1)/12)</f>
        <v>1.08243216</v>
      </c>
    </row>
    <row r="61" customFormat="false" ht="15" hidden="false" customHeight="true" outlineLevel="0" collapsed="false">
      <c r="A61" s="299" t="n">
        <v>60</v>
      </c>
      <c r="B61" s="304" t="n">
        <f aca="false">(1+Assumptions!$B$26)^INT((A61-1)/12)</f>
        <v>1.08243216</v>
      </c>
    </row>
    <row r="62" customFormat="false" ht="15" hidden="false" customHeight="true" outlineLevel="0" collapsed="false">
      <c r="A62" s="299" t="n">
        <v>61</v>
      </c>
      <c r="B62" s="304" t="n">
        <f aca="false">(1+Assumptions!$B$26)^INT((A62-1)/12)</f>
        <v>1.1040808032</v>
      </c>
    </row>
    <row r="63" customFormat="false" ht="15" hidden="false" customHeight="true" outlineLevel="0" collapsed="false">
      <c r="A63" s="299" t="n">
        <v>62</v>
      </c>
      <c r="B63" s="304" t="n">
        <f aca="false">(1+Assumptions!$B$26)^INT((A63-1)/12)</f>
        <v>1.1040808032</v>
      </c>
    </row>
    <row r="64" customFormat="false" ht="15" hidden="false" customHeight="true" outlineLevel="0" collapsed="false">
      <c r="A64" s="299" t="n">
        <v>63</v>
      </c>
      <c r="B64" s="304" t="n">
        <f aca="false">(1+Assumptions!$B$26)^INT((A64-1)/12)</f>
        <v>1.1040808032</v>
      </c>
    </row>
    <row r="65" customFormat="false" ht="15" hidden="false" customHeight="true" outlineLevel="0" collapsed="false">
      <c r="A65" s="299" t="n">
        <v>64</v>
      </c>
      <c r="B65" s="304" t="n">
        <f aca="false">(1+Assumptions!$B$26)^INT((A65-1)/12)</f>
        <v>1.1040808032</v>
      </c>
    </row>
    <row r="66" customFormat="false" ht="15" hidden="false" customHeight="true" outlineLevel="0" collapsed="false">
      <c r="A66" s="299" t="n">
        <v>65</v>
      </c>
      <c r="B66" s="304" t="n">
        <f aca="false">(1+Assumptions!$B$26)^INT((A66-1)/12)</f>
        <v>1.1040808032</v>
      </c>
    </row>
    <row r="67" customFormat="false" ht="15" hidden="false" customHeight="true" outlineLevel="0" collapsed="false">
      <c r="A67" s="299" t="n">
        <v>66</v>
      </c>
      <c r="B67" s="304" t="n">
        <f aca="false">(1+Assumptions!$B$26)^INT((A67-1)/12)</f>
        <v>1.1040808032</v>
      </c>
    </row>
    <row r="68" customFormat="false" ht="15" hidden="false" customHeight="true" outlineLevel="0" collapsed="false">
      <c r="A68" s="299" t="n">
        <v>67</v>
      </c>
      <c r="B68" s="304" t="n">
        <f aca="false">(1+Assumptions!$B$26)^INT((A68-1)/12)</f>
        <v>1.1040808032</v>
      </c>
    </row>
    <row r="69" customFormat="false" ht="15" hidden="false" customHeight="true" outlineLevel="0" collapsed="false">
      <c r="A69" s="299" t="n">
        <v>68</v>
      </c>
      <c r="B69" s="304" t="n">
        <f aca="false">(1+Assumptions!$B$26)^INT((A69-1)/12)</f>
        <v>1.1040808032</v>
      </c>
    </row>
    <row r="70" customFormat="false" ht="15" hidden="false" customHeight="true" outlineLevel="0" collapsed="false">
      <c r="A70" s="299" t="n">
        <v>69</v>
      </c>
      <c r="B70" s="304" t="n">
        <f aca="false">(1+Assumptions!$B$26)^INT((A70-1)/12)</f>
        <v>1.1040808032</v>
      </c>
    </row>
    <row r="71" customFormat="false" ht="15" hidden="false" customHeight="true" outlineLevel="0" collapsed="false">
      <c r="A71" s="299" t="n">
        <v>70</v>
      </c>
      <c r="B71" s="304" t="n">
        <f aca="false">(1+Assumptions!$B$26)^INT((A71-1)/12)</f>
        <v>1.1040808032</v>
      </c>
    </row>
    <row r="72" customFormat="false" ht="15" hidden="false" customHeight="true" outlineLevel="0" collapsed="false">
      <c r="A72" s="299" t="n">
        <v>71</v>
      </c>
      <c r="B72" s="304" t="n">
        <f aca="false">(1+Assumptions!$B$26)^INT((A72-1)/12)</f>
        <v>1.1040808032</v>
      </c>
    </row>
    <row r="73" customFormat="false" ht="15" hidden="false" customHeight="true" outlineLevel="0" collapsed="false">
      <c r="A73" s="299" t="n">
        <v>72</v>
      </c>
      <c r="B73" s="304" t="n">
        <f aca="false">(1+Assumptions!$B$26)^INT((A73-1)/12)</f>
        <v>1.1040808032</v>
      </c>
    </row>
    <row r="74" customFormat="false" ht="15" hidden="false" customHeight="true" outlineLevel="0" collapsed="false">
      <c r="A74" s="299" t="n">
        <v>73</v>
      </c>
      <c r="B74" s="304" t="n">
        <f aca="false">(1+Assumptions!$B$26)^INT((A74-1)/12)</f>
        <v>1.126162419264</v>
      </c>
    </row>
    <row r="75" customFormat="false" ht="15" hidden="false" customHeight="true" outlineLevel="0" collapsed="false">
      <c r="A75" s="299" t="n">
        <v>74</v>
      </c>
      <c r="B75" s="304" t="n">
        <f aca="false">(1+Assumptions!$B$26)^INT((A75-1)/12)</f>
        <v>1.126162419264</v>
      </c>
    </row>
    <row r="76" customFormat="false" ht="15" hidden="false" customHeight="true" outlineLevel="0" collapsed="false">
      <c r="A76" s="299" t="n">
        <v>75</v>
      </c>
      <c r="B76" s="304" t="n">
        <f aca="false">(1+Assumptions!$B$26)^INT((A76-1)/12)</f>
        <v>1.126162419264</v>
      </c>
    </row>
    <row r="77" customFormat="false" ht="15" hidden="false" customHeight="true" outlineLevel="0" collapsed="false">
      <c r="A77" s="299" t="n">
        <v>76</v>
      </c>
      <c r="B77" s="304" t="n">
        <f aca="false">(1+Assumptions!$B$26)^INT((A77-1)/12)</f>
        <v>1.126162419264</v>
      </c>
    </row>
    <row r="78" customFormat="false" ht="15" hidden="false" customHeight="true" outlineLevel="0" collapsed="false">
      <c r="A78" s="299" t="n">
        <v>77</v>
      </c>
      <c r="B78" s="304" t="n">
        <f aca="false">(1+Assumptions!$B$26)^INT((A78-1)/12)</f>
        <v>1.126162419264</v>
      </c>
    </row>
    <row r="79" customFormat="false" ht="15" hidden="false" customHeight="true" outlineLevel="0" collapsed="false">
      <c r="A79" s="299" t="n">
        <v>78</v>
      </c>
      <c r="B79" s="304" t="n">
        <f aca="false">(1+Assumptions!$B$26)^INT((A79-1)/12)</f>
        <v>1.126162419264</v>
      </c>
    </row>
    <row r="80" customFormat="false" ht="15" hidden="false" customHeight="true" outlineLevel="0" collapsed="false">
      <c r="A80" s="299" t="n">
        <v>79</v>
      </c>
      <c r="B80" s="304" t="n">
        <f aca="false">(1+Assumptions!$B$26)^INT((A80-1)/12)</f>
        <v>1.126162419264</v>
      </c>
    </row>
    <row r="81" customFormat="false" ht="15" hidden="false" customHeight="true" outlineLevel="0" collapsed="false">
      <c r="A81" s="299" t="n">
        <v>80</v>
      </c>
      <c r="B81" s="304" t="n">
        <f aca="false">(1+Assumptions!$B$26)^INT((A81-1)/12)</f>
        <v>1.126162419264</v>
      </c>
    </row>
    <row r="82" customFormat="false" ht="15" hidden="false" customHeight="true" outlineLevel="0" collapsed="false">
      <c r="A82" s="299" t="n">
        <v>81</v>
      </c>
      <c r="B82" s="304" t="n">
        <f aca="false">(1+Assumptions!$B$26)^INT((A82-1)/12)</f>
        <v>1.126162419264</v>
      </c>
    </row>
    <row r="83" customFormat="false" ht="15" hidden="false" customHeight="true" outlineLevel="0" collapsed="false">
      <c r="A83" s="299" t="n">
        <v>82</v>
      </c>
      <c r="B83" s="304" t="n">
        <f aca="false">(1+Assumptions!$B$26)^INT((A83-1)/12)</f>
        <v>1.126162419264</v>
      </c>
    </row>
    <row r="84" customFormat="false" ht="15" hidden="false" customHeight="true" outlineLevel="0" collapsed="false">
      <c r="A84" s="299" t="n">
        <v>83</v>
      </c>
      <c r="B84" s="304" t="n">
        <f aca="false">(1+Assumptions!$B$26)^INT((A84-1)/12)</f>
        <v>1.126162419264</v>
      </c>
    </row>
    <row r="85" customFormat="false" ht="15" hidden="false" customHeight="true" outlineLevel="0" collapsed="false">
      <c r="A85" s="299" t="n">
        <v>84</v>
      </c>
      <c r="B85" s="304" t="n">
        <f aca="false">(1+Assumptions!$B$26)^INT((A85-1)/12)</f>
        <v>1.126162419264</v>
      </c>
    </row>
    <row r="86" customFormat="false" ht="15" hidden="false" customHeight="true" outlineLevel="0" collapsed="false">
      <c r="A86" s="1" t="n">
        <v>85</v>
      </c>
      <c r="B86" s="1" t="n">
        <f aca="false">(1+Assumptions!$B$26)^INT((A86-1)/12)</f>
        <v>1.14868566764928</v>
      </c>
    </row>
    <row r="87" customFormat="false" ht="15" hidden="false" customHeight="true" outlineLevel="0" collapsed="false">
      <c r="A87" s="1" t="n">
        <v>86</v>
      </c>
      <c r="B87" s="1" t="n">
        <f aca="false">(1+Assumptions!$B$26)^INT((A87-1)/12)</f>
        <v>1.14868566764928</v>
      </c>
    </row>
    <row r="88" customFormat="false" ht="15" hidden="false" customHeight="true" outlineLevel="0" collapsed="false">
      <c r="A88" s="1" t="n">
        <v>87</v>
      </c>
      <c r="B88" s="1" t="n">
        <f aca="false">(1+Assumptions!$B$26)^INT((A88-1)/12)</f>
        <v>1.14868566764928</v>
      </c>
    </row>
    <row r="89" customFormat="false" ht="15" hidden="false" customHeight="true" outlineLevel="0" collapsed="false">
      <c r="A89" s="1" t="n">
        <v>88</v>
      </c>
      <c r="B89" s="1" t="n">
        <f aca="false">(1+Assumptions!$B$26)^INT((A89-1)/12)</f>
        <v>1.14868566764928</v>
      </c>
    </row>
    <row r="90" customFormat="false" ht="15" hidden="false" customHeight="true" outlineLevel="0" collapsed="false">
      <c r="A90" s="1" t="n">
        <v>89</v>
      </c>
      <c r="B90" s="1" t="n">
        <f aca="false">(1+Assumptions!$B$26)^INT((A90-1)/12)</f>
        <v>1.14868566764928</v>
      </c>
    </row>
    <row r="91" customFormat="false" ht="15" hidden="false" customHeight="true" outlineLevel="0" collapsed="false">
      <c r="A91" s="1" t="n">
        <v>90</v>
      </c>
      <c r="B91" s="1" t="n">
        <f aca="false">(1+Assumptions!$B$26)^INT((A91-1)/12)</f>
        <v>1.14868566764928</v>
      </c>
    </row>
    <row r="92" customFormat="false" ht="15" hidden="false" customHeight="true" outlineLevel="0" collapsed="false">
      <c r="A92" s="1" t="n">
        <v>91</v>
      </c>
      <c r="B92" s="1" t="n">
        <f aca="false">(1+Assumptions!$B$26)^INT((A92-1)/12)</f>
        <v>1.14868566764928</v>
      </c>
    </row>
    <row r="93" customFormat="false" ht="15" hidden="false" customHeight="true" outlineLevel="0" collapsed="false">
      <c r="A93" s="1" t="n">
        <v>92</v>
      </c>
      <c r="B93" s="1" t="n">
        <f aca="false">(1+Assumptions!$B$26)^INT((A93-1)/12)</f>
        <v>1.14868566764928</v>
      </c>
    </row>
    <row r="94" customFormat="false" ht="15" hidden="false" customHeight="true" outlineLevel="0" collapsed="false">
      <c r="A94" s="1" t="n">
        <v>93</v>
      </c>
      <c r="B94" s="1" t="n">
        <f aca="false">(1+Assumptions!$B$26)^INT((A94-1)/12)</f>
        <v>1.14868566764928</v>
      </c>
    </row>
    <row r="95" customFormat="false" ht="15" hidden="false" customHeight="true" outlineLevel="0" collapsed="false">
      <c r="A95" s="1" t="n">
        <v>94</v>
      </c>
      <c r="B95" s="1" t="n">
        <f aca="false">(1+Assumptions!$B$26)^INT((A95-1)/12)</f>
        <v>1.14868566764928</v>
      </c>
    </row>
    <row r="96" customFormat="false" ht="15" hidden="false" customHeight="true" outlineLevel="0" collapsed="false">
      <c r="A96" s="1" t="n">
        <v>95</v>
      </c>
      <c r="B96" s="1" t="n">
        <f aca="false">(1+Assumptions!$B$26)^INT((A96-1)/12)</f>
        <v>1.14868566764928</v>
      </c>
    </row>
    <row r="97" customFormat="false" ht="15" hidden="false" customHeight="true" outlineLevel="0" collapsed="false">
      <c r="A97" s="1" t="n">
        <v>96</v>
      </c>
      <c r="B97" s="1" t="n">
        <f aca="false">(1+Assumptions!$B$26)^INT((A97-1)/12)</f>
        <v>1.14868566764928</v>
      </c>
    </row>
    <row r="98" customFormat="false" ht="15" hidden="false" customHeight="true" outlineLevel="0" collapsed="false">
      <c r="A98" s="1" t="n">
        <v>97</v>
      </c>
      <c r="B98" s="1" t="n">
        <f aca="false">(1+Assumptions!$B$26)^INT((A98-1)/12)</f>
        <v>1.17165938100227</v>
      </c>
    </row>
    <row r="99" customFormat="false" ht="15" hidden="false" customHeight="true" outlineLevel="0" collapsed="false">
      <c r="A99" s="1" t="n">
        <v>98</v>
      </c>
      <c r="B99" s="1" t="n">
        <f aca="false">(1+Assumptions!$B$26)^INT((A99-1)/12)</f>
        <v>1.17165938100227</v>
      </c>
    </row>
    <row r="100" customFormat="false" ht="15" hidden="false" customHeight="true" outlineLevel="0" collapsed="false">
      <c r="A100" s="1" t="n">
        <v>99</v>
      </c>
      <c r="B100" s="1" t="n">
        <f aca="false">(1+Assumptions!$B$26)^INT((A100-1)/12)</f>
        <v>1.17165938100227</v>
      </c>
    </row>
    <row r="101" customFormat="false" ht="15" hidden="false" customHeight="true" outlineLevel="0" collapsed="false">
      <c r="A101" s="1" t="n">
        <v>100</v>
      </c>
      <c r="B101" s="1" t="n">
        <f aca="false">(1+Assumptions!$B$26)^INT((A101-1)/12)</f>
        <v>1.17165938100227</v>
      </c>
    </row>
    <row r="102" customFormat="false" ht="15" hidden="false" customHeight="true" outlineLevel="0" collapsed="false">
      <c r="A102" s="1" t="n">
        <v>101</v>
      </c>
      <c r="B102" s="1" t="n">
        <f aca="false">(1+Assumptions!$B$26)^INT((A102-1)/12)</f>
        <v>1.17165938100227</v>
      </c>
    </row>
    <row r="103" customFormat="false" ht="15" hidden="false" customHeight="true" outlineLevel="0" collapsed="false">
      <c r="A103" s="1" t="n">
        <v>102</v>
      </c>
      <c r="B103" s="1" t="n">
        <f aca="false">(1+Assumptions!$B$26)^INT((A103-1)/12)</f>
        <v>1.17165938100227</v>
      </c>
    </row>
    <row r="104" customFormat="false" ht="15" hidden="false" customHeight="true" outlineLevel="0" collapsed="false">
      <c r="A104" s="1" t="n">
        <v>103</v>
      </c>
      <c r="B104" s="1" t="n">
        <f aca="false">(1+Assumptions!$B$26)^INT((A104-1)/12)</f>
        <v>1.17165938100227</v>
      </c>
    </row>
    <row r="105" customFormat="false" ht="15" hidden="false" customHeight="true" outlineLevel="0" collapsed="false">
      <c r="A105" s="1" t="n">
        <v>104</v>
      </c>
      <c r="B105" s="1" t="n">
        <f aca="false">(1+Assumptions!$B$26)^INT((A105-1)/12)</f>
        <v>1.17165938100227</v>
      </c>
    </row>
    <row r="106" customFormat="false" ht="15" hidden="false" customHeight="true" outlineLevel="0" collapsed="false">
      <c r="A106" s="1" t="n">
        <v>105</v>
      </c>
      <c r="B106" s="1" t="n">
        <f aca="false">(1+Assumptions!$B$26)^INT((A106-1)/12)</f>
        <v>1.17165938100227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DF101"/>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109375" defaultRowHeight="13.5" zeroHeight="false" outlineLevelRow="0" outlineLevelCol="0"/>
  <cols>
    <col collapsed="false" customWidth="true" hidden="false" outlineLevel="0" max="1" min="1" style="1" width="38"/>
    <col collapsed="false" customWidth="true" hidden="false" outlineLevel="0" max="2" min="2" style="1" width="14"/>
    <col collapsed="false" customWidth="true" hidden="false" outlineLevel="0" max="86" min="3" style="1" width="12"/>
  </cols>
  <sheetData>
    <row r="1" customFormat="false" ht="17.25" hidden="false" customHeight="true" outlineLevel="0" collapsed="false">
      <c r="A1" s="284" t="s">
        <v>1142</v>
      </c>
      <c r="B1" s="284"/>
      <c r="C1" s="284"/>
      <c r="D1" s="284"/>
    </row>
    <row r="2" customFormat="false" ht="15" hidden="false" customHeight="true" outlineLevel="0" collapsed="false">
      <c r="A2" s="4"/>
      <c r="B2" s="4"/>
      <c r="C2" s="5" t="n">
        <v>46113</v>
      </c>
      <c r="D2" s="5" t="n">
        <v>46143</v>
      </c>
      <c r="E2" s="5" t="n">
        <v>46174</v>
      </c>
      <c r="F2" s="5" t="n">
        <v>46204</v>
      </c>
      <c r="G2" s="5" t="n">
        <v>46235</v>
      </c>
      <c r="H2" s="5" t="n">
        <v>46266</v>
      </c>
      <c r="I2" s="5" t="n">
        <v>46296</v>
      </c>
      <c r="J2" s="5" t="n">
        <v>46327</v>
      </c>
      <c r="K2" s="5" t="n">
        <v>46357</v>
      </c>
      <c r="L2" s="5" t="n">
        <v>46388</v>
      </c>
      <c r="M2" s="5" t="n">
        <v>46419</v>
      </c>
      <c r="N2" s="5" t="n">
        <v>46447</v>
      </c>
      <c r="O2" s="5" t="n">
        <v>46478</v>
      </c>
      <c r="P2" s="5" t="n">
        <v>46508</v>
      </c>
      <c r="Q2" s="5" t="n">
        <v>46539</v>
      </c>
      <c r="R2" s="5" t="n">
        <v>46569</v>
      </c>
      <c r="S2" s="5" t="n">
        <v>46600</v>
      </c>
      <c r="T2" s="5" t="n">
        <v>46631</v>
      </c>
      <c r="U2" s="5" t="n">
        <v>46661</v>
      </c>
      <c r="V2" s="5" t="n">
        <v>46692</v>
      </c>
      <c r="W2" s="5" t="n">
        <v>46722</v>
      </c>
      <c r="X2" s="5" t="n">
        <v>46753</v>
      </c>
      <c r="Y2" s="5" t="n">
        <v>46784</v>
      </c>
      <c r="Z2" s="5" t="n">
        <v>46813</v>
      </c>
      <c r="AA2" s="5" t="n">
        <v>46844</v>
      </c>
      <c r="AB2" s="5" t="n">
        <v>46874</v>
      </c>
      <c r="AC2" s="5" t="n">
        <v>46905</v>
      </c>
      <c r="AD2" s="5" t="n">
        <v>46935</v>
      </c>
      <c r="AE2" s="5" t="n">
        <v>46966</v>
      </c>
      <c r="AF2" s="5" t="n">
        <v>46997</v>
      </c>
      <c r="AG2" s="5" t="n">
        <v>47027</v>
      </c>
      <c r="AH2" s="5" t="n">
        <v>47058</v>
      </c>
      <c r="AI2" s="5" t="n">
        <v>47088</v>
      </c>
      <c r="AJ2" s="5" t="n">
        <v>47119</v>
      </c>
      <c r="AK2" s="5" t="n">
        <v>47150</v>
      </c>
      <c r="AL2" s="5" t="n">
        <v>47178</v>
      </c>
      <c r="AM2" s="5" t="n">
        <v>47209</v>
      </c>
      <c r="AN2" s="5" t="n">
        <v>47239</v>
      </c>
      <c r="AO2" s="5" t="n">
        <v>47270</v>
      </c>
      <c r="AP2" s="5" t="n">
        <v>47300</v>
      </c>
      <c r="AQ2" s="5" t="n">
        <v>47331</v>
      </c>
      <c r="AR2" s="5" t="n">
        <v>47362</v>
      </c>
      <c r="AS2" s="5" t="n">
        <v>47392</v>
      </c>
      <c r="AT2" s="5" t="n">
        <v>47423</v>
      </c>
      <c r="AU2" s="5" t="n">
        <v>47453</v>
      </c>
      <c r="AV2" s="5" t="n">
        <v>47484</v>
      </c>
      <c r="AW2" s="5" t="n">
        <v>47515</v>
      </c>
      <c r="AX2" s="5" t="n">
        <v>47543</v>
      </c>
      <c r="AY2" s="5" t="n">
        <v>47574</v>
      </c>
      <c r="AZ2" s="5" t="n">
        <v>47604</v>
      </c>
      <c r="BA2" s="5" t="n">
        <v>47635</v>
      </c>
      <c r="BB2" s="5" t="n">
        <v>47665</v>
      </c>
      <c r="BC2" s="5" t="n">
        <v>47696</v>
      </c>
      <c r="BD2" s="5" t="n">
        <v>47727</v>
      </c>
      <c r="BE2" s="5" t="n">
        <v>47757</v>
      </c>
      <c r="BF2" s="5" t="n">
        <v>47788</v>
      </c>
      <c r="BG2" s="5" t="n">
        <v>47818</v>
      </c>
      <c r="BH2" s="5" t="n">
        <v>47849</v>
      </c>
      <c r="BI2" s="5" t="n">
        <v>47880</v>
      </c>
      <c r="BJ2" s="5" t="n">
        <v>47908</v>
      </c>
      <c r="BK2" s="5" t="n">
        <v>47939</v>
      </c>
      <c r="BL2" s="5" t="n">
        <v>47969</v>
      </c>
      <c r="BM2" s="5" t="n">
        <v>48000</v>
      </c>
      <c r="BN2" s="5" t="n">
        <v>48030</v>
      </c>
      <c r="BO2" s="5" t="n">
        <v>48061</v>
      </c>
      <c r="BP2" s="5" t="n">
        <v>48092</v>
      </c>
      <c r="BQ2" s="5" t="n">
        <v>48122</v>
      </c>
      <c r="BR2" s="5" t="n">
        <v>48153</v>
      </c>
      <c r="BS2" s="5" t="n">
        <v>48183</v>
      </c>
      <c r="BT2" s="5" t="n">
        <v>48214</v>
      </c>
      <c r="BU2" s="5" t="n">
        <v>48245</v>
      </c>
      <c r="BV2" s="5" t="n">
        <v>48274</v>
      </c>
      <c r="BW2" s="5" t="n">
        <v>48305</v>
      </c>
      <c r="BX2" s="5" t="n">
        <v>48335</v>
      </c>
      <c r="BY2" s="5" t="n">
        <v>48366</v>
      </c>
      <c r="BZ2" s="5" t="n">
        <v>48396</v>
      </c>
      <c r="CA2" s="5" t="n">
        <v>48427</v>
      </c>
      <c r="CB2" s="5" t="n">
        <v>48458</v>
      </c>
      <c r="CC2" s="5" t="n">
        <v>48488</v>
      </c>
      <c r="CD2" s="5" t="n">
        <v>48519</v>
      </c>
      <c r="CE2" s="5" t="n">
        <v>48549</v>
      </c>
      <c r="CF2" s="5" t="n">
        <v>48580</v>
      </c>
      <c r="CG2" s="5" t="n">
        <v>48611</v>
      </c>
      <c r="CH2" s="5" t="n">
        <v>48639</v>
      </c>
      <c r="CI2" s="5" t="n">
        <v>48639</v>
      </c>
      <c r="CJ2" s="5" t="n">
        <v>48639</v>
      </c>
      <c r="CK2" s="5" t="n">
        <v>48639</v>
      </c>
      <c r="CL2" s="5" t="n">
        <v>48639</v>
      </c>
      <c r="CM2" s="5" t="n">
        <v>48639</v>
      </c>
      <c r="CN2" s="5" t="n">
        <v>48639</v>
      </c>
      <c r="CO2" s="5" t="n">
        <v>48639</v>
      </c>
      <c r="CP2" s="5" t="n">
        <v>48639</v>
      </c>
      <c r="CQ2" s="5" t="n">
        <v>48639</v>
      </c>
    </row>
    <row r="3" customFormat="false" ht="15" hidden="false" customHeight="true" outlineLevel="0" collapsed="false">
      <c r="A3" s="177" t="s">
        <v>1</v>
      </c>
      <c r="C3" s="299" t="n">
        <v>1</v>
      </c>
      <c r="D3" s="299" t="n">
        <v>2</v>
      </c>
      <c r="E3" s="299" t="n">
        <v>3</v>
      </c>
      <c r="F3" s="299" t="n">
        <v>4</v>
      </c>
      <c r="G3" s="299" t="n">
        <v>5</v>
      </c>
      <c r="H3" s="299" t="n">
        <v>6</v>
      </c>
      <c r="I3" s="299" t="n">
        <v>7</v>
      </c>
      <c r="J3" s="299" t="n">
        <v>8</v>
      </c>
      <c r="K3" s="299" t="n">
        <v>9</v>
      </c>
      <c r="L3" s="299" t="n">
        <v>10</v>
      </c>
      <c r="M3" s="299" t="n">
        <v>11</v>
      </c>
      <c r="N3" s="299" t="n">
        <v>12</v>
      </c>
      <c r="O3" s="299" t="n">
        <v>13</v>
      </c>
      <c r="P3" s="299" t="n">
        <v>14</v>
      </c>
      <c r="Q3" s="299" t="n">
        <v>15</v>
      </c>
      <c r="R3" s="299" t="n">
        <v>16</v>
      </c>
      <c r="S3" s="299" t="n">
        <v>17</v>
      </c>
      <c r="T3" s="299" t="n">
        <v>18</v>
      </c>
      <c r="U3" s="299" t="n">
        <v>19</v>
      </c>
      <c r="V3" s="299" t="n">
        <v>20</v>
      </c>
      <c r="W3" s="299" t="n">
        <v>21</v>
      </c>
      <c r="X3" s="299" t="n">
        <v>22</v>
      </c>
      <c r="Y3" s="299" t="n">
        <v>23</v>
      </c>
      <c r="Z3" s="299" t="n">
        <v>24</v>
      </c>
      <c r="AA3" s="299" t="n">
        <v>25</v>
      </c>
      <c r="AB3" s="299" t="n">
        <v>26</v>
      </c>
      <c r="AC3" s="299" t="n">
        <v>27</v>
      </c>
      <c r="AD3" s="299" t="n">
        <v>28</v>
      </c>
      <c r="AE3" s="299" t="n">
        <v>29</v>
      </c>
      <c r="AF3" s="299" t="n">
        <v>30</v>
      </c>
      <c r="AG3" s="299" t="n">
        <v>31</v>
      </c>
      <c r="AH3" s="299" t="n">
        <v>32</v>
      </c>
      <c r="AI3" s="299" t="n">
        <v>33</v>
      </c>
      <c r="AJ3" s="299" t="n">
        <v>34</v>
      </c>
      <c r="AK3" s="299" t="n">
        <v>35</v>
      </c>
      <c r="AL3" s="299" t="n">
        <v>36</v>
      </c>
      <c r="AM3" s="299" t="n">
        <v>37</v>
      </c>
      <c r="AN3" s="299" t="n">
        <v>38</v>
      </c>
      <c r="AO3" s="299" t="n">
        <v>39</v>
      </c>
      <c r="AP3" s="299" t="n">
        <v>40</v>
      </c>
      <c r="AQ3" s="299" t="n">
        <v>41</v>
      </c>
      <c r="AR3" s="299" t="n">
        <v>42</v>
      </c>
      <c r="AS3" s="299" t="n">
        <v>43</v>
      </c>
      <c r="AT3" s="299" t="n">
        <v>44</v>
      </c>
      <c r="AU3" s="299" t="n">
        <v>45</v>
      </c>
      <c r="AV3" s="299" t="n">
        <v>46</v>
      </c>
      <c r="AW3" s="299" t="n">
        <v>47</v>
      </c>
      <c r="AX3" s="299" t="n">
        <v>48</v>
      </c>
      <c r="AY3" s="299" t="n">
        <v>49</v>
      </c>
      <c r="AZ3" s="299" t="n">
        <v>50</v>
      </c>
      <c r="BA3" s="299" t="n">
        <v>51</v>
      </c>
      <c r="BB3" s="299" t="n">
        <v>52</v>
      </c>
      <c r="BC3" s="299" t="n">
        <v>53</v>
      </c>
      <c r="BD3" s="299" t="n">
        <v>54</v>
      </c>
      <c r="BE3" s="299" t="n">
        <v>55</v>
      </c>
      <c r="BF3" s="299" t="n">
        <v>56</v>
      </c>
      <c r="BG3" s="299" t="n">
        <v>57</v>
      </c>
      <c r="BH3" s="299" t="n">
        <v>58</v>
      </c>
      <c r="BI3" s="299" t="n">
        <v>59</v>
      </c>
      <c r="BJ3" s="299" t="n">
        <v>60</v>
      </c>
      <c r="BK3" s="299" t="n">
        <v>61</v>
      </c>
      <c r="BL3" s="299" t="n">
        <v>62</v>
      </c>
      <c r="BM3" s="299" t="n">
        <v>63</v>
      </c>
      <c r="BN3" s="299" t="n">
        <v>64</v>
      </c>
      <c r="BO3" s="299" t="n">
        <v>65</v>
      </c>
      <c r="BP3" s="299" t="n">
        <v>66</v>
      </c>
      <c r="BQ3" s="299" t="n">
        <v>67</v>
      </c>
      <c r="BR3" s="299" t="n">
        <v>68</v>
      </c>
      <c r="BS3" s="299" t="n">
        <v>69</v>
      </c>
      <c r="BT3" s="299" t="n">
        <v>70</v>
      </c>
      <c r="BU3" s="299" t="n">
        <v>71</v>
      </c>
      <c r="BV3" s="299" t="n">
        <v>72</v>
      </c>
      <c r="BW3" s="299" t="n">
        <v>73</v>
      </c>
      <c r="BX3" s="299" t="n">
        <v>74</v>
      </c>
      <c r="BY3" s="299" t="n">
        <v>75</v>
      </c>
      <c r="BZ3" s="299" t="n">
        <v>76</v>
      </c>
      <c r="CA3" s="299" t="n">
        <v>77</v>
      </c>
      <c r="CB3" s="299" t="n">
        <v>78</v>
      </c>
      <c r="CC3" s="299" t="n">
        <v>79</v>
      </c>
      <c r="CD3" s="299" t="n">
        <v>80</v>
      </c>
      <c r="CE3" s="299" t="n">
        <v>81</v>
      </c>
      <c r="CF3" s="299" t="n">
        <v>82</v>
      </c>
      <c r="CG3" s="299" t="n">
        <v>83</v>
      </c>
      <c r="CH3" s="299" t="n">
        <v>84</v>
      </c>
      <c r="CI3" s="299" t="n">
        <v>84</v>
      </c>
      <c r="CJ3" s="299" t="n">
        <v>84</v>
      </c>
      <c r="CK3" s="299" t="n">
        <v>84</v>
      </c>
      <c r="CL3" s="299" t="n">
        <v>84</v>
      </c>
      <c r="CM3" s="299" t="n">
        <v>84</v>
      </c>
      <c r="CN3" s="299" t="n">
        <v>84</v>
      </c>
      <c r="CO3" s="299" t="n">
        <v>84</v>
      </c>
      <c r="CP3" s="299" t="n">
        <v>84</v>
      </c>
      <c r="CQ3" s="299" t="n">
        <v>84</v>
      </c>
    </row>
    <row r="4" customFormat="false" ht="15" hidden="false" customHeight="true" outlineLevel="0" collapsed="false">
      <c r="A4" s="177" t="s">
        <v>1143</v>
      </c>
      <c r="C4" s="289" t="n">
        <f aca="false">(SUMPRODUCT((Personnel!$O$9:$O$100&lt;&gt;"")*(Personnel!$G$9:$G$100="Yes")*(1&gt;=Personnel!$E$9:$E$100)*((Personnel!$K$9:$K$100="")+(1&lt;=Personnel!$K$9:$K$100)&gt;0)*Personnel!$D$9:$D$100*(1-Personnel!$H$9:$H$100))+Staffing!E81)*Escalation!$B$2</f>
        <v>225047.666666667</v>
      </c>
      <c r="D4" s="289" t="n">
        <f aca="false">(SUMPRODUCT((Personnel!$O$9:$O$100&lt;&gt;"")*(Personnel!$G$9:$G$100="Yes")*(2&gt;=Personnel!$E$9:$E$100)*((Personnel!$K$9:$K$100="")+(2&lt;=Personnel!$K$9:$K$100)&gt;0)*Personnel!$D$9:$D$100*(1-Personnel!$H$9:$H$100))+Staffing!F81)*Escalation!$B$3</f>
        <v>249631</v>
      </c>
      <c r="E4" s="289" t="n">
        <f aca="false">(SUMPRODUCT((Personnel!$O$9:$O$100&lt;&gt;"")*(Personnel!$G$9:$G$100="Yes")*(3&gt;=Personnel!$E$9:$E$100)*((Personnel!$K$9:$K$100="")+(3&lt;=Personnel!$K$9:$K$100)&gt;0)*Personnel!$D$9:$D$100*(1-Personnel!$H$9:$H$100))+Staffing!G81)*Escalation!$B$4</f>
        <v>274631</v>
      </c>
      <c r="F4" s="289" t="n">
        <f aca="false">(SUMPRODUCT((Personnel!$O$9:$O$100&lt;&gt;"")*(Personnel!$G$9:$G$100="Yes")*(4&gt;=Personnel!$E$9:$E$100)*((Personnel!$K$9:$K$100="")+(4&lt;=Personnel!$K$9:$K$100)&gt;0)*Personnel!$D$9:$D$100*(1-Personnel!$H$9:$H$100))+Staffing!H81)*Escalation!$B$5</f>
        <v>288797.666666667</v>
      </c>
      <c r="G4" s="289" t="n">
        <f aca="false">(SUMPRODUCT((Personnel!$O$9:$O$100&lt;&gt;"")*(Personnel!$G$9:$G$100="Yes")*(5&gt;=Personnel!$E$9:$E$100)*((Personnel!$K$9:$K$100="")+(5&lt;=Personnel!$K$9:$K$100)&gt;0)*Personnel!$D$9:$D$100*(1-Personnel!$H$9:$H$100))+Staffing!I81)*Escalation!$B$6</f>
        <v>300881</v>
      </c>
      <c r="H4" s="289" t="n">
        <f aca="false">(SUMPRODUCT((Personnel!$O$9:$O$100&lt;&gt;"")*(Personnel!$G$9:$G$100="Yes")*(6&gt;=Personnel!$E$9:$E$100)*((Personnel!$K$9:$K$100="")+(6&lt;=Personnel!$K$9:$K$100)&gt;0)*Personnel!$D$9:$D$100*(1-Personnel!$H$9:$H$100))+Staffing!J81)*Escalation!$B$7</f>
        <v>313797.666666667</v>
      </c>
      <c r="I4" s="289" t="n">
        <f aca="false">(SUMPRODUCT((Personnel!$O$9:$O$100&lt;&gt;"")*(Personnel!$G$9:$G$100="Yes")*(7&gt;=Personnel!$E$9:$E$100)*((Personnel!$K$9:$K$100="")+(7&lt;=Personnel!$K$9:$K$100)&gt;0)*Personnel!$D$9:$D$100*(1-Personnel!$H$9:$H$100))+Staffing!K81)*Escalation!$B$8</f>
        <v>313797.666666667</v>
      </c>
      <c r="J4" s="289" t="n">
        <f aca="false">(SUMPRODUCT((Personnel!$O$9:$O$100&lt;&gt;"")*(Personnel!$G$9:$G$100="Yes")*(8&gt;=Personnel!$E$9:$E$100)*((Personnel!$K$9:$K$100="")+(8&lt;=Personnel!$K$9:$K$100)&gt;0)*Personnel!$D$9:$D$100*(1-Personnel!$H$9:$H$100))+Staffing!L81)*Escalation!$B$9</f>
        <v>313797.666666667</v>
      </c>
      <c r="K4" s="289" t="n">
        <f aca="false">(SUMPRODUCT((Personnel!$O$9:$O$100&lt;&gt;"")*(Personnel!$G$9:$G$100="Yes")*(9&gt;=Personnel!$E$9:$E$100)*((Personnel!$K$9:$K$100="")+(9&lt;=Personnel!$K$9:$K$100)&gt;0)*Personnel!$D$9:$D$100*(1-Personnel!$H$9:$H$100))+Staffing!M81)*Escalation!$B$10</f>
        <v>337547.666666667</v>
      </c>
      <c r="L4" s="289" t="n">
        <f aca="false">(SUMPRODUCT((Personnel!$O$9:$O$100&lt;&gt;"")*(Personnel!$G$9:$G$100="Yes")*(10&gt;=Personnel!$E$9:$E$100)*((Personnel!$K$9:$K$100="")+(10&lt;=Personnel!$K$9:$K$100)&gt;0)*Personnel!$D$9:$D$100*(1-Personnel!$H$9:$H$100))+Staffing!N81)*Escalation!$B$11</f>
        <v>358797.666666667</v>
      </c>
      <c r="M4" s="289" t="n">
        <f aca="false">(SUMPRODUCT((Personnel!$O$9:$O$100&lt;&gt;"")*(Personnel!$G$9:$G$100="Yes")*(11&gt;=Personnel!$E$9:$E$100)*((Personnel!$K$9:$K$100="")+(11&lt;=Personnel!$K$9:$K$100)&gt;0)*Personnel!$D$9:$D$100*(1-Personnel!$H$9:$H$100))+Staffing!O81)*Escalation!$B$12</f>
        <v>404214.333333333</v>
      </c>
      <c r="N4" s="289" t="n">
        <f aca="false">(SUMPRODUCT((Personnel!$O$9:$O$100&lt;&gt;"")*(Personnel!$G$9:$G$100="Yes")*(12&gt;=Personnel!$E$9:$E$100)*((Personnel!$K$9:$K$100="")+(12&lt;=Personnel!$K$9:$K$100)&gt;0)*Personnel!$D$9:$D$100*(1-Personnel!$H$9:$H$100))+Staffing!P81)*Escalation!$B$13</f>
        <v>404214.333333333</v>
      </c>
      <c r="O4" s="289" t="n">
        <f aca="false">(SUMPRODUCT((Personnel!$O$9:$O$100&lt;&gt;"")*(Personnel!$G$9:$G$100="Yes")*(13&gt;=Personnel!$E$9:$E$100)*((Personnel!$K$9:$K$100="")+(13&lt;=Personnel!$K$9:$K$100)&gt;0)*Personnel!$D$9:$D$100*(1-Personnel!$H$9:$H$100))+Staffing!Q81)*Escalation!$B$14</f>
        <v>436523.62</v>
      </c>
      <c r="P4" s="289" t="n">
        <f aca="false">(SUMPRODUCT((Personnel!$O$9:$O$100&lt;&gt;"")*(Personnel!$G$9:$G$100="Yes")*(14&gt;=Personnel!$E$9:$E$100)*((Personnel!$K$9:$K$100="")+(14&lt;=Personnel!$K$9:$K$100)&gt;0)*Personnel!$D$9:$D$100*(1-Personnel!$H$9:$H$100))+Staffing!R81)*Escalation!$B$15</f>
        <v>467973.62</v>
      </c>
      <c r="Q4" s="289" t="n">
        <f aca="false">(SUMPRODUCT((Personnel!$O$9:$O$100&lt;&gt;"")*(Personnel!$G$9:$G$100="Yes")*(15&gt;=Personnel!$E$9:$E$100)*((Personnel!$K$9:$K$100="")+(15&lt;=Personnel!$K$9:$K$100)&gt;0)*Personnel!$D$9:$D$100*(1-Personnel!$H$9:$H$100))+Staffing!S81)*Escalation!$B$16</f>
        <v>478598.62</v>
      </c>
      <c r="R4" s="289" t="n">
        <f aca="false">(SUMPRODUCT((Personnel!$O$9:$O$100&lt;&gt;"")*(Personnel!$G$9:$G$100="Yes")*(16&gt;=Personnel!$E$9:$E$100)*((Personnel!$K$9:$K$100="")+(16&lt;=Personnel!$K$9:$K$100)&gt;0)*Personnel!$D$9:$D$100*(1-Personnel!$H$9:$H$100))+Staffing!T81)*Escalation!$B$17</f>
        <v>489223.62</v>
      </c>
      <c r="S4" s="289" t="n">
        <f aca="false">(SUMPRODUCT((Personnel!$O$9:$O$100&lt;&gt;"")*(Personnel!$G$9:$G$100="Yes")*(17&gt;=Personnel!$E$9:$E$100)*((Personnel!$K$9:$K$100="")+(17&lt;=Personnel!$K$9:$K$100)&gt;0)*Personnel!$D$9:$D$100*(1-Personnel!$H$9:$H$100))+Staffing!U81)*Escalation!$B$18</f>
        <v>489223.62</v>
      </c>
      <c r="T4" s="289" t="n">
        <f aca="false">(SUMPRODUCT((Personnel!$O$9:$O$100&lt;&gt;"")*(Personnel!$G$9:$G$100="Yes")*(18&gt;=Personnel!$E$9:$E$100)*((Personnel!$K$9:$K$100="")+(18&lt;=Personnel!$K$9:$K$100)&gt;0)*Personnel!$D$9:$D$100*(1-Personnel!$H$9:$H$100))+Staffing!V81)*Escalation!$B$19</f>
        <v>489223.62</v>
      </c>
      <c r="U4" s="289" t="n">
        <f aca="false">(SUMPRODUCT((Personnel!$O$9:$O$100&lt;&gt;"")*(Personnel!$G$9:$G$100="Yes")*(19&gt;=Personnel!$E$9:$E$100)*((Personnel!$K$9:$K$100="")+(19&lt;=Personnel!$K$9:$K$100)&gt;0)*Personnel!$D$9:$D$100*(1-Personnel!$H$9:$H$100))+Staffing!W81)*Escalation!$B$20</f>
        <v>489223.62</v>
      </c>
      <c r="V4" s="289" t="n">
        <f aca="false">(SUMPRODUCT((Personnel!$O$9:$O$100&lt;&gt;"")*(Personnel!$G$9:$G$100="Yes")*(20&gt;=Personnel!$E$9:$E$100)*((Personnel!$K$9:$K$100="")+(20&lt;=Personnel!$K$9:$K$100)&gt;0)*Personnel!$D$9:$D$100*(1-Personnel!$H$9:$H$100))+Staffing!X81)*Escalation!$B$21</f>
        <v>489223.62</v>
      </c>
      <c r="W4" s="289" t="n">
        <f aca="false">(SUMPRODUCT((Personnel!$O$9:$O$100&lt;&gt;"")*(Personnel!$G$9:$G$100="Yes")*(21&gt;=Personnel!$E$9:$E$100)*((Personnel!$K$9:$K$100="")+(21&lt;=Personnel!$K$9:$K$100)&gt;0)*Personnel!$D$9:$D$100*(1-Personnel!$H$9:$H$100))+Staffing!Y81)*Escalation!$B$22</f>
        <v>489223.62</v>
      </c>
      <c r="X4" s="289" t="n">
        <f aca="false">(SUMPRODUCT((Personnel!$O$9:$O$100&lt;&gt;"")*(Personnel!$G$9:$G$100="Yes")*(22&gt;=Personnel!$E$9:$E$100)*((Personnel!$K$9:$K$100="")+(22&lt;=Personnel!$K$9:$K$100)&gt;0)*Personnel!$D$9:$D$100*(1-Personnel!$H$9:$H$100))+Staffing!Z81)*Escalation!$B$23</f>
        <v>478598.62</v>
      </c>
      <c r="Y4" s="289" t="n">
        <f aca="false">(SUMPRODUCT((Personnel!$O$9:$O$100&lt;&gt;"")*(Personnel!$G$9:$G$100="Yes")*(23&gt;=Personnel!$E$9:$E$100)*((Personnel!$K$9:$K$100="")+(23&lt;=Personnel!$K$9:$K$100)&gt;0)*Personnel!$D$9:$D$100*(1-Personnel!$H$9:$H$100))+Staffing!AA81)*Escalation!$B$24</f>
        <v>478598.62</v>
      </c>
      <c r="Z4" s="289" t="n">
        <f aca="false">(SUMPRODUCT((Personnel!$O$9:$O$100&lt;&gt;"")*(Personnel!$G$9:$G$100="Yes")*(24&gt;=Personnel!$E$9:$E$100)*((Personnel!$K$9:$K$100="")+(24&lt;=Personnel!$K$9:$K$100)&gt;0)*Personnel!$D$9:$D$100*(1-Personnel!$H$9:$H$100))+Staffing!AB81)*Escalation!$B$25</f>
        <v>471798.62</v>
      </c>
      <c r="AA4" s="289" t="n">
        <f aca="false">(SUMPRODUCT((Personnel!$O$9:$O$100&lt;&gt;"")*(Personnel!$G$9:$G$100="Yes")*(25&gt;=Personnel!$E$9:$E$100)*((Personnel!$K$9:$K$100="")+(25&lt;=Personnel!$K$9:$K$100)&gt;0)*Personnel!$D$9:$D$100*(1-Personnel!$H$9:$H$100))+Staffing!AC81)*Escalation!$B$26</f>
        <v>481234.5924</v>
      </c>
      <c r="AB4" s="289" t="n">
        <f aca="false">(SUMPRODUCT((Personnel!$O$9:$O$100&lt;&gt;"")*(Personnel!$G$9:$G$100="Yes")*(26&gt;=Personnel!$E$9:$E$100)*((Personnel!$K$9:$K$100="")+(26&lt;=Personnel!$K$9:$K$100)&gt;0)*Personnel!$D$9:$D$100*(1-Personnel!$H$9:$H$100))+Staffing!AD81)*Escalation!$B$27</f>
        <v>481234.5924</v>
      </c>
      <c r="AC4" s="289" t="n">
        <f aca="false">(SUMPRODUCT((Personnel!$O$9:$O$100&lt;&gt;"")*(Personnel!$G$9:$G$100="Yes")*(27&gt;=Personnel!$E$9:$E$100)*((Personnel!$K$9:$K$100="")+(27&lt;=Personnel!$K$9:$K$100)&gt;0)*Personnel!$D$9:$D$100*(1-Personnel!$H$9:$H$100))+Staffing!AE81)*Escalation!$B$28</f>
        <v>481234.5924</v>
      </c>
      <c r="AD4" s="289" t="n">
        <f aca="false">(SUMPRODUCT((Personnel!$O$9:$O$100&lt;&gt;"")*(Personnel!$G$9:$G$100="Yes")*(28&gt;=Personnel!$E$9:$E$100)*((Personnel!$K$9:$K$100="")+(28&lt;=Personnel!$K$9:$K$100)&gt;0)*Personnel!$D$9:$D$100*(1-Personnel!$H$9:$H$100))+Staffing!AF81)*Escalation!$B$29</f>
        <v>481234.5924</v>
      </c>
      <c r="AE4" s="289" t="n">
        <f aca="false">(SUMPRODUCT((Personnel!$O$9:$O$100&lt;&gt;"")*(Personnel!$G$9:$G$100="Yes")*(29&gt;=Personnel!$E$9:$E$100)*((Personnel!$K$9:$K$100="")+(29&lt;=Personnel!$K$9:$K$100)&gt;0)*Personnel!$D$9:$D$100*(1-Personnel!$H$9:$H$100))+Staffing!AG81)*Escalation!$B$30</f>
        <v>481234.5924</v>
      </c>
      <c r="AF4" s="289" t="n">
        <f aca="false">(SUMPRODUCT((Personnel!$O$9:$O$100&lt;&gt;"")*(Personnel!$G$9:$G$100="Yes")*(30&gt;=Personnel!$E$9:$E$100)*((Personnel!$K$9:$K$100="")+(30&lt;=Personnel!$K$9:$K$100)&gt;0)*Personnel!$D$9:$D$100*(1-Personnel!$H$9:$H$100))+Staffing!AH81)*Escalation!$B$31</f>
        <v>481234.5924</v>
      </c>
      <c r="AG4" s="289" t="n">
        <f aca="false">(SUMPRODUCT((Personnel!$O$9:$O$100&lt;&gt;"")*(Personnel!$G$9:$G$100="Yes")*(31&gt;=Personnel!$E$9:$E$100)*((Personnel!$K$9:$K$100="")+(31&lt;=Personnel!$K$9:$K$100)&gt;0)*Personnel!$D$9:$D$100*(1-Personnel!$H$9:$H$100))+Staffing!AI81)*Escalation!$B$32</f>
        <v>481234.5924</v>
      </c>
      <c r="AH4" s="289" t="n">
        <f aca="false">(SUMPRODUCT((Personnel!$O$9:$O$100&lt;&gt;"")*(Personnel!$G$9:$G$100="Yes")*(32&gt;=Personnel!$E$9:$E$100)*((Personnel!$K$9:$K$100="")+(32&lt;=Personnel!$K$9:$K$100)&gt;0)*Personnel!$D$9:$D$100*(1-Personnel!$H$9:$H$100))+Staffing!AJ81)*Escalation!$B$33</f>
        <v>499008.0924</v>
      </c>
      <c r="AI4" s="289" t="n">
        <f aca="false">(SUMPRODUCT((Personnel!$O$9:$O$100&lt;&gt;"")*(Personnel!$G$9:$G$100="Yes")*(33&gt;=Personnel!$E$9:$E$100)*((Personnel!$K$9:$K$100="")+(33&lt;=Personnel!$K$9:$K$100)&gt;0)*Personnel!$D$9:$D$100*(1-Personnel!$H$9:$H$100))+Staffing!AK81)*Escalation!$B$34</f>
        <v>499008.0924</v>
      </c>
      <c r="AJ4" s="289" t="n">
        <f aca="false">(SUMPRODUCT((Personnel!$O$9:$O$100&lt;&gt;"")*(Personnel!$G$9:$G$100="Yes")*(34&gt;=Personnel!$E$9:$E$100)*((Personnel!$K$9:$K$100="")+(34&lt;=Personnel!$K$9:$K$100)&gt;0)*Personnel!$D$9:$D$100*(1-Personnel!$H$9:$H$100))+Staffing!AL81)*Escalation!$B$35</f>
        <v>499008.0924</v>
      </c>
      <c r="AK4" s="289" t="n">
        <f aca="false">(SUMPRODUCT((Personnel!$O$9:$O$100&lt;&gt;"")*(Personnel!$G$9:$G$100="Yes")*(35&gt;=Personnel!$E$9:$E$100)*((Personnel!$K$9:$K$100="")+(35&lt;=Personnel!$K$9:$K$100)&gt;0)*Personnel!$D$9:$D$100*(1-Personnel!$H$9:$H$100))+Staffing!AM81)*Escalation!$B$36</f>
        <v>499008.0924</v>
      </c>
      <c r="AL4" s="289" t="n">
        <f aca="false">(SUMPRODUCT((Personnel!$O$9:$O$100&lt;&gt;"")*(Personnel!$G$9:$G$100="Yes")*(36&gt;=Personnel!$E$9:$E$100)*((Personnel!$K$9:$K$100="")+(36&lt;=Personnel!$K$9:$K$100)&gt;0)*Personnel!$D$9:$D$100*(1-Personnel!$H$9:$H$100))+Staffing!AN81)*Escalation!$B$37</f>
        <v>499008.0924</v>
      </c>
      <c r="AM4" s="289" t="n">
        <f aca="false">(SUMPRODUCT((Personnel!$O$9:$O$100&lt;&gt;"")*(Personnel!$G$9:$G$100="Yes")*(37&gt;=Personnel!$E$9:$E$100)*((Personnel!$K$9:$K$100="")+(37&lt;=Personnel!$K$9:$K$100)&gt;0)*Personnel!$D$9:$D$100*(1-Personnel!$H$9:$H$100))+Staffing!AO81)*Escalation!$B$38</f>
        <v>508988.254248</v>
      </c>
      <c r="AN4" s="289" t="n">
        <f aca="false">(SUMPRODUCT((Personnel!$O$9:$O$100&lt;&gt;"")*(Personnel!$G$9:$G$100="Yes")*(38&gt;=Personnel!$E$9:$E$100)*((Personnel!$K$9:$K$100="")+(38&lt;=Personnel!$K$9:$K$100)&gt;0)*Personnel!$D$9:$D$100*(1-Personnel!$H$9:$H$100))+Staffing!AP81)*Escalation!$B$39</f>
        <v>508988.254248</v>
      </c>
      <c r="AO4" s="289" t="n">
        <f aca="false">(SUMPRODUCT((Personnel!$O$9:$O$100&lt;&gt;"")*(Personnel!$G$9:$G$100="Yes")*(39&gt;=Personnel!$E$9:$E$100)*((Personnel!$K$9:$K$100="")+(39&lt;=Personnel!$K$9:$K$100)&gt;0)*Personnel!$D$9:$D$100*(1-Personnel!$H$9:$H$100))+Staffing!AQ81)*Escalation!$B$40</f>
        <v>531538.924248</v>
      </c>
      <c r="AP4" s="289" t="n">
        <f aca="false">(SUMPRODUCT((Personnel!$O$9:$O$100&lt;&gt;"")*(Personnel!$G$9:$G$100="Yes")*(40&gt;=Personnel!$E$9:$E$100)*((Personnel!$K$9:$K$100="")+(40&lt;=Personnel!$K$9:$K$100)&gt;0)*Personnel!$D$9:$D$100*(1-Personnel!$H$9:$H$100))+Staffing!AR81)*Escalation!$B$41</f>
        <v>531538.924248</v>
      </c>
      <c r="AQ4" s="289" t="n">
        <f aca="false">(SUMPRODUCT((Personnel!$O$9:$O$100&lt;&gt;"")*(Personnel!$G$9:$G$100="Yes")*(41&gt;=Personnel!$E$9:$E$100)*((Personnel!$K$9:$K$100="")+(41&lt;=Personnel!$K$9:$K$100)&gt;0)*Personnel!$D$9:$D$100*(1-Personnel!$H$9:$H$100))+Staffing!AS81)*Escalation!$B$42</f>
        <v>531538.924248</v>
      </c>
      <c r="AR4" s="289" t="n">
        <f aca="false">(SUMPRODUCT((Personnel!$O$9:$O$100&lt;&gt;"")*(Personnel!$G$9:$G$100="Yes")*(42&gt;=Personnel!$E$9:$E$100)*((Personnel!$K$9:$K$100="")+(42&lt;=Personnel!$K$9:$K$100)&gt;0)*Personnel!$D$9:$D$100*(1-Personnel!$H$9:$H$100))+Staffing!AT81)*Escalation!$B$43</f>
        <v>531538.924248</v>
      </c>
      <c r="AS4" s="289" t="n">
        <f aca="false">(SUMPRODUCT((Personnel!$O$9:$O$100&lt;&gt;"")*(Personnel!$G$9:$G$100="Yes")*(43&gt;=Personnel!$E$9:$E$100)*((Personnel!$K$9:$K$100="")+(43&lt;=Personnel!$K$9:$K$100)&gt;0)*Personnel!$D$9:$D$100*(1-Personnel!$H$9:$H$100))+Staffing!AU81)*Escalation!$B$44</f>
        <v>553647.424248</v>
      </c>
      <c r="AT4" s="289" t="n">
        <f aca="false">(SUMPRODUCT((Personnel!$O$9:$O$100&lt;&gt;"")*(Personnel!$G$9:$G$100="Yes")*(44&gt;=Personnel!$E$9:$E$100)*((Personnel!$K$9:$K$100="")+(44&lt;=Personnel!$K$9:$K$100)&gt;0)*Personnel!$D$9:$D$100*(1-Personnel!$H$9:$H$100))+Staffing!AV81)*Escalation!$B$45</f>
        <v>553647.424248</v>
      </c>
      <c r="AU4" s="289" t="n">
        <f aca="false">(SUMPRODUCT((Personnel!$O$9:$O$100&lt;&gt;"")*(Personnel!$G$9:$G$100="Yes")*(45&gt;=Personnel!$E$9:$E$100)*((Personnel!$K$9:$K$100="")+(45&lt;=Personnel!$K$9:$K$100)&gt;0)*Personnel!$D$9:$D$100*(1-Personnel!$H$9:$H$100))+Staffing!AW81)*Escalation!$B$46</f>
        <v>542151.004248</v>
      </c>
      <c r="AV4" s="289" t="n">
        <f aca="false">(SUMPRODUCT((Personnel!$O$9:$O$100&lt;&gt;"")*(Personnel!$G$9:$G$100="Yes")*(46&gt;=Personnel!$E$9:$E$100)*((Personnel!$K$9:$K$100="")+(46&lt;=Personnel!$K$9:$K$100)&gt;0)*Personnel!$D$9:$D$100*(1-Personnel!$H$9:$H$100))+Staffing!AX81)*Escalation!$B$47</f>
        <v>542151.004248</v>
      </c>
      <c r="AW4" s="289" t="n">
        <f aca="false">(SUMPRODUCT((Personnel!$O$9:$O$100&lt;&gt;"")*(Personnel!$G$9:$G$100="Yes")*(47&gt;=Personnel!$E$9:$E$100)*((Personnel!$K$9:$K$100="")+(47&lt;=Personnel!$K$9:$K$100)&gt;0)*Personnel!$D$9:$D$100*(1-Personnel!$H$9:$H$100))+Staffing!AY81)*Escalation!$B$48</f>
        <v>542151.004248</v>
      </c>
      <c r="AX4" s="289" t="n">
        <f aca="false">(SUMPRODUCT((Personnel!$O$9:$O$100&lt;&gt;"")*(Personnel!$G$9:$G$100="Yes")*(48&gt;=Personnel!$E$9:$E$100)*((Personnel!$K$9:$K$100="")+(48&lt;=Personnel!$K$9:$K$100)&gt;0)*Personnel!$D$9:$D$100*(1-Personnel!$H$9:$H$100))+Staffing!AZ81)*Escalation!$B$49</f>
        <v>542151.004248</v>
      </c>
      <c r="AY4" s="289" t="n">
        <f aca="false">(SUMPRODUCT((Personnel!$O$9:$O$100&lt;&gt;"")*(Personnel!$G$9:$G$100="Yes")*(49&gt;=Personnel!$E$9:$E$100)*((Personnel!$K$9:$K$100="")+(49&lt;=Personnel!$K$9:$K$100)&gt;0)*Personnel!$D$9:$D$100*(1-Personnel!$H$9:$H$100))+Staffing!BA81)*Escalation!$B$50</f>
        <v>530443.35433296</v>
      </c>
      <c r="AZ4" s="289" t="n">
        <f aca="false">(SUMPRODUCT((Personnel!$O$9:$O$100&lt;&gt;"")*(Personnel!$G$9:$G$100="Yes")*(50&gt;=Personnel!$E$9:$E$100)*((Personnel!$K$9:$K$100="")+(50&lt;=Personnel!$K$9:$K$100)&gt;0)*Personnel!$D$9:$D$100*(1-Personnel!$H$9:$H$100))+Staffing!BB81)*Escalation!$B$51</f>
        <v>502931.53693296</v>
      </c>
      <c r="BA4" s="289" t="n">
        <f aca="false">(SUMPRODUCT((Personnel!$O$9:$O$100&lt;&gt;"")*(Personnel!$G$9:$G$100="Yes")*(51&gt;=Personnel!$E$9:$E$100)*((Personnel!$K$9:$K$100="")+(51&lt;=Personnel!$K$9:$K$100)&gt;0)*Personnel!$D$9:$D$100*(1-Personnel!$H$9:$H$100))+Staffing!BC81)*Escalation!$B$52</f>
        <v>502931.53693296</v>
      </c>
      <c r="BB4" s="289" t="n">
        <f aca="false">(SUMPRODUCT((Personnel!$O$9:$O$100&lt;&gt;"")*(Personnel!$G$9:$G$100="Yes")*(52&gt;=Personnel!$E$9:$E$100)*((Personnel!$K$9:$K$100="")+(52&lt;=Personnel!$K$9:$K$100)&gt;0)*Personnel!$D$9:$D$100*(1-Personnel!$H$9:$H$100))+Staffing!BD81)*Escalation!$B$53</f>
        <v>502931.53693296</v>
      </c>
      <c r="BC4" s="289" t="n">
        <f aca="false">(SUMPRODUCT((Personnel!$O$9:$O$100&lt;&gt;"")*(Personnel!$G$9:$G$100="Yes")*(53&gt;=Personnel!$E$9:$E$100)*((Personnel!$K$9:$K$100="")+(53&lt;=Personnel!$K$9:$K$100)&gt;0)*Personnel!$D$9:$D$100*(1-Personnel!$H$9:$H$100))+Staffing!BE81)*Escalation!$B$54</f>
        <v>502931.53693296</v>
      </c>
      <c r="BD4" s="289" t="n">
        <f aca="false">(SUMPRODUCT((Personnel!$O$9:$O$100&lt;&gt;"")*(Personnel!$G$9:$G$100="Yes")*(54&gt;=Personnel!$E$9:$E$100)*((Personnel!$K$9:$K$100="")+(54&lt;=Personnel!$K$9:$K$100)&gt;0)*Personnel!$D$9:$D$100*(1-Personnel!$H$9:$H$100))+Staffing!BF81)*Escalation!$B$55</f>
        <v>502931.53693296</v>
      </c>
      <c r="BE4" s="289" t="n">
        <f aca="false">(SUMPRODUCT((Personnel!$O$9:$O$100&lt;&gt;"")*(Personnel!$G$9:$G$100="Yes")*(55&gt;=Personnel!$E$9:$E$100)*((Personnel!$K$9:$K$100="")+(55&lt;=Personnel!$K$9:$K$100)&gt;0)*Personnel!$D$9:$D$100*(1-Personnel!$H$9:$H$100))+Staffing!BG81)*Escalation!$B$56</f>
        <v>502931.53693296</v>
      </c>
      <c r="BF4" s="289" t="n">
        <f aca="false">(SUMPRODUCT((Personnel!$O$9:$O$100&lt;&gt;"")*(Personnel!$G$9:$G$100="Yes")*(56&gt;=Personnel!$E$9:$E$100)*((Personnel!$K$9:$K$100="")+(56&lt;=Personnel!$K$9:$K$100)&gt;0)*Personnel!$D$9:$D$100*(1-Personnel!$H$9:$H$100))+Staffing!BH81)*Escalation!$B$57</f>
        <v>502931.53693296</v>
      </c>
      <c r="BG4" s="289" t="n">
        <f aca="false">(SUMPRODUCT((Personnel!$O$9:$O$100&lt;&gt;"")*(Personnel!$G$9:$G$100="Yes")*(57&gt;=Personnel!$E$9:$E$100)*((Personnel!$K$9:$K$100="")+(57&lt;=Personnel!$K$9:$K$100)&gt;0)*Personnel!$D$9:$D$100*(1-Personnel!$H$9:$H$100))+Staffing!BI81)*Escalation!$B$58</f>
        <v>502931.53693296</v>
      </c>
      <c r="BH4" s="289" t="n">
        <f aca="false">(SUMPRODUCT((Personnel!$O$9:$O$100&lt;&gt;"")*(Personnel!$G$9:$G$100="Yes")*(58&gt;=Personnel!$E$9:$E$100)*((Personnel!$K$9:$K$100="")+(58&lt;=Personnel!$K$9:$K$100)&gt;0)*Personnel!$D$9:$D$100*(1-Personnel!$H$9:$H$100))+Staffing!BJ81)*Escalation!$B$59</f>
        <v>502931.53693296</v>
      </c>
      <c r="BI4" s="289" t="n">
        <f aca="false">(SUMPRODUCT((Personnel!$O$9:$O$100&lt;&gt;"")*(Personnel!$G$9:$G$100="Yes")*(59&gt;=Personnel!$E$9:$E$100)*((Personnel!$K$9:$K$100="")+(59&lt;=Personnel!$K$9:$K$100)&gt;0)*Personnel!$D$9:$D$100*(1-Personnel!$H$9:$H$100))+Staffing!BK81)*Escalation!$B$60</f>
        <v>491205.18853296</v>
      </c>
      <c r="BJ4" s="289" t="n">
        <f aca="false">(SUMPRODUCT((Personnel!$O$9:$O$100&lt;&gt;"")*(Personnel!$G$9:$G$100="Yes")*(60&gt;=Personnel!$E$9:$E$100)*((Personnel!$K$9:$K$100="")+(60&lt;=Personnel!$K$9:$K$100)&gt;0)*Personnel!$D$9:$D$100*(1-Personnel!$H$9:$H$100))+Staffing!BL81)*Escalation!$B$61</f>
        <v>491205.18853296</v>
      </c>
      <c r="BK4" s="289" t="n">
        <f aca="false">(SUMPRODUCT((Personnel!$O$9:$O$100&lt;&gt;"")*(Personnel!$G$9:$G$100="Yes")*(61&gt;=Personnel!$E$9:$E$100)*((Personnel!$K$9:$K$100="")+(61&lt;=Personnel!$K$9:$K$100)&gt;0)*Personnel!$D$9:$D$100*(1-Personnel!$H$9:$H$100))+Staffing!BM81)*Escalation!$B$62</f>
        <v>489528.450603619</v>
      </c>
      <c r="BL4" s="289" t="n">
        <f aca="false">(SUMPRODUCT((Personnel!$O$9:$O$100&lt;&gt;"")*(Personnel!$G$9:$G$100="Yes")*(62&gt;=Personnel!$E$9:$E$100)*((Personnel!$K$9:$K$100="")+(62&lt;=Personnel!$K$9:$K$100)&gt;0)*Personnel!$D$9:$D$100*(1-Personnel!$H$9:$H$100))+Staffing!BN81)*Escalation!$B$63</f>
        <v>470667.070215619</v>
      </c>
      <c r="BM4" s="289" t="n">
        <f aca="false">(SUMPRODUCT((Personnel!$O$9:$O$100&lt;&gt;"")*(Personnel!$G$9:$G$100="Yes")*(63&gt;=Personnel!$E$9:$E$100)*((Personnel!$K$9:$K$100="")+(63&lt;=Personnel!$K$9:$K$100)&gt;0)*Personnel!$D$9:$D$100*(1-Personnel!$H$9:$H$100))+Staffing!BO81)*Escalation!$B$64</f>
        <v>422363.535075619</v>
      </c>
      <c r="BN4" s="289" t="n">
        <f aca="false">(SUMPRODUCT((Personnel!$O$9:$O$100&lt;&gt;"")*(Personnel!$G$9:$G$100="Yes")*(64&gt;=Personnel!$E$9:$E$100)*((Personnel!$K$9:$K$100="")+(64&lt;=Personnel!$K$9:$K$100)&gt;0)*Personnel!$D$9:$D$100*(1-Personnel!$H$9:$H$100))+Staffing!BP81)*Escalation!$B$65</f>
        <v>396141.615999619</v>
      </c>
      <c r="BO4" s="289" t="n">
        <f aca="false">(SUMPRODUCT((Personnel!$O$9:$O$100&lt;&gt;"")*(Personnel!$G$9:$G$100="Yes")*(65&gt;=Personnel!$E$9:$E$100)*((Personnel!$K$9:$K$100="")+(65&lt;=Personnel!$K$9:$K$100)&gt;0)*Personnel!$D$9:$D$100*(1-Personnel!$H$9:$H$100))+Staffing!BQ81)*Escalation!$B$66</f>
        <v>384180.740631619</v>
      </c>
      <c r="BP4" s="289" t="n">
        <f aca="false">(SUMPRODUCT((Personnel!$O$9:$O$100&lt;&gt;"")*(Personnel!$G$9:$G$100="Yes")*(66&gt;=Personnel!$E$9:$E$100)*((Personnel!$K$9:$K$100="")+(66&lt;=Personnel!$K$9:$K$100)&gt;0)*Personnel!$D$9:$D$100*(1-Personnel!$H$9:$H$100))+Staffing!BR81)*Escalation!$B$67</f>
        <v>384180.740631619</v>
      </c>
      <c r="BQ4" s="289" t="n">
        <f aca="false">(SUMPRODUCT((Personnel!$O$9:$O$100&lt;&gt;"")*(Personnel!$G$9:$G$100="Yes")*(67&gt;=Personnel!$E$9:$E$100)*((Personnel!$K$9:$K$100="")+(67&lt;=Personnel!$K$9:$K$100)&gt;0)*Personnel!$D$9:$D$100*(1-Personnel!$H$9:$H$100))+Staffing!BS81)*Escalation!$B$68</f>
        <v>384180.740631619</v>
      </c>
      <c r="BR4" s="289" t="n">
        <f aca="false">(SUMPRODUCT((Personnel!$O$9:$O$100&lt;&gt;"")*(Personnel!$G$9:$G$100="Yes")*(68&gt;=Personnel!$E$9:$E$100)*((Personnel!$K$9:$K$100="")+(68&lt;=Personnel!$K$9:$K$100)&gt;0)*Personnel!$D$9:$D$100*(1-Personnel!$H$9:$H$100))+Staffing!BT81)*Escalation!$B$69</f>
        <v>369459.663255619</v>
      </c>
      <c r="BS4" s="289" t="n">
        <f aca="false">(SUMPRODUCT((Personnel!$O$9:$O$100&lt;&gt;"")*(Personnel!$G$9:$G$100="Yes")*(69&gt;=Personnel!$E$9:$E$100)*((Personnel!$K$9:$K$100="")+(69&lt;=Personnel!$K$9:$K$100)&gt;0)*Personnel!$D$9:$D$100*(1-Personnel!$H$9:$H$100))+Staffing!BU81)*Escalation!$B$70</f>
        <v>343237.744179619</v>
      </c>
      <c r="BT4" s="289" t="n">
        <f aca="false">(SUMPRODUCT((Personnel!$O$9:$O$100&lt;&gt;"")*(Personnel!$G$9:$G$100="Yes")*(70&gt;=Personnel!$E$9:$E$100)*((Personnel!$K$9:$K$100="")+(70&lt;=Personnel!$K$9:$K$100)&gt;0)*Personnel!$D$9:$D$100*(1-Personnel!$H$9:$H$100))+Staffing!BV81)*Escalation!$B$71</f>
        <v>343237.744179619</v>
      </c>
      <c r="BU4" s="289" t="n">
        <f aca="false">(SUMPRODUCT((Personnel!$O$9:$O$100&lt;&gt;"")*(Personnel!$G$9:$G$100="Yes")*(71&gt;=Personnel!$E$9:$E$100)*((Personnel!$K$9:$K$100="")+(71&lt;=Personnel!$K$9:$K$100)&gt;0)*Personnel!$D$9:$D$100*(1-Personnel!$H$9:$H$100))+Staffing!BW81)*Escalation!$B$72</f>
        <v>343237.744179619</v>
      </c>
      <c r="BV4" s="289" t="n">
        <f aca="false">(SUMPRODUCT((Personnel!$O$9:$O$100&lt;&gt;"")*(Personnel!$G$9:$G$100="Yes")*(72&gt;=Personnel!$E$9:$E$100)*((Personnel!$K$9:$K$100="")+(72&lt;=Personnel!$K$9:$K$100)&gt;0)*Personnel!$D$9:$D$100*(1-Personnel!$H$9:$H$100))+Staffing!BX81)*Escalation!$B$73</f>
        <v>343237.744179619</v>
      </c>
      <c r="BW4" s="289" t="n">
        <f aca="false">(SUMPRODUCT((Personnel!$O$9:$O$100&lt;&gt;"")*(Personnel!$G$9:$G$100="Yes")*(73&gt;=Personnel!$E$9:$E$100)*((Personnel!$K$9:$K$100="")+(73&lt;=Personnel!$K$9:$K$100)&gt;0)*Personnel!$D$9:$D$100*(1-Personnel!$H$9:$H$100))+Staffing!BY81)*Escalation!$B$74</f>
        <v>350102.499063212</v>
      </c>
      <c r="BX4" s="289" t="n">
        <f aca="false">(SUMPRODUCT((Personnel!$O$9:$O$100&lt;&gt;"")*(Personnel!$G$9:$G$100="Yes")*(74&gt;=Personnel!$E$9:$E$100)*((Personnel!$K$9:$K$100="")+(74&lt;=Personnel!$K$9:$K$100)&gt;0)*Personnel!$D$9:$D$100*(1-Personnel!$H$9:$H$100))+Staffing!BZ81)*Escalation!$B$75</f>
        <v>350102.499063212</v>
      </c>
      <c r="BY4" s="289" t="n">
        <f aca="false">(SUMPRODUCT((Personnel!$O$9:$O$100&lt;&gt;"")*(Personnel!$G$9:$G$100="Yes")*(75&gt;=Personnel!$E$9:$E$100)*((Personnel!$K$9:$K$100="")+(75&lt;=Personnel!$K$9:$K$100)&gt;0)*Personnel!$D$9:$D$100*(1-Personnel!$H$9:$H$100))+Staffing!CA81)*Escalation!$B$76</f>
        <v>350102.499063212</v>
      </c>
      <c r="BZ4" s="289" t="n">
        <f aca="false">(SUMPRODUCT((Personnel!$O$9:$O$100&lt;&gt;"")*(Personnel!$G$9:$G$100="Yes")*(76&gt;=Personnel!$E$9:$E$100)*((Personnel!$K$9:$K$100="")+(76&lt;=Personnel!$K$9:$K$100)&gt;0)*Personnel!$D$9:$D$100*(1-Personnel!$H$9:$H$100))+Staffing!CB81)*Escalation!$B$77</f>
        <v>350102.499063212</v>
      </c>
      <c r="CA4" s="289" t="n">
        <f aca="false">(SUMPRODUCT((Personnel!$O$9:$O$100&lt;&gt;"")*(Personnel!$G$9:$G$100="Yes")*(77&gt;=Personnel!$E$9:$E$100)*((Personnel!$K$9:$K$100="")+(77&lt;=Personnel!$K$9:$K$100)&gt;0)*Personnel!$D$9:$D$100*(1-Personnel!$H$9:$H$100))+Staffing!CC81)*Escalation!$B$78</f>
        <v>350102.499063212</v>
      </c>
      <c r="CB4" s="289" t="n">
        <f aca="false">(SUMPRODUCT((Personnel!$O$9:$O$100&lt;&gt;"")*(Personnel!$G$9:$G$100="Yes")*(78&gt;=Personnel!$E$9:$E$100)*((Personnel!$K$9:$K$100="")+(78&lt;=Personnel!$K$9:$K$100)&gt;0)*Personnel!$D$9:$D$100*(1-Personnel!$H$9:$H$100))+Staffing!CD81)*Escalation!$B$79</f>
        <v>350102.499063212</v>
      </c>
      <c r="CC4" s="289" t="n">
        <f aca="false">(SUMPRODUCT((Personnel!$O$9:$O$100&lt;&gt;"")*(Personnel!$G$9:$G$100="Yes")*(79&gt;=Personnel!$E$9:$E$100)*((Personnel!$K$9:$K$100="")+(79&lt;=Personnel!$K$9:$K$100)&gt;0)*Personnel!$D$9:$D$100*(1-Personnel!$H$9:$H$100))+Staffing!CE81)*Escalation!$B$80</f>
        <v>350102.499063212</v>
      </c>
      <c r="CD4" s="289" t="n">
        <f aca="false">(SUMPRODUCT((Personnel!$O$9:$O$100&lt;&gt;"")*(Personnel!$G$9:$G$100="Yes")*(80&gt;=Personnel!$E$9:$E$100)*((Personnel!$K$9:$K$100="")+(80&lt;=Personnel!$K$9:$K$100)&gt;0)*Personnel!$D$9:$D$100*(1-Personnel!$H$9:$H$100))+Staffing!CF81)*Escalation!$B$81</f>
        <v>350102.499063212</v>
      </c>
      <c r="CE4" s="289" t="n">
        <f aca="false">(SUMPRODUCT((Personnel!$O$9:$O$100&lt;&gt;"")*(Personnel!$G$9:$G$100="Yes")*(81&gt;=Personnel!$E$9:$E$100)*((Personnel!$K$9:$K$100="")+(81&lt;=Personnel!$K$9:$K$100)&gt;0)*Personnel!$D$9:$D$100*(1-Personnel!$H$9:$H$100))+Staffing!CG81)*Escalation!$B$82</f>
        <v>350102.499063212</v>
      </c>
      <c r="CF4" s="289" t="n">
        <f aca="false">(SUMPRODUCT((Personnel!$O$9:$O$100&lt;&gt;"")*(Personnel!$G$9:$G$100="Yes")*(82&gt;=Personnel!$E$9:$E$100)*((Personnel!$K$9:$K$100="")+(82&lt;=Personnel!$K$9:$K$100)&gt;0)*Personnel!$D$9:$D$100*(1-Personnel!$H$9:$H$100))+Staffing!CH81)*Escalation!$B$83</f>
        <v>350102.499063212</v>
      </c>
      <c r="CG4" s="289" t="n">
        <f aca="false">(SUMPRODUCT((Personnel!$O$9:$O$100&lt;&gt;"")*(Personnel!$G$9:$G$100="Yes")*(83&gt;=Personnel!$E$9:$E$100)*((Personnel!$K$9:$K$100="")+(83&lt;=Personnel!$K$9:$K$100)&gt;0)*Personnel!$D$9:$D$100*(1-Personnel!$H$9:$H$100))+Staffing!CI81)*Escalation!$B$84</f>
        <v>350102.499063212</v>
      </c>
      <c r="CH4" s="289" t="n">
        <f aca="false">(SUMPRODUCT((Personnel!$O$9:$O$100&lt;&gt;"")*(Personnel!$G$9:$G$100="Yes")*(84&gt;=Personnel!$E$9:$E$100)*((Personnel!$K$9:$K$100="")+(84&lt;=Personnel!$K$9:$K$100)&gt;0)*Personnel!$D$9:$D$100*(1-Personnel!$H$9:$H$100))+Staffing!CJ81)*Escalation!$B$85</f>
        <v>350102.499063212</v>
      </c>
      <c r="CI4" s="289" t="n">
        <f aca="false">(SUMPRODUCT((Personnel!$O$9:$O$100&lt;&gt;"")*(Personnel!$G$9:$G$100="Yes")*(85&gt;=Personnel!$E$9:$E$100)*((Personnel!$K$9:$K$100="")+(85&lt;=Personnel!$K$9:$K$100)&gt;0)*Personnel!$D$9:$D$100*(1-Personnel!$H$9:$H$100))+Staffing!CK81)*Escalation!$B$86</f>
        <v>357104.549044476</v>
      </c>
      <c r="CJ4" s="289" t="n">
        <f aca="false">(SUMPRODUCT((Personnel!$O$9:$O$100&lt;&gt;"")*(Personnel!$G$9:$G$100="Yes")*(86&gt;=Personnel!$E$9:$E$100)*((Personnel!$K$9:$K$100="")+(86&lt;=Personnel!$K$9:$K$100)&gt;0)*Personnel!$D$9:$D$100*(1-Personnel!$H$9:$H$100))+Staffing!CL81)*Escalation!$B$87</f>
        <v>357104.549044476</v>
      </c>
      <c r="CK4" s="289" t="n">
        <f aca="false">(SUMPRODUCT((Personnel!$O$9:$O$100&lt;&gt;"")*(Personnel!$G$9:$G$100="Yes")*(87&gt;=Personnel!$E$9:$E$100)*((Personnel!$K$9:$K$100="")+(87&lt;=Personnel!$K$9:$K$100)&gt;0)*Personnel!$D$9:$D$100*(1-Personnel!$H$9:$H$100))+Staffing!CM81)*Escalation!$B$88</f>
        <v>357104.549044476</v>
      </c>
      <c r="CL4" s="289" t="n">
        <f aca="false">(SUMPRODUCT((Personnel!$O$9:$O$100&lt;&gt;"")*(Personnel!$G$9:$G$100="Yes")*(88&gt;=Personnel!$E$9:$E$100)*((Personnel!$K$9:$K$100="")+(88&lt;=Personnel!$K$9:$K$100)&gt;0)*Personnel!$D$9:$D$100*(1-Personnel!$H$9:$H$100))+Staffing!CN81)*Escalation!$B$89</f>
        <v>357104.549044476</v>
      </c>
      <c r="CM4" s="289" t="n">
        <f aca="false">(SUMPRODUCT((Personnel!$O$9:$O$100&lt;&gt;"")*(Personnel!$G$9:$G$100="Yes")*(89&gt;=Personnel!$E$9:$E$100)*((Personnel!$K$9:$K$100="")+(89&lt;=Personnel!$K$9:$K$100)&gt;0)*Personnel!$D$9:$D$100*(1-Personnel!$H$9:$H$100))+Staffing!CO81)*Escalation!$B$90</f>
        <v>357104.549044476</v>
      </c>
      <c r="CN4" s="289" t="n">
        <f aca="false">(SUMPRODUCT((Personnel!$O$9:$O$100&lt;&gt;"")*(Personnel!$G$9:$G$100="Yes")*(90&gt;=Personnel!$E$9:$E$100)*((Personnel!$K$9:$K$100="")+(90&lt;=Personnel!$K$9:$K$100)&gt;0)*Personnel!$D$9:$D$100*(1-Personnel!$H$9:$H$100))+Staffing!CP81)*Escalation!$B$91</f>
        <v>357104.549044476</v>
      </c>
      <c r="CO4" s="289" t="n">
        <f aca="false">(SUMPRODUCT((Personnel!$O$9:$O$100&lt;&gt;"")*(Personnel!$G$9:$G$100="Yes")*(91&gt;=Personnel!$E$9:$E$100)*((Personnel!$K$9:$K$100="")+(91&lt;=Personnel!$K$9:$K$100)&gt;0)*Personnel!$D$9:$D$100*(1-Personnel!$H$9:$H$100))+Staffing!CQ81)*Escalation!$B$92</f>
        <v>357104.549044476</v>
      </c>
      <c r="CP4" s="289" t="n">
        <f aca="false">(SUMPRODUCT((Personnel!$O$9:$O$100&lt;&gt;"")*(Personnel!$G$9:$G$100="Yes")*(92&gt;=Personnel!$E$9:$E$100)*((Personnel!$K$9:$K$100="")+(92&lt;=Personnel!$K$9:$K$100)&gt;0)*Personnel!$D$9:$D$100*(1-Personnel!$H$9:$H$100))+Staffing!CR81)*Escalation!$B$93</f>
        <v>357104.549044476</v>
      </c>
      <c r="CQ4" s="289" t="n">
        <f aca="false">(SUMPRODUCT((Personnel!$O$9:$O$100&lt;&gt;"")*(Personnel!$G$9:$G$100="Yes")*(93&gt;=Personnel!$E$9:$E$100)*((Personnel!$K$9:$K$100="")+(93&lt;=Personnel!$K$9:$K$100)&gt;0)*Personnel!$D$9:$D$100*(1-Personnel!$H$9:$H$100))+Staffing!CS81)*Escalation!$B$94</f>
        <v>357104.549044476</v>
      </c>
    </row>
    <row r="5" customFormat="false" ht="15" hidden="false" customHeight="true" outlineLevel="0" collapsed="false">
      <c r="A5" s="177" t="s">
        <v>1144</v>
      </c>
      <c r="C5" s="289" t="n">
        <f aca="false">(SUMPRODUCT((Personnel!$F$9:$F$100="SixPeak")*(Personnel!$G$9:$G$100="Yes")*(1&gt;=Personnel!$E$9:$E$100)*((Personnel!$K$9:$K$100="")+(1&lt;=Personnel!$K$9:$K$100)&gt;0)*Personnel!$D$9:$D$100*(1-Personnel!$H$9:$H$100)*(1-Personnel!$I$9:$I$100)))*Escalation!$B$2</f>
        <v>54166.6666666667</v>
      </c>
      <c r="D5" s="289" t="n">
        <f aca="false">(SUMPRODUCT((Personnel!$F$9:$F$100="SixPeak")*(Personnel!$G$9:$G$100="Yes")*(2&gt;=Personnel!$E$9:$E$100)*((Personnel!$K$9:$K$100="")+(2&lt;=Personnel!$K$9:$K$100)&gt;0)*Personnel!$D$9:$D$100*(1-Personnel!$H$9:$H$100)*(1-Personnel!$I$9:$I$100)))*Escalation!$B$3</f>
        <v>54166.6666666667</v>
      </c>
      <c r="E5" s="289" t="n">
        <f aca="false">(SUMPRODUCT((Personnel!$F$9:$F$100="SixPeak")*(Personnel!$G$9:$G$100="Yes")*(3&gt;=Personnel!$E$9:$E$100)*((Personnel!$K$9:$K$100="")+(3&lt;=Personnel!$K$9:$K$100)&gt;0)*Personnel!$D$9:$D$100*(1-Personnel!$H$9:$H$100)*(1-Personnel!$I$9:$I$100)))*Escalation!$B$4</f>
        <v>54166.6666666667</v>
      </c>
      <c r="F5" s="289" t="n">
        <f aca="false">(SUMPRODUCT((Personnel!$F$9:$F$100="SixPeak")*(Personnel!$G$9:$G$100="Yes")*(4&gt;=Personnel!$E$9:$E$100)*((Personnel!$K$9:$K$100="")+(4&lt;=Personnel!$K$9:$K$100)&gt;0)*Personnel!$D$9:$D$100*(1-Personnel!$H$9:$H$100)*(1-Personnel!$I$9:$I$100)))*Escalation!$B$5</f>
        <v>54166.6666666667</v>
      </c>
      <c r="G5" s="289" t="n">
        <f aca="false">(SUMPRODUCT((Personnel!$F$9:$F$100="SixPeak")*(Personnel!$G$9:$G$100="Yes")*(5&gt;=Personnel!$E$9:$E$100)*((Personnel!$K$9:$K$100="")+(5&lt;=Personnel!$K$9:$K$100)&gt;0)*Personnel!$D$9:$D$100*(1-Personnel!$H$9:$H$100)*(1-Personnel!$I$9:$I$100)))*Escalation!$B$6</f>
        <v>54166.6666666667</v>
      </c>
      <c r="H5" s="289" t="n">
        <f aca="false">(SUMPRODUCT((Personnel!$F$9:$F$100="SixPeak")*(Personnel!$G$9:$G$100="Yes")*(6&gt;=Personnel!$E$9:$E$100)*((Personnel!$K$9:$K$100="")+(6&lt;=Personnel!$K$9:$K$100)&gt;0)*Personnel!$D$9:$D$100*(1-Personnel!$H$9:$H$100)*(1-Personnel!$I$9:$I$100)))*Escalation!$B$7</f>
        <v>54166.6666666667</v>
      </c>
      <c r="I5" s="289" t="n">
        <f aca="false">(SUMPRODUCT((Personnel!$F$9:$F$100="SixPeak")*(Personnel!$G$9:$G$100="Yes")*(7&gt;=Personnel!$E$9:$E$100)*((Personnel!$K$9:$K$100="")+(7&lt;=Personnel!$K$9:$K$100)&gt;0)*Personnel!$D$9:$D$100*(1-Personnel!$H$9:$H$100)*(1-Personnel!$I$9:$I$100)))*Escalation!$B$8</f>
        <v>54166.6666666667</v>
      </c>
      <c r="J5" s="289" t="n">
        <f aca="false">(SUMPRODUCT((Personnel!$F$9:$F$100="SixPeak")*(Personnel!$G$9:$G$100="Yes")*(8&gt;=Personnel!$E$9:$E$100)*((Personnel!$K$9:$K$100="")+(8&lt;=Personnel!$K$9:$K$100)&gt;0)*Personnel!$D$9:$D$100*(1-Personnel!$H$9:$H$100)*(1-Personnel!$I$9:$I$100)))*Escalation!$B$9</f>
        <v>54166.6666666667</v>
      </c>
      <c r="K5" s="289" t="n">
        <f aca="false">(SUMPRODUCT((Personnel!$F$9:$F$100="SixPeak")*(Personnel!$G$9:$G$100="Yes")*(9&gt;=Personnel!$E$9:$E$100)*((Personnel!$K$9:$K$100="")+(9&lt;=Personnel!$K$9:$K$100)&gt;0)*Personnel!$D$9:$D$100*(1-Personnel!$H$9:$H$100)*(1-Personnel!$I$9:$I$100)))*Escalation!$B$10</f>
        <v>54166.6666666667</v>
      </c>
      <c r="L5" s="289" t="n">
        <f aca="false">(SUMPRODUCT((Personnel!$F$9:$F$100="SixPeak")*(Personnel!$G$9:$G$100="Yes")*(10&gt;=Personnel!$E$9:$E$100)*((Personnel!$K$9:$K$100="")+(10&lt;=Personnel!$K$9:$K$100)&gt;0)*Personnel!$D$9:$D$100*(1-Personnel!$H$9:$H$100)*(1-Personnel!$I$9:$I$100)))*Escalation!$B$11</f>
        <v>54166.6666666667</v>
      </c>
      <c r="M5" s="289" t="n">
        <f aca="false">(SUMPRODUCT((Personnel!$F$9:$F$100="SixPeak")*(Personnel!$G$9:$G$100="Yes")*(11&gt;=Personnel!$E$9:$E$100)*((Personnel!$K$9:$K$100="")+(11&lt;=Personnel!$K$9:$K$100)&gt;0)*Personnel!$D$9:$D$100*(1-Personnel!$H$9:$H$100)*(1-Personnel!$I$9:$I$100)))*Escalation!$B$12</f>
        <v>54166.6666666667</v>
      </c>
      <c r="N5" s="289" t="n">
        <f aca="false">(SUMPRODUCT((Personnel!$F$9:$F$100="SixPeak")*(Personnel!$G$9:$G$100="Yes")*(12&gt;=Personnel!$E$9:$E$100)*((Personnel!$K$9:$K$100="")+(12&lt;=Personnel!$K$9:$K$100)&gt;0)*Personnel!$D$9:$D$100*(1-Personnel!$H$9:$H$100)*(1-Personnel!$I$9:$I$100)))*Escalation!$B$13</f>
        <v>54166.6666666667</v>
      </c>
      <c r="O5" s="289" t="n">
        <f aca="false">(SUMPRODUCT((Personnel!$F$9:$F$100="SixPeak")*(Personnel!$G$9:$G$100="Yes")*(13&gt;=Personnel!$E$9:$E$100)*((Personnel!$K$9:$K$100="")+(13&lt;=Personnel!$K$9:$K$100)&gt;0)*Personnel!$D$9:$D$100*(1-Personnel!$H$9:$H$100)*(1-Personnel!$I$9:$I$100)))*Escalation!$B$14</f>
        <v>55250</v>
      </c>
      <c r="P5" s="289" t="n">
        <f aca="false">(SUMPRODUCT((Personnel!$F$9:$F$100="SixPeak")*(Personnel!$G$9:$G$100="Yes")*(14&gt;=Personnel!$E$9:$E$100)*((Personnel!$K$9:$K$100="")+(14&lt;=Personnel!$K$9:$K$100)&gt;0)*Personnel!$D$9:$D$100*(1-Personnel!$H$9:$H$100)*(1-Personnel!$I$9:$I$100)))*Escalation!$B$15</f>
        <v>55250</v>
      </c>
      <c r="Q5" s="289" t="n">
        <f aca="false">(SUMPRODUCT((Personnel!$F$9:$F$100="SixPeak")*(Personnel!$G$9:$G$100="Yes")*(15&gt;=Personnel!$E$9:$E$100)*((Personnel!$K$9:$K$100="")+(15&lt;=Personnel!$K$9:$K$100)&gt;0)*Personnel!$D$9:$D$100*(1-Personnel!$H$9:$H$100)*(1-Personnel!$I$9:$I$100)))*Escalation!$B$16</f>
        <v>55250</v>
      </c>
      <c r="R5" s="289" t="n">
        <f aca="false">(SUMPRODUCT((Personnel!$F$9:$F$100="SixPeak")*(Personnel!$G$9:$G$100="Yes")*(16&gt;=Personnel!$E$9:$E$100)*((Personnel!$K$9:$K$100="")+(16&lt;=Personnel!$K$9:$K$100)&gt;0)*Personnel!$D$9:$D$100*(1-Personnel!$H$9:$H$100)*(1-Personnel!$I$9:$I$100)))*Escalation!$B$17</f>
        <v>55250</v>
      </c>
      <c r="S5" s="289" t="n">
        <f aca="false">(SUMPRODUCT((Personnel!$F$9:$F$100="SixPeak")*(Personnel!$G$9:$G$100="Yes")*(17&gt;=Personnel!$E$9:$E$100)*((Personnel!$K$9:$K$100="")+(17&lt;=Personnel!$K$9:$K$100)&gt;0)*Personnel!$D$9:$D$100*(1-Personnel!$H$9:$H$100)*(1-Personnel!$I$9:$I$100)))*Escalation!$B$18</f>
        <v>55250</v>
      </c>
      <c r="T5" s="289" t="n">
        <f aca="false">(SUMPRODUCT((Personnel!$F$9:$F$100="SixPeak")*(Personnel!$G$9:$G$100="Yes")*(18&gt;=Personnel!$E$9:$E$100)*((Personnel!$K$9:$K$100="")+(18&lt;=Personnel!$K$9:$K$100)&gt;0)*Personnel!$D$9:$D$100*(1-Personnel!$H$9:$H$100)*(1-Personnel!$I$9:$I$100)))*Escalation!$B$19</f>
        <v>55250</v>
      </c>
      <c r="U5" s="289" t="n">
        <f aca="false">(SUMPRODUCT((Personnel!$F$9:$F$100="SixPeak")*(Personnel!$G$9:$G$100="Yes")*(19&gt;=Personnel!$E$9:$E$100)*((Personnel!$K$9:$K$100="")+(19&lt;=Personnel!$K$9:$K$100)&gt;0)*Personnel!$D$9:$D$100*(1-Personnel!$H$9:$H$100)*(1-Personnel!$I$9:$I$100)))*Escalation!$B$20</f>
        <v>55250</v>
      </c>
      <c r="V5" s="289" t="n">
        <f aca="false">(SUMPRODUCT((Personnel!$F$9:$F$100="SixPeak")*(Personnel!$G$9:$G$100="Yes")*(20&gt;=Personnel!$E$9:$E$100)*((Personnel!$K$9:$K$100="")+(20&lt;=Personnel!$K$9:$K$100)&gt;0)*Personnel!$D$9:$D$100*(1-Personnel!$H$9:$H$100)*(1-Personnel!$I$9:$I$100)))*Escalation!$B$21</f>
        <v>55250</v>
      </c>
      <c r="W5" s="289" t="n">
        <f aca="false">(SUMPRODUCT((Personnel!$F$9:$F$100="SixPeak")*(Personnel!$G$9:$G$100="Yes")*(21&gt;=Personnel!$E$9:$E$100)*((Personnel!$K$9:$K$100="")+(21&lt;=Personnel!$K$9:$K$100)&gt;0)*Personnel!$D$9:$D$100*(1-Personnel!$H$9:$H$100)*(1-Personnel!$I$9:$I$100)))*Escalation!$B$22</f>
        <v>55250</v>
      </c>
      <c r="X5" s="289" t="n">
        <f aca="false">(SUMPRODUCT((Personnel!$F$9:$F$100="SixPeak")*(Personnel!$G$9:$G$100="Yes")*(22&gt;=Personnel!$E$9:$E$100)*((Personnel!$K$9:$K$100="")+(22&lt;=Personnel!$K$9:$K$100)&gt;0)*Personnel!$D$9:$D$100*(1-Personnel!$H$9:$H$100)*(1-Personnel!$I$9:$I$100)))*Escalation!$B$23</f>
        <v>55250</v>
      </c>
      <c r="Y5" s="289" t="n">
        <f aca="false">(SUMPRODUCT((Personnel!$F$9:$F$100="SixPeak")*(Personnel!$G$9:$G$100="Yes")*(23&gt;=Personnel!$E$9:$E$100)*((Personnel!$K$9:$K$100="")+(23&lt;=Personnel!$K$9:$K$100)&gt;0)*Personnel!$D$9:$D$100*(1-Personnel!$H$9:$H$100)*(1-Personnel!$I$9:$I$100)))*Escalation!$B$24</f>
        <v>55250</v>
      </c>
      <c r="Z5" s="289" t="n">
        <f aca="false">(SUMPRODUCT((Personnel!$F$9:$F$100="SixPeak")*(Personnel!$G$9:$G$100="Yes")*(24&gt;=Personnel!$E$9:$E$100)*((Personnel!$K$9:$K$100="")+(24&lt;=Personnel!$K$9:$K$100)&gt;0)*Personnel!$D$9:$D$100*(1-Personnel!$H$9:$H$100)*(1-Personnel!$I$9:$I$100)))*Escalation!$B$25</f>
        <v>55250</v>
      </c>
      <c r="AA5" s="289" t="n">
        <f aca="false">(SUMPRODUCT((Personnel!$F$9:$F$100="SixPeak")*(Personnel!$G$9:$G$100="Yes")*(25&gt;=Personnel!$E$9:$E$100)*((Personnel!$K$9:$K$100="")+(25&lt;=Personnel!$K$9:$K$100)&gt;0)*Personnel!$D$9:$D$100*(1-Personnel!$H$9:$H$100)*(1-Personnel!$I$9:$I$100)))*Escalation!$B$26</f>
        <v>56355</v>
      </c>
      <c r="AB5" s="289" t="n">
        <f aca="false">(SUMPRODUCT((Personnel!$F$9:$F$100="SixPeak")*(Personnel!$G$9:$G$100="Yes")*(26&gt;=Personnel!$E$9:$E$100)*((Personnel!$K$9:$K$100="")+(26&lt;=Personnel!$K$9:$K$100)&gt;0)*Personnel!$D$9:$D$100*(1-Personnel!$H$9:$H$100)*(1-Personnel!$I$9:$I$100)))*Escalation!$B$27</f>
        <v>56355</v>
      </c>
      <c r="AC5" s="289" t="n">
        <f aca="false">(SUMPRODUCT((Personnel!$F$9:$F$100="SixPeak")*(Personnel!$G$9:$G$100="Yes")*(27&gt;=Personnel!$E$9:$E$100)*((Personnel!$K$9:$K$100="")+(27&lt;=Personnel!$K$9:$K$100)&gt;0)*Personnel!$D$9:$D$100*(1-Personnel!$H$9:$H$100)*(1-Personnel!$I$9:$I$100)))*Escalation!$B$28</f>
        <v>56355</v>
      </c>
      <c r="AD5" s="289" t="n">
        <f aca="false">(SUMPRODUCT((Personnel!$F$9:$F$100="SixPeak")*(Personnel!$G$9:$G$100="Yes")*(28&gt;=Personnel!$E$9:$E$100)*((Personnel!$K$9:$K$100="")+(28&lt;=Personnel!$K$9:$K$100)&gt;0)*Personnel!$D$9:$D$100*(1-Personnel!$H$9:$H$100)*(1-Personnel!$I$9:$I$100)))*Escalation!$B$29</f>
        <v>56355</v>
      </c>
      <c r="AE5" s="289" t="n">
        <f aca="false">(SUMPRODUCT((Personnel!$F$9:$F$100="SixPeak")*(Personnel!$G$9:$G$100="Yes")*(29&gt;=Personnel!$E$9:$E$100)*((Personnel!$K$9:$K$100="")+(29&lt;=Personnel!$K$9:$K$100)&gt;0)*Personnel!$D$9:$D$100*(1-Personnel!$H$9:$H$100)*(1-Personnel!$I$9:$I$100)))*Escalation!$B$30</f>
        <v>56355</v>
      </c>
      <c r="AF5" s="289" t="n">
        <f aca="false">(SUMPRODUCT((Personnel!$F$9:$F$100="SixPeak")*(Personnel!$G$9:$G$100="Yes")*(30&gt;=Personnel!$E$9:$E$100)*((Personnel!$K$9:$K$100="")+(30&lt;=Personnel!$K$9:$K$100)&gt;0)*Personnel!$D$9:$D$100*(1-Personnel!$H$9:$H$100)*(1-Personnel!$I$9:$I$100)))*Escalation!$B$31</f>
        <v>56355</v>
      </c>
      <c r="AG5" s="289" t="n">
        <f aca="false">(SUMPRODUCT((Personnel!$F$9:$F$100="SixPeak")*(Personnel!$G$9:$G$100="Yes")*(31&gt;=Personnel!$E$9:$E$100)*((Personnel!$K$9:$K$100="")+(31&lt;=Personnel!$K$9:$K$100)&gt;0)*Personnel!$D$9:$D$100*(1-Personnel!$H$9:$H$100)*(1-Personnel!$I$9:$I$100)))*Escalation!$B$32</f>
        <v>56355</v>
      </c>
      <c r="AH5" s="289" t="n">
        <f aca="false">(SUMPRODUCT((Personnel!$F$9:$F$100="SixPeak")*(Personnel!$G$9:$G$100="Yes")*(32&gt;=Personnel!$E$9:$E$100)*((Personnel!$K$9:$K$100="")+(32&lt;=Personnel!$K$9:$K$100)&gt;0)*Personnel!$D$9:$D$100*(1-Personnel!$H$9:$H$100)*(1-Personnel!$I$9:$I$100)))*Escalation!$B$33</f>
        <v>56355</v>
      </c>
      <c r="AI5" s="289" t="n">
        <f aca="false">(SUMPRODUCT((Personnel!$F$9:$F$100="SixPeak")*(Personnel!$G$9:$G$100="Yes")*(33&gt;=Personnel!$E$9:$E$100)*((Personnel!$K$9:$K$100="")+(33&lt;=Personnel!$K$9:$K$100)&gt;0)*Personnel!$D$9:$D$100*(1-Personnel!$H$9:$H$100)*(1-Personnel!$I$9:$I$100)))*Escalation!$B$34</f>
        <v>56355</v>
      </c>
      <c r="AJ5" s="289" t="n">
        <f aca="false">(SUMPRODUCT((Personnel!$F$9:$F$100="SixPeak")*(Personnel!$G$9:$G$100="Yes")*(34&gt;=Personnel!$E$9:$E$100)*((Personnel!$K$9:$K$100="")+(34&lt;=Personnel!$K$9:$K$100)&gt;0)*Personnel!$D$9:$D$100*(1-Personnel!$H$9:$H$100)*(1-Personnel!$I$9:$I$100)))*Escalation!$B$35</f>
        <v>56355</v>
      </c>
      <c r="AK5" s="289" t="n">
        <f aca="false">(SUMPRODUCT((Personnel!$F$9:$F$100="SixPeak")*(Personnel!$G$9:$G$100="Yes")*(35&gt;=Personnel!$E$9:$E$100)*((Personnel!$K$9:$K$100="")+(35&lt;=Personnel!$K$9:$K$100)&gt;0)*Personnel!$D$9:$D$100*(1-Personnel!$H$9:$H$100)*(1-Personnel!$I$9:$I$100)))*Escalation!$B$36</f>
        <v>56355</v>
      </c>
      <c r="AL5" s="289" t="n">
        <f aca="false">(SUMPRODUCT((Personnel!$F$9:$F$100="SixPeak")*(Personnel!$G$9:$G$100="Yes")*(36&gt;=Personnel!$E$9:$E$100)*((Personnel!$K$9:$K$100="")+(36&lt;=Personnel!$K$9:$K$100)&gt;0)*Personnel!$D$9:$D$100*(1-Personnel!$H$9:$H$100)*(1-Personnel!$I$9:$I$100)))*Escalation!$B$37</f>
        <v>56355</v>
      </c>
      <c r="AM5" s="289" t="n">
        <f aca="false">(SUMPRODUCT((Personnel!$F$9:$F$100="SixPeak")*(Personnel!$G$9:$G$100="Yes")*(37&gt;=Personnel!$E$9:$E$100)*((Personnel!$K$9:$K$100="")+(37&lt;=Personnel!$K$9:$K$100)&gt;0)*Personnel!$D$9:$D$100*(1-Personnel!$H$9:$H$100)*(1-Personnel!$I$9:$I$100)))*Escalation!$B$38</f>
        <v>57482.1</v>
      </c>
      <c r="AN5" s="289" t="n">
        <f aca="false">(SUMPRODUCT((Personnel!$F$9:$F$100="SixPeak")*(Personnel!$G$9:$G$100="Yes")*(38&gt;=Personnel!$E$9:$E$100)*((Personnel!$K$9:$K$100="")+(38&lt;=Personnel!$K$9:$K$100)&gt;0)*Personnel!$D$9:$D$100*(1-Personnel!$H$9:$H$100)*(1-Personnel!$I$9:$I$100)))*Escalation!$B$39</f>
        <v>57482.1</v>
      </c>
      <c r="AO5" s="289" t="n">
        <f aca="false">(SUMPRODUCT((Personnel!$F$9:$F$100="SixPeak")*(Personnel!$G$9:$G$100="Yes")*(39&gt;=Personnel!$E$9:$E$100)*((Personnel!$K$9:$K$100="")+(39&lt;=Personnel!$K$9:$K$100)&gt;0)*Personnel!$D$9:$D$100*(1-Personnel!$H$9:$H$100)*(1-Personnel!$I$9:$I$100)))*Escalation!$B$40</f>
        <v>57482.1</v>
      </c>
      <c r="AP5" s="289" t="n">
        <f aca="false">(SUMPRODUCT((Personnel!$F$9:$F$100="SixPeak")*(Personnel!$G$9:$G$100="Yes")*(40&gt;=Personnel!$E$9:$E$100)*((Personnel!$K$9:$K$100="")+(40&lt;=Personnel!$K$9:$K$100)&gt;0)*Personnel!$D$9:$D$100*(1-Personnel!$H$9:$H$100)*(1-Personnel!$I$9:$I$100)))*Escalation!$B$41</f>
        <v>57482.1</v>
      </c>
      <c r="AQ5" s="289" t="n">
        <f aca="false">(SUMPRODUCT((Personnel!$F$9:$F$100="SixPeak")*(Personnel!$G$9:$G$100="Yes")*(41&gt;=Personnel!$E$9:$E$100)*((Personnel!$K$9:$K$100="")+(41&lt;=Personnel!$K$9:$K$100)&gt;0)*Personnel!$D$9:$D$100*(1-Personnel!$H$9:$H$100)*(1-Personnel!$I$9:$I$100)))*Escalation!$B$42</f>
        <v>57482.1</v>
      </c>
      <c r="AR5" s="289" t="n">
        <f aca="false">(SUMPRODUCT((Personnel!$F$9:$F$100="SixPeak")*(Personnel!$G$9:$G$100="Yes")*(42&gt;=Personnel!$E$9:$E$100)*((Personnel!$K$9:$K$100="")+(42&lt;=Personnel!$K$9:$K$100)&gt;0)*Personnel!$D$9:$D$100*(1-Personnel!$H$9:$H$100)*(1-Personnel!$I$9:$I$100)))*Escalation!$B$43</f>
        <v>57482.1</v>
      </c>
      <c r="AS5" s="289" t="n">
        <f aca="false">(SUMPRODUCT((Personnel!$F$9:$F$100="SixPeak")*(Personnel!$G$9:$G$100="Yes")*(43&gt;=Personnel!$E$9:$E$100)*((Personnel!$K$9:$K$100="")+(43&lt;=Personnel!$K$9:$K$100)&gt;0)*Personnel!$D$9:$D$100*(1-Personnel!$H$9:$H$100)*(1-Personnel!$I$9:$I$100)))*Escalation!$B$44</f>
        <v>57482.1</v>
      </c>
      <c r="AT5" s="289" t="n">
        <f aca="false">(SUMPRODUCT((Personnel!$F$9:$F$100="SixPeak")*(Personnel!$G$9:$G$100="Yes")*(44&gt;=Personnel!$E$9:$E$100)*((Personnel!$K$9:$K$100="")+(44&lt;=Personnel!$K$9:$K$100)&gt;0)*Personnel!$D$9:$D$100*(1-Personnel!$H$9:$H$100)*(1-Personnel!$I$9:$I$100)))*Escalation!$B$45</f>
        <v>57482.1</v>
      </c>
      <c r="AU5" s="289" t="n">
        <f aca="false">(SUMPRODUCT((Personnel!$F$9:$F$100="SixPeak")*(Personnel!$G$9:$G$100="Yes")*(45&gt;=Personnel!$E$9:$E$100)*((Personnel!$K$9:$K$100="")+(45&lt;=Personnel!$K$9:$K$100)&gt;0)*Personnel!$D$9:$D$100*(1-Personnel!$H$9:$H$100)*(1-Personnel!$I$9:$I$100)))*Escalation!$B$46</f>
        <v>57482.1</v>
      </c>
      <c r="AV5" s="289" t="n">
        <f aca="false">(SUMPRODUCT((Personnel!$F$9:$F$100="SixPeak")*(Personnel!$G$9:$G$100="Yes")*(46&gt;=Personnel!$E$9:$E$100)*((Personnel!$K$9:$K$100="")+(46&lt;=Personnel!$K$9:$K$100)&gt;0)*Personnel!$D$9:$D$100*(1-Personnel!$H$9:$H$100)*(1-Personnel!$I$9:$I$100)))*Escalation!$B$47</f>
        <v>57482.1</v>
      </c>
      <c r="AW5" s="289" t="n">
        <f aca="false">(SUMPRODUCT((Personnel!$F$9:$F$100="SixPeak")*(Personnel!$G$9:$G$100="Yes")*(47&gt;=Personnel!$E$9:$E$100)*((Personnel!$K$9:$K$100="")+(47&lt;=Personnel!$K$9:$K$100)&gt;0)*Personnel!$D$9:$D$100*(1-Personnel!$H$9:$H$100)*(1-Personnel!$I$9:$I$100)))*Escalation!$B$48</f>
        <v>57482.1</v>
      </c>
      <c r="AX5" s="289" t="n">
        <f aca="false">(SUMPRODUCT((Personnel!$F$9:$F$100="SixPeak")*(Personnel!$G$9:$G$100="Yes")*(48&gt;=Personnel!$E$9:$E$100)*((Personnel!$K$9:$K$100="")+(48&lt;=Personnel!$K$9:$K$100)&gt;0)*Personnel!$D$9:$D$100*(1-Personnel!$H$9:$H$100)*(1-Personnel!$I$9:$I$100)))*Escalation!$B$49</f>
        <v>57482.1</v>
      </c>
      <c r="AY5" s="289" t="n">
        <f aca="false">(SUMPRODUCT((Personnel!$F$9:$F$100="SixPeak")*(Personnel!$G$9:$G$100="Yes")*(49&gt;=Personnel!$E$9:$E$100)*((Personnel!$K$9:$K$100="")+(49&lt;=Personnel!$K$9:$K$100)&gt;0)*Personnel!$D$9:$D$100*(1-Personnel!$H$9:$H$100)*(1-Personnel!$I$9:$I$100)))*Escalation!$B$50</f>
        <v>58631.742</v>
      </c>
      <c r="AZ5" s="289" t="n">
        <f aca="false">(SUMPRODUCT((Personnel!$F$9:$F$100="SixPeak")*(Personnel!$G$9:$G$100="Yes")*(50&gt;=Personnel!$E$9:$E$100)*((Personnel!$K$9:$K$100="")+(50&lt;=Personnel!$K$9:$K$100)&gt;0)*Personnel!$D$9:$D$100*(1-Personnel!$H$9:$H$100)*(1-Personnel!$I$9:$I$100)))*Escalation!$B$51</f>
        <v>58631.742</v>
      </c>
      <c r="BA5" s="289" t="n">
        <f aca="false">(SUMPRODUCT((Personnel!$F$9:$F$100="SixPeak")*(Personnel!$G$9:$G$100="Yes")*(51&gt;=Personnel!$E$9:$E$100)*((Personnel!$K$9:$K$100="")+(51&lt;=Personnel!$K$9:$K$100)&gt;0)*Personnel!$D$9:$D$100*(1-Personnel!$H$9:$H$100)*(1-Personnel!$I$9:$I$100)))*Escalation!$B$52</f>
        <v>58631.742</v>
      </c>
      <c r="BB5" s="289" t="n">
        <f aca="false">(SUMPRODUCT((Personnel!$F$9:$F$100="SixPeak")*(Personnel!$G$9:$G$100="Yes")*(52&gt;=Personnel!$E$9:$E$100)*((Personnel!$K$9:$K$100="")+(52&lt;=Personnel!$K$9:$K$100)&gt;0)*Personnel!$D$9:$D$100*(1-Personnel!$H$9:$H$100)*(1-Personnel!$I$9:$I$100)))*Escalation!$B$53</f>
        <v>58631.742</v>
      </c>
      <c r="BC5" s="289" t="n">
        <f aca="false">(SUMPRODUCT((Personnel!$F$9:$F$100="SixPeak")*(Personnel!$G$9:$G$100="Yes")*(53&gt;=Personnel!$E$9:$E$100)*((Personnel!$K$9:$K$100="")+(53&lt;=Personnel!$K$9:$K$100)&gt;0)*Personnel!$D$9:$D$100*(1-Personnel!$H$9:$H$100)*(1-Personnel!$I$9:$I$100)))*Escalation!$B$54</f>
        <v>58631.742</v>
      </c>
      <c r="BD5" s="289" t="n">
        <f aca="false">(SUMPRODUCT((Personnel!$F$9:$F$100="SixPeak")*(Personnel!$G$9:$G$100="Yes")*(54&gt;=Personnel!$E$9:$E$100)*((Personnel!$K$9:$K$100="")+(54&lt;=Personnel!$K$9:$K$100)&gt;0)*Personnel!$D$9:$D$100*(1-Personnel!$H$9:$H$100)*(1-Personnel!$I$9:$I$100)))*Escalation!$B$55</f>
        <v>58631.742</v>
      </c>
      <c r="BE5" s="289" t="n">
        <f aca="false">(SUMPRODUCT((Personnel!$F$9:$F$100="SixPeak")*(Personnel!$G$9:$G$100="Yes")*(55&gt;=Personnel!$E$9:$E$100)*((Personnel!$K$9:$K$100="")+(55&lt;=Personnel!$K$9:$K$100)&gt;0)*Personnel!$D$9:$D$100*(1-Personnel!$H$9:$H$100)*(1-Personnel!$I$9:$I$100)))*Escalation!$B$56</f>
        <v>58631.742</v>
      </c>
      <c r="BF5" s="289" t="n">
        <f aca="false">(SUMPRODUCT((Personnel!$F$9:$F$100="SixPeak")*(Personnel!$G$9:$G$100="Yes")*(56&gt;=Personnel!$E$9:$E$100)*((Personnel!$K$9:$K$100="")+(56&lt;=Personnel!$K$9:$K$100)&gt;0)*Personnel!$D$9:$D$100*(1-Personnel!$H$9:$H$100)*(1-Personnel!$I$9:$I$100)))*Escalation!$B$57</f>
        <v>58631.742</v>
      </c>
      <c r="BG5" s="289" t="n">
        <f aca="false">(SUMPRODUCT((Personnel!$F$9:$F$100="SixPeak")*(Personnel!$G$9:$G$100="Yes")*(57&gt;=Personnel!$E$9:$E$100)*((Personnel!$K$9:$K$100="")+(57&lt;=Personnel!$K$9:$K$100)&gt;0)*Personnel!$D$9:$D$100*(1-Personnel!$H$9:$H$100)*(1-Personnel!$I$9:$I$100)))*Escalation!$B$58</f>
        <v>58631.742</v>
      </c>
      <c r="BH5" s="289" t="n">
        <f aca="false">(SUMPRODUCT((Personnel!$F$9:$F$100="SixPeak")*(Personnel!$G$9:$G$100="Yes")*(58&gt;=Personnel!$E$9:$E$100)*((Personnel!$K$9:$K$100="")+(58&lt;=Personnel!$K$9:$K$100)&gt;0)*Personnel!$D$9:$D$100*(1-Personnel!$H$9:$H$100)*(1-Personnel!$I$9:$I$100)))*Escalation!$B$59</f>
        <v>58631.742</v>
      </c>
      <c r="BI5" s="289" t="n">
        <f aca="false">(SUMPRODUCT((Personnel!$F$9:$F$100="SixPeak")*(Personnel!$G$9:$G$100="Yes")*(59&gt;=Personnel!$E$9:$E$100)*((Personnel!$K$9:$K$100="")+(59&lt;=Personnel!$K$9:$K$100)&gt;0)*Personnel!$D$9:$D$100*(1-Personnel!$H$9:$H$100)*(1-Personnel!$I$9:$I$100)))*Escalation!$B$60</f>
        <v>58631.742</v>
      </c>
      <c r="BJ5" s="289" t="n">
        <f aca="false">(SUMPRODUCT((Personnel!$F$9:$F$100="SixPeak")*(Personnel!$G$9:$G$100="Yes")*(60&gt;=Personnel!$E$9:$E$100)*((Personnel!$K$9:$K$100="")+(60&lt;=Personnel!$K$9:$K$100)&gt;0)*Personnel!$D$9:$D$100*(1-Personnel!$H$9:$H$100)*(1-Personnel!$I$9:$I$100)))*Escalation!$B$61</f>
        <v>58631.742</v>
      </c>
      <c r="BK5" s="289" t="n">
        <f aca="false">(SUMPRODUCT((Personnel!$F$9:$F$100="SixPeak")*(Personnel!$G$9:$G$100="Yes")*(61&gt;=Personnel!$E$9:$E$100)*((Personnel!$K$9:$K$100="")+(61&lt;=Personnel!$K$9:$K$100)&gt;0)*Personnel!$D$9:$D$100*(1-Personnel!$H$9:$H$100)*(1-Personnel!$I$9:$I$100)))*Escalation!$B$62</f>
        <v>59804.37684</v>
      </c>
      <c r="BL5" s="289" t="n">
        <f aca="false">(SUMPRODUCT((Personnel!$F$9:$F$100="SixPeak")*(Personnel!$G$9:$G$100="Yes")*(62&gt;=Personnel!$E$9:$E$100)*((Personnel!$K$9:$K$100="")+(62&lt;=Personnel!$K$9:$K$100)&gt;0)*Personnel!$D$9:$D$100*(1-Personnel!$H$9:$H$100)*(1-Personnel!$I$9:$I$100)))*Escalation!$B$63</f>
        <v>59804.37684</v>
      </c>
      <c r="BM5" s="289" t="n">
        <f aca="false">(SUMPRODUCT((Personnel!$F$9:$F$100="SixPeak")*(Personnel!$G$9:$G$100="Yes")*(63&gt;=Personnel!$E$9:$E$100)*((Personnel!$K$9:$K$100="")+(63&lt;=Personnel!$K$9:$K$100)&gt;0)*Personnel!$D$9:$D$100*(1-Personnel!$H$9:$H$100)*(1-Personnel!$I$9:$I$100)))*Escalation!$B$64</f>
        <v>59804.37684</v>
      </c>
      <c r="BN5" s="289" t="n">
        <f aca="false">(SUMPRODUCT((Personnel!$F$9:$F$100="SixPeak")*(Personnel!$G$9:$G$100="Yes")*(64&gt;=Personnel!$E$9:$E$100)*((Personnel!$K$9:$K$100="")+(64&lt;=Personnel!$K$9:$K$100)&gt;0)*Personnel!$D$9:$D$100*(1-Personnel!$H$9:$H$100)*(1-Personnel!$I$9:$I$100)))*Escalation!$B$65</f>
        <v>59804.37684</v>
      </c>
      <c r="BO5" s="289" t="n">
        <f aca="false">(SUMPRODUCT((Personnel!$F$9:$F$100="SixPeak")*(Personnel!$G$9:$G$100="Yes")*(65&gt;=Personnel!$E$9:$E$100)*((Personnel!$K$9:$K$100="")+(65&lt;=Personnel!$K$9:$K$100)&gt;0)*Personnel!$D$9:$D$100*(1-Personnel!$H$9:$H$100)*(1-Personnel!$I$9:$I$100)))*Escalation!$B$66</f>
        <v>59804.37684</v>
      </c>
      <c r="BP5" s="289" t="n">
        <f aca="false">(SUMPRODUCT((Personnel!$F$9:$F$100="SixPeak")*(Personnel!$G$9:$G$100="Yes")*(66&gt;=Personnel!$E$9:$E$100)*((Personnel!$K$9:$K$100="")+(66&lt;=Personnel!$K$9:$K$100)&gt;0)*Personnel!$D$9:$D$100*(1-Personnel!$H$9:$H$100)*(1-Personnel!$I$9:$I$100)))*Escalation!$B$67</f>
        <v>59804.37684</v>
      </c>
      <c r="BQ5" s="289" t="n">
        <f aca="false">(SUMPRODUCT((Personnel!$F$9:$F$100="SixPeak")*(Personnel!$G$9:$G$100="Yes")*(67&gt;=Personnel!$E$9:$E$100)*((Personnel!$K$9:$K$100="")+(67&lt;=Personnel!$K$9:$K$100)&gt;0)*Personnel!$D$9:$D$100*(1-Personnel!$H$9:$H$100)*(1-Personnel!$I$9:$I$100)))*Escalation!$B$68</f>
        <v>59804.37684</v>
      </c>
      <c r="BR5" s="289" t="n">
        <f aca="false">(SUMPRODUCT((Personnel!$F$9:$F$100="SixPeak")*(Personnel!$G$9:$G$100="Yes")*(68&gt;=Personnel!$E$9:$E$100)*((Personnel!$K$9:$K$100="")+(68&lt;=Personnel!$K$9:$K$100)&gt;0)*Personnel!$D$9:$D$100*(1-Personnel!$H$9:$H$100)*(1-Personnel!$I$9:$I$100)))*Escalation!$B$69</f>
        <v>59804.37684</v>
      </c>
      <c r="BS5" s="289" t="n">
        <f aca="false">(SUMPRODUCT((Personnel!$F$9:$F$100="SixPeak")*(Personnel!$G$9:$G$100="Yes")*(69&gt;=Personnel!$E$9:$E$100)*((Personnel!$K$9:$K$100="")+(69&lt;=Personnel!$K$9:$K$100)&gt;0)*Personnel!$D$9:$D$100*(1-Personnel!$H$9:$H$100)*(1-Personnel!$I$9:$I$100)))*Escalation!$B$70</f>
        <v>59804.37684</v>
      </c>
      <c r="BT5" s="289" t="n">
        <f aca="false">(SUMPRODUCT((Personnel!$F$9:$F$100="SixPeak")*(Personnel!$G$9:$G$100="Yes")*(70&gt;=Personnel!$E$9:$E$100)*((Personnel!$K$9:$K$100="")+(70&lt;=Personnel!$K$9:$K$100)&gt;0)*Personnel!$D$9:$D$100*(1-Personnel!$H$9:$H$100)*(1-Personnel!$I$9:$I$100)))*Escalation!$B$71</f>
        <v>59804.37684</v>
      </c>
      <c r="BU5" s="289" t="n">
        <f aca="false">(SUMPRODUCT((Personnel!$F$9:$F$100="SixPeak")*(Personnel!$G$9:$G$100="Yes")*(71&gt;=Personnel!$E$9:$E$100)*((Personnel!$K$9:$K$100="")+(71&lt;=Personnel!$K$9:$K$100)&gt;0)*Personnel!$D$9:$D$100*(1-Personnel!$H$9:$H$100)*(1-Personnel!$I$9:$I$100)))*Escalation!$B$72</f>
        <v>59804.37684</v>
      </c>
      <c r="BV5" s="289" t="n">
        <f aca="false">(SUMPRODUCT((Personnel!$F$9:$F$100="SixPeak")*(Personnel!$G$9:$G$100="Yes")*(72&gt;=Personnel!$E$9:$E$100)*((Personnel!$K$9:$K$100="")+(72&lt;=Personnel!$K$9:$K$100)&gt;0)*Personnel!$D$9:$D$100*(1-Personnel!$H$9:$H$100)*(1-Personnel!$I$9:$I$100)))*Escalation!$B$73</f>
        <v>59804.37684</v>
      </c>
      <c r="BW5" s="289" t="n">
        <f aca="false">(SUMPRODUCT((Personnel!$F$9:$F$100="SixPeak")*(Personnel!$G$9:$G$100="Yes")*(73&gt;=Personnel!$E$9:$E$100)*((Personnel!$K$9:$K$100="")+(73&lt;=Personnel!$K$9:$K$100)&gt;0)*Personnel!$D$9:$D$100*(1-Personnel!$H$9:$H$100)*(1-Personnel!$I$9:$I$100)))*Escalation!$B$74</f>
        <v>61000.4643768</v>
      </c>
      <c r="BX5" s="289" t="n">
        <f aca="false">(SUMPRODUCT((Personnel!$F$9:$F$100="SixPeak")*(Personnel!$G$9:$G$100="Yes")*(74&gt;=Personnel!$E$9:$E$100)*((Personnel!$K$9:$K$100="")+(74&lt;=Personnel!$K$9:$K$100)&gt;0)*Personnel!$D$9:$D$100*(1-Personnel!$H$9:$H$100)*(1-Personnel!$I$9:$I$100)))*Escalation!$B$75</f>
        <v>61000.4643768</v>
      </c>
      <c r="BY5" s="289" t="n">
        <f aca="false">(SUMPRODUCT((Personnel!$F$9:$F$100="SixPeak")*(Personnel!$G$9:$G$100="Yes")*(75&gt;=Personnel!$E$9:$E$100)*((Personnel!$K$9:$K$100="")+(75&lt;=Personnel!$K$9:$K$100)&gt;0)*Personnel!$D$9:$D$100*(1-Personnel!$H$9:$H$100)*(1-Personnel!$I$9:$I$100)))*Escalation!$B$76</f>
        <v>61000.4643768</v>
      </c>
      <c r="BZ5" s="289" t="n">
        <f aca="false">(SUMPRODUCT((Personnel!$F$9:$F$100="SixPeak")*(Personnel!$G$9:$G$100="Yes")*(76&gt;=Personnel!$E$9:$E$100)*((Personnel!$K$9:$K$100="")+(76&lt;=Personnel!$K$9:$K$100)&gt;0)*Personnel!$D$9:$D$100*(1-Personnel!$H$9:$H$100)*(1-Personnel!$I$9:$I$100)))*Escalation!$B$77</f>
        <v>61000.4643768</v>
      </c>
      <c r="CA5" s="289" t="n">
        <f aca="false">(SUMPRODUCT((Personnel!$F$9:$F$100="SixPeak")*(Personnel!$G$9:$G$100="Yes")*(77&gt;=Personnel!$E$9:$E$100)*((Personnel!$K$9:$K$100="")+(77&lt;=Personnel!$K$9:$K$100)&gt;0)*Personnel!$D$9:$D$100*(1-Personnel!$H$9:$H$100)*(1-Personnel!$I$9:$I$100)))*Escalation!$B$78</f>
        <v>61000.4643768</v>
      </c>
      <c r="CB5" s="289" t="n">
        <f aca="false">(SUMPRODUCT((Personnel!$F$9:$F$100="SixPeak")*(Personnel!$G$9:$G$100="Yes")*(78&gt;=Personnel!$E$9:$E$100)*((Personnel!$K$9:$K$100="")+(78&lt;=Personnel!$K$9:$K$100)&gt;0)*Personnel!$D$9:$D$100*(1-Personnel!$H$9:$H$100)*(1-Personnel!$I$9:$I$100)))*Escalation!$B$79</f>
        <v>61000.4643768</v>
      </c>
      <c r="CC5" s="289" t="n">
        <f aca="false">(SUMPRODUCT((Personnel!$F$9:$F$100="SixPeak")*(Personnel!$G$9:$G$100="Yes")*(79&gt;=Personnel!$E$9:$E$100)*((Personnel!$K$9:$K$100="")+(79&lt;=Personnel!$K$9:$K$100)&gt;0)*Personnel!$D$9:$D$100*(1-Personnel!$H$9:$H$100)*(1-Personnel!$I$9:$I$100)))*Escalation!$B$80</f>
        <v>61000.4643768</v>
      </c>
      <c r="CD5" s="289" t="n">
        <f aca="false">(SUMPRODUCT((Personnel!$F$9:$F$100="SixPeak")*(Personnel!$G$9:$G$100="Yes")*(80&gt;=Personnel!$E$9:$E$100)*((Personnel!$K$9:$K$100="")+(80&lt;=Personnel!$K$9:$K$100)&gt;0)*Personnel!$D$9:$D$100*(1-Personnel!$H$9:$H$100)*(1-Personnel!$I$9:$I$100)))*Escalation!$B$81</f>
        <v>61000.4643768</v>
      </c>
      <c r="CE5" s="289" t="n">
        <f aca="false">(SUMPRODUCT((Personnel!$F$9:$F$100="SixPeak")*(Personnel!$G$9:$G$100="Yes")*(81&gt;=Personnel!$E$9:$E$100)*((Personnel!$K$9:$K$100="")+(81&lt;=Personnel!$K$9:$K$100)&gt;0)*Personnel!$D$9:$D$100*(1-Personnel!$H$9:$H$100)*(1-Personnel!$I$9:$I$100)))*Escalation!$B$82</f>
        <v>61000.4643768</v>
      </c>
      <c r="CF5" s="289" t="n">
        <f aca="false">(SUMPRODUCT((Personnel!$F$9:$F$100="SixPeak")*(Personnel!$G$9:$G$100="Yes")*(82&gt;=Personnel!$E$9:$E$100)*((Personnel!$K$9:$K$100="")+(82&lt;=Personnel!$K$9:$K$100)&gt;0)*Personnel!$D$9:$D$100*(1-Personnel!$H$9:$H$100)*(1-Personnel!$I$9:$I$100)))*Escalation!$B$83</f>
        <v>61000.4643768</v>
      </c>
      <c r="CG5" s="289" t="n">
        <f aca="false">(SUMPRODUCT((Personnel!$F$9:$F$100="SixPeak")*(Personnel!$G$9:$G$100="Yes")*(83&gt;=Personnel!$E$9:$E$100)*((Personnel!$K$9:$K$100="")+(83&lt;=Personnel!$K$9:$K$100)&gt;0)*Personnel!$D$9:$D$100*(1-Personnel!$H$9:$H$100)*(1-Personnel!$I$9:$I$100)))*Escalation!$B$84</f>
        <v>61000.4643768</v>
      </c>
      <c r="CH5" s="289" t="n">
        <f aca="false">(SUMPRODUCT((Personnel!$F$9:$F$100="SixPeak")*(Personnel!$G$9:$G$100="Yes")*(84&gt;=Personnel!$E$9:$E$100)*((Personnel!$K$9:$K$100="")+(84&lt;=Personnel!$K$9:$K$100)&gt;0)*Personnel!$D$9:$D$100*(1-Personnel!$H$9:$H$100)*(1-Personnel!$I$9:$I$100)))*Escalation!$B$85</f>
        <v>61000.4643768</v>
      </c>
      <c r="CI5" s="289" t="n">
        <f aca="false">(SUMPRODUCT((Personnel!$F$9:$F$100="SixPeak")*(Personnel!$G$9:$G$100="Yes")*(85&gt;=Personnel!$E$9:$E$100)*((Personnel!$K$9:$K$100="")+(85&lt;=Personnel!$K$9:$K$100)&gt;0)*Personnel!$D$9:$D$100*(1-Personnel!$H$9:$H$100)*(1-Personnel!$I$9:$I$100)))*Escalation!$B$86</f>
        <v>62220.473664336</v>
      </c>
      <c r="CJ5" s="289" t="n">
        <f aca="false">(SUMPRODUCT((Personnel!$F$9:$F$100="SixPeak")*(Personnel!$G$9:$G$100="Yes")*(86&gt;=Personnel!$E$9:$E$100)*((Personnel!$K$9:$K$100="")+(86&lt;=Personnel!$K$9:$K$100)&gt;0)*Personnel!$D$9:$D$100*(1-Personnel!$H$9:$H$100)*(1-Personnel!$I$9:$I$100)))*Escalation!$B$87</f>
        <v>62220.473664336</v>
      </c>
      <c r="CK5" s="289" t="n">
        <f aca="false">(SUMPRODUCT((Personnel!$F$9:$F$100="SixPeak")*(Personnel!$G$9:$G$100="Yes")*(87&gt;=Personnel!$E$9:$E$100)*((Personnel!$K$9:$K$100="")+(87&lt;=Personnel!$K$9:$K$100)&gt;0)*Personnel!$D$9:$D$100*(1-Personnel!$H$9:$H$100)*(1-Personnel!$I$9:$I$100)))*Escalation!$B$88</f>
        <v>62220.473664336</v>
      </c>
      <c r="CL5" s="289" t="n">
        <f aca="false">(SUMPRODUCT((Personnel!$F$9:$F$100="SixPeak")*(Personnel!$G$9:$G$100="Yes")*(88&gt;=Personnel!$E$9:$E$100)*((Personnel!$K$9:$K$100="")+(88&lt;=Personnel!$K$9:$K$100)&gt;0)*Personnel!$D$9:$D$100*(1-Personnel!$H$9:$H$100)*(1-Personnel!$I$9:$I$100)))*Escalation!$B$89</f>
        <v>62220.473664336</v>
      </c>
      <c r="CM5" s="289" t="n">
        <f aca="false">(SUMPRODUCT((Personnel!$F$9:$F$100="SixPeak")*(Personnel!$G$9:$G$100="Yes")*(89&gt;=Personnel!$E$9:$E$100)*((Personnel!$K$9:$K$100="")+(89&lt;=Personnel!$K$9:$K$100)&gt;0)*Personnel!$D$9:$D$100*(1-Personnel!$H$9:$H$100)*(1-Personnel!$I$9:$I$100)))*Escalation!$B$90</f>
        <v>62220.473664336</v>
      </c>
      <c r="CN5" s="289" t="n">
        <f aca="false">(SUMPRODUCT((Personnel!$F$9:$F$100="SixPeak")*(Personnel!$G$9:$G$100="Yes")*(90&gt;=Personnel!$E$9:$E$100)*((Personnel!$K$9:$K$100="")+(90&lt;=Personnel!$K$9:$K$100)&gt;0)*Personnel!$D$9:$D$100*(1-Personnel!$H$9:$H$100)*(1-Personnel!$I$9:$I$100)))*Escalation!$B$91</f>
        <v>62220.473664336</v>
      </c>
      <c r="CO5" s="289" t="n">
        <f aca="false">(SUMPRODUCT((Personnel!$F$9:$F$100="SixPeak")*(Personnel!$G$9:$G$100="Yes")*(91&gt;=Personnel!$E$9:$E$100)*((Personnel!$K$9:$K$100="")+(91&lt;=Personnel!$K$9:$K$100)&gt;0)*Personnel!$D$9:$D$100*(1-Personnel!$H$9:$H$100)*(1-Personnel!$I$9:$I$100)))*Escalation!$B$92</f>
        <v>62220.473664336</v>
      </c>
      <c r="CP5" s="289" t="n">
        <f aca="false">(SUMPRODUCT((Personnel!$F$9:$F$100="SixPeak")*(Personnel!$G$9:$G$100="Yes")*(92&gt;=Personnel!$E$9:$E$100)*((Personnel!$K$9:$K$100="")+(92&lt;=Personnel!$K$9:$K$100)&gt;0)*Personnel!$D$9:$D$100*(1-Personnel!$H$9:$H$100)*(1-Personnel!$I$9:$I$100)))*Escalation!$B$93</f>
        <v>62220.473664336</v>
      </c>
      <c r="CQ5" s="289" t="n">
        <f aca="false">(SUMPRODUCT((Personnel!$F$9:$F$100="SixPeak")*(Personnel!$G$9:$G$100="Yes")*(93&gt;=Personnel!$E$9:$E$100)*((Personnel!$K$9:$K$100="")+(93&lt;=Personnel!$K$9:$K$100)&gt;0)*Personnel!$D$9:$D$100*(1-Personnel!$H$9:$H$100)*(1-Personnel!$I$9:$I$100)))*Escalation!$B$94</f>
        <v>62220.473664336</v>
      </c>
    </row>
    <row r="7" customFormat="false" ht="15" hidden="false" customHeight="true" outlineLevel="0" collapsed="false">
      <c r="A7" s="283" t="s">
        <v>1145</v>
      </c>
    </row>
    <row r="8" customFormat="false" ht="15" hidden="false" customHeight="true" outlineLevel="0" collapsed="false">
      <c r="A8" s="177" t="s">
        <v>9</v>
      </c>
      <c r="C8" s="289" t="n">
        <v>11187175.79</v>
      </c>
      <c r="D8" s="289" t="n">
        <v>10356493.69</v>
      </c>
      <c r="E8" s="289" t="n">
        <v>9450240.48</v>
      </c>
      <c r="F8" s="289" t="n">
        <v>8485833.11</v>
      </c>
      <c r="G8" s="289" t="n">
        <v>6546008.3</v>
      </c>
      <c r="H8" s="289" t="n">
        <v>5950977.14</v>
      </c>
      <c r="I8" s="289" t="n">
        <v>5403449.04</v>
      </c>
      <c r="J8" s="289" t="n">
        <v>4778618.53</v>
      </c>
      <c r="K8" s="289" t="n">
        <v>4012283.82</v>
      </c>
      <c r="L8" s="289" t="n">
        <v>3317496.87</v>
      </c>
      <c r="M8" s="289" t="n">
        <v>2693094.26</v>
      </c>
      <c r="N8" s="289" t="n">
        <v>1981609.96</v>
      </c>
      <c r="O8" s="289" t="n">
        <v>1250721.11</v>
      </c>
      <c r="P8" s="289" t="n">
        <v>661631.3</v>
      </c>
      <c r="Q8" s="289" t="n">
        <v>297802.14</v>
      </c>
      <c r="R8" s="289" t="n">
        <v>126194.42</v>
      </c>
      <c r="S8" s="289" t="n">
        <v>0</v>
      </c>
      <c r="T8" s="289" t="n">
        <v>0</v>
      </c>
      <c r="U8" s="289" t="n">
        <v>0</v>
      </c>
      <c r="V8" s="289" t="n">
        <v>0</v>
      </c>
      <c r="W8" s="289" t="n">
        <v>0</v>
      </c>
      <c r="X8" s="289" t="n">
        <v>0</v>
      </c>
      <c r="Y8" s="289" t="n">
        <v>0</v>
      </c>
      <c r="Z8" s="289" t="n">
        <v>0</v>
      </c>
      <c r="AA8" s="289" t="n">
        <v>0</v>
      </c>
      <c r="AB8" s="289" t="n">
        <v>0</v>
      </c>
      <c r="AC8" s="289" t="n">
        <v>0</v>
      </c>
      <c r="AD8" s="289" t="n">
        <v>0</v>
      </c>
      <c r="AE8" s="289" t="n">
        <v>0</v>
      </c>
      <c r="AF8" s="289" t="n">
        <v>0</v>
      </c>
      <c r="AG8" s="289" t="n">
        <v>0</v>
      </c>
      <c r="AH8" s="289" t="n">
        <v>0</v>
      </c>
      <c r="AI8" s="289" t="n">
        <v>0</v>
      </c>
      <c r="AJ8" s="289" t="n">
        <v>0</v>
      </c>
      <c r="AK8" s="289" t="n">
        <v>0</v>
      </c>
      <c r="AL8" s="289" t="n">
        <v>0</v>
      </c>
      <c r="AM8" s="289" t="n">
        <v>0</v>
      </c>
      <c r="AN8" s="289" t="n">
        <v>0</v>
      </c>
      <c r="AO8" s="289" t="n">
        <v>0</v>
      </c>
      <c r="AP8" s="289" t="n">
        <v>0</v>
      </c>
      <c r="AQ8" s="289" t="n">
        <v>0</v>
      </c>
      <c r="AR8" s="289" t="n">
        <v>0</v>
      </c>
      <c r="AS8" s="289" t="n">
        <v>0</v>
      </c>
      <c r="AT8" s="289" t="n">
        <v>0</v>
      </c>
      <c r="AU8" s="289" t="n">
        <v>0</v>
      </c>
      <c r="AV8" s="289" t="n">
        <v>0</v>
      </c>
      <c r="AW8" s="289" t="n">
        <v>0</v>
      </c>
      <c r="AX8" s="289" t="n">
        <v>0</v>
      </c>
      <c r="AY8" s="289" t="n">
        <v>0</v>
      </c>
      <c r="AZ8" s="289" t="n">
        <v>0</v>
      </c>
      <c r="BA8" s="289" t="n">
        <v>0</v>
      </c>
      <c r="BB8" s="289" t="n">
        <v>0</v>
      </c>
      <c r="BC8" s="289" t="n">
        <v>0</v>
      </c>
      <c r="BD8" s="289" t="n">
        <v>0</v>
      </c>
      <c r="BE8" s="289" t="n">
        <v>0</v>
      </c>
      <c r="BF8" s="289" t="n">
        <v>0</v>
      </c>
      <c r="BG8" s="289" t="n">
        <v>0</v>
      </c>
      <c r="BH8" s="289" t="n">
        <v>0</v>
      </c>
      <c r="BI8" s="289" t="n">
        <v>0</v>
      </c>
      <c r="BJ8" s="289" t="n">
        <v>0</v>
      </c>
      <c r="BK8" s="289" t="n">
        <v>0</v>
      </c>
      <c r="BL8" s="289" t="n">
        <v>0</v>
      </c>
      <c r="BM8" s="289" t="n">
        <v>0</v>
      </c>
      <c r="BN8" s="289" t="n">
        <v>0</v>
      </c>
      <c r="BO8" s="289" t="n">
        <v>0</v>
      </c>
      <c r="BP8" s="289" t="n">
        <v>0</v>
      </c>
      <c r="BQ8" s="289" t="n">
        <v>0</v>
      </c>
      <c r="BR8" s="289" t="n">
        <v>0</v>
      </c>
      <c r="BS8" s="289" t="n">
        <v>0</v>
      </c>
      <c r="BT8" s="289" t="n">
        <v>0</v>
      </c>
      <c r="BU8" s="289" t="n">
        <v>0</v>
      </c>
      <c r="BV8" s="289" t="n">
        <v>0</v>
      </c>
      <c r="BW8" s="289" t="n">
        <v>0</v>
      </c>
      <c r="BX8" s="289" t="n">
        <v>0</v>
      </c>
      <c r="BY8" s="289" t="n">
        <v>0</v>
      </c>
      <c r="BZ8" s="289" t="n">
        <v>0</v>
      </c>
      <c r="CA8" s="289" t="n">
        <v>0</v>
      </c>
      <c r="CB8" s="289" t="n">
        <v>0</v>
      </c>
      <c r="CC8" s="289" t="n">
        <v>0</v>
      </c>
      <c r="CD8" s="289" t="n">
        <v>0</v>
      </c>
      <c r="CE8" s="289" t="n">
        <v>0</v>
      </c>
      <c r="CF8" s="289" t="n">
        <v>0</v>
      </c>
      <c r="CG8" s="289" t="n">
        <v>0</v>
      </c>
      <c r="CH8" s="289" t="n">
        <v>0</v>
      </c>
      <c r="CI8" s="289" t="n">
        <v>0</v>
      </c>
      <c r="CJ8" s="289" t="n">
        <v>0</v>
      </c>
      <c r="CK8" s="289" t="n">
        <v>0</v>
      </c>
      <c r="CL8" s="289" t="n">
        <v>0</v>
      </c>
      <c r="CM8" s="289" t="n">
        <v>0</v>
      </c>
      <c r="CN8" s="289" t="n">
        <v>0</v>
      </c>
      <c r="CO8" s="289" t="n">
        <v>0</v>
      </c>
      <c r="CP8" s="289" t="n">
        <v>0</v>
      </c>
      <c r="CQ8" s="289" t="n">
        <v>0</v>
      </c>
    </row>
    <row r="9" customFormat="false" ht="15" hidden="false" customHeight="true" outlineLevel="0" collapsed="false">
      <c r="A9" s="177" t="s">
        <v>10</v>
      </c>
      <c r="C9" s="289" t="n">
        <v>13529664.56</v>
      </c>
      <c r="D9" s="289" t="n">
        <v>12525045.48</v>
      </c>
      <c r="E9" s="289" t="n">
        <v>11429031.43</v>
      </c>
      <c r="F9" s="289" t="n">
        <v>10262686.27</v>
      </c>
      <c r="G9" s="289" t="n">
        <v>9354156.4</v>
      </c>
      <c r="H9" s="289" t="n">
        <v>8576474.68</v>
      </c>
      <c r="I9" s="289" t="n">
        <v>7686708.76</v>
      </c>
      <c r="J9" s="289" t="n">
        <v>7003935.62</v>
      </c>
      <c r="K9" s="289" t="n">
        <v>6232412.67</v>
      </c>
      <c r="L9" s="289" t="n">
        <v>5543806.21</v>
      </c>
      <c r="M9" s="289" t="n">
        <v>4887352.83</v>
      </c>
      <c r="N9" s="289" t="n">
        <v>4294423.23</v>
      </c>
      <c r="O9" s="289" t="n">
        <v>3826241.58</v>
      </c>
      <c r="P9" s="289" t="n">
        <v>3410361.03</v>
      </c>
      <c r="Q9" s="289" t="n">
        <v>2510448.86</v>
      </c>
      <c r="R9" s="289" t="n">
        <v>1384588.44</v>
      </c>
      <c r="S9" s="289" t="n">
        <v>631341.78</v>
      </c>
      <c r="T9" s="289" t="n">
        <v>164743.84</v>
      </c>
      <c r="U9" s="289" t="n">
        <v>0</v>
      </c>
      <c r="V9" s="289" t="n">
        <v>0</v>
      </c>
      <c r="W9" s="289" t="n">
        <v>0</v>
      </c>
      <c r="X9" s="289" t="n">
        <v>0</v>
      </c>
      <c r="Y9" s="289" t="n">
        <v>0</v>
      </c>
      <c r="Z9" s="289" t="n">
        <v>0</v>
      </c>
      <c r="AA9" s="289" t="n">
        <v>0</v>
      </c>
      <c r="AB9" s="289" t="n">
        <v>0</v>
      </c>
      <c r="AC9" s="289" t="n">
        <v>0</v>
      </c>
      <c r="AD9" s="289" t="n">
        <v>0</v>
      </c>
      <c r="AE9" s="289" t="n">
        <v>0</v>
      </c>
      <c r="AF9" s="289" t="n">
        <v>0</v>
      </c>
      <c r="AG9" s="289" t="n">
        <v>0</v>
      </c>
      <c r="AH9" s="289" t="n">
        <v>0</v>
      </c>
      <c r="AI9" s="289" t="n">
        <v>0</v>
      </c>
      <c r="AJ9" s="289" t="n">
        <v>0</v>
      </c>
      <c r="AK9" s="289" t="n">
        <v>0</v>
      </c>
      <c r="AL9" s="289" t="n">
        <v>0</v>
      </c>
      <c r="AM9" s="289" t="n">
        <v>0</v>
      </c>
      <c r="AN9" s="289" t="n">
        <v>0</v>
      </c>
      <c r="AO9" s="289" t="n">
        <v>0</v>
      </c>
      <c r="AP9" s="289" t="n">
        <v>0</v>
      </c>
      <c r="AQ9" s="289" t="n">
        <v>0</v>
      </c>
      <c r="AR9" s="289" t="n">
        <v>0</v>
      </c>
      <c r="AS9" s="289" t="n">
        <v>0</v>
      </c>
      <c r="AT9" s="289" t="n">
        <v>0</v>
      </c>
      <c r="AU9" s="289" t="n">
        <v>0</v>
      </c>
      <c r="AV9" s="289" t="n">
        <v>0</v>
      </c>
      <c r="AW9" s="289" t="n">
        <v>0</v>
      </c>
      <c r="AX9" s="289" t="n">
        <v>0</v>
      </c>
      <c r="AY9" s="289" t="n">
        <v>0</v>
      </c>
      <c r="AZ9" s="289" t="n">
        <v>0</v>
      </c>
      <c r="BA9" s="289" t="n">
        <v>0</v>
      </c>
      <c r="BB9" s="289" t="n">
        <v>0</v>
      </c>
      <c r="BC9" s="289" t="n">
        <v>0</v>
      </c>
      <c r="BD9" s="289" t="n">
        <v>0</v>
      </c>
      <c r="BE9" s="289" t="n">
        <v>0</v>
      </c>
      <c r="BF9" s="289" t="n">
        <v>0</v>
      </c>
      <c r="BG9" s="289" t="n">
        <v>0</v>
      </c>
      <c r="BH9" s="289" t="n">
        <v>0</v>
      </c>
      <c r="BI9" s="289" t="n">
        <v>0</v>
      </c>
      <c r="BJ9" s="289" t="n">
        <v>0</v>
      </c>
      <c r="BK9" s="289" t="n">
        <v>0</v>
      </c>
      <c r="BL9" s="289" t="n">
        <v>0</v>
      </c>
      <c r="BM9" s="289" t="n">
        <v>0</v>
      </c>
      <c r="BN9" s="289" t="n">
        <v>0</v>
      </c>
      <c r="BO9" s="289" t="n">
        <v>0</v>
      </c>
      <c r="BP9" s="289" t="n">
        <v>0</v>
      </c>
      <c r="BQ9" s="289" t="n">
        <v>0</v>
      </c>
      <c r="BR9" s="289" t="n">
        <v>0</v>
      </c>
      <c r="BS9" s="289" t="n">
        <v>0</v>
      </c>
      <c r="BT9" s="289" t="n">
        <v>0</v>
      </c>
      <c r="BU9" s="289" t="n">
        <v>0</v>
      </c>
      <c r="BV9" s="289" t="n">
        <v>0</v>
      </c>
      <c r="BW9" s="289" t="n">
        <v>0</v>
      </c>
      <c r="BX9" s="289" t="n">
        <v>0</v>
      </c>
      <c r="BY9" s="289" t="n">
        <v>0</v>
      </c>
      <c r="BZ9" s="289" t="n">
        <v>0</v>
      </c>
      <c r="CA9" s="289" t="n">
        <v>0</v>
      </c>
      <c r="CB9" s="289" t="n">
        <v>0</v>
      </c>
      <c r="CC9" s="289" t="n">
        <v>0</v>
      </c>
      <c r="CD9" s="289" t="n">
        <v>0</v>
      </c>
      <c r="CE9" s="289" t="n">
        <v>0</v>
      </c>
      <c r="CF9" s="289" t="n">
        <v>0</v>
      </c>
      <c r="CG9" s="289" t="n">
        <v>0</v>
      </c>
      <c r="CH9" s="289" t="n">
        <v>0</v>
      </c>
      <c r="CI9" s="289" t="n">
        <v>0</v>
      </c>
      <c r="CJ9" s="289" t="n">
        <v>0</v>
      </c>
      <c r="CK9" s="289" t="n">
        <v>0</v>
      </c>
      <c r="CL9" s="289" t="n">
        <v>0</v>
      </c>
      <c r="CM9" s="289" t="n">
        <v>0</v>
      </c>
      <c r="CN9" s="289" t="n">
        <v>0</v>
      </c>
      <c r="CO9" s="289" t="n">
        <v>0</v>
      </c>
      <c r="CP9" s="289" t="n">
        <v>0</v>
      </c>
      <c r="CQ9" s="289" t="n">
        <v>0</v>
      </c>
    </row>
    <row r="10" customFormat="false" ht="15" hidden="false" customHeight="true" outlineLevel="0" collapsed="false">
      <c r="A10" s="177" t="s">
        <v>12</v>
      </c>
      <c r="C10" s="289" t="n">
        <v>0</v>
      </c>
      <c r="D10" s="289" t="n">
        <v>0</v>
      </c>
      <c r="E10" s="289" t="n">
        <v>0</v>
      </c>
      <c r="F10" s="289" t="n">
        <v>0</v>
      </c>
      <c r="G10" s="289" t="n">
        <v>42418193.38</v>
      </c>
      <c r="H10" s="289" t="n">
        <v>41557159.51</v>
      </c>
      <c r="I10" s="289" t="n">
        <v>40347746.5</v>
      </c>
      <c r="J10" s="289" t="n">
        <v>39561567.49</v>
      </c>
      <c r="K10" s="289" t="n">
        <v>38972367.12</v>
      </c>
      <c r="L10" s="289" t="n">
        <v>38221747.38</v>
      </c>
      <c r="M10" s="289" t="n">
        <v>37614512.89</v>
      </c>
      <c r="N10" s="289" t="n">
        <v>36881872.23</v>
      </c>
      <c r="O10" s="289" t="n">
        <v>36263088.93</v>
      </c>
      <c r="P10" s="289" t="n">
        <v>35502601.32</v>
      </c>
      <c r="Q10" s="289" t="n">
        <v>34787831.07</v>
      </c>
      <c r="R10" s="289" t="n">
        <v>33505756.49</v>
      </c>
      <c r="S10" s="289" t="n">
        <v>32686448.68</v>
      </c>
      <c r="T10" s="289" t="n">
        <v>30243213.22</v>
      </c>
      <c r="U10" s="289" t="n">
        <v>28699798.34</v>
      </c>
      <c r="V10" s="289" t="n">
        <v>25529541</v>
      </c>
      <c r="W10" s="289" t="n">
        <v>23704130.61</v>
      </c>
      <c r="X10" s="289" t="n">
        <v>20828303.45</v>
      </c>
      <c r="Y10" s="289" t="n">
        <v>18426892.45</v>
      </c>
      <c r="Z10" s="289" t="n">
        <v>16789882.88</v>
      </c>
      <c r="AA10" s="289" t="n">
        <v>15753895.35</v>
      </c>
      <c r="AB10" s="289" t="n">
        <v>14527106.83</v>
      </c>
      <c r="AC10" s="289" t="n">
        <v>13375707.75</v>
      </c>
      <c r="AD10" s="289" t="n">
        <v>11951889.75</v>
      </c>
      <c r="AE10" s="289" t="n">
        <v>9479263.81</v>
      </c>
      <c r="AF10" s="289" t="n">
        <v>7184499.57</v>
      </c>
      <c r="AG10" s="289" t="n">
        <v>4941005.43</v>
      </c>
      <c r="AH10" s="289" t="n">
        <v>3716991.2</v>
      </c>
      <c r="AI10" s="289" t="n">
        <v>2700888.54</v>
      </c>
      <c r="AJ10" s="289" t="n">
        <v>1565814.84</v>
      </c>
      <c r="AK10" s="289" t="n">
        <v>331958.4</v>
      </c>
      <c r="AL10" s="289" t="n">
        <v>0</v>
      </c>
      <c r="AM10" s="289" t="n">
        <v>0</v>
      </c>
      <c r="AN10" s="289" t="n">
        <v>0</v>
      </c>
      <c r="AO10" s="289" t="n">
        <v>0</v>
      </c>
      <c r="AP10" s="289" t="n">
        <v>0</v>
      </c>
      <c r="AQ10" s="289" t="n">
        <v>0</v>
      </c>
      <c r="AR10" s="289" t="n">
        <v>0</v>
      </c>
      <c r="AS10" s="289" t="n">
        <v>0</v>
      </c>
      <c r="AT10" s="289" t="n">
        <v>0</v>
      </c>
      <c r="AU10" s="289" t="n">
        <v>0</v>
      </c>
      <c r="AV10" s="289" t="n">
        <v>0</v>
      </c>
      <c r="AW10" s="289" t="n">
        <v>0</v>
      </c>
      <c r="AX10" s="289" t="n">
        <v>0</v>
      </c>
      <c r="AY10" s="289" t="n">
        <v>0</v>
      </c>
      <c r="AZ10" s="289" t="n">
        <v>0</v>
      </c>
      <c r="BA10" s="289" t="n">
        <v>0</v>
      </c>
      <c r="BB10" s="289" t="n">
        <v>0</v>
      </c>
      <c r="BC10" s="289" t="n">
        <v>0</v>
      </c>
      <c r="BD10" s="289" t="n">
        <v>0</v>
      </c>
      <c r="BE10" s="289" t="n">
        <v>0</v>
      </c>
      <c r="BF10" s="289" t="n">
        <v>0</v>
      </c>
      <c r="BG10" s="289" t="n">
        <v>0</v>
      </c>
      <c r="BH10" s="289" t="n">
        <v>0</v>
      </c>
      <c r="BI10" s="289" t="n">
        <v>0</v>
      </c>
      <c r="BJ10" s="289" t="n">
        <v>0</v>
      </c>
      <c r="BK10" s="289" t="n">
        <v>0</v>
      </c>
      <c r="BL10" s="289" t="n">
        <v>0</v>
      </c>
      <c r="BM10" s="289" t="n">
        <v>0</v>
      </c>
      <c r="BN10" s="289" t="n">
        <v>0</v>
      </c>
      <c r="BO10" s="289" t="n">
        <v>0</v>
      </c>
      <c r="BP10" s="289" t="n">
        <v>0</v>
      </c>
      <c r="BQ10" s="289" t="n">
        <v>0</v>
      </c>
      <c r="BR10" s="289" t="n">
        <v>0</v>
      </c>
      <c r="BS10" s="289" t="n">
        <v>0</v>
      </c>
      <c r="BT10" s="289" t="n">
        <v>0</v>
      </c>
      <c r="BU10" s="289" t="n">
        <v>0</v>
      </c>
      <c r="BV10" s="289" t="n">
        <v>0</v>
      </c>
      <c r="BW10" s="289" t="n">
        <v>0</v>
      </c>
      <c r="BX10" s="289" t="n">
        <v>0</v>
      </c>
      <c r="BY10" s="289" t="n">
        <v>0</v>
      </c>
      <c r="BZ10" s="289" t="n">
        <v>0</v>
      </c>
      <c r="CA10" s="289" t="n">
        <v>0</v>
      </c>
      <c r="CB10" s="289" t="n">
        <v>0</v>
      </c>
      <c r="CC10" s="289" t="n">
        <v>0</v>
      </c>
      <c r="CD10" s="289" t="n">
        <v>0</v>
      </c>
      <c r="CE10" s="289" t="n">
        <v>0</v>
      </c>
      <c r="CF10" s="289" t="n">
        <v>0</v>
      </c>
      <c r="CG10" s="289" t="n">
        <v>0</v>
      </c>
      <c r="CH10" s="289" t="n">
        <v>0</v>
      </c>
      <c r="CI10" s="289" t="n">
        <v>0</v>
      </c>
      <c r="CJ10" s="289" t="n">
        <v>0</v>
      </c>
      <c r="CK10" s="289" t="n">
        <v>0</v>
      </c>
      <c r="CL10" s="289" t="n">
        <v>0</v>
      </c>
      <c r="CM10" s="289" t="n">
        <v>0</v>
      </c>
      <c r="CN10" s="289" t="n">
        <v>0</v>
      </c>
      <c r="CO10" s="289" t="n">
        <v>0</v>
      </c>
      <c r="CP10" s="289" t="n">
        <v>0</v>
      </c>
      <c r="CQ10" s="289" t="n">
        <v>0</v>
      </c>
    </row>
    <row r="11" customFormat="false" ht="15" hidden="false" customHeight="true" outlineLevel="0" collapsed="false">
      <c r="A11" s="177" t="s">
        <v>13</v>
      </c>
      <c r="C11" s="289" t="n">
        <f aca="false">IF(AND(Projects!$G$8="Yes",Projects!$F$8="Yes",1&gt;=Projects!$C$8,1&lt;Projects!$C$8+Projects!$D$8),Projects!$B$8*(1-SUMPRODUCT((Curves!$B$4:$AO$4)*(COLUMN(Curves!$B$4:$AO$4)-COLUMN(Curves!$B$4)+1&lt;=1-Projects!$C$8+1))),0)</f>
        <v>0</v>
      </c>
      <c r="D11" s="289" t="n">
        <f aca="false">IF(AND(Projects!$G$8="Yes",Projects!$F$8="Yes",2&gt;=Projects!$C$8,2&lt;Projects!$C$8+Projects!$D$8),Projects!$B$8*(1-SUMPRODUCT((Curves!$B$4:$AO$4)*(COLUMN(Curves!$B$4:$AO$4)-COLUMN(Curves!$B$4)+1&lt;=2-Projects!$C$8+1))),0)</f>
        <v>0</v>
      </c>
      <c r="E11" s="289" t="n">
        <f aca="false">IF(AND(Projects!$G$8="Yes",Projects!$F$8="Yes",3&gt;=Projects!$C$8,3&lt;Projects!$C$8+Projects!$D$8),Projects!$B$8*(1-SUMPRODUCT((Curves!$B$4:$AO$4)*(COLUMN(Curves!$B$4:$AO$4)-COLUMN(Curves!$B$4)+1&lt;=3-Projects!$C$8+1))),0)</f>
        <v>0</v>
      </c>
      <c r="F11" s="289" t="n">
        <f aca="false">IF(AND(Projects!$G$8="Yes",Projects!$F$8="Yes",4&gt;=Projects!$C$8,4&lt;Projects!$C$8+Projects!$D$8),Projects!$B$8*(1-SUMPRODUCT((Curves!$B$4:$AO$4)*(COLUMN(Curves!$B$4:$AO$4)-COLUMN(Curves!$B$4)+1&lt;=4-Projects!$C$8+1))),0)</f>
        <v>0</v>
      </c>
      <c r="G11" s="289" t="n">
        <f aca="false">IF(AND(Projects!$G$8="Yes",Projects!$F$8="Yes",5&gt;=Projects!$C$8,5&lt;Projects!$C$8+Projects!$D$8),Projects!$B$8*(1-SUMPRODUCT((Curves!$B$4:$AO$4)*(COLUMN(Curves!$B$4:$AO$4)-COLUMN(Curves!$B$4)+1&lt;=5-Projects!$C$8+1))),0)</f>
        <v>0</v>
      </c>
      <c r="H11" s="289" t="n">
        <f aca="false">IF(AND(Projects!$G$8="Yes",Projects!$F$8="Yes",6&gt;=Projects!$C$8,6&lt;Projects!$C$8+Projects!$D$8),Projects!$B$8*(1-SUMPRODUCT((Curves!$B$4:$AO$4)*(COLUMN(Curves!$B$4:$AO$4)-COLUMN(Curves!$B$4)+1&lt;=6-Projects!$C$8+1))),0)</f>
        <v>12649220.0904822</v>
      </c>
      <c r="I11" s="289" t="n">
        <f aca="false">IF(AND(Projects!$G$8="Yes",Projects!$F$8="Yes",7&gt;=Projects!$C$8,7&lt;Projects!$C$8+Projects!$D$8),Projects!$B$8*(1-SUMPRODUCT((Curves!$B$4:$AO$4)*(COLUMN(Curves!$B$4:$AO$4)-COLUMN(Curves!$B$4)+1&lt;=7-Projects!$C$8+1))),0)</f>
        <v>12223530.9933081</v>
      </c>
      <c r="J11" s="289" t="n">
        <f aca="false">IF(AND(Projects!$G$8="Yes",Projects!$F$8="Yes",8&gt;=Projects!$C$8,8&lt;Projects!$C$8+Projects!$D$8),Projects!$B$8*(1-SUMPRODUCT((Curves!$B$4:$AO$4)*(COLUMN(Curves!$B$4:$AO$4)-COLUMN(Curves!$B$4)+1&lt;=8-Projects!$C$8+1))),0)</f>
        <v>11710510.727302</v>
      </c>
      <c r="K11" s="289" t="n">
        <f aca="false">IF(AND(Projects!$G$8="Yes",Projects!$F$8="Yes",9&gt;=Projects!$C$8,9&lt;Projects!$C$8+Projects!$D$8),Projects!$B$8*(1-SUMPRODUCT((Curves!$B$4:$AO$4)*(COLUMN(Curves!$B$4:$AO$4)-COLUMN(Curves!$B$4)+1&lt;=9-Projects!$C$8+1))),0)</f>
        <v>11107443.5932694</v>
      </c>
      <c r="L11" s="289" t="n">
        <f aca="false">IF(AND(Projects!$G$8="Yes",Projects!$F$8="Yes",10&gt;=Projects!$C$8,10&lt;Projects!$C$8+Projects!$D$8),Projects!$B$8*(1-SUMPRODUCT((Curves!$B$4:$AO$4)*(COLUMN(Curves!$B$4:$AO$4)-COLUMN(Curves!$B$4)+1&lt;=10-Projects!$C$8+1))),0)</f>
        <v>10415940.8194405</v>
      </c>
      <c r="M11" s="289" t="n">
        <f aca="false">IF(AND(Projects!$G$8="Yes",Projects!$F$8="Yes",11&gt;=Projects!$C$8,11&lt;Projects!$C$8+Projects!$D$8),Projects!$B$8*(1-SUMPRODUCT((Curves!$B$4:$AO$4)*(COLUMN(Curves!$B$4:$AO$4)-COLUMN(Curves!$B$4)+1&lt;=11-Projects!$C$8+1))),0)</f>
        <v>9642525.2813924</v>
      </c>
      <c r="N11" s="289" t="n">
        <f aca="false">IF(AND(Projects!$G$8="Yes",Projects!$F$8="Yes",12&gt;=Projects!$C$8,12&lt;Projects!$C$8+Projects!$D$8),Projects!$B$8*(1-SUMPRODUCT((Curves!$B$4:$AO$4)*(COLUMN(Curves!$B$4:$AO$4)-COLUMN(Curves!$B$4)+1&lt;=12-Projects!$C$8+1))),0)</f>
        <v>8798748.44603355</v>
      </c>
      <c r="O11" s="289" t="n">
        <f aca="false">IF(AND(Projects!$G$8="Yes",Projects!$F$8="Yes",13&gt;=Projects!$C$8,13&lt;Projects!$C$8+Projects!$D$8),Projects!$B$8*(1-SUMPRODUCT((Curves!$B$4:$AO$4)*(COLUMN(Curves!$B$4:$AO$4)-COLUMN(Curves!$B$4)+1&lt;=13-Projects!$C$8+1))),0)</f>
        <v>7900826.54587435</v>
      </c>
      <c r="P11" s="289" t="n">
        <f aca="false">IF(AND(Projects!$G$8="Yes",Projects!$F$8="Yes",14&gt;=Projects!$C$8,14&lt;Projects!$C$8+Projects!$D$8),Projects!$B$8*(1-SUMPRODUCT((Curves!$B$4:$AO$4)*(COLUMN(Curves!$B$4:$AO$4)-COLUMN(Curves!$B$4)+1&lt;=14-Projects!$C$8+1))),0)</f>
        <v>6968757.00225575</v>
      </c>
      <c r="Q11" s="289" t="n">
        <f aca="false">IF(AND(Projects!$G$8="Yes",Projects!$F$8="Yes",15&gt;=Projects!$C$8,15&lt;Projects!$C$8+Projects!$D$8),Projects!$B$8*(1-SUMPRODUCT((Curves!$B$4:$AO$4)*(COLUMN(Curves!$B$4:$AO$4)-COLUMN(Curves!$B$4)+1&lt;=15-Projects!$C$8+1))),0)</f>
        <v>6025019.04774425</v>
      </c>
      <c r="R11" s="289" t="n">
        <f aca="false">IF(AND(Projects!$G$8="Yes",Projects!$F$8="Yes",16&gt;=Projects!$C$8,16&lt;Projects!$C$8+Projects!$D$8),Projects!$B$8*(1-SUMPRODUCT((Curves!$B$4:$AO$4)*(COLUMN(Curves!$B$4:$AO$4)-COLUMN(Curves!$B$4)+1&lt;=16-Projects!$C$8+1))),0)</f>
        <v>5092949.50412565</v>
      </c>
      <c r="S11" s="289" t="n">
        <f aca="false">IF(AND(Projects!$G$8="Yes",Projects!$F$8="Yes",17&gt;=Projects!$C$8,17&lt;Projects!$C$8+Projects!$D$8),Projects!$B$8*(1-SUMPRODUCT((Curves!$B$4:$AO$4)*(COLUMN(Curves!$B$4:$AO$4)-COLUMN(Curves!$B$4)+1&lt;=17-Projects!$C$8+1))),0)</f>
        <v>4195027.60396645</v>
      </c>
      <c r="T11" s="289" t="n">
        <f aca="false">IF(AND(Projects!$G$8="Yes",Projects!$F$8="Yes",18&gt;=Projects!$C$8,18&lt;Projects!$C$8+Projects!$D$8),Projects!$B$8*(1-SUMPRODUCT((Curves!$B$4:$AO$4)*(COLUMN(Curves!$B$4:$AO$4)-COLUMN(Curves!$B$4)+1&lt;=18-Projects!$C$8+1))),0)</f>
        <v>3351250.7686076</v>
      </c>
      <c r="U11" s="289" t="n">
        <f aca="false">IF(AND(Projects!$G$8="Yes",Projects!$F$8="Yes",19&gt;=Projects!$C$8,19&lt;Projects!$C$8+Projects!$D$8),Projects!$B$8*(1-SUMPRODUCT((Curves!$B$4:$AO$4)*(COLUMN(Curves!$B$4:$AO$4)-COLUMN(Curves!$B$4)+1&lt;=19-Projects!$C$8+1))),0)</f>
        <v>2577835.2305595</v>
      </c>
      <c r="V11" s="289" t="n">
        <f aca="false">IF(AND(Projects!$G$8="Yes",Projects!$F$8="Yes",20&gt;=Projects!$C$8,20&lt;Projects!$C$8+Projects!$D$8),Projects!$B$8*(1-SUMPRODUCT((Curves!$B$4:$AO$4)*(COLUMN(Curves!$B$4:$AO$4)-COLUMN(Curves!$B$4)+1&lt;=20-Projects!$C$8+1))),0)</f>
        <v>1886332.4567306</v>
      </c>
      <c r="W11" s="289" t="n">
        <f aca="false">IF(AND(Projects!$G$8="Yes",Projects!$F$8="Yes",21&gt;=Projects!$C$8,21&lt;Projects!$C$8+Projects!$D$8),Projects!$B$8*(1-SUMPRODUCT((Curves!$B$4:$AO$4)*(COLUMN(Curves!$B$4:$AO$4)-COLUMN(Curves!$B$4)+1&lt;=21-Projects!$C$8+1))),0)</f>
        <v>1283265.322698</v>
      </c>
      <c r="X11" s="289" t="n">
        <f aca="false">IF(AND(Projects!$G$8="Yes",Projects!$F$8="Yes",22&gt;=Projects!$C$8,22&lt;Projects!$C$8+Projects!$D$8),Projects!$B$8*(1-SUMPRODUCT((Curves!$B$4:$AO$4)*(COLUMN(Curves!$B$4:$AO$4)-COLUMN(Curves!$B$4)+1&lt;=22-Projects!$C$8+1))),0)</f>
        <v>770245.056691899</v>
      </c>
      <c r="Y11" s="289" t="n">
        <f aca="false">IF(AND(Projects!$G$8="Yes",Projects!$F$8="Yes",23&gt;=Projects!$C$8,23&lt;Projects!$C$8+Projects!$D$8),Projects!$B$8*(1-SUMPRODUCT((Curves!$B$4:$AO$4)*(COLUMN(Curves!$B$4:$AO$4)-COLUMN(Curves!$B$4)+1&lt;=23-Projects!$C$8+1))),0)</f>
        <v>344555.95951785</v>
      </c>
      <c r="Z11" s="289" t="n">
        <f aca="false">IF(AND(Projects!$G$8="Yes",Projects!$F$8="Yes",24&gt;=Projects!$C$8,24&lt;Projects!$C$8+Projects!$D$8),Projects!$B$8*(1-SUMPRODUCT((Curves!$B$4:$AO$4)*(COLUMN(Curves!$B$4:$AO$4)-COLUMN(Curves!$B$4)+1&lt;=24-Projects!$C$8+1))),0)</f>
        <v>0</v>
      </c>
      <c r="AA11" s="289" t="n">
        <f aca="false">IF(AND(Projects!$G$8="Yes",Projects!$F$8="Yes",25&gt;=Projects!$C$8,25&lt;Projects!$C$8+Projects!$D$8),Projects!$B$8*(1-SUMPRODUCT((Curves!$B$4:$AO$4)*(COLUMN(Curves!$B$4:$AO$4)-COLUMN(Curves!$B$4)+1&lt;=25-Projects!$C$8+1))),0)</f>
        <v>0</v>
      </c>
      <c r="AB11" s="289" t="n">
        <f aca="false">IF(AND(Projects!$G$8="Yes",Projects!$F$8="Yes",26&gt;=Projects!$C$8,26&lt;Projects!$C$8+Projects!$D$8),Projects!$B$8*(1-SUMPRODUCT((Curves!$B$4:$AO$4)*(COLUMN(Curves!$B$4:$AO$4)-COLUMN(Curves!$B$4)+1&lt;=26-Projects!$C$8+1))),0)</f>
        <v>0</v>
      </c>
      <c r="AC11" s="289" t="n">
        <f aca="false">IF(AND(Projects!$G$8="Yes",Projects!$F$8="Yes",27&gt;=Projects!$C$8,27&lt;Projects!$C$8+Projects!$D$8),Projects!$B$8*(1-SUMPRODUCT((Curves!$B$4:$AO$4)*(COLUMN(Curves!$B$4:$AO$4)-COLUMN(Curves!$B$4)+1&lt;=27-Projects!$C$8+1))),0)</f>
        <v>0</v>
      </c>
      <c r="AD11" s="289" t="n">
        <f aca="false">IF(AND(Projects!$G$8="Yes",Projects!$F$8="Yes",28&gt;=Projects!$C$8,28&lt;Projects!$C$8+Projects!$D$8),Projects!$B$8*(1-SUMPRODUCT((Curves!$B$4:$AO$4)*(COLUMN(Curves!$B$4:$AO$4)-COLUMN(Curves!$B$4)+1&lt;=28-Projects!$C$8+1))),0)</f>
        <v>0</v>
      </c>
      <c r="AE11" s="289" t="n">
        <f aca="false">IF(AND(Projects!$G$8="Yes",Projects!$F$8="Yes",29&gt;=Projects!$C$8,29&lt;Projects!$C$8+Projects!$D$8),Projects!$B$8*(1-SUMPRODUCT((Curves!$B$4:$AO$4)*(COLUMN(Curves!$B$4:$AO$4)-COLUMN(Curves!$B$4)+1&lt;=29-Projects!$C$8+1))),0)</f>
        <v>0</v>
      </c>
      <c r="AF11" s="289" t="n">
        <f aca="false">IF(AND(Projects!$G$8="Yes",Projects!$F$8="Yes",30&gt;=Projects!$C$8,30&lt;Projects!$C$8+Projects!$D$8),Projects!$B$8*(1-SUMPRODUCT((Curves!$B$4:$AO$4)*(COLUMN(Curves!$B$4:$AO$4)-COLUMN(Curves!$B$4)+1&lt;=30-Projects!$C$8+1))),0)</f>
        <v>0</v>
      </c>
      <c r="AG11" s="289" t="n">
        <f aca="false">IF(AND(Projects!$G$8="Yes",Projects!$F$8="Yes",31&gt;=Projects!$C$8,31&lt;Projects!$C$8+Projects!$D$8),Projects!$B$8*(1-SUMPRODUCT((Curves!$B$4:$AO$4)*(COLUMN(Curves!$B$4:$AO$4)-COLUMN(Curves!$B$4)+1&lt;=31-Projects!$C$8+1))),0)</f>
        <v>0</v>
      </c>
      <c r="AH11" s="289" t="n">
        <f aca="false">IF(AND(Projects!$G$8="Yes",Projects!$F$8="Yes",32&gt;=Projects!$C$8,32&lt;Projects!$C$8+Projects!$D$8),Projects!$B$8*(1-SUMPRODUCT((Curves!$B$4:$AO$4)*(COLUMN(Curves!$B$4:$AO$4)-COLUMN(Curves!$B$4)+1&lt;=32-Projects!$C$8+1))),0)</f>
        <v>0</v>
      </c>
      <c r="AI11" s="289" t="n">
        <f aca="false">IF(AND(Projects!$G$8="Yes",Projects!$F$8="Yes",33&gt;=Projects!$C$8,33&lt;Projects!$C$8+Projects!$D$8),Projects!$B$8*(1-SUMPRODUCT((Curves!$B$4:$AO$4)*(COLUMN(Curves!$B$4:$AO$4)-COLUMN(Curves!$B$4)+1&lt;=33-Projects!$C$8+1))),0)</f>
        <v>0</v>
      </c>
      <c r="AJ11" s="289" t="n">
        <f aca="false">IF(AND(Projects!$G$8="Yes",Projects!$F$8="Yes",34&gt;=Projects!$C$8,34&lt;Projects!$C$8+Projects!$D$8),Projects!$B$8*(1-SUMPRODUCT((Curves!$B$4:$AO$4)*(COLUMN(Curves!$B$4:$AO$4)-COLUMN(Curves!$B$4)+1&lt;=34-Projects!$C$8+1))),0)</f>
        <v>0</v>
      </c>
      <c r="AK11" s="289" t="n">
        <f aca="false">IF(AND(Projects!$G$8="Yes",Projects!$F$8="Yes",35&gt;=Projects!$C$8,35&lt;Projects!$C$8+Projects!$D$8),Projects!$B$8*(1-SUMPRODUCT((Curves!$B$4:$AO$4)*(COLUMN(Curves!$B$4:$AO$4)-COLUMN(Curves!$B$4)+1&lt;=35-Projects!$C$8+1))),0)</f>
        <v>0</v>
      </c>
      <c r="AL11" s="289" t="n">
        <f aca="false">IF(AND(Projects!$G$8="Yes",Projects!$F$8="Yes",36&gt;=Projects!$C$8,36&lt;Projects!$C$8+Projects!$D$8),Projects!$B$8*(1-SUMPRODUCT((Curves!$B$4:$AO$4)*(COLUMN(Curves!$B$4:$AO$4)-COLUMN(Curves!$B$4)+1&lt;=36-Projects!$C$8+1))),0)</f>
        <v>0</v>
      </c>
      <c r="AM11" s="289" t="n">
        <f aca="false">IF(AND(Projects!$G$8="Yes",Projects!$F$8="Yes",37&gt;=Projects!$C$8,37&lt;Projects!$C$8+Projects!$D$8),Projects!$B$8*(1-SUMPRODUCT((Curves!$B$4:$AO$4)*(COLUMN(Curves!$B$4:$AO$4)-COLUMN(Curves!$B$4)+1&lt;=37-Projects!$C$8+1))),0)</f>
        <v>0</v>
      </c>
      <c r="AN11" s="289" t="n">
        <f aca="false">IF(AND(Projects!$G$8="Yes",Projects!$F$8="Yes",38&gt;=Projects!$C$8,38&lt;Projects!$C$8+Projects!$D$8),Projects!$B$8*(1-SUMPRODUCT((Curves!$B$4:$AO$4)*(COLUMN(Curves!$B$4:$AO$4)-COLUMN(Curves!$B$4)+1&lt;=38-Projects!$C$8+1))),0)</f>
        <v>0</v>
      </c>
      <c r="AO11" s="289" t="n">
        <f aca="false">IF(AND(Projects!$G$8="Yes",Projects!$F$8="Yes",39&gt;=Projects!$C$8,39&lt;Projects!$C$8+Projects!$D$8),Projects!$B$8*(1-SUMPRODUCT((Curves!$B$4:$AO$4)*(COLUMN(Curves!$B$4:$AO$4)-COLUMN(Curves!$B$4)+1&lt;=39-Projects!$C$8+1))),0)</f>
        <v>0</v>
      </c>
      <c r="AP11" s="289" t="n">
        <f aca="false">IF(AND(Projects!$G$8="Yes",Projects!$F$8="Yes",40&gt;=Projects!$C$8,40&lt;Projects!$C$8+Projects!$D$8),Projects!$B$8*(1-SUMPRODUCT((Curves!$B$4:$AO$4)*(COLUMN(Curves!$B$4:$AO$4)-COLUMN(Curves!$B$4)+1&lt;=40-Projects!$C$8+1))),0)</f>
        <v>0</v>
      </c>
      <c r="AQ11" s="289" t="n">
        <f aca="false">IF(AND(Projects!$G$8="Yes",Projects!$F$8="Yes",41&gt;=Projects!$C$8,41&lt;Projects!$C$8+Projects!$D$8),Projects!$B$8*(1-SUMPRODUCT((Curves!$B$4:$AO$4)*(COLUMN(Curves!$B$4:$AO$4)-COLUMN(Curves!$B$4)+1&lt;=41-Projects!$C$8+1))),0)</f>
        <v>0</v>
      </c>
      <c r="AR11" s="289" t="n">
        <f aca="false">IF(AND(Projects!$G$8="Yes",Projects!$F$8="Yes",42&gt;=Projects!$C$8,42&lt;Projects!$C$8+Projects!$D$8),Projects!$B$8*(1-SUMPRODUCT((Curves!$B$4:$AO$4)*(COLUMN(Curves!$B$4:$AO$4)-COLUMN(Curves!$B$4)+1&lt;=42-Projects!$C$8+1))),0)</f>
        <v>0</v>
      </c>
      <c r="AS11" s="289" t="n">
        <f aca="false">IF(AND(Projects!$G$8="Yes",Projects!$F$8="Yes",43&gt;=Projects!$C$8,43&lt;Projects!$C$8+Projects!$D$8),Projects!$B$8*(1-SUMPRODUCT((Curves!$B$4:$AO$4)*(COLUMN(Curves!$B$4:$AO$4)-COLUMN(Curves!$B$4)+1&lt;=43-Projects!$C$8+1))),0)</f>
        <v>0</v>
      </c>
      <c r="AT11" s="289" t="n">
        <f aca="false">IF(AND(Projects!$G$8="Yes",Projects!$F$8="Yes",44&gt;=Projects!$C$8,44&lt;Projects!$C$8+Projects!$D$8),Projects!$B$8*(1-SUMPRODUCT((Curves!$B$4:$AO$4)*(COLUMN(Curves!$B$4:$AO$4)-COLUMN(Curves!$B$4)+1&lt;=44-Projects!$C$8+1))),0)</f>
        <v>0</v>
      </c>
      <c r="AU11" s="289" t="n">
        <f aca="false">IF(AND(Projects!$G$8="Yes",Projects!$F$8="Yes",45&gt;=Projects!$C$8,45&lt;Projects!$C$8+Projects!$D$8),Projects!$B$8*(1-SUMPRODUCT((Curves!$B$4:$AO$4)*(COLUMN(Curves!$B$4:$AO$4)-COLUMN(Curves!$B$4)+1&lt;=45-Projects!$C$8+1))),0)</f>
        <v>0</v>
      </c>
      <c r="AV11" s="289" t="n">
        <f aca="false">IF(AND(Projects!$G$8="Yes",Projects!$F$8="Yes",46&gt;=Projects!$C$8,46&lt;Projects!$C$8+Projects!$D$8),Projects!$B$8*(1-SUMPRODUCT((Curves!$B$4:$AO$4)*(COLUMN(Curves!$B$4:$AO$4)-COLUMN(Curves!$B$4)+1&lt;=46-Projects!$C$8+1))),0)</f>
        <v>0</v>
      </c>
      <c r="AW11" s="289" t="n">
        <f aca="false">IF(AND(Projects!$G$8="Yes",Projects!$F$8="Yes",47&gt;=Projects!$C$8,47&lt;Projects!$C$8+Projects!$D$8),Projects!$B$8*(1-SUMPRODUCT((Curves!$B$4:$AO$4)*(COLUMN(Curves!$B$4:$AO$4)-COLUMN(Curves!$B$4)+1&lt;=47-Projects!$C$8+1))),0)</f>
        <v>0</v>
      </c>
      <c r="AX11" s="289" t="n">
        <f aca="false">IF(AND(Projects!$G$8="Yes",Projects!$F$8="Yes",48&gt;=Projects!$C$8,48&lt;Projects!$C$8+Projects!$D$8),Projects!$B$8*(1-SUMPRODUCT((Curves!$B$4:$AO$4)*(COLUMN(Curves!$B$4:$AO$4)-COLUMN(Curves!$B$4)+1&lt;=48-Projects!$C$8+1))),0)</f>
        <v>0</v>
      </c>
      <c r="AY11" s="289" t="n">
        <f aca="false">IF(AND(Projects!$G$8="Yes",Projects!$F$8="Yes",49&gt;=Projects!$C$8,49&lt;Projects!$C$8+Projects!$D$8),Projects!$B$8*(1-SUMPRODUCT((Curves!$B$4:$AO$4)*(COLUMN(Curves!$B$4:$AO$4)-COLUMN(Curves!$B$4)+1&lt;=49-Projects!$C$8+1))),0)</f>
        <v>0</v>
      </c>
      <c r="AZ11" s="289" t="n">
        <f aca="false">IF(AND(Projects!$G$8="Yes",Projects!$F$8="Yes",50&gt;=Projects!$C$8,50&lt;Projects!$C$8+Projects!$D$8),Projects!$B$8*(1-SUMPRODUCT((Curves!$B$4:$AO$4)*(COLUMN(Curves!$B$4:$AO$4)-COLUMN(Curves!$B$4)+1&lt;=50-Projects!$C$8+1))),0)</f>
        <v>0</v>
      </c>
      <c r="BA11" s="289" t="n">
        <f aca="false">IF(AND(Projects!$G$8="Yes",Projects!$F$8="Yes",51&gt;=Projects!$C$8,51&lt;Projects!$C$8+Projects!$D$8),Projects!$B$8*(1-SUMPRODUCT((Curves!$B$4:$AO$4)*(COLUMN(Curves!$B$4:$AO$4)-COLUMN(Curves!$B$4)+1&lt;=51-Projects!$C$8+1))),0)</f>
        <v>0</v>
      </c>
      <c r="BB11" s="289" t="n">
        <f aca="false">IF(AND(Projects!$G$8="Yes",Projects!$F$8="Yes",52&gt;=Projects!$C$8,52&lt;Projects!$C$8+Projects!$D$8),Projects!$B$8*(1-SUMPRODUCT((Curves!$B$4:$AO$4)*(COLUMN(Curves!$B$4:$AO$4)-COLUMN(Curves!$B$4)+1&lt;=52-Projects!$C$8+1))),0)</f>
        <v>0</v>
      </c>
      <c r="BC11" s="289" t="n">
        <f aca="false">IF(AND(Projects!$G$8="Yes",Projects!$F$8="Yes",53&gt;=Projects!$C$8,53&lt;Projects!$C$8+Projects!$D$8),Projects!$B$8*(1-SUMPRODUCT((Curves!$B$4:$AO$4)*(COLUMN(Curves!$B$4:$AO$4)-COLUMN(Curves!$B$4)+1&lt;=53-Projects!$C$8+1))),0)</f>
        <v>0</v>
      </c>
      <c r="BD11" s="289" t="n">
        <f aca="false">IF(AND(Projects!$G$8="Yes",Projects!$F$8="Yes",54&gt;=Projects!$C$8,54&lt;Projects!$C$8+Projects!$D$8),Projects!$B$8*(1-SUMPRODUCT((Curves!$B$4:$AO$4)*(COLUMN(Curves!$B$4:$AO$4)-COLUMN(Curves!$B$4)+1&lt;=54-Projects!$C$8+1))),0)</f>
        <v>0</v>
      </c>
      <c r="BE11" s="289" t="n">
        <f aca="false">IF(AND(Projects!$G$8="Yes",Projects!$F$8="Yes",55&gt;=Projects!$C$8,55&lt;Projects!$C$8+Projects!$D$8),Projects!$B$8*(1-SUMPRODUCT((Curves!$B$4:$AO$4)*(COLUMN(Curves!$B$4:$AO$4)-COLUMN(Curves!$B$4)+1&lt;=55-Projects!$C$8+1))),0)</f>
        <v>0</v>
      </c>
      <c r="BF11" s="289" t="n">
        <f aca="false">IF(AND(Projects!$G$8="Yes",Projects!$F$8="Yes",56&gt;=Projects!$C$8,56&lt;Projects!$C$8+Projects!$D$8),Projects!$B$8*(1-SUMPRODUCT((Curves!$B$4:$AO$4)*(COLUMN(Curves!$B$4:$AO$4)-COLUMN(Curves!$B$4)+1&lt;=56-Projects!$C$8+1))),0)</f>
        <v>0</v>
      </c>
      <c r="BG11" s="289" t="n">
        <f aca="false">IF(AND(Projects!$G$8="Yes",Projects!$F$8="Yes",57&gt;=Projects!$C$8,57&lt;Projects!$C$8+Projects!$D$8),Projects!$B$8*(1-SUMPRODUCT((Curves!$B$4:$AO$4)*(COLUMN(Curves!$B$4:$AO$4)-COLUMN(Curves!$B$4)+1&lt;=57-Projects!$C$8+1))),0)</f>
        <v>0</v>
      </c>
      <c r="BH11" s="289" t="n">
        <f aca="false">IF(AND(Projects!$G$8="Yes",Projects!$F$8="Yes",58&gt;=Projects!$C$8,58&lt;Projects!$C$8+Projects!$D$8),Projects!$B$8*(1-SUMPRODUCT((Curves!$B$4:$AO$4)*(COLUMN(Curves!$B$4:$AO$4)-COLUMN(Curves!$B$4)+1&lt;=58-Projects!$C$8+1))),0)</f>
        <v>0</v>
      </c>
      <c r="BI11" s="289" t="n">
        <f aca="false">IF(AND(Projects!$G$8="Yes",Projects!$F$8="Yes",59&gt;=Projects!$C$8,59&lt;Projects!$C$8+Projects!$D$8),Projects!$B$8*(1-SUMPRODUCT((Curves!$B$4:$AO$4)*(COLUMN(Curves!$B$4:$AO$4)-COLUMN(Curves!$B$4)+1&lt;=59-Projects!$C$8+1))),0)</f>
        <v>0</v>
      </c>
      <c r="BJ11" s="289" t="n">
        <f aca="false">IF(AND(Projects!$G$8="Yes",Projects!$F$8="Yes",60&gt;=Projects!$C$8,60&lt;Projects!$C$8+Projects!$D$8),Projects!$B$8*(1-SUMPRODUCT((Curves!$B$4:$AO$4)*(COLUMN(Curves!$B$4:$AO$4)-COLUMN(Curves!$B$4)+1&lt;=60-Projects!$C$8+1))),0)</f>
        <v>0</v>
      </c>
      <c r="BK11" s="289" t="n">
        <f aca="false">IF(AND(Projects!$G$8="Yes",Projects!$F$8="Yes",61&gt;=Projects!$C$8,61&lt;Projects!$C$8+Projects!$D$8),Projects!$B$8*(1-SUMPRODUCT((Curves!$B$4:$AO$4)*(COLUMN(Curves!$B$4:$AO$4)-COLUMN(Curves!$B$4)+1&lt;=61-Projects!$C$8+1))),0)</f>
        <v>0</v>
      </c>
      <c r="BL11" s="289" t="n">
        <f aca="false">IF(AND(Projects!$G$8="Yes",Projects!$F$8="Yes",62&gt;=Projects!$C$8,62&lt;Projects!$C$8+Projects!$D$8),Projects!$B$8*(1-SUMPRODUCT((Curves!$B$4:$AO$4)*(COLUMN(Curves!$B$4:$AO$4)-COLUMN(Curves!$B$4)+1&lt;=62-Projects!$C$8+1))),0)</f>
        <v>0</v>
      </c>
      <c r="BM11" s="289" t="n">
        <f aca="false">IF(AND(Projects!$G$8="Yes",Projects!$F$8="Yes",63&gt;=Projects!$C$8,63&lt;Projects!$C$8+Projects!$D$8),Projects!$B$8*(1-SUMPRODUCT((Curves!$B$4:$AO$4)*(COLUMN(Curves!$B$4:$AO$4)-COLUMN(Curves!$B$4)+1&lt;=63-Projects!$C$8+1))),0)</f>
        <v>0</v>
      </c>
      <c r="BN11" s="289" t="n">
        <f aca="false">IF(AND(Projects!$G$8="Yes",Projects!$F$8="Yes",64&gt;=Projects!$C$8,64&lt;Projects!$C$8+Projects!$D$8),Projects!$B$8*(1-SUMPRODUCT((Curves!$B$4:$AO$4)*(COLUMN(Curves!$B$4:$AO$4)-COLUMN(Curves!$B$4)+1&lt;=64-Projects!$C$8+1))),0)</f>
        <v>0</v>
      </c>
      <c r="BO11" s="289" t="n">
        <f aca="false">IF(AND(Projects!$G$8="Yes",Projects!$F$8="Yes",65&gt;=Projects!$C$8,65&lt;Projects!$C$8+Projects!$D$8),Projects!$B$8*(1-SUMPRODUCT((Curves!$B$4:$AO$4)*(COLUMN(Curves!$B$4:$AO$4)-COLUMN(Curves!$B$4)+1&lt;=65-Projects!$C$8+1))),0)</f>
        <v>0</v>
      </c>
      <c r="BP11" s="289" t="n">
        <f aca="false">IF(AND(Projects!$G$8="Yes",Projects!$F$8="Yes",66&gt;=Projects!$C$8,66&lt;Projects!$C$8+Projects!$D$8),Projects!$B$8*(1-SUMPRODUCT((Curves!$B$4:$AO$4)*(COLUMN(Curves!$B$4:$AO$4)-COLUMN(Curves!$B$4)+1&lt;=66-Projects!$C$8+1))),0)</f>
        <v>0</v>
      </c>
      <c r="BQ11" s="289" t="n">
        <f aca="false">IF(AND(Projects!$G$8="Yes",Projects!$F$8="Yes",67&gt;=Projects!$C$8,67&lt;Projects!$C$8+Projects!$D$8),Projects!$B$8*(1-SUMPRODUCT((Curves!$B$4:$AO$4)*(COLUMN(Curves!$B$4:$AO$4)-COLUMN(Curves!$B$4)+1&lt;=67-Projects!$C$8+1))),0)</f>
        <v>0</v>
      </c>
      <c r="BR11" s="289" t="n">
        <f aca="false">IF(AND(Projects!$G$8="Yes",Projects!$F$8="Yes",68&gt;=Projects!$C$8,68&lt;Projects!$C$8+Projects!$D$8),Projects!$B$8*(1-SUMPRODUCT((Curves!$B$4:$AO$4)*(COLUMN(Curves!$B$4:$AO$4)-COLUMN(Curves!$B$4)+1&lt;=68-Projects!$C$8+1))),0)</f>
        <v>0</v>
      </c>
      <c r="BS11" s="289" t="n">
        <f aca="false">IF(AND(Projects!$G$8="Yes",Projects!$F$8="Yes",69&gt;=Projects!$C$8,69&lt;Projects!$C$8+Projects!$D$8),Projects!$B$8*(1-SUMPRODUCT((Curves!$B$4:$AO$4)*(COLUMN(Curves!$B$4:$AO$4)-COLUMN(Curves!$B$4)+1&lt;=69-Projects!$C$8+1))),0)</f>
        <v>0</v>
      </c>
      <c r="BT11" s="289" t="n">
        <f aca="false">IF(AND(Projects!$G$8="Yes",Projects!$F$8="Yes",70&gt;=Projects!$C$8,70&lt;Projects!$C$8+Projects!$D$8),Projects!$B$8*(1-SUMPRODUCT((Curves!$B$4:$AO$4)*(COLUMN(Curves!$B$4:$AO$4)-COLUMN(Curves!$B$4)+1&lt;=70-Projects!$C$8+1))),0)</f>
        <v>0</v>
      </c>
      <c r="BU11" s="289" t="n">
        <f aca="false">IF(AND(Projects!$G$8="Yes",Projects!$F$8="Yes",71&gt;=Projects!$C$8,71&lt;Projects!$C$8+Projects!$D$8),Projects!$B$8*(1-SUMPRODUCT((Curves!$B$4:$AO$4)*(COLUMN(Curves!$B$4:$AO$4)-COLUMN(Curves!$B$4)+1&lt;=71-Projects!$C$8+1))),0)</f>
        <v>0</v>
      </c>
      <c r="BV11" s="289" t="n">
        <f aca="false">IF(AND(Projects!$G$8="Yes",Projects!$F$8="Yes",72&gt;=Projects!$C$8,72&lt;Projects!$C$8+Projects!$D$8),Projects!$B$8*(1-SUMPRODUCT((Curves!$B$4:$AO$4)*(COLUMN(Curves!$B$4:$AO$4)-COLUMN(Curves!$B$4)+1&lt;=72-Projects!$C$8+1))),0)</f>
        <v>0</v>
      </c>
      <c r="BW11" s="289" t="n">
        <f aca="false">IF(AND(Projects!$G$8="Yes",Projects!$F$8="Yes",73&gt;=Projects!$C$8,73&lt;Projects!$C$8+Projects!$D$8),Projects!$B$8*(1-SUMPRODUCT((Curves!$B$4:$AO$4)*(COLUMN(Curves!$B$4:$AO$4)-COLUMN(Curves!$B$4)+1&lt;=73-Projects!$C$8+1))),0)</f>
        <v>0</v>
      </c>
      <c r="BX11" s="289" t="n">
        <f aca="false">IF(AND(Projects!$G$8="Yes",Projects!$F$8="Yes",74&gt;=Projects!$C$8,74&lt;Projects!$C$8+Projects!$D$8),Projects!$B$8*(1-SUMPRODUCT((Curves!$B$4:$AO$4)*(COLUMN(Curves!$B$4:$AO$4)-COLUMN(Curves!$B$4)+1&lt;=74-Projects!$C$8+1))),0)</f>
        <v>0</v>
      </c>
      <c r="BY11" s="289" t="n">
        <f aca="false">IF(AND(Projects!$G$8="Yes",Projects!$F$8="Yes",75&gt;=Projects!$C$8,75&lt;Projects!$C$8+Projects!$D$8),Projects!$B$8*(1-SUMPRODUCT((Curves!$B$4:$AO$4)*(COLUMN(Curves!$B$4:$AO$4)-COLUMN(Curves!$B$4)+1&lt;=75-Projects!$C$8+1))),0)</f>
        <v>0</v>
      </c>
      <c r="BZ11" s="289" t="n">
        <f aca="false">IF(AND(Projects!$G$8="Yes",Projects!$F$8="Yes",76&gt;=Projects!$C$8,76&lt;Projects!$C$8+Projects!$D$8),Projects!$B$8*(1-SUMPRODUCT((Curves!$B$4:$AO$4)*(COLUMN(Curves!$B$4:$AO$4)-COLUMN(Curves!$B$4)+1&lt;=76-Projects!$C$8+1))),0)</f>
        <v>0</v>
      </c>
      <c r="CA11" s="289" t="n">
        <f aca="false">IF(AND(Projects!$G$8="Yes",Projects!$F$8="Yes",77&gt;=Projects!$C$8,77&lt;Projects!$C$8+Projects!$D$8),Projects!$B$8*(1-SUMPRODUCT((Curves!$B$4:$AO$4)*(COLUMN(Curves!$B$4:$AO$4)-COLUMN(Curves!$B$4)+1&lt;=77-Projects!$C$8+1))),0)</f>
        <v>0</v>
      </c>
      <c r="CB11" s="289" t="n">
        <f aca="false">IF(AND(Projects!$G$8="Yes",Projects!$F$8="Yes",78&gt;=Projects!$C$8,78&lt;Projects!$C$8+Projects!$D$8),Projects!$B$8*(1-SUMPRODUCT((Curves!$B$4:$AO$4)*(COLUMN(Curves!$B$4:$AO$4)-COLUMN(Curves!$B$4)+1&lt;=78-Projects!$C$8+1))),0)</f>
        <v>0</v>
      </c>
      <c r="CC11" s="289" t="n">
        <f aca="false">IF(AND(Projects!$G$8="Yes",Projects!$F$8="Yes",79&gt;=Projects!$C$8,79&lt;Projects!$C$8+Projects!$D$8),Projects!$B$8*(1-SUMPRODUCT((Curves!$B$4:$AO$4)*(COLUMN(Curves!$B$4:$AO$4)-COLUMN(Curves!$B$4)+1&lt;=79-Projects!$C$8+1))),0)</f>
        <v>0</v>
      </c>
      <c r="CD11" s="289" t="n">
        <f aca="false">IF(AND(Projects!$G$8="Yes",Projects!$F$8="Yes",80&gt;=Projects!$C$8,80&lt;Projects!$C$8+Projects!$D$8),Projects!$B$8*(1-SUMPRODUCT((Curves!$B$4:$AO$4)*(COLUMN(Curves!$B$4:$AO$4)-COLUMN(Curves!$B$4)+1&lt;=80-Projects!$C$8+1))),0)</f>
        <v>0</v>
      </c>
      <c r="CE11" s="289" t="n">
        <f aca="false">IF(AND(Projects!$G$8="Yes",Projects!$F$8="Yes",81&gt;=Projects!$C$8,81&lt;Projects!$C$8+Projects!$D$8),Projects!$B$8*(1-SUMPRODUCT((Curves!$B$4:$AO$4)*(COLUMN(Curves!$B$4:$AO$4)-COLUMN(Curves!$B$4)+1&lt;=81-Projects!$C$8+1))),0)</f>
        <v>0</v>
      </c>
      <c r="CF11" s="289" t="n">
        <f aca="false">IF(AND(Projects!$G$8="Yes",Projects!$F$8="Yes",82&gt;=Projects!$C$8,82&lt;Projects!$C$8+Projects!$D$8),Projects!$B$8*(1-SUMPRODUCT((Curves!$B$4:$AO$4)*(COLUMN(Curves!$B$4:$AO$4)-COLUMN(Curves!$B$4)+1&lt;=82-Projects!$C$8+1))),0)</f>
        <v>0</v>
      </c>
      <c r="CG11" s="289" t="n">
        <f aca="false">IF(AND(Projects!$G$8="Yes",Projects!$F$8="Yes",83&gt;=Projects!$C$8,83&lt;Projects!$C$8+Projects!$D$8),Projects!$B$8*(1-SUMPRODUCT((Curves!$B$4:$AO$4)*(COLUMN(Curves!$B$4:$AO$4)-COLUMN(Curves!$B$4)+1&lt;=83-Projects!$C$8+1))),0)</f>
        <v>0</v>
      </c>
      <c r="CH11" s="289" t="n">
        <f aca="false">IF(AND(Projects!$G$8="Yes",Projects!$F$8="Yes",84&gt;=Projects!$C$8,84&lt;Projects!$C$8+Projects!$D$8),Projects!$B$8*(1-SUMPRODUCT((Curves!$B$4:$AO$4)*(COLUMN(Curves!$B$4:$AO$4)-COLUMN(Curves!$B$4)+1&lt;=84-Projects!$C$8+1))),0)</f>
        <v>0</v>
      </c>
      <c r="CI11" s="289" t="n">
        <f aca="false">IF(AND(Projects!$G$8="Yes",Projects!$F$8="Yes",85&gt;=Projects!$C$8,85&lt;Projects!$C$8+Projects!$D$8),Projects!$B$8*(1-SUMPRODUCT((Curves!$B$4:$AO$4)*(COLUMN(Curves!$B$4:$AO$4)-COLUMN(Curves!$B$4)+1&lt;=85-Projects!$C$8+1))),0)</f>
        <v>0</v>
      </c>
      <c r="CJ11" s="289" t="n">
        <f aca="false">IF(AND(Projects!$G$8="Yes",Projects!$F$8="Yes",86&gt;=Projects!$C$8,86&lt;Projects!$C$8+Projects!$D$8),Projects!$B$8*(1-SUMPRODUCT((Curves!$B$4:$AO$4)*(COLUMN(Curves!$B$4:$AO$4)-COLUMN(Curves!$B$4)+1&lt;=86-Projects!$C$8+1))),0)</f>
        <v>0</v>
      </c>
      <c r="CK11" s="289" t="n">
        <f aca="false">IF(AND(Projects!$G$8="Yes",Projects!$F$8="Yes",87&gt;=Projects!$C$8,87&lt;Projects!$C$8+Projects!$D$8),Projects!$B$8*(1-SUMPRODUCT((Curves!$B$4:$AO$4)*(COLUMN(Curves!$B$4:$AO$4)-COLUMN(Curves!$B$4)+1&lt;=87-Projects!$C$8+1))),0)</f>
        <v>0</v>
      </c>
      <c r="CL11" s="289" t="n">
        <f aca="false">IF(AND(Projects!$G$8="Yes",Projects!$F$8="Yes",88&gt;=Projects!$C$8,88&lt;Projects!$C$8+Projects!$D$8),Projects!$B$8*(1-SUMPRODUCT((Curves!$B$4:$AO$4)*(COLUMN(Curves!$B$4:$AO$4)-COLUMN(Curves!$B$4)+1&lt;=88-Projects!$C$8+1))),0)</f>
        <v>0</v>
      </c>
      <c r="CM11" s="289" t="n">
        <f aca="false">IF(AND(Projects!$G$8="Yes",Projects!$F$8="Yes",89&gt;=Projects!$C$8,89&lt;Projects!$C$8+Projects!$D$8),Projects!$B$8*(1-SUMPRODUCT((Curves!$B$4:$AO$4)*(COLUMN(Curves!$B$4:$AO$4)-COLUMN(Curves!$B$4)+1&lt;=89-Projects!$C$8+1))),0)</f>
        <v>0</v>
      </c>
      <c r="CN11" s="289" t="n">
        <f aca="false">IF(AND(Projects!$G$8="Yes",Projects!$F$8="Yes",90&gt;=Projects!$C$8,90&lt;Projects!$C$8+Projects!$D$8),Projects!$B$8*(1-SUMPRODUCT((Curves!$B$4:$AO$4)*(COLUMN(Curves!$B$4:$AO$4)-COLUMN(Curves!$B$4)+1&lt;=90-Projects!$C$8+1))),0)</f>
        <v>0</v>
      </c>
      <c r="CO11" s="289" t="n">
        <f aca="false">IF(AND(Projects!$G$8="Yes",Projects!$F$8="Yes",91&gt;=Projects!$C$8,91&lt;Projects!$C$8+Projects!$D$8),Projects!$B$8*(1-SUMPRODUCT((Curves!$B$4:$AO$4)*(COLUMN(Curves!$B$4:$AO$4)-COLUMN(Curves!$B$4)+1&lt;=91-Projects!$C$8+1))),0)</f>
        <v>0</v>
      </c>
      <c r="CP11" s="289" t="n">
        <f aca="false">IF(AND(Projects!$G$8="Yes",Projects!$F$8="Yes",92&gt;=Projects!$C$8,92&lt;Projects!$C$8+Projects!$D$8),Projects!$B$8*(1-SUMPRODUCT((Curves!$B$4:$AO$4)*(COLUMN(Curves!$B$4:$AO$4)-COLUMN(Curves!$B$4)+1&lt;=92-Projects!$C$8+1))),0)</f>
        <v>0</v>
      </c>
      <c r="CQ11" s="289" t="n">
        <f aca="false">IF(AND(Projects!$G$8="Yes",Projects!$F$8="Yes",93&gt;=Projects!$C$8,93&lt;Projects!$C$8+Projects!$D$8),Projects!$B$8*(1-SUMPRODUCT((Curves!$B$4:$AO$4)*(COLUMN(Curves!$B$4:$AO$4)-COLUMN(Curves!$B$4)+1&lt;=93-Projects!$C$8+1))),0)</f>
        <v>0</v>
      </c>
    </row>
    <row r="12" customFormat="false" ht="15" hidden="false" customHeight="true" outlineLevel="0" collapsed="false">
      <c r="A12" s="177" t="s">
        <v>14</v>
      </c>
      <c r="C12" s="289" t="n">
        <f aca="false">IF(AND(Projects!$G$9="Yes",Projects!$F$9="Yes",1&gt;=Projects!$C$9,1&lt;Projects!$C$9+Projects!$D$9),Projects!$B$9*(1-SUMPRODUCT((Curves!$B$2:$AO$2)*(COLUMN(Curves!$B$2:$AO$2)-COLUMN(Curves!$B$2)+1&lt;=1-Projects!$C$9+1))),0)</f>
        <v>0</v>
      </c>
      <c r="D12" s="289" t="n">
        <f aca="false">IF(AND(Projects!$G$9="Yes",Projects!$F$9="Yes",2&gt;=Projects!$C$9,2&lt;Projects!$C$9+Projects!$D$9),Projects!$B$9*(1-SUMPRODUCT((Curves!$B$2:$AO$2)*(COLUMN(Curves!$B$2:$AO$2)-COLUMN(Curves!$B$2)+1&lt;=2-Projects!$C$9+1))),0)</f>
        <v>0</v>
      </c>
      <c r="E12" s="289" t="n">
        <f aca="false">IF(AND(Projects!$G$9="Yes",Projects!$F$9="Yes",3&gt;=Projects!$C$9,3&lt;Projects!$C$9+Projects!$D$9),Projects!$B$9*(1-SUMPRODUCT((Curves!$B$2:$AO$2)*(COLUMN(Curves!$B$2:$AO$2)-COLUMN(Curves!$B$2)+1&lt;=3-Projects!$C$9+1))),0)</f>
        <v>0</v>
      </c>
      <c r="F12" s="289" t="n">
        <f aca="false">IF(AND(Projects!$G$9="Yes",Projects!$F$9="Yes",4&gt;=Projects!$C$9,4&lt;Projects!$C$9+Projects!$D$9),Projects!$B$9*(1-SUMPRODUCT((Curves!$B$2:$AO$2)*(COLUMN(Curves!$B$2:$AO$2)-COLUMN(Curves!$B$2)+1&lt;=4-Projects!$C$9+1))),0)</f>
        <v>0</v>
      </c>
      <c r="G12" s="289" t="n">
        <f aca="false">IF(AND(Projects!$G$9="Yes",Projects!$F$9="Yes",5&gt;=Projects!$C$9,5&lt;Projects!$C$9+Projects!$D$9),Projects!$B$9*(1-SUMPRODUCT((Curves!$B$2:$AO$2)*(COLUMN(Curves!$B$2:$AO$2)-COLUMN(Curves!$B$2)+1&lt;=5-Projects!$C$9+1))),0)</f>
        <v>14106170.5891092</v>
      </c>
      <c r="H12" s="289" t="n">
        <f aca="false">IF(AND(Projects!$G$9="Yes",Projects!$F$9="Yes",6&gt;=Projects!$C$9,6&lt;Projects!$C$9+Projects!$D$9),Projects!$B$9*(1-SUMPRODUCT((Curves!$B$2:$AO$2)*(COLUMN(Curves!$B$2:$AO$2)-COLUMN(Curves!$B$2)+1&lt;=6-Projects!$C$9+1))),0)</f>
        <v>13840677.8231148</v>
      </c>
      <c r="I12" s="289" t="n">
        <f aca="false">IF(AND(Projects!$G$9="Yes",Projects!$F$9="Yes",7&gt;=Projects!$C$9,7&lt;Projects!$C$9+Projects!$D$9),Projects!$B$9*(1-SUMPRODUCT((Curves!$B$2:$AO$2)*(COLUMN(Curves!$B$2:$AO$2)-COLUMN(Curves!$B$2)+1&lt;=7-Projects!$C$9+1))),0)</f>
        <v>13538353.2763752</v>
      </c>
      <c r="J12" s="289" t="n">
        <f aca="false">IF(AND(Projects!$G$9="Yes",Projects!$F$9="Yes",8&gt;=Projects!$C$9,8&lt;Projects!$C$9+Projects!$D$9),Projects!$B$9*(1-SUMPRODUCT((Curves!$B$2:$AO$2)*(COLUMN(Curves!$B$2:$AO$2)-COLUMN(Curves!$B$2)+1&lt;=8-Projects!$C$9+1))),0)</f>
        <v>13197519.5186268</v>
      </c>
      <c r="K12" s="289" t="n">
        <f aca="false">IF(AND(Projects!$G$9="Yes",Projects!$F$9="Yes",9&gt;=Projects!$C$9,9&lt;Projects!$C$9+Projects!$D$9),Projects!$B$9*(1-SUMPRODUCT((Curves!$B$2:$AO$2)*(COLUMN(Curves!$B$2:$AO$2)-COLUMN(Curves!$B$2)+1&lt;=9-Projects!$C$9+1))),0)</f>
        <v>12817086.9370488</v>
      </c>
      <c r="L12" s="289" t="n">
        <f aca="false">IF(AND(Projects!$G$9="Yes",Projects!$F$9="Yes",10&gt;=Projects!$C$9,10&lt;Projects!$C$9+Projects!$D$9),Projects!$B$9*(1-SUMPRODUCT((Curves!$B$2:$AO$2)*(COLUMN(Curves!$B$2:$AO$2)-COLUMN(Curves!$B$2)+1&lt;=10-Projects!$C$9+1))),0)</f>
        <v>12396682.7693604</v>
      </c>
      <c r="M12" s="289" t="n">
        <f aca="false">IF(AND(Projects!$G$9="Yes",Projects!$F$9="Yes",11&gt;=Projects!$C$9,11&lt;Projects!$C$9+Projects!$D$9),Projects!$B$9*(1-SUMPRODUCT((Curves!$B$2:$AO$2)*(COLUMN(Curves!$B$2:$AO$2)-COLUMN(Curves!$B$2)+1&lt;=11-Projects!$C$9+1))),0)</f>
        <v>11936722.7888748</v>
      </c>
      <c r="N12" s="289" t="n">
        <f aca="false">IF(AND(Projects!$G$9="Yes",Projects!$F$9="Yes",12&gt;=Projects!$C$9,12&lt;Projects!$C$9+Projects!$D$9),Projects!$B$9*(1-SUMPRODUCT((Curves!$B$2:$AO$2)*(COLUMN(Curves!$B$2:$AO$2)-COLUMN(Curves!$B$2)+1&lt;=12-Projects!$C$9+1))),0)</f>
        <v>11438482.9895532</v>
      </c>
      <c r="O12" s="289" t="n">
        <f aca="false">IF(AND(Projects!$G$9="Yes",Projects!$F$9="Yes",13&gt;=Projects!$C$9,13&lt;Projects!$C$9+Projects!$D$9),Projects!$B$9*(1-SUMPRODUCT((Curves!$B$2:$AO$2)*(COLUMN(Curves!$B$2:$AO$2)-COLUMN(Curves!$B$2)+1&lt;=13-Projects!$C$9+1))),0)</f>
        <v>10904156.934048</v>
      </c>
      <c r="P12" s="289" t="n">
        <f aca="false">IF(AND(Projects!$G$9="Yes",Projects!$F$9="Yes",14&gt;=Projects!$C$9,14&lt;Projects!$C$9+Projects!$D$9),Projects!$B$9*(1-SUMPRODUCT((Curves!$B$2:$AO$2)*(COLUMN(Curves!$B$2:$AO$2)-COLUMN(Curves!$B$2)+1&lt;=14-Projects!$C$9+1))),0)</f>
        <v>10336812.7426704</v>
      </c>
      <c r="Q12" s="289" t="n">
        <f aca="false">IF(AND(Projects!$G$9="Yes",Projects!$F$9="Yes",15&gt;=Projects!$C$9,15&lt;Projects!$C$9+Projects!$D$9),Projects!$B$9*(1-SUMPRODUCT((Curves!$B$2:$AO$2)*(COLUMN(Curves!$B$2:$AO$2)-COLUMN(Curves!$B$2)+1&lt;=15-Projects!$C$9+1))),0)</f>
        <v>9740407.4304012</v>
      </c>
      <c r="R12" s="289" t="n">
        <f aca="false">IF(AND(Projects!$G$9="Yes",Projects!$F$9="Yes",16&gt;=Projects!$C$9,16&lt;Projects!$C$9+Projects!$D$9),Projects!$B$9*(1-SUMPRODUCT((Curves!$B$2:$AO$2)*(COLUMN(Curves!$B$2:$AO$2)-COLUMN(Curves!$B$2)+1&lt;=16-Projects!$C$9+1))),0)</f>
        <v>9119686.5478152</v>
      </c>
      <c r="S12" s="289" t="n">
        <f aca="false">IF(AND(Projects!$G$9="Yes",Projects!$F$9="Yes",17&gt;=Projects!$C$9,17&lt;Projects!$C$9+Projects!$D$9),Projects!$B$9*(1-SUMPRODUCT((Curves!$B$2:$AO$2)*(COLUMN(Curves!$B$2:$AO$2)-COLUMN(Curves!$B$2)+1&lt;=17-Projects!$C$9+1))),0)</f>
        <v>8480069.4849948</v>
      </c>
      <c r="T12" s="289" t="n">
        <f aca="false">IF(AND(Projects!$G$9="Yes",Projects!$F$9="Yes",18&gt;=Projects!$C$9,18&lt;Projects!$C$9+Projects!$D$9),Projects!$B$9*(1-SUMPRODUCT((Curves!$B$2:$AO$2)*(COLUMN(Curves!$B$2:$AO$2)-COLUMN(Curves!$B$2)+1&lt;=18-Projects!$C$9+1))),0)</f>
        <v>7827549.1124544</v>
      </c>
      <c r="U12" s="289" t="n">
        <f aca="false">IF(AND(Projects!$G$9="Yes",Projects!$F$9="Yes",19&gt;=Projects!$C$9,19&lt;Projects!$C$9+Projects!$D$9),Projects!$B$9*(1-SUMPRODUCT((Curves!$B$2:$AO$2)*(COLUMN(Curves!$B$2:$AO$2)-COLUMN(Curves!$B$2)+1&lt;=19-Projects!$C$9+1))),0)</f>
        <v>7168476.7259784</v>
      </c>
      <c r="V12" s="289" t="n">
        <f aca="false">IF(AND(Projects!$G$9="Yes",Projects!$F$9="Yes",20&gt;=Projects!$C$9,20&lt;Projects!$C$9+Projects!$D$9),Projects!$B$9*(1-SUMPRODUCT((Curves!$B$2:$AO$2)*(COLUMN(Curves!$B$2:$AO$2)-COLUMN(Curves!$B$2)+1&lt;=20-Projects!$C$9+1))),0)</f>
        <v>6509404.3395024</v>
      </c>
      <c r="W12" s="289" t="n">
        <f aca="false">IF(AND(Projects!$G$9="Yes",Projects!$F$9="Yes",21&gt;=Projects!$C$9,21&lt;Projects!$C$9+Projects!$D$9),Projects!$B$9*(1-SUMPRODUCT((Curves!$B$2:$AO$2)*(COLUMN(Curves!$B$2:$AO$2)-COLUMN(Curves!$B$2)+1&lt;=21-Projects!$C$9+1))),0)</f>
        <v>5856883.966962</v>
      </c>
      <c r="X12" s="289" t="n">
        <f aca="false">IF(AND(Projects!$G$9="Yes",Projects!$F$9="Yes",22&gt;=Projects!$C$9,22&lt;Projects!$C$9+Projects!$D$9),Projects!$B$9*(1-SUMPRODUCT((Curves!$B$2:$AO$2)*(COLUMN(Curves!$B$2:$AO$2)-COLUMN(Curves!$B$2)+1&lt;=22-Projects!$C$9+1))),0)</f>
        <v>5217266.9041416</v>
      </c>
      <c r="Y12" s="289" t="n">
        <f aca="false">IF(AND(Projects!$G$9="Yes",Projects!$F$9="Yes",23&gt;=Projects!$C$9,23&lt;Projects!$C$9+Projects!$D$9),Projects!$B$9*(1-SUMPRODUCT((Curves!$B$2:$AO$2)*(COLUMN(Curves!$B$2:$AO$2)-COLUMN(Curves!$B$2)+1&lt;=23-Projects!$C$9+1))),0)</f>
        <v>4596546.0215556</v>
      </c>
      <c r="Z12" s="289" t="n">
        <f aca="false">IF(AND(Projects!$G$9="Yes",Projects!$F$9="Yes",24&gt;=Projects!$C$9,24&lt;Projects!$C$9+Projects!$D$9),Projects!$B$9*(1-SUMPRODUCT((Curves!$B$2:$AO$2)*(COLUMN(Curves!$B$2:$AO$2)-COLUMN(Curves!$B$2)+1&lt;=24-Projects!$C$9+1))),0)</f>
        <v>0</v>
      </c>
      <c r="AA12" s="289" t="n">
        <f aca="false">IF(AND(Projects!$G$9="Yes",Projects!$F$9="Yes",25&gt;=Projects!$C$9,25&lt;Projects!$C$9+Projects!$D$9),Projects!$B$9*(1-SUMPRODUCT((Curves!$B$2:$AO$2)*(COLUMN(Curves!$B$2:$AO$2)-COLUMN(Curves!$B$2)+1&lt;=25-Projects!$C$9+1))),0)</f>
        <v>0</v>
      </c>
      <c r="AB12" s="289" t="n">
        <f aca="false">IF(AND(Projects!$G$9="Yes",Projects!$F$9="Yes",26&gt;=Projects!$C$9,26&lt;Projects!$C$9+Projects!$D$9),Projects!$B$9*(1-SUMPRODUCT((Curves!$B$2:$AO$2)*(COLUMN(Curves!$B$2:$AO$2)-COLUMN(Curves!$B$2)+1&lt;=26-Projects!$C$9+1))),0)</f>
        <v>0</v>
      </c>
      <c r="AC12" s="289" t="n">
        <f aca="false">IF(AND(Projects!$G$9="Yes",Projects!$F$9="Yes",27&gt;=Projects!$C$9,27&lt;Projects!$C$9+Projects!$D$9),Projects!$B$9*(1-SUMPRODUCT((Curves!$B$2:$AO$2)*(COLUMN(Curves!$B$2:$AO$2)-COLUMN(Curves!$B$2)+1&lt;=27-Projects!$C$9+1))),0)</f>
        <v>0</v>
      </c>
      <c r="AD12" s="289" t="n">
        <f aca="false">IF(AND(Projects!$G$9="Yes",Projects!$F$9="Yes",28&gt;=Projects!$C$9,28&lt;Projects!$C$9+Projects!$D$9),Projects!$B$9*(1-SUMPRODUCT((Curves!$B$2:$AO$2)*(COLUMN(Curves!$B$2:$AO$2)-COLUMN(Curves!$B$2)+1&lt;=28-Projects!$C$9+1))),0)</f>
        <v>0</v>
      </c>
      <c r="AE12" s="289" t="n">
        <f aca="false">IF(AND(Projects!$G$9="Yes",Projects!$F$9="Yes",29&gt;=Projects!$C$9,29&lt;Projects!$C$9+Projects!$D$9),Projects!$B$9*(1-SUMPRODUCT((Curves!$B$2:$AO$2)*(COLUMN(Curves!$B$2:$AO$2)-COLUMN(Curves!$B$2)+1&lt;=29-Projects!$C$9+1))),0)</f>
        <v>0</v>
      </c>
      <c r="AF12" s="289" t="n">
        <f aca="false">IF(AND(Projects!$G$9="Yes",Projects!$F$9="Yes",30&gt;=Projects!$C$9,30&lt;Projects!$C$9+Projects!$D$9),Projects!$B$9*(1-SUMPRODUCT((Curves!$B$2:$AO$2)*(COLUMN(Curves!$B$2:$AO$2)-COLUMN(Curves!$B$2)+1&lt;=30-Projects!$C$9+1))),0)</f>
        <v>0</v>
      </c>
      <c r="AG12" s="289" t="n">
        <f aca="false">IF(AND(Projects!$G$9="Yes",Projects!$F$9="Yes",31&gt;=Projects!$C$9,31&lt;Projects!$C$9+Projects!$D$9),Projects!$B$9*(1-SUMPRODUCT((Curves!$B$2:$AO$2)*(COLUMN(Curves!$B$2:$AO$2)-COLUMN(Curves!$B$2)+1&lt;=31-Projects!$C$9+1))),0)</f>
        <v>0</v>
      </c>
      <c r="AH12" s="289" t="n">
        <f aca="false">IF(AND(Projects!$G$9="Yes",Projects!$F$9="Yes",32&gt;=Projects!$C$9,32&lt;Projects!$C$9+Projects!$D$9),Projects!$B$9*(1-SUMPRODUCT((Curves!$B$2:$AO$2)*(COLUMN(Curves!$B$2:$AO$2)-COLUMN(Curves!$B$2)+1&lt;=32-Projects!$C$9+1))),0)</f>
        <v>0</v>
      </c>
      <c r="AI12" s="289" t="n">
        <f aca="false">IF(AND(Projects!$G$9="Yes",Projects!$F$9="Yes",33&gt;=Projects!$C$9,33&lt;Projects!$C$9+Projects!$D$9),Projects!$B$9*(1-SUMPRODUCT((Curves!$B$2:$AO$2)*(COLUMN(Curves!$B$2:$AO$2)-COLUMN(Curves!$B$2)+1&lt;=33-Projects!$C$9+1))),0)</f>
        <v>0</v>
      </c>
      <c r="AJ12" s="289" t="n">
        <f aca="false">IF(AND(Projects!$G$9="Yes",Projects!$F$9="Yes",34&gt;=Projects!$C$9,34&lt;Projects!$C$9+Projects!$D$9),Projects!$B$9*(1-SUMPRODUCT((Curves!$B$2:$AO$2)*(COLUMN(Curves!$B$2:$AO$2)-COLUMN(Curves!$B$2)+1&lt;=34-Projects!$C$9+1))),0)</f>
        <v>0</v>
      </c>
      <c r="AK12" s="289" t="n">
        <f aca="false">IF(AND(Projects!$G$9="Yes",Projects!$F$9="Yes",35&gt;=Projects!$C$9,35&lt;Projects!$C$9+Projects!$D$9),Projects!$B$9*(1-SUMPRODUCT((Curves!$B$2:$AO$2)*(COLUMN(Curves!$B$2:$AO$2)-COLUMN(Curves!$B$2)+1&lt;=35-Projects!$C$9+1))),0)</f>
        <v>0</v>
      </c>
      <c r="AL12" s="289" t="n">
        <f aca="false">IF(AND(Projects!$G$9="Yes",Projects!$F$9="Yes",36&gt;=Projects!$C$9,36&lt;Projects!$C$9+Projects!$D$9),Projects!$B$9*(1-SUMPRODUCT((Curves!$B$2:$AO$2)*(COLUMN(Curves!$B$2:$AO$2)-COLUMN(Curves!$B$2)+1&lt;=36-Projects!$C$9+1))),0)</f>
        <v>0</v>
      </c>
      <c r="AM12" s="289" t="n">
        <f aca="false">IF(AND(Projects!$G$9="Yes",Projects!$F$9="Yes",37&gt;=Projects!$C$9,37&lt;Projects!$C$9+Projects!$D$9),Projects!$B$9*(1-SUMPRODUCT((Curves!$B$2:$AO$2)*(COLUMN(Curves!$B$2:$AO$2)-COLUMN(Curves!$B$2)+1&lt;=37-Projects!$C$9+1))),0)</f>
        <v>0</v>
      </c>
      <c r="AN12" s="289" t="n">
        <f aca="false">IF(AND(Projects!$G$9="Yes",Projects!$F$9="Yes",38&gt;=Projects!$C$9,38&lt;Projects!$C$9+Projects!$D$9),Projects!$B$9*(1-SUMPRODUCT((Curves!$B$2:$AO$2)*(COLUMN(Curves!$B$2:$AO$2)-COLUMN(Curves!$B$2)+1&lt;=38-Projects!$C$9+1))),0)</f>
        <v>0</v>
      </c>
      <c r="AO12" s="289" t="n">
        <f aca="false">IF(AND(Projects!$G$9="Yes",Projects!$F$9="Yes",39&gt;=Projects!$C$9,39&lt;Projects!$C$9+Projects!$D$9),Projects!$B$9*(1-SUMPRODUCT((Curves!$B$2:$AO$2)*(COLUMN(Curves!$B$2:$AO$2)-COLUMN(Curves!$B$2)+1&lt;=39-Projects!$C$9+1))),0)</f>
        <v>0</v>
      </c>
      <c r="AP12" s="289" t="n">
        <f aca="false">IF(AND(Projects!$G$9="Yes",Projects!$F$9="Yes",40&gt;=Projects!$C$9,40&lt;Projects!$C$9+Projects!$D$9),Projects!$B$9*(1-SUMPRODUCT((Curves!$B$2:$AO$2)*(COLUMN(Curves!$B$2:$AO$2)-COLUMN(Curves!$B$2)+1&lt;=40-Projects!$C$9+1))),0)</f>
        <v>0</v>
      </c>
      <c r="AQ12" s="289" t="n">
        <f aca="false">IF(AND(Projects!$G$9="Yes",Projects!$F$9="Yes",41&gt;=Projects!$C$9,41&lt;Projects!$C$9+Projects!$D$9),Projects!$B$9*(1-SUMPRODUCT((Curves!$B$2:$AO$2)*(COLUMN(Curves!$B$2:$AO$2)-COLUMN(Curves!$B$2)+1&lt;=41-Projects!$C$9+1))),0)</f>
        <v>0</v>
      </c>
      <c r="AR12" s="289" t="n">
        <f aca="false">IF(AND(Projects!$G$9="Yes",Projects!$F$9="Yes",42&gt;=Projects!$C$9,42&lt;Projects!$C$9+Projects!$D$9),Projects!$B$9*(1-SUMPRODUCT((Curves!$B$2:$AO$2)*(COLUMN(Curves!$B$2:$AO$2)-COLUMN(Curves!$B$2)+1&lt;=42-Projects!$C$9+1))),0)</f>
        <v>0</v>
      </c>
      <c r="AS12" s="289" t="n">
        <f aca="false">IF(AND(Projects!$G$9="Yes",Projects!$F$9="Yes",43&gt;=Projects!$C$9,43&lt;Projects!$C$9+Projects!$D$9),Projects!$B$9*(1-SUMPRODUCT((Curves!$B$2:$AO$2)*(COLUMN(Curves!$B$2:$AO$2)-COLUMN(Curves!$B$2)+1&lt;=43-Projects!$C$9+1))),0)</f>
        <v>0</v>
      </c>
      <c r="AT12" s="289" t="n">
        <f aca="false">IF(AND(Projects!$G$9="Yes",Projects!$F$9="Yes",44&gt;=Projects!$C$9,44&lt;Projects!$C$9+Projects!$D$9),Projects!$B$9*(1-SUMPRODUCT((Curves!$B$2:$AO$2)*(COLUMN(Curves!$B$2:$AO$2)-COLUMN(Curves!$B$2)+1&lt;=44-Projects!$C$9+1))),0)</f>
        <v>0</v>
      </c>
      <c r="AU12" s="289" t="n">
        <f aca="false">IF(AND(Projects!$G$9="Yes",Projects!$F$9="Yes",45&gt;=Projects!$C$9,45&lt;Projects!$C$9+Projects!$D$9),Projects!$B$9*(1-SUMPRODUCT((Curves!$B$2:$AO$2)*(COLUMN(Curves!$B$2:$AO$2)-COLUMN(Curves!$B$2)+1&lt;=45-Projects!$C$9+1))),0)</f>
        <v>0</v>
      </c>
      <c r="AV12" s="289" t="n">
        <f aca="false">IF(AND(Projects!$G$9="Yes",Projects!$F$9="Yes",46&gt;=Projects!$C$9,46&lt;Projects!$C$9+Projects!$D$9),Projects!$B$9*(1-SUMPRODUCT((Curves!$B$2:$AO$2)*(COLUMN(Curves!$B$2:$AO$2)-COLUMN(Curves!$B$2)+1&lt;=46-Projects!$C$9+1))),0)</f>
        <v>0</v>
      </c>
      <c r="AW12" s="289" t="n">
        <f aca="false">IF(AND(Projects!$G$9="Yes",Projects!$F$9="Yes",47&gt;=Projects!$C$9,47&lt;Projects!$C$9+Projects!$D$9),Projects!$B$9*(1-SUMPRODUCT((Curves!$B$2:$AO$2)*(COLUMN(Curves!$B$2:$AO$2)-COLUMN(Curves!$B$2)+1&lt;=47-Projects!$C$9+1))),0)</f>
        <v>0</v>
      </c>
      <c r="AX12" s="289" t="n">
        <f aca="false">IF(AND(Projects!$G$9="Yes",Projects!$F$9="Yes",48&gt;=Projects!$C$9,48&lt;Projects!$C$9+Projects!$D$9),Projects!$B$9*(1-SUMPRODUCT((Curves!$B$2:$AO$2)*(COLUMN(Curves!$B$2:$AO$2)-COLUMN(Curves!$B$2)+1&lt;=48-Projects!$C$9+1))),0)</f>
        <v>0</v>
      </c>
      <c r="AY12" s="289" t="n">
        <f aca="false">IF(AND(Projects!$G$9="Yes",Projects!$F$9="Yes",49&gt;=Projects!$C$9,49&lt;Projects!$C$9+Projects!$D$9),Projects!$B$9*(1-SUMPRODUCT((Curves!$B$2:$AO$2)*(COLUMN(Curves!$B$2:$AO$2)-COLUMN(Curves!$B$2)+1&lt;=49-Projects!$C$9+1))),0)</f>
        <v>0</v>
      </c>
      <c r="AZ12" s="289" t="n">
        <f aca="false">IF(AND(Projects!$G$9="Yes",Projects!$F$9="Yes",50&gt;=Projects!$C$9,50&lt;Projects!$C$9+Projects!$D$9),Projects!$B$9*(1-SUMPRODUCT((Curves!$B$2:$AO$2)*(COLUMN(Curves!$B$2:$AO$2)-COLUMN(Curves!$B$2)+1&lt;=50-Projects!$C$9+1))),0)</f>
        <v>0</v>
      </c>
      <c r="BA12" s="289" t="n">
        <f aca="false">IF(AND(Projects!$G$9="Yes",Projects!$F$9="Yes",51&gt;=Projects!$C$9,51&lt;Projects!$C$9+Projects!$D$9),Projects!$B$9*(1-SUMPRODUCT((Curves!$B$2:$AO$2)*(COLUMN(Curves!$B$2:$AO$2)-COLUMN(Curves!$B$2)+1&lt;=51-Projects!$C$9+1))),0)</f>
        <v>0</v>
      </c>
      <c r="BB12" s="289" t="n">
        <f aca="false">IF(AND(Projects!$G$9="Yes",Projects!$F$9="Yes",52&gt;=Projects!$C$9,52&lt;Projects!$C$9+Projects!$D$9),Projects!$B$9*(1-SUMPRODUCT((Curves!$B$2:$AO$2)*(COLUMN(Curves!$B$2:$AO$2)-COLUMN(Curves!$B$2)+1&lt;=52-Projects!$C$9+1))),0)</f>
        <v>0</v>
      </c>
      <c r="BC12" s="289" t="n">
        <f aca="false">IF(AND(Projects!$G$9="Yes",Projects!$F$9="Yes",53&gt;=Projects!$C$9,53&lt;Projects!$C$9+Projects!$D$9),Projects!$B$9*(1-SUMPRODUCT((Curves!$B$2:$AO$2)*(COLUMN(Curves!$B$2:$AO$2)-COLUMN(Curves!$B$2)+1&lt;=53-Projects!$C$9+1))),0)</f>
        <v>0</v>
      </c>
      <c r="BD12" s="289" t="n">
        <f aca="false">IF(AND(Projects!$G$9="Yes",Projects!$F$9="Yes",54&gt;=Projects!$C$9,54&lt;Projects!$C$9+Projects!$D$9),Projects!$B$9*(1-SUMPRODUCT((Curves!$B$2:$AO$2)*(COLUMN(Curves!$B$2:$AO$2)-COLUMN(Curves!$B$2)+1&lt;=54-Projects!$C$9+1))),0)</f>
        <v>0</v>
      </c>
      <c r="BE12" s="289" t="n">
        <f aca="false">IF(AND(Projects!$G$9="Yes",Projects!$F$9="Yes",55&gt;=Projects!$C$9,55&lt;Projects!$C$9+Projects!$D$9),Projects!$B$9*(1-SUMPRODUCT((Curves!$B$2:$AO$2)*(COLUMN(Curves!$B$2:$AO$2)-COLUMN(Curves!$B$2)+1&lt;=55-Projects!$C$9+1))),0)</f>
        <v>0</v>
      </c>
      <c r="BF12" s="289" t="n">
        <f aca="false">IF(AND(Projects!$G$9="Yes",Projects!$F$9="Yes",56&gt;=Projects!$C$9,56&lt;Projects!$C$9+Projects!$D$9),Projects!$B$9*(1-SUMPRODUCT((Curves!$B$2:$AO$2)*(COLUMN(Curves!$B$2:$AO$2)-COLUMN(Curves!$B$2)+1&lt;=56-Projects!$C$9+1))),0)</f>
        <v>0</v>
      </c>
      <c r="BG12" s="289" t="n">
        <f aca="false">IF(AND(Projects!$G$9="Yes",Projects!$F$9="Yes",57&gt;=Projects!$C$9,57&lt;Projects!$C$9+Projects!$D$9),Projects!$B$9*(1-SUMPRODUCT((Curves!$B$2:$AO$2)*(COLUMN(Curves!$B$2:$AO$2)-COLUMN(Curves!$B$2)+1&lt;=57-Projects!$C$9+1))),0)</f>
        <v>0</v>
      </c>
      <c r="BH12" s="289" t="n">
        <f aca="false">IF(AND(Projects!$G$9="Yes",Projects!$F$9="Yes",58&gt;=Projects!$C$9,58&lt;Projects!$C$9+Projects!$D$9),Projects!$B$9*(1-SUMPRODUCT((Curves!$B$2:$AO$2)*(COLUMN(Curves!$B$2:$AO$2)-COLUMN(Curves!$B$2)+1&lt;=58-Projects!$C$9+1))),0)</f>
        <v>0</v>
      </c>
      <c r="BI12" s="289" t="n">
        <f aca="false">IF(AND(Projects!$G$9="Yes",Projects!$F$9="Yes",59&gt;=Projects!$C$9,59&lt;Projects!$C$9+Projects!$D$9),Projects!$B$9*(1-SUMPRODUCT((Curves!$B$2:$AO$2)*(COLUMN(Curves!$B$2:$AO$2)-COLUMN(Curves!$B$2)+1&lt;=59-Projects!$C$9+1))),0)</f>
        <v>0</v>
      </c>
      <c r="BJ12" s="289" t="n">
        <f aca="false">IF(AND(Projects!$G$9="Yes",Projects!$F$9="Yes",60&gt;=Projects!$C$9,60&lt;Projects!$C$9+Projects!$D$9),Projects!$B$9*(1-SUMPRODUCT((Curves!$B$2:$AO$2)*(COLUMN(Curves!$B$2:$AO$2)-COLUMN(Curves!$B$2)+1&lt;=60-Projects!$C$9+1))),0)</f>
        <v>0</v>
      </c>
      <c r="BK12" s="289" t="n">
        <f aca="false">IF(AND(Projects!$G$9="Yes",Projects!$F$9="Yes",61&gt;=Projects!$C$9,61&lt;Projects!$C$9+Projects!$D$9),Projects!$B$9*(1-SUMPRODUCT((Curves!$B$2:$AO$2)*(COLUMN(Curves!$B$2:$AO$2)-COLUMN(Curves!$B$2)+1&lt;=61-Projects!$C$9+1))),0)</f>
        <v>0</v>
      </c>
      <c r="BL12" s="289" t="n">
        <f aca="false">IF(AND(Projects!$G$9="Yes",Projects!$F$9="Yes",62&gt;=Projects!$C$9,62&lt;Projects!$C$9+Projects!$D$9),Projects!$B$9*(1-SUMPRODUCT((Curves!$B$2:$AO$2)*(COLUMN(Curves!$B$2:$AO$2)-COLUMN(Curves!$B$2)+1&lt;=62-Projects!$C$9+1))),0)</f>
        <v>0</v>
      </c>
      <c r="BM12" s="289" t="n">
        <f aca="false">IF(AND(Projects!$G$9="Yes",Projects!$F$9="Yes",63&gt;=Projects!$C$9,63&lt;Projects!$C$9+Projects!$D$9),Projects!$B$9*(1-SUMPRODUCT((Curves!$B$2:$AO$2)*(COLUMN(Curves!$B$2:$AO$2)-COLUMN(Curves!$B$2)+1&lt;=63-Projects!$C$9+1))),0)</f>
        <v>0</v>
      </c>
      <c r="BN12" s="289" t="n">
        <f aca="false">IF(AND(Projects!$G$9="Yes",Projects!$F$9="Yes",64&gt;=Projects!$C$9,64&lt;Projects!$C$9+Projects!$D$9),Projects!$B$9*(1-SUMPRODUCT((Curves!$B$2:$AO$2)*(COLUMN(Curves!$B$2:$AO$2)-COLUMN(Curves!$B$2)+1&lt;=64-Projects!$C$9+1))),0)</f>
        <v>0</v>
      </c>
      <c r="BO12" s="289" t="n">
        <f aca="false">IF(AND(Projects!$G$9="Yes",Projects!$F$9="Yes",65&gt;=Projects!$C$9,65&lt;Projects!$C$9+Projects!$D$9),Projects!$B$9*(1-SUMPRODUCT((Curves!$B$2:$AO$2)*(COLUMN(Curves!$B$2:$AO$2)-COLUMN(Curves!$B$2)+1&lt;=65-Projects!$C$9+1))),0)</f>
        <v>0</v>
      </c>
      <c r="BP12" s="289" t="n">
        <f aca="false">IF(AND(Projects!$G$9="Yes",Projects!$F$9="Yes",66&gt;=Projects!$C$9,66&lt;Projects!$C$9+Projects!$D$9),Projects!$B$9*(1-SUMPRODUCT((Curves!$B$2:$AO$2)*(COLUMN(Curves!$B$2:$AO$2)-COLUMN(Curves!$B$2)+1&lt;=66-Projects!$C$9+1))),0)</f>
        <v>0</v>
      </c>
      <c r="BQ12" s="289" t="n">
        <f aca="false">IF(AND(Projects!$G$9="Yes",Projects!$F$9="Yes",67&gt;=Projects!$C$9,67&lt;Projects!$C$9+Projects!$D$9),Projects!$B$9*(1-SUMPRODUCT((Curves!$B$2:$AO$2)*(COLUMN(Curves!$B$2:$AO$2)-COLUMN(Curves!$B$2)+1&lt;=67-Projects!$C$9+1))),0)</f>
        <v>0</v>
      </c>
      <c r="BR12" s="289" t="n">
        <f aca="false">IF(AND(Projects!$G$9="Yes",Projects!$F$9="Yes",68&gt;=Projects!$C$9,68&lt;Projects!$C$9+Projects!$D$9),Projects!$B$9*(1-SUMPRODUCT((Curves!$B$2:$AO$2)*(COLUMN(Curves!$B$2:$AO$2)-COLUMN(Curves!$B$2)+1&lt;=68-Projects!$C$9+1))),0)</f>
        <v>0</v>
      </c>
      <c r="BS12" s="289" t="n">
        <f aca="false">IF(AND(Projects!$G$9="Yes",Projects!$F$9="Yes",69&gt;=Projects!$C$9,69&lt;Projects!$C$9+Projects!$D$9),Projects!$B$9*(1-SUMPRODUCT((Curves!$B$2:$AO$2)*(COLUMN(Curves!$B$2:$AO$2)-COLUMN(Curves!$B$2)+1&lt;=69-Projects!$C$9+1))),0)</f>
        <v>0</v>
      </c>
      <c r="BT12" s="289" t="n">
        <f aca="false">IF(AND(Projects!$G$9="Yes",Projects!$F$9="Yes",70&gt;=Projects!$C$9,70&lt;Projects!$C$9+Projects!$D$9),Projects!$B$9*(1-SUMPRODUCT((Curves!$B$2:$AO$2)*(COLUMN(Curves!$B$2:$AO$2)-COLUMN(Curves!$B$2)+1&lt;=70-Projects!$C$9+1))),0)</f>
        <v>0</v>
      </c>
      <c r="BU12" s="289" t="n">
        <f aca="false">IF(AND(Projects!$G$9="Yes",Projects!$F$9="Yes",71&gt;=Projects!$C$9,71&lt;Projects!$C$9+Projects!$D$9),Projects!$B$9*(1-SUMPRODUCT((Curves!$B$2:$AO$2)*(COLUMN(Curves!$B$2:$AO$2)-COLUMN(Curves!$B$2)+1&lt;=71-Projects!$C$9+1))),0)</f>
        <v>0</v>
      </c>
      <c r="BV12" s="289" t="n">
        <f aca="false">IF(AND(Projects!$G$9="Yes",Projects!$F$9="Yes",72&gt;=Projects!$C$9,72&lt;Projects!$C$9+Projects!$D$9),Projects!$B$9*(1-SUMPRODUCT((Curves!$B$2:$AO$2)*(COLUMN(Curves!$B$2:$AO$2)-COLUMN(Curves!$B$2)+1&lt;=72-Projects!$C$9+1))),0)</f>
        <v>0</v>
      </c>
      <c r="BW12" s="289" t="n">
        <f aca="false">IF(AND(Projects!$G$9="Yes",Projects!$F$9="Yes",73&gt;=Projects!$C$9,73&lt;Projects!$C$9+Projects!$D$9),Projects!$B$9*(1-SUMPRODUCT((Curves!$B$2:$AO$2)*(COLUMN(Curves!$B$2:$AO$2)-COLUMN(Curves!$B$2)+1&lt;=73-Projects!$C$9+1))),0)</f>
        <v>0</v>
      </c>
      <c r="BX12" s="289" t="n">
        <f aca="false">IF(AND(Projects!$G$9="Yes",Projects!$F$9="Yes",74&gt;=Projects!$C$9,74&lt;Projects!$C$9+Projects!$D$9),Projects!$B$9*(1-SUMPRODUCT((Curves!$B$2:$AO$2)*(COLUMN(Curves!$B$2:$AO$2)-COLUMN(Curves!$B$2)+1&lt;=74-Projects!$C$9+1))),0)</f>
        <v>0</v>
      </c>
      <c r="BY12" s="289" t="n">
        <f aca="false">IF(AND(Projects!$G$9="Yes",Projects!$F$9="Yes",75&gt;=Projects!$C$9,75&lt;Projects!$C$9+Projects!$D$9),Projects!$B$9*(1-SUMPRODUCT((Curves!$B$2:$AO$2)*(COLUMN(Curves!$B$2:$AO$2)-COLUMN(Curves!$B$2)+1&lt;=75-Projects!$C$9+1))),0)</f>
        <v>0</v>
      </c>
      <c r="BZ12" s="289" t="n">
        <f aca="false">IF(AND(Projects!$G$9="Yes",Projects!$F$9="Yes",76&gt;=Projects!$C$9,76&lt;Projects!$C$9+Projects!$D$9),Projects!$B$9*(1-SUMPRODUCT((Curves!$B$2:$AO$2)*(COLUMN(Curves!$B$2:$AO$2)-COLUMN(Curves!$B$2)+1&lt;=76-Projects!$C$9+1))),0)</f>
        <v>0</v>
      </c>
      <c r="CA12" s="289" t="n">
        <f aca="false">IF(AND(Projects!$G$9="Yes",Projects!$F$9="Yes",77&gt;=Projects!$C$9,77&lt;Projects!$C$9+Projects!$D$9),Projects!$B$9*(1-SUMPRODUCT((Curves!$B$2:$AO$2)*(COLUMN(Curves!$B$2:$AO$2)-COLUMN(Curves!$B$2)+1&lt;=77-Projects!$C$9+1))),0)</f>
        <v>0</v>
      </c>
      <c r="CB12" s="289" t="n">
        <f aca="false">IF(AND(Projects!$G$9="Yes",Projects!$F$9="Yes",78&gt;=Projects!$C$9,78&lt;Projects!$C$9+Projects!$D$9),Projects!$B$9*(1-SUMPRODUCT((Curves!$B$2:$AO$2)*(COLUMN(Curves!$B$2:$AO$2)-COLUMN(Curves!$B$2)+1&lt;=78-Projects!$C$9+1))),0)</f>
        <v>0</v>
      </c>
      <c r="CC12" s="289" t="n">
        <f aca="false">IF(AND(Projects!$G$9="Yes",Projects!$F$9="Yes",79&gt;=Projects!$C$9,79&lt;Projects!$C$9+Projects!$D$9),Projects!$B$9*(1-SUMPRODUCT((Curves!$B$2:$AO$2)*(COLUMN(Curves!$B$2:$AO$2)-COLUMN(Curves!$B$2)+1&lt;=79-Projects!$C$9+1))),0)</f>
        <v>0</v>
      </c>
      <c r="CD12" s="289" t="n">
        <f aca="false">IF(AND(Projects!$G$9="Yes",Projects!$F$9="Yes",80&gt;=Projects!$C$9,80&lt;Projects!$C$9+Projects!$D$9),Projects!$B$9*(1-SUMPRODUCT((Curves!$B$2:$AO$2)*(COLUMN(Curves!$B$2:$AO$2)-COLUMN(Curves!$B$2)+1&lt;=80-Projects!$C$9+1))),0)</f>
        <v>0</v>
      </c>
      <c r="CE12" s="289" t="n">
        <f aca="false">IF(AND(Projects!$G$9="Yes",Projects!$F$9="Yes",81&gt;=Projects!$C$9,81&lt;Projects!$C$9+Projects!$D$9),Projects!$B$9*(1-SUMPRODUCT((Curves!$B$2:$AO$2)*(COLUMN(Curves!$B$2:$AO$2)-COLUMN(Curves!$B$2)+1&lt;=81-Projects!$C$9+1))),0)</f>
        <v>0</v>
      </c>
      <c r="CF12" s="289" t="n">
        <f aca="false">IF(AND(Projects!$G$9="Yes",Projects!$F$9="Yes",82&gt;=Projects!$C$9,82&lt;Projects!$C$9+Projects!$D$9),Projects!$B$9*(1-SUMPRODUCT((Curves!$B$2:$AO$2)*(COLUMN(Curves!$B$2:$AO$2)-COLUMN(Curves!$B$2)+1&lt;=82-Projects!$C$9+1))),0)</f>
        <v>0</v>
      </c>
      <c r="CG12" s="289" t="n">
        <f aca="false">IF(AND(Projects!$G$9="Yes",Projects!$F$9="Yes",83&gt;=Projects!$C$9,83&lt;Projects!$C$9+Projects!$D$9),Projects!$B$9*(1-SUMPRODUCT((Curves!$B$2:$AO$2)*(COLUMN(Curves!$B$2:$AO$2)-COLUMN(Curves!$B$2)+1&lt;=83-Projects!$C$9+1))),0)</f>
        <v>0</v>
      </c>
      <c r="CH12" s="289" t="n">
        <f aca="false">IF(AND(Projects!$G$9="Yes",Projects!$F$9="Yes",84&gt;=Projects!$C$9,84&lt;Projects!$C$9+Projects!$D$9),Projects!$B$9*(1-SUMPRODUCT((Curves!$B$2:$AO$2)*(COLUMN(Curves!$B$2:$AO$2)-COLUMN(Curves!$B$2)+1&lt;=84-Projects!$C$9+1))),0)</f>
        <v>0</v>
      </c>
      <c r="CI12" s="289" t="n">
        <f aca="false">IF(AND(Projects!$G$9="Yes",Projects!$F$9="Yes",85&gt;=Projects!$C$9,85&lt;Projects!$C$9+Projects!$D$9),Projects!$B$9*(1-SUMPRODUCT((Curves!$B$2:$AO$2)*(COLUMN(Curves!$B$2:$AO$2)-COLUMN(Curves!$B$2)+1&lt;=85-Projects!$C$9+1))),0)</f>
        <v>0</v>
      </c>
      <c r="CJ12" s="289" t="n">
        <f aca="false">IF(AND(Projects!$G$9="Yes",Projects!$F$9="Yes",86&gt;=Projects!$C$9,86&lt;Projects!$C$9+Projects!$D$9),Projects!$B$9*(1-SUMPRODUCT((Curves!$B$2:$AO$2)*(COLUMN(Curves!$B$2:$AO$2)-COLUMN(Curves!$B$2)+1&lt;=86-Projects!$C$9+1))),0)</f>
        <v>0</v>
      </c>
      <c r="CK12" s="289" t="n">
        <f aca="false">IF(AND(Projects!$G$9="Yes",Projects!$F$9="Yes",87&gt;=Projects!$C$9,87&lt;Projects!$C$9+Projects!$D$9),Projects!$B$9*(1-SUMPRODUCT((Curves!$B$2:$AO$2)*(COLUMN(Curves!$B$2:$AO$2)-COLUMN(Curves!$B$2)+1&lt;=87-Projects!$C$9+1))),0)</f>
        <v>0</v>
      </c>
      <c r="CL12" s="289" t="n">
        <f aca="false">IF(AND(Projects!$G$9="Yes",Projects!$F$9="Yes",88&gt;=Projects!$C$9,88&lt;Projects!$C$9+Projects!$D$9),Projects!$B$9*(1-SUMPRODUCT((Curves!$B$2:$AO$2)*(COLUMN(Curves!$B$2:$AO$2)-COLUMN(Curves!$B$2)+1&lt;=88-Projects!$C$9+1))),0)</f>
        <v>0</v>
      </c>
      <c r="CM12" s="289" t="n">
        <f aca="false">IF(AND(Projects!$G$9="Yes",Projects!$F$9="Yes",89&gt;=Projects!$C$9,89&lt;Projects!$C$9+Projects!$D$9),Projects!$B$9*(1-SUMPRODUCT((Curves!$B$2:$AO$2)*(COLUMN(Curves!$B$2:$AO$2)-COLUMN(Curves!$B$2)+1&lt;=89-Projects!$C$9+1))),0)</f>
        <v>0</v>
      </c>
      <c r="CN12" s="289" t="n">
        <f aca="false">IF(AND(Projects!$G$9="Yes",Projects!$F$9="Yes",90&gt;=Projects!$C$9,90&lt;Projects!$C$9+Projects!$D$9),Projects!$B$9*(1-SUMPRODUCT((Curves!$B$2:$AO$2)*(COLUMN(Curves!$B$2:$AO$2)-COLUMN(Curves!$B$2)+1&lt;=90-Projects!$C$9+1))),0)</f>
        <v>0</v>
      </c>
      <c r="CO12" s="289" t="n">
        <f aca="false">IF(AND(Projects!$G$9="Yes",Projects!$F$9="Yes",91&gt;=Projects!$C$9,91&lt;Projects!$C$9+Projects!$D$9),Projects!$B$9*(1-SUMPRODUCT((Curves!$B$2:$AO$2)*(COLUMN(Curves!$B$2:$AO$2)-COLUMN(Curves!$B$2)+1&lt;=91-Projects!$C$9+1))),0)</f>
        <v>0</v>
      </c>
      <c r="CP12" s="289" t="n">
        <f aca="false">IF(AND(Projects!$G$9="Yes",Projects!$F$9="Yes",92&gt;=Projects!$C$9,92&lt;Projects!$C$9+Projects!$D$9),Projects!$B$9*(1-SUMPRODUCT((Curves!$B$2:$AO$2)*(COLUMN(Curves!$B$2:$AO$2)-COLUMN(Curves!$B$2)+1&lt;=92-Projects!$C$9+1))),0)</f>
        <v>0</v>
      </c>
      <c r="CQ12" s="289" t="n">
        <f aca="false">IF(AND(Projects!$G$9="Yes",Projects!$F$9="Yes",93&gt;=Projects!$C$9,93&lt;Projects!$C$9+Projects!$D$9),Projects!$B$9*(1-SUMPRODUCT((Curves!$B$2:$AO$2)*(COLUMN(Curves!$B$2:$AO$2)-COLUMN(Curves!$B$2)+1&lt;=93-Projects!$C$9+1))),0)</f>
        <v>0</v>
      </c>
    </row>
    <row r="13" customFormat="false" ht="15" hidden="false" customHeight="true" outlineLevel="0" collapsed="false">
      <c r="A13" s="177" t="s">
        <v>15</v>
      </c>
      <c r="C13" s="289" t="n">
        <f aca="false">IF(AND(Projects!$G$10="Yes",Projects!$F$10="Yes",1&gt;=Projects!$C$10,1&lt;Projects!$C$10+Projects!$D$10),Projects!$B$10*(1-SUMPRODUCT((Curves!$B$4:$AO$4)*(COLUMN(Curves!$B$4:$AO$4)-COLUMN(Curves!$B$4)+1&lt;=1-Projects!$C$10+1))),0)</f>
        <v>0</v>
      </c>
      <c r="D13" s="289" t="n">
        <f aca="false">IF(AND(Projects!$G$10="Yes",Projects!$F$10="Yes",2&gt;=Projects!$C$10,2&lt;Projects!$C$10+Projects!$D$10),Projects!$B$10*(1-SUMPRODUCT((Curves!$B$4:$AO$4)*(COLUMN(Curves!$B$4:$AO$4)-COLUMN(Curves!$B$4)+1&lt;=2-Projects!$C$10+1))),0)</f>
        <v>0</v>
      </c>
      <c r="E13" s="289" t="n">
        <f aca="false">IF(AND(Projects!$G$10="Yes",Projects!$F$10="Yes",3&gt;=Projects!$C$10,3&lt;Projects!$C$10+Projects!$D$10),Projects!$B$10*(1-SUMPRODUCT((Curves!$B$4:$AO$4)*(COLUMN(Curves!$B$4:$AO$4)-COLUMN(Curves!$B$4)+1&lt;=3-Projects!$C$10+1))),0)</f>
        <v>0</v>
      </c>
      <c r="F13" s="289" t="n">
        <f aca="false">IF(AND(Projects!$G$10="Yes",Projects!$F$10="Yes",4&gt;=Projects!$C$10,4&lt;Projects!$C$10+Projects!$D$10),Projects!$B$10*(1-SUMPRODUCT((Curves!$B$4:$AO$4)*(COLUMN(Curves!$B$4:$AO$4)-COLUMN(Curves!$B$4)+1&lt;=4-Projects!$C$10+1))),0)</f>
        <v>0</v>
      </c>
      <c r="G13" s="289" t="n">
        <f aca="false">IF(AND(Projects!$G$10="Yes",Projects!$F$10="Yes",5&gt;=Projects!$C$10,5&lt;Projects!$C$10+Projects!$D$10),Projects!$B$10*(1-SUMPRODUCT((Curves!$B$4:$AO$4)*(COLUMN(Curves!$B$4:$AO$4)-COLUMN(Curves!$B$4)+1&lt;=5-Projects!$C$10+1))),0)</f>
        <v>0</v>
      </c>
      <c r="H13" s="289" t="n">
        <f aca="false">IF(AND(Projects!$G$10="Yes",Projects!$F$10="Yes",6&gt;=Projects!$C$10,6&lt;Projects!$C$10+Projects!$D$10),Projects!$B$10*(1-SUMPRODUCT((Curves!$B$4:$AO$4)*(COLUMN(Curves!$B$4:$AO$4)-COLUMN(Curves!$B$4)+1&lt;=6-Projects!$C$10+1))),0)</f>
        <v>0</v>
      </c>
      <c r="I13" s="289" t="n">
        <f aca="false">IF(AND(Projects!$G$10="Yes",Projects!$F$10="Yes",7&gt;=Projects!$C$10,7&lt;Projects!$C$10+Projects!$D$10),Projects!$B$10*(1-SUMPRODUCT((Curves!$B$4:$AO$4)*(COLUMN(Curves!$B$4:$AO$4)-COLUMN(Curves!$B$4)+1&lt;=7-Projects!$C$10+1))),0)</f>
        <v>0</v>
      </c>
      <c r="J13" s="289" t="n">
        <f aca="false">IF(AND(Projects!$G$10="Yes",Projects!$F$10="Yes",8&gt;=Projects!$C$10,8&lt;Projects!$C$10+Projects!$D$10),Projects!$B$10*(1-SUMPRODUCT((Curves!$B$4:$AO$4)*(COLUMN(Curves!$B$4:$AO$4)-COLUMN(Curves!$B$4)+1&lt;=8-Projects!$C$10+1))),0)</f>
        <v>0</v>
      </c>
      <c r="K13" s="289" t="n">
        <f aca="false">IF(AND(Projects!$G$10="Yes",Projects!$F$10="Yes",9&gt;=Projects!$C$10,9&lt;Projects!$C$10+Projects!$D$10),Projects!$B$10*(1-SUMPRODUCT((Curves!$B$4:$AO$4)*(COLUMN(Curves!$B$4:$AO$4)-COLUMN(Curves!$B$4)+1&lt;=9-Projects!$C$10+1))),0)</f>
        <v>20699563.289615</v>
      </c>
      <c r="L13" s="289" t="n">
        <f aca="false">IF(AND(Projects!$G$10="Yes",Projects!$F$10="Yes",10&gt;=Projects!$C$10,10&lt;Projects!$C$10+Projects!$D$10),Projects!$B$10*(1-SUMPRODUCT((Curves!$B$4:$AO$4)*(COLUMN(Curves!$B$4:$AO$4)-COLUMN(Curves!$B$4)+1&lt;=10-Projects!$C$10+1))),0)</f>
        <v>20002952.87841</v>
      </c>
      <c r="M13" s="289" t="n">
        <f aca="false">IF(AND(Projects!$G$10="Yes",Projects!$F$10="Yes",11&gt;=Projects!$C$10,11&lt;Projects!$C$10+Projects!$D$10),Projects!$B$10*(1-SUMPRODUCT((Curves!$B$4:$AO$4)*(COLUMN(Curves!$B$4:$AO$4)-COLUMN(Curves!$B$4)+1&lt;=11-Projects!$C$10+1))),0)</f>
        <v>19163431.1222</v>
      </c>
      <c r="N13" s="289" t="n">
        <f aca="false">IF(AND(Projects!$G$10="Yes",Projects!$F$10="Yes",12&gt;=Projects!$C$10,12&lt;Projects!$C$10+Projects!$D$10),Projects!$B$10*(1-SUMPRODUCT((Curves!$B$4:$AO$4)*(COLUMN(Curves!$B$4:$AO$4)-COLUMN(Curves!$B$4)+1&lt;=12-Projects!$C$10+1))),0)</f>
        <v>18176553.96934</v>
      </c>
      <c r="O13" s="289" t="n">
        <f aca="false">IF(AND(Projects!$G$10="Yes",Projects!$F$10="Yes",13&gt;=Projects!$C$10,13&lt;Projects!$C$10+Projects!$D$10),Projects!$B$10*(1-SUMPRODUCT((Curves!$B$4:$AO$4)*(COLUMN(Curves!$B$4:$AO$4)-COLUMN(Curves!$B$4)+1&lt;=13-Projects!$C$10+1))),0)</f>
        <v>17044958.08205</v>
      </c>
      <c r="P13" s="289" t="n">
        <f aca="false">IF(AND(Projects!$G$10="Yes",Projects!$F$10="Yes",14&gt;=Projects!$C$10,14&lt;Projects!$C$10+Projects!$D$10),Projects!$B$10*(1-SUMPRODUCT((Curves!$B$4:$AO$4)*(COLUMN(Curves!$B$4:$AO$4)-COLUMN(Curves!$B$4)+1&lt;=14-Projects!$C$10+1))),0)</f>
        <v>15779317.68964</v>
      </c>
      <c r="Q13" s="289" t="n">
        <f aca="false">IF(AND(Projects!$G$10="Yes",Projects!$F$10="Yes",15&gt;=Projects!$C$10,15&lt;Projects!$C$10+Projects!$D$10),Projects!$B$10*(1-SUMPRODUCT((Curves!$B$4:$AO$4)*(COLUMN(Curves!$B$4:$AO$4)-COLUMN(Curves!$B$4)+1&lt;=15-Projects!$C$10+1))),0)</f>
        <v>14398535.959155</v>
      </c>
      <c r="R13" s="289" t="n">
        <f aca="false">IF(AND(Projects!$G$10="Yes",Projects!$F$10="Yes",16&gt;=Projects!$C$10,16&lt;Projects!$C$10+Projects!$D$10),Projects!$B$10*(1-SUMPRODUCT((Curves!$B$4:$AO$4)*(COLUMN(Curves!$B$4:$AO$4)-COLUMN(Curves!$B$4)+1&lt;=16-Projects!$C$10+1))),0)</f>
        <v>12929149.620035</v>
      </c>
      <c r="S13" s="289" t="n">
        <f aca="false">IF(AND(Projects!$G$10="Yes",Projects!$F$10="Yes",17&gt;=Projects!$C$10,17&lt;Projects!$C$10+Projects!$D$10),Projects!$B$10*(1-SUMPRODUCT((Curves!$B$4:$AO$4)*(COLUMN(Curves!$B$4:$AO$4)-COLUMN(Curves!$B$4)+1&lt;=17-Projects!$C$10+1))),0)</f>
        <v>11403883.052575</v>
      </c>
      <c r="T13" s="289" t="n">
        <f aca="false">IF(AND(Projects!$G$10="Yes",Projects!$F$10="Yes",18&gt;=Projects!$C$10,18&lt;Projects!$C$10+Projects!$D$10),Projects!$B$10*(1-SUMPRODUCT((Curves!$B$4:$AO$4)*(COLUMN(Curves!$B$4:$AO$4)-COLUMN(Curves!$B$4)+1&lt;=18-Projects!$C$10+1))),0)</f>
        <v>9859521.947425</v>
      </c>
      <c r="U13" s="289" t="n">
        <f aca="false">IF(AND(Projects!$G$10="Yes",Projects!$F$10="Yes",19&gt;=Projects!$C$10,19&lt;Projects!$C$10+Projects!$D$10),Projects!$B$10*(1-SUMPRODUCT((Curves!$B$4:$AO$4)*(COLUMN(Curves!$B$4:$AO$4)-COLUMN(Curves!$B$4)+1&lt;=19-Projects!$C$10+1))),0)</f>
        <v>8334255.379965</v>
      </c>
      <c r="V13" s="289" t="n">
        <f aca="false">IF(AND(Projects!$G$10="Yes",Projects!$F$10="Yes",20&gt;=Projects!$C$10,20&lt;Projects!$C$10+Projects!$D$10),Projects!$B$10*(1-SUMPRODUCT((Curves!$B$4:$AO$4)*(COLUMN(Curves!$B$4:$AO$4)-COLUMN(Curves!$B$4)+1&lt;=20-Projects!$C$10+1))),0)</f>
        <v>6864869.040845</v>
      </c>
      <c r="W13" s="289" t="n">
        <f aca="false">IF(AND(Projects!$G$10="Yes",Projects!$F$10="Yes",21&gt;=Projects!$C$10,21&lt;Projects!$C$10+Projects!$D$10),Projects!$B$10*(1-SUMPRODUCT((Curves!$B$4:$AO$4)*(COLUMN(Curves!$B$4:$AO$4)-COLUMN(Curves!$B$4)+1&lt;=21-Projects!$C$10+1))),0)</f>
        <v>5484087.31036</v>
      </c>
      <c r="X13" s="289" t="n">
        <f aca="false">IF(AND(Projects!$G$10="Yes",Projects!$F$10="Yes",22&gt;=Projects!$C$10,22&lt;Projects!$C$10+Projects!$D$10),Projects!$B$10*(1-SUMPRODUCT((Curves!$B$4:$AO$4)*(COLUMN(Curves!$B$4:$AO$4)-COLUMN(Curves!$B$4)+1&lt;=22-Projects!$C$10+1))),0)</f>
        <v>4218446.91795</v>
      </c>
      <c r="Y13" s="289" t="n">
        <f aca="false">IF(AND(Projects!$G$10="Yes",Projects!$F$10="Yes",23&gt;=Projects!$C$10,23&lt;Projects!$C$10+Projects!$D$10),Projects!$B$10*(1-SUMPRODUCT((Curves!$B$4:$AO$4)*(COLUMN(Curves!$B$4:$AO$4)-COLUMN(Curves!$B$4)+1&lt;=23-Projects!$C$10+1))),0)</f>
        <v>3086851.03066</v>
      </c>
      <c r="Z13" s="289" t="n">
        <f aca="false">IF(AND(Projects!$G$10="Yes",Projects!$F$10="Yes",24&gt;=Projects!$C$10,24&lt;Projects!$C$10+Projects!$D$10),Projects!$B$10*(1-SUMPRODUCT((Curves!$B$4:$AO$4)*(COLUMN(Curves!$B$4:$AO$4)-COLUMN(Curves!$B$4)+1&lt;=24-Projects!$C$10+1))),0)</f>
        <v>2099973.8778</v>
      </c>
      <c r="AA13" s="289" t="n">
        <f aca="false">IF(AND(Projects!$G$10="Yes",Projects!$F$10="Yes",25&gt;=Projects!$C$10,25&lt;Projects!$C$10+Projects!$D$10),Projects!$B$10*(1-SUMPRODUCT((Curves!$B$4:$AO$4)*(COLUMN(Curves!$B$4:$AO$4)-COLUMN(Curves!$B$4)+1&lt;=25-Projects!$C$10+1))),0)</f>
        <v>1260452.12159</v>
      </c>
      <c r="AB13" s="289" t="n">
        <f aca="false">IF(AND(Projects!$G$10="Yes",Projects!$F$10="Yes",26&gt;=Projects!$C$10,26&lt;Projects!$C$10+Projects!$D$10),Projects!$B$10*(1-SUMPRODUCT((Curves!$B$4:$AO$4)*(COLUMN(Curves!$B$4:$AO$4)-COLUMN(Curves!$B$4)+1&lt;=26-Projects!$C$10+1))),0)</f>
        <v>563841.710385</v>
      </c>
      <c r="AC13" s="289" t="n">
        <f aca="false">IF(AND(Projects!$G$10="Yes",Projects!$F$10="Yes",27&gt;=Projects!$C$10,27&lt;Projects!$C$10+Projects!$D$10),Projects!$B$10*(1-SUMPRODUCT((Curves!$B$4:$AO$4)*(COLUMN(Curves!$B$4:$AO$4)-COLUMN(Curves!$B$4)+1&lt;=27-Projects!$C$10+1))),0)</f>
        <v>0</v>
      </c>
      <c r="AD13" s="289" t="n">
        <f aca="false">IF(AND(Projects!$G$10="Yes",Projects!$F$10="Yes",28&gt;=Projects!$C$10,28&lt;Projects!$C$10+Projects!$D$10),Projects!$B$10*(1-SUMPRODUCT((Curves!$B$4:$AO$4)*(COLUMN(Curves!$B$4:$AO$4)-COLUMN(Curves!$B$4)+1&lt;=28-Projects!$C$10+1))),0)</f>
        <v>0</v>
      </c>
      <c r="AE13" s="289" t="n">
        <f aca="false">IF(AND(Projects!$G$10="Yes",Projects!$F$10="Yes",29&gt;=Projects!$C$10,29&lt;Projects!$C$10+Projects!$D$10),Projects!$B$10*(1-SUMPRODUCT((Curves!$B$4:$AO$4)*(COLUMN(Curves!$B$4:$AO$4)-COLUMN(Curves!$B$4)+1&lt;=29-Projects!$C$10+1))),0)</f>
        <v>0</v>
      </c>
      <c r="AF13" s="289" t="n">
        <f aca="false">IF(AND(Projects!$G$10="Yes",Projects!$F$10="Yes",30&gt;=Projects!$C$10,30&lt;Projects!$C$10+Projects!$D$10),Projects!$B$10*(1-SUMPRODUCT((Curves!$B$4:$AO$4)*(COLUMN(Curves!$B$4:$AO$4)-COLUMN(Curves!$B$4)+1&lt;=30-Projects!$C$10+1))),0)</f>
        <v>0</v>
      </c>
      <c r="AG13" s="289" t="n">
        <f aca="false">IF(AND(Projects!$G$10="Yes",Projects!$F$10="Yes",31&gt;=Projects!$C$10,31&lt;Projects!$C$10+Projects!$D$10),Projects!$B$10*(1-SUMPRODUCT((Curves!$B$4:$AO$4)*(COLUMN(Curves!$B$4:$AO$4)-COLUMN(Curves!$B$4)+1&lt;=31-Projects!$C$10+1))),0)</f>
        <v>0</v>
      </c>
      <c r="AH13" s="289" t="n">
        <f aca="false">IF(AND(Projects!$G$10="Yes",Projects!$F$10="Yes",32&gt;=Projects!$C$10,32&lt;Projects!$C$10+Projects!$D$10),Projects!$B$10*(1-SUMPRODUCT((Curves!$B$4:$AO$4)*(COLUMN(Curves!$B$4:$AO$4)-COLUMN(Curves!$B$4)+1&lt;=32-Projects!$C$10+1))),0)</f>
        <v>0</v>
      </c>
      <c r="AI13" s="289" t="n">
        <f aca="false">IF(AND(Projects!$G$10="Yes",Projects!$F$10="Yes",33&gt;=Projects!$C$10,33&lt;Projects!$C$10+Projects!$D$10),Projects!$B$10*(1-SUMPRODUCT((Curves!$B$4:$AO$4)*(COLUMN(Curves!$B$4:$AO$4)-COLUMN(Curves!$B$4)+1&lt;=33-Projects!$C$10+1))),0)</f>
        <v>0</v>
      </c>
      <c r="AJ13" s="289" t="n">
        <f aca="false">IF(AND(Projects!$G$10="Yes",Projects!$F$10="Yes",34&gt;=Projects!$C$10,34&lt;Projects!$C$10+Projects!$D$10),Projects!$B$10*(1-SUMPRODUCT((Curves!$B$4:$AO$4)*(COLUMN(Curves!$B$4:$AO$4)-COLUMN(Curves!$B$4)+1&lt;=34-Projects!$C$10+1))),0)</f>
        <v>0</v>
      </c>
      <c r="AK13" s="289" t="n">
        <f aca="false">IF(AND(Projects!$G$10="Yes",Projects!$F$10="Yes",35&gt;=Projects!$C$10,35&lt;Projects!$C$10+Projects!$D$10),Projects!$B$10*(1-SUMPRODUCT((Curves!$B$4:$AO$4)*(COLUMN(Curves!$B$4:$AO$4)-COLUMN(Curves!$B$4)+1&lt;=35-Projects!$C$10+1))),0)</f>
        <v>0</v>
      </c>
      <c r="AL13" s="289" t="n">
        <f aca="false">IF(AND(Projects!$G$10="Yes",Projects!$F$10="Yes",36&gt;=Projects!$C$10,36&lt;Projects!$C$10+Projects!$D$10),Projects!$B$10*(1-SUMPRODUCT((Curves!$B$4:$AO$4)*(COLUMN(Curves!$B$4:$AO$4)-COLUMN(Curves!$B$4)+1&lt;=36-Projects!$C$10+1))),0)</f>
        <v>0</v>
      </c>
      <c r="AM13" s="289" t="n">
        <f aca="false">IF(AND(Projects!$G$10="Yes",Projects!$F$10="Yes",37&gt;=Projects!$C$10,37&lt;Projects!$C$10+Projects!$D$10),Projects!$B$10*(1-SUMPRODUCT((Curves!$B$4:$AO$4)*(COLUMN(Curves!$B$4:$AO$4)-COLUMN(Curves!$B$4)+1&lt;=37-Projects!$C$10+1))),0)</f>
        <v>0</v>
      </c>
      <c r="AN13" s="289" t="n">
        <f aca="false">IF(AND(Projects!$G$10="Yes",Projects!$F$10="Yes",38&gt;=Projects!$C$10,38&lt;Projects!$C$10+Projects!$D$10),Projects!$B$10*(1-SUMPRODUCT((Curves!$B$4:$AO$4)*(COLUMN(Curves!$B$4:$AO$4)-COLUMN(Curves!$B$4)+1&lt;=38-Projects!$C$10+1))),0)</f>
        <v>0</v>
      </c>
      <c r="AO13" s="289" t="n">
        <f aca="false">IF(AND(Projects!$G$10="Yes",Projects!$F$10="Yes",39&gt;=Projects!$C$10,39&lt;Projects!$C$10+Projects!$D$10),Projects!$B$10*(1-SUMPRODUCT((Curves!$B$4:$AO$4)*(COLUMN(Curves!$B$4:$AO$4)-COLUMN(Curves!$B$4)+1&lt;=39-Projects!$C$10+1))),0)</f>
        <v>0</v>
      </c>
      <c r="AP13" s="289" t="n">
        <f aca="false">IF(AND(Projects!$G$10="Yes",Projects!$F$10="Yes",40&gt;=Projects!$C$10,40&lt;Projects!$C$10+Projects!$D$10),Projects!$B$10*(1-SUMPRODUCT((Curves!$B$4:$AO$4)*(COLUMN(Curves!$B$4:$AO$4)-COLUMN(Curves!$B$4)+1&lt;=40-Projects!$C$10+1))),0)</f>
        <v>0</v>
      </c>
      <c r="AQ13" s="289" t="n">
        <f aca="false">IF(AND(Projects!$G$10="Yes",Projects!$F$10="Yes",41&gt;=Projects!$C$10,41&lt;Projects!$C$10+Projects!$D$10),Projects!$B$10*(1-SUMPRODUCT((Curves!$B$4:$AO$4)*(COLUMN(Curves!$B$4:$AO$4)-COLUMN(Curves!$B$4)+1&lt;=41-Projects!$C$10+1))),0)</f>
        <v>0</v>
      </c>
      <c r="AR13" s="289" t="n">
        <f aca="false">IF(AND(Projects!$G$10="Yes",Projects!$F$10="Yes",42&gt;=Projects!$C$10,42&lt;Projects!$C$10+Projects!$D$10),Projects!$B$10*(1-SUMPRODUCT((Curves!$B$4:$AO$4)*(COLUMN(Curves!$B$4:$AO$4)-COLUMN(Curves!$B$4)+1&lt;=42-Projects!$C$10+1))),0)</f>
        <v>0</v>
      </c>
      <c r="AS13" s="289" t="n">
        <f aca="false">IF(AND(Projects!$G$10="Yes",Projects!$F$10="Yes",43&gt;=Projects!$C$10,43&lt;Projects!$C$10+Projects!$D$10),Projects!$B$10*(1-SUMPRODUCT((Curves!$B$4:$AO$4)*(COLUMN(Curves!$B$4:$AO$4)-COLUMN(Curves!$B$4)+1&lt;=43-Projects!$C$10+1))),0)</f>
        <v>0</v>
      </c>
      <c r="AT13" s="289" t="n">
        <f aca="false">IF(AND(Projects!$G$10="Yes",Projects!$F$10="Yes",44&gt;=Projects!$C$10,44&lt;Projects!$C$10+Projects!$D$10),Projects!$B$10*(1-SUMPRODUCT((Curves!$B$4:$AO$4)*(COLUMN(Curves!$B$4:$AO$4)-COLUMN(Curves!$B$4)+1&lt;=44-Projects!$C$10+1))),0)</f>
        <v>0</v>
      </c>
      <c r="AU13" s="289" t="n">
        <f aca="false">IF(AND(Projects!$G$10="Yes",Projects!$F$10="Yes",45&gt;=Projects!$C$10,45&lt;Projects!$C$10+Projects!$D$10),Projects!$B$10*(1-SUMPRODUCT((Curves!$B$4:$AO$4)*(COLUMN(Curves!$B$4:$AO$4)-COLUMN(Curves!$B$4)+1&lt;=45-Projects!$C$10+1))),0)</f>
        <v>0</v>
      </c>
      <c r="AV13" s="289" t="n">
        <f aca="false">IF(AND(Projects!$G$10="Yes",Projects!$F$10="Yes",46&gt;=Projects!$C$10,46&lt;Projects!$C$10+Projects!$D$10),Projects!$B$10*(1-SUMPRODUCT((Curves!$B$4:$AO$4)*(COLUMN(Curves!$B$4:$AO$4)-COLUMN(Curves!$B$4)+1&lt;=46-Projects!$C$10+1))),0)</f>
        <v>0</v>
      </c>
      <c r="AW13" s="289" t="n">
        <f aca="false">IF(AND(Projects!$G$10="Yes",Projects!$F$10="Yes",47&gt;=Projects!$C$10,47&lt;Projects!$C$10+Projects!$D$10),Projects!$B$10*(1-SUMPRODUCT((Curves!$B$4:$AO$4)*(COLUMN(Curves!$B$4:$AO$4)-COLUMN(Curves!$B$4)+1&lt;=47-Projects!$C$10+1))),0)</f>
        <v>0</v>
      </c>
      <c r="AX13" s="289" t="n">
        <f aca="false">IF(AND(Projects!$G$10="Yes",Projects!$F$10="Yes",48&gt;=Projects!$C$10,48&lt;Projects!$C$10+Projects!$D$10),Projects!$B$10*(1-SUMPRODUCT((Curves!$B$4:$AO$4)*(COLUMN(Curves!$B$4:$AO$4)-COLUMN(Curves!$B$4)+1&lt;=48-Projects!$C$10+1))),0)</f>
        <v>0</v>
      </c>
      <c r="AY13" s="289" t="n">
        <f aca="false">IF(AND(Projects!$G$10="Yes",Projects!$F$10="Yes",49&gt;=Projects!$C$10,49&lt;Projects!$C$10+Projects!$D$10),Projects!$B$10*(1-SUMPRODUCT((Curves!$B$4:$AO$4)*(COLUMN(Curves!$B$4:$AO$4)-COLUMN(Curves!$B$4)+1&lt;=49-Projects!$C$10+1))),0)</f>
        <v>0</v>
      </c>
      <c r="AZ13" s="289" t="n">
        <f aca="false">IF(AND(Projects!$G$10="Yes",Projects!$F$10="Yes",50&gt;=Projects!$C$10,50&lt;Projects!$C$10+Projects!$D$10),Projects!$B$10*(1-SUMPRODUCT((Curves!$B$4:$AO$4)*(COLUMN(Curves!$B$4:$AO$4)-COLUMN(Curves!$B$4)+1&lt;=50-Projects!$C$10+1))),0)</f>
        <v>0</v>
      </c>
      <c r="BA13" s="289" t="n">
        <f aca="false">IF(AND(Projects!$G$10="Yes",Projects!$F$10="Yes",51&gt;=Projects!$C$10,51&lt;Projects!$C$10+Projects!$D$10),Projects!$B$10*(1-SUMPRODUCT((Curves!$B$4:$AO$4)*(COLUMN(Curves!$B$4:$AO$4)-COLUMN(Curves!$B$4)+1&lt;=51-Projects!$C$10+1))),0)</f>
        <v>0</v>
      </c>
      <c r="BB13" s="289" t="n">
        <f aca="false">IF(AND(Projects!$G$10="Yes",Projects!$F$10="Yes",52&gt;=Projects!$C$10,52&lt;Projects!$C$10+Projects!$D$10),Projects!$B$10*(1-SUMPRODUCT((Curves!$B$4:$AO$4)*(COLUMN(Curves!$B$4:$AO$4)-COLUMN(Curves!$B$4)+1&lt;=52-Projects!$C$10+1))),0)</f>
        <v>0</v>
      </c>
      <c r="BC13" s="289" t="n">
        <f aca="false">IF(AND(Projects!$G$10="Yes",Projects!$F$10="Yes",53&gt;=Projects!$C$10,53&lt;Projects!$C$10+Projects!$D$10),Projects!$B$10*(1-SUMPRODUCT((Curves!$B$4:$AO$4)*(COLUMN(Curves!$B$4:$AO$4)-COLUMN(Curves!$B$4)+1&lt;=53-Projects!$C$10+1))),0)</f>
        <v>0</v>
      </c>
      <c r="BD13" s="289" t="n">
        <f aca="false">IF(AND(Projects!$G$10="Yes",Projects!$F$10="Yes",54&gt;=Projects!$C$10,54&lt;Projects!$C$10+Projects!$D$10),Projects!$B$10*(1-SUMPRODUCT((Curves!$B$4:$AO$4)*(COLUMN(Curves!$B$4:$AO$4)-COLUMN(Curves!$B$4)+1&lt;=54-Projects!$C$10+1))),0)</f>
        <v>0</v>
      </c>
      <c r="BE13" s="289" t="n">
        <f aca="false">IF(AND(Projects!$G$10="Yes",Projects!$F$10="Yes",55&gt;=Projects!$C$10,55&lt;Projects!$C$10+Projects!$D$10),Projects!$B$10*(1-SUMPRODUCT((Curves!$B$4:$AO$4)*(COLUMN(Curves!$B$4:$AO$4)-COLUMN(Curves!$B$4)+1&lt;=55-Projects!$C$10+1))),0)</f>
        <v>0</v>
      </c>
      <c r="BF13" s="289" t="n">
        <f aca="false">IF(AND(Projects!$G$10="Yes",Projects!$F$10="Yes",56&gt;=Projects!$C$10,56&lt;Projects!$C$10+Projects!$D$10),Projects!$B$10*(1-SUMPRODUCT((Curves!$B$4:$AO$4)*(COLUMN(Curves!$B$4:$AO$4)-COLUMN(Curves!$B$4)+1&lt;=56-Projects!$C$10+1))),0)</f>
        <v>0</v>
      </c>
      <c r="BG13" s="289" t="n">
        <f aca="false">IF(AND(Projects!$G$10="Yes",Projects!$F$10="Yes",57&gt;=Projects!$C$10,57&lt;Projects!$C$10+Projects!$D$10),Projects!$B$10*(1-SUMPRODUCT((Curves!$B$4:$AO$4)*(COLUMN(Curves!$B$4:$AO$4)-COLUMN(Curves!$B$4)+1&lt;=57-Projects!$C$10+1))),0)</f>
        <v>0</v>
      </c>
      <c r="BH13" s="289" t="n">
        <f aca="false">IF(AND(Projects!$G$10="Yes",Projects!$F$10="Yes",58&gt;=Projects!$C$10,58&lt;Projects!$C$10+Projects!$D$10),Projects!$B$10*(1-SUMPRODUCT((Curves!$B$4:$AO$4)*(COLUMN(Curves!$B$4:$AO$4)-COLUMN(Curves!$B$4)+1&lt;=58-Projects!$C$10+1))),0)</f>
        <v>0</v>
      </c>
      <c r="BI13" s="289" t="n">
        <f aca="false">IF(AND(Projects!$G$10="Yes",Projects!$F$10="Yes",59&gt;=Projects!$C$10,59&lt;Projects!$C$10+Projects!$D$10),Projects!$B$10*(1-SUMPRODUCT((Curves!$B$4:$AO$4)*(COLUMN(Curves!$B$4:$AO$4)-COLUMN(Curves!$B$4)+1&lt;=59-Projects!$C$10+1))),0)</f>
        <v>0</v>
      </c>
      <c r="BJ13" s="289" t="n">
        <f aca="false">IF(AND(Projects!$G$10="Yes",Projects!$F$10="Yes",60&gt;=Projects!$C$10,60&lt;Projects!$C$10+Projects!$D$10),Projects!$B$10*(1-SUMPRODUCT((Curves!$B$4:$AO$4)*(COLUMN(Curves!$B$4:$AO$4)-COLUMN(Curves!$B$4)+1&lt;=60-Projects!$C$10+1))),0)</f>
        <v>0</v>
      </c>
      <c r="BK13" s="289" t="n">
        <f aca="false">IF(AND(Projects!$G$10="Yes",Projects!$F$10="Yes",61&gt;=Projects!$C$10,61&lt;Projects!$C$10+Projects!$D$10),Projects!$B$10*(1-SUMPRODUCT((Curves!$B$4:$AO$4)*(COLUMN(Curves!$B$4:$AO$4)-COLUMN(Curves!$B$4)+1&lt;=61-Projects!$C$10+1))),0)</f>
        <v>0</v>
      </c>
      <c r="BL13" s="289" t="n">
        <f aca="false">IF(AND(Projects!$G$10="Yes",Projects!$F$10="Yes",62&gt;=Projects!$C$10,62&lt;Projects!$C$10+Projects!$D$10),Projects!$B$10*(1-SUMPRODUCT((Curves!$B$4:$AO$4)*(COLUMN(Curves!$B$4:$AO$4)-COLUMN(Curves!$B$4)+1&lt;=62-Projects!$C$10+1))),0)</f>
        <v>0</v>
      </c>
      <c r="BM13" s="289" t="n">
        <f aca="false">IF(AND(Projects!$G$10="Yes",Projects!$F$10="Yes",63&gt;=Projects!$C$10,63&lt;Projects!$C$10+Projects!$D$10),Projects!$B$10*(1-SUMPRODUCT((Curves!$B$4:$AO$4)*(COLUMN(Curves!$B$4:$AO$4)-COLUMN(Curves!$B$4)+1&lt;=63-Projects!$C$10+1))),0)</f>
        <v>0</v>
      </c>
      <c r="BN13" s="289" t="n">
        <f aca="false">IF(AND(Projects!$G$10="Yes",Projects!$F$10="Yes",64&gt;=Projects!$C$10,64&lt;Projects!$C$10+Projects!$D$10),Projects!$B$10*(1-SUMPRODUCT((Curves!$B$4:$AO$4)*(COLUMN(Curves!$B$4:$AO$4)-COLUMN(Curves!$B$4)+1&lt;=64-Projects!$C$10+1))),0)</f>
        <v>0</v>
      </c>
      <c r="BO13" s="289" t="n">
        <f aca="false">IF(AND(Projects!$G$10="Yes",Projects!$F$10="Yes",65&gt;=Projects!$C$10,65&lt;Projects!$C$10+Projects!$D$10),Projects!$B$10*(1-SUMPRODUCT((Curves!$B$4:$AO$4)*(COLUMN(Curves!$B$4:$AO$4)-COLUMN(Curves!$B$4)+1&lt;=65-Projects!$C$10+1))),0)</f>
        <v>0</v>
      </c>
      <c r="BP13" s="289" t="n">
        <f aca="false">IF(AND(Projects!$G$10="Yes",Projects!$F$10="Yes",66&gt;=Projects!$C$10,66&lt;Projects!$C$10+Projects!$D$10),Projects!$B$10*(1-SUMPRODUCT((Curves!$B$4:$AO$4)*(COLUMN(Curves!$B$4:$AO$4)-COLUMN(Curves!$B$4)+1&lt;=66-Projects!$C$10+1))),0)</f>
        <v>0</v>
      </c>
      <c r="BQ13" s="289" t="n">
        <f aca="false">IF(AND(Projects!$G$10="Yes",Projects!$F$10="Yes",67&gt;=Projects!$C$10,67&lt;Projects!$C$10+Projects!$D$10),Projects!$B$10*(1-SUMPRODUCT((Curves!$B$4:$AO$4)*(COLUMN(Curves!$B$4:$AO$4)-COLUMN(Curves!$B$4)+1&lt;=67-Projects!$C$10+1))),0)</f>
        <v>0</v>
      </c>
      <c r="BR13" s="289" t="n">
        <f aca="false">IF(AND(Projects!$G$10="Yes",Projects!$F$10="Yes",68&gt;=Projects!$C$10,68&lt;Projects!$C$10+Projects!$D$10),Projects!$B$10*(1-SUMPRODUCT((Curves!$B$4:$AO$4)*(COLUMN(Curves!$B$4:$AO$4)-COLUMN(Curves!$B$4)+1&lt;=68-Projects!$C$10+1))),0)</f>
        <v>0</v>
      </c>
      <c r="BS13" s="289" t="n">
        <f aca="false">IF(AND(Projects!$G$10="Yes",Projects!$F$10="Yes",69&gt;=Projects!$C$10,69&lt;Projects!$C$10+Projects!$D$10),Projects!$B$10*(1-SUMPRODUCT((Curves!$B$4:$AO$4)*(COLUMN(Curves!$B$4:$AO$4)-COLUMN(Curves!$B$4)+1&lt;=69-Projects!$C$10+1))),0)</f>
        <v>0</v>
      </c>
      <c r="BT13" s="289" t="n">
        <f aca="false">IF(AND(Projects!$G$10="Yes",Projects!$F$10="Yes",70&gt;=Projects!$C$10,70&lt;Projects!$C$10+Projects!$D$10),Projects!$B$10*(1-SUMPRODUCT((Curves!$B$4:$AO$4)*(COLUMN(Curves!$B$4:$AO$4)-COLUMN(Curves!$B$4)+1&lt;=70-Projects!$C$10+1))),0)</f>
        <v>0</v>
      </c>
      <c r="BU13" s="289" t="n">
        <f aca="false">IF(AND(Projects!$G$10="Yes",Projects!$F$10="Yes",71&gt;=Projects!$C$10,71&lt;Projects!$C$10+Projects!$D$10),Projects!$B$10*(1-SUMPRODUCT((Curves!$B$4:$AO$4)*(COLUMN(Curves!$B$4:$AO$4)-COLUMN(Curves!$B$4)+1&lt;=71-Projects!$C$10+1))),0)</f>
        <v>0</v>
      </c>
      <c r="BV13" s="289" t="n">
        <f aca="false">IF(AND(Projects!$G$10="Yes",Projects!$F$10="Yes",72&gt;=Projects!$C$10,72&lt;Projects!$C$10+Projects!$D$10),Projects!$B$10*(1-SUMPRODUCT((Curves!$B$4:$AO$4)*(COLUMN(Curves!$B$4:$AO$4)-COLUMN(Curves!$B$4)+1&lt;=72-Projects!$C$10+1))),0)</f>
        <v>0</v>
      </c>
      <c r="BW13" s="289" t="n">
        <f aca="false">IF(AND(Projects!$G$10="Yes",Projects!$F$10="Yes",73&gt;=Projects!$C$10,73&lt;Projects!$C$10+Projects!$D$10),Projects!$B$10*(1-SUMPRODUCT((Curves!$B$4:$AO$4)*(COLUMN(Curves!$B$4:$AO$4)-COLUMN(Curves!$B$4)+1&lt;=73-Projects!$C$10+1))),0)</f>
        <v>0</v>
      </c>
      <c r="BX13" s="289" t="n">
        <f aca="false">IF(AND(Projects!$G$10="Yes",Projects!$F$10="Yes",74&gt;=Projects!$C$10,74&lt;Projects!$C$10+Projects!$D$10),Projects!$B$10*(1-SUMPRODUCT((Curves!$B$4:$AO$4)*(COLUMN(Curves!$B$4:$AO$4)-COLUMN(Curves!$B$4)+1&lt;=74-Projects!$C$10+1))),0)</f>
        <v>0</v>
      </c>
      <c r="BY13" s="289" t="n">
        <f aca="false">IF(AND(Projects!$G$10="Yes",Projects!$F$10="Yes",75&gt;=Projects!$C$10,75&lt;Projects!$C$10+Projects!$D$10),Projects!$B$10*(1-SUMPRODUCT((Curves!$B$4:$AO$4)*(COLUMN(Curves!$B$4:$AO$4)-COLUMN(Curves!$B$4)+1&lt;=75-Projects!$C$10+1))),0)</f>
        <v>0</v>
      </c>
      <c r="BZ13" s="289" t="n">
        <f aca="false">IF(AND(Projects!$G$10="Yes",Projects!$F$10="Yes",76&gt;=Projects!$C$10,76&lt;Projects!$C$10+Projects!$D$10),Projects!$B$10*(1-SUMPRODUCT((Curves!$B$4:$AO$4)*(COLUMN(Curves!$B$4:$AO$4)-COLUMN(Curves!$B$4)+1&lt;=76-Projects!$C$10+1))),0)</f>
        <v>0</v>
      </c>
      <c r="CA13" s="289" t="n">
        <f aca="false">IF(AND(Projects!$G$10="Yes",Projects!$F$10="Yes",77&gt;=Projects!$C$10,77&lt;Projects!$C$10+Projects!$D$10),Projects!$B$10*(1-SUMPRODUCT((Curves!$B$4:$AO$4)*(COLUMN(Curves!$B$4:$AO$4)-COLUMN(Curves!$B$4)+1&lt;=77-Projects!$C$10+1))),0)</f>
        <v>0</v>
      </c>
      <c r="CB13" s="289" t="n">
        <f aca="false">IF(AND(Projects!$G$10="Yes",Projects!$F$10="Yes",78&gt;=Projects!$C$10,78&lt;Projects!$C$10+Projects!$D$10),Projects!$B$10*(1-SUMPRODUCT((Curves!$B$4:$AO$4)*(COLUMN(Curves!$B$4:$AO$4)-COLUMN(Curves!$B$4)+1&lt;=78-Projects!$C$10+1))),0)</f>
        <v>0</v>
      </c>
      <c r="CC13" s="289" t="n">
        <f aca="false">IF(AND(Projects!$G$10="Yes",Projects!$F$10="Yes",79&gt;=Projects!$C$10,79&lt;Projects!$C$10+Projects!$D$10),Projects!$B$10*(1-SUMPRODUCT((Curves!$B$4:$AO$4)*(COLUMN(Curves!$B$4:$AO$4)-COLUMN(Curves!$B$4)+1&lt;=79-Projects!$C$10+1))),0)</f>
        <v>0</v>
      </c>
      <c r="CD13" s="289" t="n">
        <f aca="false">IF(AND(Projects!$G$10="Yes",Projects!$F$10="Yes",80&gt;=Projects!$C$10,80&lt;Projects!$C$10+Projects!$D$10),Projects!$B$10*(1-SUMPRODUCT((Curves!$B$4:$AO$4)*(COLUMN(Curves!$B$4:$AO$4)-COLUMN(Curves!$B$4)+1&lt;=80-Projects!$C$10+1))),0)</f>
        <v>0</v>
      </c>
      <c r="CE13" s="289" t="n">
        <f aca="false">IF(AND(Projects!$G$10="Yes",Projects!$F$10="Yes",81&gt;=Projects!$C$10,81&lt;Projects!$C$10+Projects!$D$10),Projects!$B$10*(1-SUMPRODUCT((Curves!$B$4:$AO$4)*(COLUMN(Curves!$B$4:$AO$4)-COLUMN(Curves!$B$4)+1&lt;=81-Projects!$C$10+1))),0)</f>
        <v>0</v>
      </c>
      <c r="CF13" s="289" t="n">
        <f aca="false">IF(AND(Projects!$G$10="Yes",Projects!$F$10="Yes",82&gt;=Projects!$C$10,82&lt;Projects!$C$10+Projects!$D$10),Projects!$B$10*(1-SUMPRODUCT((Curves!$B$4:$AO$4)*(COLUMN(Curves!$B$4:$AO$4)-COLUMN(Curves!$B$4)+1&lt;=82-Projects!$C$10+1))),0)</f>
        <v>0</v>
      </c>
      <c r="CG13" s="289" t="n">
        <f aca="false">IF(AND(Projects!$G$10="Yes",Projects!$F$10="Yes",83&gt;=Projects!$C$10,83&lt;Projects!$C$10+Projects!$D$10),Projects!$B$10*(1-SUMPRODUCT((Curves!$B$4:$AO$4)*(COLUMN(Curves!$B$4:$AO$4)-COLUMN(Curves!$B$4)+1&lt;=83-Projects!$C$10+1))),0)</f>
        <v>0</v>
      </c>
      <c r="CH13" s="289" t="n">
        <f aca="false">IF(AND(Projects!$G$10="Yes",Projects!$F$10="Yes",84&gt;=Projects!$C$10,84&lt;Projects!$C$10+Projects!$D$10),Projects!$B$10*(1-SUMPRODUCT((Curves!$B$4:$AO$4)*(COLUMN(Curves!$B$4:$AO$4)-COLUMN(Curves!$B$4)+1&lt;=84-Projects!$C$10+1))),0)</f>
        <v>0</v>
      </c>
      <c r="CI13" s="289" t="n">
        <f aca="false">IF(AND(Projects!$G$10="Yes",Projects!$F$10="Yes",85&gt;=Projects!$C$10,85&lt;Projects!$C$10+Projects!$D$10),Projects!$B$10*(1-SUMPRODUCT((Curves!$B$4:$AO$4)*(COLUMN(Curves!$B$4:$AO$4)-COLUMN(Curves!$B$4)+1&lt;=85-Projects!$C$10+1))),0)</f>
        <v>0</v>
      </c>
      <c r="CJ13" s="289" t="n">
        <f aca="false">IF(AND(Projects!$G$10="Yes",Projects!$F$10="Yes",86&gt;=Projects!$C$10,86&lt;Projects!$C$10+Projects!$D$10),Projects!$B$10*(1-SUMPRODUCT((Curves!$B$4:$AO$4)*(COLUMN(Curves!$B$4:$AO$4)-COLUMN(Curves!$B$4)+1&lt;=86-Projects!$C$10+1))),0)</f>
        <v>0</v>
      </c>
      <c r="CK13" s="289" t="n">
        <f aca="false">IF(AND(Projects!$G$10="Yes",Projects!$F$10="Yes",87&gt;=Projects!$C$10,87&lt;Projects!$C$10+Projects!$D$10),Projects!$B$10*(1-SUMPRODUCT((Curves!$B$4:$AO$4)*(COLUMN(Curves!$B$4:$AO$4)-COLUMN(Curves!$B$4)+1&lt;=87-Projects!$C$10+1))),0)</f>
        <v>0</v>
      </c>
      <c r="CL13" s="289" t="n">
        <f aca="false">IF(AND(Projects!$G$10="Yes",Projects!$F$10="Yes",88&gt;=Projects!$C$10,88&lt;Projects!$C$10+Projects!$D$10),Projects!$B$10*(1-SUMPRODUCT((Curves!$B$4:$AO$4)*(COLUMN(Curves!$B$4:$AO$4)-COLUMN(Curves!$B$4)+1&lt;=88-Projects!$C$10+1))),0)</f>
        <v>0</v>
      </c>
      <c r="CM13" s="289" t="n">
        <f aca="false">IF(AND(Projects!$G$10="Yes",Projects!$F$10="Yes",89&gt;=Projects!$C$10,89&lt;Projects!$C$10+Projects!$D$10),Projects!$B$10*(1-SUMPRODUCT((Curves!$B$4:$AO$4)*(COLUMN(Curves!$B$4:$AO$4)-COLUMN(Curves!$B$4)+1&lt;=89-Projects!$C$10+1))),0)</f>
        <v>0</v>
      </c>
      <c r="CN13" s="289" t="n">
        <f aca="false">IF(AND(Projects!$G$10="Yes",Projects!$F$10="Yes",90&gt;=Projects!$C$10,90&lt;Projects!$C$10+Projects!$D$10),Projects!$B$10*(1-SUMPRODUCT((Curves!$B$4:$AO$4)*(COLUMN(Curves!$B$4:$AO$4)-COLUMN(Curves!$B$4)+1&lt;=90-Projects!$C$10+1))),0)</f>
        <v>0</v>
      </c>
      <c r="CO13" s="289" t="n">
        <f aca="false">IF(AND(Projects!$G$10="Yes",Projects!$F$10="Yes",91&gt;=Projects!$C$10,91&lt;Projects!$C$10+Projects!$D$10),Projects!$B$10*(1-SUMPRODUCT((Curves!$B$4:$AO$4)*(COLUMN(Curves!$B$4:$AO$4)-COLUMN(Curves!$B$4)+1&lt;=91-Projects!$C$10+1))),0)</f>
        <v>0</v>
      </c>
      <c r="CP13" s="289" t="n">
        <f aca="false">IF(AND(Projects!$G$10="Yes",Projects!$F$10="Yes",92&gt;=Projects!$C$10,92&lt;Projects!$C$10+Projects!$D$10),Projects!$B$10*(1-SUMPRODUCT((Curves!$B$4:$AO$4)*(COLUMN(Curves!$B$4:$AO$4)-COLUMN(Curves!$B$4)+1&lt;=92-Projects!$C$10+1))),0)</f>
        <v>0</v>
      </c>
      <c r="CQ13" s="289" t="n">
        <f aca="false">IF(AND(Projects!$G$10="Yes",Projects!$F$10="Yes",93&gt;=Projects!$C$10,93&lt;Projects!$C$10+Projects!$D$10),Projects!$B$10*(1-SUMPRODUCT((Curves!$B$4:$AO$4)*(COLUMN(Curves!$B$4:$AO$4)-COLUMN(Curves!$B$4)+1&lt;=93-Projects!$C$10+1))),0)</f>
        <v>0</v>
      </c>
    </row>
    <row r="14" customFormat="false" ht="15" hidden="false" customHeight="true" outlineLevel="0" collapsed="false">
      <c r="A14" s="177" t="s">
        <v>18</v>
      </c>
      <c r="C14" s="289" t="n">
        <f aca="false">IF(AND(Projects!$G$13="Yes",Projects!$F$13="Yes",1&gt;=Projects!$C$13,1&lt;Projects!$C$13+Projects!$D$13),Projects!$B$13*(1-SUMPRODUCT((Curves!$B$2:$AO$2)*(COLUMN(Curves!$B$2:$AO$2)-COLUMN(Curves!$B$2)+1&lt;=1-Projects!$C$13+1))),0)</f>
        <v>0</v>
      </c>
      <c r="D14" s="289" t="n">
        <f aca="false">IF(AND(Projects!$G$13="Yes",Projects!$F$13="Yes",2&gt;=Projects!$C$13,2&lt;Projects!$C$13+Projects!$D$13),Projects!$B$13*(1-SUMPRODUCT((Curves!$B$2:$AO$2)*(COLUMN(Curves!$B$2:$AO$2)-COLUMN(Curves!$B$2)+1&lt;=2-Projects!$C$13+1))),0)</f>
        <v>0</v>
      </c>
      <c r="E14" s="289" t="n">
        <f aca="false">IF(AND(Projects!$G$13="Yes",Projects!$F$13="Yes",3&gt;=Projects!$C$13,3&lt;Projects!$C$13+Projects!$D$13),Projects!$B$13*(1-SUMPRODUCT((Curves!$B$2:$AO$2)*(COLUMN(Curves!$B$2:$AO$2)-COLUMN(Curves!$B$2)+1&lt;=3-Projects!$C$13+1))),0)</f>
        <v>0</v>
      </c>
      <c r="F14" s="289" t="n">
        <f aca="false">IF(AND(Projects!$G$13="Yes",Projects!$F$13="Yes",4&gt;=Projects!$C$13,4&lt;Projects!$C$13+Projects!$D$13),Projects!$B$13*(1-SUMPRODUCT((Curves!$B$2:$AO$2)*(COLUMN(Curves!$B$2:$AO$2)-COLUMN(Curves!$B$2)+1&lt;=4-Projects!$C$13+1))),0)</f>
        <v>0</v>
      </c>
      <c r="G14" s="289" t="n">
        <f aca="false">IF(AND(Projects!$G$13="Yes",Projects!$F$13="Yes",5&gt;=Projects!$C$13,5&lt;Projects!$C$13+Projects!$D$13),Projects!$B$13*(1-SUMPRODUCT((Curves!$B$2:$AO$2)*(COLUMN(Curves!$B$2:$AO$2)-COLUMN(Curves!$B$2)+1&lt;=5-Projects!$C$13+1))),0)</f>
        <v>0</v>
      </c>
      <c r="H14" s="289" t="n">
        <f aca="false">IF(AND(Projects!$G$13="Yes",Projects!$F$13="Yes",6&gt;=Projects!$C$13,6&lt;Projects!$C$13+Projects!$D$13),Projects!$B$13*(1-SUMPRODUCT((Curves!$B$2:$AO$2)*(COLUMN(Curves!$B$2:$AO$2)-COLUMN(Curves!$B$2)+1&lt;=6-Projects!$C$13+1))),0)</f>
        <v>0</v>
      </c>
      <c r="I14" s="289" t="n">
        <f aca="false">IF(AND(Projects!$G$13="Yes",Projects!$F$13="Yes",7&gt;=Projects!$C$13,7&lt;Projects!$C$13+Projects!$D$13),Projects!$B$13*(1-SUMPRODUCT((Curves!$B$2:$AO$2)*(COLUMN(Curves!$B$2:$AO$2)-COLUMN(Curves!$B$2)+1&lt;=7-Projects!$C$13+1))),0)</f>
        <v>0</v>
      </c>
      <c r="J14" s="289" t="n">
        <f aca="false">IF(AND(Projects!$G$13="Yes",Projects!$F$13="Yes",8&gt;=Projects!$C$13,8&lt;Projects!$C$13+Projects!$D$13),Projects!$B$13*(1-SUMPRODUCT((Curves!$B$2:$AO$2)*(COLUMN(Curves!$B$2:$AO$2)-COLUMN(Curves!$B$2)+1&lt;=8-Projects!$C$13+1))),0)</f>
        <v>0</v>
      </c>
      <c r="K14" s="289" t="n">
        <f aca="false">IF(AND(Projects!$G$13="Yes",Projects!$F$13="Yes",9&gt;=Projects!$C$13,9&lt;Projects!$C$13+Projects!$D$13),Projects!$B$13*(1-SUMPRODUCT((Curves!$B$2:$AO$2)*(COLUMN(Curves!$B$2:$AO$2)-COLUMN(Curves!$B$2)+1&lt;=9-Projects!$C$13+1))),0)</f>
        <v>0</v>
      </c>
      <c r="L14" s="289" t="n">
        <f aca="false">IF(AND(Projects!$G$13="Yes",Projects!$F$13="Yes",10&gt;=Projects!$C$13,10&lt;Projects!$C$13+Projects!$D$13),Projects!$B$13*(1-SUMPRODUCT((Curves!$B$2:$AO$2)*(COLUMN(Curves!$B$2:$AO$2)-COLUMN(Curves!$B$2)+1&lt;=10-Projects!$C$13+1))),0)</f>
        <v>0</v>
      </c>
      <c r="M14" s="289" t="n">
        <f aca="false">IF(AND(Projects!$G$13="Yes",Projects!$F$13="Yes",11&gt;=Projects!$C$13,11&lt;Projects!$C$13+Projects!$D$13),Projects!$B$13*(1-SUMPRODUCT((Curves!$B$2:$AO$2)*(COLUMN(Curves!$B$2:$AO$2)-COLUMN(Curves!$B$2)+1&lt;=11-Projects!$C$13+1))),0)</f>
        <v>0</v>
      </c>
      <c r="N14" s="289" t="n">
        <f aca="false">IF(AND(Projects!$G$13="Yes",Projects!$F$13="Yes",12&gt;=Projects!$C$13,12&lt;Projects!$C$13+Projects!$D$13),Projects!$B$13*(1-SUMPRODUCT((Curves!$B$2:$AO$2)*(COLUMN(Curves!$B$2:$AO$2)-COLUMN(Curves!$B$2)+1&lt;=12-Projects!$C$13+1))),0)</f>
        <v>0</v>
      </c>
      <c r="O14" s="289" t="n">
        <f aca="false">IF(AND(Projects!$G$13="Yes",Projects!$F$13="Yes",13&gt;=Projects!$C$13,13&lt;Projects!$C$13+Projects!$D$13),Projects!$B$13*(1-SUMPRODUCT((Curves!$B$2:$AO$2)*(COLUMN(Curves!$B$2:$AO$2)-COLUMN(Curves!$B$2)+1&lt;=13-Projects!$C$13+1))),0)</f>
        <v>44537929.73623</v>
      </c>
      <c r="P14" s="289" t="n">
        <f aca="false">IF(AND(Projects!$G$13="Yes",Projects!$F$13="Yes",14&gt;=Projects!$C$13,14&lt;Projects!$C$13+Projects!$D$13),Projects!$B$13*(1-SUMPRODUCT((Curves!$B$2:$AO$2)*(COLUMN(Curves!$B$2:$AO$2)-COLUMN(Curves!$B$2)+1&lt;=14-Projects!$C$13+1))),0)</f>
        <v>43699679.68937</v>
      </c>
      <c r="Q14" s="289" t="n">
        <f aca="false">IF(AND(Projects!$G$13="Yes",Projects!$F$13="Yes",15&gt;=Projects!$C$13,15&lt;Projects!$C$13+Projects!$D$13),Projects!$B$13*(1-SUMPRODUCT((Curves!$B$2:$AO$2)*(COLUMN(Curves!$B$2:$AO$2)-COLUMN(Curves!$B$2)+1&lt;=15-Projects!$C$13+1))),0)</f>
        <v>42745139.31038</v>
      </c>
      <c r="R14" s="289" t="n">
        <f aca="false">IF(AND(Projects!$G$13="Yes",Projects!$F$13="Yes",16&gt;=Projects!$C$13,16&lt;Projects!$C$13+Projects!$D$13),Projects!$B$13*(1-SUMPRODUCT((Curves!$B$2:$AO$2)*(COLUMN(Curves!$B$2:$AO$2)-COLUMN(Curves!$B$2)+1&lt;=16-Projects!$C$13+1))),0)</f>
        <v>41669012.38717</v>
      </c>
      <c r="S14" s="289" t="n">
        <f aca="false">IF(AND(Projects!$G$13="Yes",Projects!$F$13="Yes",17&gt;=Projects!$C$13,17&lt;Projects!$C$13+Projects!$D$13),Projects!$B$13*(1-SUMPRODUCT((Curves!$B$2:$AO$2)*(COLUMN(Curves!$B$2:$AO$2)-COLUMN(Curves!$B$2)+1&lt;=17-Projects!$C$13+1))),0)</f>
        <v>40467858.64522</v>
      </c>
      <c r="T14" s="289" t="n">
        <f aca="false">IF(AND(Projects!$G$13="Yes",Projects!$F$13="Yes",18&gt;=Projects!$C$13,18&lt;Projects!$C$13+Projects!$D$13),Projects!$B$13*(1-SUMPRODUCT((Curves!$B$2:$AO$2)*(COLUMN(Curves!$B$2:$AO$2)-COLUMN(Curves!$B$2)+1&lt;=18-Projects!$C$13+1))),0)</f>
        <v>39140501.14851</v>
      </c>
      <c r="U14" s="289" t="n">
        <f aca="false">IF(AND(Projects!$G$13="Yes",Projects!$F$13="Yes",19&gt;=Projects!$C$13,19&lt;Projects!$C$13+Projects!$D$13),Projects!$B$13*(1-SUMPRODUCT((Curves!$B$2:$AO$2)*(COLUMN(Curves!$B$2:$AO$2)-COLUMN(Curves!$B$2)+1&lt;=19-Projects!$C$13+1))),0)</f>
        <v>37688252.63337</v>
      </c>
      <c r="V14" s="289" t="n">
        <f aca="false">IF(AND(Projects!$G$13="Yes",Projects!$F$13="Yes",20&gt;=Projects!$C$13,20&lt;Projects!$C$13+Projects!$D$13),Projects!$B$13*(1-SUMPRODUCT((Curves!$B$2:$AO$2)*(COLUMN(Curves!$B$2:$AO$2)-COLUMN(Curves!$B$2)+1&lt;=20-Projects!$C$13+1))),0)</f>
        <v>36115141.84233</v>
      </c>
      <c r="W14" s="289" t="n">
        <f aca="false">IF(AND(Projects!$G$13="Yes",Projects!$F$13="Yes",21&gt;=Projects!$C$13,21&lt;Projects!$C$13+Projects!$D$13),Projects!$B$13*(1-SUMPRODUCT((Curves!$B$2:$AO$2)*(COLUMN(Curves!$B$2:$AO$2)-COLUMN(Curves!$B$2)+1&lt;=21-Projects!$C$13+1))),0)</f>
        <v>34428094.5912</v>
      </c>
      <c r="X14" s="289" t="n">
        <f aca="false">IF(AND(Projects!$G$13="Yes",Projects!$F$13="Yes",22&gt;=Projects!$C$13,22&lt;Projects!$C$13+Projects!$D$13),Projects!$B$13*(1-SUMPRODUCT((Curves!$B$2:$AO$2)*(COLUMN(Curves!$B$2:$AO$2)-COLUMN(Curves!$B$2)+1&lt;=22-Projects!$C$13+1))),0)</f>
        <v>32636797.96876</v>
      </c>
      <c r="Y14" s="289" t="n">
        <f aca="false">IF(AND(Projects!$G$13="Yes",Projects!$F$13="Yes",23&gt;=Projects!$C$13,23&lt;Projects!$C$13+Projects!$D$13),Projects!$B$13*(1-SUMPRODUCT((Curves!$B$2:$AO$2)*(COLUMN(Curves!$B$2:$AO$2)-COLUMN(Curves!$B$2)+1&lt;=23-Projects!$C$13+1))),0)</f>
        <v>30753745.60353</v>
      </c>
      <c r="Z14" s="289" t="n">
        <f aca="false">IF(AND(Projects!$G$13="Yes",Projects!$F$13="Yes",24&gt;=Projects!$C$13,24&lt;Projects!$C$13+Projects!$D$13),Projects!$B$13*(1-SUMPRODUCT((Curves!$B$2:$AO$2)*(COLUMN(Curves!$B$2:$AO$2)-COLUMN(Curves!$B$2)+1&lt;=24-Projects!$C$13+1))),0)</f>
        <v>28793920.79638</v>
      </c>
      <c r="AA14" s="289" t="n">
        <f aca="false">IF(AND(Projects!$G$13="Yes",Projects!$F$13="Yes",25&gt;=Projects!$C$13,25&lt;Projects!$C$13+Projects!$D$13),Projects!$B$13*(1-SUMPRODUCT((Curves!$B$2:$AO$2)*(COLUMN(Curves!$B$2:$AO$2)-COLUMN(Curves!$B$2)+1&lt;=25-Projects!$C$13+1))),0)</f>
        <v>26774434.38637</v>
      </c>
      <c r="AB14" s="289" t="n">
        <f aca="false">IF(AND(Projects!$G$13="Yes",Projects!$F$13="Yes",26&gt;=Projects!$C$13,26&lt;Projects!$C$13+Projects!$D$13),Projects!$B$13*(1-SUMPRODUCT((Curves!$B$2:$AO$2)*(COLUMN(Curves!$B$2:$AO$2)-COLUMN(Curves!$B$2)+1&lt;=26-Projects!$C$13+1))),0)</f>
        <v>24714207.88336</v>
      </c>
      <c r="AC14" s="289" t="n">
        <f aca="false">IF(AND(Projects!$G$13="Yes",Projects!$F$13="Yes",27&gt;=Projects!$C$13,27&lt;Projects!$C$13+Projects!$D$13),Projects!$B$13*(1-SUMPRODUCT((Curves!$B$2:$AO$2)*(COLUMN(Curves!$B$2:$AO$2)-COLUMN(Curves!$B$2)+1&lt;=27-Projects!$C$13+1))),0)</f>
        <v>22633294.46646</v>
      </c>
      <c r="AD14" s="289" t="n">
        <f aca="false">IF(AND(Projects!$G$13="Yes",Projects!$F$13="Yes",28&gt;=Projects!$C$13,28&lt;Projects!$C$13+Projects!$D$13),Projects!$B$13*(1-SUMPRODUCT((Curves!$B$2:$AO$2)*(COLUMN(Curves!$B$2:$AO$2)-COLUMN(Curves!$B$2)+1&lt;=28-Projects!$C$13+1))),0)</f>
        <v>20552381.04956</v>
      </c>
      <c r="AE14" s="289" t="n">
        <f aca="false">IF(AND(Projects!$G$13="Yes",Projects!$F$13="Yes",29&gt;=Projects!$C$13,29&lt;Projects!$C$13+Projects!$D$13),Projects!$B$13*(1-SUMPRODUCT((Curves!$B$2:$AO$2)*(COLUMN(Curves!$B$2:$AO$2)-COLUMN(Curves!$B$2)+1&lt;=29-Projects!$C$13+1))),0)</f>
        <v>18492154.54655</v>
      </c>
      <c r="AF14" s="289" t="n">
        <f aca="false">IF(AND(Projects!$G$13="Yes",Projects!$F$13="Yes",30&gt;=Projects!$C$13,30&lt;Projects!$C$13+Projects!$D$13),Projects!$B$13*(1-SUMPRODUCT((Curves!$B$2:$AO$2)*(COLUMN(Curves!$B$2:$AO$2)-COLUMN(Curves!$B$2)+1&lt;=30-Projects!$C$13+1))),0)</f>
        <v>16472668.13654</v>
      </c>
      <c r="AG14" s="289" t="n">
        <f aca="false">IF(AND(Projects!$G$13="Yes",Projects!$F$13="Yes",31&gt;=Projects!$C$13,31&lt;Projects!$C$13+Projects!$D$13),Projects!$B$13*(1-SUMPRODUCT((Curves!$B$2:$AO$2)*(COLUMN(Curves!$B$2:$AO$2)-COLUMN(Curves!$B$2)+1&lt;=31-Projects!$C$13+1))),0)</f>
        <v>14512843.32939</v>
      </c>
      <c r="AH14" s="289" t="n">
        <f aca="false">IF(AND(Projects!$G$13="Yes",Projects!$F$13="Yes",32&gt;=Projects!$C$13,32&lt;Projects!$C$13+Projects!$D$13),Projects!$B$13*(1-SUMPRODUCT((Curves!$B$2:$AO$2)*(COLUMN(Curves!$B$2:$AO$2)-COLUMN(Curves!$B$2)+1&lt;=32-Projects!$C$13+1))),0)</f>
        <v>12629790.96416</v>
      </c>
      <c r="AI14" s="289" t="n">
        <f aca="false">IF(AND(Projects!$G$13="Yes",Projects!$F$13="Yes",33&gt;=Projects!$C$13,33&lt;Projects!$C$13+Projects!$D$13),Projects!$B$13*(1-SUMPRODUCT((Curves!$B$2:$AO$2)*(COLUMN(Curves!$B$2:$AO$2)-COLUMN(Curves!$B$2)+1&lt;=33-Projects!$C$13+1))),0)</f>
        <v>10838494.34172</v>
      </c>
      <c r="AJ14" s="289" t="n">
        <f aca="false">IF(AND(Projects!$G$13="Yes",Projects!$F$13="Yes",34&gt;=Projects!$C$13,34&lt;Projects!$C$13+Projects!$D$13),Projects!$B$13*(1-SUMPRODUCT((Curves!$B$2:$AO$2)*(COLUMN(Curves!$B$2:$AO$2)-COLUMN(Curves!$B$2)+1&lt;=34-Projects!$C$13+1))),0)</f>
        <v>9151447.09059</v>
      </c>
      <c r="AK14" s="289" t="n">
        <f aca="false">IF(AND(Projects!$G$13="Yes",Projects!$F$13="Yes",35&gt;=Projects!$C$13,35&lt;Projects!$C$13+Projects!$D$13),Projects!$B$13*(1-SUMPRODUCT((Curves!$B$2:$AO$2)*(COLUMN(Curves!$B$2:$AO$2)-COLUMN(Curves!$B$2)+1&lt;=35-Projects!$C$13+1))),0)</f>
        <v>7578336.29955</v>
      </c>
      <c r="AL14" s="289" t="n">
        <f aca="false">IF(AND(Projects!$G$13="Yes",Projects!$F$13="Yes",36&gt;=Projects!$C$13,36&lt;Projects!$C$13+Projects!$D$13),Projects!$B$13*(1-SUMPRODUCT((Curves!$B$2:$AO$2)*(COLUMN(Curves!$B$2:$AO$2)-COLUMN(Curves!$B$2)+1&lt;=36-Projects!$C$13+1))),0)</f>
        <v>6126087.78441</v>
      </c>
      <c r="AM14" s="289" t="n">
        <f aca="false">IF(AND(Projects!$G$13="Yes",Projects!$F$13="Yes",37&gt;=Projects!$C$13,37&lt;Projects!$C$13+Projects!$D$13),Projects!$B$13*(1-SUMPRODUCT((Curves!$B$2:$AO$2)*(COLUMN(Curves!$B$2:$AO$2)-COLUMN(Curves!$B$2)+1&lt;=37-Projects!$C$13+1))),0)</f>
        <v>4798730.2877</v>
      </c>
      <c r="AN14" s="289" t="n">
        <f aca="false">IF(AND(Projects!$G$13="Yes",Projects!$F$13="Yes",38&gt;=Projects!$C$13,38&lt;Projects!$C$13+Projects!$D$13),Projects!$B$13*(1-SUMPRODUCT((Curves!$B$2:$AO$2)*(COLUMN(Curves!$B$2:$AO$2)-COLUMN(Curves!$B$2)+1&lt;=38-Projects!$C$13+1))),0)</f>
        <v>3597576.54575</v>
      </c>
      <c r="AO14" s="289" t="n">
        <f aca="false">IF(AND(Projects!$G$13="Yes",Projects!$F$13="Yes",39&gt;=Projects!$C$13,39&lt;Projects!$C$13+Projects!$D$13),Projects!$B$13*(1-SUMPRODUCT((Curves!$B$2:$AO$2)*(COLUMN(Curves!$B$2:$AO$2)-COLUMN(Curves!$B$2)+1&lt;=39-Projects!$C$13+1))),0)</f>
        <v>2521449.62254</v>
      </c>
      <c r="AP14" s="289" t="n">
        <f aca="false">IF(AND(Projects!$G$13="Yes",Projects!$F$13="Yes",40&gt;=Projects!$C$13,40&lt;Projects!$C$13+Projects!$D$13),Projects!$B$13*(1-SUMPRODUCT((Curves!$B$2:$AO$2)*(COLUMN(Curves!$B$2:$AO$2)-COLUMN(Curves!$B$2)+1&lt;=40-Projects!$C$13+1))),0)</f>
        <v>1566909.24355</v>
      </c>
      <c r="AQ14" s="289" t="n">
        <f aca="false">IF(AND(Projects!$G$13="Yes",Projects!$F$13="Yes",41&gt;=Projects!$C$13,41&lt;Projects!$C$13+Projects!$D$13),Projects!$B$13*(1-SUMPRODUCT((Curves!$B$2:$AO$2)*(COLUMN(Curves!$B$2:$AO$2)-COLUMN(Curves!$B$2)+1&lt;=41-Projects!$C$13+1))),0)</f>
        <v>728659.196690001</v>
      </c>
      <c r="AR14" s="289" t="n">
        <f aca="false">IF(AND(Projects!$G$13="Yes",Projects!$F$13="Yes",42&gt;=Projects!$C$13,42&lt;Projects!$C$13+Projects!$D$13),Projects!$B$13*(1-SUMPRODUCT((Curves!$B$2:$AO$2)*(COLUMN(Curves!$B$2:$AO$2)-COLUMN(Curves!$B$2)+1&lt;=42-Projects!$C$13+1))),0)</f>
        <v>-181.067079995155</v>
      </c>
      <c r="AS14" s="289" t="n">
        <f aca="false">IF(AND(Projects!$G$13="Yes",Projects!$F$13="Yes",43&gt;=Projects!$C$13,43&lt;Projects!$C$13+Projects!$D$13),Projects!$B$13*(1-SUMPRODUCT((Curves!$B$2:$AO$2)*(COLUMN(Curves!$B$2:$AO$2)-COLUMN(Curves!$B$2)+1&lt;=43-Projects!$C$13+1))),0)</f>
        <v>0</v>
      </c>
      <c r="AT14" s="289" t="n">
        <f aca="false">IF(AND(Projects!$G$13="Yes",Projects!$F$13="Yes",44&gt;=Projects!$C$13,44&lt;Projects!$C$13+Projects!$D$13),Projects!$B$13*(1-SUMPRODUCT((Curves!$B$2:$AO$2)*(COLUMN(Curves!$B$2:$AO$2)-COLUMN(Curves!$B$2)+1&lt;=44-Projects!$C$13+1))),0)</f>
        <v>0</v>
      </c>
      <c r="AU14" s="289" t="n">
        <f aca="false">IF(AND(Projects!$G$13="Yes",Projects!$F$13="Yes",45&gt;=Projects!$C$13,45&lt;Projects!$C$13+Projects!$D$13),Projects!$B$13*(1-SUMPRODUCT((Curves!$B$2:$AO$2)*(COLUMN(Curves!$B$2:$AO$2)-COLUMN(Curves!$B$2)+1&lt;=45-Projects!$C$13+1))),0)</f>
        <v>0</v>
      </c>
      <c r="AV14" s="289" t="n">
        <f aca="false">IF(AND(Projects!$G$13="Yes",Projects!$F$13="Yes",46&gt;=Projects!$C$13,46&lt;Projects!$C$13+Projects!$D$13),Projects!$B$13*(1-SUMPRODUCT((Curves!$B$2:$AO$2)*(COLUMN(Curves!$B$2:$AO$2)-COLUMN(Curves!$B$2)+1&lt;=46-Projects!$C$13+1))),0)</f>
        <v>0</v>
      </c>
      <c r="AW14" s="289" t="n">
        <f aca="false">IF(AND(Projects!$G$13="Yes",Projects!$F$13="Yes",47&gt;=Projects!$C$13,47&lt;Projects!$C$13+Projects!$D$13),Projects!$B$13*(1-SUMPRODUCT((Curves!$B$2:$AO$2)*(COLUMN(Curves!$B$2:$AO$2)-COLUMN(Curves!$B$2)+1&lt;=47-Projects!$C$13+1))),0)</f>
        <v>0</v>
      </c>
      <c r="AX14" s="289" t="n">
        <f aca="false">IF(AND(Projects!$G$13="Yes",Projects!$F$13="Yes",48&gt;=Projects!$C$13,48&lt;Projects!$C$13+Projects!$D$13),Projects!$B$13*(1-SUMPRODUCT((Curves!$B$2:$AO$2)*(COLUMN(Curves!$B$2:$AO$2)-COLUMN(Curves!$B$2)+1&lt;=48-Projects!$C$13+1))),0)</f>
        <v>0</v>
      </c>
      <c r="AY14" s="289" t="n">
        <f aca="false">IF(AND(Projects!$G$13="Yes",Projects!$F$13="Yes",49&gt;=Projects!$C$13,49&lt;Projects!$C$13+Projects!$D$13),Projects!$B$13*(1-SUMPRODUCT((Curves!$B$2:$AO$2)*(COLUMN(Curves!$B$2:$AO$2)-COLUMN(Curves!$B$2)+1&lt;=49-Projects!$C$13+1))),0)</f>
        <v>0</v>
      </c>
      <c r="AZ14" s="289" t="n">
        <f aca="false">IF(AND(Projects!$G$13="Yes",Projects!$F$13="Yes",50&gt;=Projects!$C$13,50&lt;Projects!$C$13+Projects!$D$13),Projects!$B$13*(1-SUMPRODUCT((Curves!$B$2:$AO$2)*(COLUMN(Curves!$B$2:$AO$2)-COLUMN(Curves!$B$2)+1&lt;=50-Projects!$C$13+1))),0)</f>
        <v>0</v>
      </c>
      <c r="BA14" s="289" t="n">
        <f aca="false">IF(AND(Projects!$G$13="Yes",Projects!$F$13="Yes",51&gt;=Projects!$C$13,51&lt;Projects!$C$13+Projects!$D$13),Projects!$B$13*(1-SUMPRODUCT((Curves!$B$2:$AO$2)*(COLUMN(Curves!$B$2:$AO$2)-COLUMN(Curves!$B$2)+1&lt;=51-Projects!$C$13+1))),0)</f>
        <v>0</v>
      </c>
      <c r="BB14" s="289" t="n">
        <f aca="false">IF(AND(Projects!$G$13="Yes",Projects!$F$13="Yes",52&gt;=Projects!$C$13,52&lt;Projects!$C$13+Projects!$D$13),Projects!$B$13*(1-SUMPRODUCT((Curves!$B$2:$AO$2)*(COLUMN(Curves!$B$2:$AO$2)-COLUMN(Curves!$B$2)+1&lt;=52-Projects!$C$13+1))),0)</f>
        <v>0</v>
      </c>
      <c r="BC14" s="289" t="n">
        <f aca="false">IF(AND(Projects!$G$13="Yes",Projects!$F$13="Yes",53&gt;=Projects!$C$13,53&lt;Projects!$C$13+Projects!$D$13),Projects!$B$13*(1-SUMPRODUCT((Curves!$B$2:$AO$2)*(COLUMN(Curves!$B$2:$AO$2)-COLUMN(Curves!$B$2)+1&lt;=53-Projects!$C$13+1))),0)</f>
        <v>0</v>
      </c>
      <c r="BD14" s="289" t="n">
        <f aca="false">IF(AND(Projects!$G$13="Yes",Projects!$F$13="Yes",54&gt;=Projects!$C$13,54&lt;Projects!$C$13+Projects!$D$13),Projects!$B$13*(1-SUMPRODUCT((Curves!$B$2:$AO$2)*(COLUMN(Curves!$B$2:$AO$2)-COLUMN(Curves!$B$2)+1&lt;=54-Projects!$C$13+1))),0)</f>
        <v>0</v>
      </c>
      <c r="BE14" s="289" t="n">
        <f aca="false">IF(AND(Projects!$G$13="Yes",Projects!$F$13="Yes",55&gt;=Projects!$C$13,55&lt;Projects!$C$13+Projects!$D$13),Projects!$B$13*(1-SUMPRODUCT((Curves!$B$2:$AO$2)*(COLUMN(Curves!$B$2:$AO$2)-COLUMN(Curves!$B$2)+1&lt;=55-Projects!$C$13+1))),0)</f>
        <v>0</v>
      </c>
      <c r="BF14" s="289" t="n">
        <f aca="false">IF(AND(Projects!$G$13="Yes",Projects!$F$13="Yes",56&gt;=Projects!$C$13,56&lt;Projects!$C$13+Projects!$D$13),Projects!$B$13*(1-SUMPRODUCT((Curves!$B$2:$AO$2)*(COLUMN(Curves!$B$2:$AO$2)-COLUMN(Curves!$B$2)+1&lt;=56-Projects!$C$13+1))),0)</f>
        <v>0</v>
      </c>
      <c r="BG14" s="289" t="n">
        <f aca="false">IF(AND(Projects!$G$13="Yes",Projects!$F$13="Yes",57&gt;=Projects!$C$13,57&lt;Projects!$C$13+Projects!$D$13),Projects!$B$13*(1-SUMPRODUCT((Curves!$B$2:$AO$2)*(COLUMN(Curves!$B$2:$AO$2)-COLUMN(Curves!$B$2)+1&lt;=57-Projects!$C$13+1))),0)</f>
        <v>0</v>
      </c>
      <c r="BH14" s="289" t="n">
        <f aca="false">IF(AND(Projects!$G$13="Yes",Projects!$F$13="Yes",58&gt;=Projects!$C$13,58&lt;Projects!$C$13+Projects!$D$13),Projects!$B$13*(1-SUMPRODUCT((Curves!$B$2:$AO$2)*(COLUMN(Curves!$B$2:$AO$2)-COLUMN(Curves!$B$2)+1&lt;=58-Projects!$C$13+1))),0)</f>
        <v>0</v>
      </c>
      <c r="BI14" s="289" t="n">
        <f aca="false">IF(AND(Projects!$G$13="Yes",Projects!$F$13="Yes",59&gt;=Projects!$C$13,59&lt;Projects!$C$13+Projects!$D$13),Projects!$B$13*(1-SUMPRODUCT((Curves!$B$2:$AO$2)*(COLUMN(Curves!$B$2:$AO$2)-COLUMN(Curves!$B$2)+1&lt;=59-Projects!$C$13+1))),0)</f>
        <v>0</v>
      </c>
      <c r="BJ14" s="289" t="n">
        <f aca="false">IF(AND(Projects!$G$13="Yes",Projects!$F$13="Yes",60&gt;=Projects!$C$13,60&lt;Projects!$C$13+Projects!$D$13),Projects!$B$13*(1-SUMPRODUCT((Curves!$B$2:$AO$2)*(COLUMN(Curves!$B$2:$AO$2)-COLUMN(Curves!$B$2)+1&lt;=60-Projects!$C$13+1))),0)</f>
        <v>0</v>
      </c>
      <c r="BK14" s="289" t="n">
        <f aca="false">IF(AND(Projects!$G$13="Yes",Projects!$F$13="Yes",61&gt;=Projects!$C$13,61&lt;Projects!$C$13+Projects!$D$13),Projects!$B$13*(1-SUMPRODUCT((Curves!$B$2:$AO$2)*(COLUMN(Curves!$B$2:$AO$2)-COLUMN(Curves!$B$2)+1&lt;=61-Projects!$C$13+1))),0)</f>
        <v>0</v>
      </c>
      <c r="BL14" s="289" t="n">
        <f aca="false">IF(AND(Projects!$G$13="Yes",Projects!$F$13="Yes",62&gt;=Projects!$C$13,62&lt;Projects!$C$13+Projects!$D$13),Projects!$B$13*(1-SUMPRODUCT((Curves!$B$2:$AO$2)*(COLUMN(Curves!$B$2:$AO$2)-COLUMN(Curves!$B$2)+1&lt;=62-Projects!$C$13+1))),0)</f>
        <v>0</v>
      </c>
      <c r="BM14" s="289" t="n">
        <f aca="false">IF(AND(Projects!$G$13="Yes",Projects!$F$13="Yes",63&gt;=Projects!$C$13,63&lt;Projects!$C$13+Projects!$D$13),Projects!$B$13*(1-SUMPRODUCT((Curves!$B$2:$AO$2)*(COLUMN(Curves!$B$2:$AO$2)-COLUMN(Curves!$B$2)+1&lt;=63-Projects!$C$13+1))),0)</f>
        <v>0</v>
      </c>
      <c r="BN14" s="289" t="n">
        <f aca="false">IF(AND(Projects!$G$13="Yes",Projects!$F$13="Yes",64&gt;=Projects!$C$13,64&lt;Projects!$C$13+Projects!$D$13),Projects!$B$13*(1-SUMPRODUCT((Curves!$B$2:$AO$2)*(COLUMN(Curves!$B$2:$AO$2)-COLUMN(Curves!$B$2)+1&lt;=64-Projects!$C$13+1))),0)</f>
        <v>0</v>
      </c>
      <c r="BO14" s="289" t="n">
        <f aca="false">IF(AND(Projects!$G$13="Yes",Projects!$F$13="Yes",65&gt;=Projects!$C$13,65&lt;Projects!$C$13+Projects!$D$13),Projects!$B$13*(1-SUMPRODUCT((Curves!$B$2:$AO$2)*(COLUMN(Curves!$B$2:$AO$2)-COLUMN(Curves!$B$2)+1&lt;=65-Projects!$C$13+1))),0)</f>
        <v>0</v>
      </c>
      <c r="BP14" s="289" t="n">
        <f aca="false">IF(AND(Projects!$G$13="Yes",Projects!$F$13="Yes",66&gt;=Projects!$C$13,66&lt;Projects!$C$13+Projects!$D$13),Projects!$B$13*(1-SUMPRODUCT((Curves!$B$2:$AO$2)*(COLUMN(Curves!$B$2:$AO$2)-COLUMN(Curves!$B$2)+1&lt;=66-Projects!$C$13+1))),0)</f>
        <v>0</v>
      </c>
      <c r="BQ14" s="289" t="n">
        <f aca="false">IF(AND(Projects!$G$13="Yes",Projects!$F$13="Yes",67&gt;=Projects!$C$13,67&lt;Projects!$C$13+Projects!$D$13),Projects!$B$13*(1-SUMPRODUCT((Curves!$B$2:$AO$2)*(COLUMN(Curves!$B$2:$AO$2)-COLUMN(Curves!$B$2)+1&lt;=67-Projects!$C$13+1))),0)</f>
        <v>0</v>
      </c>
      <c r="BR14" s="289" t="n">
        <f aca="false">IF(AND(Projects!$G$13="Yes",Projects!$F$13="Yes",68&gt;=Projects!$C$13,68&lt;Projects!$C$13+Projects!$D$13),Projects!$B$13*(1-SUMPRODUCT((Curves!$B$2:$AO$2)*(COLUMN(Curves!$B$2:$AO$2)-COLUMN(Curves!$B$2)+1&lt;=68-Projects!$C$13+1))),0)</f>
        <v>0</v>
      </c>
      <c r="BS14" s="289" t="n">
        <f aca="false">IF(AND(Projects!$G$13="Yes",Projects!$F$13="Yes",69&gt;=Projects!$C$13,69&lt;Projects!$C$13+Projects!$D$13),Projects!$B$13*(1-SUMPRODUCT((Curves!$B$2:$AO$2)*(COLUMN(Curves!$B$2:$AO$2)-COLUMN(Curves!$B$2)+1&lt;=69-Projects!$C$13+1))),0)</f>
        <v>0</v>
      </c>
      <c r="BT14" s="289" t="n">
        <f aca="false">IF(AND(Projects!$G$13="Yes",Projects!$F$13="Yes",70&gt;=Projects!$C$13,70&lt;Projects!$C$13+Projects!$D$13),Projects!$B$13*(1-SUMPRODUCT((Curves!$B$2:$AO$2)*(COLUMN(Curves!$B$2:$AO$2)-COLUMN(Curves!$B$2)+1&lt;=70-Projects!$C$13+1))),0)</f>
        <v>0</v>
      </c>
      <c r="BU14" s="289" t="n">
        <f aca="false">IF(AND(Projects!$G$13="Yes",Projects!$F$13="Yes",71&gt;=Projects!$C$13,71&lt;Projects!$C$13+Projects!$D$13),Projects!$B$13*(1-SUMPRODUCT((Curves!$B$2:$AO$2)*(COLUMN(Curves!$B$2:$AO$2)-COLUMN(Curves!$B$2)+1&lt;=71-Projects!$C$13+1))),0)</f>
        <v>0</v>
      </c>
      <c r="BV14" s="289" t="n">
        <f aca="false">IF(AND(Projects!$G$13="Yes",Projects!$F$13="Yes",72&gt;=Projects!$C$13,72&lt;Projects!$C$13+Projects!$D$13),Projects!$B$13*(1-SUMPRODUCT((Curves!$B$2:$AO$2)*(COLUMN(Curves!$B$2:$AO$2)-COLUMN(Curves!$B$2)+1&lt;=72-Projects!$C$13+1))),0)</f>
        <v>0</v>
      </c>
      <c r="BW14" s="289" t="n">
        <f aca="false">IF(AND(Projects!$G$13="Yes",Projects!$F$13="Yes",73&gt;=Projects!$C$13,73&lt;Projects!$C$13+Projects!$D$13),Projects!$B$13*(1-SUMPRODUCT((Curves!$B$2:$AO$2)*(COLUMN(Curves!$B$2:$AO$2)-COLUMN(Curves!$B$2)+1&lt;=73-Projects!$C$13+1))),0)</f>
        <v>0</v>
      </c>
      <c r="BX14" s="289" t="n">
        <f aca="false">IF(AND(Projects!$G$13="Yes",Projects!$F$13="Yes",74&gt;=Projects!$C$13,74&lt;Projects!$C$13+Projects!$D$13),Projects!$B$13*(1-SUMPRODUCT((Curves!$B$2:$AO$2)*(COLUMN(Curves!$B$2:$AO$2)-COLUMN(Curves!$B$2)+1&lt;=74-Projects!$C$13+1))),0)</f>
        <v>0</v>
      </c>
      <c r="BY14" s="289" t="n">
        <f aca="false">IF(AND(Projects!$G$13="Yes",Projects!$F$13="Yes",75&gt;=Projects!$C$13,75&lt;Projects!$C$13+Projects!$D$13),Projects!$B$13*(1-SUMPRODUCT((Curves!$B$2:$AO$2)*(COLUMN(Curves!$B$2:$AO$2)-COLUMN(Curves!$B$2)+1&lt;=75-Projects!$C$13+1))),0)</f>
        <v>0</v>
      </c>
      <c r="BZ14" s="289" t="n">
        <f aca="false">IF(AND(Projects!$G$13="Yes",Projects!$F$13="Yes",76&gt;=Projects!$C$13,76&lt;Projects!$C$13+Projects!$D$13),Projects!$B$13*(1-SUMPRODUCT((Curves!$B$2:$AO$2)*(COLUMN(Curves!$B$2:$AO$2)-COLUMN(Curves!$B$2)+1&lt;=76-Projects!$C$13+1))),0)</f>
        <v>0</v>
      </c>
      <c r="CA14" s="289" t="n">
        <f aca="false">IF(AND(Projects!$G$13="Yes",Projects!$F$13="Yes",77&gt;=Projects!$C$13,77&lt;Projects!$C$13+Projects!$D$13),Projects!$B$13*(1-SUMPRODUCT((Curves!$B$2:$AO$2)*(COLUMN(Curves!$B$2:$AO$2)-COLUMN(Curves!$B$2)+1&lt;=77-Projects!$C$13+1))),0)</f>
        <v>0</v>
      </c>
      <c r="CB14" s="289" t="n">
        <f aca="false">IF(AND(Projects!$G$13="Yes",Projects!$F$13="Yes",78&gt;=Projects!$C$13,78&lt;Projects!$C$13+Projects!$D$13),Projects!$B$13*(1-SUMPRODUCT((Curves!$B$2:$AO$2)*(COLUMN(Curves!$B$2:$AO$2)-COLUMN(Curves!$B$2)+1&lt;=78-Projects!$C$13+1))),0)</f>
        <v>0</v>
      </c>
      <c r="CC14" s="289" t="n">
        <f aca="false">IF(AND(Projects!$G$13="Yes",Projects!$F$13="Yes",79&gt;=Projects!$C$13,79&lt;Projects!$C$13+Projects!$D$13),Projects!$B$13*(1-SUMPRODUCT((Curves!$B$2:$AO$2)*(COLUMN(Curves!$B$2:$AO$2)-COLUMN(Curves!$B$2)+1&lt;=79-Projects!$C$13+1))),0)</f>
        <v>0</v>
      </c>
      <c r="CD14" s="289" t="n">
        <f aca="false">IF(AND(Projects!$G$13="Yes",Projects!$F$13="Yes",80&gt;=Projects!$C$13,80&lt;Projects!$C$13+Projects!$D$13),Projects!$B$13*(1-SUMPRODUCT((Curves!$B$2:$AO$2)*(COLUMN(Curves!$B$2:$AO$2)-COLUMN(Curves!$B$2)+1&lt;=80-Projects!$C$13+1))),0)</f>
        <v>0</v>
      </c>
      <c r="CE14" s="289" t="n">
        <f aca="false">IF(AND(Projects!$G$13="Yes",Projects!$F$13="Yes",81&gt;=Projects!$C$13,81&lt;Projects!$C$13+Projects!$D$13),Projects!$B$13*(1-SUMPRODUCT((Curves!$B$2:$AO$2)*(COLUMN(Curves!$B$2:$AO$2)-COLUMN(Curves!$B$2)+1&lt;=81-Projects!$C$13+1))),0)</f>
        <v>0</v>
      </c>
      <c r="CF14" s="289" t="n">
        <f aca="false">IF(AND(Projects!$G$13="Yes",Projects!$F$13="Yes",82&gt;=Projects!$C$13,82&lt;Projects!$C$13+Projects!$D$13),Projects!$B$13*(1-SUMPRODUCT((Curves!$B$2:$AO$2)*(COLUMN(Curves!$B$2:$AO$2)-COLUMN(Curves!$B$2)+1&lt;=82-Projects!$C$13+1))),0)</f>
        <v>0</v>
      </c>
      <c r="CG14" s="289" t="n">
        <f aca="false">IF(AND(Projects!$G$13="Yes",Projects!$F$13="Yes",83&gt;=Projects!$C$13,83&lt;Projects!$C$13+Projects!$D$13),Projects!$B$13*(1-SUMPRODUCT((Curves!$B$2:$AO$2)*(COLUMN(Curves!$B$2:$AO$2)-COLUMN(Curves!$B$2)+1&lt;=83-Projects!$C$13+1))),0)</f>
        <v>0</v>
      </c>
      <c r="CH14" s="289" t="n">
        <f aca="false">IF(AND(Projects!$G$13="Yes",Projects!$F$13="Yes",84&gt;=Projects!$C$13,84&lt;Projects!$C$13+Projects!$D$13),Projects!$B$13*(1-SUMPRODUCT((Curves!$B$2:$AO$2)*(COLUMN(Curves!$B$2:$AO$2)-COLUMN(Curves!$B$2)+1&lt;=84-Projects!$C$13+1))),0)</f>
        <v>0</v>
      </c>
      <c r="CI14" s="289" t="n">
        <f aca="false">IF(AND(Projects!$G$13="Yes",Projects!$F$13="Yes",85&gt;=Projects!$C$13,85&lt;Projects!$C$13+Projects!$D$13),Projects!$B$13*(1-SUMPRODUCT((Curves!$B$2:$AO$2)*(COLUMN(Curves!$B$2:$AO$2)-COLUMN(Curves!$B$2)+1&lt;=85-Projects!$C$13+1))),0)</f>
        <v>0</v>
      </c>
      <c r="CJ14" s="289" t="n">
        <f aca="false">IF(AND(Projects!$G$13="Yes",Projects!$F$13="Yes",86&gt;=Projects!$C$13,86&lt;Projects!$C$13+Projects!$D$13),Projects!$B$13*(1-SUMPRODUCT((Curves!$B$2:$AO$2)*(COLUMN(Curves!$B$2:$AO$2)-COLUMN(Curves!$B$2)+1&lt;=86-Projects!$C$13+1))),0)</f>
        <v>0</v>
      </c>
      <c r="CK14" s="289" t="n">
        <f aca="false">IF(AND(Projects!$G$13="Yes",Projects!$F$13="Yes",87&gt;=Projects!$C$13,87&lt;Projects!$C$13+Projects!$D$13),Projects!$B$13*(1-SUMPRODUCT((Curves!$B$2:$AO$2)*(COLUMN(Curves!$B$2:$AO$2)-COLUMN(Curves!$B$2)+1&lt;=87-Projects!$C$13+1))),0)</f>
        <v>0</v>
      </c>
      <c r="CL14" s="289" t="n">
        <f aca="false">IF(AND(Projects!$G$13="Yes",Projects!$F$13="Yes",88&gt;=Projects!$C$13,88&lt;Projects!$C$13+Projects!$D$13),Projects!$B$13*(1-SUMPRODUCT((Curves!$B$2:$AO$2)*(COLUMN(Curves!$B$2:$AO$2)-COLUMN(Curves!$B$2)+1&lt;=88-Projects!$C$13+1))),0)</f>
        <v>0</v>
      </c>
      <c r="CM14" s="289" t="n">
        <f aca="false">IF(AND(Projects!$G$13="Yes",Projects!$F$13="Yes",89&gt;=Projects!$C$13,89&lt;Projects!$C$13+Projects!$D$13),Projects!$B$13*(1-SUMPRODUCT((Curves!$B$2:$AO$2)*(COLUMN(Curves!$B$2:$AO$2)-COLUMN(Curves!$B$2)+1&lt;=89-Projects!$C$13+1))),0)</f>
        <v>0</v>
      </c>
      <c r="CN14" s="289" t="n">
        <f aca="false">IF(AND(Projects!$G$13="Yes",Projects!$F$13="Yes",90&gt;=Projects!$C$13,90&lt;Projects!$C$13+Projects!$D$13),Projects!$B$13*(1-SUMPRODUCT((Curves!$B$2:$AO$2)*(COLUMN(Curves!$B$2:$AO$2)-COLUMN(Curves!$B$2)+1&lt;=90-Projects!$C$13+1))),0)</f>
        <v>0</v>
      </c>
      <c r="CO14" s="289" t="n">
        <f aca="false">IF(AND(Projects!$G$13="Yes",Projects!$F$13="Yes",91&gt;=Projects!$C$13,91&lt;Projects!$C$13+Projects!$D$13),Projects!$B$13*(1-SUMPRODUCT((Curves!$B$2:$AO$2)*(COLUMN(Curves!$B$2:$AO$2)-COLUMN(Curves!$B$2)+1&lt;=91-Projects!$C$13+1))),0)</f>
        <v>0</v>
      </c>
      <c r="CP14" s="289" t="n">
        <f aca="false">IF(AND(Projects!$G$13="Yes",Projects!$F$13="Yes",92&gt;=Projects!$C$13,92&lt;Projects!$C$13+Projects!$D$13),Projects!$B$13*(1-SUMPRODUCT((Curves!$B$2:$AO$2)*(COLUMN(Curves!$B$2:$AO$2)-COLUMN(Curves!$B$2)+1&lt;=92-Projects!$C$13+1))),0)</f>
        <v>0</v>
      </c>
      <c r="CQ14" s="289" t="n">
        <f aca="false">IF(AND(Projects!$G$13="Yes",Projects!$F$13="Yes",93&gt;=Projects!$C$13,93&lt;Projects!$C$13+Projects!$D$13),Projects!$B$13*(1-SUMPRODUCT((Curves!$B$2:$AO$2)*(COLUMN(Curves!$B$2:$AO$2)-COLUMN(Curves!$B$2)+1&lt;=93-Projects!$C$13+1))),0)</f>
        <v>0</v>
      </c>
    </row>
    <row r="15" customFormat="false" ht="15" hidden="false" customHeight="true" outlineLevel="0" collapsed="false">
      <c r="A15" s="177" t="s">
        <v>19</v>
      </c>
      <c r="C15" s="289" t="n">
        <f aca="false">IF(AND(Projects!$G$14="Yes",Projects!$F$14="Yes",1&gt;=Projects!$C$14,1&lt;Projects!$C$14+Projects!$D$14),Projects!$B$14*(1-SUMPRODUCT((Curves!$B$2:$AO$2)*(COLUMN(Curves!$B$2:$AO$2)-COLUMN(Curves!$B$2)+1&lt;=1-Projects!$C$14+1))),0)</f>
        <v>0</v>
      </c>
      <c r="D15" s="289" t="n">
        <f aca="false">IF(AND(Projects!$G$14="Yes",Projects!$F$14="Yes",2&gt;=Projects!$C$14,2&lt;Projects!$C$14+Projects!$D$14),Projects!$B$14*(1-SUMPRODUCT((Curves!$B$2:$AO$2)*(COLUMN(Curves!$B$2:$AO$2)-COLUMN(Curves!$B$2)+1&lt;=2-Projects!$C$14+1))),0)</f>
        <v>0</v>
      </c>
      <c r="E15" s="289" t="n">
        <f aca="false">IF(AND(Projects!$G$14="Yes",Projects!$F$14="Yes",3&gt;=Projects!$C$14,3&lt;Projects!$C$14+Projects!$D$14),Projects!$B$14*(1-SUMPRODUCT((Curves!$B$2:$AO$2)*(COLUMN(Curves!$B$2:$AO$2)-COLUMN(Curves!$B$2)+1&lt;=3-Projects!$C$14+1))),0)</f>
        <v>0</v>
      </c>
      <c r="F15" s="289" t="n">
        <f aca="false">IF(AND(Projects!$G$14="Yes",Projects!$F$14="Yes",4&gt;=Projects!$C$14,4&lt;Projects!$C$14+Projects!$D$14),Projects!$B$14*(1-SUMPRODUCT((Curves!$B$2:$AO$2)*(COLUMN(Curves!$B$2:$AO$2)-COLUMN(Curves!$B$2)+1&lt;=4-Projects!$C$14+1))),0)</f>
        <v>0</v>
      </c>
      <c r="G15" s="289" t="n">
        <f aca="false">IF(AND(Projects!$G$14="Yes",Projects!$F$14="Yes",5&gt;=Projects!$C$14,5&lt;Projects!$C$14+Projects!$D$14),Projects!$B$14*(1-SUMPRODUCT((Curves!$B$2:$AO$2)*(COLUMN(Curves!$B$2:$AO$2)-COLUMN(Curves!$B$2)+1&lt;=5-Projects!$C$14+1))),0)</f>
        <v>0</v>
      </c>
      <c r="H15" s="289" t="n">
        <f aca="false">IF(AND(Projects!$G$14="Yes",Projects!$F$14="Yes",6&gt;=Projects!$C$14,6&lt;Projects!$C$14+Projects!$D$14),Projects!$B$14*(1-SUMPRODUCT((Curves!$B$2:$AO$2)*(COLUMN(Curves!$B$2:$AO$2)-COLUMN(Curves!$B$2)+1&lt;=6-Projects!$C$14+1))),0)</f>
        <v>0</v>
      </c>
      <c r="I15" s="289" t="n">
        <f aca="false">IF(AND(Projects!$G$14="Yes",Projects!$F$14="Yes",7&gt;=Projects!$C$14,7&lt;Projects!$C$14+Projects!$D$14),Projects!$B$14*(1-SUMPRODUCT((Curves!$B$2:$AO$2)*(COLUMN(Curves!$B$2:$AO$2)-COLUMN(Curves!$B$2)+1&lt;=7-Projects!$C$14+1))),0)</f>
        <v>0</v>
      </c>
      <c r="J15" s="289" t="n">
        <f aca="false">IF(AND(Projects!$G$14="Yes",Projects!$F$14="Yes",8&gt;=Projects!$C$14,8&lt;Projects!$C$14+Projects!$D$14),Projects!$B$14*(1-SUMPRODUCT((Curves!$B$2:$AO$2)*(COLUMN(Curves!$B$2:$AO$2)-COLUMN(Curves!$B$2)+1&lt;=8-Projects!$C$14+1))),0)</f>
        <v>0</v>
      </c>
      <c r="K15" s="289" t="n">
        <f aca="false">IF(AND(Projects!$G$14="Yes",Projects!$F$14="Yes",9&gt;=Projects!$C$14,9&lt;Projects!$C$14+Projects!$D$14),Projects!$B$14*(1-SUMPRODUCT((Curves!$B$2:$AO$2)*(COLUMN(Curves!$B$2:$AO$2)-COLUMN(Curves!$B$2)+1&lt;=9-Projects!$C$14+1))),0)</f>
        <v>0</v>
      </c>
      <c r="L15" s="289" t="n">
        <f aca="false">IF(AND(Projects!$G$14="Yes",Projects!$F$14="Yes",10&gt;=Projects!$C$14,10&lt;Projects!$C$14+Projects!$D$14),Projects!$B$14*(1-SUMPRODUCT((Curves!$B$2:$AO$2)*(COLUMN(Curves!$B$2:$AO$2)-COLUMN(Curves!$B$2)+1&lt;=10-Projects!$C$14+1))),0)</f>
        <v>0</v>
      </c>
      <c r="M15" s="289" t="n">
        <f aca="false">IF(AND(Projects!$G$14="Yes",Projects!$F$14="Yes",11&gt;=Projects!$C$14,11&lt;Projects!$C$14+Projects!$D$14),Projects!$B$14*(1-SUMPRODUCT((Curves!$B$2:$AO$2)*(COLUMN(Curves!$B$2:$AO$2)-COLUMN(Curves!$B$2)+1&lt;=11-Projects!$C$14+1))),0)</f>
        <v>0</v>
      </c>
      <c r="N15" s="289" t="n">
        <f aca="false">IF(AND(Projects!$G$14="Yes",Projects!$F$14="Yes",12&gt;=Projects!$C$14,12&lt;Projects!$C$14+Projects!$D$14),Projects!$B$14*(1-SUMPRODUCT((Curves!$B$2:$AO$2)*(COLUMN(Curves!$B$2:$AO$2)-COLUMN(Curves!$B$2)+1&lt;=12-Projects!$C$14+1))),0)</f>
        <v>0</v>
      </c>
      <c r="O15" s="289" t="n">
        <f aca="false">IF(AND(Projects!$G$14="Yes",Projects!$F$14="Yes",13&gt;=Projects!$C$14,13&lt;Projects!$C$14+Projects!$D$14),Projects!$B$14*(1-SUMPRODUCT((Curves!$B$2:$AO$2)*(COLUMN(Curves!$B$2:$AO$2)-COLUMN(Curves!$B$2)+1&lt;=13-Projects!$C$14+1))),0)</f>
        <v>0</v>
      </c>
      <c r="P15" s="289" t="n">
        <f aca="false">IF(AND(Projects!$G$14="Yes",Projects!$F$14="Yes",14&gt;=Projects!$C$14,14&lt;Projects!$C$14+Projects!$D$14),Projects!$B$14*(1-SUMPRODUCT((Curves!$B$2:$AO$2)*(COLUMN(Curves!$B$2:$AO$2)-COLUMN(Curves!$B$2)+1&lt;=14-Projects!$C$14+1))),0)</f>
        <v>0</v>
      </c>
      <c r="Q15" s="289" t="n">
        <f aca="false">IF(AND(Projects!$G$14="Yes",Projects!$F$14="Yes",15&gt;=Projects!$C$14,15&lt;Projects!$C$14+Projects!$D$14),Projects!$B$14*(1-SUMPRODUCT((Curves!$B$2:$AO$2)*(COLUMN(Curves!$B$2:$AO$2)-COLUMN(Curves!$B$2)+1&lt;=15-Projects!$C$14+1))),0)</f>
        <v>0</v>
      </c>
      <c r="R15" s="289" t="n">
        <f aca="false">IF(AND(Projects!$G$14="Yes",Projects!$F$14="Yes",16&gt;=Projects!$C$14,16&lt;Projects!$C$14+Projects!$D$14),Projects!$B$14*(1-SUMPRODUCT((Curves!$B$2:$AO$2)*(COLUMN(Curves!$B$2:$AO$2)-COLUMN(Curves!$B$2)+1&lt;=16-Projects!$C$14+1))),0)</f>
        <v>0</v>
      </c>
      <c r="S15" s="289" t="n">
        <f aca="false">IF(AND(Projects!$G$14="Yes",Projects!$F$14="Yes",17&gt;=Projects!$C$14,17&lt;Projects!$C$14+Projects!$D$14),Projects!$B$14*(1-SUMPRODUCT((Curves!$B$2:$AO$2)*(COLUMN(Curves!$B$2:$AO$2)-COLUMN(Curves!$B$2)+1&lt;=17-Projects!$C$14+1))),0)</f>
        <v>0</v>
      </c>
      <c r="T15" s="289" t="n">
        <f aca="false">IF(AND(Projects!$G$14="Yes",Projects!$F$14="Yes",18&gt;=Projects!$C$14,18&lt;Projects!$C$14+Projects!$D$14),Projects!$B$14*(1-SUMPRODUCT((Curves!$B$2:$AO$2)*(COLUMN(Curves!$B$2:$AO$2)-COLUMN(Curves!$B$2)+1&lt;=18-Projects!$C$14+1))),0)</f>
        <v>0</v>
      </c>
      <c r="U15" s="289" t="n">
        <f aca="false">IF(AND(Projects!$G$14="Yes",Projects!$F$14="Yes",19&gt;=Projects!$C$14,19&lt;Projects!$C$14+Projects!$D$14),Projects!$B$14*(1-SUMPRODUCT((Curves!$B$2:$AO$2)*(COLUMN(Curves!$B$2:$AO$2)-COLUMN(Curves!$B$2)+1&lt;=19-Projects!$C$14+1))),0)</f>
        <v>0</v>
      </c>
      <c r="V15" s="289" t="n">
        <f aca="false">IF(AND(Projects!$G$14="Yes",Projects!$F$14="Yes",20&gt;=Projects!$C$14,20&lt;Projects!$C$14+Projects!$D$14),Projects!$B$14*(1-SUMPRODUCT((Curves!$B$2:$AO$2)*(COLUMN(Curves!$B$2:$AO$2)-COLUMN(Curves!$B$2)+1&lt;=20-Projects!$C$14+1))),0)</f>
        <v>0</v>
      </c>
      <c r="W15" s="289" t="n">
        <f aca="false">IF(AND(Projects!$G$14="Yes",Projects!$F$14="Yes",21&gt;=Projects!$C$14,21&lt;Projects!$C$14+Projects!$D$14),Projects!$B$14*(1-SUMPRODUCT((Curves!$B$2:$AO$2)*(COLUMN(Curves!$B$2:$AO$2)-COLUMN(Curves!$B$2)+1&lt;=21-Projects!$C$14+1))),0)</f>
        <v>0</v>
      </c>
      <c r="X15" s="289" t="n">
        <f aca="false">IF(AND(Projects!$G$14="Yes",Projects!$F$14="Yes",22&gt;=Projects!$C$14,22&lt;Projects!$C$14+Projects!$D$14),Projects!$B$14*(1-SUMPRODUCT((Curves!$B$2:$AO$2)*(COLUMN(Curves!$B$2:$AO$2)-COLUMN(Curves!$B$2)+1&lt;=22-Projects!$C$14+1))),0)</f>
        <v>0</v>
      </c>
      <c r="Y15" s="289" t="n">
        <f aca="false">IF(AND(Projects!$G$14="Yes",Projects!$F$14="Yes",23&gt;=Projects!$C$14,23&lt;Projects!$C$14+Projects!$D$14),Projects!$B$14*(1-SUMPRODUCT((Curves!$B$2:$AO$2)*(COLUMN(Curves!$B$2:$AO$2)-COLUMN(Curves!$B$2)+1&lt;=23-Projects!$C$14+1))),0)</f>
        <v>0</v>
      </c>
      <c r="Z15" s="289" t="n">
        <f aca="false">IF(AND(Projects!$G$14="Yes",Projects!$F$14="Yes",24&gt;=Projects!$C$14,24&lt;Projects!$C$14+Projects!$D$14),Projects!$B$14*(1-SUMPRODUCT((Curves!$B$2:$AO$2)*(COLUMN(Curves!$B$2:$AO$2)-COLUMN(Curves!$B$2)+1&lt;=24-Projects!$C$14+1))),0)</f>
        <v>0</v>
      </c>
      <c r="AA15" s="289" t="n">
        <f aca="false">IF(AND(Projects!$G$14="Yes",Projects!$F$14="Yes",25&gt;=Projects!$C$14,25&lt;Projects!$C$14+Projects!$D$14),Projects!$B$14*(1-SUMPRODUCT((Curves!$B$2:$AO$2)*(COLUMN(Curves!$B$2:$AO$2)-COLUMN(Curves!$B$2)+1&lt;=25-Projects!$C$14+1))),0)</f>
        <v>0</v>
      </c>
      <c r="AB15" s="289" t="n">
        <f aca="false">IF(AND(Projects!$G$14="Yes",Projects!$F$14="Yes",26&gt;=Projects!$C$14,26&lt;Projects!$C$14+Projects!$D$14),Projects!$B$14*(1-SUMPRODUCT((Curves!$B$2:$AO$2)*(COLUMN(Curves!$B$2:$AO$2)-COLUMN(Curves!$B$2)+1&lt;=26-Projects!$C$14+1))),0)</f>
        <v>0</v>
      </c>
      <c r="AC15" s="289" t="n">
        <f aca="false">IF(AND(Projects!$G$14="Yes",Projects!$F$14="Yes",27&gt;=Projects!$C$14,27&lt;Projects!$C$14+Projects!$D$14),Projects!$B$14*(1-SUMPRODUCT((Curves!$B$2:$AO$2)*(COLUMN(Curves!$B$2:$AO$2)-COLUMN(Curves!$B$2)+1&lt;=27-Projects!$C$14+1))),0)</f>
        <v>40688781.070168</v>
      </c>
      <c r="AD15" s="289" t="n">
        <f aca="false">IF(AND(Projects!$G$14="Yes",Projects!$F$14="Yes",28&gt;=Projects!$C$14,28&lt;Projects!$C$14+Projects!$D$14),Projects!$B$14*(1-SUMPRODUCT((Curves!$B$2:$AO$2)*(COLUMN(Curves!$B$2:$AO$2)-COLUMN(Curves!$B$2)+1&lt;=28-Projects!$C$14+1))),0)</f>
        <v>39922975.994792</v>
      </c>
      <c r="AE15" s="289" t="n">
        <f aca="false">IF(AND(Projects!$G$14="Yes",Projects!$F$14="Yes",29&gt;=Projects!$C$14,29&lt;Projects!$C$14+Projects!$D$14),Projects!$B$14*(1-SUMPRODUCT((Curves!$B$2:$AO$2)*(COLUMN(Curves!$B$2:$AO$2)-COLUMN(Curves!$B$2)+1&lt;=29-Projects!$C$14+1))),0)</f>
        <v>39050930.869808</v>
      </c>
      <c r="AF15" s="289" t="n">
        <f aca="false">IF(AND(Projects!$G$14="Yes",Projects!$F$14="Yes",30&gt;=Projects!$C$14,30&lt;Projects!$C$14+Projects!$D$14),Projects!$B$14*(1-SUMPRODUCT((Curves!$B$2:$AO$2)*(COLUMN(Curves!$B$2:$AO$2)-COLUMN(Curves!$B$2)+1&lt;=30-Projects!$C$14+1))),0)</f>
        <v>38067807.203272</v>
      </c>
      <c r="AG15" s="289" t="n">
        <f aca="false">IF(AND(Projects!$G$14="Yes",Projects!$F$14="Yes",31&gt;=Projects!$C$14,31&lt;Projects!$C$14+Projects!$D$14),Projects!$B$14*(1-SUMPRODUCT((Curves!$B$2:$AO$2)*(COLUMN(Curves!$B$2:$AO$2)-COLUMN(Curves!$B$2)+1&lt;=31-Projects!$C$14+1))),0)</f>
        <v>36970462.043152</v>
      </c>
      <c r="AH15" s="289" t="n">
        <f aca="false">IF(AND(Projects!$G$14="Yes",Projects!$F$14="Yes",32&gt;=Projects!$C$14,32&lt;Projects!$C$14+Projects!$D$14),Projects!$B$14*(1-SUMPRODUCT((Curves!$B$2:$AO$2)*(COLUMN(Curves!$B$2:$AO$2)-COLUMN(Curves!$B$2)+1&lt;=32-Projects!$C$14+1))),0)</f>
        <v>35757820.169016</v>
      </c>
      <c r="AI15" s="289" t="n">
        <f aca="false">IF(AND(Projects!$G$14="Yes",Projects!$F$14="Yes",33&gt;=Projects!$C$14,33&lt;Projects!$C$14+Projects!$D$14),Projects!$B$14*(1-SUMPRODUCT((Curves!$B$2:$AO$2)*(COLUMN(Curves!$B$2:$AO$2)-COLUMN(Curves!$B$2)+1&lt;=33-Projects!$C$14+1))),0)</f>
        <v>34431080.865192</v>
      </c>
      <c r="AJ15" s="289" t="n">
        <f aca="false">IF(AND(Projects!$G$14="Yes",Projects!$F$14="Yes",34&gt;=Projects!$C$14,34&lt;Projects!$C$14+Projects!$D$14),Projects!$B$14*(1-SUMPRODUCT((Curves!$B$2:$AO$2)*(COLUMN(Curves!$B$2:$AO$2)-COLUMN(Curves!$B$2)+1&lt;=34-Projects!$C$14+1))),0)</f>
        <v>32993924.693928</v>
      </c>
      <c r="AK15" s="289" t="n">
        <f aca="false">IF(AND(Projects!$G$14="Yes",Projects!$F$14="Yes",35&gt;=Projects!$C$14,35&lt;Projects!$C$14+Projects!$D$14),Projects!$B$14*(1-SUMPRODUCT((Curves!$B$2:$AO$2)*(COLUMN(Curves!$B$2:$AO$2)-COLUMN(Curves!$B$2)+1&lt;=35-Projects!$C$14+1))),0)</f>
        <v>31452678.91392</v>
      </c>
      <c r="AL15" s="289" t="n">
        <f aca="false">IF(AND(Projects!$G$14="Yes",Projects!$F$14="Yes",36&gt;=Projects!$C$14,36&lt;Projects!$C$14+Projects!$D$14),Projects!$B$14*(1-SUMPRODUCT((Curves!$B$2:$AO$2)*(COLUMN(Curves!$B$2:$AO$2)-COLUMN(Curves!$B$2)+1&lt;=36-Projects!$C$14+1))),0)</f>
        <v>29816193.416416</v>
      </c>
      <c r="AM15" s="289" t="n">
        <f aca="false">IF(AND(Projects!$G$14="Yes",Projects!$F$14="Yes",37&gt;=Projects!$C$14,37&lt;Projects!$C$14+Projects!$D$14),Projects!$B$14*(1-SUMPRODUCT((Curves!$B$2:$AO$2)*(COLUMN(Curves!$B$2:$AO$2)-COLUMN(Curves!$B$2)+1&lt;=37-Projects!$C$14+1))),0)</f>
        <v>28095882.079848</v>
      </c>
      <c r="AN15" s="289" t="n">
        <f aca="false">IF(AND(Projects!$G$14="Yes",Projects!$F$14="Yes",38&gt;=Projects!$C$14,38&lt;Projects!$C$14+Projects!$D$14),Projects!$B$14*(1-SUMPRODUCT((Curves!$B$2:$AO$2)*(COLUMN(Curves!$B$2:$AO$2)-COLUMN(Curves!$B$2)+1&lt;=38-Projects!$C$14+1))),0)</f>
        <v>26305433.287408</v>
      </c>
      <c r="AO15" s="289" t="n">
        <f aca="false">IF(AND(Projects!$G$14="Yes",Projects!$F$14="Yes",39&gt;=Projects!$C$14,39&lt;Projects!$C$14+Projects!$D$14),Projects!$B$14*(1-SUMPRODUCT((Curves!$B$2:$AO$2)*(COLUMN(Curves!$B$2:$AO$2)-COLUMN(Curves!$B$2)+1&lt;=39-Projects!$C$14+1))),0)</f>
        <v>24460479.089992</v>
      </c>
      <c r="AP15" s="289" t="n">
        <f aca="false">IF(AND(Projects!$G$14="Yes",Projects!$F$14="Yes",40&gt;=Projects!$C$14,40&lt;Projects!$C$14+Projects!$D$14),Projects!$B$14*(1-SUMPRODUCT((Curves!$B$2:$AO$2)*(COLUMN(Curves!$B$2:$AO$2)-COLUMN(Curves!$B$2)+1&lt;=40-Projects!$C$14+1))),0)</f>
        <v>22578305.723776</v>
      </c>
      <c r="AQ15" s="289" t="n">
        <f aca="false">IF(AND(Projects!$G$14="Yes",Projects!$F$14="Yes",41&gt;=Projects!$C$14,41&lt;Projects!$C$14+Projects!$D$14),Projects!$B$14*(1-SUMPRODUCT((Curves!$B$2:$AO$2)*(COLUMN(Curves!$B$2:$AO$2)-COLUMN(Curves!$B$2)+1&lt;=41-Projects!$C$14+1))),0)</f>
        <v>20677233.290736</v>
      </c>
      <c r="AR15" s="289" t="n">
        <f aca="false">IF(AND(Projects!$G$14="Yes",Projects!$F$14="Yes",42&gt;=Projects!$C$14,42&lt;Projects!$C$14+Projects!$D$14),Projects!$B$14*(1-SUMPRODUCT((Curves!$B$2:$AO$2)*(COLUMN(Curves!$B$2:$AO$2)-COLUMN(Curves!$B$2)+1&lt;=42-Projects!$C$14+1))),0)</f>
        <v>18776160.857696</v>
      </c>
      <c r="AS15" s="289" t="n">
        <f aca="false">IF(AND(Projects!$G$14="Yes",Projects!$F$14="Yes",43&gt;=Projects!$C$14,43&lt;Projects!$C$14+Projects!$D$14),Projects!$B$14*(1-SUMPRODUCT((Curves!$B$2:$AO$2)*(COLUMN(Curves!$B$2:$AO$2)-COLUMN(Curves!$B$2)+1&lt;=43-Projects!$C$14+1))),0)</f>
        <v>16893987.49148</v>
      </c>
      <c r="AT15" s="289" t="n">
        <f aca="false">IF(AND(Projects!$G$14="Yes",Projects!$F$14="Yes",44&gt;=Projects!$C$14,44&lt;Projects!$C$14+Projects!$D$14),Projects!$B$14*(1-SUMPRODUCT((Curves!$B$2:$AO$2)*(COLUMN(Curves!$B$2:$AO$2)-COLUMN(Curves!$B$2)+1&lt;=44-Projects!$C$14+1))),0)</f>
        <v>15049033.294064</v>
      </c>
      <c r="AU15" s="289" t="n">
        <f aca="false">IF(AND(Projects!$G$14="Yes",Projects!$F$14="Yes",45&gt;=Projects!$C$14,45&lt;Projects!$C$14+Projects!$D$14),Projects!$B$14*(1-SUMPRODUCT((Curves!$B$2:$AO$2)*(COLUMN(Curves!$B$2:$AO$2)-COLUMN(Curves!$B$2)+1&lt;=45-Projects!$C$14+1))),0)</f>
        <v>13258584.501624</v>
      </c>
      <c r="AV15" s="289" t="n">
        <f aca="false">IF(AND(Projects!$G$14="Yes",Projects!$F$14="Yes",46&gt;=Projects!$C$14,46&lt;Projects!$C$14+Projects!$D$14),Projects!$B$14*(1-SUMPRODUCT((Curves!$B$2:$AO$2)*(COLUMN(Curves!$B$2:$AO$2)-COLUMN(Curves!$B$2)+1&lt;=46-Projects!$C$14+1))),0)</f>
        <v>11538273.165056</v>
      </c>
      <c r="AW15" s="289" t="n">
        <f aca="false">IF(AND(Projects!$G$14="Yes",Projects!$F$14="Yes",47&gt;=Projects!$C$14,47&lt;Projects!$C$14+Projects!$D$14),Projects!$B$14*(1-SUMPRODUCT((Curves!$B$2:$AO$2)*(COLUMN(Curves!$B$2:$AO$2)-COLUMN(Curves!$B$2)+1&lt;=47-Projects!$C$14+1))),0)</f>
        <v>9901787.667552</v>
      </c>
      <c r="AX15" s="289" t="n">
        <f aca="false">IF(AND(Projects!$G$14="Yes",Projects!$F$14="Yes",48&gt;=Projects!$C$14,48&lt;Projects!$C$14+Projects!$D$14),Projects!$B$14*(1-SUMPRODUCT((Curves!$B$2:$AO$2)*(COLUMN(Curves!$B$2:$AO$2)-COLUMN(Curves!$B$2)+1&lt;=48-Projects!$C$14+1))),0)</f>
        <v>8360541.887544</v>
      </c>
      <c r="AY15" s="289" t="n">
        <f aca="false">IF(AND(Projects!$G$14="Yes",Projects!$F$14="Yes",49&gt;=Projects!$C$14,49&lt;Projects!$C$14+Projects!$D$14),Projects!$B$14*(1-SUMPRODUCT((Curves!$B$2:$AO$2)*(COLUMN(Curves!$B$2:$AO$2)-COLUMN(Curves!$B$2)+1&lt;=49-Projects!$C$14+1))),0)</f>
        <v>6923385.71628</v>
      </c>
      <c r="AZ15" s="289" t="n">
        <f aca="false">IF(AND(Projects!$G$14="Yes",Projects!$F$14="Yes",50&gt;=Projects!$C$14,50&lt;Projects!$C$14+Projects!$D$14),Projects!$B$14*(1-SUMPRODUCT((Curves!$B$2:$AO$2)*(COLUMN(Curves!$B$2:$AO$2)-COLUMN(Curves!$B$2)+1&lt;=50-Projects!$C$14+1))),0)</f>
        <v>5596646.412456</v>
      </c>
      <c r="BA15" s="289" t="n">
        <f aca="false">IF(AND(Projects!$G$14="Yes",Projects!$F$14="Yes",51&gt;=Projects!$C$14,51&lt;Projects!$C$14+Projects!$D$14),Projects!$B$14*(1-SUMPRODUCT((Curves!$B$2:$AO$2)*(COLUMN(Curves!$B$2:$AO$2)-COLUMN(Curves!$B$2)+1&lt;=51-Projects!$C$14+1))),0)</f>
        <v>4384004.53832</v>
      </c>
      <c r="BB15" s="289" t="n">
        <f aca="false">IF(AND(Projects!$G$14="Yes",Projects!$F$14="Yes",52&gt;=Projects!$C$14,52&lt;Projects!$C$14+Projects!$D$14),Projects!$B$14*(1-SUMPRODUCT((Curves!$B$2:$AO$2)*(COLUMN(Curves!$B$2:$AO$2)-COLUMN(Curves!$B$2)+1&lt;=52-Projects!$C$14+1))),0)</f>
        <v>3286659.3782</v>
      </c>
      <c r="BC15" s="289" t="n">
        <f aca="false">IF(AND(Projects!$G$14="Yes",Projects!$F$14="Yes",53&gt;=Projects!$C$14,53&lt;Projects!$C$14+Projects!$D$14),Projects!$B$14*(1-SUMPRODUCT((Curves!$B$2:$AO$2)*(COLUMN(Curves!$B$2:$AO$2)-COLUMN(Curves!$B$2)+1&lt;=53-Projects!$C$14+1))),0)</f>
        <v>2303535.711664</v>
      </c>
      <c r="BD15" s="289" t="n">
        <f aca="false">IF(AND(Projects!$G$14="Yes",Projects!$F$14="Yes",54&gt;=Projects!$C$14,54&lt;Projects!$C$14+Projects!$D$14),Projects!$B$14*(1-SUMPRODUCT((Curves!$B$2:$AO$2)*(COLUMN(Curves!$B$2:$AO$2)-COLUMN(Curves!$B$2)+1&lt;=54-Projects!$C$14+1))),0)</f>
        <v>1431490.58668</v>
      </c>
      <c r="BE15" s="289" t="n">
        <f aca="false">IF(AND(Projects!$G$14="Yes",Projects!$F$14="Yes",55&gt;=Projects!$C$14,55&lt;Projects!$C$14+Projects!$D$14),Projects!$B$14*(1-SUMPRODUCT((Curves!$B$2:$AO$2)*(COLUMN(Curves!$B$2:$AO$2)-COLUMN(Curves!$B$2)+1&lt;=55-Projects!$C$14+1))),0)</f>
        <v>665685.511304001</v>
      </c>
      <c r="BF15" s="289" t="n">
        <f aca="false">IF(AND(Projects!$G$14="Yes",Projects!$F$14="Yes",56&gt;=Projects!$C$14,56&lt;Projects!$C$14+Projects!$D$14),Projects!$B$14*(1-SUMPRODUCT((Curves!$B$2:$AO$2)*(COLUMN(Curves!$B$2:$AO$2)-COLUMN(Curves!$B$2)+1&lt;=56-Projects!$C$14+1))),0)</f>
        <v>-165.418527995574</v>
      </c>
      <c r="BG15" s="289" t="n">
        <f aca="false">IF(AND(Projects!$G$14="Yes",Projects!$F$14="Yes",57&gt;=Projects!$C$14,57&lt;Projects!$C$14+Projects!$D$14),Projects!$B$14*(1-SUMPRODUCT((Curves!$B$2:$AO$2)*(COLUMN(Curves!$B$2:$AO$2)-COLUMN(Curves!$B$2)+1&lt;=57-Projects!$C$14+1))),0)</f>
        <v>0</v>
      </c>
      <c r="BH15" s="289" t="n">
        <f aca="false">IF(AND(Projects!$G$14="Yes",Projects!$F$14="Yes",58&gt;=Projects!$C$14,58&lt;Projects!$C$14+Projects!$D$14),Projects!$B$14*(1-SUMPRODUCT((Curves!$B$2:$AO$2)*(COLUMN(Curves!$B$2:$AO$2)-COLUMN(Curves!$B$2)+1&lt;=58-Projects!$C$14+1))),0)</f>
        <v>0</v>
      </c>
      <c r="BI15" s="289" t="n">
        <f aca="false">IF(AND(Projects!$G$14="Yes",Projects!$F$14="Yes",59&gt;=Projects!$C$14,59&lt;Projects!$C$14+Projects!$D$14),Projects!$B$14*(1-SUMPRODUCT((Curves!$B$2:$AO$2)*(COLUMN(Curves!$B$2:$AO$2)-COLUMN(Curves!$B$2)+1&lt;=59-Projects!$C$14+1))),0)</f>
        <v>0</v>
      </c>
      <c r="BJ15" s="289" t="n">
        <f aca="false">IF(AND(Projects!$G$14="Yes",Projects!$F$14="Yes",60&gt;=Projects!$C$14,60&lt;Projects!$C$14+Projects!$D$14),Projects!$B$14*(1-SUMPRODUCT((Curves!$B$2:$AO$2)*(COLUMN(Curves!$B$2:$AO$2)-COLUMN(Curves!$B$2)+1&lt;=60-Projects!$C$14+1))),0)</f>
        <v>0</v>
      </c>
      <c r="BK15" s="289" t="n">
        <f aca="false">IF(AND(Projects!$G$14="Yes",Projects!$F$14="Yes",61&gt;=Projects!$C$14,61&lt;Projects!$C$14+Projects!$D$14),Projects!$B$14*(1-SUMPRODUCT((Curves!$B$2:$AO$2)*(COLUMN(Curves!$B$2:$AO$2)-COLUMN(Curves!$B$2)+1&lt;=61-Projects!$C$14+1))),0)</f>
        <v>0</v>
      </c>
      <c r="BL15" s="289" t="n">
        <f aca="false">IF(AND(Projects!$G$14="Yes",Projects!$F$14="Yes",62&gt;=Projects!$C$14,62&lt;Projects!$C$14+Projects!$D$14),Projects!$B$14*(1-SUMPRODUCT((Curves!$B$2:$AO$2)*(COLUMN(Curves!$B$2:$AO$2)-COLUMN(Curves!$B$2)+1&lt;=62-Projects!$C$14+1))),0)</f>
        <v>0</v>
      </c>
      <c r="BM15" s="289" t="n">
        <f aca="false">IF(AND(Projects!$G$14="Yes",Projects!$F$14="Yes",63&gt;=Projects!$C$14,63&lt;Projects!$C$14+Projects!$D$14),Projects!$B$14*(1-SUMPRODUCT((Curves!$B$2:$AO$2)*(COLUMN(Curves!$B$2:$AO$2)-COLUMN(Curves!$B$2)+1&lt;=63-Projects!$C$14+1))),0)</f>
        <v>0</v>
      </c>
      <c r="BN15" s="289" t="n">
        <f aca="false">IF(AND(Projects!$G$14="Yes",Projects!$F$14="Yes",64&gt;=Projects!$C$14,64&lt;Projects!$C$14+Projects!$D$14),Projects!$B$14*(1-SUMPRODUCT((Curves!$B$2:$AO$2)*(COLUMN(Curves!$B$2:$AO$2)-COLUMN(Curves!$B$2)+1&lt;=64-Projects!$C$14+1))),0)</f>
        <v>0</v>
      </c>
      <c r="BO15" s="289" t="n">
        <f aca="false">IF(AND(Projects!$G$14="Yes",Projects!$F$14="Yes",65&gt;=Projects!$C$14,65&lt;Projects!$C$14+Projects!$D$14),Projects!$B$14*(1-SUMPRODUCT((Curves!$B$2:$AO$2)*(COLUMN(Curves!$B$2:$AO$2)-COLUMN(Curves!$B$2)+1&lt;=65-Projects!$C$14+1))),0)</f>
        <v>0</v>
      </c>
      <c r="BP15" s="289" t="n">
        <f aca="false">IF(AND(Projects!$G$14="Yes",Projects!$F$14="Yes",66&gt;=Projects!$C$14,66&lt;Projects!$C$14+Projects!$D$14),Projects!$B$14*(1-SUMPRODUCT((Curves!$B$2:$AO$2)*(COLUMN(Curves!$B$2:$AO$2)-COLUMN(Curves!$B$2)+1&lt;=66-Projects!$C$14+1))),0)</f>
        <v>0</v>
      </c>
      <c r="BQ15" s="289" t="n">
        <f aca="false">IF(AND(Projects!$G$14="Yes",Projects!$F$14="Yes",67&gt;=Projects!$C$14,67&lt;Projects!$C$14+Projects!$D$14),Projects!$B$14*(1-SUMPRODUCT((Curves!$B$2:$AO$2)*(COLUMN(Curves!$B$2:$AO$2)-COLUMN(Curves!$B$2)+1&lt;=67-Projects!$C$14+1))),0)</f>
        <v>0</v>
      </c>
      <c r="BR15" s="289" t="n">
        <f aca="false">IF(AND(Projects!$G$14="Yes",Projects!$F$14="Yes",68&gt;=Projects!$C$14,68&lt;Projects!$C$14+Projects!$D$14),Projects!$B$14*(1-SUMPRODUCT((Curves!$B$2:$AO$2)*(COLUMN(Curves!$B$2:$AO$2)-COLUMN(Curves!$B$2)+1&lt;=68-Projects!$C$14+1))),0)</f>
        <v>0</v>
      </c>
      <c r="BS15" s="289" t="n">
        <f aca="false">IF(AND(Projects!$G$14="Yes",Projects!$F$14="Yes",69&gt;=Projects!$C$14,69&lt;Projects!$C$14+Projects!$D$14),Projects!$B$14*(1-SUMPRODUCT((Curves!$B$2:$AO$2)*(COLUMN(Curves!$B$2:$AO$2)-COLUMN(Curves!$B$2)+1&lt;=69-Projects!$C$14+1))),0)</f>
        <v>0</v>
      </c>
      <c r="BT15" s="289" t="n">
        <f aca="false">IF(AND(Projects!$G$14="Yes",Projects!$F$14="Yes",70&gt;=Projects!$C$14,70&lt;Projects!$C$14+Projects!$D$14),Projects!$B$14*(1-SUMPRODUCT((Curves!$B$2:$AO$2)*(COLUMN(Curves!$B$2:$AO$2)-COLUMN(Curves!$B$2)+1&lt;=70-Projects!$C$14+1))),0)</f>
        <v>0</v>
      </c>
      <c r="BU15" s="289" t="n">
        <f aca="false">IF(AND(Projects!$G$14="Yes",Projects!$F$14="Yes",71&gt;=Projects!$C$14,71&lt;Projects!$C$14+Projects!$D$14),Projects!$B$14*(1-SUMPRODUCT((Curves!$B$2:$AO$2)*(COLUMN(Curves!$B$2:$AO$2)-COLUMN(Curves!$B$2)+1&lt;=71-Projects!$C$14+1))),0)</f>
        <v>0</v>
      </c>
      <c r="BV15" s="289" t="n">
        <f aca="false">IF(AND(Projects!$G$14="Yes",Projects!$F$14="Yes",72&gt;=Projects!$C$14,72&lt;Projects!$C$14+Projects!$D$14),Projects!$B$14*(1-SUMPRODUCT((Curves!$B$2:$AO$2)*(COLUMN(Curves!$B$2:$AO$2)-COLUMN(Curves!$B$2)+1&lt;=72-Projects!$C$14+1))),0)</f>
        <v>0</v>
      </c>
      <c r="BW15" s="289" t="n">
        <f aca="false">IF(AND(Projects!$G$14="Yes",Projects!$F$14="Yes",73&gt;=Projects!$C$14,73&lt;Projects!$C$14+Projects!$D$14),Projects!$B$14*(1-SUMPRODUCT((Curves!$B$2:$AO$2)*(COLUMN(Curves!$B$2:$AO$2)-COLUMN(Curves!$B$2)+1&lt;=73-Projects!$C$14+1))),0)</f>
        <v>0</v>
      </c>
      <c r="BX15" s="289" t="n">
        <f aca="false">IF(AND(Projects!$G$14="Yes",Projects!$F$14="Yes",74&gt;=Projects!$C$14,74&lt;Projects!$C$14+Projects!$D$14),Projects!$B$14*(1-SUMPRODUCT((Curves!$B$2:$AO$2)*(COLUMN(Curves!$B$2:$AO$2)-COLUMN(Curves!$B$2)+1&lt;=74-Projects!$C$14+1))),0)</f>
        <v>0</v>
      </c>
      <c r="BY15" s="289" t="n">
        <f aca="false">IF(AND(Projects!$G$14="Yes",Projects!$F$14="Yes",75&gt;=Projects!$C$14,75&lt;Projects!$C$14+Projects!$D$14),Projects!$B$14*(1-SUMPRODUCT((Curves!$B$2:$AO$2)*(COLUMN(Curves!$B$2:$AO$2)-COLUMN(Curves!$B$2)+1&lt;=75-Projects!$C$14+1))),0)</f>
        <v>0</v>
      </c>
      <c r="BZ15" s="289" t="n">
        <f aca="false">IF(AND(Projects!$G$14="Yes",Projects!$F$14="Yes",76&gt;=Projects!$C$14,76&lt;Projects!$C$14+Projects!$D$14),Projects!$B$14*(1-SUMPRODUCT((Curves!$B$2:$AO$2)*(COLUMN(Curves!$B$2:$AO$2)-COLUMN(Curves!$B$2)+1&lt;=76-Projects!$C$14+1))),0)</f>
        <v>0</v>
      </c>
      <c r="CA15" s="289" t="n">
        <f aca="false">IF(AND(Projects!$G$14="Yes",Projects!$F$14="Yes",77&gt;=Projects!$C$14,77&lt;Projects!$C$14+Projects!$D$14),Projects!$B$14*(1-SUMPRODUCT((Curves!$B$2:$AO$2)*(COLUMN(Curves!$B$2:$AO$2)-COLUMN(Curves!$B$2)+1&lt;=77-Projects!$C$14+1))),0)</f>
        <v>0</v>
      </c>
      <c r="CB15" s="289" t="n">
        <f aca="false">IF(AND(Projects!$G$14="Yes",Projects!$F$14="Yes",78&gt;=Projects!$C$14,78&lt;Projects!$C$14+Projects!$D$14),Projects!$B$14*(1-SUMPRODUCT((Curves!$B$2:$AO$2)*(COLUMN(Curves!$B$2:$AO$2)-COLUMN(Curves!$B$2)+1&lt;=78-Projects!$C$14+1))),0)</f>
        <v>0</v>
      </c>
      <c r="CC15" s="289" t="n">
        <f aca="false">IF(AND(Projects!$G$14="Yes",Projects!$F$14="Yes",79&gt;=Projects!$C$14,79&lt;Projects!$C$14+Projects!$D$14),Projects!$B$14*(1-SUMPRODUCT((Curves!$B$2:$AO$2)*(COLUMN(Curves!$B$2:$AO$2)-COLUMN(Curves!$B$2)+1&lt;=79-Projects!$C$14+1))),0)</f>
        <v>0</v>
      </c>
      <c r="CD15" s="289" t="n">
        <f aca="false">IF(AND(Projects!$G$14="Yes",Projects!$F$14="Yes",80&gt;=Projects!$C$14,80&lt;Projects!$C$14+Projects!$D$14),Projects!$B$14*(1-SUMPRODUCT((Curves!$B$2:$AO$2)*(COLUMN(Curves!$B$2:$AO$2)-COLUMN(Curves!$B$2)+1&lt;=80-Projects!$C$14+1))),0)</f>
        <v>0</v>
      </c>
      <c r="CE15" s="289" t="n">
        <f aca="false">IF(AND(Projects!$G$14="Yes",Projects!$F$14="Yes",81&gt;=Projects!$C$14,81&lt;Projects!$C$14+Projects!$D$14),Projects!$B$14*(1-SUMPRODUCT((Curves!$B$2:$AO$2)*(COLUMN(Curves!$B$2:$AO$2)-COLUMN(Curves!$B$2)+1&lt;=81-Projects!$C$14+1))),0)</f>
        <v>0</v>
      </c>
      <c r="CF15" s="289" t="n">
        <f aca="false">IF(AND(Projects!$G$14="Yes",Projects!$F$14="Yes",82&gt;=Projects!$C$14,82&lt;Projects!$C$14+Projects!$D$14),Projects!$B$14*(1-SUMPRODUCT((Curves!$B$2:$AO$2)*(COLUMN(Curves!$B$2:$AO$2)-COLUMN(Curves!$B$2)+1&lt;=82-Projects!$C$14+1))),0)</f>
        <v>0</v>
      </c>
      <c r="CG15" s="289" t="n">
        <f aca="false">IF(AND(Projects!$G$14="Yes",Projects!$F$14="Yes",83&gt;=Projects!$C$14,83&lt;Projects!$C$14+Projects!$D$14),Projects!$B$14*(1-SUMPRODUCT((Curves!$B$2:$AO$2)*(COLUMN(Curves!$B$2:$AO$2)-COLUMN(Curves!$B$2)+1&lt;=83-Projects!$C$14+1))),0)</f>
        <v>0</v>
      </c>
      <c r="CH15" s="289" t="n">
        <f aca="false">IF(AND(Projects!$G$14="Yes",Projects!$F$14="Yes",84&gt;=Projects!$C$14,84&lt;Projects!$C$14+Projects!$D$14),Projects!$B$14*(1-SUMPRODUCT((Curves!$B$2:$AO$2)*(COLUMN(Curves!$B$2:$AO$2)-COLUMN(Curves!$B$2)+1&lt;=84-Projects!$C$14+1))),0)</f>
        <v>0</v>
      </c>
      <c r="CI15" s="289" t="n">
        <f aca="false">IF(AND(Projects!$G$14="Yes",Projects!$F$14="Yes",85&gt;=Projects!$C$14,85&lt;Projects!$C$14+Projects!$D$14),Projects!$B$14*(1-SUMPRODUCT((Curves!$B$2:$AO$2)*(COLUMN(Curves!$B$2:$AO$2)-COLUMN(Curves!$B$2)+1&lt;=85-Projects!$C$14+1))),0)</f>
        <v>0</v>
      </c>
      <c r="CJ15" s="289" t="n">
        <f aca="false">IF(AND(Projects!$G$14="Yes",Projects!$F$14="Yes",86&gt;=Projects!$C$14,86&lt;Projects!$C$14+Projects!$D$14),Projects!$B$14*(1-SUMPRODUCT((Curves!$B$2:$AO$2)*(COLUMN(Curves!$B$2:$AO$2)-COLUMN(Curves!$B$2)+1&lt;=86-Projects!$C$14+1))),0)</f>
        <v>0</v>
      </c>
      <c r="CK15" s="289" t="n">
        <f aca="false">IF(AND(Projects!$G$14="Yes",Projects!$F$14="Yes",87&gt;=Projects!$C$14,87&lt;Projects!$C$14+Projects!$D$14),Projects!$B$14*(1-SUMPRODUCT((Curves!$B$2:$AO$2)*(COLUMN(Curves!$B$2:$AO$2)-COLUMN(Curves!$B$2)+1&lt;=87-Projects!$C$14+1))),0)</f>
        <v>0</v>
      </c>
      <c r="CL15" s="289" t="n">
        <f aca="false">IF(AND(Projects!$G$14="Yes",Projects!$F$14="Yes",88&gt;=Projects!$C$14,88&lt;Projects!$C$14+Projects!$D$14),Projects!$B$14*(1-SUMPRODUCT((Curves!$B$2:$AO$2)*(COLUMN(Curves!$B$2:$AO$2)-COLUMN(Curves!$B$2)+1&lt;=88-Projects!$C$14+1))),0)</f>
        <v>0</v>
      </c>
      <c r="CM15" s="289" t="n">
        <f aca="false">IF(AND(Projects!$G$14="Yes",Projects!$F$14="Yes",89&gt;=Projects!$C$14,89&lt;Projects!$C$14+Projects!$D$14),Projects!$B$14*(1-SUMPRODUCT((Curves!$B$2:$AO$2)*(COLUMN(Curves!$B$2:$AO$2)-COLUMN(Curves!$B$2)+1&lt;=89-Projects!$C$14+1))),0)</f>
        <v>0</v>
      </c>
      <c r="CN15" s="289" t="n">
        <f aca="false">IF(AND(Projects!$G$14="Yes",Projects!$F$14="Yes",90&gt;=Projects!$C$14,90&lt;Projects!$C$14+Projects!$D$14),Projects!$B$14*(1-SUMPRODUCT((Curves!$B$2:$AO$2)*(COLUMN(Curves!$B$2:$AO$2)-COLUMN(Curves!$B$2)+1&lt;=90-Projects!$C$14+1))),0)</f>
        <v>0</v>
      </c>
      <c r="CO15" s="289" t="n">
        <f aca="false">IF(AND(Projects!$G$14="Yes",Projects!$F$14="Yes",91&gt;=Projects!$C$14,91&lt;Projects!$C$14+Projects!$D$14),Projects!$B$14*(1-SUMPRODUCT((Curves!$B$2:$AO$2)*(COLUMN(Curves!$B$2:$AO$2)-COLUMN(Curves!$B$2)+1&lt;=91-Projects!$C$14+1))),0)</f>
        <v>0</v>
      </c>
      <c r="CP15" s="289" t="n">
        <f aca="false">IF(AND(Projects!$G$14="Yes",Projects!$F$14="Yes",92&gt;=Projects!$C$14,92&lt;Projects!$C$14+Projects!$D$14),Projects!$B$14*(1-SUMPRODUCT((Curves!$B$2:$AO$2)*(COLUMN(Curves!$B$2:$AO$2)-COLUMN(Curves!$B$2)+1&lt;=92-Projects!$C$14+1))),0)</f>
        <v>0</v>
      </c>
      <c r="CQ15" s="289" t="n">
        <f aca="false">IF(AND(Projects!$G$14="Yes",Projects!$F$14="Yes",93&gt;=Projects!$C$14,93&lt;Projects!$C$14+Projects!$D$14),Projects!$B$14*(1-SUMPRODUCT((Curves!$B$2:$AO$2)*(COLUMN(Curves!$B$2:$AO$2)-COLUMN(Curves!$B$2)+1&lt;=93-Projects!$C$14+1))),0)</f>
        <v>0</v>
      </c>
    </row>
    <row r="16" customFormat="false" ht="15" hidden="false" customHeight="true" outlineLevel="0" collapsed="false">
      <c r="A16" s="94" t="s">
        <v>176</v>
      </c>
      <c r="C16" s="305" t="n">
        <f aca="false">SUM(C8:C15)</f>
        <v>24716840.35</v>
      </c>
      <c r="D16" s="305" t="n">
        <f aca="false">SUM(D8:D15)</f>
        <v>22881539.17</v>
      </c>
      <c r="E16" s="305" t="n">
        <f aca="false">SUM(E8:E15)</f>
        <v>20879271.91</v>
      </c>
      <c r="F16" s="305" t="n">
        <f aca="false">SUM(F8:F15)</f>
        <v>18748519.38</v>
      </c>
      <c r="G16" s="305" t="n">
        <f aca="false">SUM(G8:G15)</f>
        <v>72424528.6691092</v>
      </c>
      <c r="H16" s="305" t="n">
        <f aca="false">SUM(H8:H15)</f>
        <v>82574509.2435969</v>
      </c>
      <c r="I16" s="305" t="n">
        <f aca="false">SUM(I8:I15)</f>
        <v>79199788.5696833</v>
      </c>
      <c r="J16" s="305" t="n">
        <f aca="false">SUM(J8:J15)</f>
        <v>76252151.8859288</v>
      </c>
      <c r="K16" s="305" t="n">
        <f aca="false">SUM(K8:K15)</f>
        <v>93841157.4299332</v>
      </c>
      <c r="L16" s="305" t="n">
        <f aca="false">SUM(L8:L15)</f>
        <v>89898626.9272109</v>
      </c>
      <c r="M16" s="305" t="n">
        <f aca="false">SUM(M8:M15)</f>
        <v>85937639.1724672</v>
      </c>
      <c r="N16" s="305" t="n">
        <f aca="false">SUM(N8:N15)</f>
        <v>81571690.8249268</v>
      </c>
      <c r="O16" s="305" t="n">
        <f aca="false">SUM(O8:O15)</f>
        <v>121727922.918202</v>
      </c>
      <c r="P16" s="305" t="n">
        <f aca="false">SUM(P8:P15)</f>
        <v>116359160.773936</v>
      </c>
      <c r="Q16" s="305" t="n">
        <f aca="false">SUM(Q8:Q15)</f>
        <v>110505183.81768</v>
      </c>
      <c r="R16" s="305" t="n">
        <f aca="false">SUM(R8:R15)</f>
        <v>103827337.409146</v>
      </c>
      <c r="S16" s="305" t="n">
        <f aca="false">SUM(S8:S15)</f>
        <v>97864629.2467563</v>
      </c>
      <c r="T16" s="305" t="n">
        <f aca="false">SUM(T8:T15)</f>
        <v>90586780.036997</v>
      </c>
      <c r="U16" s="305" t="n">
        <f aca="false">SUM(U8:U15)</f>
        <v>84468618.3098729</v>
      </c>
      <c r="V16" s="305" t="n">
        <f aca="false">SUM(V8:V15)</f>
        <v>76905288.679408</v>
      </c>
      <c r="W16" s="305" t="n">
        <f aca="false">SUM(W8:W15)</f>
        <v>70756461.80122</v>
      </c>
      <c r="X16" s="305" t="n">
        <f aca="false">SUM(X8:X15)</f>
        <v>63671060.2975435</v>
      </c>
      <c r="Y16" s="305" t="n">
        <f aca="false">SUM(Y8:Y15)</f>
        <v>57208591.0652635</v>
      </c>
      <c r="Z16" s="305" t="n">
        <f aca="false">SUM(Z8:Z15)</f>
        <v>47683777.55418</v>
      </c>
      <c r="AA16" s="305" t="n">
        <f aca="false">SUM(AA8:AA15)</f>
        <v>43788781.85796</v>
      </c>
      <c r="AB16" s="305" t="n">
        <f aca="false">SUM(AB8:AB15)</f>
        <v>39805156.423745</v>
      </c>
      <c r="AC16" s="305" t="n">
        <f aca="false">SUM(AC8:AC15)</f>
        <v>76697783.286628</v>
      </c>
      <c r="AD16" s="305" t="n">
        <f aca="false">SUM(AD8:AD15)</f>
        <v>72427246.794352</v>
      </c>
      <c r="AE16" s="305" t="n">
        <f aca="false">SUM(AE8:AE15)</f>
        <v>67022349.226358</v>
      </c>
      <c r="AF16" s="305" t="n">
        <f aca="false">SUM(AF8:AF15)</f>
        <v>61724974.909812</v>
      </c>
      <c r="AG16" s="305" t="n">
        <f aca="false">SUM(AG8:AG15)</f>
        <v>56424310.802542</v>
      </c>
      <c r="AH16" s="305" t="n">
        <f aca="false">SUM(AH8:AH15)</f>
        <v>52104602.333176</v>
      </c>
      <c r="AI16" s="305" t="n">
        <f aca="false">SUM(AI8:AI15)</f>
        <v>47970463.746912</v>
      </c>
      <c r="AJ16" s="305" t="n">
        <f aca="false">SUM(AJ8:AJ15)</f>
        <v>43711186.624518</v>
      </c>
      <c r="AK16" s="305" t="n">
        <f aca="false">SUM(AK8:AK15)</f>
        <v>39362973.61347</v>
      </c>
      <c r="AL16" s="305" t="n">
        <f aca="false">SUM(AL8:AL15)</f>
        <v>35942281.200826</v>
      </c>
      <c r="AM16" s="305" t="n">
        <f aca="false">SUM(AM8:AM15)</f>
        <v>32894612.367548</v>
      </c>
      <c r="AN16" s="305" t="n">
        <f aca="false">SUM(AN8:AN15)</f>
        <v>29903009.833158</v>
      </c>
      <c r="AO16" s="305" t="n">
        <f aca="false">SUM(AO8:AO15)</f>
        <v>26981928.712532</v>
      </c>
      <c r="AP16" s="305" t="n">
        <f aca="false">SUM(AP8:AP15)</f>
        <v>24145214.967326</v>
      </c>
      <c r="AQ16" s="305" t="n">
        <f aca="false">SUM(AQ8:AQ15)</f>
        <v>21405892.487426</v>
      </c>
      <c r="AR16" s="305" t="n">
        <f aca="false">SUM(AR8:AR15)</f>
        <v>18775979.790616</v>
      </c>
      <c r="AS16" s="305" t="n">
        <f aca="false">SUM(AS8:AS15)</f>
        <v>16893987.49148</v>
      </c>
      <c r="AT16" s="305" t="n">
        <f aca="false">SUM(AT8:AT15)</f>
        <v>15049033.294064</v>
      </c>
      <c r="AU16" s="305" t="n">
        <f aca="false">SUM(AU8:AU15)</f>
        <v>13258584.501624</v>
      </c>
      <c r="AV16" s="305" t="n">
        <f aca="false">SUM(AV8:AV15)</f>
        <v>11538273.165056</v>
      </c>
      <c r="AW16" s="305" t="n">
        <f aca="false">SUM(AW8:AW15)</f>
        <v>9901787.667552</v>
      </c>
      <c r="AX16" s="305" t="n">
        <f aca="false">SUM(AX8:AX15)</f>
        <v>8360541.887544</v>
      </c>
      <c r="AY16" s="305" t="n">
        <f aca="false">SUM(AY8:AY15)</f>
        <v>6923385.71628</v>
      </c>
      <c r="AZ16" s="305" t="n">
        <f aca="false">SUM(AZ8:AZ15)</f>
        <v>5596646.412456</v>
      </c>
      <c r="BA16" s="305" t="n">
        <f aca="false">SUM(BA8:BA15)</f>
        <v>4384004.53832</v>
      </c>
      <c r="BB16" s="305" t="n">
        <f aca="false">SUM(BB8:BB15)</f>
        <v>3286659.3782</v>
      </c>
      <c r="BC16" s="305" t="n">
        <f aca="false">SUM(BC8:BC15)</f>
        <v>2303535.711664</v>
      </c>
      <c r="BD16" s="305" t="n">
        <f aca="false">SUM(BD8:BD15)</f>
        <v>1431490.58668</v>
      </c>
      <c r="BE16" s="305" t="n">
        <f aca="false">SUM(BE8:BE15)</f>
        <v>665685.511304001</v>
      </c>
      <c r="BF16" s="305" t="n">
        <f aca="false">SUM(BF8:BF15)</f>
        <v>-165.418527995574</v>
      </c>
      <c r="BG16" s="305" t="n">
        <f aca="false">SUM(BG8:BG15)</f>
        <v>0</v>
      </c>
      <c r="BH16" s="305" t="n">
        <f aca="false">SUM(BH8:BH15)</f>
        <v>0</v>
      </c>
      <c r="BI16" s="305" t="n">
        <f aca="false">SUM(BI8:BI15)</f>
        <v>0</v>
      </c>
      <c r="BJ16" s="305" t="n">
        <f aca="false">SUM(BJ8:BJ15)</f>
        <v>0</v>
      </c>
      <c r="BK16" s="305" t="n">
        <f aca="false">SUM(BK8:BK15)</f>
        <v>0</v>
      </c>
      <c r="BL16" s="305" t="n">
        <f aca="false">SUM(BL8:BL15)</f>
        <v>0</v>
      </c>
      <c r="BM16" s="305" t="n">
        <f aca="false">SUM(BM8:BM15)</f>
        <v>0</v>
      </c>
      <c r="BN16" s="305" t="n">
        <f aca="false">SUM(BN8:BN15)</f>
        <v>0</v>
      </c>
      <c r="BO16" s="305" t="n">
        <f aca="false">SUM(BO8:BO15)</f>
        <v>0</v>
      </c>
      <c r="BP16" s="305" t="n">
        <f aca="false">SUM(BP8:BP15)</f>
        <v>0</v>
      </c>
      <c r="BQ16" s="305" t="n">
        <f aca="false">SUM(BQ8:BQ15)</f>
        <v>0</v>
      </c>
      <c r="BR16" s="305" t="n">
        <f aca="false">SUM(BR8:BR15)</f>
        <v>0</v>
      </c>
      <c r="BS16" s="305" t="n">
        <f aca="false">SUM(BS8:BS15)</f>
        <v>0</v>
      </c>
      <c r="BT16" s="305" t="n">
        <f aca="false">SUM(BT8:BT15)</f>
        <v>0</v>
      </c>
      <c r="BU16" s="305" t="n">
        <f aca="false">SUM(BU8:BU15)</f>
        <v>0</v>
      </c>
      <c r="BV16" s="305" t="n">
        <f aca="false">SUM(BV8:BV15)</f>
        <v>0</v>
      </c>
      <c r="BW16" s="305" t="n">
        <f aca="false">SUM(BW8:BW15)</f>
        <v>0</v>
      </c>
      <c r="BX16" s="305" t="n">
        <f aca="false">SUM(BX8:BX15)</f>
        <v>0</v>
      </c>
      <c r="BY16" s="305" t="n">
        <f aca="false">SUM(BY8:BY15)</f>
        <v>0</v>
      </c>
      <c r="BZ16" s="305" t="n">
        <f aca="false">SUM(BZ8:BZ15)</f>
        <v>0</v>
      </c>
      <c r="CA16" s="305" t="n">
        <f aca="false">SUM(CA8:CA15)</f>
        <v>0</v>
      </c>
      <c r="CB16" s="305" t="n">
        <f aca="false">SUM(CB8:CB15)</f>
        <v>0</v>
      </c>
      <c r="CC16" s="305" t="n">
        <f aca="false">SUM(CC8:CC15)</f>
        <v>0</v>
      </c>
      <c r="CD16" s="305" t="n">
        <f aca="false">SUM(CD8:CD15)</f>
        <v>0</v>
      </c>
      <c r="CE16" s="305" t="n">
        <f aca="false">SUM(CE8:CE15)</f>
        <v>0</v>
      </c>
      <c r="CF16" s="305" t="n">
        <f aca="false">SUM(CF8:CF15)</f>
        <v>0</v>
      </c>
      <c r="CG16" s="305" t="n">
        <f aca="false">SUM(CG8:CG15)</f>
        <v>0</v>
      </c>
      <c r="CH16" s="305" t="n">
        <f aca="false">SUM(CH8:CH15)</f>
        <v>0</v>
      </c>
      <c r="CI16" s="305" t="n">
        <f aca="false">SUM(CI8:CI15)</f>
        <v>0</v>
      </c>
      <c r="CJ16" s="305" t="n">
        <f aca="false">SUM(CJ8:CJ15)</f>
        <v>0</v>
      </c>
      <c r="CK16" s="305" t="n">
        <f aca="false">SUM(CK8:CK15)</f>
        <v>0</v>
      </c>
      <c r="CL16" s="305" t="n">
        <f aca="false">SUM(CL8:CL15)</f>
        <v>0</v>
      </c>
      <c r="CM16" s="305" t="n">
        <f aca="false">SUM(CM8:CM15)</f>
        <v>0</v>
      </c>
      <c r="CN16" s="305" t="n">
        <f aca="false">SUM(CN8:CN15)</f>
        <v>0</v>
      </c>
      <c r="CO16" s="305" t="n">
        <f aca="false">SUM(CO8:CO15)</f>
        <v>0</v>
      </c>
      <c r="CP16" s="305" t="n">
        <f aca="false">SUM(CP8:CP15)</f>
        <v>0</v>
      </c>
      <c r="CQ16" s="305" t="n">
        <f aca="false">SUM(CQ8:CQ15)</f>
        <v>0</v>
      </c>
    </row>
    <row r="18" customFormat="false" ht="15" hidden="false" customHeight="true" outlineLevel="0" collapsed="false">
      <c r="A18" s="23" t="s">
        <v>1146</v>
      </c>
      <c r="B18" s="23"/>
      <c r="C18" s="23"/>
      <c r="D18" s="23"/>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c r="BM18" s="23"/>
      <c r="BN18" s="23"/>
      <c r="BO18" s="23"/>
      <c r="BP18" s="23"/>
      <c r="BQ18" s="23"/>
      <c r="BR18" s="23"/>
      <c r="BS18" s="23"/>
      <c r="BT18" s="23"/>
      <c r="BU18" s="23"/>
      <c r="BV18" s="23"/>
      <c r="BW18" s="23"/>
      <c r="BX18" s="23"/>
      <c r="BY18" s="23"/>
      <c r="BZ18" s="23"/>
      <c r="CA18" s="23"/>
      <c r="CB18" s="23"/>
      <c r="CC18" s="23"/>
      <c r="CD18" s="23"/>
      <c r="CE18" s="23"/>
      <c r="CF18" s="23"/>
      <c r="CG18" s="23"/>
      <c r="CH18" s="23"/>
    </row>
    <row r="19" customFormat="false" ht="15" hidden="false" customHeight="true" outlineLevel="0" collapsed="false">
      <c r="A19" s="177" t="s">
        <v>1147</v>
      </c>
      <c r="C19" s="289" t="n">
        <f aca="false">IF(Projects!$G$7="Yes",Projects!$B$7*Assumptions!$B$47+Assumptions!$B$53*Assumptions!$B$48,0)</f>
        <v>577947.65</v>
      </c>
      <c r="D19" s="289" t="n">
        <f aca="false">C21</f>
        <v>577947.65</v>
      </c>
      <c r="E19" s="289" t="n">
        <f aca="false">D21</f>
        <v>577947.65</v>
      </c>
      <c r="F19" s="289" t="n">
        <f aca="false">E21</f>
        <v>577947.65</v>
      </c>
      <c r="G19" s="289" t="n">
        <f aca="false">F21</f>
        <v>577947.65</v>
      </c>
      <c r="H19" s="289" t="n">
        <f aca="false">G21</f>
        <v>577947.65</v>
      </c>
      <c r="I19" s="289" t="n">
        <f aca="false">H21</f>
        <v>577947.65</v>
      </c>
      <c r="J19" s="289" t="n">
        <f aca="false">I21</f>
        <v>577947.65</v>
      </c>
      <c r="K19" s="289" t="n">
        <f aca="false">J21</f>
        <v>577947.65</v>
      </c>
      <c r="L19" s="289" t="n">
        <f aca="false">K21</f>
        <v>577947.65</v>
      </c>
      <c r="M19" s="289" t="n">
        <f aca="false">L21</f>
        <v>577947.65</v>
      </c>
      <c r="N19" s="289" t="n">
        <f aca="false">M21</f>
        <v>577947.65</v>
      </c>
      <c r="O19" s="289" t="n">
        <f aca="false">N21</f>
        <v>577947.65</v>
      </c>
      <c r="P19" s="289" t="n">
        <f aca="false">O21</f>
        <v>577947.65</v>
      </c>
      <c r="Q19" s="289" t="n">
        <f aca="false">P21</f>
        <v>577947.65</v>
      </c>
      <c r="R19" s="289" t="n">
        <f aca="false">Q21</f>
        <v>577947.65</v>
      </c>
      <c r="S19" s="289" t="n">
        <f aca="false">R21</f>
        <v>577947.65</v>
      </c>
      <c r="T19" s="289" t="n">
        <f aca="false">S21</f>
        <v>577947.65</v>
      </c>
      <c r="U19" s="289" t="n">
        <f aca="false">T21</f>
        <v>577947.65</v>
      </c>
      <c r="V19" s="289" t="n">
        <f aca="false">U21</f>
        <v>577947.65</v>
      </c>
      <c r="W19" s="289" t="n">
        <f aca="false">V21</f>
        <v>577947.65</v>
      </c>
      <c r="X19" s="289" t="n">
        <f aca="false">W21</f>
        <v>577947.65</v>
      </c>
      <c r="Y19" s="289" t="n">
        <f aca="false">X21</f>
        <v>577947.65</v>
      </c>
      <c r="Z19" s="289" t="n">
        <f aca="false">Y21</f>
        <v>577947.65</v>
      </c>
      <c r="AA19" s="289" t="n">
        <f aca="false">Z21</f>
        <v>577947.65</v>
      </c>
      <c r="AB19" s="289" t="n">
        <f aca="false">AA21</f>
        <v>577947.65</v>
      </c>
      <c r="AC19" s="289" t="n">
        <f aca="false">AB21</f>
        <v>577947.65</v>
      </c>
      <c r="AD19" s="289" t="n">
        <f aca="false">AC21</f>
        <v>577947.65</v>
      </c>
      <c r="AE19" s="289" t="n">
        <f aca="false">AD21</f>
        <v>577947.65</v>
      </c>
      <c r="AF19" s="289" t="n">
        <f aca="false">AE21</f>
        <v>577947.65</v>
      </c>
      <c r="AG19" s="289" t="n">
        <f aca="false">AF21</f>
        <v>577947.65</v>
      </c>
      <c r="AH19" s="289" t="n">
        <f aca="false">AG21</f>
        <v>577947.65</v>
      </c>
      <c r="AI19" s="289" t="n">
        <f aca="false">AH21</f>
        <v>577947.65</v>
      </c>
      <c r="AJ19" s="289" t="n">
        <f aca="false">AI21</f>
        <v>577947.65</v>
      </c>
      <c r="AK19" s="289" t="n">
        <f aca="false">AJ21</f>
        <v>577947.65</v>
      </c>
      <c r="AL19" s="289" t="n">
        <f aca="false">AK21</f>
        <v>577947.65</v>
      </c>
      <c r="AM19" s="289" t="n">
        <f aca="false">AL21</f>
        <v>577947.65</v>
      </c>
      <c r="AN19" s="289" t="n">
        <f aca="false">AM21</f>
        <v>577947.65</v>
      </c>
      <c r="AO19" s="289" t="n">
        <f aca="false">AN21</f>
        <v>577947.65</v>
      </c>
      <c r="AP19" s="289" t="n">
        <f aca="false">AO21</f>
        <v>577947.65</v>
      </c>
      <c r="AQ19" s="289" t="n">
        <f aca="false">AP21</f>
        <v>577947.65</v>
      </c>
      <c r="AR19" s="289" t="n">
        <f aca="false">AQ21</f>
        <v>577947.65</v>
      </c>
      <c r="AS19" s="289" t="n">
        <f aca="false">AR21</f>
        <v>496264.65</v>
      </c>
      <c r="AT19" s="289" t="n">
        <f aca="false">AS21</f>
        <v>496264.65</v>
      </c>
      <c r="AU19" s="289" t="n">
        <f aca="false">AT21</f>
        <v>496264.65</v>
      </c>
      <c r="AV19" s="289" t="n">
        <f aca="false">AU21</f>
        <v>414582.65</v>
      </c>
      <c r="AW19" s="289" t="n">
        <f aca="false">AV21</f>
        <v>414582.65</v>
      </c>
      <c r="AX19" s="289" t="n">
        <f aca="false">AW21</f>
        <v>414582.65</v>
      </c>
      <c r="AY19" s="289" t="n">
        <f aca="false">AX21</f>
        <v>332900.65</v>
      </c>
      <c r="AZ19" s="289" t="n">
        <f aca="false">AY21</f>
        <v>332900.65</v>
      </c>
      <c r="BA19" s="289" t="n">
        <f aca="false">AZ21</f>
        <v>332900.65</v>
      </c>
      <c r="BB19" s="289" t="n">
        <f aca="false">BA21</f>
        <v>251218.65</v>
      </c>
      <c r="BC19" s="289" t="n">
        <f aca="false">BB21</f>
        <v>251218.65</v>
      </c>
      <c r="BD19" s="289" t="n">
        <f aca="false">BC21</f>
        <v>251218.65</v>
      </c>
      <c r="BE19" s="289" t="n">
        <f aca="false">BD21</f>
        <v>192040.65</v>
      </c>
      <c r="BF19" s="289" t="n">
        <f aca="false">BE21</f>
        <v>192040.65</v>
      </c>
      <c r="BG19" s="289" t="n">
        <f aca="false">BF21</f>
        <v>192040.65</v>
      </c>
      <c r="BH19" s="289" t="n">
        <f aca="false">BG21</f>
        <v>132864.65</v>
      </c>
      <c r="BI19" s="289" t="n">
        <f aca="false">BH21</f>
        <v>132864.65</v>
      </c>
      <c r="BJ19" s="289" t="n">
        <f aca="false">BI21</f>
        <v>132864.65</v>
      </c>
      <c r="BK19" s="289" t="n">
        <f aca="false">BJ21</f>
        <v>73688.65</v>
      </c>
      <c r="BL19" s="289" t="n">
        <f aca="false">BK21</f>
        <v>73688.65</v>
      </c>
      <c r="BM19" s="289" t="n">
        <f aca="false">BL21</f>
        <v>73688.65</v>
      </c>
      <c r="BN19" s="289" t="n">
        <f aca="false">BM21</f>
        <v>14512.65</v>
      </c>
      <c r="BO19" s="289" t="n">
        <f aca="false">BN21</f>
        <v>14512.65</v>
      </c>
      <c r="BP19" s="289" t="n">
        <f aca="false">BO21</f>
        <v>14512.65</v>
      </c>
      <c r="BQ19" s="289" t="n">
        <f aca="false">BP21</f>
        <v>0</v>
      </c>
      <c r="BR19" s="289" t="n">
        <f aca="false">BQ21</f>
        <v>0</v>
      </c>
      <c r="BS19" s="289" t="n">
        <f aca="false">BR21</f>
        <v>0</v>
      </c>
      <c r="BT19" s="289" t="n">
        <f aca="false">BS21</f>
        <v>0</v>
      </c>
      <c r="BU19" s="289" t="n">
        <f aca="false">BT21</f>
        <v>0</v>
      </c>
      <c r="BV19" s="289" t="n">
        <f aca="false">BU21</f>
        <v>0</v>
      </c>
      <c r="BW19" s="289" t="n">
        <f aca="false">BV21</f>
        <v>0</v>
      </c>
      <c r="BX19" s="289" t="n">
        <f aca="false">BW21</f>
        <v>0</v>
      </c>
      <c r="BY19" s="289" t="n">
        <f aca="false">BX21</f>
        <v>0</v>
      </c>
      <c r="BZ19" s="289" t="n">
        <f aca="false">BY21</f>
        <v>0</v>
      </c>
      <c r="CA19" s="289" t="n">
        <f aca="false">BZ21</f>
        <v>0</v>
      </c>
      <c r="CB19" s="289" t="n">
        <f aca="false">CA21</f>
        <v>0</v>
      </c>
      <c r="CC19" s="289" t="n">
        <f aca="false">CB21</f>
        <v>0</v>
      </c>
      <c r="CD19" s="289" t="n">
        <f aca="false">CC21</f>
        <v>0</v>
      </c>
      <c r="CE19" s="289" t="n">
        <f aca="false">CD21</f>
        <v>0</v>
      </c>
      <c r="CF19" s="289" t="n">
        <f aca="false">CE21</f>
        <v>0</v>
      </c>
      <c r="CG19" s="289" t="n">
        <f aca="false">CF21</f>
        <v>0</v>
      </c>
      <c r="CH19" s="289" t="n">
        <f aca="false">CG21</f>
        <v>0</v>
      </c>
      <c r="CI19" s="289" t="n">
        <f aca="false">CH21</f>
        <v>0</v>
      </c>
      <c r="CJ19" s="289" t="n">
        <f aca="false">CI21</f>
        <v>0</v>
      </c>
      <c r="CK19" s="289" t="n">
        <f aca="false">CJ21</f>
        <v>0</v>
      </c>
      <c r="CL19" s="289" t="n">
        <f aca="false">CK21</f>
        <v>0</v>
      </c>
      <c r="CM19" s="289" t="n">
        <f aca="false">CL21</f>
        <v>0</v>
      </c>
      <c r="CN19" s="289" t="n">
        <f aca="false">CM21</f>
        <v>0</v>
      </c>
      <c r="CO19" s="289" t="n">
        <f aca="false">CN21</f>
        <v>0</v>
      </c>
      <c r="CP19" s="289" t="n">
        <f aca="false">CO21</f>
        <v>0</v>
      </c>
      <c r="CQ19" s="289" t="n">
        <f aca="false">CP21</f>
        <v>0</v>
      </c>
    </row>
    <row r="20" customFormat="false" ht="15" hidden="false" customHeight="true" outlineLevel="0" collapsed="false">
      <c r="A20" s="306" t="s">
        <v>1148</v>
      </c>
      <c r="C20" s="307" t="n">
        <f aca="false">MIN(C19,Model!E254)</f>
        <v>0</v>
      </c>
      <c r="D20" s="307" t="n">
        <f aca="false">MIN(D19,Model!F254)</f>
        <v>0</v>
      </c>
      <c r="E20" s="307" t="n">
        <f aca="false">MIN(E19,Model!G254)</f>
        <v>0</v>
      </c>
      <c r="F20" s="307" t="n">
        <f aca="false">MIN(F19,Model!H254)</f>
        <v>0</v>
      </c>
      <c r="G20" s="307" t="n">
        <f aca="false">IF(ISBLANK(Actuals!J109),MIN(G19,Model!I254),-Actuals!J109)</f>
        <v>-0</v>
      </c>
      <c r="H20" s="307" t="n">
        <f aca="false">MIN(H19,Model!J254)</f>
        <v>0</v>
      </c>
      <c r="I20" s="307" t="n">
        <f aca="false">MIN(I19,Model!K254)</f>
        <v>0</v>
      </c>
      <c r="J20" s="307" t="n">
        <f aca="false">MIN(J19,Model!L254)</f>
        <v>0</v>
      </c>
      <c r="K20" s="307" t="n">
        <f aca="false">MIN(K19,Model!M254)</f>
        <v>0</v>
      </c>
      <c r="L20" s="307" t="n">
        <f aca="false">MIN(L19,Model!N254)</f>
        <v>0</v>
      </c>
      <c r="M20" s="307" t="n">
        <f aca="false">MIN(M19,Model!O254)</f>
        <v>0</v>
      </c>
      <c r="N20" s="307" t="n">
        <f aca="false">MIN(N19,Model!P254)</f>
        <v>0</v>
      </c>
      <c r="O20" s="307" t="n">
        <f aca="false">MIN(O19,Model!Q254)</f>
        <v>0</v>
      </c>
      <c r="P20" s="307" t="n">
        <f aca="false">MIN(P19,Model!R254)</f>
        <v>0</v>
      </c>
      <c r="Q20" s="307" t="n">
        <f aca="false">MIN(Q19,Model!S254)</f>
        <v>0</v>
      </c>
      <c r="R20" s="307" t="n">
        <f aca="false">MIN(R19,Model!T254)</f>
        <v>0</v>
      </c>
      <c r="S20" s="307" t="n">
        <f aca="false">MIN(S19,Model!U254)</f>
        <v>0</v>
      </c>
      <c r="T20" s="307" t="n">
        <f aca="false">MIN(T19,Model!V254)</f>
        <v>0</v>
      </c>
      <c r="U20" s="307" t="n">
        <f aca="false">MIN(U19,Model!W254)</f>
        <v>0</v>
      </c>
      <c r="V20" s="307" t="n">
        <f aca="false">MIN(V19,Model!X254)</f>
        <v>0</v>
      </c>
      <c r="W20" s="307" t="n">
        <f aca="false">MIN(W19,Model!Y254)</f>
        <v>0</v>
      </c>
      <c r="X20" s="307" t="n">
        <f aca="false">MIN(X19,Model!Z254)</f>
        <v>0</v>
      </c>
      <c r="Y20" s="307" t="n">
        <f aca="false">MIN(Y19,Model!AA254)</f>
        <v>0</v>
      </c>
      <c r="Z20" s="307" t="n">
        <f aca="false">MIN(Z19,Model!AB254)</f>
        <v>0</v>
      </c>
      <c r="AA20" s="307" t="n">
        <f aca="false">MIN(AA19,Model!AC254)</f>
        <v>0</v>
      </c>
      <c r="AB20" s="307" t="n">
        <f aca="false">MIN(AB19,Model!AD254)</f>
        <v>0</v>
      </c>
      <c r="AC20" s="307" t="n">
        <f aca="false">MIN(AC19,Model!AE254)</f>
        <v>0</v>
      </c>
      <c r="AD20" s="307" t="n">
        <f aca="false">MIN(AD19,Model!AF254)</f>
        <v>0</v>
      </c>
      <c r="AE20" s="307" t="n">
        <f aca="false">MIN(AE19,Model!AG254)</f>
        <v>0</v>
      </c>
      <c r="AF20" s="307" t="n">
        <f aca="false">MIN(AF19,Model!AH254)</f>
        <v>0</v>
      </c>
      <c r="AG20" s="307" t="n">
        <f aca="false">MIN(AG19,Model!AI254)</f>
        <v>0</v>
      </c>
      <c r="AH20" s="307" t="n">
        <f aca="false">MIN(AH19,Model!AJ254)</f>
        <v>0</v>
      </c>
      <c r="AI20" s="307" t="n">
        <f aca="false">MIN(AI19,Model!AK254)</f>
        <v>0</v>
      </c>
      <c r="AJ20" s="307" t="n">
        <f aca="false">MIN(AJ19,Model!AL254)</f>
        <v>0</v>
      </c>
      <c r="AK20" s="307" t="n">
        <f aca="false">MIN(AK19,Model!AM254)</f>
        <v>0</v>
      </c>
      <c r="AL20" s="307" t="n">
        <f aca="false">MIN(AL19,Model!AN254)</f>
        <v>0</v>
      </c>
      <c r="AM20" s="307" t="n">
        <f aca="false">MIN(AM19,Model!AO254)</f>
        <v>0</v>
      </c>
      <c r="AN20" s="307" t="n">
        <f aca="false">MIN(AN19,Model!AP254)</f>
        <v>0</v>
      </c>
      <c r="AO20" s="307" t="n">
        <f aca="false">MIN(AO19,Model!AQ254)</f>
        <v>0</v>
      </c>
      <c r="AP20" s="307" t="n">
        <f aca="false">MIN(AP19,Model!AR254)</f>
        <v>0</v>
      </c>
      <c r="AQ20" s="307" t="n">
        <f aca="false">MIN(AQ19,Model!AS254)</f>
        <v>0</v>
      </c>
      <c r="AR20" s="307" t="n">
        <f aca="false">MIN(AR19,Model!AT254)</f>
        <v>81683</v>
      </c>
      <c r="AS20" s="307" t="n">
        <f aca="false">MIN(AS19,Model!AU254)</f>
        <v>0</v>
      </c>
      <c r="AT20" s="307" t="n">
        <f aca="false">MIN(AT19,Model!AV254)</f>
        <v>0</v>
      </c>
      <c r="AU20" s="307" t="n">
        <f aca="false">MIN(AU19,Model!AW254)</f>
        <v>81682</v>
      </c>
      <c r="AV20" s="307" t="n">
        <f aca="false">MIN(AV19,Model!AX254)</f>
        <v>0</v>
      </c>
      <c r="AW20" s="307" t="n">
        <f aca="false">MIN(AW19,Model!AY254)</f>
        <v>0</v>
      </c>
      <c r="AX20" s="307" t="n">
        <f aca="false">MIN(AX19,Model!AZ254)</f>
        <v>81682</v>
      </c>
      <c r="AY20" s="307" t="n">
        <f aca="false">MIN(AY19,Model!BA254)</f>
        <v>0</v>
      </c>
      <c r="AZ20" s="307" t="n">
        <f aca="false">MIN(AZ19,Model!BB254)</f>
        <v>0</v>
      </c>
      <c r="BA20" s="307" t="n">
        <f aca="false">MIN(BA19,Model!BC254)</f>
        <v>81682</v>
      </c>
      <c r="BB20" s="307" t="n">
        <f aca="false">MIN(BB19,Model!BD254)</f>
        <v>0</v>
      </c>
      <c r="BC20" s="307" t="n">
        <f aca="false">MIN(BC19,Model!BE254)</f>
        <v>0</v>
      </c>
      <c r="BD20" s="307" t="n">
        <f aca="false">MIN(BD19,Model!BF254)</f>
        <v>59178</v>
      </c>
      <c r="BE20" s="307" t="n">
        <f aca="false">MIN(BE19,Model!BG254)</f>
        <v>0</v>
      </c>
      <c r="BF20" s="307" t="n">
        <f aca="false">MIN(BF19,Model!BH254)</f>
        <v>0</v>
      </c>
      <c r="BG20" s="307" t="n">
        <f aca="false">MIN(BG19,Model!BI254)</f>
        <v>59176</v>
      </c>
      <c r="BH20" s="307" t="n">
        <f aca="false">MIN(BH19,Model!BJ254)</f>
        <v>0</v>
      </c>
      <c r="BI20" s="307" t="n">
        <f aca="false">MIN(BI19,Model!BK254)</f>
        <v>0</v>
      </c>
      <c r="BJ20" s="307" t="n">
        <f aca="false">MIN(BJ19,Model!BL254)</f>
        <v>59176</v>
      </c>
      <c r="BK20" s="307" t="n">
        <f aca="false">MIN(BK19,Model!BM254)</f>
        <v>0</v>
      </c>
      <c r="BL20" s="307" t="n">
        <f aca="false">MIN(BL19,Model!BN254)</f>
        <v>0</v>
      </c>
      <c r="BM20" s="307" t="n">
        <f aca="false">MIN(BM19,Model!BO254)</f>
        <v>59176</v>
      </c>
      <c r="BN20" s="307" t="n">
        <f aca="false">MIN(BN19,Model!BP254)</f>
        <v>0</v>
      </c>
      <c r="BO20" s="307" t="n">
        <f aca="false">MIN(BO19,Model!BQ254)</f>
        <v>0</v>
      </c>
      <c r="BP20" s="307" t="n">
        <f aca="false">MIN(BP19,Model!BR254)</f>
        <v>14512.65</v>
      </c>
      <c r="BQ20" s="307" t="n">
        <f aca="false">MIN(BQ19,Model!BS254)</f>
        <v>0</v>
      </c>
      <c r="BR20" s="307" t="n">
        <f aca="false">MIN(BR19,Model!BT254)</f>
        <v>0</v>
      </c>
      <c r="BS20" s="307" t="n">
        <f aca="false">MIN(BS19,Model!BU254)</f>
        <v>0</v>
      </c>
      <c r="BT20" s="307" t="n">
        <f aca="false">MIN(BT19,Model!BV254)</f>
        <v>0</v>
      </c>
      <c r="BU20" s="307" t="n">
        <f aca="false">MIN(BU19,Model!BW254)</f>
        <v>0</v>
      </c>
      <c r="BV20" s="307" t="n">
        <f aca="false">MIN(BV19,Model!BX254)</f>
        <v>0</v>
      </c>
      <c r="BW20" s="307" t="n">
        <f aca="false">MIN(BW19,Model!BY254)</f>
        <v>0</v>
      </c>
      <c r="BX20" s="307" t="n">
        <f aca="false">MIN(BX19,Model!BZ254)</f>
        <v>0</v>
      </c>
      <c r="BY20" s="307" t="n">
        <f aca="false">MIN(BY19,Model!CA254)</f>
        <v>0</v>
      </c>
      <c r="BZ20" s="307" t="n">
        <f aca="false">MIN(BZ19,Model!CB254)</f>
        <v>0</v>
      </c>
      <c r="CA20" s="307" t="n">
        <f aca="false">MIN(CA19,Model!CC254)</f>
        <v>0</v>
      </c>
      <c r="CB20" s="307" t="n">
        <f aca="false">MIN(CB19,Model!CD254)</f>
        <v>0</v>
      </c>
      <c r="CC20" s="307" t="n">
        <f aca="false">MIN(CC19,Model!CE254)</f>
        <v>0</v>
      </c>
      <c r="CD20" s="307" t="n">
        <f aca="false">MIN(CD19,Model!CF254)</f>
        <v>0</v>
      </c>
      <c r="CE20" s="307" t="n">
        <f aca="false">MIN(CE19,Model!CG254)</f>
        <v>0</v>
      </c>
      <c r="CF20" s="307" t="n">
        <f aca="false">MIN(CF19,Model!CH254)</f>
        <v>0</v>
      </c>
      <c r="CG20" s="307" t="n">
        <f aca="false">MIN(CG19,Model!CI254)</f>
        <v>0</v>
      </c>
      <c r="CH20" s="307" t="n">
        <f aca="false">MIN(CH19,Model!CJ254)</f>
        <v>0</v>
      </c>
      <c r="CI20" s="307" t="n">
        <f aca="false">MIN(CI19,Model!CK254)</f>
        <v>0</v>
      </c>
      <c r="CJ20" s="307" t="n">
        <f aca="false">MIN(CJ19,Model!CL254)</f>
        <v>0</v>
      </c>
      <c r="CK20" s="307" t="n">
        <f aca="false">MIN(CK19,Model!CM254)</f>
        <v>0</v>
      </c>
      <c r="CL20" s="307" t="n">
        <f aca="false">MIN(CL19,Model!CN254)</f>
        <v>0</v>
      </c>
      <c r="CM20" s="307" t="n">
        <f aca="false">MIN(CM19,Model!CO254)</f>
        <v>0</v>
      </c>
      <c r="CN20" s="307" t="n">
        <f aca="false">MIN(CN19,Model!CP254)</f>
        <v>0</v>
      </c>
      <c r="CO20" s="307" t="n">
        <f aca="false">MIN(CO19,Model!CQ254)</f>
        <v>0</v>
      </c>
      <c r="CP20" s="307" t="n">
        <f aca="false">MIN(CP19,Model!CR254)</f>
        <v>0</v>
      </c>
      <c r="CQ20" s="307" t="n">
        <f aca="false">MIN(CQ19,Model!CS254)</f>
        <v>0</v>
      </c>
    </row>
    <row r="21" customFormat="false" ht="15" hidden="false" customHeight="true" outlineLevel="0" collapsed="false">
      <c r="A21" s="94" t="s">
        <v>1149</v>
      </c>
      <c r="C21" s="305" t="n">
        <f aca="false">MAX(0,C19-C20)</f>
        <v>577947.65</v>
      </c>
      <c r="D21" s="305" t="n">
        <f aca="false">MAX(0,D19-D20)</f>
        <v>577947.65</v>
      </c>
      <c r="E21" s="305" t="n">
        <f aca="false">MAX(0,E19-E20)</f>
        <v>577947.65</v>
      </c>
      <c r="F21" s="305" t="n">
        <f aca="false">MAX(0,F19-F20)</f>
        <v>577947.65</v>
      </c>
      <c r="G21" s="305" t="n">
        <f aca="false">MAX(0,G19-G20)</f>
        <v>577947.65</v>
      </c>
      <c r="H21" s="305" t="n">
        <f aca="false">MAX(0,H19-H20)</f>
        <v>577947.65</v>
      </c>
      <c r="I21" s="305" t="n">
        <f aca="false">MAX(0,I19-I20)</f>
        <v>577947.65</v>
      </c>
      <c r="J21" s="305" t="n">
        <f aca="false">MAX(0,J19-J20)</f>
        <v>577947.65</v>
      </c>
      <c r="K21" s="305" t="n">
        <f aca="false">MAX(0,K19-K20)</f>
        <v>577947.65</v>
      </c>
      <c r="L21" s="305" t="n">
        <f aca="false">MAX(0,L19-L20)</f>
        <v>577947.65</v>
      </c>
      <c r="M21" s="305" t="n">
        <f aca="false">MAX(0,M19-M20)</f>
        <v>577947.65</v>
      </c>
      <c r="N21" s="305" t="n">
        <f aca="false">MAX(0,N19-N20)</f>
        <v>577947.65</v>
      </c>
      <c r="O21" s="305" t="n">
        <f aca="false">MAX(0,O19-O20)</f>
        <v>577947.65</v>
      </c>
      <c r="P21" s="305" t="n">
        <f aca="false">MAX(0,P19-P20)</f>
        <v>577947.65</v>
      </c>
      <c r="Q21" s="305" t="n">
        <f aca="false">MAX(0,Q19-Q20)</f>
        <v>577947.65</v>
      </c>
      <c r="R21" s="305" t="n">
        <f aca="false">MAX(0,R19-R20)</f>
        <v>577947.65</v>
      </c>
      <c r="S21" s="305" t="n">
        <f aca="false">MAX(0,S19-S20)</f>
        <v>577947.65</v>
      </c>
      <c r="T21" s="305" t="n">
        <f aca="false">MAX(0,T19-T20)</f>
        <v>577947.65</v>
      </c>
      <c r="U21" s="305" t="n">
        <f aca="false">MAX(0,U19-U20)</f>
        <v>577947.65</v>
      </c>
      <c r="V21" s="305" t="n">
        <f aca="false">MAX(0,V19-V20)</f>
        <v>577947.65</v>
      </c>
      <c r="W21" s="305" t="n">
        <f aca="false">MAX(0,W19-W20)</f>
        <v>577947.65</v>
      </c>
      <c r="X21" s="305" t="n">
        <f aca="false">MAX(0,X19-X20)</f>
        <v>577947.65</v>
      </c>
      <c r="Y21" s="305" t="n">
        <f aca="false">MAX(0,Y19-Y20)</f>
        <v>577947.65</v>
      </c>
      <c r="Z21" s="305" t="n">
        <f aca="false">MAX(0,Z19-Z20)</f>
        <v>577947.65</v>
      </c>
      <c r="AA21" s="305" t="n">
        <f aca="false">MAX(0,AA19-AA20)</f>
        <v>577947.65</v>
      </c>
      <c r="AB21" s="305" t="n">
        <f aca="false">MAX(0,AB19-AB20)</f>
        <v>577947.65</v>
      </c>
      <c r="AC21" s="305" t="n">
        <f aca="false">MAX(0,AC19-AC20)</f>
        <v>577947.65</v>
      </c>
      <c r="AD21" s="305" t="n">
        <f aca="false">MAX(0,AD19-AD20)</f>
        <v>577947.65</v>
      </c>
      <c r="AE21" s="305" t="n">
        <f aca="false">MAX(0,AE19-AE20)</f>
        <v>577947.65</v>
      </c>
      <c r="AF21" s="305" t="n">
        <f aca="false">MAX(0,AF19-AF20)</f>
        <v>577947.65</v>
      </c>
      <c r="AG21" s="305" t="n">
        <f aca="false">MAX(0,AG19-AG20)</f>
        <v>577947.65</v>
      </c>
      <c r="AH21" s="305" t="n">
        <f aca="false">MAX(0,AH19-AH20)</f>
        <v>577947.65</v>
      </c>
      <c r="AI21" s="305" t="n">
        <f aca="false">MAX(0,AI19-AI20)</f>
        <v>577947.65</v>
      </c>
      <c r="AJ21" s="305" t="n">
        <f aca="false">MAX(0,AJ19-AJ20)</f>
        <v>577947.65</v>
      </c>
      <c r="AK21" s="305" t="n">
        <f aca="false">MAX(0,AK19-AK20)</f>
        <v>577947.65</v>
      </c>
      <c r="AL21" s="305" t="n">
        <f aca="false">MAX(0,AL19-AL20)</f>
        <v>577947.65</v>
      </c>
      <c r="AM21" s="305" t="n">
        <f aca="false">MAX(0,AM19-AM20)</f>
        <v>577947.65</v>
      </c>
      <c r="AN21" s="305" t="n">
        <f aca="false">MAX(0,AN19-AN20)</f>
        <v>577947.65</v>
      </c>
      <c r="AO21" s="305" t="n">
        <f aca="false">MAX(0,AO19-AO20)</f>
        <v>577947.65</v>
      </c>
      <c r="AP21" s="305" t="n">
        <f aca="false">MAX(0,AP19-AP20)</f>
        <v>577947.65</v>
      </c>
      <c r="AQ21" s="305" t="n">
        <f aca="false">MAX(0,AQ19-AQ20)</f>
        <v>577947.65</v>
      </c>
      <c r="AR21" s="305" t="n">
        <f aca="false">MAX(0,AR19-AR20)</f>
        <v>496264.65</v>
      </c>
      <c r="AS21" s="305" t="n">
        <f aca="false">MAX(0,AS19-AS20)</f>
        <v>496264.65</v>
      </c>
      <c r="AT21" s="305" t="n">
        <f aca="false">MAX(0,AT19-AT20)</f>
        <v>496264.65</v>
      </c>
      <c r="AU21" s="305" t="n">
        <f aca="false">MAX(0,AU19-AU20)</f>
        <v>414582.65</v>
      </c>
      <c r="AV21" s="305" t="n">
        <f aca="false">MAX(0,AV19-AV20)</f>
        <v>414582.65</v>
      </c>
      <c r="AW21" s="305" t="n">
        <f aca="false">MAX(0,AW19-AW20)</f>
        <v>414582.65</v>
      </c>
      <c r="AX21" s="305" t="n">
        <f aca="false">MAX(0,AX19-AX20)</f>
        <v>332900.65</v>
      </c>
      <c r="AY21" s="305" t="n">
        <f aca="false">MAX(0,AY19-AY20)</f>
        <v>332900.65</v>
      </c>
      <c r="AZ21" s="305" t="n">
        <f aca="false">MAX(0,AZ19-AZ20)</f>
        <v>332900.65</v>
      </c>
      <c r="BA21" s="305" t="n">
        <f aca="false">MAX(0,BA19-BA20)</f>
        <v>251218.65</v>
      </c>
      <c r="BB21" s="305" t="n">
        <f aca="false">MAX(0,BB19-BB20)</f>
        <v>251218.65</v>
      </c>
      <c r="BC21" s="305" t="n">
        <f aca="false">MAX(0,BC19-BC20)</f>
        <v>251218.65</v>
      </c>
      <c r="BD21" s="305" t="n">
        <f aca="false">MAX(0,BD19-BD20)</f>
        <v>192040.65</v>
      </c>
      <c r="BE21" s="305" t="n">
        <f aca="false">MAX(0,BE19-BE20)</f>
        <v>192040.65</v>
      </c>
      <c r="BF21" s="305" t="n">
        <f aca="false">MAX(0,BF19-BF20)</f>
        <v>192040.65</v>
      </c>
      <c r="BG21" s="305" t="n">
        <f aca="false">MAX(0,BG19-BG20)</f>
        <v>132864.65</v>
      </c>
      <c r="BH21" s="305" t="n">
        <f aca="false">MAX(0,BH19-BH20)</f>
        <v>132864.65</v>
      </c>
      <c r="BI21" s="305" t="n">
        <f aca="false">MAX(0,BI19-BI20)</f>
        <v>132864.65</v>
      </c>
      <c r="BJ21" s="305" t="n">
        <f aca="false">MAX(0,BJ19-BJ20)</f>
        <v>73688.65</v>
      </c>
      <c r="BK21" s="305" t="n">
        <f aca="false">MAX(0,BK19-BK20)</f>
        <v>73688.65</v>
      </c>
      <c r="BL21" s="305" t="n">
        <f aca="false">MAX(0,BL19-BL20)</f>
        <v>73688.65</v>
      </c>
      <c r="BM21" s="305" t="n">
        <f aca="false">MAX(0,BM19-BM20)</f>
        <v>14512.65</v>
      </c>
      <c r="BN21" s="305" t="n">
        <f aca="false">MAX(0,BN19-BN20)</f>
        <v>14512.65</v>
      </c>
      <c r="BO21" s="305" t="n">
        <f aca="false">MAX(0,BO19-BO20)</f>
        <v>14512.65</v>
      </c>
      <c r="BP21" s="305" t="n">
        <f aca="false">MAX(0,BP19-BP20)</f>
        <v>0</v>
      </c>
      <c r="BQ21" s="305" t="n">
        <f aca="false">MAX(0,BQ19-BQ20)</f>
        <v>0</v>
      </c>
      <c r="BR21" s="305" t="n">
        <f aca="false">MAX(0,BR19-BR20)</f>
        <v>0</v>
      </c>
      <c r="BS21" s="305" t="n">
        <f aca="false">MAX(0,BS19-BS20)</f>
        <v>0</v>
      </c>
      <c r="BT21" s="305" t="n">
        <f aca="false">MAX(0,BT19-BT20)</f>
        <v>0</v>
      </c>
      <c r="BU21" s="305" t="n">
        <f aca="false">MAX(0,BU19-BU20)</f>
        <v>0</v>
      </c>
      <c r="BV21" s="305" t="n">
        <f aca="false">MAX(0,BV19-BV20)</f>
        <v>0</v>
      </c>
      <c r="BW21" s="305" t="n">
        <f aca="false">MAX(0,BW19-BW20)</f>
        <v>0</v>
      </c>
      <c r="BX21" s="305" t="n">
        <f aca="false">MAX(0,BX19-BX20)</f>
        <v>0</v>
      </c>
      <c r="BY21" s="305" t="n">
        <f aca="false">MAX(0,BY19-BY20)</f>
        <v>0</v>
      </c>
      <c r="BZ21" s="305" t="n">
        <f aca="false">MAX(0,BZ19-BZ20)</f>
        <v>0</v>
      </c>
      <c r="CA21" s="305" t="n">
        <f aca="false">MAX(0,CA19-CA20)</f>
        <v>0</v>
      </c>
      <c r="CB21" s="305" t="n">
        <f aca="false">MAX(0,CB19-CB20)</f>
        <v>0</v>
      </c>
      <c r="CC21" s="305" t="n">
        <f aca="false">MAX(0,CC19-CC20)</f>
        <v>0</v>
      </c>
      <c r="CD21" s="305" t="n">
        <f aca="false">MAX(0,CD19-CD20)</f>
        <v>0</v>
      </c>
      <c r="CE21" s="305" t="n">
        <f aca="false">MAX(0,CE19-CE20)</f>
        <v>0</v>
      </c>
      <c r="CF21" s="305" t="n">
        <f aca="false">MAX(0,CF19-CF20)</f>
        <v>0</v>
      </c>
      <c r="CG21" s="305" t="n">
        <f aca="false">MAX(0,CG19-CG20)</f>
        <v>0</v>
      </c>
      <c r="CH21" s="305" t="n">
        <f aca="false">MAX(0,CH19-CH20)</f>
        <v>0</v>
      </c>
      <c r="CI21" s="305" t="n">
        <f aca="false">MAX(0,CI19-CI20)</f>
        <v>0</v>
      </c>
      <c r="CJ21" s="305" t="n">
        <f aca="false">MAX(0,CJ19-CJ20)</f>
        <v>0</v>
      </c>
      <c r="CK21" s="305" t="n">
        <f aca="false">MAX(0,CK19-CK20)</f>
        <v>0</v>
      </c>
      <c r="CL21" s="305" t="n">
        <f aca="false">MAX(0,CL19-CL20)</f>
        <v>0</v>
      </c>
      <c r="CM21" s="305" t="n">
        <f aca="false">MAX(0,CM19-CM20)</f>
        <v>0</v>
      </c>
      <c r="CN21" s="305" t="n">
        <f aca="false">MAX(0,CN19-CN20)</f>
        <v>0</v>
      </c>
      <c r="CO21" s="305" t="n">
        <f aca="false">MAX(0,CO19-CO20)</f>
        <v>0</v>
      </c>
      <c r="CP21" s="305" t="n">
        <f aca="false">MAX(0,CP19-CP20)</f>
        <v>0</v>
      </c>
      <c r="CQ21" s="305" t="n">
        <f aca="false">MAX(0,CQ19-CQ20)</f>
        <v>0</v>
      </c>
    </row>
    <row r="22" customFormat="false" ht="15" hidden="false" customHeight="true" outlineLevel="0" collapsed="false">
      <c r="A22" s="177" t="s">
        <v>1150</v>
      </c>
      <c r="C22" s="289" t="n">
        <f aca="false">IF(Projects!$G$13="Yes",Projects!$B$13*Assumptions!$B$47+Assumptions!$B$54*Assumptions!$B$48,0)</f>
        <v>602667.7</v>
      </c>
      <c r="D22" s="289" t="n">
        <f aca="false">C24</f>
        <v>602667.7</v>
      </c>
      <c r="E22" s="289" t="n">
        <f aca="false">D24</f>
        <v>602667.7</v>
      </c>
      <c r="F22" s="289" t="n">
        <f aca="false">E24</f>
        <v>602667.7</v>
      </c>
      <c r="G22" s="289" t="n">
        <f aca="false">F24</f>
        <v>602667.7</v>
      </c>
      <c r="H22" s="289" t="n">
        <f aca="false">G24</f>
        <v>602667.7</v>
      </c>
      <c r="I22" s="289" t="n">
        <f aca="false">H24</f>
        <v>602667.7</v>
      </c>
      <c r="J22" s="289" t="n">
        <f aca="false">I24</f>
        <v>602667.7</v>
      </c>
      <c r="K22" s="289" t="n">
        <f aca="false">J24</f>
        <v>602667.7</v>
      </c>
      <c r="L22" s="289" t="n">
        <f aca="false">K24</f>
        <v>602667.7</v>
      </c>
      <c r="M22" s="289" t="n">
        <f aca="false">L24</f>
        <v>602667.7</v>
      </c>
      <c r="N22" s="289" t="n">
        <f aca="false">M24</f>
        <v>602667.7</v>
      </c>
      <c r="O22" s="289" t="n">
        <f aca="false">N24</f>
        <v>602667.7</v>
      </c>
      <c r="P22" s="289" t="n">
        <f aca="false">O24</f>
        <v>602667.7</v>
      </c>
      <c r="Q22" s="289" t="n">
        <f aca="false">P24</f>
        <v>602667.7</v>
      </c>
      <c r="R22" s="289" t="n">
        <f aca="false">Q24</f>
        <v>602667.7</v>
      </c>
      <c r="S22" s="289" t="n">
        <f aca="false">R24</f>
        <v>602667.7</v>
      </c>
      <c r="T22" s="289" t="n">
        <f aca="false">S24</f>
        <v>602667.7</v>
      </c>
      <c r="U22" s="289" t="n">
        <f aca="false">T24</f>
        <v>602667.7</v>
      </c>
      <c r="V22" s="289" t="n">
        <f aca="false">U24</f>
        <v>602667.7</v>
      </c>
      <c r="W22" s="289" t="n">
        <f aca="false">V24</f>
        <v>602667.7</v>
      </c>
      <c r="X22" s="289" t="n">
        <f aca="false">W24</f>
        <v>602667.7</v>
      </c>
      <c r="Y22" s="289" t="n">
        <f aca="false">X24</f>
        <v>602667.7</v>
      </c>
      <c r="Z22" s="289" t="n">
        <f aca="false">Y24</f>
        <v>602667.7</v>
      </c>
      <c r="AA22" s="289" t="n">
        <f aca="false">Z24</f>
        <v>602667.7</v>
      </c>
      <c r="AB22" s="289" t="n">
        <f aca="false">AA24</f>
        <v>602667.7</v>
      </c>
      <c r="AC22" s="289" t="n">
        <f aca="false">AB24</f>
        <v>602667.7</v>
      </c>
      <c r="AD22" s="289" t="n">
        <f aca="false">AC24</f>
        <v>602667.7</v>
      </c>
      <c r="AE22" s="289" t="n">
        <f aca="false">AD24</f>
        <v>602667.7</v>
      </c>
      <c r="AF22" s="289" t="n">
        <f aca="false">AE24</f>
        <v>602667.7</v>
      </c>
      <c r="AG22" s="289" t="n">
        <f aca="false">AF24</f>
        <v>602667.7</v>
      </c>
      <c r="AH22" s="289" t="n">
        <f aca="false">AG24</f>
        <v>602667.7</v>
      </c>
      <c r="AI22" s="289" t="n">
        <f aca="false">AH24</f>
        <v>602667.7</v>
      </c>
      <c r="AJ22" s="289" t="n">
        <f aca="false">AI24</f>
        <v>602667.7</v>
      </c>
      <c r="AK22" s="289" t="n">
        <f aca="false">AJ24</f>
        <v>602667.7</v>
      </c>
      <c r="AL22" s="289" t="n">
        <f aca="false">AK24</f>
        <v>602667.7</v>
      </c>
      <c r="AM22" s="289" t="n">
        <f aca="false">AL24</f>
        <v>602667.7</v>
      </c>
      <c r="AN22" s="289" t="n">
        <f aca="false">AM24</f>
        <v>602667.7</v>
      </c>
      <c r="AO22" s="289" t="n">
        <f aca="false">AN24</f>
        <v>602667.7</v>
      </c>
      <c r="AP22" s="289" t="n">
        <f aca="false">AO24</f>
        <v>602667.7</v>
      </c>
      <c r="AQ22" s="289" t="n">
        <f aca="false">AP24</f>
        <v>602667.7</v>
      </c>
      <c r="AR22" s="289" t="n">
        <f aca="false">AQ24</f>
        <v>602667.7</v>
      </c>
      <c r="AS22" s="289" t="n">
        <f aca="false">AR24</f>
        <v>602667.7</v>
      </c>
      <c r="AT22" s="289" t="n">
        <f aca="false">AS24</f>
        <v>602667.7</v>
      </c>
      <c r="AU22" s="289" t="n">
        <f aca="false">AT24</f>
        <v>602667.7</v>
      </c>
      <c r="AV22" s="289" t="n">
        <f aca="false">AU24</f>
        <v>602667.7</v>
      </c>
      <c r="AW22" s="289" t="n">
        <f aca="false">AV24</f>
        <v>602667.7</v>
      </c>
      <c r="AX22" s="289" t="n">
        <f aca="false">AW24</f>
        <v>602667.7</v>
      </c>
      <c r="AY22" s="289" t="n">
        <f aca="false">AX24</f>
        <v>602667.7</v>
      </c>
      <c r="AZ22" s="289" t="n">
        <f aca="false">AY24</f>
        <v>602667.7</v>
      </c>
      <c r="BA22" s="289" t="n">
        <f aca="false">AZ24</f>
        <v>602667.7</v>
      </c>
      <c r="BB22" s="289" t="n">
        <f aca="false">BA24</f>
        <v>0</v>
      </c>
      <c r="BC22" s="289" t="n">
        <f aca="false">BB24</f>
        <v>0</v>
      </c>
      <c r="BD22" s="289" t="n">
        <f aca="false">BC24</f>
        <v>0</v>
      </c>
      <c r="BE22" s="289" t="n">
        <f aca="false">BD24</f>
        <v>0</v>
      </c>
      <c r="BF22" s="289" t="n">
        <f aca="false">BE24</f>
        <v>0</v>
      </c>
      <c r="BG22" s="289" t="n">
        <f aca="false">BF24</f>
        <v>0</v>
      </c>
      <c r="BH22" s="289" t="n">
        <f aca="false">BG24</f>
        <v>0</v>
      </c>
      <c r="BI22" s="289" t="n">
        <f aca="false">BH24</f>
        <v>0</v>
      </c>
      <c r="BJ22" s="289" t="n">
        <f aca="false">BI24</f>
        <v>0</v>
      </c>
      <c r="BK22" s="289" t="n">
        <f aca="false">BJ24</f>
        <v>0</v>
      </c>
      <c r="BL22" s="289" t="n">
        <f aca="false">BK24</f>
        <v>0</v>
      </c>
      <c r="BM22" s="289" t="n">
        <f aca="false">BL24</f>
        <v>0</v>
      </c>
      <c r="BN22" s="289" t="n">
        <f aca="false">BM24</f>
        <v>0</v>
      </c>
      <c r="BO22" s="289" t="n">
        <f aca="false">BN24</f>
        <v>0</v>
      </c>
      <c r="BP22" s="289" t="n">
        <f aca="false">BO24</f>
        <v>0</v>
      </c>
      <c r="BQ22" s="289" t="n">
        <f aca="false">BP24</f>
        <v>0</v>
      </c>
      <c r="BR22" s="289" t="n">
        <f aca="false">BQ24</f>
        <v>0</v>
      </c>
      <c r="BS22" s="289" t="n">
        <f aca="false">BR24</f>
        <v>0</v>
      </c>
      <c r="BT22" s="289" t="n">
        <f aca="false">BS24</f>
        <v>0</v>
      </c>
      <c r="BU22" s="289" t="n">
        <f aca="false">BT24</f>
        <v>0</v>
      </c>
      <c r="BV22" s="289" t="n">
        <f aca="false">BU24</f>
        <v>0</v>
      </c>
      <c r="BW22" s="289" t="n">
        <f aca="false">BV24</f>
        <v>0</v>
      </c>
      <c r="BX22" s="289" t="n">
        <f aca="false">BW24</f>
        <v>0</v>
      </c>
      <c r="BY22" s="289" t="n">
        <f aca="false">BX24</f>
        <v>0</v>
      </c>
      <c r="BZ22" s="289" t="n">
        <f aca="false">BY24</f>
        <v>0</v>
      </c>
      <c r="CA22" s="289" t="n">
        <f aca="false">BZ24</f>
        <v>0</v>
      </c>
      <c r="CB22" s="289" t="n">
        <f aca="false">CA24</f>
        <v>0</v>
      </c>
      <c r="CC22" s="289" t="n">
        <f aca="false">CB24</f>
        <v>0</v>
      </c>
      <c r="CD22" s="289" t="n">
        <f aca="false">CC24</f>
        <v>0</v>
      </c>
      <c r="CE22" s="289" t="n">
        <f aca="false">CD24</f>
        <v>0</v>
      </c>
      <c r="CF22" s="289" t="n">
        <f aca="false">CE24</f>
        <v>0</v>
      </c>
      <c r="CG22" s="289" t="n">
        <f aca="false">CF24</f>
        <v>0</v>
      </c>
      <c r="CH22" s="289" t="n">
        <f aca="false">CG24</f>
        <v>0</v>
      </c>
      <c r="CI22" s="289" t="n">
        <f aca="false">CH24</f>
        <v>0</v>
      </c>
      <c r="CJ22" s="289" t="n">
        <f aca="false">CI24</f>
        <v>0</v>
      </c>
      <c r="CK22" s="289" t="n">
        <f aca="false">CJ24</f>
        <v>0</v>
      </c>
      <c r="CL22" s="289" t="n">
        <f aca="false">CK24</f>
        <v>0</v>
      </c>
      <c r="CM22" s="289" t="n">
        <f aca="false">CL24</f>
        <v>0</v>
      </c>
      <c r="CN22" s="289" t="n">
        <f aca="false">CM24</f>
        <v>0</v>
      </c>
      <c r="CO22" s="289" t="n">
        <f aca="false">CN24</f>
        <v>0</v>
      </c>
      <c r="CP22" s="289" t="n">
        <f aca="false">CO24</f>
        <v>0</v>
      </c>
      <c r="CQ22" s="289" t="n">
        <f aca="false">CP24</f>
        <v>0</v>
      </c>
    </row>
    <row r="23" customFormat="false" ht="15" hidden="false" customHeight="true" outlineLevel="0" collapsed="false">
      <c r="A23" s="306" t="s">
        <v>1151</v>
      </c>
      <c r="C23" s="307" t="n">
        <f aca="false">MIN(C22,Model!E255)</f>
        <v>0</v>
      </c>
      <c r="D23" s="307" t="n">
        <f aca="false">MIN(D22,Model!F255)</f>
        <v>0</v>
      </c>
      <c r="E23" s="307" t="n">
        <f aca="false">MIN(E22,Model!G255)</f>
        <v>0</v>
      </c>
      <c r="F23" s="307" t="n">
        <f aca="false">MIN(F22,Model!H255)</f>
        <v>0</v>
      </c>
      <c r="G23" s="307" t="n">
        <f aca="false">MIN(G22,Model!I255)</f>
        <v>0</v>
      </c>
      <c r="H23" s="307" t="n">
        <f aca="false">MIN(H22,Model!J255)</f>
        <v>0</v>
      </c>
      <c r="I23" s="307" t="n">
        <f aca="false">MIN(I22,Model!K255)</f>
        <v>0</v>
      </c>
      <c r="J23" s="307" t="n">
        <f aca="false">MIN(J22,Model!L255)</f>
        <v>0</v>
      </c>
      <c r="K23" s="307" t="n">
        <f aca="false">MIN(K22,Model!M255)</f>
        <v>0</v>
      </c>
      <c r="L23" s="307" t="n">
        <f aca="false">MIN(L22,Model!N255)</f>
        <v>0</v>
      </c>
      <c r="M23" s="307" t="n">
        <f aca="false">MIN(M22,Model!O255)</f>
        <v>0</v>
      </c>
      <c r="N23" s="307" t="n">
        <f aca="false">MIN(N22,Model!P255)</f>
        <v>0</v>
      </c>
      <c r="O23" s="307" t="n">
        <f aca="false">MIN(O22,Model!Q255)</f>
        <v>0</v>
      </c>
      <c r="P23" s="307" t="n">
        <f aca="false">MIN(P22,Model!R255)</f>
        <v>0</v>
      </c>
      <c r="Q23" s="307" t="n">
        <f aca="false">MIN(Q22,Model!S255)</f>
        <v>0</v>
      </c>
      <c r="R23" s="307" t="n">
        <f aca="false">MIN(R22,Model!T255)</f>
        <v>0</v>
      </c>
      <c r="S23" s="307" t="n">
        <f aca="false">MIN(S22,Model!U255)</f>
        <v>0</v>
      </c>
      <c r="T23" s="307" t="n">
        <f aca="false">MIN(T22,Model!V255)</f>
        <v>0</v>
      </c>
      <c r="U23" s="307" t="n">
        <f aca="false">MIN(U22,Model!W255)</f>
        <v>0</v>
      </c>
      <c r="V23" s="307" t="n">
        <f aca="false">MIN(V22,Model!X255)</f>
        <v>0</v>
      </c>
      <c r="W23" s="307" t="n">
        <f aca="false">MIN(W22,Model!Y255)</f>
        <v>0</v>
      </c>
      <c r="X23" s="307" t="n">
        <f aca="false">MIN(X22,Model!Z255)</f>
        <v>0</v>
      </c>
      <c r="Y23" s="307" t="n">
        <f aca="false">MIN(Y22,Model!AA255)</f>
        <v>0</v>
      </c>
      <c r="Z23" s="307" t="n">
        <f aca="false">MIN(Z22,Model!AB255)</f>
        <v>0</v>
      </c>
      <c r="AA23" s="307" t="n">
        <f aca="false">MIN(AA22,Model!AC255)</f>
        <v>0</v>
      </c>
      <c r="AB23" s="307" t="n">
        <f aca="false">MIN(AB22,Model!AD255)</f>
        <v>0</v>
      </c>
      <c r="AC23" s="307" t="n">
        <f aca="false">MIN(AC22,Model!AE255)</f>
        <v>0</v>
      </c>
      <c r="AD23" s="307" t="n">
        <f aca="false">MIN(AD22,Model!AF255)</f>
        <v>0</v>
      </c>
      <c r="AE23" s="307" t="n">
        <f aca="false">MIN(AE22,Model!AG255)</f>
        <v>0</v>
      </c>
      <c r="AF23" s="307" t="n">
        <f aca="false">MIN(AF22,Model!AH255)</f>
        <v>0</v>
      </c>
      <c r="AG23" s="307" t="n">
        <f aca="false">MIN(AG22,Model!AI255)</f>
        <v>0</v>
      </c>
      <c r="AH23" s="307" t="n">
        <f aca="false">MIN(AH22,Model!AJ255)</f>
        <v>0</v>
      </c>
      <c r="AI23" s="307" t="n">
        <f aca="false">MIN(AI22,Model!AK255)</f>
        <v>0</v>
      </c>
      <c r="AJ23" s="307" t="n">
        <f aca="false">MIN(AJ22,Model!AL255)</f>
        <v>0</v>
      </c>
      <c r="AK23" s="307" t="n">
        <f aca="false">MIN(AK22,Model!AM255)</f>
        <v>0</v>
      </c>
      <c r="AL23" s="307" t="n">
        <f aca="false">MIN(AL22,Model!AN255)</f>
        <v>0</v>
      </c>
      <c r="AM23" s="307" t="n">
        <f aca="false">MIN(AM22,Model!AO255)</f>
        <v>0</v>
      </c>
      <c r="AN23" s="307" t="n">
        <f aca="false">MIN(AN22,Model!AP255)</f>
        <v>0</v>
      </c>
      <c r="AO23" s="307" t="n">
        <f aca="false">MIN(AO22,Model!AQ255)</f>
        <v>0</v>
      </c>
      <c r="AP23" s="307" t="n">
        <f aca="false">MIN(AP22,Model!AR255)</f>
        <v>0</v>
      </c>
      <c r="AQ23" s="307" t="n">
        <f aca="false">MIN(AQ22,Model!AS255)</f>
        <v>0</v>
      </c>
      <c r="AR23" s="307" t="n">
        <f aca="false">MIN(AR22,Model!AT255)</f>
        <v>0</v>
      </c>
      <c r="AS23" s="307" t="n">
        <f aca="false">MIN(AS22,Model!AU255)</f>
        <v>0</v>
      </c>
      <c r="AT23" s="307" t="n">
        <f aca="false">MIN(AT22,Model!AV255)</f>
        <v>0</v>
      </c>
      <c r="AU23" s="307" t="n">
        <f aca="false">MIN(AU22,Model!AW255)</f>
        <v>0</v>
      </c>
      <c r="AV23" s="307" t="n">
        <f aca="false">MIN(AV22,Model!AX255)</f>
        <v>0</v>
      </c>
      <c r="AW23" s="307" t="n">
        <f aca="false">MIN(AW22,Model!AY255)</f>
        <v>0</v>
      </c>
      <c r="AX23" s="307" t="n">
        <f aca="false">MIN(AX22,Model!AZ255)</f>
        <v>0</v>
      </c>
      <c r="AY23" s="307" t="n">
        <f aca="false">MIN(AY22,Model!BA255)</f>
        <v>0</v>
      </c>
      <c r="AZ23" s="307" t="n">
        <f aca="false">MIN(AZ22,Model!BB255)</f>
        <v>0</v>
      </c>
      <c r="BA23" s="307" t="n">
        <f aca="false">MIN(BA22,Model!BC255)</f>
        <v>602667.7</v>
      </c>
      <c r="BB23" s="307" t="n">
        <f aca="false">MIN(BB22,Model!BD255)</f>
        <v>0</v>
      </c>
      <c r="BC23" s="307" t="n">
        <f aca="false">MIN(BC22,Model!BE255)</f>
        <v>0</v>
      </c>
      <c r="BD23" s="307" t="n">
        <f aca="false">MIN(BD22,Model!BF255)</f>
        <v>0</v>
      </c>
      <c r="BE23" s="307" t="n">
        <f aca="false">MIN(BE22,Model!BG255)</f>
        <v>0</v>
      </c>
      <c r="BF23" s="307" t="n">
        <f aca="false">MIN(BF22,Model!BH255)</f>
        <v>0</v>
      </c>
      <c r="BG23" s="307" t="n">
        <f aca="false">MIN(BG22,Model!BI255)</f>
        <v>0</v>
      </c>
      <c r="BH23" s="307" t="n">
        <f aca="false">MIN(BH22,Model!BJ255)</f>
        <v>0</v>
      </c>
      <c r="BI23" s="307" t="n">
        <f aca="false">MIN(BI22,Model!BK255)</f>
        <v>0</v>
      </c>
      <c r="BJ23" s="307" t="n">
        <f aca="false">MIN(BJ22,Model!BL255)</f>
        <v>0</v>
      </c>
      <c r="BK23" s="307" t="n">
        <f aca="false">MIN(BK22,Model!BM255)</f>
        <v>0</v>
      </c>
      <c r="BL23" s="307" t="n">
        <f aca="false">MIN(BL22,Model!BN255)</f>
        <v>0</v>
      </c>
      <c r="BM23" s="307" t="n">
        <f aca="false">MIN(BM22,Model!BO255)</f>
        <v>0</v>
      </c>
      <c r="BN23" s="307" t="n">
        <f aca="false">MIN(BN22,Model!BP255)</f>
        <v>0</v>
      </c>
      <c r="BO23" s="307" t="n">
        <f aca="false">MIN(BO22,Model!BQ255)</f>
        <v>0</v>
      </c>
      <c r="BP23" s="307" t="n">
        <f aca="false">MIN(BP22,Model!BR255)</f>
        <v>0</v>
      </c>
      <c r="BQ23" s="307" t="n">
        <f aca="false">MIN(BQ22,Model!BS255)</f>
        <v>0</v>
      </c>
      <c r="BR23" s="307" t="n">
        <f aca="false">MIN(BR22,Model!BT255)</f>
        <v>0</v>
      </c>
      <c r="BS23" s="307" t="n">
        <f aca="false">MIN(BS22,Model!BU255)</f>
        <v>0</v>
      </c>
      <c r="BT23" s="307" t="n">
        <f aca="false">MIN(BT22,Model!BV255)</f>
        <v>0</v>
      </c>
      <c r="BU23" s="307" t="n">
        <f aca="false">MIN(BU22,Model!BW255)</f>
        <v>0</v>
      </c>
      <c r="BV23" s="307" t="n">
        <f aca="false">MIN(BV22,Model!BX255)</f>
        <v>0</v>
      </c>
      <c r="BW23" s="307" t="n">
        <f aca="false">MIN(BW22,Model!BY255)</f>
        <v>0</v>
      </c>
      <c r="BX23" s="307" t="n">
        <f aca="false">MIN(BX22,Model!BZ255)</f>
        <v>0</v>
      </c>
      <c r="BY23" s="307" t="n">
        <f aca="false">MIN(BY22,Model!CA255)</f>
        <v>0</v>
      </c>
      <c r="BZ23" s="307" t="n">
        <f aca="false">MIN(BZ22,Model!CB255)</f>
        <v>0</v>
      </c>
      <c r="CA23" s="307" t="n">
        <f aca="false">MIN(CA22,Model!CC255)</f>
        <v>0</v>
      </c>
      <c r="CB23" s="307" t="n">
        <f aca="false">MIN(CB22,Model!CD255)</f>
        <v>0</v>
      </c>
      <c r="CC23" s="307" t="n">
        <f aca="false">MIN(CC22,Model!CE255)</f>
        <v>0</v>
      </c>
      <c r="CD23" s="307" t="n">
        <f aca="false">MIN(CD22,Model!CF255)</f>
        <v>0</v>
      </c>
      <c r="CE23" s="307" t="n">
        <f aca="false">MIN(CE22,Model!CG255)</f>
        <v>0</v>
      </c>
      <c r="CF23" s="307" t="n">
        <f aca="false">MIN(CF22,Model!CH255)</f>
        <v>0</v>
      </c>
      <c r="CG23" s="307" t="n">
        <f aca="false">MIN(CG22,Model!CI255)</f>
        <v>0</v>
      </c>
      <c r="CH23" s="307" t="n">
        <f aca="false">MIN(CH22,Model!CJ255)</f>
        <v>0</v>
      </c>
      <c r="CI23" s="307" t="n">
        <f aca="false">MIN(CI22,Model!CK255)</f>
        <v>0</v>
      </c>
      <c r="CJ23" s="307" t="n">
        <f aca="false">MIN(CJ22,Model!CL255)</f>
        <v>0</v>
      </c>
      <c r="CK23" s="307" t="n">
        <f aca="false">MIN(CK22,Model!CM255)</f>
        <v>0</v>
      </c>
      <c r="CL23" s="307" t="n">
        <f aca="false">MIN(CL22,Model!CN255)</f>
        <v>0</v>
      </c>
      <c r="CM23" s="307" t="n">
        <f aca="false">MIN(CM22,Model!CO255)</f>
        <v>0</v>
      </c>
      <c r="CN23" s="307" t="n">
        <f aca="false">MIN(CN22,Model!CP255)</f>
        <v>0</v>
      </c>
      <c r="CO23" s="307" t="n">
        <f aca="false">MIN(CO22,Model!CQ255)</f>
        <v>0</v>
      </c>
      <c r="CP23" s="307" t="n">
        <f aca="false">MIN(CP22,Model!CR255)</f>
        <v>0</v>
      </c>
      <c r="CQ23" s="307" t="n">
        <f aca="false">MIN(CQ22,Model!CS255)</f>
        <v>0</v>
      </c>
    </row>
    <row r="24" customFormat="false" ht="15" hidden="false" customHeight="true" outlineLevel="0" collapsed="false">
      <c r="A24" s="94" t="s">
        <v>1152</v>
      </c>
      <c r="C24" s="305" t="n">
        <f aca="false">MAX(0,C22-C23)</f>
        <v>602667.7</v>
      </c>
      <c r="D24" s="305" t="n">
        <f aca="false">MAX(0,D22-D23)</f>
        <v>602667.7</v>
      </c>
      <c r="E24" s="305" t="n">
        <f aca="false">MAX(0,E22-E23)</f>
        <v>602667.7</v>
      </c>
      <c r="F24" s="305" t="n">
        <f aca="false">MAX(0,F22-F23)</f>
        <v>602667.7</v>
      </c>
      <c r="G24" s="305" t="n">
        <f aca="false">MAX(0,G22-G23)</f>
        <v>602667.7</v>
      </c>
      <c r="H24" s="305" t="n">
        <f aca="false">MAX(0,H22-H23)</f>
        <v>602667.7</v>
      </c>
      <c r="I24" s="305" t="n">
        <f aca="false">MAX(0,I22-I23)</f>
        <v>602667.7</v>
      </c>
      <c r="J24" s="305" t="n">
        <f aca="false">MAX(0,J22-J23)</f>
        <v>602667.7</v>
      </c>
      <c r="K24" s="305" t="n">
        <f aca="false">MAX(0,K22-K23)</f>
        <v>602667.7</v>
      </c>
      <c r="L24" s="305" t="n">
        <f aca="false">MAX(0,L22-L23)</f>
        <v>602667.7</v>
      </c>
      <c r="M24" s="305" t="n">
        <f aca="false">MAX(0,M22-M23)</f>
        <v>602667.7</v>
      </c>
      <c r="N24" s="305" t="n">
        <f aca="false">MAX(0,N22-N23)</f>
        <v>602667.7</v>
      </c>
      <c r="O24" s="305" t="n">
        <f aca="false">MAX(0,O22-O23)</f>
        <v>602667.7</v>
      </c>
      <c r="P24" s="305" t="n">
        <f aca="false">MAX(0,P22-P23)</f>
        <v>602667.7</v>
      </c>
      <c r="Q24" s="305" t="n">
        <f aca="false">MAX(0,Q22-Q23)</f>
        <v>602667.7</v>
      </c>
      <c r="R24" s="305" t="n">
        <f aca="false">MAX(0,R22-R23)</f>
        <v>602667.7</v>
      </c>
      <c r="S24" s="305" t="n">
        <f aca="false">MAX(0,S22-S23)</f>
        <v>602667.7</v>
      </c>
      <c r="T24" s="305" t="n">
        <f aca="false">MAX(0,T22-T23)</f>
        <v>602667.7</v>
      </c>
      <c r="U24" s="305" t="n">
        <f aca="false">MAX(0,U22-U23)</f>
        <v>602667.7</v>
      </c>
      <c r="V24" s="305" t="n">
        <f aca="false">MAX(0,V22-V23)</f>
        <v>602667.7</v>
      </c>
      <c r="W24" s="305" t="n">
        <f aca="false">MAX(0,W22-W23)</f>
        <v>602667.7</v>
      </c>
      <c r="X24" s="305" t="n">
        <f aca="false">MAX(0,X22-X23)</f>
        <v>602667.7</v>
      </c>
      <c r="Y24" s="305" t="n">
        <f aca="false">MAX(0,Y22-Y23)</f>
        <v>602667.7</v>
      </c>
      <c r="Z24" s="305" t="n">
        <f aca="false">MAX(0,Z22-Z23)</f>
        <v>602667.7</v>
      </c>
      <c r="AA24" s="305" t="n">
        <f aca="false">MAX(0,AA22-AA23)</f>
        <v>602667.7</v>
      </c>
      <c r="AB24" s="305" t="n">
        <f aca="false">MAX(0,AB22-AB23)</f>
        <v>602667.7</v>
      </c>
      <c r="AC24" s="305" t="n">
        <f aca="false">MAX(0,AC22-AC23)</f>
        <v>602667.7</v>
      </c>
      <c r="AD24" s="305" t="n">
        <f aca="false">MAX(0,AD22-AD23)</f>
        <v>602667.7</v>
      </c>
      <c r="AE24" s="305" t="n">
        <f aca="false">MAX(0,AE22-AE23)</f>
        <v>602667.7</v>
      </c>
      <c r="AF24" s="305" t="n">
        <f aca="false">MAX(0,AF22-AF23)</f>
        <v>602667.7</v>
      </c>
      <c r="AG24" s="305" t="n">
        <f aca="false">MAX(0,AG22-AG23)</f>
        <v>602667.7</v>
      </c>
      <c r="AH24" s="305" t="n">
        <f aca="false">MAX(0,AH22-AH23)</f>
        <v>602667.7</v>
      </c>
      <c r="AI24" s="305" t="n">
        <f aca="false">MAX(0,AI22-AI23)</f>
        <v>602667.7</v>
      </c>
      <c r="AJ24" s="305" t="n">
        <f aca="false">MAX(0,AJ22-AJ23)</f>
        <v>602667.7</v>
      </c>
      <c r="AK24" s="305" t="n">
        <f aca="false">MAX(0,AK22-AK23)</f>
        <v>602667.7</v>
      </c>
      <c r="AL24" s="305" t="n">
        <f aca="false">MAX(0,AL22-AL23)</f>
        <v>602667.7</v>
      </c>
      <c r="AM24" s="305" t="n">
        <f aca="false">MAX(0,AM22-AM23)</f>
        <v>602667.7</v>
      </c>
      <c r="AN24" s="305" t="n">
        <f aca="false">MAX(0,AN22-AN23)</f>
        <v>602667.7</v>
      </c>
      <c r="AO24" s="305" t="n">
        <f aca="false">MAX(0,AO22-AO23)</f>
        <v>602667.7</v>
      </c>
      <c r="AP24" s="305" t="n">
        <f aca="false">MAX(0,AP22-AP23)</f>
        <v>602667.7</v>
      </c>
      <c r="AQ24" s="305" t="n">
        <f aca="false">MAX(0,AQ22-AQ23)</f>
        <v>602667.7</v>
      </c>
      <c r="AR24" s="305" t="n">
        <f aca="false">MAX(0,AR22-AR23)</f>
        <v>602667.7</v>
      </c>
      <c r="AS24" s="305" t="n">
        <f aca="false">MAX(0,AS22-AS23)</f>
        <v>602667.7</v>
      </c>
      <c r="AT24" s="305" t="n">
        <f aca="false">MAX(0,AT22-AT23)</f>
        <v>602667.7</v>
      </c>
      <c r="AU24" s="305" t="n">
        <f aca="false">MAX(0,AU22-AU23)</f>
        <v>602667.7</v>
      </c>
      <c r="AV24" s="305" t="n">
        <f aca="false">MAX(0,AV22-AV23)</f>
        <v>602667.7</v>
      </c>
      <c r="AW24" s="305" t="n">
        <f aca="false">MAX(0,AW22-AW23)</f>
        <v>602667.7</v>
      </c>
      <c r="AX24" s="305" t="n">
        <f aca="false">MAX(0,AX22-AX23)</f>
        <v>602667.7</v>
      </c>
      <c r="AY24" s="305" t="n">
        <f aca="false">MAX(0,AY22-AY23)</f>
        <v>602667.7</v>
      </c>
      <c r="AZ24" s="305" t="n">
        <f aca="false">MAX(0,AZ22-AZ23)</f>
        <v>602667.7</v>
      </c>
      <c r="BA24" s="305" t="n">
        <f aca="false">MAX(0,BA22-BA23)</f>
        <v>0</v>
      </c>
      <c r="BB24" s="305" t="n">
        <f aca="false">MAX(0,BB22-BB23)</f>
        <v>0</v>
      </c>
      <c r="BC24" s="305" t="n">
        <f aca="false">MAX(0,BC22-BC23)</f>
        <v>0</v>
      </c>
      <c r="BD24" s="305" t="n">
        <f aca="false">MAX(0,BD22-BD23)</f>
        <v>0</v>
      </c>
      <c r="BE24" s="305" t="n">
        <f aca="false">MAX(0,BE22-BE23)</f>
        <v>0</v>
      </c>
      <c r="BF24" s="305" t="n">
        <f aca="false">MAX(0,BF22-BF23)</f>
        <v>0</v>
      </c>
      <c r="BG24" s="305" t="n">
        <f aca="false">MAX(0,BG22-BG23)</f>
        <v>0</v>
      </c>
      <c r="BH24" s="305" t="n">
        <f aca="false">MAX(0,BH22-BH23)</f>
        <v>0</v>
      </c>
      <c r="BI24" s="305" t="n">
        <f aca="false">MAX(0,BI22-BI23)</f>
        <v>0</v>
      </c>
      <c r="BJ24" s="305" t="n">
        <f aca="false">MAX(0,BJ22-BJ23)</f>
        <v>0</v>
      </c>
      <c r="BK24" s="305" t="n">
        <f aca="false">MAX(0,BK22-BK23)</f>
        <v>0</v>
      </c>
      <c r="BL24" s="305" t="n">
        <f aca="false">MAX(0,BL22-BL23)</f>
        <v>0</v>
      </c>
      <c r="BM24" s="305" t="n">
        <f aca="false">MAX(0,BM22-BM23)</f>
        <v>0</v>
      </c>
      <c r="BN24" s="305" t="n">
        <f aca="false">MAX(0,BN22-BN23)</f>
        <v>0</v>
      </c>
      <c r="BO24" s="305" t="n">
        <f aca="false">MAX(0,BO22-BO23)</f>
        <v>0</v>
      </c>
      <c r="BP24" s="305" t="n">
        <f aca="false">MAX(0,BP22-BP23)</f>
        <v>0</v>
      </c>
      <c r="BQ24" s="305" t="n">
        <f aca="false">MAX(0,BQ22-BQ23)</f>
        <v>0</v>
      </c>
      <c r="BR24" s="305" t="n">
        <f aca="false">MAX(0,BR22-BR23)</f>
        <v>0</v>
      </c>
      <c r="BS24" s="305" t="n">
        <f aca="false">MAX(0,BS22-BS23)</f>
        <v>0</v>
      </c>
      <c r="BT24" s="305" t="n">
        <f aca="false">MAX(0,BT22-BT23)</f>
        <v>0</v>
      </c>
      <c r="BU24" s="305" t="n">
        <f aca="false">MAX(0,BU22-BU23)</f>
        <v>0</v>
      </c>
      <c r="BV24" s="305" t="n">
        <f aca="false">MAX(0,BV22-BV23)</f>
        <v>0</v>
      </c>
      <c r="BW24" s="305" t="n">
        <f aca="false">MAX(0,BW22-BW23)</f>
        <v>0</v>
      </c>
      <c r="BX24" s="305" t="n">
        <f aca="false">MAX(0,BX22-BX23)</f>
        <v>0</v>
      </c>
      <c r="BY24" s="305" t="n">
        <f aca="false">MAX(0,BY22-BY23)</f>
        <v>0</v>
      </c>
      <c r="BZ24" s="305" t="n">
        <f aca="false">MAX(0,BZ22-BZ23)</f>
        <v>0</v>
      </c>
      <c r="CA24" s="305" t="n">
        <f aca="false">MAX(0,CA22-CA23)</f>
        <v>0</v>
      </c>
      <c r="CB24" s="305" t="n">
        <f aca="false">MAX(0,CB22-CB23)</f>
        <v>0</v>
      </c>
      <c r="CC24" s="305" t="n">
        <f aca="false">MAX(0,CC22-CC23)</f>
        <v>0</v>
      </c>
      <c r="CD24" s="305" t="n">
        <f aca="false">MAX(0,CD22-CD23)</f>
        <v>0</v>
      </c>
      <c r="CE24" s="305" t="n">
        <f aca="false">MAX(0,CE22-CE23)</f>
        <v>0</v>
      </c>
      <c r="CF24" s="305" t="n">
        <f aca="false">MAX(0,CF22-CF23)</f>
        <v>0</v>
      </c>
      <c r="CG24" s="305" t="n">
        <f aca="false">MAX(0,CG22-CG23)</f>
        <v>0</v>
      </c>
      <c r="CH24" s="305" t="n">
        <f aca="false">MAX(0,CH22-CH23)</f>
        <v>0</v>
      </c>
      <c r="CI24" s="305" t="n">
        <f aca="false">MAX(0,CI22-CI23)</f>
        <v>0</v>
      </c>
      <c r="CJ24" s="305" t="n">
        <f aca="false">MAX(0,CJ22-CJ23)</f>
        <v>0</v>
      </c>
      <c r="CK24" s="305" t="n">
        <f aca="false">MAX(0,CK22-CK23)</f>
        <v>0</v>
      </c>
      <c r="CL24" s="305" t="n">
        <f aca="false">MAX(0,CL22-CL23)</f>
        <v>0</v>
      </c>
      <c r="CM24" s="305" t="n">
        <f aca="false">MAX(0,CM22-CM23)</f>
        <v>0</v>
      </c>
      <c r="CN24" s="305" t="n">
        <f aca="false">MAX(0,CN22-CN23)</f>
        <v>0</v>
      </c>
      <c r="CO24" s="305" t="n">
        <f aca="false">MAX(0,CO22-CO23)</f>
        <v>0</v>
      </c>
      <c r="CP24" s="305" t="n">
        <f aca="false">MAX(0,CP22-CP23)</f>
        <v>0</v>
      </c>
      <c r="CQ24" s="305" t="n">
        <f aca="false">MAX(0,CQ22-CQ23)</f>
        <v>0</v>
      </c>
    </row>
    <row r="25" customFormat="false" ht="15" hidden="false" customHeight="true" outlineLevel="0" collapsed="false">
      <c r="A25" s="1" t="s">
        <v>1153</v>
      </c>
      <c r="B25" s="1" t="s">
        <v>1154</v>
      </c>
      <c r="C25" s="308" t="n">
        <f aca="false">IF(Projects!$G$14="Yes",Projects!$B$14*Assumptions!$B$47+Assumptions!$B$55*Assumptions!$B$48,0)</f>
        <v>563546.32</v>
      </c>
      <c r="D25" s="1" t="n">
        <f aca="false">C27</f>
        <v>563546.32</v>
      </c>
      <c r="E25" s="1" t="n">
        <f aca="false">D27</f>
        <v>563546.32</v>
      </c>
      <c r="F25" s="1" t="n">
        <f aca="false">E27</f>
        <v>563546.32</v>
      </c>
      <c r="G25" s="1" t="n">
        <f aca="false">F27</f>
        <v>563546.32</v>
      </c>
      <c r="H25" s="1" t="n">
        <f aca="false">G27</f>
        <v>563546.32</v>
      </c>
      <c r="I25" s="1" t="n">
        <f aca="false">H27</f>
        <v>563546.32</v>
      </c>
      <c r="J25" s="1" t="n">
        <f aca="false">I27</f>
        <v>563546.32</v>
      </c>
      <c r="K25" s="1" t="n">
        <f aca="false">J27</f>
        <v>563546.32</v>
      </c>
      <c r="L25" s="1" t="n">
        <f aca="false">K27</f>
        <v>563546.32</v>
      </c>
      <c r="M25" s="1" t="n">
        <f aca="false">L27</f>
        <v>563546.32</v>
      </c>
      <c r="N25" s="1" t="n">
        <f aca="false">M27</f>
        <v>563546.32</v>
      </c>
      <c r="O25" s="1" t="n">
        <f aca="false">N27</f>
        <v>563546.32</v>
      </c>
      <c r="P25" s="1" t="n">
        <f aca="false">O27</f>
        <v>563546.32</v>
      </c>
      <c r="Q25" s="1" t="n">
        <f aca="false">P27</f>
        <v>563546.32</v>
      </c>
      <c r="R25" s="1" t="n">
        <f aca="false">Q27</f>
        <v>563546.32</v>
      </c>
      <c r="S25" s="1" t="n">
        <f aca="false">R27</f>
        <v>563546.32</v>
      </c>
      <c r="T25" s="1" t="n">
        <f aca="false">S27</f>
        <v>563546.32</v>
      </c>
      <c r="U25" s="1" t="n">
        <f aca="false">T27</f>
        <v>563546.32</v>
      </c>
      <c r="V25" s="1" t="n">
        <f aca="false">U27</f>
        <v>563546.32</v>
      </c>
      <c r="W25" s="1" t="n">
        <f aca="false">V27</f>
        <v>563546.32</v>
      </c>
      <c r="X25" s="1" t="n">
        <f aca="false">W27</f>
        <v>563546.32</v>
      </c>
      <c r="Y25" s="1" t="n">
        <f aca="false">X27</f>
        <v>563546.32</v>
      </c>
      <c r="Z25" s="1" t="n">
        <f aca="false">Y27</f>
        <v>563546.32</v>
      </c>
      <c r="AA25" s="1" t="n">
        <f aca="false">Z27</f>
        <v>563546.32</v>
      </c>
      <c r="AB25" s="1" t="n">
        <f aca="false">AA27</f>
        <v>563546.32</v>
      </c>
      <c r="AC25" s="1" t="n">
        <f aca="false">AB27</f>
        <v>563546.32</v>
      </c>
      <c r="AD25" s="1" t="n">
        <f aca="false">AC27</f>
        <v>563546.32</v>
      </c>
      <c r="AE25" s="1" t="n">
        <f aca="false">AD27</f>
        <v>563546.32</v>
      </c>
      <c r="AF25" s="1" t="n">
        <f aca="false">AE27</f>
        <v>563546.32</v>
      </c>
      <c r="AG25" s="1" t="n">
        <f aca="false">AF27</f>
        <v>563546.32</v>
      </c>
      <c r="AH25" s="1" t="n">
        <f aca="false">AG27</f>
        <v>563546.32</v>
      </c>
      <c r="AI25" s="1" t="n">
        <f aca="false">AH27</f>
        <v>563546.32</v>
      </c>
      <c r="AJ25" s="1" t="n">
        <f aca="false">AI27</f>
        <v>563546.32</v>
      </c>
      <c r="AK25" s="1" t="n">
        <f aca="false">AJ27</f>
        <v>563546.32</v>
      </c>
      <c r="AL25" s="1" t="n">
        <f aca="false">AK27</f>
        <v>563546.32</v>
      </c>
      <c r="AM25" s="1" t="n">
        <f aca="false">AL27</f>
        <v>563546.32</v>
      </c>
      <c r="AN25" s="1" t="n">
        <f aca="false">AM27</f>
        <v>563546.32</v>
      </c>
      <c r="AO25" s="1" t="n">
        <f aca="false">AN27</f>
        <v>563546.32</v>
      </c>
      <c r="AP25" s="1" t="n">
        <f aca="false">AO27</f>
        <v>563546.32</v>
      </c>
      <c r="AQ25" s="1" t="n">
        <f aca="false">AP27</f>
        <v>563546.32</v>
      </c>
      <c r="AR25" s="1" t="n">
        <f aca="false">AQ27</f>
        <v>563546.32</v>
      </c>
      <c r="AS25" s="1" t="n">
        <f aca="false">AR27</f>
        <v>563546.32</v>
      </c>
      <c r="AT25" s="1" t="n">
        <f aca="false">AS27</f>
        <v>563546.32</v>
      </c>
      <c r="AU25" s="1" t="n">
        <f aca="false">AT27</f>
        <v>563546.32</v>
      </c>
      <c r="AV25" s="1" t="n">
        <f aca="false">AU27</f>
        <v>563546.32</v>
      </c>
      <c r="AW25" s="1" t="n">
        <f aca="false">AV27</f>
        <v>563546.32</v>
      </c>
      <c r="AX25" s="1" t="n">
        <f aca="false">AW27</f>
        <v>563546.32</v>
      </c>
      <c r="AY25" s="1" t="n">
        <f aca="false">AX27</f>
        <v>563546.32</v>
      </c>
      <c r="AZ25" s="1" t="n">
        <f aca="false">AY27</f>
        <v>563546.32</v>
      </c>
      <c r="BA25" s="1" t="n">
        <f aca="false">AZ27</f>
        <v>563546.32</v>
      </c>
      <c r="BB25" s="1" t="n">
        <f aca="false">BA27</f>
        <v>563546.32</v>
      </c>
      <c r="BC25" s="1" t="n">
        <f aca="false">BB27</f>
        <v>563546.32</v>
      </c>
      <c r="BD25" s="1" t="n">
        <f aca="false">BC27</f>
        <v>563546.32</v>
      </c>
      <c r="BE25" s="1" t="n">
        <f aca="false">BD27</f>
        <v>563546.32</v>
      </c>
      <c r="BF25" s="1" t="n">
        <f aca="false">BE27</f>
        <v>563546.32</v>
      </c>
      <c r="BG25" s="1" t="n">
        <f aca="false">BF27</f>
        <v>563546.32</v>
      </c>
      <c r="BH25" s="1" t="n">
        <f aca="false">BG27</f>
        <v>563546.32</v>
      </c>
      <c r="BI25" s="1" t="n">
        <f aca="false">BH27</f>
        <v>563546.32</v>
      </c>
      <c r="BJ25" s="1" t="n">
        <f aca="false">BI27</f>
        <v>563546.32</v>
      </c>
      <c r="BK25" s="1" t="n">
        <f aca="false">BJ27</f>
        <v>563546.32</v>
      </c>
      <c r="BL25" s="1" t="n">
        <f aca="false">BK27</f>
        <v>563546.32</v>
      </c>
      <c r="BM25" s="1" t="n">
        <f aca="false">BL27</f>
        <v>563546.32</v>
      </c>
      <c r="BN25" s="1" t="n">
        <f aca="false">BM27</f>
        <v>563546.32</v>
      </c>
      <c r="BO25" s="1" t="n">
        <f aca="false">BN27</f>
        <v>563546.32</v>
      </c>
      <c r="BP25" s="1" t="n">
        <f aca="false">BO27</f>
        <v>563546.32</v>
      </c>
      <c r="BQ25" s="1" t="n">
        <f aca="false">BP27</f>
        <v>563546.32</v>
      </c>
      <c r="BR25" s="1" t="n">
        <f aca="false">BQ27</f>
        <v>563546.32</v>
      </c>
      <c r="BS25" s="1" t="n">
        <f aca="false">BR27</f>
        <v>563546.32</v>
      </c>
      <c r="BT25" s="1" t="n">
        <f aca="false">BS27</f>
        <v>563546.32</v>
      </c>
      <c r="BU25" s="1" t="n">
        <f aca="false">BT27</f>
        <v>563546.32</v>
      </c>
      <c r="BV25" s="1" t="n">
        <f aca="false">BU27</f>
        <v>563546.32</v>
      </c>
      <c r="BW25" s="1" t="n">
        <f aca="false">BV27</f>
        <v>563546.32</v>
      </c>
      <c r="BX25" s="1" t="n">
        <f aca="false">BW27</f>
        <v>563546.32</v>
      </c>
      <c r="BY25" s="1" t="n">
        <f aca="false">BX27</f>
        <v>563546.32</v>
      </c>
      <c r="BZ25" s="1" t="n">
        <f aca="false">BY27</f>
        <v>490390.32</v>
      </c>
      <c r="CA25" s="1" t="n">
        <f aca="false">BZ27</f>
        <v>490390.32</v>
      </c>
      <c r="CB25" s="1" t="n">
        <f aca="false">CA27</f>
        <v>490390.32</v>
      </c>
      <c r="CC25" s="1" t="n">
        <f aca="false">CB27</f>
        <v>417235.32</v>
      </c>
      <c r="CD25" s="1" t="n">
        <f aca="false">CC27</f>
        <v>417235.32</v>
      </c>
      <c r="CE25" s="1" t="n">
        <f aca="false">CD27</f>
        <v>417235.32</v>
      </c>
      <c r="CF25" s="1" t="n">
        <f aca="false">CE27</f>
        <v>344080.32</v>
      </c>
      <c r="CG25" s="1" t="n">
        <f aca="false">CF27</f>
        <v>344080.32</v>
      </c>
      <c r="CH25" s="1" t="n">
        <f aca="false">CG27</f>
        <v>344080.32</v>
      </c>
      <c r="CI25" s="1" t="n">
        <f aca="false">CH27</f>
        <v>270925.32</v>
      </c>
      <c r="CJ25" s="1" t="n">
        <f aca="false">CI27</f>
        <v>197770.32</v>
      </c>
      <c r="CK25" s="1" t="n">
        <f aca="false">CJ27</f>
        <v>124615.32</v>
      </c>
      <c r="CL25" s="1" t="n">
        <f aca="false">CK27</f>
        <v>51460.3200000001</v>
      </c>
      <c r="CM25" s="1" t="n">
        <f aca="false">CL27</f>
        <v>0</v>
      </c>
      <c r="CN25" s="1" t="n">
        <f aca="false">CM27</f>
        <v>0</v>
      </c>
      <c r="CO25" s="1" t="n">
        <f aca="false">CN27</f>
        <v>0</v>
      </c>
      <c r="CP25" s="1" t="n">
        <f aca="false">CO27</f>
        <v>0</v>
      </c>
      <c r="CQ25" s="1" t="n">
        <f aca="false">CP27</f>
        <v>0</v>
      </c>
    </row>
    <row r="26" customFormat="false" ht="15" hidden="false" customHeight="true" outlineLevel="0" collapsed="false">
      <c r="B26" s="1" t="s">
        <v>1155</v>
      </c>
      <c r="C26" s="308" t="n">
        <f aca="false">MIN(C25,Model!E256)</f>
        <v>0</v>
      </c>
      <c r="D26" s="1" t="n">
        <f aca="false">MIN(D25,Model!F256)</f>
        <v>0</v>
      </c>
      <c r="E26" s="1" t="n">
        <f aca="false">MIN(E25,Model!G256)</f>
        <v>0</v>
      </c>
      <c r="F26" s="1" t="n">
        <f aca="false">MIN(F25,Model!H256)</f>
        <v>0</v>
      </c>
      <c r="G26" s="1" t="n">
        <f aca="false">MIN(G25,Model!I256)</f>
        <v>0</v>
      </c>
      <c r="H26" s="1" t="n">
        <f aca="false">MIN(H25,Model!J256)</f>
        <v>0</v>
      </c>
      <c r="I26" s="1" t="n">
        <f aca="false">MIN(I25,Model!K256)</f>
        <v>0</v>
      </c>
      <c r="J26" s="1" t="n">
        <f aca="false">MIN(J25,Model!L256)</f>
        <v>0</v>
      </c>
      <c r="K26" s="1" t="n">
        <f aca="false">MIN(K25,Model!M256)</f>
        <v>0</v>
      </c>
      <c r="L26" s="1" t="n">
        <f aca="false">MIN(L25,Model!N256)</f>
        <v>0</v>
      </c>
      <c r="M26" s="1" t="n">
        <f aca="false">MIN(M25,Model!O256)</f>
        <v>0</v>
      </c>
      <c r="N26" s="1" t="n">
        <f aca="false">MIN(N25,Model!P256)</f>
        <v>0</v>
      </c>
      <c r="O26" s="1" t="n">
        <f aca="false">MIN(O25,Model!Q256)</f>
        <v>0</v>
      </c>
      <c r="P26" s="1" t="n">
        <f aca="false">MIN(P25,Model!R256)</f>
        <v>0</v>
      </c>
      <c r="Q26" s="1" t="n">
        <f aca="false">MIN(Q25,Model!S256)</f>
        <v>0</v>
      </c>
      <c r="R26" s="1" t="n">
        <f aca="false">MIN(R25,Model!T256)</f>
        <v>0</v>
      </c>
      <c r="S26" s="1" t="n">
        <f aca="false">MIN(S25,Model!U256)</f>
        <v>0</v>
      </c>
      <c r="T26" s="1" t="n">
        <f aca="false">MIN(T25,Model!V256)</f>
        <v>0</v>
      </c>
      <c r="U26" s="1" t="n">
        <f aca="false">MIN(U25,Model!W256)</f>
        <v>0</v>
      </c>
      <c r="V26" s="1" t="n">
        <f aca="false">MIN(V25,Model!X256)</f>
        <v>0</v>
      </c>
      <c r="W26" s="1" t="n">
        <f aca="false">MIN(W25,Model!Y256)</f>
        <v>0</v>
      </c>
      <c r="X26" s="1" t="n">
        <f aca="false">MIN(X25,Model!Z256)</f>
        <v>0</v>
      </c>
      <c r="Y26" s="1" t="n">
        <f aca="false">MIN(Y25,Model!AA256)</f>
        <v>0</v>
      </c>
      <c r="Z26" s="1" t="n">
        <f aca="false">MIN(Z25,Model!AB256)</f>
        <v>0</v>
      </c>
      <c r="AA26" s="1" t="n">
        <f aca="false">MIN(AA25,Model!AC256)</f>
        <v>0</v>
      </c>
      <c r="AB26" s="1" t="n">
        <f aca="false">MIN(AB25,Model!AD256)</f>
        <v>0</v>
      </c>
      <c r="AC26" s="1" t="n">
        <f aca="false">MIN(AC25,Model!AE256)</f>
        <v>0</v>
      </c>
      <c r="AD26" s="1" t="n">
        <f aca="false">MIN(AD25,Model!AF256)</f>
        <v>0</v>
      </c>
      <c r="AE26" s="1" t="n">
        <f aca="false">MIN(AE25,Model!AG256)</f>
        <v>0</v>
      </c>
      <c r="AF26" s="1" t="n">
        <f aca="false">MIN(AF25,Model!AH256)</f>
        <v>0</v>
      </c>
      <c r="AG26" s="1" t="n">
        <f aca="false">MIN(AG25,Model!AI256)</f>
        <v>0</v>
      </c>
      <c r="AH26" s="1" t="n">
        <f aca="false">MIN(AH25,Model!AJ256)</f>
        <v>0</v>
      </c>
      <c r="AI26" s="1" t="n">
        <f aca="false">MIN(AI25,Model!AK256)</f>
        <v>0</v>
      </c>
      <c r="AJ26" s="1" t="n">
        <f aca="false">MIN(AJ25,Model!AL256)</f>
        <v>0</v>
      </c>
      <c r="AK26" s="1" t="n">
        <f aca="false">MIN(AK25,Model!AM256)</f>
        <v>0</v>
      </c>
      <c r="AL26" s="1" t="n">
        <f aca="false">MIN(AL25,Model!AN256)</f>
        <v>0</v>
      </c>
      <c r="AM26" s="1" t="n">
        <f aca="false">MIN(AM25,Model!AO256)</f>
        <v>0</v>
      </c>
      <c r="AN26" s="1" t="n">
        <f aca="false">MIN(AN25,Model!AP256)</f>
        <v>0</v>
      </c>
      <c r="AO26" s="1" t="n">
        <f aca="false">MIN(AO25,Model!AQ256)</f>
        <v>0</v>
      </c>
      <c r="AP26" s="1" t="n">
        <f aca="false">MIN(AP25,Model!AR256)</f>
        <v>0</v>
      </c>
      <c r="AQ26" s="1" t="n">
        <f aca="false">MIN(AQ25,Model!AS256)</f>
        <v>0</v>
      </c>
      <c r="AR26" s="1" t="n">
        <f aca="false">MIN(AR25,Model!AT256)</f>
        <v>0</v>
      </c>
      <c r="AS26" s="1" t="n">
        <f aca="false">MIN(AS25,Model!AU256)</f>
        <v>0</v>
      </c>
      <c r="AT26" s="1" t="n">
        <f aca="false">MIN(AT25,Model!AV256)</f>
        <v>0</v>
      </c>
      <c r="AU26" s="1" t="n">
        <f aca="false">MIN(AU25,Model!AW256)</f>
        <v>0</v>
      </c>
      <c r="AV26" s="1" t="n">
        <f aca="false">MIN(AV25,Model!AX256)</f>
        <v>0</v>
      </c>
      <c r="AW26" s="1" t="n">
        <f aca="false">MIN(AW25,Model!AY256)</f>
        <v>0</v>
      </c>
      <c r="AX26" s="1" t="n">
        <f aca="false">MIN(AX25,Model!AZ256)</f>
        <v>0</v>
      </c>
      <c r="AY26" s="1" t="n">
        <f aca="false">MIN(AY25,Model!BA256)</f>
        <v>0</v>
      </c>
      <c r="AZ26" s="1" t="n">
        <f aca="false">MIN(AZ25,Model!BB256)</f>
        <v>0</v>
      </c>
      <c r="BA26" s="1" t="n">
        <f aca="false">MIN(BA25,Model!BC256)</f>
        <v>0</v>
      </c>
      <c r="BB26" s="1" t="n">
        <f aca="false">MIN(BB25,Model!BD256)</f>
        <v>0</v>
      </c>
      <c r="BC26" s="1" t="n">
        <f aca="false">MIN(BC25,Model!BE256)</f>
        <v>0</v>
      </c>
      <c r="BD26" s="1" t="n">
        <f aca="false">MIN(BD25,Model!BF256)</f>
        <v>0</v>
      </c>
      <c r="BE26" s="1" t="n">
        <f aca="false">MIN(BE25,Model!BG256)</f>
        <v>0</v>
      </c>
      <c r="BF26" s="1" t="n">
        <f aca="false">MIN(BF25,Model!BH256)</f>
        <v>0</v>
      </c>
      <c r="BG26" s="1" t="n">
        <f aca="false">MIN(BG25,Model!BI256)</f>
        <v>0</v>
      </c>
      <c r="BH26" s="1" t="n">
        <f aca="false">MIN(BH25,Model!BJ256)</f>
        <v>0</v>
      </c>
      <c r="BI26" s="1" t="n">
        <f aca="false">MIN(BI25,Model!BK256)</f>
        <v>0</v>
      </c>
      <c r="BJ26" s="1" t="n">
        <f aca="false">MIN(BJ25,Model!BL256)</f>
        <v>0</v>
      </c>
      <c r="BK26" s="1" t="n">
        <f aca="false">MIN(BK25,Model!BM256)</f>
        <v>0</v>
      </c>
      <c r="BL26" s="1" t="n">
        <f aca="false">MIN(BL25,Model!BN256)</f>
        <v>0</v>
      </c>
      <c r="BM26" s="1" t="n">
        <f aca="false">MIN(BM25,Model!BO256)</f>
        <v>0</v>
      </c>
      <c r="BN26" s="1" t="n">
        <f aca="false">MIN(BN25,Model!BP256)</f>
        <v>0</v>
      </c>
      <c r="BO26" s="1" t="n">
        <f aca="false">MIN(BO25,Model!BQ256)</f>
        <v>0</v>
      </c>
      <c r="BP26" s="1" t="n">
        <f aca="false">MIN(BP25,Model!BR256)</f>
        <v>0</v>
      </c>
      <c r="BQ26" s="1" t="n">
        <f aca="false">MIN(BQ25,Model!BS256)</f>
        <v>0</v>
      </c>
      <c r="BR26" s="1" t="n">
        <f aca="false">MIN(BR25,Model!BT256)</f>
        <v>0</v>
      </c>
      <c r="BS26" s="1" t="n">
        <f aca="false">MIN(BS25,Model!BU256)</f>
        <v>0</v>
      </c>
      <c r="BT26" s="1" t="n">
        <f aca="false">MIN(BT25,Model!BV256)</f>
        <v>0</v>
      </c>
      <c r="BU26" s="1" t="n">
        <f aca="false">MIN(BU25,Model!BW256)</f>
        <v>0</v>
      </c>
      <c r="BV26" s="1" t="n">
        <f aca="false">MIN(BV25,Model!BX256)</f>
        <v>0</v>
      </c>
      <c r="BW26" s="1" t="n">
        <f aca="false">MIN(BW25,Model!BY256)</f>
        <v>0</v>
      </c>
      <c r="BX26" s="1" t="n">
        <f aca="false">MIN(BX25,Model!BZ256)</f>
        <v>0</v>
      </c>
      <c r="BY26" s="1" t="n">
        <f aca="false">MIN(BY25,Model!CA256)</f>
        <v>73156</v>
      </c>
      <c r="BZ26" s="1" t="n">
        <f aca="false">MIN(BZ25,Model!CB256)</f>
        <v>0</v>
      </c>
      <c r="CA26" s="1" t="n">
        <f aca="false">MIN(CA25,Model!CC256)</f>
        <v>0</v>
      </c>
      <c r="CB26" s="1" t="n">
        <f aca="false">MIN(CB25,Model!CD256)</f>
        <v>73155</v>
      </c>
      <c r="CC26" s="1" t="n">
        <f aca="false">MIN(CC25,Model!CE256)</f>
        <v>0</v>
      </c>
      <c r="CD26" s="1" t="n">
        <f aca="false">MIN(CD25,Model!CF256)</f>
        <v>0</v>
      </c>
      <c r="CE26" s="1" t="n">
        <f aca="false">MIN(CE25,Model!CG256)</f>
        <v>73155</v>
      </c>
      <c r="CF26" s="1" t="n">
        <f aca="false">MIN(CF25,Model!CH256)</f>
        <v>0</v>
      </c>
      <c r="CG26" s="1" t="n">
        <f aca="false">MIN(CG25,Model!CI256)</f>
        <v>0</v>
      </c>
      <c r="CH26" s="1" t="n">
        <f aca="false">MIN(CH25,Model!CJ256)</f>
        <v>73155</v>
      </c>
      <c r="CI26" s="1" t="n">
        <f aca="false">MIN(CI25,Model!CK256)</f>
        <v>73155</v>
      </c>
      <c r="CJ26" s="1" t="n">
        <f aca="false">MIN(CJ25,Model!CL256)</f>
        <v>73155</v>
      </c>
      <c r="CK26" s="1" t="n">
        <f aca="false">MIN(CK25,Model!CM256)</f>
        <v>73155</v>
      </c>
      <c r="CL26" s="1" t="n">
        <f aca="false">MIN(CL25,Model!CN256)</f>
        <v>51460.3200000001</v>
      </c>
      <c r="CM26" s="1" t="n">
        <f aca="false">MIN(CM25,Model!CO256)</f>
        <v>0</v>
      </c>
      <c r="CN26" s="1" t="n">
        <f aca="false">MIN(CN25,Model!CP256)</f>
        <v>0</v>
      </c>
      <c r="CO26" s="1" t="n">
        <f aca="false">MIN(CO25,Model!CQ256)</f>
        <v>0</v>
      </c>
      <c r="CP26" s="1" t="n">
        <f aca="false">MIN(CP25,Model!CR256)</f>
        <v>0</v>
      </c>
      <c r="CQ26" s="1" t="n">
        <f aca="false">MIN(CQ25,Model!CS256)</f>
        <v>0</v>
      </c>
    </row>
    <row r="27" customFormat="false" ht="15" hidden="false" customHeight="true" outlineLevel="0" collapsed="false">
      <c r="B27" s="1" t="s">
        <v>1156</v>
      </c>
      <c r="C27" s="1" t="n">
        <f aca="false">MAX(0,C25-C26)</f>
        <v>563546.32</v>
      </c>
      <c r="D27" s="1" t="n">
        <f aca="false">MAX(0,D25-D26)</f>
        <v>563546.32</v>
      </c>
      <c r="E27" s="1" t="n">
        <f aca="false">MAX(0,E25-E26)</f>
        <v>563546.32</v>
      </c>
      <c r="F27" s="1" t="n">
        <f aca="false">MAX(0,F25-F26)</f>
        <v>563546.32</v>
      </c>
      <c r="G27" s="1" t="n">
        <f aca="false">MAX(0,G25-G26)</f>
        <v>563546.32</v>
      </c>
      <c r="H27" s="1" t="n">
        <f aca="false">MAX(0,H25-H26)</f>
        <v>563546.32</v>
      </c>
      <c r="I27" s="1" t="n">
        <f aca="false">MAX(0,I25-I26)</f>
        <v>563546.32</v>
      </c>
      <c r="J27" s="1" t="n">
        <f aca="false">MAX(0,J25-J26)</f>
        <v>563546.32</v>
      </c>
      <c r="K27" s="1" t="n">
        <f aca="false">MAX(0,K25-K26)</f>
        <v>563546.32</v>
      </c>
      <c r="L27" s="1" t="n">
        <f aca="false">MAX(0,L25-L26)</f>
        <v>563546.32</v>
      </c>
      <c r="M27" s="1" t="n">
        <f aca="false">MAX(0,M25-M26)</f>
        <v>563546.32</v>
      </c>
      <c r="N27" s="1" t="n">
        <f aca="false">MAX(0,N25-N26)</f>
        <v>563546.32</v>
      </c>
      <c r="O27" s="1" t="n">
        <f aca="false">MAX(0,O25-O26)</f>
        <v>563546.32</v>
      </c>
      <c r="P27" s="1" t="n">
        <f aca="false">MAX(0,P25-P26)</f>
        <v>563546.32</v>
      </c>
      <c r="Q27" s="1" t="n">
        <f aca="false">MAX(0,Q25-Q26)</f>
        <v>563546.32</v>
      </c>
      <c r="R27" s="1" t="n">
        <f aca="false">MAX(0,R25-R26)</f>
        <v>563546.32</v>
      </c>
      <c r="S27" s="1" t="n">
        <f aca="false">MAX(0,S25-S26)</f>
        <v>563546.32</v>
      </c>
      <c r="T27" s="1" t="n">
        <f aca="false">MAX(0,T25-T26)</f>
        <v>563546.32</v>
      </c>
      <c r="U27" s="1" t="n">
        <f aca="false">MAX(0,U25-U26)</f>
        <v>563546.32</v>
      </c>
      <c r="V27" s="1" t="n">
        <f aca="false">MAX(0,V25-V26)</f>
        <v>563546.32</v>
      </c>
      <c r="W27" s="1" t="n">
        <f aca="false">MAX(0,W25-W26)</f>
        <v>563546.32</v>
      </c>
      <c r="X27" s="1" t="n">
        <f aca="false">MAX(0,X25-X26)</f>
        <v>563546.32</v>
      </c>
      <c r="Y27" s="1" t="n">
        <f aca="false">MAX(0,Y25-Y26)</f>
        <v>563546.32</v>
      </c>
      <c r="Z27" s="1" t="n">
        <f aca="false">MAX(0,Z25-Z26)</f>
        <v>563546.32</v>
      </c>
      <c r="AA27" s="1" t="n">
        <f aca="false">MAX(0,AA25-AA26)</f>
        <v>563546.32</v>
      </c>
      <c r="AB27" s="1" t="n">
        <f aca="false">MAX(0,AB25-AB26)</f>
        <v>563546.32</v>
      </c>
      <c r="AC27" s="1" t="n">
        <f aca="false">MAX(0,AC25-AC26)</f>
        <v>563546.32</v>
      </c>
      <c r="AD27" s="1" t="n">
        <f aca="false">MAX(0,AD25-AD26)</f>
        <v>563546.32</v>
      </c>
      <c r="AE27" s="1" t="n">
        <f aca="false">MAX(0,AE25-AE26)</f>
        <v>563546.32</v>
      </c>
      <c r="AF27" s="1" t="n">
        <f aca="false">MAX(0,AF25-AF26)</f>
        <v>563546.32</v>
      </c>
      <c r="AG27" s="1" t="n">
        <f aca="false">MAX(0,AG25-AG26)</f>
        <v>563546.32</v>
      </c>
      <c r="AH27" s="1" t="n">
        <f aca="false">MAX(0,AH25-AH26)</f>
        <v>563546.32</v>
      </c>
      <c r="AI27" s="1" t="n">
        <f aca="false">MAX(0,AI25-AI26)</f>
        <v>563546.32</v>
      </c>
      <c r="AJ27" s="1" t="n">
        <f aca="false">MAX(0,AJ25-AJ26)</f>
        <v>563546.32</v>
      </c>
      <c r="AK27" s="1" t="n">
        <f aca="false">MAX(0,AK25-AK26)</f>
        <v>563546.32</v>
      </c>
      <c r="AL27" s="1" t="n">
        <f aca="false">MAX(0,AL25-AL26)</f>
        <v>563546.32</v>
      </c>
      <c r="AM27" s="1" t="n">
        <f aca="false">MAX(0,AM25-AM26)</f>
        <v>563546.32</v>
      </c>
      <c r="AN27" s="1" t="n">
        <f aca="false">MAX(0,AN25-AN26)</f>
        <v>563546.32</v>
      </c>
      <c r="AO27" s="1" t="n">
        <f aca="false">MAX(0,AO25-AO26)</f>
        <v>563546.32</v>
      </c>
      <c r="AP27" s="1" t="n">
        <f aca="false">MAX(0,AP25-AP26)</f>
        <v>563546.32</v>
      </c>
      <c r="AQ27" s="1" t="n">
        <f aca="false">MAX(0,AQ25-AQ26)</f>
        <v>563546.32</v>
      </c>
      <c r="AR27" s="1" t="n">
        <f aca="false">MAX(0,AR25-AR26)</f>
        <v>563546.32</v>
      </c>
      <c r="AS27" s="1" t="n">
        <f aca="false">MAX(0,AS25-AS26)</f>
        <v>563546.32</v>
      </c>
      <c r="AT27" s="1" t="n">
        <f aca="false">MAX(0,AT25-AT26)</f>
        <v>563546.32</v>
      </c>
      <c r="AU27" s="1" t="n">
        <f aca="false">MAX(0,AU25-AU26)</f>
        <v>563546.32</v>
      </c>
      <c r="AV27" s="1" t="n">
        <f aca="false">MAX(0,AV25-AV26)</f>
        <v>563546.32</v>
      </c>
      <c r="AW27" s="1" t="n">
        <f aca="false">MAX(0,AW25-AW26)</f>
        <v>563546.32</v>
      </c>
      <c r="AX27" s="1" t="n">
        <f aca="false">MAX(0,AX25-AX26)</f>
        <v>563546.32</v>
      </c>
      <c r="AY27" s="1" t="n">
        <f aca="false">MAX(0,AY25-AY26)</f>
        <v>563546.32</v>
      </c>
      <c r="AZ27" s="1" t="n">
        <f aca="false">MAX(0,AZ25-AZ26)</f>
        <v>563546.32</v>
      </c>
      <c r="BA27" s="1" t="n">
        <f aca="false">MAX(0,BA25-BA26)</f>
        <v>563546.32</v>
      </c>
      <c r="BB27" s="1" t="n">
        <f aca="false">MAX(0,BB25-BB26)</f>
        <v>563546.32</v>
      </c>
      <c r="BC27" s="1" t="n">
        <f aca="false">MAX(0,BC25-BC26)</f>
        <v>563546.32</v>
      </c>
      <c r="BD27" s="1" t="n">
        <f aca="false">MAX(0,BD25-BD26)</f>
        <v>563546.32</v>
      </c>
      <c r="BE27" s="1" t="n">
        <f aca="false">MAX(0,BE25-BE26)</f>
        <v>563546.32</v>
      </c>
      <c r="BF27" s="1" t="n">
        <f aca="false">MAX(0,BF25-BF26)</f>
        <v>563546.32</v>
      </c>
      <c r="BG27" s="1" t="n">
        <f aca="false">MAX(0,BG25-BG26)</f>
        <v>563546.32</v>
      </c>
      <c r="BH27" s="1" t="n">
        <f aca="false">MAX(0,BH25-BH26)</f>
        <v>563546.32</v>
      </c>
      <c r="BI27" s="1" t="n">
        <f aca="false">MAX(0,BI25-BI26)</f>
        <v>563546.32</v>
      </c>
      <c r="BJ27" s="1" t="n">
        <f aca="false">MAX(0,BJ25-BJ26)</f>
        <v>563546.32</v>
      </c>
      <c r="BK27" s="1" t="n">
        <f aca="false">MAX(0,BK25-BK26)</f>
        <v>563546.32</v>
      </c>
      <c r="BL27" s="1" t="n">
        <f aca="false">MAX(0,BL25-BL26)</f>
        <v>563546.32</v>
      </c>
      <c r="BM27" s="1" t="n">
        <f aca="false">MAX(0,BM25-BM26)</f>
        <v>563546.32</v>
      </c>
      <c r="BN27" s="1" t="n">
        <f aca="false">MAX(0,BN25-BN26)</f>
        <v>563546.32</v>
      </c>
      <c r="BO27" s="1" t="n">
        <f aca="false">MAX(0,BO25-BO26)</f>
        <v>563546.32</v>
      </c>
      <c r="BP27" s="1" t="n">
        <f aca="false">MAX(0,BP25-BP26)</f>
        <v>563546.32</v>
      </c>
      <c r="BQ27" s="1" t="n">
        <f aca="false">MAX(0,BQ25-BQ26)</f>
        <v>563546.32</v>
      </c>
      <c r="BR27" s="1" t="n">
        <f aca="false">MAX(0,BR25-BR26)</f>
        <v>563546.32</v>
      </c>
      <c r="BS27" s="1" t="n">
        <f aca="false">MAX(0,BS25-BS26)</f>
        <v>563546.32</v>
      </c>
      <c r="BT27" s="1" t="n">
        <f aca="false">MAX(0,BT25-BT26)</f>
        <v>563546.32</v>
      </c>
      <c r="BU27" s="1" t="n">
        <f aca="false">MAX(0,BU25-BU26)</f>
        <v>563546.32</v>
      </c>
      <c r="BV27" s="1" t="n">
        <f aca="false">MAX(0,BV25-BV26)</f>
        <v>563546.32</v>
      </c>
      <c r="BW27" s="1" t="n">
        <f aca="false">MAX(0,BW25-BW26)</f>
        <v>563546.32</v>
      </c>
      <c r="BX27" s="1" t="n">
        <f aca="false">MAX(0,BX25-BX26)</f>
        <v>563546.32</v>
      </c>
      <c r="BY27" s="1" t="n">
        <f aca="false">MAX(0,BY25-BY26)</f>
        <v>490390.32</v>
      </c>
      <c r="BZ27" s="1" t="n">
        <f aca="false">MAX(0,BZ25-BZ26)</f>
        <v>490390.32</v>
      </c>
      <c r="CA27" s="1" t="n">
        <f aca="false">MAX(0,CA25-CA26)</f>
        <v>490390.32</v>
      </c>
      <c r="CB27" s="1" t="n">
        <f aca="false">MAX(0,CB25-CB26)</f>
        <v>417235.32</v>
      </c>
      <c r="CC27" s="1" t="n">
        <f aca="false">MAX(0,CC25-CC26)</f>
        <v>417235.32</v>
      </c>
      <c r="CD27" s="1" t="n">
        <f aca="false">MAX(0,CD25-CD26)</f>
        <v>417235.32</v>
      </c>
      <c r="CE27" s="1" t="n">
        <f aca="false">MAX(0,CE25-CE26)</f>
        <v>344080.32</v>
      </c>
      <c r="CF27" s="1" t="n">
        <f aca="false">MAX(0,CF25-CF26)</f>
        <v>344080.32</v>
      </c>
      <c r="CG27" s="1" t="n">
        <f aca="false">MAX(0,CG25-CG26)</f>
        <v>344080.32</v>
      </c>
      <c r="CH27" s="1" t="n">
        <f aca="false">MAX(0,CH25-CH26)</f>
        <v>270925.32</v>
      </c>
      <c r="CI27" s="1" t="n">
        <f aca="false">MAX(0,CI25-CI26)</f>
        <v>197770.32</v>
      </c>
      <c r="CJ27" s="1" t="n">
        <f aca="false">MAX(0,CJ25-CJ26)</f>
        <v>124615.32</v>
      </c>
      <c r="CK27" s="1" t="n">
        <f aca="false">MAX(0,CK25-CK26)</f>
        <v>51460.3200000001</v>
      </c>
      <c r="CL27" s="1" t="n">
        <f aca="false">MAX(0,CL25-CL26)</f>
        <v>0</v>
      </c>
      <c r="CM27" s="1" t="n">
        <f aca="false">MAX(0,CM25-CM26)</f>
        <v>0</v>
      </c>
      <c r="CN27" s="1" t="n">
        <f aca="false">MAX(0,CN25-CN26)</f>
        <v>0</v>
      </c>
      <c r="CO27" s="1" t="n">
        <f aca="false">MAX(0,CO25-CO26)</f>
        <v>0</v>
      </c>
      <c r="CP27" s="1" t="n">
        <f aca="false">MAX(0,CP25-CP26)</f>
        <v>0</v>
      </c>
      <c r="CQ27" s="1" t="n">
        <f aca="false">MAX(0,CQ25-CQ26)</f>
        <v>0</v>
      </c>
    </row>
    <row r="30" customFormat="false" ht="15" hidden="false" customHeight="true" outlineLevel="0" collapsed="false">
      <c r="A30" s="292" t="s">
        <v>1157</v>
      </c>
      <c r="B30" s="292"/>
      <c r="C30" s="292"/>
      <c r="D30" s="292"/>
      <c r="E30" s="292"/>
      <c r="F30" s="292"/>
      <c r="G30" s="292"/>
      <c r="H30" s="292"/>
      <c r="I30" s="292"/>
    </row>
    <row r="31" customFormat="false" ht="15" hidden="false" customHeight="true" outlineLevel="0" collapsed="false">
      <c r="A31" s="309" t="s">
        <v>1158</v>
      </c>
    </row>
    <row r="32" customFormat="false" ht="15" hidden="false" customHeight="true" outlineLevel="0" collapsed="false">
      <c r="A32" s="310" t="s">
        <v>12</v>
      </c>
      <c r="B32" s="220" t="n">
        <f aca="false">LOOKUP(2,1/(Model!E254:CG254&gt;0),Model!E254:CG254)</f>
        <v>76499</v>
      </c>
    </row>
    <row r="33" customFormat="false" ht="15" hidden="false" customHeight="true" outlineLevel="0" collapsed="false">
      <c r="A33" s="310" t="s">
        <v>19</v>
      </c>
      <c r="B33" s="220" t="n">
        <f aca="false">LOOKUP(2,1/(Model!E256:CG256&gt;0),Model!E256:CG256)</f>
        <v>73155</v>
      </c>
    </row>
    <row r="34" customFormat="false" ht="15" hidden="false" customHeight="true" outlineLevel="0" collapsed="false">
      <c r="A34" s="310" t="s">
        <v>18</v>
      </c>
      <c r="B34" s="220" t="n">
        <f aca="false">LOOKUP(2,1/(Model!E255:CG255&gt;0),Model!E255:CG255)</f>
        <v>81362</v>
      </c>
    </row>
    <row r="36" customFormat="false" ht="15" hidden="false" customHeight="true" outlineLevel="0" collapsed="false">
      <c r="A36" s="309" t="s">
        <v>1159</v>
      </c>
    </row>
    <row r="37" customFormat="false" ht="15" hidden="false" customHeight="true" outlineLevel="0" collapsed="false">
      <c r="A37" s="310" t="s">
        <v>12</v>
      </c>
      <c r="B37" s="90" t="n">
        <f aca="false">SUMPRODUCT((Model!E254:CG254&gt;0)*1)</f>
        <v>15</v>
      </c>
    </row>
    <row r="38" customFormat="false" ht="15" hidden="false" customHeight="true" outlineLevel="0" collapsed="false">
      <c r="A38" s="310" t="s">
        <v>19</v>
      </c>
      <c r="B38" s="90" t="n">
        <f aca="false">SUMPRODUCT((Model!E256:CG256&gt;0)*1)</f>
        <v>3</v>
      </c>
    </row>
    <row r="39" customFormat="false" ht="15" hidden="false" customHeight="true" outlineLevel="0" collapsed="false">
      <c r="A39" s="310" t="s">
        <v>18</v>
      </c>
      <c r="B39" s="90" t="n">
        <f aca="false">SUMPRODUCT((Model!E255:CG255&gt;0)*1)</f>
        <v>11</v>
      </c>
    </row>
    <row r="41" customFormat="false" ht="15" hidden="false" customHeight="true" outlineLevel="0" collapsed="false">
      <c r="A41" s="309" t="s">
        <v>1160</v>
      </c>
    </row>
    <row r="42" customFormat="false" ht="15" hidden="false" customHeight="true" outlineLevel="0" collapsed="false">
      <c r="A42" s="310" t="s">
        <v>12</v>
      </c>
      <c r="B42" s="90" t="n">
        <f aca="false">40-B37</f>
        <v>25</v>
      </c>
    </row>
    <row r="43" customFormat="false" ht="15" hidden="false" customHeight="true" outlineLevel="0" collapsed="false">
      <c r="A43" s="310" t="s">
        <v>19</v>
      </c>
      <c r="B43" s="90" t="n">
        <f aca="false">40-B38</f>
        <v>37</v>
      </c>
    </row>
    <row r="44" customFormat="false" ht="15" hidden="false" customHeight="true" outlineLevel="0" collapsed="false">
      <c r="A44" s="310" t="s">
        <v>18</v>
      </c>
      <c r="B44" s="90" t="n">
        <f aca="false">40-B39</f>
        <v>29</v>
      </c>
    </row>
    <row r="46" customFormat="false" ht="15" hidden="false" customHeight="true" outlineLevel="0" collapsed="false">
      <c r="A46" s="309" t="s">
        <v>1161</v>
      </c>
    </row>
    <row r="47" customFormat="false" ht="15" hidden="false" customHeight="true" outlineLevel="0" collapsed="false">
      <c r="A47" s="310" t="s">
        <v>12</v>
      </c>
      <c r="B47" s="220" t="n">
        <f aca="false">B32*B42</f>
        <v>1912475</v>
      </c>
    </row>
    <row r="48" customFormat="false" ht="15" hidden="false" customHeight="true" outlineLevel="0" collapsed="false">
      <c r="A48" s="310" t="s">
        <v>19</v>
      </c>
      <c r="B48" s="220" t="n">
        <f aca="false">B33*B43</f>
        <v>2706735</v>
      </c>
    </row>
    <row r="49" customFormat="false" ht="15" hidden="false" customHeight="true" outlineLevel="0" collapsed="false">
      <c r="A49" s="310" t="s">
        <v>18</v>
      </c>
      <c r="B49" s="220" t="n">
        <f aca="false">B34*B44</f>
        <v>2359498</v>
      </c>
    </row>
    <row r="51" customFormat="false" ht="15" hidden="false" customHeight="true" outlineLevel="0" collapsed="false">
      <c r="A51" s="292" t="s">
        <v>1162</v>
      </c>
      <c r="B51" s="292"/>
      <c r="C51" s="292"/>
      <c r="D51" s="292"/>
      <c r="E51" s="292"/>
      <c r="F51" s="292"/>
      <c r="G51" s="292"/>
    </row>
    <row r="52" customFormat="false" ht="15" hidden="false" customHeight="true" outlineLevel="0" collapsed="false">
      <c r="A52" s="309" t="s">
        <v>1163</v>
      </c>
      <c r="B52" s="309" t="s">
        <v>1164</v>
      </c>
      <c r="C52" s="309" t="s">
        <v>1165</v>
      </c>
      <c r="D52" s="309" t="s">
        <v>1166</v>
      </c>
      <c r="E52" s="309" t="s">
        <v>1167</v>
      </c>
      <c r="F52" s="309" t="s">
        <v>1168</v>
      </c>
      <c r="G52" s="309" t="s">
        <v>1169</v>
      </c>
    </row>
    <row r="53" customFormat="false" ht="15" hidden="false" customHeight="true" outlineLevel="0" collapsed="false">
      <c r="A53" s="90" t="n">
        <v>1</v>
      </c>
      <c r="B53" s="220" t="n">
        <f aca="false">$B$33</f>
        <v>73155</v>
      </c>
      <c r="C53" s="220" t="n">
        <f aca="false">CH27</f>
        <v>270925.32</v>
      </c>
      <c r="D53" s="220" t="n">
        <f aca="false">MIN(C53,B53)</f>
        <v>73155</v>
      </c>
      <c r="E53" s="220" t="n">
        <f aca="false">Model!CJ334</f>
        <v>570021.547005172</v>
      </c>
      <c r="F53" s="220" t="n">
        <f aca="false">E53*Assumptions!$B$59</f>
        <v>21375.8080126939</v>
      </c>
      <c r="G53" s="220" t="n">
        <f aca="false">MIN(E53+F53,MAX(0,B53-D53))</f>
        <v>0</v>
      </c>
    </row>
    <row r="54" customFormat="false" ht="15" hidden="false" customHeight="true" outlineLevel="0" collapsed="false">
      <c r="A54" s="90" t="n">
        <v>2</v>
      </c>
      <c r="B54" s="220" t="n">
        <f aca="false">$B$33</f>
        <v>73155</v>
      </c>
      <c r="C54" s="220" t="n">
        <f aca="false">MAX(0,C53-D53)</f>
        <v>197770.32</v>
      </c>
      <c r="D54" s="220" t="n">
        <f aca="false">MIN(C54,B54)</f>
        <v>73155</v>
      </c>
      <c r="E54" s="220" t="n">
        <f aca="false">MAX(0,E53+F53-G53)</f>
        <v>591397.355017866</v>
      </c>
      <c r="F54" s="220" t="n">
        <f aca="false">E54*Assumptions!$B$59</f>
        <v>22177.40081317</v>
      </c>
      <c r="G54" s="220" t="n">
        <f aca="false">MIN(E54+F54,MAX(0,B54-D54))</f>
        <v>0</v>
      </c>
    </row>
    <row r="55" customFormat="false" ht="15" hidden="false" customHeight="true" outlineLevel="0" collapsed="false">
      <c r="A55" s="90" t="n">
        <v>3</v>
      </c>
      <c r="B55" s="220" t="n">
        <f aca="false">$B$33</f>
        <v>73155</v>
      </c>
      <c r="C55" s="220" t="n">
        <f aca="false">MAX(0,C54-D54)</f>
        <v>124615.32</v>
      </c>
      <c r="D55" s="220" t="n">
        <f aca="false">MIN(C55,B55)</f>
        <v>73155</v>
      </c>
      <c r="E55" s="220" t="n">
        <f aca="false">MAX(0,E54+F54-G54)</f>
        <v>613574.755831036</v>
      </c>
      <c r="F55" s="220" t="n">
        <f aca="false">E55*Assumptions!$B$59</f>
        <v>23009.0533436638</v>
      </c>
      <c r="G55" s="220" t="n">
        <f aca="false">MIN(E55+F55,MAX(0,B55-D55))</f>
        <v>0</v>
      </c>
    </row>
    <row r="56" customFormat="false" ht="15" hidden="false" customHeight="true" outlineLevel="0" collapsed="false">
      <c r="A56" s="90" t="n">
        <v>4</v>
      </c>
      <c r="B56" s="220" t="n">
        <f aca="false">$B$33</f>
        <v>73155</v>
      </c>
      <c r="C56" s="220" t="n">
        <f aca="false">MAX(0,C55-D55)</f>
        <v>51460.3200000001</v>
      </c>
      <c r="D56" s="220" t="n">
        <f aca="false">MIN(C56,B56)</f>
        <v>51460.3200000001</v>
      </c>
      <c r="E56" s="220" t="n">
        <f aca="false">MAX(0,E55+F55-G55)</f>
        <v>636583.8091747</v>
      </c>
      <c r="F56" s="220" t="n">
        <f aca="false">E56*Assumptions!$B$59</f>
        <v>23871.8928440512</v>
      </c>
      <c r="G56" s="220" t="n">
        <f aca="false">MIN(E56+F56,MAX(0,B56-D56))</f>
        <v>21694.6799999999</v>
      </c>
    </row>
    <row r="57" customFormat="false" ht="15" hidden="false" customHeight="true" outlineLevel="0" collapsed="false">
      <c r="A57" s="90" t="n">
        <v>5</v>
      </c>
      <c r="B57" s="220" t="n">
        <f aca="false">$B$33</f>
        <v>73155</v>
      </c>
      <c r="C57" s="220" t="n">
        <f aca="false">MAX(0,C56-D56)</f>
        <v>0</v>
      </c>
      <c r="D57" s="220" t="n">
        <f aca="false">MIN(C57,B57)</f>
        <v>0</v>
      </c>
      <c r="E57" s="220" t="n">
        <f aca="false">MAX(0,E56+F56-G56)</f>
        <v>638761.022018751</v>
      </c>
      <c r="F57" s="220" t="n">
        <f aca="false">E57*Assumptions!$B$59</f>
        <v>23953.5383257032</v>
      </c>
      <c r="G57" s="220" t="n">
        <f aca="false">MIN(E57+F57,MAX(0,B57-D57))</f>
        <v>73155</v>
      </c>
    </row>
    <row r="58" customFormat="false" ht="15" hidden="false" customHeight="true" outlineLevel="0" collapsed="false">
      <c r="A58" s="90" t="n">
        <v>6</v>
      </c>
      <c r="B58" s="220" t="n">
        <f aca="false">$B$33</f>
        <v>73155</v>
      </c>
      <c r="C58" s="220" t="n">
        <f aca="false">MAX(0,C57-D57)</f>
        <v>0</v>
      </c>
      <c r="D58" s="220" t="n">
        <f aca="false">MIN(C58,B58)</f>
        <v>0</v>
      </c>
      <c r="E58" s="220" t="n">
        <f aca="false">MAX(0,E57+F57-G57)</f>
        <v>589559.560344454</v>
      </c>
      <c r="F58" s="220" t="n">
        <f aca="false">E58*Assumptions!$B$59</f>
        <v>22108.483512917</v>
      </c>
      <c r="G58" s="220" t="n">
        <f aca="false">MIN(E58+F58,MAX(0,B58-D58))</f>
        <v>73155</v>
      </c>
    </row>
    <row r="59" customFormat="false" ht="15" hidden="false" customHeight="true" outlineLevel="0" collapsed="false">
      <c r="A59" s="90" t="n">
        <v>7</v>
      </c>
      <c r="B59" s="220" t="n">
        <f aca="false">$B$33</f>
        <v>73155</v>
      </c>
      <c r="C59" s="220" t="n">
        <f aca="false">MAX(0,C58-D58)</f>
        <v>0</v>
      </c>
      <c r="D59" s="220" t="n">
        <f aca="false">MIN(C59,B59)</f>
        <v>0</v>
      </c>
      <c r="E59" s="220" t="n">
        <f aca="false">MAX(0,E58+F58-G58)</f>
        <v>538513.043857371</v>
      </c>
      <c r="F59" s="220" t="n">
        <f aca="false">E59*Assumptions!$B$59</f>
        <v>20194.2391446514</v>
      </c>
      <c r="G59" s="220" t="n">
        <f aca="false">MIN(E59+F59,MAX(0,B59-D59))</f>
        <v>73155</v>
      </c>
    </row>
    <row r="60" customFormat="false" ht="15" hidden="false" customHeight="true" outlineLevel="0" collapsed="false">
      <c r="A60" s="90" t="n">
        <v>8</v>
      </c>
      <c r="B60" s="220" t="n">
        <f aca="false">$B$33</f>
        <v>73155</v>
      </c>
      <c r="C60" s="220" t="n">
        <f aca="false">MAX(0,C59-D59)</f>
        <v>0</v>
      </c>
      <c r="D60" s="220" t="n">
        <f aca="false">MIN(C60,B60)</f>
        <v>0</v>
      </c>
      <c r="E60" s="220" t="n">
        <f aca="false">MAX(0,E59+F59-G59)</f>
        <v>485552.283002023</v>
      </c>
      <c r="F60" s="220" t="n">
        <f aca="false">E60*Assumptions!$B$59</f>
        <v>18208.2106125758</v>
      </c>
      <c r="G60" s="220" t="n">
        <f aca="false">MIN(E60+F60,MAX(0,B60-D60))</f>
        <v>73155</v>
      </c>
    </row>
    <row r="61" customFormat="false" ht="15" hidden="false" customHeight="true" outlineLevel="0" collapsed="false">
      <c r="A61" s="90" t="n">
        <v>9</v>
      </c>
      <c r="B61" s="220" t="n">
        <f aca="false">$B$33</f>
        <v>73155</v>
      </c>
      <c r="C61" s="220" t="n">
        <f aca="false">MAX(0,C60-D60)</f>
        <v>0</v>
      </c>
      <c r="D61" s="220" t="n">
        <f aca="false">MIN(C61,B61)</f>
        <v>0</v>
      </c>
      <c r="E61" s="220" t="n">
        <f aca="false">MAX(0,E60+F60-G60)</f>
        <v>430605.493614598</v>
      </c>
      <c r="F61" s="220" t="n">
        <f aca="false">E61*Assumptions!$B$59</f>
        <v>16147.7060105474</v>
      </c>
      <c r="G61" s="220" t="n">
        <f aca="false">MIN(E61+F61,MAX(0,B61-D61))</f>
        <v>73155</v>
      </c>
    </row>
    <row r="62" customFormat="false" ht="15" hidden="false" customHeight="true" outlineLevel="0" collapsed="false">
      <c r="A62" s="90" t="n">
        <v>10</v>
      </c>
      <c r="B62" s="220" t="n">
        <f aca="false">$B$33</f>
        <v>73155</v>
      </c>
      <c r="C62" s="220" t="n">
        <f aca="false">MAX(0,C61-D61)</f>
        <v>0</v>
      </c>
      <c r="D62" s="220" t="n">
        <f aca="false">MIN(C62,B62)</f>
        <v>0</v>
      </c>
      <c r="E62" s="220" t="n">
        <f aca="false">MAX(0,E61+F61-G61)</f>
        <v>373598.199625146</v>
      </c>
      <c r="F62" s="220" t="n">
        <f aca="false">E62*Assumptions!$B$59</f>
        <v>14009.932485943</v>
      </c>
      <c r="G62" s="220" t="n">
        <f aca="false">MIN(E62+F62,MAX(0,B62-D62))</f>
        <v>73155</v>
      </c>
    </row>
    <row r="63" customFormat="false" ht="15" hidden="false" customHeight="true" outlineLevel="0" collapsed="false">
      <c r="A63" s="90" t="n">
        <v>11</v>
      </c>
      <c r="B63" s="220" t="n">
        <f aca="false">$B$33</f>
        <v>73155</v>
      </c>
      <c r="C63" s="220" t="n">
        <f aca="false">MAX(0,C62-D62)</f>
        <v>0</v>
      </c>
      <c r="D63" s="220" t="n">
        <f aca="false">MIN(C63,B63)</f>
        <v>0</v>
      </c>
      <c r="E63" s="220" t="n">
        <f aca="false">MAX(0,E62+F62-G62)</f>
        <v>314453.132111089</v>
      </c>
      <c r="F63" s="220" t="n">
        <f aca="false">E63*Assumptions!$B$59</f>
        <v>11791.9924541658</v>
      </c>
      <c r="G63" s="220" t="n">
        <f aca="false">MIN(E63+F63,MAX(0,B63-D63))</f>
        <v>73155</v>
      </c>
    </row>
    <row r="64" customFormat="false" ht="15" hidden="false" customHeight="true" outlineLevel="0" collapsed="false">
      <c r="A64" s="90" t="n">
        <v>12</v>
      </c>
      <c r="B64" s="220" t="n">
        <f aca="false">$B$33</f>
        <v>73155</v>
      </c>
      <c r="C64" s="220" t="n">
        <f aca="false">MAX(0,C63-D63)</f>
        <v>0</v>
      </c>
      <c r="D64" s="220" t="n">
        <f aca="false">MIN(C64,B64)</f>
        <v>0</v>
      </c>
      <c r="E64" s="220" t="n">
        <f aca="false">MAX(0,E63+F63-G63)</f>
        <v>253090.124565255</v>
      </c>
      <c r="F64" s="220" t="n">
        <f aca="false">E64*Assumptions!$B$59</f>
        <v>9490.87967119705</v>
      </c>
      <c r="G64" s="220" t="n">
        <f aca="false">MIN(E64+F64,MAX(0,B64-D64))</f>
        <v>73155</v>
      </c>
    </row>
    <row r="65" customFormat="false" ht="15" hidden="false" customHeight="true" outlineLevel="0" collapsed="false">
      <c r="A65" s="90" t="n">
        <v>13</v>
      </c>
      <c r="B65" s="220" t="n">
        <f aca="false">$B$33</f>
        <v>73155</v>
      </c>
      <c r="C65" s="220" t="n">
        <f aca="false">MAX(0,C64-D64)</f>
        <v>0</v>
      </c>
      <c r="D65" s="220" t="n">
        <f aca="false">MIN(C65,B65)</f>
        <v>0</v>
      </c>
      <c r="E65" s="220" t="n">
        <f aca="false">MAX(0,E64+F64-G64)</f>
        <v>189426.004236452</v>
      </c>
      <c r="F65" s="220" t="n">
        <f aca="false">E65*Assumptions!$B$59</f>
        <v>7103.47515886694</v>
      </c>
      <c r="G65" s="220" t="n">
        <f aca="false">MIN(E65+F65,MAX(0,B65-D65))</f>
        <v>73155</v>
      </c>
    </row>
    <row r="66" customFormat="false" ht="15" hidden="false" customHeight="true" outlineLevel="0" collapsed="false">
      <c r="A66" s="90" t="n">
        <v>14</v>
      </c>
      <c r="B66" s="220" t="n">
        <f aca="false">$B$33</f>
        <v>73155</v>
      </c>
      <c r="C66" s="220" t="n">
        <f aca="false">MAX(0,C65-D65)</f>
        <v>0</v>
      </c>
      <c r="D66" s="220" t="n">
        <f aca="false">MIN(C66,B66)</f>
        <v>0</v>
      </c>
      <c r="E66" s="220" t="n">
        <f aca="false">MAX(0,E65+F65-G65)</f>
        <v>123374.479395319</v>
      </c>
      <c r="F66" s="220" t="n">
        <f aca="false">E66*Assumptions!$B$59</f>
        <v>4626.54297732445</v>
      </c>
      <c r="G66" s="220" t="n">
        <f aca="false">MIN(E66+F66,MAX(0,B66-D66))</f>
        <v>73155</v>
      </c>
    </row>
    <row r="67" customFormat="false" ht="15" hidden="false" customHeight="true" outlineLevel="0" collapsed="false">
      <c r="A67" s="90" t="n">
        <v>15</v>
      </c>
      <c r="B67" s="220" t="n">
        <f aca="false">$B$33</f>
        <v>73155</v>
      </c>
      <c r="C67" s="220" t="n">
        <f aca="false">MAX(0,C66-D66)</f>
        <v>0</v>
      </c>
      <c r="D67" s="220" t="n">
        <f aca="false">MIN(C67,B67)</f>
        <v>0</v>
      </c>
      <c r="E67" s="220" t="n">
        <f aca="false">MAX(0,E66+F66-G66)</f>
        <v>54846.0223726431</v>
      </c>
      <c r="F67" s="220" t="n">
        <f aca="false">E67*Assumptions!$B$59</f>
        <v>2056.72583897412</v>
      </c>
      <c r="G67" s="220" t="n">
        <f aca="false">MIN(E67+F67,MAX(0,B67-D67))</f>
        <v>56902.7482116172</v>
      </c>
    </row>
    <row r="68" customFormat="false" ht="15" hidden="false" customHeight="true" outlineLevel="0" collapsed="false">
      <c r="A68" s="90" t="n">
        <v>16</v>
      </c>
      <c r="B68" s="220" t="n">
        <f aca="false">$B$33</f>
        <v>73155</v>
      </c>
      <c r="C68" s="220" t="n">
        <f aca="false">MAX(0,C67-D67)</f>
        <v>0</v>
      </c>
      <c r="D68" s="220" t="n">
        <f aca="false">MIN(C68,B68)</f>
        <v>0</v>
      </c>
      <c r="E68" s="220" t="n">
        <f aca="false">MAX(0,E67+F67-G67)</f>
        <v>0</v>
      </c>
      <c r="F68" s="220" t="n">
        <f aca="false">E68*Assumptions!$B$59</f>
        <v>0</v>
      </c>
      <c r="G68" s="220" t="n">
        <f aca="false">MIN(E68+F68,MAX(0,B68-D68))</f>
        <v>0</v>
      </c>
    </row>
    <row r="69" customFormat="false" ht="15" hidden="false" customHeight="true" outlineLevel="0" collapsed="false">
      <c r="A69" s="90" t="n">
        <v>17</v>
      </c>
      <c r="B69" s="220" t="n">
        <f aca="false">$B$33</f>
        <v>73155</v>
      </c>
      <c r="C69" s="220" t="n">
        <f aca="false">MAX(0,C68-D68)</f>
        <v>0</v>
      </c>
      <c r="D69" s="220" t="n">
        <f aca="false">MIN(C69,B69)</f>
        <v>0</v>
      </c>
      <c r="E69" s="220" t="n">
        <f aca="false">MAX(0,E68+F68-G68)</f>
        <v>0</v>
      </c>
      <c r="F69" s="220" t="n">
        <f aca="false">E69*Assumptions!$B$59</f>
        <v>0</v>
      </c>
      <c r="G69" s="220" t="n">
        <f aca="false">MIN(E69+F69,MAX(0,B69-D69))</f>
        <v>0</v>
      </c>
    </row>
    <row r="70" customFormat="false" ht="15" hidden="false" customHeight="true" outlineLevel="0" collapsed="false">
      <c r="A70" s="90" t="n">
        <v>18</v>
      </c>
      <c r="B70" s="220" t="n">
        <f aca="false">$B$33</f>
        <v>73155</v>
      </c>
      <c r="C70" s="220" t="n">
        <f aca="false">MAX(0,C69-D69)</f>
        <v>0</v>
      </c>
      <c r="D70" s="220" t="n">
        <f aca="false">MIN(C70,B70)</f>
        <v>0</v>
      </c>
      <c r="E70" s="220" t="n">
        <f aca="false">MAX(0,E69+F69-G69)</f>
        <v>0</v>
      </c>
      <c r="F70" s="220" t="n">
        <f aca="false">E70*Assumptions!$B$59</f>
        <v>0</v>
      </c>
      <c r="G70" s="220" t="n">
        <f aca="false">MIN(E70+F70,MAX(0,B70-D70))</f>
        <v>0</v>
      </c>
    </row>
    <row r="71" customFormat="false" ht="15" hidden="false" customHeight="true" outlineLevel="0" collapsed="false">
      <c r="A71" s="90" t="n">
        <v>19</v>
      </c>
      <c r="B71" s="220" t="n">
        <f aca="false">$B$33</f>
        <v>73155</v>
      </c>
      <c r="C71" s="220" t="n">
        <f aca="false">MAX(0,C70-D70)</f>
        <v>0</v>
      </c>
      <c r="D71" s="220" t="n">
        <f aca="false">MIN(C71,B71)</f>
        <v>0</v>
      </c>
      <c r="E71" s="220" t="n">
        <f aca="false">MAX(0,E70+F70-G70)</f>
        <v>0</v>
      </c>
      <c r="F71" s="220" t="n">
        <f aca="false">E71*Assumptions!$B$59</f>
        <v>0</v>
      </c>
      <c r="G71" s="220" t="n">
        <f aca="false">MIN(E71+F71,MAX(0,B71-D71))</f>
        <v>0</v>
      </c>
    </row>
    <row r="72" customFormat="false" ht="15" hidden="false" customHeight="true" outlineLevel="0" collapsed="false">
      <c r="A72" s="90" t="n">
        <v>20</v>
      </c>
      <c r="B72" s="220" t="n">
        <f aca="false">$B$33</f>
        <v>73155</v>
      </c>
      <c r="C72" s="220" t="n">
        <f aca="false">MAX(0,C71-D71)</f>
        <v>0</v>
      </c>
      <c r="D72" s="220" t="n">
        <f aca="false">MIN(C72,B72)</f>
        <v>0</v>
      </c>
      <c r="E72" s="220" t="n">
        <f aca="false">MAX(0,E71+F71-G71)</f>
        <v>0</v>
      </c>
      <c r="F72" s="220" t="n">
        <f aca="false">E72*Assumptions!$B$59</f>
        <v>0</v>
      </c>
      <c r="G72" s="220" t="n">
        <f aca="false">MIN(E72+F72,MAX(0,B72-D72))</f>
        <v>0</v>
      </c>
    </row>
    <row r="73" customFormat="false" ht="15" hidden="false" customHeight="true" outlineLevel="0" collapsed="false">
      <c r="A73" s="90" t="n">
        <v>21</v>
      </c>
      <c r="B73" s="220" t="n">
        <f aca="false">$B$33</f>
        <v>73155</v>
      </c>
      <c r="C73" s="220" t="n">
        <f aca="false">MAX(0,C72-D72)</f>
        <v>0</v>
      </c>
      <c r="D73" s="220" t="n">
        <f aca="false">MIN(C73,B73)</f>
        <v>0</v>
      </c>
      <c r="E73" s="220" t="n">
        <f aca="false">MAX(0,E72+F72-G72)</f>
        <v>0</v>
      </c>
      <c r="F73" s="220" t="n">
        <f aca="false">E73*Assumptions!$B$59</f>
        <v>0</v>
      </c>
      <c r="G73" s="220" t="n">
        <f aca="false">MIN(E73+F73,MAX(0,B73-D73))</f>
        <v>0</v>
      </c>
    </row>
    <row r="74" customFormat="false" ht="15" hidden="false" customHeight="true" outlineLevel="0" collapsed="false">
      <c r="A74" s="90" t="n">
        <v>22</v>
      </c>
      <c r="B74" s="220" t="n">
        <f aca="false">$B$33</f>
        <v>73155</v>
      </c>
      <c r="C74" s="220" t="n">
        <f aca="false">MAX(0,C73-D73)</f>
        <v>0</v>
      </c>
      <c r="D74" s="220" t="n">
        <f aca="false">MIN(C74,B74)</f>
        <v>0</v>
      </c>
      <c r="E74" s="220" t="n">
        <f aca="false">MAX(0,E73+F73-G73)</f>
        <v>0</v>
      </c>
      <c r="F74" s="220" t="n">
        <f aca="false">E74*Assumptions!$B$59</f>
        <v>0</v>
      </c>
      <c r="G74" s="220" t="n">
        <f aca="false">MIN(E74+F74,MAX(0,B74-D74))</f>
        <v>0</v>
      </c>
    </row>
    <row r="75" customFormat="false" ht="15" hidden="false" customHeight="true" outlineLevel="0" collapsed="false">
      <c r="A75" s="90" t="n">
        <v>23</v>
      </c>
      <c r="B75" s="220" t="n">
        <f aca="false">$B$33</f>
        <v>73155</v>
      </c>
      <c r="C75" s="220" t="n">
        <f aca="false">MAX(0,C74-D74)</f>
        <v>0</v>
      </c>
      <c r="D75" s="220" t="n">
        <f aca="false">MIN(C75,B75)</f>
        <v>0</v>
      </c>
      <c r="E75" s="220" t="n">
        <f aca="false">MAX(0,E74+F74-G74)</f>
        <v>0</v>
      </c>
      <c r="F75" s="220" t="n">
        <f aca="false">E75*Assumptions!$B$59</f>
        <v>0</v>
      </c>
      <c r="G75" s="220" t="n">
        <f aca="false">MIN(E75+F75,MAX(0,B75-D75))</f>
        <v>0</v>
      </c>
    </row>
    <row r="76" customFormat="false" ht="15" hidden="false" customHeight="true" outlineLevel="0" collapsed="false">
      <c r="A76" s="90" t="n">
        <v>24</v>
      </c>
      <c r="B76" s="220" t="n">
        <f aca="false">$B$33</f>
        <v>73155</v>
      </c>
      <c r="C76" s="220" t="n">
        <f aca="false">MAX(0,C75-D75)</f>
        <v>0</v>
      </c>
      <c r="D76" s="220" t="n">
        <f aca="false">MIN(C76,B76)</f>
        <v>0</v>
      </c>
      <c r="E76" s="220" t="n">
        <f aca="false">MAX(0,E75+F75-G75)</f>
        <v>0</v>
      </c>
      <c r="F76" s="220" t="n">
        <f aca="false">E76*Assumptions!$B$59</f>
        <v>0</v>
      </c>
      <c r="G76" s="220" t="n">
        <f aca="false">MIN(E76+F76,MAX(0,B76-D76))</f>
        <v>0</v>
      </c>
    </row>
    <row r="77" customFormat="false" ht="15" hidden="false" customHeight="true" outlineLevel="0" collapsed="false">
      <c r="A77" s="90" t="n">
        <v>25</v>
      </c>
      <c r="B77" s="220" t="n">
        <f aca="false">$B$33</f>
        <v>73155</v>
      </c>
      <c r="C77" s="220" t="n">
        <f aca="false">MAX(0,C76-D76)</f>
        <v>0</v>
      </c>
      <c r="D77" s="220" t="n">
        <f aca="false">MIN(C77,B77)</f>
        <v>0</v>
      </c>
      <c r="E77" s="220" t="n">
        <f aca="false">MAX(0,E76+F76-G76)</f>
        <v>0</v>
      </c>
      <c r="F77" s="220" t="n">
        <f aca="false">E77*Assumptions!$B$59</f>
        <v>0</v>
      </c>
      <c r="G77" s="220" t="n">
        <f aca="false">MIN(E77+F77,MAX(0,B77-D77))</f>
        <v>0</v>
      </c>
    </row>
    <row r="78" customFormat="false" ht="15" hidden="false" customHeight="true" outlineLevel="0" collapsed="false">
      <c r="A78" s="90" t="n">
        <v>26</v>
      </c>
      <c r="B78" s="220" t="n">
        <f aca="false">$B$33</f>
        <v>73155</v>
      </c>
      <c r="C78" s="220" t="n">
        <f aca="false">MAX(0,C77-D77)</f>
        <v>0</v>
      </c>
      <c r="D78" s="220" t="n">
        <f aca="false">MIN(C78,B78)</f>
        <v>0</v>
      </c>
      <c r="E78" s="220" t="n">
        <f aca="false">MAX(0,E77+F77-G77)</f>
        <v>0</v>
      </c>
      <c r="F78" s="220" t="n">
        <f aca="false">E78*Assumptions!$B$59</f>
        <v>0</v>
      </c>
      <c r="G78" s="220" t="n">
        <f aca="false">MIN(E78+F78,MAX(0,B78-D78))</f>
        <v>0</v>
      </c>
    </row>
    <row r="79" customFormat="false" ht="15" hidden="false" customHeight="true" outlineLevel="0" collapsed="false">
      <c r="A79" s="90" t="n">
        <v>27</v>
      </c>
      <c r="B79" s="220" t="n">
        <f aca="false">$B$33</f>
        <v>73155</v>
      </c>
      <c r="C79" s="220" t="n">
        <f aca="false">MAX(0,C78-D78)</f>
        <v>0</v>
      </c>
      <c r="D79" s="220" t="n">
        <f aca="false">MIN(C79,B79)</f>
        <v>0</v>
      </c>
      <c r="E79" s="220" t="n">
        <f aca="false">MAX(0,E78+F78-G78)</f>
        <v>0</v>
      </c>
      <c r="F79" s="220" t="n">
        <f aca="false">E79*Assumptions!$B$59</f>
        <v>0</v>
      </c>
      <c r="G79" s="220" t="n">
        <f aca="false">MIN(E79+F79,MAX(0,B79-D79))</f>
        <v>0</v>
      </c>
    </row>
    <row r="80" customFormat="false" ht="15" hidden="false" customHeight="true" outlineLevel="0" collapsed="false">
      <c r="A80" s="90" t="n">
        <v>28</v>
      </c>
      <c r="B80" s="220" t="n">
        <f aca="false">$B$33</f>
        <v>73155</v>
      </c>
      <c r="C80" s="220" t="n">
        <f aca="false">MAX(0,C79-D79)</f>
        <v>0</v>
      </c>
      <c r="D80" s="220" t="n">
        <f aca="false">MIN(C80,B80)</f>
        <v>0</v>
      </c>
      <c r="E80" s="220" t="n">
        <f aca="false">MAX(0,E79+F79-G79)</f>
        <v>0</v>
      </c>
      <c r="F80" s="220" t="n">
        <f aca="false">E80*Assumptions!$B$59</f>
        <v>0</v>
      </c>
      <c r="G80" s="220" t="n">
        <f aca="false">MIN(E80+F80,MAX(0,B80-D80))</f>
        <v>0</v>
      </c>
    </row>
    <row r="81" customFormat="false" ht="15" hidden="false" customHeight="true" outlineLevel="0" collapsed="false">
      <c r="A81" s="90" t="n">
        <v>29</v>
      </c>
      <c r="B81" s="220" t="n">
        <f aca="false">$B$33</f>
        <v>73155</v>
      </c>
      <c r="C81" s="220" t="n">
        <f aca="false">MAX(0,C80-D80)</f>
        <v>0</v>
      </c>
      <c r="D81" s="220" t="n">
        <f aca="false">MIN(C81,B81)</f>
        <v>0</v>
      </c>
      <c r="E81" s="220" t="n">
        <f aca="false">MAX(0,E80+F80-G80)</f>
        <v>0</v>
      </c>
      <c r="F81" s="220" t="n">
        <f aca="false">E81*Assumptions!$B$59</f>
        <v>0</v>
      </c>
      <c r="G81" s="220" t="n">
        <f aca="false">MIN(E81+F81,MAX(0,B81-D81))</f>
        <v>0</v>
      </c>
    </row>
    <row r="82" customFormat="false" ht="15" hidden="false" customHeight="true" outlineLevel="0" collapsed="false">
      <c r="A82" s="90" t="n">
        <v>30</v>
      </c>
      <c r="B82" s="220" t="n">
        <f aca="false">$B$33</f>
        <v>73155</v>
      </c>
      <c r="C82" s="220" t="n">
        <f aca="false">MAX(0,C81-D81)</f>
        <v>0</v>
      </c>
      <c r="D82" s="220" t="n">
        <f aca="false">MIN(C82,B82)</f>
        <v>0</v>
      </c>
      <c r="E82" s="220" t="n">
        <f aca="false">MAX(0,E81+F81-G81)</f>
        <v>0</v>
      </c>
      <c r="F82" s="220" t="n">
        <f aca="false">E82*Assumptions!$B$59</f>
        <v>0</v>
      </c>
      <c r="G82" s="220" t="n">
        <f aca="false">MIN(E82+F82,MAX(0,B82-D82))</f>
        <v>0</v>
      </c>
    </row>
    <row r="83" customFormat="false" ht="15" hidden="false" customHeight="true" outlineLevel="0" collapsed="false">
      <c r="A83" s="90" t="n">
        <v>31</v>
      </c>
      <c r="B83" s="220" t="n">
        <f aca="false">$B$33</f>
        <v>73155</v>
      </c>
      <c r="C83" s="220" t="n">
        <f aca="false">MAX(0,C82-D82)</f>
        <v>0</v>
      </c>
      <c r="D83" s="220" t="n">
        <f aca="false">MIN(C83,B83)</f>
        <v>0</v>
      </c>
      <c r="E83" s="220" t="n">
        <f aca="false">MAX(0,E82+F82-G82)</f>
        <v>0</v>
      </c>
      <c r="F83" s="220" t="n">
        <f aca="false">E83*Assumptions!$B$59</f>
        <v>0</v>
      </c>
      <c r="G83" s="220" t="n">
        <f aca="false">MIN(E83+F83,MAX(0,B83-D83))</f>
        <v>0</v>
      </c>
    </row>
    <row r="84" customFormat="false" ht="15" hidden="false" customHeight="true" outlineLevel="0" collapsed="false">
      <c r="A84" s="90" t="n">
        <v>32</v>
      </c>
      <c r="B84" s="220" t="n">
        <f aca="false">$B$33</f>
        <v>73155</v>
      </c>
      <c r="C84" s="220" t="n">
        <f aca="false">MAX(0,C83-D83)</f>
        <v>0</v>
      </c>
      <c r="D84" s="220" t="n">
        <f aca="false">MIN(C84,B84)</f>
        <v>0</v>
      </c>
      <c r="E84" s="220" t="n">
        <f aca="false">MAX(0,E83+F83-G83)</f>
        <v>0</v>
      </c>
      <c r="F84" s="220" t="n">
        <f aca="false">E84*Assumptions!$B$59</f>
        <v>0</v>
      </c>
      <c r="G84" s="220" t="n">
        <f aca="false">MIN(E84+F84,MAX(0,B84-D84))</f>
        <v>0</v>
      </c>
    </row>
    <row r="85" customFormat="false" ht="15" hidden="false" customHeight="true" outlineLevel="0" collapsed="false">
      <c r="A85" s="90" t="n">
        <v>33</v>
      </c>
      <c r="B85" s="220" t="n">
        <f aca="false">$B$33</f>
        <v>73155</v>
      </c>
      <c r="C85" s="220" t="n">
        <f aca="false">MAX(0,C84-D84)</f>
        <v>0</v>
      </c>
      <c r="D85" s="220" t="n">
        <f aca="false">MIN(C85,B85)</f>
        <v>0</v>
      </c>
      <c r="E85" s="220" t="n">
        <f aca="false">MAX(0,E84+F84-G84)</f>
        <v>0</v>
      </c>
      <c r="F85" s="220" t="n">
        <f aca="false">E85*Assumptions!$B$59</f>
        <v>0</v>
      </c>
      <c r="G85" s="220" t="n">
        <f aca="false">MIN(E85+F85,MAX(0,B85-D85))</f>
        <v>0</v>
      </c>
    </row>
    <row r="86" customFormat="false" ht="15" hidden="false" customHeight="true" outlineLevel="0" collapsed="false">
      <c r="A86" s="90" t="n">
        <v>34</v>
      </c>
      <c r="B86" s="220" t="n">
        <f aca="false">$B$33</f>
        <v>73155</v>
      </c>
      <c r="C86" s="220" t="n">
        <f aca="false">MAX(0,C85-D85)</f>
        <v>0</v>
      </c>
      <c r="D86" s="220" t="n">
        <f aca="false">MIN(C86,B86)</f>
        <v>0</v>
      </c>
      <c r="E86" s="220" t="n">
        <f aca="false">MAX(0,E85+F85-G85)</f>
        <v>0</v>
      </c>
      <c r="F86" s="220" t="n">
        <f aca="false">E86*Assumptions!$B$59</f>
        <v>0</v>
      </c>
      <c r="G86" s="220" t="n">
        <f aca="false">MIN(E86+F86,MAX(0,B86-D86))</f>
        <v>0</v>
      </c>
    </row>
    <row r="87" customFormat="false" ht="15" hidden="false" customHeight="true" outlineLevel="0" collapsed="false">
      <c r="A87" s="90" t="n">
        <v>35</v>
      </c>
      <c r="B87" s="220" t="n">
        <f aca="false">$B$33</f>
        <v>73155</v>
      </c>
      <c r="C87" s="220" t="n">
        <f aca="false">MAX(0,C86-D86)</f>
        <v>0</v>
      </c>
      <c r="D87" s="220" t="n">
        <f aca="false">MIN(C87,B87)</f>
        <v>0</v>
      </c>
      <c r="E87" s="220" t="n">
        <f aca="false">MAX(0,E86+F86-G86)</f>
        <v>0</v>
      </c>
      <c r="F87" s="220" t="n">
        <f aca="false">E87*Assumptions!$B$59</f>
        <v>0</v>
      </c>
      <c r="G87" s="220" t="n">
        <f aca="false">MIN(E87+F87,MAX(0,B87-D87))</f>
        <v>0</v>
      </c>
    </row>
    <row r="88" customFormat="false" ht="15" hidden="false" customHeight="true" outlineLevel="0" collapsed="false">
      <c r="A88" s="90" t="n">
        <v>36</v>
      </c>
      <c r="B88" s="220" t="n">
        <f aca="false">$B$33</f>
        <v>73155</v>
      </c>
      <c r="C88" s="220" t="n">
        <f aca="false">MAX(0,C87-D87)</f>
        <v>0</v>
      </c>
      <c r="D88" s="220" t="n">
        <f aca="false">MIN(C88,B88)</f>
        <v>0</v>
      </c>
      <c r="E88" s="220" t="n">
        <f aca="false">MAX(0,E87+F87-G87)</f>
        <v>0</v>
      </c>
      <c r="F88" s="220" t="n">
        <f aca="false">E88*Assumptions!$B$59</f>
        <v>0</v>
      </c>
      <c r="G88" s="220" t="n">
        <f aca="false">MIN(E88+F88,MAX(0,B88-D88))</f>
        <v>0</v>
      </c>
    </row>
    <row r="89" customFormat="false" ht="15" hidden="false" customHeight="true" outlineLevel="0" collapsed="false">
      <c r="A89" s="90" t="n">
        <v>37</v>
      </c>
      <c r="B89" s="220" t="n">
        <f aca="false">$B$33</f>
        <v>73155</v>
      </c>
      <c r="C89" s="220" t="n">
        <f aca="false">MAX(0,C88-D88)</f>
        <v>0</v>
      </c>
      <c r="D89" s="220" t="n">
        <f aca="false">MIN(C89,B89)</f>
        <v>0</v>
      </c>
      <c r="E89" s="220" t="n">
        <f aca="false">MAX(0,E88+F88-G88)</f>
        <v>0</v>
      </c>
      <c r="F89" s="220" t="n">
        <f aca="false">E89*Assumptions!$B$59</f>
        <v>0</v>
      </c>
      <c r="G89" s="220" t="n">
        <f aca="false">MIN(E89+F89,MAX(0,B89-D89))</f>
        <v>0</v>
      </c>
    </row>
    <row r="90" customFormat="false" ht="15" hidden="false" customHeight="true" outlineLevel="0" collapsed="false">
      <c r="A90" s="90" t="n">
        <v>38</v>
      </c>
      <c r="B90" s="220" t="n">
        <f aca="false">$B$33</f>
        <v>73155</v>
      </c>
      <c r="C90" s="220" t="n">
        <f aca="false">MAX(0,C89-D89)</f>
        <v>0</v>
      </c>
      <c r="D90" s="220" t="n">
        <f aca="false">MIN(C90,B90)</f>
        <v>0</v>
      </c>
      <c r="E90" s="220" t="n">
        <f aca="false">MAX(0,E89+F89-G89)</f>
        <v>0</v>
      </c>
      <c r="F90" s="220" t="n">
        <f aca="false">E90*Assumptions!$B$59</f>
        <v>0</v>
      </c>
      <c r="G90" s="220" t="n">
        <f aca="false">MIN(E90+F90,MAX(0,B90-D90))</f>
        <v>0</v>
      </c>
    </row>
    <row r="91" customFormat="false" ht="15" hidden="false" customHeight="true" outlineLevel="0" collapsed="false">
      <c r="A91" s="90" t="n">
        <v>39</v>
      </c>
      <c r="B91" s="220" t="n">
        <f aca="false">$B$33</f>
        <v>73155</v>
      </c>
      <c r="C91" s="220" t="n">
        <f aca="false">MAX(0,C90-D90)</f>
        <v>0</v>
      </c>
      <c r="D91" s="220" t="n">
        <f aca="false">MIN(C91,B91)</f>
        <v>0</v>
      </c>
      <c r="E91" s="220" t="n">
        <f aca="false">MAX(0,E90+F90-G90)</f>
        <v>0</v>
      </c>
      <c r="F91" s="220" t="n">
        <f aca="false">E91*Assumptions!$B$59</f>
        <v>0</v>
      </c>
      <c r="G91" s="220" t="n">
        <f aca="false">MIN(E91+F91,MAX(0,B91-D91))</f>
        <v>0</v>
      </c>
    </row>
    <row r="92" customFormat="false" ht="15" hidden="false" customHeight="true" outlineLevel="0" collapsed="false">
      <c r="A92" s="90" t="n">
        <v>40</v>
      </c>
      <c r="B92" s="220" t="n">
        <f aca="false">$B$33</f>
        <v>73155</v>
      </c>
      <c r="C92" s="220" t="n">
        <f aca="false">MAX(0,C91-D91)</f>
        <v>0</v>
      </c>
      <c r="D92" s="220" t="n">
        <f aca="false">MIN(C92,B92)</f>
        <v>0</v>
      </c>
      <c r="E92" s="220" t="n">
        <f aca="false">MAX(0,E91+F91-G91)</f>
        <v>0</v>
      </c>
      <c r="F92" s="220" t="n">
        <f aca="false">E92*Assumptions!$B$59</f>
        <v>0</v>
      </c>
      <c r="G92" s="220" t="n">
        <f aca="false">MIN(E92+F92,MAX(0,B92-D92))</f>
        <v>0</v>
      </c>
    </row>
    <row r="93" customFormat="false" ht="15" hidden="false" customHeight="true" outlineLevel="0" collapsed="false">
      <c r="A93" s="309" t="s">
        <v>1170</v>
      </c>
      <c r="D93" s="311" t="n">
        <f aca="false">SUM(D53:D92)</f>
        <v>270925.32</v>
      </c>
      <c r="F93" s="311" t="n">
        <f aca="false">SUM(F53:F92)</f>
        <v>240125.881206445</v>
      </c>
      <c r="G93" s="311" t="n">
        <f aca="false">SUM(G53:G92)</f>
        <v>810147.428211617</v>
      </c>
    </row>
    <row r="94" customFormat="false" ht="15" hidden="false" customHeight="true" outlineLevel="0" collapsed="false">
      <c r="A94" s="1" t="s">
        <v>1171</v>
      </c>
    </row>
    <row r="95" customFormat="false" ht="15" hidden="false" customHeight="true" outlineLevel="0" collapsed="false">
      <c r="A95" s="1" t="s">
        <v>1172</v>
      </c>
    </row>
    <row r="96" customFormat="false" ht="15" hidden="false" customHeight="true" outlineLevel="0" collapsed="false">
      <c r="A96" s="72" t="s">
        <v>1173</v>
      </c>
      <c r="B96" s="312" t="n">
        <f aca="false">SUM(Actuals!C112:N112)</f>
        <v>-1672913.98</v>
      </c>
      <c r="C96" s="313" t="n">
        <f aca="false">IF(AND(Projects!$G$17="Yes",-2&gt;=Projects!$C$17,-2&lt;Projects!$C$17+Projects!$D$17),Projects!$B$17*INDEX(Curves!$B$4:$AR$4,1,-2-Projects!$C$17+1),0)+IF(AND(Projects!$G$18="Yes",-2&gt;=Projects!$C$18,-2&lt;Projects!$C$18+Projects!$D$18),Projects!$B$18*INDEX(Curves!$B$4:$AR$4,1,-2-Projects!$C$18+1),0)+IF(AND(Projects!$G$19="Yes",-2&gt;=Projects!$C$19,-2&lt;Projects!$C$19+Projects!$D$19),Projects!$B$19*INDEX(Curves!$B$4:$AR$4,1,-2-Projects!$C$19+1),0)+IF(AND(Projects!$G$20="Yes",-2&gt;=Projects!$C$20,-2&lt;Projects!$C$20+Projects!$D$20),Projects!$B$20*INDEX(Curves!$B$4:$AR$4,1,-2-Projects!$C$20+1),0)+IF(AND(Projects!$G$21="Yes",-2&gt;=Projects!$C$21,-2&lt;Projects!$C$21+Projects!$D$21),Projects!$B$21*INDEX(Curves!$B$4:$AR$4,1,-2-Projects!$C$21+1),0)+IF(AND(Projects!$G$22="Yes",-2&gt;=Projects!$C$22,-2&lt;Projects!$C$22+Projects!$D$22),Projects!$B$22*INDEX(Curves!$B$4:$AR$4,1,-2-Projects!$C$22+1),0)+IF(AND(Projects!$G$23="Yes",-2&gt;=Projects!$C$23,-2&lt;Projects!$C$23+Projects!$D$23),Projects!$B$23*INDEX(Curves!$B$4:$AR$4,1,-2-Projects!$C$23+1),0)+IF(AND(Projects!$G$24="Yes",-2&gt;=Projects!$C$24,-2&lt;Projects!$C$24+Projects!$D$24),Projects!$B$24*INDEX(Curves!$B$4:$AR$4,1,-2-Projects!$C$24+1),0)+IF(AND(Projects!$G$25="Yes",-2&gt;=Projects!$C$25,-2&lt;Projects!$C$25+Projects!$D$25),Projects!$B$25*INDEX(Curves!$B$4:$AR$4,1,-2-Projects!$C$25+1),0)+IF(AND(Projects!$G$26="Yes",-2&gt;=Projects!$C$26,-2&lt;Projects!$C$26+Projects!$D$26),Projects!$B$26*INDEX(Curves!$B$4:$AR$4,1,-2-Projects!$C$26+1),0)+IF(AND(Projects!$G$27="Yes",-2&gt;=Projects!$C$27,-2&lt;Projects!$C$27+Projects!$D$27),Projects!$B$27*INDEX(Curves!$B$4:$AR$4,1,-2-Projects!$C$27+1),0)+IF(AND(Projects!$G$28="Yes",-2&gt;=Projects!$C$28,-2&lt;Projects!$C$28+Projects!$D$28),Projects!$B$28*INDEX(Curves!$B$4:$AR$4,1,-2-Projects!$C$28+1),0)+IF(AND(Projects!$G$29="Yes",-2&gt;=Projects!$C$29,-2&lt;Projects!$C$29+Projects!$D$29),Projects!$B$29*INDEX(Curves!$B$4:$AR$4,1,-2-Projects!$C$29+1),0)+IF(AND(Projects!$G$30="Yes",-2&gt;=Projects!$C$30,-2&lt;Projects!$C$30+Projects!$D$30),Projects!$B$30*INDEX(Curves!$B$4:$AR$4,1,-2-Projects!$C$30+1),0)+IF(AND(Projects!$G$31="Yes",-2&gt;=Projects!$C$31,-2&lt;Projects!$C$31+Projects!$D$31),Projects!$B$31*INDEX(Curves!$B$4:$AR$4,1,-2-Projects!$C$31+1),0)+IF(AND(Projects!$G$32="Yes",-2&gt;=Projects!$C$32,-2&lt;Projects!$C$32+Projects!$D$32),Projects!$B$32*INDEX(Curves!$B$4:$AR$4,1,-2-Projects!$C$32+1),0)+IF(AND(Projects!$G$33="Yes",-2&gt;=Projects!$C$33,-2&lt;Projects!$C$33+Projects!$D$33),Projects!$B$33*INDEX(Curves!$B$4:$AR$4,1,-2-Projects!$C$33+1),0)+IF(AND(Projects!$G$34="Yes",-2&gt;=Projects!$C$34,-2&lt;Projects!$C$34+Projects!$D$34),Projects!$B$34*INDEX(Curves!$B$4:$AR$4,1,-2-Projects!$C$34+1),0)+IF(AND(Projects!$G$35="Yes",-2&gt;=Projects!$C$35,-2&lt;Projects!$C$35+Projects!$D$35),Projects!$B$35*INDEX(Curves!$B$4:$AR$4,1,-2-Projects!$C$35+1),0)+IF(AND(Projects!$G$36="Yes",-2&gt;=Projects!$C$36,-2&lt;Projects!$C$36+Projects!$D$36),Projects!$B$36*INDEX(Curves!$B$4:$AR$4,1,-2-Projects!$C$36+1),0)+IF(AND(Projects!$G$37="Yes",-2&gt;=Projects!$C$37,-2&lt;Projects!$C$37+Projects!$D$37),Projects!$B$37*INDEX(Curves!$B$4:$AR$4,1,-2-Projects!$C$37+1),0)+IF(AND(Projects!$G$38="Yes",-2&gt;=Projects!$C$38,-2&lt;Projects!$C$38+Projects!$D$38),Projects!$B$38*INDEX(Curves!$B$4:$AR$4,1,-2-Projects!$C$38+1),0)+IF(AND(Projects!$G$39="Yes",-2&gt;=Projects!$C$39,-2&lt;Projects!$C$39+Projects!$D$39),Projects!$B$39*INDEX(Curves!$B$4:$AR$4,1,-2-Projects!$C$39+1),0)+IF(AND(Projects!$G$40="Yes",-2&gt;=Projects!$C$40,-2&lt;Projects!$C$40+Projects!$D$40),Projects!$B$40*INDEX(Curves!$B$4:$AR$4,1,-2-Projects!$C$40+1),0)+IF(AND(Projects!$G$41="Yes",-2&gt;=Projects!$C$41,-2&lt;Projects!$C$41+Projects!$D$41),Projects!$B$41*INDEX(Curves!$B$4:$AR$4,1,-2-Projects!$C$41+1),0)+IF(AND(Projects!$G$42="Yes",-2&gt;=Projects!$C$42,-2&lt;Projects!$C$42+Projects!$D$42),Projects!$B$42*INDEX(Curves!$B$4:$AR$4,1,-2-Projects!$C$42+1),0)+IF(AND(Projects!$G$43="Yes",-2&gt;=Projects!$C$43,-2&lt;Projects!$C$43+Projects!$D$43),Projects!$B$43*INDEX(Curves!$B$4:$AR$4,1,-2-Projects!$C$43+1),0)+IF(AND(Projects!$G$44="Yes",-2&gt;=Projects!$C$44,-2&lt;Projects!$C$44+Projects!$D$44),Projects!$B$44*INDEX(Curves!$B$4:$AR$4,1,-2-Projects!$C$44+1),0)+IF(AND(Projects!$G$45="Yes",-2&gt;=Projects!$C$45,-2&lt;Projects!$C$45+Projects!$D$45),Projects!$B$45*INDEX(Curves!$B$4:$AR$4,1,-2-Projects!$C$45+1),0)+IF(AND(Projects!$G$46="Yes",-2&gt;=Projects!$C$46,-2&lt;Projects!$C$46+Projects!$D$46),Projects!$B$46*INDEX(Curves!$B$4:$AR$4,1,-2-Projects!$C$46+1),0)</f>
        <v>0</v>
      </c>
      <c r="D96" s="313" t="n">
        <f aca="false">IF(AND(Projects!$G$17="Yes",-1&gt;=Projects!$C$17,-1&lt;Projects!$C$17+Projects!$D$17),Projects!$B$17*INDEX(Curves!$B$4:$AR$4,1,-1-Projects!$C$17+1),0)+IF(AND(Projects!$G$18="Yes",-1&gt;=Projects!$C$18,-1&lt;Projects!$C$18+Projects!$D$18),Projects!$B$18*INDEX(Curves!$B$4:$AR$4,1,-1-Projects!$C$18+1),0)+IF(AND(Projects!$G$19="Yes",-1&gt;=Projects!$C$19,-1&lt;Projects!$C$19+Projects!$D$19),Projects!$B$19*INDEX(Curves!$B$4:$AR$4,1,-1-Projects!$C$19+1),0)+IF(AND(Projects!$G$20="Yes",-1&gt;=Projects!$C$20,-1&lt;Projects!$C$20+Projects!$D$20),Projects!$B$20*INDEX(Curves!$B$4:$AR$4,1,-1-Projects!$C$20+1),0)+IF(AND(Projects!$G$21="Yes",-1&gt;=Projects!$C$21,-1&lt;Projects!$C$21+Projects!$D$21),Projects!$B$21*INDEX(Curves!$B$4:$AR$4,1,-1-Projects!$C$21+1),0)+IF(AND(Projects!$G$22="Yes",-1&gt;=Projects!$C$22,-1&lt;Projects!$C$22+Projects!$D$22),Projects!$B$22*INDEX(Curves!$B$4:$AR$4,1,-1-Projects!$C$22+1),0)+IF(AND(Projects!$G$23="Yes",-1&gt;=Projects!$C$23,-1&lt;Projects!$C$23+Projects!$D$23),Projects!$B$23*INDEX(Curves!$B$4:$AR$4,1,-1-Projects!$C$23+1),0)+IF(AND(Projects!$G$24="Yes",-1&gt;=Projects!$C$24,-1&lt;Projects!$C$24+Projects!$D$24),Projects!$B$24*INDEX(Curves!$B$4:$AR$4,1,-1-Projects!$C$24+1),0)+IF(AND(Projects!$G$25="Yes",-1&gt;=Projects!$C$25,-1&lt;Projects!$C$25+Projects!$D$25),Projects!$B$25*INDEX(Curves!$B$4:$AR$4,1,-1-Projects!$C$25+1),0)+IF(AND(Projects!$G$26="Yes",-1&gt;=Projects!$C$26,-1&lt;Projects!$C$26+Projects!$D$26),Projects!$B$26*INDEX(Curves!$B$4:$AR$4,1,-1-Projects!$C$26+1),0)+IF(AND(Projects!$G$27="Yes",-1&gt;=Projects!$C$27,-1&lt;Projects!$C$27+Projects!$D$27),Projects!$B$27*INDEX(Curves!$B$4:$AR$4,1,-1-Projects!$C$27+1),0)+IF(AND(Projects!$G$28="Yes",-1&gt;=Projects!$C$28,-1&lt;Projects!$C$28+Projects!$D$28),Projects!$B$28*INDEX(Curves!$B$4:$AR$4,1,-1-Projects!$C$28+1),0)+IF(AND(Projects!$G$29="Yes",-1&gt;=Projects!$C$29,-1&lt;Projects!$C$29+Projects!$D$29),Projects!$B$29*INDEX(Curves!$B$4:$AR$4,1,-1-Projects!$C$29+1),0)+IF(AND(Projects!$G$30="Yes",-1&gt;=Projects!$C$30,-1&lt;Projects!$C$30+Projects!$D$30),Projects!$B$30*INDEX(Curves!$B$4:$AR$4,1,-1-Projects!$C$30+1),0)+IF(AND(Projects!$G$31="Yes",-1&gt;=Projects!$C$31,-1&lt;Projects!$C$31+Projects!$D$31),Projects!$B$31*INDEX(Curves!$B$4:$AR$4,1,-1-Projects!$C$31+1),0)+IF(AND(Projects!$G$32="Yes",-1&gt;=Projects!$C$32,-1&lt;Projects!$C$32+Projects!$D$32),Projects!$B$32*INDEX(Curves!$B$4:$AR$4,1,-1-Projects!$C$32+1),0)+IF(AND(Projects!$G$33="Yes",-1&gt;=Projects!$C$33,-1&lt;Projects!$C$33+Projects!$D$33),Projects!$B$33*INDEX(Curves!$B$4:$AR$4,1,-1-Projects!$C$33+1),0)+IF(AND(Projects!$G$34="Yes",-1&gt;=Projects!$C$34,-1&lt;Projects!$C$34+Projects!$D$34),Projects!$B$34*INDEX(Curves!$B$4:$AR$4,1,-1-Projects!$C$34+1),0)+IF(AND(Projects!$G$35="Yes",-1&gt;=Projects!$C$35,-1&lt;Projects!$C$35+Projects!$D$35),Projects!$B$35*INDEX(Curves!$B$4:$AR$4,1,-1-Projects!$C$35+1),0)+IF(AND(Projects!$G$36="Yes",-1&gt;=Projects!$C$36,-1&lt;Projects!$C$36+Projects!$D$36),Projects!$B$36*INDEX(Curves!$B$4:$AR$4,1,-1-Projects!$C$36+1),0)+IF(AND(Projects!$G$37="Yes",-1&gt;=Projects!$C$37,-1&lt;Projects!$C$37+Projects!$D$37),Projects!$B$37*INDEX(Curves!$B$4:$AR$4,1,-1-Projects!$C$37+1),0)+IF(AND(Projects!$G$38="Yes",-1&gt;=Projects!$C$38,-1&lt;Projects!$C$38+Projects!$D$38),Projects!$B$38*INDEX(Curves!$B$4:$AR$4,1,-1-Projects!$C$38+1),0)+IF(AND(Projects!$G$39="Yes",-1&gt;=Projects!$C$39,-1&lt;Projects!$C$39+Projects!$D$39),Projects!$B$39*INDEX(Curves!$B$4:$AR$4,1,-1-Projects!$C$39+1),0)+IF(AND(Projects!$G$40="Yes",-1&gt;=Projects!$C$40,-1&lt;Projects!$C$40+Projects!$D$40),Projects!$B$40*INDEX(Curves!$B$4:$AR$4,1,-1-Projects!$C$40+1),0)+IF(AND(Projects!$G$41="Yes",-1&gt;=Projects!$C$41,-1&lt;Projects!$C$41+Projects!$D$41),Projects!$B$41*INDEX(Curves!$B$4:$AR$4,1,-1-Projects!$C$41+1),0)+IF(AND(Projects!$G$42="Yes",-1&gt;=Projects!$C$42,-1&lt;Projects!$C$42+Projects!$D$42),Projects!$B$42*INDEX(Curves!$B$4:$AR$4,1,-1-Projects!$C$42+1),0)+IF(AND(Projects!$G$43="Yes",-1&gt;=Projects!$C$43,-1&lt;Projects!$C$43+Projects!$D$43),Projects!$B$43*INDEX(Curves!$B$4:$AR$4,1,-1-Projects!$C$43+1),0)+IF(AND(Projects!$G$44="Yes",-1&gt;=Projects!$C$44,-1&lt;Projects!$C$44+Projects!$D$44),Projects!$B$44*INDEX(Curves!$B$4:$AR$4,1,-1-Projects!$C$44+1),0)+IF(AND(Projects!$G$45="Yes",-1&gt;=Projects!$C$45,-1&lt;Projects!$C$45+Projects!$D$45),Projects!$B$45*INDEX(Curves!$B$4:$AR$4,1,-1-Projects!$C$45+1),0)+IF(AND(Projects!$G$46="Yes",-1&gt;=Projects!$C$46,-1&lt;Projects!$C$46+Projects!$D$46),Projects!$B$46*INDEX(Curves!$B$4:$AR$4,1,-1-Projects!$C$46+1),0)</f>
        <v>0</v>
      </c>
      <c r="E96" s="313" t="n">
        <f aca="false">IF(AND(Projects!$G$17="Yes",0&gt;=Projects!$C$17,0&lt;Projects!$C$17+Projects!$D$17),Projects!$B$17*INDEX(Curves!$B$4:$AR$4,1,0-Projects!$C$17+1),0)+IF(AND(Projects!$G$18="Yes",0&gt;=Projects!$C$18,0&lt;Projects!$C$18+Projects!$D$18),Projects!$B$18*INDEX(Curves!$B$4:$AR$4,1,0-Projects!$C$18+1),0)+IF(AND(Projects!$G$19="Yes",0&gt;=Projects!$C$19,0&lt;Projects!$C$19+Projects!$D$19),Projects!$B$19*INDEX(Curves!$B$4:$AR$4,1,0-Projects!$C$19+1),0)+IF(AND(Projects!$G$20="Yes",0&gt;=Projects!$C$20,0&lt;Projects!$C$20+Projects!$D$20),Projects!$B$20*INDEX(Curves!$B$4:$AR$4,1,0-Projects!$C$20+1),0)+IF(AND(Projects!$G$21="Yes",0&gt;=Projects!$C$21,0&lt;Projects!$C$21+Projects!$D$21),Projects!$B$21*INDEX(Curves!$B$4:$AR$4,1,0-Projects!$C$21+1),0)+IF(AND(Projects!$G$22="Yes",0&gt;=Projects!$C$22,0&lt;Projects!$C$22+Projects!$D$22),Projects!$B$22*INDEX(Curves!$B$4:$AR$4,1,0-Projects!$C$22+1),0)+IF(AND(Projects!$G$23="Yes",0&gt;=Projects!$C$23,0&lt;Projects!$C$23+Projects!$D$23),Projects!$B$23*INDEX(Curves!$B$4:$AR$4,1,0-Projects!$C$23+1),0)+IF(AND(Projects!$G$24="Yes",0&gt;=Projects!$C$24,0&lt;Projects!$C$24+Projects!$D$24),Projects!$B$24*INDEX(Curves!$B$4:$AR$4,1,0-Projects!$C$24+1),0)+IF(AND(Projects!$G$25="Yes",0&gt;=Projects!$C$25,0&lt;Projects!$C$25+Projects!$D$25),Projects!$B$25*INDEX(Curves!$B$4:$AR$4,1,0-Projects!$C$25+1),0)+IF(AND(Projects!$G$26="Yes",0&gt;=Projects!$C$26,0&lt;Projects!$C$26+Projects!$D$26),Projects!$B$26*INDEX(Curves!$B$4:$AR$4,1,0-Projects!$C$26+1),0)+IF(AND(Projects!$G$27="Yes",0&gt;=Projects!$C$27,0&lt;Projects!$C$27+Projects!$D$27),Projects!$B$27*INDEX(Curves!$B$4:$AR$4,1,0-Projects!$C$27+1),0)+IF(AND(Projects!$G$28="Yes",0&gt;=Projects!$C$28,0&lt;Projects!$C$28+Projects!$D$28),Projects!$B$28*INDEX(Curves!$B$4:$AR$4,1,0-Projects!$C$28+1),0)+IF(AND(Projects!$G$29="Yes",0&gt;=Projects!$C$29,0&lt;Projects!$C$29+Projects!$D$29),Projects!$B$29*INDEX(Curves!$B$4:$AR$4,1,0-Projects!$C$29+1),0)+IF(AND(Projects!$G$30="Yes",0&gt;=Projects!$C$30,0&lt;Projects!$C$30+Projects!$D$30),Projects!$B$30*INDEX(Curves!$B$4:$AR$4,1,0-Projects!$C$30+1),0)+IF(AND(Projects!$G$31="Yes",0&gt;=Projects!$C$31,0&lt;Projects!$C$31+Projects!$D$31),Projects!$B$31*INDEX(Curves!$B$4:$AR$4,1,0-Projects!$C$31+1),0)+IF(AND(Projects!$G$32="Yes",0&gt;=Projects!$C$32,0&lt;Projects!$C$32+Projects!$D$32),Projects!$B$32*INDEX(Curves!$B$4:$AR$4,1,0-Projects!$C$32+1),0)+IF(AND(Projects!$G$33="Yes",0&gt;=Projects!$C$33,0&lt;Projects!$C$33+Projects!$D$33),Projects!$B$33*INDEX(Curves!$B$4:$AR$4,1,0-Projects!$C$33+1),0)+IF(AND(Projects!$G$34="Yes",0&gt;=Projects!$C$34,0&lt;Projects!$C$34+Projects!$D$34),Projects!$B$34*INDEX(Curves!$B$4:$AR$4,1,0-Projects!$C$34+1),0)+IF(AND(Projects!$G$35="Yes",0&gt;=Projects!$C$35,0&lt;Projects!$C$35+Projects!$D$35),Projects!$B$35*INDEX(Curves!$B$4:$AR$4,1,0-Projects!$C$35+1),0)+IF(AND(Projects!$G$36="Yes",0&gt;=Projects!$C$36,0&lt;Projects!$C$36+Projects!$D$36),Projects!$B$36*INDEX(Curves!$B$4:$AR$4,1,0-Projects!$C$36+1),0)+IF(AND(Projects!$G$37="Yes",0&gt;=Projects!$C$37,0&lt;Projects!$C$37+Projects!$D$37),Projects!$B$37*INDEX(Curves!$B$4:$AR$4,1,0-Projects!$C$37+1),0)+IF(AND(Projects!$G$38="Yes",0&gt;=Projects!$C$38,0&lt;Projects!$C$38+Projects!$D$38),Projects!$B$38*INDEX(Curves!$B$4:$AR$4,1,0-Projects!$C$38+1),0)+IF(AND(Projects!$G$39="Yes",0&gt;=Projects!$C$39,0&lt;Projects!$C$39+Projects!$D$39),Projects!$B$39*INDEX(Curves!$B$4:$AR$4,1,0-Projects!$C$39+1),0)+IF(AND(Projects!$G$40="Yes",0&gt;=Projects!$C$40,0&lt;Projects!$C$40+Projects!$D$40),Projects!$B$40*INDEX(Curves!$B$4:$AR$4,1,0-Projects!$C$40+1),0)+IF(AND(Projects!$G$41="Yes",0&gt;=Projects!$C$41,0&lt;Projects!$C$41+Projects!$D$41),Projects!$B$41*INDEX(Curves!$B$4:$AR$4,1,0-Projects!$C$41+1),0)+IF(AND(Projects!$G$42="Yes",0&gt;=Projects!$C$42,0&lt;Projects!$C$42+Projects!$D$42),Projects!$B$42*INDEX(Curves!$B$4:$AR$4,1,0-Projects!$C$42+1),0)+IF(AND(Projects!$G$43="Yes",0&gt;=Projects!$C$43,0&lt;Projects!$C$43+Projects!$D$43),Projects!$B$43*INDEX(Curves!$B$4:$AR$4,1,0-Projects!$C$43+1),0)+IF(AND(Projects!$G$44="Yes",0&gt;=Projects!$C$44,0&lt;Projects!$C$44+Projects!$D$44),Projects!$B$44*INDEX(Curves!$B$4:$AR$4,1,0-Projects!$C$44+1),0)+IF(AND(Projects!$G$45="Yes",0&gt;=Projects!$C$45,0&lt;Projects!$C$45+Projects!$D$45),Projects!$B$45*INDEX(Curves!$B$4:$AR$4,1,0-Projects!$C$45+1),0)+IF(AND(Projects!$G$46="Yes",0&gt;=Projects!$C$46,0&lt;Projects!$C$46+Projects!$D$46),Projects!$B$46*INDEX(Curves!$B$4:$AR$4,1,0-Projects!$C$46+1),0)</f>
        <v>0</v>
      </c>
      <c r="F96" s="313" t="n">
        <f aca="false">IF(AND(Projects!$G$17="Yes",1&gt;=Projects!$C$17,1&lt;Projects!$C$17+Projects!$D$17),Projects!$B$17*INDEX(Curves!$B$4:$AR$4,1,1-Projects!$C$17+1),0)+IF(AND(Projects!$G$18="Yes",1&gt;=Projects!$C$18,1&lt;Projects!$C$18+Projects!$D$18),Projects!$B$18*INDEX(Curves!$B$4:$AR$4,1,1-Projects!$C$18+1),0)+IF(AND(Projects!$G$19="Yes",1&gt;=Projects!$C$19,1&lt;Projects!$C$19+Projects!$D$19),Projects!$B$19*INDEX(Curves!$B$4:$AR$4,1,1-Projects!$C$19+1),0)+IF(AND(Projects!$G$20="Yes",1&gt;=Projects!$C$20,1&lt;Projects!$C$20+Projects!$D$20),Projects!$B$20*INDEX(Curves!$B$4:$AR$4,1,1-Projects!$C$20+1),0)+IF(AND(Projects!$G$21="Yes",1&gt;=Projects!$C$21,1&lt;Projects!$C$21+Projects!$D$21),Projects!$B$21*INDEX(Curves!$B$4:$AR$4,1,1-Projects!$C$21+1),0)+IF(AND(Projects!$G$22="Yes",1&gt;=Projects!$C$22,1&lt;Projects!$C$22+Projects!$D$22),Projects!$B$22*INDEX(Curves!$B$4:$AR$4,1,1-Projects!$C$22+1),0)+IF(AND(Projects!$G$23="Yes",1&gt;=Projects!$C$23,1&lt;Projects!$C$23+Projects!$D$23),Projects!$B$23*INDEX(Curves!$B$4:$AR$4,1,1-Projects!$C$23+1),0)+IF(AND(Projects!$G$24="Yes",1&gt;=Projects!$C$24,1&lt;Projects!$C$24+Projects!$D$24),Projects!$B$24*INDEX(Curves!$B$4:$AR$4,1,1-Projects!$C$24+1),0)+IF(AND(Projects!$G$25="Yes",1&gt;=Projects!$C$25,1&lt;Projects!$C$25+Projects!$D$25),Projects!$B$25*INDEX(Curves!$B$4:$AR$4,1,1-Projects!$C$25+1),0)+IF(AND(Projects!$G$26="Yes",1&gt;=Projects!$C$26,1&lt;Projects!$C$26+Projects!$D$26),Projects!$B$26*INDEX(Curves!$B$4:$AR$4,1,1-Projects!$C$26+1),0)+IF(AND(Projects!$G$27="Yes",1&gt;=Projects!$C$27,1&lt;Projects!$C$27+Projects!$D$27),Projects!$B$27*INDEX(Curves!$B$4:$AR$4,1,1-Projects!$C$27+1),0)+IF(AND(Projects!$G$28="Yes",1&gt;=Projects!$C$28,1&lt;Projects!$C$28+Projects!$D$28),Projects!$B$28*INDEX(Curves!$B$4:$AR$4,1,1-Projects!$C$28+1),0)+IF(AND(Projects!$G$29="Yes",1&gt;=Projects!$C$29,1&lt;Projects!$C$29+Projects!$D$29),Projects!$B$29*INDEX(Curves!$B$4:$AR$4,1,1-Projects!$C$29+1),0)+IF(AND(Projects!$G$30="Yes",1&gt;=Projects!$C$30,1&lt;Projects!$C$30+Projects!$D$30),Projects!$B$30*INDEX(Curves!$B$4:$AR$4,1,1-Projects!$C$30+1),0)+IF(AND(Projects!$G$31="Yes",1&gt;=Projects!$C$31,1&lt;Projects!$C$31+Projects!$D$31),Projects!$B$31*INDEX(Curves!$B$4:$AR$4,1,1-Projects!$C$31+1),0)+IF(AND(Projects!$G$32="Yes",1&gt;=Projects!$C$32,1&lt;Projects!$C$32+Projects!$D$32),Projects!$B$32*INDEX(Curves!$B$4:$AR$4,1,1-Projects!$C$32+1),0)+IF(AND(Projects!$G$33="Yes",1&gt;=Projects!$C$33,1&lt;Projects!$C$33+Projects!$D$33),Projects!$B$33*INDEX(Curves!$B$4:$AR$4,1,1-Projects!$C$33+1),0)+IF(AND(Projects!$G$34="Yes",1&gt;=Projects!$C$34,1&lt;Projects!$C$34+Projects!$D$34),Projects!$B$34*INDEX(Curves!$B$4:$AR$4,1,1-Projects!$C$34+1),0)+IF(AND(Projects!$G$35="Yes",1&gt;=Projects!$C$35,1&lt;Projects!$C$35+Projects!$D$35),Projects!$B$35*INDEX(Curves!$B$4:$AR$4,1,1-Projects!$C$35+1),0)+IF(AND(Projects!$G$36="Yes",1&gt;=Projects!$C$36,1&lt;Projects!$C$36+Projects!$D$36),Projects!$B$36*INDEX(Curves!$B$4:$AR$4,1,1-Projects!$C$36+1),0)+IF(AND(Projects!$G$37="Yes",1&gt;=Projects!$C$37,1&lt;Projects!$C$37+Projects!$D$37),Projects!$B$37*INDEX(Curves!$B$4:$AR$4,1,1-Projects!$C$37+1),0)+IF(AND(Projects!$G$38="Yes",1&gt;=Projects!$C$38,1&lt;Projects!$C$38+Projects!$D$38),Projects!$B$38*INDEX(Curves!$B$4:$AR$4,1,1-Projects!$C$38+1),0)+IF(AND(Projects!$G$39="Yes",1&gt;=Projects!$C$39,1&lt;Projects!$C$39+Projects!$D$39),Projects!$B$39*INDEX(Curves!$B$4:$AR$4,1,1-Projects!$C$39+1),0)+IF(AND(Projects!$G$40="Yes",1&gt;=Projects!$C$40,1&lt;Projects!$C$40+Projects!$D$40),Projects!$B$40*INDEX(Curves!$B$4:$AR$4,1,1-Projects!$C$40+1),0)+IF(AND(Projects!$G$41="Yes",1&gt;=Projects!$C$41,1&lt;Projects!$C$41+Projects!$D$41),Projects!$B$41*INDEX(Curves!$B$4:$AR$4,1,1-Projects!$C$41+1),0)+IF(AND(Projects!$G$42="Yes",1&gt;=Projects!$C$42,1&lt;Projects!$C$42+Projects!$D$42),Projects!$B$42*INDEX(Curves!$B$4:$AR$4,1,1-Projects!$C$42+1),0)+IF(AND(Projects!$G$43="Yes",1&gt;=Projects!$C$43,1&lt;Projects!$C$43+Projects!$D$43),Projects!$B$43*INDEX(Curves!$B$4:$AR$4,1,1-Projects!$C$43+1),0)+IF(AND(Projects!$G$44="Yes",1&gt;=Projects!$C$44,1&lt;Projects!$C$44+Projects!$D$44),Projects!$B$44*INDEX(Curves!$B$4:$AR$4,1,1-Projects!$C$44+1),0)+IF(AND(Projects!$G$45="Yes",1&gt;=Projects!$C$45,1&lt;Projects!$C$45+Projects!$D$45),Projects!$B$45*INDEX(Curves!$B$4:$AR$4,1,1-Projects!$C$45+1),0)+IF(AND(Projects!$G$46="Yes",1&gt;=Projects!$C$46,1&lt;Projects!$C$46+Projects!$D$46),Projects!$B$46*INDEX(Curves!$B$4:$AR$4,1,1-Projects!$C$46+1),0)</f>
        <v>0</v>
      </c>
      <c r="G96" s="313" t="n">
        <f aca="false">IF(AND(Projects!$G$17="Yes",2&gt;=Projects!$C$17,2&lt;Projects!$C$17+Projects!$D$17),Projects!$B$17*INDEX(Curves!$B$4:$AR$4,1,2-Projects!$C$17+1),0)+IF(AND(Projects!$G$18="Yes",2&gt;=Projects!$C$18,2&lt;Projects!$C$18+Projects!$D$18),Projects!$B$18*INDEX(Curves!$B$4:$AR$4,1,2-Projects!$C$18+1),0)+IF(AND(Projects!$G$19="Yes",2&gt;=Projects!$C$19,2&lt;Projects!$C$19+Projects!$D$19),Projects!$B$19*INDEX(Curves!$B$4:$AR$4,1,2-Projects!$C$19+1),0)+IF(AND(Projects!$G$20="Yes",2&gt;=Projects!$C$20,2&lt;Projects!$C$20+Projects!$D$20),Projects!$B$20*INDEX(Curves!$B$4:$AR$4,1,2-Projects!$C$20+1),0)+IF(AND(Projects!$G$21="Yes",2&gt;=Projects!$C$21,2&lt;Projects!$C$21+Projects!$D$21),Projects!$B$21*INDEX(Curves!$B$4:$AR$4,1,2-Projects!$C$21+1),0)+IF(AND(Projects!$G$22="Yes",2&gt;=Projects!$C$22,2&lt;Projects!$C$22+Projects!$D$22),Projects!$B$22*INDEX(Curves!$B$4:$AR$4,1,2-Projects!$C$22+1),0)+IF(AND(Projects!$G$23="Yes",2&gt;=Projects!$C$23,2&lt;Projects!$C$23+Projects!$D$23),Projects!$B$23*INDEX(Curves!$B$4:$AR$4,1,2-Projects!$C$23+1),0)+IF(AND(Projects!$G$24="Yes",2&gt;=Projects!$C$24,2&lt;Projects!$C$24+Projects!$D$24),Projects!$B$24*INDEX(Curves!$B$4:$AR$4,1,2-Projects!$C$24+1),0)+IF(AND(Projects!$G$25="Yes",2&gt;=Projects!$C$25,2&lt;Projects!$C$25+Projects!$D$25),Projects!$B$25*INDEX(Curves!$B$4:$AR$4,1,2-Projects!$C$25+1),0)+IF(AND(Projects!$G$26="Yes",2&gt;=Projects!$C$26,2&lt;Projects!$C$26+Projects!$D$26),Projects!$B$26*INDEX(Curves!$B$4:$AR$4,1,2-Projects!$C$26+1),0)+IF(AND(Projects!$G$27="Yes",2&gt;=Projects!$C$27,2&lt;Projects!$C$27+Projects!$D$27),Projects!$B$27*INDEX(Curves!$B$4:$AR$4,1,2-Projects!$C$27+1),0)+IF(AND(Projects!$G$28="Yes",2&gt;=Projects!$C$28,2&lt;Projects!$C$28+Projects!$D$28),Projects!$B$28*INDEX(Curves!$B$4:$AR$4,1,2-Projects!$C$28+1),0)+IF(AND(Projects!$G$29="Yes",2&gt;=Projects!$C$29,2&lt;Projects!$C$29+Projects!$D$29),Projects!$B$29*INDEX(Curves!$B$4:$AR$4,1,2-Projects!$C$29+1),0)+IF(AND(Projects!$G$30="Yes",2&gt;=Projects!$C$30,2&lt;Projects!$C$30+Projects!$D$30),Projects!$B$30*INDEX(Curves!$B$4:$AR$4,1,2-Projects!$C$30+1),0)+IF(AND(Projects!$G$31="Yes",2&gt;=Projects!$C$31,2&lt;Projects!$C$31+Projects!$D$31),Projects!$B$31*INDEX(Curves!$B$4:$AR$4,1,2-Projects!$C$31+1),0)+IF(AND(Projects!$G$32="Yes",2&gt;=Projects!$C$32,2&lt;Projects!$C$32+Projects!$D$32),Projects!$B$32*INDEX(Curves!$B$4:$AR$4,1,2-Projects!$C$32+1),0)+IF(AND(Projects!$G$33="Yes",2&gt;=Projects!$C$33,2&lt;Projects!$C$33+Projects!$D$33),Projects!$B$33*INDEX(Curves!$B$4:$AR$4,1,2-Projects!$C$33+1),0)+IF(AND(Projects!$G$34="Yes",2&gt;=Projects!$C$34,2&lt;Projects!$C$34+Projects!$D$34),Projects!$B$34*INDEX(Curves!$B$4:$AR$4,1,2-Projects!$C$34+1),0)+IF(AND(Projects!$G$35="Yes",2&gt;=Projects!$C$35,2&lt;Projects!$C$35+Projects!$D$35),Projects!$B$35*INDEX(Curves!$B$4:$AR$4,1,2-Projects!$C$35+1),0)+IF(AND(Projects!$G$36="Yes",2&gt;=Projects!$C$36,2&lt;Projects!$C$36+Projects!$D$36),Projects!$B$36*INDEX(Curves!$B$4:$AR$4,1,2-Projects!$C$36+1),0)+IF(AND(Projects!$G$37="Yes",2&gt;=Projects!$C$37,2&lt;Projects!$C$37+Projects!$D$37),Projects!$B$37*INDEX(Curves!$B$4:$AR$4,1,2-Projects!$C$37+1),0)+IF(AND(Projects!$G$38="Yes",2&gt;=Projects!$C$38,2&lt;Projects!$C$38+Projects!$D$38),Projects!$B$38*INDEX(Curves!$B$4:$AR$4,1,2-Projects!$C$38+1),0)+IF(AND(Projects!$G$39="Yes",2&gt;=Projects!$C$39,2&lt;Projects!$C$39+Projects!$D$39),Projects!$B$39*INDEX(Curves!$B$4:$AR$4,1,2-Projects!$C$39+1),0)+IF(AND(Projects!$G$40="Yes",2&gt;=Projects!$C$40,2&lt;Projects!$C$40+Projects!$D$40),Projects!$B$40*INDEX(Curves!$B$4:$AR$4,1,2-Projects!$C$40+1),0)+IF(AND(Projects!$G$41="Yes",2&gt;=Projects!$C$41,2&lt;Projects!$C$41+Projects!$D$41),Projects!$B$41*INDEX(Curves!$B$4:$AR$4,1,2-Projects!$C$41+1),0)+IF(AND(Projects!$G$42="Yes",2&gt;=Projects!$C$42,2&lt;Projects!$C$42+Projects!$D$42),Projects!$B$42*INDEX(Curves!$B$4:$AR$4,1,2-Projects!$C$42+1),0)+IF(AND(Projects!$G$43="Yes",2&gt;=Projects!$C$43,2&lt;Projects!$C$43+Projects!$D$43),Projects!$B$43*INDEX(Curves!$B$4:$AR$4,1,2-Projects!$C$43+1),0)+IF(AND(Projects!$G$44="Yes",2&gt;=Projects!$C$44,2&lt;Projects!$C$44+Projects!$D$44),Projects!$B$44*INDEX(Curves!$B$4:$AR$4,1,2-Projects!$C$44+1),0)+IF(AND(Projects!$G$45="Yes",2&gt;=Projects!$C$45,2&lt;Projects!$C$45+Projects!$D$45),Projects!$B$45*INDEX(Curves!$B$4:$AR$4,1,2-Projects!$C$45+1),0)+IF(AND(Projects!$G$46="Yes",2&gt;=Projects!$C$46,2&lt;Projects!$C$46+Projects!$D$46),Projects!$B$46*INDEX(Curves!$B$4:$AR$4,1,2-Projects!$C$46+1),0)</f>
        <v>0</v>
      </c>
      <c r="H96" s="313" t="n">
        <f aca="false">IF(AND(Projects!$G$17="Yes",3&gt;=Projects!$C$17,3&lt;Projects!$C$17+Projects!$D$17),Projects!$B$17*INDEX(Curves!$B$4:$AR$4,1,3-Projects!$C$17+1),0)+IF(AND(Projects!$G$18="Yes",3&gt;=Projects!$C$18,3&lt;Projects!$C$18+Projects!$D$18),Projects!$B$18*INDEX(Curves!$B$4:$AR$4,1,3-Projects!$C$18+1),0)+IF(AND(Projects!$G$19="Yes",3&gt;=Projects!$C$19,3&lt;Projects!$C$19+Projects!$D$19),Projects!$B$19*INDEX(Curves!$B$4:$AR$4,1,3-Projects!$C$19+1),0)+IF(AND(Projects!$G$20="Yes",3&gt;=Projects!$C$20,3&lt;Projects!$C$20+Projects!$D$20),Projects!$B$20*INDEX(Curves!$B$4:$AR$4,1,3-Projects!$C$20+1),0)+IF(AND(Projects!$G$21="Yes",3&gt;=Projects!$C$21,3&lt;Projects!$C$21+Projects!$D$21),Projects!$B$21*INDEX(Curves!$B$4:$AR$4,1,3-Projects!$C$21+1),0)+IF(AND(Projects!$G$22="Yes",3&gt;=Projects!$C$22,3&lt;Projects!$C$22+Projects!$D$22),Projects!$B$22*INDEX(Curves!$B$4:$AR$4,1,3-Projects!$C$22+1),0)+IF(AND(Projects!$G$23="Yes",3&gt;=Projects!$C$23,3&lt;Projects!$C$23+Projects!$D$23),Projects!$B$23*INDEX(Curves!$B$4:$AR$4,1,3-Projects!$C$23+1),0)+IF(AND(Projects!$G$24="Yes",3&gt;=Projects!$C$24,3&lt;Projects!$C$24+Projects!$D$24),Projects!$B$24*INDEX(Curves!$B$4:$AR$4,1,3-Projects!$C$24+1),0)+IF(AND(Projects!$G$25="Yes",3&gt;=Projects!$C$25,3&lt;Projects!$C$25+Projects!$D$25),Projects!$B$25*INDEX(Curves!$B$4:$AR$4,1,3-Projects!$C$25+1),0)+IF(AND(Projects!$G$26="Yes",3&gt;=Projects!$C$26,3&lt;Projects!$C$26+Projects!$D$26),Projects!$B$26*INDEX(Curves!$B$4:$AR$4,1,3-Projects!$C$26+1),0)+IF(AND(Projects!$G$27="Yes",3&gt;=Projects!$C$27,3&lt;Projects!$C$27+Projects!$D$27),Projects!$B$27*INDEX(Curves!$B$4:$AR$4,1,3-Projects!$C$27+1),0)+IF(AND(Projects!$G$28="Yes",3&gt;=Projects!$C$28,3&lt;Projects!$C$28+Projects!$D$28),Projects!$B$28*INDEX(Curves!$B$4:$AR$4,1,3-Projects!$C$28+1),0)+IF(AND(Projects!$G$29="Yes",3&gt;=Projects!$C$29,3&lt;Projects!$C$29+Projects!$D$29),Projects!$B$29*INDEX(Curves!$B$4:$AR$4,1,3-Projects!$C$29+1),0)+IF(AND(Projects!$G$30="Yes",3&gt;=Projects!$C$30,3&lt;Projects!$C$30+Projects!$D$30),Projects!$B$30*INDEX(Curves!$B$4:$AR$4,1,3-Projects!$C$30+1),0)+IF(AND(Projects!$G$31="Yes",3&gt;=Projects!$C$31,3&lt;Projects!$C$31+Projects!$D$31),Projects!$B$31*INDEX(Curves!$B$4:$AR$4,1,3-Projects!$C$31+1),0)+IF(AND(Projects!$G$32="Yes",3&gt;=Projects!$C$32,3&lt;Projects!$C$32+Projects!$D$32),Projects!$B$32*INDEX(Curves!$B$4:$AR$4,1,3-Projects!$C$32+1),0)+IF(AND(Projects!$G$33="Yes",3&gt;=Projects!$C$33,3&lt;Projects!$C$33+Projects!$D$33),Projects!$B$33*INDEX(Curves!$B$4:$AR$4,1,3-Projects!$C$33+1),0)+IF(AND(Projects!$G$34="Yes",3&gt;=Projects!$C$34,3&lt;Projects!$C$34+Projects!$D$34),Projects!$B$34*INDEX(Curves!$B$4:$AR$4,1,3-Projects!$C$34+1),0)+IF(AND(Projects!$G$35="Yes",3&gt;=Projects!$C$35,3&lt;Projects!$C$35+Projects!$D$35),Projects!$B$35*INDEX(Curves!$B$4:$AR$4,1,3-Projects!$C$35+1),0)+IF(AND(Projects!$G$36="Yes",3&gt;=Projects!$C$36,3&lt;Projects!$C$36+Projects!$D$36),Projects!$B$36*INDEX(Curves!$B$4:$AR$4,1,3-Projects!$C$36+1),0)+IF(AND(Projects!$G$37="Yes",3&gt;=Projects!$C$37,3&lt;Projects!$C$37+Projects!$D$37),Projects!$B$37*INDEX(Curves!$B$4:$AR$4,1,3-Projects!$C$37+1),0)+IF(AND(Projects!$G$38="Yes",3&gt;=Projects!$C$38,3&lt;Projects!$C$38+Projects!$D$38),Projects!$B$38*INDEX(Curves!$B$4:$AR$4,1,3-Projects!$C$38+1),0)+IF(AND(Projects!$G$39="Yes",3&gt;=Projects!$C$39,3&lt;Projects!$C$39+Projects!$D$39),Projects!$B$39*INDEX(Curves!$B$4:$AR$4,1,3-Projects!$C$39+1),0)+IF(AND(Projects!$G$40="Yes",3&gt;=Projects!$C$40,3&lt;Projects!$C$40+Projects!$D$40),Projects!$B$40*INDEX(Curves!$B$4:$AR$4,1,3-Projects!$C$40+1),0)+IF(AND(Projects!$G$41="Yes",3&gt;=Projects!$C$41,3&lt;Projects!$C$41+Projects!$D$41),Projects!$B$41*INDEX(Curves!$B$4:$AR$4,1,3-Projects!$C$41+1),0)+IF(AND(Projects!$G$42="Yes",3&gt;=Projects!$C$42,3&lt;Projects!$C$42+Projects!$D$42),Projects!$B$42*INDEX(Curves!$B$4:$AR$4,1,3-Projects!$C$42+1),0)+IF(AND(Projects!$G$43="Yes",3&gt;=Projects!$C$43,3&lt;Projects!$C$43+Projects!$D$43),Projects!$B$43*INDEX(Curves!$B$4:$AR$4,1,3-Projects!$C$43+1),0)+IF(AND(Projects!$G$44="Yes",3&gt;=Projects!$C$44,3&lt;Projects!$C$44+Projects!$D$44),Projects!$B$44*INDEX(Curves!$B$4:$AR$4,1,3-Projects!$C$44+1),0)+IF(AND(Projects!$G$45="Yes",3&gt;=Projects!$C$45,3&lt;Projects!$C$45+Projects!$D$45),Projects!$B$45*INDEX(Curves!$B$4:$AR$4,1,3-Projects!$C$45+1),0)+IF(AND(Projects!$G$46="Yes",3&gt;=Projects!$C$46,3&lt;Projects!$C$46+Projects!$D$46),Projects!$B$46*INDEX(Curves!$B$4:$AR$4,1,3-Projects!$C$46+1),0)</f>
        <v>0</v>
      </c>
      <c r="I96" s="313" t="n">
        <f aca="false">IF(AND(Projects!$G$17="Yes",4&gt;=Projects!$C$17,4&lt;Projects!$C$17+Projects!$D$17),Projects!$B$17*INDEX(Curves!$B$4:$AR$4,1,4-Projects!$C$17+1),0)+IF(AND(Projects!$G$18="Yes",4&gt;=Projects!$C$18,4&lt;Projects!$C$18+Projects!$D$18),Projects!$B$18*INDEX(Curves!$B$4:$AR$4,1,4-Projects!$C$18+1),0)+IF(AND(Projects!$G$19="Yes",4&gt;=Projects!$C$19,4&lt;Projects!$C$19+Projects!$D$19),Projects!$B$19*INDEX(Curves!$B$4:$AR$4,1,4-Projects!$C$19+1),0)+IF(AND(Projects!$G$20="Yes",4&gt;=Projects!$C$20,4&lt;Projects!$C$20+Projects!$D$20),Projects!$B$20*INDEX(Curves!$B$4:$AR$4,1,4-Projects!$C$20+1),0)+IF(AND(Projects!$G$21="Yes",4&gt;=Projects!$C$21,4&lt;Projects!$C$21+Projects!$D$21),Projects!$B$21*INDEX(Curves!$B$4:$AR$4,1,4-Projects!$C$21+1),0)+IF(AND(Projects!$G$22="Yes",4&gt;=Projects!$C$22,4&lt;Projects!$C$22+Projects!$D$22),Projects!$B$22*INDEX(Curves!$B$4:$AR$4,1,4-Projects!$C$22+1),0)+IF(AND(Projects!$G$23="Yes",4&gt;=Projects!$C$23,4&lt;Projects!$C$23+Projects!$D$23),Projects!$B$23*INDEX(Curves!$B$4:$AR$4,1,4-Projects!$C$23+1),0)+IF(AND(Projects!$G$24="Yes",4&gt;=Projects!$C$24,4&lt;Projects!$C$24+Projects!$D$24),Projects!$B$24*INDEX(Curves!$B$4:$AR$4,1,4-Projects!$C$24+1),0)+IF(AND(Projects!$G$25="Yes",4&gt;=Projects!$C$25,4&lt;Projects!$C$25+Projects!$D$25),Projects!$B$25*INDEX(Curves!$B$4:$AR$4,1,4-Projects!$C$25+1),0)+IF(AND(Projects!$G$26="Yes",4&gt;=Projects!$C$26,4&lt;Projects!$C$26+Projects!$D$26),Projects!$B$26*INDEX(Curves!$B$4:$AR$4,1,4-Projects!$C$26+1),0)+IF(AND(Projects!$G$27="Yes",4&gt;=Projects!$C$27,4&lt;Projects!$C$27+Projects!$D$27),Projects!$B$27*INDEX(Curves!$B$4:$AR$4,1,4-Projects!$C$27+1),0)+IF(AND(Projects!$G$28="Yes",4&gt;=Projects!$C$28,4&lt;Projects!$C$28+Projects!$D$28),Projects!$B$28*INDEX(Curves!$B$4:$AR$4,1,4-Projects!$C$28+1),0)+IF(AND(Projects!$G$29="Yes",4&gt;=Projects!$C$29,4&lt;Projects!$C$29+Projects!$D$29),Projects!$B$29*INDEX(Curves!$B$4:$AR$4,1,4-Projects!$C$29+1),0)+IF(AND(Projects!$G$30="Yes",4&gt;=Projects!$C$30,4&lt;Projects!$C$30+Projects!$D$30),Projects!$B$30*INDEX(Curves!$B$4:$AR$4,1,4-Projects!$C$30+1),0)+IF(AND(Projects!$G$31="Yes",4&gt;=Projects!$C$31,4&lt;Projects!$C$31+Projects!$D$31),Projects!$B$31*INDEX(Curves!$B$4:$AR$4,1,4-Projects!$C$31+1),0)+IF(AND(Projects!$G$32="Yes",4&gt;=Projects!$C$32,4&lt;Projects!$C$32+Projects!$D$32),Projects!$B$32*INDEX(Curves!$B$4:$AR$4,1,4-Projects!$C$32+1),0)+IF(AND(Projects!$G$33="Yes",4&gt;=Projects!$C$33,4&lt;Projects!$C$33+Projects!$D$33),Projects!$B$33*INDEX(Curves!$B$4:$AR$4,1,4-Projects!$C$33+1),0)+IF(AND(Projects!$G$34="Yes",4&gt;=Projects!$C$34,4&lt;Projects!$C$34+Projects!$D$34),Projects!$B$34*INDEX(Curves!$B$4:$AR$4,1,4-Projects!$C$34+1),0)+IF(AND(Projects!$G$35="Yes",4&gt;=Projects!$C$35,4&lt;Projects!$C$35+Projects!$D$35),Projects!$B$35*INDEX(Curves!$B$4:$AR$4,1,4-Projects!$C$35+1),0)+IF(AND(Projects!$G$36="Yes",4&gt;=Projects!$C$36,4&lt;Projects!$C$36+Projects!$D$36),Projects!$B$36*INDEX(Curves!$B$4:$AR$4,1,4-Projects!$C$36+1),0)+IF(AND(Projects!$G$37="Yes",4&gt;=Projects!$C$37,4&lt;Projects!$C$37+Projects!$D$37),Projects!$B$37*INDEX(Curves!$B$4:$AR$4,1,4-Projects!$C$37+1),0)+IF(AND(Projects!$G$38="Yes",4&gt;=Projects!$C$38,4&lt;Projects!$C$38+Projects!$D$38),Projects!$B$38*INDEX(Curves!$B$4:$AR$4,1,4-Projects!$C$38+1),0)+IF(AND(Projects!$G$39="Yes",4&gt;=Projects!$C$39,4&lt;Projects!$C$39+Projects!$D$39),Projects!$B$39*INDEX(Curves!$B$4:$AR$4,1,4-Projects!$C$39+1),0)+IF(AND(Projects!$G$40="Yes",4&gt;=Projects!$C$40,4&lt;Projects!$C$40+Projects!$D$40),Projects!$B$40*INDEX(Curves!$B$4:$AR$4,1,4-Projects!$C$40+1),0)+IF(AND(Projects!$G$41="Yes",4&gt;=Projects!$C$41,4&lt;Projects!$C$41+Projects!$D$41),Projects!$B$41*INDEX(Curves!$B$4:$AR$4,1,4-Projects!$C$41+1),0)+IF(AND(Projects!$G$42="Yes",4&gt;=Projects!$C$42,4&lt;Projects!$C$42+Projects!$D$42),Projects!$B$42*INDEX(Curves!$B$4:$AR$4,1,4-Projects!$C$42+1),0)+IF(AND(Projects!$G$43="Yes",4&gt;=Projects!$C$43,4&lt;Projects!$C$43+Projects!$D$43),Projects!$B$43*INDEX(Curves!$B$4:$AR$4,1,4-Projects!$C$43+1),0)+IF(AND(Projects!$G$44="Yes",4&gt;=Projects!$C$44,4&lt;Projects!$C$44+Projects!$D$44),Projects!$B$44*INDEX(Curves!$B$4:$AR$4,1,4-Projects!$C$44+1),0)+IF(AND(Projects!$G$45="Yes",4&gt;=Projects!$C$45,4&lt;Projects!$C$45+Projects!$D$45),Projects!$B$45*INDEX(Curves!$B$4:$AR$4,1,4-Projects!$C$45+1),0)+IF(AND(Projects!$G$46="Yes",4&gt;=Projects!$C$46,4&lt;Projects!$C$46+Projects!$D$46),Projects!$B$46*INDEX(Curves!$B$4:$AR$4,1,4-Projects!$C$46+1),0)</f>
        <v>0</v>
      </c>
      <c r="J96" s="313" t="n">
        <f aca="false">IF(AND(Projects!$G$17="Yes",5&gt;=Projects!$C$17,5&lt;Projects!$C$17+Projects!$D$17),Projects!$B$17*INDEX(Curves!$B$4:$AR$4,1,5-Projects!$C$17+1),0)+IF(AND(Projects!$G$18="Yes",5&gt;=Projects!$C$18,5&lt;Projects!$C$18+Projects!$D$18),Projects!$B$18*INDEX(Curves!$B$4:$AR$4,1,5-Projects!$C$18+1),0)+IF(AND(Projects!$G$19="Yes",5&gt;=Projects!$C$19,5&lt;Projects!$C$19+Projects!$D$19),Projects!$B$19*INDEX(Curves!$B$4:$AR$4,1,5-Projects!$C$19+1),0)+IF(AND(Projects!$G$20="Yes",5&gt;=Projects!$C$20,5&lt;Projects!$C$20+Projects!$D$20),Projects!$B$20*INDEX(Curves!$B$4:$AR$4,1,5-Projects!$C$20+1),0)+IF(AND(Projects!$G$21="Yes",5&gt;=Projects!$C$21,5&lt;Projects!$C$21+Projects!$D$21),Projects!$B$21*INDEX(Curves!$B$4:$AR$4,1,5-Projects!$C$21+1),0)+IF(AND(Projects!$G$22="Yes",5&gt;=Projects!$C$22,5&lt;Projects!$C$22+Projects!$D$22),Projects!$B$22*INDEX(Curves!$B$4:$AR$4,1,5-Projects!$C$22+1),0)+IF(AND(Projects!$G$23="Yes",5&gt;=Projects!$C$23,5&lt;Projects!$C$23+Projects!$D$23),Projects!$B$23*INDEX(Curves!$B$4:$AR$4,1,5-Projects!$C$23+1),0)+IF(AND(Projects!$G$24="Yes",5&gt;=Projects!$C$24,5&lt;Projects!$C$24+Projects!$D$24),Projects!$B$24*INDEX(Curves!$B$4:$AR$4,1,5-Projects!$C$24+1),0)+IF(AND(Projects!$G$25="Yes",5&gt;=Projects!$C$25,5&lt;Projects!$C$25+Projects!$D$25),Projects!$B$25*INDEX(Curves!$B$4:$AR$4,1,5-Projects!$C$25+1),0)+IF(AND(Projects!$G$26="Yes",5&gt;=Projects!$C$26,5&lt;Projects!$C$26+Projects!$D$26),Projects!$B$26*INDEX(Curves!$B$4:$AR$4,1,5-Projects!$C$26+1),0)+IF(AND(Projects!$G$27="Yes",5&gt;=Projects!$C$27,5&lt;Projects!$C$27+Projects!$D$27),Projects!$B$27*INDEX(Curves!$B$4:$AR$4,1,5-Projects!$C$27+1),0)+IF(AND(Projects!$G$28="Yes",5&gt;=Projects!$C$28,5&lt;Projects!$C$28+Projects!$D$28),Projects!$B$28*INDEX(Curves!$B$4:$AR$4,1,5-Projects!$C$28+1),0)+IF(AND(Projects!$G$29="Yes",5&gt;=Projects!$C$29,5&lt;Projects!$C$29+Projects!$D$29),Projects!$B$29*INDEX(Curves!$B$4:$AR$4,1,5-Projects!$C$29+1),0)+IF(AND(Projects!$G$30="Yes",5&gt;=Projects!$C$30,5&lt;Projects!$C$30+Projects!$D$30),Projects!$B$30*INDEX(Curves!$B$4:$AR$4,1,5-Projects!$C$30+1),0)+IF(AND(Projects!$G$31="Yes",5&gt;=Projects!$C$31,5&lt;Projects!$C$31+Projects!$D$31),Projects!$B$31*INDEX(Curves!$B$4:$AR$4,1,5-Projects!$C$31+1),0)+IF(AND(Projects!$G$32="Yes",5&gt;=Projects!$C$32,5&lt;Projects!$C$32+Projects!$D$32),Projects!$B$32*INDEX(Curves!$B$4:$AR$4,1,5-Projects!$C$32+1),0)+IF(AND(Projects!$G$33="Yes",5&gt;=Projects!$C$33,5&lt;Projects!$C$33+Projects!$D$33),Projects!$B$33*INDEX(Curves!$B$4:$AR$4,1,5-Projects!$C$33+1),0)+IF(AND(Projects!$G$34="Yes",5&gt;=Projects!$C$34,5&lt;Projects!$C$34+Projects!$D$34),Projects!$B$34*INDEX(Curves!$B$4:$AR$4,1,5-Projects!$C$34+1),0)+IF(AND(Projects!$G$35="Yes",5&gt;=Projects!$C$35,5&lt;Projects!$C$35+Projects!$D$35),Projects!$B$35*INDEX(Curves!$B$4:$AR$4,1,5-Projects!$C$35+1),0)+IF(AND(Projects!$G$36="Yes",5&gt;=Projects!$C$36,5&lt;Projects!$C$36+Projects!$D$36),Projects!$B$36*INDEX(Curves!$B$4:$AR$4,1,5-Projects!$C$36+1),0)+IF(AND(Projects!$G$37="Yes",5&gt;=Projects!$C$37,5&lt;Projects!$C$37+Projects!$D$37),Projects!$B$37*INDEX(Curves!$B$4:$AR$4,1,5-Projects!$C$37+1),0)+IF(AND(Projects!$G$38="Yes",5&gt;=Projects!$C$38,5&lt;Projects!$C$38+Projects!$D$38),Projects!$B$38*INDEX(Curves!$B$4:$AR$4,1,5-Projects!$C$38+1),0)+IF(AND(Projects!$G$39="Yes",5&gt;=Projects!$C$39,5&lt;Projects!$C$39+Projects!$D$39),Projects!$B$39*INDEX(Curves!$B$4:$AR$4,1,5-Projects!$C$39+1),0)+IF(AND(Projects!$G$40="Yes",5&gt;=Projects!$C$40,5&lt;Projects!$C$40+Projects!$D$40),Projects!$B$40*INDEX(Curves!$B$4:$AR$4,1,5-Projects!$C$40+1),0)+IF(AND(Projects!$G$41="Yes",5&gt;=Projects!$C$41,5&lt;Projects!$C$41+Projects!$D$41),Projects!$B$41*INDEX(Curves!$B$4:$AR$4,1,5-Projects!$C$41+1),0)+IF(AND(Projects!$G$42="Yes",5&gt;=Projects!$C$42,5&lt;Projects!$C$42+Projects!$D$42),Projects!$B$42*INDEX(Curves!$B$4:$AR$4,1,5-Projects!$C$42+1),0)+IF(AND(Projects!$G$43="Yes",5&gt;=Projects!$C$43,5&lt;Projects!$C$43+Projects!$D$43),Projects!$B$43*INDEX(Curves!$B$4:$AR$4,1,5-Projects!$C$43+1),0)+IF(AND(Projects!$G$44="Yes",5&gt;=Projects!$C$44,5&lt;Projects!$C$44+Projects!$D$44),Projects!$B$44*INDEX(Curves!$B$4:$AR$4,1,5-Projects!$C$44+1),0)+IF(AND(Projects!$G$45="Yes",5&gt;=Projects!$C$45,5&lt;Projects!$C$45+Projects!$D$45),Projects!$B$45*INDEX(Curves!$B$4:$AR$4,1,5-Projects!$C$45+1),0)+IF(AND(Projects!$G$46="Yes",5&gt;=Projects!$C$46,5&lt;Projects!$C$46+Projects!$D$46),Projects!$B$46*INDEX(Curves!$B$4:$AR$4,1,5-Projects!$C$46+1),0)</f>
        <v>0</v>
      </c>
      <c r="K96" s="313" t="n">
        <f aca="false">IF(AND(Projects!$G$17="Yes",6&gt;=Projects!$C$17,6&lt;Projects!$C$17+Projects!$D$17),Projects!$B$17*INDEX(Curves!$B$4:$AR$4,1,6-Projects!$C$17+1),0)+IF(AND(Projects!$G$18="Yes",6&gt;=Projects!$C$18,6&lt;Projects!$C$18+Projects!$D$18),Projects!$B$18*INDEX(Curves!$B$4:$AR$4,1,6-Projects!$C$18+1),0)+IF(AND(Projects!$G$19="Yes",6&gt;=Projects!$C$19,6&lt;Projects!$C$19+Projects!$D$19),Projects!$B$19*INDEX(Curves!$B$4:$AR$4,1,6-Projects!$C$19+1),0)+IF(AND(Projects!$G$20="Yes",6&gt;=Projects!$C$20,6&lt;Projects!$C$20+Projects!$D$20),Projects!$B$20*INDEX(Curves!$B$4:$AR$4,1,6-Projects!$C$20+1),0)+IF(AND(Projects!$G$21="Yes",6&gt;=Projects!$C$21,6&lt;Projects!$C$21+Projects!$D$21),Projects!$B$21*INDEX(Curves!$B$4:$AR$4,1,6-Projects!$C$21+1),0)+IF(AND(Projects!$G$22="Yes",6&gt;=Projects!$C$22,6&lt;Projects!$C$22+Projects!$D$22),Projects!$B$22*INDEX(Curves!$B$4:$AR$4,1,6-Projects!$C$22+1),0)+IF(AND(Projects!$G$23="Yes",6&gt;=Projects!$C$23,6&lt;Projects!$C$23+Projects!$D$23),Projects!$B$23*INDEX(Curves!$B$4:$AR$4,1,6-Projects!$C$23+1),0)+IF(AND(Projects!$G$24="Yes",6&gt;=Projects!$C$24,6&lt;Projects!$C$24+Projects!$D$24),Projects!$B$24*INDEX(Curves!$B$4:$AR$4,1,6-Projects!$C$24+1),0)+IF(AND(Projects!$G$25="Yes",6&gt;=Projects!$C$25,6&lt;Projects!$C$25+Projects!$D$25),Projects!$B$25*INDEX(Curves!$B$4:$AR$4,1,6-Projects!$C$25+1),0)+IF(AND(Projects!$G$26="Yes",6&gt;=Projects!$C$26,6&lt;Projects!$C$26+Projects!$D$26),Projects!$B$26*INDEX(Curves!$B$4:$AR$4,1,6-Projects!$C$26+1),0)+IF(AND(Projects!$G$27="Yes",6&gt;=Projects!$C$27,6&lt;Projects!$C$27+Projects!$D$27),Projects!$B$27*INDEX(Curves!$B$4:$AR$4,1,6-Projects!$C$27+1),0)+IF(AND(Projects!$G$28="Yes",6&gt;=Projects!$C$28,6&lt;Projects!$C$28+Projects!$D$28),Projects!$B$28*INDEX(Curves!$B$4:$AR$4,1,6-Projects!$C$28+1),0)+IF(AND(Projects!$G$29="Yes",6&gt;=Projects!$C$29,6&lt;Projects!$C$29+Projects!$D$29),Projects!$B$29*INDEX(Curves!$B$4:$AR$4,1,6-Projects!$C$29+1),0)+IF(AND(Projects!$G$30="Yes",6&gt;=Projects!$C$30,6&lt;Projects!$C$30+Projects!$D$30),Projects!$B$30*INDEX(Curves!$B$4:$AR$4,1,6-Projects!$C$30+1),0)+IF(AND(Projects!$G$31="Yes",6&gt;=Projects!$C$31,6&lt;Projects!$C$31+Projects!$D$31),Projects!$B$31*INDEX(Curves!$B$4:$AR$4,1,6-Projects!$C$31+1),0)+IF(AND(Projects!$G$32="Yes",6&gt;=Projects!$C$32,6&lt;Projects!$C$32+Projects!$D$32),Projects!$B$32*INDEX(Curves!$B$4:$AR$4,1,6-Projects!$C$32+1),0)+IF(AND(Projects!$G$33="Yes",6&gt;=Projects!$C$33,6&lt;Projects!$C$33+Projects!$D$33),Projects!$B$33*INDEX(Curves!$B$4:$AR$4,1,6-Projects!$C$33+1),0)+IF(AND(Projects!$G$34="Yes",6&gt;=Projects!$C$34,6&lt;Projects!$C$34+Projects!$D$34),Projects!$B$34*INDEX(Curves!$B$4:$AR$4,1,6-Projects!$C$34+1),0)+IF(AND(Projects!$G$35="Yes",6&gt;=Projects!$C$35,6&lt;Projects!$C$35+Projects!$D$35),Projects!$B$35*INDEX(Curves!$B$4:$AR$4,1,6-Projects!$C$35+1),0)+IF(AND(Projects!$G$36="Yes",6&gt;=Projects!$C$36,6&lt;Projects!$C$36+Projects!$D$36),Projects!$B$36*INDEX(Curves!$B$4:$AR$4,1,6-Projects!$C$36+1),0)+IF(AND(Projects!$G$37="Yes",6&gt;=Projects!$C$37,6&lt;Projects!$C$37+Projects!$D$37),Projects!$B$37*INDEX(Curves!$B$4:$AR$4,1,6-Projects!$C$37+1),0)+IF(AND(Projects!$G$38="Yes",6&gt;=Projects!$C$38,6&lt;Projects!$C$38+Projects!$D$38),Projects!$B$38*INDEX(Curves!$B$4:$AR$4,1,6-Projects!$C$38+1),0)+IF(AND(Projects!$G$39="Yes",6&gt;=Projects!$C$39,6&lt;Projects!$C$39+Projects!$D$39),Projects!$B$39*INDEX(Curves!$B$4:$AR$4,1,6-Projects!$C$39+1),0)+IF(AND(Projects!$G$40="Yes",6&gt;=Projects!$C$40,6&lt;Projects!$C$40+Projects!$D$40),Projects!$B$40*INDEX(Curves!$B$4:$AR$4,1,6-Projects!$C$40+1),0)+IF(AND(Projects!$G$41="Yes",6&gt;=Projects!$C$41,6&lt;Projects!$C$41+Projects!$D$41),Projects!$B$41*INDEX(Curves!$B$4:$AR$4,1,6-Projects!$C$41+1),0)+IF(AND(Projects!$G$42="Yes",6&gt;=Projects!$C$42,6&lt;Projects!$C$42+Projects!$D$42),Projects!$B$42*INDEX(Curves!$B$4:$AR$4,1,6-Projects!$C$42+1),0)+IF(AND(Projects!$G$43="Yes",6&gt;=Projects!$C$43,6&lt;Projects!$C$43+Projects!$D$43),Projects!$B$43*INDEX(Curves!$B$4:$AR$4,1,6-Projects!$C$43+1),0)+IF(AND(Projects!$G$44="Yes",6&gt;=Projects!$C$44,6&lt;Projects!$C$44+Projects!$D$44),Projects!$B$44*INDEX(Curves!$B$4:$AR$4,1,6-Projects!$C$44+1),0)+IF(AND(Projects!$G$45="Yes",6&gt;=Projects!$C$45,6&lt;Projects!$C$45+Projects!$D$45),Projects!$B$45*INDEX(Curves!$B$4:$AR$4,1,6-Projects!$C$45+1),0)+IF(AND(Projects!$G$46="Yes",6&gt;=Projects!$C$46,6&lt;Projects!$C$46+Projects!$D$46),Projects!$B$46*INDEX(Curves!$B$4:$AR$4,1,6-Projects!$C$46+1),0)</f>
        <v>0</v>
      </c>
      <c r="L96" s="313" t="n">
        <f aca="false">IF(AND(Projects!$G$17="Yes",7&gt;=Projects!$C$17,7&lt;Projects!$C$17+Projects!$D$17),Projects!$B$17*INDEX(Curves!$B$4:$AR$4,1,7-Projects!$C$17+1),0)+IF(AND(Projects!$G$18="Yes",7&gt;=Projects!$C$18,7&lt;Projects!$C$18+Projects!$D$18),Projects!$B$18*INDEX(Curves!$B$4:$AR$4,1,7-Projects!$C$18+1),0)+IF(AND(Projects!$G$19="Yes",7&gt;=Projects!$C$19,7&lt;Projects!$C$19+Projects!$D$19),Projects!$B$19*INDEX(Curves!$B$4:$AR$4,1,7-Projects!$C$19+1),0)+IF(AND(Projects!$G$20="Yes",7&gt;=Projects!$C$20,7&lt;Projects!$C$20+Projects!$D$20),Projects!$B$20*INDEX(Curves!$B$4:$AR$4,1,7-Projects!$C$20+1),0)+IF(AND(Projects!$G$21="Yes",7&gt;=Projects!$C$21,7&lt;Projects!$C$21+Projects!$D$21),Projects!$B$21*INDEX(Curves!$B$4:$AR$4,1,7-Projects!$C$21+1),0)+IF(AND(Projects!$G$22="Yes",7&gt;=Projects!$C$22,7&lt;Projects!$C$22+Projects!$D$22),Projects!$B$22*INDEX(Curves!$B$4:$AR$4,1,7-Projects!$C$22+1),0)+IF(AND(Projects!$G$23="Yes",7&gt;=Projects!$C$23,7&lt;Projects!$C$23+Projects!$D$23),Projects!$B$23*INDEX(Curves!$B$4:$AR$4,1,7-Projects!$C$23+1),0)+IF(AND(Projects!$G$24="Yes",7&gt;=Projects!$C$24,7&lt;Projects!$C$24+Projects!$D$24),Projects!$B$24*INDEX(Curves!$B$4:$AR$4,1,7-Projects!$C$24+1),0)+IF(AND(Projects!$G$25="Yes",7&gt;=Projects!$C$25,7&lt;Projects!$C$25+Projects!$D$25),Projects!$B$25*INDEX(Curves!$B$4:$AR$4,1,7-Projects!$C$25+1),0)+IF(AND(Projects!$G$26="Yes",7&gt;=Projects!$C$26,7&lt;Projects!$C$26+Projects!$D$26),Projects!$B$26*INDEX(Curves!$B$4:$AR$4,1,7-Projects!$C$26+1),0)+IF(AND(Projects!$G$27="Yes",7&gt;=Projects!$C$27,7&lt;Projects!$C$27+Projects!$D$27),Projects!$B$27*INDEX(Curves!$B$4:$AR$4,1,7-Projects!$C$27+1),0)+IF(AND(Projects!$G$28="Yes",7&gt;=Projects!$C$28,7&lt;Projects!$C$28+Projects!$D$28),Projects!$B$28*INDEX(Curves!$B$4:$AR$4,1,7-Projects!$C$28+1),0)+IF(AND(Projects!$G$29="Yes",7&gt;=Projects!$C$29,7&lt;Projects!$C$29+Projects!$D$29),Projects!$B$29*INDEX(Curves!$B$4:$AR$4,1,7-Projects!$C$29+1),0)+IF(AND(Projects!$G$30="Yes",7&gt;=Projects!$C$30,7&lt;Projects!$C$30+Projects!$D$30),Projects!$B$30*INDEX(Curves!$B$4:$AR$4,1,7-Projects!$C$30+1),0)+IF(AND(Projects!$G$31="Yes",7&gt;=Projects!$C$31,7&lt;Projects!$C$31+Projects!$D$31),Projects!$B$31*INDEX(Curves!$B$4:$AR$4,1,7-Projects!$C$31+1),0)+IF(AND(Projects!$G$32="Yes",7&gt;=Projects!$C$32,7&lt;Projects!$C$32+Projects!$D$32),Projects!$B$32*INDEX(Curves!$B$4:$AR$4,1,7-Projects!$C$32+1),0)+IF(AND(Projects!$G$33="Yes",7&gt;=Projects!$C$33,7&lt;Projects!$C$33+Projects!$D$33),Projects!$B$33*INDEX(Curves!$B$4:$AR$4,1,7-Projects!$C$33+1),0)+IF(AND(Projects!$G$34="Yes",7&gt;=Projects!$C$34,7&lt;Projects!$C$34+Projects!$D$34),Projects!$B$34*INDEX(Curves!$B$4:$AR$4,1,7-Projects!$C$34+1),0)+IF(AND(Projects!$G$35="Yes",7&gt;=Projects!$C$35,7&lt;Projects!$C$35+Projects!$D$35),Projects!$B$35*INDEX(Curves!$B$4:$AR$4,1,7-Projects!$C$35+1),0)+IF(AND(Projects!$G$36="Yes",7&gt;=Projects!$C$36,7&lt;Projects!$C$36+Projects!$D$36),Projects!$B$36*INDEX(Curves!$B$4:$AR$4,1,7-Projects!$C$36+1),0)+IF(AND(Projects!$G$37="Yes",7&gt;=Projects!$C$37,7&lt;Projects!$C$37+Projects!$D$37),Projects!$B$37*INDEX(Curves!$B$4:$AR$4,1,7-Projects!$C$37+1),0)+IF(AND(Projects!$G$38="Yes",7&gt;=Projects!$C$38,7&lt;Projects!$C$38+Projects!$D$38),Projects!$B$38*INDEX(Curves!$B$4:$AR$4,1,7-Projects!$C$38+1),0)+IF(AND(Projects!$G$39="Yes",7&gt;=Projects!$C$39,7&lt;Projects!$C$39+Projects!$D$39),Projects!$B$39*INDEX(Curves!$B$4:$AR$4,1,7-Projects!$C$39+1),0)+IF(AND(Projects!$G$40="Yes",7&gt;=Projects!$C$40,7&lt;Projects!$C$40+Projects!$D$40),Projects!$B$40*INDEX(Curves!$B$4:$AR$4,1,7-Projects!$C$40+1),0)+IF(AND(Projects!$G$41="Yes",7&gt;=Projects!$C$41,7&lt;Projects!$C$41+Projects!$D$41),Projects!$B$41*INDEX(Curves!$B$4:$AR$4,1,7-Projects!$C$41+1),0)+IF(AND(Projects!$G$42="Yes",7&gt;=Projects!$C$42,7&lt;Projects!$C$42+Projects!$D$42),Projects!$B$42*INDEX(Curves!$B$4:$AR$4,1,7-Projects!$C$42+1),0)+IF(AND(Projects!$G$43="Yes",7&gt;=Projects!$C$43,7&lt;Projects!$C$43+Projects!$D$43),Projects!$B$43*INDEX(Curves!$B$4:$AR$4,1,7-Projects!$C$43+1),0)+IF(AND(Projects!$G$44="Yes",7&gt;=Projects!$C$44,7&lt;Projects!$C$44+Projects!$D$44),Projects!$B$44*INDEX(Curves!$B$4:$AR$4,1,7-Projects!$C$44+1),0)+IF(AND(Projects!$G$45="Yes",7&gt;=Projects!$C$45,7&lt;Projects!$C$45+Projects!$D$45),Projects!$B$45*INDEX(Curves!$B$4:$AR$4,1,7-Projects!$C$45+1),0)+IF(AND(Projects!$G$46="Yes",7&gt;=Projects!$C$46,7&lt;Projects!$C$46+Projects!$D$46),Projects!$B$46*INDEX(Curves!$B$4:$AR$4,1,7-Projects!$C$46+1),0)</f>
        <v>0</v>
      </c>
      <c r="M96" s="313" t="n">
        <f aca="false">IF(AND(Projects!$G$17="Yes",8&gt;=Projects!$C$17,8&lt;Projects!$C$17+Projects!$D$17),Projects!$B$17*INDEX(Curves!$B$4:$AR$4,1,8-Projects!$C$17+1),0)+IF(AND(Projects!$G$18="Yes",8&gt;=Projects!$C$18,8&lt;Projects!$C$18+Projects!$D$18),Projects!$B$18*INDEX(Curves!$B$4:$AR$4,1,8-Projects!$C$18+1),0)+IF(AND(Projects!$G$19="Yes",8&gt;=Projects!$C$19,8&lt;Projects!$C$19+Projects!$D$19),Projects!$B$19*INDEX(Curves!$B$4:$AR$4,1,8-Projects!$C$19+1),0)+IF(AND(Projects!$G$20="Yes",8&gt;=Projects!$C$20,8&lt;Projects!$C$20+Projects!$D$20),Projects!$B$20*INDEX(Curves!$B$4:$AR$4,1,8-Projects!$C$20+1),0)+IF(AND(Projects!$G$21="Yes",8&gt;=Projects!$C$21,8&lt;Projects!$C$21+Projects!$D$21),Projects!$B$21*INDEX(Curves!$B$4:$AR$4,1,8-Projects!$C$21+1),0)+IF(AND(Projects!$G$22="Yes",8&gt;=Projects!$C$22,8&lt;Projects!$C$22+Projects!$D$22),Projects!$B$22*INDEX(Curves!$B$4:$AR$4,1,8-Projects!$C$22+1),0)+IF(AND(Projects!$G$23="Yes",8&gt;=Projects!$C$23,8&lt;Projects!$C$23+Projects!$D$23),Projects!$B$23*INDEX(Curves!$B$4:$AR$4,1,8-Projects!$C$23+1),0)+IF(AND(Projects!$G$24="Yes",8&gt;=Projects!$C$24,8&lt;Projects!$C$24+Projects!$D$24),Projects!$B$24*INDEX(Curves!$B$4:$AR$4,1,8-Projects!$C$24+1),0)+IF(AND(Projects!$G$25="Yes",8&gt;=Projects!$C$25,8&lt;Projects!$C$25+Projects!$D$25),Projects!$B$25*INDEX(Curves!$B$4:$AR$4,1,8-Projects!$C$25+1),0)+IF(AND(Projects!$G$26="Yes",8&gt;=Projects!$C$26,8&lt;Projects!$C$26+Projects!$D$26),Projects!$B$26*INDEX(Curves!$B$4:$AR$4,1,8-Projects!$C$26+1),0)+IF(AND(Projects!$G$27="Yes",8&gt;=Projects!$C$27,8&lt;Projects!$C$27+Projects!$D$27),Projects!$B$27*INDEX(Curves!$B$4:$AR$4,1,8-Projects!$C$27+1),0)+IF(AND(Projects!$G$28="Yes",8&gt;=Projects!$C$28,8&lt;Projects!$C$28+Projects!$D$28),Projects!$B$28*INDEX(Curves!$B$4:$AR$4,1,8-Projects!$C$28+1),0)+IF(AND(Projects!$G$29="Yes",8&gt;=Projects!$C$29,8&lt;Projects!$C$29+Projects!$D$29),Projects!$B$29*INDEX(Curves!$B$4:$AR$4,1,8-Projects!$C$29+1),0)+IF(AND(Projects!$G$30="Yes",8&gt;=Projects!$C$30,8&lt;Projects!$C$30+Projects!$D$30),Projects!$B$30*INDEX(Curves!$B$4:$AR$4,1,8-Projects!$C$30+1),0)+IF(AND(Projects!$G$31="Yes",8&gt;=Projects!$C$31,8&lt;Projects!$C$31+Projects!$D$31),Projects!$B$31*INDEX(Curves!$B$4:$AR$4,1,8-Projects!$C$31+1),0)+IF(AND(Projects!$G$32="Yes",8&gt;=Projects!$C$32,8&lt;Projects!$C$32+Projects!$D$32),Projects!$B$32*INDEX(Curves!$B$4:$AR$4,1,8-Projects!$C$32+1),0)+IF(AND(Projects!$G$33="Yes",8&gt;=Projects!$C$33,8&lt;Projects!$C$33+Projects!$D$33),Projects!$B$33*INDEX(Curves!$B$4:$AR$4,1,8-Projects!$C$33+1),0)+IF(AND(Projects!$G$34="Yes",8&gt;=Projects!$C$34,8&lt;Projects!$C$34+Projects!$D$34),Projects!$B$34*INDEX(Curves!$B$4:$AR$4,1,8-Projects!$C$34+1),0)+IF(AND(Projects!$G$35="Yes",8&gt;=Projects!$C$35,8&lt;Projects!$C$35+Projects!$D$35),Projects!$B$35*INDEX(Curves!$B$4:$AR$4,1,8-Projects!$C$35+1),0)+IF(AND(Projects!$G$36="Yes",8&gt;=Projects!$C$36,8&lt;Projects!$C$36+Projects!$D$36),Projects!$B$36*INDEX(Curves!$B$4:$AR$4,1,8-Projects!$C$36+1),0)+IF(AND(Projects!$G$37="Yes",8&gt;=Projects!$C$37,8&lt;Projects!$C$37+Projects!$D$37),Projects!$B$37*INDEX(Curves!$B$4:$AR$4,1,8-Projects!$C$37+1),0)+IF(AND(Projects!$G$38="Yes",8&gt;=Projects!$C$38,8&lt;Projects!$C$38+Projects!$D$38),Projects!$B$38*INDEX(Curves!$B$4:$AR$4,1,8-Projects!$C$38+1),0)+IF(AND(Projects!$G$39="Yes",8&gt;=Projects!$C$39,8&lt;Projects!$C$39+Projects!$D$39),Projects!$B$39*INDEX(Curves!$B$4:$AR$4,1,8-Projects!$C$39+1),0)+IF(AND(Projects!$G$40="Yes",8&gt;=Projects!$C$40,8&lt;Projects!$C$40+Projects!$D$40),Projects!$B$40*INDEX(Curves!$B$4:$AR$4,1,8-Projects!$C$40+1),0)+IF(AND(Projects!$G$41="Yes",8&gt;=Projects!$C$41,8&lt;Projects!$C$41+Projects!$D$41),Projects!$B$41*INDEX(Curves!$B$4:$AR$4,1,8-Projects!$C$41+1),0)+IF(AND(Projects!$G$42="Yes",8&gt;=Projects!$C$42,8&lt;Projects!$C$42+Projects!$D$42),Projects!$B$42*INDEX(Curves!$B$4:$AR$4,1,8-Projects!$C$42+1),0)+IF(AND(Projects!$G$43="Yes",8&gt;=Projects!$C$43,8&lt;Projects!$C$43+Projects!$D$43),Projects!$B$43*INDEX(Curves!$B$4:$AR$4,1,8-Projects!$C$43+1),0)+IF(AND(Projects!$G$44="Yes",8&gt;=Projects!$C$44,8&lt;Projects!$C$44+Projects!$D$44),Projects!$B$44*INDEX(Curves!$B$4:$AR$4,1,8-Projects!$C$44+1),0)+IF(AND(Projects!$G$45="Yes",8&gt;=Projects!$C$45,8&lt;Projects!$C$45+Projects!$D$45),Projects!$B$45*INDEX(Curves!$B$4:$AR$4,1,8-Projects!$C$45+1),0)+IF(AND(Projects!$G$46="Yes",8&gt;=Projects!$C$46,8&lt;Projects!$C$46+Projects!$D$46),Projects!$B$46*INDEX(Curves!$B$4:$AR$4,1,8-Projects!$C$46+1),0)</f>
        <v>0</v>
      </c>
      <c r="N96" s="313" t="n">
        <f aca="false">IF(AND(Projects!$G$17="Yes",9&gt;=Projects!$C$17,9&lt;Projects!$C$17+Projects!$D$17),Projects!$B$17*INDEX(Curves!$B$4:$AR$4,1,9-Projects!$C$17+1),0)+IF(AND(Projects!$G$18="Yes",9&gt;=Projects!$C$18,9&lt;Projects!$C$18+Projects!$D$18),Projects!$B$18*INDEX(Curves!$B$4:$AR$4,1,9-Projects!$C$18+1),0)+IF(AND(Projects!$G$19="Yes",9&gt;=Projects!$C$19,9&lt;Projects!$C$19+Projects!$D$19),Projects!$B$19*INDEX(Curves!$B$4:$AR$4,1,9-Projects!$C$19+1),0)+IF(AND(Projects!$G$20="Yes",9&gt;=Projects!$C$20,9&lt;Projects!$C$20+Projects!$D$20),Projects!$B$20*INDEX(Curves!$B$4:$AR$4,1,9-Projects!$C$20+1),0)+IF(AND(Projects!$G$21="Yes",9&gt;=Projects!$C$21,9&lt;Projects!$C$21+Projects!$D$21),Projects!$B$21*INDEX(Curves!$B$4:$AR$4,1,9-Projects!$C$21+1),0)+IF(AND(Projects!$G$22="Yes",9&gt;=Projects!$C$22,9&lt;Projects!$C$22+Projects!$D$22),Projects!$B$22*INDEX(Curves!$B$4:$AR$4,1,9-Projects!$C$22+1),0)+IF(AND(Projects!$G$23="Yes",9&gt;=Projects!$C$23,9&lt;Projects!$C$23+Projects!$D$23),Projects!$B$23*INDEX(Curves!$B$4:$AR$4,1,9-Projects!$C$23+1),0)+IF(AND(Projects!$G$24="Yes",9&gt;=Projects!$C$24,9&lt;Projects!$C$24+Projects!$D$24),Projects!$B$24*INDEX(Curves!$B$4:$AR$4,1,9-Projects!$C$24+1),0)+IF(AND(Projects!$G$25="Yes",9&gt;=Projects!$C$25,9&lt;Projects!$C$25+Projects!$D$25),Projects!$B$25*INDEX(Curves!$B$4:$AR$4,1,9-Projects!$C$25+1),0)+IF(AND(Projects!$G$26="Yes",9&gt;=Projects!$C$26,9&lt;Projects!$C$26+Projects!$D$26),Projects!$B$26*INDEX(Curves!$B$4:$AR$4,1,9-Projects!$C$26+1),0)+IF(AND(Projects!$G$27="Yes",9&gt;=Projects!$C$27,9&lt;Projects!$C$27+Projects!$D$27),Projects!$B$27*INDEX(Curves!$B$4:$AR$4,1,9-Projects!$C$27+1),0)+IF(AND(Projects!$G$28="Yes",9&gt;=Projects!$C$28,9&lt;Projects!$C$28+Projects!$D$28),Projects!$B$28*INDEX(Curves!$B$4:$AR$4,1,9-Projects!$C$28+1),0)+IF(AND(Projects!$G$29="Yes",9&gt;=Projects!$C$29,9&lt;Projects!$C$29+Projects!$D$29),Projects!$B$29*INDEX(Curves!$B$4:$AR$4,1,9-Projects!$C$29+1),0)+IF(AND(Projects!$G$30="Yes",9&gt;=Projects!$C$30,9&lt;Projects!$C$30+Projects!$D$30),Projects!$B$30*INDEX(Curves!$B$4:$AR$4,1,9-Projects!$C$30+1),0)+IF(AND(Projects!$G$31="Yes",9&gt;=Projects!$C$31,9&lt;Projects!$C$31+Projects!$D$31),Projects!$B$31*INDEX(Curves!$B$4:$AR$4,1,9-Projects!$C$31+1),0)+IF(AND(Projects!$G$32="Yes",9&gt;=Projects!$C$32,9&lt;Projects!$C$32+Projects!$D$32),Projects!$B$32*INDEX(Curves!$B$4:$AR$4,1,9-Projects!$C$32+1),0)+IF(AND(Projects!$G$33="Yes",9&gt;=Projects!$C$33,9&lt;Projects!$C$33+Projects!$D$33),Projects!$B$33*INDEX(Curves!$B$4:$AR$4,1,9-Projects!$C$33+1),0)+IF(AND(Projects!$G$34="Yes",9&gt;=Projects!$C$34,9&lt;Projects!$C$34+Projects!$D$34),Projects!$B$34*INDEX(Curves!$B$4:$AR$4,1,9-Projects!$C$34+1),0)+IF(AND(Projects!$G$35="Yes",9&gt;=Projects!$C$35,9&lt;Projects!$C$35+Projects!$D$35),Projects!$B$35*INDEX(Curves!$B$4:$AR$4,1,9-Projects!$C$35+1),0)+IF(AND(Projects!$G$36="Yes",9&gt;=Projects!$C$36,9&lt;Projects!$C$36+Projects!$D$36),Projects!$B$36*INDEX(Curves!$B$4:$AR$4,1,9-Projects!$C$36+1),0)+IF(AND(Projects!$G$37="Yes",9&gt;=Projects!$C$37,9&lt;Projects!$C$37+Projects!$D$37),Projects!$B$37*INDEX(Curves!$B$4:$AR$4,1,9-Projects!$C$37+1),0)+IF(AND(Projects!$G$38="Yes",9&gt;=Projects!$C$38,9&lt;Projects!$C$38+Projects!$D$38),Projects!$B$38*INDEX(Curves!$B$4:$AR$4,1,9-Projects!$C$38+1),0)+IF(AND(Projects!$G$39="Yes",9&gt;=Projects!$C$39,9&lt;Projects!$C$39+Projects!$D$39),Projects!$B$39*INDEX(Curves!$B$4:$AR$4,1,9-Projects!$C$39+1),0)+IF(AND(Projects!$G$40="Yes",9&gt;=Projects!$C$40,9&lt;Projects!$C$40+Projects!$D$40),Projects!$B$40*INDEX(Curves!$B$4:$AR$4,1,9-Projects!$C$40+1),0)+IF(AND(Projects!$G$41="Yes",9&gt;=Projects!$C$41,9&lt;Projects!$C$41+Projects!$D$41),Projects!$B$41*INDEX(Curves!$B$4:$AR$4,1,9-Projects!$C$41+1),0)+IF(AND(Projects!$G$42="Yes",9&gt;=Projects!$C$42,9&lt;Projects!$C$42+Projects!$D$42),Projects!$B$42*INDEX(Curves!$B$4:$AR$4,1,9-Projects!$C$42+1),0)+IF(AND(Projects!$G$43="Yes",9&gt;=Projects!$C$43,9&lt;Projects!$C$43+Projects!$D$43),Projects!$B$43*INDEX(Curves!$B$4:$AR$4,1,9-Projects!$C$43+1),0)+IF(AND(Projects!$G$44="Yes",9&gt;=Projects!$C$44,9&lt;Projects!$C$44+Projects!$D$44),Projects!$B$44*INDEX(Curves!$B$4:$AR$4,1,9-Projects!$C$44+1),0)+IF(AND(Projects!$G$45="Yes",9&gt;=Projects!$C$45,9&lt;Projects!$C$45+Projects!$D$45),Projects!$B$45*INDEX(Curves!$B$4:$AR$4,1,9-Projects!$C$45+1),0)+IF(AND(Projects!$G$46="Yes",9&gt;=Projects!$C$46,9&lt;Projects!$C$46+Projects!$D$46),Projects!$B$46*INDEX(Curves!$B$4:$AR$4,1,9-Projects!$C$46+1),0)</f>
        <v>0</v>
      </c>
      <c r="O96" s="313" t="n">
        <f aca="false">IF(AND(Projects!$G$17="Yes",10&gt;=Projects!$C$17,10&lt;Projects!$C$17+Projects!$D$17),Projects!$B$17*INDEX(Curves!$B$4:$AR$4,1,10-Projects!$C$17+1),0)+IF(AND(Projects!$G$18="Yes",10&gt;=Projects!$C$18,10&lt;Projects!$C$18+Projects!$D$18),Projects!$B$18*INDEX(Curves!$B$4:$AR$4,1,10-Projects!$C$18+1),0)+IF(AND(Projects!$G$19="Yes",10&gt;=Projects!$C$19,10&lt;Projects!$C$19+Projects!$D$19),Projects!$B$19*INDEX(Curves!$B$4:$AR$4,1,10-Projects!$C$19+1),0)+IF(AND(Projects!$G$20="Yes",10&gt;=Projects!$C$20,10&lt;Projects!$C$20+Projects!$D$20),Projects!$B$20*INDEX(Curves!$B$4:$AR$4,1,10-Projects!$C$20+1),0)+IF(AND(Projects!$G$21="Yes",10&gt;=Projects!$C$21,10&lt;Projects!$C$21+Projects!$D$21),Projects!$B$21*INDEX(Curves!$B$4:$AR$4,1,10-Projects!$C$21+1),0)+IF(AND(Projects!$G$22="Yes",10&gt;=Projects!$C$22,10&lt;Projects!$C$22+Projects!$D$22),Projects!$B$22*INDEX(Curves!$B$4:$AR$4,1,10-Projects!$C$22+1),0)+IF(AND(Projects!$G$23="Yes",10&gt;=Projects!$C$23,10&lt;Projects!$C$23+Projects!$D$23),Projects!$B$23*INDEX(Curves!$B$4:$AR$4,1,10-Projects!$C$23+1),0)+IF(AND(Projects!$G$24="Yes",10&gt;=Projects!$C$24,10&lt;Projects!$C$24+Projects!$D$24),Projects!$B$24*INDEX(Curves!$B$4:$AR$4,1,10-Projects!$C$24+1),0)+IF(AND(Projects!$G$25="Yes",10&gt;=Projects!$C$25,10&lt;Projects!$C$25+Projects!$D$25),Projects!$B$25*INDEX(Curves!$B$4:$AR$4,1,10-Projects!$C$25+1),0)+IF(AND(Projects!$G$26="Yes",10&gt;=Projects!$C$26,10&lt;Projects!$C$26+Projects!$D$26),Projects!$B$26*INDEX(Curves!$B$4:$AR$4,1,10-Projects!$C$26+1),0)+IF(AND(Projects!$G$27="Yes",10&gt;=Projects!$C$27,10&lt;Projects!$C$27+Projects!$D$27),Projects!$B$27*INDEX(Curves!$B$4:$AR$4,1,10-Projects!$C$27+1),0)+IF(AND(Projects!$G$28="Yes",10&gt;=Projects!$C$28,10&lt;Projects!$C$28+Projects!$D$28),Projects!$B$28*INDEX(Curves!$B$4:$AR$4,1,10-Projects!$C$28+1),0)+IF(AND(Projects!$G$29="Yes",10&gt;=Projects!$C$29,10&lt;Projects!$C$29+Projects!$D$29),Projects!$B$29*INDEX(Curves!$B$4:$AR$4,1,10-Projects!$C$29+1),0)+IF(AND(Projects!$G$30="Yes",10&gt;=Projects!$C$30,10&lt;Projects!$C$30+Projects!$D$30),Projects!$B$30*INDEX(Curves!$B$4:$AR$4,1,10-Projects!$C$30+1),0)+IF(AND(Projects!$G$31="Yes",10&gt;=Projects!$C$31,10&lt;Projects!$C$31+Projects!$D$31),Projects!$B$31*INDEX(Curves!$B$4:$AR$4,1,10-Projects!$C$31+1),0)+IF(AND(Projects!$G$32="Yes",10&gt;=Projects!$C$32,10&lt;Projects!$C$32+Projects!$D$32),Projects!$B$32*INDEX(Curves!$B$4:$AR$4,1,10-Projects!$C$32+1),0)+IF(AND(Projects!$G$33="Yes",10&gt;=Projects!$C$33,10&lt;Projects!$C$33+Projects!$D$33),Projects!$B$33*INDEX(Curves!$B$4:$AR$4,1,10-Projects!$C$33+1),0)+IF(AND(Projects!$G$34="Yes",10&gt;=Projects!$C$34,10&lt;Projects!$C$34+Projects!$D$34),Projects!$B$34*INDEX(Curves!$B$4:$AR$4,1,10-Projects!$C$34+1),0)+IF(AND(Projects!$G$35="Yes",10&gt;=Projects!$C$35,10&lt;Projects!$C$35+Projects!$D$35),Projects!$B$35*INDEX(Curves!$B$4:$AR$4,1,10-Projects!$C$35+1),0)+IF(AND(Projects!$G$36="Yes",10&gt;=Projects!$C$36,10&lt;Projects!$C$36+Projects!$D$36),Projects!$B$36*INDEX(Curves!$B$4:$AR$4,1,10-Projects!$C$36+1),0)+IF(AND(Projects!$G$37="Yes",10&gt;=Projects!$C$37,10&lt;Projects!$C$37+Projects!$D$37),Projects!$B$37*INDEX(Curves!$B$4:$AR$4,1,10-Projects!$C$37+1),0)+IF(AND(Projects!$G$38="Yes",10&gt;=Projects!$C$38,10&lt;Projects!$C$38+Projects!$D$38),Projects!$B$38*INDEX(Curves!$B$4:$AR$4,1,10-Projects!$C$38+1),0)+IF(AND(Projects!$G$39="Yes",10&gt;=Projects!$C$39,10&lt;Projects!$C$39+Projects!$D$39),Projects!$B$39*INDEX(Curves!$B$4:$AR$4,1,10-Projects!$C$39+1),0)+IF(AND(Projects!$G$40="Yes",10&gt;=Projects!$C$40,10&lt;Projects!$C$40+Projects!$D$40),Projects!$B$40*INDEX(Curves!$B$4:$AR$4,1,10-Projects!$C$40+1),0)+IF(AND(Projects!$G$41="Yes",10&gt;=Projects!$C$41,10&lt;Projects!$C$41+Projects!$D$41),Projects!$B$41*INDEX(Curves!$B$4:$AR$4,1,10-Projects!$C$41+1),0)+IF(AND(Projects!$G$42="Yes",10&gt;=Projects!$C$42,10&lt;Projects!$C$42+Projects!$D$42),Projects!$B$42*INDEX(Curves!$B$4:$AR$4,1,10-Projects!$C$42+1),0)+IF(AND(Projects!$G$43="Yes",10&gt;=Projects!$C$43,10&lt;Projects!$C$43+Projects!$D$43),Projects!$B$43*INDEX(Curves!$B$4:$AR$4,1,10-Projects!$C$43+1),0)+IF(AND(Projects!$G$44="Yes",10&gt;=Projects!$C$44,10&lt;Projects!$C$44+Projects!$D$44),Projects!$B$44*INDEX(Curves!$B$4:$AR$4,1,10-Projects!$C$44+1),0)+IF(AND(Projects!$G$45="Yes",10&gt;=Projects!$C$45,10&lt;Projects!$C$45+Projects!$D$45),Projects!$B$45*INDEX(Curves!$B$4:$AR$4,1,10-Projects!$C$45+1),0)+IF(AND(Projects!$G$46="Yes",10&gt;=Projects!$C$46,10&lt;Projects!$C$46+Projects!$D$46),Projects!$B$46*INDEX(Curves!$B$4:$AR$4,1,10-Projects!$C$46+1),0)</f>
        <v>402780.20352375</v>
      </c>
      <c r="P96" s="313" t="n">
        <f aca="false">IF(AND(Projects!$G$17="Yes",11&gt;=Projects!$C$17,11&lt;Projects!$C$17+Projects!$D$17),Projects!$B$17*INDEX(Curves!$B$4:$AR$4,1,11-Projects!$C$17+1),0)+IF(AND(Projects!$G$18="Yes",11&gt;=Projects!$C$18,11&lt;Projects!$C$18+Projects!$D$18),Projects!$B$18*INDEX(Curves!$B$4:$AR$4,1,11-Projects!$C$18+1),0)+IF(AND(Projects!$G$19="Yes",11&gt;=Projects!$C$19,11&lt;Projects!$C$19+Projects!$D$19),Projects!$B$19*INDEX(Curves!$B$4:$AR$4,1,11-Projects!$C$19+1),0)+IF(AND(Projects!$G$20="Yes",11&gt;=Projects!$C$20,11&lt;Projects!$C$20+Projects!$D$20),Projects!$B$20*INDEX(Curves!$B$4:$AR$4,1,11-Projects!$C$20+1),0)+IF(AND(Projects!$G$21="Yes",11&gt;=Projects!$C$21,11&lt;Projects!$C$21+Projects!$D$21),Projects!$B$21*INDEX(Curves!$B$4:$AR$4,1,11-Projects!$C$21+1),0)+IF(AND(Projects!$G$22="Yes",11&gt;=Projects!$C$22,11&lt;Projects!$C$22+Projects!$D$22),Projects!$B$22*INDEX(Curves!$B$4:$AR$4,1,11-Projects!$C$22+1),0)+IF(AND(Projects!$G$23="Yes",11&gt;=Projects!$C$23,11&lt;Projects!$C$23+Projects!$D$23),Projects!$B$23*INDEX(Curves!$B$4:$AR$4,1,11-Projects!$C$23+1),0)+IF(AND(Projects!$G$24="Yes",11&gt;=Projects!$C$24,11&lt;Projects!$C$24+Projects!$D$24),Projects!$B$24*INDEX(Curves!$B$4:$AR$4,1,11-Projects!$C$24+1),0)+IF(AND(Projects!$G$25="Yes",11&gt;=Projects!$C$25,11&lt;Projects!$C$25+Projects!$D$25),Projects!$B$25*INDEX(Curves!$B$4:$AR$4,1,11-Projects!$C$25+1),0)+IF(AND(Projects!$G$26="Yes",11&gt;=Projects!$C$26,11&lt;Projects!$C$26+Projects!$D$26),Projects!$B$26*INDEX(Curves!$B$4:$AR$4,1,11-Projects!$C$26+1),0)+IF(AND(Projects!$G$27="Yes",11&gt;=Projects!$C$27,11&lt;Projects!$C$27+Projects!$D$27),Projects!$B$27*INDEX(Curves!$B$4:$AR$4,1,11-Projects!$C$27+1),0)+IF(AND(Projects!$G$28="Yes",11&gt;=Projects!$C$28,11&lt;Projects!$C$28+Projects!$D$28),Projects!$B$28*INDEX(Curves!$B$4:$AR$4,1,11-Projects!$C$28+1),0)+IF(AND(Projects!$G$29="Yes",11&gt;=Projects!$C$29,11&lt;Projects!$C$29+Projects!$D$29),Projects!$B$29*INDEX(Curves!$B$4:$AR$4,1,11-Projects!$C$29+1),0)+IF(AND(Projects!$G$30="Yes",11&gt;=Projects!$C$30,11&lt;Projects!$C$30+Projects!$D$30),Projects!$B$30*INDEX(Curves!$B$4:$AR$4,1,11-Projects!$C$30+1),0)+IF(AND(Projects!$G$31="Yes",11&gt;=Projects!$C$31,11&lt;Projects!$C$31+Projects!$D$31),Projects!$B$31*INDEX(Curves!$B$4:$AR$4,1,11-Projects!$C$31+1),0)+IF(AND(Projects!$G$32="Yes",11&gt;=Projects!$C$32,11&lt;Projects!$C$32+Projects!$D$32),Projects!$B$32*INDEX(Curves!$B$4:$AR$4,1,11-Projects!$C$32+1),0)+IF(AND(Projects!$G$33="Yes",11&gt;=Projects!$C$33,11&lt;Projects!$C$33+Projects!$D$33),Projects!$B$33*INDEX(Curves!$B$4:$AR$4,1,11-Projects!$C$33+1),0)+IF(AND(Projects!$G$34="Yes",11&gt;=Projects!$C$34,11&lt;Projects!$C$34+Projects!$D$34),Projects!$B$34*INDEX(Curves!$B$4:$AR$4,1,11-Projects!$C$34+1),0)+IF(AND(Projects!$G$35="Yes",11&gt;=Projects!$C$35,11&lt;Projects!$C$35+Projects!$D$35),Projects!$B$35*INDEX(Curves!$B$4:$AR$4,1,11-Projects!$C$35+1),0)+IF(AND(Projects!$G$36="Yes",11&gt;=Projects!$C$36,11&lt;Projects!$C$36+Projects!$D$36),Projects!$B$36*INDEX(Curves!$B$4:$AR$4,1,11-Projects!$C$36+1),0)+IF(AND(Projects!$G$37="Yes",11&gt;=Projects!$C$37,11&lt;Projects!$C$37+Projects!$D$37),Projects!$B$37*INDEX(Curves!$B$4:$AR$4,1,11-Projects!$C$37+1),0)+IF(AND(Projects!$G$38="Yes",11&gt;=Projects!$C$38,11&lt;Projects!$C$38+Projects!$D$38),Projects!$B$38*INDEX(Curves!$B$4:$AR$4,1,11-Projects!$C$38+1),0)+IF(AND(Projects!$G$39="Yes",11&gt;=Projects!$C$39,11&lt;Projects!$C$39+Projects!$D$39),Projects!$B$39*INDEX(Curves!$B$4:$AR$4,1,11-Projects!$C$39+1),0)+IF(AND(Projects!$G$40="Yes",11&gt;=Projects!$C$40,11&lt;Projects!$C$40+Projects!$D$40),Projects!$B$40*INDEX(Curves!$B$4:$AR$4,1,11-Projects!$C$40+1),0)+IF(AND(Projects!$G$41="Yes",11&gt;=Projects!$C$41,11&lt;Projects!$C$41+Projects!$D$41),Projects!$B$41*INDEX(Curves!$B$4:$AR$4,1,11-Projects!$C$41+1),0)+IF(AND(Projects!$G$42="Yes",11&gt;=Projects!$C$42,11&lt;Projects!$C$42+Projects!$D$42),Projects!$B$42*INDEX(Curves!$B$4:$AR$4,1,11-Projects!$C$42+1),0)+IF(AND(Projects!$G$43="Yes",11&gt;=Projects!$C$43,11&lt;Projects!$C$43+Projects!$D$43),Projects!$B$43*INDEX(Curves!$B$4:$AR$4,1,11-Projects!$C$43+1),0)+IF(AND(Projects!$G$44="Yes",11&gt;=Projects!$C$44,11&lt;Projects!$C$44+Projects!$D$44),Projects!$B$44*INDEX(Curves!$B$4:$AR$4,1,11-Projects!$C$44+1),0)+IF(AND(Projects!$G$45="Yes",11&gt;=Projects!$C$45,11&lt;Projects!$C$45+Projects!$D$45),Projects!$B$45*INDEX(Curves!$B$4:$AR$4,1,11-Projects!$C$45+1),0)+IF(AND(Projects!$G$46="Yes",11&gt;=Projects!$C$46,11&lt;Projects!$C$46+Projects!$D$46),Projects!$B$46*INDEX(Curves!$B$4:$AR$4,1,11-Projects!$C$46+1),0)</f>
        <v>497623.49615875</v>
      </c>
      <c r="Q96" s="313" t="n">
        <f aca="false">IF(AND(Projects!$G$17="Yes",12&gt;=Projects!$C$17,12&lt;Projects!$C$17+Projects!$D$17),Projects!$B$17*INDEX(Curves!$B$4:$AR$4,1,12-Projects!$C$17+1),0)+IF(AND(Projects!$G$18="Yes",12&gt;=Projects!$C$18,12&lt;Projects!$C$18+Projects!$D$18),Projects!$B$18*INDEX(Curves!$B$4:$AR$4,1,12-Projects!$C$18+1),0)+IF(AND(Projects!$G$19="Yes",12&gt;=Projects!$C$19,12&lt;Projects!$C$19+Projects!$D$19),Projects!$B$19*INDEX(Curves!$B$4:$AR$4,1,12-Projects!$C$19+1),0)+IF(AND(Projects!$G$20="Yes",12&gt;=Projects!$C$20,12&lt;Projects!$C$20+Projects!$D$20),Projects!$B$20*INDEX(Curves!$B$4:$AR$4,1,12-Projects!$C$20+1),0)+IF(AND(Projects!$G$21="Yes",12&gt;=Projects!$C$21,12&lt;Projects!$C$21+Projects!$D$21),Projects!$B$21*INDEX(Curves!$B$4:$AR$4,1,12-Projects!$C$21+1),0)+IF(AND(Projects!$G$22="Yes",12&gt;=Projects!$C$22,12&lt;Projects!$C$22+Projects!$D$22),Projects!$B$22*INDEX(Curves!$B$4:$AR$4,1,12-Projects!$C$22+1),0)+IF(AND(Projects!$G$23="Yes",12&gt;=Projects!$C$23,12&lt;Projects!$C$23+Projects!$D$23),Projects!$B$23*INDEX(Curves!$B$4:$AR$4,1,12-Projects!$C$23+1),0)+IF(AND(Projects!$G$24="Yes",12&gt;=Projects!$C$24,12&lt;Projects!$C$24+Projects!$D$24),Projects!$B$24*INDEX(Curves!$B$4:$AR$4,1,12-Projects!$C$24+1),0)+IF(AND(Projects!$G$25="Yes",12&gt;=Projects!$C$25,12&lt;Projects!$C$25+Projects!$D$25),Projects!$B$25*INDEX(Curves!$B$4:$AR$4,1,12-Projects!$C$25+1),0)+IF(AND(Projects!$G$26="Yes",12&gt;=Projects!$C$26,12&lt;Projects!$C$26+Projects!$D$26),Projects!$B$26*INDEX(Curves!$B$4:$AR$4,1,12-Projects!$C$26+1),0)+IF(AND(Projects!$G$27="Yes",12&gt;=Projects!$C$27,12&lt;Projects!$C$27+Projects!$D$27),Projects!$B$27*INDEX(Curves!$B$4:$AR$4,1,12-Projects!$C$27+1),0)+IF(AND(Projects!$G$28="Yes",12&gt;=Projects!$C$28,12&lt;Projects!$C$28+Projects!$D$28),Projects!$B$28*INDEX(Curves!$B$4:$AR$4,1,12-Projects!$C$28+1),0)+IF(AND(Projects!$G$29="Yes",12&gt;=Projects!$C$29,12&lt;Projects!$C$29+Projects!$D$29),Projects!$B$29*INDEX(Curves!$B$4:$AR$4,1,12-Projects!$C$29+1),0)+IF(AND(Projects!$G$30="Yes",12&gt;=Projects!$C$30,12&lt;Projects!$C$30+Projects!$D$30),Projects!$B$30*INDEX(Curves!$B$4:$AR$4,1,12-Projects!$C$30+1),0)+IF(AND(Projects!$G$31="Yes",12&gt;=Projects!$C$31,12&lt;Projects!$C$31+Projects!$D$31),Projects!$B$31*INDEX(Curves!$B$4:$AR$4,1,12-Projects!$C$31+1),0)+IF(AND(Projects!$G$32="Yes",12&gt;=Projects!$C$32,12&lt;Projects!$C$32+Projects!$D$32),Projects!$B$32*INDEX(Curves!$B$4:$AR$4,1,12-Projects!$C$32+1),0)+IF(AND(Projects!$G$33="Yes",12&gt;=Projects!$C$33,12&lt;Projects!$C$33+Projects!$D$33),Projects!$B$33*INDEX(Curves!$B$4:$AR$4,1,12-Projects!$C$33+1),0)+IF(AND(Projects!$G$34="Yes",12&gt;=Projects!$C$34,12&lt;Projects!$C$34+Projects!$D$34),Projects!$B$34*INDEX(Curves!$B$4:$AR$4,1,12-Projects!$C$34+1),0)+IF(AND(Projects!$G$35="Yes",12&gt;=Projects!$C$35,12&lt;Projects!$C$35+Projects!$D$35),Projects!$B$35*INDEX(Curves!$B$4:$AR$4,1,12-Projects!$C$35+1),0)+IF(AND(Projects!$G$36="Yes",12&gt;=Projects!$C$36,12&lt;Projects!$C$36+Projects!$D$36),Projects!$B$36*INDEX(Curves!$B$4:$AR$4,1,12-Projects!$C$36+1),0)+IF(AND(Projects!$G$37="Yes",12&gt;=Projects!$C$37,12&lt;Projects!$C$37+Projects!$D$37),Projects!$B$37*INDEX(Curves!$B$4:$AR$4,1,12-Projects!$C$37+1),0)+IF(AND(Projects!$G$38="Yes",12&gt;=Projects!$C$38,12&lt;Projects!$C$38+Projects!$D$38),Projects!$B$38*INDEX(Curves!$B$4:$AR$4,1,12-Projects!$C$38+1),0)+IF(AND(Projects!$G$39="Yes",12&gt;=Projects!$C$39,12&lt;Projects!$C$39+Projects!$D$39),Projects!$B$39*INDEX(Curves!$B$4:$AR$4,1,12-Projects!$C$39+1),0)+IF(AND(Projects!$G$40="Yes",12&gt;=Projects!$C$40,12&lt;Projects!$C$40+Projects!$D$40),Projects!$B$40*INDEX(Curves!$B$4:$AR$4,1,12-Projects!$C$40+1),0)+IF(AND(Projects!$G$41="Yes",12&gt;=Projects!$C$41,12&lt;Projects!$C$41+Projects!$D$41),Projects!$B$41*INDEX(Curves!$B$4:$AR$4,1,12-Projects!$C$41+1),0)+IF(AND(Projects!$G$42="Yes",12&gt;=Projects!$C$42,12&lt;Projects!$C$42+Projects!$D$42),Projects!$B$42*INDEX(Curves!$B$4:$AR$4,1,12-Projects!$C$42+1),0)+IF(AND(Projects!$G$43="Yes",12&gt;=Projects!$C$43,12&lt;Projects!$C$43+Projects!$D$43),Projects!$B$43*INDEX(Curves!$B$4:$AR$4,1,12-Projects!$C$43+1),0)+IF(AND(Projects!$G$44="Yes",12&gt;=Projects!$C$44,12&lt;Projects!$C$44+Projects!$D$44),Projects!$B$44*INDEX(Curves!$B$4:$AR$4,1,12-Projects!$C$44+1),0)+IF(AND(Projects!$G$45="Yes",12&gt;=Projects!$C$45,12&lt;Projects!$C$45+Projects!$D$45),Projects!$B$45*INDEX(Curves!$B$4:$AR$4,1,12-Projects!$C$45+1),0)+IF(AND(Projects!$G$46="Yes",12&gt;=Projects!$C$46,12&lt;Projects!$C$46+Projects!$D$46),Projects!$B$46*INDEX(Curves!$B$4:$AR$4,1,12-Projects!$C$46+1),0)</f>
        <v>599712.1844675</v>
      </c>
      <c r="R96" s="313" t="n">
        <f aca="false">IF(AND(Projects!$G$17="Yes",13&gt;=Projects!$C$17,13&lt;Projects!$C$17+Projects!$D$17),Projects!$B$17*INDEX(Curves!$B$4:$AR$4,1,13-Projects!$C$17+1),0)+IF(AND(Projects!$G$18="Yes",13&gt;=Projects!$C$18,13&lt;Projects!$C$18+Projects!$D$18),Projects!$B$18*INDEX(Curves!$B$4:$AR$4,1,13-Projects!$C$18+1),0)+IF(AND(Projects!$G$19="Yes",13&gt;=Projects!$C$19,13&lt;Projects!$C$19+Projects!$D$19),Projects!$B$19*INDEX(Curves!$B$4:$AR$4,1,13-Projects!$C$19+1),0)+IF(AND(Projects!$G$20="Yes",13&gt;=Projects!$C$20,13&lt;Projects!$C$20+Projects!$D$20),Projects!$B$20*INDEX(Curves!$B$4:$AR$4,1,13-Projects!$C$20+1),0)+IF(AND(Projects!$G$21="Yes",13&gt;=Projects!$C$21,13&lt;Projects!$C$21+Projects!$D$21),Projects!$B$21*INDEX(Curves!$B$4:$AR$4,1,13-Projects!$C$21+1),0)+IF(AND(Projects!$G$22="Yes",13&gt;=Projects!$C$22,13&lt;Projects!$C$22+Projects!$D$22),Projects!$B$22*INDEX(Curves!$B$4:$AR$4,1,13-Projects!$C$22+1),0)+IF(AND(Projects!$G$23="Yes",13&gt;=Projects!$C$23,13&lt;Projects!$C$23+Projects!$D$23),Projects!$B$23*INDEX(Curves!$B$4:$AR$4,1,13-Projects!$C$23+1),0)+IF(AND(Projects!$G$24="Yes",13&gt;=Projects!$C$24,13&lt;Projects!$C$24+Projects!$D$24),Projects!$B$24*INDEX(Curves!$B$4:$AR$4,1,13-Projects!$C$24+1),0)+IF(AND(Projects!$G$25="Yes",13&gt;=Projects!$C$25,13&lt;Projects!$C$25+Projects!$D$25),Projects!$B$25*INDEX(Curves!$B$4:$AR$4,1,13-Projects!$C$25+1),0)+IF(AND(Projects!$G$26="Yes",13&gt;=Projects!$C$26,13&lt;Projects!$C$26+Projects!$D$26),Projects!$B$26*INDEX(Curves!$B$4:$AR$4,1,13-Projects!$C$26+1),0)+IF(AND(Projects!$G$27="Yes",13&gt;=Projects!$C$27,13&lt;Projects!$C$27+Projects!$D$27),Projects!$B$27*INDEX(Curves!$B$4:$AR$4,1,13-Projects!$C$27+1),0)+IF(AND(Projects!$G$28="Yes",13&gt;=Projects!$C$28,13&lt;Projects!$C$28+Projects!$D$28),Projects!$B$28*INDEX(Curves!$B$4:$AR$4,1,13-Projects!$C$28+1),0)+IF(AND(Projects!$G$29="Yes",13&gt;=Projects!$C$29,13&lt;Projects!$C$29+Projects!$D$29),Projects!$B$29*INDEX(Curves!$B$4:$AR$4,1,13-Projects!$C$29+1),0)+IF(AND(Projects!$G$30="Yes",13&gt;=Projects!$C$30,13&lt;Projects!$C$30+Projects!$D$30),Projects!$B$30*INDEX(Curves!$B$4:$AR$4,1,13-Projects!$C$30+1),0)+IF(AND(Projects!$G$31="Yes",13&gt;=Projects!$C$31,13&lt;Projects!$C$31+Projects!$D$31),Projects!$B$31*INDEX(Curves!$B$4:$AR$4,1,13-Projects!$C$31+1),0)+IF(AND(Projects!$G$32="Yes",13&gt;=Projects!$C$32,13&lt;Projects!$C$32+Projects!$D$32),Projects!$B$32*INDEX(Curves!$B$4:$AR$4,1,13-Projects!$C$32+1),0)+IF(AND(Projects!$G$33="Yes",13&gt;=Projects!$C$33,13&lt;Projects!$C$33+Projects!$D$33),Projects!$B$33*INDEX(Curves!$B$4:$AR$4,1,13-Projects!$C$33+1),0)+IF(AND(Projects!$G$34="Yes",13&gt;=Projects!$C$34,13&lt;Projects!$C$34+Projects!$D$34),Projects!$B$34*INDEX(Curves!$B$4:$AR$4,1,13-Projects!$C$34+1),0)+IF(AND(Projects!$G$35="Yes",13&gt;=Projects!$C$35,13&lt;Projects!$C$35+Projects!$D$35),Projects!$B$35*INDEX(Curves!$B$4:$AR$4,1,13-Projects!$C$35+1),0)+IF(AND(Projects!$G$36="Yes",13&gt;=Projects!$C$36,13&lt;Projects!$C$36+Projects!$D$36),Projects!$B$36*INDEX(Curves!$B$4:$AR$4,1,13-Projects!$C$36+1),0)+IF(AND(Projects!$G$37="Yes",13&gt;=Projects!$C$37,13&lt;Projects!$C$37+Projects!$D$37),Projects!$B$37*INDEX(Curves!$B$4:$AR$4,1,13-Projects!$C$37+1),0)+IF(AND(Projects!$G$38="Yes",13&gt;=Projects!$C$38,13&lt;Projects!$C$38+Projects!$D$38),Projects!$B$38*INDEX(Curves!$B$4:$AR$4,1,13-Projects!$C$38+1),0)+IF(AND(Projects!$G$39="Yes",13&gt;=Projects!$C$39,13&lt;Projects!$C$39+Projects!$D$39),Projects!$B$39*INDEX(Curves!$B$4:$AR$4,1,13-Projects!$C$39+1),0)+IF(AND(Projects!$G$40="Yes",13&gt;=Projects!$C$40,13&lt;Projects!$C$40+Projects!$D$40),Projects!$B$40*INDEX(Curves!$B$4:$AR$4,1,13-Projects!$C$40+1),0)+IF(AND(Projects!$G$41="Yes",13&gt;=Projects!$C$41,13&lt;Projects!$C$41+Projects!$D$41),Projects!$B$41*INDEX(Curves!$B$4:$AR$4,1,13-Projects!$C$41+1),0)+IF(AND(Projects!$G$42="Yes",13&gt;=Projects!$C$42,13&lt;Projects!$C$42+Projects!$D$42),Projects!$B$42*INDEX(Curves!$B$4:$AR$4,1,13-Projects!$C$42+1),0)+IF(AND(Projects!$G$43="Yes",13&gt;=Projects!$C$43,13&lt;Projects!$C$43+Projects!$D$43),Projects!$B$43*INDEX(Curves!$B$4:$AR$4,1,13-Projects!$C$43+1),0)+IF(AND(Projects!$G$44="Yes",13&gt;=Projects!$C$44,13&lt;Projects!$C$44+Projects!$D$44),Projects!$B$44*INDEX(Curves!$B$4:$AR$4,1,13-Projects!$C$44+1),0)+IF(AND(Projects!$G$45="Yes",13&gt;=Projects!$C$45,13&lt;Projects!$C$45+Projects!$D$45),Projects!$B$45*INDEX(Curves!$B$4:$AR$4,1,13-Projects!$C$45+1),0)+IF(AND(Projects!$G$46="Yes",13&gt;=Projects!$C$46,13&lt;Projects!$C$46+Projects!$D$46),Projects!$B$46*INDEX(Curves!$B$4:$AR$4,1,13-Projects!$C$46+1),0)</f>
        <v>704975.480105</v>
      </c>
      <c r="S96" s="313" t="n">
        <f aca="false">IF(AND(Projects!$G$17="Yes",14&gt;=Projects!$C$17,14&lt;Projects!$C$17+Projects!$D$17),Projects!$B$17*INDEX(Curves!$B$4:$AR$4,1,14-Projects!$C$17+1),0)+IF(AND(Projects!$G$18="Yes",14&gt;=Projects!$C$18,14&lt;Projects!$C$18+Projects!$D$18),Projects!$B$18*INDEX(Curves!$B$4:$AR$4,1,14-Projects!$C$18+1),0)+IF(AND(Projects!$G$19="Yes",14&gt;=Projects!$C$19,14&lt;Projects!$C$19+Projects!$D$19),Projects!$B$19*INDEX(Curves!$B$4:$AR$4,1,14-Projects!$C$19+1),0)+IF(AND(Projects!$G$20="Yes",14&gt;=Projects!$C$20,14&lt;Projects!$C$20+Projects!$D$20),Projects!$B$20*INDEX(Curves!$B$4:$AR$4,1,14-Projects!$C$20+1),0)+IF(AND(Projects!$G$21="Yes",14&gt;=Projects!$C$21,14&lt;Projects!$C$21+Projects!$D$21),Projects!$B$21*INDEX(Curves!$B$4:$AR$4,1,14-Projects!$C$21+1),0)+IF(AND(Projects!$G$22="Yes",14&gt;=Projects!$C$22,14&lt;Projects!$C$22+Projects!$D$22),Projects!$B$22*INDEX(Curves!$B$4:$AR$4,1,14-Projects!$C$22+1),0)+IF(AND(Projects!$G$23="Yes",14&gt;=Projects!$C$23,14&lt;Projects!$C$23+Projects!$D$23),Projects!$B$23*INDEX(Curves!$B$4:$AR$4,1,14-Projects!$C$23+1),0)+IF(AND(Projects!$G$24="Yes",14&gt;=Projects!$C$24,14&lt;Projects!$C$24+Projects!$D$24),Projects!$B$24*INDEX(Curves!$B$4:$AR$4,1,14-Projects!$C$24+1),0)+IF(AND(Projects!$G$25="Yes",14&gt;=Projects!$C$25,14&lt;Projects!$C$25+Projects!$D$25),Projects!$B$25*INDEX(Curves!$B$4:$AR$4,1,14-Projects!$C$25+1),0)+IF(AND(Projects!$G$26="Yes",14&gt;=Projects!$C$26,14&lt;Projects!$C$26+Projects!$D$26),Projects!$B$26*INDEX(Curves!$B$4:$AR$4,1,14-Projects!$C$26+1),0)+IF(AND(Projects!$G$27="Yes",14&gt;=Projects!$C$27,14&lt;Projects!$C$27+Projects!$D$27),Projects!$B$27*INDEX(Curves!$B$4:$AR$4,1,14-Projects!$C$27+1),0)+IF(AND(Projects!$G$28="Yes",14&gt;=Projects!$C$28,14&lt;Projects!$C$28+Projects!$D$28),Projects!$B$28*INDEX(Curves!$B$4:$AR$4,1,14-Projects!$C$28+1),0)+IF(AND(Projects!$G$29="Yes",14&gt;=Projects!$C$29,14&lt;Projects!$C$29+Projects!$D$29),Projects!$B$29*INDEX(Curves!$B$4:$AR$4,1,14-Projects!$C$29+1),0)+IF(AND(Projects!$G$30="Yes",14&gt;=Projects!$C$30,14&lt;Projects!$C$30+Projects!$D$30),Projects!$B$30*INDEX(Curves!$B$4:$AR$4,1,14-Projects!$C$30+1),0)+IF(AND(Projects!$G$31="Yes",14&gt;=Projects!$C$31,14&lt;Projects!$C$31+Projects!$D$31),Projects!$B$31*INDEX(Curves!$B$4:$AR$4,1,14-Projects!$C$31+1),0)+IF(AND(Projects!$G$32="Yes",14&gt;=Projects!$C$32,14&lt;Projects!$C$32+Projects!$D$32),Projects!$B$32*INDEX(Curves!$B$4:$AR$4,1,14-Projects!$C$32+1),0)+IF(AND(Projects!$G$33="Yes",14&gt;=Projects!$C$33,14&lt;Projects!$C$33+Projects!$D$33),Projects!$B$33*INDEX(Curves!$B$4:$AR$4,1,14-Projects!$C$33+1),0)+IF(AND(Projects!$G$34="Yes",14&gt;=Projects!$C$34,14&lt;Projects!$C$34+Projects!$D$34),Projects!$B$34*INDEX(Curves!$B$4:$AR$4,1,14-Projects!$C$34+1),0)+IF(AND(Projects!$G$35="Yes",14&gt;=Projects!$C$35,14&lt;Projects!$C$35+Projects!$D$35),Projects!$B$35*INDEX(Curves!$B$4:$AR$4,1,14-Projects!$C$35+1),0)+IF(AND(Projects!$G$36="Yes",14&gt;=Projects!$C$36,14&lt;Projects!$C$36+Projects!$D$36),Projects!$B$36*INDEX(Curves!$B$4:$AR$4,1,14-Projects!$C$36+1),0)+IF(AND(Projects!$G$37="Yes",14&gt;=Projects!$C$37,14&lt;Projects!$C$37+Projects!$D$37),Projects!$B$37*INDEX(Curves!$B$4:$AR$4,1,14-Projects!$C$37+1),0)+IF(AND(Projects!$G$38="Yes",14&gt;=Projects!$C$38,14&lt;Projects!$C$38+Projects!$D$38),Projects!$B$38*INDEX(Curves!$B$4:$AR$4,1,14-Projects!$C$38+1),0)+IF(AND(Projects!$G$39="Yes",14&gt;=Projects!$C$39,14&lt;Projects!$C$39+Projects!$D$39),Projects!$B$39*INDEX(Curves!$B$4:$AR$4,1,14-Projects!$C$39+1),0)+IF(AND(Projects!$G$40="Yes",14&gt;=Projects!$C$40,14&lt;Projects!$C$40+Projects!$D$40),Projects!$B$40*INDEX(Curves!$B$4:$AR$4,1,14-Projects!$C$40+1),0)+IF(AND(Projects!$G$41="Yes",14&gt;=Projects!$C$41,14&lt;Projects!$C$41+Projects!$D$41),Projects!$B$41*INDEX(Curves!$B$4:$AR$4,1,14-Projects!$C$41+1),0)+IF(AND(Projects!$G$42="Yes",14&gt;=Projects!$C$42,14&lt;Projects!$C$42+Projects!$D$42),Projects!$B$42*INDEX(Curves!$B$4:$AR$4,1,14-Projects!$C$42+1),0)+IF(AND(Projects!$G$43="Yes",14&gt;=Projects!$C$43,14&lt;Projects!$C$43+Projects!$D$43),Projects!$B$43*INDEX(Curves!$B$4:$AR$4,1,14-Projects!$C$43+1),0)+IF(AND(Projects!$G$44="Yes",14&gt;=Projects!$C$44,14&lt;Projects!$C$44+Projects!$D$44),Projects!$B$44*INDEX(Curves!$B$4:$AR$4,1,14-Projects!$C$44+1),0)+IF(AND(Projects!$G$45="Yes",14&gt;=Projects!$C$45,14&lt;Projects!$C$45+Projects!$D$45),Projects!$B$45*INDEX(Curves!$B$4:$AR$4,1,14-Projects!$C$45+1),0)+IF(AND(Projects!$G$46="Yes",14&gt;=Projects!$C$46,14&lt;Projects!$C$46+Projects!$D$46),Projects!$B$46*INDEX(Curves!$B$4:$AR$4,1,14-Projects!$C$46+1),0)</f>
        <v>1214490.0464125</v>
      </c>
      <c r="T96" s="313" t="n">
        <f aca="false">IF(AND(Projects!$G$17="Yes",15&gt;=Projects!$C$17,15&lt;Projects!$C$17+Projects!$D$17),Projects!$B$17*INDEX(Curves!$B$4:$AR$4,1,15-Projects!$C$17+1),0)+IF(AND(Projects!$G$18="Yes",15&gt;=Projects!$C$18,15&lt;Projects!$C$18+Projects!$D$18),Projects!$B$18*INDEX(Curves!$B$4:$AR$4,1,15-Projects!$C$18+1),0)+IF(AND(Projects!$G$19="Yes",15&gt;=Projects!$C$19,15&lt;Projects!$C$19+Projects!$D$19),Projects!$B$19*INDEX(Curves!$B$4:$AR$4,1,15-Projects!$C$19+1),0)+IF(AND(Projects!$G$20="Yes",15&gt;=Projects!$C$20,15&lt;Projects!$C$20+Projects!$D$20),Projects!$B$20*INDEX(Curves!$B$4:$AR$4,1,15-Projects!$C$20+1),0)+IF(AND(Projects!$G$21="Yes",15&gt;=Projects!$C$21,15&lt;Projects!$C$21+Projects!$D$21),Projects!$B$21*INDEX(Curves!$B$4:$AR$4,1,15-Projects!$C$21+1),0)+IF(AND(Projects!$G$22="Yes",15&gt;=Projects!$C$22,15&lt;Projects!$C$22+Projects!$D$22),Projects!$B$22*INDEX(Curves!$B$4:$AR$4,1,15-Projects!$C$22+1),0)+IF(AND(Projects!$G$23="Yes",15&gt;=Projects!$C$23,15&lt;Projects!$C$23+Projects!$D$23),Projects!$B$23*INDEX(Curves!$B$4:$AR$4,1,15-Projects!$C$23+1),0)+IF(AND(Projects!$G$24="Yes",15&gt;=Projects!$C$24,15&lt;Projects!$C$24+Projects!$D$24),Projects!$B$24*INDEX(Curves!$B$4:$AR$4,1,15-Projects!$C$24+1),0)+IF(AND(Projects!$G$25="Yes",15&gt;=Projects!$C$25,15&lt;Projects!$C$25+Projects!$D$25),Projects!$B$25*INDEX(Curves!$B$4:$AR$4,1,15-Projects!$C$25+1),0)+IF(AND(Projects!$G$26="Yes",15&gt;=Projects!$C$26,15&lt;Projects!$C$26+Projects!$D$26),Projects!$B$26*INDEX(Curves!$B$4:$AR$4,1,15-Projects!$C$26+1),0)+IF(AND(Projects!$G$27="Yes",15&gt;=Projects!$C$27,15&lt;Projects!$C$27+Projects!$D$27),Projects!$B$27*INDEX(Curves!$B$4:$AR$4,1,15-Projects!$C$27+1),0)+IF(AND(Projects!$G$28="Yes",15&gt;=Projects!$C$28,15&lt;Projects!$C$28+Projects!$D$28),Projects!$B$28*INDEX(Curves!$B$4:$AR$4,1,15-Projects!$C$28+1),0)+IF(AND(Projects!$G$29="Yes",15&gt;=Projects!$C$29,15&lt;Projects!$C$29+Projects!$D$29),Projects!$B$29*INDEX(Curves!$B$4:$AR$4,1,15-Projects!$C$29+1),0)+IF(AND(Projects!$G$30="Yes",15&gt;=Projects!$C$30,15&lt;Projects!$C$30+Projects!$D$30),Projects!$B$30*INDEX(Curves!$B$4:$AR$4,1,15-Projects!$C$30+1),0)+IF(AND(Projects!$G$31="Yes",15&gt;=Projects!$C$31,15&lt;Projects!$C$31+Projects!$D$31),Projects!$B$31*INDEX(Curves!$B$4:$AR$4,1,15-Projects!$C$31+1),0)+IF(AND(Projects!$G$32="Yes",15&gt;=Projects!$C$32,15&lt;Projects!$C$32+Projects!$D$32),Projects!$B$32*INDEX(Curves!$B$4:$AR$4,1,15-Projects!$C$32+1),0)+IF(AND(Projects!$G$33="Yes",15&gt;=Projects!$C$33,15&lt;Projects!$C$33+Projects!$D$33),Projects!$B$33*INDEX(Curves!$B$4:$AR$4,1,15-Projects!$C$33+1),0)+IF(AND(Projects!$G$34="Yes",15&gt;=Projects!$C$34,15&lt;Projects!$C$34+Projects!$D$34),Projects!$B$34*INDEX(Curves!$B$4:$AR$4,1,15-Projects!$C$34+1),0)+IF(AND(Projects!$G$35="Yes",15&gt;=Projects!$C$35,15&lt;Projects!$C$35+Projects!$D$35),Projects!$B$35*INDEX(Curves!$B$4:$AR$4,1,15-Projects!$C$35+1),0)+IF(AND(Projects!$G$36="Yes",15&gt;=Projects!$C$36,15&lt;Projects!$C$36+Projects!$D$36),Projects!$B$36*INDEX(Curves!$B$4:$AR$4,1,15-Projects!$C$36+1),0)+IF(AND(Projects!$G$37="Yes",15&gt;=Projects!$C$37,15&lt;Projects!$C$37+Projects!$D$37),Projects!$B$37*INDEX(Curves!$B$4:$AR$4,1,15-Projects!$C$37+1),0)+IF(AND(Projects!$G$38="Yes",15&gt;=Projects!$C$38,15&lt;Projects!$C$38+Projects!$D$38),Projects!$B$38*INDEX(Curves!$B$4:$AR$4,1,15-Projects!$C$38+1),0)+IF(AND(Projects!$G$39="Yes",15&gt;=Projects!$C$39,15&lt;Projects!$C$39+Projects!$D$39),Projects!$B$39*INDEX(Curves!$B$4:$AR$4,1,15-Projects!$C$39+1),0)+IF(AND(Projects!$G$40="Yes",15&gt;=Projects!$C$40,15&lt;Projects!$C$40+Projects!$D$40),Projects!$B$40*INDEX(Curves!$B$4:$AR$4,1,15-Projects!$C$40+1),0)+IF(AND(Projects!$G$41="Yes",15&gt;=Projects!$C$41,15&lt;Projects!$C$41+Projects!$D$41),Projects!$B$41*INDEX(Curves!$B$4:$AR$4,1,15-Projects!$C$41+1),0)+IF(AND(Projects!$G$42="Yes",15&gt;=Projects!$C$42,15&lt;Projects!$C$42+Projects!$D$42),Projects!$B$42*INDEX(Curves!$B$4:$AR$4,1,15-Projects!$C$42+1),0)+IF(AND(Projects!$G$43="Yes",15&gt;=Projects!$C$43,15&lt;Projects!$C$43+Projects!$D$43),Projects!$B$43*INDEX(Curves!$B$4:$AR$4,1,15-Projects!$C$43+1),0)+IF(AND(Projects!$G$44="Yes",15&gt;=Projects!$C$44,15&lt;Projects!$C$44+Projects!$D$44),Projects!$B$44*INDEX(Curves!$B$4:$AR$4,1,15-Projects!$C$44+1),0)+IF(AND(Projects!$G$45="Yes",15&gt;=Projects!$C$45,15&lt;Projects!$C$45+Projects!$D$45),Projects!$B$45*INDEX(Curves!$B$4:$AR$4,1,15-Projects!$C$45+1),0)+IF(AND(Projects!$G$46="Yes",15&gt;=Projects!$C$46,15&lt;Projects!$C$46+Projects!$D$46),Projects!$B$46*INDEX(Curves!$B$4:$AR$4,1,15-Projects!$C$46+1),0)</f>
        <v>1705981.0052775</v>
      </c>
      <c r="U96" s="313" t="n">
        <f aca="false">IF(AND(Projects!$G$17="Yes",16&gt;=Projects!$C$17,16&lt;Projects!$C$17+Projects!$D$17),Projects!$B$17*INDEX(Curves!$B$4:$AR$4,1,16-Projects!$C$17+1),0)+IF(AND(Projects!$G$18="Yes",16&gt;=Projects!$C$18,16&lt;Projects!$C$18+Projects!$D$18),Projects!$B$18*INDEX(Curves!$B$4:$AR$4,1,16-Projects!$C$18+1),0)+IF(AND(Projects!$G$19="Yes",16&gt;=Projects!$C$19,16&lt;Projects!$C$19+Projects!$D$19),Projects!$B$19*INDEX(Curves!$B$4:$AR$4,1,16-Projects!$C$19+1),0)+IF(AND(Projects!$G$20="Yes",16&gt;=Projects!$C$20,16&lt;Projects!$C$20+Projects!$D$20),Projects!$B$20*INDEX(Curves!$B$4:$AR$4,1,16-Projects!$C$20+1),0)+IF(AND(Projects!$G$21="Yes",16&gt;=Projects!$C$21,16&lt;Projects!$C$21+Projects!$D$21),Projects!$B$21*INDEX(Curves!$B$4:$AR$4,1,16-Projects!$C$21+1),0)+IF(AND(Projects!$G$22="Yes",16&gt;=Projects!$C$22,16&lt;Projects!$C$22+Projects!$D$22),Projects!$B$22*INDEX(Curves!$B$4:$AR$4,1,16-Projects!$C$22+1),0)+IF(AND(Projects!$G$23="Yes",16&gt;=Projects!$C$23,16&lt;Projects!$C$23+Projects!$D$23),Projects!$B$23*INDEX(Curves!$B$4:$AR$4,1,16-Projects!$C$23+1),0)+IF(AND(Projects!$G$24="Yes",16&gt;=Projects!$C$24,16&lt;Projects!$C$24+Projects!$D$24),Projects!$B$24*INDEX(Curves!$B$4:$AR$4,1,16-Projects!$C$24+1),0)+IF(AND(Projects!$G$25="Yes",16&gt;=Projects!$C$25,16&lt;Projects!$C$25+Projects!$D$25),Projects!$B$25*INDEX(Curves!$B$4:$AR$4,1,16-Projects!$C$25+1),0)+IF(AND(Projects!$G$26="Yes",16&gt;=Projects!$C$26,16&lt;Projects!$C$26+Projects!$D$26),Projects!$B$26*INDEX(Curves!$B$4:$AR$4,1,16-Projects!$C$26+1),0)+IF(AND(Projects!$G$27="Yes",16&gt;=Projects!$C$27,16&lt;Projects!$C$27+Projects!$D$27),Projects!$B$27*INDEX(Curves!$B$4:$AR$4,1,16-Projects!$C$27+1),0)+IF(AND(Projects!$G$28="Yes",16&gt;=Projects!$C$28,16&lt;Projects!$C$28+Projects!$D$28),Projects!$B$28*INDEX(Curves!$B$4:$AR$4,1,16-Projects!$C$28+1),0)+IF(AND(Projects!$G$29="Yes",16&gt;=Projects!$C$29,16&lt;Projects!$C$29+Projects!$D$29),Projects!$B$29*INDEX(Curves!$B$4:$AR$4,1,16-Projects!$C$29+1),0)+IF(AND(Projects!$G$30="Yes",16&gt;=Projects!$C$30,16&lt;Projects!$C$30+Projects!$D$30),Projects!$B$30*INDEX(Curves!$B$4:$AR$4,1,16-Projects!$C$30+1),0)+IF(AND(Projects!$G$31="Yes",16&gt;=Projects!$C$31,16&lt;Projects!$C$31+Projects!$D$31),Projects!$B$31*INDEX(Curves!$B$4:$AR$4,1,16-Projects!$C$31+1),0)+IF(AND(Projects!$G$32="Yes",16&gt;=Projects!$C$32,16&lt;Projects!$C$32+Projects!$D$32),Projects!$B$32*INDEX(Curves!$B$4:$AR$4,1,16-Projects!$C$32+1),0)+IF(AND(Projects!$G$33="Yes",16&gt;=Projects!$C$33,16&lt;Projects!$C$33+Projects!$D$33),Projects!$B$33*INDEX(Curves!$B$4:$AR$4,1,16-Projects!$C$33+1),0)+IF(AND(Projects!$G$34="Yes",16&gt;=Projects!$C$34,16&lt;Projects!$C$34+Projects!$D$34),Projects!$B$34*INDEX(Curves!$B$4:$AR$4,1,16-Projects!$C$34+1),0)+IF(AND(Projects!$G$35="Yes",16&gt;=Projects!$C$35,16&lt;Projects!$C$35+Projects!$D$35),Projects!$B$35*INDEX(Curves!$B$4:$AR$4,1,16-Projects!$C$35+1),0)+IF(AND(Projects!$G$36="Yes",16&gt;=Projects!$C$36,16&lt;Projects!$C$36+Projects!$D$36),Projects!$B$36*INDEX(Curves!$B$4:$AR$4,1,16-Projects!$C$36+1),0)+IF(AND(Projects!$G$37="Yes",16&gt;=Projects!$C$37,16&lt;Projects!$C$37+Projects!$D$37),Projects!$B$37*INDEX(Curves!$B$4:$AR$4,1,16-Projects!$C$37+1),0)+IF(AND(Projects!$G$38="Yes",16&gt;=Projects!$C$38,16&lt;Projects!$C$38+Projects!$D$38),Projects!$B$38*INDEX(Curves!$B$4:$AR$4,1,16-Projects!$C$38+1),0)+IF(AND(Projects!$G$39="Yes",16&gt;=Projects!$C$39,16&lt;Projects!$C$39+Projects!$D$39),Projects!$B$39*INDEX(Curves!$B$4:$AR$4,1,16-Projects!$C$39+1),0)+IF(AND(Projects!$G$40="Yes",16&gt;=Projects!$C$40,16&lt;Projects!$C$40+Projects!$D$40),Projects!$B$40*INDEX(Curves!$B$4:$AR$4,1,16-Projects!$C$40+1),0)+IF(AND(Projects!$G$41="Yes",16&gt;=Projects!$C$41,16&lt;Projects!$C$41+Projects!$D$41),Projects!$B$41*INDEX(Curves!$B$4:$AR$4,1,16-Projects!$C$41+1),0)+IF(AND(Projects!$G$42="Yes",16&gt;=Projects!$C$42,16&lt;Projects!$C$42+Projects!$D$42),Projects!$B$42*INDEX(Curves!$B$4:$AR$4,1,16-Projects!$C$42+1),0)+IF(AND(Projects!$G$43="Yes",16&gt;=Projects!$C$43,16&lt;Projects!$C$43+Projects!$D$43),Projects!$B$43*INDEX(Curves!$B$4:$AR$4,1,16-Projects!$C$43+1),0)+IF(AND(Projects!$G$44="Yes",16&gt;=Projects!$C$44,16&lt;Projects!$C$44+Projects!$D$44),Projects!$B$44*INDEX(Curves!$B$4:$AR$4,1,16-Projects!$C$44+1),0)+IF(AND(Projects!$G$45="Yes",16&gt;=Projects!$C$45,16&lt;Projects!$C$45+Projects!$D$45),Projects!$B$45*INDEX(Curves!$B$4:$AR$4,1,16-Projects!$C$45+1),0)+IF(AND(Projects!$G$46="Yes",16&gt;=Projects!$C$46,16&lt;Projects!$C$46+Projects!$D$46),Projects!$B$46*INDEX(Curves!$B$4:$AR$4,1,16-Projects!$C$46+1),0)</f>
        <v>2450883.78948675</v>
      </c>
      <c r="V96" s="313" t="n">
        <f aca="false">IF(AND(Projects!$G$17="Yes",17&gt;=Projects!$C$17,17&lt;Projects!$C$17+Projects!$D$17),Projects!$B$17*INDEX(Curves!$B$4:$AR$4,1,17-Projects!$C$17+1),0)+IF(AND(Projects!$G$18="Yes",17&gt;=Projects!$C$18,17&lt;Projects!$C$18+Projects!$D$18),Projects!$B$18*INDEX(Curves!$B$4:$AR$4,1,17-Projects!$C$18+1),0)+IF(AND(Projects!$G$19="Yes",17&gt;=Projects!$C$19,17&lt;Projects!$C$19+Projects!$D$19),Projects!$B$19*INDEX(Curves!$B$4:$AR$4,1,17-Projects!$C$19+1),0)+IF(AND(Projects!$G$20="Yes",17&gt;=Projects!$C$20,17&lt;Projects!$C$20+Projects!$D$20),Projects!$B$20*INDEX(Curves!$B$4:$AR$4,1,17-Projects!$C$20+1),0)+IF(AND(Projects!$G$21="Yes",17&gt;=Projects!$C$21,17&lt;Projects!$C$21+Projects!$D$21),Projects!$B$21*INDEX(Curves!$B$4:$AR$4,1,17-Projects!$C$21+1),0)+IF(AND(Projects!$G$22="Yes",17&gt;=Projects!$C$22,17&lt;Projects!$C$22+Projects!$D$22),Projects!$B$22*INDEX(Curves!$B$4:$AR$4,1,17-Projects!$C$22+1),0)+IF(AND(Projects!$G$23="Yes",17&gt;=Projects!$C$23,17&lt;Projects!$C$23+Projects!$D$23),Projects!$B$23*INDEX(Curves!$B$4:$AR$4,1,17-Projects!$C$23+1),0)+IF(AND(Projects!$G$24="Yes",17&gt;=Projects!$C$24,17&lt;Projects!$C$24+Projects!$D$24),Projects!$B$24*INDEX(Curves!$B$4:$AR$4,1,17-Projects!$C$24+1),0)+IF(AND(Projects!$G$25="Yes",17&gt;=Projects!$C$25,17&lt;Projects!$C$25+Projects!$D$25),Projects!$B$25*INDEX(Curves!$B$4:$AR$4,1,17-Projects!$C$25+1),0)+IF(AND(Projects!$G$26="Yes",17&gt;=Projects!$C$26,17&lt;Projects!$C$26+Projects!$D$26),Projects!$B$26*INDEX(Curves!$B$4:$AR$4,1,17-Projects!$C$26+1),0)+IF(AND(Projects!$G$27="Yes",17&gt;=Projects!$C$27,17&lt;Projects!$C$27+Projects!$D$27),Projects!$B$27*INDEX(Curves!$B$4:$AR$4,1,17-Projects!$C$27+1),0)+IF(AND(Projects!$G$28="Yes",17&gt;=Projects!$C$28,17&lt;Projects!$C$28+Projects!$D$28),Projects!$B$28*INDEX(Curves!$B$4:$AR$4,1,17-Projects!$C$28+1),0)+IF(AND(Projects!$G$29="Yes",17&gt;=Projects!$C$29,17&lt;Projects!$C$29+Projects!$D$29),Projects!$B$29*INDEX(Curves!$B$4:$AR$4,1,17-Projects!$C$29+1),0)+IF(AND(Projects!$G$30="Yes",17&gt;=Projects!$C$30,17&lt;Projects!$C$30+Projects!$D$30),Projects!$B$30*INDEX(Curves!$B$4:$AR$4,1,17-Projects!$C$30+1),0)+IF(AND(Projects!$G$31="Yes",17&gt;=Projects!$C$31,17&lt;Projects!$C$31+Projects!$D$31),Projects!$B$31*INDEX(Curves!$B$4:$AR$4,1,17-Projects!$C$31+1),0)+IF(AND(Projects!$G$32="Yes",17&gt;=Projects!$C$32,17&lt;Projects!$C$32+Projects!$D$32),Projects!$B$32*INDEX(Curves!$B$4:$AR$4,1,17-Projects!$C$32+1),0)+IF(AND(Projects!$G$33="Yes",17&gt;=Projects!$C$33,17&lt;Projects!$C$33+Projects!$D$33),Projects!$B$33*INDEX(Curves!$B$4:$AR$4,1,17-Projects!$C$33+1),0)+IF(AND(Projects!$G$34="Yes",17&gt;=Projects!$C$34,17&lt;Projects!$C$34+Projects!$D$34),Projects!$B$34*INDEX(Curves!$B$4:$AR$4,1,17-Projects!$C$34+1),0)+IF(AND(Projects!$G$35="Yes",17&gt;=Projects!$C$35,17&lt;Projects!$C$35+Projects!$D$35),Projects!$B$35*INDEX(Curves!$B$4:$AR$4,1,17-Projects!$C$35+1),0)+IF(AND(Projects!$G$36="Yes",17&gt;=Projects!$C$36,17&lt;Projects!$C$36+Projects!$D$36),Projects!$B$36*INDEX(Curves!$B$4:$AR$4,1,17-Projects!$C$36+1),0)+IF(AND(Projects!$G$37="Yes",17&gt;=Projects!$C$37,17&lt;Projects!$C$37+Projects!$D$37),Projects!$B$37*INDEX(Curves!$B$4:$AR$4,1,17-Projects!$C$37+1),0)+IF(AND(Projects!$G$38="Yes",17&gt;=Projects!$C$38,17&lt;Projects!$C$38+Projects!$D$38),Projects!$B$38*INDEX(Curves!$B$4:$AR$4,1,17-Projects!$C$38+1),0)+IF(AND(Projects!$G$39="Yes",17&gt;=Projects!$C$39,17&lt;Projects!$C$39+Projects!$D$39),Projects!$B$39*INDEX(Curves!$B$4:$AR$4,1,17-Projects!$C$39+1),0)+IF(AND(Projects!$G$40="Yes",17&gt;=Projects!$C$40,17&lt;Projects!$C$40+Projects!$D$40),Projects!$B$40*INDEX(Curves!$B$4:$AR$4,1,17-Projects!$C$40+1),0)+IF(AND(Projects!$G$41="Yes",17&gt;=Projects!$C$41,17&lt;Projects!$C$41+Projects!$D$41),Projects!$B$41*INDEX(Curves!$B$4:$AR$4,1,17-Projects!$C$41+1),0)+IF(AND(Projects!$G$42="Yes",17&gt;=Projects!$C$42,17&lt;Projects!$C$42+Projects!$D$42),Projects!$B$42*INDEX(Curves!$B$4:$AR$4,1,17-Projects!$C$42+1),0)+IF(AND(Projects!$G$43="Yes",17&gt;=Projects!$C$43,17&lt;Projects!$C$43+Projects!$D$43),Projects!$B$43*INDEX(Curves!$B$4:$AR$4,1,17-Projects!$C$43+1),0)+IF(AND(Projects!$G$44="Yes",17&gt;=Projects!$C$44,17&lt;Projects!$C$44+Projects!$D$44),Projects!$B$44*INDEX(Curves!$B$4:$AR$4,1,17-Projects!$C$44+1),0)+IF(AND(Projects!$G$45="Yes",17&gt;=Projects!$C$45,17&lt;Projects!$C$45+Projects!$D$45),Projects!$B$45*INDEX(Curves!$B$4:$AR$4,1,17-Projects!$C$45+1),0)+IF(AND(Projects!$G$46="Yes",17&gt;=Projects!$C$46,17&lt;Projects!$C$46+Projects!$D$46),Projects!$B$46*INDEX(Curves!$B$4:$AR$4,1,17-Projects!$C$46+1),0)</f>
        <v>2811539.250619</v>
      </c>
      <c r="W96" s="313" t="n">
        <f aca="false">IF(AND(Projects!$G$17="Yes",18&gt;=Projects!$C$17,18&lt;Projects!$C$17+Projects!$D$17),Projects!$B$17*INDEX(Curves!$B$4:$AR$4,1,18-Projects!$C$17+1),0)+IF(AND(Projects!$G$18="Yes",18&gt;=Projects!$C$18,18&lt;Projects!$C$18+Projects!$D$18),Projects!$B$18*INDEX(Curves!$B$4:$AR$4,1,18-Projects!$C$18+1),0)+IF(AND(Projects!$G$19="Yes",18&gt;=Projects!$C$19,18&lt;Projects!$C$19+Projects!$D$19),Projects!$B$19*INDEX(Curves!$B$4:$AR$4,1,18-Projects!$C$19+1),0)+IF(AND(Projects!$G$20="Yes",18&gt;=Projects!$C$20,18&lt;Projects!$C$20+Projects!$D$20),Projects!$B$20*INDEX(Curves!$B$4:$AR$4,1,18-Projects!$C$20+1),0)+IF(AND(Projects!$G$21="Yes",18&gt;=Projects!$C$21,18&lt;Projects!$C$21+Projects!$D$21),Projects!$B$21*INDEX(Curves!$B$4:$AR$4,1,18-Projects!$C$21+1),0)+IF(AND(Projects!$G$22="Yes",18&gt;=Projects!$C$22,18&lt;Projects!$C$22+Projects!$D$22),Projects!$B$22*INDEX(Curves!$B$4:$AR$4,1,18-Projects!$C$22+1),0)+IF(AND(Projects!$G$23="Yes",18&gt;=Projects!$C$23,18&lt;Projects!$C$23+Projects!$D$23),Projects!$B$23*INDEX(Curves!$B$4:$AR$4,1,18-Projects!$C$23+1),0)+IF(AND(Projects!$G$24="Yes",18&gt;=Projects!$C$24,18&lt;Projects!$C$24+Projects!$D$24),Projects!$B$24*INDEX(Curves!$B$4:$AR$4,1,18-Projects!$C$24+1),0)+IF(AND(Projects!$G$25="Yes",18&gt;=Projects!$C$25,18&lt;Projects!$C$25+Projects!$D$25),Projects!$B$25*INDEX(Curves!$B$4:$AR$4,1,18-Projects!$C$25+1),0)+IF(AND(Projects!$G$26="Yes",18&gt;=Projects!$C$26,18&lt;Projects!$C$26+Projects!$D$26),Projects!$B$26*INDEX(Curves!$B$4:$AR$4,1,18-Projects!$C$26+1),0)+IF(AND(Projects!$G$27="Yes",18&gt;=Projects!$C$27,18&lt;Projects!$C$27+Projects!$D$27),Projects!$B$27*INDEX(Curves!$B$4:$AR$4,1,18-Projects!$C$27+1),0)+IF(AND(Projects!$G$28="Yes",18&gt;=Projects!$C$28,18&lt;Projects!$C$28+Projects!$D$28),Projects!$B$28*INDEX(Curves!$B$4:$AR$4,1,18-Projects!$C$28+1),0)+IF(AND(Projects!$G$29="Yes",18&gt;=Projects!$C$29,18&lt;Projects!$C$29+Projects!$D$29),Projects!$B$29*INDEX(Curves!$B$4:$AR$4,1,18-Projects!$C$29+1),0)+IF(AND(Projects!$G$30="Yes",18&gt;=Projects!$C$30,18&lt;Projects!$C$30+Projects!$D$30),Projects!$B$30*INDEX(Curves!$B$4:$AR$4,1,18-Projects!$C$30+1),0)+IF(AND(Projects!$G$31="Yes",18&gt;=Projects!$C$31,18&lt;Projects!$C$31+Projects!$D$31),Projects!$B$31*INDEX(Curves!$B$4:$AR$4,1,18-Projects!$C$31+1),0)+IF(AND(Projects!$G$32="Yes",18&gt;=Projects!$C$32,18&lt;Projects!$C$32+Projects!$D$32),Projects!$B$32*INDEX(Curves!$B$4:$AR$4,1,18-Projects!$C$32+1),0)+IF(AND(Projects!$G$33="Yes",18&gt;=Projects!$C$33,18&lt;Projects!$C$33+Projects!$D$33),Projects!$B$33*INDEX(Curves!$B$4:$AR$4,1,18-Projects!$C$33+1),0)+IF(AND(Projects!$G$34="Yes",18&gt;=Projects!$C$34,18&lt;Projects!$C$34+Projects!$D$34),Projects!$B$34*INDEX(Curves!$B$4:$AR$4,1,18-Projects!$C$34+1),0)+IF(AND(Projects!$G$35="Yes",18&gt;=Projects!$C$35,18&lt;Projects!$C$35+Projects!$D$35),Projects!$B$35*INDEX(Curves!$B$4:$AR$4,1,18-Projects!$C$35+1),0)+IF(AND(Projects!$G$36="Yes",18&gt;=Projects!$C$36,18&lt;Projects!$C$36+Projects!$D$36),Projects!$B$36*INDEX(Curves!$B$4:$AR$4,1,18-Projects!$C$36+1),0)+IF(AND(Projects!$G$37="Yes",18&gt;=Projects!$C$37,18&lt;Projects!$C$37+Projects!$D$37),Projects!$B$37*INDEX(Curves!$B$4:$AR$4,1,18-Projects!$C$37+1),0)+IF(AND(Projects!$G$38="Yes",18&gt;=Projects!$C$38,18&lt;Projects!$C$38+Projects!$D$38),Projects!$B$38*INDEX(Curves!$B$4:$AR$4,1,18-Projects!$C$38+1),0)+IF(AND(Projects!$G$39="Yes",18&gt;=Projects!$C$39,18&lt;Projects!$C$39+Projects!$D$39),Projects!$B$39*INDEX(Curves!$B$4:$AR$4,1,18-Projects!$C$39+1),0)+IF(AND(Projects!$G$40="Yes",18&gt;=Projects!$C$40,18&lt;Projects!$C$40+Projects!$D$40),Projects!$B$40*INDEX(Curves!$B$4:$AR$4,1,18-Projects!$C$40+1),0)+IF(AND(Projects!$G$41="Yes",18&gt;=Projects!$C$41,18&lt;Projects!$C$41+Projects!$D$41),Projects!$B$41*INDEX(Curves!$B$4:$AR$4,1,18-Projects!$C$41+1),0)+IF(AND(Projects!$G$42="Yes",18&gt;=Projects!$C$42,18&lt;Projects!$C$42+Projects!$D$42),Projects!$B$42*INDEX(Curves!$B$4:$AR$4,1,18-Projects!$C$42+1),0)+IF(AND(Projects!$G$43="Yes",18&gt;=Projects!$C$43,18&lt;Projects!$C$43+Projects!$D$43),Projects!$B$43*INDEX(Curves!$B$4:$AR$4,1,18-Projects!$C$43+1),0)+IF(AND(Projects!$G$44="Yes",18&gt;=Projects!$C$44,18&lt;Projects!$C$44+Projects!$D$44),Projects!$B$44*INDEX(Curves!$B$4:$AR$4,1,18-Projects!$C$44+1),0)+IF(AND(Projects!$G$45="Yes",18&gt;=Projects!$C$45,18&lt;Projects!$C$45+Projects!$D$45),Projects!$B$45*INDEX(Curves!$B$4:$AR$4,1,18-Projects!$C$45+1),0)+IF(AND(Projects!$G$46="Yes",18&gt;=Projects!$C$46,18&lt;Projects!$C$46+Projects!$D$46),Projects!$B$46*INDEX(Curves!$B$4:$AR$4,1,18-Projects!$C$46+1),0)</f>
        <v>3158081.406203</v>
      </c>
      <c r="X96" s="313" t="n">
        <f aca="false">IF(AND(Projects!$G$17="Yes",19&gt;=Projects!$C$17,19&lt;Projects!$C$17+Projects!$D$17),Projects!$B$17*INDEX(Curves!$B$4:$AR$4,1,19-Projects!$C$17+1),0)+IF(AND(Projects!$G$18="Yes",19&gt;=Projects!$C$18,19&lt;Projects!$C$18+Projects!$D$18),Projects!$B$18*INDEX(Curves!$B$4:$AR$4,1,19-Projects!$C$18+1),0)+IF(AND(Projects!$G$19="Yes",19&gt;=Projects!$C$19,19&lt;Projects!$C$19+Projects!$D$19),Projects!$B$19*INDEX(Curves!$B$4:$AR$4,1,19-Projects!$C$19+1),0)+IF(AND(Projects!$G$20="Yes",19&gt;=Projects!$C$20,19&lt;Projects!$C$20+Projects!$D$20),Projects!$B$20*INDEX(Curves!$B$4:$AR$4,1,19-Projects!$C$20+1),0)+IF(AND(Projects!$G$21="Yes",19&gt;=Projects!$C$21,19&lt;Projects!$C$21+Projects!$D$21),Projects!$B$21*INDEX(Curves!$B$4:$AR$4,1,19-Projects!$C$21+1),0)+IF(AND(Projects!$G$22="Yes",19&gt;=Projects!$C$22,19&lt;Projects!$C$22+Projects!$D$22),Projects!$B$22*INDEX(Curves!$B$4:$AR$4,1,19-Projects!$C$22+1),0)+IF(AND(Projects!$G$23="Yes",19&gt;=Projects!$C$23,19&lt;Projects!$C$23+Projects!$D$23),Projects!$B$23*INDEX(Curves!$B$4:$AR$4,1,19-Projects!$C$23+1),0)+IF(AND(Projects!$G$24="Yes",19&gt;=Projects!$C$24,19&lt;Projects!$C$24+Projects!$D$24),Projects!$B$24*INDEX(Curves!$B$4:$AR$4,1,19-Projects!$C$24+1),0)+IF(AND(Projects!$G$25="Yes",19&gt;=Projects!$C$25,19&lt;Projects!$C$25+Projects!$D$25),Projects!$B$25*INDEX(Curves!$B$4:$AR$4,1,19-Projects!$C$25+1),0)+IF(AND(Projects!$G$26="Yes",19&gt;=Projects!$C$26,19&lt;Projects!$C$26+Projects!$D$26),Projects!$B$26*INDEX(Curves!$B$4:$AR$4,1,19-Projects!$C$26+1),0)+IF(AND(Projects!$G$27="Yes",19&gt;=Projects!$C$27,19&lt;Projects!$C$27+Projects!$D$27),Projects!$B$27*INDEX(Curves!$B$4:$AR$4,1,19-Projects!$C$27+1),0)+IF(AND(Projects!$G$28="Yes",19&gt;=Projects!$C$28,19&lt;Projects!$C$28+Projects!$D$28),Projects!$B$28*INDEX(Curves!$B$4:$AR$4,1,19-Projects!$C$28+1),0)+IF(AND(Projects!$G$29="Yes",19&gt;=Projects!$C$29,19&lt;Projects!$C$29+Projects!$D$29),Projects!$B$29*INDEX(Curves!$B$4:$AR$4,1,19-Projects!$C$29+1),0)+IF(AND(Projects!$G$30="Yes",19&gt;=Projects!$C$30,19&lt;Projects!$C$30+Projects!$D$30),Projects!$B$30*INDEX(Curves!$B$4:$AR$4,1,19-Projects!$C$30+1),0)+IF(AND(Projects!$G$31="Yes",19&gt;=Projects!$C$31,19&lt;Projects!$C$31+Projects!$D$31),Projects!$B$31*INDEX(Curves!$B$4:$AR$4,1,19-Projects!$C$31+1),0)+IF(AND(Projects!$G$32="Yes",19&gt;=Projects!$C$32,19&lt;Projects!$C$32+Projects!$D$32),Projects!$B$32*INDEX(Curves!$B$4:$AR$4,1,19-Projects!$C$32+1),0)+IF(AND(Projects!$G$33="Yes",19&gt;=Projects!$C$33,19&lt;Projects!$C$33+Projects!$D$33),Projects!$B$33*INDEX(Curves!$B$4:$AR$4,1,19-Projects!$C$33+1),0)+IF(AND(Projects!$G$34="Yes",19&gt;=Projects!$C$34,19&lt;Projects!$C$34+Projects!$D$34),Projects!$B$34*INDEX(Curves!$B$4:$AR$4,1,19-Projects!$C$34+1),0)+IF(AND(Projects!$G$35="Yes",19&gt;=Projects!$C$35,19&lt;Projects!$C$35+Projects!$D$35),Projects!$B$35*INDEX(Curves!$B$4:$AR$4,1,19-Projects!$C$35+1),0)+IF(AND(Projects!$G$36="Yes",19&gt;=Projects!$C$36,19&lt;Projects!$C$36+Projects!$D$36),Projects!$B$36*INDEX(Curves!$B$4:$AR$4,1,19-Projects!$C$36+1),0)+IF(AND(Projects!$G$37="Yes",19&gt;=Projects!$C$37,19&lt;Projects!$C$37+Projects!$D$37),Projects!$B$37*INDEX(Curves!$B$4:$AR$4,1,19-Projects!$C$37+1),0)+IF(AND(Projects!$G$38="Yes",19&gt;=Projects!$C$38,19&lt;Projects!$C$38+Projects!$D$38),Projects!$B$38*INDEX(Curves!$B$4:$AR$4,1,19-Projects!$C$38+1),0)+IF(AND(Projects!$G$39="Yes",19&gt;=Projects!$C$39,19&lt;Projects!$C$39+Projects!$D$39),Projects!$B$39*INDEX(Curves!$B$4:$AR$4,1,19-Projects!$C$39+1),0)+IF(AND(Projects!$G$40="Yes",19&gt;=Projects!$C$40,19&lt;Projects!$C$40+Projects!$D$40),Projects!$B$40*INDEX(Curves!$B$4:$AR$4,1,19-Projects!$C$40+1),0)+IF(AND(Projects!$G$41="Yes",19&gt;=Projects!$C$41,19&lt;Projects!$C$41+Projects!$D$41),Projects!$B$41*INDEX(Curves!$B$4:$AR$4,1,19-Projects!$C$41+1),0)+IF(AND(Projects!$G$42="Yes",19&gt;=Projects!$C$42,19&lt;Projects!$C$42+Projects!$D$42),Projects!$B$42*INDEX(Curves!$B$4:$AR$4,1,19-Projects!$C$42+1),0)+IF(AND(Projects!$G$43="Yes",19&gt;=Projects!$C$43,19&lt;Projects!$C$43+Projects!$D$43),Projects!$B$43*INDEX(Curves!$B$4:$AR$4,1,19-Projects!$C$43+1),0)+IF(AND(Projects!$G$44="Yes",19&gt;=Projects!$C$44,19&lt;Projects!$C$44+Projects!$D$44),Projects!$B$44*INDEX(Curves!$B$4:$AR$4,1,19-Projects!$C$44+1),0)+IF(AND(Projects!$G$45="Yes",19&gt;=Projects!$C$45,19&lt;Projects!$C$45+Projects!$D$45),Projects!$B$45*INDEX(Curves!$B$4:$AR$4,1,19-Projects!$C$45+1),0)+IF(AND(Projects!$G$46="Yes",19&gt;=Projects!$C$46,19&lt;Projects!$C$46+Projects!$D$46),Projects!$B$46*INDEX(Curves!$B$4:$AR$4,1,19-Projects!$C$46+1),0)</f>
        <v>3473108.2551005</v>
      </c>
      <c r="Y96" s="313" t="n">
        <f aca="false">IF(AND(Projects!$G$17="Yes",20&gt;=Projects!$C$17,20&lt;Projects!$C$17+Projects!$D$17),Projects!$B$17*INDEX(Curves!$B$4:$AR$4,1,20-Projects!$C$17+1),0)+IF(AND(Projects!$G$18="Yes",20&gt;=Projects!$C$18,20&lt;Projects!$C$18+Projects!$D$18),Projects!$B$18*INDEX(Curves!$B$4:$AR$4,1,20-Projects!$C$18+1),0)+IF(AND(Projects!$G$19="Yes",20&gt;=Projects!$C$19,20&lt;Projects!$C$19+Projects!$D$19),Projects!$B$19*INDEX(Curves!$B$4:$AR$4,1,20-Projects!$C$19+1),0)+IF(AND(Projects!$G$20="Yes",20&gt;=Projects!$C$20,20&lt;Projects!$C$20+Projects!$D$20),Projects!$B$20*INDEX(Curves!$B$4:$AR$4,1,20-Projects!$C$20+1),0)+IF(AND(Projects!$G$21="Yes",20&gt;=Projects!$C$21,20&lt;Projects!$C$21+Projects!$D$21),Projects!$B$21*INDEX(Curves!$B$4:$AR$4,1,20-Projects!$C$21+1),0)+IF(AND(Projects!$G$22="Yes",20&gt;=Projects!$C$22,20&lt;Projects!$C$22+Projects!$D$22),Projects!$B$22*INDEX(Curves!$B$4:$AR$4,1,20-Projects!$C$22+1),0)+IF(AND(Projects!$G$23="Yes",20&gt;=Projects!$C$23,20&lt;Projects!$C$23+Projects!$D$23),Projects!$B$23*INDEX(Curves!$B$4:$AR$4,1,20-Projects!$C$23+1),0)+IF(AND(Projects!$G$24="Yes",20&gt;=Projects!$C$24,20&lt;Projects!$C$24+Projects!$D$24),Projects!$B$24*INDEX(Curves!$B$4:$AR$4,1,20-Projects!$C$24+1),0)+IF(AND(Projects!$G$25="Yes",20&gt;=Projects!$C$25,20&lt;Projects!$C$25+Projects!$D$25),Projects!$B$25*INDEX(Curves!$B$4:$AR$4,1,20-Projects!$C$25+1),0)+IF(AND(Projects!$G$26="Yes",20&gt;=Projects!$C$26,20&lt;Projects!$C$26+Projects!$D$26),Projects!$B$26*INDEX(Curves!$B$4:$AR$4,1,20-Projects!$C$26+1),0)+IF(AND(Projects!$G$27="Yes",20&gt;=Projects!$C$27,20&lt;Projects!$C$27+Projects!$D$27),Projects!$B$27*INDEX(Curves!$B$4:$AR$4,1,20-Projects!$C$27+1),0)+IF(AND(Projects!$G$28="Yes",20&gt;=Projects!$C$28,20&lt;Projects!$C$28+Projects!$D$28),Projects!$B$28*INDEX(Curves!$B$4:$AR$4,1,20-Projects!$C$28+1),0)+IF(AND(Projects!$G$29="Yes",20&gt;=Projects!$C$29,20&lt;Projects!$C$29+Projects!$D$29),Projects!$B$29*INDEX(Curves!$B$4:$AR$4,1,20-Projects!$C$29+1),0)+IF(AND(Projects!$G$30="Yes",20&gt;=Projects!$C$30,20&lt;Projects!$C$30+Projects!$D$30),Projects!$B$30*INDEX(Curves!$B$4:$AR$4,1,20-Projects!$C$30+1),0)+IF(AND(Projects!$G$31="Yes",20&gt;=Projects!$C$31,20&lt;Projects!$C$31+Projects!$D$31),Projects!$B$31*INDEX(Curves!$B$4:$AR$4,1,20-Projects!$C$31+1),0)+IF(AND(Projects!$G$32="Yes",20&gt;=Projects!$C$32,20&lt;Projects!$C$32+Projects!$D$32),Projects!$B$32*INDEX(Curves!$B$4:$AR$4,1,20-Projects!$C$32+1),0)+IF(AND(Projects!$G$33="Yes",20&gt;=Projects!$C$33,20&lt;Projects!$C$33+Projects!$D$33),Projects!$B$33*INDEX(Curves!$B$4:$AR$4,1,20-Projects!$C$33+1),0)+IF(AND(Projects!$G$34="Yes",20&gt;=Projects!$C$34,20&lt;Projects!$C$34+Projects!$D$34),Projects!$B$34*INDEX(Curves!$B$4:$AR$4,1,20-Projects!$C$34+1),0)+IF(AND(Projects!$G$35="Yes",20&gt;=Projects!$C$35,20&lt;Projects!$C$35+Projects!$D$35),Projects!$B$35*INDEX(Curves!$B$4:$AR$4,1,20-Projects!$C$35+1),0)+IF(AND(Projects!$G$36="Yes",20&gt;=Projects!$C$36,20&lt;Projects!$C$36+Projects!$D$36),Projects!$B$36*INDEX(Curves!$B$4:$AR$4,1,20-Projects!$C$36+1),0)+IF(AND(Projects!$G$37="Yes",20&gt;=Projects!$C$37,20&lt;Projects!$C$37+Projects!$D$37),Projects!$B$37*INDEX(Curves!$B$4:$AR$4,1,20-Projects!$C$37+1),0)+IF(AND(Projects!$G$38="Yes",20&gt;=Projects!$C$38,20&lt;Projects!$C$38+Projects!$D$38),Projects!$B$38*INDEX(Curves!$B$4:$AR$4,1,20-Projects!$C$38+1),0)+IF(AND(Projects!$G$39="Yes",20&gt;=Projects!$C$39,20&lt;Projects!$C$39+Projects!$D$39),Projects!$B$39*INDEX(Curves!$B$4:$AR$4,1,20-Projects!$C$39+1),0)+IF(AND(Projects!$G$40="Yes",20&gt;=Projects!$C$40,20&lt;Projects!$C$40+Projects!$D$40),Projects!$B$40*INDEX(Curves!$B$4:$AR$4,1,20-Projects!$C$40+1),0)+IF(AND(Projects!$G$41="Yes",20&gt;=Projects!$C$41,20&lt;Projects!$C$41+Projects!$D$41),Projects!$B$41*INDEX(Curves!$B$4:$AR$4,1,20-Projects!$C$41+1),0)+IF(AND(Projects!$G$42="Yes",20&gt;=Projects!$C$42,20&lt;Projects!$C$42+Projects!$D$42),Projects!$B$42*INDEX(Curves!$B$4:$AR$4,1,20-Projects!$C$42+1),0)+IF(AND(Projects!$G$43="Yes",20&gt;=Projects!$C$43,20&lt;Projects!$C$43+Projects!$D$43),Projects!$B$43*INDEX(Curves!$B$4:$AR$4,1,20-Projects!$C$43+1),0)+IF(AND(Projects!$G$44="Yes",20&gt;=Projects!$C$44,20&lt;Projects!$C$44+Projects!$D$44),Projects!$B$44*INDEX(Curves!$B$4:$AR$4,1,20-Projects!$C$44+1),0)+IF(AND(Projects!$G$45="Yes",20&gt;=Projects!$C$45,20&lt;Projects!$C$45+Projects!$D$45),Projects!$B$45*INDEX(Curves!$B$4:$AR$4,1,20-Projects!$C$45+1),0)+IF(AND(Projects!$G$46="Yes",20&gt;=Projects!$C$46,20&lt;Projects!$C$46+Projects!$D$46),Projects!$B$46*INDEX(Curves!$B$4:$AR$4,1,20-Projects!$C$46+1),0)</f>
        <v>4402893.78631186</v>
      </c>
      <c r="Z96" s="313" t="n">
        <f aca="false">IF(AND(Projects!$G$17="Yes",21&gt;=Projects!$C$17,21&lt;Projects!$C$17+Projects!$D$17),Projects!$B$17*INDEX(Curves!$B$4:$AR$4,1,21-Projects!$C$17+1),0)+IF(AND(Projects!$G$18="Yes",21&gt;=Projects!$C$18,21&lt;Projects!$C$18+Projects!$D$18),Projects!$B$18*INDEX(Curves!$B$4:$AR$4,1,21-Projects!$C$18+1),0)+IF(AND(Projects!$G$19="Yes",21&gt;=Projects!$C$19,21&lt;Projects!$C$19+Projects!$D$19),Projects!$B$19*INDEX(Curves!$B$4:$AR$4,1,21-Projects!$C$19+1),0)+IF(AND(Projects!$G$20="Yes",21&gt;=Projects!$C$20,21&lt;Projects!$C$20+Projects!$D$20),Projects!$B$20*INDEX(Curves!$B$4:$AR$4,1,21-Projects!$C$20+1),0)+IF(AND(Projects!$G$21="Yes",21&gt;=Projects!$C$21,21&lt;Projects!$C$21+Projects!$D$21),Projects!$B$21*INDEX(Curves!$B$4:$AR$4,1,21-Projects!$C$21+1),0)+IF(AND(Projects!$G$22="Yes",21&gt;=Projects!$C$22,21&lt;Projects!$C$22+Projects!$D$22),Projects!$B$22*INDEX(Curves!$B$4:$AR$4,1,21-Projects!$C$22+1),0)+IF(AND(Projects!$G$23="Yes",21&gt;=Projects!$C$23,21&lt;Projects!$C$23+Projects!$D$23),Projects!$B$23*INDEX(Curves!$B$4:$AR$4,1,21-Projects!$C$23+1),0)+IF(AND(Projects!$G$24="Yes",21&gt;=Projects!$C$24,21&lt;Projects!$C$24+Projects!$D$24),Projects!$B$24*INDEX(Curves!$B$4:$AR$4,1,21-Projects!$C$24+1),0)+IF(AND(Projects!$G$25="Yes",21&gt;=Projects!$C$25,21&lt;Projects!$C$25+Projects!$D$25),Projects!$B$25*INDEX(Curves!$B$4:$AR$4,1,21-Projects!$C$25+1),0)+IF(AND(Projects!$G$26="Yes",21&gt;=Projects!$C$26,21&lt;Projects!$C$26+Projects!$D$26),Projects!$B$26*INDEX(Curves!$B$4:$AR$4,1,21-Projects!$C$26+1),0)+IF(AND(Projects!$G$27="Yes",21&gt;=Projects!$C$27,21&lt;Projects!$C$27+Projects!$D$27),Projects!$B$27*INDEX(Curves!$B$4:$AR$4,1,21-Projects!$C$27+1),0)+IF(AND(Projects!$G$28="Yes",21&gt;=Projects!$C$28,21&lt;Projects!$C$28+Projects!$D$28),Projects!$B$28*INDEX(Curves!$B$4:$AR$4,1,21-Projects!$C$28+1),0)+IF(AND(Projects!$G$29="Yes",21&gt;=Projects!$C$29,21&lt;Projects!$C$29+Projects!$D$29),Projects!$B$29*INDEX(Curves!$B$4:$AR$4,1,21-Projects!$C$29+1),0)+IF(AND(Projects!$G$30="Yes",21&gt;=Projects!$C$30,21&lt;Projects!$C$30+Projects!$D$30),Projects!$B$30*INDEX(Curves!$B$4:$AR$4,1,21-Projects!$C$30+1),0)+IF(AND(Projects!$G$31="Yes",21&gt;=Projects!$C$31,21&lt;Projects!$C$31+Projects!$D$31),Projects!$B$31*INDEX(Curves!$B$4:$AR$4,1,21-Projects!$C$31+1),0)+IF(AND(Projects!$G$32="Yes",21&gt;=Projects!$C$32,21&lt;Projects!$C$32+Projects!$D$32),Projects!$B$32*INDEX(Curves!$B$4:$AR$4,1,21-Projects!$C$32+1),0)+IF(AND(Projects!$G$33="Yes",21&gt;=Projects!$C$33,21&lt;Projects!$C$33+Projects!$D$33),Projects!$B$33*INDEX(Curves!$B$4:$AR$4,1,21-Projects!$C$33+1),0)+IF(AND(Projects!$G$34="Yes",21&gt;=Projects!$C$34,21&lt;Projects!$C$34+Projects!$D$34),Projects!$B$34*INDEX(Curves!$B$4:$AR$4,1,21-Projects!$C$34+1),0)+IF(AND(Projects!$G$35="Yes",21&gt;=Projects!$C$35,21&lt;Projects!$C$35+Projects!$D$35),Projects!$B$35*INDEX(Curves!$B$4:$AR$4,1,21-Projects!$C$35+1),0)+IF(AND(Projects!$G$36="Yes",21&gt;=Projects!$C$36,21&lt;Projects!$C$36+Projects!$D$36),Projects!$B$36*INDEX(Curves!$B$4:$AR$4,1,21-Projects!$C$36+1),0)+IF(AND(Projects!$G$37="Yes",21&gt;=Projects!$C$37,21&lt;Projects!$C$37+Projects!$D$37),Projects!$B$37*INDEX(Curves!$B$4:$AR$4,1,21-Projects!$C$37+1),0)+IF(AND(Projects!$G$38="Yes",21&gt;=Projects!$C$38,21&lt;Projects!$C$38+Projects!$D$38),Projects!$B$38*INDEX(Curves!$B$4:$AR$4,1,21-Projects!$C$38+1),0)+IF(AND(Projects!$G$39="Yes",21&gt;=Projects!$C$39,21&lt;Projects!$C$39+Projects!$D$39),Projects!$B$39*INDEX(Curves!$B$4:$AR$4,1,21-Projects!$C$39+1),0)+IF(AND(Projects!$G$40="Yes",21&gt;=Projects!$C$40,21&lt;Projects!$C$40+Projects!$D$40),Projects!$B$40*INDEX(Curves!$B$4:$AR$4,1,21-Projects!$C$40+1),0)+IF(AND(Projects!$G$41="Yes",21&gt;=Projects!$C$41,21&lt;Projects!$C$41+Projects!$D$41),Projects!$B$41*INDEX(Curves!$B$4:$AR$4,1,21-Projects!$C$41+1),0)+IF(AND(Projects!$G$42="Yes",21&gt;=Projects!$C$42,21&lt;Projects!$C$42+Projects!$D$42),Projects!$B$42*INDEX(Curves!$B$4:$AR$4,1,21-Projects!$C$42+1),0)+IF(AND(Projects!$G$43="Yes",21&gt;=Projects!$C$43,21&lt;Projects!$C$43+Projects!$D$43),Projects!$B$43*INDEX(Curves!$B$4:$AR$4,1,21-Projects!$C$43+1),0)+IF(AND(Projects!$G$44="Yes",21&gt;=Projects!$C$44,21&lt;Projects!$C$44+Projects!$D$44),Projects!$B$44*INDEX(Curves!$B$4:$AR$4,1,21-Projects!$C$44+1),0)+IF(AND(Projects!$G$45="Yes",21&gt;=Projects!$C$45,21&lt;Projects!$C$45+Projects!$D$45),Projects!$B$45*INDEX(Curves!$B$4:$AR$4,1,21-Projects!$C$45+1),0)+IF(AND(Projects!$G$46="Yes",21&gt;=Projects!$C$46,21&lt;Projects!$C$46+Projects!$D$46),Projects!$B$46*INDEX(Curves!$B$4:$AR$4,1,21-Projects!$C$46+1),0)</f>
        <v>4760608.85551438</v>
      </c>
      <c r="AA96" s="313" t="n">
        <f aca="false">IF(AND(Projects!$G$17="Yes",22&gt;=Projects!$C$17,22&lt;Projects!$C$17+Projects!$D$17),Projects!$B$17*INDEX(Curves!$B$4:$AR$4,1,22-Projects!$C$17+1),0)+IF(AND(Projects!$G$18="Yes",22&gt;=Projects!$C$18,22&lt;Projects!$C$18+Projects!$D$18),Projects!$B$18*INDEX(Curves!$B$4:$AR$4,1,22-Projects!$C$18+1),0)+IF(AND(Projects!$G$19="Yes",22&gt;=Projects!$C$19,22&lt;Projects!$C$19+Projects!$D$19),Projects!$B$19*INDEX(Curves!$B$4:$AR$4,1,22-Projects!$C$19+1),0)+IF(AND(Projects!$G$20="Yes",22&gt;=Projects!$C$20,22&lt;Projects!$C$20+Projects!$D$20),Projects!$B$20*INDEX(Curves!$B$4:$AR$4,1,22-Projects!$C$20+1),0)+IF(AND(Projects!$G$21="Yes",22&gt;=Projects!$C$21,22&lt;Projects!$C$21+Projects!$D$21),Projects!$B$21*INDEX(Curves!$B$4:$AR$4,1,22-Projects!$C$21+1),0)+IF(AND(Projects!$G$22="Yes",22&gt;=Projects!$C$22,22&lt;Projects!$C$22+Projects!$D$22),Projects!$B$22*INDEX(Curves!$B$4:$AR$4,1,22-Projects!$C$22+1),0)+IF(AND(Projects!$G$23="Yes",22&gt;=Projects!$C$23,22&lt;Projects!$C$23+Projects!$D$23),Projects!$B$23*INDEX(Curves!$B$4:$AR$4,1,22-Projects!$C$23+1),0)+IF(AND(Projects!$G$24="Yes",22&gt;=Projects!$C$24,22&lt;Projects!$C$24+Projects!$D$24),Projects!$B$24*INDEX(Curves!$B$4:$AR$4,1,22-Projects!$C$24+1),0)+IF(AND(Projects!$G$25="Yes",22&gt;=Projects!$C$25,22&lt;Projects!$C$25+Projects!$D$25),Projects!$B$25*INDEX(Curves!$B$4:$AR$4,1,22-Projects!$C$25+1),0)+IF(AND(Projects!$G$26="Yes",22&gt;=Projects!$C$26,22&lt;Projects!$C$26+Projects!$D$26),Projects!$B$26*INDEX(Curves!$B$4:$AR$4,1,22-Projects!$C$26+1),0)+IF(AND(Projects!$G$27="Yes",22&gt;=Projects!$C$27,22&lt;Projects!$C$27+Projects!$D$27),Projects!$B$27*INDEX(Curves!$B$4:$AR$4,1,22-Projects!$C$27+1),0)+IF(AND(Projects!$G$28="Yes",22&gt;=Projects!$C$28,22&lt;Projects!$C$28+Projects!$D$28),Projects!$B$28*INDEX(Curves!$B$4:$AR$4,1,22-Projects!$C$28+1),0)+IF(AND(Projects!$G$29="Yes",22&gt;=Projects!$C$29,22&lt;Projects!$C$29+Projects!$D$29),Projects!$B$29*INDEX(Curves!$B$4:$AR$4,1,22-Projects!$C$29+1),0)+IF(AND(Projects!$G$30="Yes",22&gt;=Projects!$C$30,22&lt;Projects!$C$30+Projects!$D$30),Projects!$B$30*INDEX(Curves!$B$4:$AR$4,1,22-Projects!$C$30+1),0)+IF(AND(Projects!$G$31="Yes",22&gt;=Projects!$C$31,22&lt;Projects!$C$31+Projects!$D$31),Projects!$B$31*INDEX(Curves!$B$4:$AR$4,1,22-Projects!$C$31+1),0)+IF(AND(Projects!$G$32="Yes",22&gt;=Projects!$C$32,22&lt;Projects!$C$32+Projects!$D$32),Projects!$B$32*INDEX(Curves!$B$4:$AR$4,1,22-Projects!$C$32+1),0)+IF(AND(Projects!$G$33="Yes",22&gt;=Projects!$C$33,22&lt;Projects!$C$33+Projects!$D$33),Projects!$B$33*INDEX(Curves!$B$4:$AR$4,1,22-Projects!$C$33+1),0)+IF(AND(Projects!$G$34="Yes",22&gt;=Projects!$C$34,22&lt;Projects!$C$34+Projects!$D$34),Projects!$B$34*INDEX(Curves!$B$4:$AR$4,1,22-Projects!$C$34+1),0)+IF(AND(Projects!$G$35="Yes",22&gt;=Projects!$C$35,22&lt;Projects!$C$35+Projects!$D$35),Projects!$B$35*INDEX(Curves!$B$4:$AR$4,1,22-Projects!$C$35+1),0)+IF(AND(Projects!$G$36="Yes",22&gt;=Projects!$C$36,22&lt;Projects!$C$36+Projects!$D$36),Projects!$B$36*INDEX(Curves!$B$4:$AR$4,1,22-Projects!$C$36+1),0)+IF(AND(Projects!$G$37="Yes",22&gt;=Projects!$C$37,22&lt;Projects!$C$37+Projects!$D$37),Projects!$B$37*INDEX(Curves!$B$4:$AR$4,1,22-Projects!$C$37+1),0)+IF(AND(Projects!$G$38="Yes",22&gt;=Projects!$C$38,22&lt;Projects!$C$38+Projects!$D$38),Projects!$B$38*INDEX(Curves!$B$4:$AR$4,1,22-Projects!$C$38+1),0)+IF(AND(Projects!$G$39="Yes",22&gt;=Projects!$C$39,22&lt;Projects!$C$39+Projects!$D$39),Projects!$B$39*INDEX(Curves!$B$4:$AR$4,1,22-Projects!$C$39+1),0)+IF(AND(Projects!$G$40="Yes",22&gt;=Projects!$C$40,22&lt;Projects!$C$40+Projects!$D$40),Projects!$B$40*INDEX(Curves!$B$4:$AR$4,1,22-Projects!$C$40+1),0)+IF(AND(Projects!$G$41="Yes",22&gt;=Projects!$C$41,22&lt;Projects!$C$41+Projects!$D$41),Projects!$B$41*INDEX(Curves!$B$4:$AR$4,1,22-Projects!$C$41+1),0)+IF(AND(Projects!$G$42="Yes",22&gt;=Projects!$C$42,22&lt;Projects!$C$42+Projects!$D$42),Projects!$B$42*INDEX(Curves!$B$4:$AR$4,1,22-Projects!$C$42+1),0)+IF(AND(Projects!$G$43="Yes",22&gt;=Projects!$C$43,22&lt;Projects!$C$43+Projects!$D$43),Projects!$B$43*INDEX(Curves!$B$4:$AR$4,1,22-Projects!$C$43+1),0)+IF(AND(Projects!$G$44="Yes",22&gt;=Projects!$C$44,22&lt;Projects!$C$44+Projects!$D$44),Projects!$B$44*INDEX(Curves!$B$4:$AR$4,1,22-Projects!$C$44+1),0)+IF(AND(Projects!$G$45="Yes",22&gt;=Projects!$C$45,22&lt;Projects!$C$45+Projects!$D$45),Projects!$B$45*INDEX(Curves!$B$4:$AR$4,1,22-Projects!$C$45+1),0)+IF(AND(Projects!$G$46="Yes",22&gt;=Projects!$C$46,22&lt;Projects!$C$46+Projects!$D$46),Projects!$B$46*INDEX(Curves!$B$4:$AR$4,1,22-Projects!$C$46+1),0)</f>
        <v>5052793.76523131</v>
      </c>
      <c r="AB96" s="313" t="n">
        <f aca="false">IF(AND(Projects!$G$17="Yes",23&gt;=Projects!$C$17,23&lt;Projects!$C$17+Projects!$D$17),Projects!$B$17*INDEX(Curves!$B$4:$AR$4,1,23-Projects!$C$17+1),0)+IF(AND(Projects!$G$18="Yes",23&gt;=Projects!$C$18,23&lt;Projects!$C$18+Projects!$D$18),Projects!$B$18*INDEX(Curves!$B$4:$AR$4,1,23-Projects!$C$18+1),0)+IF(AND(Projects!$G$19="Yes",23&gt;=Projects!$C$19,23&lt;Projects!$C$19+Projects!$D$19),Projects!$B$19*INDEX(Curves!$B$4:$AR$4,1,23-Projects!$C$19+1),0)+IF(AND(Projects!$G$20="Yes",23&gt;=Projects!$C$20,23&lt;Projects!$C$20+Projects!$D$20),Projects!$B$20*INDEX(Curves!$B$4:$AR$4,1,23-Projects!$C$20+1),0)+IF(AND(Projects!$G$21="Yes",23&gt;=Projects!$C$21,23&lt;Projects!$C$21+Projects!$D$21),Projects!$B$21*INDEX(Curves!$B$4:$AR$4,1,23-Projects!$C$21+1),0)+IF(AND(Projects!$G$22="Yes",23&gt;=Projects!$C$22,23&lt;Projects!$C$22+Projects!$D$22),Projects!$B$22*INDEX(Curves!$B$4:$AR$4,1,23-Projects!$C$22+1),0)+IF(AND(Projects!$G$23="Yes",23&gt;=Projects!$C$23,23&lt;Projects!$C$23+Projects!$D$23),Projects!$B$23*INDEX(Curves!$B$4:$AR$4,1,23-Projects!$C$23+1),0)+IF(AND(Projects!$G$24="Yes",23&gt;=Projects!$C$24,23&lt;Projects!$C$24+Projects!$D$24),Projects!$B$24*INDEX(Curves!$B$4:$AR$4,1,23-Projects!$C$24+1),0)+IF(AND(Projects!$G$25="Yes",23&gt;=Projects!$C$25,23&lt;Projects!$C$25+Projects!$D$25),Projects!$B$25*INDEX(Curves!$B$4:$AR$4,1,23-Projects!$C$25+1),0)+IF(AND(Projects!$G$26="Yes",23&gt;=Projects!$C$26,23&lt;Projects!$C$26+Projects!$D$26),Projects!$B$26*INDEX(Curves!$B$4:$AR$4,1,23-Projects!$C$26+1),0)+IF(AND(Projects!$G$27="Yes",23&gt;=Projects!$C$27,23&lt;Projects!$C$27+Projects!$D$27),Projects!$B$27*INDEX(Curves!$B$4:$AR$4,1,23-Projects!$C$27+1),0)+IF(AND(Projects!$G$28="Yes",23&gt;=Projects!$C$28,23&lt;Projects!$C$28+Projects!$D$28),Projects!$B$28*INDEX(Curves!$B$4:$AR$4,1,23-Projects!$C$28+1),0)+IF(AND(Projects!$G$29="Yes",23&gt;=Projects!$C$29,23&lt;Projects!$C$29+Projects!$D$29),Projects!$B$29*INDEX(Curves!$B$4:$AR$4,1,23-Projects!$C$29+1),0)+IF(AND(Projects!$G$30="Yes",23&gt;=Projects!$C$30,23&lt;Projects!$C$30+Projects!$D$30),Projects!$B$30*INDEX(Curves!$B$4:$AR$4,1,23-Projects!$C$30+1),0)+IF(AND(Projects!$G$31="Yes",23&gt;=Projects!$C$31,23&lt;Projects!$C$31+Projects!$D$31),Projects!$B$31*INDEX(Curves!$B$4:$AR$4,1,23-Projects!$C$31+1),0)+IF(AND(Projects!$G$32="Yes",23&gt;=Projects!$C$32,23&lt;Projects!$C$32+Projects!$D$32),Projects!$B$32*INDEX(Curves!$B$4:$AR$4,1,23-Projects!$C$32+1),0)+IF(AND(Projects!$G$33="Yes",23&gt;=Projects!$C$33,23&lt;Projects!$C$33+Projects!$D$33),Projects!$B$33*INDEX(Curves!$B$4:$AR$4,1,23-Projects!$C$33+1),0)+IF(AND(Projects!$G$34="Yes",23&gt;=Projects!$C$34,23&lt;Projects!$C$34+Projects!$D$34),Projects!$B$34*INDEX(Curves!$B$4:$AR$4,1,23-Projects!$C$34+1),0)+IF(AND(Projects!$G$35="Yes",23&gt;=Projects!$C$35,23&lt;Projects!$C$35+Projects!$D$35),Projects!$B$35*INDEX(Curves!$B$4:$AR$4,1,23-Projects!$C$35+1),0)+IF(AND(Projects!$G$36="Yes",23&gt;=Projects!$C$36,23&lt;Projects!$C$36+Projects!$D$36),Projects!$B$36*INDEX(Curves!$B$4:$AR$4,1,23-Projects!$C$36+1),0)+IF(AND(Projects!$G$37="Yes",23&gt;=Projects!$C$37,23&lt;Projects!$C$37+Projects!$D$37),Projects!$B$37*INDEX(Curves!$B$4:$AR$4,1,23-Projects!$C$37+1),0)+IF(AND(Projects!$G$38="Yes",23&gt;=Projects!$C$38,23&lt;Projects!$C$38+Projects!$D$38),Projects!$B$38*INDEX(Curves!$B$4:$AR$4,1,23-Projects!$C$38+1),0)+IF(AND(Projects!$G$39="Yes",23&gt;=Projects!$C$39,23&lt;Projects!$C$39+Projects!$D$39),Projects!$B$39*INDEX(Curves!$B$4:$AR$4,1,23-Projects!$C$39+1),0)+IF(AND(Projects!$G$40="Yes",23&gt;=Projects!$C$40,23&lt;Projects!$C$40+Projects!$D$40),Projects!$B$40*INDEX(Curves!$B$4:$AR$4,1,23-Projects!$C$40+1),0)+IF(AND(Projects!$G$41="Yes",23&gt;=Projects!$C$41,23&lt;Projects!$C$41+Projects!$D$41),Projects!$B$41*INDEX(Curves!$B$4:$AR$4,1,23-Projects!$C$41+1),0)+IF(AND(Projects!$G$42="Yes",23&gt;=Projects!$C$42,23&lt;Projects!$C$42+Projects!$D$42),Projects!$B$42*INDEX(Curves!$B$4:$AR$4,1,23-Projects!$C$42+1),0)+IF(AND(Projects!$G$43="Yes",23&gt;=Projects!$C$43,23&lt;Projects!$C$43+Projects!$D$43),Projects!$B$43*INDEX(Curves!$B$4:$AR$4,1,23-Projects!$C$43+1),0)+IF(AND(Projects!$G$44="Yes",23&gt;=Projects!$C$44,23&lt;Projects!$C$44+Projects!$D$44),Projects!$B$44*INDEX(Curves!$B$4:$AR$4,1,23-Projects!$C$44+1),0)+IF(AND(Projects!$G$45="Yes",23&gt;=Projects!$C$45,23&lt;Projects!$C$45+Projects!$D$45),Projects!$B$45*INDEX(Curves!$B$4:$AR$4,1,23-Projects!$C$45+1),0)+IF(AND(Projects!$G$46="Yes",23&gt;=Projects!$C$46,23&lt;Projects!$C$46+Projects!$D$46),Projects!$B$46*INDEX(Curves!$B$4:$AR$4,1,23-Projects!$C$46+1),0)</f>
        <v>5264321.93394246</v>
      </c>
      <c r="AC96" s="313" t="n">
        <f aca="false">IF(AND(Projects!$G$17="Yes",24&gt;=Projects!$C$17,24&lt;Projects!$C$17+Projects!$D$17),Projects!$B$17*INDEX(Curves!$B$4:$AR$4,1,24-Projects!$C$17+1),0)+IF(AND(Projects!$G$18="Yes",24&gt;=Projects!$C$18,24&lt;Projects!$C$18+Projects!$D$18),Projects!$B$18*INDEX(Curves!$B$4:$AR$4,1,24-Projects!$C$18+1),0)+IF(AND(Projects!$G$19="Yes",24&gt;=Projects!$C$19,24&lt;Projects!$C$19+Projects!$D$19),Projects!$B$19*INDEX(Curves!$B$4:$AR$4,1,24-Projects!$C$19+1),0)+IF(AND(Projects!$G$20="Yes",24&gt;=Projects!$C$20,24&lt;Projects!$C$20+Projects!$D$20),Projects!$B$20*INDEX(Curves!$B$4:$AR$4,1,24-Projects!$C$20+1),0)+IF(AND(Projects!$G$21="Yes",24&gt;=Projects!$C$21,24&lt;Projects!$C$21+Projects!$D$21),Projects!$B$21*INDEX(Curves!$B$4:$AR$4,1,24-Projects!$C$21+1),0)+IF(AND(Projects!$G$22="Yes",24&gt;=Projects!$C$22,24&lt;Projects!$C$22+Projects!$D$22),Projects!$B$22*INDEX(Curves!$B$4:$AR$4,1,24-Projects!$C$22+1),0)+IF(AND(Projects!$G$23="Yes",24&gt;=Projects!$C$23,24&lt;Projects!$C$23+Projects!$D$23),Projects!$B$23*INDEX(Curves!$B$4:$AR$4,1,24-Projects!$C$23+1),0)+IF(AND(Projects!$G$24="Yes",24&gt;=Projects!$C$24,24&lt;Projects!$C$24+Projects!$D$24),Projects!$B$24*INDEX(Curves!$B$4:$AR$4,1,24-Projects!$C$24+1),0)+IF(AND(Projects!$G$25="Yes",24&gt;=Projects!$C$25,24&lt;Projects!$C$25+Projects!$D$25),Projects!$B$25*INDEX(Curves!$B$4:$AR$4,1,24-Projects!$C$25+1),0)+IF(AND(Projects!$G$26="Yes",24&gt;=Projects!$C$26,24&lt;Projects!$C$26+Projects!$D$26),Projects!$B$26*INDEX(Curves!$B$4:$AR$4,1,24-Projects!$C$26+1),0)+IF(AND(Projects!$G$27="Yes",24&gt;=Projects!$C$27,24&lt;Projects!$C$27+Projects!$D$27),Projects!$B$27*INDEX(Curves!$B$4:$AR$4,1,24-Projects!$C$27+1),0)+IF(AND(Projects!$G$28="Yes",24&gt;=Projects!$C$28,24&lt;Projects!$C$28+Projects!$D$28),Projects!$B$28*INDEX(Curves!$B$4:$AR$4,1,24-Projects!$C$28+1),0)+IF(AND(Projects!$G$29="Yes",24&gt;=Projects!$C$29,24&lt;Projects!$C$29+Projects!$D$29),Projects!$B$29*INDEX(Curves!$B$4:$AR$4,1,24-Projects!$C$29+1),0)+IF(AND(Projects!$G$30="Yes",24&gt;=Projects!$C$30,24&lt;Projects!$C$30+Projects!$D$30),Projects!$B$30*INDEX(Curves!$B$4:$AR$4,1,24-Projects!$C$30+1),0)+IF(AND(Projects!$G$31="Yes",24&gt;=Projects!$C$31,24&lt;Projects!$C$31+Projects!$D$31),Projects!$B$31*INDEX(Curves!$B$4:$AR$4,1,24-Projects!$C$31+1),0)+IF(AND(Projects!$G$32="Yes",24&gt;=Projects!$C$32,24&lt;Projects!$C$32+Projects!$D$32),Projects!$B$32*INDEX(Curves!$B$4:$AR$4,1,24-Projects!$C$32+1),0)+IF(AND(Projects!$G$33="Yes",24&gt;=Projects!$C$33,24&lt;Projects!$C$33+Projects!$D$33),Projects!$B$33*INDEX(Curves!$B$4:$AR$4,1,24-Projects!$C$33+1),0)+IF(AND(Projects!$G$34="Yes",24&gt;=Projects!$C$34,24&lt;Projects!$C$34+Projects!$D$34),Projects!$B$34*INDEX(Curves!$B$4:$AR$4,1,24-Projects!$C$34+1),0)+IF(AND(Projects!$G$35="Yes",24&gt;=Projects!$C$35,24&lt;Projects!$C$35+Projects!$D$35),Projects!$B$35*INDEX(Curves!$B$4:$AR$4,1,24-Projects!$C$35+1),0)+IF(AND(Projects!$G$36="Yes",24&gt;=Projects!$C$36,24&lt;Projects!$C$36+Projects!$D$36),Projects!$B$36*INDEX(Curves!$B$4:$AR$4,1,24-Projects!$C$36+1),0)+IF(AND(Projects!$G$37="Yes",24&gt;=Projects!$C$37,24&lt;Projects!$C$37+Projects!$D$37),Projects!$B$37*INDEX(Curves!$B$4:$AR$4,1,24-Projects!$C$37+1),0)+IF(AND(Projects!$G$38="Yes",24&gt;=Projects!$C$38,24&lt;Projects!$C$38+Projects!$D$38),Projects!$B$38*INDEX(Curves!$B$4:$AR$4,1,24-Projects!$C$38+1),0)+IF(AND(Projects!$G$39="Yes",24&gt;=Projects!$C$39,24&lt;Projects!$C$39+Projects!$D$39),Projects!$B$39*INDEX(Curves!$B$4:$AR$4,1,24-Projects!$C$39+1),0)+IF(AND(Projects!$G$40="Yes",24&gt;=Projects!$C$40,24&lt;Projects!$C$40+Projects!$D$40),Projects!$B$40*INDEX(Curves!$B$4:$AR$4,1,24-Projects!$C$40+1),0)+IF(AND(Projects!$G$41="Yes",24&gt;=Projects!$C$41,24&lt;Projects!$C$41+Projects!$D$41),Projects!$B$41*INDEX(Curves!$B$4:$AR$4,1,24-Projects!$C$41+1),0)+IF(AND(Projects!$G$42="Yes",24&gt;=Projects!$C$42,24&lt;Projects!$C$42+Projects!$D$42),Projects!$B$42*INDEX(Curves!$B$4:$AR$4,1,24-Projects!$C$42+1),0)+IF(AND(Projects!$G$43="Yes",24&gt;=Projects!$C$43,24&lt;Projects!$C$43+Projects!$D$43),Projects!$B$43*INDEX(Curves!$B$4:$AR$4,1,24-Projects!$C$43+1),0)+IF(AND(Projects!$G$44="Yes",24&gt;=Projects!$C$44,24&lt;Projects!$C$44+Projects!$D$44),Projects!$B$44*INDEX(Curves!$B$4:$AR$4,1,24-Projects!$C$44+1),0)+IF(AND(Projects!$G$45="Yes",24&gt;=Projects!$C$45,24&lt;Projects!$C$45+Projects!$D$45),Projects!$B$45*INDEX(Curves!$B$4:$AR$4,1,24-Projects!$C$45+1),0)+IF(AND(Projects!$G$46="Yes",24&gt;=Projects!$C$46,24&lt;Projects!$C$46+Projects!$D$46),Projects!$B$46*INDEX(Curves!$B$4:$AR$4,1,24-Projects!$C$46+1),0)</f>
        <v>5861079.30390194</v>
      </c>
      <c r="AD96" s="313" t="n">
        <f aca="false">IF(AND(Projects!$G$17="Yes",25&gt;=Projects!$C$17,25&lt;Projects!$C$17+Projects!$D$17),Projects!$B$17*INDEX(Curves!$B$4:$AR$4,1,25-Projects!$C$17+1),0)+IF(AND(Projects!$G$18="Yes",25&gt;=Projects!$C$18,25&lt;Projects!$C$18+Projects!$D$18),Projects!$B$18*INDEX(Curves!$B$4:$AR$4,1,25-Projects!$C$18+1),0)+IF(AND(Projects!$G$19="Yes",25&gt;=Projects!$C$19,25&lt;Projects!$C$19+Projects!$D$19),Projects!$B$19*INDEX(Curves!$B$4:$AR$4,1,25-Projects!$C$19+1),0)+IF(AND(Projects!$G$20="Yes",25&gt;=Projects!$C$20,25&lt;Projects!$C$20+Projects!$D$20),Projects!$B$20*INDEX(Curves!$B$4:$AR$4,1,25-Projects!$C$20+1),0)+IF(AND(Projects!$G$21="Yes",25&gt;=Projects!$C$21,25&lt;Projects!$C$21+Projects!$D$21),Projects!$B$21*INDEX(Curves!$B$4:$AR$4,1,25-Projects!$C$21+1),0)+IF(AND(Projects!$G$22="Yes",25&gt;=Projects!$C$22,25&lt;Projects!$C$22+Projects!$D$22),Projects!$B$22*INDEX(Curves!$B$4:$AR$4,1,25-Projects!$C$22+1),0)+IF(AND(Projects!$G$23="Yes",25&gt;=Projects!$C$23,25&lt;Projects!$C$23+Projects!$D$23),Projects!$B$23*INDEX(Curves!$B$4:$AR$4,1,25-Projects!$C$23+1),0)+IF(AND(Projects!$G$24="Yes",25&gt;=Projects!$C$24,25&lt;Projects!$C$24+Projects!$D$24),Projects!$B$24*INDEX(Curves!$B$4:$AR$4,1,25-Projects!$C$24+1),0)+IF(AND(Projects!$G$25="Yes",25&gt;=Projects!$C$25,25&lt;Projects!$C$25+Projects!$D$25),Projects!$B$25*INDEX(Curves!$B$4:$AR$4,1,25-Projects!$C$25+1),0)+IF(AND(Projects!$G$26="Yes",25&gt;=Projects!$C$26,25&lt;Projects!$C$26+Projects!$D$26),Projects!$B$26*INDEX(Curves!$B$4:$AR$4,1,25-Projects!$C$26+1),0)+IF(AND(Projects!$G$27="Yes",25&gt;=Projects!$C$27,25&lt;Projects!$C$27+Projects!$D$27),Projects!$B$27*INDEX(Curves!$B$4:$AR$4,1,25-Projects!$C$27+1),0)+IF(AND(Projects!$G$28="Yes",25&gt;=Projects!$C$28,25&lt;Projects!$C$28+Projects!$D$28),Projects!$B$28*INDEX(Curves!$B$4:$AR$4,1,25-Projects!$C$28+1),0)+IF(AND(Projects!$G$29="Yes",25&gt;=Projects!$C$29,25&lt;Projects!$C$29+Projects!$D$29),Projects!$B$29*INDEX(Curves!$B$4:$AR$4,1,25-Projects!$C$29+1),0)+IF(AND(Projects!$G$30="Yes",25&gt;=Projects!$C$30,25&lt;Projects!$C$30+Projects!$D$30),Projects!$B$30*INDEX(Curves!$B$4:$AR$4,1,25-Projects!$C$30+1),0)+IF(AND(Projects!$G$31="Yes",25&gt;=Projects!$C$31,25&lt;Projects!$C$31+Projects!$D$31),Projects!$B$31*INDEX(Curves!$B$4:$AR$4,1,25-Projects!$C$31+1),0)+IF(AND(Projects!$G$32="Yes",25&gt;=Projects!$C$32,25&lt;Projects!$C$32+Projects!$D$32),Projects!$B$32*INDEX(Curves!$B$4:$AR$4,1,25-Projects!$C$32+1),0)+IF(AND(Projects!$G$33="Yes",25&gt;=Projects!$C$33,25&lt;Projects!$C$33+Projects!$D$33),Projects!$B$33*INDEX(Curves!$B$4:$AR$4,1,25-Projects!$C$33+1),0)+IF(AND(Projects!$G$34="Yes",25&gt;=Projects!$C$34,25&lt;Projects!$C$34+Projects!$D$34),Projects!$B$34*INDEX(Curves!$B$4:$AR$4,1,25-Projects!$C$34+1),0)+IF(AND(Projects!$G$35="Yes",25&gt;=Projects!$C$35,25&lt;Projects!$C$35+Projects!$D$35),Projects!$B$35*INDEX(Curves!$B$4:$AR$4,1,25-Projects!$C$35+1),0)+IF(AND(Projects!$G$36="Yes",25&gt;=Projects!$C$36,25&lt;Projects!$C$36+Projects!$D$36),Projects!$B$36*INDEX(Curves!$B$4:$AR$4,1,25-Projects!$C$36+1),0)+IF(AND(Projects!$G$37="Yes",25&gt;=Projects!$C$37,25&lt;Projects!$C$37+Projects!$D$37),Projects!$B$37*INDEX(Curves!$B$4:$AR$4,1,25-Projects!$C$37+1),0)+IF(AND(Projects!$G$38="Yes",25&gt;=Projects!$C$38,25&lt;Projects!$C$38+Projects!$D$38),Projects!$B$38*INDEX(Curves!$B$4:$AR$4,1,25-Projects!$C$38+1),0)+IF(AND(Projects!$G$39="Yes",25&gt;=Projects!$C$39,25&lt;Projects!$C$39+Projects!$D$39),Projects!$B$39*INDEX(Curves!$B$4:$AR$4,1,25-Projects!$C$39+1),0)+IF(AND(Projects!$G$40="Yes",25&gt;=Projects!$C$40,25&lt;Projects!$C$40+Projects!$D$40),Projects!$B$40*INDEX(Curves!$B$4:$AR$4,1,25-Projects!$C$40+1),0)+IF(AND(Projects!$G$41="Yes",25&gt;=Projects!$C$41,25&lt;Projects!$C$41+Projects!$D$41),Projects!$B$41*INDEX(Curves!$B$4:$AR$4,1,25-Projects!$C$41+1),0)+IF(AND(Projects!$G$42="Yes",25&gt;=Projects!$C$42,25&lt;Projects!$C$42+Projects!$D$42),Projects!$B$42*INDEX(Curves!$B$4:$AR$4,1,25-Projects!$C$42+1),0)+IF(AND(Projects!$G$43="Yes",25&gt;=Projects!$C$43,25&lt;Projects!$C$43+Projects!$D$43),Projects!$B$43*INDEX(Curves!$B$4:$AR$4,1,25-Projects!$C$43+1),0)+IF(AND(Projects!$G$44="Yes",25&gt;=Projects!$C$44,25&lt;Projects!$C$44+Projects!$D$44),Projects!$B$44*INDEX(Curves!$B$4:$AR$4,1,25-Projects!$C$44+1),0)+IF(AND(Projects!$G$45="Yes",25&gt;=Projects!$C$45,25&lt;Projects!$C$45+Projects!$D$45),Projects!$B$45*INDEX(Curves!$B$4:$AR$4,1,25-Projects!$C$45+1),0)+IF(AND(Projects!$G$46="Yes",25&gt;=Projects!$C$46,25&lt;Projects!$C$46+Projects!$D$46),Projects!$B$46*INDEX(Curves!$B$4:$AR$4,1,25-Projects!$C$46+1),0)</f>
        <v>5994005.60273776</v>
      </c>
      <c r="AE96" s="313" t="n">
        <f aca="false">IF(AND(Projects!$G$17="Yes",26&gt;=Projects!$C$17,26&lt;Projects!$C$17+Projects!$D$17),Projects!$B$17*INDEX(Curves!$B$4:$AR$4,1,26-Projects!$C$17+1),0)+IF(AND(Projects!$G$18="Yes",26&gt;=Projects!$C$18,26&lt;Projects!$C$18+Projects!$D$18),Projects!$B$18*INDEX(Curves!$B$4:$AR$4,1,26-Projects!$C$18+1),0)+IF(AND(Projects!$G$19="Yes",26&gt;=Projects!$C$19,26&lt;Projects!$C$19+Projects!$D$19),Projects!$B$19*INDEX(Curves!$B$4:$AR$4,1,26-Projects!$C$19+1),0)+IF(AND(Projects!$G$20="Yes",26&gt;=Projects!$C$20,26&lt;Projects!$C$20+Projects!$D$20),Projects!$B$20*INDEX(Curves!$B$4:$AR$4,1,26-Projects!$C$20+1),0)+IF(AND(Projects!$G$21="Yes",26&gt;=Projects!$C$21,26&lt;Projects!$C$21+Projects!$D$21),Projects!$B$21*INDEX(Curves!$B$4:$AR$4,1,26-Projects!$C$21+1),0)+IF(AND(Projects!$G$22="Yes",26&gt;=Projects!$C$22,26&lt;Projects!$C$22+Projects!$D$22),Projects!$B$22*INDEX(Curves!$B$4:$AR$4,1,26-Projects!$C$22+1),0)+IF(AND(Projects!$G$23="Yes",26&gt;=Projects!$C$23,26&lt;Projects!$C$23+Projects!$D$23),Projects!$B$23*INDEX(Curves!$B$4:$AR$4,1,26-Projects!$C$23+1),0)+IF(AND(Projects!$G$24="Yes",26&gt;=Projects!$C$24,26&lt;Projects!$C$24+Projects!$D$24),Projects!$B$24*INDEX(Curves!$B$4:$AR$4,1,26-Projects!$C$24+1),0)+IF(AND(Projects!$G$25="Yes",26&gt;=Projects!$C$25,26&lt;Projects!$C$25+Projects!$D$25),Projects!$B$25*INDEX(Curves!$B$4:$AR$4,1,26-Projects!$C$25+1),0)+IF(AND(Projects!$G$26="Yes",26&gt;=Projects!$C$26,26&lt;Projects!$C$26+Projects!$D$26),Projects!$B$26*INDEX(Curves!$B$4:$AR$4,1,26-Projects!$C$26+1),0)+IF(AND(Projects!$G$27="Yes",26&gt;=Projects!$C$27,26&lt;Projects!$C$27+Projects!$D$27),Projects!$B$27*INDEX(Curves!$B$4:$AR$4,1,26-Projects!$C$27+1),0)+IF(AND(Projects!$G$28="Yes",26&gt;=Projects!$C$28,26&lt;Projects!$C$28+Projects!$D$28),Projects!$B$28*INDEX(Curves!$B$4:$AR$4,1,26-Projects!$C$28+1),0)+IF(AND(Projects!$G$29="Yes",26&gt;=Projects!$C$29,26&lt;Projects!$C$29+Projects!$D$29),Projects!$B$29*INDEX(Curves!$B$4:$AR$4,1,26-Projects!$C$29+1),0)+IF(AND(Projects!$G$30="Yes",26&gt;=Projects!$C$30,26&lt;Projects!$C$30+Projects!$D$30),Projects!$B$30*INDEX(Curves!$B$4:$AR$4,1,26-Projects!$C$30+1),0)+IF(AND(Projects!$G$31="Yes",26&gt;=Projects!$C$31,26&lt;Projects!$C$31+Projects!$D$31),Projects!$B$31*INDEX(Curves!$B$4:$AR$4,1,26-Projects!$C$31+1),0)+IF(AND(Projects!$G$32="Yes",26&gt;=Projects!$C$32,26&lt;Projects!$C$32+Projects!$D$32),Projects!$B$32*INDEX(Curves!$B$4:$AR$4,1,26-Projects!$C$32+1),0)+IF(AND(Projects!$G$33="Yes",26&gt;=Projects!$C$33,26&lt;Projects!$C$33+Projects!$D$33),Projects!$B$33*INDEX(Curves!$B$4:$AR$4,1,26-Projects!$C$33+1),0)+IF(AND(Projects!$G$34="Yes",26&gt;=Projects!$C$34,26&lt;Projects!$C$34+Projects!$D$34),Projects!$B$34*INDEX(Curves!$B$4:$AR$4,1,26-Projects!$C$34+1),0)+IF(AND(Projects!$G$35="Yes",26&gt;=Projects!$C$35,26&lt;Projects!$C$35+Projects!$D$35),Projects!$B$35*INDEX(Curves!$B$4:$AR$4,1,26-Projects!$C$35+1),0)+IF(AND(Projects!$G$36="Yes",26&gt;=Projects!$C$36,26&lt;Projects!$C$36+Projects!$D$36),Projects!$B$36*INDEX(Curves!$B$4:$AR$4,1,26-Projects!$C$36+1),0)+IF(AND(Projects!$G$37="Yes",26&gt;=Projects!$C$37,26&lt;Projects!$C$37+Projects!$D$37),Projects!$B$37*INDEX(Curves!$B$4:$AR$4,1,26-Projects!$C$37+1),0)+IF(AND(Projects!$G$38="Yes",26&gt;=Projects!$C$38,26&lt;Projects!$C$38+Projects!$D$38),Projects!$B$38*INDEX(Curves!$B$4:$AR$4,1,26-Projects!$C$38+1),0)+IF(AND(Projects!$G$39="Yes",26&gt;=Projects!$C$39,26&lt;Projects!$C$39+Projects!$D$39),Projects!$B$39*INDEX(Curves!$B$4:$AR$4,1,26-Projects!$C$39+1),0)+IF(AND(Projects!$G$40="Yes",26&gt;=Projects!$C$40,26&lt;Projects!$C$40+Projects!$D$40),Projects!$B$40*INDEX(Curves!$B$4:$AR$4,1,26-Projects!$C$40+1),0)+IF(AND(Projects!$G$41="Yes",26&gt;=Projects!$C$41,26&lt;Projects!$C$41+Projects!$D$41),Projects!$B$41*INDEX(Curves!$B$4:$AR$4,1,26-Projects!$C$41+1),0)+IF(AND(Projects!$G$42="Yes",26&gt;=Projects!$C$42,26&lt;Projects!$C$42+Projects!$D$42),Projects!$B$42*INDEX(Curves!$B$4:$AR$4,1,26-Projects!$C$42+1),0)+IF(AND(Projects!$G$43="Yes",26&gt;=Projects!$C$43,26&lt;Projects!$C$43+Projects!$D$43),Projects!$B$43*INDEX(Curves!$B$4:$AR$4,1,26-Projects!$C$43+1),0)+IF(AND(Projects!$G$44="Yes",26&gt;=Projects!$C$44,26&lt;Projects!$C$44+Projects!$D$44),Projects!$B$44*INDEX(Curves!$B$4:$AR$4,1,26-Projects!$C$44+1),0)+IF(AND(Projects!$G$45="Yes",26&gt;=Projects!$C$45,26&lt;Projects!$C$45+Projects!$D$45),Projects!$B$45*INDEX(Curves!$B$4:$AR$4,1,26-Projects!$C$45+1),0)+IF(AND(Projects!$G$46="Yes",26&gt;=Projects!$C$46,26&lt;Projects!$C$46+Projects!$D$46),Projects!$B$46*INDEX(Curves!$B$4:$AR$4,1,26-Projects!$C$46+1),0)</f>
        <v>6035112.35834396</v>
      </c>
      <c r="AF96" s="313" t="n">
        <f aca="false">IF(AND(Projects!$G$17="Yes",27&gt;=Projects!$C$17,27&lt;Projects!$C$17+Projects!$D$17),Projects!$B$17*INDEX(Curves!$B$4:$AR$4,1,27-Projects!$C$17+1),0)+IF(AND(Projects!$G$18="Yes",27&gt;=Projects!$C$18,27&lt;Projects!$C$18+Projects!$D$18),Projects!$B$18*INDEX(Curves!$B$4:$AR$4,1,27-Projects!$C$18+1),0)+IF(AND(Projects!$G$19="Yes",27&gt;=Projects!$C$19,27&lt;Projects!$C$19+Projects!$D$19),Projects!$B$19*INDEX(Curves!$B$4:$AR$4,1,27-Projects!$C$19+1),0)+IF(AND(Projects!$G$20="Yes",27&gt;=Projects!$C$20,27&lt;Projects!$C$20+Projects!$D$20),Projects!$B$20*INDEX(Curves!$B$4:$AR$4,1,27-Projects!$C$20+1),0)+IF(AND(Projects!$G$21="Yes",27&gt;=Projects!$C$21,27&lt;Projects!$C$21+Projects!$D$21),Projects!$B$21*INDEX(Curves!$B$4:$AR$4,1,27-Projects!$C$21+1),0)+IF(AND(Projects!$G$22="Yes",27&gt;=Projects!$C$22,27&lt;Projects!$C$22+Projects!$D$22),Projects!$B$22*INDEX(Curves!$B$4:$AR$4,1,27-Projects!$C$22+1),0)+IF(AND(Projects!$G$23="Yes",27&gt;=Projects!$C$23,27&lt;Projects!$C$23+Projects!$D$23),Projects!$B$23*INDEX(Curves!$B$4:$AR$4,1,27-Projects!$C$23+1),0)+IF(AND(Projects!$G$24="Yes",27&gt;=Projects!$C$24,27&lt;Projects!$C$24+Projects!$D$24),Projects!$B$24*INDEX(Curves!$B$4:$AR$4,1,27-Projects!$C$24+1),0)+IF(AND(Projects!$G$25="Yes",27&gt;=Projects!$C$25,27&lt;Projects!$C$25+Projects!$D$25),Projects!$B$25*INDEX(Curves!$B$4:$AR$4,1,27-Projects!$C$25+1),0)+IF(AND(Projects!$G$26="Yes",27&gt;=Projects!$C$26,27&lt;Projects!$C$26+Projects!$D$26),Projects!$B$26*INDEX(Curves!$B$4:$AR$4,1,27-Projects!$C$26+1),0)+IF(AND(Projects!$G$27="Yes",27&gt;=Projects!$C$27,27&lt;Projects!$C$27+Projects!$D$27),Projects!$B$27*INDEX(Curves!$B$4:$AR$4,1,27-Projects!$C$27+1),0)+IF(AND(Projects!$G$28="Yes",27&gt;=Projects!$C$28,27&lt;Projects!$C$28+Projects!$D$28),Projects!$B$28*INDEX(Curves!$B$4:$AR$4,1,27-Projects!$C$28+1),0)+IF(AND(Projects!$G$29="Yes",27&gt;=Projects!$C$29,27&lt;Projects!$C$29+Projects!$D$29),Projects!$B$29*INDEX(Curves!$B$4:$AR$4,1,27-Projects!$C$29+1),0)+IF(AND(Projects!$G$30="Yes",27&gt;=Projects!$C$30,27&lt;Projects!$C$30+Projects!$D$30),Projects!$B$30*INDEX(Curves!$B$4:$AR$4,1,27-Projects!$C$30+1),0)+IF(AND(Projects!$G$31="Yes",27&gt;=Projects!$C$31,27&lt;Projects!$C$31+Projects!$D$31),Projects!$B$31*INDEX(Curves!$B$4:$AR$4,1,27-Projects!$C$31+1),0)+IF(AND(Projects!$G$32="Yes",27&gt;=Projects!$C$32,27&lt;Projects!$C$32+Projects!$D$32),Projects!$B$32*INDEX(Curves!$B$4:$AR$4,1,27-Projects!$C$32+1),0)+IF(AND(Projects!$G$33="Yes",27&gt;=Projects!$C$33,27&lt;Projects!$C$33+Projects!$D$33),Projects!$B$33*INDEX(Curves!$B$4:$AR$4,1,27-Projects!$C$33+1),0)+IF(AND(Projects!$G$34="Yes",27&gt;=Projects!$C$34,27&lt;Projects!$C$34+Projects!$D$34),Projects!$B$34*INDEX(Curves!$B$4:$AR$4,1,27-Projects!$C$34+1),0)+IF(AND(Projects!$G$35="Yes",27&gt;=Projects!$C$35,27&lt;Projects!$C$35+Projects!$D$35),Projects!$B$35*INDEX(Curves!$B$4:$AR$4,1,27-Projects!$C$35+1),0)+IF(AND(Projects!$G$36="Yes",27&gt;=Projects!$C$36,27&lt;Projects!$C$36+Projects!$D$36),Projects!$B$36*INDEX(Curves!$B$4:$AR$4,1,27-Projects!$C$36+1),0)+IF(AND(Projects!$G$37="Yes",27&gt;=Projects!$C$37,27&lt;Projects!$C$37+Projects!$D$37),Projects!$B$37*INDEX(Curves!$B$4:$AR$4,1,27-Projects!$C$37+1),0)+IF(AND(Projects!$G$38="Yes",27&gt;=Projects!$C$38,27&lt;Projects!$C$38+Projects!$D$38),Projects!$B$38*INDEX(Curves!$B$4:$AR$4,1,27-Projects!$C$38+1),0)+IF(AND(Projects!$G$39="Yes",27&gt;=Projects!$C$39,27&lt;Projects!$C$39+Projects!$D$39),Projects!$B$39*INDEX(Curves!$B$4:$AR$4,1,27-Projects!$C$39+1),0)+IF(AND(Projects!$G$40="Yes",27&gt;=Projects!$C$40,27&lt;Projects!$C$40+Projects!$D$40),Projects!$B$40*INDEX(Curves!$B$4:$AR$4,1,27-Projects!$C$40+1),0)+IF(AND(Projects!$G$41="Yes",27&gt;=Projects!$C$41,27&lt;Projects!$C$41+Projects!$D$41),Projects!$B$41*INDEX(Curves!$B$4:$AR$4,1,27-Projects!$C$41+1),0)+IF(AND(Projects!$G$42="Yes",27&gt;=Projects!$C$42,27&lt;Projects!$C$42+Projects!$D$42),Projects!$B$42*INDEX(Curves!$B$4:$AR$4,1,27-Projects!$C$42+1),0)+IF(AND(Projects!$G$43="Yes",27&gt;=Projects!$C$43,27&lt;Projects!$C$43+Projects!$D$43),Projects!$B$43*INDEX(Curves!$B$4:$AR$4,1,27-Projects!$C$43+1),0)+IF(AND(Projects!$G$44="Yes",27&gt;=Projects!$C$44,27&lt;Projects!$C$44+Projects!$D$44),Projects!$B$44*INDEX(Curves!$B$4:$AR$4,1,27-Projects!$C$44+1),0)+IF(AND(Projects!$G$45="Yes",27&gt;=Projects!$C$45,27&lt;Projects!$C$45+Projects!$D$45),Projects!$B$45*INDEX(Curves!$B$4:$AR$4,1,27-Projects!$C$45+1),0)+IF(AND(Projects!$G$46="Yes",27&gt;=Projects!$C$46,27&lt;Projects!$C$46+Projects!$D$46),Projects!$B$46*INDEX(Curves!$B$4:$AR$4,1,27-Projects!$C$46+1),0)</f>
        <v>5983485.02811007</v>
      </c>
      <c r="AG96" s="313" t="n">
        <f aca="false">IF(AND(Projects!$G$17="Yes",28&gt;=Projects!$C$17,28&lt;Projects!$C$17+Projects!$D$17),Projects!$B$17*INDEX(Curves!$B$4:$AR$4,1,28-Projects!$C$17+1),0)+IF(AND(Projects!$G$18="Yes",28&gt;=Projects!$C$18,28&lt;Projects!$C$18+Projects!$D$18),Projects!$B$18*INDEX(Curves!$B$4:$AR$4,1,28-Projects!$C$18+1),0)+IF(AND(Projects!$G$19="Yes",28&gt;=Projects!$C$19,28&lt;Projects!$C$19+Projects!$D$19),Projects!$B$19*INDEX(Curves!$B$4:$AR$4,1,28-Projects!$C$19+1),0)+IF(AND(Projects!$G$20="Yes",28&gt;=Projects!$C$20,28&lt;Projects!$C$20+Projects!$D$20),Projects!$B$20*INDEX(Curves!$B$4:$AR$4,1,28-Projects!$C$20+1),0)+IF(AND(Projects!$G$21="Yes",28&gt;=Projects!$C$21,28&lt;Projects!$C$21+Projects!$D$21),Projects!$B$21*INDEX(Curves!$B$4:$AR$4,1,28-Projects!$C$21+1),0)+IF(AND(Projects!$G$22="Yes",28&gt;=Projects!$C$22,28&lt;Projects!$C$22+Projects!$D$22),Projects!$B$22*INDEX(Curves!$B$4:$AR$4,1,28-Projects!$C$22+1),0)+IF(AND(Projects!$G$23="Yes",28&gt;=Projects!$C$23,28&lt;Projects!$C$23+Projects!$D$23),Projects!$B$23*INDEX(Curves!$B$4:$AR$4,1,28-Projects!$C$23+1),0)+IF(AND(Projects!$G$24="Yes",28&gt;=Projects!$C$24,28&lt;Projects!$C$24+Projects!$D$24),Projects!$B$24*INDEX(Curves!$B$4:$AR$4,1,28-Projects!$C$24+1),0)+IF(AND(Projects!$G$25="Yes",28&gt;=Projects!$C$25,28&lt;Projects!$C$25+Projects!$D$25),Projects!$B$25*INDEX(Curves!$B$4:$AR$4,1,28-Projects!$C$25+1),0)+IF(AND(Projects!$G$26="Yes",28&gt;=Projects!$C$26,28&lt;Projects!$C$26+Projects!$D$26),Projects!$B$26*INDEX(Curves!$B$4:$AR$4,1,28-Projects!$C$26+1),0)+IF(AND(Projects!$G$27="Yes",28&gt;=Projects!$C$27,28&lt;Projects!$C$27+Projects!$D$27),Projects!$B$27*INDEX(Curves!$B$4:$AR$4,1,28-Projects!$C$27+1),0)+IF(AND(Projects!$G$28="Yes",28&gt;=Projects!$C$28,28&lt;Projects!$C$28+Projects!$D$28),Projects!$B$28*INDEX(Curves!$B$4:$AR$4,1,28-Projects!$C$28+1),0)+IF(AND(Projects!$G$29="Yes",28&gt;=Projects!$C$29,28&lt;Projects!$C$29+Projects!$D$29),Projects!$B$29*INDEX(Curves!$B$4:$AR$4,1,28-Projects!$C$29+1),0)+IF(AND(Projects!$G$30="Yes",28&gt;=Projects!$C$30,28&lt;Projects!$C$30+Projects!$D$30),Projects!$B$30*INDEX(Curves!$B$4:$AR$4,1,28-Projects!$C$30+1),0)+IF(AND(Projects!$G$31="Yes",28&gt;=Projects!$C$31,28&lt;Projects!$C$31+Projects!$D$31),Projects!$B$31*INDEX(Curves!$B$4:$AR$4,1,28-Projects!$C$31+1),0)+IF(AND(Projects!$G$32="Yes",28&gt;=Projects!$C$32,28&lt;Projects!$C$32+Projects!$D$32),Projects!$B$32*INDEX(Curves!$B$4:$AR$4,1,28-Projects!$C$32+1),0)+IF(AND(Projects!$G$33="Yes",28&gt;=Projects!$C$33,28&lt;Projects!$C$33+Projects!$D$33),Projects!$B$33*INDEX(Curves!$B$4:$AR$4,1,28-Projects!$C$33+1),0)+IF(AND(Projects!$G$34="Yes",28&gt;=Projects!$C$34,28&lt;Projects!$C$34+Projects!$D$34),Projects!$B$34*INDEX(Curves!$B$4:$AR$4,1,28-Projects!$C$34+1),0)+IF(AND(Projects!$G$35="Yes",28&gt;=Projects!$C$35,28&lt;Projects!$C$35+Projects!$D$35),Projects!$B$35*INDEX(Curves!$B$4:$AR$4,1,28-Projects!$C$35+1),0)+IF(AND(Projects!$G$36="Yes",28&gt;=Projects!$C$36,28&lt;Projects!$C$36+Projects!$D$36),Projects!$B$36*INDEX(Curves!$B$4:$AR$4,1,28-Projects!$C$36+1),0)+IF(AND(Projects!$G$37="Yes",28&gt;=Projects!$C$37,28&lt;Projects!$C$37+Projects!$D$37),Projects!$B$37*INDEX(Curves!$B$4:$AR$4,1,28-Projects!$C$37+1),0)+IF(AND(Projects!$G$38="Yes",28&gt;=Projects!$C$38,28&lt;Projects!$C$38+Projects!$D$38),Projects!$B$38*INDEX(Curves!$B$4:$AR$4,1,28-Projects!$C$38+1),0)+IF(AND(Projects!$G$39="Yes",28&gt;=Projects!$C$39,28&lt;Projects!$C$39+Projects!$D$39),Projects!$B$39*INDEX(Curves!$B$4:$AR$4,1,28-Projects!$C$39+1),0)+IF(AND(Projects!$G$40="Yes",28&gt;=Projects!$C$40,28&lt;Projects!$C$40+Projects!$D$40),Projects!$B$40*INDEX(Curves!$B$4:$AR$4,1,28-Projects!$C$40+1),0)+IF(AND(Projects!$G$41="Yes",28&gt;=Projects!$C$41,28&lt;Projects!$C$41+Projects!$D$41),Projects!$B$41*INDEX(Curves!$B$4:$AR$4,1,28-Projects!$C$41+1),0)+IF(AND(Projects!$G$42="Yes",28&gt;=Projects!$C$42,28&lt;Projects!$C$42+Projects!$D$42),Projects!$B$42*INDEX(Curves!$B$4:$AR$4,1,28-Projects!$C$42+1),0)+IF(AND(Projects!$G$43="Yes",28&gt;=Projects!$C$43,28&lt;Projects!$C$43+Projects!$D$43),Projects!$B$43*INDEX(Curves!$B$4:$AR$4,1,28-Projects!$C$43+1),0)+IF(AND(Projects!$G$44="Yes",28&gt;=Projects!$C$44,28&lt;Projects!$C$44+Projects!$D$44),Projects!$B$44*INDEX(Curves!$B$4:$AR$4,1,28-Projects!$C$44+1),0)+IF(AND(Projects!$G$45="Yes",28&gt;=Projects!$C$45,28&lt;Projects!$C$45+Projects!$D$45),Projects!$B$45*INDEX(Curves!$B$4:$AR$4,1,28-Projects!$C$45+1),0)+IF(AND(Projects!$G$46="Yes",28&gt;=Projects!$C$46,28&lt;Projects!$C$46+Projects!$D$46),Projects!$B$46*INDEX(Curves!$B$4:$AR$4,1,28-Projects!$C$46+1),0)</f>
        <v>5842232.11548131</v>
      </c>
      <c r="AH96" s="313" t="n">
        <f aca="false">IF(AND(Projects!$G$17="Yes",29&gt;=Projects!$C$17,29&lt;Projects!$C$17+Projects!$D$17),Projects!$B$17*INDEX(Curves!$B$4:$AR$4,1,29-Projects!$C$17+1),0)+IF(AND(Projects!$G$18="Yes",29&gt;=Projects!$C$18,29&lt;Projects!$C$18+Projects!$D$18),Projects!$B$18*INDEX(Curves!$B$4:$AR$4,1,29-Projects!$C$18+1),0)+IF(AND(Projects!$G$19="Yes",29&gt;=Projects!$C$19,29&lt;Projects!$C$19+Projects!$D$19),Projects!$B$19*INDEX(Curves!$B$4:$AR$4,1,29-Projects!$C$19+1),0)+IF(AND(Projects!$G$20="Yes",29&gt;=Projects!$C$20,29&lt;Projects!$C$20+Projects!$D$20),Projects!$B$20*INDEX(Curves!$B$4:$AR$4,1,29-Projects!$C$20+1),0)+IF(AND(Projects!$G$21="Yes",29&gt;=Projects!$C$21,29&lt;Projects!$C$21+Projects!$D$21),Projects!$B$21*INDEX(Curves!$B$4:$AR$4,1,29-Projects!$C$21+1),0)+IF(AND(Projects!$G$22="Yes",29&gt;=Projects!$C$22,29&lt;Projects!$C$22+Projects!$D$22),Projects!$B$22*INDEX(Curves!$B$4:$AR$4,1,29-Projects!$C$22+1),0)+IF(AND(Projects!$G$23="Yes",29&gt;=Projects!$C$23,29&lt;Projects!$C$23+Projects!$D$23),Projects!$B$23*INDEX(Curves!$B$4:$AR$4,1,29-Projects!$C$23+1),0)+IF(AND(Projects!$G$24="Yes",29&gt;=Projects!$C$24,29&lt;Projects!$C$24+Projects!$D$24),Projects!$B$24*INDEX(Curves!$B$4:$AR$4,1,29-Projects!$C$24+1),0)+IF(AND(Projects!$G$25="Yes",29&gt;=Projects!$C$25,29&lt;Projects!$C$25+Projects!$D$25),Projects!$B$25*INDEX(Curves!$B$4:$AR$4,1,29-Projects!$C$25+1),0)+IF(AND(Projects!$G$26="Yes",29&gt;=Projects!$C$26,29&lt;Projects!$C$26+Projects!$D$26),Projects!$B$26*INDEX(Curves!$B$4:$AR$4,1,29-Projects!$C$26+1),0)+IF(AND(Projects!$G$27="Yes",29&gt;=Projects!$C$27,29&lt;Projects!$C$27+Projects!$D$27),Projects!$B$27*INDEX(Curves!$B$4:$AR$4,1,29-Projects!$C$27+1),0)+IF(AND(Projects!$G$28="Yes",29&gt;=Projects!$C$28,29&lt;Projects!$C$28+Projects!$D$28),Projects!$B$28*INDEX(Curves!$B$4:$AR$4,1,29-Projects!$C$28+1),0)+IF(AND(Projects!$G$29="Yes",29&gt;=Projects!$C$29,29&lt;Projects!$C$29+Projects!$D$29),Projects!$B$29*INDEX(Curves!$B$4:$AR$4,1,29-Projects!$C$29+1),0)+IF(AND(Projects!$G$30="Yes",29&gt;=Projects!$C$30,29&lt;Projects!$C$30+Projects!$D$30),Projects!$B$30*INDEX(Curves!$B$4:$AR$4,1,29-Projects!$C$30+1),0)+IF(AND(Projects!$G$31="Yes",29&gt;=Projects!$C$31,29&lt;Projects!$C$31+Projects!$D$31),Projects!$B$31*INDEX(Curves!$B$4:$AR$4,1,29-Projects!$C$31+1),0)+IF(AND(Projects!$G$32="Yes",29&gt;=Projects!$C$32,29&lt;Projects!$C$32+Projects!$D$32),Projects!$B$32*INDEX(Curves!$B$4:$AR$4,1,29-Projects!$C$32+1),0)+IF(AND(Projects!$G$33="Yes",29&gt;=Projects!$C$33,29&lt;Projects!$C$33+Projects!$D$33),Projects!$B$33*INDEX(Curves!$B$4:$AR$4,1,29-Projects!$C$33+1),0)+IF(AND(Projects!$G$34="Yes",29&gt;=Projects!$C$34,29&lt;Projects!$C$34+Projects!$D$34),Projects!$B$34*INDEX(Curves!$B$4:$AR$4,1,29-Projects!$C$34+1),0)+IF(AND(Projects!$G$35="Yes",29&gt;=Projects!$C$35,29&lt;Projects!$C$35+Projects!$D$35),Projects!$B$35*INDEX(Curves!$B$4:$AR$4,1,29-Projects!$C$35+1),0)+IF(AND(Projects!$G$36="Yes",29&gt;=Projects!$C$36,29&lt;Projects!$C$36+Projects!$D$36),Projects!$B$36*INDEX(Curves!$B$4:$AR$4,1,29-Projects!$C$36+1),0)+IF(AND(Projects!$G$37="Yes",29&gt;=Projects!$C$37,29&lt;Projects!$C$37+Projects!$D$37),Projects!$B$37*INDEX(Curves!$B$4:$AR$4,1,29-Projects!$C$37+1),0)+IF(AND(Projects!$G$38="Yes",29&gt;=Projects!$C$38,29&lt;Projects!$C$38+Projects!$D$38),Projects!$B$38*INDEX(Curves!$B$4:$AR$4,1,29-Projects!$C$38+1),0)+IF(AND(Projects!$G$39="Yes",29&gt;=Projects!$C$39,29&lt;Projects!$C$39+Projects!$D$39),Projects!$B$39*INDEX(Curves!$B$4:$AR$4,1,29-Projects!$C$39+1),0)+IF(AND(Projects!$G$40="Yes",29&gt;=Projects!$C$40,29&lt;Projects!$C$40+Projects!$D$40),Projects!$B$40*INDEX(Curves!$B$4:$AR$4,1,29-Projects!$C$40+1),0)+IF(AND(Projects!$G$41="Yes",29&gt;=Projects!$C$41,29&lt;Projects!$C$41+Projects!$D$41),Projects!$B$41*INDEX(Curves!$B$4:$AR$4,1,29-Projects!$C$41+1),0)+IF(AND(Projects!$G$42="Yes",29&gt;=Projects!$C$42,29&lt;Projects!$C$42+Projects!$D$42),Projects!$B$42*INDEX(Curves!$B$4:$AR$4,1,29-Projects!$C$42+1),0)+IF(AND(Projects!$G$43="Yes",29&gt;=Projects!$C$43,29&lt;Projects!$C$43+Projects!$D$43),Projects!$B$43*INDEX(Curves!$B$4:$AR$4,1,29-Projects!$C$43+1),0)+IF(AND(Projects!$G$44="Yes",29&gt;=Projects!$C$44,29&lt;Projects!$C$44+Projects!$D$44),Projects!$B$44*INDEX(Curves!$B$4:$AR$4,1,29-Projects!$C$44+1),0)+IF(AND(Projects!$G$45="Yes",29&gt;=Projects!$C$45,29&lt;Projects!$C$45+Projects!$D$45),Projects!$B$45*INDEX(Curves!$B$4:$AR$4,1,29-Projects!$C$45+1),0)+IF(AND(Projects!$G$46="Yes",29&gt;=Projects!$C$46,29&lt;Projects!$C$46+Projects!$D$46),Projects!$B$46*INDEX(Curves!$B$4:$AR$4,1,29-Projects!$C$46+1),0)</f>
        <v>5777250.3695534</v>
      </c>
      <c r="AI96" s="313" t="n">
        <f aca="false">IF(AND(Projects!$G$17="Yes",30&gt;=Projects!$C$17,30&lt;Projects!$C$17+Projects!$D$17),Projects!$B$17*INDEX(Curves!$B$4:$AR$4,1,30-Projects!$C$17+1),0)+IF(AND(Projects!$G$18="Yes",30&gt;=Projects!$C$18,30&lt;Projects!$C$18+Projects!$D$18),Projects!$B$18*INDEX(Curves!$B$4:$AR$4,1,30-Projects!$C$18+1),0)+IF(AND(Projects!$G$19="Yes",30&gt;=Projects!$C$19,30&lt;Projects!$C$19+Projects!$D$19),Projects!$B$19*INDEX(Curves!$B$4:$AR$4,1,30-Projects!$C$19+1),0)+IF(AND(Projects!$G$20="Yes",30&gt;=Projects!$C$20,30&lt;Projects!$C$20+Projects!$D$20),Projects!$B$20*INDEX(Curves!$B$4:$AR$4,1,30-Projects!$C$20+1),0)+IF(AND(Projects!$G$21="Yes",30&gt;=Projects!$C$21,30&lt;Projects!$C$21+Projects!$D$21),Projects!$B$21*INDEX(Curves!$B$4:$AR$4,1,30-Projects!$C$21+1),0)+IF(AND(Projects!$G$22="Yes",30&gt;=Projects!$C$22,30&lt;Projects!$C$22+Projects!$D$22),Projects!$B$22*INDEX(Curves!$B$4:$AR$4,1,30-Projects!$C$22+1),0)+IF(AND(Projects!$G$23="Yes",30&gt;=Projects!$C$23,30&lt;Projects!$C$23+Projects!$D$23),Projects!$B$23*INDEX(Curves!$B$4:$AR$4,1,30-Projects!$C$23+1),0)+IF(AND(Projects!$G$24="Yes",30&gt;=Projects!$C$24,30&lt;Projects!$C$24+Projects!$D$24),Projects!$B$24*INDEX(Curves!$B$4:$AR$4,1,30-Projects!$C$24+1),0)+IF(AND(Projects!$G$25="Yes",30&gt;=Projects!$C$25,30&lt;Projects!$C$25+Projects!$D$25),Projects!$B$25*INDEX(Curves!$B$4:$AR$4,1,30-Projects!$C$25+1),0)+IF(AND(Projects!$G$26="Yes",30&gt;=Projects!$C$26,30&lt;Projects!$C$26+Projects!$D$26),Projects!$B$26*INDEX(Curves!$B$4:$AR$4,1,30-Projects!$C$26+1),0)+IF(AND(Projects!$G$27="Yes",30&gt;=Projects!$C$27,30&lt;Projects!$C$27+Projects!$D$27),Projects!$B$27*INDEX(Curves!$B$4:$AR$4,1,30-Projects!$C$27+1),0)+IF(AND(Projects!$G$28="Yes",30&gt;=Projects!$C$28,30&lt;Projects!$C$28+Projects!$D$28),Projects!$B$28*INDEX(Curves!$B$4:$AR$4,1,30-Projects!$C$28+1),0)+IF(AND(Projects!$G$29="Yes",30&gt;=Projects!$C$29,30&lt;Projects!$C$29+Projects!$D$29),Projects!$B$29*INDEX(Curves!$B$4:$AR$4,1,30-Projects!$C$29+1),0)+IF(AND(Projects!$G$30="Yes",30&gt;=Projects!$C$30,30&lt;Projects!$C$30+Projects!$D$30),Projects!$B$30*INDEX(Curves!$B$4:$AR$4,1,30-Projects!$C$30+1),0)+IF(AND(Projects!$G$31="Yes",30&gt;=Projects!$C$31,30&lt;Projects!$C$31+Projects!$D$31),Projects!$B$31*INDEX(Curves!$B$4:$AR$4,1,30-Projects!$C$31+1),0)+IF(AND(Projects!$G$32="Yes",30&gt;=Projects!$C$32,30&lt;Projects!$C$32+Projects!$D$32),Projects!$B$32*INDEX(Curves!$B$4:$AR$4,1,30-Projects!$C$32+1),0)+IF(AND(Projects!$G$33="Yes",30&gt;=Projects!$C$33,30&lt;Projects!$C$33+Projects!$D$33),Projects!$B$33*INDEX(Curves!$B$4:$AR$4,1,30-Projects!$C$33+1),0)+IF(AND(Projects!$G$34="Yes",30&gt;=Projects!$C$34,30&lt;Projects!$C$34+Projects!$D$34),Projects!$B$34*INDEX(Curves!$B$4:$AR$4,1,30-Projects!$C$34+1),0)+IF(AND(Projects!$G$35="Yes",30&gt;=Projects!$C$35,30&lt;Projects!$C$35+Projects!$D$35),Projects!$B$35*INDEX(Curves!$B$4:$AR$4,1,30-Projects!$C$35+1),0)+IF(AND(Projects!$G$36="Yes",30&gt;=Projects!$C$36,30&lt;Projects!$C$36+Projects!$D$36),Projects!$B$36*INDEX(Curves!$B$4:$AR$4,1,30-Projects!$C$36+1),0)+IF(AND(Projects!$G$37="Yes",30&gt;=Projects!$C$37,30&lt;Projects!$C$37+Projects!$D$37),Projects!$B$37*INDEX(Curves!$B$4:$AR$4,1,30-Projects!$C$37+1),0)+IF(AND(Projects!$G$38="Yes",30&gt;=Projects!$C$38,30&lt;Projects!$C$38+Projects!$D$38),Projects!$B$38*INDEX(Curves!$B$4:$AR$4,1,30-Projects!$C$38+1),0)+IF(AND(Projects!$G$39="Yes",30&gt;=Projects!$C$39,30&lt;Projects!$C$39+Projects!$D$39),Projects!$B$39*INDEX(Curves!$B$4:$AR$4,1,30-Projects!$C$39+1),0)+IF(AND(Projects!$G$40="Yes",30&gt;=Projects!$C$40,30&lt;Projects!$C$40+Projects!$D$40),Projects!$B$40*INDEX(Curves!$B$4:$AR$4,1,30-Projects!$C$40+1),0)+IF(AND(Projects!$G$41="Yes",30&gt;=Projects!$C$41,30&lt;Projects!$C$41+Projects!$D$41),Projects!$B$41*INDEX(Curves!$B$4:$AR$4,1,30-Projects!$C$41+1),0)+IF(AND(Projects!$G$42="Yes",30&gt;=Projects!$C$42,30&lt;Projects!$C$42+Projects!$D$42),Projects!$B$42*INDEX(Curves!$B$4:$AR$4,1,30-Projects!$C$42+1),0)+IF(AND(Projects!$G$43="Yes",30&gt;=Projects!$C$43,30&lt;Projects!$C$43+Projects!$D$43),Projects!$B$43*INDEX(Curves!$B$4:$AR$4,1,30-Projects!$C$43+1),0)+IF(AND(Projects!$G$44="Yes",30&gt;=Projects!$C$44,30&lt;Projects!$C$44+Projects!$D$44),Projects!$B$44*INDEX(Curves!$B$4:$AR$4,1,30-Projects!$C$44+1),0)+IF(AND(Projects!$G$45="Yes",30&gt;=Projects!$C$45,30&lt;Projects!$C$45+Projects!$D$45),Projects!$B$45*INDEX(Curves!$B$4:$AR$4,1,30-Projects!$C$45+1),0)+IF(AND(Projects!$G$46="Yes",30&gt;=Projects!$C$46,30&lt;Projects!$C$46+Projects!$D$46),Projects!$B$46*INDEX(Curves!$B$4:$AR$4,1,30-Projects!$C$46+1),0)</f>
        <v>6142515.40265656</v>
      </c>
      <c r="AJ96" s="313" t="n">
        <f aca="false">IF(AND(Projects!$G$17="Yes",31&gt;=Projects!$C$17,31&lt;Projects!$C$17+Projects!$D$17),Projects!$B$17*INDEX(Curves!$B$4:$AR$4,1,31-Projects!$C$17+1),0)+IF(AND(Projects!$G$18="Yes",31&gt;=Projects!$C$18,31&lt;Projects!$C$18+Projects!$D$18),Projects!$B$18*INDEX(Curves!$B$4:$AR$4,1,31-Projects!$C$18+1),0)+IF(AND(Projects!$G$19="Yes",31&gt;=Projects!$C$19,31&lt;Projects!$C$19+Projects!$D$19),Projects!$B$19*INDEX(Curves!$B$4:$AR$4,1,31-Projects!$C$19+1),0)+IF(AND(Projects!$G$20="Yes",31&gt;=Projects!$C$20,31&lt;Projects!$C$20+Projects!$D$20),Projects!$B$20*INDEX(Curves!$B$4:$AR$4,1,31-Projects!$C$20+1),0)+IF(AND(Projects!$G$21="Yes",31&gt;=Projects!$C$21,31&lt;Projects!$C$21+Projects!$D$21),Projects!$B$21*INDEX(Curves!$B$4:$AR$4,1,31-Projects!$C$21+1),0)+IF(AND(Projects!$G$22="Yes",31&gt;=Projects!$C$22,31&lt;Projects!$C$22+Projects!$D$22),Projects!$B$22*INDEX(Curves!$B$4:$AR$4,1,31-Projects!$C$22+1),0)+IF(AND(Projects!$G$23="Yes",31&gt;=Projects!$C$23,31&lt;Projects!$C$23+Projects!$D$23),Projects!$B$23*INDEX(Curves!$B$4:$AR$4,1,31-Projects!$C$23+1),0)+IF(AND(Projects!$G$24="Yes",31&gt;=Projects!$C$24,31&lt;Projects!$C$24+Projects!$D$24),Projects!$B$24*INDEX(Curves!$B$4:$AR$4,1,31-Projects!$C$24+1),0)+IF(AND(Projects!$G$25="Yes",31&gt;=Projects!$C$25,31&lt;Projects!$C$25+Projects!$D$25),Projects!$B$25*INDEX(Curves!$B$4:$AR$4,1,31-Projects!$C$25+1),0)+IF(AND(Projects!$G$26="Yes",31&gt;=Projects!$C$26,31&lt;Projects!$C$26+Projects!$D$26),Projects!$B$26*INDEX(Curves!$B$4:$AR$4,1,31-Projects!$C$26+1),0)+IF(AND(Projects!$G$27="Yes",31&gt;=Projects!$C$27,31&lt;Projects!$C$27+Projects!$D$27),Projects!$B$27*INDEX(Curves!$B$4:$AR$4,1,31-Projects!$C$27+1),0)+IF(AND(Projects!$G$28="Yes",31&gt;=Projects!$C$28,31&lt;Projects!$C$28+Projects!$D$28),Projects!$B$28*INDEX(Curves!$B$4:$AR$4,1,31-Projects!$C$28+1),0)+IF(AND(Projects!$G$29="Yes",31&gt;=Projects!$C$29,31&lt;Projects!$C$29+Projects!$D$29),Projects!$B$29*INDEX(Curves!$B$4:$AR$4,1,31-Projects!$C$29+1),0)+IF(AND(Projects!$G$30="Yes",31&gt;=Projects!$C$30,31&lt;Projects!$C$30+Projects!$D$30),Projects!$B$30*INDEX(Curves!$B$4:$AR$4,1,31-Projects!$C$30+1),0)+IF(AND(Projects!$G$31="Yes",31&gt;=Projects!$C$31,31&lt;Projects!$C$31+Projects!$D$31),Projects!$B$31*INDEX(Curves!$B$4:$AR$4,1,31-Projects!$C$31+1),0)+IF(AND(Projects!$G$32="Yes",31&gt;=Projects!$C$32,31&lt;Projects!$C$32+Projects!$D$32),Projects!$B$32*INDEX(Curves!$B$4:$AR$4,1,31-Projects!$C$32+1),0)+IF(AND(Projects!$G$33="Yes",31&gt;=Projects!$C$33,31&lt;Projects!$C$33+Projects!$D$33),Projects!$B$33*INDEX(Curves!$B$4:$AR$4,1,31-Projects!$C$33+1),0)+IF(AND(Projects!$G$34="Yes",31&gt;=Projects!$C$34,31&lt;Projects!$C$34+Projects!$D$34),Projects!$B$34*INDEX(Curves!$B$4:$AR$4,1,31-Projects!$C$34+1),0)+IF(AND(Projects!$G$35="Yes",31&gt;=Projects!$C$35,31&lt;Projects!$C$35+Projects!$D$35),Projects!$B$35*INDEX(Curves!$B$4:$AR$4,1,31-Projects!$C$35+1),0)+IF(AND(Projects!$G$36="Yes",31&gt;=Projects!$C$36,31&lt;Projects!$C$36+Projects!$D$36),Projects!$B$36*INDEX(Curves!$B$4:$AR$4,1,31-Projects!$C$36+1),0)+IF(AND(Projects!$G$37="Yes",31&gt;=Projects!$C$37,31&lt;Projects!$C$37+Projects!$D$37),Projects!$B$37*INDEX(Curves!$B$4:$AR$4,1,31-Projects!$C$37+1),0)+IF(AND(Projects!$G$38="Yes",31&gt;=Projects!$C$38,31&lt;Projects!$C$38+Projects!$D$38),Projects!$B$38*INDEX(Curves!$B$4:$AR$4,1,31-Projects!$C$38+1),0)+IF(AND(Projects!$G$39="Yes",31&gt;=Projects!$C$39,31&lt;Projects!$C$39+Projects!$D$39),Projects!$B$39*INDEX(Curves!$B$4:$AR$4,1,31-Projects!$C$39+1),0)+IF(AND(Projects!$G$40="Yes",31&gt;=Projects!$C$40,31&lt;Projects!$C$40+Projects!$D$40),Projects!$B$40*INDEX(Curves!$B$4:$AR$4,1,31-Projects!$C$40+1),0)+IF(AND(Projects!$G$41="Yes",31&gt;=Projects!$C$41,31&lt;Projects!$C$41+Projects!$D$41),Projects!$B$41*INDEX(Curves!$B$4:$AR$4,1,31-Projects!$C$41+1),0)+IF(AND(Projects!$G$42="Yes",31&gt;=Projects!$C$42,31&lt;Projects!$C$42+Projects!$D$42),Projects!$B$42*INDEX(Curves!$B$4:$AR$4,1,31-Projects!$C$42+1),0)+IF(AND(Projects!$G$43="Yes",31&gt;=Projects!$C$43,31&lt;Projects!$C$43+Projects!$D$43),Projects!$B$43*INDEX(Curves!$B$4:$AR$4,1,31-Projects!$C$43+1),0)+IF(AND(Projects!$G$44="Yes",31&gt;=Projects!$C$44,31&lt;Projects!$C$44+Projects!$D$44),Projects!$B$44*INDEX(Curves!$B$4:$AR$4,1,31-Projects!$C$44+1),0)+IF(AND(Projects!$G$45="Yes",31&gt;=Projects!$C$45,31&lt;Projects!$C$45+Projects!$D$45),Projects!$B$45*INDEX(Curves!$B$4:$AR$4,1,31-Projects!$C$45+1),0)+IF(AND(Projects!$G$46="Yes",31&gt;=Projects!$C$46,31&lt;Projects!$C$46+Projects!$D$46),Projects!$B$46*INDEX(Curves!$B$4:$AR$4,1,31-Projects!$C$46+1),0)</f>
        <v>6475987.30521332</v>
      </c>
      <c r="AK96" s="313" t="n">
        <f aca="false">IF(AND(Projects!$G$17="Yes",32&gt;=Projects!$C$17,32&lt;Projects!$C$17+Projects!$D$17),Projects!$B$17*INDEX(Curves!$B$4:$AR$4,1,32-Projects!$C$17+1),0)+IF(AND(Projects!$G$18="Yes",32&gt;=Projects!$C$18,32&lt;Projects!$C$18+Projects!$D$18),Projects!$B$18*INDEX(Curves!$B$4:$AR$4,1,32-Projects!$C$18+1),0)+IF(AND(Projects!$G$19="Yes",32&gt;=Projects!$C$19,32&lt;Projects!$C$19+Projects!$D$19),Projects!$B$19*INDEX(Curves!$B$4:$AR$4,1,32-Projects!$C$19+1),0)+IF(AND(Projects!$G$20="Yes",32&gt;=Projects!$C$20,32&lt;Projects!$C$20+Projects!$D$20),Projects!$B$20*INDEX(Curves!$B$4:$AR$4,1,32-Projects!$C$20+1),0)+IF(AND(Projects!$G$21="Yes",32&gt;=Projects!$C$21,32&lt;Projects!$C$21+Projects!$D$21),Projects!$B$21*INDEX(Curves!$B$4:$AR$4,1,32-Projects!$C$21+1),0)+IF(AND(Projects!$G$22="Yes",32&gt;=Projects!$C$22,32&lt;Projects!$C$22+Projects!$D$22),Projects!$B$22*INDEX(Curves!$B$4:$AR$4,1,32-Projects!$C$22+1),0)+IF(AND(Projects!$G$23="Yes",32&gt;=Projects!$C$23,32&lt;Projects!$C$23+Projects!$D$23),Projects!$B$23*INDEX(Curves!$B$4:$AR$4,1,32-Projects!$C$23+1),0)+IF(AND(Projects!$G$24="Yes",32&gt;=Projects!$C$24,32&lt;Projects!$C$24+Projects!$D$24),Projects!$B$24*INDEX(Curves!$B$4:$AR$4,1,32-Projects!$C$24+1),0)+IF(AND(Projects!$G$25="Yes",32&gt;=Projects!$C$25,32&lt;Projects!$C$25+Projects!$D$25),Projects!$B$25*INDEX(Curves!$B$4:$AR$4,1,32-Projects!$C$25+1),0)+IF(AND(Projects!$G$26="Yes",32&gt;=Projects!$C$26,32&lt;Projects!$C$26+Projects!$D$26),Projects!$B$26*INDEX(Curves!$B$4:$AR$4,1,32-Projects!$C$26+1),0)+IF(AND(Projects!$G$27="Yes",32&gt;=Projects!$C$27,32&lt;Projects!$C$27+Projects!$D$27),Projects!$B$27*INDEX(Curves!$B$4:$AR$4,1,32-Projects!$C$27+1),0)+IF(AND(Projects!$G$28="Yes",32&gt;=Projects!$C$28,32&lt;Projects!$C$28+Projects!$D$28),Projects!$B$28*INDEX(Curves!$B$4:$AR$4,1,32-Projects!$C$28+1),0)+IF(AND(Projects!$G$29="Yes",32&gt;=Projects!$C$29,32&lt;Projects!$C$29+Projects!$D$29),Projects!$B$29*INDEX(Curves!$B$4:$AR$4,1,32-Projects!$C$29+1),0)+IF(AND(Projects!$G$30="Yes",32&gt;=Projects!$C$30,32&lt;Projects!$C$30+Projects!$D$30),Projects!$B$30*INDEX(Curves!$B$4:$AR$4,1,32-Projects!$C$30+1),0)+IF(AND(Projects!$G$31="Yes",32&gt;=Projects!$C$31,32&lt;Projects!$C$31+Projects!$D$31),Projects!$B$31*INDEX(Curves!$B$4:$AR$4,1,32-Projects!$C$31+1),0)+IF(AND(Projects!$G$32="Yes",32&gt;=Projects!$C$32,32&lt;Projects!$C$32+Projects!$D$32),Projects!$B$32*INDEX(Curves!$B$4:$AR$4,1,32-Projects!$C$32+1),0)+IF(AND(Projects!$G$33="Yes",32&gt;=Projects!$C$33,32&lt;Projects!$C$33+Projects!$D$33),Projects!$B$33*INDEX(Curves!$B$4:$AR$4,1,32-Projects!$C$33+1),0)+IF(AND(Projects!$G$34="Yes",32&gt;=Projects!$C$34,32&lt;Projects!$C$34+Projects!$D$34),Projects!$B$34*INDEX(Curves!$B$4:$AR$4,1,32-Projects!$C$34+1),0)+IF(AND(Projects!$G$35="Yes",32&gt;=Projects!$C$35,32&lt;Projects!$C$35+Projects!$D$35),Projects!$B$35*INDEX(Curves!$B$4:$AR$4,1,32-Projects!$C$35+1),0)+IF(AND(Projects!$G$36="Yes",32&gt;=Projects!$C$36,32&lt;Projects!$C$36+Projects!$D$36),Projects!$B$36*INDEX(Curves!$B$4:$AR$4,1,32-Projects!$C$36+1),0)+IF(AND(Projects!$G$37="Yes",32&gt;=Projects!$C$37,32&lt;Projects!$C$37+Projects!$D$37),Projects!$B$37*INDEX(Curves!$B$4:$AR$4,1,32-Projects!$C$37+1),0)+IF(AND(Projects!$G$38="Yes",32&gt;=Projects!$C$38,32&lt;Projects!$C$38+Projects!$D$38),Projects!$B$38*INDEX(Curves!$B$4:$AR$4,1,32-Projects!$C$38+1),0)+IF(AND(Projects!$G$39="Yes",32&gt;=Projects!$C$39,32&lt;Projects!$C$39+Projects!$D$39),Projects!$B$39*INDEX(Curves!$B$4:$AR$4,1,32-Projects!$C$39+1),0)+IF(AND(Projects!$G$40="Yes",32&gt;=Projects!$C$40,32&lt;Projects!$C$40+Projects!$D$40),Projects!$B$40*INDEX(Curves!$B$4:$AR$4,1,32-Projects!$C$40+1),0)+IF(AND(Projects!$G$41="Yes",32&gt;=Projects!$C$41,32&lt;Projects!$C$41+Projects!$D$41),Projects!$B$41*INDEX(Curves!$B$4:$AR$4,1,32-Projects!$C$41+1),0)+IF(AND(Projects!$G$42="Yes",32&gt;=Projects!$C$42,32&lt;Projects!$C$42+Projects!$D$42),Projects!$B$42*INDEX(Curves!$B$4:$AR$4,1,32-Projects!$C$42+1),0)+IF(AND(Projects!$G$43="Yes",32&gt;=Projects!$C$43,32&lt;Projects!$C$43+Projects!$D$43),Projects!$B$43*INDEX(Curves!$B$4:$AR$4,1,32-Projects!$C$43+1),0)+IF(AND(Projects!$G$44="Yes",32&gt;=Projects!$C$44,32&lt;Projects!$C$44+Projects!$D$44),Projects!$B$44*INDEX(Curves!$B$4:$AR$4,1,32-Projects!$C$44+1),0)+IF(AND(Projects!$G$45="Yes",32&gt;=Projects!$C$45,32&lt;Projects!$C$45+Projects!$D$45),Projects!$B$45*INDEX(Curves!$B$4:$AR$4,1,32-Projects!$C$45+1),0)+IF(AND(Projects!$G$46="Yes",32&gt;=Projects!$C$46,32&lt;Projects!$C$46+Projects!$D$46),Projects!$B$46*INDEX(Curves!$B$4:$AR$4,1,32-Projects!$C$46+1),0)</f>
        <v>6856633.85427146</v>
      </c>
      <c r="AL96" s="313" t="n">
        <f aca="false">IF(AND(Projects!$G$17="Yes",33&gt;=Projects!$C$17,33&lt;Projects!$C$17+Projects!$D$17),Projects!$B$17*INDEX(Curves!$B$4:$AR$4,1,33-Projects!$C$17+1),0)+IF(AND(Projects!$G$18="Yes",33&gt;=Projects!$C$18,33&lt;Projects!$C$18+Projects!$D$18),Projects!$B$18*INDEX(Curves!$B$4:$AR$4,1,33-Projects!$C$18+1),0)+IF(AND(Projects!$G$19="Yes",33&gt;=Projects!$C$19,33&lt;Projects!$C$19+Projects!$D$19),Projects!$B$19*INDEX(Curves!$B$4:$AR$4,1,33-Projects!$C$19+1),0)+IF(AND(Projects!$G$20="Yes",33&gt;=Projects!$C$20,33&lt;Projects!$C$20+Projects!$D$20),Projects!$B$20*INDEX(Curves!$B$4:$AR$4,1,33-Projects!$C$20+1),0)+IF(AND(Projects!$G$21="Yes",33&gt;=Projects!$C$21,33&lt;Projects!$C$21+Projects!$D$21),Projects!$B$21*INDEX(Curves!$B$4:$AR$4,1,33-Projects!$C$21+1),0)+IF(AND(Projects!$G$22="Yes",33&gt;=Projects!$C$22,33&lt;Projects!$C$22+Projects!$D$22),Projects!$B$22*INDEX(Curves!$B$4:$AR$4,1,33-Projects!$C$22+1),0)+IF(AND(Projects!$G$23="Yes",33&gt;=Projects!$C$23,33&lt;Projects!$C$23+Projects!$D$23),Projects!$B$23*INDEX(Curves!$B$4:$AR$4,1,33-Projects!$C$23+1),0)+IF(AND(Projects!$G$24="Yes",33&gt;=Projects!$C$24,33&lt;Projects!$C$24+Projects!$D$24),Projects!$B$24*INDEX(Curves!$B$4:$AR$4,1,33-Projects!$C$24+1),0)+IF(AND(Projects!$G$25="Yes",33&gt;=Projects!$C$25,33&lt;Projects!$C$25+Projects!$D$25),Projects!$B$25*INDEX(Curves!$B$4:$AR$4,1,33-Projects!$C$25+1),0)+IF(AND(Projects!$G$26="Yes",33&gt;=Projects!$C$26,33&lt;Projects!$C$26+Projects!$D$26),Projects!$B$26*INDEX(Curves!$B$4:$AR$4,1,33-Projects!$C$26+1),0)+IF(AND(Projects!$G$27="Yes",33&gt;=Projects!$C$27,33&lt;Projects!$C$27+Projects!$D$27),Projects!$B$27*INDEX(Curves!$B$4:$AR$4,1,33-Projects!$C$27+1),0)+IF(AND(Projects!$G$28="Yes",33&gt;=Projects!$C$28,33&lt;Projects!$C$28+Projects!$D$28),Projects!$B$28*INDEX(Curves!$B$4:$AR$4,1,33-Projects!$C$28+1),0)+IF(AND(Projects!$G$29="Yes",33&gt;=Projects!$C$29,33&lt;Projects!$C$29+Projects!$D$29),Projects!$B$29*INDEX(Curves!$B$4:$AR$4,1,33-Projects!$C$29+1),0)+IF(AND(Projects!$G$30="Yes",33&gt;=Projects!$C$30,33&lt;Projects!$C$30+Projects!$D$30),Projects!$B$30*INDEX(Curves!$B$4:$AR$4,1,33-Projects!$C$30+1),0)+IF(AND(Projects!$G$31="Yes",33&gt;=Projects!$C$31,33&lt;Projects!$C$31+Projects!$D$31),Projects!$B$31*INDEX(Curves!$B$4:$AR$4,1,33-Projects!$C$31+1),0)+IF(AND(Projects!$G$32="Yes",33&gt;=Projects!$C$32,33&lt;Projects!$C$32+Projects!$D$32),Projects!$B$32*INDEX(Curves!$B$4:$AR$4,1,33-Projects!$C$32+1),0)+IF(AND(Projects!$G$33="Yes",33&gt;=Projects!$C$33,33&lt;Projects!$C$33+Projects!$D$33),Projects!$B$33*INDEX(Curves!$B$4:$AR$4,1,33-Projects!$C$33+1),0)+IF(AND(Projects!$G$34="Yes",33&gt;=Projects!$C$34,33&lt;Projects!$C$34+Projects!$D$34),Projects!$B$34*INDEX(Curves!$B$4:$AR$4,1,33-Projects!$C$34+1),0)+IF(AND(Projects!$G$35="Yes",33&gt;=Projects!$C$35,33&lt;Projects!$C$35+Projects!$D$35),Projects!$B$35*INDEX(Curves!$B$4:$AR$4,1,33-Projects!$C$35+1),0)+IF(AND(Projects!$G$36="Yes",33&gt;=Projects!$C$36,33&lt;Projects!$C$36+Projects!$D$36),Projects!$B$36*INDEX(Curves!$B$4:$AR$4,1,33-Projects!$C$36+1),0)+IF(AND(Projects!$G$37="Yes",33&gt;=Projects!$C$37,33&lt;Projects!$C$37+Projects!$D$37),Projects!$B$37*INDEX(Curves!$B$4:$AR$4,1,33-Projects!$C$37+1),0)+IF(AND(Projects!$G$38="Yes",33&gt;=Projects!$C$38,33&lt;Projects!$C$38+Projects!$D$38),Projects!$B$38*INDEX(Curves!$B$4:$AR$4,1,33-Projects!$C$38+1),0)+IF(AND(Projects!$G$39="Yes",33&gt;=Projects!$C$39,33&lt;Projects!$C$39+Projects!$D$39),Projects!$B$39*INDEX(Curves!$B$4:$AR$4,1,33-Projects!$C$39+1),0)+IF(AND(Projects!$G$40="Yes",33&gt;=Projects!$C$40,33&lt;Projects!$C$40+Projects!$D$40),Projects!$B$40*INDEX(Curves!$B$4:$AR$4,1,33-Projects!$C$40+1),0)+IF(AND(Projects!$G$41="Yes",33&gt;=Projects!$C$41,33&lt;Projects!$C$41+Projects!$D$41),Projects!$B$41*INDEX(Curves!$B$4:$AR$4,1,33-Projects!$C$41+1),0)+IF(AND(Projects!$G$42="Yes",33&gt;=Projects!$C$42,33&lt;Projects!$C$42+Projects!$D$42),Projects!$B$42*INDEX(Curves!$B$4:$AR$4,1,33-Projects!$C$42+1),0)+IF(AND(Projects!$G$43="Yes",33&gt;=Projects!$C$43,33&lt;Projects!$C$43+Projects!$D$43),Projects!$B$43*INDEX(Curves!$B$4:$AR$4,1,33-Projects!$C$43+1),0)+IF(AND(Projects!$G$44="Yes",33&gt;=Projects!$C$44,33&lt;Projects!$C$44+Projects!$D$44),Projects!$B$44*INDEX(Curves!$B$4:$AR$4,1,33-Projects!$C$44+1),0)+IF(AND(Projects!$G$45="Yes",33&gt;=Projects!$C$45,33&lt;Projects!$C$45+Projects!$D$45),Projects!$B$45*INDEX(Curves!$B$4:$AR$4,1,33-Projects!$C$45+1),0)+IF(AND(Projects!$G$46="Yes",33&gt;=Projects!$C$46,33&lt;Projects!$C$46+Projects!$D$46),Projects!$B$46*INDEX(Curves!$B$4:$AR$4,1,33-Projects!$C$46+1),0)</f>
        <v>6976003.90203676</v>
      </c>
      <c r="AM96" s="313" t="n">
        <f aca="false">IF(AND(Projects!$G$17="Yes",34&gt;=Projects!$C$17,34&lt;Projects!$C$17+Projects!$D$17),Projects!$B$17*INDEX(Curves!$B$4:$AR$4,1,34-Projects!$C$17+1),0)+IF(AND(Projects!$G$18="Yes",34&gt;=Projects!$C$18,34&lt;Projects!$C$18+Projects!$D$18),Projects!$B$18*INDEX(Curves!$B$4:$AR$4,1,34-Projects!$C$18+1),0)+IF(AND(Projects!$G$19="Yes",34&gt;=Projects!$C$19,34&lt;Projects!$C$19+Projects!$D$19),Projects!$B$19*INDEX(Curves!$B$4:$AR$4,1,34-Projects!$C$19+1),0)+IF(AND(Projects!$G$20="Yes",34&gt;=Projects!$C$20,34&lt;Projects!$C$20+Projects!$D$20),Projects!$B$20*INDEX(Curves!$B$4:$AR$4,1,34-Projects!$C$20+1),0)+IF(AND(Projects!$G$21="Yes",34&gt;=Projects!$C$21,34&lt;Projects!$C$21+Projects!$D$21),Projects!$B$21*INDEX(Curves!$B$4:$AR$4,1,34-Projects!$C$21+1),0)+IF(AND(Projects!$G$22="Yes",34&gt;=Projects!$C$22,34&lt;Projects!$C$22+Projects!$D$22),Projects!$B$22*INDEX(Curves!$B$4:$AR$4,1,34-Projects!$C$22+1),0)+IF(AND(Projects!$G$23="Yes",34&gt;=Projects!$C$23,34&lt;Projects!$C$23+Projects!$D$23),Projects!$B$23*INDEX(Curves!$B$4:$AR$4,1,34-Projects!$C$23+1),0)+IF(AND(Projects!$G$24="Yes",34&gt;=Projects!$C$24,34&lt;Projects!$C$24+Projects!$D$24),Projects!$B$24*INDEX(Curves!$B$4:$AR$4,1,34-Projects!$C$24+1),0)+IF(AND(Projects!$G$25="Yes",34&gt;=Projects!$C$25,34&lt;Projects!$C$25+Projects!$D$25),Projects!$B$25*INDEX(Curves!$B$4:$AR$4,1,34-Projects!$C$25+1),0)+IF(AND(Projects!$G$26="Yes",34&gt;=Projects!$C$26,34&lt;Projects!$C$26+Projects!$D$26),Projects!$B$26*INDEX(Curves!$B$4:$AR$4,1,34-Projects!$C$26+1),0)+IF(AND(Projects!$G$27="Yes",34&gt;=Projects!$C$27,34&lt;Projects!$C$27+Projects!$D$27),Projects!$B$27*INDEX(Curves!$B$4:$AR$4,1,34-Projects!$C$27+1),0)+IF(AND(Projects!$G$28="Yes",34&gt;=Projects!$C$28,34&lt;Projects!$C$28+Projects!$D$28),Projects!$B$28*INDEX(Curves!$B$4:$AR$4,1,34-Projects!$C$28+1),0)+IF(AND(Projects!$G$29="Yes",34&gt;=Projects!$C$29,34&lt;Projects!$C$29+Projects!$D$29),Projects!$B$29*INDEX(Curves!$B$4:$AR$4,1,34-Projects!$C$29+1),0)+IF(AND(Projects!$G$30="Yes",34&gt;=Projects!$C$30,34&lt;Projects!$C$30+Projects!$D$30),Projects!$B$30*INDEX(Curves!$B$4:$AR$4,1,34-Projects!$C$30+1),0)+IF(AND(Projects!$G$31="Yes",34&gt;=Projects!$C$31,34&lt;Projects!$C$31+Projects!$D$31),Projects!$B$31*INDEX(Curves!$B$4:$AR$4,1,34-Projects!$C$31+1),0)+IF(AND(Projects!$G$32="Yes",34&gt;=Projects!$C$32,34&lt;Projects!$C$32+Projects!$D$32),Projects!$B$32*INDEX(Curves!$B$4:$AR$4,1,34-Projects!$C$32+1),0)+IF(AND(Projects!$G$33="Yes",34&gt;=Projects!$C$33,34&lt;Projects!$C$33+Projects!$D$33),Projects!$B$33*INDEX(Curves!$B$4:$AR$4,1,34-Projects!$C$33+1),0)+IF(AND(Projects!$G$34="Yes",34&gt;=Projects!$C$34,34&lt;Projects!$C$34+Projects!$D$34),Projects!$B$34*INDEX(Curves!$B$4:$AR$4,1,34-Projects!$C$34+1),0)+IF(AND(Projects!$G$35="Yes",34&gt;=Projects!$C$35,34&lt;Projects!$C$35+Projects!$D$35),Projects!$B$35*INDEX(Curves!$B$4:$AR$4,1,34-Projects!$C$35+1),0)+IF(AND(Projects!$G$36="Yes",34&gt;=Projects!$C$36,34&lt;Projects!$C$36+Projects!$D$36),Projects!$B$36*INDEX(Curves!$B$4:$AR$4,1,34-Projects!$C$36+1),0)+IF(AND(Projects!$G$37="Yes",34&gt;=Projects!$C$37,34&lt;Projects!$C$37+Projects!$D$37),Projects!$B$37*INDEX(Curves!$B$4:$AR$4,1,34-Projects!$C$37+1),0)+IF(AND(Projects!$G$38="Yes",34&gt;=Projects!$C$38,34&lt;Projects!$C$38+Projects!$D$38),Projects!$B$38*INDEX(Curves!$B$4:$AR$4,1,34-Projects!$C$38+1),0)+IF(AND(Projects!$G$39="Yes",34&gt;=Projects!$C$39,34&lt;Projects!$C$39+Projects!$D$39),Projects!$B$39*INDEX(Curves!$B$4:$AR$4,1,34-Projects!$C$39+1),0)+IF(AND(Projects!$G$40="Yes",34&gt;=Projects!$C$40,34&lt;Projects!$C$40+Projects!$D$40),Projects!$B$40*INDEX(Curves!$B$4:$AR$4,1,34-Projects!$C$40+1),0)+IF(AND(Projects!$G$41="Yes",34&gt;=Projects!$C$41,34&lt;Projects!$C$41+Projects!$D$41),Projects!$B$41*INDEX(Curves!$B$4:$AR$4,1,34-Projects!$C$41+1),0)+IF(AND(Projects!$G$42="Yes",34&gt;=Projects!$C$42,34&lt;Projects!$C$42+Projects!$D$42),Projects!$B$42*INDEX(Curves!$B$4:$AR$4,1,34-Projects!$C$42+1),0)+IF(AND(Projects!$G$43="Yes",34&gt;=Projects!$C$43,34&lt;Projects!$C$43+Projects!$D$43),Projects!$B$43*INDEX(Curves!$B$4:$AR$4,1,34-Projects!$C$43+1),0)+IF(AND(Projects!$G$44="Yes",34&gt;=Projects!$C$44,34&lt;Projects!$C$44+Projects!$D$44),Projects!$B$44*INDEX(Curves!$B$4:$AR$4,1,34-Projects!$C$44+1),0)+IF(AND(Projects!$G$45="Yes",34&gt;=Projects!$C$45,34&lt;Projects!$C$45+Projects!$D$45),Projects!$B$45*INDEX(Curves!$B$4:$AR$4,1,34-Projects!$C$45+1),0)+IF(AND(Projects!$G$46="Yes",34&gt;=Projects!$C$46,34&lt;Projects!$C$46+Projects!$D$46),Projects!$B$46*INDEX(Curves!$B$4:$AR$4,1,34-Projects!$C$46+1),0)</f>
        <v>7318974.16637944</v>
      </c>
      <c r="AN96" s="313" t="n">
        <f aca="false">IF(AND(Projects!$G$17="Yes",35&gt;=Projects!$C$17,35&lt;Projects!$C$17+Projects!$D$17),Projects!$B$17*INDEX(Curves!$B$4:$AR$4,1,35-Projects!$C$17+1),0)+IF(AND(Projects!$G$18="Yes",35&gt;=Projects!$C$18,35&lt;Projects!$C$18+Projects!$D$18),Projects!$B$18*INDEX(Curves!$B$4:$AR$4,1,35-Projects!$C$18+1),0)+IF(AND(Projects!$G$19="Yes",35&gt;=Projects!$C$19,35&lt;Projects!$C$19+Projects!$D$19),Projects!$B$19*INDEX(Curves!$B$4:$AR$4,1,35-Projects!$C$19+1),0)+IF(AND(Projects!$G$20="Yes",35&gt;=Projects!$C$20,35&lt;Projects!$C$20+Projects!$D$20),Projects!$B$20*INDEX(Curves!$B$4:$AR$4,1,35-Projects!$C$20+1),0)+IF(AND(Projects!$G$21="Yes",35&gt;=Projects!$C$21,35&lt;Projects!$C$21+Projects!$D$21),Projects!$B$21*INDEX(Curves!$B$4:$AR$4,1,35-Projects!$C$21+1),0)+IF(AND(Projects!$G$22="Yes",35&gt;=Projects!$C$22,35&lt;Projects!$C$22+Projects!$D$22),Projects!$B$22*INDEX(Curves!$B$4:$AR$4,1,35-Projects!$C$22+1),0)+IF(AND(Projects!$G$23="Yes",35&gt;=Projects!$C$23,35&lt;Projects!$C$23+Projects!$D$23),Projects!$B$23*INDEX(Curves!$B$4:$AR$4,1,35-Projects!$C$23+1),0)+IF(AND(Projects!$G$24="Yes",35&gt;=Projects!$C$24,35&lt;Projects!$C$24+Projects!$D$24),Projects!$B$24*INDEX(Curves!$B$4:$AR$4,1,35-Projects!$C$24+1),0)+IF(AND(Projects!$G$25="Yes",35&gt;=Projects!$C$25,35&lt;Projects!$C$25+Projects!$D$25),Projects!$B$25*INDEX(Curves!$B$4:$AR$4,1,35-Projects!$C$25+1),0)+IF(AND(Projects!$G$26="Yes",35&gt;=Projects!$C$26,35&lt;Projects!$C$26+Projects!$D$26),Projects!$B$26*INDEX(Curves!$B$4:$AR$4,1,35-Projects!$C$26+1),0)+IF(AND(Projects!$G$27="Yes",35&gt;=Projects!$C$27,35&lt;Projects!$C$27+Projects!$D$27),Projects!$B$27*INDEX(Curves!$B$4:$AR$4,1,35-Projects!$C$27+1),0)+IF(AND(Projects!$G$28="Yes",35&gt;=Projects!$C$28,35&lt;Projects!$C$28+Projects!$D$28),Projects!$B$28*INDEX(Curves!$B$4:$AR$4,1,35-Projects!$C$28+1),0)+IF(AND(Projects!$G$29="Yes",35&gt;=Projects!$C$29,35&lt;Projects!$C$29+Projects!$D$29),Projects!$B$29*INDEX(Curves!$B$4:$AR$4,1,35-Projects!$C$29+1),0)+IF(AND(Projects!$G$30="Yes",35&gt;=Projects!$C$30,35&lt;Projects!$C$30+Projects!$D$30),Projects!$B$30*INDEX(Curves!$B$4:$AR$4,1,35-Projects!$C$30+1),0)+IF(AND(Projects!$G$31="Yes",35&gt;=Projects!$C$31,35&lt;Projects!$C$31+Projects!$D$31),Projects!$B$31*INDEX(Curves!$B$4:$AR$4,1,35-Projects!$C$31+1),0)+IF(AND(Projects!$G$32="Yes",35&gt;=Projects!$C$32,35&lt;Projects!$C$32+Projects!$D$32),Projects!$B$32*INDEX(Curves!$B$4:$AR$4,1,35-Projects!$C$32+1),0)+IF(AND(Projects!$G$33="Yes",35&gt;=Projects!$C$33,35&lt;Projects!$C$33+Projects!$D$33),Projects!$B$33*INDEX(Curves!$B$4:$AR$4,1,35-Projects!$C$33+1),0)+IF(AND(Projects!$G$34="Yes",35&gt;=Projects!$C$34,35&lt;Projects!$C$34+Projects!$D$34),Projects!$B$34*INDEX(Curves!$B$4:$AR$4,1,35-Projects!$C$34+1),0)+IF(AND(Projects!$G$35="Yes",35&gt;=Projects!$C$35,35&lt;Projects!$C$35+Projects!$D$35),Projects!$B$35*INDEX(Curves!$B$4:$AR$4,1,35-Projects!$C$35+1),0)+IF(AND(Projects!$G$36="Yes",35&gt;=Projects!$C$36,35&lt;Projects!$C$36+Projects!$D$36),Projects!$B$36*INDEX(Curves!$B$4:$AR$4,1,35-Projects!$C$36+1),0)+IF(AND(Projects!$G$37="Yes",35&gt;=Projects!$C$37,35&lt;Projects!$C$37+Projects!$D$37),Projects!$B$37*INDEX(Curves!$B$4:$AR$4,1,35-Projects!$C$37+1),0)+IF(AND(Projects!$G$38="Yes",35&gt;=Projects!$C$38,35&lt;Projects!$C$38+Projects!$D$38),Projects!$B$38*INDEX(Curves!$B$4:$AR$4,1,35-Projects!$C$38+1),0)+IF(AND(Projects!$G$39="Yes",35&gt;=Projects!$C$39,35&lt;Projects!$C$39+Projects!$D$39),Projects!$B$39*INDEX(Curves!$B$4:$AR$4,1,35-Projects!$C$39+1),0)+IF(AND(Projects!$G$40="Yes",35&gt;=Projects!$C$40,35&lt;Projects!$C$40+Projects!$D$40),Projects!$B$40*INDEX(Curves!$B$4:$AR$4,1,35-Projects!$C$40+1),0)+IF(AND(Projects!$G$41="Yes",35&gt;=Projects!$C$41,35&lt;Projects!$C$41+Projects!$D$41),Projects!$B$41*INDEX(Curves!$B$4:$AR$4,1,35-Projects!$C$41+1),0)+IF(AND(Projects!$G$42="Yes",35&gt;=Projects!$C$42,35&lt;Projects!$C$42+Projects!$D$42),Projects!$B$42*INDEX(Curves!$B$4:$AR$4,1,35-Projects!$C$42+1),0)+IF(AND(Projects!$G$43="Yes",35&gt;=Projects!$C$43,35&lt;Projects!$C$43+Projects!$D$43),Projects!$B$43*INDEX(Curves!$B$4:$AR$4,1,35-Projects!$C$43+1),0)+IF(AND(Projects!$G$44="Yes",35&gt;=Projects!$C$44,35&lt;Projects!$C$44+Projects!$D$44),Projects!$B$44*INDEX(Curves!$B$4:$AR$4,1,35-Projects!$C$44+1),0)+IF(AND(Projects!$G$45="Yes",35&gt;=Projects!$C$45,35&lt;Projects!$C$45+Projects!$D$45),Projects!$B$45*INDEX(Curves!$B$4:$AR$4,1,35-Projects!$C$45+1),0)+IF(AND(Projects!$G$46="Yes",35&gt;=Projects!$C$46,35&lt;Projects!$C$46+Projects!$D$46),Projects!$B$46*INDEX(Curves!$B$4:$AR$4,1,35-Projects!$C$46+1),0)</f>
        <v>7701057.05487896</v>
      </c>
      <c r="AO96" s="313" t="n">
        <f aca="false">IF(AND(Projects!$G$17="Yes",36&gt;=Projects!$C$17,36&lt;Projects!$C$17+Projects!$D$17),Projects!$B$17*INDEX(Curves!$B$4:$AR$4,1,36-Projects!$C$17+1),0)+IF(AND(Projects!$G$18="Yes",36&gt;=Projects!$C$18,36&lt;Projects!$C$18+Projects!$D$18),Projects!$B$18*INDEX(Curves!$B$4:$AR$4,1,36-Projects!$C$18+1),0)+IF(AND(Projects!$G$19="Yes",36&gt;=Projects!$C$19,36&lt;Projects!$C$19+Projects!$D$19),Projects!$B$19*INDEX(Curves!$B$4:$AR$4,1,36-Projects!$C$19+1),0)+IF(AND(Projects!$G$20="Yes",36&gt;=Projects!$C$20,36&lt;Projects!$C$20+Projects!$D$20),Projects!$B$20*INDEX(Curves!$B$4:$AR$4,1,36-Projects!$C$20+1),0)+IF(AND(Projects!$G$21="Yes",36&gt;=Projects!$C$21,36&lt;Projects!$C$21+Projects!$D$21),Projects!$B$21*INDEX(Curves!$B$4:$AR$4,1,36-Projects!$C$21+1),0)+IF(AND(Projects!$G$22="Yes",36&gt;=Projects!$C$22,36&lt;Projects!$C$22+Projects!$D$22),Projects!$B$22*INDEX(Curves!$B$4:$AR$4,1,36-Projects!$C$22+1),0)+IF(AND(Projects!$G$23="Yes",36&gt;=Projects!$C$23,36&lt;Projects!$C$23+Projects!$D$23),Projects!$B$23*INDEX(Curves!$B$4:$AR$4,1,36-Projects!$C$23+1),0)+IF(AND(Projects!$G$24="Yes",36&gt;=Projects!$C$24,36&lt;Projects!$C$24+Projects!$D$24),Projects!$B$24*INDEX(Curves!$B$4:$AR$4,1,36-Projects!$C$24+1),0)+IF(AND(Projects!$G$25="Yes",36&gt;=Projects!$C$25,36&lt;Projects!$C$25+Projects!$D$25),Projects!$B$25*INDEX(Curves!$B$4:$AR$4,1,36-Projects!$C$25+1),0)+IF(AND(Projects!$G$26="Yes",36&gt;=Projects!$C$26,36&lt;Projects!$C$26+Projects!$D$26),Projects!$B$26*INDEX(Curves!$B$4:$AR$4,1,36-Projects!$C$26+1),0)+IF(AND(Projects!$G$27="Yes",36&gt;=Projects!$C$27,36&lt;Projects!$C$27+Projects!$D$27),Projects!$B$27*INDEX(Curves!$B$4:$AR$4,1,36-Projects!$C$27+1),0)+IF(AND(Projects!$G$28="Yes",36&gt;=Projects!$C$28,36&lt;Projects!$C$28+Projects!$D$28),Projects!$B$28*INDEX(Curves!$B$4:$AR$4,1,36-Projects!$C$28+1),0)+IF(AND(Projects!$G$29="Yes",36&gt;=Projects!$C$29,36&lt;Projects!$C$29+Projects!$D$29),Projects!$B$29*INDEX(Curves!$B$4:$AR$4,1,36-Projects!$C$29+1),0)+IF(AND(Projects!$G$30="Yes",36&gt;=Projects!$C$30,36&lt;Projects!$C$30+Projects!$D$30),Projects!$B$30*INDEX(Curves!$B$4:$AR$4,1,36-Projects!$C$30+1),0)+IF(AND(Projects!$G$31="Yes",36&gt;=Projects!$C$31,36&lt;Projects!$C$31+Projects!$D$31),Projects!$B$31*INDEX(Curves!$B$4:$AR$4,1,36-Projects!$C$31+1),0)+IF(AND(Projects!$G$32="Yes",36&gt;=Projects!$C$32,36&lt;Projects!$C$32+Projects!$D$32),Projects!$B$32*INDEX(Curves!$B$4:$AR$4,1,36-Projects!$C$32+1),0)+IF(AND(Projects!$G$33="Yes",36&gt;=Projects!$C$33,36&lt;Projects!$C$33+Projects!$D$33),Projects!$B$33*INDEX(Curves!$B$4:$AR$4,1,36-Projects!$C$33+1),0)+IF(AND(Projects!$G$34="Yes",36&gt;=Projects!$C$34,36&lt;Projects!$C$34+Projects!$D$34),Projects!$B$34*INDEX(Curves!$B$4:$AR$4,1,36-Projects!$C$34+1),0)+IF(AND(Projects!$G$35="Yes",36&gt;=Projects!$C$35,36&lt;Projects!$C$35+Projects!$D$35),Projects!$B$35*INDEX(Curves!$B$4:$AR$4,1,36-Projects!$C$35+1),0)+IF(AND(Projects!$G$36="Yes",36&gt;=Projects!$C$36,36&lt;Projects!$C$36+Projects!$D$36),Projects!$B$36*INDEX(Curves!$B$4:$AR$4,1,36-Projects!$C$36+1),0)+IF(AND(Projects!$G$37="Yes",36&gt;=Projects!$C$37,36&lt;Projects!$C$37+Projects!$D$37),Projects!$B$37*INDEX(Curves!$B$4:$AR$4,1,36-Projects!$C$37+1),0)+IF(AND(Projects!$G$38="Yes",36&gt;=Projects!$C$38,36&lt;Projects!$C$38+Projects!$D$38),Projects!$B$38*INDEX(Curves!$B$4:$AR$4,1,36-Projects!$C$38+1),0)+IF(AND(Projects!$G$39="Yes",36&gt;=Projects!$C$39,36&lt;Projects!$C$39+Projects!$D$39),Projects!$B$39*INDEX(Curves!$B$4:$AR$4,1,36-Projects!$C$39+1),0)+IF(AND(Projects!$G$40="Yes",36&gt;=Projects!$C$40,36&lt;Projects!$C$40+Projects!$D$40),Projects!$B$40*INDEX(Curves!$B$4:$AR$4,1,36-Projects!$C$40+1),0)+IF(AND(Projects!$G$41="Yes",36&gt;=Projects!$C$41,36&lt;Projects!$C$41+Projects!$D$41),Projects!$B$41*INDEX(Curves!$B$4:$AR$4,1,36-Projects!$C$41+1),0)+IF(AND(Projects!$G$42="Yes",36&gt;=Projects!$C$42,36&lt;Projects!$C$42+Projects!$D$42),Projects!$B$42*INDEX(Curves!$B$4:$AR$4,1,36-Projects!$C$42+1),0)+IF(AND(Projects!$G$43="Yes",36&gt;=Projects!$C$43,36&lt;Projects!$C$43+Projects!$D$43),Projects!$B$43*INDEX(Curves!$B$4:$AR$4,1,36-Projects!$C$43+1),0)+IF(AND(Projects!$G$44="Yes",36&gt;=Projects!$C$44,36&lt;Projects!$C$44+Projects!$D$44),Projects!$B$44*INDEX(Curves!$B$4:$AR$4,1,36-Projects!$C$44+1),0)+IF(AND(Projects!$G$45="Yes",36&gt;=Projects!$C$45,36&lt;Projects!$C$45+Projects!$D$45),Projects!$B$45*INDEX(Curves!$B$4:$AR$4,1,36-Projects!$C$45+1),0)+IF(AND(Projects!$G$46="Yes",36&gt;=Projects!$C$46,36&lt;Projects!$C$46+Projects!$D$46),Projects!$B$46*INDEX(Curves!$B$4:$AR$4,1,36-Projects!$C$46+1),0)</f>
        <v>8536656.58395956</v>
      </c>
      <c r="AP96" s="313" t="n">
        <f aca="false">IF(AND(Projects!$G$17="Yes",37&gt;=Projects!$C$17,37&lt;Projects!$C$17+Projects!$D$17),Projects!$B$17*INDEX(Curves!$B$4:$AR$4,1,37-Projects!$C$17+1),0)+IF(AND(Projects!$G$18="Yes",37&gt;=Projects!$C$18,37&lt;Projects!$C$18+Projects!$D$18),Projects!$B$18*INDEX(Curves!$B$4:$AR$4,1,37-Projects!$C$18+1),0)+IF(AND(Projects!$G$19="Yes",37&gt;=Projects!$C$19,37&lt;Projects!$C$19+Projects!$D$19),Projects!$B$19*INDEX(Curves!$B$4:$AR$4,1,37-Projects!$C$19+1),0)+IF(AND(Projects!$G$20="Yes",37&gt;=Projects!$C$20,37&lt;Projects!$C$20+Projects!$D$20),Projects!$B$20*INDEX(Curves!$B$4:$AR$4,1,37-Projects!$C$20+1),0)+IF(AND(Projects!$G$21="Yes",37&gt;=Projects!$C$21,37&lt;Projects!$C$21+Projects!$D$21),Projects!$B$21*INDEX(Curves!$B$4:$AR$4,1,37-Projects!$C$21+1),0)+IF(AND(Projects!$G$22="Yes",37&gt;=Projects!$C$22,37&lt;Projects!$C$22+Projects!$D$22),Projects!$B$22*INDEX(Curves!$B$4:$AR$4,1,37-Projects!$C$22+1),0)+IF(AND(Projects!$G$23="Yes",37&gt;=Projects!$C$23,37&lt;Projects!$C$23+Projects!$D$23),Projects!$B$23*INDEX(Curves!$B$4:$AR$4,1,37-Projects!$C$23+1),0)+IF(AND(Projects!$G$24="Yes",37&gt;=Projects!$C$24,37&lt;Projects!$C$24+Projects!$D$24),Projects!$B$24*INDEX(Curves!$B$4:$AR$4,1,37-Projects!$C$24+1),0)+IF(AND(Projects!$G$25="Yes",37&gt;=Projects!$C$25,37&lt;Projects!$C$25+Projects!$D$25),Projects!$B$25*INDEX(Curves!$B$4:$AR$4,1,37-Projects!$C$25+1),0)+IF(AND(Projects!$G$26="Yes",37&gt;=Projects!$C$26,37&lt;Projects!$C$26+Projects!$D$26),Projects!$B$26*INDEX(Curves!$B$4:$AR$4,1,37-Projects!$C$26+1),0)+IF(AND(Projects!$G$27="Yes",37&gt;=Projects!$C$27,37&lt;Projects!$C$27+Projects!$D$27),Projects!$B$27*INDEX(Curves!$B$4:$AR$4,1,37-Projects!$C$27+1),0)+IF(AND(Projects!$G$28="Yes",37&gt;=Projects!$C$28,37&lt;Projects!$C$28+Projects!$D$28),Projects!$B$28*INDEX(Curves!$B$4:$AR$4,1,37-Projects!$C$28+1),0)+IF(AND(Projects!$G$29="Yes",37&gt;=Projects!$C$29,37&lt;Projects!$C$29+Projects!$D$29),Projects!$B$29*INDEX(Curves!$B$4:$AR$4,1,37-Projects!$C$29+1),0)+IF(AND(Projects!$G$30="Yes",37&gt;=Projects!$C$30,37&lt;Projects!$C$30+Projects!$D$30),Projects!$B$30*INDEX(Curves!$B$4:$AR$4,1,37-Projects!$C$30+1),0)+IF(AND(Projects!$G$31="Yes",37&gt;=Projects!$C$31,37&lt;Projects!$C$31+Projects!$D$31),Projects!$B$31*INDEX(Curves!$B$4:$AR$4,1,37-Projects!$C$31+1),0)+IF(AND(Projects!$G$32="Yes",37&gt;=Projects!$C$32,37&lt;Projects!$C$32+Projects!$D$32),Projects!$B$32*INDEX(Curves!$B$4:$AR$4,1,37-Projects!$C$32+1),0)+IF(AND(Projects!$G$33="Yes",37&gt;=Projects!$C$33,37&lt;Projects!$C$33+Projects!$D$33),Projects!$B$33*INDEX(Curves!$B$4:$AR$4,1,37-Projects!$C$33+1),0)+IF(AND(Projects!$G$34="Yes",37&gt;=Projects!$C$34,37&lt;Projects!$C$34+Projects!$D$34),Projects!$B$34*INDEX(Curves!$B$4:$AR$4,1,37-Projects!$C$34+1),0)+IF(AND(Projects!$G$35="Yes",37&gt;=Projects!$C$35,37&lt;Projects!$C$35+Projects!$D$35),Projects!$B$35*INDEX(Curves!$B$4:$AR$4,1,37-Projects!$C$35+1),0)+IF(AND(Projects!$G$36="Yes",37&gt;=Projects!$C$36,37&lt;Projects!$C$36+Projects!$D$36),Projects!$B$36*INDEX(Curves!$B$4:$AR$4,1,37-Projects!$C$36+1),0)+IF(AND(Projects!$G$37="Yes",37&gt;=Projects!$C$37,37&lt;Projects!$C$37+Projects!$D$37),Projects!$B$37*INDEX(Curves!$B$4:$AR$4,1,37-Projects!$C$37+1),0)+IF(AND(Projects!$G$38="Yes",37&gt;=Projects!$C$38,37&lt;Projects!$C$38+Projects!$D$38),Projects!$B$38*INDEX(Curves!$B$4:$AR$4,1,37-Projects!$C$38+1),0)+IF(AND(Projects!$G$39="Yes",37&gt;=Projects!$C$39,37&lt;Projects!$C$39+Projects!$D$39),Projects!$B$39*INDEX(Curves!$B$4:$AR$4,1,37-Projects!$C$39+1),0)+IF(AND(Projects!$G$40="Yes",37&gt;=Projects!$C$40,37&lt;Projects!$C$40+Projects!$D$40),Projects!$B$40*INDEX(Curves!$B$4:$AR$4,1,37-Projects!$C$40+1),0)+IF(AND(Projects!$G$41="Yes",37&gt;=Projects!$C$41,37&lt;Projects!$C$41+Projects!$D$41),Projects!$B$41*INDEX(Curves!$B$4:$AR$4,1,37-Projects!$C$41+1),0)+IF(AND(Projects!$G$42="Yes",37&gt;=Projects!$C$42,37&lt;Projects!$C$42+Projects!$D$42),Projects!$B$42*INDEX(Curves!$B$4:$AR$4,1,37-Projects!$C$42+1),0)+IF(AND(Projects!$G$43="Yes",37&gt;=Projects!$C$43,37&lt;Projects!$C$43+Projects!$D$43),Projects!$B$43*INDEX(Curves!$B$4:$AR$4,1,37-Projects!$C$43+1),0)+IF(AND(Projects!$G$44="Yes",37&gt;=Projects!$C$44,37&lt;Projects!$C$44+Projects!$D$44),Projects!$B$44*INDEX(Curves!$B$4:$AR$4,1,37-Projects!$C$44+1),0)+IF(AND(Projects!$G$45="Yes",37&gt;=Projects!$C$45,37&lt;Projects!$C$45+Projects!$D$45),Projects!$B$45*INDEX(Curves!$B$4:$AR$4,1,37-Projects!$C$45+1),0)+IF(AND(Projects!$G$46="Yes",37&gt;=Projects!$C$46,37&lt;Projects!$C$46+Projects!$D$46),Projects!$B$46*INDEX(Curves!$B$4:$AR$4,1,37-Projects!$C$46+1),0)</f>
        <v>9387512.61613138</v>
      </c>
      <c r="AQ96" s="313" t="n">
        <f aca="false">IF(AND(Projects!$G$17="Yes",38&gt;=Projects!$C$17,38&lt;Projects!$C$17+Projects!$D$17),Projects!$B$17*INDEX(Curves!$B$4:$AR$4,1,38-Projects!$C$17+1),0)+IF(AND(Projects!$G$18="Yes",38&gt;=Projects!$C$18,38&lt;Projects!$C$18+Projects!$D$18),Projects!$B$18*INDEX(Curves!$B$4:$AR$4,1,38-Projects!$C$18+1),0)+IF(AND(Projects!$G$19="Yes",38&gt;=Projects!$C$19,38&lt;Projects!$C$19+Projects!$D$19),Projects!$B$19*INDEX(Curves!$B$4:$AR$4,1,38-Projects!$C$19+1),0)+IF(AND(Projects!$G$20="Yes",38&gt;=Projects!$C$20,38&lt;Projects!$C$20+Projects!$D$20),Projects!$B$20*INDEX(Curves!$B$4:$AR$4,1,38-Projects!$C$20+1),0)+IF(AND(Projects!$G$21="Yes",38&gt;=Projects!$C$21,38&lt;Projects!$C$21+Projects!$D$21),Projects!$B$21*INDEX(Curves!$B$4:$AR$4,1,38-Projects!$C$21+1),0)+IF(AND(Projects!$G$22="Yes",38&gt;=Projects!$C$22,38&lt;Projects!$C$22+Projects!$D$22),Projects!$B$22*INDEX(Curves!$B$4:$AR$4,1,38-Projects!$C$22+1),0)+IF(AND(Projects!$G$23="Yes",38&gt;=Projects!$C$23,38&lt;Projects!$C$23+Projects!$D$23),Projects!$B$23*INDEX(Curves!$B$4:$AR$4,1,38-Projects!$C$23+1),0)+IF(AND(Projects!$G$24="Yes",38&gt;=Projects!$C$24,38&lt;Projects!$C$24+Projects!$D$24),Projects!$B$24*INDEX(Curves!$B$4:$AR$4,1,38-Projects!$C$24+1),0)+IF(AND(Projects!$G$25="Yes",38&gt;=Projects!$C$25,38&lt;Projects!$C$25+Projects!$D$25),Projects!$B$25*INDEX(Curves!$B$4:$AR$4,1,38-Projects!$C$25+1),0)+IF(AND(Projects!$G$26="Yes",38&gt;=Projects!$C$26,38&lt;Projects!$C$26+Projects!$D$26),Projects!$B$26*INDEX(Curves!$B$4:$AR$4,1,38-Projects!$C$26+1),0)+IF(AND(Projects!$G$27="Yes",38&gt;=Projects!$C$27,38&lt;Projects!$C$27+Projects!$D$27),Projects!$B$27*INDEX(Curves!$B$4:$AR$4,1,38-Projects!$C$27+1),0)+IF(AND(Projects!$G$28="Yes",38&gt;=Projects!$C$28,38&lt;Projects!$C$28+Projects!$D$28),Projects!$B$28*INDEX(Curves!$B$4:$AR$4,1,38-Projects!$C$28+1),0)+IF(AND(Projects!$G$29="Yes",38&gt;=Projects!$C$29,38&lt;Projects!$C$29+Projects!$D$29),Projects!$B$29*INDEX(Curves!$B$4:$AR$4,1,38-Projects!$C$29+1),0)+IF(AND(Projects!$G$30="Yes",38&gt;=Projects!$C$30,38&lt;Projects!$C$30+Projects!$D$30),Projects!$B$30*INDEX(Curves!$B$4:$AR$4,1,38-Projects!$C$30+1),0)+IF(AND(Projects!$G$31="Yes",38&gt;=Projects!$C$31,38&lt;Projects!$C$31+Projects!$D$31),Projects!$B$31*INDEX(Curves!$B$4:$AR$4,1,38-Projects!$C$31+1),0)+IF(AND(Projects!$G$32="Yes",38&gt;=Projects!$C$32,38&lt;Projects!$C$32+Projects!$D$32),Projects!$B$32*INDEX(Curves!$B$4:$AR$4,1,38-Projects!$C$32+1),0)+IF(AND(Projects!$G$33="Yes",38&gt;=Projects!$C$33,38&lt;Projects!$C$33+Projects!$D$33),Projects!$B$33*INDEX(Curves!$B$4:$AR$4,1,38-Projects!$C$33+1),0)+IF(AND(Projects!$G$34="Yes",38&gt;=Projects!$C$34,38&lt;Projects!$C$34+Projects!$D$34),Projects!$B$34*INDEX(Curves!$B$4:$AR$4,1,38-Projects!$C$34+1),0)+IF(AND(Projects!$G$35="Yes",38&gt;=Projects!$C$35,38&lt;Projects!$C$35+Projects!$D$35),Projects!$B$35*INDEX(Curves!$B$4:$AR$4,1,38-Projects!$C$35+1),0)+IF(AND(Projects!$G$36="Yes",38&gt;=Projects!$C$36,38&lt;Projects!$C$36+Projects!$D$36),Projects!$B$36*INDEX(Curves!$B$4:$AR$4,1,38-Projects!$C$36+1),0)+IF(AND(Projects!$G$37="Yes",38&gt;=Projects!$C$37,38&lt;Projects!$C$37+Projects!$D$37),Projects!$B$37*INDEX(Curves!$B$4:$AR$4,1,38-Projects!$C$37+1),0)+IF(AND(Projects!$G$38="Yes",38&gt;=Projects!$C$38,38&lt;Projects!$C$38+Projects!$D$38),Projects!$B$38*INDEX(Curves!$B$4:$AR$4,1,38-Projects!$C$38+1),0)+IF(AND(Projects!$G$39="Yes",38&gt;=Projects!$C$39,38&lt;Projects!$C$39+Projects!$D$39),Projects!$B$39*INDEX(Curves!$B$4:$AR$4,1,38-Projects!$C$39+1),0)+IF(AND(Projects!$G$40="Yes",38&gt;=Projects!$C$40,38&lt;Projects!$C$40+Projects!$D$40),Projects!$B$40*INDEX(Curves!$B$4:$AR$4,1,38-Projects!$C$40+1),0)+IF(AND(Projects!$G$41="Yes",38&gt;=Projects!$C$41,38&lt;Projects!$C$41+Projects!$D$41),Projects!$B$41*INDEX(Curves!$B$4:$AR$4,1,38-Projects!$C$41+1),0)+IF(AND(Projects!$G$42="Yes",38&gt;=Projects!$C$42,38&lt;Projects!$C$42+Projects!$D$42),Projects!$B$42*INDEX(Curves!$B$4:$AR$4,1,38-Projects!$C$42+1),0)+IF(AND(Projects!$G$43="Yes",38&gt;=Projects!$C$43,38&lt;Projects!$C$43+Projects!$D$43),Projects!$B$43*INDEX(Curves!$B$4:$AR$4,1,38-Projects!$C$43+1),0)+IF(AND(Projects!$G$44="Yes",38&gt;=Projects!$C$44,38&lt;Projects!$C$44+Projects!$D$44),Projects!$B$44*INDEX(Curves!$B$4:$AR$4,1,38-Projects!$C$44+1),0)+IF(AND(Projects!$G$45="Yes",38&gt;=Projects!$C$45,38&lt;Projects!$C$45+Projects!$D$45),Projects!$B$45*INDEX(Curves!$B$4:$AR$4,1,38-Projects!$C$45+1),0)+IF(AND(Projects!$G$46="Yes",38&gt;=Projects!$C$46,38&lt;Projects!$C$46+Projects!$D$46),Projects!$B$46*INDEX(Curves!$B$4:$AR$4,1,38-Projects!$C$46+1),0)</f>
        <v>10318145.2079899</v>
      </c>
      <c r="AR96" s="313" t="n">
        <f aca="false">IF(AND(Projects!$G$17="Yes",39&gt;=Projects!$C$17,39&lt;Projects!$C$17+Projects!$D$17),Projects!$B$17*INDEX(Curves!$B$4:$AR$4,1,39-Projects!$C$17+1),0)+IF(AND(Projects!$G$18="Yes",39&gt;=Projects!$C$18,39&lt;Projects!$C$18+Projects!$D$18),Projects!$B$18*INDEX(Curves!$B$4:$AR$4,1,39-Projects!$C$18+1),0)+IF(AND(Projects!$G$19="Yes",39&gt;=Projects!$C$19,39&lt;Projects!$C$19+Projects!$D$19),Projects!$B$19*INDEX(Curves!$B$4:$AR$4,1,39-Projects!$C$19+1),0)+IF(AND(Projects!$G$20="Yes",39&gt;=Projects!$C$20,39&lt;Projects!$C$20+Projects!$D$20),Projects!$B$20*INDEX(Curves!$B$4:$AR$4,1,39-Projects!$C$20+1),0)+IF(AND(Projects!$G$21="Yes",39&gt;=Projects!$C$21,39&lt;Projects!$C$21+Projects!$D$21),Projects!$B$21*INDEX(Curves!$B$4:$AR$4,1,39-Projects!$C$21+1),0)+IF(AND(Projects!$G$22="Yes",39&gt;=Projects!$C$22,39&lt;Projects!$C$22+Projects!$D$22),Projects!$B$22*INDEX(Curves!$B$4:$AR$4,1,39-Projects!$C$22+1),0)+IF(AND(Projects!$G$23="Yes",39&gt;=Projects!$C$23,39&lt;Projects!$C$23+Projects!$D$23),Projects!$B$23*INDEX(Curves!$B$4:$AR$4,1,39-Projects!$C$23+1),0)+IF(AND(Projects!$G$24="Yes",39&gt;=Projects!$C$24,39&lt;Projects!$C$24+Projects!$D$24),Projects!$B$24*INDEX(Curves!$B$4:$AR$4,1,39-Projects!$C$24+1),0)+IF(AND(Projects!$G$25="Yes",39&gt;=Projects!$C$25,39&lt;Projects!$C$25+Projects!$D$25),Projects!$B$25*INDEX(Curves!$B$4:$AR$4,1,39-Projects!$C$25+1),0)+IF(AND(Projects!$G$26="Yes",39&gt;=Projects!$C$26,39&lt;Projects!$C$26+Projects!$D$26),Projects!$B$26*INDEX(Curves!$B$4:$AR$4,1,39-Projects!$C$26+1),0)+IF(AND(Projects!$G$27="Yes",39&gt;=Projects!$C$27,39&lt;Projects!$C$27+Projects!$D$27),Projects!$B$27*INDEX(Curves!$B$4:$AR$4,1,39-Projects!$C$27+1),0)+IF(AND(Projects!$G$28="Yes",39&gt;=Projects!$C$28,39&lt;Projects!$C$28+Projects!$D$28),Projects!$B$28*INDEX(Curves!$B$4:$AR$4,1,39-Projects!$C$28+1),0)+IF(AND(Projects!$G$29="Yes",39&gt;=Projects!$C$29,39&lt;Projects!$C$29+Projects!$D$29),Projects!$B$29*INDEX(Curves!$B$4:$AR$4,1,39-Projects!$C$29+1),0)+IF(AND(Projects!$G$30="Yes",39&gt;=Projects!$C$30,39&lt;Projects!$C$30+Projects!$D$30),Projects!$B$30*INDEX(Curves!$B$4:$AR$4,1,39-Projects!$C$30+1),0)+IF(AND(Projects!$G$31="Yes",39&gt;=Projects!$C$31,39&lt;Projects!$C$31+Projects!$D$31),Projects!$B$31*INDEX(Curves!$B$4:$AR$4,1,39-Projects!$C$31+1),0)+IF(AND(Projects!$G$32="Yes",39&gt;=Projects!$C$32,39&lt;Projects!$C$32+Projects!$D$32),Projects!$B$32*INDEX(Curves!$B$4:$AR$4,1,39-Projects!$C$32+1),0)+IF(AND(Projects!$G$33="Yes",39&gt;=Projects!$C$33,39&lt;Projects!$C$33+Projects!$D$33),Projects!$B$33*INDEX(Curves!$B$4:$AR$4,1,39-Projects!$C$33+1),0)+IF(AND(Projects!$G$34="Yes",39&gt;=Projects!$C$34,39&lt;Projects!$C$34+Projects!$D$34),Projects!$B$34*INDEX(Curves!$B$4:$AR$4,1,39-Projects!$C$34+1),0)+IF(AND(Projects!$G$35="Yes",39&gt;=Projects!$C$35,39&lt;Projects!$C$35+Projects!$D$35),Projects!$B$35*INDEX(Curves!$B$4:$AR$4,1,39-Projects!$C$35+1),0)+IF(AND(Projects!$G$36="Yes",39&gt;=Projects!$C$36,39&lt;Projects!$C$36+Projects!$D$36),Projects!$B$36*INDEX(Curves!$B$4:$AR$4,1,39-Projects!$C$36+1),0)+IF(AND(Projects!$G$37="Yes",39&gt;=Projects!$C$37,39&lt;Projects!$C$37+Projects!$D$37),Projects!$B$37*INDEX(Curves!$B$4:$AR$4,1,39-Projects!$C$37+1),0)+IF(AND(Projects!$G$38="Yes",39&gt;=Projects!$C$38,39&lt;Projects!$C$38+Projects!$D$38),Projects!$B$38*INDEX(Curves!$B$4:$AR$4,1,39-Projects!$C$38+1),0)+IF(AND(Projects!$G$39="Yes",39&gt;=Projects!$C$39,39&lt;Projects!$C$39+Projects!$D$39),Projects!$B$39*INDEX(Curves!$B$4:$AR$4,1,39-Projects!$C$39+1),0)+IF(AND(Projects!$G$40="Yes",39&gt;=Projects!$C$40,39&lt;Projects!$C$40+Projects!$D$40),Projects!$B$40*INDEX(Curves!$B$4:$AR$4,1,39-Projects!$C$40+1),0)+IF(AND(Projects!$G$41="Yes",39&gt;=Projects!$C$41,39&lt;Projects!$C$41+Projects!$D$41),Projects!$B$41*INDEX(Curves!$B$4:$AR$4,1,39-Projects!$C$41+1),0)+IF(AND(Projects!$G$42="Yes",39&gt;=Projects!$C$42,39&lt;Projects!$C$42+Projects!$D$42),Projects!$B$42*INDEX(Curves!$B$4:$AR$4,1,39-Projects!$C$42+1),0)+IF(AND(Projects!$G$43="Yes",39&gt;=Projects!$C$43,39&lt;Projects!$C$43+Projects!$D$43),Projects!$B$43*INDEX(Curves!$B$4:$AR$4,1,39-Projects!$C$43+1),0)+IF(AND(Projects!$G$44="Yes",39&gt;=Projects!$C$44,39&lt;Projects!$C$44+Projects!$D$44),Projects!$B$44*INDEX(Curves!$B$4:$AR$4,1,39-Projects!$C$44+1),0)+IF(AND(Projects!$G$45="Yes",39&gt;=Projects!$C$45,39&lt;Projects!$C$45+Projects!$D$45),Projects!$B$45*INDEX(Curves!$B$4:$AR$4,1,39-Projects!$C$45+1),0)+IF(AND(Projects!$G$46="Yes",39&gt;=Projects!$C$46,39&lt;Projects!$C$46+Projects!$D$46),Projects!$B$46*INDEX(Curves!$B$4:$AR$4,1,39-Projects!$C$46+1),0)</f>
        <v>10647144</v>
      </c>
      <c r="AS96" s="313" t="n">
        <f aca="false">IF(AND(Projects!$G$17="Yes",40&gt;=Projects!$C$17,40&lt;Projects!$C$17+Projects!$D$17),Projects!$B$17*INDEX(Curves!$B$4:$AR$4,1,40-Projects!$C$17+1),0)+IF(AND(Projects!$G$18="Yes",40&gt;=Projects!$C$18,40&lt;Projects!$C$18+Projects!$D$18),Projects!$B$18*INDEX(Curves!$B$4:$AR$4,1,40-Projects!$C$18+1),0)+IF(AND(Projects!$G$19="Yes",40&gt;=Projects!$C$19,40&lt;Projects!$C$19+Projects!$D$19),Projects!$B$19*INDEX(Curves!$B$4:$AR$4,1,40-Projects!$C$19+1),0)+IF(AND(Projects!$G$20="Yes",40&gt;=Projects!$C$20,40&lt;Projects!$C$20+Projects!$D$20),Projects!$B$20*INDEX(Curves!$B$4:$AR$4,1,40-Projects!$C$20+1),0)+IF(AND(Projects!$G$21="Yes",40&gt;=Projects!$C$21,40&lt;Projects!$C$21+Projects!$D$21),Projects!$B$21*INDEX(Curves!$B$4:$AR$4,1,40-Projects!$C$21+1),0)+IF(AND(Projects!$G$22="Yes",40&gt;=Projects!$C$22,40&lt;Projects!$C$22+Projects!$D$22),Projects!$B$22*INDEX(Curves!$B$4:$AR$4,1,40-Projects!$C$22+1),0)+IF(AND(Projects!$G$23="Yes",40&gt;=Projects!$C$23,40&lt;Projects!$C$23+Projects!$D$23),Projects!$B$23*INDEX(Curves!$B$4:$AR$4,1,40-Projects!$C$23+1),0)+IF(AND(Projects!$G$24="Yes",40&gt;=Projects!$C$24,40&lt;Projects!$C$24+Projects!$D$24),Projects!$B$24*INDEX(Curves!$B$4:$AR$4,1,40-Projects!$C$24+1),0)+IF(AND(Projects!$G$25="Yes",40&gt;=Projects!$C$25,40&lt;Projects!$C$25+Projects!$D$25),Projects!$B$25*INDEX(Curves!$B$4:$AR$4,1,40-Projects!$C$25+1),0)+IF(AND(Projects!$G$26="Yes",40&gt;=Projects!$C$26,40&lt;Projects!$C$26+Projects!$D$26),Projects!$B$26*INDEX(Curves!$B$4:$AR$4,1,40-Projects!$C$26+1),0)+IF(AND(Projects!$G$27="Yes",40&gt;=Projects!$C$27,40&lt;Projects!$C$27+Projects!$D$27),Projects!$B$27*INDEX(Curves!$B$4:$AR$4,1,40-Projects!$C$27+1),0)+IF(AND(Projects!$G$28="Yes",40&gt;=Projects!$C$28,40&lt;Projects!$C$28+Projects!$D$28),Projects!$B$28*INDEX(Curves!$B$4:$AR$4,1,40-Projects!$C$28+1),0)+IF(AND(Projects!$G$29="Yes",40&gt;=Projects!$C$29,40&lt;Projects!$C$29+Projects!$D$29),Projects!$B$29*INDEX(Curves!$B$4:$AR$4,1,40-Projects!$C$29+1),0)+IF(AND(Projects!$G$30="Yes",40&gt;=Projects!$C$30,40&lt;Projects!$C$30+Projects!$D$30),Projects!$B$30*INDEX(Curves!$B$4:$AR$4,1,40-Projects!$C$30+1),0)+IF(AND(Projects!$G$31="Yes",40&gt;=Projects!$C$31,40&lt;Projects!$C$31+Projects!$D$31),Projects!$B$31*INDEX(Curves!$B$4:$AR$4,1,40-Projects!$C$31+1),0)+IF(AND(Projects!$G$32="Yes",40&gt;=Projects!$C$32,40&lt;Projects!$C$32+Projects!$D$32),Projects!$B$32*INDEX(Curves!$B$4:$AR$4,1,40-Projects!$C$32+1),0)+IF(AND(Projects!$G$33="Yes",40&gt;=Projects!$C$33,40&lt;Projects!$C$33+Projects!$D$33),Projects!$B$33*INDEX(Curves!$B$4:$AR$4,1,40-Projects!$C$33+1),0)+IF(AND(Projects!$G$34="Yes",40&gt;=Projects!$C$34,40&lt;Projects!$C$34+Projects!$D$34),Projects!$B$34*INDEX(Curves!$B$4:$AR$4,1,40-Projects!$C$34+1),0)+IF(AND(Projects!$G$35="Yes",40&gt;=Projects!$C$35,40&lt;Projects!$C$35+Projects!$D$35),Projects!$B$35*INDEX(Curves!$B$4:$AR$4,1,40-Projects!$C$35+1),0)+IF(AND(Projects!$G$36="Yes",40&gt;=Projects!$C$36,40&lt;Projects!$C$36+Projects!$D$36),Projects!$B$36*INDEX(Curves!$B$4:$AR$4,1,40-Projects!$C$36+1),0)+IF(AND(Projects!$G$37="Yes",40&gt;=Projects!$C$37,40&lt;Projects!$C$37+Projects!$D$37),Projects!$B$37*INDEX(Curves!$B$4:$AR$4,1,40-Projects!$C$37+1),0)+IF(AND(Projects!$G$38="Yes",40&gt;=Projects!$C$38,40&lt;Projects!$C$38+Projects!$D$38),Projects!$B$38*INDEX(Curves!$B$4:$AR$4,1,40-Projects!$C$38+1),0)+IF(AND(Projects!$G$39="Yes",40&gt;=Projects!$C$39,40&lt;Projects!$C$39+Projects!$D$39),Projects!$B$39*INDEX(Curves!$B$4:$AR$4,1,40-Projects!$C$39+1),0)+IF(AND(Projects!$G$40="Yes",40&gt;=Projects!$C$40,40&lt;Projects!$C$40+Projects!$D$40),Projects!$B$40*INDEX(Curves!$B$4:$AR$4,1,40-Projects!$C$40+1),0)+IF(AND(Projects!$G$41="Yes",40&gt;=Projects!$C$41,40&lt;Projects!$C$41+Projects!$D$41),Projects!$B$41*INDEX(Curves!$B$4:$AR$4,1,40-Projects!$C$41+1),0)+IF(AND(Projects!$G$42="Yes",40&gt;=Projects!$C$42,40&lt;Projects!$C$42+Projects!$D$42),Projects!$B$42*INDEX(Curves!$B$4:$AR$4,1,40-Projects!$C$42+1),0)+IF(AND(Projects!$G$43="Yes",40&gt;=Projects!$C$43,40&lt;Projects!$C$43+Projects!$D$43),Projects!$B$43*INDEX(Curves!$B$4:$AR$4,1,40-Projects!$C$43+1),0)+IF(AND(Projects!$G$44="Yes",40&gt;=Projects!$C$44,40&lt;Projects!$C$44+Projects!$D$44),Projects!$B$44*INDEX(Curves!$B$4:$AR$4,1,40-Projects!$C$44+1),0)+IF(AND(Projects!$G$45="Yes",40&gt;=Projects!$C$45,40&lt;Projects!$C$45+Projects!$D$45),Projects!$B$45*INDEX(Curves!$B$4:$AR$4,1,40-Projects!$C$45+1),0)+IF(AND(Projects!$G$46="Yes",40&gt;=Projects!$C$46,40&lt;Projects!$C$46+Projects!$D$46),Projects!$B$46*INDEX(Curves!$B$4:$AR$4,1,40-Projects!$C$46+1),0)</f>
        <v>11189706</v>
      </c>
      <c r="AT96" s="313" t="n">
        <f aca="false">IF(AND(Projects!$G$17="Yes",41&gt;=Projects!$C$17,41&lt;Projects!$C$17+Projects!$D$17),Projects!$B$17*INDEX(Curves!$B$4:$AR$4,1,41-Projects!$C$17+1),0)+IF(AND(Projects!$G$18="Yes",41&gt;=Projects!$C$18,41&lt;Projects!$C$18+Projects!$D$18),Projects!$B$18*INDEX(Curves!$B$4:$AR$4,1,41-Projects!$C$18+1),0)+IF(AND(Projects!$G$19="Yes",41&gt;=Projects!$C$19,41&lt;Projects!$C$19+Projects!$D$19),Projects!$B$19*INDEX(Curves!$B$4:$AR$4,1,41-Projects!$C$19+1),0)+IF(AND(Projects!$G$20="Yes",41&gt;=Projects!$C$20,41&lt;Projects!$C$20+Projects!$D$20),Projects!$B$20*INDEX(Curves!$B$4:$AR$4,1,41-Projects!$C$20+1),0)+IF(AND(Projects!$G$21="Yes",41&gt;=Projects!$C$21,41&lt;Projects!$C$21+Projects!$D$21),Projects!$B$21*INDEX(Curves!$B$4:$AR$4,1,41-Projects!$C$21+1),0)+IF(AND(Projects!$G$22="Yes",41&gt;=Projects!$C$22,41&lt;Projects!$C$22+Projects!$D$22),Projects!$B$22*INDEX(Curves!$B$4:$AR$4,1,41-Projects!$C$22+1),0)+IF(AND(Projects!$G$23="Yes",41&gt;=Projects!$C$23,41&lt;Projects!$C$23+Projects!$D$23),Projects!$B$23*INDEX(Curves!$B$4:$AR$4,1,41-Projects!$C$23+1),0)+IF(AND(Projects!$G$24="Yes",41&gt;=Projects!$C$24,41&lt;Projects!$C$24+Projects!$D$24),Projects!$B$24*INDEX(Curves!$B$4:$AR$4,1,41-Projects!$C$24+1),0)+IF(AND(Projects!$G$25="Yes",41&gt;=Projects!$C$25,41&lt;Projects!$C$25+Projects!$D$25),Projects!$B$25*INDEX(Curves!$B$4:$AR$4,1,41-Projects!$C$25+1),0)+IF(AND(Projects!$G$26="Yes",41&gt;=Projects!$C$26,41&lt;Projects!$C$26+Projects!$D$26),Projects!$B$26*INDEX(Curves!$B$4:$AR$4,1,41-Projects!$C$26+1),0)+IF(AND(Projects!$G$27="Yes",41&gt;=Projects!$C$27,41&lt;Projects!$C$27+Projects!$D$27),Projects!$B$27*INDEX(Curves!$B$4:$AR$4,1,41-Projects!$C$27+1),0)+IF(AND(Projects!$G$28="Yes",41&gt;=Projects!$C$28,41&lt;Projects!$C$28+Projects!$D$28),Projects!$B$28*INDEX(Curves!$B$4:$AR$4,1,41-Projects!$C$28+1),0)+IF(AND(Projects!$G$29="Yes",41&gt;=Projects!$C$29,41&lt;Projects!$C$29+Projects!$D$29),Projects!$B$29*INDEX(Curves!$B$4:$AR$4,1,41-Projects!$C$29+1),0)+IF(AND(Projects!$G$30="Yes",41&gt;=Projects!$C$30,41&lt;Projects!$C$30+Projects!$D$30),Projects!$B$30*INDEX(Curves!$B$4:$AR$4,1,41-Projects!$C$30+1),0)+IF(AND(Projects!$G$31="Yes",41&gt;=Projects!$C$31,41&lt;Projects!$C$31+Projects!$D$31),Projects!$B$31*INDEX(Curves!$B$4:$AR$4,1,41-Projects!$C$31+1),0)+IF(AND(Projects!$G$32="Yes",41&gt;=Projects!$C$32,41&lt;Projects!$C$32+Projects!$D$32),Projects!$B$32*INDEX(Curves!$B$4:$AR$4,1,41-Projects!$C$32+1),0)+IF(AND(Projects!$G$33="Yes",41&gt;=Projects!$C$33,41&lt;Projects!$C$33+Projects!$D$33),Projects!$B$33*INDEX(Curves!$B$4:$AR$4,1,41-Projects!$C$33+1),0)+IF(AND(Projects!$G$34="Yes",41&gt;=Projects!$C$34,41&lt;Projects!$C$34+Projects!$D$34),Projects!$B$34*INDEX(Curves!$B$4:$AR$4,1,41-Projects!$C$34+1),0)+IF(AND(Projects!$G$35="Yes",41&gt;=Projects!$C$35,41&lt;Projects!$C$35+Projects!$D$35),Projects!$B$35*INDEX(Curves!$B$4:$AR$4,1,41-Projects!$C$35+1),0)+IF(AND(Projects!$G$36="Yes",41&gt;=Projects!$C$36,41&lt;Projects!$C$36+Projects!$D$36),Projects!$B$36*INDEX(Curves!$B$4:$AR$4,1,41-Projects!$C$36+1),0)+IF(AND(Projects!$G$37="Yes",41&gt;=Projects!$C$37,41&lt;Projects!$C$37+Projects!$D$37),Projects!$B$37*INDEX(Curves!$B$4:$AR$4,1,41-Projects!$C$37+1),0)+IF(AND(Projects!$G$38="Yes",41&gt;=Projects!$C$38,41&lt;Projects!$C$38+Projects!$D$38),Projects!$B$38*INDEX(Curves!$B$4:$AR$4,1,41-Projects!$C$38+1),0)+IF(AND(Projects!$G$39="Yes",41&gt;=Projects!$C$39,41&lt;Projects!$C$39+Projects!$D$39),Projects!$B$39*INDEX(Curves!$B$4:$AR$4,1,41-Projects!$C$39+1),0)+IF(AND(Projects!$G$40="Yes",41&gt;=Projects!$C$40,41&lt;Projects!$C$40+Projects!$D$40),Projects!$B$40*INDEX(Curves!$B$4:$AR$4,1,41-Projects!$C$40+1),0)+IF(AND(Projects!$G$41="Yes",41&gt;=Projects!$C$41,41&lt;Projects!$C$41+Projects!$D$41),Projects!$B$41*INDEX(Curves!$B$4:$AR$4,1,41-Projects!$C$41+1),0)+IF(AND(Projects!$G$42="Yes",41&gt;=Projects!$C$42,41&lt;Projects!$C$42+Projects!$D$42),Projects!$B$42*INDEX(Curves!$B$4:$AR$4,1,41-Projects!$C$42+1),0)+IF(AND(Projects!$G$43="Yes",41&gt;=Projects!$C$43,41&lt;Projects!$C$43+Projects!$D$43),Projects!$B$43*INDEX(Curves!$B$4:$AR$4,1,41-Projects!$C$43+1),0)+IF(AND(Projects!$G$44="Yes",41&gt;=Projects!$C$44,41&lt;Projects!$C$44+Projects!$D$44),Projects!$B$44*INDEX(Curves!$B$4:$AR$4,1,41-Projects!$C$44+1),0)+IF(AND(Projects!$G$45="Yes",41&gt;=Projects!$C$45,41&lt;Projects!$C$45+Projects!$D$45),Projects!$B$45*INDEX(Curves!$B$4:$AR$4,1,41-Projects!$C$45+1),0)+IF(AND(Projects!$G$46="Yes",41&gt;=Projects!$C$46,41&lt;Projects!$C$46+Projects!$D$46),Projects!$B$46*INDEX(Curves!$B$4:$AR$4,1,41-Projects!$C$46+1),0)</f>
        <v>11568018</v>
      </c>
      <c r="AU96" s="313" t="n">
        <f aca="false">IF(AND(Projects!$G$17="Yes",42&gt;=Projects!$C$17,42&lt;Projects!$C$17+Projects!$D$17),Projects!$B$17*INDEX(Curves!$B$4:$AR$4,1,42-Projects!$C$17+1),0)+IF(AND(Projects!$G$18="Yes",42&gt;=Projects!$C$18,42&lt;Projects!$C$18+Projects!$D$18),Projects!$B$18*INDEX(Curves!$B$4:$AR$4,1,42-Projects!$C$18+1),0)+IF(AND(Projects!$G$19="Yes",42&gt;=Projects!$C$19,42&lt;Projects!$C$19+Projects!$D$19),Projects!$B$19*INDEX(Curves!$B$4:$AR$4,1,42-Projects!$C$19+1),0)+IF(AND(Projects!$G$20="Yes",42&gt;=Projects!$C$20,42&lt;Projects!$C$20+Projects!$D$20),Projects!$B$20*INDEX(Curves!$B$4:$AR$4,1,42-Projects!$C$20+1),0)+IF(AND(Projects!$G$21="Yes",42&gt;=Projects!$C$21,42&lt;Projects!$C$21+Projects!$D$21),Projects!$B$21*INDEX(Curves!$B$4:$AR$4,1,42-Projects!$C$21+1),0)+IF(AND(Projects!$G$22="Yes",42&gt;=Projects!$C$22,42&lt;Projects!$C$22+Projects!$D$22),Projects!$B$22*INDEX(Curves!$B$4:$AR$4,1,42-Projects!$C$22+1),0)+IF(AND(Projects!$G$23="Yes",42&gt;=Projects!$C$23,42&lt;Projects!$C$23+Projects!$D$23),Projects!$B$23*INDEX(Curves!$B$4:$AR$4,1,42-Projects!$C$23+1),0)+IF(AND(Projects!$G$24="Yes",42&gt;=Projects!$C$24,42&lt;Projects!$C$24+Projects!$D$24),Projects!$B$24*INDEX(Curves!$B$4:$AR$4,1,42-Projects!$C$24+1),0)+IF(AND(Projects!$G$25="Yes",42&gt;=Projects!$C$25,42&lt;Projects!$C$25+Projects!$D$25),Projects!$B$25*INDEX(Curves!$B$4:$AR$4,1,42-Projects!$C$25+1),0)+IF(AND(Projects!$G$26="Yes",42&gt;=Projects!$C$26,42&lt;Projects!$C$26+Projects!$D$26),Projects!$B$26*INDEX(Curves!$B$4:$AR$4,1,42-Projects!$C$26+1),0)+IF(AND(Projects!$G$27="Yes",42&gt;=Projects!$C$27,42&lt;Projects!$C$27+Projects!$D$27),Projects!$B$27*INDEX(Curves!$B$4:$AR$4,1,42-Projects!$C$27+1),0)+IF(AND(Projects!$G$28="Yes",42&gt;=Projects!$C$28,42&lt;Projects!$C$28+Projects!$D$28),Projects!$B$28*INDEX(Curves!$B$4:$AR$4,1,42-Projects!$C$28+1),0)+IF(AND(Projects!$G$29="Yes",42&gt;=Projects!$C$29,42&lt;Projects!$C$29+Projects!$D$29),Projects!$B$29*INDEX(Curves!$B$4:$AR$4,1,42-Projects!$C$29+1),0)+IF(AND(Projects!$G$30="Yes",42&gt;=Projects!$C$30,42&lt;Projects!$C$30+Projects!$D$30),Projects!$B$30*INDEX(Curves!$B$4:$AR$4,1,42-Projects!$C$30+1),0)+IF(AND(Projects!$G$31="Yes",42&gt;=Projects!$C$31,42&lt;Projects!$C$31+Projects!$D$31),Projects!$B$31*INDEX(Curves!$B$4:$AR$4,1,42-Projects!$C$31+1),0)+IF(AND(Projects!$G$32="Yes",42&gt;=Projects!$C$32,42&lt;Projects!$C$32+Projects!$D$32),Projects!$B$32*INDEX(Curves!$B$4:$AR$4,1,42-Projects!$C$32+1),0)+IF(AND(Projects!$G$33="Yes",42&gt;=Projects!$C$33,42&lt;Projects!$C$33+Projects!$D$33),Projects!$B$33*INDEX(Curves!$B$4:$AR$4,1,42-Projects!$C$33+1),0)+IF(AND(Projects!$G$34="Yes",42&gt;=Projects!$C$34,42&lt;Projects!$C$34+Projects!$D$34),Projects!$B$34*INDEX(Curves!$B$4:$AR$4,1,42-Projects!$C$34+1),0)+IF(AND(Projects!$G$35="Yes",42&gt;=Projects!$C$35,42&lt;Projects!$C$35+Projects!$D$35),Projects!$B$35*INDEX(Curves!$B$4:$AR$4,1,42-Projects!$C$35+1),0)+IF(AND(Projects!$G$36="Yes",42&gt;=Projects!$C$36,42&lt;Projects!$C$36+Projects!$D$36),Projects!$B$36*INDEX(Curves!$B$4:$AR$4,1,42-Projects!$C$36+1),0)+IF(AND(Projects!$G$37="Yes",42&gt;=Projects!$C$37,42&lt;Projects!$C$37+Projects!$D$37),Projects!$B$37*INDEX(Curves!$B$4:$AR$4,1,42-Projects!$C$37+1),0)+IF(AND(Projects!$G$38="Yes",42&gt;=Projects!$C$38,42&lt;Projects!$C$38+Projects!$D$38),Projects!$B$38*INDEX(Curves!$B$4:$AR$4,1,42-Projects!$C$38+1),0)+IF(AND(Projects!$G$39="Yes",42&gt;=Projects!$C$39,42&lt;Projects!$C$39+Projects!$D$39),Projects!$B$39*INDEX(Curves!$B$4:$AR$4,1,42-Projects!$C$39+1),0)+IF(AND(Projects!$G$40="Yes",42&gt;=Projects!$C$40,42&lt;Projects!$C$40+Projects!$D$40),Projects!$B$40*INDEX(Curves!$B$4:$AR$4,1,42-Projects!$C$40+1),0)+IF(AND(Projects!$G$41="Yes",42&gt;=Projects!$C$41,42&lt;Projects!$C$41+Projects!$D$41),Projects!$B$41*INDEX(Curves!$B$4:$AR$4,1,42-Projects!$C$41+1),0)+IF(AND(Projects!$G$42="Yes",42&gt;=Projects!$C$42,42&lt;Projects!$C$42+Projects!$D$42),Projects!$B$42*INDEX(Curves!$B$4:$AR$4,1,42-Projects!$C$42+1),0)+IF(AND(Projects!$G$43="Yes",42&gt;=Projects!$C$43,42&lt;Projects!$C$43+Projects!$D$43),Projects!$B$43*INDEX(Curves!$B$4:$AR$4,1,42-Projects!$C$43+1),0)+IF(AND(Projects!$G$44="Yes",42&gt;=Projects!$C$44,42&lt;Projects!$C$44+Projects!$D$44),Projects!$B$44*INDEX(Curves!$B$4:$AR$4,1,42-Projects!$C$44+1),0)+IF(AND(Projects!$G$45="Yes",42&gt;=Projects!$C$45,42&lt;Projects!$C$45+Projects!$D$45),Projects!$B$45*INDEX(Curves!$B$4:$AR$4,1,42-Projects!$C$45+1),0)+IF(AND(Projects!$G$46="Yes",42&gt;=Projects!$C$46,42&lt;Projects!$C$46+Projects!$D$46),Projects!$B$46*INDEX(Curves!$B$4:$AR$4,1,42-Projects!$C$46+1),0)</f>
        <v>11760399</v>
      </c>
      <c r="AV96" s="313" t="n">
        <f aca="false">IF(AND(Projects!$G$17="Yes",43&gt;=Projects!$C$17,43&lt;Projects!$C$17+Projects!$D$17),Projects!$B$17*INDEX(Curves!$B$4:$AR$4,1,43-Projects!$C$17+1),0)+IF(AND(Projects!$G$18="Yes",43&gt;=Projects!$C$18,43&lt;Projects!$C$18+Projects!$D$18),Projects!$B$18*INDEX(Curves!$B$4:$AR$4,1,43-Projects!$C$18+1),0)+IF(AND(Projects!$G$19="Yes",43&gt;=Projects!$C$19,43&lt;Projects!$C$19+Projects!$D$19),Projects!$B$19*INDEX(Curves!$B$4:$AR$4,1,43-Projects!$C$19+1),0)+IF(AND(Projects!$G$20="Yes",43&gt;=Projects!$C$20,43&lt;Projects!$C$20+Projects!$D$20),Projects!$B$20*INDEX(Curves!$B$4:$AR$4,1,43-Projects!$C$20+1),0)+IF(AND(Projects!$G$21="Yes",43&gt;=Projects!$C$21,43&lt;Projects!$C$21+Projects!$D$21),Projects!$B$21*INDEX(Curves!$B$4:$AR$4,1,43-Projects!$C$21+1),0)+IF(AND(Projects!$G$22="Yes",43&gt;=Projects!$C$22,43&lt;Projects!$C$22+Projects!$D$22),Projects!$B$22*INDEX(Curves!$B$4:$AR$4,1,43-Projects!$C$22+1),0)+IF(AND(Projects!$G$23="Yes",43&gt;=Projects!$C$23,43&lt;Projects!$C$23+Projects!$D$23),Projects!$B$23*INDEX(Curves!$B$4:$AR$4,1,43-Projects!$C$23+1),0)+IF(AND(Projects!$G$24="Yes",43&gt;=Projects!$C$24,43&lt;Projects!$C$24+Projects!$D$24),Projects!$B$24*INDEX(Curves!$B$4:$AR$4,1,43-Projects!$C$24+1),0)+IF(AND(Projects!$G$25="Yes",43&gt;=Projects!$C$25,43&lt;Projects!$C$25+Projects!$D$25),Projects!$B$25*INDEX(Curves!$B$4:$AR$4,1,43-Projects!$C$25+1),0)+IF(AND(Projects!$G$26="Yes",43&gt;=Projects!$C$26,43&lt;Projects!$C$26+Projects!$D$26),Projects!$B$26*INDEX(Curves!$B$4:$AR$4,1,43-Projects!$C$26+1),0)+IF(AND(Projects!$G$27="Yes",43&gt;=Projects!$C$27,43&lt;Projects!$C$27+Projects!$D$27),Projects!$B$27*INDEX(Curves!$B$4:$AR$4,1,43-Projects!$C$27+1),0)+IF(AND(Projects!$G$28="Yes",43&gt;=Projects!$C$28,43&lt;Projects!$C$28+Projects!$D$28),Projects!$B$28*INDEX(Curves!$B$4:$AR$4,1,43-Projects!$C$28+1),0)+IF(AND(Projects!$G$29="Yes",43&gt;=Projects!$C$29,43&lt;Projects!$C$29+Projects!$D$29),Projects!$B$29*INDEX(Curves!$B$4:$AR$4,1,43-Projects!$C$29+1),0)+IF(AND(Projects!$G$30="Yes",43&gt;=Projects!$C$30,43&lt;Projects!$C$30+Projects!$D$30),Projects!$B$30*INDEX(Curves!$B$4:$AR$4,1,43-Projects!$C$30+1),0)+IF(AND(Projects!$G$31="Yes",43&gt;=Projects!$C$31,43&lt;Projects!$C$31+Projects!$D$31),Projects!$B$31*INDEX(Curves!$B$4:$AR$4,1,43-Projects!$C$31+1),0)+IF(AND(Projects!$G$32="Yes",43&gt;=Projects!$C$32,43&lt;Projects!$C$32+Projects!$D$32),Projects!$B$32*INDEX(Curves!$B$4:$AR$4,1,43-Projects!$C$32+1),0)+IF(AND(Projects!$G$33="Yes",43&gt;=Projects!$C$33,43&lt;Projects!$C$33+Projects!$D$33),Projects!$B$33*INDEX(Curves!$B$4:$AR$4,1,43-Projects!$C$33+1),0)+IF(AND(Projects!$G$34="Yes",43&gt;=Projects!$C$34,43&lt;Projects!$C$34+Projects!$D$34),Projects!$B$34*INDEX(Curves!$B$4:$AR$4,1,43-Projects!$C$34+1),0)+IF(AND(Projects!$G$35="Yes",43&gt;=Projects!$C$35,43&lt;Projects!$C$35+Projects!$D$35),Projects!$B$35*INDEX(Curves!$B$4:$AR$4,1,43-Projects!$C$35+1),0)+IF(AND(Projects!$G$36="Yes",43&gt;=Projects!$C$36,43&lt;Projects!$C$36+Projects!$D$36),Projects!$B$36*INDEX(Curves!$B$4:$AR$4,1,43-Projects!$C$36+1),0)+IF(AND(Projects!$G$37="Yes",43&gt;=Projects!$C$37,43&lt;Projects!$C$37+Projects!$D$37),Projects!$B$37*INDEX(Curves!$B$4:$AR$4,1,43-Projects!$C$37+1),0)+IF(AND(Projects!$G$38="Yes",43&gt;=Projects!$C$38,43&lt;Projects!$C$38+Projects!$D$38),Projects!$B$38*INDEX(Curves!$B$4:$AR$4,1,43-Projects!$C$38+1),0)+IF(AND(Projects!$G$39="Yes",43&gt;=Projects!$C$39,43&lt;Projects!$C$39+Projects!$D$39),Projects!$B$39*INDEX(Curves!$B$4:$AR$4,1,43-Projects!$C$39+1),0)+IF(AND(Projects!$G$40="Yes",43&gt;=Projects!$C$40,43&lt;Projects!$C$40+Projects!$D$40),Projects!$B$40*INDEX(Curves!$B$4:$AR$4,1,43-Projects!$C$40+1),0)+IF(AND(Projects!$G$41="Yes",43&gt;=Projects!$C$41,43&lt;Projects!$C$41+Projects!$D$41),Projects!$B$41*INDEX(Curves!$B$4:$AR$4,1,43-Projects!$C$41+1),0)+IF(AND(Projects!$G$42="Yes",43&gt;=Projects!$C$42,43&lt;Projects!$C$42+Projects!$D$42),Projects!$B$42*INDEX(Curves!$B$4:$AR$4,1,43-Projects!$C$42+1),0)+IF(AND(Projects!$G$43="Yes",43&gt;=Projects!$C$43,43&lt;Projects!$C$43+Projects!$D$43),Projects!$B$43*INDEX(Curves!$B$4:$AR$4,1,43-Projects!$C$43+1),0)+IF(AND(Projects!$G$44="Yes",43&gt;=Projects!$C$44,43&lt;Projects!$C$44+Projects!$D$44),Projects!$B$44*INDEX(Curves!$B$4:$AR$4,1,43-Projects!$C$44+1),0)+IF(AND(Projects!$G$45="Yes",43&gt;=Projects!$C$45,43&lt;Projects!$C$45+Projects!$D$45),Projects!$B$45*INDEX(Curves!$B$4:$AR$4,1,43-Projects!$C$45+1),0)+IF(AND(Projects!$G$46="Yes",43&gt;=Projects!$C$46,43&lt;Projects!$C$46+Projects!$D$46),Projects!$B$46*INDEX(Curves!$B$4:$AR$4,1,43-Projects!$C$46+1),0)</f>
        <v>11854128</v>
      </c>
      <c r="AW96" s="313" t="n">
        <f aca="false">IF(AND(Projects!$G$17="Yes",44&gt;=Projects!$C$17,44&lt;Projects!$C$17+Projects!$D$17),Projects!$B$17*INDEX(Curves!$B$4:$AR$4,1,44-Projects!$C$17+1),0)+IF(AND(Projects!$G$18="Yes",44&gt;=Projects!$C$18,44&lt;Projects!$C$18+Projects!$D$18),Projects!$B$18*INDEX(Curves!$B$4:$AR$4,1,44-Projects!$C$18+1),0)+IF(AND(Projects!$G$19="Yes",44&gt;=Projects!$C$19,44&lt;Projects!$C$19+Projects!$D$19),Projects!$B$19*INDEX(Curves!$B$4:$AR$4,1,44-Projects!$C$19+1),0)+IF(AND(Projects!$G$20="Yes",44&gt;=Projects!$C$20,44&lt;Projects!$C$20+Projects!$D$20),Projects!$B$20*INDEX(Curves!$B$4:$AR$4,1,44-Projects!$C$20+1),0)+IF(AND(Projects!$G$21="Yes",44&gt;=Projects!$C$21,44&lt;Projects!$C$21+Projects!$D$21),Projects!$B$21*INDEX(Curves!$B$4:$AR$4,1,44-Projects!$C$21+1),0)+IF(AND(Projects!$G$22="Yes",44&gt;=Projects!$C$22,44&lt;Projects!$C$22+Projects!$D$22),Projects!$B$22*INDEX(Curves!$B$4:$AR$4,1,44-Projects!$C$22+1),0)+IF(AND(Projects!$G$23="Yes",44&gt;=Projects!$C$23,44&lt;Projects!$C$23+Projects!$D$23),Projects!$B$23*INDEX(Curves!$B$4:$AR$4,1,44-Projects!$C$23+1),0)+IF(AND(Projects!$G$24="Yes",44&gt;=Projects!$C$24,44&lt;Projects!$C$24+Projects!$D$24),Projects!$B$24*INDEX(Curves!$B$4:$AR$4,1,44-Projects!$C$24+1),0)+IF(AND(Projects!$G$25="Yes",44&gt;=Projects!$C$25,44&lt;Projects!$C$25+Projects!$D$25),Projects!$B$25*INDEX(Curves!$B$4:$AR$4,1,44-Projects!$C$25+1),0)+IF(AND(Projects!$G$26="Yes",44&gt;=Projects!$C$26,44&lt;Projects!$C$26+Projects!$D$26),Projects!$B$26*INDEX(Curves!$B$4:$AR$4,1,44-Projects!$C$26+1),0)+IF(AND(Projects!$G$27="Yes",44&gt;=Projects!$C$27,44&lt;Projects!$C$27+Projects!$D$27),Projects!$B$27*INDEX(Curves!$B$4:$AR$4,1,44-Projects!$C$27+1),0)+IF(AND(Projects!$G$28="Yes",44&gt;=Projects!$C$28,44&lt;Projects!$C$28+Projects!$D$28),Projects!$B$28*INDEX(Curves!$B$4:$AR$4,1,44-Projects!$C$28+1),0)+IF(AND(Projects!$G$29="Yes",44&gt;=Projects!$C$29,44&lt;Projects!$C$29+Projects!$D$29),Projects!$B$29*INDEX(Curves!$B$4:$AR$4,1,44-Projects!$C$29+1),0)+IF(AND(Projects!$G$30="Yes",44&gt;=Projects!$C$30,44&lt;Projects!$C$30+Projects!$D$30),Projects!$B$30*INDEX(Curves!$B$4:$AR$4,1,44-Projects!$C$30+1),0)+IF(AND(Projects!$G$31="Yes",44&gt;=Projects!$C$31,44&lt;Projects!$C$31+Projects!$D$31),Projects!$B$31*INDEX(Curves!$B$4:$AR$4,1,44-Projects!$C$31+1),0)+IF(AND(Projects!$G$32="Yes",44&gt;=Projects!$C$32,44&lt;Projects!$C$32+Projects!$D$32),Projects!$B$32*INDEX(Curves!$B$4:$AR$4,1,44-Projects!$C$32+1),0)+IF(AND(Projects!$G$33="Yes",44&gt;=Projects!$C$33,44&lt;Projects!$C$33+Projects!$D$33),Projects!$B$33*INDEX(Curves!$B$4:$AR$4,1,44-Projects!$C$33+1),0)+IF(AND(Projects!$G$34="Yes",44&gt;=Projects!$C$34,44&lt;Projects!$C$34+Projects!$D$34),Projects!$B$34*INDEX(Curves!$B$4:$AR$4,1,44-Projects!$C$34+1),0)+IF(AND(Projects!$G$35="Yes",44&gt;=Projects!$C$35,44&lt;Projects!$C$35+Projects!$D$35),Projects!$B$35*INDEX(Curves!$B$4:$AR$4,1,44-Projects!$C$35+1),0)+IF(AND(Projects!$G$36="Yes",44&gt;=Projects!$C$36,44&lt;Projects!$C$36+Projects!$D$36),Projects!$B$36*INDEX(Curves!$B$4:$AR$4,1,44-Projects!$C$36+1),0)+IF(AND(Projects!$G$37="Yes",44&gt;=Projects!$C$37,44&lt;Projects!$C$37+Projects!$D$37),Projects!$B$37*INDEX(Curves!$B$4:$AR$4,1,44-Projects!$C$37+1),0)+IF(AND(Projects!$G$38="Yes",44&gt;=Projects!$C$38,44&lt;Projects!$C$38+Projects!$D$38),Projects!$B$38*INDEX(Curves!$B$4:$AR$4,1,44-Projects!$C$38+1),0)+IF(AND(Projects!$G$39="Yes",44&gt;=Projects!$C$39,44&lt;Projects!$C$39+Projects!$D$39),Projects!$B$39*INDEX(Curves!$B$4:$AR$4,1,44-Projects!$C$39+1),0)+IF(AND(Projects!$G$40="Yes",44&gt;=Projects!$C$40,44&lt;Projects!$C$40+Projects!$D$40),Projects!$B$40*INDEX(Curves!$B$4:$AR$4,1,44-Projects!$C$40+1),0)+IF(AND(Projects!$G$41="Yes",44&gt;=Projects!$C$41,44&lt;Projects!$C$41+Projects!$D$41),Projects!$B$41*INDEX(Curves!$B$4:$AR$4,1,44-Projects!$C$41+1),0)+IF(AND(Projects!$G$42="Yes",44&gt;=Projects!$C$42,44&lt;Projects!$C$42+Projects!$D$42),Projects!$B$42*INDEX(Curves!$B$4:$AR$4,1,44-Projects!$C$42+1),0)+IF(AND(Projects!$G$43="Yes",44&gt;=Projects!$C$43,44&lt;Projects!$C$43+Projects!$D$43),Projects!$B$43*INDEX(Curves!$B$4:$AR$4,1,44-Projects!$C$43+1),0)+IF(AND(Projects!$G$44="Yes",44&gt;=Projects!$C$44,44&lt;Projects!$C$44+Projects!$D$44),Projects!$B$44*INDEX(Curves!$B$4:$AR$4,1,44-Projects!$C$44+1),0)+IF(AND(Projects!$G$45="Yes",44&gt;=Projects!$C$45,44&lt;Projects!$C$45+Projects!$D$45),Projects!$B$45*INDEX(Curves!$B$4:$AR$4,1,44-Projects!$C$45+1),0)+IF(AND(Projects!$G$46="Yes",44&gt;=Projects!$C$46,44&lt;Projects!$C$46+Projects!$D$46),Projects!$B$46*INDEX(Curves!$B$4:$AR$4,1,44-Projects!$C$46+1),0)</f>
        <v>12241794</v>
      </c>
      <c r="AX96" s="313" t="n">
        <f aca="false">IF(AND(Projects!$G$17="Yes",45&gt;=Projects!$C$17,45&lt;Projects!$C$17+Projects!$D$17),Projects!$B$17*INDEX(Curves!$B$4:$AR$4,1,45-Projects!$C$17+1),0)+IF(AND(Projects!$G$18="Yes",45&gt;=Projects!$C$18,45&lt;Projects!$C$18+Projects!$D$18),Projects!$B$18*INDEX(Curves!$B$4:$AR$4,1,45-Projects!$C$18+1),0)+IF(AND(Projects!$G$19="Yes",45&gt;=Projects!$C$19,45&lt;Projects!$C$19+Projects!$D$19),Projects!$B$19*INDEX(Curves!$B$4:$AR$4,1,45-Projects!$C$19+1),0)+IF(AND(Projects!$G$20="Yes",45&gt;=Projects!$C$20,45&lt;Projects!$C$20+Projects!$D$20),Projects!$B$20*INDEX(Curves!$B$4:$AR$4,1,45-Projects!$C$20+1),0)+IF(AND(Projects!$G$21="Yes",45&gt;=Projects!$C$21,45&lt;Projects!$C$21+Projects!$D$21),Projects!$B$21*INDEX(Curves!$B$4:$AR$4,1,45-Projects!$C$21+1),0)+IF(AND(Projects!$G$22="Yes",45&gt;=Projects!$C$22,45&lt;Projects!$C$22+Projects!$D$22),Projects!$B$22*INDEX(Curves!$B$4:$AR$4,1,45-Projects!$C$22+1),0)+IF(AND(Projects!$G$23="Yes",45&gt;=Projects!$C$23,45&lt;Projects!$C$23+Projects!$D$23),Projects!$B$23*INDEX(Curves!$B$4:$AR$4,1,45-Projects!$C$23+1),0)+IF(AND(Projects!$G$24="Yes",45&gt;=Projects!$C$24,45&lt;Projects!$C$24+Projects!$D$24),Projects!$B$24*INDEX(Curves!$B$4:$AR$4,1,45-Projects!$C$24+1),0)+IF(AND(Projects!$G$25="Yes",45&gt;=Projects!$C$25,45&lt;Projects!$C$25+Projects!$D$25),Projects!$B$25*INDEX(Curves!$B$4:$AR$4,1,45-Projects!$C$25+1),0)+IF(AND(Projects!$G$26="Yes",45&gt;=Projects!$C$26,45&lt;Projects!$C$26+Projects!$D$26),Projects!$B$26*INDEX(Curves!$B$4:$AR$4,1,45-Projects!$C$26+1),0)+IF(AND(Projects!$G$27="Yes",45&gt;=Projects!$C$27,45&lt;Projects!$C$27+Projects!$D$27),Projects!$B$27*INDEX(Curves!$B$4:$AR$4,1,45-Projects!$C$27+1),0)+IF(AND(Projects!$G$28="Yes",45&gt;=Projects!$C$28,45&lt;Projects!$C$28+Projects!$D$28),Projects!$B$28*INDEX(Curves!$B$4:$AR$4,1,45-Projects!$C$28+1),0)+IF(AND(Projects!$G$29="Yes",45&gt;=Projects!$C$29,45&lt;Projects!$C$29+Projects!$D$29),Projects!$B$29*INDEX(Curves!$B$4:$AR$4,1,45-Projects!$C$29+1),0)+IF(AND(Projects!$G$30="Yes",45&gt;=Projects!$C$30,45&lt;Projects!$C$30+Projects!$D$30),Projects!$B$30*INDEX(Curves!$B$4:$AR$4,1,45-Projects!$C$30+1),0)+IF(AND(Projects!$G$31="Yes",45&gt;=Projects!$C$31,45&lt;Projects!$C$31+Projects!$D$31),Projects!$B$31*INDEX(Curves!$B$4:$AR$4,1,45-Projects!$C$31+1),0)+IF(AND(Projects!$G$32="Yes",45&gt;=Projects!$C$32,45&lt;Projects!$C$32+Projects!$D$32),Projects!$B$32*INDEX(Curves!$B$4:$AR$4,1,45-Projects!$C$32+1),0)+IF(AND(Projects!$G$33="Yes",45&gt;=Projects!$C$33,45&lt;Projects!$C$33+Projects!$D$33),Projects!$B$33*INDEX(Curves!$B$4:$AR$4,1,45-Projects!$C$33+1),0)+IF(AND(Projects!$G$34="Yes",45&gt;=Projects!$C$34,45&lt;Projects!$C$34+Projects!$D$34),Projects!$B$34*INDEX(Curves!$B$4:$AR$4,1,45-Projects!$C$34+1),0)+IF(AND(Projects!$G$35="Yes",45&gt;=Projects!$C$35,45&lt;Projects!$C$35+Projects!$D$35),Projects!$B$35*INDEX(Curves!$B$4:$AR$4,1,45-Projects!$C$35+1),0)+IF(AND(Projects!$G$36="Yes",45&gt;=Projects!$C$36,45&lt;Projects!$C$36+Projects!$D$36),Projects!$B$36*INDEX(Curves!$B$4:$AR$4,1,45-Projects!$C$36+1),0)+IF(AND(Projects!$G$37="Yes",45&gt;=Projects!$C$37,45&lt;Projects!$C$37+Projects!$D$37),Projects!$B$37*INDEX(Curves!$B$4:$AR$4,1,45-Projects!$C$37+1),0)+IF(AND(Projects!$G$38="Yes",45&gt;=Projects!$C$38,45&lt;Projects!$C$38+Projects!$D$38),Projects!$B$38*INDEX(Curves!$B$4:$AR$4,1,45-Projects!$C$38+1),0)+IF(AND(Projects!$G$39="Yes",45&gt;=Projects!$C$39,45&lt;Projects!$C$39+Projects!$D$39),Projects!$B$39*INDEX(Curves!$B$4:$AR$4,1,45-Projects!$C$39+1),0)+IF(AND(Projects!$G$40="Yes",45&gt;=Projects!$C$40,45&lt;Projects!$C$40+Projects!$D$40),Projects!$B$40*INDEX(Curves!$B$4:$AR$4,1,45-Projects!$C$40+1),0)+IF(AND(Projects!$G$41="Yes",45&gt;=Projects!$C$41,45&lt;Projects!$C$41+Projects!$D$41),Projects!$B$41*INDEX(Curves!$B$4:$AR$4,1,45-Projects!$C$41+1),0)+IF(AND(Projects!$G$42="Yes",45&gt;=Projects!$C$42,45&lt;Projects!$C$42+Projects!$D$42),Projects!$B$42*INDEX(Curves!$B$4:$AR$4,1,45-Projects!$C$42+1),0)+IF(AND(Projects!$G$43="Yes",45&gt;=Projects!$C$43,45&lt;Projects!$C$43+Projects!$D$43),Projects!$B$43*INDEX(Curves!$B$4:$AR$4,1,45-Projects!$C$43+1),0)+IF(AND(Projects!$G$44="Yes",45&gt;=Projects!$C$44,45&lt;Projects!$C$44+Projects!$D$44),Projects!$B$44*INDEX(Curves!$B$4:$AR$4,1,45-Projects!$C$44+1),0)+IF(AND(Projects!$G$45="Yes",45&gt;=Projects!$C$45,45&lt;Projects!$C$45+Projects!$D$45),Projects!$B$45*INDEX(Curves!$B$4:$AR$4,1,45-Projects!$C$45+1),0)+IF(AND(Projects!$G$46="Yes",45&gt;=Projects!$C$46,45&lt;Projects!$C$46+Projects!$D$46),Projects!$B$46*INDEX(Curves!$B$4:$AR$4,1,45-Projects!$C$46+1),0)</f>
        <v>12124431</v>
      </c>
      <c r="AY96" s="313" t="n">
        <f aca="false">IF(AND(Projects!$G$17="Yes",46&gt;=Projects!$C$17,46&lt;Projects!$C$17+Projects!$D$17),Projects!$B$17*INDEX(Curves!$B$4:$AR$4,1,46-Projects!$C$17+1),0)+IF(AND(Projects!$G$18="Yes",46&gt;=Projects!$C$18,46&lt;Projects!$C$18+Projects!$D$18),Projects!$B$18*INDEX(Curves!$B$4:$AR$4,1,46-Projects!$C$18+1),0)+IF(AND(Projects!$G$19="Yes",46&gt;=Projects!$C$19,46&lt;Projects!$C$19+Projects!$D$19),Projects!$B$19*INDEX(Curves!$B$4:$AR$4,1,46-Projects!$C$19+1),0)+IF(AND(Projects!$G$20="Yes",46&gt;=Projects!$C$20,46&lt;Projects!$C$20+Projects!$D$20),Projects!$B$20*INDEX(Curves!$B$4:$AR$4,1,46-Projects!$C$20+1),0)+IF(AND(Projects!$G$21="Yes",46&gt;=Projects!$C$21,46&lt;Projects!$C$21+Projects!$D$21),Projects!$B$21*INDEX(Curves!$B$4:$AR$4,1,46-Projects!$C$21+1),0)+IF(AND(Projects!$G$22="Yes",46&gt;=Projects!$C$22,46&lt;Projects!$C$22+Projects!$D$22),Projects!$B$22*INDEX(Curves!$B$4:$AR$4,1,46-Projects!$C$22+1),0)+IF(AND(Projects!$G$23="Yes",46&gt;=Projects!$C$23,46&lt;Projects!$C$23+Projects!$D$23),Projects!$B$23*INDEX(Curves!$B$4:$AR$4,1,46-Projects!$C$23+1),0)+IF(AND(Projects!$G$24="Yes",46&gt;=Projects!$C$24,46&lt;Projects!$C$24+Projects!$D$24),Projects!$B$24*INDEX(Curves!$B$4:$AR$4,1,46-Projects!$C$24+1),0)+IF(AND(Projects!$G$25="Yes",46&gt;=Projects!$C$25,46&lt;Projects!$C$25+Projects!$D$25),Projects!$B$25*INDEX(Curves!$B$4:$AR$4,1,46-Projects!$C$25+1),0)+IF(AND(Projects!$G$26="Yes",46&gt;=Projects!$C$26,46&lt;Projects!$C$26+Projects!$D$26),Projects!$B$26*INDEX(Curves!$B$4:$AR$4,1,46-Projects!$C$26+1),0)+IF(AND(Projects!$G$27="Yes",46&gt;=Projects!$C$27,46&lt;Projects!$C$27+Projects!$D$27),Projects!$B$27*INDEX(Curves!$B$4:$AR$4,1,46-Projects!$C$27+1),0)+IF(AND(Projects!$G$28="Yes",46&gt;=Projects!$C$28,46&lt;Projects!$C$28+Projects!$D$28),Projects!$B$28*INDEX(Curves!$B$4:$AR$4,1,46-Projects!$C$28+1),0)+IF(AND(Projects!$G$29="Yes",46&gt;=Projects!$C$29,46&lt;Projects!$C$29+Projects!$D$29),Projects!$B$29*INDEX(Curves!$B$4:$AR$4,1,46-Projects!$C$29+1),0)+IF(AND(Projects!$G$30="Yes",46&gt;=Projects!$C$30,46&lt;Projects!$C$30+Projects!$D$30),Projects!$B$30*INDEX(Curves!$B$4:$AR$4,1,46-Projects!$C$30+1),0)+IF(AND(Projects!$G$31="Yes",46&gt;=Projects!$C$31,46&lt;Projects!$C$31+Projects!$D$31),Projects!$B$31*INDEX(Curves!$B$4:$AR$4,1,46-Projects!$C$31+1),0)+IF(AND(Projects!$G$32="Yes",46&gt;=Projects!$C$32,46&lt;Projects!$C$32+Projects!$D$32),Projects!$B$32*INDEX(Curves!$B$4:$AR$4,1,46-Projects!$C$32+1),0)+IF(AND(Projects!$G$33="Yes",46&gt;=Projects!$C$33,46&lt;Projects!$C$33+Projects!$D$33),Projects!$B$33*INDEX(Curves!$B$4:$AR$4,1,46-Projects!$C$33+1),0)+IF(AND(Projects!$G$34="Yes",46&gt;=Projects!$C$34,46&lt;Projects!$C$34+Projects!$D$34),Projects!$B$34*INDEX(Curves!$B$4:$AR$4,1,46-Projects!$C$34+1),0)+IF(AND(Projects!$G$35="Yes",46&gt;=Projects!$C$35,46&lt;Projects!$C$35+Projects!$D$35),Projects!$B$35*INDEX(Curves!$B$4:$AR$4,1,46-Projects!$C$35+1),0)+IF(AND(Projects!$G$36="Yes",46&gt;=Projects!$C$36,46&lt;Projects!$C$36+Projects!$D$36),Projects!$B$36*INDEX(Curves!$B$4:$AR$4,1,46-Projects!$C$36+1),0)+IF(AND(Projects!$G$37="Yes",46&gt;=Projects!$C$37,46&lt;Projects!$C$37+Projects!$D$37),Projects!$B$37*INDEX(Curves!$B$4:$AR$4,1,46-Projects!$C$37+1),0)+IF(AND(Projects!$G$38="Yes",46&gt;=Projects!$C$38,46&lt;Projects!$C$38+Projects!$D$38),Projects!$B$38*INDEX(Curves!$B$4:$AR$4,1,46-Projects!$C$38+1),0)+IF(AND(Projects!$G$39="Yes",46&gt;=Projects!$C$39,46&lt;Projects!$C$39+Projects!$D$39),Projects!$B$39*INDEX(Curves!$B$4:$AR$4,1,46-Projects!$C$39+1),0)+IF(AND(Projects!$G$40="Yes",46&gt;=Projects!$C$40,46&lt;Projects!$C$40+Projects!$D$40),Projects!$B$40*INDEX(Curves!$B$4:$AR$4,1,46-Projects!$C$40+1),0)+IF(AND(Projects!$G$41="Yes",46&gt;=Projects!$C$41,46&lt;Projects!$C$41+Projects!$D$41),Projects!$B$41*INDEX(Curves!$B$4:$AR$4,1,46-Projects!$C$41+1),0)+IF(AND(Projects!$G$42="Yes",46&gt;=Projects!$C$42,46&lt;Projects!$C$42+Projects!$D$42),Projects!$B$42*INDEX(Curves!$B$4:$AR$4,1,46-Projects!$C$42+1),0)+IF(AND(Projects!$G$43="Yes",46&gt;=Projects!$C$43,46&lt;Projects!$C$43+Projects!$D$43),Projects!$B$43*INDEX(Curves!$B$4:$AR$4,1,46-Projects!$C$43+1),0)+IF(AND(Projects!$G$44="Yes",46&gt;=Projects!$C$44,46&lt;Projects!$C$44+Projects!$D$44),Projects!$B$44*INDEX(Curves!$B$4:$AR$4,1,46-Projects!$C$44+1),0)+IF(AND(Projects!$G$45="Yes",46&gt;=Projects!$C$45,46&lt;Projects!$C$45+Projects!$D$45),Projects!$B$45*INDEX(Curves!$B$4:$AR$4,1,46-Projects!$C$45+1),0)+IF(AND(Projects!$G$46="Yes",46&gt;=Projects!$C$46,46&lt;Projects!$C$46+Projects!$D$46),Projects!$B$46*INDEX(Curves!$B$4:$AR$4,1,46-Projects!$C$46+1),0)</f>
        <v>11826393</v>
      </c>
      <c r="AZ96" s="313" t="n">
        <f aca="false">IF(AND(Projects!$G$17="Yes",47&gt;=Projects!$C$17,47&lt;Projects!$C$17+Projects!$D$17),Projects!$B$17*INDEX(Curves!$B$4:$AR$4,1,47-Projects!$C$17+1),0)+IF(AND(Projects!$G$18="Yes",47&gt;=Projects!$C$18,47&lt;Projects!$C$18+Projects!$D$18),Projects!$B$18*INDEX(Curves!$B$4:$AR$4,1,47-Projects!$C$18+1),0)+IF(AND(Projects!$G$19="Yes",47&gt;=Projects!$C$19,47&lt;Projects!$C$19+Projects!$D$19),Projects!$B$19*INDEX(Curves!$B$4:$AR$4,1,47-Projects!$C$19+1),0)+IF(AND(Projects!$G$20="Yes",47&gt;=Projects!$C$20,47&lt;Projects!$C$20+Projects!$D$20),Projects!$B$20*INDEX(Curves!$B$4:$AR$4,1,47-Projects!$C$20+1),0)+IF(AND(Projects!$G$21="Yes",47&gt;=Projects!$C$21,47&lt;Projects!$C$21+Projects!$D$21),Projects!$B$21*INDEX(Curves!$B$4:$AR$4,1,47-Projects!$C$21+1),0)+IF(AND(Projects!$G$22="Yes",47&gt;=Projects!$C$22,47&lt;Projects!$C$22+Projects!$D$22),Projects!$B$22*INDEX(Curves!$B$4:$AR$4,1,47-Projects!$C$22+1),0)+IF(AND(Projects!$G$23="Yes",47&gt;=Projects!$C$23,47&lt;Projects!$C$23+Projects!$D$23),Projects!$B$23*INDEX(Curves!$B$4:$AR$4,1,47-Projects!$C$23+1),0)+IF(AND(Projects!$G$24="Yes",47&gt;=Projects!$C$24,47&lt;Projects!$C$24+Projects!$D$24),Projects!$B$24*INDEX(Curves!$B$4:$AR$4,1,47-Projects!$C$24+1),0)+IF(AND(Projects!$G$25="Yes",47&gt;=Projects!$C$25,47&lt;Projects!$C$25+Projects!$D$25),Projects!$B$25*INDEX(Curves!$B$4:$AR$4,1,47-Projects!$C$25+1),0)+IF(AND(Projects!$G$26="Yes",47&gt;=Projects!$C$26,47&lt;Projects!$C$26+Projects!$D$26),Projects!$B$26*INDEX(Curves!$B$4:$AR$4,1,47-Projects!$C$26+1),0)+IF(AND(Projects!$G$27="Yes",47&gt;=Projects!$C$27,47&lt;Projects!$C$27+Projects!$D$27),Projects!$B$27*INDEX(Curves!$B$4:$AR$4,1,47-Projects!$C$27+1),0)+IF(AND(Projects!$G$28="Yes",47&gt;=Projects!$C$28,47&lt;Projects!$C$28+Projects!$D$28),Projects!$B$28*INDEX(Curves!$B$4:$AR$4,1,47-Projects!$C$28+1),0)+IF(AND(Projects!$G$29="Yes",47&gt;=Projects!$C$29,47&lt;Projects!$C$29+Projects!$D$29),Projects!$B$29*INDEX(Curves!$B$4:$AR$4,1,47-Projects!$C$29+1),0)+IF(AND(Projects!$G$30="Yes",47&gt;=Projects!$C$30,47&lt;Projects!$C$30+Projects!$D$30),Projects!$B$30*INDEX(Curves!$B$4:$AR$4,1,47-Projects!$C$30+1),0)+IF(AND(Projects!$G$31="Yes",47&gt;=Projects!$C$31,47&lt;Projects!$C$31+Projects!$D$31),Projects!$B$31*INDEX(Curves!$B$4:$AR$4,1,47-Projects!$C$31+1),0)+IF(AND(Projects!$G$32="Yes",47&gt;=Projects!$C$32,47&lt;Projects!$C$32+Projects!$D$32),Projects!$B$32*INDEX(Curves!$B$4:$AR$4,1,47-Projects!$C$32+1),0)+IF(AND(Projects!$G$33="Yes",47&gt;=Projects!$C$33,47&lt;Projects!$C$33+Projects!$D$33),Projects!$B$33*INDEX(Curves!$B$4:$AR$4,1,47-Projects!$C$33+1),0)+IF(AND(Projects!$G$34="Yes",47&gt;=Projects!$C$34,47&lt;Projects!$C$34+Projects!$D$34),Projects!$B$34*INDEX(Curves!$B$4:$AR$4,1,47-Projects!$C$34+1),0)+IF(AND(Projects!$G$35="Yes",47&gt;=Projects!$C$35,47&lt;Projects!$C$35+Projects!$D$35),Projects!$B$35*INDEX(Curves!$B$4:$AR$4,1,47-Projects!$C$35+1),0)+IF(AND(Projects!$G$36="Yes",47&gt;=Projects!$C$36,47&lt;Projects!$C$36+Projects!$D$36),Projects!$B$36*INDEX(Curves!$B$4:$AR$4,1,47-Projects!$C$36+1),0)+IF(AND(Projects!$G$37="Yes",47&gt;=Projects!$C$37,47&lt;Projects!$C$37+Projects!$D$37),Projects!$B$37*INDEX(Curves!$B$4:$AR$4,1,47-Projects!$C$37+1),0)+IF(AND(Projects!$G$38="Yes",47&gt;=Projects!$C$38,47&lt;Projects!$C$38+Projects!$D$38),Projects!$B$38*INDEX(Curves!$B$4:$AR$4,1,47-Projects!$C$38+1),0)+IF(AND(Projects!$G$39="Yes",47&gt;=Projects!$C$39,47&lt;Projects!$C$39+Projects!$D$39),Projects!$B$39*INDEX(Curves!$B$4:$AR$4,1,47-Projects!$C$39+1),0)+IF(AND(Projects!$G$40="Yes",47&gt;=Projects!$C$40,47&lt;Projects!$C$40+Projects!$D$40),Projects!$B$40*INDEX(Curves!$B$4:$AR$4,1,47-Projects!$C$40+1),0)+IF(AND(Projects!$G$41="Yes",47&gt;=Projects!$C$41,47&lt;Projects!$C$41+Projects!$D$41),Projects!$B$41*INDEX(Curves!$B$4:$AR$4,1,47-Projects!$C$41+1),0)+IF(AND(Projects!$G$42="Yes",47&gt;=Projects!$C$42,47&lt;Projects!$C$42+Projects!$D$42),Projects!$B$42*INDEX(Curves!$B$4:$AR$4,1,47-Projects!$C$42+1),0)+IF(AND(Projects!$G$43="Yes",47&gt;=Projects!$C$43,47&lt;Projects!$C$43+Projects!$D$43),Projects!$B$43*INDEX(Curves!$B$4:$AR$4,1,47-Projects!$C$43+1),0)+IF(AND(Projects!$G$44="Yes",47&gt;=Projects!$C$44,47&lt;Projects!$C$44+Projects!$D$44),Projects!$B$44*INDEX(Curves!$B$4:$AR$4,1,47-Projects!$C$44+1),0)+IF(AND(Projects!$G$45="Yes",47&gt;=Projects!$C$45,47&lt;Projects!$C$45+Projects!$D$45),Projects!$B$45*INDEX(Curves!$B$4:$AR$4,1,47-Projects!$C$45+1),0)+IF(AND(Projects!$G$46="Yes",47&gt;=Projects!$C$46,47&lt;Projects!$C$46+Projects!$D$46),Projects!$B$46*INDEX(Curves!$B$4:$AR$4,1,47-Projects!$C$46+1),0)</f>
        <v>11365344</v>
      </c>
      <c r="BA96" s="313" t="n">
        <f aca="false">IF(AND(Projects!$G$17="Yes",48&gt;=Projects!$C$17,48&lt;Projects!$C$17+Projects!$D$17),Projects!$B$17*INDEX(Curves!$B$4:$AR$4,1,48-Projects!$C$17+1),0)+IF(AND(Projects!$G$18="Yes",48&gt;=Projects!$C$18,48&lt;Projects!$C$18+Projects!$D$18),Projects!$B$18*INDEX(Curves!$B$4:$AR$4,1,48-Projects!$C$18+1),0)+IF(AND(Projects!$G$19="Yes",48&gt;=Projects!$C$19,48&lt;Projects!$C$19+Projects!$D$19),Projects!$B$19*INDEX(Curves!$B$4:$AR$4,1,48-Projects!$C$19+1),0)+IF(AND(Projects!$G$20="Yes",48&gt;=Projects!$C$20,48&lt;Projects!$C$20+Projects!$D$20),Projects!$B$20*INDEX(Curves!$B$4:$AR$4,1,48-Projects!$C$20+1),0)+IF(AND(Projects!$G$21="Yes",48&gt;=Projects!$C$21,48&lt;Projects!$C$21+Projects!$D$21),Projects!$B$21*INDEX(Curves!$B$4:$AR$4,1,48-Projects!$C$21+1),0)+IF(AND(Projects!$G$22="Yes",48&gt;=Projects!$C$22,48&lt;Projects!$C$22+Projects!$D$22),Projects!$B$22*INDEX(Curves!$B$4:$AR$4,1,48-Projects!$C$22+1),0)+IF(AND(Projects!$G$23="Yes",48&gt;=Projects!$C$23,48&lt;Projects!$C$23+Projects!$D$23),Projects!$B$23*INDEX(Curves!$B$4:$AR$4,1,48-Projects!$C$23+1),0)+IF(AND(Projects!$G$24="Yes",48&gt;=Projects!$C$24,48&lt;Projects!$C$24+Projects!$D$24),Projects!$B$24*INDEX(Curves!$B$4:$AR$4,1,48-Projects!$C$24+1),0)+IF(AND(Projects!$G$25="Yes",48&gt;=Projects!$C$25,48&lt;Projects!$C$25+Projects!$D$25),Projects!$B$25*INDEX(Curves!$B$4:$AR$4,1,48-Projects!$C$25+1),0)+IF(AND(Projects!$G$26="Yes",48&gt;=Projects!$C$26,48&lt;Projects!$C$26+Projects!$D$26),Projects!$B$26*INDEX(Curves!$B$4:$AR$4,1,48-Projects!$C$26+1),0)+IF(AND(Projects!$G$27="Yes",48&gt;=Projects!$C$27,48&lt;Projects!$C$27+Projects!$D$27),Projects!$B$27*INDEX(Curves!$B$4:$AR$4,1,48-Projects!$C$27+1),0)+IF(AND(Projects!$G$28="Yes",48&gt;=Projects!$C$28,48&lt;Projects!$C$28+Projects!$D$28),Projects!$B$28*INDEX(Curves!$B$4:$AR$4,1,48-Projects!$C$28+1),0)+IF(AND(Projects!$G$29="Yes",48&gt;=Projects!$C$29,48&lt;Projects!$C$29+Projects!$D$29),Projects!$B$29*INDEX(Curves!$B$4:$AR$4,1,48-Projects!$C$29+1),0)+IF(AND(Projects!$G$30="Yes",48&gt;=Projects!$C$30,48&lt;Projects!$C$30+Projects!$D$30),Projects!$B$30*INDEX(Curves!$B$4:$AR$4,1,48-Projects!$C$30+1),0)+IF(AND(Projects!$G$31="Yes",48&gt;=Projects!$C$31,48&lt;Projects!$C$31+Projects!$D$31),Projects!$B$31*INDEX(Curves!$B$4:$AR$4,1,48-Projects!$C$31+1),0)+IF(AND(Projects!$G$32="Yes",48&gt;=Projects!$C$32,48&lt;Projects!$C$32+Projects!$D$32),Projects!$B$32*INDEX(Curves!$B$4:$AR$4,1,48-Projects!$C$32+1),0)+IF(AND(Projects!$G$33="Yes",48&gt;=Projects!$C$33,48&lt;Projects!$C$33+Projects!$D$33),Projects!$B$33*INDEX(Curves!$B$4:$AR$4,1,48-Projects!$C$33+1),0)+IF(AND(Projects!$G$34="Yes",48&gt;=Projects!$C$34,48&lt;Projects!$C$34+Projects!$D$34),Projects!$B$34*INDEX(Curves!$B$4:$AR$4,1,48-Projects!$C$34+1),0)+IF(AND(Projects!$G$35="Yes",48&gt;=Projects!$C$35,48&lt;Projects!$C$35+Projects!$D$35),Projects!$B$35*INDEX(Curves!$B$4:$AR$4,1,48-Projects!$C$35+1),0)+IF(AND(Projects!$G$36="Yes",48&gt;=Projects!$C$36,48&lt;Projects!$C$36+Projects!$D$36),Projects!$B$36*INDEX(Curves!$B$4:$AR$4,1,48-Projects!$C$36+1),0)+IF(AND(Projects!$G$37="Yes",48&gt;=Projects!$C$37,48&lt;Projects!$C$37+Projects!$D$37),Projects!$B$37*INDEX(Curves!$B$4:$AR$4,1,48-Projects!$C$37+1),0)+IF(AND(Projects!$G$38="Yes",48&gt;=Projects!$C$38,48&lt;Projects!$C$38+Projects!$D$38),Projects!$B$38*INDEX(Curves!$B$4:$AR$4,1,48-Projects!$C$38+1),0)+IF(AND(Projects!$G$39="Yes",48&gt;=Projects!$C$39,48&lt;Projects!$C$39+Projects!$D$39),Projects!$B$39*INDEX(Curves!$B$4:$AR$4,1,48-Projects!$C$39+1),0)+IF(AND(Projects!$G$40="Yes",48&gt;=Projects!$C$40,48&lt;Projects!$C$40+Projects!$D$40),Projects!$B$40*INDEX(Curves!$B$4:$AR$4,1,48-Projects!$C$40+1),0)+IF(AND(Projects!$G$41="Yes",48&gt;=Projects!$C$41,48&lt;Projects!$C$41+Projects!$D$41),Projects!$B$41*INDEX(Curves!$B$4:$AR$4,1,48-Projects!$C$41+1),0)+IF(AND(Projects!$G$42="Yes",48&gt;=Projects!$C$42,48&lt;Projects!$C$42+Projects!$D$42),Projects!$B$42*INDEX(Curves!$B$4:$AR$4,1,48-Projects!$C$42+1),0)+IF(AND(Projects!$G$43="Yes",48&gt;=Projects!$C$43,48&lt;Projects!$C$43+Projects!$D$43),Projects!$B$43*INDEX(Curves!$B$4:$AR$4,1,48-Projects!$C$43+1),0)+IF(AND(Projects!$G$44="Yes",48&gt;=Projects!$C$44,48&lt;Projects!$C$44+Projects!$D$44),Projects!$B$44*INDEX(Curves!$B$4:$AR$4,1,48-Projects!$C$44+1),0)+IF(AND(Projects!$G$45="Yes",48&gt;=Projects!$C$45,48&lt;Projects!$C$45+Projects!$D$45),Projects!$B$45*INDEX(Curves!$B$4:$AR$4,1,48-Projects!$C$45+1),0)+IF(AND(Projects!$G$46="Yes",48&gt;=Projects!$C$46,48&lt;Projects!$C$46+Projects!$D$46),Projects!$B$46*INDEX(Curves!$B$4:$AR$4,1,48-Projects!$C$46+1),0)</f>
        <v>10785459</v>
      </c>
      <c r="BB96" s="313" t="n">
        <f aca="false">IF(AND(Projects!$G$17="Yes",49&gt;=Projects!$C$17,49&lt;Projects!$C$17+Projects!$D$17),Projects!$B$17*INDEX(Curves!$B$4:$AR$4,1,49-Projects!$C$17+1),0)+IF(AND(Projects!$G$18="Yes",49&gt;=Projects!$C$18,49&lt;Projects!$C$18+Projects!$D$18),Projects!$B$18*INDEX(Curves!$B$4:$AR$4,1,49-Projects!$C$18+1),0)+IF(AND(Projects!$G$19="Yes",49&gt;=Projects!$C$19,49&lt;Projects!$C$19+Projects!$D$19),Projects!$B$19*INDEX(Curves!$B$4:$AR$4,1,49-Projects!$C$19+1),0)+IF(AND(Projects!$G$20="Yes",49&gt;=Projects!$C$20,49&lt;Projects!$C$20+Projects!$D$20),Projects!$B$20*INDEX(Curves!$B$4:$AR$4,1,49-Projects!$C$20+1),0)+IF(AND(Projects!$G$21="Yes",49&gt;=Projects!$C$21,49&lt;Projects!$C$21+Projects!$D$21),Projects!$B$21*INDEX(Curves!$B$4:$AR$4,1,49-Projects!$C$21+1),0)+IF(AND(Projects!$G$22="Yes",49&gt;=Projects!$C$22,49&lt;Projects!$C$22+Projects!$D$22),Projects!$B$22*INDEX(Curves!$B$4:$AR$4,1,49-Projects!$C$22+1),0)+IF(AND(Projects!$G$23="Yes",49&gt;=Projects!$C$23,49&lt;Projects!$C$23+Projects!$D$23),Projects!$B$23*INDEX(Curves!$B$4:$AR$4,1,49-Projects!$C$23+1),0)+IF(AND(Projects!$G$24="Yes",49&gt;=Projects!$C$24,49&lt;Projects!$C$24+Projects!$D$24),Projects!$B$24*INDEX(Curves!$B$4:$AR$4,1,49-Projects!$C$24+1),0)+IF(AND(Projects!$G$25="Yes",49&gt;=Projects!$C$25,49&lt;Projects!$C$25+Projects!$D$25),Projects!$B$25*INDEX(Curves!$B$4:$AR$4,1,49-Projects!$C$25+1),0)+IF(AND(Projects!$G$26="Yes",49&gt;=Projects!$C$26,49&lt;Projects!$C$26+Projects!$D$26),Projects!$B$26*INDEX(Curves!$B$4:$AR$4,1,49-Projects!$C$26+1),0)+IF(AND(Projects!$G$27="Yes",49&gt;=Projects!$C$27,49&lt;Projects!$C$27+Projects!$D$27),Projects!$B$27*INDEX(Curves!$B$4:$AR$4,1,49-Projects!$C$27+1),0)+IF(AND(Projects!$G$28="Yes",49&gt;=Projects!$C$28,49&lt;Projects!$C$28+Projects!$D$28),Projects!$B$28*INDEX(Curves!$B$4:$AR$4,1,49-Projects!$C$28+1),0)+IF(AND(Projects!$G$29="Yes",49&gt;=Projects!$C$29,49&lt;Projects!$C$29+Projects!$D$29),Projects!$B$29*INDEX(Curves!$B$4:$AR$4,1,49-Projects!$C$29+1),0)+IF(AND(Projects!$G$30="Yes",49&gt;=Projects!$C$30,49&lt;Projects!$C$30+Projects!$D$30),Projects!$B$30*INDEX(Curves!$B$4:$AR$4,1,49-Projects!$C$30+1),0)+IF(AND(Projects!$G$31="Yes",49&gt;=Projects!$C$31,49&lt;Projects!$C$31+Projects!$D$31),Projects!$B$31*INDEX(Curves!$B$4:$AR$4,1,49-Projects!$C$31+1),0)+IF(AND(Projects!$G$32="Yes",49&gt;=Projects!$C$32,49&lt;Projects!$C$32+Projects!$D$32),Projects!$B$32*INDEX(Curves!$B$4:$AR$4,1,49-Projects!$C$32+1),0)+IF(AND(Projects!$G$33="Yes",49&gt;=Projects!$C$33,49&lt;Projects!$C$33+Projects!$D$33),Projects!$B$33*INDEX(Curves!$B$4:$AR$4,1,49-Projects!$C$33+1),0)+IF(AND(Projects!$G$34="Yes",49&gt;=Projects!$C$34,49&lt;Projects!$C$34+Projects!$D$34),Projects!$B$34*INDEX(Curves!$B$4:$AR$4,1,49-Projects!$C$34+1),0)+IF(AND(Projects!$G$35="Yes",49&gt;=Projects!$C$35,49&lt;Projects!$C$35+Projects!$D$35),Projects!$B$35*INDEX(Curves!$B$4:$AR$4,1,49-Projects!$C$35+1),0)+IF(AND(Projects!$G$36="Yes",49&gt;=Projects!$C$36,49&lt;Projects!$C$36+Projects!$D$36),Projects!$B$36*INDEX(Curves!$B$4:$AR$4,1,49-Projects!$C$36+1),0)+IF(AND(Projects!$G$37="Yes",49&gt;=Projects!$C$37,49&lt;Projects!$C$37+Projects!$D$37),Projects!$B$37*INDEX(Curves!$B$4:$AR$4,1,49-Projects!$C$37+1),0)+IF(AND(Projects!$G$38="Yes",49&gt;=Projects!$C$38,49&lt;Projects!$C$38+Projects!$D$38),Projects!$B$38*INDEX(Curves!$B$4:$AR$4,1,49-Projects!$C$38+1),0)+IF(AND(Projects!$G$39="Yes",49&gt;=Projects!$C$39,49&lt;Projects!$C$39+Projects!$D$39),Projects!$B$39*INDEX(Curves!$B$4:$AR$4,1,49-Projects!$C$39+1),0)+IF(AND(Projects!$G$40="Yes",49&gt;=Projects!$C$40,49&lt;Projects!$C$40+Projects!$D$40),Projects!$B$40*INDEX(Curves!$B$4:$AR$4,1,49-Projects!$C$40+1),0)+IF(AND(Projects!$G$41="Yes",49&gt;=Projects!$C$41,49&lt;Projects!$C$41+Projects!$D$41),Projects!$B$41*INDEX(Curves!$B$4:$AR$4,1,49-Projects!$C$41+1),0)+IF(AND(Projects!$G$42="Yes",49&gt;=Projects!$C$42,49&lt;Projects!$C$42+Projects!$D$42),Projects!$B$42*INDEX(Curves!$B$4:$AR$4,1,49-Projects!$C$42+1),0)+IF(AND(Projects!$G$43="Yes",49&gt;=Projects!$C$43,49&lt;Projects!$C$43+Projects!$D$43),Projects!$B$43*INDEX(Curves!$B$4:$AR$4,1,49-Projects!$C$43+1),0)+IF(AND(Projects!$G$44="Yes",49&gt;=Projects!$C$44,49&lt;Projects!$C$44+Projects!$D$44),Projects!$B$44*INDEX(Curves!$B$4:$AR$4,1,49-Projects!$C$44+1),0)+IF(AND(Projects!$G$45="Yes",49&gt;=Projects!$C$45,49&lt;Projects!$C$45+Projects!$D$45),Projects!$B$45*INDEX(Curves!$B$4:$AR$4,1,49-Projects!$C$45+1),0)+IF(AND(Projects!$G$46="Yes",49&gt;=Projects!$C$46,49&lt;Projects!$C$46+Projects!$D$46),Projects!$B$46*INDEX(Curves!$B$4:$AR$4,1,49-Projects!$C$46+1),0)</f>
        <v>10352658</v>
      </c>
      <c r="BC96" s="313" t="n">
        <f aca="false">IF(AND(Projects!$G$17="Yes",50&gt;=Projects!$C$17,50&lt;Projects!$C$17+Projects!$D$17),Projects!$B$17*INDEX(Curves!$B$4:$AR$4,1,50-Projects!$C$17+1),0)+IF(AND(Projects!$G$18="Yes",50&gt;=Projects!$C$18,50&lt;Projects!$C$18+Projects!$D$18),Projects!$B$18*INDEX(Curves!$B$4:$AR$4,1,50-Projects!$C$18+1),0)+IF(AND(Projects!$G$19="Yes",50&gt;=Projects!$C$19,50&lt;Projects!$C$19+Projects!$D$19),Projects!$B$19*INDEX(Curves!$B$4:$AR$4,1,50-Projects!$C$19+1),0)+IF(AND(Projects!$G$20="Yes",50&gt;=Projects!$C$20,50&lt;Projects!$C$20+Projects!$D$20),Projects!$B$20*INDEX(Curves!$B$4:$AR$4,1,50-Projects!$C$20+1),0)+IF(AND(Projects!$G$21="Yes",50&gt;=Projects!$C$21,50&lt;Projects!$C$21+Projects!$D$21),Projects!$B$21*INDEX(Curves!$B$4:$AR$4,1,50-Projects!$C$21+1),0)+IF(AND(Projects!$G$22="Yes",50&gt;=Projects!$C$22,50&lt;Projects!$C$22+Projects!$D$22),Projects!$B$22*INDEX(Curves!$B$4:$AR$4,1,50-Projects!$C$22+1),0)+IF(AND(Projects!$G$23="Yes",50&gt;=Projects!$C$23,50&lt;Projects!$C$23+Projects!$D$23),Projects!$B$23*INDEX(Curves!$B$4:$AR$4,1,50-Projects!$C$23+1),0)+IF(AND(Projects!$G$24="Yes",50&gt;=Projects!$C$24,50&lt;Projects!$C$24+Projects!$D$24),Projects!$B$24*INDEX(Curves!$B$4:$AR$4,1,50-Projects!$C$24+1),0)+IF(AND(Projects!$G$25="Yes",50&gt;=Projects!$C$25,50&lt;Projects!$C$25+Projects!$D$25),Projects!$B$25*INDEX(Curves!$B$4:$AR$4,1,50-Projects!$C$25+1),0)+IF(AND(Projects!$G$26="Yes",50&gt;=Projects!$C$26,50&lt;Projects!$C$26+Projects!$D$26),Projects!$B$26*INDEX(Curves!$B$4:$AR$4,1,50-Projects!$C$26+1),0)+IF(AND(Projects!$G$27="Yes",50&gt;=Projects!$C$27,50&lt;Projects!$C$27+Projects!$D$27),Projects!$B$27*INDEX(Curves!$B$4:$AR$4,1,50-Projects!$C$27+1),0)+IF(AND(Projects!$G$28="Yes",50&gt;=Projects!$C$28,50&lt;Projects!$C$28+Projects!$D$28),Projects!$B$28*INDEX(Curves!$B$4:$AR$4,1,50-Projects!$C$28+1),0)+IF(AND(Projects!$G$29="Yes",50&gt;=Projects!$C$29,50&lt;Projects!$C$29+Projects!$D$29),Projects!$B$29*INDEX(Curves!$B$4:$AR$4,1,50-Projects!$C$29+1),0)+IF(AND(Projects!$G$30="Yes",50&gt;=Projects!$C$30,50&lt;Projects!$C$30+Projects!$D$30),Projects!$B$30*INDEX(Curves!$B$4:$AR$4,1,50-Projects!$C$30+1),0)+IF(AND(Projects!$G$31="Yes",50&gt;=Projects!$C$31,50&lt;Projects!$C$31+Projects!$D$31),Projects!$B$31*INDEX(Curves!$B$4:$AR$4,1,50-Projects!$C$31+1),0)+IF(AND(Projects!$G$32="Yes",50&gt;=Projects!$C$32,50&lt;Projects!$C$32+Projects!$D$32),Projects!$B$32*INDEX(Curves!$B$4:$AR$4,1,50-Projects!$C$32+1),0)+IF(AND(Projects!$G$33="Yes",50&gt;=Projects!$C$33,50&lt;Projects!$C$33+Projects!$D$33),Projects!$B$33*INDEX(Curves!$B$4:$AR$4,1,50-Projects!$C$33+1),0)+IF(AND(Projects!$G$34="Yes",50&gt;=Projects!$C$34,50&lt;Projects!$C$34+Projects!$D$34),Projects!$B$34*INDEX(Curves!$B$4:$AR$4,1,50-Projects!$C$34+1),0)+IF(AND(Projects!$G$35="Yes",50&gt;=Projects!$C$35,50&lt;Projects!$C$35+Projects!$D$35),Projects!$B$35*INDEX(Curves!$B$4:$AR$4,1,50-Projects!$C$35+1),0)+IF(AND(Projects!$G$36="Yes",50&gt;=Projects!$C$36,50&lt;Projects!$C$36+Projects!$D$36),Projects!$B$36*INDEX(Curves!$B$4:$AR$4,1,50-Projects!$C$36+1),0)+IF(AND(Projects!$G$37="Yes",50&gt;=Projects!$C$37,50&lt;Projects!$C$37+Projects!$D$37),Projects!$B$37*INDEX(Curves!$B$4:$AR$4,1,50-Projects!$C$37+1),0)+IF(AND(Projects!$G$38="Yes",50&gt;=Projects!$C$38,50&lt;Projects!$C$38+Projects!$D$38),Projects!$B$38*INDEX(Curves!$B$4:$AR$4,1,50-Projects!$C$38+1),0)+IF(AND(Projects!$G$39="Yes",50&gt;=Projects!$C$39,50&lt;Projects!$C$39+Projects!$D$39),Projects!$B$39*INDEX(Curves!$B$4:$AR$4,1,50-Projects!$C$39+1),0)+IF(AND(Projects!$G$40="Yes",50&gt;=Projects!$C$40,50&lt;Projects!$C$40+Projects!$D$40),Projects!$B$40*INDEX(Curves!$B$4:$AR$4,1,50-Projects!$C$40+1),0)+IF(AND(Projects!$G$41="Yes",50&gt;=Projects!$C$41,50&lt;Projects!$C$41+Projects!$D$41),Projects!$B$41*INDEX(Curves!$B$4:$AR$4,1,50-Projects!$C$41+1),0)+IF(AND(Projects!$G$42="Yes",50&gt;=Projects!$C$42,50&lt;Projects!$C$42+Projects!$D$42),Projects!$B$42*INDEX(Curves!$B$4:$AR$4,1,50-Projects!$C$42+1),0)+IF(AND(Projects!$G$43="Yes",50&gt;=Projects!$C$43,50&lt;Projects!$C$43+Projects!$D$43),Projects!$B$43*INDEX(Curves!$B$4:$AR$4,1,50-Projects!$C$43+1),0)+IF(AND(Projects!$G$44="Yes",50&gt;=Projects!$C$44,50&lt;Projects!$C$44+Projects!$D$44),Projects!$B$44*INDEX(Curves!$B$4:$AR$4,1,50-Projects!$C$44+1),0)+IF(AND(Projects!$G$45="Yes",50&gt;=Projects!$C$45,50&lt;Projects!$C$45+Projects!$D$45),Projects!$B$45*INDEX(Curves!$B$4:$AR$4,1,50-Projects!$C$45+1),0)+IF(AND(Projects!$G$46="Yes",50&gt;=Projects!$C$46,50&lt;Projects!$C$46+Projects!$D$46),Projects!$B$46*INDEX(Curves!$B$4:$AR$4,1,50-Projects!$C$46+1),0)</f>
        <v>10010952</v>
      </c>
      <c r="BD96" s="313" t="n">
        <f aca="false">IF(AND(Projects!$G$17="Yes",51&gt;=Projects!$C$17,51&lt;Projects!$C$17+Projects!$D$17),Projects!$B$17*INDEX(Curves!$B$4:$AR$4,1,51-Projects!$C$17+1),0)+IF(AND(Projects!$G$18="Yes",51&gt;=Projects!$C$18,51&lt;Projects!$C$18+Projects!$D$18),Projects!$B$18*INDEX(Curves!$B$4:$AR$4,1,51-Projects!$C$18+1),0)+IF(AND(Projects!$G$19="Yes",51&gt;=Projects!$C$19,51&lt;Projects!$C$19+Projects!$D$19),Projects!$B$19*INDEX(Curves!$B$4:$AR$4,1,51-Projects!$C$19+1),0)+IF(AND(Projects!$G$20="Yes",51&gt;=Projects!$C$20,51&lt;Projects!$C$20+Projects!$D$20),Projects!$B$20*INDEX(Curves!$B$4:$AR$4,1,51-Projects!$C$20+1),0)+IF(AND(Projects!$G$21="Yes",51&gt;=Projects!$C$21,51&lt;Projects!$C$21+Projects!$D$21),Projects!$B$21*INDEX(Curves!$B$4:$AR$4,1,51-Projects!$C$21+1),0)+IF(AND(Projects!$G$22="Yes",51&gt;=Projects!$C$22,51&lt;Projects!$C$22+Projects!$D$22),Projects!$B$22*INDEX(Curves!$B$4:$AR$4,1,51-Projects!$C$22+1),0)+IF(AND(Projects!$G$23="Yes",51&gt;=Projects!$C$23,51&lt;Projects!$C$23+Projects!$D$23),Projects!$B$23*INDEX(Curves!$B$4:$AR$4,1,51-Projects!$C$23+1),0)+IF(AND(Projects!$G$24="Yes",51&gt;=Projects!$C$24,51&lt;Projects!$C$24+Projects!$D$24),Projects!$B$24*INDEX(Curves!$B$4:$AR$4,1,51-Projects!$C$24+1),0)+IF(AND(Projects!$G$25="Yes",51&gt;=Projects!$C$25,51&lt;Projects!$C$25+Projects!$D$25),Projects!$B$25*INDEX(Curves!$B$4:$AR$4,1,51-Projects!$C$25+1),0)+IF(AND(Projects!$G$26="Yes",51&gt;=Projects!$C$26,51&lt;Projects!$C$26+Projects!$D$26),Projects!$B$26*INDEX(Curves!$B$4:$AR$4,1,51-Projects!$C$26+1),0)+IF(AND(Projects!$G$27="Yes",51&gt;=Projects!$C$27,51&lt;Projects!$C$27+Projects!$D$27),Projects!$B$27*INDEX(Curves!$B$4:$AR$4,1,51-Projects!$C$27+1),0)+IF(AND(Projects!$G$28="Yes",51&gt;=Projects!$C$28,51&lt;Projects!$C$28+Projects!$D$28),Projects!$B$28*INDEX(Curves!$B$4:$AR$4,1,51-Projects!$C$28+1),0)+IF(AND(Projects!$G$29="Yes",51&gt;=Projects!$C$29,51&lt;Projects!$C$29+Projects!$D$29),Projects!$B$29*INDEX(Curves!$B$4:$AR$4,1,51-Projects!$C$29+1),0)+IF(AND(Projects!$G$30="Yes",51&gt;=Projects!$C$30,51&lt;Projects!$C$30+Projects!$D$30),Projects!$B$30*INDEX(Curves!$B$4:$AR$4,1,51-Projects!$C$30+1),0)+IF(AND(Projects!$G$31="Yes",51&gt;=Projects!$C$31,51&lt;Projects!$C$31+Projects!$D$31),Projects!$B$31*INDEX(Curves!$B$4:$AR$4,1,51-Projects!$C$31+1),0)+IF(AND(Projects!$G$32="Yes",51&gt;=Projects!$C$32,51&lt;Projects!$C$32+Projects!$D$32),Projects!$B$32*INDEX(Curves!$B$4:$AR$4,1,51-Projects!$C$32+1),0)+IF(AND(Projects!$G$33="Yes",51&gt;=Projects!$C$33,51&lt;Projects!$C$33+Projects!$D$33),Projects!$B$33*INDEX(Curves!$B$4:$AR$4,1,51-Projects!$C$33+1),0)+IF(AND(Projects!$G$34="Yes",51&gt;=Projects!$C$34,51&lt;Projects!$C$34+Projects!$D$34),Projects!$B$34*INDEX(Curves!$B$4:$AR$4,1,51-Projects!$C$34+1),0)+IF(AND(Projects!$G$35="Yes",51&gt;=Projects!$C$35,51&lt;Projects!$C$35+Projects!$D$35),Projects!$B$35*INDEX(Curves!$B$4:$AR$4,1,51-Projects!$C$35+1),0)+IF(AND(Projects!$G$36="Yes",51&gt;=Projects!$C$36,51&lt;Projects!$C$36+Projects!$D$36),Projects!$B$36*INDEX(Curves!$B$4:$AR$4,1,51-Projects!$C$36+1),0)+IF(AND(Projects!$G$37="Yes",51&gt;=Projects!$C$37,51&lt;Projects!$C$37+Projects!$D$37),Projects!$B$37*INDEX(Curves!$B$4:$AR$4,1,51-Projects!$C$37+1),0)+IF(AND(Projects!$G$38="Yes",51&gt;=Projects!$C$38,51&lt;Projects!$C$38+Projects!$D$38),Projects!$B$38*INDEX(Curves!$B$4:$AR$4,1,51-Projects!$C$38+1),0)+IF(AND(Projects!$G$39="Yes",51&gt;=Projects!$C$39,51&lt;Projects!$C$39+Projects!$D$39),Projects!$B$39*INDEX(Curves!$B$4:$AR$4,1,51-Projects!$C$39+1),0)+IF(AND(Projects!$G$40="Yes",51&gt;=Projects!$C$40,51&lt;Projects!$C$40+Projects!$D$40),Projects!$B$40*INDEX(Curves!$B$4:$AR$4,1,51-Projects!$C$40+1),0)+IF(AND(Projects!$G$41="Yes",51&gt;=Projects!$C$41,51&lt;Projects!$C$41+Projects!$D$41),Projects!$B$41*INDEX(Curves!$B$4:$AR$4,1,51-Projects!$C$41+1),0)+IF(AND(Projects!$G$42="Yes",51&gt;=Projects!$C$42,51&lt;Projects!$C$42+Projects!$D$42),Projects!$B$42*INDEX(Curves!$B$4:$AR$4,1,51-Projects!$C$42+1),0)+IF(AND(Projects!$G$43="Yes",51&gt;=Projects!$C$43,51&lt;Projects!$C$43+Projects!$D$43),Projects!$B$43*INDEX(Curves!$B$4:$AR$4,1,51-Projects!$C$43+1),0)+IF(AND(Projects!$G$44="Yes",51&gt;=Projects!$C$44,51&lt;Projects!$C$44+Projects!$D$44),Projects!$B$44*INDEX(Curves!$B$4:$AR$4,1,51-Projects!$C$44+1),0)+IF(AND(Projects!$G$45="Yes",51&gt;=Projects!$C$45,51&lt;Projects!$C$45+Projects!$D$45),Projects!$B$45*INDEX(Curves!$B$4:$AR$4,1,51-Projects!$C$45+1),0)+IF(AND(Projects!$G$46="Yes",51&gt;=Projects!$C$46,51&lt;Projects!$C$46+Projects!$D$46),Projects!$B$46*INDEX(Curves!$B$4:$AR$4,1,51-Projects!$C$46+1),0)</f>
        <v>9763509</v>
      </c>
      <c r="BE96" s="313" t="n">
        <f aca="false">IF(AND(Projects!$G$17="Yes",52&gt;=Projects!$C$17,52&lt;Projects!$C$17+Projects!$D$17),Projects!$B$17*INDEX(Curves!$B$4:$AR$4,1,52-Projects!$C$17+1),0)+IF(AND(Projects!$G$18="Yes",52&gt;=Projects!$C$18,52&lt;Projects!$C$18+Projects!$D$18),Projects!$B$18*INDEX(Curves!$B$4:$AR$4,1,52-Projects!$C$18+1),0)+IF(AND(Projects!$G$19="Yes",52&gt;=Projects!$C$19,52&lt;Projects!$C$19+Projects!$D$19),Projects!$B$19*INDEX(Curves!$B$4:$AR$4,1,52-Projects!$C$19+1),0)+IF(AND(Projects!$G$20="Yes",52&gt;=Projects!$C$20,52&lt;Projects!$C$20+Projects!$D$20),Projects!$B$20*INDEX(Curves!$B$4:$AR$4,1,52-Projects!$C$20+1),0)+IF(AND(Projects!$G$21="Yes",52&gt;=Projects!$C$21,52&lt;Projects!$C$21+Projects!$D$21),Projects!$B$21*INDEX(Curves!$B$4:$AR$4,1,52-Projects!$C$21+1),0)+IF(AND(Projects!$G$22="Yes",52&gt;=Projects!$C$22,52&lt;Projects!$C$22+Projects!$D$22),Projects!$B$22*INDEX(Curves!$B$4:$AR$4,1,52-Projects!$C$22+1),0)+IF(AND(Projects!$G$23="Yes",52&gt;=Projects!$C$23,52&lt;Projects!$C$23+Projects!$D$23),Projects!$B$23*INDEX(Curves!$B$4:$AR$4,1,52-Projects!$C$23+1),0)+IF(AND(Projects!$G$24="Yes",52&gt;=Projects!$C$24,52&lt;Projects!$C$24+Projects!$D$24),Projects!$B$24*INDEX(Curves!$B$4:$AR$4,1,52-Projects!$C$24+1),0)+IF(AND(Projects!$G$25="Yes",52&gt;=Projects!$C$25,52&lt;Projects!$C$25+Projects!$D$25),Projects!$B$25*INDEX(Curves!$B$4:$AR$4,1,52-Projects!$C$25+1),0)+IF(AND(Projects!$G$26="Yes",52&gt;=Projects!$C$26,52&lt;Projects!$C$26+Projects!$D$26),Projects!$B$26*INDEX(Curves!$B$4:$AR$4,1,52-Projects!$C$26+1),0)+IF(AND(Projects!$G$27="Yes",52&gt;=Projects!$C$27,52&lt;Projects!$C$27+Projects!$D$27),Projects!$B$27*INDEX(Curves!$B$4:$AR$4,1,52-Projects!$C$27+1),0)+IF(AND(Projects!$G$28="Yes",52&gt;=Projects!$C$28,52&lt;Projects!$C$28+Projects!$D$28),Projects!$B$28*INDEX(Curves!$B$4:$AR$4,1,52-Projects!$C$28+1),0)+IF(AND(Projects!$G$29="Yes",52&gt;=Projects!$C$29,52&lt;Projects!$C$29+Projects!$D$29),Projects!$B$29*INDEX(Curves!$B$4:$AR$4,1,52-Projects!$C$29+1),0)+IF(AND(Projects!$G$30="Yes",52&gt;=Projects!$C$30,52&lt;Projects!$C$30+Projects!$D$30),Projects!$B$30*INDEX(Curves!$B$4:$AR$4,1,52-Projects!$C$30+1),0)+IF(AND(Projects!$G$31="Yes",52&gt;=Projects!$C$31,52&lt;Projects!$C$31+Projects!$D$31),Projects!$B$31*INDEX(Curves!$B$4:$AR$4,1,52-Projects!$C$31+1),0)+IF(AND(Projects!$G$32="Yes",52&gt;=Projects!$C$32,52&lt;Projects!$C$32+Projects!$D$32),Projects!$B$32*INDEX(Curves!$B$4:$AR$4,1,52-Projects!$C$32+1),0)+IF(AND(Projects!$G$33="Yes",52&gt;=Projects!$C$33,52&lt;Projects!$C$33+Projects!$D$33),Projects!$B$33*INDEX(Curves!$B$4:$AR$4,1,52-Projects!$C$33+1),0)+IF(AND(Projects!$G$34="Yes",52&gt;=Projects!$C$34,52&lt;Projects!$C$34+Projects!$D$34),Projects!$B$34*INDEX(Curves!$B$4:$AR$4,1,52-Projects!$C$34+1),0)+IF(AND(Projects!$G$35="Yes",52&gt;=Projects!$C$35,52&lt;Projects!$C$35+Projects!$D$35),Projects!$B$35*INDEX(Curves!$B$4:$AR$4,1,52-Projects!$C$35+1),0)+IF(AND(Projects!$G$36="Yes",52&gt;=Projects!$C$36,52&lt;Projects!$C$36+Projects!$D$36),Projects!$B$36*INDEX(Curves!$B$4:$AR$4,1,52-Projects!$C$36+1),0)+IF(AND(Projects!$G$37="Yes",52&gt;=Projects!$C$37,52&lt;Projects!$C$37+Projects!$D$37),Projects!$B$37*INDEX(Curves!$B$4:$AR$4,1,52-Projects!$C$37+1),0)+IF(AND(Projects!$G$38="Yes",52&gt;=Projects!$C$38,52&lt;Projects!$C$38+Projects!$D$38),Projects!$B$38*INDEX(Curves!$B$4:$AR$4,1,52-Projects!$C$38+1),0)+IF(AND(Projects!$G$39="Yes",52&gt;=Projects!$C$39,52&lt;Projects!$C$39+Projects!$D$39),Projects!$B$39*INDEX(Curves!$B$4:$AR$4,1,52-Projects!$C$39+1),0)+IF(AND(Projects!$G$40="Yes",52&gt;=Projects!$C$40,52&lt;Projects!$C$40+Projects!$D$40),Projects!$B$40*INDEX(Curves!$B$4:$AR$4,1,52-Projects!$C$40+1),0)+IF(AND(Projects!$G$41="Yes",52&gt;=Projects!$C$41,52&lt;Projects!$C$41+Projects!$D$41),Projects!$B$41*INDEX(Curves!$B$4:$AR$4,1,52-Projects!$C$41+1),0)+IF(AND(Projects!$G$42="Yes",52&gt;=Projects!$C$42,52&lt;Projects!$C$42+Projects!$D$42),Projects!$B$42*INDEX(Curves!$B$4:$AR$4,1,52-Projects!$C$42+1),0)+IF(AND(Projects!$G$43="Yes",52&gt;=Projects!$C$43,52&lt;Projects!$C$43+Projects!$D$43),Projects!$B$43*INDEX(Curves!$B$4:$AR$4,1,52-Projects!$C$43+1),0)+IF(AND(Projects!$G$44="Yes",52&gt;=Projects!$C$44,52&lt;Projects!$C$44+Projects!$D$44),Projects!$B$44*INDEX(Curves!$B$4:$AR$4,1,52-Projects!$C$44+1),0)+IF(AND(Projects!$G$45="Yes",52&gt;=Projects!$C$45,52&lt;Projects!$C$45+Projects!$D$45),Projects!$B$45*INDEX(Curves!$B$4:$AR$4,1,52-Projects!$C$45+1),0)+IF(AND(Projects!$G$46="Yes",52&gt;=Projects!$C$46,52&lt;Projects!$C$46+Projects!$D$46),Projects!$B$46*INDEX(Curves!$B$4:$AR$4,1,52-Projects!$C$46+1),0)</f>
        <v>9704574</v>
      </c>
      <c r="BF96" s="313" t="n">
        <f aca="false">IF(AND(Projects!$G$17="Yes",53&gt;=Projects!$C$17,53&lt;Projects!$C$17+Projects!$D$17),Projects!$B$17*INDEX(Curves!$B$4:$AR$4,1,53-Projects!$C$17+1),0)+IF(AND(Projects!$G$18="Yes",53&gt;=Projects!$C$18,53&lt;Projects!$C$18+Projects!$D$18),Projects!$B$18*INDEX(Curves!$B$4:$AR$4,1,53-Projects!$C$18+1),0)+IF(AND(Projects!$G$19="Yes",53&gt;=Projects!$C$19,53&lt;Projects!$C$19+Projects!$D$19),Projects!$B$19*INDEX(Curves!$B$4:$AR$4,1,53-Projects!$C$19+1),0)+IF(AND(Projects!$G$20="Yes",53&gt;=Projects!$C$20,53&lt;Projects!$C$20+Projects!$D$20),Projects!$B$20*INDEX(Curves!$B$4:$AR$4,1,53-Projects!$C$20+1),0)+IF(AND(Projects!$G$21="Yes",53&gt;=Projects!$C$21,53&lt;Projects!$C$21+Projects!$D$21),Projects!$B$21*INDEX(Curves!$B$4:$AR$4,1,53-Projects!$C$21+1),0)+IF(AND(Projects!$G$22="Yes",53&gt;=Projects!$C$22,53&lt;Projects!$C$22+Projects!$D$22),Projects!$B$22*INDEX(Curves!$B$4:$AR$4,1,53-Projects!$C$22+1),0)+IF(AND(Projects!$G$23="Yes",53&gt;=Projects!$C$23,53&lt;Projects!$C$23+Projects!$D$23),Projects!$B$23*INDEX(Curves!$B$4:$AR$4,1,53-Projects!$C$23+1),0)+IF(AND(Projects!$G$24="Yes",53&gt;=Projects!$C$24,53&lt;Projects!$C$24+Projects!$D$24),Projects!$B$24*INDEX(Curves!$B$4:$AR$4,1,53-Projects!$C$24+1),0)+IF(AND(Projects!$G$25="Yes",53&gt;=Projects!$C$25,53&lt;Projects!$C$25+Projects!$D$25),Projects!$B$25*INDEX(Curves!$B$4:$AR$4,1,53-Projects!$C$25+1),0)+IF(AND(Projects!$G$26="Yes",53&gt;=Projects!$C$26,53&lt;Projects!$C$26+Projects!$D$26),Projects!$B$26*INDEX(Curves!$B$4:$AR$4,1,53-Projects!$C$26+1),0)+IF(AND(Projects!$G$27="Yes",53&gt;=Projects!$C$27,53&lt;Projects!$C$27+Projects!$D$27),Projects!$B$27*INDEX(Curves!$B$4:$AR$4,1,53-Projects!$C$27+1),0)+IF(AND(Projects!$G$28="Yes",53&gt;=Projects!$C$28,53&lt;Projects!$C$28+Projects!$D$28),Projects!$B$28*INDEX(Curves!$B$4:$AR$4,1,53-Projects!$C$28+1),0)+IF(AND(Projects!$G$29="Yes",53&gt;=Projects!$C$29,53&lt;Projects!$C$29+Projects!$D$29),Projects!$B$29*INDEX(Curves!$B$4:$AR$4,1,53-Projects!$C$29+1),0)+IF(AND(Projects!$G$30="Yes",53&gt;=Projects!$C$30,53&lt;Projects!$C$30+Projects!$D$30),Projects!$B$30*INDEX(Curves!$B$4:$AR$4,1,53-Projects!$C$30+1),0)+IF(AND(Projects!$G$31="Yes",53&gt;=Projects!$C$31,53&lt;Projects!$C$31+Projects!$D$31),Projects!$B$31*INDEX(Curves!$B$4:$AR$4,1,53-Projects!$C$31+1),0)+IF(AND(Projects!$G$32="Yes",53&gt;=Projects!$C$32,53&lt;Projects!$C$32+Projects!$D$32),Projects!$B$32*INDEX(Curves!$B$4:$AR$4,1,53-Projects!$C$32+1),0)+IF(AND(Projects!$G$33="Yes",53&gt;=Projects!$C$33,53&lt;Projects!$C$33+Projects!$D$33),Projects!$B$33*INDEX(Curves!$B$4:$AR$4,1,53-Projects!$C$33+1),0)+IF(AND(Projects!$G$34="Yes",53&gt;=Projects!$C$34,53&lt;Projects!$C$34+Projects!$D$34),Projects!$B$34*INDEX(Curves!$B$4:$AR$4,1,53-Projects!$C$34+1),0)+IF(AND(Projects!$G$35="Yes",53&gt;=Projects!$C$35,53&lt;Projects!$C$35+Projects!$D$35),Projects!$B$35*INDEX(Curves!$B$4:$AR$4,1,53-Projects!$C$35+1),0)+IF(AND(Projects!$G$36="Yes",53&gt;=Projects!$C$36,53&lt;Projects!$C$36+Projects!$D$36),Projects!$B$36*INDEX(Curves!$B$4:$AR$4,1,53-Projects!$C$36+1),0)+IF(AND(Projects!$G$37="Yes",53&gt;=Projects!$C$37,53&lt;Projects!$C$37+Projects!$D$37),Projects!$B$37*INDEX(Curves!$B$4:$AR$4,1,53-Projects!$C$37+1),0)+IF(AND(Projects!$G$38="Yes",53&gt;=Projects!$C$38,53&lt;Projects!$C$38+Projects!$D$38),Projects!$B$38*INDEX(Curves!$B$4:$AR$4,1,53-Projects!$C$38+1),0)+IF(AND(Projects!$G$39="Yes",53&gt;=Projects!$C$39,53&lt;Projects!$C$39+Projects!$D$39),Projects!$B$39*INDEX(Curves!$B$4:$AR$4,1,53-Projects!$C$39+1),0)+IF(AND(Projects!$G$40="Yes",53&gt;=Projects!$C$40,53&lt;Projects!$C$40+Projects!$D$40),Projects!$B$40*INDEX(Curves!$B$4:$AR$4,1,53-Projects!$C$40+1),0)+IF(AND(Projects!$G$41="Yes",53&gt;=Projects!$C$41,53&lt;Projects!$C$41+Projects!$D$41),Projects!$B$41*INDEX(Curves!$B$4:$AR$4,1,53-Projects!$C$41+1),0)+IF(AND(Projects!$G$42="Yes",53&gt;=Projects!$C$42,53&lt;Projects!$C$42+Projects!$D$42),Projects!$B$42*INDEX(Curves!$B$4:$AR$4,1,53-Projects!$C$42+1),0)+IF(AND(Projects!$G$43="Yes",53&gt;=Projects!$C$43,53&lt;Projects!$C$43+Projects!$D$43),Projects!$B$43*INDEX(Curves!$B$4:$AR$4,1,53-Projects!$C$43+1),0)+IF(AND(Projects!$G$44="Yes",53&gt;=Projects!$C$44,53&lt;Projects!$C$44+Projects!$D$44),Projects!$B$44*INDEX(Curves!$B$4:$AR$4,1,53-Projects!$C$44+1),0)+IF(AND(Projects!$G$45="Yes",53&gt;=Projects!$C$45,53&lt;Projects!$C$45+Projects!$D$45),Projects!$B$45*INDEX(Curves!$B$4:$AR$4,1,53-Projects!$C$45+1),0)+IF(AND(Projects!$G$46="Yes",53&gt;=Projects!$C$46,53&lt;Projects!$C$46+Projects!$D$46),Projects!$B$46*INDEX(Curves!$B$4:$AR$4,1,53-Projects!$C$46+1),0)</f>
        <v>9701880</v>
      </c>
      <c r="BG96" s="313" t="n">
        <f aca="false">IF(AND(Projects!$G$17="Yes",54&gt;=Projects!$C$17,54&lt;Projects!$C$17+Projects!$D$17),Projects!$B$17*INDEX(Curves!$B$4:$AR$4,1,54-Projects!$C$17+1),0)+IF(AND(Projects!$G$18="Yes",54&gt;=Projects!$C$18,54&lt;Projects!$C$18+Projects!$D$18),Projects!$B$18*INDEX(Curves!$B$4:$AR$4,1,54-Projects!$C$18+1),0)+IF(AND(Projects!$G$19="Yes",54&gt;=Projects!$C$19,54&lt;Projects!$C$19+Projects!$D$19),Projects!$B$19*INDEX(Curves!$B$4:$AR$4,1,54-Projects!$C$19+1),0)+IF(AND(Projects!$G$20="Yes",54&gt;=Projects!$C$20,54&lt;Projects!$C$20+Projects!$D$20),Projects!$B$20*INDEX(Curves!$B$4:$AR$4,1,54-Projects!$C$20+1),0)+IF(AND(Projects!$G$21="Yes",54&gt;=Projects!$C$21,54&lt;Projects!$C$21+Projects!$D$21),Projects!$B$21*INDEX(Curves!$B$4:$AR$4,1,54-Projects!$C$21+1),0)+IF(AND(Projects!$G$22="Yes",54&gt;=Projects!$C$22,54&lt;Projects!$C$22+Projects!$D$22),Projects!$B$22*INDEX(Curves!$B$4:$AR$4,1,54-Projects!$C$22+1),0)+IF(AND(Projects!$G$23="Yes",54&gt;=Projects!$C$23,54&lt;Projects!$C$23+Projects!$D$23),Projects!$B$23*INDEX(Curves!$B$4:$AR$4,1,54-Projects!$C$23+1),0)+IF(AND(Projects!$G$24="Yes",54&gt;=Projects!$C$24,54&lt;Projects!$C$24+Projects!$D$24),Projects!$B$24*INDEX(Curves!$B$4:$AR$4,1,54-Projects!$C$24+1),0)+IF(AND(Projects!$G$25="Yes",54&gt;=Projects!$C$25,54&lt;Projects!$C$25+Projects!$D$25),Projects!$B$25*INDEX(Curves!$B$4:$AR$4,1,54-Projects!$C$25+1),0)+IF(AND(Projects!$G$26="Yes",54&gt;=Projects!$C$26,54&lt;Projects!$C$26+Projects!$D$26),Projects!$B$26*INDEX(Curves!$B$4:$AR$4,1,54-Projects!$C$26+1),0)+IF(AND(Projects!$G$27="Yes",54&gt;=Projects!$C$27,54&lt;Projects!$C$27+Projects!$D$27),Projects!$B$27*INDEX(Curves!$B$4:$AR$4,1,54-Projects!$C$27+1),0)+IF(AND(Projects!$G$28="Yes",54&gt;=Projects!$C$28,54&lt;Projects!$C$28+Projects!$D$28),Projects!$B$28*INDEX(Curves!$B$4:$AR$4,1,54-Projects!$C$28+1),0)+IF(AND(Projects!$G$29="Yes",54&gt;=Projects!$C$29,54&lt;Projects!$C$29+Projects!$D$29),Projects!$B$29*INDEX(Curves!$B$4:$AR$4,1,54-Projects!$C$29+1),0)+IF(AND(Projects!$G$30="Yes",54&gt;=Projects!$C$30,54&lt;Projects!$C$30+Projects!$D$30),Projects!$B$30*INDEX(Curves!$B$4:$AR$4,1,54-Projects!$C$30+1),0)+IF(AND(Projects!$G$31="Yes",54&gt;=Projects!$C$31,54&lt;Projects!$C$31+Projects!$D$31),Projects!$B$31*INDEX(Curves!$B$4:$AR$4,1,54-Projects!$C$31+1),0)+IF(AND(Projects!$G$32="Yes",54&gt;=Projects!$C$32,54&lt;Projects!$C$32+Projects!$D$32),Projects!$B$32*INDEX(Curves!$B$4:$AR$4,1,54-Projects!$C$32+1),0)+IF(AND(Projects!$G$33="Yes",54&gt;=Projects!$C$33,54&lt;Projects!$C$33+Projects!$D$33),Projects!$B$33*INDEX(Curves!$B$4:$AR$4,1,54-Projects!$C$33+1),0)+IF(AND(Projects!$G$34="Yes",54&gt;=Projects!$C$34,54&lt;Projects!$C$34+Projects!$D$34),Projects!$B$34*INDEX(Curves!$B$4:$AR$4,1,54-Projects!$C$34+1),0)+IF(AND(Projects!$G$35="Yes",54&gt;=Projects!$C$35,54&lt;Projects!$C$35+Projects!$D$35),Projects!$B$35*INDEX(Curves!$B$4:$AR$4,1,54-Projects!$C$35+1),0)+IF(AND(Projects!$G$36="Yes",54&gt;=Projects!$C$36,54&lt;Projects!$C$36+Projects!$D$36),Projects!$B$36*INDEX(Curves!$B$4:$AR$4,1,54-Projects!$C$36+1),0)+IF(AND(Projects!$G$37="Yes",54&gt;=Projects!$C$37,54&lt;Projects!$C$37+Projects!$D$37),Projects!$B$37*INDEX(Curves!$B$4:$AR$4,1,54-Projects!$C$37+1),0)+IF(AND(Projects!$G$38="Yes",54&gt;=Projects!$C$38,54&lt;Projects!$C$38+Projects!$D$38),Projects!$B$38*INDEX(Curves!$B$4:$AR$4,1,54-Projects!$C$38+1),0)+IF(AND(Projects!$G$39="Yes",54&gt;=Projects!$C$39,54&lt;Projects!$C$39+Projects!$D$39),Projects!$B$39*INDEX(Curves!$B$4:$AR$4,1,54-Projects!$C$39+1),0)+IF(AND(Projects!$G$40="Yes",54&gt;=Projects!$C$40,54&lt;Projects!$C$40+Projects!$D$40),Projects!$B$40*INDEX(Curves!$B$4:$AR$4,1,54-Projects!$C$40+1),0)+IF(AND(Projects!$G$41="Yes",54&gt;=Projects!$C$41,54&lt;Projects!$C$41+Projects!$D$41),Projects!$B$41*INDEX(Curves!$B$4:$AR$4,1,54-Projects!$C$41+1),0)+IF(AND(Projects!$G$42="Yes",54&gt;=Projects!$C$42,54&lt;Projects!$C$42+Projects!$D$42),Projects!$B$42*INDEX(Curves!$B$4:$AR$4,1,54-Projects!$C$42+1),0)+IF(AND(Projects!$G$43="Yes",54&gt;=Projects!$C$43,54&lt;Projects!$C$43+Projects!$D$43),Projects!$B$43*INDEX(Curves!$B$4:$AR$4,1,54-Projects!$C$43+1),0)+IF(AND(Projects!$G$44="Yes",54&gt;=Projects!$C$44,54&lt;Projects!$C$44+Projects!$D$44),Projects!$B$44*INDEX(Curves!$B$4:$AR$4,1,54-Projects!$C$44+1),0)+IF(AND(Projects!$G$45="Yes",54&gt;=Projects!$C$45,54&lt;Projects!$C$45+Projects!$D$45),Projects!$B$45*INDEX(Curves!$B$4:$AR$4,1,54-Projects!$C$45+1),0)+IF(AND(Projects!$G$46="Yes",54&gt;=Projects!$C$46,54&lt;Projects!$C$46+Projects!$D$46),Projects!$B$46*INDEX(Curves!$B$4:$AR$4,1,54-Projects!$C$46+1),0)</f>
        <v>9755625</v>
      </c>
      <c r="BH96" s="313" t="n">
        <f aca="false">IF(AND(Projects!$G$17="Yes",55&gt;=Projects!$C$17,55&lt;Projects!$C$17+Projects!$D$17),Projects!$B$17*INDEX(Curves!$B$4:$AR$4,1,55-Projects!$C$17+1),0)+IF(AND(Projects!$G$18="Yes",55&gt;=Projects!$C$18,55&lt;Projects!$C$18+Projects!$D$18),Projects!$B$18*INDEX(Curves!$B$4:$AR$4,1,55-Projects!$C$18+1),0)+IF(AND(Projects!$G$19="Yes",55&gt;=Projects!$C$19,55&lt;Projects!$C$19+Projects!$D$19),Projects!$B$19*INDEX(Curves!$B$4:$AR$4,1,55-Projects!$C$19+1),0)+IF(AND(Projects!$G$20="Yes",55&gt;=Projects!$C$20,55&lt;Projects!$C$20+Projects!$D$20),Projects!$B$20*INDEX(Curves!$B$4:$AR$4,1,55-Projects!$C$20+1),0)+IF(AND(Projects!$G$21="Yes",55&gt;=Projects!$C$21,55&lt;Projects!$C$21+Projects!$D$21),Projects!$B$21*INDEX(Curves!$B$4:$AR$4,1,55-Projects!$C$21+1),0)+IF(AND(Projects!$G$22="Yes",55&gt;=Projects!$C$22,55&lt;Projects!$C$22+Projects!$D$22),Projects!$B$22*INDEX(Curves!$B$4:$AR$4,1,55-Projects!$C$22+1),0)+IF(AND(Projects!$G$23="Yes",55&gt;=Projects!$C$23,55&lt;Projects!$C$23+Projects!$D$23),Projects!$B$23*INDEX(Curves!$B$4:$AR$4,1,55-Projects!$C$23+1),0)+IF(AND(Projects!$G$24="Yes",55&gt;=Projects!$C$24,55&lt;Projects!$C$24+Projects!$D$24),Projects!$B$24*INDEX(Curves!$B$4:$AR$4,1,55-Projects!$C$24+1),0)+IF(AND(Projects!$G$25="Yes",55&gt;=Projects!$C$25,55&lt;Projects!$C$25+Projects!$D$25),Projects!$B$25*INDEX(Curves!$B$4:$AR$4,1,55-Projects!$C$25+1),0)+IF(AND(Projects!$G$26="Yes",55&gt;=Projects!$C$26,55&lt;Projects!$C$26+Projects!$D$26),Projects!$B$26*INDEX(Curves!$B$4:$AR$4,1,55-Projects!$C$26+1),0)+IF(AND(Projects!$G$27="Yes",55&gt;=Projects!$C$27,55&lt;Projects!$C$27+Projects!$D$27),Projects!$B$27*INDEX(Curves!$B$4:$AR$4,1,55-Projects!$C$27+1),0)+IF(AND(Projects!$G$28="Yes",55&gt;=Projects!$C$28,55&lt;Projects!$C$28+Projects!$D$28),Projects!$B$28*INDEX(Curves!$B$4:$AR$4,1,55-Projects!$C$28+1),0)+IF(AND(Projects!$G$29="Yes",55&gt;=Projects!$C$29,55&lt;Projects!$C$29+Projects!$D$29),Projects!$B$29*INDEX(Curves!$B$4:$AR$4,1,55-Projects!$C$29+1),0)+IF(AND(Projects!$G$30="Yes",55&gt;=Projects!$C$30,55&lt;Projects!$C$30+Projects!$D$30),Projects!$B$30*INDEX(Curves!$B$4:$AR$4,1,55-Projects!$C$30+1),0)+IF(AND(Projects!$G$31="Yes",55&gt;=Projects!$C$31,55&lt;Projects!$C$31+Projects!$D$31),Projects!$B$31*INDEX(Curves!$B$4:$AR$4,1,55-Projects!$C$31+1),0)+IF(AND(Projects!$G$32="Yes",55&gt;=Projects!$C$32,55&lt;Projects!$C$32+Projects!$D$32),Projects!$B$32*INDEX(Curves!$B$4:$AR$4,1,55-Projects!$C$32+1),0)+IF(AND(Projects!$G$33="Yes",55&gt;=Projects!$C$33,55&lt;Projects!$C$33+Projects!$D$33),Projects!$B$33*INDEX(Curves!$B$4:$AR$4,1,55-Projects!$C$33+1),0)+IF(AND(Projects!$G$34="Yes",55&gt;=Projects!$C$34,55&lt;Projects!$C$34+Projects!$D$34),Projects!$B$34*INDEX(Curves!$B$4:$AR$4,1,55-Projects!$C$34+1),0)+IF(AND(Projects!$G$35="Yes",55&gt;=Projects!$C$35,55&lt;Projects!$C$35+Projects!$D$35),Projects!$B$35*INDEX(Curves!$B$4:$AR$4,1,55-Projects!$C$35+1),0)+IF(AND(Projects!$G$36="Yes",55&gt;=Projects!$C$36,55&lt;Projects!$C$36+Projects!$D$36),Projects!$B$36*INDEX(Curves!$B$4:$AR$4,1,55-Projects!$C$36+1),0)+IF(AND(Projects!$G$37="Yes",55&gt;=Projects!$C$37,55&lt;Projects!$C$37+Projects!$D$37),Projects!$B$37*INDEX(Curves!$B$4:$AR$4,1,55-Projects!$C$37+1),0)+IF(AND(Projects!$G$38="Yes",55&gt;=Projects!$C$38,55&lt;Projects!$C$38+Projects!$D$38),Projects!$B$38*INDEX(Curves!$B$4:$AR$4,1,55-Projects!$C$38+1),0)+IF(AND(Projects!$G$39="Yes",55&gt;=Projects!$C$39,55&lt;Projects!$C$39+Projects!$D$39),Projects!$B$39*INDEX(Curves!$B$4:$AR$4,1,55-Projects!$C$39+1),0)+IF(AND(Projects!$G$40="Yes",55&gt;=Projects!$C$40,55&lt;Projects!$C$40+Projects!$D$40),Projects!$B$40*INDEX(Curves!$B$4:$AR$4,1,55-Projects!$C$40+1),0)+IF(AND(Projects!$G$41="Yes",55&gt;=Projects!$C$41,55&lt;Projects!$C$41+Projects!$D$41),Projects!$B$41*INDEX(Curves!$B$4:$AR$4,1,55-Projects!$C$41+1),0)+IF(AND(Projects!$G$42="Yes",55&gt;=Projects!$C$42,55&lt;Projects!$C$42+Projects!$D$42),Projects!$B$42*INDEX(Curves!$B$4:$AR$4,1,55-Projects!$C$42+1),0)+IF(AND(Projects!$G$43="Yes",55&gt;=Projects!$C$43,55&lt;Projects!$C$43+Projects!$D$43),Projects!$B$43*INDEX(Curves!$B$4:$AR$4,1,55-Projects!$C$43+1),0)+IF(AND(Projects!$G$44="Yes",55&gt;=Projects!$C$44,55&lt;Projects!$C$44+Projects!$D$44),Projects!$B$44*INDEX(Curves!$B$4:$AR$4,1,55-Projects!$C$44+1),0)+IF(AND(Projects!$G$45="Yes",55&gt;=Projects!$C$45,55&lt;Projects!$C$45+Projects!$D$45),Projects!$B$45*INDEX(Curves!$B$4:$AR$4,1,55-Projects!$C$45+1),0)+IF(AND(Projects!$G$46="Yes",55&gt;=Projects!$C$46,55&lt;Projects!$C$46+Projects!$D$46),Projects!$B$46*INDEX(Curves!$B$4:$AR$4,1,55-Projects!$C$46+1),0)</f>
        <v>10078002</v>
      </c>
      <c r="BI96" s="313" t="n">
        <f aca="false">IF(AND(Projects!$G$17="Yes",56&gt;=Projects!$C$17,56&lt;Projects!$C$17+Projects!$D$17),Projects!$B$17*INDEX(Curves!$B$4:$AR$4,1,56-Projects!$C$17+1),0)+IF(AND(Projects!$G$18="Yes",56&gt;=Projects!$C$18,56&lt;Projects!$C$18+Projects!$D$18),Projects!$B$18*INDEX(Curves!$B$4:$AR$4,1,56-Projects!$C$18+1),0)+IF(AND(Projects!$G$19="Yes",56&gt;=Projects!$C$19,56&lt;Projects!$C$19+Projects!$D$19),Projects!$B$19*INDEX(Curves!$B$4:$AR$4,1,56-Projects!$C$19+1),0)+IF(AND(Projects!$G$20="Yes",56&gt;=Projects!$C$20,56&lt;Projects!$C$20+Projects!$D$20),Projects!$B$20*INDEX(Curves!$B$4:$AR$4,1,56-Projects!$C$20+1),0)+IF(AND(Projects!$G$21="Yes",56&gt;=Projects!$C$21,56&lt;Projects!$C$21+Projects!$D$21),Projects!$B$21*INDEX(Curves!$B$4:$AR$4,1,56-Projects!$C$21+1),0)+IF(AND(Projects!$G$22="Yes",56&gt;=Projects!$C$22,56&lt;Projects!$C$22+Projects!$D$22),Projects!$B$22*INDEX(Curves!$B$4:$AR$4,1,56-Projects!$C$22+1),0)+IF(AND(Projects!$G$23="Yes",56&gt;=Projects!$C$23,56&lt;Projects!$C$23+Projects!$D$23),Projects!$B$23*INDEX(Curves!$B$4:$AR$4,1,56-Projects!$C$23+1),0)+IF(AND(Projects!$G$24="Yes",56&gt;=Projects!$C$24,56&lt;Projects!$C$24+Projects!$D$24),Projects!$B$24*INDEX(Curves!$B$4:$AR$4,1,56-Projects!$C$24+1),0)+IF(AND(Projects!$G$25="Yes",56&gt;=Projects!$C$25,56&lt;Projects!$C$25+Projects!$D$25),Projects!$B$25*INDEX(Curves!$B$4:$AR$4,1,56-Projects!$C$25+1),0)+IF(AND(Projects!$G$26="Yes",56&gt;=Projects!$C$26,56&lt;Projects!$C$26+Projects!$D$26),Projects!$B$26*INDEX(Curves!$B$4:$AR$4,1,56-Projects!$C$26+1),0)+IF(AND(Projects!$G$27="Yes",56&gt;=Projects!$C$27,56&lt;Projects!$C$27+Projects!$D$27),Projects!$B$27*INDEX(Curves!$B$4:$AR$4,1,56-Projects!$C$27+1),0)+IF(AND(Projects!$G$28="Yes",56&gt;=Projects!$C$28,56&lt;Projects!$C$28+Projects!$D$28),Projects!$B$28*INDEX(Curves!$B$4:$AR$4,1,56-Projects!$C$28+1),0)+IF(AND(Projects!$G$29="Yes",56&gt;=Projects!$C$29,56&lt;Projects!$C$29+Projects!$D$29),Projects!$B$29*INDEX(Curves!$B$4:$AR$4,1,56-Projects!$C$29+1),0)+IF(AND(Projects!$G$30="Yes",56&gt;=Projects!$C$30,56&lt;Projects!$C$30+Projects!$D$30),Projects!$B$30*INDEX(Curves!$B$4:$AR$4,1,56-Projects!$C$30+1),0)+IF(AND(Projects!$G$31="Yes",56&gt;=Projects!$C$31,56&lt;Projects!$C$31+Projects!$D$31),Projects!$B$31*INDEX(Curves!$B$4:$AR$4,1,56-Projects!$C$31+1),0)+IF(AND(Projects!$G$32="Yes",56&gt;=Projects!$C$32,56&lt;Projects!$C$32+Projects!$D$32),Projects!$B$32*INDEX(Curves!$B$4:$AR$4,1,56-Projects!$C$32+1),0)+IF(AND(Projects!$G$33="Yes",56&gt;=Projects!$C$33,56&lt;Projects!$C$33+Projects!$D$33),Projects!$B$33*INDEX(Curves!$B$4:$AR$4,1,56-Projects!$C$33+1),0)+IF(AND(Projects!$G$34="Yes",56&gt;=Projects!$C$34,56&lt;Projects!$C$34+Projects!$D$34),Projects!$B$34*INDEX(Curves!$B$4:$AR$4,1,56-Projects!$C$34+1),0)+IF(AND(Projects!$G$35="Yes",56&gt;=Projects!$C$35,56&lt;Projects!$C$35+Projects!$D$35),Projects!$B$35*INDEX(Curves!$B$4:$AR$4,1,56-Projects!$C$35+1),0)+IF(AND(Projects!$G$36="Yes",56&gt;=Projects!$C$36,56&lt;Projects!$C$36+Projects!$D$36),Projects!$B$36*INDEX(Curves!$B$4:$AR$4,1,56-Projects!$C$36+1),0)+IF(AND(Projects!$G$37="Yes",56&gt;=Projects!$C$37,56&lt;Projects!$C$37+Projects!$D$37),Projects!$B$37*INDEX(Curves!$B$4:$AR$4,1,56-Projects!$C$37+1),0)+IF(AND(Projects!$G$38="Yes",56&gt;=Projects!$C$38,56&lt;Projects!$C$38+Projects!$D$38),Projects!$B$38*INDEX(Curves!$B$4:$AR$4,1,56-Projects!$C$38+1),0)+IF(AND(Projects!$G$39="Yes",56&gt;=Projects!$C$39,56&lt;Projects!$C$39+Projects!$D$39),Projects!$B$39*INDEX(Curves!$B$4:$AR$4,1,56-Projects!$C$39+1),0)+IF(AND(Projects!$G$40="Yes",56&gt;=Projects!$C$40,56&lt;Projects!$C$40+Projects!$D$40),Projects!$B$40*INDEX(Curves!$B$4:$AR$4,1,56-Projects!$C$40+1),0)+IF(AND(Projects!$G$41="Yes",56&gt;=Projects!$C$41,56&lt;Projects!$C$41+Projects!$D$41),Projects!$B$41*INDEX(Curves!$B$4:$AR$4,1,56-Projects!$C$41+1),0)+IF(AND(Projects!$G$42="Yes",56&gt;=Projects!$C$42,56&lt;Projects!$C$42+Projects!$D$42),Projects!$B$42*INDEX(Curves!$B$4:$AR$4,1,56-Projects!$C$42+1),0)+IF(AND(Projects!$G$43="Yes",56&gt;=Projects!$C$43,56&lt;Projects!$C$43+Projects!$D$43),Projects!$B$43*INDEX(Curves!$B$4:$AR$4,1,56-Projects!$C$43+1),0)+IF(AND(Projects!$G$44="Yes",56&gt;=Projects!$C$44,56&lt;Projects!$C$44+Projects!$D$44),Projects!$B$44*INDEX(Curves!$B$4:$AR$4,1,56-Projects!$C$44+1),0)+IF(AND(Projects!$G$45="Yes",56&gt;=Projects!$C$45,56&lt;Projects!$C$45+Projects!$D$45),Projects!$B$45*INDEX(Curves!$B$4:$AR$4,1,56-Projects!$C$45+1),0)+IF(AND(Projects!$G$46="Yes",56&gt;=Projects!$C$46,56&lt;Projects!$C$46+Projects!$D$46),Projects!$B$46*INDEX(Curves!$B$4:$AR$4,1,56-Projects!$C$46+1),0)</f>
        <v>10434696</v>
      </c>
      <c r="BJ96" s="313" t="n">
        <f aca="false">IF(AND(Projects!$G$17="Yes",57&gt;=Projects!$C$17,57&lt;Projects!$C$17+Projects!$D$17),Projects!$B$17*INDEX(Curves!$B$4:$AR$4,1,57-Projects!$C$17+1),0)+IF(AND(Projects!$G$18="Yes",57&gt;=Projects!$C$18,57&lt;Projects!$C$18+Projects!$D$18),Projects!$B$18*INDEX(Curves!$B$4:$AR$4,1,57-Projects!$C$18+1),0)+IF(AND(Projects!$G$19="Yes",57&gt;=Projects!$C$19,57&lt;Projects!$C$19+Projects!$D$19),Projects!$B$19*INDEX(Curves!$B$4:$AR$4,1,57-Projects!$C$19+1),0)+IF(AND(Projects!$G$20="Yes",57&gt;=Projects!$C$20,57&lt;Projects!$C$20+Projects!$D$20),Projects!$B$20*INDEX(Curves!$B$4:$AR$4,1,57-Projects!$C$20+1),0)+IF(AND(Projects!$G$21="Yes",57&gt;=Projects!$C$21,57&lt;Projects!$C$21+Projects!$D$21),Projects!$B$21*INDEX(Curves!$B$4:$AR$4,1,57-Projects!$C$21+1),0)+IF(AND(Projects!$G$22="Yes",57&gt;=Projects!$C$22,57&lt;Projects!$C$22+Projects!$D$22),Projects!$B$22*INDEX(Curves!$B$4:$AR$4,1,57-Projects!$C$22+1),0)+IF(AND(Projects!$G$23="Yes",57&gt;=Projects!$C$23,57&lt;Projects!$C$23+Projects!$D$23),Projects!$B$23*INDEX(Curves!$B$4:$AR$4,1,57-Projects!$C$23+1),0)+IF(AND(Projects!$G$24="Yes",57&gt;=Projects!$C$24,57&lt;Projects!$C$24+Projects!$D$24),Projects!$B$24*INDEX(Curves!$B$4:$AR$4,1,57-Projects!$C$24+1),0)+IF(AND(Projects!$G$25="Yes",57&gt;=Projects!$C$25,57&lt;Projects!$C$25+Projects!$D$25),Projects!$B$25*INDEX(Curves!$B$4:$AR$4,1,57-Projects!$C$25+1),0)+IF(AND(Projects!$G$26="Yes",57&gt;=Projects!$C$26,57&lt;Projects!$C$26+Projects!$D$26),Projects!$B$26*INDEX(Curves!$B$4:$AR$4,1,57-Projects!$C$26+1),0)+IF(AND(Projects!$G$27="Yes",57&gt;=Projects!$C$27,57&lt;Projects!$C$27+Projects!$D$27),Projects!$B$27*INDEX(Curves!$B$4:$AR$4,1,57-Projects!$C$27+1),0)+IF(AND(Projects!$G$28="Yes",57&gt;=Projects!$C$28,57&lt;Projects!$C$28+Projects!$D$28),Projects!$B$28*INDEX(Curves!$B$4:$AR$4,1,57-Projects!$C$28+1),0)+IF(AND(Projects!$G$29="Yes",57&gt;=Projects!$C$29,57&lt;Projects!$C$29+Projects!$D$29),Projects!$B$29*INDEX(Curves!$B$4:$AR$4,1,57-Projects!$C$29+1),0)+IF(AND(Projects!$G$30="Yes",57&gt;=Projects!$C$30,57&lt;Projects!$C$30+Projects!$D$30),Projects!$B$30*INDEX(Curves!$B$4:$AR$4,1,57-Projects!$C$30+1),0)+IF(AND(Projects!$G$31="Yes",57&gt;=Projects!$C$31,57&lt;Projects!$C$31+Projects!$D$31),Projects!$B$31*INDEX(Curves!$B$4:$AR$4,1,57-Projects!$C$31+1),0)+IF(AND(Projects!$G$32="Yes",57&gt;=Projects!$C$32,57&lt;Projects!$C$32+Projects!$D$32),Projects!$B$32*INDEX(Curves!$B$4:$AR$4,1,57-Projects!$C$32+1),0)+IF(AND(Projects!$G$33="Yes",57&gt;=Projects!$C$33,57&lt;Projects!$C$33+Projects!$D$33),Projects!$B$33*INDEX(Curves!$B$4:$AR$4,1,57-Projects!$C$33+1),0)+IF(AND(Projects!$G$34="Yes",57&gt;=Projects!$C$34,57&lt;Projects!$C$34+Projects!$D$34),Projects!$B$34*INDEX(Curves!$B$4:$AR$4,1,57-Projects!$C$34+1),0)+IF(AND(Projects!$G$35="Yes",57&gt;=Projects!$C$35,57&lt;Projects!$C$35+Projects!$D$35),Projects!$B$35*INDEX(Curves!$B$4:$AR$4,1,57-Projects!$C$35+1),0)+IF(AND(Projects!$G$36="Yes",57&gt;=Projects!$C$36,57&lt;Projects!$C$36+Projects!$D$36),Projects!$B$36*INDEX(Curves!$B$4:$AR$4,1,57-Projects!$C$36+1),0)+IF(AND(Projects!$G$37="Yes",57&gt;=Projects!$C$37,57&lt;Projects!$C$37+Projects!$D$37),Projects!$B$37*INDEX(Curves!$B$4:$AR$4,1,57-Projects!$C$37+1),0)+IF(AND(Projects!$G$38="Yes",57&gt;=Projects!$C$38,57&lt;Projects!$C$38+Projects!$D$38),Projects!$B$38*INDEX(Curves!$B$4:$AR$4,1,57-Projects!$C$38+1),0)+IF(AND(Projects!$G$39="Yes",57&gt;=Projects!$C$39,57&lt;Projects!$C$39+Projects!$D$39),Projects!$B$39*INDEX(Curves!$B$4:$AR$4,1,57-Projects!$C$39+1),0)+IF(AND(Projects!$G$40="Yes",57&gt;=Projects!$C$40,57&lt;Projects!$C$40+Projects!$D$40),Projects!$B$40*INDEX(Curves!$B$4:$AR$4,1,57-Projects!$C$40+1),0)+IF(AND(Projects!$G$41="Yes",57&gt;=Projects!$C$41,57&lt;Projects!$C$41+Projects!$D$41),Projects!$B$41*INDEX(Curves!$B$4:$AR$4,1,57-Projects!$C$41+1),0)+IF(AND(Projects!$G$42="Yes",57&gt;=Projects!$C$42,57&lt;Projects!$C$42+Projects!$D$42),Projects!$B$42*INDEX(Curves!$B$4:$AR$4,1,57-Projects!$C$42+1),0)+IF(AND(Projects!$G$43="Yes",57&gt;=Projects!$C$43,57&lt;Projects!$C$43+Projects!$D$43),Projects!$B$43*INDEX(Curves!$B$4:$AR$4,1,57-Projects!$C$43+1),0)+IF(AND(Projects!$G$44="Yes",57&gt;=Projects!$C$44,57&lt;Projects!$C$44+Projects!$D$44),Projects!$B$44*INDEX(Curves!$B$4:$AR$4,1,57-Projects!$C$44+1),0)+IF(AND(Projects!$G$45="Yes",57&gt;=Projects!$C$45,57&lt;Projects!$C$45+Projects!$D$45),Projects!$B$45*INDEX(Curves!$B$4:$AR$4,1,57-Projects!$C$45+1),0)+IF(AND(Projects!$G$46="Yes",57&gt;=Projects!$C$46,57&lt;Projects!$C$46+Projects!$D$46),Projects!$B$46*INDEX(Curves!$B$4:$AR$4,1,57-Projects!$C$46+1),0)</f>
        <v>10407687</v>
      </c>
      <c r="BK96" s="313" t="n">
        <f aca="false">IF(AND(Projects!$G$17="Yes",58&gt;=Projects!$C$17,58&lt;Projects!$C$17+Projects!$D$17),Projects!$B$17*INDEX(Curves!$B$4:$AR$4,1,58-Projects!$C$17+1),0)+IF(AND(Projects!$G$18="Yes",58&gt;=Projects!$C$18,58&lt;Projects!$C$18+Projects!$D$18),Projects!$B$18*INDEX(Curves!$B$4:$AR$4,1,58-Projects!$C$18+1),0)+IF(AND(Projects!$G$19="Yes",58&gt;=Projects!$C$19,58&lt;Projects!$C$19+Projects!$D$19),Projects!$B$19*INDEX(Curves!$B$4:$AR$4,1,58-Projects!$C$19+1),0)+IF(AND(Projects!$G$20="Yes",58&gt;=Projects!$C$20,58&lt;Projects!$C$20+Projects!$D$20),Projects!$B$20*INDEX(Curves!$B$4:$AR$4,1,58-Projects!$C$20+1),0)+IF(AND(Projects!$G$21="Yes",58&gt;=Projects!$C$21,58&lt;Projects!$C$21+Projects!$D$21),Projects!$B$21*INDEX(Curves!$B$4:$AR$4,1,58-Projects!$C$21+1),0)+IF(AND(Projects!$G$22="Yes",58&gt;=Projects!$C$22,58&lt;Projects!$C$22+Projects!$D$22),Projects!$B$22*INDEX(Curves!$B$4:$AR$4,1,58-Projects!$C$22+1),0)+IF(AND(Projects!$G$23="Yes",58&gt;=Projects!$C$23,58&lt;Projects!$C$23+Projects!$D$23),Projects!$B$23*INDEX(Curves!$B$4:$AR$4,1,58-Projects!$C$23+1),0)+IF(AND(Projects!$G$24="Yes",58&gt;=Projects!$C$24,58&lt;Projects!$C$24+Projects!$D$24),Projects!$B$24*INDEX(Curves!$B$4:$AR$4,1,58-Projects!$C$24+1),0)+IF(AND(Projects!$G$25="Yes",58&gt;=Projects!$C$25,58&lt;Projects!$C$25+Projects!$D$25),Projects!$B$25*INDEX(Curves!$B$4:$AR$4,1,58-Projects!$C$25+1),0)+IF(AND(Projects!$G$26="Yes",58&gt;=Projects!$C$26,58&lt;Projects!$C$26+Projects!$D$26),Projects!$B$26*INDEX(Curves!$B$4:$AR$4,1,58-Projects!$C$26+1),0)+IF(AND(Projects!$G$27="Yes",58&gt;=Projects!$C$27,58&lt;Projects!$C$27+Projects!$D$27),Projects!$B$27*INDEX(Curves!$B$4:$AR$4,1,58-Projects!$C$27+1),0)+IF(AND(Projects!$G$28="Yes",58&gt;=Projects!$C$28,58&lt;Projects!$C$28+Projects!$D$28),Projects!$B$28*INDEX(Curves!$B$4:$AR$4,1,58-Projects!$C$28+1),0)+IF(AND(Projects!$G$29="Yes",58&gt;=Projects!$C$29,58&lt;Projects!$C$29+Projects!$D$29),Projects!$B$29*INDEX(Curves!$B$4:$AR$4,1,58-Projects!$C$29+1),0)+IF(AND(Projects!$G$30="Yes",58&gt;=Projects!$C$30,58&lt;Projects!$C$30+Projects!$D$30),Projects!$B$30*INDEX(Curves!$B$4:$AR$4,1,58-Projects!$C$30+1),0)+IF(AND(Projects!$G$31="Yes",58&gt;=Projects!$C$31,58&lt;Projects!$C$31+Projects!$D$31),Projects!$B$31*INDEX(Curves!$B$4:$AR$4,1,58-Projects!$C$31+1),0)+IF(AND(Projects!$G$32="Yes",58&gt;=Projects!$C$32,58&lt;Projects!$C$32+Projects!$D$32),Projects!$B$32*INDEX(Curves!$B$4:$AR$4,1,58-Projects!$C$32+1),0)+IF(AND(Projects!$G$33="Yes",58&gt;=Projects!$C$33,58&lt;Projects!$C$33+Projects!$D$33),Projects!$B$33*INDEX(Curves!$B$4:$AR$4,1,58-Projects!$C$33+1),0)+IF(AND(Projects!$G$34="Yes",58&gt;=Projects!$C$34,58&lt;Projects!$C$34+Projects!$D$34),Projects!$B$34*INDEX(Curves!$B$4:$AR$4,1,58-Projects!$C$34+1),0)+IF(AND(Projects!$G$35="Yes",58&gt;=Projects!$C$35,58&lt;Projects!$C$35+Projects!$D$35),Projects!$B$35*INDEX(Curves!$B$4:$AR$4,1,58-Projects!$C$35+1),0)+IF(AND(Projects!$G$36="Yes",58&gt;=Projects!$C$36,58&lt;Projects!$C$36+Projects!$D$36),Projects!$B$36*INDEX(Curves!$B$4:$AR$4,1,58-Projects!$C$36+1),0)+IF(AND(Projects!$G$37="Yes",58&gt;=Projects!$C$37,58&lt;Projects!$C$37+Projects!$D$37),Projects!$B$37*INDEX(Curves!$B$4:$AR$4,1,58-Projects!$C$37+1),0)+IF(AND(Projects!$G$38="Yes",58&gt;=Projects!$C$38,58&lt;Projects!$C$38+Projects!$D$38),Projects!$B$38*INDEX(Curves!$B$4:$AR$4,1,58-Projects!$C$38+1),0)+IF(AND(Projects!$G$39="Yes",58&gt;=Projects!$C$39,58&lt;Projects!$C$39+Projects!$D$39),Projects!$B$39*INDEX(Curves!$B$4:$AR$4,1,58-Projects!$C$39+1),0)+IF(AND(Projects!$G$40="Yes",58&gt;=Projects!$C$40,58&lt;Projects!$C$40+Projects!$D$40),Projects!$B$40*INDEX(Curves!$B$4:$AR$4,1,58-Projects!$C$40+1),0)+IF(AND(Projects!$G$41="Yes",58&gt;=Projects!$C$41,58&lt;Projects!$C$41+Projects!$D$41),Projects!$B$41*INDEX(Curves!$B$4:$AR$4,1,58-Projects!$C$41+1),0)+IF(AND(Projects!$G$42="Yes",58&gt;=Projects!$C$42,58&lt;Projects!$C$42+Projects!$D$42),Projects!$B$42*INDEX(Curves!$B$4:$AR$4,1,58-Projects!$C$42+1),0)+IF(AND(Projects!$G$43="Yes",58&gt;=Projects!$C$43,58&lt;Projects!$C$43+Projects!$D$43),Projects!$B$43*INDEX(Curves!$B$4:$AR$4,1,58-Projects!$C$43+1),0)+IF(AND(Projects!$G$44="Yes",58&gt;=Projects!$C$44,58&lt;Projects!$C$44+Projects!$D$44),Projects!$B$44*INDEX(Curves!$B$4:$AR$4,1,58-Projects!$C$44+1),0)+IF(AND(Projects!$G$45="Yes",58&gt;=Projects!$C$45,58&lt;Projects!$C$45+Projects!$D$45),Projects!$B$45*INDEX(Curves!$B$4:$AR$4,1,58-Projects!$C$45+1),0)+IF(AND(Projects!$G$46="Yes",58&gt;=Projects!$C$46,58&lt;Projects!$C$46+Projects!$D$46),Projects!$B$46*INDEX(Curves!$B$4:$AR$4,1,58-Projects!$C$46+1),0)</f>
        <v>10417158</v>
      </c>
      <c r="BL96" s="313" t="n">
        <f aca="false">IF(AND(Projects!$G$17="Yes",59&gt;=Projects!$C$17,59&lt;Projects!$C$17+Projects!$D$17),Projects!$B$17*INDEX(Curves!$B$4:$AR$4,1,59-Projects!$C$17+1),0)+IF(AND(Projects!$G$18="Yes",59&gt;=Projects!$C$18,59&lt;Projects!$C$18+Projects!$D$18),Projects!$B$18*INDEX(Curves!$B$4:$AR$4,1,59-Projects!$C$18+1),0)+IF(AND(Projects!$G$19="Yes",59&gt;=Projects!$C$19,59&lt;Projects!$C$19+Projects!$D$19),Projects!$B$19*INDEX(Curves!$B$4:$AR$4,1,59-Projects!$C$19+1),0)+IF(AND(Projects!$G$20="Yes",59&gt;=Projects!$C$20,59&lt;Projects!$C$20+Projects!$D$20),Projects!$B$20*INDEX(Curves!$B$4:$AR$4,1,59-Projects!$C$20+1),0)+IF(AND(Projects!$G$21="Yes",59&gt;=Projects!$C$21,59&lt;Projects!$C$21+Projects!$D$21),Projects!$B$21*INDEX(Curves!$B$4:$AR$4,1,59-Projects!$C$21+1),0)+IF(AND(Projects!$G$22="Yes",59&gt;=Projects!$C$22,59&lt;Projects!$C$22+Projects!$D$22),Projects!$B$22*INDEX(Curves!$B$4:$AR$4,1,59-Projects!$C$22+1),0)+IF(AND(Projects!$G$23="Yes",59&gt;=Projects!$C$23,59&lt;Projects!$C$23+Projects!$D$23),Projects!$B$23*INDEX(Curves!$B$4:$AR$4,1,59-Projects!$C$23+1),0)+IF(AND(Projects!$G$24="Yes",59&gt;=Projects!$C$24,59&lt;Projects!$C$24+Projects!$D$24),Projects!$B$24*INDEX(Curves!$B$4:$AR$4,1,59-Projects!$C$24+1),0)+IF(AND(Projects!$G$25="Yes",59&gt;=Projects!$C$25,59&lt;Projects!$C$25+Projects!$D$25),Projects!$B$25*INDEX(Curves!$B$4:$AR$4,1,59-Projects!$C$25+1),0)+IF(AND(Projects!$G$26="Yes",59&gt;=Projects!$C$26,59&lt;Projects!$C$26+Projects!$D$26),Projects!$B$26*INDEX(Curves!$B$4:$AR$4,1,59-Projects!$C$26+1),0)+IF(AND(Projects!$G$27="Yes",59&gt;=Projects!$C$27,59&lt;Projects!$C$27+Projects!$D$27),Projects!$B$27*INDEX(Curves!$B$4:$AR$4,1,59-Projects!$C$27+1),0)+IF(AND(Projects!$G$28="Yes",59&gt;=Projects!$C$28,59&lt;Projects!$C$28+Projects!$D$28),Projects!$B$28*INDEX(Curves!$B$4:$AR$4,1,59-Projects!$C$28+1),0)+IF(AND(Projects!$G$29="Yes",59&gt;=Projects!$C$29,59&lt;Projects!$C$29+Projects!$D$29),Projects!$B$29*INDEX(Curves!$B$4:$AR$4,1,59-Projects!$C$29+1),0)+IF(AND(Projects!$G$30="Yes",59&gt;=Projects!$C$30,59&lt;Projects!$C$30+Projects!$D$30),Projects!$B$30*INDEX(Curves!$B$4:$AR$4,1,59-Projects!$C$30+1),0)+IF(AND(Projects!$G$31="Yes",59&gt;=Projects!$C$31,59&lt;Projects!$C$31+Projects!$D$31),Projects!$B$31*INDEX(Curves!$B$4:$AR$4,1,59-Projects!$C$31+1),0)+IF(AND(Projects!$G$32="Yes",59&gt;=Projects!$C$32,59&lt;Projects!$C$32+Projects!$D$32),Projects!$B$32*INDEX(Curves!$B$4:$AR$4,1,59-Projects!$C$32+1),0)+IF(AND(Projects!$G$33="Yes",59&gt;=Projects!$C$33,59&lt;Projects!$C$33+Projects!$D$33),Projects!$B$33*INDEX(Curves!$B$4:$AR$4,1,59-Projects!$C$33+1),0)+IF(AND(Projects!$G$34="Yes",59&gt;=Projects!$C$34,59&lt;Projects!$C$34+Projects!$D$34),Projects!$B$34*INDEX(Curves!$B$4:$AR$4,1,59-Projects!$C$34+1),0)+IF(AND(Projects!$G$35="Yes",59&gt;=Projects!$C$35,59&lt;Projects!$C$35+Projects!$D$35),Projects!$B$35*INDEX(Curves!$B$4:$AR$4,1,59-Projects!$C$35+1),0)+IF(AND(Projects!$G$36="Yes",59&gt;=Projects!$C$36,59&lt;Projects!$C$36+Projects!$D$36),Projects!$B$36*INDEX(Curves!$B$4:$AR$4,1,59-Projects!$C$36+1),0)+IF(AND(Projects!$G$37="Yes",59&gt;=Projects!$C$37,59&lt;Projects!$C$37+Projects!$D$37),Projects!$B$37*INDEX(Curves!$B$4:$AR$4,1,59-Projects!$C$37+1),0)+IF(AND(Projects!$G$38="Yes",59&gt;=Projects!$C$38,59&lt;Projects!$C$38+Projects!$D$38),Projects!$B$38*INDEX(Curves!$B$4:$AR$4,1,59-Projects!$C$38+1),0)+IF(AND(Projects!$G$39="Yes",59&gt;=Projects!$C$39,59&lt;Projects!$C$39+Projects!$D$39),Projects!$B$39*INDEX(Curves!$B$4:$AR$4,1,59-Projects!$C$39+1),0)+IF(AND(Projects!$G$40="Yes",59&gt;=Projects!$C$40,59&lt;Projects!$C$40+Projects!$D$40),Projects!$B$40*INDEX(Curves!$B$4:$AR$4,1,59-Projects!$C$40+1),0)+IF(AND(Projects!$G$41="Yes",59&gt;=Projects!$C$41,59&lt;Projects!$C$41+Projects!$D$41),Projects!$B$41*INDEX(Curves!$B$4:$AR$4,1,59-Projects!$C$41+1),0)+IF(AND(Projects!$G$42="Yes",59&gt;=Projects!$C$42,59&lt;Projects!$C$42+Projects!$D$42),Projects!$B$42*INDEX(Curves!$B$4:$AR$4,1,59-Projects!$C$42+1),0)+IF(AND(Projects!$G$43="Yes",59&gt;=Projects!$C$43,59&lt;Projects!$C$43+Projects!$D$43),Projects!$B$43*INDEX(Curves!$B$4:$AR$4,1,59-Projects!$C$43+1),0)+IF(AND(Projects!$G$44="Yes",59&gt;=Projects!$C$44,59&lt;Projects!$C$44+Projects!$D$44),Projects!$B$44*INDEX(Curves!$B$4:$AR$4,1,59-Projects!$C$44+1),0)+IF(AND(Projects!$G$45="Yes",59&gt;=Projects!$C$45,59&lt;Projects!$C$45+Projects!$D$45),Projects!$B$45*INDEX(Curves!$B$4:$AR$4,1,59-Projects!$C$45+1),0)+IF(AND(Projects!$G$46="Yes",59&gt;=Projects!$C$46,59&lt;Projects!$C$46+Projects!$D$46),Projects!$B$46*INDEX(Curves!$B$4:$AR$4,1,59-Projects!$C$46+1),0)</f>
        <v>10664883</v>
      </c>
      <c r="BM96" s="313" t="n">
        <f aca="false">IF(AND(Projects!$G$17="Yes",60&gt;=Projects!$C$17,60&lt;Projects!$C$17+Projects!$D$17),Projects!$B$17*INDEX(Curves!$B$4:$AR$4,1,60-Projects!$C$17+1),0)+IF(AND(Projects!$G$18="Yes",60&gt;=Projects!$C$18,60&lt;Projects!$C$18+Projects!$D$18),Projects!$B$18*INDEX(Curves!$B$4:$AR$4,1,60-Projects!$C$18+1),0)+IF(AND(Projects!$G$19="Yes",60&gt;=Projects!$C$19,60&lt;Projects!$C$19+Projects!$D$19),Projects!$B$19*INDEX(Curves!$B$4:$AR$4,1,60-Projects!$C$19+1),0)+IF(AND(Projects!$G$20="Yes",60&gt;=Projects!$C$20,60&lt;Projects!$C$20+Projects!$D$20),Projects!$B$20*INDEX(Curves!$B$4:$AR$4,1,60-Projects!$C$20+1),0)+IF(AND(Projects!$G$21="Yes",60&gt;=Projects!$C$21,60&lt;Projects!$C$21+Projects!$D$21),Projects!$B$21*INDEX(Curves!$B$4:$AR$4,1,60-Projects!$C$21+1),0)+IF(AND(Projects!$G$22="Yes",60&gt;=Projects!$C$22,60&lt;Projects!$C$22+Projects!$D$22),Projects!$B$22*INDEX(Curves!$B$4:$AR$4,1,60-Projects!$C$22+1),0)+IF(AND(Projects!$G$23="Yes",60&gt;=Projects!$C$23,60&lt;Projects!$C$23+Projects!$D$23),Projects!$B$23*INDEX(Curves!$B$4:$AR$4,1,60-Projects!$C$23+1),0)+IF(AND(Projects!$G$24="Yes",60&gt;=Projects!$C$24,60&lt;Projects!$C$24+Projects!$D$24),Projects!$B$24*INDEX(Curves!$B$4:$AR$4,1,60-Projects!$C$24+1),0)+IF(AND(Projects!$G$25="Yes",60&gt;=Projects!$C$25,60&lt;Projects!$C$25+Projects!$D$25),Projects!$B$25*INDEX(Curves!$B$4:$AR$4,1,60-Projects!$C$25+1),0)+IF(AND(Projects!$G$26="Yes",60&gt;=Projects!$C$26,60&lt;Projects!$C$26+Projects!$D$26),Projects!$B$26*INDEX(Curves!$B$4:$AR$4,1,60-Projects!$C$26+1),0)+IF(AND(Projects!$G$27="Yes",60&gt;=Projects!$C$27,60&lt;Projects!$C$27+Projects!$D$27),Projects!$B$27*INDEX(Curves!$B$4:$AR$4,1,60-Projects!$C$27+1),0)+IF(AND(Projects!$G$28="Yes",60&gt;=Projects!$C$28,60&lt;Projects!$C$28+Projects!$D$28),Projects!$B$28*INDEX(Curves!$B$4:$AR$4,1,60-Projects!$C$28+1),0)+IF(AND(Projects!$G$29="Yes",60&gt;=Projects!$C$29,60&lt;Projects!$C$29+Projects!$D$29),Projects!$B$29*INDEX(Curves!$B$4:$AR$4,1,60-Projects!$C$29+1),0)+IF(AND(Projects!$G$30="Yes",60&gt;=Projects!$C$30,60&lt;Projects!$C$30+Projects!$D$30),Projects!$B$30*INDEX(Curves!$B$4:$AR$4,1,60-Projects!$C$30+1),0)+IF(AND(Projects!$G$31="Yes",60&gt;=Projects!$C$31,60&lt;Projects!$C$31+Projects!$D$31),Projects!$B$31*INDEX(Curves!$B$4:$AR$4,1,60-Projects!$C$31+1),0)+IF(AND(Projects!$G$32="Yes",60&gt;=Projects!$C$32,60&lt;Projects!$C$32+Projects!$D$32),Projects!$B$32*INDEX(Curves!$B$4:$AR$4,1,60-Projects!$C$32+1),0)+IF(AND(Projects!$G$33="Yes",60&gt;=Projects!$C$33,60&lt;Projects!$C$33+Projects!$D$33),Projects!$B$33*INDEX(Curves!$B$4:$AR$4,1,60-Projects!$C$33+1),0)+IF(AND(Projects!$G$34="Yes",60&gt;=Projects!$C$34,60&lt;Projects!$C$34+Projects!$D$34),Projects!$B$34*INDEX(Curves!$B$4:$AR$4,1,60-Projects!$C$34+1),0)+IF(AND(Projects!$G$35="Yes",60&gt;=Projects!$C$35,60&lt;Projects!$C$35+Projects!$D$35),Projects!$B$35*INDEX(Curves!$B$4:$AR$4,1,60-Projects!$C$35+1),0)+IF(AND(Projects!$G$36="Yes",60&gt;=Projects!$C$36,60&lt;Projects!$C$36+Projects!$D$36),Projects!$B$36*INDEX(Curves!$B$4:$AR$4,1,60-Projects!$C$36+1),0)+IF(AND(Projects!$G$37="Yes",60&gt;=Projects!$C$37,60&lt;Projects!$C$37+Projects!$D$37),Projects!$B$37*INDEX(Curves!$B$4:$AR$4,1,60-Projects!$C$37+1),0)+IF(AND(Projects!$G$38="Yes",60&gt;=Projects!$C$38,60&lt;Projects!$C$38+Projects!$D$38),Projects!$B$38*INDEX(Curves!$B$4:$AR$4,1,60-Projects!$C$38+1),0)+IF(AND(Projects!$G$39="Yes",60&gt;=Projects!$C$39,60&lt;Projects!$C$39+Projects!$D$39),Projects!$B$39*INDEX(Curves!$B$4:$AR$4,1,60-Projects!$C$39+1),0)+IF(AND(Projects!$G$40="Yes",60&gt;=Projects!$C$40,60&lt;Projects!$C$40+Projects!$D$40),Projects!$B$40*INDEX(Curves!$B$4:$AR$4,1,60-Projects!$C$40+1),0)+IF(AND(Projects!$G$41="Yes",60&gt;=Projects!$C$41,60&lt;Projects!$C$41+Projects!$D$41),Projects!$B$41*INDEX(Curves!$B$4:$AR$4,1,60-Projects!$C$41+1),0)+IF(AND(Projects!$G$42="Yes",60&gt;=Projects!$C$42,60&lt;Projects!$C$42+Projects!$D$42),Projects!$B$42*INDEX(Curves!$B$4:$AR$4,1,60-Projects!$C$42+1),0)+IF(AND(Projects!$G$43="Yes",60&gt;=Projects!$C$43,60&lt;Projects!$C$43+Projects!$D$43),Projects!$B$43*INDEX(Curves!$B$4:$AR$4,1,60-Projects!$C$43+1),0)+IF(AND(Projects!$G$44="Yes",60&gt;=Projects!$C$44,60&lt;Projects!$C$44+Projects!$D$44),Projects!$B$44*INDEX(Curves!$B$4:$AR$4,1,60-Projects!$C$44+1),0)+IF(AND(Projects!$G$45="Yes",60&gt;=Projects!$C$45,60&lt;Projects!$C$45+Projects!$D$45),Projects!$B$45*INDEX(Curves!$B$4:$AR$4,1,60-Projects!$C$45+1),0)+IF(AND(Projects!$G$46="Yes",60&gt;=Projects!$C$46,60&lt;Projects!$C$46+Projects!$D$46),Projects!$B$46*INDEX(Curves!$B$4:$AR$4,1,60-Projects!$C$46+1),0)</f>
        <v>10736742</v>
      </c>
      <c r="BN96" s="313" t="n">
        <f aca="false">IF(AND(Projects!$G$17="Yes",61&gt;=Projects!$C$17,61&lt;Projects!$C$17+Projects!$D$17),Projects!$B$17*INDEX(Curves!$B$4:$AR$4,1,61-Projects!$C$17+1),0)+IF(AND(Projects!$G$18="Yes",61&gt;=Projects!$C$18,61&lt;Projects!$C$18+Projects!$D$18),Projects!$B$18*INDEX(Curves!$B$4:$AR$4,1,61-Projects!$C$18+1),0)+IF(AND(Projects!$G$19="Yes",61&gt;=Projects!$C$19,61&lt;Projects!$C$19+Projects!$D$19),Projects!$B$19*INDEX(Curves!$B$4:$AR$4,1,61-Projects!$C$19+1),0)+IF(AND(Projects!$G$20="Yes",61&gt;=Projects!$C$20,61&lt;Projects!$C$20+Projects!$D$20),Projects!$B$20*INDEX(Curves!$B$4:$AR$4,1,61-Projects!$C$20+1),0)+IF(AND(Projects!$G$21="Yes",61&gt;=Projects!$C$21,61&lt;Projects!$C$21+Projects!$D$21),Projects!$B$21*INDEX(Curves!$B$4:$AR$4,1,61-Projects!$C$21+1),0)+IF(AND(Projects!$G$22="Yes",61&gt;=Projects!$C$22,61&lt;Projects!$C$22+Projects!$D$22),Projects!$B$22*INDEX(Curves!$B$4:$AR$4,1,61-Projects!$C$22+1),0)+IF(AND(Projects!$G$23="Yes",61&gt;=Projects!$C$23,61&lt;Projects!$C$23+Projects!$D$23),Projects!$B$23*INDEX(Curves!$B$4:$AR$4,1,61-Projects!$C$23+1),0)+IF(AND(Projects!$G$24="Yes",61&gt;=Projects!$C$24,61&lt;Projects!$C$24+Projects!$D$24),Projects!$B$24*INDEX(Curves!$B$4:$AR$4,1,61-Projects!$C$24+1),0)+IF(AND(Projects!$G$25="Yes",61&gt;=Projects!$C$25,61&lt;Projects!$C$25+Projects!$D$25),Projects!$B$25*INDEX(Curves!$B$4:$AR$4,1,61-Projects!$C$25+1),0)+IF(AND(Projects!$G$26="Yes",61&gt;=Projects!$C$26,61&lt;Projects!$C$26+Projects!$D$26),Projects!$B$26*INDEX(Curves!$B$4:$AR$4,1,61-Projects!$C$26+1),0)+IF(AND(Projects!$G$27="Yes",61&gt;=Projects!$C$27,61&lt;Projects!$C$27+Projects!$D$27),Projects!$B$27*INDEX(Curves!$B$4:$AR$4,1,61-Projects!$C$27+1),0)+IF(AND(Projects!$G$28="Yes",61&gt;=Projects!$C$28,61&lt;Projects!$C$28+Projects!$D$28),Projects!$B$28*INDEX(Curves!$B$4:$AR$4,1,61-Projects!$C$28+1),0)+IF(AND(Projects!$G$29="Yes",61&gt;=Projects!$C$29,61&lt;Projects!$C$29+Projects!$D$29),Projects!$B$29*INDEX(Curves!$B$4:$AR$4,1,61-Projects!$C$29+1),0)+IF(AND(Projects!$G$30="Yes",61&gt;=Projects!$C$30,61&lt;Projects!$C$30+Projects!$D$30),Projects!$B$30*INDEX(Curves!$B$4:$AR$4,1,61-Projects!$C$30+1),0)+IF(AND(Projects!$G$31="Yes",61&gt;=Projects!$C$31,61&lt;Projects!$C$31+Projects!$D$31),Projects!$B$31*INDEX(Curves!$B$4:$AR$4,1,61-Projects!$C$31+1),0)+IF(AND(Projects!$G$32="Yes",61&gt;=Projects!$C$32,61&lt;Projects!$C$32+Projects!$D$32),Projects!$B$32*INDEX(Curves!$B$4:$AR$4,1,61-Projects!$C$32+1),0)+IF(AND(Projects!$G$33="Yes",61&gt;=Projects!$C$33,61&lt;Projects!$C$33+Projects!$D$33),Projects!$B$33*INDEX(Curves!$B$4:$AR$4,1,61-Projects!$C$33+1),0)+IF(AND(Projects!$G$34="Yes",61&gt;=Projects!$C$34,61&lt;Projects!$C$34+Projects!$D$34),Projects!$B$34*INDEX(Curves!$B$4:$AR$4,1,61-Projects!$C$34+1),0)+IF(AND(Projects!$G$35="Yes",61&gt;=Projects!$C$35,61&lt;Projects!$C$35+Projects!$D$35),Projects!$B$35*INDEX(Curves!$B$4:$AR$4,1,61-Projects!$C$35+1),0)+IF(AND(Projects!$G$36="Yes",61&gt;=Projects!$C$36,61&lt;Projects!$C$36+Projects!$D$36),Projects!$B$36*INDEX(Curves!$B$4:$AR$4,1,61-Projects!$C$36+1),0)+IF(AND(Projects!$G$37="Yes",61&gt;=Projects!$C$37,61&lt;Projects!$C$37+Projects!$D$37),Projects!$B$37*INDEX(Curves!$B$4:$AR$4,1,61-Projects!$C$37+1),0)+IF(AND(Projects!$G$38="Yes",61&gt;=Projects!$C$38,61&lt;Projects!$C$38+Projects!$D$38),Projects!$B$38*INDEX(Curves!$B$4:$AR$4,1,61-Projects!$C$38+1),0)+IF(AND(Projects!$G$39="Yes",61&gt;=Projects!$C$39,61&lt;Projects!$C$39+Projects!$D$39),Projects!$B$39*INDEX(Curves!$B$4:$AR$4,1,61-Projects!$C$39+1),0)+IF(AND(Projects!$G$40="Yes",61&gt;=Projects!$C$40,61&lt;Projects!$C$40+Projects!$D$40),Projects!$B$40*INDEX(Curves!$B$4:$AR$4,1,61-Projects!$C$40+1),0)+IF(AND(Projects!$G$41="Yes",61&gt;=Projects!$C$41,61&lt;Projects!$C$41+Projects!$D$41),Projects!$B$41*INDEX(Curves!$B$4:$AR$4,1,61-Projects!$C$41+1),0)+IF(AND(Projects!$G$42="Yes",61&gt;=Projects!$C$42,61&lt;Projects!$C$42+Projects!$D$42),Projects!$B$42*INDEX(Curves!$B$4:$AR$4,1,61-Projects!$C$42+1),0)+IF(AND(Projects!$G$43="Yes",61&gt;=Projects!$C$43,61&lt;Projects!$C$43+Projects!$D$43),Projects!$B$43*INDEX(Curves!$B$4:$AR$4,1,61-Projects!$C$43+1),0)+IF(AND(Projects!$G$44="Yes",61&gt;=Projects!$C$44,61&lt;Projects!$C$44+Projects!$D$44),Projects!$B$44*INDEX(Curves!$B$4:$AR$4,1,61-Projects!$C$44+1),0)+IF(AND(Projects!$G$45="Yes",61&gt;=Projects!$C$45,61&lt;Projects!$C$45+Projects!$D$45),Projects!$B$45*INDEX(Curves!$B$4:$AR$4,1,61-Projects!$C$45+1),0)+IF(AND(Projects!$G$46="Yes",61&gt;=Projects!$C$46,61&lt;Projects!$C$46+Projects!$D$46),Projects!$B$46*INDEX(Curves!$B$4:$AR$4,1,61-Projects!$C$46+1),0)</f>
        <v>10624533</v>
      </c>
      <c r="BO96" s="313" t="n">
        <f aca="false">IF(AND(Projects!$G$17="Yes",62&gt;=Projects!$C$17,62&lt;Projects!$C$17+Projects!$D$17),Projects!$B$17*INDEX(Curves!$B$4:$AR$4,1,62-Projects!$C$17+1),0)+IF(AND(Projects!$G$18="Yes",62&gt;=Projects!$C$18,62&lt;Projects!$C$18+Projects!$D$18),Projects!$B$18*INDEX(Curves!$B$4:$AR$4,1,62-Projects!$C$18+1),0)+IF(AND(Projects!$G$19="Yes",62&gt;=Projects!$C$19,62&lt;Projects!$C$19+Projects!$D$19),Projects!$B$19*INDEX(Curves!$B$4:$AR$4,1,62-Projects!$C$19+1),0)+IF(AND(Projects!$G$20="Yes",62&gt;=Projects!$C$20,62&lt;Projects!$C$20+Projects!$D$20),Projects!$B$20*INDEX(Curves!$B$4:$AR$4,1,62-Projects!$C$20+1),0)+IF(AND(Projects!$G$21="Yes",62&gt;=Projects!$C$21,62&lt;Projects!$C$21+Projects!$D$21),Projects!$B$21*INDEX(Curves!$B$4:$AR$4,1,62-Projects!$C$21+1),0)+IF(AND(Projects!$G$22="Yes",62&gt;=Projects!$C$22,62&lt;Projects!$C$22+Projects!$D$22),Projects!$B$22*INDEX(Curves!$B$4:$AR$4,1,62-Projects!$C$22+1),0)+IF(AND(Projects!$G$23="Yes",62&gt;=Projects!$C$23,62&lt;Projects!$C$23+Projects!$D$23),Projects!$B$23*INDEX(Curves!$B$4:$AR$4,1,62-Projects!$C$23+1),0)+IF(AND(Projects!$G$24="Yes",62&gt;=Projects!$C$24,62&lt;Projects!$C$24+Projects!$D$24),Projects!$B$24*INDEX(Curves!$B$4:$AR$4,1,62-Projects!$C$24+1),0)+IF(AND(Projects!$G$25="Yes",62&gt;=Projects!$C$25,62&lt;Projects!$C$25+Projects!$D$25),Projects!$B$25*INDEX(Curves!$B$4:$AR$4,1,62-Projects!$C$25+1),0)+IF(AND(Projects!$G$26="Yes",62&gt;=Projects!$C$26,62&lt;Projects!$C$26+Projects!$D$26),Projects!$B$26*INDEX(Curves!$B$4:$AR$4,1,62-Projects!$C$26+1),0)+IF(AND(Projects!$G$27="Yes",62&gt;=Projects!$C$27,62&lt;Projects!$C$27+Projects!$D$27),Projects!$B$27*INDEX(Curves!$B$4:$AR$4,1,62-Projects!$C$27+1),0)+IF(AND(Projects!$G$28="Yes",62&gt;=Projects!$C$28,62&lt;Projects!$C$28+Projects!$D$28),Projects!$B$28*INDEX(Curves!$B$4:$AR$4,1,62-Projects!$C$28+1),0)+IF(AND(Projects!$G$29="Yes",62&gt;=Projects!$C$29,62&lt;Projects!$C$29+Projects!$D$29),Projects!$B$29*INDEX(Curves!$B$4:$AR$4,1,62-Projects!$C$29+1),0)+IF(AND(Projects!$G$30="Yes",62&gt;=Projects!$C$30,62&lt;Projects!$C$30+Projects!$D$30),Projects!$B$30*INDEX(Curves!$B$4:$AR$4,1,62-Projects!$C$30+1),0)+IF(AND(Projects!$G$31="Yes",62&gt;=Projects!$C$31,62&lt;Projects!$C$31+Projects!$D$31),Projects!$B$31*INDEX(Curves!$B$4:$AR$4,1,62-Projects!$C$31+1),0)+IF(AND(Projects!$G$32="Yes",62&gt;=Projects!$C$32,62&lt;Projects!$C$32+Projects!$D$32),Projects!$B$32*INDEX(Curves!$B$4:$AR$4,1,62-Projects!$C$32+1),0)+IF(AND(Projects!$G$33="Yes",62&gt;=Projects!$C$33,62&lt;Projects!$C$33+Projects!$D$33),Projects!$B$33*INDEX(Curves!$B$4:$AR$4,1,62-Projects!$C$33+1),0)+IF(AND(Projects!$G$34="Yes",62&gt;=Projects!$C$34,62&lt;Projects!$C$34+Projects!$D$34),Projects!$B$34*INDEX(Curves!$B$4:$AR$4,1,62-Projects!$C$34+1),0)+IF(AND(Projects!$G$35="Yes",62&gt;=Projects!$C$35,62&lt;Projects!$C$35+Projects!$D$35),Projects!$B$35*INDEX(Curves!$B$4:$AR$4,1,62-Projects!$C$35+1),0)+IF(AND(Projects!$G$36="Yes",62&gt;=Projects!$C$36,62&lt;Projects!$C$36+Projects!$D$36),Projects!$B$36*INDEX(Curves!$B$4:$AR$4,1,62-Projects!$C$36+1),0)+IF(AND(Projects!$G$37="Yes",62&gt;=Projects!$C$37,62&lt;Projects!$C$37+Projects!$D$37),Projects!$B$37*INDEX(Curves!$B$4:$AR$4,1,62-Projects!$C$37+1),0)+IF(AND(Projects!$G$38="Yes",62&gt;=Projects!$C$38,62&lt;Projects!$C$38+Projects!$D$38),Projects!$B$38*INDEX(Curves!$B$4:$AR$4,1,62-Projects!$C$38+1),0)+IF(AND(Projects!$G$39="Yes",62&gt;=Projects!$C$39,62&lt;Projects!$C$39+Projects!$D$39),Projects!$B$39*INDEX(Curves!$B$4:$AR$4,1,62-Projects!$C$39+1),0)+IF(AND(Projects!$G$40="Yes",62&gt;=Projects!$C$40,62&lt;Projects!$C$40+Projects!$D$40),Projects!$B$40*INDEX(Curves!$B$4:$AR$4,1,62-Projects!$C$40+1),0)+IF(AND(Projects!$G$41="Yes",62&gt;=Projects!$C$41,62&lt;Projects!$C$41+Projects!$D$41),Projects!$B$41*INDEX(Curves!$B$4:$AR$4,1,62-Projects!$C$41+1),0)+IF(AND(Projects!$G$42="Yes",62&gt;=Projects!$C$42,62&lt;Projects!$C$42+Projects!$D$42),Projects!$B$42*INDEX(Curves!$B$4:$AR$4,1,62-Projects!$C$42+1),0)+IF(AND(Projects!$G$43="Yes",62&gt;=Projects!$C$43,62&lt;Projects!$C$43+Projects!$D$43),Projects!$B$43*INDEX(Curves!$B$4:$AR$4,1,62-Projects!$C$43+1),0)+IF(AND(Projects!$G$44="Yes",62&gt;=Projects!$C$44,62&lt;Projects!$C$44+Projects!$D$44),Projects!$B$44*INDEX(Curves!$B$4:$AR$4,1,62-Projects!$C$44+1),0)+IF(AND(Projects!$G$45="Yes",62&gt;=Projects!$C$45,62&lt;Projects!$C$45+Projects!$D$45),Projects!$B$45*INDEX(Curves!$B$4:$AR$4,1,62-Projects!$C$45+1),0)+IF(AND(Projects!$G$46="Yes",62&gt;=Projects!$C$46,62&lt;Projects!$C$46+Projects!$D$46),Projects!$B$46*INDEX(Curves!$B$4:$AR$4,1,62-Projects!$C$46+1),0)</f>
        <v>9952569</v>
      </c>
      <c r="BP96" s="313" t="n">
        <f aca="false">IF(AND(Projects!$G$17="Yes",63&gt;=Projects!$C$17,63&lt;Projects!$C$17+Projects!$D$17),Projects!$B$17*INDEX(Curves!$B$4:$AR$4,1,63-Projects!$C$17+1),0)+IF(AND(Projects!$G$18="Yes",63&gt;=Projects!$C$18,63&lt;Projects!$C$18+Projects!$D$18),Projects!$B$18*INDEX(Curves!$B$4:$AR$4,1,63-Projects!$C$18+1),0)+IF(AND(Projects!$G$19="Yes",63&gt;=Projects!$C$19,63&lt;Projects!$C$19+Projects!$D$19),Projects!$B$19*INDEX(Curves!$B$4:$AR$4,1,63-Projects!$C$19+1),0)+IF(AND(Projects!$G$20="Yes",63&gt;=Projects!$C$20,63&lt;Projects!$C$20+Projects!$D$20),Projects!$B$20*INDEX(Curves!$B$4:$AR$4,1,63-Projects!$C$20+1),0)+IF(AND(Projects!$G$21="Yes",63&gt;=Projects!$C$21,63&lt;Projects!$C$21+Projects!$D$21),Projects!$B$21*INDEX(Curves!$B$4:$AR$4,1,63-Projects!$C$21+1),0)+IF(AND(Projects!$G$22="Yes",63&gt;=Projects!$C$22,63&lt;Projects!$C$22+Projects!$D$22),Projects!$B$22*INDEX(Curves!$B$4:$AR$4,1,63-Projects!$C$22+1),0)+IF(AND(Projects!$G$23="Yes",63&gt;=Projects!$C$23,63&lt;Projects!$C$23+Projects!$D$23),Projects!$B$23*INDEX(Curves!$B$4:$AR$4,1,63-Projects!$C$23+1),0)+IF(AND(Projects!$G$24="Yes",63&gt;=Projects!$C$24,63&lt;Projects!$C$24+Projects!$D$24),Projects!$B$24*INDEX(Curves!$B$4:$AR$4,1,63-Projects!$C$24+1),0)+IF(AND(Projects!$G$25="Yes",63&gt;=Projects!$C$25,63&lt;Projects!$C$25+Projects!$D$25),Projects!$B$25*INDEX(Curves!$B$4:$AR$4,1,63-Projects!$C$25+1),0)+IF(AND(Projects!$G$26="Yes",63&gt;=Projects!$C$26,63&lt;Projects!$C$26+Projects!$D$26),Projects!$B$26*INDEX(Curves!$B$4:$AR$4,1,63-Projects!$C$26+1),0)+IF(AND(Projects!$G$27="Yes",63&gt;=Projects!$C$27,63&lt;Projects!$C$27+Projects!$D$27),Projects!$B$27*INDEX(Curves!$B$4:$AR$4,1,63-Projects!$C$27+1),0)+IF(AND(Projects!$G$28="Yes",63&gt;=Projects!$C$28,63&lt;Projects!$C$28+Projects!$D$28),Projects!$B$28*INDEX(Curves!$B$4:$AR$4,1,63-Projects!$C$28+1),0)+IF(AND(Projects!$G$29="Yes",63&gt;=Projects!$C$29,63&lt;Projects!$C$29+Projects!$D$29),Projects!$B$29*INDEX(Curves!$B$4:$AR$4,1,63-Projects!$C$29+1),0)+IF(AND(Projects!$G$30="Yes",63&gt;=Projects!$C$30,63&lt;Projects!$C$30+Projects!$D$30),Projects!$B$30*INDEX(Curves!$B$4:$AR$4,1,63-Projects!$C$30+1),0)+IF(AND(Projects!$G$31="Yes",63&gt;=Projects!$C$31,63&lt;Projects!$C$31+Projects!$D$31),Projects!$B$31*INDEX(Curves!$B$4:$AR$4,1,63-Projects!$C$31+1),0)+IF(AND(Projects!$G$32="Yes",63&gt;=Projects!$C$32,63&lt;Projects!$C$32+Projects!$D$32),Projects!$B$32*INDEX(Curves!$B$4:$AR$4,1,63-Projects!$C$32+1),0)+IF(AND(Projects!$G$33="Yes",63&gt;=Projects!$C$33,63&lt;Projects!$C$33+Projects!$D$33),Projects!$B$33*INDEX(Curves!$B$4:$AR$4,1,63-Projects!$C$33+1),0)+IF(AND(Projects!$G$34="Yes",63&gt;=Projects!$C$34,63&lt;Projects!$C$34+Projects!$D$34),Projects!$B$34*INDEX(Curves!$B$4:$AR$4,1,63-Projects!$C$34+1),0)+IF(AND(Projects!$G$35="Yes",63&gt;=Projects!$C$35,63&lt;Projects!$C$35+Projects!$D$35),Projects!$B$35*INDEX(Curves!$B$4:$AR$4,1,63-Projects!$C$35+1),0)+IF(AND(Projects!$G$36="Yes",63&gt;=Projects!$C$36,63&lt;Projects!$C$36+Projects!$D$36),Projects!$B$36*INDEX(Curves!$B$4:$AR$4,1,63-Projects!$C$36+1),0)+IF(AND(Projects!$G$37="Yes",63&gt;=Projects!$C$37,63&lt;Projects!$C$37+Projects!$D$37),Projects!$B$37*INDEX(Curves!$B$4:$AR$4,1,63-Projects!$C$37+1),0)+IF(AND(Projects!$G$38="Yes",63&gt;=Projects!$C$38,63&lt;Projects!$C$38+Projects!$D$38),Projects!$B$38*INDEX(Curves!$B$4:$AR$4,1,63-Projects!$C$38+1),0)+IF(AND(Projects!$G$39="Yes",63&gt;=Projects!$C$39,63&lt;Projects!$C$39+Projects!$D$39),Projects!$B$39*INDEX(Curves!$B$4:$AR$4,1,63-Projects!$C$39+1),0)+IF(AND(Projects!$G$40="Yes",63&gt;=Projects!$C$40,63&lt;Projects!$C$40+Projects!$D$40),Projects!$B$40*INDEX(Curves!$B$4:$AR$4,1,63-Projects!$C$40+1),0)+IF(AND(Projects!$G$41="Yes",63&gt;=Projects!$C$41,63&lt;Projects!$C$41+Projects!$D$41),Projects!$B$41*INDEX(Curves!$B$4:$AR$4,1,63-Projects!$C$41+1),0)+IF(AND(Projects!$G$42="Yes",63&gt;=Projects!$C$42,63&lt;Projects!$C$42+Projects!$D$42),Projects!$B$42*INDEX(Curves!$B$4:$AR$4,1,63-Projects!$C$42+1),0)+IF(AND(Projects!$G$43="Yes",63&gt;=Projects!$C$43,63&lt;Projects!$C$43+Projects!$D$43),Projects!$B$43*INDEX(Curves!$B$4:$AR$4,1,63-Projects!$C$43+1),0)+IF(AND(Projects!$G$44="Yes",63&gt;=Projects!$C$44,63&lt;Projects!$C$44+Projects!$D$44),Projects!$B$44*INDEX(Curves!$B$4:$AR$4,1,63-Projects!$C$44+1),0)+IF(AND(Projects!$G$45="Yes",63&gt;=Projects!$C$45,63&lt;Projects!$C$45+Projects!$D$45),Projects!$B$45*INDEX(Curves!$B$4:$AR$4,1,63-Projects!$C$45+1),0)+IF(AND(Projects!$G$46="Yes",63&gt;=Projects!$C$46,63&lt;Projects!$C$46+Projects!$D$46),Projects!$B$46*INDEX(Curves!$B$4:$AR$4,1,63-Projects!$C$46+1),0)</f>
        <v>9258027</v>
      </c>
      <c r="BQ96" s="313" t="n">
        <f aca="false">IF(AND(Projects!$G$17="Yes",64&gt;=Projects!$C$17,64&lt;Projects!$C$17+Projects!$D$17),Projects!$B$17*INDEX(Curves!$B$4:$AR$4,1,64-Projects!$C$17+1),0)+IF(AND(Projects!$G$18="Yes",64&gt;=Projects!$C$18,64&lt;Projects!$C$18+Projects!$D$18),Projects!$B$18*INDEX(Curves!$B$4:$AR$4,1,64-Projects!$C$18+1),0)+IF(AND(Projects!$G$19="Yes",64&gt;=Projects!$C$19,64&lt;Projects!$C$19+Projects!$D$19),Projects!$B$19*INDEX(Curves!$B$4:$AR$4,1,64-Projects!$C$19+1),0)+IF(AND(Projects!$G$20="Yes",64&gt;=Projects!$C$20,64&lt;Projects!$C$20+Projects!$D$20),Projects!$B$20*INDEX(Curves!$B$4:$AR$4,1,64-Projects!$C$20+1),0)+IF(AND(Projects!$G$21="Yes",64&gt;=Projects!$C$21,64&lt;Projects!$C$21+Projects!$D$21),Projects!$B$21*INDEX(Curves!$B$4:$AR$4,1,64-Projects!$C$21+1),0)+IF(AND(Projects!$G$22="Yes",64&gt;=Projects!$C$22,64&lt;Projects!$C$22+Projects!$D$22),Projects!$B$22*INDEX(Curves!$B$4:$AR$4,1,64-Projects!$C$22+1),0)+IF(AND(Projects!$G$23="Yes",64&gt;=Projects!$C$23,64&lt;Projects!$C$23+Projects!$D$23),Projects!$B$23*INDEX(Curves!$B$4:$AR$4,1,64-Projects!$C$23+1),0)+IF(AND(Projects!$G$24="Yes",64&gt;=Projects!$C$24,64&lt;Projects!$C$24+Projects!$D$24),Projects!$B$24*INDEX(Curves!$B$4:$AR$4,1,64-Projects!$C$24+1),0)+IF(AND(Projects!$G$25="Yes",64&gt;=Projects!$C$25,64&lt;Projects!$C$25+Projects!$D$25),Projects!$B$25*INDEX(Curves!$B$4:$AR$4,1,64-Projects!$C$25+1),0)+IF(AND(Projects!$G$26="Yes",64&gt;=Projects!$C$26,64&lt;Projects!$C$26+Projects!$D$26),Projects!$B$26*INDEX(Curves!$B$4:$AR$4,1,64-Projects!$C$26+1),0)+IF(AND(Projects!$G$27="Yes",64&gt;=Projects!$C$27,64&lt;Projects!$C$27+Projects!$D$27),Projects!$B$27*INDEX(Curves!$B$4:$AR$4,1,64-Projects!$C$27+1),0)+IF(AND(Projects!$G$28="Yes",64&gt;=Projects!$C$28,64&lt;Projects!$C$28+Projects!$D$28),Projects!$B$28*INDEX(Curves!$B$4:$AR$4,1,64-Projects!$C$28+1),0)+IF(AND(Projects!$G$29="Yes",64&gt;=Projects!$C$29,64&lt;Projects!$C$29+Projects!$D$29),Projects!$B$29*INDEX(Curves!$B$4:$AR$4,1,64-Projects!$C$29+1),0)+IF(AND(Projects!$G$30="Yes",64&gt;=Projects!$C$30,64&lt;Projects!$C$30+Projects!$D$30),Projects!$B$30*INDEX(Curves!$B$4:$AR$4,1,64-Projects!$C$30+1),0)+IF(AND(Projects!$G$31="Yes",64&gt;=Projects!$C$31,64&lt;Projects!$C$31+Projects!$D$31),Projects!$B$31*INDEX(Curves!$B$4:$AR$4,1,64-Projects!$C$31+1),0)+IF(AND(Projects!$G$32="Yes",64&gt;=Projects!$C$32,64&lt;Projects!$C$32+Projects!$D$32),Projects!$B$32*INDEX(Curves!$B$4:$AR$4,1,64-Projects!$C$32+1),0)+IF(AND(Projects!$G$33="Yes",64&gt;=Projects!$C$33,64&lt;Projects!$C$33+Projects!$D$33),Projects!$B$33*INDEX(Curves!$B$4:$AR$4,1,64-Projects!$C$33+1),0)+IF(AND(Projects!$G$34="Yes",64&gt;=Projects!$C$34,64&lt;Projects!$C$34+Projects!$D$34),Projects!$B$34*INDEX(Curves!$B$4:$AR$4,1,64-Projects!$C$34+1),0)+IF(AND(Projects!$G$35="Yes",64&gt;=Projects!$C$35,64&lt;Projects!$C$35+Projects!$D$35),Projects!$B$35*INDEX(Curves!$B$4:$AR$4,1,64-Projects!$C$35+1),0)+IF(AND(Projects!$G$36="Yes",64&gt;=Projects!$C$36,64&lt;Projects!$C$36+Projects!$D$36),Projects!$B$36*INDEX(Curves!$B$4:$AR$4,1,64-Projects!$C$36+1),0)+IF(AND(Projects!$G$37="Yes",64&gt;=Projects!$C$37,64&lt;Projects!$C$37+Projects!$D$37),Projects!$B$37*INDEX(Curves!$B$4:$AR$4,1,64-Projects!$C$37+1),0)+IF(AND(Projects!$G$38="Yes",64&gt;=Projects!$C$38,64&lt;Projects!$C$38+Projects!$D$38),Projects!$B$38*INDEX(Curves!$B$4:$AR$4,1,64-Projects!$C$38+1),0)+IF(AND(Projects!$G$39="Yes",64&gt;=Projects!$C$39,64&lt;Projects!$C$39+Projects!$D$39),Projects!$B$39*INDEX(Curves!$B$4:$AR$4,1,64-Projects!$C$39+1),0)+IF(AND(Projects!$G$40="Yes",64&gt;=Projects!$C$40,64&lt;Projects!$C$40+Projects!$D$40),Projects!$B$40*INDEX(Curves!$B$4:$AR$4,1,64-Projects!$C$40+1),0)+IF(AND(Projects!$G$41="Yes",64&gt;=Projects!$C$41,64&lt;Projects!$C$41+Projects!$D$41),Projects!$B$41*INDEX(Curves!$B$4:$AR$4,1,64-Projects!$C$41+1),0)+IF(AND(Projects!$G$42="Yes",64&gt;=Projects!$C$42,64&lt;Projects!$C$42+Projects!$D$42),Projects!$B$42*INDEX(Curves!$B$4:$AR$4,1,64-Projects!$C$42+1),0)+IF(AND(Projects!$G$43="Yes",64&gt;=Projects!$C$43,64&lt;Projects!$C$43+Projects!$D$43),Projects!$B$43*INDEX(Curves!$B$4:$AR$4,1,64-Projects!$C$43+1),0)+IF(AND(Projects!$G$44="Yes",64&gt;=Projects!$C$44,64&lt;Projects!$C$44+Projects!$D$44),Projects!$B$44*INDEX(Curves!$B$4:$AR$4,1,64-Projects!$C$44+1),0)+IF(AND(Projects!$G$45="Yes",64&gt;=Projects!$C$45,64&lt;Projects!$C$45+Projects!$D$45),Projects!$B$45*INDEX(Curves!$B$4:$AR$4,1,64-Projects!$C$45+1),0)+IF(AND(Projects!$G$46="Yes",64&gt;=Projects!$C$46,64&lt;Projects!$C$46+Projects!$D$46),Projects!$B$46*INDEX(Curves!$B$4:$AR$4,1,64-Projects!$C$46+1),0)</f>
        <v>8783472</v>
      </c>
      <c r="BR96" s="313" t="n">
        <f aca="false">IF(AND(Projects!$G$17="Yes",65&gt;=Projects!$C$17,65&lt;Projects!$C$17+Projects!$D$17),Projects!$B$17*INDEX(Curves!$B$4:$AR$4,1,65-Projects!$C$17+1),0)+IF(AND(Projects!$G$18="Yes",65&gt;=Projects!$C$18,65&lt;Projects!$C$18+Projects!$D$18),Projects!$B$18*INDEX(Curves!$B$4:$AR$4,1,65-Projects!$C$18+1),0)+IF(AND(Projects!$G$19="Yes",65&gt;=Projects!$C$19,65&lt;Projects!$C$19+Projects!$D$19),Projects!$B$19*INDEX(Curves!$B$4:$AR$4,1,65-Projects!$C$19+1),0)+IF(AND(Projects!$G$20="Yes",65&gt;=Projects!$C$20,65&lt;Projects!$C$20+Projects!$D$20),Projects!$B$20*INDEX(Curves!$B$4:$AR$4,1,65-Projects!$C$20+1),0)+IF(AND(Projects!$G$21="Yes",65&gt;=Projects!$C$21,65&lt;Projects!$C$21+Projects!$D$21),Projects!$B$21*INDEX(Curves!$B$4:$AR$4,1,65-Projects!$C$21+1),0)+IF(AND(Projects!$G$22="Yes",65&gt;=Projects!$C$22,65&lt;Projects!$C$22+Projects!$D$22),Projects!$B$22*INDEX(Curves!$B$4:$AR$4,1,65-Projects!$C$22+1),0)+IF(AND(Projects!$G$23="Yes",65&gt;=Projects!$C$23,65&lt;Projects!$C$23+Projects!$D$23),Projects!$B$23*INDEX(Curves!$B$4:$AR$4,1,65-Projects!$C$23+1),0)+IF(AND(Projects!$G$24="Yes",65&gt;=Projects!$C$24,65&lt;Projects!$C$24+Projects!$D$24),Projects!$B$24*INDEX(Curves!$B$4:$AR$4,1,65-Projects!$C$24+1),0)+IF(AND(Projects!$G$25="Yes",65&gt;=Projects!$C$25,65&lt;Projects!$C$25+Projects!$D$25),Projects!$B$25*INDEX(Curves!$B$4:$AR$4,1,65-Projects!$C$25+1),0)+IF(AND(Projects!$G$26="Yes",65&gt;=Projects!$C$26,65&lt;Projects!$C$26+Projects!$D$26),Projects!$B$26*INDEX(Curves!$B$4:$AR$4,1,65-Projects!$C$26+1),0)+IF(AND(Projects!$G$27="Yes",65&gt;=Projects!$C$27,65&lt;Projects!$C$27+Projects!$D$27),Projects!$B$27*INDEX(Curves!$B$4:$AR$4,1,65-Projects!$C$27+1),0)+IF(AND(Projects!$G$28="Yes",65&gt;=Projects!$C$28,65&lt;Projects!$C$28+Projects!$D$28),Projects!$B$28*INDEX(Curves!$B$4:$AR$4,1,65-Projects!$C$28+1),0)+IF(AND(Projects!$G$29="Yes",65&gt;=Projects!$C$29,65&lt;Projects!$C$29+Projects!$D$29),Projects!$B$29*INDEX(Curves!$B$4:$AR$4,1,65-Projects!$C$29+1),0)+IF(AND(Projects!$G$30="Yes",65&gt;=Projects!$C$30,65&lt;Projects!$C$30+Projects!$D$30),Projects!$B$30*INDEX(Curves!$B$4:$AR$4,1,65-Projects!$C$30+1),0)+IF(AND(Projects!$G$31="Yes",65&gt;=Projects!$C$31,65&lt;Projects!$C$31+Projects!$D$31),Projects!$B$31*INDEX(Curves!$B$4:$AR$4,1,65-Projects!$C$31+1),0)+IF(AND(Projects!$G$32="Yes",65&gt;=Projects!$C$32,65&lt;Projects!$C$32+Projects!$D$32),Projects!$B$32*INDEX(Curves!$B$4:$AR$4,1,65-Projects!$C$32+1),0)+IF(AND(Projects!$G$33="Yes",65&gt;=Projects!$C$33,65&lt;Projects!$C$33+Projects!$D$33),Projects!$B$33*INDEX(Curves!$B$4:$AR$4,1,65-Projects!$C$33+1),0)+IF(AND(Projects!$G$34="Yes",65&gt;=Projects!$C$34,65&lt;Projects!$C$34+Projects!$D$34),Projects!$B$34*INDEX(Curves!$B$4:$AR$4,1,65-Projects!$C$34+1),0)+IF(AND(Projects!$G$35="Yes",65&gt;=Projects!$C$35,65&lt;Projects!$C$35+Projects!$D$35),Projects!$B$35*INDEX(Curves!$B$4:$AR$4,1,65-Projects!$C$35+1),0)+IF(AND(Projects!$G$36="Yes",65&gt;=Projects!$C$36,65&lt;Projects!$C$36+Projects!$D$36),Projects!$B$36*INDEX(Curves!$B$4:$AR$4,1,65-Projects!$C$36+1),0)+IF(AND(Projects!$G$37="Yes",65&gt;=Projects!$C$37,65&lt;Projects!$C$37+Projects!$D$37),Projects!$B$37*INDEX(Curves!$B$4:$AR$4,1,65-Projects!$C$37+1),0)+IF(AND(Projects!$G$38="Yes",65&gt;=Projects!$C$38,65&lt;Projects!$C$38+Projects!$D$38),Projects!$B$38*INDEX(Curves!$B$4:$AR$4,1,65-Projects!$C$38+1),0)+IF(AND(Projects!$G$39="Yes",65&gt;=Projects!$C$39,65&lt;Projects!$C$39+Projects!$D$39),Projects!$B$39*INDEX(Curves!$B$4:$AR$4,1,65-Projects!$C$39+1),0)+IF(AND(Projects!$G$40="Yes",65&gt;=Projects!$C$40,65&lt;Projects!$C$40+Projects!$D$40),Projects!$B$40*INDEX(Curves!$B$4:$AR$4,1,65-Projects!$C$40+1),0)+IF(AND(Projects!$G$41="Yes",65&gt;=Projects!$C$41,65&lt;Projects!$C$41+Projects!$D$41),Projects!$B$41*INDEX(Curves!$B$4:$AR$4,1,65-Projects!$C$41+1),0)+IF(AND(Projects!$G$42="Yes",65&gt;=Projects!$C$42,65&lt;Projects!$C$42+Projects!$D$42),Projects!$B$42*INDEX(Curves!$B$4:$AR$4,1,65-Projects!$C$42+1),0)+IF(AND(Projects!$G$43="Yes",65&gt;=Projects!$C$43,65&lt;Projects!$C$43+Projects!$D$43),Projects!$B$43*INDEX(Curves!$B$4:$AR$4,1,65-Projects!$C$43+1),0)+IF(AND(Projects!$G$44="Yes",65&gt;=Projects!$C$44,65&lt;Projects!$C$44+Projects!$D$44),Projects!$B$44*INDEX(Curves!$B$4:$AR$4,1,65-Projects!$C$44+1),0)+IF(AND(Projects!$G$45="Yes",65&gt;=Projects!$C$45,65&lt;Projects!$C$45+Projects!$D$45),Projects!$B$45*INDEX(Curves!$B$4:$AR$4,1,65-Projects!$C$45+1),0)+IF(AND(Projects!$G$46="Yes",65&gt;=Projects!$C$46,65&lt;Projects!$C$46+Projects!$D$46),Projects!$B$46*INDEX(Curves!$B$4:$AR$4,1,65-Projects!$C$46+1),0)</f>
        <v>8159178</v>
      </c>
      <c r="BS96" s="313" t="n">
        <f aca="false">IF(AND(Projects!$G$17="Yes",66&gt;=Projects!$C$17,66&lt;Projects!$C$17+Projects!$D$17),Projects!$B$17*INDEX(Curves!$B$4:$AR$4,1,66-Projects!$C$17+1),0)+IF(AND(Projects!$G$18="Yes",66&gt;=Projects!$C$18,66&lt;Projects!$C$18+Projects!$D$18),Projects!$B$18*INDEX(Curves!$B$4:$AR$4,1,66-Projects!$C$18+1),0)+IF(AND(Projects!$G$19="Yes",66&gt;=Projects!$C$19,66&lt;Projects!$C$19+Projects!$D$19),Projects!$B$19*INDEX(Curves!$B$4:$AR$4,1,66-Projects!$C$19+1),0)+IF(AND(Projects!$G$20="Yes",66&gt;=Projects!$C$20,66&lt;Projects!$C$20+Projects!$D$20),Projects!$B$20*INDEX(Curves!$B$4:$AR$4,1,66-Projects!$C$20+1),0)+IF(AND(Projects!$G$21="Yes",66&gt;=Projects!$C$21,66&lt;Projects!$C$21+Projects!$D$21),Projects!$B$21*INDEX(Curves!$B$4:$AR$4,1,66-Projects!$C$21+1),0)+IF(AND(Projects!$G$22="Yes",66&gt;=Projects!$C$22,66&lt;Projects!$C$22+Projects!$D$22),Projects!$B$22*INDEX(Curves!$B$4:$AR$4,1,66-Projects!$C$22+1),0)+IF(AND(Projects!$G$23="Yes",66&gt;=Projects!$C$23,66&lt;Projects!$C$23+Projects!$D$23),Projects!$B$23*INDEX(Curves!$B$4:$AR$4,1,66-Projects!$C$23+1),0)+IF(AND(Projects!$G$24="Yes",66&gt;=Projects!$C$24,66&lt;Projects!$C$24+Projects!$D$24),Projects!$B$24*INDEX(Curves!$B$4:$AR$4,1,66-Projects!$C$24+1),0)+IF(AND(Projects!$G$25="Yes",66&gt;=Projects!$C$25,66&lt;Projects!$C$25+Projects!$D$25),Projects!$B$25*INDEX(Curves!$B$4:$AR$4,1,66-Projects!$C$25+1),0)+IF(AND(Projects!$G$26="Yes",66&gt;=Projects!$C$26,66&lt;Projects!$C$26+Projects!$D$26),Projects!$B$26*INDEX(Curves!$B$4:$AR$4,1,66-Projects!$C$26+1),0)+IF(AND(Projects!$G$27="Yes",66&gt;=Projects!$C$27,66&lt;Projects!$C$27+Projects!$D$27),Projects!$B$27*INDEX(Curves!$B$4:$AR$4,1,66-Projects!$C$27+1),0)+IF(AND(Projects!$G$28="Yes",66&gt;=Projects!$C$28,66&lt;Projects!$C$28+Projects!$D$28),Projects!$B$28*INDEX(Curves!$B$4:$AR$4,1,66-Projects!$C$28+1),0)+IF(AND(Projects!$G$29="Yes",66&gt;=Projects!$C$29,66&lt;Projects!$C$29+Projects!$D$29),Projects!$B$29*INDEX(Curves!$B$4:$AR$4,1,66-Projects!$C$29+1),0)+IF(AND(Projects!$G$30="Yes",66&gt;=Projects!$C$30,66&lt;Projects!$C$30+Projects!$D$30),Projects!$B$30*INDEX(Curves!$B$4:$AR$4,1,66-Projects!$C$30+1),0)+IF(AND(Projects!$G$31="Yes",66&gt;=Projects!$C$31,66&lt;Projects!$C$31+Projects!$D$31),Projects!$B$31*INDEX(Curves!$B$4:$AR$4,1,66-Projects!$C$31+1),0)+IF(AND(Projects!$G$32="Yes",66&gt;=Projects!$C$32,66&lt;Projects!$C$32+Projects!$D$32),Projects!$B$32*INDEX(Curves!$B$4:$AR$4,1,66-Projects!$C$32+1),0)+IF(AND(Projects!$G$33="Yes",66&gt;=Projects!$C$33,66&lt;Projects!$C$33+Projects!$D$33),Projects!$B$33*INDEX(Curves!$B$4:$AR$4,1,66-Projects!$C$33+1),0)+IF(AND(Projects!$G$34="Yes",66&gt;=Projects!$C$34,66&lt;Projects!$C$34+Projects!$D$34),Projects!$B$34*INDEX(Curves!$B$4:$AR$4,1,66-Projects!$C$34+1),0)+IF(AND(Projects!$G$35="Yes",66&gt;=Projects!$C$35,66&lt;Projects!$C$35+Projects!$D$35),Projects!$B$35*INDEX(Curves!$B$4:$AR$4,1,66-Projects!$C$35+1),0)+IF(AND(Projects!$G$36="Yes",66&gt;=Projects!$C$36,66&lt;Projects!$C$36+Projects!$D$36),Projects!$B$36*INDEX(Curves!$B$4:$AR$4,1,66-Projects!$C$36+1),0)+IF(AND(Projects!$G$37="Yes",66&gt;=Projects!$C$37,66&lt;Projects!$C$37+Projects!$D$37),Projects!$B$37*INDEX(Curves!$B$4:$AR$4,1,66-Projects!$C$37+1),0)+IF(AND(Projects!$G$38="Yes",66&gt;=Projects!$C$38,66&lt;Projects!$C$38+Projects!$D$38),Projects!$B$38*INDEX(Curves!$B$4:$AR$4,1,66-Projects!$C$38+1),0)+IF(AND(Projects!$G$39="Yes",66&gt;=Projects!$C$39,66&lt;Projects!$C$39+Projects!$D$39),Projects!$B$39*INDEX(Curves!$B$4:$AR$4,1,66-Projects!$C$39+1),0)+IF(AND(Projects!$G$40="Yes",66&gt;=Projects!$C$40,66&lt;Projects!$C$40+Projects!$D$40),Projects!$B$40*INDEX(Curves!$B$4:$AR$4,1,66-Projects!$C$40+1),0)+IF(AND(Projects!$G$41="Yes",66&gt;=Projects!$C$41,66&lt;Projects!$C$41+Projects!$D$41),Projects!$B$41*INDEX(Curves!$B$4:$AR$4,1,66-Projects!$C$41+1),0)+IF(AND(Projects!$G$42="Yes",66&gt;=Projects!$C$42,66&lt;Projects!$C$42+Projects!$D$42),Projects!$B$42*INDEX(Curves!$B$4:$AR$4,1,66-Projects!$C$42+1),0)+IF(AND(Projects!$G$43="Yes",66&gt;=Projects!$C$43,66&lt;Projects!$C$43+Projects!$D$43),Projects!$B$43*INDEX(Curves!$B$4:$AR$4,1,66-Projects!$C$43+1),0)+IF(AND(Projects!$G$44="Yes",66&gt;=Projects!$C$44,66&lt;Projects!$C$44+Projects!$D$44),Projects!$B$44*INDEX(Curves!$B$4:$AR$4,1,66-Projects!$C$44+1),0)+IF(AND(Projects!$G$45="Yes",66&gt;=Projects!$C$45,66&lt;Projects!$C$45+Projects!$D$45),Projects!$B$45*INDEX(Curves!$B$4:$AR$4,1,66-Projects!$C$45+1),0)+IF(AND(Projects!$G$46="Yes",66&gt;=Projects!$C$46,66&lt;Projects!$C$46+Projects!$D$46),Projects!$B$46*INDEX(Curves!$B$4:$AR$4,1,66-Projects!$C$46+1),0)</f>
        <v>7420524</v>
      </c>
      <c r="BT96" s="313" t="n">
        <f aca="false">IF(AND(Projects!$G$17="Yes",67&gt;=Projects!$C$17,67&lt;Projects!$C$17+Projects!$D$17),Projects!$B$17*INDEX(Curves!$B$4:$AR$4,1,67-Projects!$C$17+1),0)+IF(AND(Projects!$G$18="Yes",67&gt;=Projects!$C$18,67&lt;Projects!$C$18+Projects!$D$18),Projects!$B$18*INDEX(Curves!$B$4:$AR$4,1,67-Projects!$C$18+1),0)+IF(AND(Projects!$G$19="Yes",67&gt;=Projects!$C$19,67&lt;Projects!$C$19+Projects!$D$19),Projects!$B$19*INDEX(Curves!$B$4:$AR$4,1,67-Projects!$C$19+1),0)+IF(AND(Projects!$G$20="Yes",67&gt;=Projects!$C$20,67&lt;Projects!$C$20+Projects!$D$20),Projects!$B$20*INDEX(Curves!$B$4:$AR$4,1,67-Projects!$C$20+1),0)+IF(AND(Projects!$G$21="Yes",67&gt;=Projects!$C$21,67&lt;Projects!$C$21+Projects!$D$21),Projects!$B$21*INDEX(Curves!$B$4:$AR$4,1,67-Projects!$C$21+1),0)+IF(AND(Projects!$G$22="Yes",67&gt;=Projects!$C$22,67&lt;Projects!$C$22+Projects!$D$22),Projects!$B$22*INDEX(Curves!$B$4:$AR$4,1,67-Projects!$C$22+1),0)+IF(AND(Projects!$G$23="Yes",67&gt;=Projects!$C$23,67&lt;Projects!$C$23+Projects!$D$23),Projects!$B$23*INDEX(Curves!$B$4:$AR$4,1,67-Projects!$C$23+1),0)+IF(AND(Projects!$G$24="Yes",67&gt;=Projects!$C$24,67&lt;Projects!$C$24+Projects!$D$24),Projects!$B$24*INDEX(Curves!$B$4:$AR$4,1,67-Projects!$C$24+1),0)+IF(AND(Projects!$G$25="Yes",67&gt;=Projects!$C$25,67&lt;Projects!$C$25+Projects!$D$25),Projects!$B$25*INDEX(Curves!$B$4:$AR$4,1,67-Projects!$C$25+1),0)+IF(AND(Projects!$G$26="Yes",67&gt;=Projects!$C$26,67&lt;Projects!$C$26+Projects!$D$26),Projects!$B$26*INDEX(Curves!$B$4:$AR$4,1,67-Projects!$C$26+1),0)+IF(AND(Projects!$G$27="Yes",67&gt;=Projects!$C$27,67&lt;Projects!$C$27+Projects!$D$27),Projects!$B$27*INDEX(Curves!$B$4:$AR$4,1,67-Projects!$C$27+1),0)+IF(AND(Projects!$G$28="Yes",67&gt;=Projects!$C$28,67&lt;Projects!$C$28+Projects!$D$28),Projects!$B$28*INDEX(Curves!$B$4:$AR$4,1,67-Projects!$C$28+1),0)+IF(AND(Projects!$G$29="Yes",67&gt;=Projects!$C$29,67&lt;Projects!$C$29+Projects!$D$29),Projects!$B$29*INDEX(Curves!$B$4:$AR$4,1,67-Projects!$C$29+1),0)+IF(AND(Projects!$G$30="Yes",67&gt;=Projects!$C$30,67&lt;Projects!$C$30+Projects!$D$30),Projects!$B$30*INDEX(Curves!$B$4:$AR$4,1,67-Projects!$C$30+1),0)+IF(AND(Projects!$G$31="Yes",67&gt;=Projects!$C$31,67&lt;Projects!$C$31+Projects!$D$31),Projects!$B$31*INDEX(Curves!$B$4:$AR$4,1,67-Projects!$C$31+1),0)+IF(AND(Projects!$G$32="Yes",67&gt;=Projects!$C$32,67&lt;Projects!$C$32+Projects!$D$32),Projects!$B$32*INDEX(Curves!$B$4:$AR$4,1,67-Projects!$C$32+1),0)+IF(AND(Projects!$G$33="Yes",67&gt;=Projects!$C$33,67&lt;Projects!$C$33+Projects!$D$33),Projects!$B$33*INDEX(Curves!$B$4:$AR$4,1,67-Projects!$C$33+1),0)+IF(AND(Projects!$G$34="Yes",67&gt;=Projects!$C$34,67&lt;Projects!$C$34+Projects!$D$34),Projects!$B$34*INDEX(Curves!$B$4:$AR$4,1,67-Projects!$C$34+1),0)+IF(AND(Projects!$G$35="Yes",67&gt;=Projects!$C$35,67&lt;Projects!$C$35+Projects!$D$35),Projects!$B$35*INDEX(Curves!$B$4:$AR$4,1,67-Projects!$C$35+1),0)+IF(AND(Projects!$G$36="Yes",67&gt;=Projects!$C$36,67&lt;Projects!$C$36+Projects!$D$36),Projects!$B$36*INDEX(Curves!$B$4:$AR$4,1,67-Projects!$C$36+1),0)+IF(AND(Projects!$G$37="Yes",67&gt;=Projects!$C$37,67&lt;Projects!$C$37+Projects!$D$37),Projects!$B$37*INDEX(Curves!$B$4:$AR$4,1,67-Projects!$C$37+1),0)+IF(AND(Projects!$G$38="Yes",67&gt;=Projects!$C$38,67&lt;Projects!$C$38+Projects!$D$38),Projects!$B$38*INDEX(Curves!$B$4:$AR$4,1,67-Projects!$C$38+1),0)+IF(AND(Projects!$G$39="Yes",67&gt;=Projects!$C$39,67&lt;Projects!$C$39+Projects!$D$39),Projects!$B$39*INDEX(Curves!$B$4:$AR$4,1,67-Projects!$C$39+1),0)+IF(AND(Projects!$G$40="Yes",67&gt;=Projects!$C$40,67&lt;Projects!$C$40+Projects!$D$40),Projects!$B$40*INDEX(Curves!$B$4:$AR$4,1,67-Projects!$C$40+1),0)+IF(AND(Projects!$G$41="Yes",67&gt;=Projects!$C$41,67&lt;Projects!$C$41+Projects!$D$41),Projects!$B$41*INDEX(Curves!$B$4:$AR$4,1,67-Projects!$C$41+1),0)+IF(AND(Projects!$G$42="Yes",67&gt;=Projects!$C$42,67&lt;Projects!$C$42+Projects!$D$42),Projects!$B$42*INDEX(Curves!$B$4:$AR$4,1,67-Projects!$C$42+1),0)+IF(AND(Projects!$G$43="Yes",67&gt;=Projects!$C$43,67&lt;Projects!$C$43+Projects!$D$43),Projects!$B$43*INDEX(Curves!$B$4:$AR$4,1,67-Projects!$C$43+1),0)+IF(AND(Projects!$G$44="Yes",67&gt;=Projects!$C$44,67&lt;Projects!$C$44+Projects!$D$44),Projects!$B$44*INDEX(Curves!$B$4:$AR$4,1,67-Projects!$C$44+1),0)+IF(AND(Projects!$G$45="Yes",67&gt;=Projects!$C$45,67&lt;Projects!$C$45+Projects!$D$45),Projects!$B$45*INDEX(Curves!$B$4:$AR$4,1,67-Projects!$C$45+1),0)+IF(AND(Projects!$G$46="Yes",67&gt;=Projects!$C$46,67&lt;Projects!$C$46+Projects!$D$46),Projects!$B$46*INDEX(Curves!$B$4:$AR$4,1,67-Projects!$C$46+1),0)</f>
        <v>6292893</v>
      </c>
      <c r="BU96" s="313" t="n">
        <f aca="false">IF(AND(Projects!$G$17="Yes",68&gt;=Projects!$C$17,68&lt;Projects!$C$17+Projects!$D$17),Projects!$B$17*INDEX(Curves!$B$4:$AR$4,1,68-Projects!$C$17+1),0)+IF(AND(Projects!$G$18="Yes",68&gt;=Projects!$C$18,68&lt;Projects!$C$18+Projects!$D$18),Projects!$B$18*INDEX(Curves!$B$4:$AR$4,1,68-Projects!$C$18+1),0)+IF(AND(Projects!$G$19="Yes",68&gt;=Projects!$C$19,68&lt;Projects!$C$19+Projects!$D$19),Projects!$B$19*INDEX(Curves!$B$4:$AR$4,1,68-Projects!$C$19+1),0)+IF(AND(Projects!$G$20="Yes",68&gt;=Projects!$C$20,68&lt;Projects!$C$20+Projects!$D$20),Projects!$B$20*INDEX(Curves!$B$4:$AR$4,1,68-Projects!$C$20+1),0)+IF(AND(Projects!$G$21="Yes",68&gt;=Projects!$C$21,68&lt;Projects!$C$21+Projects!$D$21),Projects!$B$21*INDEX(Curves!$B$4:$AR$4,1,68-Projects!$C$21+1),0)+IF(AND(Projects!$G$22="Yes",68&gt;=Projects!$C$22,68&lt;Projects!$C$22+Projects!$D$22),Projects!$B$22*INDEX(Curves!$B$4:$AR$4,1,68-Projects!$C$22+1),0)+IF(AND(Projects!$G$23="Yes",68&gt;=Projects!$C$23,68&lt;Projects!$C$23+Projects!$D$23),Projects!$B$23*INDEX(Curves!$B$4:$AR$4,1,68-Projects!$C$23+1),0)+IF(AND(Projects!$G$24="Yes",68&gt;=Projects!$C$24,68&lt;Projects!$C$24+Projects!$D$24),Projects!$B$24*INDEX(Curves!$B$4:$AR$4,1,68-Projects!$C$24+1),0)+IF(AND(Projects!$G$25="Yes",68&gt;=Projects!$C$25,68&lt;Projects!$C$25+Projects!$D$25),Projects!$B$25*INDEX(Curves!$B$4:$AR$4,1,68-Projects!$C$25+1),0)+IF(AND(Projects!$G$26="Yes",68&gt;=Projects!$C$26,68&lt;Projects!$C$26+Projects!$D$26),Projects!$B$26*INDEX(Curves!$B$4:$AR$4,1,68-Projects!$C$26+1),0)+IF(AND(Projects!$G$27="Yes",68&gt;=Projects!$C$27,68&lt;Projects!$C$27+Projects!$D$27),Projects!$B$27*INDEX(Curves!$B$4:$AR$4,1,68-Projects!$C$27+1),0)+IF(AND(Projects!$G$28="Yes",68&gt;=Projects!$C$28,68&lt;Projects!$C$28+Projects!$D$28),Projects!$B$28*INDEX(Curves!$B$4:$AR$4,1,68-Projects!$C$28+1),0)+IF(AND(Projects!$G$29="Yes",68&gt;=Projects!$C$29,68&lt;Projects!$C$29+Projects!$D$29),Projects!$B$29*INDEX(Curves!$B$4:$AR$4,1,68-Projects!$C$29+1),0)+IF(AND(Projects!$G$30="Yes",68&gt;=Projects!$C$30,68&lt;Projects!$C$30+Projects!$D$30),Projects!$B$30*INDEX(Curves!$B$4:$AR$4,1,68-Projects!$C$30+1),0)+IF(AND(Projects!$G$31="Yes",68&gt;=Projects!$C$31,68&lt;Projects!$C$31+Projects!$D$31),Projects!$B$31*INDEX(Curves!$B$4:$AR$4,1,68-Projects!$C$31+1),0)+IF(AND(Projects!$G$32="Yes",68&gt;=Projects!$C$32,68&lt;Projects!$C$32+Projects!$D$32),Projects!$B$32*INDEX(Curves!$B$4:$AR$4,1,68-Projects!$C$32+1),0)+IF(AND(Projects!$G$33="Yes",68&gt;=Projects!$C$33,68&lt;Projects!$C$33+Projects!$D$33),Projects!$B$33*INDEX(Curves!$B$4:$AR$4,1,68-Projects!$C$33+1),0)+IF(AND(Projects!$G$34="Yes",68&gt;=Projects!$C$34,68&lt;Projects!$C$34+Projects!$D$34),Projects!$B$34*INDEX(Curves!$B$4:$AR$4,1,68-Projects!$C$34+1),0)+IF(AND(Projects!$G$35="Yes",68&gt;=Projects!$C$35,68&lt;Projects!$C$35+Projects!$D$35),Projects!$B$35*INDEX(Curves!$B$4:$AR$4,1,68-Projects!$C$35+1),0)+IF(AND(Projects!$G$36="Yes",68&gt;=Projects!$C$36,68&lt;Projects!$C$36+Projects!$D$36),Projects!$B$36*INDEX(Curves!$B$4:$AR$4,1,68-Projects!$C$36+1),0)+IF(AND(Projects!$G$37="Yes",68&gt;=Projects!$C$37,68&lt;Projects!$C$37+Projects!$D$37),Projects!$B$37*INDEX(Curves!$B$4:$AR$4,1,68-Projects!$C$37+1),0)+IF(AND(Projects!$G$38="Yes",68&gt;=Projects!$C$38,68&lt;Projects!$C$38+Projects!$D$38),Projects!$B$38*INDEX(Curves!$B$4:$AR$4,1,68-Projects!$C$38+1),0)+IF(AND(Projects!$G$39="Yes",68&gt;=Projects!$C$39,68&lt;Projects!$C$39+Projects!$D$39),Projects!$B$39*INDEX(Curves!$B$4:$AR$4,1,68-Projects!$C$39+1),0)+IF(AND(Projects!$G$40="Yes",68&gt;=Projects!$C$40,68&lt;Projects!$C$40+Projects!$D$40),Projects!$B$40*INDEX(Curves!$B$4:$AR$4,1,68-Projects!$C$40+1),0)+IF(AND(Projects!$G$41="Yes",68&gt;=Projects!$C$41,68&lt;Projects!$C$41+Projects!$D$41),Projects!$B$41*INDEX(Curves!$B$4:$AR$4,1,68-Projects!$C$41+1),0)+IF(AND(Projects!$G$42="Yes",68&gt;=Projects!$C$42,68&lt;Projects!$C$42+Projects!$D$42),Projects!$B$42*INDEX(Curves!$B$4:$AR$4,1,68-Projects!$C$42+1),0)+IF(AND(Projects!$G$43="Yes",68&gt;=Projects!$C$43,68&lt;Projects!$C$43+Projects!$D$43),Projects!$B$43*INDEX(Curves!$B$4:$AR$4,1,68-Projects!$C$43+1),0)+IF(AND(Projects!$G$44="Yes",68&gt;=Projects!$C$44,68&lt;Projects!$C$44+Projects!$D$44),Projects!$B$44*INDEX(Curves!$B$4:$AR$4,1,68-Projects!$C$44+1),0)+IF(AND(Projects!$G$45="Yes",68&gt;=Projects!$C$45,68&lt;Projects!$C$45+Projects!$D$45),Projects!$B$45*INDEX(Curves!$B$4:$AR$4,1,68-Projects!$C$45+1),0)+IF(AND(Projects!$G$46="Yes",68&gt;=Projects!$C$46,68&lt;Projects!$C$46+Projects!$D$46),Projects!$B$46*INDEX(Curves!$B$4:$AR$4,1,68-Projects!$C$46+1),0)</f>
        <v>5139747</v>
      </c>
      <c r="BV96" s="313" t="n">
        <f aca="false">IF(AND(Projects!$G$17="Yes",69&gt;=Projects!$C$17,69&lt;Projects!$C$17+Projects!$D$17),Projects!$B$17*INDEX(Curves!$B$4:$AR$4,1,69-Projects!$C$17+1),0)+IF(AND(Projects!$G$18="Yes",69&gt;=Projects!$C$18,69&lt;Projects!$C$18+Projects!$D$18),Projects!$B$18*INDEX(Curves!$B$4:$AR$4,1,69-Projects!$C$18+1),0)+IF(AND(Projects!$G$19="Yes",69&gt;=Projects!$C$19,69&lt;Projects!$C$19+Projects!$D$19),Projects!$B$19*INDEX(Curves!$B$4:$AR$4,1,69-Projects!$C$19+1),0)+IF(AND(Projects!$G$20="Yes",69&gt;=Projects!$C$20,69&lt;Projects!$C$20+Projects!$D$20),Projects!$B$20*INDEX(Curves!$B$4:$AR$4,1,69-Projects!$C$20+1),0)+IF(AND(Projects!$G$21="Yes",69&gt;=Projects!$C$21,69&lt;Projects!$C$21+Projects!$D$21),Projects!$B$21*INDEX(Curves!$B$4:$AR$4,1,69-Projects!$C$21+1),0)+IF(AND(Projects!$G$22="Yes",69&gt;=Projects!$C$22,69&lt;Projects!$C$22+Projects!$D$22),Projects!$B$22*INDEX(Curves!$B$4:$AR$4,1,69-Projects!$C$22+1),0)+IF(AND(Projects!$G$23="Yes",69&gt;=Projects!$C$23,69&lt;Projects!$C$23+Projects!$D$23),Projects!$B$23*INDEX(Curves!$B$4:$AR$4,1,69-Projects!$C$23+1),0)+IF(AND(Projects!$G$24="Yes",69&gt;=Projects!$C$24,69&lt;Projects!$C$24+Projects!$D$24),Projects!$B$24*INDEX(Curves!$B$4:$AR$4,1,69-Projects!$C$24+1),0)+IF(AND(Projects!$G$25="Yes",69&gt;=Projects!$C$25,69&lt;Projects!$C$25+Projects!$D$25),Projects!$B$25*INDEX(Curves!$B$4:$AR$4,1,69-Projects!$C$25+1),0)+IF(AND(Projects!$G$26="Yes",69&gt;=Projects!$C$26,69&lt;Projects!$C$26+Projects!$D$26),Projects!$B$26*INDEX(Curves!$B$4:$AR$4,1,69-Projects!$C$26+1),0)+IF(AND(Projects!$G$27="Yes",69&gt;=Projects!$C$27,69&lt;Projects!$C$27+Projects!$D$27),Projects!$B$27*INDEX(Curves!$B$4:$AR$4,1,69-Projects!$C$27+1),0)+IF(AND(Projects!$G$28="Yes",69&gt;=Projects!$C$28,69&lt;Projects!$C$28+Projects!$D$28),Projects!$B$28*INDEX(Curves!$B$4:$AR$4,1,69-Projects!$C$28+1),0)+IF(AND(Projects!$G$29="Yes",69&gt;=Projects!$C$29,69&lt;Projects!$C$29+Projects!$D$29),Projects!$B$29*INDEX(Curves!$B$4:$AR$4,1,69-Projects!$C$29+1),0)+IF(AND(Projects!$G$30="Yes",69&gt;=Projects!$C$30,69&lt;Projects!$C$30+Projects!$D$30),Projects!$B$30*INDEX(Curves!$B$4:$AR$4,1,69-Projects!$C$30+1),0)+IF(AND(Projects!$G$31="Yes",69&gt;=Projects!$C$31,69&lt;Projects!$C$31+Projects!$D$31),Projects!$B$31*INDEX(Curves!$B$4:$AR$4,1,69-Projects!$C$31+1),0)+IF(AND(Projects!$G$32="Yes",69&gt;=Projects!$C$32,69&lt;Projects!$C$32+Projects!$D$32),Projects!$B$32*INDEX(Curves!$B$4:$AR$4,1,69-Projects!$C$32+1),0)+IF(AND(Projects!$G$33="Yes",69&gt;=Projects!$C$33,69&lt;Projects!$C$33+Projects!$D$33),Projects!$B$33*INDEX(Curves!$B$4:$AR$4,1,69-Projects!$C$33+1),0)+IF(AND(Projects!$G$34="Yes",69&gt;=Projects!$C$34,69&lt;Projects!$C$34+Projects!$D$34),Projects!$B$34*INDEX(Curves!$B$4:$AR$4,1,69-Projects!$C$34+1),0)+IF(AND(Projects!$G$35="Yes",69&gt;=Projects!$C$35,69&lt;Projects!$C$35+Projects!$D$35),Projects!$B$35*INDEX(Curves!$B$4:$AR$4,1,69-Projects!$C$35+1),0)+IF(AND(Projects!$G$36="Yes",69&gt;=Projects!$C$36,69&lt;Projects!$C$36+Projects!$D$36),Projects!$B$36*INDEX(Curves!$B$4:$AR$4,1,69-Projects!$C$36+1),0)+IF(AND(Projects!$G$37="Yes",69&gt;=Projects!$C$37,69&lt;Projects!$C$37+Projects!$D$37),Projects!$B$37*INDEX(Curves!$B$4:$AR$4,1,69-Projects!$C$37+1),0)+IF(AND(Projects!$G$38="Yes",69&gt;=Projects!$C$38,69&lt;Projects!$C$38+Projects!$D$38),Projects!$B$38*INDEX(Curves!$B$4:$AR$4,1,69-Projects!$C$38+1),0)+IF(AND(Projects!$G$39="Yes",69&gt;=Projects!$C$39,69&lt;Projects!$C$39+Projects!$D$39),Projects!$B$39*INDEX(Curves!$B$4:$AR$4,1,69-Projects!$C$39+1),0)+IF(AND(Projects!$G$40="Yes",69&gt;=Projects!$C$40,69&lt;Projects!$C$40+Projects!$D$40),Projects!$B$40*INDEX(Curves!$B$4:$AR$4,1,69-Projects!$C$40+1),0)+IF(AND(Projects!$G$41="Yes",69&gt;=Projects!$C$41,69&lt;Projects!$C$41+Projects!$D$41),Projects!$B$41*INDEX(Curves!$B$4:$AR$4,1,69-Projects!$C$41+1),0)+IF(AND(Projects!$G$42="Yes",69&gt;=Projects!$C$42,69&lt;Projects!$C$42+Projects!$D$42),Projects!$B$42*INDEX(Curves!$B$4:$AR$4,1,69-Projects!$C$42+1),0)+IF(AND(Projects!$G$43="Yes",69&gt;=Projects!$C$43,69&lt;Projects!$C$43+Projects!$D$43),Projects!$B$43*INDEX(Curves!$B$4:$AR$4,1,69-Projects!$C$43+1),0)+IF(AND(Projects!$G$44="Yes",69&gt;=Projects!$C$44,69&lt;Projects!$C$44+Projects!$D$44),Projects!$B$44*INDEX(Curves!$B$4:$AR$4,1,69-Projects!$C$44+1),0)+IF(AND(Projects!$G$45="Yes",69&gt;=Projects!$C$45,69&lt;Projects!$C$45+Projects!$D$45),Projects!$B$45*INDEX(Curves!$B$4:$AR$4,1,69-Projects!$C$45+1),0)+IF(AND(Projects!$G$46="Yes",69&gt;=Projects!$C$46,69&lt;Projects!$C$46+Projects!$D$46),Projects!$B$46*INDEX(Curves!$B$4:$AR$4,1,69-Projects!$C$46+1),0)</f>
        <v>4126617</v>
      </c>
      <c r="BW96" s="313" t="n">
        <f aca="false">IF(AND(Projects!$G$17="Yes",70&gt;=Projects!$C$17,70&lt;Projects!$C$17+Projects!$D$17),Projects!$B$17*INDEX(Curves!$B$4:$AR$4,1,70-Projects!$C$17+1),0)+IF(AND(Projects!$G$18="Yes",70&gt;=Projects!$C$18,70&lt;Projects!$C$18+Projects!$D$18),Projects!$B$18*INDEX(Curves!$B$4:$AR$4,1,70-Projects!$C$18+1),0)+IF(AND(Projects!$G$19="Yes",70&gt;=Projects!$C$19,70&lt;Projects!$C$19+Projects!$D$19),Projects!$B$19*INDEX(Curves!$B$4:$AR$4,1,70-Projects!$C$19+1),0)+IF(AND(Projects!$G$20="Yes",70&gt;=Projects!$C$20,70&lt;Projects!$C$20+Projects!$D$20),Projects!$B$20*INDEX(Curves!$B$4:$AR$4,1,70-Projects!$C$20+1),0)+IF(AND(Projects!$G$21="Yes",70&gt;=Projects!$C$21,70&lt;Projects!$C$21+Projects!$D$21),Projects!$B$21*INDEX(Curves!$B$4:$AR$4,1,70-Projects!$C$21+1),0)+IF(AND(Projects!$G$22="Yes",70&gt;=Projects!$C$22,70&lt;Projects!$C$22+Projects!$D$22),Projects!$B$22*INDEX(Curves!$B$4:$AR$4,1,70-Projects!$C$22+1),0)+IF(AND(Projects!$G$23="Yes",70&gt;=Projects!$C$23,70&lt;Projects!$C$23+Projects!$D$23),Projects!$B$23*INDEX(Curves!$B$4:$AR$4,1,70-Projects!$C$23+1),0)+IF(AND(Projects!$G$24="Yes",70&gt;=Projects!$C$24,70&lt;Projects!$C$24+Projects!$D$24),Projects!$B$24*INDEX(Curves!$B$4:$AR$4,1,70-Projects!$C$24+1),0)+IF(AND(Projects!$G$25="Yes",70&gt;=Projects!$C$25,70&lt;Projects!$C$25+Projects!$D$25),Projects!$B$25*INDEX(Curves!$B$4:$AR$4,1,70-Projects!$C$25+1),0)+IF(AND(Projects!$G$26="Yes",70&gt;=Projects!$C$26,70&lt;Projects!$C$26+Projects!$D$26),Projects!$B$26*INDEX(Curves!$B$4:$AR$4,1,70-Projects!$C$26+1),0)+IF(AND(Projects!$G$27="Yes",70&gt;=Projects!$C$27,70&lt;Projects!$C$27+Projects!$D$27),Projects!$B$27*INDEX(Curves!$B$4:$AR$4,1,70-Projects!$C$27+1),0)+IF(AND(Projects!$G$28="Yes",70&gt;=Projects!$C$28,70&lt;Projects!$C$28+Projects!$D$28),Projects!$B$28*INDEX(Curves!$B$4:$AR$4,1,70-Projects!$C$28+1),0)+IF(AND(Projects!$G$29="Yes",70&gt;=Projects!$C$29,70&lt;Projects!$C$29+Projects!$D$29),Projects!$B$29*INDEX(Curves!$B$4:$AR$4,1,70-Projects!$C$29+1),0)+IF(AND(Projects!$G$30="Yes",70&gt;=Projects!$C$30,70&lt;Projects!$C$30+Projects!$D$30),Projects!$B$30*INDEX(Curves!$B$4:$AR$4,1,70-Projects!$C$30+1),0)+IF(AND(Projects!$G$31="Yes",70&gt;=Projects!$C$31,70&lt;Projects!$C$31+Projects!$D$31),Projects!$B$31*INDEX(Curves!$B$4:$AR$4,1,70-Projects!$C$31+1),0)+IF(AND(Projects!$G$32="Yes",70&gt;=Projects!$C$32,70&lt;Projects!$C$32+Projects!$D$32),Projects!$B$32*INDEX(Curves!$B$4:$AR$4,1,70-Projects!$C$32+1),0)+IF(AND(Projects!$G$33="Yes",70&gt;=Projects!$C$33,70&lt;Projects!$C$33+Projects!$D$33),Projects!$B$33*INDEX(Curves!$B$4:$AR$4,1,70-Projects!$C$33+1),0)+IF(AND(Projects!$G$34="Yes",70&gt;=Projects!$C$34,70&lt;Projects!$C$34+Projects!$D$34),Projects!$B$34*INDEX(Curves!$B$4:$AR$4,1,70-Projects!$C$34+1),0)+IF(AND(Projects!$G$35="Yes",70&gt;=Projects!$C$35,70&lt;Projects!$C$35+Projects!$D$35),Projects!$B$35*INDEX(Curves!$B$4:$AR$4,1,70-Projects!$C$35+1),0)+IF(AND(Projects!$G$36="Yes",70&gt;=Projects!$C$36,70&lt;Projects!$C$36+Projects!$D$36),Projects!$B$36*INDEX(Curves!$B$4:$AR$4,1,70-Projects!$C$36+1),0)+IF(AND(Projects!$G$37="Yes",70&gt;=Projects!$C$37,70&lt;Projects!$C$37+Projects!$D$37),Projects!$B$37*INDEX(Curves!$B$4:$AR$4,1,70-Projects!$C$37+1),0)+IF(AND(Projects!$G$38="Yes",70&gt;=Projects!$C$38,70&lt;Projects!$C$38+Projects!$D$38),Projects!$B$38*INDEX(Curves!$B$4:$AR$4,1,70-Projects!$C$38+1),0)+IF(AND(Projects!$G$39="Yes",70&gt;=Projects!$C$39,70&lt;Projects!$C$39+Projects!$D$39),Projects!$B$39*INDEX(Curves!$B$4:$AR$4,1,70-Projects!$C$39+1),0)+IF(AND(Projects!$G$40="Yes",70&gt;=Projects!$C$40,70&lt;Projects!$C$40+Projects!$D$40),Projects!$B$40*INDEX(Curves!$B$4:$AR$4,1,70-Projects!$C$40+1),0)+IF(AND(Projects!$G$41="Yes",70&gt;=Projects!$C$41,70&lt;Projects!$C$41+Projects!$D$41),Projects!$B$41*INDEX(Curves!$B$4:$AR$4,1,70-Projects!$C$41+1),0)+IF(AND(Projects!$G$42="Yes",70&gt;=Projects!$C$42,70&lt;Projects!$C$42+Projects!$D$42),Projects!$B$42*INDEX(Curves!$B$4:$AR$4,1,70-Projects!$C$42+1),0)+IF(AND(Projects!$G$43="Yes",70&gt;=Projects!$C$43,70&lt;Projects!$C$43+Projects!$D$43),Projects!$B$43*INDEX(Curves!$B$4:$AR$4,1,70-Projects!$C$43+1),0)+IF(AND(Projects!$G$44="Yes",70&gt;=Projects!$C$44,70&lt;Projects!$C$44+Projects!$D$44),Projects!$B$44*INDEX(Curves!$B$4:$AR$4,1,70-Projects!$C$44+1),0)+IF(AND(Projects!$G$45="Yes",70&gt;=Projects!$C$45,70&lt;Projects!$C$45+Projects!$D$45),Projects!$B$45*INDEX(Curves!$B$4:$AR$4,1,70-Projects!$C$45+1),0)+IF(AND(Projects!$G$46="Yes",70&gt;=Projects!$C$46,70&lt;Projects!$C$46+Projects!$D$46),Projects!$B$46*INDEX(Curves!$B$4:$AR$4,1,70-Projects!$C$46+1),0)</f>
        <v>3194637</v>
      </c>
      <c r="BX96" s="313" t="n">
        <f aca="false">IF(AND(Projects!$G$17="Yes",71&gt;=Projects!$C$17,71&lt;Projects!$C$17+Projects!$D$17),Projects!$B$17*INDEX(Curves!$B$4:$AR$4,1,71-Projects!$C$17+1),0)+IF(AND(Projects!$G$18="Yes",71&gt;=Projects!$C$18,71&lt;Projects!$C$18+Projects!$D$18),Projects!$B$18*INDEX(Curves!$B$4:$AR$4,1,71-Projects!$C$18+1),0)+IF(AND(Projects!$G$19="Yes",71&gt;=Projects!$C$19,71&lt;Projects!$C$19+Projects!$D$19),Projects!$B$19*INDEX(Curves!$B$4:$AR$4,1,71-Projects!$C$19+1),0)+IF(AND(Projects!$G$20="Yes",71&gt;=Projects!$C$20,71&lt;Projects!$C$20+Projects!$D$20),Projects!$B$20*INDEX(Curves!$B$4:$AR$4,1,71-Projects!$C$20+1),0)+IF(AND(Projects!$G$21="Yes",71&gt;=Projects!$C$21,71&lt;Projects!$C$21+Projects!$D$21),Projects!$B$21*INDEX(Curves!$B$4:$AR$4,1,71-Projects!$C$21+1),0)+IF(AND(Projects!$G$22="Yes",71&gt;=Projects!$C$22,71&lt;Projects!$C$22+Projects!$D$22),Projects!$B$22*INDEX(Curves!$B$4:$AR$4,1,71-Projects!$C$22+1),0)+IF(AND(Projects!$G$23="Yes",71&gt;=Projects!$C$23,71&lt;Projects!$C$23+Projects!$D$23),Projects!$B$23*INDEX(Curves!$B$4:$AR$4,1,71-Projects!$C$23+1),0)+IF(AND(Projects!$G$24="Yes",71&gt;=Projects!$C$24,71&lt;Projects!$C$24+Projects!$D$24),Projects!$B$24*INDEX(Curves!$B$4:$AR$4,1,71-Projects!$C$24+1),0)+IF(AND(Projects!$G$25="Yes",71&gt;=Projects!$C$25,71&lt;Projects!$C$25+Projects!$D$25),Projects!$B$25*INDEX(Curves!$B$4:$AR$4,1,71-Projects!$C$25+1),0)+IF(AND(Projects!$G$26="Yes",71&gt;=Projects!$C$26,71&lt;Projects!$C$26+Projects!$D$26),Projects!$B$26*INDEX(Curves!$B$4:$AR$4,1,71-Projects!$C$26+1),0)+IF(AND(Projects!$G$27="Yes",71&gt;=Projects!$C$27,71&lt;Projects!$C$27+Projects!$D$27),Projects!$B$27*INDEX(Curves!$B$4:$AR$4,1,71-Projects!$C$27+1),0)+IF(AND(Projects!$G$28="Yes",71&gt;=Projects!$C$28,71&lt;Projects!$C$28+Projects!$D$28),Projects!$B$28*INDEX(Curves!$B$4:$AR$4,1,71-Projects!$C$28+1),0)+IF(AND(Projects!$G$29="Yes",71&gt;=Projects!$C$29,71&lt;Projects!$C$29+Projects!$D$29),Projects!$B$29*INDEX(Curves!$B$4:$AR$4,1,71-Projects!$C$29+1),0)+IF(AND(Projects!$G$30="Yes",71&gt;=Projects!$C$30,71&lt;Projects!$C$30+Projects!$D$30),Projects!$B$30*INDEX(Curves!$B$4:$AR$4,1,71-Projects!$C$30+1),0)+IF(AND(Projects!$G$31="Yes",71&gt;=Projects!$C$31,71&lt;Projects!$C$31+Projects!$D$31),Projects!$B$31*INDEX(Curves!$B$4:$AR$4,1,71-Projects!$C$31+1),0)+IF(AND(Projects!$G$32="Yes",71&gt;=Projects!$C$32,71&lt;Projects!$C$32+Projects!$D$32),Projects!$B$32*INDEX(Curves!$B$4:$AR$4,1,71-Projects!$C$32+1),0)+IF(AND(Projects!$G$33="Yes",71&gt;=Projects!$C$33,71&lt;Projects!$C$33+Projects!$D$33),Projects!$B$33*INDEX(Curves!$B$4:$AR$4,1,71-Projects!$C$33+1),0)+IF(AND(Projects!$G$34="Yes",71&gt;=Projects!$C$34,71&lt;Projects!$C$34+Projects!$D$34),Projects!$B$34*INDEX(Curves!$B$4:$AR$4,1,71-Projects!$C$34+1),0)+IF(AND(Projects!$G$35="Yes",71&gt;=Projects!$C$35,71&lt;Projects!$C$35+Projects!$D$35),Projects!$B$35*INDEX(Curves!$B$4:$AR$4,1,71-Projects!$C$35+1),0)+IF(AND(Projects!$G$36="Yes",71&gt;=Projects!$C$36,71&lt;Projects!$C$36+Projects!$D$36),Projects!$B$36*INDEX(Curves!$B$4:$AR$4,1,71-Projects!$C$36+1),0)+IF(AND(Projects!$G$37="Yes",71&gt;=Projects!$C$37,71&lt;Projects!$C$37+Projects!$D$37),Projects!$B$37*INDEX(Curves!$B$4:$AR$4,1,71-Projects!$C$37+1),0)+IF(AND(Projects!$G$38="Yes",71&gt;=Projects!$C$38,71&lt;Projects!$C$38+Projects!$D$38),Projects!$B$38*INDEX(Curves!$B$4:$AR$4,1,71-Projects!$C$38+1),0)+IF(AND(Projects!$G$39="Yes",71&gt;=Projects!$C$39,71&lt;Projects!$C$39+Projects!$D$39),Projects!$B$39*INDEX(Curves!$B$4:$AR$4,1,71-Projects!$C$39+1),0)+IF(AND(Projects!$G$40="Yes",71&gt;=Projects!$C$40,71&lt;Projects!$C$40+Projects!$D$40),Projects!$B$40*INDEX(Curves!$B$4:$AR$4,1,71-Projects!$C$40+1),0)+IF(AND(Projects!$G$41="Yes",71&gt;=Projects!$C$41,71&lt;Projects!$C$41+Projects!$D$41),Projects!$B$41*INDEX(Curves!$B$4:$AR$4,1,71-Projects!$C$41+1),0)+IF(AND(Projects!$G$42="Yes",71&gt;=Projects!$C$42,71&lt;Projects!$C$42+Projects!$D$42),Projects!$B$42*INDEX(Curves!$B$4:$AR$4,1,71-Projects!$C$42+1),0)+IF(AND(Projects!$G$43="Yes",71&gt;=Projects!$C$43,71&lt;Projects!$C$43+Projects!$D$43),Projects!$B$43*INDEX(Curves!$B$4:$AR$4,1,71-Projects!$C$43+1),0)+IF(AND(Projects!$G$44="Yes",71&gt;=Projects!$C$44,71&lt;Projects!$C$44+Projects!$D$44),Projects!$B$44*INDEX(Curves!$B$4:$AR$4,1,71-Projects!$C$44+1),0)+IF(AND(Projects!$G$45="Yes",71&gt;=Projects!$C$45,71&lt;Projects!$C$45+Projects!$D$45),Projects!$B$45*INDEX(Curves!$B$4:$AR$4,1,71-Projects!$C$45+1),0)+IF(AND(Projects!$G$46="Yes",71&gt;=Projects!$C$46,71&lt;Projects!$C$46+Projects!$D$46),Projects!$B$46*INDEX(Curves!$B$4:$AR$4,1,71-Projects!$C$46+1),0)</f>
        <v>2296026</v>
      </c>
      <c r="BY96" s="313" t="n">
        <f aca="false">IF(AND(Projects!$G$17="Yes",72&gt;=Projects!$C$17,72&lt;Projects!$C$17+Projects!$D$17),Projects!$B$17*INDEX(Curves!$B$4:$AR$4,1,72-Projects!$C$17+1),0)+IF(AND(Projects!$G$18="Yes",72&gt;=Projects!$C$18,72&lt;Projects!$C$18+Projects!$D$18),Projects!$B$18*INDEX(Curves!$B$4:$AR$4,1,72-Projects!$C$18+1),0)+IF(AND(Projects!$G$19="Yes",72&gt;=Projects!$C$19,72&lt;Projects!$C$19+Projects!$D$19),Projects!$B$19*INDEX(Curves!$B$4:$AR$4,1,72-Projects!$C$19+1),0)+IF(AND(Projects!$G$20="Yes",72&gt;=Projects!$C$20,72&lt;Projects!$C$20+Projects!$D$20),Projects!$B$20*INDEX(Curves!$B$4:$AR$4,1,72-Projects!$C$20+1),0)+IF(AND(Projects!$G$21="Yes",72&gt;=Projects!$C$21,72&lt;Projects!$C$21+Projects!$D$21),Projects!$B$21*INDEX(Curves!$B$4:$AR$4,1,72-Projects!$C$21+1),0)+IF(AND(Projects!$G$22="Yes",72&gt;=Projects!$C$22,72&lt;Projects!$C$22+Projects!$D$22),Projects!$B$22*INDEX(Curves!$B$4:$AR$4,1,72-Projects!$C$22+1),0)+IF(AND(Projects!$G$23="Yes",72&gt;=Projects!$C$23,72&lt;Projects!$C$23+Projects!$D$23),Projects!$B$23*INDEX(Curves!$B$4:$AR$4,1,72-Projects!$C$23+1),0)+IF(AND(Projects!$G$24="Yes",72&gt;=Projects!$C$24,72&lt;Projects!$C$24+Projects!$D$24),Projects!$B$24*INDEX(Curves!$B$4:$AR$4,1,72-Projects!$C$24+1),0)+IF(AND(Projects!$G$25="Yes",72&gt;=Projects!$C$25,72&lt;Projects!$C$25+Projects!$D$25),Projects!$B$25*INDEX(Curves!$B$4:$AR$4,1,72-Projects!$C$25+1),0)+IF(AND(Projects!$G$26="Yes",72&gt;=Projects!$C$26,72&lt;Projects!$C$26+Projects!$D$26),Projects!$B$26*INDEX(Curves!$B$4:$AR$4,1,72-Projects!$C$26+1),0)+IF(AND(Projects!$G$27="Yes",72&gt;=Projects!$C$27,72&lt;Projects!$C$27+Projects!$D$27),Projects!$B$27*INDEX(Curves!$B$4:$AR$4,1,72-Projects!$C$27+1),0)+IF(AND(Projects!$G$28="Yes",72&gt;=Projects!$C$28,72&lt;Projects!$C$28+Projects!$D$28),Projects!$B$28*INDEX(Curves!$B$4:$AR$4,1,72-Projects!$C$28+1),0)+IF(AND(Projects!$G$29="Yes",72&gt;=Projects!$C$29,72&lt;Projects!$C$29+Projects!$D$29),Projects!$B$29*INDEX(Curves!$B$4:$AR$4,1,72-Projects!$C$29+1),0)+IF(AND(Projects!$G$30="Yes",72&gt;=Projects!$C$30,72&lt;Projects!$C$30+Projects!$D$30),Projects!$B$30*INDEX(Curves!$B$4:$AR$4,1,72-Projects!$C$30+1),0)+IF(AND(Projects!$G$31="Yes",72&gt;=Projects!$C$31,72&lt;Projects!$C$31+Projects!$D$31),Projects!$B$31*INDEX(Curves!$B$4:$AR$4,1,72-Projects!$C$31+1),0)+IF(AND(Projects!$G$32="Yes",72&gt;=Projects!$C$32,72&lt;Projects!$C$32+Projects!$D$32),Projects!$B$32*INDEX(Curves!$B$4:$AR$4,1,72-Projects!$C$32+1),0)+IF(AND(Projects!$G$33="Yes",72&gt;=Projects!$C$33,72&lt;Projects!$C$33+Projects!$D$33),Projects!$B$33*INDEX(Curves!$B$4:$AR$4,1,72-Projects!$C$33+1),0)+IF(AND(Projects!$G$34="Yes",72&gt;=Projects!$C$34,72&lt;Projects!$C$34+Projects!$D$34),Projects!$B$34*INDEX(Curves!$B$4:$AR$4,1,72-Projects!$C$34+1),0)+IF(AND(Projects!$G$35="Yes",72&gt;=Projects!$C$35,72&lt;Projects!$C$35+Projects!$D$35),Projects!$B$35*INDEX(Curves!$B$4:$AR$4,1,72-Projects!$C$35+1),0)+IF(AND(Projects!$G$36="Yes",72&gt;=Projects!$C$36,72&lt;Projects!$C$36+Projects!$D$36),Projects!$B$36*INDEX(Curves!$B$4:$AR$4,1,72-Projects!$C$36+1),0)+IF(AND(Projects!$G$37="Yes",72&gt;=Projects!$C$37,72&lt;Projects!$C$37+Projects!$D$37),Projects!$B$37*INDEX(Curves!$B$4:$AR$4,1,72-Projects!$C$37+1),0)+IF(AND(Projects!$G$38="Yes",72&gt;=Projects!$C$38,72&lt;Projects!$C$38+Projects!$D$38),Projects!$B$38*INDEX(Curves!$B$4:$AR$4,1,72-Projects!$C$38+1),0)+IF(AND(Projects!$G$39="Yes",72&gt;=Projects!$C$39,72&lt;Projects!$C$39+Projects!$D$39),Projects!$B$39*INDEX(Curves!$B$4:$AR$4,1,72-Projects!$C$39+1),0)+IF(AND(Projects!$G$40="Yes",72&gt;=Projects!$C$40,72&lt;Projects!$C$40+Projects!$D$40),Projects!$B$40*INDEX(Curves!$B$4:$AR$4,1,72-Projects!$C$40+1),0)+IF(AND(Projects!$G$41="Yes",72&gt;=Projects!$C$41,72&lt;Projects!$C$41+Projects!$D$41),Projects!$B$41*INDEX(Curves!$B$4:$AR$4,1,72-Projects!$C$41+1),0)+IF(AND(Projects!$G$42="Yes",72&gt;=Projects!$C$42,72&lt;Projects!$C$42+Projects!$D$42),Projects!$B$42*INDEX(Curves!$B$4:$AR$4,1,72-Projects!$C$42+1),0)+IF(AND(Projects!$G$43="Yes",72&gt;=Projects!$C$43,72&lt;Projects!$C$43+Projects!$D$43),Projects!$B$43*INDEX(Curves!$B$4:$AR$4,1,72-Projects!$C$43+1),0)+IF(AND(Projects!$G$44="Yes",72&gt;=Projects!$C$44,72&lt;Projects!$C$44+Projects!$D$44),Projects!$B$44*INDEX(Curves!$B$4:$AR$4,1,72-Projects!$C$44+1),0)+IF(AND(Projects!$G$45="Yes",72&gt;=Projects!$C$45,72&lt;Projects!$C$45+Projects!$D$45),Projects!$B$45*INDEX(Curves!$B$4:$AR$4,1,72-Projects!$C$45+1),0)+IF(AND(Projects!$G$46="Yes",72&gt;=Projects!$C$46,72&lt;Projects!$C$46+Projects!$D$46),Projects!$B$46*INDEX(Curves!$B$4:$AR$4,1,72-Projects!$C$46+1),0)</f>
        <v>1579683</v>
      </c>
      <c r="BZ96" s="313" t="n">
        <f aca="false">IF(AND(Projects!$G$17="Yes",73&gt;=Projects!$C$17,73&lt;Projects!$C$17+Projects!$D$17),Projects!$B$17*INDEX(Curves!$B$4:$AR$4,1,73-Projects!$C$17+1),0)+IF(AND(Projects!$G$18="Yes",73&gt;=Projects!$C$18,73&lt;Projects!$C$18+Projects!$D$18),Projects!$B$18*INDEX(Curves!$B$4:$AR$4,1,73-Projects!$C$18+1),0)+IF(AND(Projects!$G$19="Yes",73&gt;=Projects!$C$19,73&lt;Projects!$C$19+Projects!$D$19),Projects!$B$19*INDEX(Curves!$B$4:$AR$4,1,73-Projects!$C$19+1),0)+IF(AND(Projects!$G$20="Yes",73&gt;=Projects!$C$20,73&lt;Projects!$C$20+Projects!$D$20),Projects!$B$20*INDEX(Curves!$B$4:$AR$4,1,73-Projects!$C$20+1),0)+IF(AND(Projects!$G$21="Yes",73&gt;=Projects!$C$21,73&lt;Projects!$C$21+Projects!$D$21),Projects!$B$21*INDEX(Curves!$B$4:$AR$4,1,73-Projects!$C$21+1),0)+IF(AND(Projects!$G$22="Yes",73&gt;=Projects!$C$22,73&lt;Projects!$C$22+Projects!$D$22),Projects!$B$22*INDEX(Curves!$B$4:$AR$4,1,73-Projects!$C$22+1),0)+IF(AND(Projects!$G$23="Yes",73&gt;=Projects!$C$23,73&lt;Projects!$C$23+Projects!$D$23),Projects!$B$23*INDEX(Curves!$B$4:$AR$4,1,73-Projects!$C$23+1),0)+IF(AND(Projects!$G$24="Yes",73&gt;=Projects!$C$24,73&lt;Projects!$C$24+Projects!$D$24),Projects!$B$24*INDEX(Curves!$B$4:$AR$4,1,73-Projects!$C$24+1),0)+IF(AND(Projects!$G$25="Yes",73&gt;=Projects!$C$25,73&lt;Projects!$C$25+Projects!$D$25),Projects!$B$25*INDEX(Curves!$B$4:$AR$4,1,73-Projects!$C$25+1),0)+IF(AND(Projects!$G$26="Yes",73&gt;=Projects!$C$26,73&lt;Projects!$C$26+Projects!$D$26),Projects!$B$26*INDEX(Curves!$B$4:$AR$4,1,73-Projects!$C$26+1),0)+IF(AND(Projects!$G$27="Yes",73&gt;=Projects!$C$27,73&lt;Projects!$C$27+Projects!$D$27),Projects!$B$27*INDEX(Curves!$B$4:$AR$4,1,73-Projects!$C$27+1),0)+IF(AND(Projects!$G$28="Yes",73&gt;=Projects!$C$28,73&lt;Projects!$C$28+Projects!$D$28),Projects!$B$28*INDEX(Curves!$B$4:$AR$4,1,73-Projects!$C$28+1),0)+IF(AND(Projects!$G$29="Yes",73&gt;=Projects!$C$29,73&lt;Projects!$C$29+Projects!$D$29),Projects!$B$29*INDEX(Curves!$B$4:$AR$4,1,73-Projects!$C$29+1),0)+IF(AND(Projects!$G$30="Yes",73&gt;=Projects!$C$30,73&lt;Projects!$C$30+Projects!$D$30),Projects!$B$30*INDEX(Curves!$B$4:$AR$4,1,73-Projects!$C$30+1),0)+IF(AND(Projects!$G$31="Yes",73&gt;=Projects!$C$31,73&lt;Projects!$C$31+Projects!$D$31),Projects!$B$31*INDEX(Curves!$B$4:$AR$4,1,73-Projects!$C$31+1),0)+IF(AND(Projects!$G$32="Yes",73&gt;=Projects!$C$32,73&lt;Projects!$C$32+Projects!$D$32),Projects!$B$32*INDEX(Curves!$B$4:$AR$4,1,73-Projects!$C$32+1),0)+IF(AND(Projects!$G$33="Yes",73&gt;=Projects!$C$33,73&lt;Projects!$C$33+Projects!$D$33),Projects!$B$33*INDEX(Curves!$B$4:$AR$4,1,73-Projects!$C$33+1),0)+IF(AND(Projects!$G$34="Yes",73&gt;=Projects!$C$34,73&lt;Projects!$C$34+Projects!$D$34),Projects!$B$34*INDEX(Curves!$B$4:$AR$4,1,73-Projects!$C$34+1),0)+IF(AND(Projects!$G$35="Yes",73&gt;=Projects!$C$35,73&lt;Projects!$C$35+Projects!$D$35),Projects!$B$35*INDEX(Curves!$B$4:$AR$4,1,73-Projects!$C$35+1),0)+IF(AND(Projects!$G$36="Yes",73&gt;=Projects!$C$36,73&lt;Projects!$C$36+Projects!$D$36),Projects!$B$36*INDEX(Curves!$B$4:$AR$4,1,73-Projects!$C$36+1),0)+IF(AND(Projects!$G$37="Yes",73&gt;=Projects!$C$37,73&lt;Projects!$C$37+Projects!$D$37),Projects!$B$37*INDEX(Curves!$B$4:$AR$4,1,73-Projects!$C$37+1),0)+IF(AND(Projects!$G$38="Yes",73&gt;=Projects!$C$38,73&lt;Projects!$C$38+Projects!$D$38),Projects!$B$38*INDEX(Curves!$B$4:$AR$4,1,73-Projects!$C$38+1),0)+IF(AND(Projects!$G$39="Yes",73&gt;=Projects!$C$39,73&lt;Projects!$C$39+Projects!$D$39),Projects!$B$39*INDEX(Curves!$B$4:$AR$4,1,73-Projects!$C$39+1),0)+IF(AND(Projects!$G$40="Yes",73&gt;=Projects!$C$40,73&lt;Projects!$C$40+Projects!$D$40),Projects!$B$40*INDEX(Curves!$B$4:$AR$4,1,73-Projects!$C$40+1),0)+IF(AND(Projects!$G$41="Yes",73&gt;=Projects!$C$41,73&lt;Projects!$C$41+Projects!$D$41),Projects!$B$41*INDEX(Curves!$B$4:$AR$4,1,73-Projects!$C$41+1),0)+IF(AND(Projects!$G$42="Yes",73&gt;=Projects!$C$42,73&lt;Projects!$C$42+Projects!$D$42),Projects!$B$42*INDEX(Curves!$B$4:$AR$4,1,73-Projects!$C$42+1),0)+IF(AND(Projects!$G$43="Yes",73&gt;=Projects!$C$43,73&lt;Projects!$C$43+Projects!$D$43),Projects!$B$43*INDEX(Curves!$B$4:$AR$4,1,73-Projects!$C$43+1),0)+IF(AND(Projects!$G$44="Yes",73&gt;=Projects!$C$44,73&lt;Projects!$C$44+Projects!$D$44),Projects!$B$44*INDEX(Curves!$B$4:$AR$4,1,73-Projects!$C$44+1),0)+IF(AND(Projects!$G$45="Yes",73&gt;=Projects!$C$45,73&lt;Projects!$C$45+Projects!$D$45),Projects!$B$45*INDEX(Curves!$B$4:$AR$4,1,73-Projects!$C$45+1),0)+IF(AND(Projects!$G$46="Yes",73&gt;=Projects!$C$46,73&lt;Projects!$C$46+Projects!$D$46),Projects!$B$46*INDEX(Curves!$B$4:$AR$4,1,73-Projects!$C$46+1),0)</f>
        <v>968721</v>
      </c>
      <c r="CA96" s="313" t="n">
        <f aca="false">IF(AND(Projects!$G$17="Yes",74&gt;=Projects!$C$17,74&lt;Projects!$C$17+Projects!$D$17),Projects!$B$17*INDEX(Curves!$B$4:$AR$4,1,74-Projects!$C$17+1),0)+IF(AND(Projects!$G$18="Yes",74&gt;=Projects!$C$18,74&lt;Projects!$C$18+Projects!$D$18),Projects!$B$18*INDEX(Curves!$B$4:$AR$4,1,74-Projects!$C$18+1),0)+IF(AND(Projects!$G$19="Yes",74&gt;=Projects!$C$19,74&lt;Projects!$C$19+Projects!$D$19),Projects!$B$19*INDEX(Curves!$B$4:$AR$4,1,74-Projects!$C$19+1),0)+IF(AND(Projects!$G$20="Yes",74&gt;=Projects!$C$20,74&lt;Projects!$C$20+Projects!$D$20),Projects!$B$20*INDEX(Curves!$B$4:$AR$4,1,74-Projects!$C$20+1),0)+IF(AND(Projects!$G$21="Yes",74&gt;=Projects!$C$21,74&lt;Projects!$C$21+Projects!$D$21),Projects!$B$21*INDEX(Curves!$B$4:$AR$4,1,74-Projects!$C$21+1),0)+IF(AND(Projects!$G$22="Yes",74&gt;=Projects!$C$22,74&lt;Projects!$C$22+Projects!$D$22),Projects!$B$22*INDEX(Curves!$B$4:$AR$4,1,74-Projects!$C$22+1),0)+IF(AND(Projects!$G$23="Yes",74&gt;=Projects!$C$23,74&lt;Projects!$C$23+Projects!$D$23),Projects!$B$23*INDEX(Curves!$B$4:$AR$4,1,74-Projects!$C$23+1),0)+IF(AND(Projects!$G$24="Yes",74&gt;=Projects!$C$24,74&lt;Projects!$C$24+Projects!$D$24),Projects!$B$24*INDEX(Curves!$B$4:$AR$4,1,74-Projects!$C$24+1),0)+IF(AND(Projects!$G$25="Yes",74&gt;=Projects!$C$25,74&lt;Projects!$C$25+Projects!$D$25),Projects!$B$25*INDEX(Curves!$B$4:$AR$4,1,74-Projects!$C$25+1),0)+IF(AND(Projects!$G$26="Yes",74&gt;=Projects!$C$26,74&lt;Projects!$C$26+Projects!$D$26),Projects!$B$26*INDEX(Curves!$B$4:$AR$4,1,74-Projects!$C$26+1),0)+IF(AND(Projects!$G$27="Yes",74&gt;=Projects!$C$27,74&lt;Projects!$C$27+Projects!$D$27),Projects!$B$27*INDEX(Curves!$B$4:$AR$4,1,74-Projects!$C$27+1),0)+IF(AND(Projects!$G$28="Yes",74&gt;=Projects!$C$28,74&lt;Projects!$C$28+Projects!$D$28),Projects!$B$28*INDEX(Curves!$B$4:$AR$4,1,74-Projects!$C$28+1),0)+IF(AND(Projects!$G$29="Yes",74&gt;=Projects!$C$29,74&lt;Projects!$C$29+Projects!$D$29),Projects!$B$29*INDEX(Curves!$B$4:$AR$4,1,74-Projects!$C$29+1),0)+IF(AND(Projects!$G$30="Yes",74&gt;=Projects!$C$30,74&lt;Projects!$C$30+Projects!$D$30),Projects!$B$30*INDEX(Curves!$B$4:$AR$4,1,74-Projects!$C$30+1),0)+IF(AND(Projects!$G$31="Yes",74&gt;=Projects!$C$31,74&lt;Projects!$C$31+Projects!$D$31),Projects!$B$31*INDEX(Curves!$B$4:$AR$4,1,74-Projects!$C$31+1),0)+IF(AND(Projects!$G$32="Yes",74&gt;=Projects!$C$32,74&lt;Projects!$C$32+Projects!$D$32),Projects!$B$32*INDEX(Curves!$B$4:$AR$4,1,74-Projects!$C$32+1),0)+IF(AND(Projects!$G$33="Yes",74&gt;=Projects!$C$33,74&lt;Projects!$C$33+Projects!$D$33),Projects!$B$33*INDEX(Curves!$B$4:$AR$4,1,74-Projects!$C$33+1),0)+IF(AND(Projects!$G$34="Yes",74&gt;=Projects!$C$34,74&lt;Projects!$C$34+Projects!$D$34),Projects!$B$34*INDEX(Curves!$B$4:$AR$4,1,74-Projects!$C$34+1),0)+IF(AND(Projects!$G$35="Yes",74&gt;=Projects!$C$35,74&lt;Projects!$C$35+Projects!$D$35),Projects!$B$35*INDEX(Curves!$B$4:$AR$4,1,74-Projects!$C$35+1),0)+IF(AND(Projects!$G$36="Yes",74&gt;=Projects!$C$36,74&lt;Projects!$C$36+Projects!$D$36),Projects!$B$36*INDEX(Curves!$B$4:$AR$4,1,74-Projects!$C$36+1),0)+IF(AND(Projects!$G$37="Yes",74&gt;=Projects!$C$37,74&lt;Projects!$C$37+Projects!$D$37),Projects!$B$37*INDEX(Curves!$B$4:$AR$4,1,74-Projects!$C$37+1),0)+IF(AND(Projects!$G$38="Yes",74&gt;=Projects!$C$38,74&lt;Projects!$C$38+Projects!$D$38),Projects!$B$38*INDEX(Curves!$B$4:$AR$4,1,74-Projects!$C$38+1),0)+IF(AND(Projects!$G$39="Yes",74&gt;=Projects!$C$39,74&lt;Projects!$C$39+Projects!$D$39),Projects!$B$39*INDEX(Curves!$B$4:$AR$4,1,74-Projects!$C$39+1),0)+IF(AND(Projects!$G$40="Yes",74&gt;=Projects!$C$40,74&lt;Projects!$C$40+Projects!$D$40),Projects!$B$40*INDEX(Curves!$B$4:$AR$4,1,74-Projects!$C$40+1),0)+IF(AND(Projects!$G$41="Yes",74&gt;=Projects!$C$41,74&lt;Projects!$C$41+Projects!$D$41),Projects!$B$41*INDEX(Curves!$B$4:$AR$4,1,74-Projects!$C$41+1),0)+IF(AND(Projects!$G$42="Yes",74&gt;=Projects!$C$42,74&lt;Projects!$C$42+Projects!$D$42),Projects!$B$42*INDEX(Curves!$B$4:$AR$4,1,74-Projects!$C$42+1),0)+IF(AND(Projects!$G$43="Yes",74&gt;=Projects!$C$43,74&lt;Projects!$C$43+Projects!$D$43),Projects!$B$43*INDEX(Curves!$B$4:$AR$4,1,74-Projects!$C$43+1),0)+IF(AND(Projects!$G$44="Yes",74&gt;=Projects!$C$44,74&lt;Projects!$C$44+Projects!$D$44),Projects!$B$44*INDEX(Curves!$B$4:$AR$4,1,74-Projects!$C$44+1),0)+IF(AND(Projects!$G$45="Yes",74&gt;=Projects!$C$45,74&lt;Projects!$C$45+Projects!$D$45),Projects!$B$45*INDEX(Curves!$B$4:$AR$4,1,74-Projects!$C$45+1),0)+IF(AND(Projects!$G$46="Yes",74&gt;=Projects!$C$46,74&lt;Projects!$C$46+Projects!$D$46),Projects!$B$46*INDEX(Curves!$B$4:$AR$4,1,74-Projects!$C$46+1),0)</f>
        <v>397755</v>
      </c>
      <c r="CB96" s="313" t="n">
        <f aca="false">IF(AND(Projects!$G$17="Yes",75&gt;=Projects!$C$17,75&lt;Projects!$C$17+Projects!$D$17),Projects!$B$17*INDEX(Curves!$B$4:$AR$4,1,75-Projects!$C$17+1),0)+IF(AND(Projects!$G$18="Yes",75&gt;=Projects!$C$18,75&lt;Projects!$C$18+Projects!$D$18),Projects!$B$18*INDEX(Curves!$B$4:$AR$4,1,75-Projects!$C$18+1),0)+IF(AND(Projects!$G$19="Yes",75&gt;=Projects!$C$19,75&lt;Projects!$C$19+Projects!$D$19),Projects!$B$19*INDEX(Curves!$B$4:$AR$4,1,75-Projects!$C$19+1),0)+IF(AND(Projects!$G$20="Yes",75&gt;=Projects!$C$20,75&lt;Projects!$C$20+Projects!$D$20),Projects!$B$20*INDEX(Curves!$B$4:$AR$4,1,75-Projects!$C$20+1),0)+IF(AND(Projects!$G$21="Yes",75&gt;=Projects!$C$21,75&lt;Projects!$C$21+Projects!$D$21),Projects!$B$21*INDEX(Curves!$B$4:$AR$4,1,75-Projects!$C$21+1),0)+IF(AND(Projects!$G$22="Yes",75&gt;=Projects!$C$22,75&lt;Projects!$C$22+Projects!$D$22),Projects!$B$22*INDEX(Curves!$B$4:$AR$4,1,75-Projects!$C$22+1),0)+IF(AND(Projects!$G$23="Yes",75&gt;=Projects!$C$23,75&lt;Projects!$C$23+Projects!$D$23),Projects!$B$23*INDEX(Curves!$B$4:$AR$4,1,75-Projects!$C$23+1),0)+IF(AND(Projects!$G$24="Yes",75&gt;=Projects!$C$24,75&lt;Projects!$C$24+Projects!$D$24),Projects!$B$24*INDEX(Curves!$B$4:$AR$4,1,75-Projects!$C$24+1),0)+IF(AND(Projects!$G$25="Yes",75&gt;=Projects!$C$25,75&lt;Projects!$C$25+Projects!$D$25),Projects!$B$25*INDEX(Curves!$B$4:$AR$4,1,75-Projects!$C$25+1),0)+IF(AND(Projects!$G$26="Yes",75&gt;=Projects!$C$26,75&lt;Projects!$C$26+Projects!$D$26),Projects!$B$26*INDEX(Curves!$B$4:$AR$4,1,75-Projects!$C$26+1),0)+IF(AND(Projects!$G$27="Yes",75&gt;=Projects!$C$27,75&lt;Projects!$C$27+Projects!$D$27),Projects!$B$27*INDEX(Curves!$B$4:$AR$4,1,75-Projects!$C$27+1),0)+IF(AND(Projects!$G$28="Yes",75&gt;=Projects!$C$28,75&lt;Projects!$C$28+Projects!$D$28),Projects!$B$28*INDEX(Curves!$B$4:$AR$4,1,75-Projects!$C$28+1),0)+IF(AND(Projects!$G$29="Yes",75&gt;=Projects!$C$29,75&lt;Projects!$C$29+Projects!$D$29),Projects!$B$29*INDEX(Curves!$B$4:$AR$4,1,75-Projects!$C$29+1),0)+IF(AND(Projects!$G$30="Yes",75&gt;=Projects!$C$30,75&lt;Projects!$C$30+Projects!$D$30),Projects!$B$30*INDEX(Curves!$B$4:$AR$4,1,75-Projects!$C$30+1),0)+IF(AND(Projects!$G$31="Yes",75&gt;=Projects!$C$31,75&lt;Projects!$C$31+Projects!$D$31),Projects!$B$31*INDEX(Curves!$B$4:$AR$4,1,75-Projects!$C$31+1),0)+IF(AND(Projects!$G$32="Yes",75&gt;=Projects!$C$32,75&lt;Projects!$C$32+Projects!$D$32),Projects!$B$32*INDEX(Curves!$B$4:$AR$4,1,75-Projects!$C$32+1),0)+IF(AND(Projects!$G$33="Yes",75&gt;=Projects!$C$33,75&lt;Projects!$C$33+Projects!$D$33),Projects!$B$33*INDEX(Curves!$B$4:$AR$4,1,75-Projects!$C$33+1),0)+IF(AND(Projects!$G$34="Yes",75&gt;=Projects!$C$34,75&lt;Projects!$C$34+Projects!$D$34),Projects!$B$34*INDEX(Curves!$B$4:$AR$4,1,75-Projects!$C$34+1),0)+IF(AND(Projects!$G$35="Yes",75&gt;=Projects!$C$35,75&lt;Projects!$C$35+Projects!$D$35),Projects!$B$35*INDEX(Curves!$B$4:$AR$4,1,75-Projects!$C$35+1),0)+IF(AND(Projects!$G$36="Yes",75&gt;=Projects!$C$36,75&lt;Projects!$C$36+Projects!$D$36),Projects!$B$36*INDEX(Curves!$B$4:$AR$4,1,75-Projects!$C$36+1),0)+IF(AND(Projects!$G$37="Yes",75&gt;=Projects!$C$37,75&lt;Projects!$C$37+Projects!$D$37),Projects!$B$37*INDEX(Curves!$B$4:$AR$4,1,75-Projects!$C$37+1),0)+IF(AND(Projects!$G$38="Yes",75&gt;=Projects!$C$38,75&lt;Projects!$C$38+Projects!$D$38),Projects!$B$38*INDEX(Curves!$B$4:$AR$4,1,75-Projects!$C$38+1),0)+IF(AND(Projects!$G$39="Yes",75&gt;=Projects!$C$39,75&lt;Projects!$C$39+Projects!$D$39),Projects!$B$39*INDEX(Curves!$B$4:$AR$4,1,75-Projects!$C$39+1),0)+IF(AND(Projects!$G$40="Yes",75&gt;=Projects!$C$40,75&lt;Projects!$C$40+Projects!$D$40),Projects!$B$40*INDEX(Curves!$B$4:$AR$4,1,75-Projects!$C$40+1),0)+IF(AND(Projects!$G$41="Yes",75&gt;=Projects!$C$41,75&lt;Projects!$C$41+Projects!$D$41),Projects!$B$41*INDEX(Curves!$B$4:$AR$4,1,75-Projects!$C$41+1),0)+IF(AND(Projects!$G$42="Yes",75&gt;=Projects!$C$42,75&lt;Projects!$C$42+Projects!$D$42),Projects!$B$42*INDEX(Curves!$B$4:$AR$4,1,75-Projects!$C$42+1),0)+IF(AND(Projects!$G$43="Yes",75&gt;=Projects!$C$43,75&lt;Projects!$C$43+Projects!$D$43),Projects!$B$43*INDEX(Curves!$B$4:$AR$4,1,75-Projects!$C$43+1),0)+IF(AND(Projects!$G$44="Yes",75&gt;=Projects!$C$44,75&lt;Projects!$C$44+Projects!$D$44),Projects!$B$44*INDEX(Curves!$B$4:$AR$4,1,75-Projects!$C$44+1),0)+IF(AND(Projects!$G$45="Yes",75&gt;=Projects!$C$45,75&lt;Projects!$C$45+Projects!$D$45),Projects!$B$45*INDEX(Curves!$B$4:$AR$4,1,75-Projects!$C$45+1),0)+IF(AND(Projects!$G$46="Yes",75&gt;=Projects!$C$46,75&lt;Projects!$C$46+Projects!$D$46),Projects!$B$46*INDEX(Curves!$B$4:$AR$4,1,75-Projects!$C$46+1),0)</f>
        <v>0</v>
      </c>
      <c r="CC96" s="313" t="n">
        <f aca="false">IF(AND(Projects!$G$17="Yes",76&gt;=Projects!$C$17,76&lt;Projects!$C$17+Projects!$D$17),Projects!$B$17*INDEX(Curves!$B$4:$AR$4,1,76-Projects!$C$17+1),0)+IF(AND(Projects!$G$18="Yes",76&gt;=Projects!$C$18,76&lt;Projects!$C$18+Projects!$D$18),Projects!$B$18*INDEX(Curves!$B$4:$AR$4,1,76-Projects!$C$18+1),0)+IF(AND(Projects!$G$19="Yes",76&gt;=Projects!$C$19,76&lt;Projects!$C$19+Projects!$D$19),Projects!$B$19*INDEX(Curves!$B$4:$AR$4,1,76-Projects!$C$19+1),0)+IF(AND(Projects!$G$20="Yes",76&gt;=Projects!$C$20,76&lt;Projects!$C$20+Projects!$D$20),Projects!$B$20*INDEX(Curves!$B$4:$AR$4,1,76-Projects!$C$20+1),0)+IF(AND(Projects!$G$21="Yes",76&gt;=Projects!$C$21,76&lt;Projects!$C$21+Projects!$D$21),Projects!$B$21*INDEX(Curves!$B$4:$AR$4,1,76-Projects!$C$21+1),0)+IF(AND(Projects!$G$22="Yes",76&gt;=Projects!$C$22,76&lt;Projects!$C$22+Projects!$D$22),Projects!$B$22*INDEX(Curves!$B$4:$AR$4,1,76-Projects!$C$22+1),0)+IF(AND(Projects!$G$23="Yes",76&gt;=Projects!$C$23,76&lt;Projects!$C$23+Projects!$D$23),Projects!$B$23*INDEX(Curves!$B$4:$AR$4,1,76-Projects!$C$23+1),0)+IF(AND(Projects!$G$24="Yes",76&gt;=Projects!$C$24,76&lt;Projects!$C$24+Projects!$D$24),Projects!$B$24*INDEX(Curves!$B$4:$AR$4,1,76-Projects!$C$24+1),0)+IF(AND(Projects!$G$25="Yes",76&gt;=Projects!$C$25,76&lt;Projects!$C$25+Projects!$D$25),Projects!$B$25*INDEX(Curves!$B$4:$AR$4,1,76-Projects!$C$25+1),0)+IF(AND(Projects!$G$26="Yes",76&gt;=Projects!$C$26,76&lt;Projects!$C$26+Projects!$D$26),Projects!$B$26*INDEX(Curves!$B$4:$AR$4,1,76-Projects!$C$26+1),0)+IF(AND(Projects!$G$27="Yes",76&gt;=Projects!$C$27,76&lt;Projects!$C$27+Projects!$D$27),Projects!$B$27*INDEX(Curves!$B$4:$AR$4,1,76-Projects!$C$27+1),0)+IF(AND(Projects!$G$28="Yes",76&gt;=Projects!$C$28,76&lt;Projects!$C$28+Projects!$D$28),Projects!$B$28*INDEX(Curves!$B$4:$AR$4,1,76-Projects!$C$28+1),0)+IF(AND(Projects!$G$29="Yes",76&gt;=Projects!$C$29,76&lt;Projects!$C$29+Projects!$D$29),Projects!$B$29*INDEX(Curves!$B$4:$AR$4,1,76-Projects!$C$29+1),0)+IF(AND(Projects!$G$30="Yes",76&gt;=Projects!$C$30,76&lt;Projects!$C$30+Projects!$D$30),Projects!$B$30*INDEX(Curves!$B$4:$AR$4,1,76-Projects!$C$30+1),0)+IF(AND(Projects!$G$31="Yes",76&gt;=Projects!$C$31,76&lt;Projects!$C$31+Projects!$D$31),Projects!$B$31*INDEX(Curves!$B$4:$AR$4,1,76-Projects!$C$31+1),0)+IF(AND(Projects!$G$32="Yes",76&gt;=Projects!$C$32,76&lt;Projects!$C$32+Projects!$D$32),Projects!$B$32*INDEX(Curves!$B$4:$AR$4,1,76-Projects!$C$32+1),0)+IF(AND(Projects!$G$33="Yes",76&gt;=Projects!$C$33,76&lt;Projects!$C$33+Projects!$D$33),Projects!$B$33*INDEX(Curves!$B$4:$AR$4,1,76-Projects!$C$33+1),0)+IF(AND(Projects!$G$34="Yes",76&gt;=Projects!$C$34,76&lt;Projects!$C$34+Projects!$D$34),Projects!$B$34*INDEX(Curves!$B$4:$AR$4,1,76-Projects!$C$34+1),0)+IF(AND(Projects!$G$35="Yes",76&gt;=Projects!$C$35,76&lt;Projects!$C$35+Projects!$D$35),Projects!$B$35*INDEX(Curves!$B$4:$AR$4,1,76-Projects!$C$35+1),0)+IF(AND(Projects!$G$36="Yes",76&gt;=Projects!$C$36,76&lt;Projects!$C$36+Projects!$D$36),Projects!$B$36*INDEX(Curves!$B$4:$AR$4,1,76-Projects!$C$36+1),0)+IF(AND(Projects!$G$37="Yes",76&gt;=Projects!$C$37,76&lt;Projects!$C$37+Projects!$D$37),Projects!$B$37*INDEX(Curves!$B$4:$AR$4,1,76-Projects!$C$37+1),0)+IF(AND(Projects!$G$38="Yes",76&gt;=Projects!$C$38,76&lt;Projects!$C$38+Projects!$D$38),Projects!$B$38*INDEX(Curves!$B$4:$AR$4,1,76-Projects!$C$38+1),0)+IF(AND(Projects!$G$39="Yes",76&gt;=Projects!$C$39,76&lt;Projects!$C$39+Projects!$D$39),Projects!$B$39*INDEX(Curves!$B$4:$AR$4,1,76-Projects!$C$39+1),0)+IF(AND(Projects!$G$40="Yes",76&gt;=Projects!$C$40,76&lt;Projects!$C$40+Projects!$D$40),Projects!$B$40*INDEX(Curves!$B$4:$AR$4,1,76-Projects!$C$40+1),0)+IF(AND(Projects!$G$41="Yes",76&gt;=Projects!$C$41,76&lt;Projects!$C$41+Projects!$D$41),Projects!$B$41*INDEX(Curves!$B$4:$AR$4,1,76-Projects!$C$41+1),0)+IF(AND(Projects!$G$42="Yes",76&gt;=Projects!$C$42,76&lt;Projects!$C$42+Projects!$D$42),Projects!$B$42*INDEX(Curves!$B$4:$AR$4,1,76-Projects!$C$42+1),0)+IF(AND(Projects!$G$43="Yes",76&gt;=Projects!$C$43,76&lt;Projects!$C$43+Projects!$D$43),Projects!$B$43*INDEX(Curves!$B$4:$AR$4,1,76-Projects!$C$43+1),0)+IF(AND(Projects!$G$44="Yes",76&gt;=Projects!$C$44,76&lt;Projects!$C$44+Projects!$D$44),Projects!$B$44*INDEX(Curves!$B$4:$AR$4,1,76-Projects!$C$44+1),0)+IF(AND(Projects!$G$45="Yes",76&gt;=Projects!$C$45,76&lt;Projects!$C$45+Projects!$D$45),Projects!$B$45*INDEX(Curves!$B$4:$AR$4,1,76-Projects!$C$45+1),0)+IF(AND(Projects!$G$46="Yes",76&gt;=Projects!$C$46,76&lt;Projects!$C$46+Projects!$D$46),Projects!$B$46*INDEX(Curves!$B$4:$AR$4,1,76-Projects!$C$46+1),0)</f>
        <v>0</v>
      </c>
      <c r="CD96" s="313" t="n">
        <f aca="false">IF(AND(Projects!$G$17="Yes",77&gt;=Projects!$C$17,77&lt;Projects!$C$17+Projects!$D$17),Projects!$B$17*INDEX(Curves!$B$4:$AR$4,1,77-Projects!$C$17+1),0)+IF(AND(Projects!$G$18="Yes",77&gt;=Projects!$C$18,77&lt;Projects!$C$18+Projects!$D$18),Projects!$B$18*INDEX(Curves!$B$4:$AR$4,1,77-Projects!$C$18+1),0)+IF(AND(Projects!$G$19="Yes",77&gt;=Projects!$C$19,77&lt;Projects!$C$19+Projects!$D$19),Projects!$B$19*INDEX(Curves!$B$4:$AR$4,1,77-Projects!$C$19+1),0)+IF(AND(Projects!$G$20="Yes",77&gt;=Projects!$C$20,77&lt;Projects!$C$20+Projects!$D$20),Projects!$B$20*INDEX(Curves!$B$4:$AR$4,1,77-Projects!$C$20+1),0)+IF(AND(Projects!$G$21="Yes",77&gt;=Projects!$C$21,77&lt;Projects!$C$21+Projects!$D$21),Projects!$B$21*INDEX(Curves!$B$4:$AR$4,1,77-Projects!$C$21+1),0)+IF(AND(Projects!$G$22="Yes",77&gt;=Projects!$C$22,77&lt;Projects!$C$22+Projects!$D$22),Projects!$B$22*INDEX(Curves!$B$4:$AR$4,1,77-Projects!$C$22+1),0)+IF(AND(Projects!$G$23="Yes",77&gt;=Projects!$C$23,77&lt;Projects!$C$23+Projects!$D$23),Projects!$B$23*INDEX(Curves!$B$4:$AR$4,1,77-Projects!$C$23+1),0)+IF(AND(Projects!$G$24="Yes",77&gt;=Projects!$C$24,77&lt;Projects!$C$24+Projects!$D$24),Projects!$B$24*INDEX(Curves!$B$4:$AR$4,1,77-Projects!$C$24+1),0)+IF(AND(Projects!$G$25="Yes",77&gt;=Projects!$C$25,77&lt;Projects!$C$25+Projects!$D$25),Projects!$B$25*INDEX(Curves!$B$4:$AR$4,1,77-Projects!$C$25+1),0)+IF(AND(Projects!$G$26="Yes",77&gt;=Projects!$C$26,77&lt;Projects!$C$26+Projects!$D$26),Projects!$B$26*INDEX(Curves!$B$4:$AR$4,1,77-Projects!$C$26+1),0)+IF(AND(Projects!$G$27="Yes",77&gt;=Projects!$C$27,77&lt;Projects!$C$27+Projects!$D$27),Projects!$B$27*INDEX(Curves!$B$4:$AR$4,1,77-Projects!$C$27+1),0)+IF(AND(Projects!$G$28="Yes",77&gt;=Projects!$C$28,77&lt;Projects!$C$28+Projects!$D$28),Projects!$B$28*INDEX(Curves!$B$4:$AR$4,1,77-Projects!$C$28+1),0)+IF(AND(Projects!$G$29="Yes",77&gt;=Projects!$C$29,77&lt;Projects!$C$29+Projects!$D$29),Projects!$B$29*INDEX(Curves!$B$4:$AR$4,1,77-Projects!$C$29+1),0)+IF(AND(Projects!$G$30="Yes",77&gt;=Projects!$C$30,77&lt;Projects!$C$30+Projects!$D$30),Projects!$B$30*INDEX(Curves!$B$4:$AR$4,1,77-Projects!$C$30+1),0)+IF(AND(Projects!$G$31="Yes",77&gt;=Projects!$C$31,77&lt;Projects!$C$31+Projects!$D$31),Projects!$B$31*INDEX(Curves!$B$4:$AR$4,1,77-Projects!$C$31+1),0)+IF(AND(Projects!$G$32="Yes",77&gt;=Projects!$C$32,77&lt;Projects!$C$32+Projects!$D$32),Projects!$B$32*INDEX(Curves!$B$4:$AR$4,1,77-Projects!$C$32+1),0)+IF(AND(Projects!$G$33="Yes",77&gt;=Projects!$C$33,77&lt;Projects!$C$33+Projects!$D$33),Projects!$B$33*INDEX(Curves!$B$4:$AR$4,1,77-Projects!$C$33+1),0)+IF(AND(Projects!$G$34="Yes",77&gt;=Projects!$C$34,77&lt;Projects!$C$34+Projects!$D$34),Projects!$B$34*INDEX(Curves!$B$4:$AR$4,1,77-Projects!$C$34+1),0)+IF(AND(Projects!$G$35="Yes",77&gt;=Projects!$C$35,77&lt;Projects!$C$35+Projects!$D$35),Projects!$B$35*INDEX(Curves!$B$4:$AR$4,1,77-Projects!$C$35+1),0)+IF(AND(Projects!$G$36="Yes",77&gt;=Projects!$C$36,77&lt;Projects!$C$36+Projects!$D$36),Projects!$B$36*INDEX(Curves!$B$4:$AR$4,1,77-Projects!$C$36+1),0)+IF(AND(Projects!$G$37="Yes",77&gt;=Projects!$C$37,77&lt;Projects!$C$37+Projects!$D$37),Projects!$B$37*INDEX(Curves!$B$4:$AR$4,1,77-Projects!$C$37+1),0)+IF(AND(Projects!$G$38="Yes",77&gt;=Projects!$C$38,77&lt;Projects!$C$38+Projects!$D$38),Projects!$B$38*INDEX(Curves!$B$4:$AR$4,1,77-Projects!$C$38+1),0)+IF(AND(Projects!$G$39="Yes",77&gt;=Projects!$C$39,77&lt;Projects!$C$39+Projects!$D$39),Projects!$B$39*INDEX(Curves!$B$4:$AR$4,1,77-Projects!$C$39+1),0)+IF(AND(Projects!$G$40="Yes",77&gt;=Projects!$C$40,77&lt;Projects!$C$40+Projects!$D$40),Projects!$B$40*INDEX(Curves!$B$4:$AR$4,1,77-Projects!$C$40+1),0)+IF(AND(Projects!$G$41="Yes",77&gt;=Projects!$C$41,77&lt;Projects!$C$41+Projects!$D$41),Projects!$B$41*INDEX(Curves!$B$4:$AR$4,1,77-Projects!$C$41+1),0)+IF(AND(Projects!$G$42="Yes",77&gt;=Projects!$C$42,77&lt;Projects!$C$42+Projects!$D$42),Projects!$B$42*INDEX(Curves!$B$4:$AR$4,1,77-Projects!$C$42+1),0)+IF(AND(Projects!$G$43="Yes",77&gt;=Projects!$C$43,77&lt;Projects!$C$43+Projects!$D$43),Projects!$B$43*INDEX(Curves!$B$4:$AR$4,1,77-Projects!$C$43+1),0)+IF(AND(Projects!$G$44="Yes",77&gt;=Projects!$C$44,77&lt;Projects!$C$44+Projects!$D$44),Projects!$B$44*INDEX(Curves!$B$4:$AR$4,1,77-Projects!$C$44+1),0)+IF(AND(Projects!$G$45="Yes",77&gt;=Projects!$C$45,77&lt;Projects!$C$45+Projects!$D$45),Projects!$B$45*INDEX(Curves!$B$4:$AR$4,1,77-Projects!$C$45+1),0)+IF(AND(Projects!$G$46="Yes",77&gt;=Projects!$C$46,77&lt;Projects!$C$46+Projects!$D$46),Projects!$B$46*INDEX(Curves!$B$4:$AR$4,1,77-Projects!$C$46+1),0)</f>
        <v>0</v>
      </c>
      <c r="CE96" s="313" t="n">
        <f aca="false">IF(AND(Projects!$G$17="Yes",78&gt;=Projects!$C$17,78&lt;Projects!$C$17+Projects!$D$17),Projects!$B$17*INDEX(Curves!$B$4:$AR$4,1,78-Projects!$C$17+1),0)+IF(AND(Projects!$G$18="Yes",78&gt;=Projects!$C$18,78&lt;Projects!$C$18+Projects!$D$18),Projects!$B$18*INDEX(Curves!$B$4:$AR$4,1,78-Projects!$C$18+1),0)+IF(AND(Projects!$G$19="Yes",78&gt;=Projects!$C$19,78&lt;Projects!$C$19+Projects!$D$19),Projects!$B$19*INDEX(Curves!$B$4:$AR$4,1,78-Projects!$C$19+1),0)+IF(AND(Projects!$G$20="Yes",78&gt;=Projects!$C$20,78&lt;Projects!$C$20+Projects!$D$20),Projects!$B$20*INDEX(Curves!$B$4:$AR$4,1,78-Projects!$C$20+1),0)+IF(AND(Projects!$G$21="Yes",78&gt;=Projects!$C$21,78&lt;Projects!$C$21+Projects!$D$21),Projects!$B$21*INDEX(Curves!$B$4:$AR$4,1,78-Projects!$C$21+1),0)+IF(AND(Projects!$G$22="Yes",78&gt;=Projects!$C$22,78&lt;Projects!$C$22+Projects!$D$22),Projects!$B$22*INDEX(Curves!$B$4:$AR$4,1,78-Projects!$C$22+1),0)+IF(AND(Projects!$G$23="Yes",78&gt;=Projects!$C$23,78&lt;Projects!$C$23+Projects!$D$23),Projects!$B$23*INDEX(Curves!$B$4:$AR$4,1,78-Projects!$C$23+1),0)+IF(AND(Projects!$G$24="Yes",78&gt;=Projects!$C$24,78&lt;Projects!$C$24+Projects!$D$24),Projects!$B$24*INDEX(Curves!$B$4:$AR$4,1,78-Projects!$C$24+1),0)+IF(AND(Projects!$G$25="Yes",78&gt;=Projects!$C$25,78&lt;Projects!$C$25+Projects!$D$25),Projects!$B$25*INDEX(Curves!$B$4:$AR$4,1,78-Projects!$C$25+1),0)+IF(AND(Projects!$G$26="Yes",78&gt;=Projects!$C$26,78&lt;Projects!$C$26+Projects!$D$26),Projects!$B$26*INDEX(Curves!$B$4:$AR$4,1,78-Projects!$C$26+1),0)+IF(AND(Projects!$G$27="Yes",78&gt;=Projects!$C$27,78&lt;Projects!$C$27+Projects!$D$27),Projects!$B$27*INDEX(Curves!$B$4:$AR$4,1,78-Projects!$C$27+1),0)+IF(AND(Projects!$G$28="Yes",78&gt;=Projects!$C$28,78&lt;Projects!$C$28+Projects!$D$28),Projects!$B$28*INDEX(Curves!$B$4:$AR$4,1,78-Projects!$C$28+1),0)+IF(AND(Projects!$G$29="Yes",78&gt;=Projects!$C$29,78&lt;Projects!$C$29+Projects!$D$29),Projects!$B$29*INDEX(Curves!$B$4:$AR$4,1,78-Projects!$C$29+1),0)+IF(AND(Projects!$G$30="Yes",78&gt;=Projects!$C$30,78&lt;Projects!$C$30+Projects!$D$30),Projects!$B$30*INDEX(Curves!$B$4:$AR$4,1,78-Projects!$C$30+1),0)+IF(AND(Projects!$G$31="Yes",78&gt;=Projects!$C$31,78&lt;Projects!$C$31+Projects!$D$31),Projects!$B$31*INDEX(Curves!$B$4:$AR$4,1,78-Projects!$C$31+1),0)+IF(AND(Projects!$G$32="Yes",78&gt;=Projects!$C$32,78&lt;Projects!$C$32+Projects!$D$32),Projects!$B$32*INDEX(Curves!$B$4:$AR$4,1,78-Projects!$C$32+1),0)+IF(AND(Projects!$G$33="Yes",78&gt;=Projects!$C$33,78&lt;Projects!$C$33+Projects!$D$33),Projects!$B$33*INDEX(Curves!$B$4:$AR$4,1,78-Projects!$C$33+1),0)+IF(AND(Projects!$G$34="Yes",78&gt;=Projects!$C$34,78&lt;Projects!$C$34+Projects!$D$34),Projects!$B$34*INDEX(Curves!$B$4:$AR$4,1,78-Projects!$C$34+1),0)+IF(AND(Projects!$G$35="Yes",78&gt;=Projects!$C$35,78&lt;Projects!$C$35+Projects!$D$35),Projects!$B$35*INDEX(Curves!$B$4:$AR$4,1,78-Projects!$C$35+1),0)+IF(AND(Projects!$G$36="Yes",78&gt;=Projects!$C$36,78&lt;Projects!$C$36+Projects!$D$36),Projects!$B$36*INDEX(Curves!$B$4:$AR$4,1,78-Projects!$C$36+1),0)+IF(AND(Projects!$G$37="Yes",78&gt;=Projects!$C$37,78&lt;Projects!$C$37+Projects!$D$37),Projects!$B$37*INDEX(Curves!$B$4:$AR$4,1,78-Projects!$C$37+1),0)+IF(AND(Projects!$G$38="Yes",78&gt;=Projects!$C$38,78&lt;Projects!$C$38+Projects!$D$38),Projects!$B$38*INDEX(Curves!$B$4:$AR$4,1,78-Projects!$C$38+1),0)+IF(AND(Projects!$G$39="Yes",78&gt;=Projects!$C$39,78&lt;Projects!$C$39+Projects!$D$39),Projects!$B$39*INDEX(Curves!$B$4:$AR$4,1,78-Projects!$C$39+1),0)+IF(AND(Projects!$G$40="Yes",78&gt;=Projects!$C$40,78&lt;Projects!$C$40+Projects!$D$40),Projects!$B$40*INDEX(Curves!$B$4:$AR$4,1,78-Projects!$C$40+1),0)+IF(AND(Projects!$G$41="Yes",78&gt;=Projects!$C$41,78&lt;Projects!$C$41+Projects!$D$41),Projects!$B$41*INDEX(Curves!$B$4:$AR$4,1,78-Projects!$C$41+1),0)+IF(AND(Projects!$G$42="Yes",78&gt;=Projects!$C$42,78&lt;Projects!$C$42+Projects!$D$42),Projects!$B$42*INDEX(Curves!$B$4:$AR$4,1,78-Projects!$C$42+1),0)+IF(AND(Projects!$G$43="Yes",78&gt;=Projects!$C$43,78&lt;Projects!$C$43+Projects!$D$43),Projects!$B$43*INDEX(Curves!$B$4:$AR$4,1,78-Projects!$C$43+1),0)+IF(AND(Projects!$G$44="Yes",78&gt;=Projects!$C$44,78&lt;Projects!$C$44+Projects!$D$44),Projects!$B$44*INDEX(Curves!$B$4:$AR$4,1,78-Projects!$C$44+1),0)+IF(AND(Projects!$G$45="Yes",78&gt;=Projects!$C$45,78&lt;Projects!$C$45+Projects!$D$45),Projects!$B$45*INDEX(Curves!$B$4:$AR$4,1,78-Projects!$C$45+1),0)+IF(AND(Projects!$G$46="Yes",78&gt;=Projects!$C$46,78&lt;Projects!$C$46+Projects!$D$46),Projects!$B$46*INDEX(Curves!$B$4:$AR$4,1,78-Projects!$C$46+1),0)</f>
        <v>0</v>
      </c>
      <c r="CF96" s="313" t="n">
        <f aca="false">IF(AND(Projects!$G$17="Yes",79&gt;=Projects!$C$17,79&lt;Projects!$C$17+Projects!$D$17),Projects!$B$17*INDEX(Curves!$B$4:$AR$4,1,79-Projects!$C$17+1),0)+IF(AND(Projects!$G$18="Yes",79&gt;=Projects!$C$18,79&lt;Projects!$C$18+Projects!$D$18),Projects!$B$18*INDEX(Curves!$B$4:$AR$4,1,79-Projects!$C$18+1),0)+IF(AND(Projects!$G$19="Yes",79&gt;=Projects!$C$19,79&lt;Projects!$C$19+Projects!$D$19),Projects!$B$19*INDEX(Curves!$B$4:$AR$4,1,79-Projects!$C$19+1),0)+IF(AND(Projects!$G$20="Yes",79&gt;=Projects!$C$20,79&lt;Projects!$C$20+Projects!$D$20),Projects!$B$20*INDEX(Curves!$B$4:$AR$4,1,79-Projects!$C$20+1),0)+IF(AND(Projects!$G$21="Yes",79&gt;=Projects!$C$21,79&lt;Projects!$C$21+Projects!$D$21),Projects!$B$21*INDEX(Curves!$B$4:$AR$4,1,79-Projects!$C$21+1),0)+IF(AND(Projects!$G$22="Yes",79&gt;=Projects!$C$22,79&lt;Projects!$C$22+Projects!$D$22),Projects!$B$22*INDEX(Curves!$B$4:$AR$4,1,79-Projects!$C$22+1),0)+IF(AND(Projects!$G$23="Yes",79&gt;=Projects!$C$23,79&lt;Projects!$C$23+Projects!$D$23),Projects!$B$23*INDEX(Curves!$B$4:$AR$4,1,79-Projects!$C$23+1),0)+IF(AND(Projects!$G$24="Yes",79&gt;=Projects!$C$24,79&lt;Projects!$C$24+Projects!$D$24),Projects!$B$24*INDEX(Curves!$B$4:$AR$4,1,79-Projects!$C$24+1),0)+IF(AND(Projects!$G$25="Yes",79&gt;=Projects!$C$25,79&lt;Projects!$C$25+Projects!$D$25),Projects!$B$25*INDEX(Curves!$B$4:$AR$4,1,79-Projects!$C$25+1),0)+IF(AND(Projects!$G$26="Yes",79&gt;=Projects!$C$26,79&lt;Projects!$C$26+Projects!$D$26),Projects!$B$26*INDEX(Curves!$B$4:$AR$4,1,79-Projects!$C$26+1),0)+IF(AND(Projects!$G$27="Yes",79&gt;=Projects!$C$27,79&lt;Projects!$C$27+Projects!$D$27),Projects!$B$27*INDEX(Curves!$B$4:$AR$4,1,79-Projects!$C$27+1),0)+IF(AND(Projects!$G$28="Yes",79&gt;=Projects!$C$28,79&lt;Projects!$C$28+Projects!$D$28),Projects!$B$28*INDEX(Curves!$B$4:$AR$4,1,79-Projects!$C$28+1),0)+IF(AND(Projects!$G$29="Yes",79&gt;=Projects!$C$29,79&lt;Projects!$C$29+Projects!$D$29),Projects!$B$29*INDEX(Curves!$B$4:$AR$4,1,79-Projects!$C$29+1),0)+IF(AND(Projects!$G$30="Yes",79&gt;=Projects!$C$30,79&lt;Projects!$C$30+Projects!$D$30),Projects!$B$30*INDEX(Curves!$B$4:$AR$4,1,79-Projects!$C$30+1),0)+IF(AND(Projects!$G$31="Yes",79&gt;=Projects!$C$31,79&lt;Projects!$C$31+Projects!$D$31),Projects!$B$31*INDEX(Curves!$B$4:$AR$4,1,79-Projects!$C$31+1),0)+IF(AND(Projects!$G$32="Yes",79&gt;=Projects!$C$32,79&lt;Projects!$C$32+Projects!$D$32),Projects!$B$32*INDEX(Curves!$B$4:$AR$4,1,79-Projects!$C$32+1),0)+IF(AND(Projects!$G$33="Yes",79&gt;=Projects!$C$33,79&lt;Projects!$C$33+Projects!$D$33),Projects!$B$33*INDEX(Curves!$B$4:$AR$4,1,79-Projects!$C$33+1),0)+IF(AND(Projects!$G$34="Yes",79&gt;=Projects!$C$34,79&lt;Projects!$C$34+Projects!$D$34),Projects!$B$34*INDEX(Curves!$B$4:$AR$4,1,79-Projects!$C$34+1),0)+IF(AND(Projects!$G$35="Yes",79&gt;=Projects!$C$35,79&lt;Projects!$C$35+Projects!$D$35),Projects!$B$35*INDEX(Curves!$B$4:$AR$4,1,79-Projects!$C$35+1),0)+IF(AND(Projects!$G$36="Yes",79&gt;=Projects!$C$36,79&lt;Projects!$C$36+Projects!$D$36),Projects!$B$36*INDEX(Curves!$B$4:$AR$4,1,79-Projects!$C$36+1),0)+IF(AND(Projects!$G$37="Yes",79&gt;=Projects!$C$37,79&lt;Projects!$C$37+Projects!$D$37),Projects!$B$37*INDEX(Curves!$B$4:$AR$4,1,79-Projects!$C$37+1),0)+IF(AND(Projects!$G$38="Yes",79&gt;=Projects!$C$38,79&lt;Projects!$C$38+Projects!$D$38),Projects!$B$38*INDEX(Curves!$B$4:$AR$4,1,79-Projects!$C$38+1),0)+IF(AND(Projects!$G$39="Yes",79&gt;=Projects!$C$39,79&lt;Projects!$C$39+Projects!$D$39),Projects!$B$39*INDEX(Curves!$B$4:$AR$4,1,79-Projects!$C$39+1),0)+IF(AND(Projects!$G$40="Yes",79&gt;=Projects!$C$40,79&lt;Projects!$C$40+Projects!$D$40),Projects!$B$40*INDEX(Curves!$B$4:$AR$4,1,79-Projects!$C$40+1),0)+IF(AND(Projects!$G$41="Yes",79&gt;=Projects!$C$41,79&lt;Projects!$C$41+Projects!$D$41),Projects!$B$41*INDEX(Curves!$B$4:$AR$4,1,79-Projects!$C$41+1),0)+IF(AND(Projects!$G$42="Yes",79&gt;=Projects!$C$42,79&lt;Projects!$C$42+Projects!$D$42),Projects!$B$42*INDEX(Curves!$B$4:$AR$4,1,79-Projects!$C$42+1),0)+IF(AND(Projects!$G$43="Yes",79&gt;=Projects!$C$43,79&lt;Projects!$C$43+Projects!$D$43),Projects!$B$43*INDEX(Curves!$B$4:$AR$4,1,79-Projects!$C$43+1),0)+IF(AND(Projects!$G$44="Yes",79&gt;=Projects!$C$44,79&lt;Projects!$C$44+Projects!$D$44),Projects!$B$44*INDEX(Curves!$B$4:$AR$4,1,79-Projects!$C$44+1),0)+IF(AND(Projects!$G$45="Yes",79&gt;=Projects!$C$45,79&lt;Projects!$C$45+Projects!$D$45),Projects!$B$45*INDEX(Curves!$B$4:$AR$4,1,79-Projects!$C$45+1),0)+IF(AND(Projects!$G$46="Yes",79&gt;=Projects!$C$46,79&lt;Projects!$C$46+Projects!$D$46),Projects!$B$46*INDEX(Curves!$B$4:$AR$4,1,79-Projects!$C$46+1),0)</f>
        <v>0</v>
      </c>
      <c r="CG96" s="313" t="n">
        <f aca="false">IF(AND(Projects!$G$17="Yes",80&gt;=Projects!$C$17,80&lt;Projects!$C$17+Projects!$D$17),Projects!$B$17*INDEX(Curves!$B$4:$AR$4,1,80-Projects!$C$17+1),0)+IF(AND(Projects!$G$18="Yes",80&gt;=Projects!$C$18,80&lt;Projects!$C$18+Projects!$D$18),Projects!$B$18*INDEX(Curves!$B$4:$AR$4,1,80-Projects!$C$18+1),0)+IF(AND(Projects!$G$19="Yes",80&gt;=Projects!$C$19,80&lt;Projects!$C$19+Projects!$D$19),Projects!$B$19*INDEX(Curves!$B$4:$AR$4,1,80-Projects!$C$19+1),0)+IF(AND(Projects!$G$20="Yes",80&gt;=Projects!$C$20,80&lt;Projects!$C$20+Projects!$D$20),Projects!$B$20*INDEX(Curves!$B$4:$AR$4,1,80-Projects!$C$20+1),0)+IF(AND(Projects!$G$21="Yes",80&gt;=Projects!$C$21,80&lt;Projects!$C$21+Projects!$D$21),Projects!$B$21*INDEX(Curves!$B$4:$AR$4,1,80-Projects!$C$21+1),0)+IF(AND(Projects!$G$22="Yes",80&gt;=Projects!$C$22,80&lt;Projects!$C$22+Projects!$D$22),Projects!$B$22*INDEX(Curves!$B$4:$AR$4,1,80-Projects!$C$22+1),0)+IF(AND(Projects!$G$23="Yes",80&gt;=Projects!$C$23,80&lt;Projects!$C$23+Projects!$D$23),Projects!$B$23*INDEX(Curves!$B$4:$AR$4,1,80-Projects!$C$23+1),0)+IF(AND(Projects!$G$24="Yes",80&gt;=Projects!$C$24,80&lt;Projects!$C$24+Projects!$D$24),Projects!$B$24*INDEX(Curves!$B$4:$AR$4,1,80-Projects!$C$24+1),0)+IF(AND(Projects!$G$25="Yes",80&gt;=Projects!$C$25,80&lt;Projects!$C$25+Projects!$D$25),Projects!$B$25*INDEX(Curves!$B$4:$AR$4,1,80-Projects!$C$25+1),0)+IF(AND(Projects!$G$26="Yes",80&gt;=Projects!$C$26,80&lt;Projects!$C$26+Projects!$D$26),Projects!$B$26*INDEX(Curves!$B$4:$AR$4,1,80-Projects!$C$26+1),0)+IF(AND(Projects!$G$27="Yes",80&gt;=Projects!$C$27,80&lt;Projects!$C$27+Projects!$D$27),Projects!$B$27*INDEX(Curves!$B$4:$AR$4,1,80-Projects!$C$27+1),0)+IF(AND(Projects!$G$28="Yes",80&gt;=Projects!$C$28,80&lt;Projects!$C$28+Projects!$D$28),Projects!$B$28*INDEX(Curves!$B$4:$AR$4,1,80-Projects!$C$28+1),0)+IF(AND(Projects!$G$29="Yes",80&gt;=Projects!$C$29,80&lt;Projects!$C$29+Projects!$D$29),Projects!$B$29*INDEX(Curves!$B$4:$AR$4,1,80-Projects!$C$29+1),0)+IF(AND(Projects!$G$30="Yes",80&gt;=Projects!$C$30,80&lt;Projects!$C$30+Projects!$D$30),Projects!$B$30*INDEX(Curves!$B$4:$AR$4,1,80-Projects!$C$30+1),0)+IF(AND(Projects!$G$31="Yes",80&gt;=Projects!$C$31,80&lt;Projects!$C$31+Projects!$D$31),Projects!$B$31*INDEX(Curves!$B$4:$AR$4,1,80-Projects!$C$31+1),0)+IF(AND(Projects!$G$32="Yes",80&gt;=Projects!$C$32,80&lt;Projects!$C$32+Projects!$D$32),Projects!$B$32*INDEX(Curves!$B$4:$AR$4,1,80-Projects!$C$32+1),0)+IF(AND(Projects!$G$33="Yes",80&gt;=Projects!$C$33,80&lt;Projects!$C$33+Projects!$D$33),Projects!$B$33*INDEX(Curves!$B$4:$AR$4,1,80-Projects!$C$33+1),0)+IF(AND(Projects!$G$34="Yes",80&gt;=Projects!$C$34,80&lt;Projects!$C$34+Projects!$D$34),Projects!$B$34*INDEX(Curves!$B$4:$AR$4,1,80-Projects!$C$34+1),0)+IF(AND(Projects!$G$35="Yes",80&gt;=Projects!$C$35,80&lt;Projects!$C$35+Projects!$D$35),Projects!$B$35*INDEX(Curves!$B$4:$AR$4,1,80-Projects!$C$35+1),0)+IF(AND(Projects!$G$36="Yes",80&gt;=Projects!$C$36,80&lt;Projects!$C$36+Projects!$D$36),Projects!$B$36*INDEX(Curves!$B$4:$AR$4,1,80-Projects!$C$36+1),0)+IF(AND(Projects!$G$37="Yes",80&gt;=Projects!$C$37,80&lt;Projects!$C$37+Projects!$D$37),Projects!$B$37*INDEX(Curves!$B$4:$AR$4,1,80-Projects!$C$37+1),0)+IF(AND(Projects!$G$38="Yes",80&gt;=Projects!$C$38,80&lt;Projects!$C$38+Projects!$D$38),Projects!$B$38*INDEX(Curves!$B$4:$AR$4,1,80-Projects!$C$38+1),0)+IF(AND(Projects!$G$39="Yes",80&gt;=Projects!$C$39,80&lt;Projects!$C$39+Projects!$D$39),Projects!$B$39*INDEX(Curves!$B$4:$AR$4,1,80-Projects!$C$39+1),0)+IF(AND(Projects!$G$40="Yes",80&gt;=Projects!$C$40,80&lt;Projects!$C$40+Projects!$D$40),Projects!$B$40*INDEX(Curves!$B$4:$AR$4,1,80-Projects!$C$40+1),0)+IF(AND(Projects!$G$41="Yes",80&gt;=Projects!$C$41,80&lt;Projects!$C$41+Projects!$D$41),Projects!$B$41*INDEX(Curves!$B$4:$AR$4,1,80-Projects!$C$41+1),0)+IF(AND(Projects!$G$42="Yes",80&gt;=Projects!$C$42,80&lt;Projects!$C$42+Projects!$D$42),Projects!$B$42*INDEX(Curves!$B$4:$AR$4,1,80-Projects!$C$42+1),0)+IF(AND(Projects!$G$43="Yes",80&gt;=Projects!$C$43,80&lt;Projects!$C$43+Projects!$D$43),Projects!$B$43*INDEX(Curves!$B$4:$AR$4,1,80-Projects!$C$43+1),0)+IF(AND(Projects!$G$44="Yes",80&gt;=Projects!$C$44,80&lt;Projects!$C$44+Projects!$D$44),Projects!$B$44*INDEX(Curves!$B$4:$AR$4,1,80-Projects!$C$44+1),0)+IF(AND(Projects!$G$45="Yes",80&gt;=Projects!$C$45,80&lt;Projects!$C$45+Projects!$D$45),Projects!$B$45*INDEX(Curves!$B$4:$AR$4,1,80-Projects!$C$45+1),0)+IF(AND(Projects!$G$46="Yes",80&gt;=Projects!$C$46,80&lt;Projects!$C$46+Projects!$D$46),Projects!$B$46*INDEX(Curves!$B$4:$AR$4,1,80-Projects!$C$46+1),0)</f>
        <v>0</v>
      </c>
      <c r="CH96" s="313" t="n">
        <f aca="false">IF(AND(Projects!$G$17="Yes",81&gt;=Projects!$C$17,81&lt;Projects!$C$17+Projects!$D$17),Projects!$B$17*INDEX(Curves!$B$4:$AR$4,1,81-Projects!$C$17+1),0)+IF(AND(Projects!$G$18="Yes",81&gt;=Projects!$C$18,81&lt;Projects!$C$18+Projects!$D$18),Projects!$B$18*INDEX(Curves!$B$4:$AR$4,1,81-Projects!$C$18+1),0)+IF(AND(Projects!$G$19="Yes",81&gt;=Projects!$C$19,81&lt;Projects!$C$19+Projects!$D$19),Projects!$B$19*INDEX(Curves!$B$4:$AR$4,1,81-Projects!$C$19+1),0)+IF(AND(Projects!$G$20="Yes",81&gt;=Projects!$C$20,81&lt;Projects!$C$20+Projects!$D$20),Projects!$B$20*INDEX(Curves!$B$4:$AR$4,1,81-Projects!$C$20+1),0)+IF(AND(Projects!$G$21="Yes",81&gt;=Projects!$C$21,81&lt;Projects!$C$21+Projects!$D$21),Projects!$B$21*INDEX(Curves!$B$4:$AR$4,1,81-Projects!$C$21+1),0)+IF(AND(Projects!$G$22="Yes",81&gt;=Projects!$C$22,81&lt;Projects!$C$22+Projects!$D$22),Projects!$B$22*INDEX(Curves!$B$4:$AR$4,1,81-Projects!$C$22+1),0)+IF(AND(Projects!$G$23="Yes",81&gt;=Projects!$C$23,81&lt;Projects!$C$23+Projects!$D$23),Projects!$B$23*INDEX(Curves!$B$4:$AR$4,1,81-Projects!$C$23+1),0)+IF(AND(Projects!$G$24="Yes",81&gt;=Projects!$C$24,81&lt;Projects!$C$24+Projects!$D$24),Projects!$B$24*INDEX(Curves!$B$4:$AR$4,1,81-Projects!$C$24+1),0)+IF(AND(Projects!$G$25="Yes",81&gt;=Projects!$C$25,81&lt;Projects!$C$25+Projects!$D$25),Projects!$B$25*INDEX(Curves!$B$4:$AR$4,1,81-Projects!$C$25+1),0)+IF(AND(Projects!$G$26="Yes",81&gt;=Projects!$C$26,81&lt;Projects!$C$26+Projects!$D$26),Projects!$B$26*INDEX(Curves!$B$4:$AR$4,1,81-Projects!$C$26+1),0)+IF(AND(Projects!$G$27="Yes",81&gt;=Projects!$C$27,81&lt;Projects!$C$27+Projects!$D$27),Projects!$B$27*INDEX(Curves!$B$4:$AR$4,1,81-Projects!$C$27+1),0)+IF(AND(Projects!$G$28="Yes",81&gt;=Projects!$C$28,81&lt;Projects!$C$28+Projects!$D$28),Projects!$B$28*INDEX(Curves!$B$4:$AR$4,1,81-Projects!$C$28+1),0)+IF(AND(Projects!$G$29="Yes",81&gt;=Projects!$C$29,81&lt;Projects!$C$29+Projects!$D$29),Projects!$B$29*INDEX(Curves!$B$4:$AR$4,1,81-Projects!$C$29+1),0)+IF(AND(Projects!$G$30="Yes",81&gt;=Projects!$C$30,81&lt;Projects!$C$30+Projects!$D$30),Projects!$B$30*INDEX(Curves!$B$4:$AR$4,1,81-Projects!$C$30+1),0)+IF(AND(Projects!$G$31="Yes",81&gt;=Projects!$C$31,81&lt;Projects!$C$31+Projects!$D$31),Projects!$B$31*INDEX(Curves!$B$4:$AR$4,1,81-Projects!$C$31+1),0)+IF(AND(Projects!$G$32="Yes",81&gt;=Projects!$C$32,81&lt;Projects!$C$32+Projects!$D$32),Projects!$B$32*INDEX(Curves!$B$4:$AR$4,1,81-Projects!$C$32+1),0)+IF(AND(Projects!$G$33="Yes",81&gt;=Projects!$C$33,81&lt;Projects!$C$33+Projects!$D$33),Projects!$B$33*INDEX(Curves!$B$4:$AR$4,1,81-Projects!$C$33+1),0)+IF(AND(Projects!$G$34="Yes",81&gt;=Projects!$C$34,81&lt;Projects!$C$34+Projects!$D$34),Projects!$B$34*INDEX(Curves!$B$4:$AR$4,1,81-Projects!$C$34+1),0)+IF(AND(Projects!$G$35="Yes",81&gt;=Projects!$C$35,81&lt;Projects!$C$35+Projects!$D$35),Projects!$B$35*INDEX(Curves!$B$4:$AR$4,1,81-Projects!$C$35+1),0)+IF(AND(Projects!$G$36="Yes",81&gt;=Projects!$C$36,81&lt;Projects!$C$36+Projects!$D$36),Projects!$B$36*INDEX(Curves!$B$4:$AR$4,1,81-Projects!$C$36+1),0)+IF(AND(Projects!$G$37="Yes",81&gt;=Projects!$C$37,81&lt;Projects!$C$37+Projects!$D$37),Projects!$B$37*INDEX(Curves!$B$4:$AR$4,1,81-Projects!$C$37+1),0)+IF(AND(Projects!$G$38="Yes",81&gt;=Projects!$C$38,81&lt;Projects!$C$38+Projects!$D$38),Projects!$B$38*INDEX(Curves!$B$4:$AR$4,1,81-Projects!$C$38+1),0)+IF(AND(Projects!$G$39="Yes",81&gt;=Projects!$C$39,81&lt;Projects!$C$39+Projects!$D$39),Projects!$B$39*INDEX(Curves!$B$4:$AR$4,1,81-Projects!$C$39+1),0)+IF(AND(Projects!$G$40="Yes",81&gt;=Projects!$C$40,81&lt;Projects!$C$40+Projects!$D$40),Projects!$B$40*INDEX(Curves!$B$4:$AR$4,1,81-Projects!$C$40+1),0)+IF(AND(Projects!$G$41="Yes",81&gt;=Projects!$C$41,81&lt;Projects!$C$41+Projects!$D$41),Projects!$B$41*INDEX(Curves!$B$4:$AR$4,1,81-Projects!$C$41+1),0)+IF(AND(Projects!$G$42="Yes",81&gt;=Projects!$C$42,81&lt;Projects!$C$42+Projects!$D$42),Projects!$B$42*INDEX(Curves!$B$4:$AR$4,1,81-Projects!$C$42+1),0)+IF(AND(Projects!$G$43="Yes",81&gt;=Projects!$C$43,81&lt;Projects!$C$43+Projects!$D$43),Projects!$B$43*INDEX(Curves!$B$4:$AR$4,1,81-Projects!$C$43+1),0)+IF(AND(Projects!$G$44="Yes",81&gt;=Projects!$C$44,81&lt;Projects!$C$44+Projects!$D$44),Projects!$B$44*INDEX(Curves!$B$4:$AR$4,1,81-Projects!$C$44+1),0)+IF(AND(Projects!$G$45="Yes",81&gt;=Projects!$C$45,81&lt;Projects!$C$45+Projects!$D$45),Projects!$B$45*INDEX(Curves!$B$4:$AR$4,1,81-Projects!$C$45+1),0)+IF(AND(Projects!$G$46="Yes",81&gt;=Projects!$C$46,81&lt;Projects!$C$46+Projects!$D$46),Projects!$B$46*INDEX(Curves!$B$4:$AR$4,1,81-Projects!$C$46+1),0)</f>
        <v>0</v>
      </c>
      <c r="CI96" s="313" t="n">
        <f aca="false">IF(AND(Projects!$G$17="Yes",82&gt;=Projects!$C$17,82&lt;Projects!$C$17+Projects!$D$17),Projects!$B$17*INDEX(Curves!$B$4:$AR$4,1,82-Projects!$C$17+1),0)+IF(AND(Projects!$G$18="Yes",82&gt;=Projects!$C$18,82&lt;Projects!$C$18+Projects!$D$18),Projects!$B$18*INDEX(Curves!$B$4:$AR$4,1,82-Projects!$C$18+1),0)+IF(AND(Projects!$G$19="Yes",82&gt;=Projects!$C$19,82&lt;Projects!$C$19+Projects!$D$19),Projects!$B$19*INDEX(Curves!$B$4:$AR$4,1,82-Projects!$C$19+1),0)+IF(AND(Projects!$G$20="Yes",82&gt;=Projects!$C$20,82&lt;Projects!$C$20+Projects!$D$20),Projects!$B$20*INDEX(Curves!$B$4:$AR$4,1,82-Projects!$C$20+1),0)+IF(AND(Projects!$G$21="Yes",82&gt;=Projects!$C$21,82&lt;Projects!$C$21+Projects!$D$21),Projects!$B$21*INDEX(Curves!$B$4:$AR$4,1,82-Projects!$C$21+1),0)+IF(AND(Projects!$G$22="Yes",82&gt;=Projects!$C$22,82&lt;Projects!$C$22+Projects!$D$22),Projects!$B$22*INDEX(Curves!$B$4:$AR$4,1,82-Projects!$C$22+1),0)+IF(AND(Projects!$G$23="Yes",82&gt;=Projects!$C$23,82&lt;Projects!$C$23+Projects!$D$23),Projects!$B$23*INDEX(Curves!$B$4:$AR$4,1,82-Projects!$C$23+1),0)+IF(AND(Projects!$G$24="Yes",82&gt;=Projects!$C$24,82&lt;Projects!$C$24+Projects!$D$24),Projects!$B$24*INDEX(Curves!$B$4:$AR$4,1,82-Projects!$C$24+1),0)+IF(AND(Projects!$G$25="Yes",82&gt;=Projects!$C$25,82&lt;Projects!$C$25+Projects!$D$25),Projects!$B$25*INDEX(Curves!$B$4:$AR$4,1,82-Projects!$C$25+1),0)+IF(AND(Projects!$G$26="Yes",82&gt;=Projects!$C$26,82&lt;Projects!$C$26+Projects!$D$26),Projects!$B$26*INDEX(Curves!$B$4:$AR$4,1,82-Projects!$C$26+1),0)+IF(AND(Projects!$G$27="Yes",82&gt;=Projects!$C$27,82&lt;Projects!$C$27+Projects!$D$27),Projects!$B$27*INDEX(Curves!$B$4:$AR$4,1,82-Projects!$C$27+1),0)+IF(AND(Projects!$G$28="Yes",82&gt;=Projects!$C$28,82&lt;Projects!$C$28+Projects!$D$28),Projects!$B$28*INDEX(Curves!$B$4:$AR$4,1,82-Projects!$C$28+1),0)+IF(AND(Projects!$G$29="Yes",82&gt;=Projects!$C$29,82&lt;Projects!$C$29+Projects!$D$29),Projects!$B$29*INDEX(Curves!$B$4:$AR$4,1,82-Projects!$C$29+1),0)+IF(AND(Projects!$G$30="Yes",82&gt;=Projects!$C$30,82&lt;Projects!$C$30+Projects!$D$30),Projects!$B$30*INDEX(Curves!$B$4:$AR$4,1,82-Projects!$C$30+1),0)+IF(AND(Projects!$G$31="Yes",82&gt;=Projects!$C$31,82&lt;Projects!$C$31+Projects!$D$31),Projects!$B$31*INDEX(Curves!$B$4:$AR$4,1,82-Projects!$C$31+1),0)+IF(AND(Projects!$G$32="Yes",82&gt;=Projects!$C$32,82&lt;Projects!$C$32+Projects!$D$32),Projects!$B$32*INDEX(Curves!$B$4:$AR$4,1,82-Projects!$C$32+1),0)+IF(AND(Projects!$G$33="Yes",82&gt;=Projects!$C$33,82&lt;Projects!$C$33+Projects!$D$33),Projects!$B$33*INDEX(Curves!$B$4:$AR$4,1,82-Projects!$C$33+1),0)+IF(AND(Projects!$G$34="Yes",82&gt;=Projects!$C$34,82&lt;Projects!$C$34+Projects!$D$34),Projects!$B$34*INDEX(Curves!$B$4:$AR$4,1,82-Projects!$C$34+1),0)+IF(AND(Projects!$G$35="Yes",82&gt;=Projects!$C$35,82&lt;Projects!$C$35+Projects!$D$35),Projects!$B$35*INDEX(Curves!$B$4:$AR$4,1,82-Projects!$C$35+1),0)+IF(AND(Projects!$G$36="Yes",82&gt;=Projects!$C$36,82&lt;Projects!$C$36+Projects!$D$36),Projects!$B$36*INDEX(Curves!$B$4:$AR$4,1,82-Projects!$C$36+1),0)+IF(AND(Projects!$G$37="Yes",82&gt;=Projects!$C$37,82&lt;Projects!$C$37+Projects!$D$37),Projects!$B$37*INDEX(Curves!$B$4:$AR$4,1,82-Projects!$C$37+1),0)+IF(AND(Projects!$G$38="Yes",82&gt;=Projects!$C$38,82&lt;Projects!$C$38+Projects!$D$38),Projects!$B$38*INDEX(Curves!$B$4:$AR$4,1,82-Projects!$C$38+1),0)+IF(AND(Projects!$G$39="Yes",82&gt;=Projects!$C$39,82&lt;Projects!$C$39+Projects!$D$39),Projects!$B$39*INDEX(Curves!$B$4:$AR$4,1,82-Projects!$C$39+1),0)+IF(AND(Projects!$G$40="Yes",82&gt;=Projects!$C$40,82&lt;Projects!$C$40+Projects!$D$40),Projects!$B$40*INDEX(Curves!$B$4:$AR$4,1,82-Projects!$C$40+1),0)+IF(AND(Projects!$G$41="Yes",82&gt;=Projects!$C$41,82&lt;Projects!$C$41+Projects!$D$41),Projects!$B$41*INDEX(Curves!$B$4:$AR$4,1,82-Projects!$C$41+1),0)+IF(AND(Projects!$G$42="Yes",82&gt;=Projects!$C$42,82&lt;Projects!$C$42+Projects!$D$42),Projects!$B$42*INDEX(Curves!$B$4:$AR$4,1,82-Projects!$C$42+1),0)+IF(AND(Projects!$G$43="Yes",82&gt;=Projects!$C$43,82&lt;Projects!$C$43+Projects!$D$43),Projects!$B$43*INDEX(Curves!$B$4:$AR$4,1,82-Projects!$C$43+1),0)+IF(AND(Projects!$G$44="Yes",82&gt;=Projects!$C$44,82&lt;Projects!$C$44+Projects!$D$44),Projects!$B$44*INDEX(Curves!$B$4:$AR$4,1,82-Projects!$C$44+1),0)+IF(AND(Projects!$G$45="Yes",82&gt;=Projects!$C$45,82&lt;Projects!$C$45+Projects!$D$45),Projects!$B$45*INDEX(Curves!$B$4:$AR$4,1,82-Projects!$C$45+1),0)+IF(AND(Projects!$G$46="Yes",82&gt;=Projects!$C$46,82&lt;Projects!$C$46+Projects!$D$46),Projects!$B$46*INDEX(Curves!$B$4:$AR$4,1,82-Projects!$C$46+1),0)</f>
        <v>0</v>
      </c>
      <c r="CJ96" s="313" t="n">
        <f aca="false">IF(AND(Projects!$G$17="Yes",83&gt;=Projects!$C$17,83&lt;Projects!$C$17+Projects!$D$17),Projects!$B$17*INDEX(Curves!$B$4:$AR$4,1,83-Projects!$C$17+1),0)+IF(AND(Projects!$G$18="Yes",83&gt;=Projects!$C$18,83&lt;Projects!$C$18+Projects!$D$18),Projects!$B$18*INDEX(Curves!$B$4:$AR$4,1,83-Projects!$C$18+1),0)+IF(AND(Projects!$G$19="Yes",83&gt;=Projects!$C$19,83&lt;Projects!$C$19+Projects!$D$19),Projects!$B$19*INDEX(Curves!$B$4:$AR$4,1,83-Projects!$C$19+1),0)+IF(AND(Projects!$G$20="Yes",83&gt;=Projects!$C$20,83&lt;Projects!$C$20+Projects!$D$20),Projects!$B$20*INDEX(Curves!$B$4:$AR$4,1,83-Projects!$C$20+1),0)+IF(AND(Projects!$G$21="Yes",83&gt;=Projects!$C$21,83&lt;Projects!$C$21+Projects!$D$21),Projects!$B$21*INDEX(Curves!$B$4:$AR$4,1,83-Projects!$C$21+1),0)+IF(AND(Projects!$G$22="Yes",83&gt;=Projects!$C$22,83&lt;Projects!$C$22+Projects!$D$22),Projects!$B$22*INDEX(Curves!$B$4:$AR$4,1,83-Projects!$C$22+1),0)+IF(AND(Projects!$G$23="Yes",83&gt;=Projects!$C$23,83&lt;Projects!$C$23+Projects!$D$23),Projects!$B$23*INDEX(Curves!$B$4:$AR$4,1,83-Projects!$C$23+1),0)+IF(AND(Projects!$G$24="Yes",83&gt;=Projects!$C$24,83&lt;Projects!$C$24+Projects!$D$24),Projects!$B$24*INDEX(Curves!$B$4:$AR$4,1,83-Projects!$C$24+1),0)+IF(AND(Projects!$G$25="Yes",83&gt;=Projects!$C$25,83&lt;Projects!$C$25+Projects!$D$25),Projects!$B$25*INDEX(Curves!$B$4:$AR$4,1,83-Projects!$C$25+1),0)+IF(AND(Projects!$G$26="Yes",83&gt;=Projects!$C$26,83&lt;Projects!$C$26+Projects!$D$26),Projects!$B$26*INDEX(Curves!$B$4:$AR$4,1,83-Projects!$C$26+1),0)+IF(AND(Projects!$G$27="Yes",83&gt;=Projects!$C$27,83&lt;Projects!$C$27+Projects!$D$27),Projects!$B$27*INDEX(Curves!$B$4:$AR$4,1,83-Projects!$C$27+1),0)+IF(AND(Projects!$G$28="Yes",83&gt;=Projects!$C$28,83&lt;Projects!$C$28+Projects!$D$28),Projects!$B$28*INDEX(Curves!$B$4:$AR$4,1,83-Projects!$C$28+1),0)+IF(AND(Projects!$G$29="Yes",83&gt;=Projects!$C$29,83&lt;Projects!$C$29+Projects!$D$29),Projects!$B$29*INDEX(Curves!$B$4:$AR$4,1,83-Projects!$C$29+1),0)+IF(AND(Projects!$G$30="Yes",83&gt;=Projects!$C$30,83&lt;Projects!$C$30+Projects!$D$30),Projects!$B$30*INDEX(Curves!$B$4:$AR$4,1,83-Projects!$C$30+1),0)+IF(AND(Projects!$G$31="Yes",83&gt;=Projects!$C$31,83&lt;Projects!$C$31+Projects!$D$31),Projects!$B$31*INDEX(Curves!$B$4:$AR$4,1,83-Projects!$C$31+1),0)+IF(AND(Projects!$G$32="Yes",83&gt;=Projects!$C$32,83&lt;Projects!$C$32+Projects!$D$32),Projects!$B$32*INDEX(Curves!$B$4:$AR$4,1,83-Projects!$C$32+1),0)+IF(AND(Projects!$G$33="Yes",83&gt;=Projects!$C$33,83&lt;Projects!$C$33+Projects!$D$33),Projects!$B$33*INDEX(Curves!$B$4:$AR$4,1,83-Projects!$C$33+1),0)+IF(AND(Projects!$G$34="Yes",83&gt;=Projects!$C$34,83&lt;Projects!$C$34+Projects!$D$34),Projects!$B$34*INDEX(Curves!$B$4:$AR$4,1,83-Projects!$C$34+1),0)+IF(AND(Projects!$G$35="Yes",83&gt;=Projects!$C$35,83&lt;Projects!$C$35+Projects!$D$35),Projects!$B$35*INDEX(Curves!$B$4:$AR$4,1,83-Projects!$C$35+1),0)+IF(AND(Projects!$G$36="Yes",83&gt;=Projects!$C$36,83&lt;Projects!$C$36+Projects!$D$36),Projects!$B$36*INDEX(Curves!$B$4:$AR$4,1,83-Projects!$C$36+1),0)+IF(AND(Projects!$G$37="Yes",83&gt;=Projects!$C$37,83&lt;Projects!$C$37+Projects!$D$37),Projects!$B$37*INDEX(Curves!$B$4:$AR$4,1,83-Projects!$C$37+1),0)+IF(AND(Projects!$G$38="Yes",83&gt;=Projects!$C$38,83&lt;Projects!$C$38+Projects!$D$38),Projects!$B$38*INDEX(Curves!$B$4:$AR$4,1,83-Projects!$C$38+1),0)+IF(AND(Projects!$G$39="Yes",83&gt;=Projects!$C$39,83&lt;Projects!$C$39+Projects!$D$39),Projects!$B$39*INDEX(Curves!$B$4:$AR$4,1,83-Projects!$C$39+1),0)+IF(AND(Projects!$G$40="Yes",83&gt;=Projects!$C$40,83&lt;Projects!$C$40+Projects!$D$40),Projects!$B$40*INDEX(Curves!$B$4:$AR$4,1,83-Projects!$C$40+1),0)+IF(AND(Projects!$G$41="Yes",83&gt;=Projects!$C$41,83&lt;Projects!$C$41+Projects!$D$41),Projects!$B$41*INDEX(Curves!$B$4:$AR$4,1,83-Projects!$C$41+1),0)+IF(AND(Projects!$G$42="Yes",83&gt;=Projects!$C$42,83&lt;Projects!$C$42+Projects!$D$42),Projects!$B$42*INDEX(Curves!$B$4:$AR$4,1,83-Projects!$C$42+1),0)+IF(AND(Projects!$G$43="Yes",83&gt;=Projects!$C$43,83&lt;Projects!$C$43+Projects!$D$43),Projects!$B$43*INDEX(Curves!$B$4:$AR$4,1,83-Projects!$C$43+1),0)+IF(AND(Projects!$G$44="Yes",83&gt;=Projects!$C$44,83&lt;Projects!$C$44+Projects!$D$44),Projects!$B$44*INDEX(Curves!$B$4:$AR$4,1,83-Projects!$C$44+1),0)+IF(AND(Projects!$G$45="Yes",83&gt;=Projects!$C$45,83&lt;Projects!$C$45+Projects!$D$45),Projects!$B$45*INDEX(Curves!$B$4:$AR$4,1,83-Projects!$C$45+1),0)+IF(AND(Projects!$G$46="Yes",83&gt;=Projects!$C$46,83&lt;Projects!$C$46+Projects!$D$46),Projects!$B$46*INDEX(Curves!$B$4:$AR$4,1,83-Projects!$C$46+1),0)</f>
        <v>0</v>
      </c>
      <c r="CK96" s="313" t="n">
        <f aca="false">IF(AND(Projects!$G$17="Yes",84&gt;=Projects!$C$17,84&lt;Projects!$C$17+Projects!$D$17),Projects!$B$17*INDEX(Curves!$B$4:$AR$4,1,84-Projects!$C$17+1),0)+IF(AND(Projects!$G$18="Yes",84&gt;=Projects!$C$18,84&lt;Projects!$C$18+Projects!$D$18),Projects!$B$18*INDEX(Curves!$B$4:$AR$4,1,84-Projects!$C$18+1),0)+IF(AND(Projects!$G$19="Yes",84&gt;=Projects!$C$19,84&lt;Projects!$C$19+Projects!$D$19),Projects!$B$19*INDEX(Curves!$B$4:$AR$4,1,84-Projects!$C$19+1),0)+IF(AND(Projects!$G$20="Yes",84&gt;=Projects!$C$20,84&lt;Projects!$C$20+Projects!$D$20),Projects!$B$20*INDEX(Curves!$B$4:$AR$4,1,84-Projects!$C$20+1),0)+IF(AND(Projects!$G$21="Yes",84&gt;=Projects!$C$21,84&lt;Projects!$C$21+Projects!$D$21),Projects!$B$21*INDEX(Curves!$B$4:$AR$4,1,84-Projects!$C$21+1),0)+IF(AND(Projects!$G$22="Yes",84&gt;=Projects!$C$22,84&lt;Projects!$C$22+Projects!$D$22),Projects!$B$22*INDEX(Curves!$B$4:$AR$4,1,84-Projects!$C$22+1),0)+IF(AND(Projects!$G$23="Yes",84&gt;=Projects!$C$23,84&lt;Projects!$C$23+Projects!$D$23),Projects!$B$23*INDEX(Curves!$B$4:$AR$4,1,84-Projects!$C$23+1),0)+IF(AND(Projects!$G$24="Yes",84&gt;=Projects!$C$24,84&lt;Projects!$C$24+Projects!$D$24),Projects!$B$24*INDEX(Curves!$B$4:$AR$4,1,84-Projects!$C$24+1),0)+IF(AND(Projects!$G$25="Yes",84&gt;=Projects!$C$25,84&lt;Projects!$C$25+Projects!$D$25),Projects!$B$25*INDEX(Curves!$B$4:$AR$4,1,84-Projects!$C$25+1),0)+IF(AND(Projects!$G$26="Yes",84&gt;=Projects!$C$26,84&lt;Projects!$C$26+Projects!$D$26),Projects!$B$26*INDEX(Curves!$B$4:$AR$4,1,84-Projects!$C$26+1),0)+IF(AND(Projects!$G$27="Yes",84&gt;=Projects!$C$27,84&lt;Projects!$C$27+Projects!$D$27),Projects!$B$27*INDEX(Curves!$B$4:$AR$4,1,84-Projects!$C$27+1),0)+IF(AND(Projects!$G$28="Yes",84&gt;=Projects!$C$28,84&lt;Projects!$C$28+Projects!$D$28),Projects!$B$28*INDEX(Curves!$B$4:$AR$4,1,84-Projects!$C$28+1),0)+IF(AND(Projects!$G$29="Yes",84&gt;=Projects!$C$29,84&lt;Projects!$C$29+Projects!$D$29),Projects!$B$29*INDEX(Curves!$B$4:$AR$4,1,84-Projects!$C$29+1),0)+IF(AND(Projects!$G$30="Yes",84&gt;=Projects!$C$30,84&lt;Projects!$C$30+Projects!$D$30),Projects!$B$30*INDEX(Curves!$B$4:$AR$4,1,84-Projects!$C$30+1),0)+IF(AND(Projects!$G$31="Yes",84&gt;=Projects!$C$31,84&lt;Projects!$C$31+Projects!$D$31),Projects!$B$31*INDEX(Curves!$B$4:$AR$4,1,84-Projects!$C$31+1),0)+IF(AND(Projects!$G$32="Yes",84&gt;=Projects!$C$32,84&lt;Projects!$C$32+Projects!$D$32),Projects!$B$32*INDEX(Curves!$B$4:$AR$4,1,84-Projects!$C$32+1),0)+IF(AND(Projects!$G$33="Yes",84&gt;=Projects!$C$33,84&lt;Projects!$C$33+Projects!$D$33),Projects!$B$33*INDEX(Curves!$B$4:$AR$4,1,84-Projects!$C$33+1),0)+IF(AND(Projects!$G$34="Yes",84&gt;=Projects!$C$34,84&lt;Projects!$C$34+Projects!$D$34),Projects!$B$34*INDEX(Curves!$B$4:$AR$4,1,84-Projects!$C$34+1),0)+IF(AND(Projects!$G$35="Yes",84&gt;=Projects!$C$35,84&lt;Projects!$C$35+Projects!$D$35),Projects!$B$35*INDEX(Curves!$B$4:$AR$4,1,84-Projects!$C$35+1),0)+IF(AND(Projects!$G$36="Yes",84&gt;=Projects!$C$36,84&lt;Projects!$C$36+Projects!$D$36),Projects!$B$36*INDEX(Curves!$B$4:$AR$4,1,84-Projects!$C$36+1),0)+IF(AND(Projects!$G$37="Yes",84&gt;=Projects!$C$37,84&lt;Projects!$C$37+Projects!$D$37),Projects!$B$37*INDEX(Curves!$B$4:$AR$4,1,84-Projects!$C$37+1),0)+IF(AND(Projects!$G$38="Yes",84&gt;=Projects!$C$38,84&lt;Projects!$C$38+Projects!$D$38),Projects!$B$38*INDEX(Curves!$B$4:$AR$4,1,84-Projects!$C$38+1),0)+IF(AND(Projects!$G$39="Yes",84&gt;=Projects!$C$39,84&lt;Projects!$C$39+Projects!$D$39),Projects!$B$39*INDEX(Curves!$B$4:$AR$4,1,84-Projects!$C$39+1),0)+IF(AND(Projects!$G$40="Yes",84&gt;=Projects!$C$40,84&lt;Projects!$C$40+Projects!$D$40),Projects!$B$40*INDEX(Curves!$B$4:$AR$4,1,84-Projects!$C$40+1),0)+IF(AND(Projects!$G$41="Yes",84&gt;=Projects!$C$41,84&lt;Projects!$C$41+Projects!$D$41),Projects!$B$41*INDEX(Curves!$B$4:$AR$4,1,84-Projects!$C$41+1),0)+IF(AND(Projects!$G$42="Yes",84&gt;=Projects!$C$42,84&lt;Projects!$C$42+Projects!$D$42),Projects!$B$42*INDEX(Curves!$B$4:$AR$4,1,84-Projects!$C$42+1),0)+IF(AND(Projects!$G$43="Yes",84&gt;=Projects!$C$43,84&lt;Projects!$C$43+Projects!$D$43),Projects!$B$43*INDEX(Curves!$B$4:$AR$4,1,84-Projects!$C$43+1),0)+IF(AND(Projects!$G$44="Yes",84&gt;=Projects!$C$44,84&lt;Projects!$C$44+Projects!$D$44),Projects!$B$44*INDEX(Curves!$B$4:$AR$4,1,84-Projects!$C$44+1),0)+IF(AND(Projects!$G$45="Yes",84&gt;=Projects!$C$45,84&lt;Projects!$C$45+Projects!$D$45),Projects!$B$45*INDEX(Curves!$B$4:$AR$4,1,84-Projects!$C$45+1),0)+IF(AND(Projects!$G$46="Yes",84&gt;=Projects!$C$46,84&lt;Projects!$C$46+Projects!$D$46),Projects!$B$46*INDEX(Curves!$B$4:$AR$4,1,84-Projects!$C$46+1),0)</f>
        <v>0</v>
      </c>
      <c r="CL96" s="313" t="n">
        <f aca="false">IF(AND(Projects!$G$17="Yes",85&gt;=Projects!$C$17,85&lt;Projects!$C$17+Projects!$D$17),Projects!$B$17*INDEX(Curves!$B$4:$AR$4,1,85-Projects!$C$17+1),0)+IF(AND(Projects!$G$18="Yes",85&gt;=Projects!$C$18,85&lt;Projects!$C$18+Projects!$D$18),Projects!$B$18*INDEX(Curves!$B$4:$AR$4,1,85-Projects!$C$18+1),0)+IF(AND(Projects!$G$19="Yes",85&gt;=Projects!$C$19,85&lt;Projects!$C$19+Projects!$D$19),Projects!$B$19*INDEX(Curves!$B$4:$AR$4,1,85-Projects!$C$19+1),0)+IF(AND(Projects!$G$20="Yes",85&gt;=Projects!$C$20,85&lt;Projects!$C$20+Projects!$D$20),Projects!$B$20*INDEX(Curves!$B$4:$AR$4,1,85-Projects!$C$20+1),0)+IF(AND(Projects!$G$21="Yes",85&gt;=Projects!$C$21,85&lt;Projects!$C$21+Projects!$D$21),Projects!$B$21*INDEX(Curves!$B$4:$AR$4,1,85-Projects!$C$21+1),0)+IF(AND(Projects!$G$22="Yes",85&gt;=Projects!$C$22,85&lt;Projects!$C$22+Projects!$D$22),Projects!$B$22*INDEX(Curves!$B$4:$AR$4,1,85-Projects!$C$22+1),0)+IF(AND(Projects!$G$23="Yes",85&gt;=Projects!$C$23,85&lt;Projects!$C$23+Projects!$D$23),Projects!$B$23*INDEX(Curves!$B$4:$AR$4,1,85-Projects!$C$23+1),0)+IF(AND(Projects!$G$24="Yes",85&gt;=Projects!$C$24,85&lt;Projects!$C$24+Projects!$D$24),Projects!$B$24*INDEX(Curves!$B$4:$AR$4,1,85-Projects!$C$24+1),0)+IF(AND(Projects!$G$25="Yes",85&gt;=Projects!$C$25,85&lt;Projects!$C$25+Projects!$D$25),Projects!$B$25*INDEX(Curves!$B$4:$AR$4,1,85-Projects!$C$25+1),0)+IF(AND(Projects!$G$26="Yes",85&gt;=Projects!$C$26,85&lt;Projects!$C$26+Projects!$D$26),Projects!$B$26*INDEX(Curves!$B$4:$AR$4,1,85-Projects!$C$26+1),0)+IF(AND(Projects!$G$27="Yes",85&gt;=Projects!$C$27,85&lt;Projects!$C$27+Projects!$D$27),Projects!$B$27*INDEX(Curves!$B$4:$AR$4,1,85-Projects!$C$27+1),0)+IF(AND(Projects!$G$28="Yes",85&gt;=Projects!$C$28,85&lt;Projects!$C$28+Projects!$D$28),Projects!$B$28*INDEX(Curves!$B$4:$AR$4,1,85-Projects!$C$28+1),0)+IF(AND(Projects!$G$29="Yes",85&gt;=Projects!$C$29,85&lt;Projects!$C$29+Projects!$D$29),Projects!$B$29*INDEX(Curves!$B$4:$AR$4,1,85-Projects!$C$29+1),0)+IF(AND(Projects!$G$30="Yes",85&gt;=Projects!$C$30,85&lt;Projects!$C$30+Projects!$D$30),Projects!$B$30*INDEX(Curves!$B$4:$AR$4,1,85-Projects!$C$30+1),0)+IF(AND(Projects!$G$31="Yes",85&gt;=Projects!$C$31,85&lt;Projects!$C$31+Projects!$D$31),Projects!$B$31*INDEX(Curves!$B$4:$AR$4,1,85-Projects!$C$31+1),0)+IF(AND(Projects!$G$32="Yes",85&gt;=Projects!$C$32,85&lt;Projects!$C$32+Projects!$D$32),Projects!$B$32*INDEX(Curves!$B$4:$AR$4,1,85-Projects!$C$32+1),0)+IF(AND(Projects!$G$33="Yes",85&gt;=Projects!$C$33,85&lt;Projects!$C$33+Projects!$D$33),Projects!$B$33*INDEX(Curves!$B$4:$AR$4,1,85-Projects!$C$33+1),0)+IF(AND(Projects!$G$34="Yes",85&gt;=Projects!$C$34,85&lt;Projects!$C$34+Projects!$D$34),Projects!$B$34*INDEX(Curves!$B$4:$AR$4,1,85-Projects!$C$34+1),0)+IF(AND(Projects!$G$35="Yes",85&gt;=Projects!$C$35,85&lt;Projects!$C$35+Projects!$D$35),Projects!$B$35*INDEX(Curves!$B$4:$AR$4,1,85-Projects!$C$35+1),0)+IF(AND(Projects!$G$36="Yes",85&gt;=Projects!$C$36,85&lt;Projects!$C$36+Projects!$D$36),Projects!$B$36*INDEX(Curves!$B$4:$AR$4,1,85-Projects!$C$36+1),0)+IF(AND(Projects!$G$37="Yes",85&gt;=Projects!$C$37,85&lt;Projects!$C$37+Projects!$D$37),Projects!$B$37*INDEX(Curves!$B$4:$AR$4,1,85-Projects!$C$37+1),0)+IF(AND(Projects!$G$38="Yes",85&gt;=Projects!$C$38,85&lt;Projects!$C$38+Projects!$D$38),Projects!$B$38*INDEX(Curves!$B$4:$AR$4,1,85-Projects!$C$38+1),0)+IF(AND(Projects!$G$39="Yes",85&gt;=Projects!$C$39,85&lt;Projects!$C$39+Projects!$D$39),Projects!$B$39*INDEX(Curves!$B$4:$AR$4,1,85-Projects!$C$39+1),0)+IF(AND(Projects!$G$40="Yes",85&gt;=Projects!$C$40,85&lt;Projects!$C$40+Projects!$D$40),Projects!$B$40*INDEX(Curves!$B$4:$AR$4,1,85-Projects!$C$40+1),0)+IF(AND(Projects!$G$41="Yes",85&gt;=Projects!$C$41,85&lt;Projects!$C$41+Projects!$D$41),Projects!$B$41*INDEX(Curves!$B$4:$AR$4,1,85-Projects!$C$41+1),0)+IF(AND(Projects!$G$42="Yes",85&gt;=Projects!$C$42,85&lt;Projects!$C$42+Projects!$D$42),Projects!$B$42*INDEX(Curves!$B$4:$AR$4,1,85-Projects!$C$42+1),0)+IF(AND(Projects!$G$43="Yes",85&gt;=Projects!$C$43,85&lt;Projects!$C$43+Projects!$D$43),Projects!$B$43*INDEX(Curves!$B$4:$AR$4,1,85-Projects!$C$43+1),0)+IF(AND(Projects!$G$44="Yes",85&gt;=Projects!$C$44,85&lt;Projects!$C$44+Projects!$D$44),Projects!$B$44*INDEX(Curves!$B$4:$AR$4,1,85-Projects!$C$44+1),0)+IF(AND(Projects!$G$45="Yes",85&gt;=Projects!$C$45,85&lt;Projects!$C$45+Projects!$D$45),Projects!$B$45*INDEX(Curves!$B$4:$AR$4,1,85-Projects!$C$45+1),0)+IF(AND(Projects!$G$46="Yes",85&gt;=Projects!$C$46,85&lt;Projects!$C$46+Projects!$D$46),Projects!$B$46*INDEX(Curves!$B$4:$AR$4,1,85-Projects!$C$46+1),0)</f>
        <v>0</v>
      </c>
      <c r="CM96" s="313" t="n">
        <f aca="false">IF(AND(Projects!$G$17="Yes",86&gt;=Projects!$C$17,86&lt;Projects!$C$17+Projects!$D$17),Projects!$B$17*INDEX(Curves!$B$4:$AR$4,1,86-Projects!$C$17+1),0)+IF(AND(Projects!$G$18="Yes",86&gt;=Projects!$C$18,86&lt;Projects!$C$18+Projects!$D$18),Projects!$B$18*INDEX(Curves!$B$4:$AR$4,1,86-Projects!$C$18+1),0)+IF(AND(Projects!$G$19="Yes",86&gt;=Projects!$C$19,86&lt;Projects!$C$19+Projects!$D$19),Projects!$B$19*INDEX(Curves!$B$4:$AR$4,1,86-Projects!$C$19+1),0)+IF(AND(Projects!$G$20="Yes",86&gt;=Projects!$C$20,86&lt;Projects!$C$20+Projects!$D$20),Projects!$B$20*INDEX(Curves!$B$4:$AR$4,1,86-Projects!$C$20+1),0)+IF(AND(Projects!$G$21="Yes",86&gt;=Projects!$C$21,86&lt;Projects!$C$21+Projects!$D$21),Projects!$B$21*INDEX(Curves!$B$4:$AR$4,1,86-Projects!$C$21+1),0)+IF(AND(Projects!$G$22="Yes",86&gt;=Projects!$C$22,86&lt;Projects!$C$22+Projects!$D$22),Projects!$B$22*INDEX(Curves!$B$4:$AR$4,1,86-Projects!$C$22+1),0)+IF(AND(Projects!$G$23="Yes",86&gt;=Projects!$C$23,86&lt;Projects!$C$23+Projects!$D$23),Projects!$B$23*INDEX(Curves!$B$4:$AR$4,1,86-Projects!$C$23+1),0)+IF(AND(Projects!$G$24="Yes",86&gt;=Projects!$C$24,86&lt;Projects!$C$24+Projects!$D$24),Projects!$B$24*INDEX(Curves!$B$4:$AR$4,1,86-Projects!$C$24+1),0)+IF(AND(Projects!$G$25="Yes",86&gt;=Projects!$C$25,86&lt;Projects!$C$25+Projects!$D$25),Projects!$B$25*INDEX(Curves!$B$4:$AR$4,1,86-Projects!$C$25+1),0)+IF(AND(Projects!$G$26="Yes",86&gt;=Projects!$C$26,86&lt;Projects!$C$26+Projects!$D$26),Projects!$B$26*INDEX(Curves!$B$4:$AR$4,1,86-Projects!$C$26+1),0)+IF(AND(Projects!$G$27="Yes",86&gt;=Projects!$C$27,86&lt;Projects!$C$27+Projects!$D$27),Projects!$B$27*INDEX(Curves!$B$4:$AR$4,1,86-Projects!$C$27+1),0)+IF(AND(Projects!$G$28="Yes",86&gt;=Projects!$C$28,86&lt;Projects!$C$28+Projects!$D$28),Projects!$B$28*INDEX(Curves!$B$4:$AR$4,1,86-Projects!$C$28+1),0)+IF(AND(Projects!$G$29="Yes",86&gt;=Projects!$C$29,86&lt;Projects!$C$29+Projects!$D$29),Projects!$B$29*INDEX(Curves!$B$4:$AR$4,1,86-Projects!$C$29+1),0)+IF(AND(Projects!$G$30="Yes",86&gt;=Projects!$C$30,86&lt;Projects!$C$30+Projects!$D$30),Projects!$B$30*INDEX(Curves!$B$4:$AR$4,1,86-Projects!$C$30+1),0)+IF(AND(Projects!$G$31="Yes",86&gt;=Projects!$C$31,86&lt;Projects!$C$31+Projects!$D$31),Projects!$B$31*INDEX(Curves!$B$4:$AR$4,1,86-Projects!$C$31+1),0)+IF(AND(Projects!$G$32="Yes",86&gt;=Projects!$C$32,86&lt;Projects!$C$32+Projects!$D$32),Projects!$B$32*INDEX(Curves!$B$4:$AR$4,1,86-Projects!$C$32+1),0)+IF(AND(Projects!$G$33="Yes",86&gt;=Projects!$C$33,86&lt;Projects!$C$33+Projects!$D$33),Projects!$B$33*INDEX(Curves!$B$4:$AR$4,1,86-Projects!$C$33+1),0)+IF(AND(Projects!$G$34="Yes",86&gt;=Projects!$C$34,86&lt;Projects!$C$34+Projects!$D$34),Projects!$B$34*INDEX(Curves!$B$4:$AR$4,1,86-Projects!$C$34+1),0)+IF(AND(Projects!$G$35="Yes",86&gt;=Projects!$C$35,86&lt;Projects!$C$35+Projects!$D$35),Projects!$B$35*INDEX(Curves!$B$4:$AR$4,1,86-Projects!$C$35+1),0)+IF(AND(Projects!$G$36="Yes",86&gt;=Projects!$C$36,86&lt;Projects!$C$36+Projects!$D$36),Projects!$B$36*INDEX(Curves!$B$4:$AR$4,1,86-Projects!$C$36+1),0)+IF(AND(Projects!$G$37="Yes",86&gt;=Projects!$C$37,86&lt;Projects!$C$37+Projects!$D$37),Projects!$B$37*INDEX(Curves!$B$4:$AR$4,1,86-Projects!$C$37+1),0)+IF(AND(Projects!$G$38="Yes",86&gt;=Projects!$C$38,86&lt;Projects!$C$38+Projects!$D$38),Projects!$B$38*INDEX(Curves!$B$4:$AR$4,1,86-Projects!$C$38+1),0)+IF(AND(Projects!$G$39="Yes",86&gt;=Projects!$C$39,86&lt;Projects!$C$39+Projects!$D$39),Projects!$B$39*INDEX(Curves!$B$4:$AR$4,1,86-Projects!$C$39+1),0)+IF(AND(Projects!$G$40="Yes",86&gt;=Projects!$C$40,86&lt;Projects!$C$40+Projects!$D$40),Projects!$B$40*INDEX(Curves!$B$4:$AR$4,1,86-Projects!$C$40+1),0)+IF(AND(Projects!$G$41="Yes",86&gt;=Projects!$C$41,86&lt;Projects!$C$41+Projects!$D$41),Projects!$B$41*INDEX(Curves!$B$4:$AR$4,1,86-Projects!$C$41+1),0)+IF(AND(Projects!$G$42="Yes",86&gt;=Projects!$C$42,86&lt;Projects!$C$42+Projects!$D$42),Projects!$B$42*INDEX(Curves!$B$4:$AR$4,1,86-Projects!$C$42+1),0)+IF(AND(Projects!$G$43="Yes",86&gt;=Projects!$C$43,86&lt;Projects!$C$43+Projects!$D$43),Projects!$B$43*INDEX(Curves!$B$4:$AR$4,1,86-Projects!$C$43+1),0)+IF(AND(Projects!$G$44="Yes",86&gt;=Projects!$C$44,86&lt;Projects!$C$44+Projects!$D$44),Projects!$B$44*INDEX(Curves!$B$4:$AR$4,1,86-Projects!$C$44+1),0)+IF(AND(Projects!$G$45="Yes",86&gt;=Projects!$C$45,86&lt;Projects!$C$45+Projects!$D$45),Projects!$B$45*INDEX(Curves!$B$4:$AR$4,1,86-Projects!$C$45+1),0)+IF(AND(Projects!$G$46="Yes",86&gt;=Projects!$C$46,86&lt;Projects!$C$46+Projects!$D$46),Projects!$B$46*INDEX(Curves!$B$4:$AR$4,1,86-Projects!$C$46+1),0)</f>
        <v>0</v>
      </c>
      <c r="CN96" s="313" t="n">
        <f aca="false">IF(AND(Projects!$G$17="Yes",87&gt;=Projects!$C$17,87&lt;Projects!$C$17+Projects!$D$17),Projects!$B$17*INDEX(Curves!$B$4:$AR$4,1,87-Projects!$C$17+1),0)+IF(AND(Projects!$G$18="Yes",87&gt;=Projects!$C$18,87&lt;Projects!$C$18+Projects!$D$18),Projects!$B$18*INDEX(Curves!$B$4:$AR$4,1,87-Projects!$C$18+1),0)+IF(AND(Projects!$G$19="Yes",87&gt;=Projects!$C$19,87&lt;Projects!$C$19+Projects!$D$19),Projects!$B$19*INDEX(Curves!$B$4:$AR$4,1,87-Projects!$C$19+1),0)+IF(AND(Projects!$G$20="Yes",87&gt;=Projects!$C$20,87&lt;Projects!$C$20+Projects!$D$20),Projects!$B$20*INDEX(Curves!$B$4:$AR$4,1,87-Projects!$C$20+1),0)+IF(AND(Projects!$G$21="Yes",87&gt;=Projects!$C$21,87&lt;Projects!$C$21+Projects!$D$21),Projects!$B$21*INDEX(Curves!$B$4:$AR$4,1,87-Projects!$C$21+1),0)+IF(AND(Projects!$G$22="Yes",87&gt;=Projects!$C$22,87&lt;Projects!$C$22+Projects!$D$22),Projects!$B$22*INDEX(Curves!$B$4:$AR$4,1,87-Projects!$C$22+1),0)+IF(AND(Projects!$G$23="Yes",87&gt;=Projects!$C$23,87&lt;Projects!$C$23+Projects!$D$23),Projects!$B$23*INDEX(Curves!$B$4:$AR$4,1,87-Projects!$C$23+1),0)+IF(AND(Projects!$G$24="Yes",87&gt;=Projects!$C$24,87&lt;Projects!$C$24+Projects!$D$24),Projects!$B$24*INDEX(Curves!$B$4:$AR$4,1,87-Projects!$C$24+1),0)+IF(AND(Projects!$G$25="Yes",87&gt;=Projects!$C$25,87&lt;Projects!$C$25+Projects!$D$25),Projects!$B$25*INDEX(Curves!$B$4:$AR$4,1,87-Projects!$C$25+1),0)+IF(AND(Projects!$G$26="Yes",87&gt;=Projects!$C$26,87&lt;Projects!$C$26+Projects!$D$26),Projects!$B$26*INDEX(Curves!$B$4:$AR$4,1,87-Projects!$C$26+1),0)+IF(AND(Projects!$G$27="Yes",87&gt;=Projects!$C$27,87&lt;Projects!$C$27+Projects!$D$27),Projects!$B$27*INDEX(Curves!$B$4:$AR$4,1,87-Projects!$C$27+1),0)+IF(AND(Projects!$G$28="Yes",87&gt;=Projects!$C$28,87&lt;Projects!$C$28+Projects!$D$28),Projects!$B$28*INDEX(Curves!$B$4:$AR$4,1,87-Projects!$C$28+1),0)+IF(AND(Projects!$G$29="Yes",87&gt;=Projects!$C$29,87&lt;Projects!$C$29+Projects!$D$29),Projects!$B$29*INDEX(Curves!$B$4:$AR$4,1,87-Projects!$C$29+1),0)+IF(AND(Projects!$G$30="Yes",87&gt;=Projects!$C$30,87&lt;Projects!$C$30+Projects!$D$30),Projects!$B$30*INDEX(Curves!$B$4:$AR$4,1,87-Projects!$C$30+1),0)+IF(AND(Projects!$G$31="Yes",87&gt;=Projects!$C$31,87&lt;Projects!$C$31+Projects!$D$31),Projects!$B$31*INDEX(Curves!$B$4:$AR$4,1,87-Projects!$C$31+1),0)+IF(AND(Projects!$G$32="Yes",87&gt;=Projects!$C$32,87&lt;Projects!$C$32+Projects!$D$32),Projects!$B$32*INDEX(Curves!$B$4:$AR$4,1,87-Projects!$C$32+1),0)+IF(AND(Projects!$G$33="Yes",87&gt;=Projects!$C$33,87&lt;Projects!$C$33+Projects!$D$33),Projects!$B$33*INDEX(Curves!$B$4:$AR$4,1,87-Projects!$C$33+1),0)+IF(AND(Projects!$G$34="Yes",87&gt;=Projects!$C$34,87&lt;Projects!$C$34+Projects!$D$34),Projects!$B$34*INDEX(Curves!$B$4:$AR$4,1,87-Projects!$C$34+1),0)+IF(AND(Projects!$G$35="Yes",87&gt;=Projects!$C$35,87&lt;Projects!$C$35+Projects!$D$35),Projects!$B$35*INDEX(Curves!$B$4:$AR$4,1,87-Projects!$C$35+1),0)+IF(AND(Projects!$G$36="Yes",87&gt;=Projects!$C$36,87&lt;Projects!$C$36+Projects!$D$36),Projects!$B$36*INDEX(Curves!$B$4:$AR$4,1,87-Projects!$C$36+1),0)+IF(AND(Projects!$G$37="Yes",87&gt;=Projects!$C$37,87&lt;Projects!$C$37+Projects!$D$37),Projects!$B$37*INDEX(Curves!$B$4:$AR$4,1,87-Projects!$C$37+1),0)+IF(AND(Projects!$G$38="Yes",87&gt;=Projects!$C$38,87&lt;Projects!$C$38+Projects!$D$38),Projects!$B$38*INDEX(Curves!$B$4:$AR$4,1,87-Projects!$C$38+1),0)+IF(AND(Projects!$G$39="Yes",87&gt;=Projects!$C$39,87&lt;Projects!$C$39+Projects!$D$39),Projects!$B$39*INDEX(Curves!$B$4:$AR$4,1,87-Projects!$C$39+1),0)+IF(AND(Projects!$G$40="Yes",87&gt;=Projects!$C$40,87&lt;Projects!$C$40+Projects!$D$40),Projects!$B$40*INDEX(Curves!$B$4:$AR$4,1,87-Projects!$C$40+1),0)+IF(AND(Projects!$G$41="Yes",87&gt;=Projects!$C$41,87&lt;Projects!$C$41+Projects!$D$41),Projects!$B$41*INDEX(Curves!$B$4:$AR$4,1,87-Projects!$C$41+1),0)+IF(AND(Projects!$G$42="Yes",87&gt;=Projects!$C$42,87&lt;Projects!$C$42+Projects!$D$42),Projects!$B$42*INDEX(Curves!$B$4:$AR$4,1,87-Projects!$C$42+1),0)+IF(AND(Projects!$G$43="Yes",87&gt;=Projects!$C$43,87&lt;Projects!$C$43+Projects!$D$43),Projects!$B$43*INDEX(Curves!$B$4:$AR$4,1,87-Projects!$C$43+1),0)+IF(AND(Projects!$G$44="Yes",87&gt;=Projects!$C$44,87&lt;Projects!$C$44+Projects!$D$44),Projects!$B$44*INDEX(Curves!$B$4:$AR$4,1,87-Projects!$C$44+1),0)+IF(AND(Projects!$G$45="Yes",87&gt;=Projects!$C$45,87&lt;Projects!$C$45+Projects!$D$45),Projects!$B$45*INDEX(Curves!$B$4:$AR$4,1,87-Projects!$C$45+1),0)+IF(AND(Projects!$G$46="Yes",87&gt;=Projects!$C$46,87&lt;Projects!$C$46+Projects!$D$46),Projects!$B$46*INDEX(Curves!$B$4:$AR$4,1,87-Projects!$C$46+1),0)</f>
        <v>0</v>
      </c>
      <c r="CO96" s="313" t="n">
        <f aca="false">IF(AND(Projects!$G$17="Yes",88&gt;=Projects!$C$17,88&lt;Projects!$C$17+Projects!$D$17),Projects!$B$17*INDEX(Curves!$B$4:$AR$4,1,88-Projects!$C$17+1),0)+IF(AND(Projects!$G$18="Yes",88&gt;=Projects!$C$18,88&lt;Projects!$C$18+Projects!$D$18),Projects!$B$18*INDEX(Curves!$B$4:$AR$4,1,88-Projects!$C$18+1),0)+IF(AND(Projects!$G$19="Yes",88&gt;=Projects!$C$19,88&lt;Projects!$C$19+Projects!$D$19),Projects!$B$19*INDEX(Curves!$B$4:$AR$4,1,88-Projects!$C$19+1),0)+IF(AND(Projects!$G$20="Yes",88&gt;=Projects!$C$20,88&lt;Projects!$C$20+Projects!$D$20),Projects!$B$20*INDEX(Curves!$B$4:$AR$4,1,88-Projects!$C$20+1),0)+IF(AND(Projects!$G$21="Yes",88&gt;=Projects!$C$21,88&lt;Projects!$C$21+Projects!$D$21),Projects!$B$21*INDEX(Curves!$B$4:$AR$4,1,88-Projects!$C$21+1),0)+IF(AND(Projects!$G$22="Yes",88&gt;=Projects!$C$22,88&lt;Projects!$C$22+Projects!$D$22),Projects!$B$22*INDEX(Curves!$B$4:$AR$4,1,88-Projects!$C$22+1),0)+IF(AND(Projects!$G$23="Yes",88&gt;=Projects!$C$23,88&lt;Projects!$C$23+Projects!$D$23),Projects!$B$23*INDEX(Curves!$B$4:$AR$4,1,88-Projects!$C$23+1),0)+IF(AND(Projects!$G$24="Yes",88&gt;=Projects!$C$24,88&lt;Projects!$C$24+Projects!$D$24),Projects!$B$24*INDEX(Curves!$B$4:$AR$4,1,88-Projects!$C$24+1),0)+IF(AND(Projects!$G$25="Yes",88&gt;=Projects!$C$25,88&lt;Projects!$C$25+Projects!$D$25),Projects!$B$25*INDEX(Curves!$B$4:$AR$4,1,88-Projects!$C$25+1),0)+IF(AND(Projects!$G$26="Yes",88&gt;=Projects!$C$26,88&lt;Projects!$C$26+Projects!$D$26),Projects!$B$26*INDEX(Curves!$B$4:$AR$4,1,88-Projects!$C$26+1),0)+IF(AND(Projects!$G$27="Yes",88&gt;=Projects!$C$27,88&lt;Projects!$C$27+Projects!$D$27),Projects!$B$27*INDEX(Curves!$B$4:$AR$4,1,88-Projects!$C$27+1),0)+IF(AND(Projects!$G$28="Yes",88&gt;=Projects!$C$28,88&lt;Projects!$C$28+Projects!$D$28),Projects!$B$28*INDEX(Curves!$B$4:$AR$4,1,88-Projects!$C$28+1),0)+IF(AND(Projects!$G$29="Yes",88&gt;=Projects!$C$29,88&lt;Projects!$C$29+Projects!$D$29),Projects!$B$29*INDEX(Curves!$B$4:$AR$4,1,88-Projects!$C$29+1),0)+IF(AND(Projects!$G$30="Yes",88&gt;=Projects!$C$30,88&lt;Projects!$C$30+Projects!$D$30),Projects!$B$30*INDEX(Curves!$B$4:$AR$4,1,88-Projects!$C$30+1),0)+IF(AND(Projects!$G$31="Yes",88&gt;=Projects!$C$31,88&lt;Projects!$C$31+Projects!$D$31),Projects!$B$31*INDEX(Curves!$B$4:$AR$4,1,88-Projects!$C$31+1),0)+IF(AND(Projects!$G$32="Yes",88&gt;=Projects!$C$32,88&lt;Projects!$C$32+Projects!$D$32),Projects!$B$32*INDEX(Curves!$B$4:$AR$4,1,88-Projects!$C$32+1),0)+IF(AND(Projects!$G$33="Yes",88&gt;=Projects!$C$33,88&lt;Projects!$C$33+Projects!$D$33),Projects!$B$33*INDEX(Curves!$B$4:$AR$4,1,88-Projects!$C$33+1),0)+IF(AND(Projects!$G$34="Yes",88&gt;=Projects!$C$34,88&lt;Projects!$C$34+Projects!$D$34),Projects!$B$34*INDEX(Curves!$B$4:$AR$4,1,88-Projects!$C$34+1),0)+IF(AND(Projects!$G$35="Yes",88&gt;=Projects!$C$35,88&lt;Projects!$C$35+Projects!$D$35),Projects!$B$35*INDEX(Curves!$B$4:$AR$4,1,88-Projects!$C$35+1),0)+IF(AND(Projects!$G$36="Yes",88&gt;=Projects!$C$36,88&lt;Projects!$C$36+Projects!$D$36),Projects!$B$36*INDEX(Curves!$B$4:$AR$4,1,88-Projects!$C$36+1),0)+IF(AND(Projects!$G$37="Yes",88&gt;=Projects!$C$37,88&lt;Projects!$C$37+Projects!$D$37),Projects!$B$37*INDEX(Curves!$B$4:$AR$4,1,88-Projects!$C$37+1),0)+IF(AND(Projects!$G$38="Yes",88&gt;=Projects!$C$38,88&lt;Projects!$C$38+Projects!$D$38),Projects!$B$38*INDEX(Curves!$B$4:$AR$4,1,88-Projects!$C$38+1),0)+IF(AND(Projects!$G$39="Yes",88&gt;=Projects!$C$39,88&lt;Projects!$C$39+Projects!$D$39),Projects!$B$39*INDEX(Curves!$B$4:$AR$4,1,88-Projects!$C$39+1),0)+IF(AND(Projects!$G$40="Yes",88&gt;=Projects!$C$40,88&lt;Projects!$C$40+Projects!$D$40),Projects!$B$40*INDEX(Curves!$B$4:$AR$4,1,88-Projects!$C$40+1),0)+IF(AND(Projects!$G$41="Yes",88&gt;=Projects!$C$41,88&lt;Projects!$C$41+Projects!$D$41),Projects!$B$41*INDEX(Curves!$B$4:$AR$4,1,88-Projects!$C$41+1),0)+IF(AND(Projects!$G$42="Yes",88&gt;=Projects!$C$42,88&lt;Projects!$C$42+Projects!$D$42),Projects!$B$42*INDEX(Curves!$B$4:$AR$4,1,88-Projects!$C$42+1),0)+IF(AND(Projects!$G$43="Yes",88&gt;=Projects!$C$43,88&lt;Projects!$C$43+Projects!$D$43),Projects!$B$43*INDEX(Curves!$B$4:$AR$4,1,88-Projects!$C$43+1),0)+IF(AND(Projects!$G$44="Yes",88&gt;=Projects!$C$44,88&lt;Projects!$C$44+Projects!$D$44),Projects!$B$44*INDEX(Curves!$B$4:$AR$4,1,88-Projects!$C$44+1),0)+IF(AND(Projects!$G$45="Yes",88&gt;=Projects!$C$45,88&lt;Projects!$C$45+Projects!$D$45),Projects!$B$45*INDEX(Curves!$B$4:$AR$4,1,88-Projects!$C$45+1),0)+IF(AND(Projects!$G$46="Yes",88&gt;=Projects!$C$46,88&lt;Projects!$C$46+Projects!$D$46),Projects!$B$46*INDEX(Curves!$B$4:$AR$4,1,88-Projects!$C$46+1),0)</f>
        <v>0</v>
      </c>
      <c r="CP96" s="313" t="n">
        <f aca="false">IF(AND(Projects!$G$17="Yes",89&gt;=Projects!$C$17,89&lt;Projects!$C$17+Projects!$D$17),Projects!$B$17*INDEX(Curves!$B$4:$AR$4,1,89-Projects!$C$17+1),0)+IF(AND(Projects!$G$18="Yes",89&gt;=Projects!$C$18,89&lt;Projects!$C$18+Projects!$D$18),Projects!$B$18*INDEX(Curves!$B$4:$AR$4,1,89-Projects!$C$18+1),0)+IF(AND(Projects!$G$19="Yes",89&gt;=Projects!$C$19,89&lt;Projects!$C$19+Projects!$D$19),Projects!$B$19*INDEX(Curves!$B$4:$AR$4,1,89-Projects!$C$19+1),0)+IF(AND(Projects!$G$20="Yes",89&gt;=Projects!$C$20,89&lt;Projects!$C$20+Projects!$D$20),Projects!$B$20*INDEX(Curves!$B$4:$AR$4,1,89-Projects!$C$20+1),0)+IF(AND(Projects!$G$21="Yes",89&gt;=Projects!$C$21,89&lt;Projects!$C$21+Projects!$D$21),Projects!$B$21*INDEX(Curves!$B$4:$AR$4,1,89-Projects!$C$21+1),0)+IF(AND(Projects!$G$22="Yes",89&gt;=Projects!$C$22,89&lt;Projects!$C$22+Projects!$D$22),Projects!$B$22*INDEX(Curves!$B$4:$AR$4,1,89-Projects!$C$22+1),0)+IF(AND(Projects!$G$23="Yes",89&gt;=Projects!$C$23,89&lt;Projects!$C$23+Projects!$D$23),Projects!$B$23*INDEX(Curves!$B$4:$AR$4,1,89-Projects!$C$23+1),0)+IF(AND(Projects!$G$24="Yes",89&gt;=Projects!$C$24,89&lt;Projects!$C$24+Projects!$D$24),Projects!$B$24*INDEX(Curves!$B$4:$AR$4,1,89-Projects!$C$24+1),0)+IF(AND(Projects!$G$25="Yes",89&gt;=Projects!$C$25,89&lt;Projects!$C$25+Projects!$D$25),Projects!$B$25*INDEX(Curves!$B$4:$AR$4,1,89-Projects!$C$25+1),0)+IF(AND(Projects!$G$26="Yes",89&gt;=Projects!$C$26,89&lt;Projects!$C$26+Projects!$D$26),Projects!$B$26*INDEX(Curves!$B$4:$AR$4,1,89-Projects!$C$26+1),0)+IF(AND(Projects!$G$27="Yes",89&gt;=Projects!$C$27,89&lt;Projects!$C$27+Projects!$D$27),Projects!$B$27*INDEX(Curves!$B$4:$AR$4,1,89-Projects!$C$27+1),0)+IF(AND(Projects!$G$28="Yes",89&gt;=Projects!$C$28,89&lt;Projects!$C$28+Projects!$D$28),Projects!$B$28*INDEX(Curves!$B$4:$AR$4,1,89-Projects!$C$28+1),0)+IF(AND(Projects!$G$29="Yes",89&gt;=Projects!$C$29,89&lt;Projects!$C$29+Projects!$D$29),Projects!$B$29*INDEX(Curves!$B$4:$AR$4,1,89-Projects!$C$29+1),0)+IF(AND(Projects!$G$30="Yes",89&gt;=Projects!$C$30,89&lt;Projects!$C$30+Projects!$D$30),Projects!$B$30*INDEX(Curves!$B$4:$AR$4,1,89-Projects!$C$30+1),0)+IF(AND(Projects!$G$31="Yes",89&gt;=Projects!$C$31,89&lt;Projects!$C$31+Projects!$D$31),Projects!$B$31*INDEX(Curves!$B$4:$AR$4,1,89-Projects!$C$31+1),0)+IF(AND(Projects!$G$32="Yes",89&gt;=Projects!$C$32,89&lt;Projects!$C$32+Projects!$D$32),Projects!$B$32*INDEX(Curves!$B$4:$AR$4,1,89-Projects!$C$32+1),0)+IF(AND(Projects!$G$33="Yes",89&gt;=Projects!$C$33,89&lt;Projects!$C$33+Projects!$D$33),Projects!$B$33*INDEX(Curves!$B$4:$AR$4,1,89-Projects!$C$33+1),0)+IF(AND(Projects!$G$34="Yes",89&gt;=Projects!$C$34,89&lt;Projects!$C$34+Projects!$D$34),Projects!$B$34*INDEX(Curves!$B$4:$AR$4,1,89-Projects!$C$34+1),0)+IF(AND(Projects!$G$35="Yes",89&gt;=Projects!$C$35,89&lt;Projects!$C$35+Projects!$D$35),Projects!$B$35*INDEX(Curves!$B$4:$AR$4,1,89-Projects!$C$35+1),0)+IF(AND(Projects!$G$36="Yes",89&gt;=Projects!$C$36,89&lt;Projects!$C$36+Projects!$D$36),Projects!$B$36*INDEX(Curves!$B$4:$AR$4,1,89-Projects!$C$36+1),0)+IF(AND(Projects!$G$37="Yes",89&gt;=Projects!$C$37,89&lt;Projects!$C$37+Projects!$D$37),Projects!$B$37*INDEX(Curves!$B$4:$AR$4,1,89-Projects!$C$37+1),0)+IF(AND(Projects!$G$38="Yes",89&gt;=Projects!$C$38,89&lt;Projects!$C$38+Projects!$D$38),Projects!$B$38*INDEX(Curves!$B$4:$AR$4,1,89-Projects!$C$38+1),0)+IF(AND(Projects!$G$39="Yes",89&gt;=Projects!$C$39,89&lt;Projects!$C$39+Projects!$D$39),Projects!$B$39*INDEX(Curves!$B$4:$AR$4,1,89-Projects!$C$39+1),0)+IF(AND(Projects!$G$40="Yes",89&gt;=Projects!$C$40,89&lt;Projects!$C$40+Projects!$D$40),Projects!$B$40*INDEX(Curves!$B$4:$AR$4,1,89-Projects!$C$40+1),0)+IF(AND(Projects!$G$41="Yes",89&gt;=Projects!$C$41,89&lt;Projects!$C$41+Projects!$D$41),Projects!$B$41*INDEX(Curves!$B$4:$AR$4,1,89-Projects!$C$41+1),0)+IF(AND(Projects!$G$42="Yes",89&gt;=Projects!$C$42,89&lt;Projects!$C$42+Projects!$D$42),Projects!$B$42*INDEX(Curves!$B$4:$AR$4,1,89-Projects!$C$42+1),0)+IF(AND(Projects!$G$43="Yes",89&gt;=Projects!$C$43,89&lt;Projects!$C$43+Projects!$D$43),Projects!$B$43*INDEX(Curves!$B$4:$AR$4,1,89-Projects!$C$43+1),0)+IF(AND(Projects!$G$44="Yes",89&gt;=Projects!$C$44,89&lt;Projects!$C$44+Projects!$D$44),Projects!$B$44*INDEX(Curves!$B$4:$AR$4,1,89-Projects!$C$44+1),0)+IF(AND(Projects!$G$45="Yes",89&gt;=Projects!$C$45,89&lt;Projects!$C$45+Projects!$D$45),Projects!$B$45*INDEX(Curves!$B$4:$AR$4,1,89-Projects!$C$45+1),0)+IF(AND(Projects!$G$46="Yes",89&gt;=Projects!$C$46,89&lt;Projects!$C$46+Projects!$D$46),Projects!$B$46*INDEX(Curves!$B$4:$AR$4,1,89-Projects!$C$46+1),0)</f>
        <v>0</v>
      </c>
      <c r="CQ96" s="313" t="n">
        <f aca="false">IF(AND(Projects!$G$17="Yes",90&gt;=Projects!$C$17,90&lt;Projects!$C$17+Projects!$D$17),Projects!$B$17*INDEX(Curves!$B$4:$AR$4,1,90-Projects!$C$17+1),0)+IF(AND(Projects!$G$18="Yes",90&gt;=Projects!$C$18,90&lt;Projects!$C$18+Projects!$D$18),Projects!$B$18*INDEX(Curves!$B$4:$AR$4,1,90-Projects!$C$18+1),0)+IF(AND(Projects!$G$19="Yes",90&gt;=Projects!$C$19,90&lt;Projects!$C$19+Projects!$D$19),Projects!$B$19*INDEX(Curves!$B$4:$AR$4,1,90-Projects!$C$19+1),0)+IF(AND(Projects!$G$20="Yes",90&gt;=Projects!$C$20,90&lt;Projects!$C$20+Projects!$D$20),Projects!$B$20*INDEX(Curves!$B$4:$AR$4,1,90-Projects!$C$20+1),0)+IF(AND(Projects!$G$21="Yes",90&gt;=Projects!$C$21,90&lt;Projects!$C$21+Projects!$D$21),Projects!$B$21*INDEX(Curves!$B$4:$AR$4,1,90-Projects!$C$21+1),0)+IF(AND(Projects!$G$22="Yes",90&gt;=Projects!$C$22,90&lt;Projects!$C$22+Projects!$D$22),Projects!$B$22*INDEX(Curves!$B$4:$AR$4,1,90-Projects!$C$22+1),0)+IF(AND(Projects!$G$23="Yes",90&gt;=Projects!$C$23,90&lt;Projects!$C$23+Projects!$D$23),Projects!$B$23*INDEX(Curves!$B$4:$AR$4,1,90-Projects!$C$23+1),0)+IF(AND(Projects!$G$24="Yes",90&gt;=Projects!$C$24,90&lt;Projects!$C$24+Projects!$D$24),Projects!$B$24*INDEX(Curves!$B$4:$AR$4,1,90-Projects!$C$24+1),0)+IF(AND(Projects!$G$25="Yes",90&gt;=Projects!$C$25,90&lt;Projects!$C$25+Projects!$D$25),Projects!$B$25*INDEX(Curves!$B$4:$AR$4,1,90-Projects!$C$25+1),0)+IF(AND(Projects!$G$26="Yes",90&gt;=Projects!$C$26,90&lt;Projects!$C$26+Projects!$D$26),Projects!$B$26*INDEX(Curves!$B$4:$AR$4,1,90-Projects!$C$26+1),0)+IF(AND(Projects!$G$27="Yes",90&gt;=Projects!$C$27,90&lt;Projects!$C$27+Projects!$D$27),Projects!$B$27*INDEX(Curves!$B$4:$AR$4,1,90-Projects!$C$27+1),0)+IF(AND(Projects!$G$28="Yes",90&gt;=Projects!$C$28,90&lt;Projects!$C$28+Projects!$D$28),Projects!$B$28*INDEX(Curves!$B$4:$AR$4,1,90-Projects!$C$28+1),0)+IF(AND(Projects!$G$29="Yes",90&gt;=Projects!$C$29,90&lt;Projects!$C$29+Projects!$D$29),Projects!$B$29*INDEX(Curves!$B$4:$AR$4,1,90-Projects!$C$29+1),0)+IF(AND(Projects!$G$30="Yes",90&gt;=Projects!$C$30,90&lt;Projects!$C$30+Projects!$D$30),Projects!$B$30*INDEX(Curves!$B$4:$AR$4,1,90-Projects!$C$30+1),0)+IF(AND(Projects!$G$31="Yes",90&gt;=Projects!$C$31,90&lt;Projects!$C$31+Projects!$D$31),Projects!$B$31*INDEX(Curves!$B$4:$AR$4,1,90-Projects!$C$31+1),0)+IF(AND(Projects!$G$32="Yes",90&gt;=Projects!$C$32,90&lt;Projects!$C$32+Projects!$D$32),Projects!$B$32*INDEX(Curves!$B$4:$AR$4,1,90-Projects!$C$32+1),0)+IF(AND(Projects!$G$33="Yes",90&gt;=Projects!$C$33,90&lt;Projects!$C$33+Projects!$D$33),Projects!$B$33*INDEX(Curves!$B$4:$AR$4,1,90-Projects!$C$33+1),0)+IF(AND(Projects!$G$34="Yes",90&gt;=Projects!$C$34,90&lt;Projects!$C$34+Projects!$D$34),Projects!$B$34*INDEX(Curves!$B$4:$AR$4,1,90-Projects!$C$34+1),0)+IF(AND(Projects!$G$35="Yes",90&gt;=Projects!$C$35,90&lt;Projects!$C$35+Projects!$D$35),Projects!$B$35*INDEX(Curves!$B$4:$AR$4,1,90-Projects!$C$35+1),0)+IF(AND(Projects!$G$36="Yes",90&gt;=Projects!$C$36,90&lt;Projects!$C$36+Projects!$D$36),Projects!$B$36*INDEX(Curves!$B$4:$AR$4,1,90-Projects!$C$36+1),0)+IF(AND(Projects!$G$37="Yes",90&gt;=Projects!$C$37,90&lt;Projects!$C$37+Projects!$D$37),Projects!$B$37*INDEX(Curves!$B$4:$AR$4,1,90-Projects!$C$37+1),0)+IF(AND(Projects!$G$38="Yes",90&gt;=Projects!$C$38,90&lt;Projects!$C$38+Projects!$D$38),Projects!$B$38*INDEX(Curves!$B$4:$AR$4,1,90-Projects!$C$38+1),0)+IF(AND(Projects!$G$39="Yes",90&gt;=Projects!$C$39,90&lt;Projects!$C$39+Projects!$D$39),Projects!$B$39*INDEX(Curves!$B$4:$AR$4,1,90-Projects!$C$39+1),0)+IF(AND(Projects!$G$40="Yes",90&gt;=Projects!$C$40,90&lt;Projects!$C$40+Projects!$D$40),Projects!$B$40*INDEX(Curves!$B$4:$AR$4,1,90-Projects!$C$40+1),0)+IF(AND(Projects!$G$41="Yes",90&gt;=Projects!$C$41,90&lt;Projects!$C$41+Projects!$D$41),Projects!$B$41*INDEX(Curves!$B$4:$AR$4,1,90-Projects!$C$41+1),0)+IF(AND(Projects!$G$42="Yes",90&gt;=Projects!$C$42,90&lt;Projects!$C$42+Projects!$D$42),Projects!$B$42*INDEX(Curves!$B$4:$AR$4,1,90-Projects!$C$42+1),0)+IF(AND(Projects!$G$43="Yes",90&gt;=Projects!$C$43,90&lt;Projects!$C$43+Projects!$D$43),Projects!$B$43*INDEX(Curves!$B$4:$AR$4,1,90-Projects!$C$43+1),0)+IF(AND(Projects!$G$44="Yes",90&gt;=Projects!$C$44,90&lt;Projects!$C$44+Projects!$D$44),Projects!$B$44*INDEX(Curves!$B$4:$AR$4,1,90-Projects!$C$44+1),0)+IF(AND(Projects!$G$45="Yes",90&gt;=Projects!$C$45,90&lt;Projects!$C$45+Projects!$D$45),Projects!$B$45*INDEX(Curves!$B$4:$AR$4,1,90-Projects!$C$45+1),0)+IF(AND(Projects!$G$46="Yes",90&gt;=Projects!$C$46,90&lt;Projects!$C$46+Projects!$D$46),Projects!$B$46*INDEX(Curves!$B$4:$AR$4,1,90-Projects!$C$46+1),0)</f>
        <v>0</v>
      </c>
      <c r="CR96" s="313" t="n">
        <f aca="false">IF(AND(Projects!$G$17="Yes",91&gt;=Projects!$C$17,91&lt;Projects!$C$17+Projects!$D$17),Projects!$B$17*INDEX(Curves!$B$4:$AR$4,1,91-Projects!$C$17+1),0)+IF(AND(Projects!$G$18="Yes",91&gt;=Projects!$C$18,91&lt;Projects!$C$18+Projects!$D$18),Projects!$B$18*INDEX(Curves!$B$4:$AR$4,1,91-Projects!$C$18+1),0)+IF(AND(Projects!$G$19="Yes",91&gt;=Projects!$C$19,91&lt;Projects!$C$19+Projects!$D$19),Projects!$B$19*INDEX(Curves!$B$4:$AR$4,1,91-Projects!$C$19+1),0)+IF(AND(Projects!$G$20="Yes",91&gt;=Projects!$C$20,91&lt;Projects!$C$20+Projects!$D$20),Projects!$B$20*INDEX(Curves!$B$4:$AR$4,1,91-Projects!$C$20+1),0)+IF(AND(Projects!$G$21="Yes",91&gt;=Projects!$C$21,91&lt;Projects!$C$21+Projects!$D$21),Projects!$B$21*INDEX(Curves!$B$4:$AR$4,1,91-Projects!$C$21+1),0)+IF(AND(Projects!$G$22="Yes",91&gt;=Projects!$C$22,91&lt;Projects!$C$22+Projects!$D$22),Projects!$B$22*INDEX(Curves!$B$4:$AR$4,1,91-Projects!$C$22+1),0)+IF(AND(Projects!$G$23="Yes",91&gt;=Projects!$C$23,91&lt;Projects!$C$23+Projects!$D$23),Projects!$B$23*INDEX(Curves!$B$4:$AR$4,1,91-Projects!$C$23+1),0)+IF(AND(Projects!$G$24="Yes",91&gt;=Projects!$C$24,91&lt;Projects!$C$24+Projects!$D$24),Projects!$B$24*INDEX(Curves!$B$4:$AR$4,1,91-Projects!$C$24+1),0)+IF(AND(Projects!$G$25="Yes",91&gt;=Projects!$C$25,91&lt;Projects!$C$25+Projects!$D$25),Projects!$B$25*INDEX(Curves!$B$4:$AR$4,1,91-Projects!$C$25+1),0)+IF(AND(Projects!$G$26="Yes",91&gt;=Projects!$C$26,91&lt;Projects!$C$26+Projects!$D$26),Projects!$B$26*INDEX(Curves!$B$4:$AR$4,1,91-Projects!$C$26+1),0)+IF(AND(Projects!$G$27="Yes",91&gt;=Projects!$C$27,91&lt;Projects!$C$27+Projects!$D$27),Projects!$B$27*INDEX(Curves!$B$4:$AR$4,1,91-Projects!$C$27+1),0)+IF(AND(Projects!$G$28="Yes",91&gt;=Projects!$C$28,91&lt;Projects!$C$28+Projects!$D$28),Projects!$B$28*INDEX(Curves!$B$4:$AR$4,1,91-Projects!$C$28+1),0)+IF(AND(Projects!$G$29="Yes",91&gt;=Projects!$C$29,91&lt;Projects!$C$29+Projects!$D$29),Projects!$B$29*INDEX(Curves!$B$4:$AR$4,1,91-Projects!$C$29+1),0)+IF(AND(Projects!$G$30="Yes",91&gt;=Projects!$C$30,91&lt;Projects!$C$30+Projects!$D$30),Projects!$B$30*INDEX(Curves!$B$4:$AR$4,1,91-Projects!$C$30+1),0)+IF(AND(Projects!$G$31="Yes",91&gt;=Projects!$C$31,91&lt;Projects!$C$31+Projects!$D$31),Projects!$B$31*INDEX(Curves!$B$4:$AR$4,1,91-Projects!$C$31+1),0)+IF(AND(Projects!$G$32="Yes",91&gt;=Projects!$C$32,91&lt;Projects!$C$32+Projects!$D$32),Projects!$B$32*INDEX(Curves!$B$4:$AR$4,1,91-Projects!$C$32+1),0)+IF(AND(Projects!$G$33="Yes",91&gt;=Projects!$C$33,91&lt;Projects!$C$33+Projects!$D$33),Projects!$B$33*INDEX(Curves!$B$4:$AR$4,1,91-Projects!$C$33+1),0)+IF(AND(Projects!$G$34="Yes",91&gt;=Projects!$C$34,91&lt;Projects!$C$34+Projects!$D$34),Projects!$B$34*INDEX(Curves!$B$4:$AR$4,1,91-Projects!$C$34+1),0)+IF(AND(Projects!$G$35="Yes",91&gt;=Projects!$C$35,91&lt;Projects!$C$35+Projects!$D$35),Projects!$B$35*INDEX(Curves!$B$4:$AR$4,1,91-Projects!$C$35+1),0)+IF(AND(Projects!$G$36="Yes",91&gt;=Projects!$C$36,91&lt;Projects!$C$36+Projects!$D$36),Projects!$B$36*INDEX(Curves!$B$4:$AR$4,1,91-Projects!$C$36+1),0)+IF(AND(Projects!$G$37="Yes",91&gt;=Projects!$C$37,91&lt;Projects!$C$37+Projects!$D$37),Projects!$B$37*INDEX(Curves!$B$4:$AR$4,1,91-Projects!$C$37+1),0)+IF(AND(Projects!$G$38="Yes",91&gt;=Projects!$C$38,91&lt;Projects!$C$38+Projects!$D$38),Projects!$B$38*INDEX(Curves!$B$4:$AR$4,1,91-Projects!$C$38+1),0)+IF(AND(Projects!$G$39="Yes",91&gt;=Projects!$C$39,91&lt;Projects!$C$39+Projects!$D$39),Projects!$B$39*INDEX(Curves!$B$4:$AR$4,1,91-Projects!$C$39+1),0)+IF(AND(Projects!$G$40="Yes",91&gt;=Projects!$C$40,91&lt;Projects!$C$40+Projects!$D$40),Projects!$B$40*INDEX(Curves!$B$4:$AR$4,1,91-Projects!$C$40+1),0)+IF(AND(Projects!$G$41="Yes",91&gt;=Projects!$C$41,91&lt;Projects!$C$41+Projects!$D$41),Projects!$B$41*INDEX(Curves!$B$4:$AR$4,1,91-Projects!$C$41+1),0)+IF(AND(Projects!$G$42="Yes",91&gt;=Projects!$C$42,91&lt;Projects!$C$42+Projects!$D$42),Projects!$B$42*INDEX(Curves!$B$4:$AR$4,1,91-Projects!$C$42+1),0)+IF(AND(Projects!$G$43="Yes",91&gt;=Projects!$C$43,91&lt;Projects!$C$43+Projects!$D$43),Projects!$B$43*INDEX(Curves!$B$4:$AR$4,1,91-Projects!$C$43+1),0)+IF(AND(Projects!$G$44="Yes",91&gt;=Projects!$C$44,91&lt;Projects!$C$44+Projects!$D$44),Projects!$B$44*INDEX(Curves!$B$4:$AR$4,1,91-Projects!$C$44+1),0)+IF(AND(Projects!$G$45="Yes",91&gt;=Projects!$C$45,91&lt;Projects!$C$45+Projects!$D$45),Projects!$B$45*INDEX(Curves!$B$4:$AR$4,1,91-Projects!$C$45+1),0)+IF(AND(Projects!$G$46="Yes",91&gt;=Projects!$C$46,91&lt;Projects!$C$46+Projects!$D$46),Projects!$B$46*INDEX(Curves!$B$4:$AR$4,1,91-Projects!$C$46+1),0)</f>
        <v>0</v>
      </c>
      <c r="CS96" s="313" t="n">
        <f aca="false">IF(AND(Projects!$G$17="Yes",92&gt;=Projects!$C$17,92&lt;Projects!$C$17+Projects!$D$17),Projects!$B$17*INDEX(Curves!$B$4:$AR$4,1,92-Projects!$C$17+1),0)+IF(AND(Projects!$G$18="Yes",92&gt;=Projects!$C$18,92&lt;Projects!$C$18+Projects!$D$18),Projects!$B$18*INDEX(Curves!$B$4:$AR$4,1,92-Projects!$C$18+1),0)+IF(AND(Projects!$G$19="Yes",92&gt;=Projects!$C$19,92&lt;Projects!$C$19+Projects!$D$19),Projects!$B$19*INDEX(Curves!$B$4:$AR$4,1,92-Projects!$C$19+1),0)+IF(AND(Projects!$G$20="Yes",92&gt;=Projects!$C$20,92&lt;Projects!$C$20+Projects!$D$20),Projects!$B$20*INDEX(Curves!$B$4:$AR$4,1,92-Projects!$C$20+1),0)+IF(AND(Projects!$G$21="Yes",92&gt;=Projects!$C$21,92&lt;Projects!$C$21+Projects!$D$21),Projects!$B$21*INDEX(Curves!$B$4:$AR$4,1,92-Projects!$C$21+1),0)+IF(AND(Projects!$G$22="Yes",92&gt;=Projects!$C$22,92&lt;Projects!$C$22+Projects!$D$22),Projects!$B$22*INDEX(Curves!$B$4:$AR$4,1,92-Projects!$C$22+1),0)+IF(AND(Projects!$G$23="Yes",92&gt;=Projects!$C$23,92&lt;Projects!$C$23+Projects!$D$23),Projects!$B$23*INDEX(Curves!$B$4:$AR$4,1,92-Projects!$C$23+1),0)+IF(AND(Projects!$G$24="Yes",92&gt;=Projects!$C$24,92&lt;Projects!$C$24+Projects!$D$24),Projects!$B$24*INDEX(Curves!$B$4:$AR$4,1,92-Projects!$C$24+1),0)+IF(AND(Projects!$G$25="Yes",92&gt;=Projects!$C$25,92&lt;Projects!$C$25+Projects!$D$25),Projects!$B$25*INDEX(Curves!$B$4:$AR$4,1,92-Projects!$C$25+1),0)+IF(AND(Projects!$G$26="Yes",92&gt;=Projects!$C$26,92&lt;Projects!$C$26+Projects!$D$26),Projects!$B$26*INDEX(Curves!$B$4:$AR$4,1,92-Projects!$C$26+1),0)+IF(AND(Projects!$G$27="Yes",92&gt;=Projects!$C$27,92&lt;Projects!$C$27+Projects!$D$27),Projects!$B$27*INDEX(Curves!$B$4:$AR$4,1,92-Projects!$C$27+1),0)+IF(AND(Projects!$G$28="Yes",92&gt;=Projects!$C$28,92&lt;Projects!$C$28+Projects!$D$28),Projects!$B$28*INDEX(Curves!$B$4:$AR$4,1,92-Projects!$C$28+1),0)+IF(AND(Projects!$G$29="Yes",92&gt;=Projects!$C$29,92&lt;Projects!$C$29+Projects!$D$29),Projects!$B$29*INDEX(Curves!$B$4:$AR$4,1,92-Projects!$C$29+1),0)+IF(AND(Projects!$G$30="Yes",92&gt;=Projects!$C$30,92&lt;Projects!$C$30+Projects!$D$30),Projects!$B$30*INDEX(Curves!$B$4:$AR$4,1,92-Projects!$C$30+1),0)+IF(AND(Projects!$G$31="Yes",92&gt;=Projects!$C$31,92&lt;Projects!$C$31+Projects!$D$31),Projects!$B$31*INDEX(Curves!$B$4:$AR$4,1,92-Projects!$C$31+1),0)+IF(AND(Projects!$G$32="Yes",92&gt;=Projects!$C$32,92&lt;Projects!$C$32+Projects!$D$32),Projects!$B$32*INDEX(Curves!$B$4:$AR$4,1,92-Projects!$C$32+1),0)+IF(AND(Projects!$G$33="Yes",92&gt;=Projects!$C$33,92&lt;Projects!$C$33+Projects!$D$33),Projects!$B$33*INDEX(Curves!$B$4:$AR$4,1,92-Projects!$C$33+1),0)+IF(AND(Projects!$G$34="Yes",92&gt;=Projects!$C$34,92&lt;Projects!$C$34+Projects!$D$34),Projects!$B$34*INDEX(Curves!$B$4:$AR$4,1,92-Projects!$C$34+1),0)+IF(AND(Projects!$G$35="Yes",92&gt;=Projects!$C$35,92&lt;Projects!$C$35+Projects!$D$35),Projects!$B$35*INDEX(Curves!$B$4:$AR$4,1,92-Projects!$C$35+1),0)+IF(AND(Projects!$G$36="Yes",92&gt;=Projects!$C$36,92&lt;Projects!$C$36+Projects!$D$36),Projects!$B$36*INDEX(Curves!$B$4:$AR$4,1,92-Projects!$C$36+1),0)+IF(AND(Projects!$G$37="Yes",92&gt;=Projects!$C$37,92&lt;Projects!$C$37+Projects!$D$37),Projects!$B$37*INDEX(Curves!$B$4:$AR$4,1,92-Projects!$C$37+1),0)+IF(AND(Projects!$G$38="Yes",92&gt;=Projects!$C$38,92&lt;Projects!$C$38+Projects!$D$38),Projects!$B$38*INDEX(Curves!$B$4:$AR$4,1,92-Projects!$C$38+1),0)+IF(AND(Projects!$G$39="Yes",92&gt;=Projects!$C$39,92&lt;Projects!$C$39+Projects!$D$39),Projects!$B$39*INDEX(Curves!$B$4:$AR$4,1,92-Projects!$C$39+1),0)+IF(AND(Projects!$G$40="Yes",92&gt;=Projects!$C$40,92&lt;Projects!$C$40+Projects!$D$40),Projects!$B$40*INDEX(Curves!$B$4:$AR$4,1,92-Projects!$C$40+1),0)+IF(AND(Projects!$G$41="Yes",92&gt;=Projects!$C$41,92&lt;Projects!$C$41+Projects!$D$41),Projects!$B$41*INDEX(Curves!$B$4:$AR$4,1,92-Projects!$C$41+1),0)+IF(AND(Projects!$G$42="Yes",92&gt;=Projects!$C$42,92&lt;Projects!$C$42+Projects!$D$42),Projects!$B$42*INDEX(Curves!$B$4:$AR$4,1,92-Projects!$C$42+1),0)+IF(AND(Projects!$G$43="Yes",92&gt;=Projects!$C$43,92&lt;Projects!$C$43+Projects!$D$43),Projects!$B$43*INDEX(Curves!$B$4:$AR$4,1,92-Projects!$C$43+1),0)+IF(AND(Projects!$G$44="Yes",92&gt;=Projects!$C$44,92&lt;Projects!$C$44+Projects!$D$44),Projects!$B$44*INDEX(Curves!$B$4:$AR$4,1,92-Projects!$C$44+1),0)+IF(AND(Projects!$G$45="Yes",92&gt;=Projects!$C$45,92&lt;Projects!$C$45+Projects!$D$45),Projects!$B$45*INDEX(Curves!$B$4:$AR$4,1,92-Projects!$C$45+1),0)+IF(AND(Projects!$G$46="Yes",92&gt;=Projects!$C$46,92&lt;Projects!$C$46+Projects!$D$46),Projects!$B$46*INDEX(Curves!$B$4:$AR$4,1,92-Projects!$C$46+1),0)</f>
        <v>0</v>
      </c>
      <c r="CT96" s="313" t="n">
        <f aca="false">IF(AND(Projects!$G$17="Yes",93&gt;=Projects!$C$17,93&lt;Projects!$C$17+Projects!$D$17),Projects!$B$17*INDEX(Curves!$B$4:$AR$4,1,93-Projects!$C$17+1),0)+IF(AND(Projects!$G$18="Yes",93&gt;=Projects!$C$18,93&lt;Projects!$C$18+Projects!$D$18),Projects!$B$18*INDEX(Curves!$B$4:$AR$4,1,93-Projects!$C$18+1),0)+IF(AND(Projects!$G$19="Yes",93&gt;=Projects!$C$19,93&lt;Projects!$C$19+Projects!$D$19),Projects!$B$19*INDEX(Curves!$B$4:$AR$4,1,93-Projects!$C$19+1),0)+IF(AND(Projects!$G$20="Yes",93&gt;=Projects!$C$20,93&lt;Projects!$C$20+Projects!$D$20),Projects!$B$20*INDEX(Curves!$B$4:$AR$4,1,93-Projects!$C$20+1),0)+IF(AND(Projects!$G$21="Yes",93&gt;=Projects!$C$21,93&lt;Projects!$C$21+Projects!$D$21),Projects!$B$21*INDEX(Curves!$B$4:$AR$4,1,93-Projects!$C$21+1),0)+IF(AND(Projects!$G$22="Yes",93&gt;=Projects!$C$22,93&lt;Projects!$C$22+Projects!$D$22),Projects!$B$22*INDEX(Curves!$B$4:$AR$4,1,93-Projects!$C$22+1),0)+IF(AND(Projects!$G$23="Yes",93&gt;=Projects!$C$23,93&lt;Projects!$C$23+Projects!$D$23),Projects!$B$23*INDEX(Curves!$B$4:$AR$4,1,93-Projects!$C$23+1),0)+IF(AND(Projects!$G$24="Yes",93&gt;=Projects!$C$24,93&lt;Projects!$C$24+Projects!$D$24),Projects!$B$24*INDEX(Curves!$B$4:$AR$4,1,93-Projects!$C$24+1),0)+IF(AND(Projects!$G$25="Yes",93&gt;=Projects!$C$25,93&lt;Projects!$C$25+Projects!$D$25),Projects!$B$25*INDEX(Curves!$B$4:$AR$4,1,93-Projects!$C$25+1),0)+IF(AND(Projects!$G$26="Yes",93&gt;=Projects!$C$26,93&lt;Projects!$C$26+Projects!$D$26),Projects!$B$26*INDEX(Curves!$B$4:$AR$4,1,93-Projects!$C$26+1),0)+IF(AND(Projects!$G$27="Yes",93&gt;=Projects!$C$27,93&lt;Projects!$C$27+Projects!$D$27),Projects!$B$27*INDEX(Curves!$B$4:$AR$4,1,93-Projects!$C$27+1),0)+IF(AND(Projects!$G$28="Yes",93&gt;=Projects!$C$28,93&lt;Projects!$C$28+Projects!$D$28),Projects!$B$28*INDEX(Curves!$B$4:$AR$4,1,93-Projects!$C$28+1),0)+IF(AND(Projects!$G$29="Yes",93&gt;=Projects!$C$29,93&lt;Projects!$C$29+Projects!$D$29),Projects!$B$29*INDEX(Curves!$B$4:$AR$4,1,93-Projects!$C$29+1),0)+IF(AND(Projects!$G$30="Yes",93&gt;=Projects!$C$30,93&lt;Projects!$C$30+Projects!$D$30),Projects!$B$30*INDEX(Curves!$B$4:$AR$4,1,93-Projects!$C$30+1),0)+IF(AND(Projects!$G$31="Yes",93&gt;=Projects!$C$31,93&lt;Projects!$C$31+Projects!$D$31),Projects!$B$31*INDEX(Curves!$B$4:$AR$4,1,93-Projects!$C$31+1),0)+IF(AND(Projects!$G$32="Yes",93&gt;=Projects!$C$32,93&lt;Projects!$C$32+Projects!$D$32),Projects!$B$32*INDEX(Curves!$B$4:$AR$4,1,93-Projects!$C$32+1),0)+IF(AND(Projects!$G$33="Yes",93&gt;=Projects!$C$33,93&lt;Projects!$C$33+Projects!$D$33),Projects!$B$33*INDEX(Curves!$B$4:$AR$4,1,93-Projects!$C$33+1),0)+IF(AND(Projects!$G$34="Yes",93&gt;=Projects!$C$34,93&lt;Projects!$C$34+Projects!$D$34),Projects!$B$34*INDEX(Curves!$B$4:$AR$4,1,93-Projects!$C$34+1),0)+IF(AND(Projects!$G$35="Yes",93&gt;=Projects!$C$35,93&lt;Projects!$C$35+Projects!$D$35),Projects!$B$35*INDEX(Curves!$B$4:$AR$4,1,93-Projects!$C$35+1),0)+IF(AND(Projects!$G$36="Yes",93&gt;=Projects!$C$36,93&lt;Projects!$C$36+Projects!$D$36),Projects!$B$36*INDEX(Curves!$B$4:$AR$4,1,93-Projects!$C$36+1),0)+IF(AND(Projects!$G$37="Yes",93&gt;=Projects!$C$37,93&lt;Projects!$C$37+Projects!$D$37),Projects!$B$37*INDEX(Curves!$B$4:$AR$4,1,93-Projects!$C$37+1),0)+IF(AND(Projects!$G$38="Yes",93&gt;=Projects!$C$38,93&lt;Projects!$C$38+Projects!$D$38),Projects!$B$38*INDEX(Curves!$B$4:$AR$4,1,93-Projects!$C$38+1),0)+IF(AND(Projects!$G$39="Yes",93&gt;=Projects!$C$39,93&lt;Projects!$C$39+Projects!$D$39),Projects!$B$39*INDEX(Curves!$B$4:$AR$4,1,93-Projects!$C$39+1),0)+IF(AND(Projects!$G$40="Yes",93&gt;=Projects!$C$40,93&lt;Projects!$C$40+Projects!$D$40),Projects!$B$40*INDEX(Curves!$B$4:$AR$4,1,93-Projects!$C$40+1),0)+IF(AND(Projects!$G$41="Yes",93&gt;=Projects!$C$41,93&lt;Projects!$C$41+Projects!$D$41),Projects!$B$41*INDEX(Curves!$B$4:$AR$4,1,93-Projects!$C$41+1),0)+IF(AND(Projects!$G$42="Yes",93&gt;=Projects!$C$42,93&lt;Projects!$C$42+Projects!$D$42),Projects!$B$42*INDEX(Curves!$B$4:$AR$4,1,93-Projects!$C$42+1),0)+IF(AND(Projects!$G$43="Yes",93&gt;=Projects!$C$43,93&lt;Projects!$C$43+Projects!$D$43),Projects!$B$43*INDEX(Curves!$B$4:$AR$4,1,93-Projects!$C$43+1),0)+IF(AND(Projects!$G$44="Yes",93&gt;=Projects!$C$44,93&lt;Projects!$C$44+Projects!$D$44),Projects!$B$44*INDEX(Curves!$B$4:$AR$4,1,93-Projects!$C$44+1),0)+IF(AND(Projects!$G$45="Yes",93&gt;=Projects!$C$45,93&lt;Projects!$C$45+Projects!$D$45),Projects!$B$45*INDEX(Curves!$B$4:$AR$4,1,93-Projects!$C$45+1),0)+IF(AND(Projects!$G$46="Yes",93&gt;=Projects!$C$46,93&lt;Projects!$C$46+Projects!$D$46),Projects!$B$46*INDEX(Curves!$B$4:$AR$4,1,93-Projects!$C$46+1),0)</f>
        <v>0</v>
      </c>
      <c r="CU96" s="313" t="n">
        <f aca="false">IF(AND(Projects!$G$17="Yes",94&gt;=Projects!$C$17,94&lt;Projects!$C$17+Projects!$D$17),Projects!$B$17*INDEX(Curves!$B$4:$AR$4,1,94-Projects!$C$17+1),0)+IF(AND(Projects!$G$18="Yes",94&gt;=Projects!$C$18,94&lt;Projects!$C$18+Projects!$D$18),Projects!$B$18*INDEX(Curves!$B$4:$AR$4,1,94-Projects!$C$18+1),0)+IF(AND(Projects!$G$19="Yes",94&gt;=Projects!$C$19,94&lt;Projects!$C$19+Projects!$D$19),Projects!$B$19*INDEX(Curves!$B$4:$AR$4,1,94-Projects!$C$19+1),0)+IF(AND(Projects!$G$20="Yes",94&gt;=Projects!$C$20,94&lt;Projects!$C$20+Projects!$D$20),Projects!$B$20*INDEX(Curves!$B$4:$AR$4,1,94-Projects!$C$20+1),0)+IF(AND(Projects!$G$21="Yes",94&gt;=Projects!$C$21,94&lt;Projects!$C$21+Projects!$D$21),Projects!$B$21*INDEX(Curves!$B$4:$AR$4,1,94-Projects!$C$21+1),0)+IF(AND(Projects!$G$22="Yes",94&gt;=Projects!$C$22,94&lt;Projects!$C$22+Projects!$D$22),Projects!$B$22*INDEX(Curves!$B$4:$AR$4,1,94-Projects!$C$22+1),0)+IF(AND(Projects!$G$23="Yes",94&gt;=Projects!$C$23,94&lt;Projects!$C$23+Projects!$D$23),Projects!$B$23*INDEX(Curves!$B$4:$AR$4,1,94-Projects!$C$23+1),0)+IF(AND(Projects!$G$24="Yes",94&gt;=Projects!$C$24,94&lt;Projects!$C$24+Projects!$D$24),Projects!$B$24*INDEX(Curves!$B$4:$AR$4,1,94-Projects!$C$24+1),0)+IF(AND(Projects!$G$25="Yes",94&gt;=Projects!$C$25,94&lt;Projects!$C$25+Projects!$D$25),Projects!$B$25*INDEX(Curves!$B$4:$AR$4,1,94-Projects!$C$25+1),0)+IF(AND(Projects!$G$26="Yes",94&gt;=Projects!$C$26,94&lt;Projects!$C$26+Projects!$D$26),Projects!$B$26*INDEX(Curves!$B$4:$AR$4,1,94-Projects!$C$26+1),0)+IF(AND(Projects!$G$27="Yes",94&gt;=Projects!$C$27,94&lt;Projects!$C$27+Projects!$D$27),Projects!$B$27*INDEX(Curves!$B$4:$AR$4,1,94-Projects!$C$27+1),0)+IF(AND(Projects!$G$28="Yes",94&gt;=Projects!$C$28,94&lt;Projects!$C$28+Projects!$D$28),Projects!$B$28*INDEX(Curves!$B$4:$AR$4,1,94-Projects!$C$28+1),0)+IF(AND(Projects!$G$29="Yes",94&gt;=Projects!$C$29,94&lt;Projects!$C$29+Projects!$D$29),Projects!$B$29*INDEX(Curves!$B$4:$AR$4,1,94-Projects!$C$29+1),0)+IF(AND(Projects!$G$30="Yes",94&gt;=Projects!$C$30,94&lt;Projects!$C$30+Projects!$D$30),Projects!$B$30*INDEX(Curves!$B$4:$AR$4,1,94-Projects!$C$30+1),0)+IF(AND(Projects!$G$31="Yes",94&gt;=Projects!$C$31,94&lt;Projects!$C$31+Projects!$D$31),Projects!$B$31*INDEX(Curves!$B$4:$AR$4,1,94-Projects!$C$31+1),0)+IF(AND(Projects!$G$32="Yes",94&gt;=Projects!$C$32,94&lt;Projects!$C$32+Projects!$D$32),Projects!$B$32*INDEX(Curves!$B$4:$AR$4,1,94-Projects!$C$32+1),0)+IF(AND(Projects!$G$33="Yes",94&gt;=Projects!$C$33,94&lt;Projects!$C$33+Projects!$D$33),Projects!$B$33*INDEX(Curves!$B$4:$AR$4,1,94-Projects!$C$33+1),0)+IF(AND(Projects!$G$34="Yes",94&gt;=Projects!$C$34,94&lt;Projects!$C$34+Projects!$D$34),Projects!$B$34*INDEX(Curves!$B$4:$AR$4,1,94-Projects!$C$34+1),0)+IF(AND(Projects!$G$35="Yes",94&gt;=Projects!$C$35,94&lt;Projects!$C$35+Projects!$D$35),Projects!$B$35*INDEX(Curves!$B$4:$AR$4,1,94-Projects!$C$35+1),0)+IF(AND(Projects!$G$36="Yes",94&gt;=Projects!$C$36,94&lt;Projects!$C$36+Projects!$D$36),Projects!$B$36*INDEX(Curves!$B$4:$AR$4,1,94-Projects!$C$36+1),0)+IF(AND(Projects!$G$37="Yes",94&gt;=Projects!$C$37,94&lt;Projects!$C$37+Projects!$D$37),Projects!$B$37*INDEX(Curves!$B$4:$AR$4,1,94-Projects!$C$37+1),0)+IF(AND(Projects!$G$38="Yes",94&gt;=Projects!$C$38,94&lt;Projects!$C$38+Projects!$D$38),Projects!$B$38*INDEX(Curves!$B$4:$AR$4,1,94-Projects!$C$38+1),0)+IF(AND(Projects!$G$39="Yes",94&gt;=Projects!$C$39,94&lt;Projects!$C$39+Projects!$D$39),Projects!$B$39*INDEX(Curves!$B$4:$AR$4,1,94-Projects!$C$39+1),0)+IF(AND(Projects!$G$40="Yes",94&gt;=Projects!$C$40,94&lt;Projects!$C$40+Projects!$D$40),Projects!$B$40*INDEX(Curves!$B$4:$AR$4,1,94-Projects!$C$40+1),0)+IF(AND(Projects!$G$41="Yes",94&gt;=Projects!$C$41,94&lt;Projects!$C$41+Projects!$D$41),Projects!$B$41*INDEX(Curves!$B$4:$AR$4,1,94-Projects!$C$41+1),0)+IF(AND(Projects!$G$42="Yes",94&gt;=Projects!$C$42,94&lt;Projects!$C$42+Projects!$D$42),Projects!$B$42*INDEX(Curves!$B$4:$AR$4,1,94-Projects!$C$42+1),0)+IF(AND(Projects!$G$43="Yes",94&gt;=Projects!$C$43,94&lt;Projects!$C$43+Projects!$D$43),Projects!$B$43*INDEX(Curves!$B$4:$AR$4,1,94-Projects!$C$43+1),0)+IF(AND(Projects!$G$44="Yes",94&gt;=Projects!$C$44,94&lt;Projects!$C$44+Projects!$D$44),Projects!$B$44*INDEX(Curves!$B$4:$AR$4,1,94-Projects!$C$44+1),0)+IF(AND(Projects!$G$45="Yes",94&gt;=Projects!$C$45,94&lt;Projects!$C$45+Projects!$D$45),Projects!$B$45*INDEX(Curves!$B$4:$AR$4,1,94-Projects!$C$45+1),0)+IF(AND(Projects!$G$46="Yes",94&gt;=Projects!$C$46,94&lt;Projects!$C$46+Projects!$D$46),Projects!$B$46*INDEX(Curves!$B$4:$AR$4,1,94-Projects!$C$46+1),0)</f>
        <v>0</v>
      </c>
      <c r="CV96" s="313" t="n">
        <f aca="false">IF(AND(Projects!$G$17="Yes",95&gt;=Projects!$C$17,95&lt;Projects!$C$17+Projects!$D$17),Projects!$B$17*INDEX(Curves!$B$4:$AR$4,1,95-Projects!$C$17+1),0)+IF(AND(Projects!$G$18="Yes",95&gt;=Projects!$C$18,95&lt;Projects!$C$18+Projects!$D$18),Projects!$B$18*INDEX(Curves!$B$4:$AR$4,1,95-Projects!$C$18+1),0)+IF(AND(Projects!$G$19="Yes",95&gt;=Projects!$C$19,95&lt;Projects!$C$19+Projects!$D$19),Projects!$B$19*INDEX(Curves!$B$4:$AR$4,1,95-Projects!$C$19+1),0)+IF(AND(Projects!$G$20="Yes",95&gt;=Projects!$C$20,95&lt;Projects!$C$20+Projects!$D$20),Projects!$B$20*INDEX(Curves!$B$4:$AR$4,1,95-Projects!$C$20+1),0)+IF(AND(Projects!$G$21="Yes",95&gt;=Projects!$C$21,95&lt;Projects!$C$21+Projects!$D$21),Projects!$B$21*INDEX(Curves!$B$4:$AR$4,1,95-Projects!$C$21+1),0)+IF(AND(Projects!$G$22="Yes",95&gt;=Projects!$C$22,95&lt;Projects!$C$22+Projects!$D$22),Projects!$B$22*INDEX(Curves!$B$4:$AR$4,1,95-Projects!$C$22+1),0)+IF(AND(Projects!$G$23="Yes",95&gt;=Projects!$C$23,95&lt;Projects!$C$23+Projects!$D$23),Projects!$B$23*INDEX(Curves!$B$4:$AR$4,1,95-Projects!$C$23+1),0)+IF(AND(Projects!$G$24="Yes",95&gt;=Projects!$C$24,95&lt;Projects!$C$24+Projects!$D$24),Projects!$B$24*INDEX(Curves!$B$4:$AR$4,1,95-Projects!$C$24+1),0)+IF(AND(Projects!$G$25="Yes",95&gt;=Projects!$C$25,95&lt;Projects!$C$25+Projects!$D$25),Projects!$B$25*INDEX(Curves!$B$4:$AR$4,1,95-Projects!$C$25+1),0)+IF(AND(Projects!$G$26="Yes",95&gt;=Projects!$C$26,95&lt;Projects!$C$26+Projects!$D$26),Projects!$B$26*INDEX(Curves!$B$4:$AR$4,1,95-Projects!$C$26+1),0)+IF(AND(Projects!$G$27="Yes",95&gt;=Projects!$C$27,95&lt;Projects!$C$27+Projects!$D$27),Projects!$B$27*INDEX(Curves!$B$4:$AR$4,1,95-Projects!$C$27+1),0)+IF(AND(Projects!$G$28="Yes",95&gt;=Projects!$C$28,95&lt;Projects!$C$28+Projects!$D$28),Projects!$B$28*INDEX(Curves!$B$4:$AR$4,1,95-Projects!$C$28+1),0)+IF(AND(Projects!$G$29="Yes",95&gt;=Projects!$C$29,95&lt;Projects!$C$29+Projects!$D$29),Projects!$B$29*INDEX(Curves!$B$4:$AR$4,1,95-Projects!$C$29+1),0)+IF(AND(Projects!$G$30="Yes",95&gt;=Projects!$C$30,95&lt;Projects!$C$30+Projects!$D$30),Projects!$B$30*INDEX(Curves!$B$4:$AR$4,1,95-Projects!$C$30+1),0)+IF(AND(Projects!$G$31="Yes",95&gt;=Projects!$C$31,95&lt;Projects!$C$31+Projects!$D$31),Projects!$B$31*INDEX(Curves!$B$4:$AR$4,1,95-Projects!$C$31+1),0)+IF(AND(Projects!$G$32="Yes",95&gt;=Projects!$C$32,95&lt;Projects!$C$32+Projects!$D$32),Projects!$B$32*INDEX(Curves!$B$4:$AR$4,1,95-Projects!$C$32+1),0)+IF(AND(Projects!$G$33="Yes",95&gt;=Projects!$C$33,95&lt;Projects!$C$33+Projects!$D$33),Projects!$B$33*INDEX(Curves!$B$4:$AR$4,1,95-Projects!$C$33+1),0)+IF(AND(Projects!$G$34="Yes",95&gt;=Projects!$C$34,95&lt;Projects!$C$34+Projects!$D$34),Projects!$B$34*INDEX(Curves!$B$4:$AR$4,1,95-Projects!$C$34+1),0)+IF(AND(Projects!$G$35="Yes",95&gt;=Projects!$C$35,95&lt;Projects!$C$35+Projects!$D$35),Projects!$B$35*INDEX(Curves!$B$4:$AR$4,1,95-Projects!$C$35+1),0)+IF(AND(Projects!$G$36="Yes",95&gt;=Projects!$C$36,95&lt;Projects!$C$36+Projects!$D$36),Projects!$B$36*INDEX(Curves!$B$4:$AR$4,1,95-Projects!$C$36+1),0)+IF(AND(Projects!$G$37="Yes",95&gt;=Projects!$C$37,95&lt;Projects!$C$37+Projects!$D$37),Projects!$B$37*INDEX(Curves!$B$4:$AR$4,1,95-Projects!$C$37+1),0)+IF(AND(Projects!$G$38="Yes",95&gt;=Projects!$C$38,95&lt;Projects!$C$38+Projects!$D$38),Projects!$B$38*INDEX(Curves!$B$4:$AR$4,1,95-Projects!$C$38+1),0)+IF(AND(Projects!$G$39="Yes",95&gt;=Projects!$C$39,95&lt;Projects!$C$39+Projects!$D$39),Projects!$B$39*INDEX(Curves!$B$4:$AR$4,1,95-Projects!$C$39+1),0)+IF(AND(Projects!$G$40="Yes",95&gt;=Projects!$C$40,95&lt;Projects!$C$40+Projects!$D$40),Projects!$B$40*INDEX(Curves!$B$4:$AR$4,1,95-Projects!$C$40+1),0)+IF(AND(Projects!$G$41="Yes",95&gt;=Projects!$C$41,95&lt;Projects!$C$41+Projects!$D$41),Projects!$B$41*INDEX(Curves!$B$4:$AR$4,1,95-Projects!$C$41+1),0)+IF(AND(Projects!$G$42="Yes",95&gt;=Projects!$C$42,95&lt;Projects!$C$42+Projects!$D$42),Projects!$B$42*INDEX(Curves!$B$4:$AR$4,1,95-Projects!$C$42+1),0)+IF(AND(Projects!$G$43="Yes",95&gt;=Projects!$C$43,95&lt;Projects!$C$43+Projects!$D$43),Projects!$B$43*INDEX(Curves!$B$4:$AR$4,1,95-Projects!$C$43+1),0)+IF(AND(Projects!$G$44="Yes",95&gt;=Projects!$C$44,95&lt;Projects!$C$44+Projects!$D$44),Projects!$B$44*INDEX(Curves!$B$4:$AR$4,1,95-Projects!$C$44+1),0)+IF(AND(Projects!$G$45="Yes",95&gt;=Projects!$C$45,95&lt;Projects!$C$45+Projects!$D$45),Projects!$B$45*INDEX(Curves!$B$4:$AR$4,1,95-Projects!$C$45+1),0)+IF(AND(Projects!$G$46="Yes",95&gt;=Projects!$C$46,95&lt;Projects!$C$46+Projects!$D$46),Projects!$B$46*INDEX(Curves!$B$4:$AR$4,1,95-Projects!$C$46+1),0)</f>
        <v>0</v>
      </c>
      <c r="CW96" s="313" t="n">
        <f aca="false">IF(AND(Projects!$G$17="Yes",96&gt;=Projects!$C$17,96&lt;Projects!$C$17+Projects!$D$17),Projects!$B$17*INDEX(Curves!$B$4:$AR$4,1,96-Projects!$C$17+1),0)+IF(AND(Projects!$G$18="Yes",96&gt;=Projects!$C$18,96&lt;Projects!$C$18+Projects!$D$18),Projects!$B$18*INDEX(Curves!$B$4:$AR$4,1,96-Projects!$C$18+1),0)+IF(AND(Projects!$G$19="Yes",96&gt;=Projects!$C$19,96&lt;Projects!$C$19+Projects!$D$19),Projects!$B$19*INDEX(Curves!$B$4:$AR$4,1,96-Projects!$C$19+1),0)+IF(AND(Projects!$G$20="Yes",96&gt;=Projects!$C$20,96&lt;Projects!$C$20+Projects!$D$20),Projects!$B$20*INDEX(Curves!$B$4:$AR$4,1,96-Projects!$C$20+1),0)+IF(AND(Projects!$G$21="Yes",96&gt;=Projects!$C$21,96&lt;Projects!$C$21+Projects!$D$21),Projects!$B$21*INDEX(Curves!$B$4:$AR$4,1,96-Projects!$C$21+1),0)+IF(AND(Projects!$G$22="Yes",96&gt;=Projects!$C$22,96&lt;Projects!$C$22+Projects!$D$22),Projects!$B$22*INDEX(Curves!$B$4:$AR$4,1,96-Projects!$C$22+1),0)+IF(AND(Projects!$G$23="Yes",96&gt;=Projects!$C$23,96&lt;Projects!$C$23+Projects!$D$23),Projects!$B$23*INDEX(Curves!$B$4:$AR$4,1,96-Projects!$C$23+1),0)+IF(AND(Projects!$G$24="Yes",96&gt;=Projects!$C$24,96&lt;Projects!$C$24+Projects!$D$24),Projects!$B$24*INDEX(Curves!$B$4:$AR$4,1,96-Projects!$C$24+1),0)+IF(AND(Projects!$G$25="Yes",96&gt;=Projects!$C$25,96&lt;Projects!$C$25+Projects!$D$25),Projects!$B$25*INDEX(Curves!$B$4:$AR$4,1,96-Projects!$C$25+1),0)+IF(AND(Projects!$G$26="Yes",96&gt;=Projects!$C$26,96&lt;Projects!$C$26+Projects!$D$26),Projects!$B$26*INDEX(Curves!$B$4:$AR$4,1,96-Projects!$C$26+1),0)+IF(AND(Projects!$G$27="Yes",96&gt;=Projects!$C$27,96&lt;Projects!$C$27+Projects!$D$27),Projects!$B$27*INDEX(Curves!$B$4:$AR$4,1,96-Projects!$C$27+1),0)+IF(AND(Projects!$G$28="Yes",96&gt;=Projects!$C$28,96&lt;Projects!$C$28+Projects!$D$28),Projects!$B$28*INDEX(Curves!$B$4:$AR$4,1,96-Projects!$C$28+1),0)+IF(AND(Projects!$G$29="Yes",96&gt;=Projects!$C$29,96&lt;Projects!$C$29+Projects!$D$29),Projects!$B$29*INDEX(Curves!$B$4:$AR$4,1,96-Projects!$C$29+1),0)+IF(AND(Projects!$G$30="Yes",96&gt;=Projects!$C$30,96&lt;Projects!$C$30+Projects!$D$30),Projects!$B$30*INDEX(Curves!$B$4:$AR$4,1,96-Projects!$C$30+1),0)+IF(AND(Projects!$G$31="Yes",96&gt;=Projects!$C$31,96&lt;Projects!$C$31+Projects!$D$31),Projects!$B$31*INDEX(Curves!$B$4:$AR$4,1,96-Projects!$C$31+1),0)+IF(AND(Projects!$G$32="Yes",96&gt;=Projects!$C$32,96&lt;Projects!$C$32+Projects!$D$32),Projects!$B$32*INDEX(Curves!$B$4:$AR$4,1,96-Projects!$C$32+1),0)+IF(AND(Projects!$G$33="Yes",96&gt;=Projects!$C$33,96&lt;Projects!$C$33+Projects!$D$33),Projects!$B$33*INDEX(Curves!$B$4:$AR$4,1,96-Projects!$C$33+1),0)+IF(AND(Projects!$G$34="Yes",96&gt;=Projects!$C$34,96&lt;Projects!$C$34+Projects!$D$34),Projects!$B$34*INDEX(Curves!$B$4:$AR$4,1,96-Projects!$C$34+1),0)+IF(AND(Projects!$G$35="Yes",96&gt;=Projects!$C$35,96&lt;Projects!$C$35+Projects!$D$35),Projects!$B$35*INDEX(Curves!$B$4:$AR$4,1,96-Projects!$C$35+1),0)+IF(AND(Projects!$G$36="Yes",96&gt;=Projects!$C$36,96&lt;Projects!$C$36+Projects!$D$36),Projects!$B$36*INDEX(Curves!$B$4:$AR$4,1,96-Projects!$C$36+1),0)+IF(AND(Projects!$G$37="Yes",96&gt;=Projects!$C$37,96&lt;Projects!$C$37+Projects!$D$37),Projects!$B$37*INDEX(Curves!$B$4:$AR$4,1,96-Projects!$C$37+1),0)+IF(AND(Projects!$G$38="Yes",96&gt;=Projects!$C$38,96&lt;Projects!$C$38+Projects!$D$38),Projects!$B$38*INDEX(Curves!$B$4:$AR$4,1,96-Projects!$C$38+1),0)+IF(AND(Projects!$G$39="Yes",96&gt;=Projects!$C$39,96&lt;Projects!$C$39+Projects!$D$39),Projects!$B$39*INDEX(Curves!$B$4:$AR$4,1,96-Projects!$C$39+1),0)+IF(AND(Projects!$G$40="Yes",96&gt;=Projects!$C$40,96&lt;Projects!$C$40+Projects!$D$40),Projects!$B$40*INDEX(Curves!$B$4:$AR$4,1,96-Projects!$C$40+1),0)+IF(AND(Projects!$G$41="Yes",96&gt;=Projects!$C$41,96&lt;Projects!$C$41+Projects!$D$41),Projects!$B$41*INDEX(Curves!$B$4:$AR$4,1,96-Projects!$C$41+1),0)+IF(AND(Projects!$G$42="Yes",96&gt;=Projects!$C$42,96&lt;Projects!$C$42+Projects!$D$42),Projects!$B$42*INDEX(Curves!$B$4:$AR$4,1,96-Projects!$C$42+1),0)+IF(AND(Projects!$G$43="Yes",96&gt;=Projects!$C$43,96&lt;Projects!$C$43+Projects!$D$43),Projects!$B$43*INDEX(Curves!$B$4:$AR$4,1,96-Projects!$C$43+1),0)+IF(AND(Projects!$G$44="Yes",96&gt;=Projects!$C$44,96&lt;Projects!$C$44+Projects!$D$44),Projects!$B$44*INDEX(Curves!$B$4:$AR$4,1,96-Projects!$C$44+1),0)+IF(AND(Projects!$G$45="Yes",96&gt;=Projects!$C$45,96&lt;Projects!$C$45+Projects!$D$45),Projects!$B$45*INDEX(Curves!$B$4:$AR$4,1,96-Projects!$C$45+1),0)+IF(AND(Projects!$G$46="Yes",96&gt;=Projects!$C$46,96&lt;Projects!$C$46+Projects!$D$46),Projects!$B$46*INDEX(Curves!$B$4:$AR$4,1,96-Projects!$C$46+1),0)</f>
        <v>0</v>
      </c>
      <c r="CX96" s="313" t="n">
        <f aca="false">IF(AND(Projects!$G$17="Yes",97&gt;=Projects!$C$17,97&lt;Projects!$C$17+Projects!$D$17),Projects!$B$17*INDEX(Curves!$B$4:$AR$4,1,97-Projects!$C$17+1),0)+IF(AND(Projects!$G$18="Yes",97&gt;=Projects!$C$18,97&lt;Projects!$C$18+Projects!$D$18),Projects!$B$18*INDEX(Curves!$B$4:$AR$4,1,97-Projects!$C$18+1),0)+IF(AND(Projects!$G$19="Yes",97&gt;=Projects!$C$19,97&lt;Projects!$C$19+Projects!$D$19),Projects!$B$19*INDEX(Curves!$B$4:$AR$4,1,97-Projects!$C$19+1),0)+IF(AND(Projects!$G$20="Yes",97&gt;=Projects!$C$20,97&lt;Projects!$C$20+Projects!$D$20),Projects!$B$20*INDEX(Curves!$B$4:$AR$4,1,97-Projects!$C$20+1),0)+IF(AND(Projects!$G$21="Yes",97&gt;=Projects!$C$21,97&lt;Projects!$C$21+Projects!$D$21),Projects!$B$21*INDEX(Curves!$B$4:$AR$4,1,97-Projects!$C$21+1),0)+IF(AND(Projects!$G$22="Yes",97&gt;=Projects!$C$22,97&lt;Projects!$C$22+Projects!$D$22),Projects!$B$22*INDEX(Curves!$B$4:$AR$4,1,97-Projects!$C$22+1),0)+IF(AND(Projects!$G$23="Yes",97&gt;=Projects!$C$23,97&lt;Projects!$C$23+Projects!$D$23),Projects!$B$23*INDEX(Curves!$B$4:$AR$4,1,97-Projects!$C$23+1),0)+IF(AND(Projects!$G$24="Yes",97&gt;=Projects!$C$24,97&lt;Projects!$C$24+Projects!$D$24),Projects!$B$24*INDEX(Curves!$B$4:$AR$4,1,97-Projects!$C$24+1),0)+IF(AND(Projects!$G$25="Yes",97&gt;=Projects!$C$25,97&lt;Projects!$C$25+Projects!$D$25),Projects!$B$25*INDEX(Curves!$B$4:$AR$4,1,97-Projects!$C$25+1),0)+IF(AND(Projects!$G$26="Yes",97&gt;=Projects!$C$26,97&lt;Projects!$C$26+Projects!$D$26),Projects!$B$26*INDEX(Curves!$B$4:$AR$4,1,97-Projects!$C$26+1),0)+IF(AND(Projects!$G$27="Yes",97&gt;=Projects!$C$27,97&lt;Projects!$C$27+Projects!$D$27),Projects!$B$27*INDEX(Curves!$B$4:$AR$4,1,97-Projects!$C$27+1),0)+IF(AND(Projects!$G$28="Yes",97&gt;=Projects!$C$28,97&lt;Projects!$C$28+Projects!$D$28),Projects!$B$28*INDEX(Curves!$B$4:$AR$4,1,97-Projects!$C$28+1),0)+IF(AND(Projects!$G$29="Yes",97&gt;=Projects!$C$29,97&lt;Projects!$C$29+Projects!$D$29),Projects!$B$29*INDEX(Curves!$B$4:$AR$4,1,97-Projects!$C$29+1),0)+IF(AND(Projects!$G$30="Yes",97&gt;=Projects!$C$30,97&lt;Projects!$C$30+Projects!$D$30),Projects!$B$30*INDEX(Curves!$B$4:$AR$4,1,97-Projects!$C$30+1),0)+IF(AND(Projects!$G$31="Yes",97&gt;=Projects!$C$31,97&lt;Projects!$C$31+Projects!$D$31),Projects!$B$31*INDEX(Curves!$B$4:$AR$4,1,97-Projects!$C$31+1),0)+IF(AND(Projects!$G$32="Yes",97&gt;=Projects!$C$32,97&lt;Projects!$C$32+Projects!$D$32),Projects!$B$32*INDEX(Curves!$B$4:$AR$4,1,97-Projects!$C$32+1),0)+IF(AND(Projects!$G$33="Yes",97&gt;=Projects!$C$33,97&lt;Projects!$C$33+Projects!$D$33),Projects!$B$33*INDEX(Curves!$B$4:$AR$4,1,97-Projects!$C$33+1),0)+IF(AND(Projects!$G$34="Yes",97&gt;=Projects!$C$34,97&lt;Projects!$C$34+Projects!$D$34),Projects!$B$34*INDEX(Curves!$B$4:$AR$4,1,97-Projects!$C$34+1),0)+IF(AND(Projects!$G$35="Yes",97&gt;=Projects!$C$35,97&lt;Projects!$C$35+Projects!$D$35),Projects!$B$35*INDEX(Curves!$B$4:$AR$4,1,97-Projects!$C$35+1),0)+IF(AND(Projects!$G$36="Yes",97&gt;=Projects!$C$36,97&lt;Projects!$C$36+Projects!$D$36),Projects!$B$36*INDEX(Curves!$B$4:$AR$4,1,97-Projects!$C$36+1),0)+IF(AND(Projects!$G$37="Yes",97&gt;=Projects!$C$37,97&lt;Projects!$C$37+Projects!$D$37),Projects!$B$37*INDEX(Curves!$B$4:$AR$4,1,97-Projects!$C$37+1),0)+IF(AND(Projects!$G$38="Yes",97&gt;=Projects!$C$38,97&lt;Projects!$C$38+Projects!$D$38),Projects!$B$38*INDEX(Curves!$B$4:$AR$4,1,97-Projects!$C$38+1),0)+IF(AND(Projects!$G$39="Yes",97&gt;=Projects!$C$39,97&lt;Projects!$C$39+Projects!$D$39),Projects!$B$39*INDEX(Curves!$B$4:$AR$4,1,97-Projects!$C$39+1),0)+IF(AND(Projects!$G$40="Yes",97&gt;=Projects!$C$40,97&lt;Projects!$C$40+Projects!$D$40),Projects!$B$40*INDEX(Curves!$B$4:$AR$4,1,97-Projects!$C$40+1),0)+IF(AND(Projects!$G$41="Yes",97&gt;=Projects!$C$41,97&lt;Projects!$C$41+Projects!$D$41),Projects!$B$41*INDEX(Curves!$B$4:$AR$4,1,97-Projects!$C$41+1),0)+IF(AND(Projects!$G$42="Yes",97&gt;=Projects!$C$42,97&lt;Projects!$C$42+Projects!$D$42),Projects!$B$42*INDEX(Curves!$B$4:$AR$4,1,97-Projects!$C$42+1),0)+IF(AND(Projects!$G$43="Yes",97&gt;=Projects!$C$43,97&lt;Projects!$C$43+Projects!$D$43),Projects!$B$43*INDEX(Curves!$B$4:$AR$4,1,97-Projects!$C$43+1),0)+IF(AND(Projects!$G$44="Yes",97&gt;=Projects!$C$44,97&lt;Projects!$C$44+Projects!$D$44),Projects!$B$44*INDEX(Curves!$B$4:$AR$4,1,97-Projects!$C$44+1),0)+IF(AND(Projects!$G$45="Yes",97&gt;=Projects!$C$45,97&lt;Projects!$C$45+Projects!$D$45),Projects!$B$45*INDEX(Curves!$B$4:$AR$4,1,97-Projects!$C$45+1),0)+IF(AND(Projects!$G$46="Yes",97&gt;=Projects!$C$46,97&lt;Projects!$C$46+Projects!$D$46),Projects!$B$46*INDEX(Curves!$B$4:$AR$4,1,97-Projects!$C$46+1),0)</f>
        <v>0</v>
      </c>
      <c r="CY96" s="313" t="n">
        <f aca="false">IF(AND(Projects!$G$17="Yes",98&gt;=Projects!$C$17,98&lt;Projects!$C$17+Projects!$D$17),Projects!$B$17*INDEX(Curves!$B$4:$AR$4,1,98-Projects!$C$17+1),0)+IF(AND(Projects!$G$18="Yes",98&gt;=Projects!$C$18,98&lt;Projects!$C$18+Projects!$D$18),Projects!$B$18*INDEX(Curves!$B$4:$AR$4,1,98-Projects!$C$18+1),0)+IF(AND(Projects!$G$19="Yes",98&gt;=Projects!$C$19,98&lt;Projects!$C$19+Projects!$D$19),Projects!$B$19*INDEX(Curves!$B$4:$AR$4,1,98-Projects!$C$19+1),0)+IF(AND(Projects!$G$20="Yes",98&gt;=Projects!$C$20,98&lt;Projects!$C$20+Projects!$D$20),Projects!$B$20*INDEX(Curves!$B$4:$AR$4,1,98-Projects!$C$20+1),0)+IF(AND(Projects!$G$21="Yes",98&gt;=Projects!$C$21,98&lt;Projects!$C$21+Projects!$D$21),Projects!$B$21*INDEX(Curves!$B$4:$AR$4,1,98-Projects!$C$21+1),0)+IF(AND(Projects!$G$22="Yes",98&gt;=Projects!$C$22,98&lt;Projects!$C$22+Projects!$D$22),Projects!$B$22*INDEX(Curves!$B$4:$AR$4,1,98-Projects!$C$22+1),0)+IF(AND(Projects!$G$23="Yes",98&gt;=Projects!$C$23,98&lt;Projects!$C$23+Projects!$D$23),Projects!$B$23*INDEX(Curves!$B$4:$AR$4,1,98-Projects!$C$23+1),0)+IF(AND(Projects!$G$24="Yes",98&gt;=Projects!$C$24,98&lt;Projects!$C$24+Projects!$D$24),Projects!$B$24*INDEX(Curves!$B$4:$AR$4,1,98-Projects!$C$24+1),0)+IF(AND(Projects!$G$25="Yes",98&gt;=Projects!$C$25,98&lt;Projects!$C$25+Projects!$D$25),Projects!$B$25*INDEX(Curves!$B$4:$AR$4,1,98-Projects!$C$25+1),0)+IF(AND(Projects!$G$26="Yes",98&gt;=Projects!$C$26,98&lt;Projects!$C$26+Projects!$D$26),Projects!$B$26*INDEX(Curves!$B$4:$AR$4,1,98-Projects!$C$26+1),0)+IF(AND(Projects!$G$27="Yes",98&gt;=Projects!$C$27,98&lt;Projects!$C$27+Projects!$D$27),Projects!$B$27*INDEX(Curves!$B$4:$AR$4,1,98-Projects!$C$27+1),0)+IF(AND(Projects!$G$28="Yes",98&gt;=Projects!$C$28,98&lt;Projects!$C$28+Projects!$D$28),Projects!$B$28*INDEX(Curves!$B$4:$AR$4,1,98-Projects!$C$28+1),0)+IF(AND(Projects!$G$29="Yes",98&gt;=Projects!$C$29,98&lt;Projects!$C$29+Projects!$D$29),Projects!$B$29*INDEX(Curves!$B$4:$AR$4,1,98-Projects!$C$29+1),0)+IF(AND(Projects!$G$30="Yes",98&gt;=Projects!$C$30,98&lt;Projects!$C$30+Projects!$D$30),Projects!$B$30*INDEX(Curves!$B$4:$AR$4,1,98-Projects!$C$30+1),0)+IF(AND(Projects!$G$31="Yes",98&gt;=Projects!$C$31,98&lt;Projects!$C$31+Projects!$D$31),Projects!$B$31*INDEX(Curves!$B$4:$AR$4,1,98-Projects!$C$31+1),0)+IF(AND(Projects!$G$32="Yes",98&gt;=Projects!$C$32,98&lt;Projects!$C$32+Projects!$D$32),Projects!$B$32*INDEX(Curves!$B$4:$AR$4,1,98-Projects!$C$32+1),0)+IF(AND(Projects!$G$33="Yes",98&gt;=Projects!$C$33,98&lt;Projects!$C$33+Projects!$D$33),Projects!$B$33*INDEX(Curves!$B$4:$AR$4,1,98-Projects!$C$33+1),0)+IF(AND(Projects!$G$34="Yes",98&gt;=Projects!$C$34,98&lt;Projects!$C$34+Projects!$D$34),Projects!$B$34*INDEX(Curves!$B$4:$AR$4,1,98-Projects!$C$34+1),0)+IF(AND(Projects!$G$35="Yes",98&gt;=Projects!$C$35,98&lt;Projects!$C$35+Projects!$D$35),Projects!$B$35*INDEX(Curves!$B$4:$AR$4,1,98-Projects!$C$35+1),0)+IF(AND(Projects!$G$36="Yes",98&gt;=Projects!$C$36,98&lt;Projects!$C$36+Projects!$D$36),Projects!$B$36*INDEX(Curves!$B$4:$AR$4,1,98-Projects!$C$36+1),0)+IF(AND(Projects!$G$37="Yes",98&gt;=Projects!$C$37,98&lt;Projects!$C$37+Projects!$D$37),Projects!$B$37*INDEX(Curves!$B$4:$AR$4,1,98-Projects!$C$37+1),0)+IF(AND(Projects!$G$38="Yes",98&gt;=Projects!$C$38,98&lt;Projects!$C$38+Projects!$D$38),Projects!$B$38*INDEX(Curves!$B$4:$AR$4,1,98-Projects!$C$38+1),0)+IF(AND(Projects!$G$39="Yes",98&gt;=Projects!$C$39,98&lt;Projects!$C$39+Projects!$D$39),Projects!$B$39*INDEX(Curves!$B$4:$AR$4,1,98-Projects!$C$39+1),0)+IF(AND(Projects!$G$40="Yes",98&gt;=Projects!$C$40,98&lt;Projects!$C$40+Projects!$D$40),Projects!$B$40*INDEX(Curves!$B$4:$AR$4,1,98-Projects!$C$40+1),0)+IF(AND(Projects!$G$41="Yes",98&gt;=Projects!$C$41,98&lt;Projects!$C$41+Projects!$D$41),Projects!$B$41*INDEX(Curves!$B$4:$AR$4,1,98-Projects!$C$41+1),0)+IF(AND(Projects!$G$42="Yes",98&gt;=Projects!$C$42,98&lt;Projects!$C$42+Projects!$D$42),Projects!$B$42*INDEX(Curves!$B$4:$AR$4,1,98-Projects!$C$42+1),0)+IF(AND(Projects!$G$43="Yes",98&gt;=Projects!$C$43,98&lt;Projects!$C$43+Projects!$D$43),Projects!$B$43*INDEX(Curves!$B$4:$AR$4,1,98-Projects!$C$43+1),0)+IF(AND(Projects!$G$44="Yes",98&gt;=Projects!$C$44,98&lt;Projects!$C$44+Projects!$D$44),Projects!$B$44*INDEX(Curves!$B$4:$AR$4,1,98-Projects!$C$44+1),0)+IF(AND(Projects!$G$45="Yes",98&gt;=Projects!$C$45,98&lt;Projects!$C$45+Projects!$D$45),Projects!$B$45*INDEX(Curves!$B$4:$AR$4,1,98-Projects!$C$45+1),0)+IF(AND(Projects!$G$46="Yes",98&gt;=Projects!$C$46,98&lt;Projects!$C$46+Projects!$D$46),Projects!$B$46*INDEX(Curves!$B$4:$AR$4,1,98-Projects!$C$46+1),0)</f>
        <v>0</v>
      </c>
      <c r="CZ96" s="313" t="n">
        <f aca="false">IF(AND(Projects!$G$17="Yes",99&gt;=Projects!$C$17,99&lt;Projects!$C$17+Projects!$D$17),Projects!$B$17*INDEX(Curves!$B$4:$AR$4,1,99-Projects!$C$17+1),0)+IF(AND(Projects!$G$18="Yes",99&gt;=Projects!$C$18,99&lt;Projects!$C$18+Projects!$D$18),Projects!$B$18*INDEX(Curves!$B$4:$AR$4,1,99-Projects!$C$18+1),0)+IF(AND(Projects!$G$19="Yes",99&gt;=Projects!$C$19,99&lt;Projects!$C$19+Projects!$D$19),Projects!$B$19*INDEX(Curves!$B$4:$AR$4,1,99-Projects!$C$19+1),0)+IF(AND(Projects!$G$20="Yes",99&gt;=Projects!$C$20,99&lt;Projects!$C$20+Projects!$D$20),Projects!$B$20*INDEX(Curves!$B$4:$AR$4,1,99-Projects!$C$20+1),0)+IF(AND(Projects!$G$21="Yes",99&gt;=Projects!$C$21,99&lt;Projects!$C$21+Projects!$D$21),Projects!$B$21*INDEX(Curves!$B$4:$AR$4,1,99-Projects!$C$21+1),0)+IF(AND(Projects!$G$22="Yes",99&gt;=Projects!$C$22,99&lt;Projects!$C$22+Projects!$D$22),Projects!$B$22*INDEX(Curves!$B$4:$AR$4,1,99-Projects!$C$22+1),0)+IF(AND(Projects!$G$23="Yes",99&gt;=Projects!$C$23,99&lt;Projects!$C$23+Projects!$D$23),Projects!$B$23*INDEX(Curves!$B$4:$AR$4,1,99-Projects!$C$23+1),0)+IF(AND(Projects!$G$24="Yes",99&gt;=Projects!$C$24,99&lt;Projects!$C$24+Projects!$D$24),Projects!$B$24*INDEX(Curves!$B$4:$AR$4,1,99-Projects!$C$24+1),0)+IF(AND(Projects!$G$25="Yes",99&gt;=Projects!$C$25,99&lt;Projects!$C$25+Projects!$D$25),Projects!$B$25*INDEX(Curves!$B$4:$AR$4,1,99-Projects!$C$25+1),0)+IF(AND(Projects!$G$26="Yes",99&gt;=Projects!$C$26,99&lt;Projects!$C$26+Projects!$D$26),Projects!$B$26*INDEX(Curves!$B$4:$AR$4,1,99-Projects!$C$26+1),0)+IF(AND(Projects!$G$27="Yes",99&gt;=Projects!$C$27,99&lt;Projects!$C$27+Projects!$D$27),Projects!$B$27*INDEX(Curves!$B$4:$AR$4,1,99-Projects!$C$27+1),0)+IF(AND(Projects!$G$28="Yes",99&gt;=Projects!$C$28,99&lt;Projects!$C$28+Projects!$D$28),Projects!$B$28*INDEX(Curves!$B$4:$AR$4,1,99-Projects!$C$28+1),0)+IF(AND(Projects!$G$29="Yes",99&gt;=Projects!$C$29,99&lt;Projects!$C$29+Projects!$D$29),Projects!$B$29*INDEX(Curves!$B$4:$AR$4,1,99-Projects!$C$29+1),0)+IF(AND(Projects!$G$30="Yes",99&gt;=Projects!$C$30,99&lt;Projects!$C$30+Projects!$D$30),Projects!$B$30*INDEX(Curves!$B$4:$AR$4,1,99-Projects!$C$30+1),0)+IF(AND(Projects!$G$31="Yes",99&gt;=Projects!$C$31,99&lt;Projects!$C$31+Projects!$D$31),Projects!$B$31*INDEX(Curves!$B$4:$AR$4,1,99-Projects!$C$31+1),0)+IF(AND(Projects!$G$32="Yes",99&gt;=Projects!$C$32,99&lt;Projects!$C$32+Projects!$D$32),Projects!$B$32*INDEX(Curves!$B$4:$AR$4,1,99-Projects!$C$32+1),0)+IF(AND(Projects!$G$33="Yes",99&gt;=Projects!$C$33,99&lt;Projects!$C$33+Projects!$D$33),Projects!$B$33*INDEX(Curves!$B$4:$AR$4,1,99-Projects!$C$33+1),0)+IF(AND(Projects!$G$34="Yes",99&gt;=Projects!$C$34,99&lt;Projects!$C$34+Projects!$D$34),Projects!$B$34*INDEX(Curves!$B$4:$AR$4,1,99-Projects!$C$34+1),0)+IF(AND(Projects!$G$35="Yes",99&gt;=Projects!$C$35,99&lt;Projects!$C$35+Projects!$D$35),Projects!$B$35*INDEX(Curves!$B$4:$AR$4,1,99-Projects!$C$35+1),0)+IF(AND(Projects!$G$36="Yes",99&gt;=Projects!$C$36,99&lt;Projects!$C$36+Projects!$D$36),Projects!$B$36*INDEX(Curves!$B$4:$AR$4,1,99-Projects!$C$36+1),0)+IF(AND(Projects!$G$37="Yes",99&gt;=Projects!$C$37,99&lt;Projects!$C$37+Projects!$D$37),Projects!$B$37*INDEX(Curves!$B$4:$AR$4,1,99-Projects!$C$37+1),0)+IF(AND(Projects!$G$38="Yes",99&gt;=Projects!$C$38,99&lt;Projects!$C$38+Projects!$D$38),Projects!$B$38*INDEX(Curves!$B$4:$AR$4,1,99-Projects!$C$38+1),0)+IF(AND(Projects!$G$39="Yes",99&gt;=Projects!$C$39,99&lt;Projects!$C$39+Projects!$D$39),Projects!$B$39*INDEX(Curves!$B$4:$AR$4,1,99-Projects!$C$39+1),0)+IF(AND(Projects!$G$40="Yes",99&gt;=Projects!$C$40,99&lt;Projects!$C$40+Projects!$D$40),Projects!$B$40*INDEX(Curves!$B$4:$AR$4,1,99-Projects!$C$40+1),0)+IF(AND(Projects!$G$41="Yes",99&gt;=Projects!$C$41,99&lt;Projects!$C$41+Projects!$D$41),Projects!$B$41*INDEX(Curves!$B$4:$AR$4,1,99-Projects!$C$41+1),0)+IF(AND(Projects!$G$42="Yes",99&gt;=Projects!$C$42,99&lt;Projects!$C$42+Projects!$D$42),Projects!$B$42*INDEX(Curves!$B$4:$AR$4,1,99-Projects!$C$42+1),0)+IF(AND(Projects!$G$43="Yes",99&gt;=Projects!$C$43,99&lt;Projects!$C$43+Projects!$D$43),Projects!$B$43*INDEX(Curves!$B$4:$AR$4,1,99-Projects!$C$43+1),0)+IF(AND(Projects!$G$44="Yes",99&gt;=Projects!$C$44,99&lt;Projects!$C$44+Projects!$D$44),Projects!$B$44*INDEX(Curves!$B$4:$AR$4,1,99-Projects!$C$44+1),0)+IF(AND(Projects!$G$45="Yes",99&gt;=Projects!$C$45,99&lt;Projects!$C$45+Projects!$D$45),Projects!$B$45*INDEX(Curves!$B$4:$AR$4,1,99-Projects!$C$45+1),0)+IF(AND(Projects!$G$46="Yes",99&gt;=Projects!$C$46,99&lt;Projects!$C$46+Projects!$D$46),Projects!$B$46*INDEX(Curves!$B$4:$AR$4,1,99-Projects!$C$46+1),0)</f>
        <v>0</v>
      </c>
      <c r="DA96" s="313" t="n">
        <f aca="false">IF(AND(Projects!$G$17="Yes",100&gt;=Projects!$C$17,100&lt;Projects!$C$17+Projects!$D$17),Projects!$B$17*INDEX(Curves!$B$4:$AR$4,1,100-Projects!$C$17+1),0)+IF(AND(Projects!$G$18="Yes",100&gt;=Projects!$C$18,100&lt;Projects!$C$18+Projects!$D$18),Projects!$B$18*INDEX(Curves!$B$4:$AR$4,1,100-Projects!$C$18+1),0)+IF(AND(Projects!$G$19="Yes",100&gt;=Projects!$C$19,100&lt;Projects!$C$19+Projects!$D$19),Projects!$B$19*INDEX(Curves!$B$4:$AR$4,1,100-Projects!$C$19+1),0)+IF(AND(Projects!$G$20="Yes",100&gt;=Projects!$C$20,100&lt;Projects!$C$20+Projects!$D$20),Projects!$B$20*INDEX(Curves!$B$4:$AR$4,1,100-Projects!$C$20+1),0)+IF(AND(Projects!$G$21="Yes",100&gt;=Projects!$C$21,100&lt;Projects!$C$21+Projects!$D$21),Projects!$B$21*INDEX(Curves!$B$4:$AR$4,1,100-Projects!$C$21+1),0)+IF(AND(Projects!$G$22="Yes",100&gt;=Projects!$C$22,100&lt;Projects!$C$22+Projects!$D$22),Projects!$B$22*INDEX(Curves!$B$4:$AR$4,1,100-Projects!$C$22+1),0)+IF(AND(Projects!$G$23="Yes",100&gt;=Projects!$C$23,100&lt;Projects!$C$23+Projects!$D$23),Projects!$B$23*INDEX(Curves!$B$4:$AR$4,1,100-Projects!$C$23+1),0)+IF(AND(Projects!$G$24="Yes",100&gt;=Projects!$C$24,100&lt;Projects!$C$24+Projects!$D$24),Projects!$B$24*INDEX(Curves!$B$4:$AR$4,1,100-Projects!$C$24+1),0)+IF(AND(Projects!$G$25="Yes",100&gt;=Projects!$C$25,100&lt;Projects!$C$25+Projects!$D$25),Projects!$B$25*INDEX(Curves!$B$4:$AR$4,1,100-Projects!$C$25+1),0)+IF(AND(Projects!$G$26="Yes",100&gt;=Projects!$C$26,100&lt;Projects!$C$26+Projects!$D$26),Projects!$B$26*INDEX(Curves!$B$4:$AR$4,1,100-Projects!$C$26+1),0)+IF(AND(Projects!$G$27="Yes",100&gt;=Projects!$C$27,100&lt;Projects!$C$27+Projects!$D$27),Projects!$B$27*INDEX(Curves!$B$4:$AR$4,1,100-Projects!$C$27+1),0)+IF(AND(Projects!$G$28="Yes",100&gt;=Projects!$C$28,100&lt;Projects!$C$28+Projects!$D$28),Projects!$B$28*INDEX(Curves!$B$4:$AR$4,1,100-Projects!$C$28+1),0)+IF(AND(Projects!$G$29="Yes",100&gt;=Projects!$C$29,100&lt;Projects!$C$29+Projects!$D$29),Projects!$B$29*INDEX(Curves!$B$4:$AR$4,1,100-Projects!$C$29+1),0)+IF(AND(Projects!$G$30="Yes",100&gt;=Projects!$C$30,100&lt;Projects!$C$30+Projects!$D$30),Projects!$B$30*INDEX(Curves!$B$4:$AR$4,1,100-Projects!$C$30+1),0)+IF(AND(Projects!$G$31="Yes",100&gt;=Projects!$C$31,100&lt;Projects!$C$31+Projects!$D$31),Projects!$B$31*INDEX(Curves!$B$4:$AR$4,1,100-Projects!$C$31+1),0)+IF(AND(Projects!$G$32="Yes",100&gt;=Projects!$C$32,100&lt;Projects!$C$32+Projects!$D$32),Projects!$B$32*INDEX(Curves!$B$4:$AR$4,1,100-Projects!$C$32+1),0)+IF(AND(Projects!$G$33="Yes",100&gt;=Projects!$C$33,100&lt;Projects!$C$33+Projects!$D$33),Projects!$B$33*INDEX(Curves!$B$4:$AR$4,1,100-Projects!$C$33+1),0)+IF(AND(Projects!$G$34="Yes",100&gt;=Projects!$C$34,100&lt;Projects!$C$34+Projects!$D$34),Projects!$B$34*INDEX(Curves!$B$4:$AR$4,1,100-Projects!$C$34+1),0)+IF(AND(Projects!$G$35="Yes",100&gt;=Projects!$C$35,100&lt;Projects!$C$35+Projects!$D$35),Projects!$B$35*INDEX(Curves!$B$4:$AR$4,1,100-Projects!$C$35+1),0)+IF(AND(Projects!$G$36="Yes",100&gt;=Projects!$C$36,100&lt;Projects!$C$36+Projects!$D$36),Projects!$B$36*INDEX(Curves!$B$4:$AR$4,1,100-Projects!$C$36+1),0)+IF(AND(Projects!$G$37="Yes",100&gt;=Projects!$C$37,100&lt;Projects!$C$37+Projects!$D$37),Projects!$B$37*INDEX(Curves!$B$4:$AR$4,1,100-Projects!$C$37+1),0)+IF(AND(Projects!$G$38="Yes",100&gt;=Projects!$C$38,100&lt;Projects!$C$38+Projects!$D$38),Projects!$B$38*INDEX(Curves!$B$4:$AR$4,1,100-Projects!$C$38+1),0)+IF(AND(Projects!$G$39="Yes",100&gt;=Projects!$C$39,100&lt;Projects!$C$39+Projects!$D$39),Projects!$B$39*INDEX(Curves!$B$4:$AR$4,1,100-Projects!$C$39+1),0)+IF(AND(Projects!$G$40="Yes",100&gt;=Projects!$C$40,100&lt;Projects!$C$40+Projects!$D$40),Projects!$B$40*INDEX(Curves!$B$4:$AR$4,1,100-Projects!$C$40+1),0)+IF(AND(Projects!$G$41="Yes",100&gt;=Projects!$C$41,100&lt;Projects!$C$41+Projects!$D$41),Projects!$B$41*INDEX(Curves!$B$4:$AR$4,1,100-Projects!$C$41+1),0)+IF(AND(Projects!$G$42="Yes",100&gt;=Projects!$C$42,100&lt;Projects!$C$42+Projects!$D$42),Projects!$B$42*INDEX(Curves!$B$4:$AR$4,1,100-Projects!$C$42+1),0)+IF(AND(Projects!$G$43="Yes",100&gt;=Projects!$C$43,100&lt;Projects!$C$43+Projects!$D$43),Projects!$B$43*INDEX(Curves!$B$4:$AR$4,1,100-Projects!$C$43+1),0)+IF(AND(Projects!$G$44="Yes",100&gt;=Projects!$C$44,100&lt;Projects!$C$44+Projects!$D$44),Projects!$B$44*INDEX(Curves!$B$4:$AR$4,1,100-Projects!$C$44+1),0)+IF(AND(Projects!$G$45="Yes",100&gt;=Projects!$C$45,100&lt;Projects!$C$45+Projects!$D$45),Projects!$B$45*INDEX(Curves!$B$4:$AR$4,1,100-Projects!$C$45+1),0)+IF(AND(Projects!$G$46="Yes",100&gt;=Projects!$C$46,100&lt;Projects!$C$46+Projects!$D$46),Projects!$B$46*INDEX(Curves!$B$4:$AR$4,1,100-Projects!$C$46+1),0)</f>
        <v>0</v>
      </c>
      <c r="DB96" s="313" t="n">
        <f aca="false">IF(AND(Projects!$G$17="Yes",101&gt;=Projects!$C$17,101&lt;Projects!$C$17+Projects!$D$17),Projects!$B$17*INDEX(Curves!$B$4:$AR$4,1,101-Projects!$C$17+1),0)+IF(AND(Projects!$G$18="Yes",101&gt;=Projects!$C$18,101&lt;Projects!$C$18+Projects!$D$18),Projects!$B$18*INDEX(Curves!$B$4:$AR$4,1,101-Projects!$C$18+1),0)+IF(AND(Projects!$G$19="Yes",101&gt;=Projects!$C$19,101&lt;Projects!$C$19+Projects!$D$19),Projects!$B$19*INDEX(Curves!$B$4:$AR$4,1,101-Projects!$C$19+1),0)+IF(AND(Projects!$G$20="Yes",101&gt;=Projects!$C$20,101&lt;Projects!$C$20+Projects!$D$20),Projects!$B$20*INDEX(Curves!$B$4:$AR$4,1,101-Projects!$C$20+1),0)+IF(AND(Projects!$G$21="Yes",101&gt;=Projects!$C$21,101&lt;Projects!$C$21+Projects!$D$21),Projects!$B$21*INDEX(Curves!$B$4:$AR$4,1,101-Projects!$C$21+1),0)+IF(AND(Projects!$G$22="Yes",101&gt;=Projects!$C$22,101&lt;Projects!$C$22+Projects!$D$22),Projects!$B$22*INDEX(Curves!$B$4:$AR$4,1,101-Projects!$C$22+1),0)+IF(AND(Projects!$G$23="Yes",101&gt;=Projects!$C$23,101&lt;Projects!$C$23+Projects!$D$23),Projects!$B$23*INDEX(Curves!$B$4:$AR$4,1,101-Projects!$C$23+1),0)+IF(AND(Projects!$G$24="Yes",101&gt;=Projects!$C$24,101&lt;Projects!$C$24+Projects!$D$24),Projects!$B$24*INDEX(Curves!$B$4:$AR$4,1,101-Projects!$C$24+1),0)+IF(AND(Projects!$G$25="Yes",101&gt;=Projects!$C$25,101&lt;Projects!$C$25+Projects!$D$25),Projects!$B$25*INDEX(Curves!$B$4:$AR$4,1,101-Projects!$C$25+1),0)+IF(AND(Projects!$G$26="Yes",101&gt;=Projects!$C$26,101&lt;Projects!$C$26+Projects!$D$26),Projects!$B$26*INDEX(Curves!$B$4:$AR$4,1,101-Projects!$C$26+1),0)+IF(AND(Projects!$G$27="Yes",101&gt;=Projects!$C$27,101&lt;Projects!$C$27+Projects!$D$27),Projects!$B$27*INDEX(Curves!$B$4:$AR$4,1,101-Projects!$C$27+1),0)+IF(AND(Projects!$G$28="Yes",101&gt;=Projects!$C$28,101&lt;Projects!$C$28+Projects!$D$28),Projects!$B$28*INDEX(Curves!$B$4:$AR$4,1,101-Projects!$C$28+1),0)+IF(AND(Projects!$G$29="Yes",101&gt;=Projects!$C$29,101&lt;Projects!$C$29+Projects!$D$29),Projects!$B$29*INDEX(Curves!$B$4:$AR$4,1,101-Projects!$C$29+1),0)+IF(AND(Projects!$G$30="Yes",101&gt;=Projects!$C$30,101&lt;Projects!$C$30+Projects!$D$30),Projects!$B$30*INDEX(Curves!$B$4:$AR$4,1,101-Projects!$C$30+1),0)+IF(AND(Projects!$G$31="Yes",101&gt;=Projects!$C$31,101&lt;Projects!$C$31+Projects!$D$31),Projects!$B$31*INDEX(Curves!$B$4:$AR$4,1,101-Projects!$C$31+1),0)+IF(AND(Projects!$G$32="Yes",101&gt;=Projects!$C$32,101&lt;Projects!$C$32+Projects!$D$32),Projects!$B$32*INDEX(Curves!$B$4:$AR$4,1,101-Projects!$C$32+1),0)+IF(AND(Projects!$G$33="Yes",101&gt;=Projects!$C$33,101&lt;Projects!$C$33+Projects!$D$33),Projects!$B$33*INDEX(Curves!$B$4:$AR$4,1,101-Projects!$C$33+1),0)+IF(AND(Projects!$G$34="Yes",101&gt;=Projects!$C$34,101&lt;Projects!$C$34+Projects!$D$34),Projects!$B$34*INDEX(Curves!$B$4:$AR$4,1,101-Projects!$C$34+1),0)+IF(AND(Projects!$G$35="Yes",101&gt;=Projects!$C$35,101&lt;Projects!$C$35+Projects!$D$35),Projects!$B$35*INDEX(Curves!$B$4:$AR$4,1,101-Projects!$C$35+1),0)+IF(AND(Projects!$G$36="Yes",101&gt;=Projects!$C$36,101&lt;Projects!$C$36+Projects!$D$36),Projects!$B$36*INDEX(Curves!$B$4:$AR$4,1,101-Projects!$C$36+1),0)+IF(AND(Projects!$G$37="Yes",101&gt;=Projects!$C$37,101&lt;Projects!$C$37+Projects!$D$37),Projects!$B$37*INDEX(Curves!$B$4:$AR$4,1,101-Projects!$C$37+1),0)+IF(AND(Projects!$G$38="Yes",101&gt;=Projects!$C$38,101&lt;Projects!$C$38+Projects!$D$38),Projects!$B$38*INDEX(Curves!$B$4:$AR$4,1,101-Projects!$C$38+1),0)+IF(AND(Projects!$G$39="Yes",101&gt;=Projects!$C$39,101&lt;Projects!$C$39+Projects!$D$39),Projects!$B$39*INDEX(Curves!$B$4:$AR$4,1,101-Projects!$C$39+1),0)+IF(AND(Projects!$G$40="Yes",101&gt;=Projects!$C$40,101&lt;Projects!$C$40+Projects!$D$40),Projects!$B$40*INDEX(Curves!$B$4:$AR$4,1,101-Projects!$C$40+1),0)+IF(AND(Projects!$G$41="Yes",101&gt;=Projects!$C$41,101&lt;Projects!$C$41+Projects!$D$41),Projects!$B$41*INDEX(Curves!$B$4:$AR$4,1,101-Projects!$C$41+1),0)+IF(AND(Projects!$G$42="Yes",101&gt;=Projects!$C$42,101&lt;Projects!$C$42+Projects!$D$42),Projects!$B$42*INDEX(Curves!$B$4:$AR$4,1,101-Projects!$C$42+1),0)+IF(AND(Projects!$G$43="Yes",101&gt;=Projects!$C$43,101&lt;Projects!$C$43+Projects!$D$43),Projects!$B$43*INDEX(Curves!$B$4:$AR$4,1,101-Projects!$C$43+1),0)+IF(AND(Projects!$G$44="Yes",101&gt;=Projects!$C$44,101&lt;Projects!$C$44+Projects!$D$44),Projects!$B$44*INDEX(Curves!$B$4:$AR$4,1,101-Projects!$C$44+1),0)+IF(AND(Projects!$G$45="Yes",101&gt;=Projects!$C$45,101&lt;Projects!$C$45+Projects!$D$45),Projects!$B$45*INDEX(Curves!$B$4:$AR$4,1,101-Projects!$C$45+1),0)+IF(AND(Projects!$G$46="Yes",101&gt;=Projects!$C$46,101&lt;Projects!$C$46+Projects!$D$46),Projects!$B$46*INDEX(Curves!$B$4:$AR$4,1,101-Projects!$C$46+1),0)</f>
        <v>0</v>
      </c>
      <c r="DC96" s="313" t="n">
        <f aca="false">IF(AND(Projects!$G$17="Yes",102&gt;=Projects!$C$17,102&lt;Projects!$C$17+Projects!$D$17),Projects!$B$17*INDEX(Curves!$B$4:$AR$4,1,102-Projects!$C$17+1),0)+IF(AND(Projects!$G$18="Yes",102&gt;=Projects!$C$18,102&lt;Projects!$C$18+Projects!$D$18),Projects!$B$18*INDEX(Curves!$B$4:$AR$4,1,102-Projects!$C$18+1),0)+IF(AND(Projects!$G$19="Yes",102&gt;=Projects!$C$19,102&lt;Projects!$C$19+Projects!$D$19),Projects!$B$19*INDEX(Curves!$B$4:$AR$4,1,102-Projects!$C$19+1),0)+IF(AND(Projects!$G$20="Yes",102&gt;=Projects!$C$20,102&lt;Projects!$C$20+Projects!$D$20),Projects!$B$20*INDEX(Curves!$B$4:$AR$4,1,102-Projects!$C$20+1),0)+IF(AND(Projects!$G$21="Yes",102&gt;=Projects!$C$21,102&lt;Projects!$C$21+Projects!$D$21),Projects!$B$21*INDEX(Curves!$B$4:$AR$4,1,102-Projects!$C$21+1),0)+IF(AND(Projects!$G$22="Yes",102&gt;=Projects!$C$22,102&lt;Projects!$C$22+Projects!$D$22),Projects!$B$22*INDEX(Curves!$B$4:$AR$4,1,102-Projects!$C$22+1),0)+IF(AND(Projects!$G$23="Yes",102&gt;=Projects!$C$23,102&lt;Projects!$C$23+Projects!$D$23),Projects!$B$23*INDEX(Curves!$B$4:$AR$4,1,102-Projects!$C$23+1),0)+IF(AND(Projects!$G$24="Yes",102&gt;=Projects!$C$24,102&lt;Projects!$C$24+Projects!$D$24),Projects!$B$24*INDEX(Curves!$B$4:$AR$4,1,102-Projects!$C$24+1),0)+IF(AND(Projects!$G$25="Yes",102&gt;=Projects!$C$25,102&lt;Projects!$C$25+Projects!$D$25),Projects!$B$25*INDEX(Curves!$B$4:$AR$4,1,102-Projects!$C$25+1),0)+IF(AND(Projects!$G$26="Yes",102&gt;=Projects!$C$26,102&lt;Projects!$C$26+Projects!$D$26),Projects!$B$26*INDEX(Curves!$B$4:$AR$4,1,102-Projects!$C$26+1),0)+IF(AND(Projects!$G$27="Yes",102&gt;=Projects!$C$27,102&lt;Projects!$C$27+Projects!$D$27),Projects!$B$27*INDEX(Curves!$B$4:$AR$4,1,102-Projects!$C$27+1),0)+IF(AND(Projects!$G$28="Yes",102&gt;=Projects!$C$28,102&lt;Projects!$C$28+Projects!$D$28),Projects!$B$28*INDEX(Curves!$B$4:$AR$4,1,102-Projects!$C$28+1),0)+IF(AND(Projects!$G$29="Yes",102&gt;=Projects!$C$29,102&lt;Projects!$C$29+Projects!$D$29),Projects!$B$29*INDEX(Curves!$B$4:$AR$4,1,102-Projects!$C$29+1),0)+IF(AND(Projects!$G$30="Yes",102&gt;=Projects!$C$30,102&lt;Projects!$C$30+Projects!$D$30),Projects!$B$30*INDEX(Curves!$B$4:$AR$4,1,102-Projects!$C$30+1),0)+IF(AND(Projects!$G$31="Yes",102&gt;=Projects!$C$31,102&lt;Projects!$C$31+Projects!$D$31),Projects!$B$31*INDEX(Curves!$B$4:$AR$4,1,102-Projects!$C$31+1),0)+IF(AND(Projects!$G$32="Yes",102&gt;=Projects!$C$32,102&lt;Projects!$C$32+Projects!$D$32),Projects!$B$32*INDEX(Curves!$B$4:$AR$4,1,102-Projects!$C$32+1),0)+IF(AND(Projects!$G$33="Yes",102&gt;=Projects!$C$33,102&lt;Projects!$C$33+Projects!$D$33),Projects!$B$33*INDEX(Curves!$B$4:$AR$4,1,102-Projects!$C$33+1),0)+IF(AND(Projects!$G$34="Yes",102&gt;=Projects!$C$34,102&lt;Projects!$C$34+Projects!$D$34),Projects!$B$34*INDEX(Curves!$B$4:$AR$4,1,102-Projects!$C$34+1),0)+IF(AND(Projects!$G$35="Yes",102&gt;=Projects!$C$35,102&lt;Projects!$C$35+Projects!$D$35),Projects!$B$35*INDEX(Curves!$B$4:$AR$4,1,102-Projects!$C$35+1),0)+IF(AND(Projects!$G$36="Yes",102&gt;=Projects!$C$36,102&lt;Projects!$C$36+Projects!$D$36),Projects!$B$36*INDEX(Curves!$B$4:$AR$4,1,102-Projects!$C$36+1),0)+IF(AND(Projects!$G$37="Yes",102&gt;=Projects!$C$37,102&lt;Projects!$C$37+Projects!$D$37),Projects!$B$37*INDEX(Curves!$B$4:$AR$4,1,102-Projects!$C$37+1),0)+IF(AND(Projects!$G$38="Yes",102&gt;=Projects!$C$38,102&lt;Projects!$C$38+Projects!$D$38),Projects!$B$38*INDEX(Curves!$B$4:$AR$4,1,102-Projects!$C$38+1),0)+IF(AND(Projects!$G$39="Yes",102&gt;=Projects!$C$39,102&lt;Projects!$C$39+Projects!$D$39),Projects!$B$39*INDEX(Curves!$B$4:$AR$4,1,102-Projects!$C$39+1),0)+IF(AND(Projects!$G$40="Yes",102&gt;=Projects!$C$40,102&lt;Projects!$C$40+Projects!$D$40),Projects!$B$40*INDEX(Curves!$B$4:$AR$4,1,102-Projects!$C$40+1),0)+IF(AND(Projects!$G$41="Yes",102&gt;=Projects!$C$41,102&lt;Projects!$C$41+Projects!$D$41),Projects!$B$41*INDEX(Curves!$B$4:$AR$4,1,102-Projects!$C$41+1),0)+IF(AND(Projects!$G$42="Yes",102&gt;=Projects!$C$42,102&lt;Projects!$C$42+Projects!$D$42),Projects!$B$42*INDEX(Curves!$B$4:$AR$4,1,102-Projects!$C$42+1),0)+IF(AND(Projects!$G$43="Yes",102&gt;=Projects!$C$43,102&lt;Projects!$C$43+Projects!$D$43),Projects!$B$43*INDEX(Curves!$B$4:$AR$4,1,102-Projects!$C$43+1),0)+IF(AND(Projects!$G$44="Yes",102&gt;=Projects!$C$44,102&lt;Projects!$C$44+Projects!$D$44),Projects!$B$44*INDEX(Curves!$B$4:$AR$4,1,102-Projects!$C$44+1),0)+IF(AND(Projects!$G$45="Yes",102&gt;=Projects!$C$45,102&lt;Projects!$C$45+Projects!$D$45),Projects!$B$45*INDEX(Curves!$B$4:$AR$4,1,102-Projects!$C$45+1),0)+IF(AND(Projects!$G$46="Yes",102&gt;=Projects!$C$46,102&lt;Projects!$C$46+Projects!$D$46),Projects!$B$46*INDEX(Curves!$B$4:$AR$4,1,102-Projects!$C$46+1),0)</f>
        <v>0</v>
      </c>
      <c r="DD96" s="313" t="n">
        <f aca="false">IF(AND(Projects!$G$17="Yes",103&gt;=Projects!$C$17,103&lt;Projects!$C$17+Projects!$D$17),Projects!$B$17*INDEX(Curves!$B$4:$AR$4,1,103-Projects!$C$17+1),0)+IF(AND(Projects!$G$18="Yes",103&gt;=Projects!$C$18,103&lt;Projects!$C$18+Projects!$D$18),Projects!$B$18*INDEX(Curves!$B$4:$AR$4,1,103-Projects!$C$18+1),0)+IF(AND(Projects!$G$19="Yes",103&gt;=Projects!$C$19,103&lt;Projects!$C$19+Projects!$D$19),Projects!$B$19*INDEX(Curves!$B$4:$AR$4,1,103-Projects!$C$19+1),0)+IF(AND(Projects!$G$20="Yes",103&gt;=Projects!$C$20,103&lt;Projects!$C$20+Projects!$D$20),Projects!$B$20*INDEX(Curves!$B$4:$AR$4,1,103-Projects!$C$20+1),0)+IF(AND(Projects!$G$21="Yes",103&gt;=Projects!$C$21,103&lt;Projects!$C$21+Projects!$D$21),Projects!$B$21*INDEX(Curves!$B$4:$AR$4,1,103-Projects!$C$21+1),0)+IF(AND(Projects!$G$22="Yes",103&gt;=Projects!$C$22,103&lt;Projects!$C$22+Projects!$D$22),Projects!$B$22*INDEX(Curves!$B$4:$AR$4,1,103-Projects!$C$22+1),0)+IF(AND(Projects!$G$23="Yes",103&gt;=Projects!$C$23,103&lt;Projects!$C$23+Projects!$D$23),Projects!$B$23*INDEX(Curves!$B$4:$AR$4,1,103-Projects!$C$23+1),0)+IF(AND(Projects!$G$24="Yes",103&gt;=Projects!$C$24,103&lt;Projects!$C$24+Projects!$D$24),Projects!$B$24*INDEX(Curves!$B$4:$AR$4,1,103-Projects!$C$24+1),0)+IF(AND(Projects!$G$25="Yes",103&gt;=Projects!$C$25,103&lt;Projects!$C$25+Projects!$D$25),Projects!$B$25*INDEX(Curves!$B$4:$AR$4,1,103-Projects!$C$25+1),0)+IF(AND(Projects!$G$26="Yes",103&gt;=Projects!$C$26,103&lt;Projects!$C$26+Projects!$D$26),Projects!$B$26*INDEX(Curves!$B$4:$AR$4,1,103-Projects!$C$26+1),0)+IF(AND(Projects!$G$27="Yes",103&gt;=Projects!$C$27,103&lt;Projects!$C$27+Projects!$D$27),Projects!$B$27*INDEX(Curves!$B$4:$AR$4,1,103-Projects!$C$27+1),0)+IF(AND(Projects!$G$28="Yes",103&gt;=Projects!$C$28,103&lt;Projects!$C$28+Projects!$D$28),Projects!$B$28*INDEX(Curves!$B$4:$AR$4,1,103-Projects!$C$28+1),0)+IF(AND(Projects!$G$29="Yes",103&gt;=Projects!$C$29,103&lt;Projects!$C$29+Projects!$D$29),Projects!$B$29*INDEX(Curves!$B$4:$AR$4,1,103-Projects!$C$29+1),0)+IF(AND(Projects!$G$30="Yes",103&gt;=Projects!$C$30,103&lt;Projects!$C$30+Projects!$D$30),Projects!$B$30*INDEX(Curves!$B$4:$AR$4,1,103-Projects!$C$30+1),0)+IF(AND(Projects!$G$31="Yes",103&gt;=Projects!$C$31,103&lt;Projects!$C$31+Projects!$D$31),Projects!$B$31*INDEX(Curves!$B$4:$AR$4,1,103-Projects!$C$31+1),0)+IF(AND(Projects!$G$32="Yes",103&gt;=Projects!$C$32,103&lt;Projects!$C$32+Projects!$D$32),Projects!$B$32*INDEX(Curves!$B$4:$AR$4,1,103-Projects!$C$32+1),0)+IF(AND(Projects!$G$33="Yes",103&gt;=Projects!$C$33,103&lt;Projects!$C$33+Projects!$D$33),Projects!$B$33*INDEX(Curves!$B$4:$AR$4,1,103-Projects!$C$33+1),0)+IF(AND(Projects!$G$34="Yes",103&gt;=Projects!$C$34,103&lt;Projects!$C$34+Projects!$D$34),Projects!$B$34*INDEX(Curves!$B$4:$AR$4,1,103-Projects!$C$34+1),0)+IF(AND(Projects!$G$35="Yes",103&gt;=Projects!$C$35,103&lt;Projects!$C$35+Projects!$D$35),Projects!$B$35*INDEX(Curves!$B$4:$AR$4,1,103-Projects!$C$35+1),0)+IF(AND(Projects!$G$36="Yes",103&gt;=Projects!$C$36,103&lt;Projects!$C$36+Projects!$D$36),Projects!$B$36*INDEX(Curves!$B$4:$AR$4,1,103-Projects!$C$36+1),0)+IF(AND(Projects!$G$37="Yes",103&gt;=Projects!$C$37,103&lt;Projects!$C$37+Projects!$D$37),Projects!$B$37*INDEX(Curves!$B$4:$AR$4,1,103-Projects!$C$37+1),0)+IF(AND(Projects!$G$38="Yes",103&gt;=Projects!$C$38,103&lt;Projects!$C$38+Projects!$D$38),Projects!$B$38*INDEX(Curves!$B$4:$AR$4,1,103-Projects!$C$38+1),0)+IF(AND(Projects!$G$39="Yes",103&gt;=Projects!$C$39,103&lt;Projects!$C$39+Projects!$D$39),Projects!$B$39*INDEX(Curves!$B$4:$AR$4,1,103-Projects!$C$39+1),0)+IF(AND(Projects!$G$40="Yes",103&gt;=Projects!$C$40,103&lt;Projects!$C$40+Projects!$D$40),Projects!$B$40*INDEX(Curves!$B$4:$AR$4,1,103-Projects!$C$40+1),0)+IF(AND(Projects!$G$41="Yes",103&gt;=Projects!$C$41,103&lt;Projects!$C$41+Projects!$D$41),Projects!$B$41*INDEX(Curves!$B$4:$AR$4,1,103-Projects!$C$41+1),0)+IF(AND(Projects!$G$42="Yes",103&gt;=Projects!$C$42,103&lt;Projects!$C$42+Projects!$D$42),Projects!$B$42*INDEX(Curves!$B$4:$AR$4,1,103-Projects!$C$42+1),0)+IF(AND(Projects!$G$43="Yes",103&gt;=Projects!$C$43,103&lt;Projects!$C$43+Projects!$D$43),Projects!$B$43*INDEX(Curves!$B$4:$AR$4,1,103-Projects!$C$43+1),0)+IF(AND(Projects!$G$44="Yes",103&gt;=Projects!$C$44,103&lt;Projects!$C$44+Projects!$D$44),Projects!$B$44*INDEX(Curves!$B$4:$AR$4,1,103-Projects!$C$44+1),0)+IF(AND(Projects!$G$45="Yes",103&gt;=Projects!$C$45,103&lt;Projects!$C$45+Projects!$D$45),Projects!$B$45*INDEX(Curves!$B$4:$AR$4,1,103-Projects!$C$45+1),0)+IF(AND(Projects!$G$46="Yes",103&gt;=Projects!$C$46,103&lt;Projects!$C$46+Projects!$D$46),Projects!$B$46*INDEX(Curves!$B$4:$AR$4,1,103-Projects!$C$46+1),0)</f>
        <v>0</v>
      </c>
      <c r="DE96" s="313" t="n">
        <f aca="false">IF(AND(Projects!$G$17="Yes",104&gt;=Projects!$C$17,104&lt;Projects!$C$17+Projects!$D$17),Projects!$B$17*INDEX(Curves!$B$4:$AR$4,1,104-Projects!$C$17+1),0)+IF(AND(Projects!$G$18="Yes",104&gt;=Projects!$C$18,104&lt;Projects!$C$18+Projects!$D$18),Projects!$B$18*INDEX(Curves!$B$4:$AR$4,1,104-Projects!$C$18+1),0)+IF(AND(Projects!$G$19="Yes",104&gt;=Projects!$C$19,104&lt;Projects!$C$19+Projects!$D$19),Projects!$B$19*INDEX(Curves!$B$4:$AR$4,1,104-Projects!$C$19+1),0)+IF(AND(Projects!$G$20="Yes",104&gt;=Projects!$C$20,104&lt;Projects!$C$20+Projects!$D$20),Projects!$B$20*INDEX(Curves!$B$4:$AR$4,1,104-Projects!$C$20+1),0)+IF(AND(Projects!$G$21="Yes",104&gt;=Projects!$C$21,104&lt;Projects!$C$21+Projects!$D$21),Projects!$B$21*INDEX(Curves!$B$4:$AR$4,1,104-Projects!$C$21+1),0)+IF(AND(Projects!$G$22="Yes",104&gt;=Projects!$C$22,104&lt;Projects!$C$22+Projects!$D$22),Projects!$B$22*INDEX(Curves!$B$4:$AR$4,1,104-Projects!$C$22+1),0)+IF(AND(Projects!$G$23="Yes",104&gt;=Projects!$C$23,104&lt;Projects!$C$23+Projects!$D$23),Projects!$B$23*INDEX(Curves!$B$4:$AR$4,1,104-Projects!$C$23+1),0)+IF(AND(Projects!$G$24="Yes",104&gt;=Projects!$C$24,104&lt;Projects!$C$24+Projects!$D$24),Projects!$B$24*INDEX(Curves!$B$4:$AR$4,1,104-Projects!$C$24+1),0)+IF(AND(Projects!$G$25="Yes",104&gt;=Projects!$C$25,104&lt;Projects!$C$25+Projects!$D$25),Projects!$B$25*INDEX(Curves!$B$4:$AR$4,1,104-Projects!$C$25+1),0)+IF(AND(Projects!$G$26="Yes",104&gt;=Projects!$C$26,104&lt;Projects!$C$26+Projects!$D$26),Projects!$B$26*INDEX(Curves!$B$4:$AR$4,1,104-Projects!$C$26+1),0)+IF(AND(Projects!$G$27="Yes",104&gt;=Projects!$C$27,104&lt;Projects!$C$27+Projects!$D$27),Projects!$B$27*INDEX(Curves!$B$4:$AR$4,1,104-Projects!$C$27+1),0)+IF(AND(Projects!$G$28="Yes",104&gt;=Projects!$C$28,104&lt;Projects!$C$28+Projects!$D$28),Projects!$B$28*INDEX(Curves!$B$4:$AR$4,1,104-Projects!$C$28+1),0)+IF(AND(Projects!$G$29="Yes",104&gt;=Projects!$C$29,104&lt;Projects!$C$29+Projects!$D$29),Projects!$B$29*INDEX(Curves!$B$4:$AR$4,1,104-Projects!$C$29+1),0)+IF(AND(Projects!$G$30="Yes",104&gt;=Projects!$C$30,104&lt;Projects!$C$30+Projects!$D$30),Projects!$B$30*INDEX(Curves!$B$4:$AR$4,1,104-Projects!$C$30+1),0)+IF(AND(Projects!$G$31="Yes",104&gt;=Projects!$C$31,104&lt;Projects!$C$31+Projects!$D$31),Projects!$B$31*INDEX(Curves!$B$4:$AR$4,1,104-Projects!$C$31+1),0)+IF(AND(Projects!$G$32="Yes",104&gt;=Projects!$C$32,104&lt;Projects!$C$32+Projects!$D$32),Projects!$B$32*INDEX(Curves!$B$4:$AR$4,1,104-Projects!$C$32+1),0)+IF(AND(Projects!$G$33="Yes",104&gt;=Projects!$C$33,104&lt;Projects!$C$33+Projects!$D$33),Projects!$B$33*INDEX(Curves!$B$4:$AR$4,1,104-Projects!$C$33+1),0)+IF(AND(Projects!$G$34="Yes",104&gt;=Projects!$C$34,104&lt;Projects!$C$34+Projects!$D$34),Projects!$B$34*INDEX(Curves!$B$4:$AR$4,1,104-Projects!$C$34+1),0)+IF(AND(Projects!$G$35="Yes",104&gt;=Projects!$C$35,104&lt;Projects!$C$35+Projects!$D$35),Projects!$B$35*INDEX(Curves!$B$4:$AR$4,1,104-Projects!$C$35+1),0)+IF(AND(Projects!$G$36="Yes",104&gt;=Projects!$C$36,104&lt;Projects!$C$36+Projects!$D$36),Projects!$B$36*INDEX(Curves!$B$4:$AR$4,1,104-Projects!$C$36+1),0)+IF(AND(Projects!$G$37="Yes",104&gt;=Projects!$C$37,104&lt;Projects!$C$37+Projects!$D$37),Projects!$B$37*INDEX(Curves!$B$4:$AR$4,1,104-Projects!$C$37+1),0)+IF(AND(Projects!$G$38="Yes",104&gt;=Projects!$C$38,104&lt;Projects!$C$38+Projects!$D$38),Projects!$B$38*INDEX(Curves!$B$4:$AR$4,1,104-Projects!$C$38+1),0)+IF(AND(Projects!$G$39="Yes",104&gt;=Projects!$C$39,104&lt;Projects!$C$39+Projects!$D$39),Projects!$B$39*INDEX(Curves!$B$4:$AR$4,1,104-Projects!$C$39+1),0)+IF(AND(Projects!$G$40="Yes",104&gt;=Projects!$C$40,104&lt;Projects!$C$40+Projects!$D$40),Projects!$B$40*INDEX(Curves!$B$4:$AR$4,1,104-Projects!$C$40+1),0)+IF(AND(Projects!$G$41="Yes",104&gt;=Projects!$C$41,104&lt;Projects!$C$41+Projects!$D$41),Projects!$B$41*INDEX(Curves!$B$4:$AR$4,1,104-Projects!$C$41+1),0)+IF(AND(Projects!$G$42="Yes",104&gt;=Projects!$C$42,104&lt;Projects!$C$42+Projects!$D$42),Projects!$B$42*INDEX(Curves!$B$4:$AR$4,1,104-Projects!$C$42+1),0)+IF(AND(Projects!$G$43="Yes",104&gt;=Projects!$C$43,104&lt;Projects!$C$43+Projects!$D$43),Projects!$B$43*INDEX(Curves!$B$4:$AR$4,1,104-Projects!$C$43+1),0)+IF(AND(Projects!$G$44="Yes",104&gt;=Projects!$C$44,104&lt;Projects!$C$44+Projects!$D$44),Projects!$B$44*INDEX(Curves!$B$4:$AR$4,1,104-Projects!$C$44+1),0)+IF(AND(Projects!$G$45="Yes",104&gt;=Projects!$C$45,104&lt;Projects!$C$45+Projects!$D$45),Projects!$B$45*INDEX(Curves!$B$4:$AR$4,1,104-Projects!$C$45+1),0)+IF(AND(Projects!$G$46="Yes",104&gt;=Projects!$C$46,104&lt;Projects!$C$46+Projects!$D$46),Projects!$B$46*INDEX(Curves!$B$4:$AR$4,1,104-Projects!$C$46+1),0)</f>
        <v>0</v>
      </c>
      <c r="DF96" s="313" t="n">
        <f aca="false">IF(AND(Projects!$G$17="Yes",105&gt;=Projects!$C$17,105&lt;Projects!$C$17+Projects!$D$17),Projects!$B$17*INDEX(Curves!$B$4:$AR$4,1,105-Projects!$C$17+1),0)+IF(AND(Projects!$G$18="Yes",105&gt;=Projects!$C$18,105&lt;Projects!$C$18+Projects!$D$18),Projects!$B$18*INDEX(Curves!$B$4:$AR$4,1,105-Projects!$C$18+1),0)+IF(AND(Projects!$G$19="Yes",105&gt;=Projects!$C$19,105&lt;Projects!$C$19+Projects!$D$19),Projects!$B$19*INDEX(Curves!$B$4:$AR$4,1,105-Projects!$C$19+1),0)+IF(AND(Projects!$G$20="Yes",105&gt;=Projects!$C$20,105&lt;Projects!$C$20+Projects!$D$20),Projects!$B$20*INDEX(Curves!$B$4:$AR$4,1,105-Projects!$C$20+1),0)+IF(AND(Projects!$G$21="Yes",105&gt;=Projects!$C$21,105&lt;Projects!$C$21+Projects!$D$21),Projects!$B$21*INDEX(Curves!$B$4:$AR$4,1,105-Projects!$C$21+1),0)+IF(AND(Projects!$G$22="Yes",105&gt;=Projects!$C$22,105&lt;Projects!$C$22+Projects!$D$22),Projects!$B$22*INDEX(Curves!$B$4:$AR$4,1,105-Projects!$C$22+1),0)+IF(AND(Projects!$G$23="Yes",105&gt;=Projects!$C$23,105&lt;Projects!$C$23+Projects!$D$23),Projects!$B$23*INDEX(Curves!$B$4:$AR$4,1,105-Projects!$C$23+1),0)+IF(AND(Projects!$G$24="Yes",105&gt;=Projects!$C$24,105&lt;Projects!$C$24+Projects!$D$24),Projects!$B$24*INDEX(Curves!$B$4:$AR$4,1,105-Projects!$C$24+1),0)+IF(AND(Projects!$G$25="Yes",105&gt;=Projects!$C$25,105&lt;Projects!$C$25+Projects!$D$25),Projects!$B$25*INDEX(Curves!$B$4:$AR$4,1,105-Projects!$C$25+1),0)+IF(AND(Projects!$G$26="Yes",105&gt;=Projects!$C$26,105&lt;Projects!$C$26+Projects!$D$26),Projects!$B$26*INDEX(Curves!$B$4:$AR$4,1,105-Projects!$C$26+1),0)+IF(AND(Projects!$G$27="Yes",105&gt;=Projects!$C$27,105&lt;Projects!$C$27+Projects!$D$27),Projects!$B$27*INDEX(Curves!$B$4:$AR$4,1,105-Projects!$C$27+1),0)+IF(AND(Projects!$G$28="Yes",105&gt;=Projects!$C$28,105&lt;Projects!$C$28+Projects!$D$28),Projects!$B$28*INDEX(Curves!$B$4:$AR$4,1,105-Projects!$C$28+1),0)+IF(AND(Projects!$G$29="Yes",105&gt;=Projects!$C$29,105&lt;Projects!$C$29+Projects!$D$29),Projects!$B$29*INDEX(Curves!$B$4:$AR$4,1,105-Projects!$C$29+1),0)+IF(AND(Projects!$G$30="Yes",105&gt;=Projects!$C$30,105&lt;Projects!$C$30+Projects!$D$30),Projects!$B$30*INDEX(Curves!$B$4:$AR$4,1,105-Projects!$C$30+1),0)+IF(AND(Projects!$G$31="Yes",105&gt;=Projects!$C$31,105&lt;Projects!$C$31+Projects!$D$31),Projects!$B$31*INDEX(Curves!$B$4:$AR$4,1,105-Projects!$C$31+1),0)+IF(AND(Projects!$G$32="Yes",105&gt;=Projects!$C$32,105&lt;Projects!$C$32+Projects!$D$32),Projects!$B$32*INDEX(Curves!$B$4:$AR$4,1,105-Projects!$C$32+1),0)+IF(AND(Projects!$G$33="Yes",105&gt;=Projects!$C$33,105&lt;Projects!$C$33+Projects!$D$33),Projects!$B$33*INDEX(Curves!$B$4:$AR$4,1,105-Projects!$C$33+1),0)+IF(AND(Projects!$G$34="Yes",105&gt;=Projects!$C$34,105&lt;Projects!$C$34+Projects!$D$34),Projects!$B$34*INDEX(Curves!$B$4:$AR$4,1,105-Projects!$C$34+1),0)+IF(AND(Projects!$G$35="Yes",105&gt;=Projects!$C$35,105&lt;Projects!$C$35+Projects!$D$35),Projects!$B$35*INDEX(Curves!$B$4:$AR$4,1,105-Projects!$C$35+1),0)+IF(AND(Projects!$G$36="Yes",105&gt;=Projects!$C$36,105&lt;Projects!$C$36+Projects!$D$36),Projects!$B$36*INDEX(Curves!$B$4:$AR$4,1,105-Projects!$C$36+1),0)+IF(AND(Projects!$G$37="Yes",105&gt;=Projects!$C$37,105&lt;Projects!$C$37+Projects!$D$37),Projects!$B$37*INDEX(Curves!$B$4:$AR$4,1,105-Projects!$C$37+1),0)+IF(AND(Projects!$G$38="Yes",105&gt;=Projects!$C$38,105&lt;Projects!$C$38+Projects!$D$38),Projects!$B$38*INDEX(Curves!$B$4:$AR$4,1,105-Projects!$C$38+1),0)+IF(AND(Projects!$G$39="Yes",105&gt;=Projects!$C$39,105&lt;Projects!$C$39+Projects!$D$39),Projects!$B$39*INDEX(Curves!$B$4:$AR$4,1,105-Projects!$C$39+1),0)+IF(AND(Projects!$G$40="Yes",105&gt;=Projects!$C$40,105&lt;Projects!$C$40+Projects!$D$40),Projects!$B$40*INDEX(Curves!$B$4:$AR$4,1,105-Projects!$C$40+1),0)+IF(AND(Projects!$G$41="Yes",105&gt;=Projects!$C$41,105&lt;Projects!$C$41+Projects!$D$41),Projects!$B$41*INDEX(Curves!$B$4:$AR$4,1,105-Projects!$C$41+1),0)+IF(AND(Projects!$G$42="Yes",105&gt;=Projects!$C$42,105&lt;Projects!$C$42+Projects!$D$42),Projects!$B$42*INDEX(Curves!$B$4:$AR$4,1,105-Projects!$C$42+1),0)+IF(AND(Projects!$G$43="Yes",105&gt;=Projects!$C$43,105&lt;Projects!$C$43+Projects!$D$43),Projects!$B$43*INDEX(Curves!$B$4:$AR$4,1,105-Projects!$C$43+1),0)+IF(AND(Projects!$G$44="Yes",105&gt;=Projects!$C$44,105&lt;Projects!$C$44+Projects!$D$44),Projects!$B$44*INDEX(Curves!$B$4:$AR$4,1,105-Projects!$C$44+1),0)+IF(AND(Projects!$G$45="Yes",105&gt;=Projects!$C$45,105&lt;Projects!$C$45+Projects!$D$45),Projects!$B$45*INDEX(Curves!$B$4:$AR$4,1,105-Projects!$C$45+1),0)+IF(AND(Projects!$G$46="Yes",105&gt;=Projects!$C$46,105&lt;Projects!$C$46+Projects!$D$46),Projects!$B$46*INDEX(Curves!$B$4:$AR$4,1,105-Projects!$C$46+1),0)</f>
        <v>0</v>
      </c>
    </row>
    <row r="97" customFormat="false" ht="15" hidden="false" customHeight="true" outlineLevel="0" collapsed="false">
      <c r="A97" s="72" t="s">
        <v>1174</v>
      </c>
      <c r="C97" s="313" t="n">
        <f aca="false">C96+SUMPRODUCT((Projects!$G$17:$G$46="Yes")*(-2&gt;=Projects!$C$17:$C$46)*(-2&lt;Projects!$C$17:$C$46+Projects!$D$17:$D$46)*Projects!$B$17:$B$46*Assumptions!$B$10/Projects!$D$17:$D$46*0.95)+SUMPRODUCT((Projects!$G$17:$G$46="Yes")*(-2=Projects!$C$17:$C$46+Projects!$D$17:$D$46-1)*Projects!$B$17:$B$46*Assumptions!$B$10*0.05)+SUMPRODUCT((Projects!$G$17:$G$46="Yes")*(-2&gt;=Projects!$C$17:$C$46)*(-2&lt;Projects!$C$17:$C$46+Projects!$D$17:$D$46)*Projects!$B$17:$B$46*Assumptions!$B$11/Projects!$D$17:$D$46*0.95)+SUMPRODUCT((Projects!$G$17:$G$46="Yes")*(-2=Projects!$C$17:$C$46+Projects!$D$17:$D$46-1)*Projects!$B$17:$B$46*Assumptions!$B$11*0.05)+SUMPRODUCT((Projects!$G$17:$G$46="Yes")*(-2&gt;=Projects!$C$17:$C$46)*(-2&lt;Projects!$C$17:$C$46+Projects!$D$17:$D$46)*Projects!$B$17:$B$46*Assumptions!$B$12/Projects!$D$17:$D$46*0.95)+SUMPRODUCT((Projects!$G$17:$G$46="Yes")*(-2=Projects!$C$17:$C$46+Projects!$D$17:$D$46-1)*Projects!$B$17:$B$46*Assumptions!$B$12*0.05)</f>
        <v>0</v>
      </c>
      <c r="D97" s="313" t="n">
        <f aca="false">D96+SUMPRODUCT((Projects!$G$17:$G$46="Yes")*(-1&gt;=Projects!$C$17:$C$46)*(-1&lt;Projects!$C$17:$C$46+Projects!$D$17:$D$46)*Projects!$B$17:$B$46*Assumptions!$B$10/Projects!$D$17:$D$46*0.95)+SUMPRODUCT((Projects!$G$17:$G$46="Yes")*(-1=Projects!$C$17:$C$46+Projects!$D$17:$D$46-1)*Projects!$B$17:$B$46*Assumptions!$B$10*0.05)+SUMPRODUCT((Projects!$G$17:$G$46="Yes")*(-1&gt;=Projects!$C$17:$C$46)*(-1&lt;Projects!$C$17:$C$46+Projects!$D$17:$D$46)*Projects!$B$17:$B$46*Assumptions!$B$11/Projects!$D$17:$D$46*0.95)+SUMPRODUCT((Projects!$G$17:$G$46="Yes")*(-1=Projects!$C$17:$C$46+Projects!$D$17:$D$46-1)*Projects!$B$17:$B$46*Assumptions!$B$11*0.05)+SUMPRODUCT((Projects!$G$17:$G$46="Yes")*(-1&gt;=Projects!$C$17:$C$46)*(-1&lt;Projects!$C$17:$C$46+Projects!$D$17:$D$46)*Projects!$B$17:$B$46*Assumptions!$B$12/Projects!$D$17:$D$46*0.95)+SUMPRODUCT((Projects!$G$17:$G$46="Yes")*(-1=Projects!$C$17:$C$46+Projects!$D$17:$D$46-1)*Projects!$B$17:$B$46*Assumptions!$B$12*0.05)</f>
        <v>0</v>
      </c>
      <c r="E97" s="313" t="n">
        <f aca="false">E96+SUMPRODUCT((Projects!$G$17:$G$46="Yes")*(0&gt;=Projects!$C$17:$C$46)*(0&lt;Projects!$C$17:$C$46+Projects!$D$17:$D$46)*Projects!$B$17:$B$46*Assumptions!$B$10/Projects!$D$17:$D$46*0.95)+SUMPRODUCT((Projects!$G$17:$G$46="Yes")*(0=Projects!$C$17:$C$46+Projects!$D$17:$D$46-1)*Projects!$B$17:$B$46*Assumptions!$B$10*0.05)+SUMPRODUCT((Projects!$G$17:$G$46="Yes")*(0&gt;=Projects!$C$17:$C$46)*(0&lt;Projects!$C$17:$C$46+Projects!$D$17:$D$46)*Projects!$B$17:$B$46*Assumptions!$B$11/Projects!$D$17:$D$46*0.95)+SUMPRODUCT((Projects!$G$17:$G$46="Yes")*(0=Projects!$C$17:$C$46+Projects!$D$17:$D$46-1)*Projects!$B$17:$B$46*Assumptions!$B$11*0.05)+SUMPRODUCT((Projects!$G$17:$G$46="Yes")*(0&gt;=Projects!$C$17:$C$46)*(0&lt;Projects!$C$17:$C$46+Projects!$D$17:$D$46)*Projects!$B$17:$B$46*Assumptions!$B$12/Projects!$D$17:$D$46*0.95)+SUMPRODUCT((Projects!$G$17:$G$46="Yes")*(0=Projects!$C$17:$C$46+Projects!$D$17:$D$46-1)*Projects!$B$17:$B$46*Assumptions!$B$12*0.05)</f>
        <v>0</v>
      </c>
      <c r="F97" s="313" t="n">
        <f aca="false">F96+SUMPRODUCT((Projects!$G$17:$G$46="Yes")*(1&gt;=Projects!$C$17:$C$46)*(1&lt;Projects!$C$17:$C$46+Projects!$D$17:$D$46)*Projects!$B$17:$B$46*Assumptions!$B$10/Projects!$D$17:$D$46*0.95)+SUMPRODUCT((Projects!$G$17:$G$46="Yes")*(1=Projects!$C$17:$C$46+Projects!$D$17:$D$46-1)*Projects!$B$17:$B$46*Assumptions!$B$10*0.05)+SUMPRODUCT((Projects!$G$17:$G$46="Yes")*(1&gt;=Projects!$C$17:$C$46)*(1&lt;Projects!$C$17:$C$46+Projects!$D$17:$D$46)*Projects!$B$17:$B$46*Assumptions!$B$11/Projects!$D$17:$D$46*0.95)+SUMPRODUCT((Projects!$G$17:$G$46="Yes")*(1=Projects!$C$17:$C$46+Projects!$D$17:$D$46-1)*Projects!$B$17:$B$46*Assumptions!$B$11*0.05)+SUMPRODUCT((Projects!$G$17:$G$46="Yes")*(1&gt;=Projects!$C$17:$C$46)*(1&lt;Projects!$C$17:$C$46+Projects!$D$17:$D$46)*Projects!$B$17:$B$46*Assumptions!$B$12/Projects!$D$17:$D$46*0.95)+SUMPRODUCT((Projects!$G$17:$G$46="Yes")*(1=Projects!$C$17:$C$46+Projects!$D$17:$D$46-1)*Projects!$B$17:$B$46*Assumptions!$B$12*0.05)</f>
        <v>0</v>
      </c>
      <c r="G97" s="313" t="n">
        <f aca="false">G96+SUMPRODUCT((Projects!$G$17:$G$46="Yes")*(2&gt;=Projects!$C$17:$C$46)*(2&lt;Projects!$C$17:$C$46+Projects!$D$17:$D$46)*Projects!$B$17:$B$46*Assumptions!$B$10/Projects!$D$17:$D$46*0.95)+SUMPRODUCT((Projects!$G$17:$G$46="Yes")*(2=Projects!$C$17:$C$46+Projects!$D$17:$D$46-1)*Projects!$B$17:$B$46*Assumptions!$B$10*0.05)+SUMPRODUCT((Projects!$G$17:$G$46="Yes")*(2&gt;=Projects!$C$17:$C$46)*(2&lt;Projects!$C$17:$C$46+Projects!$D$17:$D$46)*Projects!$B$17:$B$46*Assumptions!$B$11/Projects!$D$17:$D$46*0.95)+SUMPRODUCT((Projects!$G$17:$G$46="Yes")*(2=Projects!$C$17:$C$46+Projects!$D$17:$D$46-1)*Projects!$B$17:$B$46*Assumptions!$B$11*0.05)+SUMPRODUCT((Projects!$G$17:$G$46="Yes")*(2&gt;=Projects!$C$17:$C$46)*(2&lt;Projects!$C$17:$C$46+Projects!$D$17:$D$46)*Projects!$B$17:$B$46*Assumptions!$B$12/Projects!$D$17:$D$46*0.95)+SUMPRODUCT((Projects!$G$17:$G$46="Yes")*(2=Projects!$C$17:$C$46+Projects!$D$17:$D$46-1)*Projects!$B$17:$B$46*Assumptions!$B$12*0.05)</f>
        <v>0</v>
      </c>
      <c r="H97" s="313" t="n">
        <f aca="false">H96+SUMPRODUCT((Projects!$G$17:$G$46="Yes")*(3&gt;=Projects!$C$17:$C$46)*(3&lt;Projects!$C$17:$C$46+Projects!$D$17:$D$46)*Projects!$B$17:$B$46*Assumptions!$B$10/Projects!$D$17:$D$46*0.95)+SUMPRODUCT((Projects!$G$17:$G$46="Yes")*(3=Projects!$C$17:$C$46+Projects!$D$17:$D$46-1)*Projects!$B$17:$B$46*Assumptions!$B$10*0.05)+SUMPRODUCT((Projects!$G$17:$G$46="Yes")*(3&gt;=Projects!$C$17:$C$46)*(3&lt;Projects!$C$17:$C$46+Projects!$D$17:$D$46)*Projects!$B$17:$B$46*Assumptions!$B$11/Projects!$D$17:$D$46*0.95)+SUMPRODUCT((Projects!$G$17:$G$46="Yes")*(3=Projects!$C$17:$C$46+Projects!$D$17:$D$46-1)*Projects!$B$17:$B$46*Assumptions!$B$11*0.05)+SUMPRODUCT((Projects!$G$17:$G$46="Yes")*(3&gt;=Projects!$C$17:$C$46)*(3&lt;Projects!$C$17:$C$46+Projects!$D$17:$D$46)*Projects!$B$17:$B$46*Assumptions!$B$12/Projects!$D$17:$D$46*0.95)+SUMPRODUCT((Projects!$G$17:$G$46="Yes")*(3=Projects!$C$17:$C$46+Projects!$D$17:$D$46-1)*Projects!$B$17:$B$46*Assumptions!$B$12*0.05)</f>
        <v>0</v>
      </c>
      <c r="I97" s="313" t="n">
        <f aca="false">I96+SUMPRODUCT((Projects!$G$17:$G$46="Yes")*(4&gt;=Projects!$C$17:$C$46)*(4&lt;Projects!$C$17:$C$46+Projects!$D$17:$D$46)*Projects!$B$17:$B$46*Assumptions!$B$10/Projects!$D$17:$D$46*0.95)+SUMPRODUCT((Projects!$G$17:$G$46="Yes")*(4=Projects!$C$17:$C$46+Projects!$D$17:$D$46-1)*Projects!$B$17:$B$46*Assumptions!$B$10*0.05)+SUMPRODUCT((Projects!$G$17:$G$46="Yes")*(4&gt;=Projects!$C$17:$C$46)*(4&lt;Projects!$C$17:$C$46+Projects!$D$17:$D$46)*Projects!$B$17:$B$46*Assumptions!$B$11/Projects!$D$17:$D$46*0.95)+SUMPRODUCT((Projects!$G$17:$G$46="Yes")*(4=Projects!$C$17:$C$46+Projects!$D$17:$D$46-1)*Projects!$B$17:$B$46*Assumptions!$B$11*0.05)+SUMPRODUCT((Projects!$G$17:$G$46="Yes")*(4&gt;=Projects!$C$17:$C$46)*(4&lt;Projects!$C$17:$C$46+Projects!$D$17:$D$46)*Projects!$B$17:$B$46*Assumptions!$B$12/Projects!$D$17:$D$46*0.95)+SUMPRODUCT((Projects!$G$17:$G$46="Yes")*(4=Projects!$C$17:$C$46+Projects!$D$17:$D$46-1)*Projects!$B$17:$B$46*Assumptions!$B$12*0.05)</f>
        <v>0</v>
      </c>
      <c r="J97" s="313" t="n">
        <f aca="false">J96+SUMPRODUCT((Projects!$G$17:$G$46="Yes")*(5&gt;=Projects!$C$17:$C$46)*(5&lt;Projects!$C$17:$C$46+Projects!$D$17:$D$46)*Projects!$B$17:$B$46*Assumptions!$B$10/Projects!$D$17:$D$46*0.95)+SUMPRODUCT((Projects!$G$17:$G$46="Yes")*(5=Projects!$C$17:$C$46+Projects!$D$17:$D$46-1)*Projects!$B$17:$B$46*Assumptions!$B$10*0.05)+SUMPRODUCT((Projects!$G$17:$G$46="Yes")*(5&gt;=Projects!$C$17:$C$46)*(5&lt;Projects!$C$17:$C$46+Projects!$D$17:$D$46)*Projects!$B$17:$B$46*Assumptions!$B$11/Projects!$D$17:$D$46*0.95)+SUMPRODUCT((Projects!$G$17:$G$46="Yes")*(5=Projects!$C$17:$C$46+Projects!$D$17:$D$46-1)*Projects!$B$17:$B$46*Assumptions!$B$11*0.05)+SUMPRODUCT((Projects!$G$17:$G$46="Yes")*(5&gt;=Projects!$C$17:$C$46)*(5&lt;Projects!$C$17:$C$46+Projects!$D$17:$D$46)*Projects!$B$17:$B$46*Assumptions!$B$12/Projects!$D$17:$D$46*0.95)+SUMPRODUCT((Projects!$G$17:$G$46="Yes")*(5=Projects!$C$17:$C$46+Projects!$D$17:$D$46-1)*Projects!$B$17:$B$46*Assumptions!$B$12*0.05)</f>
        <v>0</v>
      </c>
      <c r="K97" s="313" t="n">
        <f aca="false">K96+SUMPRODUCT((Projects!$G$17:$G$46="Yes")*(6&gt;=Projects!$C$17:$C$46)*(6&lt;Projects!$C$17:$C$46+Projects!$D$17:$D$46)*Projects!$B$17:$B$46*Assumptions!$B$10/Projects!$D$17:$D$46*0.95)+SUMPRODUCT((Projects!$G$17:$G$46="Yes")*(6=Projects!$C$17:$C$46+Projects!$D$17:$D$46-1)*Projects!$B$17:$B$46*Assumptions!$B$10*0.05)+SUMPRODUCT((Projects!$G$17:$G$46="Yes")*(6&gt;=Projects!$C$17:$C$46)*(6&lt;Projects!$C$17:$C$46+Projects!$D$17:$D$46)*Projects!$B$17:$B$46*Assumptions!$B$11/Projects!$D$17:$D$46*0.95)+SUMPRODUCT((Projects!$G$17:$G$46="Yes")*(6=Projects!$C$17:$C$46+Projects!$D$17:$D$46-1)*Projects!$B$17:$B$46*Assumptions!$B$11*0.05)+SUMPRODUCT((Projects!$G$17:$G$46="Yes")*(6&gt;=Projects!$C$17:$C$46)*(6&lt;Projects!$C$17:$C$46+Projects!$D$17:$D$46)*Projects!$B$17:$B$46*Assumptions!$B$12/Projects!$D$17:$D$46*0.95)+SUMPRODUCT((Projects!$G$17:$G$46="Yes")*(6=Projects!$C$17:$C$46+Projects!$D$17:$D$46-1)*Projects!$B$17:$B$46*Assumptions!$B$12*0.05)</f>
        <v>0</v>
      </c>
      <c r="L97" s="313" t="n">
        <f aca="false">L96+SUMPRODUCT((Projects!$G$17:$G$46="Yes")*(7&gt;=Projects!$C$17:$C$46)*(7&lt;Projects!$C$17:$C$46+Projects!$D$17:$D$46)*Projects!$B$17:$B$46*Assumptions!$B$10/Projects!$D$17:$D$46*0.95)+SUMPRODUCT((Projects!$G$17:$G$46="Yes")*(7=Projects!$C$17:$C$46+Projects!$D$17:$D$46-1)*Projects!$B$17:$B$46*Assumptions!$B$10*0.05)+SUMPRODUCT((Projects!$G$17:$G$46="Yes")*(7&gt;=Projects!$C$17:$C$46)*(7&lt;Projects!$C$17:$C$46+Projects!$D$17:$D$46)*Projects!$B$17:$B$46*Assumptions!$B$11/Projects!$D$17:$D$46*0.95)+SUMPRODUCT((Projects!$G$17:$G$46="Yes")*(7=Projects!$C$17:$C$46+Projects!$D$17:$D$46-1)*Projects!$B$17:$B$46*Assumptions!$B$11*0.05)+SUMPRODUCT((Projects!$G$17:$G$46="Yes")*(7&gt;=Projects!$C$17:$C$46)*(7&lt;Projects!$C$17:$C$46+Projects!$D$17:$D$46)*Projects!$B$17:$B$46*Assumptions!$B$12/Projects!$D$17:$D$46*0.95)+SUMPRODUCT((Projects!$G$17:$G$46="Yes")*(7=Projects!$C$17:$C$46+Projects!$D$17:$D$46-1)*Projects!$B$17:$B$46*Assumptions!$B$12*0.05)</f>
        <v>0</v>
      </c>
      <c r="M97" s="313" t="n">
        <f aca="false">M96+SUMPRODUCT((Projects!$G$17:$G$46="Yes")*(8&gt;=Projects!$C$17:$C$46)*(8&lt;Projects!$C$17:$C$46+Projects!$D$17:$D$46)*Projects!$B$17:$B$46*Assumptions!$B$10/Projects!$D$17:$D$46*0.95)+SUMPRODUCT((Projects!$G$17:$G$46="Yes")*(8=Projects!$C$17:$C$46+Projects!$D$17:$D$46-1)*Projects!$B$17:$B$46*Assumptions!$B$10*0.05)+SUMPRODUCT((Projects!$G$17:$G$46="Yes")*(8&gt;=Projects!$C$17:$C$46)*(8&lt;Projects!$C$17:$C$46+Projects!$D$17:$D$46)*Projects!$B$17:$B$46*Assumptions!$B$11/Projects!$D$17:$D$46*0.95)+SUMPRODUCT((Projects!$G$17:$G$46="Yes")*(8=Projects!$C$17:$C$46+Projects!$D$17:$D$46-1)*Projects!$B$17:$B$46*Assumptions!$B$11*0.05)+SUMPRODUCT((Projects!$G$17:$G$46="Yes")*(8&gt;=Projects!$C$17:$C$46)*(8&lt;Projects!$C$17:$C$46+Projects!$D$17:$D$46)*Projects!$B$17:$B$46*Assumptions!$B$12/Projects!$D$17:$D$46*0.95)+SUMPRODUCT((Projects!$G$17:$G$46="Yes")*(8=Projects!$C$17:$C$46+Projects!$D$17:$D$46-1)*Projects!$B$17:$B$46*Assumptions!$B$12*0.05)</f>
        <v>0</v>
      </c>
      <c r="N97" s="313" t="n">
        <f aca="false">N96+SUMPRODUCT((Projects!$G$17:$G$46="Yes")*(9&gt;=Projects!$C$17:$C$46)*(9&lt;Projects!$C$17:$C$46+Projects!$D$17:$D$46)*Projects!$B$17:$B$46*Assumptions!$B$10/Projects!$D$17:$D$46*0.95)+SUMPRODUCT((Projects!$G$17:$G$46="Yes")*(9=Projects!$C$17:$C$46+Projects!$D$17:$D$46-1)*Projects!$B$17:$B$46*Assumptions!$B$10*0.05)+SUMPRODUCT((Projects!$G$17:$G$46="Yes")*(9&gt;=Projects!$C$17:$C$46)*(9&lt;Projects!$C$17:$C$46+Projects!$D$17:$D$46)*Projects!$B$17:$B$46*Assumptions!$B$11/Projects!$D$17:$D$46*0.95)+SUMPRODUCT((Projects!$G$17:$G$46="Yes")*(9=Projects!$C$17:$C$46+Projects!$D$17:$D$46-1)*Projects!$B$17:$B$46*Assumptions!$B$11*0.05)+SUMPRODUCT((Projects!$G$17:$G$46="Yes")*(9&gt;=Projects!$C$17:$C$46)*(9&lt;Projects!$C$17:$C$46+Projects!$D$17:$D$46)*Projects!$B$17:$B$46*Assumptions!$B$12/Projects!$D$17:$D$46*0.95)+SUMPRODUCT((Projects!$G$17:$G$46="Yes")*(9=Projects!$C$17:$C$46+Projects!$D$17:$D$46-1)*Projects!$B$17:$B$46*Assumptions!$B$12*0.05)</f>
        <v>0</v>
      </c>
      <c r="O97" s="313" t="n">
        <f aca="false">O96+SUMPRODUCT((Projects!$G$17:$G$46="Yes")*(10&gt;=Projects!$C$17:$C$46)*(10&lt;Projects!$C$17:$C$46+Projects!$D$17:$D$46)*Projects!$B$17:$B$46*Assumptions!$B$10/Projects!$D$17:$D$46*0.95)+SUMPRODUCT((Projects!$G$17:$G$46="Yes")*(10=Projects!$C$17:$C$46+Projects!$D$17:$D$46-1)*Projects!$B$17:$B$46*Assumptions!$B$10*0.05)+SUMPRODUCT((Projects!$G$17:$G$46="Yes")*(10&gt;=Projects!$C$17:$C$46)*(10&lt;Projects!$C$17:$C$46+Projects!$D$17:$D$46)*Projects!$B$17:$B$46*Assumptions!$B$11/Projects!$D$17:$D$46*0.95)+SUMPRODUCT((Projects!$G$17:$G$46="Yes")*(10=Projects!$C$17:$C$46+Projects!$D$17:$D$46-1)*Projects!$B$17:$B$46*Assumptions!$B$11*0.05)+SUMPRODUCT((Projects!$G$17:$G$46="Yes")*(10&gt;=Projects!$C$17:$C$46)*(10&lt;Projects!$C$17:$C$46+Projects!$D$17:$D$46)*Projects!$B$17:$B$46*Assumptions!$B$12/Projects!$D$17:$D$46*0.95)+SUMPRODUCT((Projects!$G$17:$G$46="Yes")*(10=Projects!$C$17:$C$46+Projects!$D$17:$D$46-1)*Projects!$B$17:$B$46*Assumptions!$B$12*0.05)</f>
        <v>494214.210919813</v>
      </c>
      <c r="P97" s="313" t="n">
        <f aca="false">P96+SUMPRODUCT((Projects!$G$17:$G$46="Yes")*(11&gt;=Projects!$C$17:$C$46)*(11&lt;Projects!$C$17:$C$46+Projects!$D$17:$D$46)*Projects!$B$17:$B$46*Assumptions!$B$10/Projects!$D$17:$D$46*0.95)+SUMPRODUCT((Projects!$G$17:$G$46="Yes")*(11=Projects!$C$17:$C$46+Projects!$D$17:$D$46-1)*Projects!$B$17:$B$46*Assumptions!$B$10*0.05)+SUMPRODUCT((Projects!$G$17:$G$46="Yes")*(11&gt;=Projects!$C$17:$C$46)*(11&lt;Projects!$C$17:$C$46+Projects!$D$17:$D$46)*Projects!$B$17:$B$46*Assumptions!$B$11/Projects!$D$17:$D$46*0.95)+SUMPRODUCT((Projects!$G$17:$G$46="Yes")*(11=Projects!$C$17:$C$46+Projects!$D$17:$D$46-1)*Projects!$B$17:$B$46*Assumptions!$B$11*0.05)+SUMPRODUCT((Projects!$G$17:$G$46="Yes")*(11&gt;=Projects!$C$17:$C$46)*(11&lt;Projects!$C$17:$C$46+Projects!$D$17:$D$46)*Projects!$B$17:$B$46*Assumptions!$B$12/Projects!$D$17:$D$46*0.95)+SUMPRODUCT((Projects!$G$17:$G$46="Yes")*(11=Projects!$C$17:$C$46+Projects!$D$17:$D$46-1)*Projects!$B$17:$B$46*Assumptions!$B$12*0.05)</f>
        <v>589057.503554813</v>
      </c>
      <c r="Q97" s="313" t="n">
        <f aca="false">Q96+SUMPRODUCT((Projects!$G$17:$G$46="Yes")*(12&gt;=Projects!$C$17:$C$46)*(12&lt;Projects!$C$17:$C$46+Projects!$D$17:$D$46)*Projects!$B$17:$B$46*Assumptions!$B$10/Projects!$D$17:$D$46*0.95)+SUMPRODUCT((Projects!$G$17:$G$46="Yes")*(12=Projects!$C$17:$C$46+Projects!$D$17:$D$46-1)*Projects!$B$17:$B$46*Assumptions!$B$10*0.05)+SUMPRODUCT((Projects!$G$17:$G$46="Yes")*(12&gt;=Projects!$C$17:$C$46)*(12&lt;Projects!$C$17:$C$46+Projects!$D$17:$D$46)*Projects!$B$17:$B$46*Assumptions!$B$11/Projects!$D$17:$D$46*0.95)+SUMPRODUCT((Projects!$G$17:$G$46="Yes")*(12=Projects!$C$17:$C$46+Projects!$D$17:$D$46-1)*Projects!$B$17:$B$46*Assumptions!$B$11*0.05)+SUMPRODUCT((Projects!$G$17:$G$46="Yes")*(12&gt;=Projects!$C$17:$C$46)*(12&lt;Projects!$C$17:$C$46+Projects!$D$17:$D$46)*Projects!$B$17:$B$46*Assumptions!$B$12/Projects!$D$17:$D$46*0.95)+SUMPRODUCT((Projects!$G$17:$G$46="Yes")*(12=Projects!$C$17:$C$46+Projects!$D$17:$D$46-1)*Projects!$B$17:$B$46*Assumptions!$B$12*0.05)</f>
        <v>691146.191863563</v>
      </c>
      <c r="R97" s="313" t="n">
        <f aca="false">R96+SUMPRODUCT((Projects!$G$17:$G$46="Yes")*(13&gt;=Projects!$C$17:$C$46)*(13&lt;Projects!$C$17:$C$46+Projects!$D$17:$D$46)*Projects!$B$17:$B$46*Assumptions!$B$10/Projects!$D$17:$D$46*0.95)+SUMPRODUCT((Projects!$G$17:$G$46="Yes")*(13=Projects!$C$17:$C$46+Projects!$D$17:$D$46-1)*Projects!$B$17:$B$46*Assumptions!$B$10*0.05)+SUMPRODUCT((Projects!$G$17:$G$46="Yes")*(13&gt;=Projects!$C$17:$C$46)*(13&lt;Projects!$C$17:$C$46+Projects!$D$17:$D$46)*Projects!$B$17:$B$46*Assumptions!$B$11/Projects!$D$17:$D$46*0.95)+SUMPRODUCT((Projects!$G$17:$G$46="Yes")*(13=Projects!$C$17:$C$46+Projects!$D$17:$D$46-1)*Projects!$B$17:$B$46*Assumptions!$B$11*0.05)+SUMPRODUCT((Projects!$G$17:$G$46="Yes")*(13&gt;=Projects!$C$17:$C$46)*(13&lt;Projects!$C$17:$C$46+Projects!$D$17:$D$46)*Projects!$B$17:$B$46*Assumptions!$B$12/Projects!$D$17:$D$46*0.95)+SUMPRODUCT((Projects!$G$17:$G$46="Yes")*(13=Projects!$C$17:$C$46+Projects!$D$17:$D$46-1)*Projects!$B$17:$B$46*Assumptions!$B$12*0.05)</f>
        <v>796409.487501063</v>
      </c>
      <c r="S97" s="313" t="n">
        <f aca="false">S96+SUMPRODUCT((Projects!$G$17:$G$46="Yes")*(14&gt;=Projects!$C$17:$C$46)*(14&lt;Projects!$C$17:$C$46+Projects!$D$17:$D$46)*Projects!$B$17:$B$46*Assumptions!$B$10/Projects!$D$17:$D$46*0.95)+SUMPRODUCT((Projects!$G$17:$G$46="Yes")*(14=Projects!$C$17:$C$46+Projects!$D$17:$D$46-1)*Projects!$B$17:$B$46*Assumptions!$B$10*0.05)+SUMPRODUCT((Projects!$G$17:$G$46="Yes")*(14&gt;=Projects!$C$17:$C$46)*(14&lt;Projects!$C$17:$C$46+Projects!$D$17:$D$46)*Projects!$B$17:$B$46*Assumptions!$B$11/Projects!$D$17:$D$46*0.95)+SUMPRODUCT((Projects!$G$17:$G$46="Yes")*(14=Projects!$C$17:$C$46+Projects!$D$17:$D$46-1)*Projects!$B$17:$B$46*Assumptions!$B$11*0.05)+SUMPRODUCT((Projects!$G$17:$G$46="Yes")*(14&gt;=Projects!$C$17:$C$46)*(14&lt;Projects!$C$17:$C$46+Projects!$D$17:$D$46)*Projects!$B$17:$B$46*Assumptions!$B$12/Projects!$D$17:$D$46*0.95)+SUMPRODUCT((Projects!$G$17:$G$46="Yes")*(14=Projects!$C$17:$C$46+Projects!$D$17:$D$46-1)*Projects!$B$17:$B$46*Assumptions!$B$12*0.05)</f>
        <v>1398119.57190181</v>
      </c>
      <c r="T97" s="313" t="n">
        <f aca="false">T96+SUMPRODUCT((Projects!$G$17:$G$46="Yes")*(15&gt;=Projects!$C$17:$C$46)*(15&lt;Projects!$C$17:$C$46+Projects!$D$17:$D$46)*Projects!$B$17:$B$46*Assumptions!$B$10/Projects!$D$17:$D$46*0.95)+SUMPRODUCT((Projects!$G$17:$G$46="Yes")*(15=Projects!$C$17:$C$46+Projects!$D$17:$D$46-1)*Projects!$B$17:$B$46*Assumptions!$B$10*0.05)+SUMPRODUCT((Projects!$G$17:$G$46="Yes")*(15&gt;=Projects!$C$17:$C$46)*(15&lt;Projects!$C$17:$C$46+Projects!$D$17:$D$46)*Projects!$B$17:$B$46*Assumptions!$B$11/Projects!$D$17:$D$46*0.95)+SUMPRODUCT((Projects!$G$17:$G$46="Yes")*(15=Projects!$C$17:$C$46+Projects!$D$17:$D$46-1)*Projects!$B$17:$B$46*Assumptions!$B$11*0.05)+SUMPRODUCT((Projects!$G$17:$G$46="Yes")*(15&gt;=Projects!$C$17:$C$46)*(15&lt;Projects!$C$17:$C$46+Projects!$D$17:$D$46)*Projects!$B$17:$B$46*Assumptions!$B$12/Projects!$D$17:$D$46*0.95)+SUMPRODUCT((Projects!$G$17:$G$46="Yes")*(15=Projects!$C$17:$C$46+Projects!$D$17:$D$46-1)*Projects!$B$17:$B$46*Assumptions!$B$12*0.05)</f>
        <v>1957736.09564356</v>
      </c>
      <c r="U97" s="313" t="n">
        <f aca="false">U96+SUMPRODUCT((Projects!$G$17:$G$46="Yes")*(16&gt;=Projects!$C$17:$C$46)*(16&lt;Projects!$C$17:$C$46+Projects!$D$17:$D$46)*Projects!$B$17:$B$46*Assumptions!$B$10/Projects!$D$17:$D$46*0.95)+SUMPRODUCT((Projects!$G$17:$G$46="Yes")*(16=Projects!$C$17:$C$46+Projects!$D$17:$D$46-1)*Projects!$B$17:$B$46*Assumptions!$B$10*0.05)+SUMPRODUCT((Projects!$G$17:$G$46="Yes")*(16&gt;=Projects!$C$17:$C$46)*(16&lt;Projects!$C$17:$C$46+Projects!$D$17:$D$46)*Projects!$B$17:$B$46*Assumptions!$B$11/Projects!$D$17:$D$46*0.95)+SUMPRODUCT((Projects!$G$17:$G$46="Yes")*(16=Projects!$C$17:$C$46+Projects!$D$17:$D$46-1)*Projects!$B$17:$B$46*Assumptions!$B$11*0.05)+SUMPRODUCT((Projects!$G$17:$G$46="Yes")*(16&gt;=Projects!$C$17:$C$46)*(16&lt;Projects!$C$17:$C$46+Projects!$D$17:$D$46)*Projects!$B$17:$B$46*Assumptions!$B$12/Projects!$D$17:$D$46*0.95)+SUMPRODUCT((Projects!$G$17:$G$46="Yes")*(16=Projects!$C$17:$C$46+Projects!$D$17:$D$46-1)*Projects!$B$17:$B$46*Assumptions!$B$12*0.05)</f>
        <v>2813656.04998676</v>
      </c>
      <c r="V97" s="313" t="n">
        <f aca="false">V96+SUMPRODUCT((Projects!$G$17:$G$46="Yes")*(17&gt;=Projects!$C$17:$C$46)*(17&lt;Projects!$C$17:$C$46+Projects!$D$17:$D$46)*Projects!$B$17:$B$46*Assumptions!$B$10/Projects!$D$17:$D$46*0.95)+SUMPRODUCT((Projects!$G$17:$G$46="Yes")*(17=Projects!$C$17:$C$46+Projects!$D$17:$D$46-1)*Projects!$B$17:$B$46*Assumptions!$B$10*0.05)+SUMPRODUCT((Projects!$G$17:$G$46="Yes")*(17&gt;=Projects!$C$17:$C$46)*(17&lt;Projects!$C$17:$C$46+Projects!$D$17:$D$46)*Projects!$B$17:$B$46*Assumptions!$B$11/Projects!$D$17:$D$46*0.95)+SUMPRODUCT((Projects!$G$17:$G$46="Yes")*(17=Projects!$C$17:$C$46+Projects!$D$17:$D$46-1)*Projects!$B$17:$B$46*Assumptions!$B$11*0.05)+SUMPRODUCT((Projects!$G$17:$G$46="Yes")*(17&gt;=Projects!$C$17:$C$46)*(17&lt;Projects!$C$17:$C$46+Projects!$D$17:$D$46)*Projects!$B$17:$B$46*Assumptions!$B$12/Projects!$D$17:$D$46*0.95)+SUMPRODUCT((Projects!$G$17:$G$46="Yes")*(17=Projects!$C$17:$C$46+Projects!$D$17:$D$46-1)*Projects!$B$17:$B$46*Assumptions!$B$12*0.05)</f>
        <v>3174311.51111901</v>
      </c>
      <c r="W97" s="313" t="n">
        <f aca="false">W96+SUMPRODUCT((Projects!$G$17:$G$46="Yes")*(18&gt;=Projects!$C$17:$C$46)*(18&lt;Projects!$C$17:$C$46+Projects!$D$17:$D$46)*Projects!$B$17:$B$46*Assumptions!$B$10/Projects!$D$17:$D$46*0.95)+SUMPRODUCT((Projects!$G$17:$G$46="Yes")*(18=Projects!$C$17:$C$46+Projects!$D$17:$D$46-1)*Projects!$B$17:$B$46*Assumptions!$B$10*0.05)+SUMPRODUCT((Projects!$G$17:$G$46="Yes")*(18&gt;=Projects!$C$17:$C$46)*(18&lt;Projects!$C$17:$C$46+Projects!$D$17:$D$46)*Projects!$B$17:$B$46*Assumptions!$B$11/Projects!$D$17:$D$46*0.95)+SUMPRODUCT((Projects!$G$17:$G$46="Yes")*(18=Projects!$C$17:$C$46+Projects!$D$17:$D$46-1)*Projects!$B$17:$B$46*Assumptions!$B$11*0.05)+SUMPRODUCT((Projects!$G$17:$G$46="Yes")*(18&gt;=Projects!$C$17:$C$46)*(18&lt;Projects!$C$17:$C$46+Projects!$D$17:$D$46)*Projects!$B$17:$B$46*Assumptions!$B$12/Projects!$D$17:$D$46*0.95)+SUMPRODUCT((Projects!$G$17:$G$46="Yes")*(18=Projects!$C$17:$C$46+Projects!$D$17:$D$46-1)*Projects!$B$17:$B$46*Assumptions!$B$12*0.05)</f>
        <v>3520853.66670301</v>
      </c>
      <c r="X97" s="313" t="n">
        <f aca="false">X96+SUMPRODUCT((Projects!$G$17:$G$46="Yes")*(19&gt;=Projects!$C$17:$C$46)*(19&lt;Projects!$C$17:$C$46+Projects!$D$17:$D$46)*Projects!$B$17:$B$46*Assumptions!$B$10/Projects!$D$17:$D$46*0.95)+SUMPRODUCT((Projects!$G$17:$G$46="Yes")*(19=Projects!$C$17:$C$46+Projects!$D$17:$D$46-1)*Projects!$B$17:$B$46*Assumptions!$B$10*0.05)+SUMPRODUCT((Projects!$G$17:$G$46="Yes")*(19&gt;=Projects!$C$17:$C$46)*(19&lt;Projects!$C$17:$C$46+Projects!$D$17:$D$46)*Projects!$B$17:$B$46*Assumptions!$B$11/Projects!$D$17:$D$46*0.95)+SUMPRODUCT((Projects!$G$17:$G$46="Yes")*(19=Projects!$C$17:$C$46+Projects!$D$17:$D$46-1)*Projects!$B$17:$B$46*Assumptions!$B$11*0.05)+SUMPRODUCT((Projects!$G$17:$G$46="Yes")*(19&gt;=Projects!$C$17:$C$46)*(19&lt;Projects!$C$17:$C$46+Projects!$D$17:$D$46)*Projects!$B$17:$B$46*Assumptions!$B$12/Projects!$D$17:$D$46*0.95)+SUMPRODUCT((Projects!$G$17:$G$46="Yes")*(19=Projects!$C$17:$C$46+Projects!$D$17:$D$46-1)*Projects!$B$17:$B$46*Assumptions!$B$12*0.05)</f>
        <v>3835880.51560051</v>
      </c>
      <c r="Y97" s="313" t="n">
        <f aca="false">Y96+SUMPRODUCT((Projects!$G$17:$G$46="Yes")*(20&gt;=Projects!$C$17:$C$46)*(20&lt;Projects!$C$17:$C$46+Projects!$D$17:$D$46)*Projects!$B$17:$B$46*Assumptions!$B$10/Projects!$D$17:$D$46*0.95)+SUMPRODUCT((Projects!$G$17:$G$46="Yes")*(20=Projects!$C$17:$C$46+Projects!$D$17:$D$46-1)*Projects!$B$17:$B$46*Assumptions!$B$10*0.05)+SUMPRODUCT((Projects!$G$17:$G$46="Yes")*(20&gt;=Projects!$C$17:$C$46)*(20&lt;Projects!$C$17:$C$46+Projects!$D$17:$D$46)*Projects!$B$17:$B$46*Assumptions!$B$11/Projects!$D$17:$D$46*0.95)+SUMPRODUCT((Projects!$G$17:$G$46="Yes")*(20=Projects!$C$17:$C$46+Projects!$D$17:$D$46-1)*Projects!$B$17:$B$46*Assumptions!$B$11*0.05)+SUMPRODUCT((Projects!$G$17:$G$46="Yes")*(20&gt;=Projects!$C$17:$C$46)*(20&lt;Projects!$C$17:$C$46+Projects!$D$17:$D$46)*Projects!$B$17:$B$46*Assumptions!$B$12/Projects!$D$17:$D$46*0.95)+SUMPRODUCT((Projects!$G$17:$G$46="Yes")*(20=Projects!$C$17:$C$46+Projects!$D$17:$D$46-1)*Projects!$B$17:$B$46*Assumptions!$B$12*0.05)</f>
        <v>4884928.45167079</v>
      </c>
      <c r="Z97" s="313" t="n">
        <f aca="false">Z96+SUMPRODUCT((Projects!$G$17:$G$46="Yes")*(21&gt;=Projects!$C$17:$C$46)*(21&lt;Projects!$C$17:$C$46+Projects!$D$17:$D$46)*Projects!$B$17:$B$46*Assumptions!$B$10/Projects!$D$17:$D$46*0.95)+SUMPRODUCT((Projects!$G$17:$G$46="Yes")*(21=Projects!$C$17:$C$46+Projects!$D$17:$D$46-1)*Projects!$B$17:$B$46*Assumptions!$B$10*0.05)+SUMPRODUCT((Projects!$G$17:$G$46="Yes")*(21&gt;=Projects!$C$17:$C$46)*(21&lt;Projects!$C$17:$C$46+Projects!$D$17:$D$46)*Projects!$B$17:$B$46*Assumptions!$B$11/Projects!$D$17:$D$46*0.95)+SUMPRODUCT((Projects!$G$17:$G$46="Yes")*(21=Projects!$C$17:$C$46+Projects!$D$17:$D$46-1)*Projects!$B$17:$B$46*Assumptions!$B$11*0.05)+SUMPRODUCT((Projects!$G$17:$G$46="Yes")*(21&gt;=Projects!$C$17:$C$46)*(21&lt;Projects!$C$17:$C$46+Projects!$D$17:$D$46)*Projects!$B$17:$B$46*Assumptions!$B$12/Projects!$D$17:$D$46*0.95)+SUMPRODUCT((Projects!$G$17:$G$46="Yes")*(21=Projects!$C$17:$C$46+Projects!$D$17:$D$46-1)*Projects!$B$17:$B$46*Assumptions!$B$12*0.05)</f>
        <v>5242643.52087331</v>
      </c>
      <c r="AA97" s="313" t="n">
        <f aca="false">AA96+SUMPRODUCT((Projects!$G$17:$G$46="Yes")*(22&gt;=Projects!$C$17:$C$46)*(22&lt;Projects!$C$17:$C$46+Projects!$D$17:$D$46)*Projects!$B$17:$B$46*Assumptions!$B$10/Projects!$D$17:$D$46*0.95)+SUMPRODUCT((Projects!$G$17:$G$46="Yes")*(22=Projects!$C$17:$C$46+Projects!$D$17:$D$46-1)*Projects!$B$17:$B$46*Assumptions!$B$10*0.05)+SUMPRODUCT((Projects!$G$17:$G$46="Yes")*(22&gt;=Projects!$C$17:$C$46)*(22&lt;Projects!$C$17:$C$46+Projects!$D$17:$D$46)*Projects!$B$17:$B$46*Assumptions!$B$11/Projects!$D$17:$D$46*0.95)+SUMPRODUCT((Projects!$G$17:$G$46="Yes")*(22=Projects!$C$17:$C$46+Projects!$D$17:$D$46-1)*Projects!$B$17:$B$46*Assumptions!$B$11*0.05)+SUMPRODUCT((Projects!$G$17:$G$46="Yes")*(22&gt;=Projects!$C$17:$C$46)*(22&lt;Projects!$C$17:$C$46+Projects!$D$17:$D$46)*Projects!$B$17:$B$46*Assumptions!$B$12/Projects!$D$17:$D$46*0.95)+SUMPRODUCT((Projects!$G$17:$G$46="Yes")*(22=Projects!$C$17:$C$46+Projects!$D$17:$D$46-1)*Projects!$B$17:$B$46*Assumptions!$B$12*0.05)</f>
        <v>5534828.43059024</v>
      </c>
      <c r="AB97" s="313" t="n">
        <f aca="false">AB96+SUMPRODUCT((Projects!$G$17:$G$46="Yes")*(23&gt;=Projects!$C$17:$C$46)*(23&lt;Projects!$C$17:$C$46+Projects!$D$17:$D$46)*Projects!$B$17:$B$46*Assumptions!$B$10/Projects!$D$17:$D$46*0.95)+SUMPRODUCT((Projects!$G$17:$G$46="Yes")*(23=Projects!$C$17:$C$46+Projects!$D$17:$D$46-1)*Projects!$B$17:$B$46*Assumptions!$B$10*0.05)+SUMPRODUCT((Projects!$G$17:$G$46="Yes")*(23&gt;=Projects!$C$17:$C$46)*(23&lt;Projects!$C$17:$C$46+Projects!$D$17:$D$46)*Projects!$B$17:$B$46*Assumptions!$B$11/Projects!$D$17:$D$46*0.95)+SUMPRODUCT((Projects!$G$17:$G$46="Yes")*(23=Projects!$C$17:$C$46+Projects!$D$17:$D$46-1)*Projects!$B$17:$B$46*Assumptions!$B$11*0.05)+SUMPRODUCT((Projects!$G$17:$G$46="Yes")*(23&gt;=Projects!$C$17:$C$46)*(23&lt;Projects!$C$17:$C$46+Projects!$D$17:$D$46)*Projects!$B$17:$B$46*Assumptions!$B$12/Projects!$D$17:$D$46*0.95)+SUMPRODUCT((Projects!$G$17:$G$46="Yes")*(23=Projects!$C$17:$C$46+Projects!$D$17:$D$46-1)*Projects!$B$17:$B$46*Assumptions!$B$12*0.05)</f>
        <v>5746356.59930139</v>
      </c>
      <c r="AC97" s="313" t="n">
        <f aca="false">AC96+SUMPRODUCT((Projects!$G$17:$G$46="Yes")*(24&gt;=Projects!$C$17:$C$46)*(24&lt;Projects!$C$17:$C$46+Projects!$D$17:$D$46)*Projects!$B$17:$B$46*Assumptions!$B$10/Projects!$D$17:$D$46*0.95)+SUMPRODUCT((Projects!$G$17:$G$46="Yes")*(24=Projects!$C$17:$C$46+Projects!$D$17:$D$46-1)*Projects!$B$17:$B$46*Assumptions!$B$10*0.05)+SUMPRODUCT((Projects!$G$17:$G$46="Yes")*(24&gt;=Projects!$C$17:$C$46)*(24&lt;Projects!$C$17:$C$46+Projects!$D$17:$D$46)*Projects!$B$17:$B$46*Assumptions!$B$11/Projects!$D$17:$D$46*0.95)+SUMPRODUCT((Projects!$G$17:$G$46="Yes")*(24=Projects!$C$17:$C$46+Projects!$D$17:$D$46-1)*Projects!$B$17:$B$46*Assumptions!$B$11*0.05)+SUMPRODUCT((Projects!$G$17:$G$46="Yes")*(24&gt;=Projects!$C$17:$C$46)*(24&lt;Projects!$C$17:$C$46+Projects!$D$17:$D$46)*Projects!$B$17:$B$46*Assumptions!$B$12/Projects!$D$17:$D$46*0.95)+SUMPRODUCT((Projects!$G$17:$G$46="Yes")*(24=Projects!$C$17:$C$46+Projects!$D$17:$D$46-1)*Projects!$B$17:$B$46*Assumptions!$B$12*0.05)</f>
        <v>6451465.86926087</v>
      </c>
      <c r="AD97" s="313" t="n">
        <f aca="false">AD96+SUMPRODUCT((Projects!$G$17:$G$46="Yes")*(25&gt;=Projects!$C$17:$C$46)*(25&lt;Projects!$C$17:$C$46+Projects!$D$17:$D$46)*Projects!$B$17:$B$46*Assumptions!$B$10/Projects!$D$17:$D$46*0.95)+SUMPRODUCT((Projects!$G$17:$G$46="Yes")*(25=Projects!$C$17:$C$46+Projects!$D$17:$D$46-1)*Projects!$B$17:$B$46*Assumptions!$B$10*0.05)+SUMPRODUCT((Projects!$G$17:$G$46="Yes")*(25&gt;=Projects!$C$17:$C$46)*(25&lt;Projects!$C$17:$C$46+Projects!$D$17:$D$46)*Projects!$B$17:$B$46*Assumptions!$B$11/Projects!$D$17:$D$46*0.95)+SUMPRODUCT((Projects!$G$17:$G$46="Yes")*(25=Projects!$C$17:$C$46+Projects!$D$17:$D$46-1)*Projects!$B$17:$B$46*Assumptions!$B$11*0.05)+SUMPRODUCT((Projects!$G$17:$G$46="Yes")*(25&gt;=Projects!$C$17:$C$46)*(25&lt;Projects!$C$17:$C$46+Projects!$D$17:$D$46)*Projects!$B$17:$B$46*Assumptions!$B$12/Projects!$D$17:$D$46*0.95)+SUMPRODUCT((Projects!$G$17:$G$46="Yes")*(25=Projects!$C$17:$C$46+Projects!$D$17:$D$46-1)*Projects!$B$17:$B$46*Assumptions!$B$12*0.05)</f>
        <v>6584392.16809669</v>
      </c>
      <c r="AE97" s="313" t="n">
        <f aca="false">AE96+SUMPRODUCT((Projects!$G$17:$G$46="Yes")*(26&gt;=Projects!$C$17:$C$46)*(26&lt;Projects!$C$17:$C$46+Projects!$D$17:$D$46)*Projects!$B$17:$B$46*Assumptions!$B$10/Projects!$D$17:$D$46*0.95)+SUMPRODUCT((Projects!$G$17:$G$46="Yes")*(26=Projects!$C$17:$C$46+Projects!$D$17:$D$46-1)*Projects!$B$17:$B$46*Assumptions!$B$10*0.05)+SUMPRODUCT((Projects!$G$17:$G$46="Yes")*(26&gt;=Projects!$C$17:$C$46)*(26&lt;Projects!$C$17:$C$46+Projects!$D$17:$D$46)*Projects!$B$17:$B$46*Assumptions!$B$11/Projects!$D$17:$D$46*0.95)+SUMPRODUCT((Projects!$G$17:$G$46="Yes")*(26=Projects!$C$17:$C$46+Projects!$D$17:$D$46-1)*Projects!$B$17:$B$46*Assumptions!$B$11*0.05)+SUMPRODUCT((Projects!$G$17:$G$46="Yes")*(26&gt;=Projects!$C$17:$C$46)*(26&lt;Projects!$C$17:$C$46+Projects!$D$17:$D$46)*Projects!$B$17:$B$46*Assumptions!$B$12/Projects!$D$17:$D$46*0.95)+SUMPRODUCT((Projects!$G$17:$G$46="Yes")*(26=Projects!$C$17:$C$46+Projects!$D$17:$D$46-1)*Projects!$B$17:$B$46*Assumptions!$B$12*0.05)</f>
        <v>6625498.92370289</v>
      </c>
      <c r="AF97" s="313" t="n">
        <f aca="false">AF96+SUMPRODUCT((Projects!$G$17:$G$46="Yes")*(27&gt;=Projects!$C$17:$C$46)*(27&lt;Projects!$C$17:$C$46+Projects!$D$17:$D$46)*Projects!$B$17:$B$46*Assumptions!$B$10/Projects!$D$17:$D$46*0.95)+SUMPRODUCT((Projects!$G$17:$G$46="Yes")*(27=Projects!$C$17:$C$46+Projects!$D$17:$D$46-1)*Projects!$B$17:$B$46*Assumptions!$B$10*0.05)+SUMPRODUCT((Projects!$G$17:$G$46="Yes")*(27&gt;=Projects!$C$17:$C$46)*(27&lt;Projects!$C$17:$C$46+Projects!$D$17:$D$46)*Projects!$B$17:$B$46*Assumptions!$B$11/Projects!$D$17:$D$46*0.95)+SUMPRODUCT((Projects!$G$17:$G$46="Yes")*(27=Projects!$C$17:$C$46+Projects!$D$17:$D$46-1)*Projects!$B$17:$B$46*Assumptions!$B$11*0.05)+SUMPRODUCT((Projects!$G$17:$G$46="Yes")*(27&gt;=Projects!$C$17:$C$46)*(27&lt;Projects!$C$17:$C$46+Projects!$D$17:$D$46)*Projects!$B$17:$B$46*Assumptions!$B$12/Projects!$D$17:$D$46*0.95)+SUMPRODUCT((Projects!$G$17:$G$46="Yes")*(27=Projects!$C$17:$C$46+Projects!$D$17:$D$46-1)*Projects!$B$17:$B$46*Assumptions!$B$12*0.05)</f>
        <v>6573871.593469</v>
      </c>
      <c r="AG97" s="313" t="n">
        <f aca="false">AG96+SUMPRODUCT((Projects!$G$17:$G$46="Yes")*(28&gt;=Projects!$C$17:$C$46)*(28&lt;Projects!$C$17:$C$46+Projects!$D$17:$D$46)*Projects!$B$17:$B$46*Assumptions!$B$10/Projects!$D$17:$D$46*0.95)+SUMPRODUCT((Projects!$G$17:$G$46="Yes")*(28=Projects!$C$17:$C$46+Projects!$D$17:$D$46-1)*Projects!$B$17:$B$46*Assumptions!$B$10*0.05)+SUMPRODUCT((Projects!$G$17:$G$46="Yes")*(28&gt;=Projects!$C$17:$C$46)*(28&lt;Projects!$C$17:$C$46+Projects!$D$17:$D$46)*Projects!$B$17:$B$46*Assumptions!$B$11/Projects!$D$17:$D$46*0.95)+SUMPRODUCT((Projects!$G$17:$G$46="Yes")*(28=Projects!$C$17:$C$46+Projects!$D$17:$D$46-1)*Projects!$B$17:$B$46*Assumptions!$B$11*0.05)+SUMPRODUCT((Projects!$G$17:$G$46="Yes")*(28&gt;=Projects!$C$17:$C$46)*(28&lt;Projects!$C$17:$C$46+Projects!$D$17:$D$46)*Projects!$B$17:$B$46*Assumptions!$B$12/Projects!$D$17:$D$46*0.95)+SUMPRODUCT((Projects!$G$17:$G$46="Yes")*(28=Projects!$C$17:$C$46+Projects!$D$17:$D$46-1)*Projects!$B$17:$B$46*Assumptions!$B$12*0.05)</f>
        <v>6524052.6882363</v>
      </c>
      <c r="AH97" s="313" t="n">
        <f aca="false">AH96+SUMPRODUCT((Projects!$G$17:$G$46="Yes")*(29&gt;=Projects!$C$17:$C$46)*(29&lt;Projects!$C$17:$C$46+Projects!$D$17:$D$46)*Projects!$B$17:$B$46*Assumptions!$B$10/Projects!$D$17:$D$46*0.95)+SUMPRODUCT((Projects!$G$17:$G$46="Yes")*(29=Projects!$C$17:$C$46+Projects!$D$17:$D$46-1)*Projects!$B$17:$B$46*Assumptions!$B$10*0.05)+SUMPRODUCT((Projects!$G$17:$G$46="Yes")*(29&gt;=Projects!$C$17:$C$46)*(29&lt;Projects!$C$17:$C$46+Projects!$D$17:$D$46)*Projects!$B$17:$B$46*Assumptions!$B$11/Projects!$D$17:$D$46*0.95)+SUMPRODUCT((Projects!$G$17:$G$46="Yes")*(29=Projects!$C$17:$C$46+Projects!$D$17:$D$46-1)*Projects!$B$17:$B$46*Assumptions!$B$11*0.05)+SUMPRODUCT((Projects!$G$17:$G$46="Yes")*(29&gt;=Projects!$C$17:$C$46)*(29&lt;Projects!$C$17:$C$46+Projects!$D$17:$D$46)*Projects!$B$17:$B$46*Assumptions!$B$12/Projects!$D$17:$D$46*0.95)+SUMPRODUCT((Projects!$G$17:$G$46="Yes")*(29=Projects!$C$17:$C$46+Projects!$D$17:$D$46-1)*Projects!$B$17:$B$46*Assumptions!$B$12*0.05)</f>
        <v>6384554.82751626</v>
      </c>
      <c r="AI97" s="313" t="n">
        <f aca="false">AI96+SUMPRODUCT((Projects!$G$17:$G$46="Yes")*(30&gt;=Projects!$C$17:$C$46)*(30&lt;Projects!$C$17:$C$46+Projects!$D$17:$D$46)*Projects!$B$17:$B$46*Assumptions!$B$10/Projects!$D$17:$D$46*0.95)+SUMPRODUCT((Projects!$G$17:$G$46="Yes")*(30=Projects!$C$17:$C$46+Projects!$D$17:$D$46-1)*Projects!$B$17:$B$46*Assumptions!$B$10*0.05)+SUMPRODUCT((Projects!$G$17:$G$46="Yes")*(30&gt;=Projects!$C$17:$C$46)*(30&lt;Projects!$C$17:$C$46+Projects!$D$17:$D$46)*Projects!$B$17:$B$46*Assumptions!$B$11/Projects!$D$17:$D$46*0.95)+SUMPRODUCT((Projects!$G$17:$G$46="Yes")*(30=Projects!$C$17:$C$46+Projects!$D$17:$D$46-1)*Projects!$B$17:$B$46*Assumptions!$B$11*0.05)+SUMPRODUCT((Projects!$G$17:$G$46="Yes")*(30&gt;=Projects!$C$17:$C$46)*(30&lt;Projects!$C$17:$C$46+Projects!$D$17:$D$46)*Projects!$B$17:$B$46*Assumptions!$B$12/Projects!$D$17:$D$46*0.95)+SUMPRODUCT((Projects!$G$17:$G$46="Yes")*(30=Projects!$C$17:$C$46+Projects!$D$17:$D$46-1)*Projects!$B$17:$B$46*Assumptions!$B$12*0.05)</f>
        <v>6858171.76061942</v>
      </c>
      <c r="AJ97" s="313" t="n">
        <f aca="false">AJ96+SUMPRODUCT((Projects!$G$17:$G$46="Yes")*(31&gt;=Projects!$C$17:$C$46)*(31&lt;Projects!$C$17:$C$46+Projects!$D$17:$D$46)*Projects!$B$17:$B$46*Assumptions!$B$10/Projects!$D$17:$D$46*0.95)+SUMPRODUCT((Projects!$G$17:$G$46="Yes")*(31=Projects!$C$17:$C$46+Projects!$D$17:$D$46-1)*Projects!$B$17:$B$46*Assumptions!$B$10*0.05)+SUMPRODUCT((Projects!$G$17:$G$46="Yes")*(31&gt;=Projects!$C$17:$C$46)*(31&lt;Projects!$C$17:$C$46+Projects!$D$17:$D$46)*Projects!$B$17:$B$46*Assumptions!$B$11/Projects!$D$17:$D$46*0.95)+SUMPRODUCT((Projects!$G$17:$G$46="Yes")*(31=Projects!$C$17:$C$46+Projects!$D$17:$D$46-1)*Projects!$B$17:$B$46*Assumptions!$B$11*0.05)+SUMPRODUCT((Projects!$G$17:$G$46="Yes")*(31&gt;=Projects!$C$17:$C$46)*(31&lt;Projects!$C$17:$C$46+Projects!$D$17:$D$46)*Projects!$B$17:$B$46*Assumptions!$B$12/Projects!$D$17:$D$46*0.95)+SUMPRODUCT((Projects!$G$17:$G$46="Yes")*(31=Projects!$C$17:$C$46+Projects!$D$17:$D$46-1)*Projects!$B$17:$B$46*Assumptions!$B$12*0.05)</f>
        <v>7281936.91317618</v>
      </c>
      <c r="AK97" s="313" t="n">
        <f aca="false">AK96+SUMPRODUCT((Projects!$G$17:$G$46="Yes")*(32&gt;=Projects!$C$17:$C$46)*(32&lt;Projects!$C$17:$C$46+Projects!$D$17:$D$46)*Projects!$B$17:$B$46*Assumptions!$B$10/Projects!$D$17:$D$46*0.95)+SUMPRODUCT((Projects!$G$17:$G$46="Yes")*(32=Projects!$C$17:$C$46+Projects!$D$17:$D$46-1)*Projects!$B$17:$B$46*Assumptions!$B$10*0.05)+SUMPRODUCT((Projects!$G$17:$G$46="Yes")*(32&gt;=Projects!$C$17:$C$46)*(32&lt;Projects!$C$17:$C$46+Projects!$D$17:$D$46)*Projects!$B$17:$B$46*Assumptions!$B$11/Projects!$D$17:$D$46*0.95)+SUMPRODUCT((Projects!$G$17:$G$46="Yes")*(32=Projects!$C$17:$C$46+Projects!$D$17:$D$46-1)*Projects!$B$17:$B$46*Assumptions!$B$11*0.05)+SUMPRODUCT((Projects!$G$17:$G$46="Yes")*(32&gt;=Projects!$C$17:$C$46)*(32&lt;Projects!$C$17:$C$46+Projects!$D$17:$D$46)*Projects!$B$17:$B$46*Assumptions!$B$12/Projects!$D$17:$D$46*0.95)+SUMPRODUCT((Projects!$G$17:$G$46="Yes")*(32=Projects!$C$17:$C$46+Projects!$D$17:$D$46-1)*Projects!$B$17:$B$46*Assumptions!$B$12*0.05)</f>
        <v>7845072.23032758</v>
      </c>
      <c r="AL97" s="313" t="n">
        <f aca="false">AL96+SUMPRODUCT((Projects!$G$17:$G$46="Yes")*(33&gt;=Projects!$C$17:$C$46)*(33&lt;Projects!$C$17:$C$46+Projects!$D$17:$D$46)*Projects!$B$17:$B$46*Assumptions!$B$10/Projects!$D$17:$D$46*0.95)+SUMPRODUCT((Projects!$G$17:$G$46="Yes")*(33=Projects!$C$17:$C$46+Projects!$D$17:$D$46-1)*Projects!$B$17:$B$46*Assumptions!$B$10*0.05)+SUMPRODUCT((Projects!$G$17:$G$46="Yes")*(33&gt;=Projects!$C$17:$C$46)*(33&lt;Projects!$C$17:$C$46+Projects!$D$17:$D$46)*Projects!$B$17:$B$46*Assumptions!$B$11/Projects!$D$17:$D$46*0.95)+SUMPRODUCT((Projects!$G$17:$G$46="Yes")*(33=Projects!$C$17:$C$46+Projects!$D$17:$D$46-1)*Projects!$B$17:$B$46*Assumptions!$B$11*0.05)+SUMPRODUCT((Projects!$G$17:$G$46="Yes")*(33&gt;=Projects!$C$17:$C$46)*(33&lt;Projects!$C$17:$C$46+Projects!$D$17:$D$46)*Projects!$B$17:$B$46*Assumptions!$B$12/Projects!$D$17:$D$46*0.95)+SUMPRODUCT((Projects!$G$17:$G$46="Yes")*(33=Projects!$C$17:$C$46+Projects!$D$17:$D$46-1)*Projects!$B$17:$B$46*Assumptions!$B$12*0.05)</f>
        <v>7938470.05678312</v>
      </c>
      <c r="AM97" s="313" t="n">
        <f aca="false">AM96+SUMPRODUCT((Projects!$G$17:$G$46="Yes")*(34&gt;=Projects!$C$17:$C$46)*(34&lt;Projects!$C$17:$C$46+Projects!$D$17:$D$46)*Projects!$B$17:$B$46*Assumptions!$B$10/Projects!$D$17:$D$46*0.95)+SUMPRODUCT((Projects!$G$17:$G$46="Yes")*(34=Projects!$C$17:$C$46+Projects!$D$17:$D$46-1)*Projects!$B$17:$B$46*Assumptions!$B$10*0.05)+SUMPRODUCT((Projects!$G$17:$G$46="Yes")*(34&gt;=Projects!$C$17:$C$46)*(34&lt;Projects!$C$17:$C$46+Projects!$D$17:$D$46)*Projects!$B$17:$B$46*Assumptions!$B$11/Projects!$D$17:$D$46*0.95)+SUMPRODUCT((Projects!$G$17:$G$46="Yes")*(34=Projects!$C$17:$C$46+Projects!$D$17:$D$46-1)*Projects!$B$17:$B$46*Assumptions!$B$11*0.05)+SUMPRODUCT((Projects!$G$17:$G$46="Yes")*(34&gt;=Projects!$C$17:$C$46)*(34&lt;Projects!$C$17:$C$46+Projects!$D$17:$D$46)*Projects!$B$17:$B$46*Assumptions!$B$12/Projects!$D$17:$D$46*0.95)+SUMPRODUCT((Projects!$G$17:$G$46="Yes")*(34=Projects!$C$17:$C$46+Projects!$D$17:$D$46-1)*Projects!$B$17:$B$46*Assumptions!$B$12*0.05)</f>
        <v>8346499.61150625</v>
      </c>
      <c r="AN97" s="313" t="n">
        <f aca="false">AN96+SUMPRODUCT((Projects!$G$17:$G$46="Yes")*(35&gt;=Projects!$C$17:$C$46)*(35&lt;Projects!$C$17:$C$46+Projects!$D$17:$D$46)*Projects!$B$17:$B$46*Assumptions!$B$10/Projects!$D$17:$D$46*0.95)+SUMPRODUCT((Projects!$G$17:$G$46="Yes")*(35=Projects!$C$17:$C$46+Projects!$D$17:$D$46-1)*Projects!$B$17:$B$46*Assumptions!$B$10*0.05)+SUMPRODUCT((Projects!$G$17:$G$46="Yes")*(35&gt;=Projects!$C$17:$C$46)*(35&lt;Projects!$C$17:$C$46+Projects!$D$17:$D$46)*Projects!$B$17:$B$46*Assumptions!$B$11/Projects!$D$17:$D$46*0.95)+SUMPRODUCT((Projects!$G$17:$G$46="Yes")*(35=Projects!$C$17:$C$46+Projects!$D$17:$D$46-1)*Projects!$B$17:$B$46*Assumptions!$B$11*0.05)+SUMPRODUCT((Projects!$G$17:$G$46="Yes")*(35&gt;=Projects!$C$17:$C$46)*(35&lt;Projects!$C$17:$C$46+Projects!$D$17:$D$46)*Projects!$B$17:$B$46*Assumptions!$B$12/Projects!$D$17:$D$46*0.95)+SUMPRODUCT((Projects!$G$17:$G$46="Yes")*(35=Projects!$C$17:$C$46+Projects!$D$17:$D$46-1)*Projects!$B$17:$B$46*Assumptions!$B$12*0.05)</f>
        <v>8614900.05973787</v>
      </c>
      <c r="AO97" s="313" t="n">
        <f aca="false">AO96+SUMPRODUCT((Projects!$G$17:$G$46="Yes")*(36&gt;=Projects!$C$17:$C$46)*(36&lt;Projects!$C$17:$C$46+Projects!$D$17:$D$46)*Projects!$B$17:$B$46*Assumptions!$B$10/Projects!$D$17:$D$46*0.95)+SUMPRODUCT((Projects!$G$17:$G$46="Yes")*(36=Projects!$C$17:$C$46+Projects!$D$17:$D$46-1)*Projects!$B$17:$B$46*Assumptions!$B$10*0.05)+SUMPRODUCT((Projects!$G$17:$G$46="Yes")*(36&gt;=Projects!$C$17:$C$46)*(36&lt;Projects!$C$17:$C$46+Projects!$D$17:$D$46)*Projects!$B$17:$B$46*Assumptions!$B$11/Projects!$D$17:$D$46*0.95)+SUMPRODUCT((Projects!$G$17:$G$46="Yes")*(36=Projects!$C$17:$C$46+Projects!$D$17:$D$46-1)*Projects!$B$17:$B$46*Assumptions!$B$11*0.05)+SUMPRODUCT((Projects!$G$17:$G$46="Yes")*(36&gt;=Projects!$C$17:$C$46)*(36&lt;Projects!$C$17:$C$46+Projects!$D$17:$D$46)*Projects!$B$17:$B$46*Assumptions!$B$12/Projects!$D$17:$D$46*0.95)+SUMPRODUCT((Projects!$G$17:$G$46="Yes")*(36=Projects!$C$17:$C$46+Projects!$D$17:$D$46-1)*Projects!$B$17:$B$46*Assumptions!$B$12*0.05)</f>
        <v>9540792.83881847</v>
      </c>
      <c r="AP97" s="313" t="n">
        <f aca="false">AP96+SUMPRODUCT((Projects!$G$17:$G$46="Yes")*(37&gt;=Projects!$C$17:$C$46)*(37&lt;Projects!$C$17:$C$46+Projects!$D$17:$D$46)*Projects!$B$17:$B$46*Assumptions!$B$10/Projects!$D$17:$D$46*0.95)+SUMPRODUCT((Projects!$G$17:$G$46="Yes")*(37=Projects!$C$17:$C$46+Projects!$D$17:$D$46-1)*Projects!$B$17:$B$46*Assumptions!$B$10*0.05)+SUMPRODUCT((Projects!$G$17:$G$46="Yes")*(37&gt;=Projects!$C$17:$C$46)*(37&lt;Projects!$C$17:$C$46+Projects!$D$17:$D$46)*Projects!$B$17:$B$46*Assumptions!$B$11/Projects!$D$17:$D$46*0.95)+SUMPRODUCT((Projects!$G$17:$G$46="Yes")*(37=Projects!$C$17:$C$46+Projects!$D$17:$D$46-1)*Projects!$B$17:$B$46*Assumptions!$B$11*0.05)+SUMPRODUCT((Projects!$G$17:$G$46="Yes")*(37&gt;=Projects!$C$17:$C$46)*(37&lt;Projects!$C$17:$C$46+Projects!$D$17:$D$46)*Projects!$B$17:$B$46*Assumptions!$B$12/Projects!$D$17:$D$46*0.95)+SUMPRODUCT((Projects!$G$17:$G$46="Yes")*(37=Projects!$C$17:$C$46+Projects!$D$17:$D$46-1)*Projects!$B$17:$B$46*Assumptions!$B$12*0.05)</f>
        <v>10481942.1209903</v>
      </c>
      <c r="AQ97" s="313" t="n">
        <f aca="false">AQ96+SUMPRODUCT((Projects!$G$17:$G$46="Yes")*(38&gt;=Projects!$C$17:$C$46)*(38&lt;Projects!$C$17:$C$46+Projects!$D$17:$D$46)*Projects!$B$17:$B$46*Assumptions!$B$10/Projects!$D$17:$D$46*0.95)+SUMPRODUCT((Projects!$G$17:$G$46="Yes")*(38=Projects!$C$17:$C$46+Projects!$D$17:$D$46-1)*Projects!$B$17:$B$46*Assumptions!$B$10*0.05)+SUMPRODUCT((Projects!$G$17:$G$46="Yes")*(38&gt;=Projects!$C$17:$C$46)*(38&lt;Projects!$C$17:$C$46+Projects!$D$17:$D$46)*Projects!$B$17:$B$46*Assumptions!$B$11/Projects!$D$17:$D$46*0.95)+SUMPRODUCT((Projects!$G$17:$G$46="Yes")*(38=Projects!$C$17:$C$46+Projects!$D$17:$D$46-1)*Projects!$B$17:$B$46*Assumptions!$B$11*0.05)+SUMPRODUCT((Projects!$G$17:$G$46="Yes")*(38&gt;=Projects!$C$17:$C$46)*(38&lt;Projects!$C$17:$C$46+Projects!$D$17:$D$46)*Projects!$B$17:$B$46*Assumptions!$B$12/Projects!$D$17:$D$46*0.95)+SUMPRODUCT((Projects!$G$17:$G$46="Yes")*(38=Projects!$C$17:$C$46+Projects!$D$17:$D$46-1)*Projects!$B$17:$B$46*Assumptions!$B$12*0.05)</f>
        <v>11520926.6128488</v>
      </c>
      <c r="AR97" s="313" t="n">
        <f aca="false">AR96+SUMPRODUCT((Projects!$G$17:$G$46="Yes")*(39&gt;=Projects!$C$17:$C$46)*(39&lt;Projects!$C$17:$C$46+Projects!$D$17:$D$46)*Projects!$B$17:$B$46*Assumptions!$B$10/Projects!$D$17:$D$46*0.95)+SUMPRODUCT((Projects!$G$17:$G$46="Yes")*(39=Projects!$C$17:$C$46+Projects!$D$17:$D$46-1)*Projects!$B$17:$B$46*Assumptions!$B$10*0.05)+SUMPRODUCT((Projects!$G$17:$G$46="Yes")*(39&gt;=Projects!$C$17:$C$46)*(39&lt;Projects!$C$17:$C$46+Projects!$D$17:$D$46)*Projects!$B$17:$B$46*Assumptions!$B$11/Projects!$D$17:$D$46*0.95)+SUMPRODUCT((Projects!$G$17:$G$46="Yes")*(39=Projects!$C$17:$C$46+Projects!$D$17:$D$46-1)*Projects!$B$17:$B$46*Assumptions!$B$11*0.05)+SUMPRODUCT((Projects!$G$17:$G$46="Yes")*(39&gt;=Projects!$C$17:$C$46)*(39&lt;Projects!$C$17:$C$46+Projects!$D$17:$D$46)*Projects!$B$17:$B$46*Assumptions!$B$12/Projects!$D$17:$D$46*0.95)+SUMPRODUCT((Projects!$G$17:$G$46="Yes")*(39=Projects!$C$17:$C$46+Projects!$D$17:$D$46-1)*Projects!$B$17:$B$46*Assumptions!$B$12*0.05)</f>
        <v>11940218.6548589</v>
      </c>
      <c r="AS97" s="313" t="n">
        <f aca="false">AS96+SUMPRODUCT((Projects!$G$17:$G$46="Yes")*(40&gt;=Projects!$C$17:$C$46)*(40&lt;Projects!$C$17:$C$46+Projects!$D$17:$D$46)*Projects!$B$17:$B$46*Assumptions!$B$10/Projects!$D$17:$D$46*0.95)+SUMPRODUCT((Projects!$G$17:$G$46="Yes")*(40=Projects!$C$17:$C$46+Projects!$D$17:$D$46-1)*Projects!$B$17:$B$46*Assumptions!$B$10*0.05)+SUMPRODUCT((Projects!$G$17:$G$46="Yes")*(40&gt;=Projects!$C$17:$C$46)*(40&lt;Projects!$C$17:$C$46+Projects!$D$17:$D$46)*Projects!$B$17:$B$46*Assumptions!$B$11/Projects!$D$17:$D$46*0.95)+SUMPRODUCT((Projects!$G$17:$G$46="Yes")*(40=Projects!$C$17:$C$46+Projects!$D$17:$D$46-1)*Projects!$B$17:$B$46*Assumptions!$B$11*0.05)+SUMPRODUCT((Projects!$G$17:$G$46="Yes")*(40&gt;=Projects!$C$17:$C$46)*(40&lt;Projects!$C$17:$C$46+Projects!$D$17:$D$46)*Projects!$B$17:$B$46*Assumptions!$B$12/Projects!$D$17:$D$46*0.95)+SUMPRODUCT((Projects!$G$17:$G$46="Yes")*(40=Projects!$C$17:$C$46+Projects!$D$17:$D$46-1)*Projects!$B$17:$B$46*Assumptions!$B$12*0.05)</f>
        <v>12482780.6548589</v>
      </c>
      <c r="AT97" s="313" t="n">
        <f aca="false">AT96+SUMPRODUCT((Projects!$G$17:$G$46="Yes")*(41&gt;=Projects!$C$17:$C$46)*(41&lt;Projects!$C$17:$C$46+Projects!$D$17:$D$46)*Projects!$B$17:$B$46*Assumptions!$B$10/Projects!$D$17:$D$46*0.95)+SUMPRODUCT((Projects!$G$17:$G$46="Yes")*(41=Projects!$C$17:$C$46+Projects!$D$17:$D$46-1)*Projects!$B$17:$B$46*Assumptions!$B$10*0.05)+SUMPRODUCT((Projects!$G$17:$G$46="Yes")*(41&gt;=Projects!$C$17:$C$46)*(41&lt;Projects!$C$17:$C$46+Projects!$D$17:$D$46)*Projects!$B$17:$B$46*Assumptions!$B$11/Projects!$D$17:$D$46*0.95)+SUMPRODUCT((Projects!$G$17:$G$46="Yes")*(41=Projects!$C$17:$C$46+Projects!$D$17:$D$46-1)*Projects!$B$17:$B$46*Assumptions!$B$11*0.05)+SUMPRODUCT((Projects!$G$17:$G$46="Yes")*(41&gt;=Projects!$C$17:$C$46)*(41&lt;Projects!$C$17:$C$46+Projects!$D$17:$D$46)*Projects!$B$17:$B$46*Assumptions!$B$12/Projects!$D$17:$D$46*0.95)+SUMPRODUCT((Projects!$G$17:$G$46="Yes")*(41=Projects!$C$17:$C$46+Projects!$D$17:$D$46-1)*Projects!$B$17:$B$46*Assumptions!$B$12*0.05)</f>
        <v>12861092.6548589</v>
      </c>
      <c r="AU97" s="313" t="n">
        <f aca="false">AU96+SUMPRODUCT((Projects!$G$17:$G$46="Yes")*(42&gt;=Projects!$C$17:$C$46)*(42&lt;Projects!$C$17:$C$46+Projects!$D$17:$D$46)*Projects!$B$17:$B$46*Assumptions!$B$10/Projects!$D$17:$D$46*0.95)+SUMPRODUCT((Projects!$G$17:$G$46="Yes")*(42=Projects!$C$17:$C$46+Projects!$D$17:$D$46-1)*Projects!$B$17:$B$46*Assumptions!$B$10*0.05)+SUMPRODUCT((Projects!$G$17:$G$46="Yes")*(42&gt;=Projects!$C$17:$C$46)*(42&lt;Projects!$C$17:$C$46+Projects!$D$17:$D$46)*Projects!$B$17:$B$46*Assumptions!$B$11/Projects!$D$17:$D$46*0.95)+SUMPRODUCT((Projects!$G$17:$G$46="Yes")*(42=Projects!$C$17:$C$46+Projects!$D$17:$D$46-1)*Projects!$B$17:$B$46*Assumptions!$B$11*0.05)+SUMPRODUCT((Projects!$G$17:$G$46="Yes")*(42&gt;=Projects!$C$17:$C$46)*(42&lt;Projects!$C$17:$C$46+Projects!$D$17:$D$46)*Projects!$B$17:$B$46*Assumptions!$B$12/Projects!$D$17:$D$46*0.95)+SUMPRODUCT((Projects!$G$17:$G$46="Yes")*(42=Projects!$C$17:$C$46+Projects!$D$17:$D$46-1)*Projects!$B$17:$B$46*Assumptions!$B$12*0.05)</f>
        <v>13161825.5548589</v>
      </c>
      <c r="AV97" s="313" t="n">
        <f aca="false">AV96+SUMPRODUCT((Projects!$G$17:$G$46="Yes")*(43&gt;=Projects!$C$17:$C$46)*(43&lt;Projects!$C$17:$C$46+Projects!$D$17:$D$46)*Projects!$B$17:$B$46*Assumptions!$B$10/Projects!$D$17:$D$46*0.95)+SUMPRODUCT((Projects!$G$17:$G$46="Yes")*(43=Projects!$C$17:$C$46+Projects!$D$17:$D$46-1)*Projects!$B$17:$B$46*Assumptions!$B$10*0.05)+SUMPRODUCT((Projects!$G$17:$G$46="Yes")*(43&gt;=Projects!$C$17:$C$46)*(43&lt;Projects!$C$17:$C$46+Projects!$D$17:$D$46)*Projects!$B$17:$B$46*Assumptions!$B$11/Projects!$D$17:$D$46*0.95)+SUMPRODUCT((Projects!$G$17:$G$46="Yes")*(43=Projects!$C$17:$C$46+Projects!$D$17:$D$46-1)*Projects!$B$17:$B$46*Assumptions!$B$11*0.05)+SUMPRODUCT((Projects!$G$17:$G$46="Yes")*(43&gt;=Projects!$C$17:$C$46)*(43&lt;Projects!$C$17:$C$46+Projects!$D$17:$D$46)*Projects!$B$17:$B$46*Assumptions!$B$12/Projects!$D$17:$D$46*0.95)+SUMPRODUCT((Projects!$G$17:$G$46="Yes")*(43=Projects!$C$17:$C$46+Projects!$D$17:$D$46-1)*Projects!$B$17:$B$46*Assumptions!$B$12*0.05)</f>
        <v>13297849.9031018</v>
      </c>
      <c r="AW97" s="313" t="n">
        <f aca="false">AW96+SUMPRODUCT((Projects!$G$17:$G$46="Yes")*(44&gt;=Projects!$C$17:$C$46)*(44&lt;Projects!$C$17:$C$46+Projects!$D$17:$D$46)*Projects!$B$17:$B$46*Assumptions!$B$10/Projects!$D$17:$D$46*0.95)+SUMPRODUCT((Projects!$G$17:$G$46="Yes")*(44=Projects!$C$17:$C$46+Projects!$D$17:$D$46-1)*Projects!$B$17:$B$46*Assumptions!$B$10*0.05)+SUMPRODUCT((Projects!$G$17:$G$46="Yes")*(44&gt;=Projects!$C$17:$C$46)*(44&lt;Projects!$C$17:$C$46+Projects!$D$17:$D$46)*Projects!$B$17:$B$46*Assumptions!$B$11/Projects!$D$17:$D$46*0.95)+SUMPRODUCT((Projects!$G$17:$G$46="Yes")*(44=Projects!$C$17:$C$46+Projects!$D$17:$D$46-1)*Projects!$B$17:$B$46*Assumptions!$B$11*0.05)+SUMPRODUCT((Projects!$G$17:$G$46="Yes")*(44&gt;=Projects!$C$17:$C$46)*(44&lt;Projects!$C$17:$C$46+Projects!$D$17:$D$46)*Projects!$B$17:$B$46*Assumptions!$B$12/Projects!$D$17:$D$46*0.95)+SUMPRODUCT((Projects!$G$17:$G$46="Yes")*(44=Projects!$C$17:$C$46+Projects!$D$17:$D$46-1)*Projects!$B$17:$B$46*Assumptions!$B$12*0.05)</f>
        <v>13505899.5</v>
      </c>
      <c r="AX97" s="313" t="n">
        <f aca="false">AX96+SUMPRODUCT((Projects!$G$17:$G$46="Yes")*(45&gt;=Projects!$C$17:$C$46)*(45&lt;Projects!$C$17:$C$46+Projects!$D$17:$D$46)*Projects!$B$17:$B$46*Assumptions!$B$10/Projects!$D$17:$D$46*0.95)+SUMPRODUCT((Projects!$G$17:$G$46="Yes")*(45=Projects!$C$17:$C$46+Projects!$D$17:$D$46-1)*Projects!$B$17:$B$46*Assumptions!$B$10*0.05)+SUMPRODUCT((Projects!$G$17:$G$46="Yes")*(45&gt;=Projects!$C$17:$C$46)*(45&lt;Projects!$C$17:$C$46+Projects!$D$17:$D$46)*Projects!$B$17:$B$46*Assumptions!$B$11/Projects!$D$17:$D$46*0.95)+SUMPRODUCT((Projects!$G$17:$G$46="Yes")*(45=Projects!$C$17:$C$46+Projects!$D$17:$D$46-1)*Projects!$B$17:$B$46*Assumptions!$B$11*0.05)+SUMPRODUCT((Projects!$G$17:$G$46="Yes")*(45&gt;=Projects!$C$17:$C$46)*(45&lt;Projects!$C$17:$C$46+Projects!$D$17:$D$46)*Projects!$B$17:$B$46*Assumptions!$B$12/Projects!$D$17:$D$46*0.95)+SUMPRODUCT((Projects!$G$17:$G$46="Yes")*(45=Projects!$C$17:$C$46+Projects!$D$17:$D$46-1)*Projects!$B$17:$B$46*Assumptions!$B$12*0.05)</f>
        <v>13388536.5</v>
      </c>
      <c r="AY97" s="313" t="n">
        <f aca="false">AY96+SUMPRODUCT((Projects!$G$17:$G$46="Yes")*(46&gt;=Projects!$C$17:$C$46)*(46&lt;Projects!$C$17:$C$46+Projects!$D$17:$D$46)*Projects!$B$17:$B$46*Assumptions!$B$10/Projects!$D$17:$D$46*0.95)+SUMPRODUCT((Projects!$G$17:$G$46="Yes")*(46=Projects!$C$17:$C$46+Projects!$D$17:$D$46-1)*Projects!$B$17:$B$46*Assumptions!$B$10*0.05)+SUMPRODUCT((Projects!$G$17:$G$46="Yes")*(46&gt;=Projects!$C$17:$C$46)*(46&lt;Projects!$C$17:$C$46+Projects!$D$17:$D$46)*Projects!$B$17:$B$46*Assumptions!$B$11/Projects!$D$17:$D$46*0.95)+SUMPRODUCT((Projects!$G$17:$G$46="Yes")*(46=Projects!$C$17:$C$46+Projects!$D$17:$D$46-1)*Projects!$B$17:$B$46*Assumptions!$B$11*0.05)+SUMPRODUCT((Projects!$G$17:$G$46="Yes")*(46&gt;=Projects!$C$17:$C$46)*(46&lt;Projects!$C$17:$C$46+Projects!$D$17:$D$46)*Projects!$B$17:$B$46*Assumptions!$B$12/Projects!$D$17:$D$46*0.95)+SUMPRODUCT((Projects!$G$17:$G$46="Yes")*(46=Projects!$C$17:$C$46+Projects!$D$17:$D$46-1)*Projects!$B$17:$B$46*Assumptions!$B$12*0.05)</f>
        <v>13090498.5</v>
      </c>
      <c r="AZ97" s="313" t="n">
        <f aca="false">AZ96+SUMPRODUCT((Projects!$G$17:$G$46="Yes")*(47&gt;=Projects!$C$17:$C$46)*(47&lt;Projects!$C$17:$C$46+Projects!$D$17:$D$46)*Projects!$B$17:$B$46*Assumptions!$B$10/Projects!$D$17:$D$46*0.95)+SUMPRODUCT((Projects!$G$17:$G$46="Yes")*(47=Projects!$C$17:$C$46+Projects!$D$17:$D$46-1)*Projects!$B$17:$B$46*Assumptions!$B$10*0.05)+SUMPRODUCT((Projects!$G$17:$G$46="Yes")*(47&gt;=Projects!$C$17:$C$46)*(47&lt;Projects!$C$17:$C$46+Projects!$D$17:$D$46)*Projects!$B$17:$B$46*Assumptions!$B$11/Projects!$D$17:$D$46*0.95)+SUMPRODUCT((Projects!$G$17:$G$46="Yes")*(47=Projects!$C$17:$C$46+Projects!$D$17:$D$46-1)*Projects!$B$17:$B$46*Assumptions!$B$11*0.05)+SUMPRODUCT((Projects!$G$17:$G$46="Yes")*(47&gt;=Projects!$C$17:$C$46)*(47&lt;Projects!$C$17:$C$46+Projects!$D$17:$D$46)*Projects!$B$17:$B$46*Assumptions!$B$12/Projects!$D$17:$D$46*0.95)+SUMPRODUCT((Projects!$G$17:$G$46="Yes")*(47=Projects!$C$17:$C$46+Projects!$D$17:$D$46-1)*Projects!$B$17:$B$46*Assumptions!$B$12*0.05)</f>
        <v>12737801.4</v>
      </c>
      <c r="BA97" s="313" t="n">
        <f aca="false">BA96+SUMPRODUCT((Projects!$G$17:$G$46="Yes")*(48&gt;=Projects!$C$17:$C$46)*(48&lt;Projects!$C$17:$C$46+Projects!$D$17:$D$46)*Projects!$B$17:$B$46*Assumptions!$B$10/Projects!$D$17:$D$46*0.95)+SUMPRODUCT((Projects!$G$17:$G$46="Yes")*(48=Projects!$C$17:$C$46+Projects!$D$17:$D$46-1)*Projects!$B$17:$B$46*Assumptions!$B$10*0.05)+SUMPRODUCT((Projects!$G$17:$G$46="Yes")*(48&gt;=Projects!$C$17:$C$46)*(48&lt;Projects!$C$17:$C$46+Projects!$D$17:$D$46)*Projects!$B$17:$B$46*Assumptions!$B$11/Projects!$D$17:$D$46*0.95)+SUMPRODUCT((Projects!$G$17:$G$46="Yes")*(48=Projects!$C$17:$C$46+Projects!$D$17:$D$46-1)*Projects!$B$17:$B$46*Assumptions!$B$11*0.05)+SUMPRODUCT((Projects!$G$17:$G$46="Yes")*(48&gt;=Projects!$C$17:$C$46)*(48&lt;Projects!$C$17:$C$46+Projects!$D$17:$D$46)*Projects!$B$17:$B$46*Assumptions!$B$12/Projects!$D$17:$D$46*0.95)+SUMPRODUCT((Projects!$G$17:$G$46="Yes")*(48=Projects!$C$17:$C$46+Projects!$D$17:$D$46-1)*Projects!$B$17:$B$46*Assumptions!$B$12*0.05)</f>
        <v>12139857.75</v>
      </c>
      <c r="BB97" s="313" t="n">
        <f aca="false">BB96+SUMPRODUCT((Projects!$G$17:$G$46="Yes")*(49&gt;=Projects!$C$17:$C$46)*(49&lt;Projects!$C$17:$C$46+Projects!$D$17:$D$46)*Projects!$B$17:$B$46*Assumptions!$B$10/Projects!$D$17:$D$46*0.95)+SUMPRODUCT((Projects!$G$17:$G$46="Yes")*(49=Projects!$C$17:$C$46+Projects!$D$17:$D$46-1)*Projects!$B$17:$B$46*Assumptions!$B$10*0.05)+SUMPRODUCT((Projects!$G$17:$G$46="Yes")*(49&gt;=Projects!$C$17:$C$46)*(49&lt;Projects!$C$17:$C$46+Projects!$D$17:$D$46)*Projects!$B$17:$B$46*Assumptions!$B$11/Projects!$D$17:$D$46*0.95)+SUMPRODUCT((Projects!$G$17:$G$46="Yes")*(49=Projects!$C$17:$C$46+Projects!$D$17:$D$46-1)*Projects!$B$17:$B$46*Assumptions!$B$11*0.05)+SUMPRODUCT((Projects!$G$17:$G$46="Yes")*(49&gt;=Projects!$C$17:$C$46)*(49&lt;Projects!$C$17:$C$46+Projects!$D$17:$D$46)*Projects!$B$17:$B$46*Assumptions!$B$12/Projects!$D$17:$D$46*0.95)+SUMPRODUCT((Projects!$G$17:$G$46="Yes")*(49=Projects!$C$17:$C$46+Projects!$D$17:$D$46-1)*Projects!$B$17:$B$46*Assumptions!$B$12*0.05)</f>
        <v>11688998.1</v>
      </c>
      <c r="BC97" s="313" t="n">
        <f aca="false">BC96+SUMPRODUCT((Projects!$G$17:$G$46="Yes")*(50&gt;=Projects!$C$17:$C$46)*(50&lt;Projects!$C$17:$C$46+Projects!$D$17:$D$46)*Projects!$B$17:$B$46*Assumptions!$B$10/Projects!$D$17:$D$46*0.95)+SUMPRODUCT((Projects!$G$17:$G$46="Yes")*(50=Projects!$C$17:$C$46+Projects!$D$17:$D$46-1)*Projects!$B$17:$B$46*Assumptions!$B$10*0.05)+SUMPRODUCT((Projects!$G$17:$G$46="Yes")*(50&gt;=Projects!$C$17:$C$46)*(50&lt;Projects!$C$17:$C$46+Projects!$D$17:$D$46)*Projects!$B$17:$B$46*Assumptions!$B$11/Projects!$D$17:$D$46*0.95)+SUMPRODUCT((Projects!$G$17:$G$46="Yes")*(50=Projects!$C$17:$C$46+Projects!$D$17:$D$46-1)*Projects!$B$17:$B$46*Assumptions!$B$11*0.05)+SUMPRODUCT((Projects!$G$17:$G$46="Yes")*(50&gt;=Projects!$C$17:$C$46)*(50&lt;Projects!$C$17:$C$46+Projects!$D$17:$D$46)*Projects!$B$17:$B$46*Assumptions!$B$12/Projects!$D$17:$D$46*0.95)+SUMPRODUCT((Projects!$G$17:$G$46="Yes")*(50=Projects!$C$17:$C$46+Projects!$D$17:$D$46-1)*Projects!$B$17:$B$46*Assumptions!$B$12*0.05)</f>
        <v>11347292.1</v>
      </c>
      <c r="BD97" s="313" t="n">
        <f aca="false">BD96+SUMPRODUCT((Projects!$G$17:$G$46="Yes")*(51&gt;=Projects!$C$17:$C$46)*(51&lt;Projects!$C$17:$C$46+Projects!$D$17:$D$46)*Projects!$B$17:$B$46*Assumptions!$B$10/Projects!$D$17:$D$46*0.95)+SUMPRODUCT((Projects!$G$17:$G$46="Yes")*(51=Projects!$C$17:$C$46+Projects!$D$17:$D$46-1)*Projects!$B$17:$B$46*Assumptions!$B$10*0.05)+SUMPRODUCT((Projects!$G$17:$G$46="Yes")*(51&gt;=Projects!$C$17:$C$46)*(51&lt;Projects!$C$17:$C$46+Projects!$D$17:$D$46)*Projects!$B$17:$B$46*Assumptions!$B$11/Projects!$D$17:$D$46*0.95)+SUMPRODUCT((Projects!$G$17:$G$46="Yes")*(51=Projects!$C$17:$C$46+Projects!$D$17:$D$46-1)*Projects!$B$17:$B$46*Assumptions!$B$11*0.05)+SUMPRODUCT((Projects!$G$17:$G$46="Yes")*(51&gt;=Projects!$C$17:$C$46)*(51&lt;Projects!$C$17:$C$46+Projects!$D$17:$D$46)*Projects!$B$17:$B$46*Assumptions!$B$12/Projects!$D$17:$D$46*0.95)+SUMPRODUCT((Projects!$G$17:$G$46="Yes")*(51=Projects!$C$17:$C$46+Projects!$D$17:$D$46-1)*Projects!$B$17:$B$46*Assumptions!$B$12*0.05)</f>
        <v>11099849.1</v>
      </c>
      <c r="BE97" s="313" t="n">
        <f aca="false">BE96+SUMPRODUCT((Projects!$G$17:$G$46="Yes")*(52&gt;=Projects!$C$17:$C$46)*(52&lt;Projects!$C$17:$C$46+Projects!$D$17:$D$46)*Projects!$B$17:$B$46*Assumptions!$B$10/Projects!$D$17:$D$46*0.95)+SUMPRODUCT((Projects!$G$17:$G$46="Yes")*(52=Projects!$C$17:$C$46+Projects!$D$17:$D$46-1)*Projects!$B$17:$B$46*Assumptions!$B$10*0.05)+SUMPRODUCT((Projects!$G$17:$G$46="Yes")*(52&gt;=Projects!$C$17:$C$46)*(52&lt;Projects!$C$17:$C$46+Projects!$D$17:$D$46)*Projects!$B$17:$B$46*Assumptions!$B$11/Projects!$D$17:$D$46*0.95)+SUMPRODUCT((Projects!$G$17:$G$46="Yes")*(52=Projects!$C$17:$C$46+Projects!$D$17:$D$46-1)*Projects!$B$17:$B$46*Assumptions!$B$11*0.05)+SUMPRODUCT((Projects!$G$17:$G$46="Yes")*(52&gt;=Projects!$C$17:$C$46)*(52&lt;Projects!$C$17:$C$46+Projects!$D$17:$D$46)*Projects!$B$17:$B$46*Assumptions!$B$12/Projects!$D$17:$D$46*0.95)+SUMPRODUCT((Projects!$G$17:$G$46="Yes")*(52=Projects!$C$17:$C$46+Projects!$D$17:$D$46-1)*Projects!$B$17:$B$46*Assumptions!$B$12*0.05)</f>
        <v>11058972.75</v>
      </c>
      <c r="BF97" s="313" t="n">
        <f aca="false">BF96+SUMPRODUCT((Projects!$G$17:$G$46="Yes")*(53&gt;=Projects!$C$17:$C$46)*(53&lt;Projects!$C$17:$C$46+Projects!$D$17:$D$46)*Projects!$B$17:$B$46*Assumptions!$B$10/Projects!$D$17:$D$46*0.95)+SUMPRODUCT((Projects!$G$17:$G$46="Yes")*(53=Projects!$C$17:$C$46+Projects!$D$17:$D$46-1)*Projects!$B$17:$B$46*Assumptions!$B$10*0.05)+SUMPRODUCT((Projects!$G$17:$G$46="Yes")*(53&gt;=Projects!$C$17:$C$46)*(53&lt;Projects!$C$17:$C$46+Projects!$D$17:$D$46)*Projects!$B$17:$B$46*Assumptions!$B$11/Projects!$D$17:$D$46*0.95)+SUMPRODUCT((Projects!$G$17:$G$46="Yes")*(53=Projects!$C$17:$C$46+Projects!$D$17:$D$46-1)*Projects!$B$17:$B$46*Assumptions!$B$11*0.05)+SUMPRODUCT((Projects!$G$17:$G$46="Yes")*(53&gt;=Projects!$C$17:$C$46)*(53&lt;Projects!$C$17:$C$46+Projects!$D$17:$D$46)*Projects!$B$17:$B$46*Assumptions!$B$12/Projects!$D$17:$D$46*0.95)+SUMPRODUCT((Projects!$G$17:$G$46="Yes")*(53=Projects!$C$17:$C$46+Projects!$D$17:$D$46-1)*Projects!$B$17:$B$46*Assumptions!$B$12*0.05)</f>
        <v>11074337.4</v>
      </c>
      <c r="BG97" s="313" t="n">
        <f aca="false">BG96+SUMPRODUCT((Projects!$G$17:$G$46="Yes")*(54&gt;=Projects!$C$17:$C$46)*(54&lt;Projects!$C$17:$C$46+Projects!$D$17:$D$46)*Projects!$B$17:$B$46*Assumptions!$B$10/Projects!$D$17:$D$46*0.95)+SUMPRODUCT((Projects!$G$17:$G$46="Yes")*(54=Projects!$C$17:$C$46+Projects!$D$17:$D$46-1)*Projects!$B$17:$B$46*Assumptions!$B$10*0.05)+SUMPRODUCT((Projects!$G$17:$G$46="Yes")*(54&gt;=Projects!$C$17:$C$46)*(54&lt;Projects!$C$17:$C$46+Projects!$D$17:$D$46)*Projects!$B$17:$B$46*Assumptions!$B$11/Projects!$D$17:$D$46*0.95)+SUMPRODUCT((Projects!$G$17:$G$46="Yes")*(54=Projects!$C$17:$C$46+Projects!$D$17:$D$46-1)*Projects!$B$17:$B$46*Assumptions!$B$11*0.05)+SUMPRODUCT((Projects!$G$17:$G$46="Yes")*(54&gt;=Projects!$C$17:$C$46)*(54&lt;Projects!$C$17:$C$46+Projects!$D$17:$D$46)*Projects!$B$17:$B$46*Assumptions!$B$12/Projects!$D$17:$D$46*0.95)+SUMPRODUCT((Projects!$G$17:$G$46="Yes")*(54=Projects!$C$17:$C$46+Projects!$D$17:$D$46-1)*Projects!$B$17:$B$46*Assumptions!$B$12*0.05)</f>
        <v>11091965.1</v>
      </c>
      <c r="BH97" s="313" t="n">
        <f aca="false">BH96+SUMPRODUCT((Projects!$G$17:$G$46="Yes")*(55&gt;=Projects!$C$17:$C$46)*(55&lt;Projects!$C$17:$C$46+Projects!$D$17:$D$46)*Projects!$B$17:$B$46*Assumptions!$B$10/Projects!$D$17:$D$46*0.95)+SUMPRODUCT((Projects!$G$17:$G$46="Yes")*(55=Projects!$C$17:$C$46+Projects!$D$17:$D$46-1)*Projects!$B$17:$B$46*Assumptions!$B$10*0.05)+SUMPRODUCT((Projects!$G$17:$G$46="Yes")*(55&gt;=Projects!$C$17:$C$46)*(55&lt;Projects!$C$17:$C$46+Projects!$D$17:$D$46)*Projects!$B$17:$B$46*Assumptions!$B$11/Projects!$D$17:$D$46*0.95)+SUMPRODUCT((Projects!$G$17:$G$46="Yes")*(55=Projects!$C$17:$C$46+Projects!$D$17:$D$46-1)*Projects!$B$17:$B$46*Assumptions!$B$11*0.05)+SUMPRODUCT((Projects!$G$17:$G$46="Yes")*(55&gt;=Projects!$C$17:$C$46)*(55&lt;Projects!$C$17:$C$46+Projects!$D$17:$D$46)*Projects!$B$17:$B$46*Assumptions!$B$12/Projects!$D$17:$D$46*0.95)+SUMPRODUCT((Projects!$G$17:$G$46="Yes")*(55=Projects!$C$17:$C$46+Projects!$D$17:$D$46-1)*Projects!$B$17:$B$46*Assumptions!$B$12*0.05)</f>
        <v>11432400.75</v>
      </c>
      <c r="BI97" s="313" t="n">
        <f aca="false">BI96+SUMPRODUCT((Projects!$G$17:$G$46="Yes")*(56&gt;=Projects!$C$17:$C$46)*(56&lt;Projects!$C$17:$C$46+Projects!$D$17:$D$46)*Projects!$B$17:$B$46*Assumptions!$B$10/Projects!$D$17:$D$46*0.95)+SUMPRODUCT((Projects!$G$17:$G$46="Yes")*(56=Projects!$C$17:$C$46+Projects!$D$17:$D$46-1)*Projects!$B$17:$B$46*Assumptions!$B$10*0.05)+SUMPRODUCT((Projects!$G$17:$G$46="Yes")*(56&gt;=Projects!$C$17:$C$46)*(56&lt;Projects!$C$17:$C$46+Projects!$D$17:$D$46)*Projects!$B$17:$B$46*Assumptions!$B$11/Projects!$D$17:$D$46*0.95)+SUMPRODUCT((Projects!$G$17:$G$46="Yes")*(56=Projects!$C$17:$C$46+Projects!$D$17:$D$46-1)*Projects!$B$17:$B$46*Assumptions!$B$11*0.05)+SUMPRODUCT((Projects!$G$17:$G$46="Yes")*(56&gt;=Projects!$C$17:$C$46)*(56&lt;Projects!$C$17:$C$46+Projects!$D$17:$D$46)*Projects!$B$17:$B$46*Assumptions!$B$12/Projects!$D$17:$D$46*0.95)+SUMPRODUCT((Projects!$G$17:$G$46="Yes")*(56=Projects!$C$17:$C$46+Projects!$D$17:$D$46-1)*Projects!$B$17:$B$46*Assumptions!$B$12*0.05)</f>
        <v>11807153.4</v>
      </c>
      <c r="BJ97" s="313" t="n">
        <f aca="false">BJ96+SUMPRODUCT((Projects!$G$17:$G$46="Yes")*(57&gt;=Projects!$C$17:$C$46)*(57&lt;Projects!$C$17:$C$46+Projects!$D$17:$D$46)*Projects!$B$17:$B$46*Assumptions!$B$10/Projects!$D$17:$D$46*0.95)+SUMPRODUCT((Projects!$G$17:$G$46="Yes")*(57=Projects!$C$17:$C$46+Projects!$D$17:$D$46-1)*Projects!$B$17:$B$46*Assumptions!$B$10*0.05)+SUMPRODUCT((Projects!$G$17:$G$46="Yes")*(57&gt;=Projects!$C$17:$C$46)*(57&lt;Projects!$C$17:$C$46+Projects!$D$17:$D$46)*Projects!$B$17:$B$46*Assumptions!$B$11/Projects!$D$17:$D$46*0.95)+SUMPRODUCT((Projects!$G$17:$G$46="Yes")*(57=Projects!$C$17:$C$46+Projects!$D$17:$D$46-1)*Projects!$B$17:$B$46*Assumptions!$B$11*0.05)+SUMPRODUCT((Projects!$G$17:$G$46="Yes")*(57&gt;=Projects!$C$17:$C$46)*(57&lt;Projects!$C$17:$C$46+Projects!$D$17:$D$46)*Projects!$B$17:$B$46*Assumptions!$B$12/Projects!$D$17:$D$46*0.95)+SUMPRODUCT((Projects!$G$17:$G$46="Yes")*(57=Projects!$C$17:$C$46+Projects!$D$17:$D$46-1)*Projects!$B$17:$B$46*Assumptions!$B$12*0.05)</f>
        <v>11653733.85</v>
      </c>
      <c r="BK97" s="313" t="n">
        <f aca="false">BK96+SUMPRODUCT((Projects!$G$17:$G$46="Yes")*(58&gt;=Projects!$C$17:$C$46)*(58&lt;Projects!$C$17:$C$46+Projects!$D$17:$D$46)*Projects!$B$17:$B$46*Assumptions!$B$10/Projects!$D$17:$D$46*0.95)+SUMPRODUCT((Projects!$G$17:$G$46="Yes")*(58=Projects!$C$17:$C$46+Projects!$D$17:$D$46-1)*Projects!$B$17:$B$46*Assumptions!$B$10*0.05)+SUMPRODUCT((Projects!$G$17:$G$46="Yes")*(58&gt;=Projects!$C$17:$C$46)*(58&lt;Projects!$C$17:$C$46+Projects!$D$17:$D$46)*Projects!$B$17:$B$46*Assumptions!$B$11/Projects!$D$17:$D$46*0.95)+SUMPRODUCT((Projects!$G$17:$G$46="Yes")*(58=Projects!$C$17:$C$46+Projects!$D$17:$D$46-1)*Projects!$B$17:$B$46*Assumptions!$B$11*0.05)+SUMPRODUCT((Projects!$G$17:$G$46="Yes")*(58&gt;=Projects!$C$17:$C$46)*(58&lt;Projects!$C$17:$C$46+Projects!$D$17:$D$46)*Projects!$B$17:$B$46*Assumptions!$B$12/Projects!$D$17:$D$46*0.95)+SUMPRODUCT((Projects!$G$17:$G$46="Yes")*(58=Projects!$C$17:$C$46+Projects!$D$17:$D$46-1)*Projects!$B$17:$B$46*Assumptions!$B$12*0.05)</f>
        <v>11482618.35</v>
      </c>
      <c r="BL97" s="313" t="n">
        <f aca="false">BL96+SUMPRODUCT((Projects!$G$17:$G$46="Yes")*(59&gt;=Projects!$C$17:$C$46)*(59&lt;Projects!$C$17:$C$46+Projects!$D$17:$D$46)*Projects!$B$17:$B$46*Assumptions!$B$10/Projects!$D$17:$D$46*0.95)+SUMPRODUCT((Projects!$G$17:$G$46="Yes")*(59=Projects!$C$17:$C$46+Projects!$D$17:$D$46-1)*Projects!$B$17:$B$46*Assumptions!$B$10*0.05)+SUMPRODUCT((Projects!$G$17:$G$46="Yes")*(59&gt;=Projects!$C$17:$C$46)*(59&lt;Projects!$C$17:$C$46+Projects!$D$17:$D$46)*Projects!$B$17:$B$46*Assumptions!$B$11/Projects!$D$17:$D$46*0.95)+SUMPRODUCT((Projects!$G$17:$G$46="Yes")*(59=Projects!$C$17:$C$46+Projects!$D$17:$D$46-1)*Projects!$B$17:$B$46*Assumptions!$B$11*0.05)+SUMPRODUCT((Projects!$G$17:$G$46="Yes")*(59&gt;=Projects!$C$17:$C$46)*(59&lt;Projects!$C$17:$C$46+Projects!$D$17:$D$46)*Projects!$B$17:$B$46*Assumptions!$B$12/Projects!$D$17:$D$46*0.95)+SUMPRODUCT((Projects!$G$17:$G$46="Yes")*(59=Projects!$C$17:$C$46+Projects!$D$17:$D$46-1)*Projects!$B$17:$B$46*Assumptions!$B$12*0.05)</f>
        <v>11730343.35</v>
      </c>
      <c r="BM97" s="313" t="n">
        <f aca="false">BM96+SUMPRODUCT((Projects!$G$17:$G$46="Yes")*(60&gt;=Projects!$C$17:$C$46)*(60&lt;Projects!$C$17:$C$46+Projects!$D$17:$D$46)*Projects!$B$17:$B$46*Assumptions!$B$10/Projects!$D$17:$D$46*0.95)+SUMPRODUCT((Projects!$G$17:$G$46="Yes")*(60=Projects!$C$17:$C$46+Projects!$D$17:$D$46-1)*Projects!$B$17:$B$46*Assumptions!$B$10*0.05)+SUMPRODUCT((Projects!$G$17:$G$46="Yes")*(60&gt;=Projects!$C$17:$C$46)*(60&lt;Projects!$C$17:$C$46+Projects!$D$17:$D$46)*Projects!$B$17:$B$46*Assumptions!$B$11/Projects!$D$17:$D$46*0.95)+SUMPRODUCT((Projects!$G$17:$G$46="Yes")*(60=Projects!$C$17:$C$46+Projects!$D$17:$D$46-1)*Projects!$B$17:$B$46*Assumptions!$B$11*0.05)+SUMPRODUCT((Projects!$G$17:$G$46="Yes")*(60&gt;=Projects!$C$17:$C$46)*(60&lt;Projects!$C$17:$C$46+Projects!$D$17:$D$46)*Projects!$B$17:$B$46*Assumptions!$B$12/Projects!$D$17:$D$46*0.95)+SUMPRODUCT((Projects!$G$17:$G$46="Yes")*(60=Projects!$C$17:$C$46+Projects!$D$17:$D$46-1)*Projects!$B$17:$B$46*Assumptions!$B$12*0.05)</f>
        <v>11802202.35</v>
      </c>
      <c r="BN97" s="313" t="n">
        <f aca="false">BN96+SUMPRODUCT((Projects!$G$17:$G$46="Yes")*(61&gt;=Projects!$C$17:$C$46)*(61&lt;Projects!$C$17:$C$46+Projects!$D$17:$D$46)*Projects!$B$17:$B$46*Assumptions!$B$10/Projects!$D$17:$D$46*0.95)+SUMPRODUCT((Projects!$G$17:$G$46="Yes")*(61=Projects!$C$17:$C$46+Projects!$D$17:$D$46-1)*Projects!$B$17:$B$46*Assumptions!$B$10*0.05)+SUMPRODUCT((Projects!$G$17:$G$46="Yes")*(61&gt;=Projects!$C$17:$C$46)*(61&lt;Projects!$C$17:$C$46+Projects!$D$17:$D$46)*Projects!$B$17:$B$46*Assumptions!$B$11/Projects!$D$17:$D$46*0.95)+SUMPRODUCT((Projects!$G$17:$G$46="Yes")*(61=Projects!$C$17:$C$46+Projects!$D$17:$D$46-1)*Projects!$B$17:$B$46*Assumptions!$B$11*0.05)+SUMPRODUCT((Projects!$G$17:$G$46="Yes")*(61&gt;=Projects!$C$17:$C$46)*(61&lt;Projects!$C$17:$C$46+Projects!$D$17:$D$46)*Projects!$B$17:$B$46*Assumptions!$B$12/Projects!$D$17:$D$46*0.95)+SUMPRODUCT((Projects!$G$17:$G$46="Yes")*(61=Projects!$C$17:$C$46+Projects!$D$17:$D$46-1)*Projects!$B$17:$B$46*Assumptions!$B$12*0.05)</f>
        <v>11798345.25</v>
      </c>
      <c r="BO97" s="313" t="n">
        <f aca="false">BO96+SUMPRODUCT((Projects!$G$17:$G$46="Yes")*(62&gt;=Projects!$C$17:$C$46)*(62&lt;Projects!$C$17:$C$46+Projects!$D$17:$D$46)*Projects!$B$17:$B$46*Assumptions!$B$10/Projects!$D$17:$D$46*0.95)+SUMPRODUCT((Projects!$G$17:$G$46="Yes")*(62=Projects!$C$17:$C$46+Projects!$D$17:$D$46-1)*Projects!$B$17:$B$46*Assumptions!$B$10*0.05)+SUMPRODUCT((Projects!$G$17:$G$46="Yes")*(62&gt;=Projects!$C$17:$C$46)*(62&lt;Projects!$C$17:$C$46+Projects!$D$17:$D$46)*Projects!$B$17:$B$46*Assumptions!$B$11/Projects!$D$17:$D$46*0.95)+SUMPRODUCT((Projects!$G$17:$G$46="Yes")*(62=Projects!$C$17:$C$46+Projects!$D$17:$D$46-1)*Projects!$B$17:$B$46*Assumptions!$B$11*0.05)+SUMPRODUCT((Projects!$G$17:$G$46="Yes")*(62&gt;=Projects!$C$17:$C$46)*(62&lt;Projects!$C$17:$C$46+Projects!$D$17:$D$46)*Projects!$B$17:$B$46*Assumptions!$B$12/Projects!$D$17:$D$46*0.95)+SUMPRODUCT((Projects!$G$17:$G$46="Yes")*(62=Projects!$C$17:$C$46+Projects!$D$17:$D$46-1)*Projects!$B$17:$B$46*Assumptions!$B$12*0.05)</f>
        <v>10999970.7</v>
      </c>
      <c r="BP97" s="313" t="n">
        <f aca="false">BP96+SUMPRODUCT((Projects!$G$17:$G$46="Yes")*(63&gt;=Projects!$C$17:$C$46)*(63&lt;Projects!$C$17:$C$46+Projects!$D$17:$D$46)*Projects!$B$17:$B$46*Assumptions!$B$10/Projects!$D$17:$D$46*0.95)+SUMPRODUCT((Projects!$G$17:$G$46="Yes")*(63=Projects!$C$17:$C$46+Projects!$D$17:$D$46-1)*Projects!$B$17:$B$46*Assumptions!$B$10*0.05)+SUMPRODUCT((Projects!$G$17:$G$46="Yes")*(63&gt;=Projects!$C$17:$C$46)*(63&lt;Projects!$C$17:$C$46+Projects!$D$17:$D$46)*Projects!$B$17:$B$46*Assumptions!$B$11/Projects!$D$17:$D$46*0.95)+SUMPRODUCT((Projects!$G$17:$G$46="Yes")*(63=Projects!$C$17:$C$46+Projects!$D$17:$D$46-1)*Projects!$B$17:$B$46*Assumptions!$B$11*0.05)+SUMPRODUCT((Projects!$G$17:$G$46="Yes")*(63&gt;=Projects!$C$17:$C$46)*(63&lt;Projects!$C$17:$C$46+Projects!$D$17:$D$46)*Projects!$B$17:$B$46*Assumptions!$B$12/Projects!$D$17:$D$46*0.95)+SUMPRODUCT((Projects!$G$17:$G$46="Yes")*(63=Projects!$C$17:$C$46+Projects!$D$17:$D$46-1)*Projects!$B$17:$B$46*Assumptions!$B$12*0.05)</f>
        <v>10124842.2</v>
      </c>
      <c r="BQ97" s="313" t="n">
        <f aca="false">BQ96+SUMPRODUCT((Projects!$G$17:$G$46="Yes")*(64&gt;=Projects!$C$17:$C$46)*(64&lt;Projects!$C$17:$C$46+Projects!$D$17:$D$46)*Projects!$B$17:$B$46*Assumptions!$B$10/Projects!$D$17:$D$46*0.95)+SUMPRODUCT((Projects!$G$17:$G$46="Yes")*(64=Projects!$C$17:$C$46+Projects!$D$17:$D$46-1)*Projects!$B$17:$B$46*Assumptions!$B$10*0.05)+SUMPRODUCT((Projects!$G$17:$G$46="Yes")*(64&gt;=Projects!$C$17:$C$46)*(64&lt;Projects!$C$17:$C$46+Projects!$D$17:$D$46)*Projects!$B$17:$B$46*Assumptions!$B$11/Projects!$D$17:$D$46*0.95)+SUMPRODUCT((Projects!$G$17:$G$46="Yes")*(64=Projects!$C$17:$C$46+Projects!$D$17:$D$46-1)*Projects!$B$17:$B$46*Assumptions!$B$11*0.05)+SUMPRODUCT((Projects!$G$17:$G$46="Yes")*(64&gt;=Projects!$C$17:$C$46)*(64&lt;Projects!$C$17:$C$46+Projects!$D$17:$D$46)*Projects!$B$17:$B$46*Assumptions!$B$12/Projects!$D$17:$D$46*0.95)+SUMPRODUCT((Projects!$G$17:$G$46="Yes")*(64=Projects!$C$17:$C$46+Projects!$D$17:$D$46-1)*Projects!$B$17:$B$46*Assumptions!$B$12*0.05)</f>
        <v>9650287.2</v>
      </c>
      <c r="BR97" s="313" t="n">
        <f aca="false">BR96+SUMPRODUCT((Projects!$G$17:$G$46="Yes")*(65&gt;=Projects!$C$17:$C$46)*(65&lt;Projects!$C$17:$C$46+Projects!$D$17:$D$46)*Projects!$B$17:$B$46*Assumptions!$B$10/Projects!$D$17:$D$46*0.95)+SUMPRODUCT((Projects!$G$17:$G$46="Yes")*(65=Projects!$C$17:$C$46+Projects!$D$17:$D$46-1)*Projects!$B$17:$B$46*Assumptions!$B$10*0.05)+SUMPRODUCT((Projects!$G$17:$G$46="Yes")*(65&gt;=Projects!$C$17:$C$46)*(65&lt;Projects!$C$17:$C$46+Projects!$D$17:$D$46)*Projects!$B$17:$B$46*Assumptions!$B$11/Projects!$D$17:$D$46*0.95)+SUMPRODUCT((Projects!$G$17:$G$46="Yes")*(65=Projects!$C$17:$C$46+Projects!$D$17:$D$46-1)*Projects!$B$17:$B$46*Assumptions!$B$11*0.05)+SUMPRODUCT((Projects!$G$17:$G$46="Yes")*(65&gt;=Projects!$C$17:$C$46)*(65&lt;Projects!$C$17:$C$46+Projects!$D$17:$D$46)*Projects!$B$17:$B$46*Assumptions!$B$12/Projects!$D$17:$D$46*0.95)+SUMPRODUCT((Projects!$G$17:$G$46="Yes")*(65=Projects!$C$17:$C$46+Projects!$D$17:$D$46-1)*Projects!$B$17:$B$46*Assumptions!$B$12*0.05)</f>
        <v>9025993.2</v>
      </c>
      <c r="BS97" s="313" t="n">
        <f aca="false">BS96+SUMPRODUCT((Projects!$G$17:$G$46="Yes")*(66&gt;=Projects!$C$17:$C$46)*(66&lt;Projects!$C$17:$C$46+Projects!$D$17:$D$46)*Projects!$B$17:$B$46*Assumptions!$B$10/Projects!$D$17:$D$46*0.95)+SUMPRODUCT((Projects!$G$17:$G$46="Yes")*(66=Projects!$C$17:$C$46+Projects!$D$17:$D$46-1)*Projects!$B$17:$B$46*Assumptions!$B$10*0.05)+SUMPRODUCT((Projects!$G$17:$G$46="Yes")*(66&gt;=Projects!$C$17:$C$46)*(66&lt;Projects!$C$17:$C$46+Projects!$D$17:$D$46)*Projects!$B$17:$B$46*Assumptions!$B$11/Projects!$D$17:$D$46*0.95)+SUMPRODUCT((Projects!$G$17:$G$46="Yes")*(66=Projects!$C$17:$C$46+Projects!$D$17:$D$46-1)*Projects!$B$17:$B$46*Assumptions!$B$11*0.05)+SUMPRODUCT((Projects!$G$17:$G$46="Yes")*(66&gt;=Projects!$C$17:$C$46)*(66&lt;Projects!$C$17:$C$46+Projects!$D$17:$D$46)*Projects!$B$17:$B$46*Assumptions!$B$12/Projects!$D$17:$D$46*0.95)+SUMPRODUCT((Projects!$G$17:$G$46="Yes")*(66=Projects!$C$17:$C$46+Projects!$D$17:$D$46-1)*Projects!$B$17:$B$46*Assumptions!$B$12*0.05)</f>
        <v>8377632.45</v>
      </c>
      <c r="BT97" s="313" t="n">
        <f aca="false">BT96+SUMPRODUCT((Projects!$G$17:$G$46="Yes")*(67&gt;=Projects!$C$17:$C$46)*(67&lt;Projects!$C$17:$C$46+Projects!$D$17:$D$46)*Projects!$B$17:$B$46*Assumptions!$B$10/Projects!$D$17:$D$46*0.95)+SUMPRODUCT((Projects!$G$17:$G$46="Yes")*(67=Projects!$C$17:$C$46+Projects!$D$17:$D$46-1)*Projects!$B$17:$B$46*Assumptions!$B$10*0.05)+SUMPRODUCT((Projects!$G$17:$G$46="Yes")*(67&gt;=Projects!$C$17:$C$46)*(67&lt;Projects!$C$17:$C$46+Projects!$D$17:$D$46)*Projects!$B$17:$B$46*Assumptions!$B$11/Projects!$D$17:$D$46*0.95)+SUMPRODUCT((Projects!$G$17:$G$46="Yes")*(67=Projects!$C$17:$C$46+Projects!$D$17:$D$46-1)*Projects!$B$17:$B$46*Assumptions!$B$11*0.05)+SUMPRODUCT((Projects!$G$17:$G$46="Yes")*(67&gt;=Projects!$C$17:$C$46)*(67&lt;Projects!$C$17:$C$46+Projects!$D$17:$D$46)*Projects!$B$17:$B$46*Assumptions!$B$12/Projects!$D$17:$D$46*0.95)+SUMPRODUCT((Projects!$G$17:$G$46="Yes")*(67=Projects!$C$17:$C$46+Projects!$D$17:$D$46-1)*Projects!$B$17:$B$46*Assumptions!$B$12*0.05)</f>
        <v>7177766.85</v>
      </c>
      <c r="BU97" s="313" t="n">
        <f aca="false">BU96+SUMPRODUCT((Projects!$G$17:$G$46="Yes")*(68&gt;=Projects!$C$17:$C$46)*(68&lt;Projects!$C$17:$C$46+Projects!$D$17:$D$46)*Projects!$B$17:$B$46*Assumptions!$B$10/Projects!$D$17:$D$46*0.95)+SUMPRODUCT((Projects!$G$17:$G$46="Yes")*(68=Projects!$C$17:$C$46+Projects!$D$17:$D$46-1)*Projects!$B$17:$B$46*Assumptions!$B$10*0.05)+SUMPRODUCT((Projects!$G$17:$G$46="Yes")*(68&gt;=Projects!$C$17:$C$46)*(68&lt;Projects!$C$17:$C$46+Projects!$D$17:$D$46)*Projects!$B$17:$B$46*Assumptions!$B$11/Projects!$D$17:$D$46*0.95)+SUMPRODUCT((Projects!$G$17:$G$46="Yes")*(68=Projects!$C$17:$C$46+Projects!$D$17:$D$46-1)*Projects!$B$17:$B$46*Assumptions!$B$11*0.05)+SUMPRODUCT((Projects!$G$17:$G$46="Yes")*(68&gt;=Projects!$C$17:$C$46)*(68&lt;Projects!$C$17:$C$46+Projects!$D$17:$D$46)*Projects!$B$17:$B$46*Assumptions!$B$12/Projects!$D$17:$D$46*0.95)+SUMPRODUCT((Projects!$G$17:$G$46="Yes")*(68=Projects!$C$17:$C$46+Projects!$D$17:$D$46-1)*Projects!$B$17:$B$46*Assumptions!$B$12*0.05)</f>
        <v>5898210.3</v>
      </c>
      <c r="BV97" s="313" t="n">
        <f aca="false">BV96+SUMPRODUCT((Projects!$G$17:$G$46="Yes")*(69&gt;=Projects!$C$17:$C$46)*(69&lt;Projects!$C$17:$C$46+Projects!$D$17:$D$46)*Projects!$B$17:$B$46*Assumptions!$B$10/Projects!$D$17:$D$46*0.95)+SUMPRODUCT((Projects!$G$17:$G$46="Yes")*(69=Projects!$C$17:$C$46+Projects!$D$17:$D$46-1)*Projects!$B$17:$B$46*Assumptions!$B$10*0.05)+SUMPRODUCT((Projects!$G$17:$G$46="Yes")*(69&gt;=Projects!$C$17:$C$46)*(69&lt;Projects!$C$17:$C$46+Projects!$D$17:$D$46)*Projects!$B$17:$B$46*Assumptions!$B$11/Projects!$D$17:$D$46*0.95)+SUMPRODUCT((Projects!$G$17:$G$46="Yes")*(69=Projects!$C$17:$C$46+Projects!$D$17:$D$46-1)*Projects!$B$17:$B$46*Assumptions!$B$11*0.05)+SUMPRODUCT((Projects!$G$17:$G$46="Yes")*(69&gt;=Projects!$C$17:$C$46)*(69&lt;Projects!$C$17:$C$46+Projects!$D$17:$D$46)*Projects!$B$17:$B$46*Assumptions!$B$12/Projects!$D$17:$D$46*0.95)+SUMPRODUCT((Projects!$G$17:$G$46="Yes")*(69=Projects!$C$17:$C$46+Projects!$D$17:$D$46-1)*Projects!$B$17:$B$46*Assumptions!$B$12*0.05)</f>
        <v>4794787.05</v>
      </c>
      <c r="BW97" s="313" t="n">
        <f aca="false">BW96+SUMPRODUCT((Projects!$G$17:$G$46="Yes")*(70&gt;=Projects!$C$17:$C$46)*(70&lt;Projects!$C$17:$C$46+Projects!$D$17:$D$46)*Projects!$B$17:$B$46*Assumptions!$B$10/Projects!$D$17:$D$46*0.95)+SUMPRODUCT((Projects!$G$17:$G$46="Yes")*(70=Projects!$C$17:$C$46+Projects!$D$17:$D$46-1)*Projects!$B$17:$B$46*Assumptions!$B$10*0.05)+SUMPRODUCT((Projects!$G$17:$G$46="Yes")*(70&gt;=Projects!$C$17:$C$46)*(70&lt;Projects!$C$17:$C$46+Projects!$D$17:$D$46)*Projects!$B$17:$B$46*Assumptions!$B$11/Projects!$D$17:$D$46*0.95)+SUMPRODUCT((Projects!$G$17:$G$46="Yes")*(70=Projects!$C$17:$C$46+Projects!$D$17:$D$46-1)*Projects!$B$17:$B$46*Assumptions!$B$11*0.05)+SUMPRODUCT((Projects!$G$17:$G$46="Yes")*(70&gt;=Projects!$C$17:$C$46)*(70&lt;Projects!$C$17:$C$46+Projects!$D$17:$D$46)*Projects!$B$17:$B$46*Assumptions!$B$12/Projects!$D$17:$D$46*0.95)+SUMPRODUCT((Projects!$G$17:$G$46="Yes")*(70=Projects!$C$17:$C$46+Projects!$D$17:$D$46-1)*Projects!$B$17:$B$46*Assumptions!$B$12*0.05)</f>
        <v>3790572.45</v>
      </c>
      <c r="BX97" s="313" t="n">
        <f aca="false">BX96+SUMPRODUCT((Projects!$G$17:$G$46="Yes")*(71&gt;=Projects!$C$17:$C$46)*(71&lt;Projects!$C$17:$C$46+Projects!$D$17:$D$46)*Projects!$B$17:$B$46*Assumptions!$B$10/Projects!$D$17:$D$46*0.95)+SUMPRODUCT((Projects!$G$17:$G$46="Yes")*(71=Projects!$C$17:$C$46+Projects!$D$17:$D$46-1)*Projects!$B$17:$B$46*Assumptions!$B$10*0.05)+SUMPRODUCT((Projects!$G$17:$G$46="Yes")*(71&gt;=Projects!$C$17:$C$46)*(71&lt;Projects!$C$17:$C$46+Projects!$D$17:$D$46)*Projects!$B$17:$B$46*Assumptions!$B$11/Projects!$D$17:$D$46*0.95)+SUMPRODUCT((Projects!$G$17:$G$46="Yes")*(71=Projects!$C$17:$C$46+Projects!$D$17:$D$46-1)*Projects!$B$17:$B$46*Assumptions!$B$11*0.05)+SUMPRODUCT((Projects!$G$17:$G$46="Yes")*(71&gt;=Projects!$C$17:$C$46)*(71&lt;Projects!$C$17:$C$46+Projects!$D$17:$D$46)*Projects!$B$17:$B$46*Assumptions!$B$12/Projects!$D$17:$D$46*0.95)+SUMPRODUCT((Projects!$G$17:$G$46="Yes")*(71=Projects!$C$17:$C$46+Projects!$D$17:$D$46-1)*Projects!$B$17:$B$46*Assumptions!$B$12*0.05)</f>
        <v>2765550.9</v>
      </c>
      <c r="BY97" s="313" t="n">
        <f aca="false">BY96+SUMPRODUCT((Projects!$G$17:$G$46="Yes")*(72&gt;=Projects!$C$17:$C$46)*(72&lt;Projects!$C$17:$C$46+Projects!$D$17:$D$46)*Projects!$B$17:$B$46*Assumptions!$B$10/Projects!$D$17:$D$46*0.95)+SUMPRODUCT((Projects!$G$17:$G$46="Yes")*(72=Projects!$C$17:$C$46+Projects!$D$17:$D$46-1)*Projects!$B$17:$B$46*Assumptions!$B$10*0.05)+SUMPRODUCT((Projects!$G$17:$G$46="Yes")*(72&gt;=Projects!$C$17:$C$46)*(72&lt;Projects!$C$17:$C$46+Projects!$D$17:$D$46)*Projects!$B$17:$B$46*Assumptions!$B$11/Projects!$D$17:$D$46*0.95)+SUMPRODUCT((Projects!$G$17:$G$46="Yes")*(72=Projects!$C$17:$C$46+Projects!$D$17:$D$46-1)*Projects!$B$17:$B$46*Assumptions!$B$11*0.05)+SUMPRODUCT((Projects!$G$17:$G$46="Yes")*(72&gt;=Projects!$C$17:$C$46)*(72&lt;Projects!$C$17:$C$46+Projects!$D$17:$D$46)*Projects!$B$17:$B$46*Assumptions!$B$12/Projects!$D$17:$D$46*0.95)+SUMPRODUCT((Projects!$G$17:$G$46="Yes")*(72=Projects!$C$17:$C$46+Projects!$D$17:$D$46-1)*Projects!$B$17:$B$46*Assumptions!$B$12*0.05)</f>
        <v>1958914.65</v>
      </c>
      <c r="BZ97" s="313" t="n">
        <f aca="false">BZ96+SUMPRODUCT((Projects!$G$17:$G$46="Yes")*(73&gt;=Projects!$C$17:$C$46)*(73&lt;Projects!$C$17:$C$46+Projects!$D$17:$D$46)*Projects!$B$17:$B$46*Assumptions!$B$10/Projects!$D$17:$D$46*0.95)+SUMPRODUCT((Projects!$G$17:$G$46="Yes")*(73=Projects!$C$17:$C$46+Projects!$D$17:$D$46-1)*Projects!$B$17:$B$46*Assumptions!$B$10*0.05)+SUMPRODUCT((Projects!$G$17:$G$46="Yes")*(73&gt;=Projects!$C$17:$C$46)*(73&lt;Projects!$C$17:$C$46+Projects!$D$17:$D$46)*Projects!$B$17:$B$46*Assumptions!$B$11/Projects!$D$17:$D$46*0.95)+SUMPRODUCT((Projects!$G$17:$G$46="Yes")*(73=Projects!$C$17:$C$46+Projects!$D$17:$D$46-1)*Projects!$B$17:$B$46*Assumptions!$B$11*0.05)+SUMPRODUCT((Projects!$G$17:$G$46="Yes")*(73&gt;=Projects!$C$17:$C$46)*(73&lt;Projects!$C$17:$C$46+Projects!$D$17:$D$46)*Projects!$B$17:$B$46*Assumptions!$B$12/Projects!$D$17:$D$46*0.95)+SUMPRODUCT((Projects!$G$17:$G$46="Yes")*(73=Projects!$C$17:$C$46+Projects!$D$17:$D$46-1)*Projects!$B$17:$B$46*Assumptions!$B$12*0.05)</f>
        <v>1275718.05</v>
      </c>
      <c r="CA97" s="313" t="n">
        <f aca="false">CA96+SUMPRODUCT((Projects!$G$17:$G$46="Yes")*(74&gt;=Projects!$C$17:$C$46)*(74&lt;Projects!$C$17:$C$46+Projects!$D$17:$D$46)*Projects!$B$17:$B$46*Assumptions!$B$10/Projects!$D$17:$D$46*0.95)+SUMPRODUCT((Projects!$G$17:$G$46="Yes")*(74=Projects!$C$17:$C$46+Projects!$D$17:$D$46-1)*Projects!$B$17:$B$46*Assumptions!$B$10*0.05)+SUMPRODUCT((Projects!$G$17:$G$46="Yes")*(74&gt;=Projects!$C$17:$C$46)*(74&lt;Projects!$C$17:$C$46+Projects!$D$17:$D$46)*Projects!$B$17:$B$46*Assumptions!$B$11/Projects!$D$17:$D$46*0.95)+SUMPRODUCT((Projects!$G$17:$G$46="Yes")*(74=Projects!$C$17:$C$46+Projects!$D$17:$D$46-1)*Projects!$B$17:$B$46*Assumptions!$B$11*0.05)+SUMPRODUCT((Projects!$G$17:$G$46="Yes")*(74&gt;=Projects!$C$17:$C$46)*(74&lt;Projects!$C$17:$C$46+Projects!$D$17:$D$46)*Projects!$B$17:$B$46*Assumptions!$B$12/Projects!$D$17:$D$46*0.95)+SUMPRODUCT((Projects!$G$17:$G$46="Yes")*(74=Projects!$C$17:$C$46+Projects!$D$17:$D$46-1)*Projects!$B$17:$B$46*Assumptions!$B$12*0.05)</f>
        <v>578341.5</v>
      </c>
      <c r="CB97" s="313" t="n">
        <f aca="false">CB96+SUMPRODUCT((Projects!$G$17:$G$46="Yes")*(75&gt;=Projects!$C$17:$C$46)*(75&lt;Projects!$C$17:$C$46+Projects!$D$17:$D$46)*Projects!$B$17:$B$46*Assumptions!$B$10/Projects!$D$17:$D$46*0.95)+SUMPRODUCT((Projects!$G$17:$G$46="Yes")*(75=Projects!$C$17:$C$46+Projects!$D$17:$D$46-1)*Projects!$B$17:$B$46*Assumptions!$B$10*0.05)+SUMPRODUCT((Projects!$G$17:$G$46="Yes")*(75&gt;=Projects!$C$17:$C$46)*(75&lt;Projects!$C$17:$C$46+Projects!$D$17:$D$46)*Projects!$B$17:$B$46*Assumptions!$B$11/Projects!$D$17:$D$46*0.95)+SUMPRODUCT((Projects!$G$17:$G$46="Yes")*(75=Projects!$C$17:$C$46+Projects!$D$17:$D$46-1)*Projects!$B$17:$B$46*Assumptions!$B$11*0.05)+SUMPRODUCT((Projects!$G$17:$G$46="Yes")*(75&gt;=Projects!$C$17:$C$46)*(75&lt;Projects!$C$17:$C$46+Projects!$D$17:$D$46)*Projects!$B$17:$B$46*Assumptions!$B$12/Projects!$D$17:$D$46*0.95)+SUMPRODUCT((Projects!$G$17:$G$46="Yes")*(75=Projects!$C$17:$C$46+Projects!$D$17:$D$46-1)*Projects!$B$17:$B$46*Assumptions!$B$12*0.05)</f>
        <v>0</v>
      </c>
      <c r="CC97" s="313" t="n">
        <f aca="false">CC96+SUMPRODUCT((Projects!$G$17:$G$46="Yes")*(76&gt;=Projects!$C$17:$C$46)*(76&lt;Projects!$C$17:$C$46+Projects!$D$17:$D$46)*Projects!$B$17:$B$46*Assumptions!$B$10/Projects!$D$17:$D$46*0.95)+SUMPRODUCT((Projects!$G$17:$G$46="Yes")*(76=Projects!$C$17:$C$46+Projects!$D$17:$D$46-1)*Projects!$B$17:$B$46*Assumptions!$B$10*0.05)+SUMPRODUCT((Projects!$G$17:$G$46="Yes")*(76&gt;=Projects!$C$17:$C$46)*(76&lt;Projects!$C$17:$C$46+Projects!$D$17:$D$46)*Projects!$B$17:$B$46*Assumptions!$B$11/Projects!$D$17:$D$46*0.95)+SUMPRODUCT((Projects!$G$17:$G$46="Yes")*(76=Projects!$C$17:$C$46+Projects!$D$17:$D$46-1)*Projects!$B$17:$B$46*Assumptions!$B$11*0.05)+SUMPRODUCT((Projects!$G$17:$G$46="Yes")*(76&gt;=Projects!$C$17:$C$46)*(76&lt;Projects!$C$17:$C$46+Projects!$D$17:$D$46)*Projects!$B$17:$B$46*Assumptions!$B$12/Projects!$D$17:$D$46*0.95)+SUMPRODUCT((Projects!$G$17:$G$46="Yes")*(76=Projects!$C$17:$C$46+Projects!$D$17:$D$46-1)*Projects!$B$17:$B$46*Assumptions!$B$12*0.05)</f>
        <v>0</v>
      </c>
      <c r="CD97" s="313" t="n">
        <f aca="false">CD96+SUMPRODUCT((Projects!$G$17:$G$46="Yes")*(77&gt;=Projects!$C$17:$C$46)*(77&lt;Projects!$C$17:$C$46+Projects!$D$17:$D$46)*Projects!$B$17:$B$46*Assumptions!$B$10/Projects!$D$17:$D$46*0.95)+SUMPRODUCT((Projects!$G$17:$G$46="Yes")*(77=Projects!$C$17:$C$46+Projects!$D$17:$D$46-1)*Projects!$B$17:$B$46*Assumptions!$B$10*0.05)+SUMPRODUCT((Projects!$G$17:$G$46="Yes")*(77&gt;=Projects!$C$17:$C$46)*(77&lt;Projects!$C$17:$C$46+Projects!$D$17:$D$46)*Projects!$B$17:$B$46*Assumptions!$B$11/Projects!$D$17:$D$46*0.95)+SUMPRODUCT((Projects!$G$17:$G$46="Yes")*(77=Projects!$C$17:$C$46+Projects!$D$17:$D$46-1)*Projects!$B$17:$B$46*Assumptions!$B$11*0.05)+SUMPRODUCT((Projects!$G$17:$G$46="Yes")*(77&gt;=Projects!$C$17:$C$46)*(77&lt;Projects!$C$17:$C$46+Projects!$D$17:$D$46)*Projects!$B$17:$B$46*Assumptions!$B$12/Projects!$D$17:$D$46*0.95)+SUMPRODUCT((Projects!$G$17:$G$46="Yes")*(77=Projects!$C$17:$C$46+Projects!$D$17:$D$46-1)*Projects!$B$17:$B$46*Assumptions!$B$12*0.05)</f>
        <v>0</v>
      </c>
      <c r="CE97" s="313" t="n">
        <f aca="false">CE96+SUMPRODUCT((Projects!$G$17:$G$46="Yes")*(78&gt;=Projects!$C$17:$C$46)*(78&lt;Projects!$C$17:$C$46+Projects!$D$17:$D$46)*Projects!$B$17:$B$46*Assumptions!$B$10/Projects!$D$17:$D$46*0.95)+SUMPRODUCT((Projects!$G$17:$G$46="Yes")*(78=Projects!$C$17:$C$46+Projects!$D$17:$D$46-1)*Projects!$B$17:$B$46*Assumptions!$B$10*0.05)+SUMPRODUCT((Projects!$G$17:$G$46="Yes")*(78&gt;=Projects!$C$17:$C$46)*(78&lt;Projects!$C$17:$C$46+Projects!$D$17:$D$46)*Projects!$B$17:$B$46*Assumptions!$B$11/Projects!$D$17:$D$46*0.95)+SUMPRODUCT((Projects!$G$17:$G$46="Yes")*(78=Projects!$C$17:$C$46+Projects!$D$17:$D$46-1)*Projects!$B$17:$B$46*Assumptions!$B$11*0.05)+SUMPRODUCT((Projects!$G$17:$G$46="Yes")*(78&gt;=Projects!$C$17:$C$46)*(78&lt;Projects!$C$17:$C$46+Projects!$D$17:$D$46)*Projects!$B$17:$B$46*Assumptions!$B$12/Projects!$D$17:$D$46*0.95)+SUMPRODUCT((Projects!$G$17:$G$46="Yes")*(78=Projects!$C$17:$C$46+Projects!$D$17:$D$46-1)*Projects!$B$17:$B$46*Assumptions!$B$12*0.05)</f>
        <v>0</v>
      </c>
      <c r="CF97" s="313" t="n">
        <f aca="false">CF96+SUMPRODUCT((Projects!$G$17:$G$46="Yes")*(79&gt;=Projects!$C$17:$C$46)*(79&lt;Projects!$C$17:$C$46+Projects!$D$17:$D$46)*Projects!$B$17:$B$46*Assumptions!$B$10/Projects!$D$17:$D$46*0.95)+SUMPRODUCT((Projects!$G$17:$G$46="Yes")*(79=Projects!$C$17:$C$46+Projects!$D$17:$D$46-1)*Projects!$B$17:$B$46*Assumptions!$B$10*0.05)+SUMPRODUCT((Projects!$G$17:$G$46="Yes")*(79&gt;=Projects!$C$17:$C$46)*(79&lt;Projects!$C$17:$C$46+Projects!$D$17:$D$46)*Projects!$B$17:$B$46*Assumptions!$B$11/Projects!$D$17:$D$46*0.95)+SUMPRODUCT((Projects!$G$17:$G$46="Yes")*(79=Projects!$C$17:$C$46+Projects!$D$17:$D$46-1)*Projects!$B$17:$B$46*Assumptions!$B$11*0.05)+SUMPRODUCT((Projects!$G$17:$G$46="Yes")*(79&gt;=Projects!$C$17:$C$46)*(79&lt;Projects!$C$17:$C$46+Projects!$D$17:$D$46)*Projects!$B$17:$B$46*Assumptions!$B$12/Projects!$D$17:$D$46*0.95)+SUMPRODUCT((Projects!$G$17:$G$46="Yes")*(79=Projects!$C$17:$C$46+Projects!$D$17:$D$46-1)*Projects!$B$17:$B$46*Assumptions!$B$12*0.05)</f>
        <v>0</v>
      </c>
      <c r="CG97" s="313" t="n">
        <f aca="false">CG96+SUMPRODUCT((Projects!$G$17:$G$46="Yes")*(80&gt;=Projects!$C$17:$C$46)*(80&lt;Projects!$C$17:$C$46+Projects!$D$17:$D$46)*Projects!$B$17:$B$46*Assumptions!$B$10/Projects!$D$17:$D$46*0.95)+SUMPRODUCT((Projects!$G$17:$G$46="Yes")*(80=Projects!$C$17:$C$46+Projects!$D$17:$D$46-1)*Projects!$B$17:$B$46*Assumptions!$B$10*0.05)+SUMPRODUCT((Projects!$G$17:$G$46="Yes")*(80&gt;=Projects!$C$17:$C$46)*(80&lt;Projects!$C$17:$C$46+Projects!$D$17:$D$46)*Projects!$B$17:$B$46*Assumptions!$B$11/Projects!$D$17:$D$46*0.95)+SUMPRODUCT((Projects!$G$17:$G$46="Yes")*(80=Projects!$C$17:$C$46+Projects!$D$17:$D$46-1)*Projects!$B$17:$B$46*Assumptions!$B$11*0.05)+SUMPRODUCT((Projects!$G$17:$G$46="Yes")*(80&gt;=Projects!$C$17:$C$46)*(80&lt;Projects!$C$17:$C$46+Projects!$D$17:$D$46)*Projects!$B$17:$B$46*Assumptions!$B$12/Projects!$D$17:$D$46*0.95)+SUMPRODUCT((Projects!$G$17:$G$46="Yes")*(80=Projects!$C$17:$C$46+Projects!$D$17:$D$46-1)*Projects!$B$17:$B$46*Assumptions!$B$12*0.05)</f>
        <v>0</v>
      </c>
      <c r="CH97" s="313" t="n">
        <f aca="false">CH96+SUMPRODUCT((Projects!$G$17:$G$46="Yes")*(81&gt;=Projects!$C$17:$C$46)*(81&lt;Projects!$C$17:$C$46+Projects!$D$17:$D$46)*Projects!$B$17:$B$46*Assumptions!$B$10/Projects!$D$17:$D$46*0.95)+SUMPRODUCT((Projects!$G$17:$G$46="Yes")*(81=Projects!$C$17:$C$46+Projects!$D$17:$D$46-1)*Projects!$B$17:$B$46*Assumptions!$B$10*0.05)+SUMPRODUCT((Projects!$G$17:$G$46="Yes")*(81&gt;=Projects!$C$17:$C$46)*(81&lt;Projects!$C$17:$C$46+Projects!$D$17:$D$46)*Projects!$B$17:$B$46*Assumptions!$B$11/Projects!$D$17:$D$46*0.95)+SUMPRODUCT((Projects!$G$17:$G$46="Yes")*(81=Projects!$C$17:$C$46+Projects!$D$17:$D$46-1)*Projects!$B$17:$B$46*Assumptions!$B$11*0.05)+SUMPRODUCT((Projects!$G$17:$G$46="Yes")*(81&gt;=Projects!$C$17:$C$46)*(81&lt;Projects!$C$17:$C$46+Projects!$D$17:$D$46)*Projects!$B$17:$B$46*Assumptions!$B$12/Projects!$D$17:$D$46*0.95)+SUMPRODUCT((Projects!$G$17:$G$46="Yes")*(81=Projects!$C$17:$C$46+Projects!$D$17:$D$46-1)*Projects!$B$17:$B$46*Assumptions!$B$12*0.05)</f>
        <v>0</v>
      </c>
      <c r="CI97" s="313" t="n">
        <f aca="false">CI96+SUMPRODUCT((Projects!$G$17:$G$46="Yes")*(82&gt;=Projects!$C$17:$C$46)*(82&lt;Projects!$C$17:$C$46+Projects!$D$17:$D$46)*Projects!$B$17:$B$46*Assumptions!$B$10/Projects!$D$17:$D$46*0.95)+SUMPRODUCT((Projects!$G$17:$G$46="Yes")*(82=Projects!$C$17:$C$46+Projects!$D$17:$D$46-1)*Projects!$B$17:$B$46*Assumptions!$B$10*0.05)+SUMPRODUCT((Projects!$G$17:$G$46="Yes")*(82&gt;=Projects!$C$17:$C$46)*(82&lt;Projects!$C$17:$C$46+Projects!$D$17:$D$46)*Projects!$B$17:$B$46*Assumptions!$B$11/Projects!$D$17:$D$46*0.95)+SUMPRODUCT((Projects!$G$17:$G$46="Yes")*(82=Projects!$C$17:$C$46+Projects!$D$17:$D$46-1)*Projects!$B$17:$B$46*Assumptions!$B$11*0.05)+SUMPRODUCT((Projects!$G$17:$G$46="Yes")*(82&gt;=Projects!$C$17:$C$46)*(82&lt;Projects!$C$17:$C$46+Projects!$D$17:$D$46)*Projects!$B$17:$B$46*Assumptions!$B$12/Projects!$D$17:$D$46*0.95)+SUMPRODUCT((Projects!$G$17:$G$46="Yes")*(82=Projects!$C$17:$C$46+Projects!$D$17:$D$46-1)*Projects!$B$17:$B$46*Assumptions!$B$12*0.05)</f>
        <v>0</v>
      </c>
      <c r="CJ97" s="313" t="n">
        <f aca="false">CJ96+SUMPRODUCT((Projects!$G$17:$G$46="Yes")*(83&gt;=Projects!$C$17:$C$46)*(83&lt;Projects!$C$17:$C$46+Projects!$D$17:$D$46)*Projects!$B$17:$B$46*Assumptions!$B$10/Projects!$D$17:$D$46*0.95)+SUMPRODUCT((Projects!$G$17:$G$46="Yes")*(83=Projects!$C$17:$C$46+Projects!$D$17:$D$46-1)*Projects!$B$17:$B$46*Assumptions!$B$10*0.05)+SUMPRODUCT((Projects!$G$17:$G$46="Yes")*(83&gt;=Projects!$C$17:$C$46)*(83&lt;Projects!$C$17:$C$46+Projects!$D$17:$D$46)*Projects!$B$17:$B$46*Assumptions!$B$11/Projects!$D$17:$D$46*0.95)+SUMPRODUCT((Projects!$G$17:$G$46="Yes")*(83=Projects!$C$17:$C$46+Projects!$D$17:$D$46-1)*Projects!$B$17:$B$46*Assumptions!$B$11*0.05)+SUMPRODUCT((Projects!$G$17:$G$46="Yes")*(83&gt;=Projects!$C$17:$C$46)*(83&lt;Projects!$C$17:$C$46+Projects!$D$17:$D$46)*Projects!$B$17:$B$46*Assumptions!$B$12/Projects!$D$17:$D$46*0.95)+SUMPRODUCT((Projects!$G$17:$G$46="Yes")*(83=Projects!$C$17:$C$46+Projects!$D$17:$D$46-1)*Projects!$B$17:$B$46*Assumptions!$B$12*0.05)</f>
        <v>0</v>
      </c>
      <c r="CK97" s="313" t="n">
        <f aca="false">CK96+SUMPRODUCT((Projects!$G$17:$G$46="Yes")*(84&gt;=Projects!$C$17:$C$46)*(84&lt;Projects!$C$17:$C$46+Projects!$D$17:$D$46)*Projects!$B$17:$B$46*Assumptions!$B$10/Projects!$D$17:$D$46*0.95)+SUMPRODUCT((Projects!$G$17:$G$46="Yes")*(84=Projects!$C$17:$C$46+Projects!$D$17:$D$46-1)*Projects!$B$17:$B$46*Assumptions!$B$10*0.05)+SUMPRODUCT((Projects!$G$17:$G$46="Yes")*(84&gt;=Projects!$C$17:$C$46)*(84&lt;Projects!$C$17:$C$46+Projects!$D$17:$D$46)*Projects!$B$17:$B$46*Assumptions!$B$11/Projects!$D$17:$D$46*0.95)+SUMPRODUCT((Projects!$G$17:$G$46="Yes")*(84=Projects!$C$17:$C$46+Projects!$D$17:$D$46-1)*Projects!$B$17:$B$46*Assumptions!$B$11*0.05)+SUMPRODUCT((Projects!$G$17:$G$46="Yes")*(84&gt;=Projects!$C$17:$C$46)*(84&lt;Projects!$C$17:$C$46+Projects!$D$17:$D$46)*Projects!$B$17:$B$46*Assumptions!$B$12/Projects!$D$17:$D$46*0.95)+SUMPRODUCT((Projects!$G$17:$G$46="Yes")*(84=Projects!$C$17:$C$46+Projects!$D$17:$D$46-1)*Projects!$B$17:$B$46*Assumptions!$B$12*0.05)</f>
        <v>0</v>
      </c>
      <c r="CL97" s="313" t="n">
        <f aca="false">CL96+SUMPRODUCT((Projects!$G$17:$G$46="Yes")*(85&gt;=Projects!$C$17:$C$46)*(85&lt;Projects!$C$17:$C$46+Projects!$D$17:$D$46)*Projects!$B$17:$B$46*Assumptions!$B$10/Projects!$D$17:$D$46*0.95)+SUMPRODUCT((Projects!$G$17:$G$46="Yes")*(85=Projects!$C$17:$C$46+Projects!$D$17:$D$46-1)*Projects!$B$17:$B$46*Assumptions!$B$10*0.05)+SUMPRODUCT((Projects!$G$17:$G$46="Yes")*(85&gt;=Projects!$C$17:$C$46)*(85&lt;Projects!$C$17:$C$46+Projects!$D$17:$D$46)*Projects!$B$17:$B$46*Assumptions!$B$11/Projects!$D$17:$D$46*0.95)+SUMPRODUCT((Projects!$G$17:$G$46="Yes")*(85=Projects!$C$17:$C$46+Projects!$D$17:$D$46-1)*Projects!$B$17:$B$46*Assumptions!$B$11*0.05)+SUMPRODUCT((Projects!$G$17:$G$46="Yes")*(85&gt;=Projects!$C$17:$C$46)*(85&lt;Projects!$C$17:$C$46+Projects!$D$17:$D$46)*Projects!$B$17:$B$46*Assumptions!$B$12/Projects!$D$17:$D$46*0.95)+SUMPRODUCT((Projects!$G$17:$G$46="Yes")*(85=Projects!$C$17:$C$46+Projects!$D$17:$D$46-1)*Projects!$B$17:$B$46*Assumptions!$B$12*0.05)</f>
        <v>0</v>
      </c>
      <c r="CM97" s="313" t="n">
        <f aca="false">CM96+SUMPRODUCT((Projects!$G$17:$G$46="Yes")*(86&gt;=Projects!$C$17:$C$46)*(86&lt;Projects!$C$17:$C$46+Projects!$D$17:$D$46)*Projects!$B$17:$B$46*Assumptions!$B$10/Projects!$D$17:$D$46*0.95)+SUMPRODUCT((Projects!$G$17:$G$46="Yes")*(86=Projects!$C$17:$C$46+Projects!$D$17:$D$46-1)*Projects!$B$17:$B$46*Assumptions!$B$10*0.05)+SUMPRODUCT((Projects!$G$17:$G$46="Yes")*(86&gt;=Projects!$C$17:$C$46)*(86&lt;Projects!$C$17:$C$46+Projects!$D$17:$D$46)*Projects!$B$17:$B$46*Assumptions!$B$11/Projects!$D$17:$D$46*0.95)+SUMPRODUCT((Projects!$G$17:$G$46="Yes")*(86=Projects!$C$17:$C$46+Projects!$D$17:$D$46-1)*Projects!$B$17:$B$46*Assumptions!$B$11*0.05)+SUMPRODUCT((Projects!$G$17:$G$46="Yes")*(86&gt;=Projects!$C$17:$C$46)*(86&lt;Projects!$C$17:$C$46+Projects!$D$17:$D$46)*Projects!$B$17:$B$46*Assumptions!$B$12/Projects!$D$17:$D$46*0.95)+SUMPRODUCT((Projects!$G$17:$G$46="Yes")*(86=Projects!$C$17:$C$46+Projects!$D$17:$D$46-1)*Projects!$B$17:$B$46*Assumptions!$B$12*0.05)</f>
        <v>0</v>
      </c>
      <c r="CN97" s="313" t="n">
        <f aca="false">CN96+SUMPRODUCT((Projects!$G$17:$G$46="Yes")*(87&gt;=Projects!$C$17:$C$46)*(87&lt;Projects!$C$17:$C$46+Projects!$D$17:$D$46)*Projects!$B$17:$B$46*Assumptions!$B$10/Projects!$D$17:$D$46*0.95)+SUMPRODUCT((Projects!$G$17:$G$46="Yes")*(87=Projects!$C$17:$C$46+Projects!$D$17:$D$46-1)*Projects!$B$17:$B$46*Assumptions!$B$10*0.05)+SUMPRODUCT((Projects!$G$17:$G$46="Yes")*(87&gt;=Projects!$C$17:$C$46)*(87&lt;Projects!$C$17:$C$46+Projects!$D$17:$D$46)*Projects!$B$17:$B$46*Assumptions!$B$11/Projects!$D$17:$D$46*0.95)+SUMPRODUCT((Projects!$G$17:$G$46="Yes")*(87=Projects!$C$17:$C$46+Projects!$D$17:$D$46-1)*Projects!$B$17:$B$46*Assumptions!$B$11*0.05)+SUMPRODUCT((Projects!$G$17:$G$46="Yes")*(87&gt;=Projects!$C$17:$C$46)*(87&lt;Projects!$C$17:$C$46+Projects!$D$17:$D$46)*Projects!$B$17:$B$46*Assumptions!$B$12/Projects!$D$17:$D$46*0.95)+SUMPRODUCT((Projects!$G$17:$G$46="Yes")*(87=Projects!$C$17:$C$46+Projects!$D$17:$D$46-1)*Projects!$B$17:$B$46*Assumptions!$B$12*0.05)</f>
        <v>0</v>
      </c>
      <c r="CO97" s="313" t="n">
        <f aca="false">CO96+SUMPRODUCT((Projects!$G$17:$G$46="Yes")*(88&gt;=Projects!$C$17:$C$46)*(88&lt;Projects!$C$17:$C$46+Projects!$D$17:$D$46)*Projects!$B$17:$B$46*Assumptions!$B$10/Projects!$D$17:$D$46*0.95)+SUMPRODUCT((Projects!$G$17:$G$46="Yes")*(88=Projects!$C$17:$C$46+Projects!$D$17:$D$46-1)*Projects!$B$17:$B$46*Assumptions!$B$10*0.05)+SUMPRODUCT((Projects!$G$17:$G$46="Yes")*(88&gt;=Projects!$C$17:$C$46)*(88&lt;Projects!$C$17:$C$46+Projects!$D$17:$D$46)*Projects!$B$17:$B$46*Assumptions!$B$11/Projects!$D$17:$D$46*0.95)+SUMPRODUCT((Projects!$G$17:$G$46="Yes")*(88=Projects!$C$17:$C$46+Projects!$D$17:$D$46-1)*Projects!$B$17:$B$46*Assumptions!$B$11*0.05)+SUMPRODUCT((Projects!$G$17:$G$46="Yes")*(88&gt;=Projects!$C$17:$C$46)*(88&lt;Projects!$C$17:$C$46+Projects!$D$17:$D$46)*Projects!$B$17:$B$46*Assumptions!$B$12/Projects!$D$17:$D$46*0.95)+SUMPRODUCT((Projects!$G$17:$G$46="Yes")*(88=Projects!$C$17:$C$46+Projects!$D$17:$D$46-1)*Projects!$B$17:$B$46*Assumptions!$B$12*0.05)</f>
        <v>0</v>
      </c>
      <c r="CP97" s="313" t="n">
        <f aca="false">CP96+SUMPRODUCT((Projects!$G$17:$G$46="Yes")*(89&gt;=Projects!$C$17:$C$46)*(89&lt;Projects!$C$17:$C$46+Projects!$D$17:$D$46)*Projects!$B$17:$B$46*Assumptions!$B$10/Projects!$D$17:$D$46*0.95)+SUMPRODUCT((Projects!$G$17:$G$46="Yes")*(89=Projects!$C$17:$C$46+Projects!$D$17:$D$46-1)*Projects!$B$17:$B$46*Assumptions!$B$10*0.05)+SUMPRODUCT((Projects!$G$17:$G$46="Yes")*(89&gt;=Projects!$C$17:$C$46)*(89&lt;Projects!$C$17:$C$46+Projects!$D$17:$D$46)*Projects!$B$17:$B$46*Assumptions!$B$11/Projects!$D$17:$D$46*0.95)+SUMPRODUCT((Projects!$G$17:$G$46="Yes")*(89=Projects!$C$17:$C$46+Projects!$D$17:$D$46-1)*Projects!$B$17:$B$46*Assumptions!$B$11*0.05)+SUMPRODUCT((Projects!$G$17:$G$46="Yes")*(89&gt;=Projects!$C$17:$C$46)*(89&lt;Projects!$C$17:$C$46+Projects!$D$17:$D$46)*Projects!$B$17:$B$46*Assumptions!$B$12/Projects!$D$17:$D$46*0.95)+SUMPRODUCT((Projects!$G$17:$G$46="Yes")*(89=Projects!$C$17:$C$46+Projects!$D$17:$D$46-1)*Projects!$B$17:$B$46*Assumptions!$B$12*0.05)</f>
        <v>0</v>
      </c>
      <c r="CQ97" s="313" t="n">
        <f aca="false">CQ96+SUMPRODUCT((Projects!$G$17:$G$46="Yes")*(90&gt;=Projects!$C$17:$C$46)*(90&lt;Projects!$C$17:$C$46+Projects!$D$17:$D$46)*Projects!$B$17:$B$46*Assumptions!$B$10/Projects!$D$17:$D$46*0.95)+SUMPRODUCT((Projects!$G$17:$G$46="Yes")*(90=Projects!$C$17:$C$46+Projects!$D$17:$D$46-1)*Projects!$B$17:$B$46*Assumptions!$B$10*0.05)+SUMPRODUCT((Projects!$G$17:$G$46="Yes")*(90&gt;=Projects!$C$17:$C$46)*(90&lt;Projects!$C$17:$C$46+Projects!$D$17:$D$46)*Projects!$B$17:$B$46*Assumptions!$B$11/Projects!$D$17:$D$46*0.95)+SUMPRODUCT((Projects!$G$17:$G$46="Yes")*(90=Projects!$C$17:$C$46+Projects!$D$17:$D$46-1)*Projects!$B$17:$B$46*Assumptions!$B$11*0.05)+SUMPRODUCT((Projects!$G$17:$G$46="Yes")*(90&gt;=Projects!$C$17:$C$46)*(90&lt;Projects!$C$17:$C$46+Projects!$D$17:$D$46)*Projects!$B$17:$B$46*Assumptions!$B$12/Projects!$D$17:$D$46*0.95)+SUMPRODUCT((Projects!$G$17:$G$46="Yes")*(90=Projects!$C$17:$C$46+Projects!$D$17:$D$46-1)*Projects!$B$17:$B$46*Assumptions!$B$12*0.05)</f>
        <v>0</v>
      </c>
      <c r="CR97" s="313" t="n">
        <f aca="false">CR96+SUMPRODUCT((Projects!$G$17:$G$46="Yes")*(91&gt;=Projects!$C$17:$C$46)*(91&lt;Projects!$C$17:$C$46+Projects!$D$17:$D$46)*Projects!$B$17:$B$46*Assumptions!$B$10/Projects!$D$17:$D$46*0.95)+SUMPRODUCT((Projects!$G$17:$G$46="Yes")*(91=Projects!$C$17:$C$46+Projects!$D$17:$D$46-1)*Projects!$B$17:$B$46*Assumptions!$B$10*0.05)+SUMPRODUCT((Projects!$G$17:$G$46="Yes")*(91&gt;=Projects!$C$17:$C$46)*(91&lt;Projects!$C$17:$C$46+Projects!$D$17:$D$46)*Projects!$B$17:$B$46*Assumptions!$B$11/Projects!$D$17:$D$46*0.95)+SUMPRODUCT((Projects!$G$17:$G$46="Yes")*(91=Projects!$C$17:$C$46+Projects!$D$17:$D$46-1)*Projects!$B$17:$B$46*Assumptions!$B$11*0.05)+SUMPRODUCT((Projects!$G$17:$G$46="Yes")*(91&gt;=Projects!$C$17:$C$46)*(91&lt;Projects!$C$17:$C$46+Projects!$D$17:$D$46)*Projects!$B$17:$B$46*Assumptions!$B$12/Projects!$D$17:$D$46*0.95)+SUMPRODUCT((Projects!$G$17:$G$46="Yes")*(91=Projects!$C$17:$C$46+Projects!$D$17:$D$46-1)*Projects!$B$17:$B$46*Assumptions!$B$12*0.05)</f>
        <v>0</v>
      </c>
      <c r="CS97" s="313" t="n">
        <f aca="false">CS96+SUMPRODUCT((Projects!$G$17:$G$46="Yes")*(92&gt;=Projects!$C$17:$C$46)*(92&lt;Projects!$C$17:$C$46+Projects!$D$17:$D$46)*Projects!$B$17:$B$46*Assumptions!$B$10/Projects!$D$17:$D$46*0.95)+SUMPRODUCT((Projects!$G$17:$G$46="Yes")*(92=Projects!$C$17:$C$46+Projects!$D$17:$D$46-1)*Projects!$B$17:$B$46*Assumptions!$B$10*0.05)+SUMPRODUCT((Projects!$G$17:$G$46="Yes")*(92&gt;=Projects!$C$17:$C$46)*(92&lt;Projects!$C$17:$C$46+Projects!$D$17:$D$46)*Projects!$B$17:$B$46*Assumptions!$B$11/Projects!$D$17:$D$46*0.95)+SUMPRODUCT((Projects!$G$17:$G$46="Yes")*(92=Projects!$C$17:$C$46+Projects!$D$17:$D$46-1)*Projects!$B$17:$B$46*Assumptions!$B$11*0.05)+SUMPRODUCT((Projects!$G$17:$G$46="Yes")*(92&gt;=Projects!$C$17:$C$46)*(92&lt;Projects!$C$17:$C$46+Projects!$D$17:$D$46)*Projects!$B$17:$B$46*Assumptions!$B$12/Projects!$D$17:$D$46*0.95)+SUMPRODUCT((Projects!$G$17:$G$46="Yes")*(92=Projects!$C$17:$C$46+Projects!$D$17:$D$46-1)*Projects!$B$17:$B$46*Assumptions!$B$12*0.05)</f>
        <v>0</v>
      </c>
      <c r="CT97" s="313" t="n">
        <f aca="false">CT96+SUMPRODUCT((Projects!$G$17:$G$46="Yes")*(93&gt;=Projects!$C$17:$C$46)*(93&lt;Projects!$C$17:$C$46+Projects!$D$17:$D$46)*Projects!$B$17:$B$46*Assumptions!$B$10/Projects!$D$17:$D$46*0.95)+SUMPRODUCT((Projects!$G$17:$G$46="Yes")*(93=Projects!$C$17:$C$46+Projects!$D$17:$D$46-1)*Projects!$B$17:$B$46*Assumptions!$B$10*0.05)+SUMPRODUCT((Projects!$G$17:$G$46="Yes")*(93&gt;=Projects!$C$17:$C$46)*(93&lt;Projects!$C$17:$C$46+Projects!$D$17:$D$46)*Projects!$B$17:$B$46*Assumptions!$B$11/Projects!$D$17:$D$46*0.95)+SUMPRODUCT((Projects!$G$17:$G$46="Yes")*(93=Projects!$C$17:$C$46+Projects!$D$17:$D$46-1)*Projects!$B$17:$B$46*Assumptions!$B$11*0.05)+SUMPRODUCT((Projects!$G$17:$G$46="Yes")*(93&gt;=Projects!$C$17:$C$46)*(93&lt;Projects!$C$17:$C$46+Projects!$D$17:$D$46)*Projects!$B$17:$B$46*Assumptions!$B$12/Projects!$D$17:$D$46*0.95)+SUMPRODUCT((Projects!$G$17:$G$46="Yes")*(93=Projects!$C$17:$C$46+Projects!$D$17:$D$46-1)*Projects!$B$17:$B$46*Assumptions!$B$12*0.05)</f>
        <v>0</v>
      </c>
      <c r="CU97" s="313" t="n">
        <f aca="false">CU96+SUMPRODUCT((Projects!$G$17:$G$46="Yes")*(94&gt;=Projects!$C$17:$C$46)*(94&lt;Projects!$C$17:$C$46+Projects!$D$17:$D$46)*Projects!$B$17:$B$46*Assumptions!$B$10/Projects!$D$17:$D$46*0.95)+SUMPRODUCT((Projects!$G$17:$G$46="Yes")*(94=Projects!$C$17:$C$46+Projects!$D$17:$D$46-1)*Projects!$B$17:$B$46*Assumptions!$B$10*0.05)+SUMPRODUCT((Projects!$G$17:$G$46="Yes")*(94&gt;=Projects!$C$17:$C$46)*(94&lt;Projects!$C$17:$C$46+Projects!$D$17:$D$46)*Projects!$B$17:$B$46*Assumptions!$B$11/Projects!$D$17:$D$46*0.95)+SUMPRODUCT((Projects!$G$17:$G$46="Yes")*(94=Projects!$C$17:$C$46+Projects!$D$17:$D$46-1)*Projects!$B$17:$B$46*Assumptions!$B$11*0.05)+SUMPRODUCT((Projects!$G$17:$G$46="Yes")*(94&gt;=Projects!$C$17:$C$46)*(94&lt;Projects!$C$17:$C$46+Projects!$D$17:$D$46)*Projects!$B$17:$B$46*Assumptions!$B$12/Projects!$D$17:$D$46*0.95)+SUMPRODUCT((Projects!$G$17:$G$46="Yes")*(94=Projects!$C$17:$C$46+Projects!$D$17:$D$46-1)*Projects!$B$17:$B$46*Assumptions!$B$12*0.05)</f>
        <v>0</v>
      </c>
      <c r="CV97" s="313" t="n">
        <f aca="false">CV96+SUMPRODUCT((Projects!$G$17:$G$46="Yes")*(95&gt;=Projects!$C$17:$C$46)*(95&lt;Projects!$C$17:$C$46+Projects!$D$17:$D$46)*Projects!$B$17:$B$46*Assumptions!$B$10/Projects!$D$17:$D$46*0.95)+SUMPRODUCT((Projects!$G$17:$G$46="Yes")*(95=Projects!$C$17:$C$46+Projects!$D$17:$D$46-1)*Projects!$B$17:$B$46*Assumptions!$B$10*0.05)+SUMPRODUCT((Projects!$G$17:$G$46="Yes")*(95&gt;=Projects!$C$17:$C$46)*(95&lt;Projects!$C$17:$C$46+Projects!$D$17:$D$46)*Projects!$B$17:$B$46*Assumptions!$B$11/Projects!$D$17:$D$46*0.95)+SUMPRODUCT((Projects!$G$17:$G$46="Yes")*(95=Projects!$C$17:$C$46+Projects!$D$17:$D$46-1)*Projects!$B$17:$B$46*Assumptions!$B$11*0.05)+SUMPRODUCT((Projects!$G$17:$G$46="Yes")*(95&gt;=Projects!$C$17:$C$46)*(95&lt;Projects!$C$17:$C$46+Projects!$D$17:$D$46)*Projects!$B$17:$B$46*Assumptions!$B$12/Projects!$D$17:$D$46*0.95)+SUMPRODUCT((Projects!$G$17:$G$46="Yes")*(95=Projects!$C$17:$C$46+Projects!$D$17:$D$46-1)*Projects!$B$17:$B$46*Assumptions!$B$12*0.05)</f>
        <v>0</v>
      </c>
      <c r="CW97" s="313" t="n">
        <f aca="false">CW96+SUMPRODUCT((Projects!$G$17:$G$46="Yes")*(96&gt;=Projects!$C$17:$C$46)*(96&lt;Projects!$C$17:$C$46+Projects!$D$17:$D$46)*Projects!$B$17:$B$46*Assumptions!$B$10/Projects!$D$17:$D$46*0.95)+SUMPRODUCT((Projects!$G$17:$G$46="Yes")*(96=Projects!$C$17:$C$46+Projects!$D$17:$D$46-1)*Projects!$B$17:$B$46*Assumptions!$B$10*0.05)+SUMPRODUCT((Projects!$G$17:$G$46="Yes")*(96&gt;=Projects!$C$17:$C$46)*(96&lt;Projects!$C$17:$C$46+Projects!$D$17:$D$46)*Projects!$B$17:$B$46*Assumptions!$B$11/Projects!$D$17:$D$46*0.95)+SUMPRODUCT((Projects!$G$17:$G$46="Yes")*(96=Projects!$C$17:$C$46+Projects!$D$17:$D$46-1)*Projects!$B$17:$B$46*Assumptions!$B$11*0.05)+SUMPRODUCT((Projects!$G$17:$G$46="Yes")*(96&gt;=Projects!$C$17:$C$46)*(96&lt;Projects!$C$17:$C$46+Projects!$D$17:$D$46)*Projects!$B$17:$B$46*Assumptions!$B$12/Projects!$D$17:$D$46*0.95)+SUMPRODUCT((Projects!$G$17:$G$46="Yes")*(96=Projects!$C$17:$C$46+Projects!$D$17:$D$46-1)*Projects!$B$17:$B$46*Assumptions!$B$12*0.05)</f>
        <v>0</v>
      </c>
      <c r="CX97" s="313" t="n">
        <f aca="false">CX96+SUMPRODUCT((Projects!$G$17:$G$46="Yes")*(97&gt;=Projects!$C$17:$C$46)*(97&lt;Projects!$C$17:$C$46+Projects!$D$17:$D$46)*Projects!$B$17:$B$46*Assumptions!$B$10/Projects!$D$17:$D$46*0.95)+SUMPRODUCT((Projects!$G$17:$G$46="Yes")*(97=Projects!$C$17:$C$46+Projects!$D$17:$D$46-1)*Projects!$B$17:$B$46*Assumptions!$B$10*0.05)+SUMPRODUCT((Projects!$G$17:$G$46="Yes")*(97&gt;=Projects!$C$17:$C$46)*(97&lt;Projects!$C$17:$C$46+Projects!$D$17:$D$46)*Projects!$B$17:$B$46*Assumptions!$B$11/Projects!$D$17:$D$46*0.95)+SUMPRODUCT((Projects!$G$17:$G$46="Yes")*(97=Projects!$C$17:$C$46+Projects!$D$17:$D$46-1)*Projects!$B$17:$B$46*Assumptions!$B$11*0.05)+SUMPRODUCT((Projects!$G$17:$G$46="Yes")*(97&gt;=Projects!$C$17:$C$46)*(97&lt;Projects!$C$17:$C$46+Projects!$D$17:$D$46)*Projects!$B$17:$B$46*Assumptions!$B$12/Projects!$D$17:$D$46*0.95)+SUMPRODUCT((Projects!$G$17:$G$46="Yes")*(97=Projects!$C$17:$C$46+Projects!$D$17:$D$46-1)*Projects!$B$17:$B$46*Assumptions!$B$12*0.05)</f>
        <v>0</v>
      </c>
      <c r="CY97" s="313" t="n">
        <f aca="false">CY96+SUMPRODUCT((Projects!$G$17:$G$46="Yes")*(98&gt;=Projects!$C$17:$C$46)*(98&lt;Projects!$C$17:$C$46+Projects!$D$17:$D$46)*Projects!$B$17:$B$46*Assumptions!$B$10/Projects!$D$17:$D$46*0.95)+SUMPRODUCT((Projects!$G$17:$G$46="Yes")*(98=Projects!$C$17:$C$46+Projects!$D$17:$D$46-1)*Projects!$B$17:$B$46*Assumptions!$B$10*0.05)+SUMPRODUCT((Projects!$G$17:$G$46="Yes")*(98&gt;=Projects!$C$17:$C$46)*(98&lt;Projects!$C$17:$C$46+Projects!$D$17:$D$46)*Projects!$B$17:$B$46*Assumptions!$B$11/Projects!$D$17:$D$46*0.95)+SUMPRODUCT((Projects!$G$17:$G$46="Yes")*(98=Projects!$C$17:$C$46+Projects!$D$17:$D$46-1)*Projects!$B$17:$B$46*Assumptions!$B$11*0.05)+SUMPRODUCT((Projects!$G$17:$G$46="Yes")*(98&gt;=Projects!$C$17:$C$46)*(98&lt;Projects!$C$17:$C$46+Projects!$D$17:$D$46)*Projects!$B$17:$B$46*Assumptions!$B$12/Projects!$D$17:$D$46*0.95)+SUMPRODUCT((Projects!$G$17:$G$46="Yes")*(98=Projects!$C$17:$C$46+Projects!$D$17:$D$46-1)*Projects!$B$17:$B$46*Assumptions!$B$12*0.05)</f>
        <v>0</v>
      </c>
      <c r="CZ97" s="313" t="n">
        <f aca="false">CZ96+SUMPRODUCT((Projects!$G$17:$G$46="Yes")*(99&gt;=Projects!$C$17:$C$46)*(99&lt;Projects!$C$17:$C$46+Projects!$D$17:$D$46)*Projects!$B$17:$B$46*Assumptions!$B$10/Projects!$D$17:$D$46*0.95)+SUMPRODUCT((Projects!$G$17:$G$46="Yes")*(99=Projects!$C$17:$C$46+Projects!$D$17:$D$46-1)*Projects!$B$17:$B$46*Assumptions!$B$10*0.05)+SUMPRODUCT((Projects!$G$17:$G$46="Yes")*(99&gt;=Projects!$C$17:$C$46)*(99&lt;Projects!$C$17:$C$46+Projects!$D$17:$D$46)*Projects!$B$17:$B$46*Assumptions!$B$11/Projects!$D$17:$D$46*0.95)+SUMPRODUCT((Projects!$G$17:$G$46="Yes")*(99=Projects!$C$17:$C$46+Projects!$D$17:$D$46-1)*Projects!$B$17:$B$46*Assumptions!$B$11*0.05)+SUMPRODUCT((Projects!$G$17:$G$46="Yes")*(99&gt;=Projects!$C$17:$C$46)*(99&lt;Projects!$C$17:$C$46+Projects!$D$17:$D$46)*Projects!$B$17:$B$46*Assumptions!$B$12/Projects!$D$17:$D$46*0.95)+SUMPRODUCT((Projects!$G$17:$G$46="Yes")*(99=Projects!$C$17:$C$46+Projects!$D$17:$D$46-1)*Projects!$B$17:$B$46*Assumptions!$B$12*0.05)</f>
        <v>0</v>
      </c>
      <c r="DA97" s="313" t="n">
        <f aca="false">DA96+SUMPRODUCT((Projects!$G$17:$G$46="Yes")*(100&gt;=Projects!$C$17:$C$46)*(100&lt;Projects!$C$17:$C$46+Projects!$D$17:$D$46)*Projects!$B$17:$B$46*Assumptions!$B$10/Projects!$D$17:$D$46*0.95)+SUMPRODUCT((Projects!$G$17:$G$46="Yes")*(100=Projects!$C$17:$C$46+Projects!$D$17:$D$46-1)*Projects!$B$17:$B$46*Assumptions!$B$10*0.05)+SUMPRODUCT((Projects!$G$17:$G$46="Yes")*(100&gt;=Projects!$C$17:$C$46)*(100&lt;Projects!$C$17:$C$46+Projects!$D$17:$D$46)*Projects!$B$17:$B$46*Assumptions!$B$11/Projects!$D$17:$D$46*0.95)+SUMPRODUCT((Projects!$G$17:$G$46="Yes")*(100=Projects!$C$17:$C$46+Projects!$D$17:$D$46-1)*Projects!$B$17:$B$46*Assumptions!$B$11*0.05)+SUMPRODUCT((Projects!$G$17:$G$46="Yes")*(100&gt;=Projects!$C$17:$C$46)*(100&lt;Projects!$C$17:$C$46+Projects!$D$17:$D$46)*Projects!$B$17:$B$46*Assumptions!$B$12/Projects!$D$17:$D$46*0.95)+SUMPRODUCT((Projects!$G$17:$G$46="Yes")*(100=Projects!$C$17:$C$46+Projects!$D$17:$D$46-1)*Projects!$B$17:$B$46*Assumptions!$B$12*0.05)</f>
        <v>0</v>
      </c>
      <c r="DB97" s="313" t="n">
        <f aca="false">DB96+SUMPRODUCT((Projects!$G$17:$G$46="Yes")*(101&gt;=Projects!$C$17:$C$46)*(101&lt;Projects!$C$17:$C$46+Projects!$D$17:$D$46)*Projects!$B$17:$B$46*Assumptions!$B$10/Projects!$D$17:$D$46*0.95)+SUMPRODUCT((Projects!$G$17:$G$46="Yes")*(101=Projects!$C$17:$C$46+Projects!$D$17:$D$46-1)*Projects!$B$17:$B$46*Assumptions!$B$10*0.05)+SUMPRODUCT((Projects!$G$17:$G$46="Yes")*(101&gt;=Projects!$C$17:$C$46)*(101&lt;Projects!$C$17:$C$46+Projects!$D$17:$D$46)*Projects!$B$17:$B$46*Assumptions!$B$11/Projects!$D$17:$D$46*0.95)+SUMPRODUCT((Projects!$G$17:$G$46="Yes")*(101=Projects!$C$17:$C$46+Projects!$D$17:$D$46-1)*Projects!$B$17:$B$46*Assumptions!$B$11*0.05)+SUMPRODUCT((Projects!$G$17:$G$46="Yes")*(101&gt;=Projects!$C$17:$C$46)*(101&lt;Projects!$C$17:$C$46+Projects!$D$17:$D$46)*Projects!$B$17:$B$46*Assumptions!$B$12/Projects!$D$17:$D$46*0.95)+SUMPRODUCT((Projects!$G$17:$G$46="Yes")*(101=Projects!$C$17:$C$46+Projects!$D$17:$D$46-1)*Projects!$B$17:$B$46*Assumptions!$B$12*0.05)</f>
        <v>0</v>
      </c>
      <c r="DC97" s="313" t="n">
        <f aca="false">DC96+SUMPRODUCT((Projects!$G$17:$G$46="Yes")*(102&gt;=Projects!$C$17:$C$46)*(102&lt;Projects!$C$17:$C$46+Projects!$D$17:$D$46)*Projects!$B$17:$B$46*Assumptions!$B$10/Projects!$D$17:$D$46*0.95)+SUMPRODUCT((Projects!$G$17:$G$46="Yes")*(102=Projects!$C$17:$C$46+Projects!$D$17:$D$46-1)*Projects!$B$17:$B$46*Assumptions!$B$10*0.05)+SUMPRODUCT((Projects!$G$17:$G$46="Yes")*(102&gt;=Projects!$C$17:$C$46)*(102&lt;Projects!$C$17:$C$46+Projects!$D$17:$D$46)*Projects!$B$17:$B$46*Assumptions!$B$11/Projects!$D$17:$D$46*0.95)+SUMPRODUCT((Projects!$G$17:$G$46="Yes")*(102=Projects!$C$17:$C$46+Projects!$D$17:$D$46-1)*Projects!$B$17:$B$46*Assumptions!$B$11*0.05)+SUMPRODUCT((Projects!$G$17:$G$46="Yes")*(102&gt;=Projects!$C$17:$C$46)*(102&lt;Projects!$C$17:$C$46+Projects!$D$17:$D$46)*Projects!$B$17:$B$46*Assumptions!$B$12/Projects!$D$17:$D$46*0.95)+SUMPRODUCT((Projects!$G$17:$G$46="Yes")*(102=Projects!$C$17:$C$46+Projects!$D$17:$D$46-1)*Projects!$B$17:$B$46*Assumptions!$B$12*0.05)</f>
        <v>0</v>
      </c>
      <c r="DD97" s="313" t="n">
        <f aca="false">DD96+SUMPRODUCT((Projects!$G$17:$G$46="Yes")*(103&gt;=Projects!$C$17:$C$46)*(103&lt;Projects!$C$17:$C$46+Projects!$D$17:$D$46)*Projects!$B$17:$B$46*Assumptions!$B$10/Projects!$D$17:$D$46*0.95)+SUMPRODUCT((Projects!$G$17:$G$46="Yes")*(103=Projects!$C$17:$C$46+Projects!$D$17:$D$46-1)*Projects!$B$17:$B$46*Assumptions!$B$10*0.05)+SUMPRODUCT((Projects!$G$17:$G$46="Yes")*(103&gt;=Projects!$C$17:$C$46)*(103&lt;Projects!$C$17:$C$46+Projects!$D$17:$D$46)*Projects!$B$17:$B$46*Assumptions!$B$11/Projects!$D$17:$D$46*0.95)+SUMPRODUCT((Projects!$G$17:$G$46="Yes")*(103=Projects!$C$17:$C$46+Projects!$D$17:$D$46-1)*Projects!$B$17:$B$46*Assumptions!$B$11*0.05)+SUMPRODUCT((Projects!$G$17:$G$46="Yes")*(103&gt;=Projects!$C$17:$C$46)*(103&lt;Projects!$C$17:$C$46+Projects!$D$17:$D$46)*Projects!$B$17:$B$46*Assumptions!$B$12/Projects!$D$17:$D$46*0.95)+SUMPRODUCT((Projects!$G$17:$G$46="Yes")*(103=Projects!$C$17:$C$46+Projects!$D$17:$D$46-1)*Projects!$B$17:$B$46*Assumptions!$B$12*0.05)</f>
        <v>0</v>
      </c>
      <c r="DE97" s="313" t="n">
        <f aca="false">DE96+SUMPRODUCT((Projects!$G$17:$G$46="Yes")*(104&gt;=Projects!$C$17:$C$46)*(104&lt;Projects!$C$17:$C$46+Projects!$D$17:$D$46)*Projects!$B$17:$B$46*Assumptions!$B$10/Projects!$D$17:$D$46*0.95)+SUMPRODUCT((Projects!$G$17:$G$46="Yes")*(104=Projects!$C$17:$C$46+Projects!$D$17:$D$46-1)*Projects!$B$17:$B$46*Assumptions!$B$10*0.05)+SUMPRODUCT((Projects!$G$17:$G$46="Yes")*(104&gt;=Projects!$C$17:$C$46)*(104&lt;Projects!$C$17:$C$46+Projects!$D$17:$D$46)*Projects!$B$17:$B$46*Assumptions!$B$11/Projects!$D$17:$D$46*0.95)+SUMPRODUCT((Projects!$G$17:$G$46="Yes")*(104=Projects!$C$17:$C$46+Projects!$D$17:$D$46-1)*Projects!$B$17:$B$46*Assumptions!$B$11*0.05)+SUMPRODUCT((Projects!$G$17:$G$46="Yes")*(104&gt;=Projects!$C$17:$C$46)*(104&lt;Projects!$C$17:$C$46+Projects!$D$17:$D$46)*Projects!$B$17:$B$46*Assumptions!$B$12/Projects!$D$17:$D$46*0.95)+SUMPRODUCT((Projects!$G$17:$G$46="Yes")*(104=Projects!$C$17:$C$46+Projects!$D$17:$D$46-1)*Projects!$B$17:$B$46*Assumptions!$B$12*0.05)</f>
        <v>0</v>
      </c>
      <c r="DF97" s="313" t="n">
        <f aca="false">DF96+SUMPRODUCT((Projects!$G$17:$G$46="Yes")*(105&gt;=Projects!$C$17:$C$46)*(105&lt;Projects!$C$17:$C$46+Projects!$D$17:$D$46)*Projects!$B$17:$B$46*Assumptions!$B$10/Projects!$D$17:$D$46*0.95)+SUMPRODUCT((Projects!$G$17:$G$46="Yes")*(105=Projects!$C$17:$C$46+Projects!$D$17:$D$46-1)*Projects!$B$17:$B$46*Assumptions!$B$10*0.05)+SUMPRODUCT((Projects!$G$17:$G$46="Yes")*(105&gt;=Projects!$C$17:$C$46)*(105&lt;Projects!$C$17:$C$46+Projects!$D$17:$D$46)*Projects!$B$17:$B$46*Assumptions!$B$11/Projects!$D$17:$D$46*0.95)+SUMPRODUCT((Projects!$G$17:$G$46="Yes")*(105=Projects!$C$17:$C$46+Projects!$D$17:$D$46-1)*Projects!$B$17:$B$46*Assumptions!$B$11*0.05)+SUMPRODUCT((Projects!$G$17:$G$46="Yes")*(105&gt;=Projects!$C$17:$C$46)*(105&lt;Projects!$C$17:$C$46+Projects!$D$17:$D$46)*Projects!$B$17:$B$46*Assumptions!$B$12/Projects!$D$17:$D$46*0.95)+SUMPRODUCT((Projects!$G$17:$G$46="Yes")*(105=Projects!$C$17:$C$46+Projects!$D$17:$D$46-1)*Projects!$B$17:$B$46*Assumptions!$B$12*0.05)</f>
        <v>0</v>
      </c>
    </row>
    <row r="98" customFormat="false" ht="15" hidden="false" customHeight="true" outlineLevel="0" collapsed="false">
      <c r="A98" s="72" t="s">
        <v>1175</v>
      </c>
      <c r="C98" s="314" t="n">
        <f aca="false">IFERROR((C97-C96)/(Model!B199-(Model!B196)),0)</f>
        <v>0</v>
      </c>
      <c r="D98" s="314" t="n">
        <f aca="false">IFERROR((D97-D96)/(Model!C199-(Model!C196)),0)</f>
        <v>-0</v>
      </c>
      <c r="E98" s="314" t="n">
        <f aca="false">IFERROR((E97-E96)/(Model!D199-(Model!D196)),0)</f>
        <v>0</v>
      </c>
      <c r="F98" s="314" t="n">
        <f aca="false">IFERROR((F97-F96)/(Model!E199-(Model!E196)),0)</f>
        <v>0</v>
      </c>
      <c r="G98" s="314" t="n">
        <f aca="false">IFERROR((G97-G96)/(Model!F199-(Model!F196)),0)</f>
        <v>0</v>
      </c>
      <c r="H98" s="314" t="n">
        <f aca="false">IFERROR((H97-H96)/(Model!G199-(Model!G196)),0)</f>
        <v>0</v>
      </c>
      <c r="I98" s="314" t="n">
        <f aca="false">IFERROR((I97-I96)/(Model!H199-(Model!H196)),0)</f>
        <v>0</v>
      </c>
      <c r="J98" s="314" t="n">
        <f aca="false">IFERROR((J97-J96)/(Model!I199-(Model!I196)),0)</f>
        <v>0</v>
      </c>
      <c r="K98" s="314" t="n">
        <f aca="false">IFERROR((K97-K96)/(Model!J199-(Model!J196)),0)</f>
        <v>0</v>
      </c>
      <c r="L98" s="314" t="n">
        <f aca="false">IFERROR((L97-L96)/(Model!K199-(Model!K196)),0)</f>
        <v>0</v>
      </c>
      <c r="M98" s="314" t="n">
        <f aca="false">IFERROR((M97-M96)/(Model!L199-(Model!L196)),0)</f>
        <v>0</v>
      </c>
      <c r="N98" s="314" t="n">
        <f aca="false">IFERROR((N97-N96)/(Model!M199-(Model!M196)),0)</f>
        <v>0</v>
      </c>
      <c r="O98" s="314" t="n">
        <f aca="false">IFERROR((O97-O96)/(Model!N199-(Model!N196)),0)</f>
        <v>0.0992555403703348</v>
      </c>
      <c r="P98" s="314" t="n">
        <f aca="false">IFERROR((P97-P96)/(Model!O199-(Model!O196)),0)</f>
        <v>0.109898823276752</v>
      </c>
      <c r="Q98" s="314" t="n">
        <f aca="false">IFERROR((Q97-Q96)/(Model!P199-(Model!P196)),0)</f>
        <v>0.10721535904604</v>
      </c>
      <c r="R98" s="314" t="n">
        <f aca="false">IFERROR((R97-R96)/(Model!Q199-(Model!Q196)),0)</f>
        <v>0.0941036661188074</v>
      </c>
      <c r="S98" s="314" t="n">
        <f aca="false">IFERROR((S97-S96)/(Model!R199-(Model!R196)),0)</f>
        <v>0.182188751342702</v>
      </c>
      <c r="T98" s="314" t="n">
        <f aca="false">IFERROR((T97-T96)/(Model!S199-(Model!S196)),0)</f>
        <v>0.237098905715653</v>
      </c>
      <c r="U98" s="314" t="n">
        <f aca="false">IFERROR((U97-U96)/(Model!T199-(Model!T196)),0)</f>
        <v>0.29026190615428</v>
      </c>
      <c r="V98" s="314" t="n">
        <f aca="false">IFERROR((V97-V96)/(Model!U199-(Model!U196)),0)</f>
        <v>0.317086222337306</v>
      </c>
      <c r="W98" s="314" t="n">
        <f aca="false">IFERROR((W97-W96)/(Model!V199-(Model!V196)),0)</f>
        <v>0.296707417973897</v>
      </c>
      <c r="X98" s="314" t="n">
        <f aca="false">IFERROR((X97-X96)/(Model!W199-(Model!W196)),0)</f>
        <v>0.326535447952077</v>
      </c>
      <c r="Y98" s="314" t="n">
        <f aca="false">IFERROR((Y97-Y96)/(Model!X199-(Model!X196)),0)</f>
        <v>0.343121427203544</v>
      </c>
      <c r="Z98" s="314" t="n">
        <f aca="false">IFERROR((Z97-Z96)/(Model!Y199-(Model!Y196)),0)</f>
        <v>0.387771107663847</v>
      </c>
      <c r="AA98" s="314" t="n">
        <f aca="false">IFERROR((AA97-AA96)/(Model!Z199-(Model!Z196)),0)</f>
        <v>0.351994798311129</v>
      </c>
      <c r="AB98" s="314" t="n">
        <f aca="false">IFERROR((AB97-AB96)/(Model!AA199-(Model!AA196)),0)</f>
        <v>0.344636512918073</v>
      </c>
      <c r="AC98" s="314" t="n">
        <f aca="false">IFERROR((AC97-AC96)/(Model!AB199-(Model!AB196)),0)</f>
        <v>0.447026935467568</v>
      </c>
      <c r="AD98" s="314" t="n">
        <f aca="false">IFERROR((AD97-AD96)/(Model!AC199-(Model!AC196)),0)</f>
        <v>0.54066176157122</v>
      </c>
      <c r="AE98" s="314" t="n">
        <f aca="false">IFERROR((AE97-AE96)/(Model!AD199-(Model!AD196)),0)</f>
        <v>0.529532589203807</v>
      </c>
      <c r="AF98" s="314" t="n">
        <f aca="false">IFERROR((AF97-AF96)/(Model!AE199-(Model!AE196)),0)</f>
        <v>0.467258441702151</v>
      </c>
      <c r="AG98" s="314" t="n">
        <f aca="false">IFERROR((AG97-AG96)/(Model!AF199-(Model!AF196)),0)</f>
        <v>0.475755719312924</v>
      </c>
      <c r="AH98" s="314" t="n">
        <f aca="false">IFERROR((AH97-AH96)/(Model!AG199-(Model!AG196)),0)</f>
        <v>0.418374596260897</v>
      </c>
      <c r="AI98" s="314" t="n">
        <f aca="false">IFERROR((AI97-AI96)/(Model!AH199-(Model!AH196)),0)</f>
        <v>0.502836316546046</v>
      </c>
      <c r="AJ98" s="314" t="n">
        <f aca="false">IFERROR((AJ97-AJ96)/(Model!AI199-(Model!AI196)),0)</f>
        <v>0.534674280425147</v>
      </c>
      <c r="AK98" s="314" t="n">
        <f aca="false">IFERROR((AK97-AK96)/(Model!AJ199-(Model!AJ196)),0)</f>
        <v>0.583071930744147</v>
      </c>
      <c r="AL98" s="314" t="n">
        <f aca="false">IFERROR((AL97-AL96)/(Model!AK199-(Model!AK196)),0)</f>
        <v>0.680227125519232</v>
      </c>
      <c r="AM98" s="314" t="n">
        <f aca="false">IFERROR((AM97-AM96)/(Model!AL199-(Model!AL196)),0)</f>
        <v>0.687635401069033</v>
      </c>
      <c r="AN98" s="314" t="n">
        <f aca="false">IFERROR((AN97-AN96)/(Model!AM199-(Model!AM196)),0)</f>
        <v>0.656266572186506</v>
      </c>
      <c r="AO98" s="314" t="n">
        <f aca="false">IFERROR((AO97-AO96)/(Model!AN199-(Model!AN196)),0)</f>
        <v>0.73065356731379</v>
      </c>
      <c r="AP98" s="314" t="n">
        <f aca="false">IFERROR((AP97-AP96)/(Model!AO199-(Model!AO196)),0)</f>
        <v>0.768202189678231</v>
      </c>
      <c r="AQ98" s="314" t="n">
        <f aca="false">IFERROR((AQ97-AQ96)/(Model!AP199-(Model!AP196)),0)</f>
        <v>0.784585414285899</v>
      </c>
      <c r="AR98" s="314" t="n">
        <f aca="false">IFERROR((AR97-AR96)/(Model!AQ199-(Model!AQ196)),0)</f>
        <v>0.796567414653734</v>
      </c>
      <c r="AS98" s="314" t="n">
        <f aca="false">IFERROR((AS97-AS96)/(Model!AR199-(Model!AR196)),0)</f>
        <v>0.796567414653734</v>
      </c>
      <c r="AT98" s="314" t="n">
        <f aca="false">IFERROR((AT97-AT96)/(Model!AS199-(Model!AS196)),0)</f>
        <v>0.796567414653734</v>
      </c>
      <c r="AU98" s="314" t="n">
        <f aca="false">IFERROR((AU97-AU96)/(Model!AT199-(Model!AT196)),0)</f>
        <v>0.699263708956955</v>
      </c>
      <c r="AV98" s="314" t="n">
        <f aca="false">IFERROR((AV97-AV96)/(Model!AU199-(Model!AU196)),0)</f>
        <v>0.901547734540726</v>
      </c>
      <c r="AW98" s="314" t="n">
        <f aca="false">IFERROR((AW97-AW96)/(Model!AV199-(Model!AV196)),0)</f>
        <v>0.889109926571815</v>
      </c>
      <c r="AX98" s="314" t="n">
        <f aca="false">IFERROR((AX97-AX96)/(Model!AW199-(Model!AW196)),0)</f>
        <v>0.889109926571815</v>
      </c>
      <c r="AY98" s="314" t="n">
        <f aca="false">IFERROR((AY97-AY96)/(Model!AX199-(Model!AX196)),0)</f>
        <v>0.889109926571815</v>
      </c>
      <c r="AZ98" s="314" t="n">
        <f aca="false">IFERROR((AZ97-AZ96)/(Model!AY199-(Model!AY196)),0)</f>
        <v>0.896962365193284</v>
      </c>
      <c r="BA98" s="314" t="n">
        <f aca="false">IFERROR((BA97-BA96)/(Model!AZ199-(Model!AZ196)),0)</f>
        <v>0.895731777409744</v>
      </c>
      <c r="BB98" s="314" t="n">
        <f aca="false">IFERROR((BB97-BB96)/(Model!BA199-(Model!BA196)),0)</f>
        <v>0.894471440284929</v>
      </c>
      <c r="BC98" s="314" t="n">
        <f aca="false">IFERROR((BC97-BC96)/(Model!BB199-(Model!BB196)),0)</f>
        <v>0.894471440284929</v>
      </c>
      <c r="BD98" s="314" t="n">
        <f aca="false">IFERROR((BD97-BD96)/(Model!BC199-(Model!BC196)),0)</f>
        <v>0.894471440284929</v>
      </c>
      <c r="BE98" s="314" t="n">
        <f aca="false">IFERROR((BE97-BE96)/(Model!BD199-(Model!BD196)),0)</f>
        <v>0.895731777409744</v>
      </c>
      <c r="BF98" s="314" t="n">
        <f aca="false">IFERROR((BF97-BF96)/(Model!BE199-(Model!BE196)),0)</f>
        <v>0.896962365193284</v>
      </c>
      <c r="BG98" s="314" t="n">
        <f aca="false">IFERROR((BG97-BG96)/(Model!BF199-(Model!BF196)),0)</f>
        <v>0.894471440284929</v>
      </c>
      <c r="BH98" s="314" t="n">
        <f aca="false">IFERROR((BH97-BH96)/(Model!BG199-(Model!BG196)),0)</f>
        <v>0.895731777409744</v>
      </c>
      <c r="BI98" s="314" t="n">
        <f aca="false">IFERROR((BI97-BI96)/(Model!BH199-(Model!BH196)),0)</f>
        <v>0.771453776969615</v>
      </c>
      <c r="BJ98" s="314" t="n">
        <f aca="false">IFERROR((BJ97-BJ96)/(Model!BI199-(Model!BI196)),0)</f>
        <v>1</v>
      </c>
      <c r="BK98" s="314" t="n">
        <f aca="false">IFERROR((BK97-BK96)/(Model!BJ199-(Model!BJ196)),0)</f>
        <v>1</v>
      </c>
      <c r="BL98" s="314" t="n">
        <f aca="false">IFERROR((BL97-BL96)/(Model!BK199-(Model!BK196)),0)</f>
        <v>1</v>
      </c>
      <c r="BM98" s="314" t="n">
        <f aca="false">IFERROR((BM97-BM96)/(Model!BL199-(Model!BL196)),0)</f>
        <v>1</v>
      </c>
      <c r="BN98" s="314" t="n">
        <f aca="false">IFERROR((BN97-BN96)/(Model!BM199-(Model!BM196)),0)</f>
        <v>1</v>
      </c>
      <c r="BO98" s="314" t="n">
        <f aca="false">IFERROR((BO97-BO96)/(Model!BN199-(Model!BN196)),0)</f>
        <v>1</v>
      </c>
      <c r="BP98" s="314" t="n">
        <f aca="false">IFERROR((BP97-BP96)/(Model!BO199-(Model!BO196)),0)</f>
        <v>1</v>
      </c>
      <c r="BQ98" s="314" t="n">
        <f aca="false">IFERROR((BQ97-BQ96)/(Model!BP199-(Model!BP196)),0)</f>
        <v>0.999999999999999</v>
      </c>
      <c r="BR98" s="314" t="n">
        <f aca="false">IFERROR((BR97-BR96)/(Model!BQ199-(Model!BQ196)),0)</f>
        <v>0.999999999999999</v>
      </c>
      <c r="BS98" s="314" t="n">
        <f aca="false">IFERROR((BS97-BS96)/(Model!BR199-(Model!BR196)),0)</f>
        <v>1</v>
      </c>
      <c r="BT98" s="314" t="n">
        <f aca="false">IFERROR((BT97-BT96)/(Model!BS199-(Model!BS196)),0)</f>
        <v>1</v>
      </c>
      <c r="BU98" s="314" t="n">
        <f aca="false">IFERROR((BU97-BU96)/(Model!BT199-(Model!BT196)),0)</f>
        <v>1</v>
      </c>
      <c r="BV98" s="314" t="n">
        <f aca="false">IFERROR((BV97-BV96)/(Model!BU199-(Model!BU196)),0)</f>
        <v>1</v>
      </c>
      <c r="BW98" s="314" t="n">
        <f aca="false">IFERROR((BW97-BW96)/(Model!BV199-(Model!BV196)),0)</f>
        <v>0.999999999999999</v>
      </c>
      <c r="BX98" s="314" t="n">
        <f aca="false">IFERROR((BX97-BX96)/(Model!BW199-(Model!BW196)),0)</f>
        <v>1</v>
      </c>
      <c r="BY98" s="314" t="n">
        <f aca="false">IFERROR((BY97-BY96)/(Model!BX199-(Model!BX196)),0)</f>
        <v>1</v>
      </c>
      <c r="BZ98" s="314" t="n">
        <f aca="false">IFERROR((BZ97-BZ96)/(Model!BY199-(Model!BY196)),0)</f>
        <v>0.999999999999999</v>
      </c>
      <c r="CA98" s="314" t="n">
        <f aca="false">IFERROR((CA97-CA96)/(Model!BZ199-(Model!BZ196)),0)</f>
        <v>1</v>
      </c>
      <c r="CB98" s="314" t="n">
        <f aca="false">IFERROR((CB97-CB96)/(Model!CA199-(Model!CA196)),0)</f>
        <v>0</v>
      </c>
      <c r="CC98" s="314" t="n">
        <f aca="false">IFERROR((CC97-CC96)/(Model!CB199-(Model!CB196)),0)</f>
        <v>0</v>
      </c>
      <c r="CD98" s="314" t="n">
        <f aca="false">IFERROR((CD97-CD96)/(Model!CC199-(Model!CC196)),0)</f>
        <v>0</v>
      </c>
      <c r="CE98" s="314" t="n">
        <f aca="false">IFERROR((CE97-CE96)/(Model!CD199-(Model!CD196)),0)</f>
        <v>0</v>
      </c>
      <c r="CF98" s="314" t="n">
        <f aca="false">IFERROR((CF97-CF96)/(Model!CE199-(Model!CE196)),0)</f>
        <v>0</v>
      </c>
      <c r="CG98" s="314" t="n">
        <f aca="false">IFERROR((CG97-CG96)/(Model!CF199-(Model!CF196)),0)</f>
        <v>0</v>
      </c>
      <c r="CH98" s="314" t="n">
        <f aca="false">IFERROR((CH97-CH96)/(Model!CG199-(Model!CG196)),0)</f>
        <v>0</v>
      </c>
      <c r="CI98" s="314" t="n">
        <f aca="false">IFERROR((CI97-CI96)/(Model!CH199-(Model!CH196)),0)</f>
        <v>0</v>
      </c>
      <c r="CJ98" s="314" t="n">
        <f aca="false">IFERROR((CJ97-CJ96)/(Model!CI199-(Model!CI196)),0)</f>
        <v>0</v>
      </c>
      <c r="CK98" s="314" t="n">
        <f aca="false">IFERROR((CK97-CK96)/(Model!CJ199-(Model!CJ196)),0)</f>
        <v>0</v>
      </c>
      <c r="CL98" s="314" t="n">
        <f aca="false">IFERROR((CL97-CL96)/(Model!CK199-(Model!CK196)),0)</f>
        <v>0</v>
      </c>
      <c r="CM98" s="314" t="n">
        <f aca="false">IFERROR((CM97-CM96)/(Model!CL199-(Model!CL196)),0)</f>
        <v>0</v>
      </c>
      <c r="CN98" s="314" t="n">
        <f aca="false">IFERROR((CN97-CN96)/(Model!CM199-(Model!CM196)),0)</f>
        <v>0</v>
      </c>
      <c r="CO98" s="314" t="n">
        <f aca="false">IFERROR((CO97-CO96)/(Model!CN199-(Model!CN196)),0)</f>
        <v>0</v>
      </c>
      <c r="CP98" s="314" t="n">
        <f aca="false">IFERROR((CP97-CP96)/(Model!CO199-(Model!CO196)),0)</f>
        <v>0</v>
      </c>
      <c r="CQ98" s="314" t="n">
        <f aca="false">IFERROR((CQ97-CQ96)/(Model!CP199-(Model!CP196)),0)</f>
        <v>0</v>
      </c>
      <c r="CR98" s="314" t="n">
        <f aca="false">IFERROR((CR97-CR96)/(Model!CQ199-(Model!CQ196)),0)</f>
        <v>0</v>
      </c>
      <c r="CS98" s="314" t="n">
        <f aca="false">IFERROR((CS97-CS96)/(Model!CR199-(Model!CR196)),0)</f>
        <v>0</v>
      </c>
      <c r="CT98" s="314" t="n">
        <f aca="false">IFERROR((CT97-CT96)/(Model!CS199-(Model!CS196)),0)</f>
        <v>0</v>
      </c>
      <c r="CU98" s="314" t="n">
        <f aca="false">IFERROR((CU97-CU96)/(Model!CT199-(Model!CT196)),0)</f>
        <v>0</v>
      </c>
      <c r="CV98" s="314" t="n">
        <f aca="false">IFERROR((CV97-CV96)/(Model!CU199-(Model!CU196)),0)</f>
        <v>0</v>
      </c>
      <c r="CW98" s="314" t="n">
        <f aca="false">IFERROR((CW97-CW96)/(Model!CV199-(Model!CV196)),0)</f>
        <v>0</v>
      </c>
      <c r="CX98" s="314" t="n">
        <f aca="false">IFERROR((CX97-CX96)/(Model!CW199-(Model!CW196)),0)</f>
        <v>0</v>
      </c>
      <c r="CY98" s="314" t="n">
        <f aca="false">IFERROR((CY97-CY96)/(Model!CX199-(Model!CX196)),0)</f>
        <v>0</v>
      </c>
      <c r="CZ98" s="314" t="n">
        <f aca="false">IFERROR((CZ97-CZ96)/(Model!CY199-(Model!CY196)),0)</f>
        <v>0</v>
      </c>
      <c r="DA98" s="314" t="n">
        <f aca="false">IFERROR((DA97-DA96)/(Model!CZ199-(Model!CZ196)),0)</f>
        <v>0</v>
      </c>
      <c r="DB98" s="314" t="n">
        <f aca="false">IFERROR((DB97-DB96)/(Model!DA199-(Model!DA196)),0)</f>
        <v>0</v>
      </c>
      <c r="DC98" s="314" t="n">
        <f aca="false">IFERROR((DC97-DC96)/(Model!DB199-(Model!DB196)),0)</f>
        <v>0</v>
      </c>
      <c r="DD98" s="314" t="n">
        <f aca="false">IFERROR((DD97-DD96)/(Model!DC199-(Model!DC196)),0)</f>
        <v>0</v>
      </c>
      <c r="DE98" s="314" t="n">
        <f aca="false">IFERROR((DE97-DE96)/(Model!DD199-(Model!DD196)),0)</f>
        <v>0</v>
      </c>
      <c r="DF98" s="314" t="n">
        <f aca="false">IFERROR((DF97-DF96)/(Model!DE199-(Model!DE196)),0)</f>
        <v>0</v>
      </c>
    </row>
    <row r="99" customFormat="false" ht="15" hidden="false" customHeight="true" outlineLevel="0" collapsed="false">
      <c r="A99" s="72" t="s">
        <v>1176</v>
      </c>
      <c r="B99" s="312" t="n">
        <f aca="false">SUM(Actuals!C17:N17)</f>
        <v>4643571.59</v>
      </c>
      <c r="C99" s="313" t="n">
        <f aca="false">Model!B199+SUM(Model!B203:B233)+Model!B235-(Model!B196)</f>
        <v>-41844.6399999999</v>
      </c>
      <c r="D99" s="313" t="n">
        <f aca="false">Model!C199+SUM(Model!C203:C233)+Model!C235-(Model!C196)</f>
        <v>-311309.31</v>
      </c>
      <c r="E99" s="313" t="n">
        <f aca="false">Model!D199+SUM(Model!D203:D233)+Model!D235-(Model!D196)</f>
        <v>242246.78</v>
      </c>
      <c r="F99" s="313" t="n">
        <f aca="false">Model!E199+SUM(Model!E203:E233)+Model!E235-(Model!E196)</f>
        <v>373926.69</v>
      </c>
      <c r="G99" s="313" t="n">
        <f aca="false">Model!F199+SUM(Model!F203:F233)+Model!F235-(Model!F196)</f>
        <v>27621.8500000002</v>
      </c>
      <c r="H99" s="313" t="n">
        <f aca="false">Model!G199+SUM(Model!G203:G233)+Model!G235-(Model!G196)</f>
        <v>318509.92</v>
      </c>
      <c r="I99" s="313" t="n">
        <f aca="false">Model!H199+SUM(Model!H203:H233)+Model!H235-(Model!H196)</f>
        <v>1446747.85</v>
      </c>
      <c r="J99" s="313" t="n">
        <f aca="false">Model!I199+SUM(Model!I203:I233)+Model!I235-(Model!I196)</f>
        <v>177182.13</v>
      </c>
      <c r="K99" s="313" t="n">
        <f aca="false">Model!J199+SUM(Model!J203:J233)+Model!J235-(Model!J196)</f>
        <v>298241.093396964</v>
      </c>
      <c r="L99" s="313" t="n">
        <f aca="false">Model!K199+SUM(Model!K203:K233)+Model!K235-(Model!K196)</f>
        <v>376129.454718767</v>
      </c>
      <c r="M99" s="313" t="n">
        <f aca="false">Model!L199+SUM(Model!L203:L233)+Model!L235-(Model!L196)</f>
        <v>214936.69311604</v>
      </c>
      <c r="N99" s="313" t="n">
        <f aca="false">Model!M199+SUM(Model!M203:M233)+Model!M235-(Model!M196)</f>
        <v>115063.696620279</v>
      </c>
      <c r="O99" s="313" t="n">
        <f aca="false">Model!N199+SUM(Model!N203:N233)+Model!N235-(Model!N196)</f>
        <v>428723.753005433</v>
      </c>
      <c r="P99" s="313" t="n">
        <f aca="false">Model!O199+SUM(Model!O203:O233)+Model!O235-(Model!O196)</f>
        <v>262757.146153049</v>
      </c>
      <c r="Q99" s="313" t="n">
        <f aca="false">Model!P199+SUM(Model!P203:P233)+Model!P235-(Model!P196)</f>
        <v>365330.63615305</v>
      </c>
      <c r="R99" s="313" t="n">
        <f aca="false">Model!Q199+SUM(Model!Q203:Q233)+Model!Q235-(Model!Q196)</f>
        <v>403917.158176932</v>
      </c>
      <c r="S99" s="313" t="n">
        <f aca="false">Model!R199+SUM(Model!R203:R233)+Model!R235-(Model!R196)</f>
        <v>391434.386270182</v>
      </c>
      <c r="T99" s="313" t="n">
        <f aca="false">Model!S199+SUM(Model!S203:S233)+Model!S235-(Model!S196)</f>
        <v>469925.266146933</v>
      </c>
      <c r="U99" s="313" t="n">
        <f aca="false">Model!T199+SUM(Model!T203:T233)+Model!T235-(Model!T196)</f>
        <v>645755.091280881</v>
      </c>
      <c r="V99" s="313" t="n">
        <f aca="false">Model!U199+SUM(Model!U203:U233)+Model!U235-(Model!U196)</f>
        <v>558775.801280881</v>
      </c>
      <c r="W99" s="313" t="n">
        <f aca="false">Model!V199+SUM(Model!V203:V233)+Model!V235-(Model!V196)</f>
        <v>637354.891280879</v>
      </c>
      <c r="X99" s="313" t="n">
        <f aca="false">Model!W199+SUM(Model!W203:W233)+Model!W235-(Model!W196)</f>
        <v>525668.591280882</v>
      </c>
      <c r="Y99" s="313" t="n">
        <f aca="false">Model!X199+SUM(Model!X203:X233)+Model!X235-(Model!X196)</f>
        <v>819546.536139797</v>
      </c>
      <c r="Z99" s="313" t="n">
        <f aca="false">Model!Y199+SUM(Model!Y203:Y233)+Model!Y235-(Model!Y196)</f>
        <v>657785.716139796</v>
      </c>
      <c r="AA99" s="313" t="n">
        <f aca="false">Model!Z199+SUM(Model!Z203:Z233)+Model!Z235-(Model!Z196)</f>
        <v>786682.136524411</v>
      </c>
      <c r="AB99" s="313" t="n">
        <f aca="false">Model!AA199+SUM(Model!AA203:AA233)+Model!AA235-(Model!AA196)</f>
        <v>825536.174500936</v>
      </c>
      <c r="AC99" s="313" t="n">
        <f aca="false">Model!AB199+SUM(Model!AB203:AB233)+Model!AB235-(Model!AB196)</f>
        <v>749188.506246588</v>
      </c>
      <c r="AD99" s="313" t="n">
        <f aca="false">Model!AC199+SUM(Model!AC203:AC233)+Model!AC235-(Model!AC196)</f>
        <v>515309.815582878</v>
      </c>
      <c r="AE99" s="313" t="n">
        <f aca="false">Model!AD199+SUM(Model!AD203:AD233)+Model!AD235-(Model!AD196)</f>
        <v>538259.725582878</v>
      </c>
      <c r="AF99" s="313" t="n">
        <f aca="false">Model!AE199+SUM(Model!AE203:AE233)+Model!AE235-(Model!AE196)</f>
        <v>686851.376451425</v>
      </c>
      <c r="AG99" s="313" t="n">
        <f aca="false">Model!AF199+SUM(Model!AF203:AF233)+Model!AF235-(Model!AF196)</f>
        <v>856471.190566139</v>
      </c>
      <c r="AH99" s="313" t="n">
        <f aca="false">Model!AG199+SUM(Model!AG203:AG233)+Model!AG235-(Model!AG196)</f>
        <v>874920.178817663</v>
      </c>
      <c r="AI99" s="313" t="n">
        <f aca="false">Model!AH199+SUM(Model!AH203:AH233)+Model!AH235-(Model!AH196)</f>
        <v>846578.755855763</v>
      </c>
      <c r="AJ99" s="313" t="n">
        <f aca="false">Model!AI199+SUM(Model!AI203:AI233)+Model!AI235-(Model!AI196)</f>
        <v>930705.135855764</v>
      </c>
      <c r="AK99" s="313" t="n">
        <f aca="false">Model!AJ199+SUM(Model!AJ203:AJ233)+Model!AJ235-(Model!AJ196)</f>
        <v>1067464.34601676</v>
      </c>
      <c r="AL99" s="313" t="n">
        <f aca="false">Model!AK199+SUM(Model!AK203:AK233)+Model!AK235-(Model!AK196)</f>
        <v>817907.705898127</v>
      </c>
      <c r="AM99" s="313" t="n">
        <f aca="false">Model!AL199+SUM(Model!AL203:AL233)+Model!AL235-(Model!AL196)</f>
        <v>897277.066278577</v>
      </c>
      <c r="AN99" s="313" t="n">
        <f aca="false">Model!AM199+SUM(Model!AM203:AM233)+Model!AM235-(Model!AM196)</f>
        <v>795476.406010678</v>
      </c>
      <c r="AO99" s="313" t="n">
        <f aca="false">Model!AN199+SUM(Model!AN203:AN233)+Model!AN235-(Model!AN196)</f>
        <v>777287.606010677</v>
      </c>
      <c r="AP99" s="313" t="n">
        <f aca="false">Model!AO199+SUM(Model!AO203:AO233)+Model!AO235-(Model!AO196)</f>
        <v>815712.023935198</v>
      </c>
      <c r="AQ99" s="313" t="n">
        <f aca="false">Model!AP199+SUM(Model!AP203:AP233)+Model!AP235-(Model!AP196)</f>
        <v>924063.923935198</v>
      </c>
      <c r="AR99" s="313" t="n">
        <f aca="false">Model!AQ199+SUM(Model!AQ203:AQ233)+Model!AQ235-(Model!AQ196)</f>
        <v>950286.656785198</v>
      </c>
      <c r="AS99" s="313" t="n">
        <f aca="false">Model!AR199+SUM(Model!AR203:AR233)+Model!AR235-(Model!AR196)</f>
        <v>988536.656785198</v>
      </c>
      <c r="AT99" s="313" t="n">
        <f aca="false">Model!AS199+SUM(Model!AS203:AS233)+Model!AS235-(Model!AS196)</f>
        <v>988536.656785198</v>
      </c>
      <c r="AU99" s="313" t="n">
        <f aca="false">Model!AT199+SUM(Model!AT203:AT233)+Model!AT235-(Model!AT196)</f>
        <v>1369374.1421387</v>
      </c>
      <c r="AV99" s="313" t="n">
        <f aca="false">Model!AU199+SUM(Model!AU203:AU233)+Model!AU235-(Model!AU196)</f>
        <v>903795.46847082</v>
      </c>
      <c r="AW99" s="313" t="n">
        <f aca="false">Model!AV199+SUM(Model!AV203:AV233)+Model!AV235-(Model!AV196)</f>
        <v>761679.065369066</v>
      </c>
      <c r="AX99" s="313" t="n">
        <f aca="false">Model!AW199+SUM(Model!AW203:AW233)+Model!AW235-(Model!AW196)</f>
        <v>764842.466269066</v>
      </c>
      <c r="AY99" s="313" t="n">
        <f aca="false">Model!AX199+SUM(Model!AX203:AX233)+Model!AX235-(Model!AX196)</f>
        <v>774842.466269066</v>
      </c>
      <c r="AZ99" s="313" t="n">
        <f aca="false">Model!AY199+SUM(Model!AY203:AY233)+Model!AY235-(Model!AY196)</f>
        <v>883194.366269067</v>
      </c>
      <c r="BA99" s="313" t="n">
        <f aca="false">Model!AZ199+SUM(Model!AZ203:AZ233)+Model!AZ235-(Model!AZ196)</f>
        <v>865135.716269066</v>
      </c>
      <c r="BB99" s="313" t="n">
        <f aca="false">Model!BA199+SUM(Model!BA203:BA233)+Model!BA235-(Model!BA196)</f>
        <v>840728.360696307</v>
      </c>
      <c r="BC99" s="313" t="n">
        <f aca="false">Model!BB199+SUM(Model!BB203:BB233)+Model!BB235-(Model!BB196)</f>
        <v>867998.622388538</v>
      </c>
      <c r="BD99" s="313" t="n">
        <f aca="false">Model!BC199+SUM(Model!BC203:BC233)+Model!BC235-(Model!BC196)</f>
        <v>891460.160850077</v>
      </c>
      <c r="BE99" s="313" t="n">
        <f aca="false">Model!BD199+SUM(Model!BD203:BD233)+Model!BD235-(Model!BD196)</f>
        <v>909518.810850077</v>
      </c>
      <c r="BF99" s="313" t="n">
        <f aca="false">Model!BE199+SUM(Model!BE203:BE233)+Model!BE235-(Model!BE196)</f>
        <v>927577.460850077</v>
      </c>
      <c r="BG99" s="313" t="n">
        <f aca="false">Model!BF199+SUM(Model!BF203:BF233)+Model!BF235-(Model!BF196)</f>
        <v>891460.160850077</v>
      </c>
      <c r="BH99" s="313" t="n">
        <f aca="false">Model!BG199+SUM(Model!BG203:BG233)+Model!BG235-(Model!BG196)</f>
        <v>909518.810850077</v>
      </c>
      <c r="BI99" s="313" t="n">
        <f aca="false">Model!BH199+SUM(Model!BH203:BH233)+Model!BH235-(Model!BH196)</f>
        <v>1176513.73590568</v>
      </c>
      <c r="BJ99" s="313" t="n">
        <f aca="false">Model!BI199+SUM(Model!BI203:BI233)+Model!BI235-(Model!BI196)</f>
        <v>643507.26998153</v>
      </c>
      <c r="BK99" s="313" t="n">
        <f aca="false">Model!BJ199+SUM(Model!BJ203:BJ233)+Model!BJ235-(Model!BJ196)</f>
        <v>462920.76998153</v>
      </c>
      <c r="BL99" s="313" t="n">
        <f aca="false">Model!BK199+SUM(Model!BK203:BK233)+Model!BK235-(Model!BK196)</f>
        <v>466347.43889953</v>
      </c>
      <c r="BM99" s="313" t="n">
        <f aca="false">Model!BL199+SUM(Model!BL203:BL233)+Model!BL235-(Model!BL196)</f>
        <v>476347.43889953</v>
      </c>
      <c r="BN99" s="313" t="n">
        <f aca="false">Model!BM199+SUM(Model!BM203:BM233)+Model!BM235-(Model!BM196)</f>
        <v>576470.159808636</v>
      </c>
      <c r="BO99" s="313" t="n">
        <f aca="false">Model!BN199+SUM(Model!BN203:BN233)+Model!BN235-(Model!BN196)</f>
        <v>465502.04419905</v>
      </c>
      <c r="BP99" s="313" t="n">
        <f aca="false">Model!BO199+SUM(Model!BO203:BO233)+Model!BO235-(Model!BO196)</f>
        <v>315607.707318965</v>
      </c>
      <c r="BQ99" s="313" t="n">
        <f aca="false">Model!BP199+SUM(Model!BP203:BP233)+Model!BP235-(Model!BP196)</f>
        <v>364093.343122524</v>
      </c>
      <c r="BR99" s="313" t="n">
        <f aca="false">Model!BQ199+SUM(Model!BQ203:BQ233)+Model!BQ235-(Model!BQ196)</f>
        <v>389711.622341961</v>
      </c>
      <c r="BS99" s="313" t="n">
        <f aca="false">Model!BR199+SUM(Model!BR203:BR233)+Model!BR235-(Model!BR196)</f>
        <v>490004.872341961</v>
      </c>
      <c r="BT99" s="313" t="n">
        <f aca="false">Model!BS199+SUM(Model!BS203:BS233)+Model!BS235-(Model!BS196)</f>
        <v>417770.272341961</v>
      </c>
      <c r="BU99" s="313" t="n">
        <f aca="false">Model!BT199+SUM(Model!BT203:BT233)+Model!BT235-(Model!BT196)</f>
        <v>295907.663629789</v>
      </c>
      <c r="BV99" s="313" t="n">
        <f aca="false">Model!BU199+SUM(Model!BU203:BU233)+Model!BU235-(Model!BU196)</f>
        <v>226023.126356424</v>
      </c>
      <c r="BW99" s="313" t="n">
        <f aca="false">Model!BV199+SUM(Model!BV203:BV233)+Model!BV235-(Model!BV196)</f>
        <v>175711.603279501</v>
      </c>
      <c r="BX99" s="313" t="n">
        <f aca="false">Model!BW199+SUM(Model!BW203:BW233)+Model!BW235-(Model!BW196)</f>
        <v>49301.053279501</v>
      </c>
      <c r="BY99" s="313" t="n">
        <f aca="false">Model!BX199+SUM(Model!BX203:BX233)+Model!BX235-(Model!BX196)</f>
        <v>-40992.196720499</v>
      </c>
      <c r="BZ99" s="313" t="n">
        <f aca="false">Model!BY199+SUM(Model!BY203:BY233)+Model!BY235-(Model!BY196)</f>
        <v>-121631.273654909</v>
      </c>
      <c r="CA99" s="313" t="n">
        <f aca="false">Model!BZ199+SUM(Model!BZ203:BZ233)+Model!BZ235-(Model!BZ196)</f>
        <v>-248041.823654909</v>
      </c>
      <c r="CB99" s="313" t="n">
        <f aca="false">Model!CA199+SUM(Model!CA203:CA233)+Model!CA235-(Model!CA196)</f>
        <v>-428628.323654909</v>
      </c>
      <c r="CC99" s="313" t="n">
        <f aca="false">Model!CB199+SUM(Model!CB203:CB233)+Model!CB235-(Model!CB196)</f>
        <v>-428628.323654909</v>
      </c>
      <c r="CD99" s="313" t="n">
        <f aca="false">Model!CC199+SUM(Model!CC203:CC233)+Model!CC235-(Model!CC196)</f>
        <v>-428628.323654909</v>
      </c>
      <c r="CE99" s="313" t="n">
        <f aca="false">Model!CD199+SUM(Model!CD203:CD233)+Model!CD235-(Model!CD196)</f>
        <v>-428628.323654909</v>
      </c>
      <c r="CF99" s="313" t="n">
        <f aca="false">Model!CE199+SUM(Model!CE203:CE233)+Model!CE235-(Model!CE196)</f>
        <v>-428628.323654909</v>
      </c>
      <c r="CG99" s="313" t="n">
        <f aca="false">Model!CF199+SUM(Model!CF203:CF233)+Model!CF235-(Model!CF196)</f>
        <v>-428628.323654909</v>
      </c>
      <c r="CH99" s="313" t="n">
        <f aca="false">Model!CG199+SUM(Model!CG203:CG233)+Model!CG235-(Model!CG196)</f>
        <v>-428628.323654909</v>
      </c>
      <c r="CI99" s="313" t="n">
        <f aca="false">Model!CH199+SUM(Model!CH203:CH233)+Model!CH235-(Model!CH196)</f>
        <v>-428628.323654909</v>
      </c>
      <c r="CJ99" s="313" t="n">
        <f aca="false">Model!CI199+SUM(Model!CI203:CI233)+Model!CI235-(Model!CI196)</f>
        <v>-428628.323654909</v>
      </c>
      <c r="CK99" s="313" t="n">
        <f aca="false">Model!CJ199+SUM(Model!CJ203:CJ233)+Model!CJ235-(Model!CJ196)</f>
        <v>-428628.323654909</v>
      </c>
      <c r="CL99" s="313" t="n">
        <f aca="false">Model!CK199+SUM(Model!CK203:CK233)+Model!CK235-(Model!CK196)</f>
        <v>-437200.890128007</v>
      </c>
      <c r="CM99" s="313" t="n">
        <f aca="false">Model!CL199+SUM(Model!CL203:CL233)+Model!CL235-(Model!CL196)</f>
        <v>-437200.890128007</v>
      </c>
      <c r="CN99" s="313" t="n">
        <f aca="false">Model!CM199+SUM(Model!CM203:CM233)+Model!CM235-(Model!CM196)</f>
        <v>-437200.890128007</v>
      </c>
      <c r="CO99" s="313" t="n">
        <f aca="false">Model!CN199+SUM(Model!CN203:CN233)+Model!CN235-(Model!CN196)</f>
        <v>-437200.890128007</v>
      </c>
      <c r="CP99" s="313" t="n">
        <f aca="false">Model!CO199+SUM(Model!CO203:CO233)+Model!CO235-(Model!CO196)</f>
        <v>-437200.890128007</v>
      </c>
      <c r="CQ99" s="313" t="n">
        <f aca="false">Model!CP199+SUM(Model!CP203:CP233)+Model!CP235-(Model!CP196)</f>
        <v>-437200.890128007</v>
      </c>
      <c r="CR99" s="313" t="n">
        <f aca="false">Model!CQ199+SUM(Model!CQ203:CQ233)+Model!CQ235-(Model!CQ196)</f>
        <v>-437200.890128007</v>
      </c>
      <c r="CS99" s="313" t="n">
        <f aca="false">Model!CR199+SUM(Model!CR203:CR233)+Model!CR235-(Model!CR196)</f>
        <v>-437200.890128007</v>
      </c>
      <c r="CT99" s="313" t="n">
        <f aca="false">Model!CS199+SUM(Model!CS203:CS233)+Model!CS235-(Model!CS196)</f>
        <v>-437200.890128007</v>
      </c>
      <c r="CU99" s="313" t="n">
        <f aca="false">Model!CT199+SUM(Model!CT203:CT233)+Model!CT235-(Model!CT196)</f>
        <v>-385420.730516558</v>
      </c>
      <c r="CV99" s="313" t="n">
        <f aca="false">Model!CU199+SUM(Model!CU203:CU233)+Model!CU235-(Model!CU196)</f>
        <v>-385420.730516558</v>
      </c>
      <c r="CW99" s="313" t="n">
        <f aca="false">Model!CV199+SUM(Model!CV203:CV233)+Model!CV235-(Model!CV196)</f>
        <v>-385420.730516558</v>
      </c>
      <c r="CX99" s="313" t="n">
        <f aca="false">Model!CW199+SUM(Model!CW203:CW233)+Model!CW235-(Model!CW196)</f>
        <v>-393129.145126889</v>
      </c>
      <c r="CY99" s="313" t="n">
        <f aca="false">Model!CX199+SUM(Model!CX203:CX233)+Model!CX235-(Model!CX196)</f>
        <v>-393129.145126889</v>
      </c>
      <c r="CZ99" s="313" t="n">
        <f aca="false">Model!CY199+SUM(Model!CY203:CY233)+Model!CY235-(Model!CY196)</f>
        <v>-393129.145126889</v>
      </c>
      <c r="DA99" s="313" t="n">
        <f aca="false">Model!CZ199+SUM(Model!CZ203:CZ233)+Model!CZ235-(Model!CZ196)</f>
        <v>-393129.145126889</v>
      </c>
      <c r="DB99" s="313" t="n">
        <f aca="false">Model!DA199+SUM(Model!DA203:DA233)+Model!DA235-(Model!DA196)</f>
        <v>-393129.145126889</v>
      </c>
      <c r="DC99" s="313" t="n">
        <f aca="false">Model!DB199+SUM(Model!DB203:DB233)+Model!DB235-(Model!DB196)</f>
        <v>-393129.145126889</v>
      </c>
      <c r="DD99" s="313" t="n">
        <f aca="false">Model!DC199+SUM(Model!DC203:DC233)+Model!DC235-(Model!DC196)</f>
        <v>-393129.145126889</v>
      </c>
      <c r="DE99" s="313" t="n">
        <f aca="false">Model!DD199+SUM(Model!DD203:DD233)+Model!DD235-(Model!DD196)</f>
        <v>-393129.145126889</v>
      </c>
      <c r="DF99" s="313" t="n">
        <f aca="false">Model!DE199+SUM(Model!DE203:DE233)+Model!DE235-(Model!DE196)</f>
        <v>-393129.145126889</v>
      </c>
    </row>
    <row r="100" customFormat="false" ht="15" hidden="false" customHeight="true" outlineLevel="0" collapsed="false">
      <c r="A100" s="72" t="s">
        <v>1177</v>
      </c>
      <c r="B100" s="312" t="n">
        <f aca="false">SUM(Actuals!C55:N55)</f>
        <v>-2414322.82</v>
      </c>
      <c r="C100" s="127" t="n">
        <f aca="false">C98*C99</f>
        <v>-0</v>
      </c>
      <c r="D100" s="127" t="n">
        <f aca="false">D98*D99</f>
        <v>0</v>
      </c>
      <c r="E100" s="127" t="n">
        <f aca="false">E98*E99</f>
        <v>0</v>
      </c>
      <c r="F100" s="127" t="n">
        <f aca="false">F98*F99</f>
        <v>0</v>
      </c>
      <c r="G100" s="127" t="n">
        <f aca="false">G98*G99</f>
        <v>0</v>
      </c>
      <c r="H100" s="127" t="n">
        <f aca="false">H98*H99</f>
        <v>0</v>
      </c>
      <c r="I100" s="127" t="n">
        <f aca="false">I98*I99</f>
        <v>0</v>
      </c>
      <c r="J100" s="127" t="n">
        <f aca="false">J98*J99</f>
        <v>0</v>
      </c>
      <c r="K100" s="127" t="n">
        <f aca="false">K98*K99</f>
        <v>0</v>
      </c>
      <c r="L100" s="127" t="n">
        <f aca="false">L98*L99</f>
        <v>0</v>
      </c>
      <c r="M100" s="127" t="n">
        <f aca="false">M98*M99</f>
        <v>0</v>
      </c>
      <c r="N100" s="127" t="n">
        <f aca="false">N98*N99</f>
        <v>0</v>
      </c>
      <c r="O100" s="127" t="n">
        <f aca="false">O98*O99</f>
        <v>42553.2077741522</v>
      </c>
      <c r="P100" s="127" t="n">
        <f aca="false">P98*P99</f>
        <v>28876.7011697775</v>
      </c>
      <c r="Q100" s="127" t="n">
        <f aca="false">Q98*Q99</f>
        <v>39169.0553256674</v>
      </c>
      <c r="R100" s="127" t="n">
        <f aca="false">R98*R99</f>
        <v>38010.0853927395</v>
      </c>
      <c r="S100" s="127" t="n">
        <f aca="false">S98*S99</f>
        <v>71314.9420671613</v>
      </c>
      <c r="T100" s="127" t="n">
        <f aca="false">T98*T99</f>
        <v>111418.766371575</v>
      </c>
      <c r="U100" s="127" t="n">
        <f aca="false">U98*U99</f>
        <v>187438.103704019</v>
      </c>
      <c r="V100" s="127" t="n">
        <f aca="false">V98*V99</f>
        <v>177180.107961656</v>
      </c>
      <c r="W100" s="127" t="n">
        <f aca="false">W98*W99</f>
        <v>189107.924124983</v>
      </c>
      <c r="X100" s="127" t="n">
        <f aca="false">X98*X99</f>
        <v>171649.42892824</v>
      </c>
      <c r="Y100" s="127" t="n">
        <f aca="false">Y98*Y99</f>
        <v>281203.977140008</v>
      </c>
      <c r="Z100" s="127" t="n">
        <f aca="false">Z98*Z99</f>
        <v>255070.295752986</v>
      </c>
      <c r="AA100" s="127" t="n">
        <f aca="false">AA98*AA99</f>
        <v>276908.019980878</v>
      </c>
      <c r="AB100" s="127" t="n">
        <f aca="false">AB98*AB99</f>
        <v>284509.908467728</v>
      </c>
      <c r="AC100" s="127" t="n">
        <f aca="false">AC98*AC99</f>
        <v>334907.442034937</v>
      </c>
      <c r="AD100" s="127" t="n">
        <f aca="false">AD98*AD99</f>
        <v>278608.31264798</v>
      </c>
      <c r="AE100" s="127" t="n">
        <f aca="false">AE98*AE99</f>
        <v>285026.066152032</v>
      </c>
      <c r="AF100" s="127" t="n">
        <f aca="false">AF98*AF99</f>
        <v>320937.10384167</v>
      </c>
      <c r="AG100" s="127" t="n">
        <f aca="false">AG98*AG99</f>
        <v>407471.06733859</v>
      </c>
      <c r="AH100" s="127" t="n">
        <f aca="false">AH98*AH99</f>
        <v>366044.376573352</v>
      </c>
      <c r="AI100" s="127" t="n">
        <f aca="false">AI98*AI99</f>
        <v>425690.543260646</v>
      </c>
      <c r="AJ100" s="127" t="n">
        <f aca="false">AJ98*AJ99</f>
        <v>497624.098801669</v>
      </c>
      <c r="AK100" s="127" t="n">
        <f aca="false">AK98*AK99</f>
        <v>622408.497232532</v>
      </c>
      <c r="AL100" s="127" t="n">
        <f aca="false">AL98*AL99</f>
        <v>556363.007723112</v>
      </c>
      <c r="AM100" s="127" t="n">
        <f aca="false">AM98*AM99</f>
        <v>616999.475340514</v>
      </c>
      <c r="AN100" s="127" t="n">
        <f aca="false">AN98*AN99</f>
        <v>522044.574227869</v>
      </c>
      <c r="AO100" s="127" t="n">
        <f aca="false">AO98*AO99</f>
        <v>567927.962160497</v>
      </c>
      <c r="AP100" s="127" t="n">
        <f aca="false">AP98*AP99</f>
        <v>626631.76293388</v>
      </c>
      <c r="AQ100" s="127" t="n">
        <f aca="false">AQ98*AQ99</f>
        <v>725007.076587351</v>
      </c>
      <c r="AR100" s="127" t="n">
        <f aca="false">AR98*AR99</f>
        <v>756967.385375326</v>
      </c>
      <c r="AS100" s="127" t="n">
        <f aca="false">AS98*AS99</f>
        <v>787436.088985831</v>
      </c>
      <c r="AT100" s="127" t="n">
        <f aca="false">AT98*AT99</f>
        <v>787436.088985831</v>
      </c>
      <c r="AU100" s="127" t="n">
        <f aca="false">AU98*AU99</f>
        <v>957553.641581655</v>
      </c>
      <c r="AV100" s="127" t="n">
        <f aca="false">AV98*AV99</f>
        <v>814814.757088041</v>
      </c>
      <c r="AW100" s="127" t="n">
        <f aca="false">AW98*AW99</f>
        <v>677216.417881579</v>
      </c>
      <c r="AX100" s="127" t="n">
        <f aca="false">AX98*AX99</f>
        <v>680029.029023496</v>
      </c>
      <c r="AY100" s="127" t="n">
        <f aca="false">AY98*AY99</f>
        <v>688920.128289214</v>
      </c>
      <c r="AZ100" s="127" t="n">
        <f aca="false">AZ98*AZ99</f>
        <v>792192.107694086</v>
      </c>
      <c r="BA100" s="127" t="n">
        <f aca="false">BA98*BA99</f>
        <v>774929.552834342</v>
      </c>
      <c r="BB100" s="127" t="n">
        <f aca="false">BB98*BB99</f>
        <v>752007.507680414</v>
      </c>
      <c r="BC100" s="127" t="n">
        <f aca="false">BC98*BC99</f>
        <v>776399.97793321</v>
      </c>
      <c r="BD100" s="127" t="n">
        <f aca="false">BD98*BD99</f>
        <v>797385.654032203</v>
      </c>
      <c r="BE100" s="127" t="n">
        <f aca="false">BE98*BE99</f>
        <v>814684.901030336</v>
      </c>
      <c r="BF100" s="127" t="n">
        <f aca="false">BF98*BF99</f>
        <v>832002.073184066</v>
      </c>
      <c r="BG100" s="127" t="n">
        <f aca="false">BG98*BG99</f>
        <v>797385.654032203</v>
      </c>
      <c r="BH100" s="127" t="n">
        <f aca="false">BH98*BH99</f>
        <v>814684.901030336</v>
      </c>
      <c r="BI100" s="127" t="n">
        <f aca="false">BI98*BI99</f>
        <v>907625.965221067</v>
      </c>
      <c r="BJ100" s="127" t="n">
        <f aca="false">BJ98*BJ99</f>
        <v>643507.26998153</v>
      </c>
      <c r="BK100" s="127" t="n">
        <f aca="false">BK98*BK99</f>
        <v>462920.76998153</v>
      </c>
      <c r="BL100" s="127" t="n">
        <f aca="false">BL98*BL99</f>
        <v>466347.43889953</v>
      </c>
      <c r="BM100" s="127" t="n">
        <f aca="false">BM98*BM99</f>
        <v>476347.43889953</v>
      </c>
      <c r="BN100" s="127" t="n">
        <f aca="false">BN98*BN99</f>
        <v>576470.159808636</v>
      </c>
      <c r="BO100" s="127" t="n">
        <f aca="false">BO98*BO99</f>
        <v>465502.04419905</v>
      </c>
      <c r="BP100" s="127" t="n">
        <f aca="false">BP98*BP99</f>
        <v>315607.707318965</v>
      </c>
      <c r="BQ100" s="127" t="n">
        <f aca="false">BQ98*BQ99</f>
        <v>364093.343122524</v>
      </c>
      <c r="BR100" s="127" t="n">
        <f aca="false">BR98*BR99</f>
        <v>389711.622341961</v>
      </c>
      <c r="BS100" s="127" t="n">
        <f aca="false">BS98*BS99</f>
        <v>490004.872341961</v>
      </c>
      <c r="BT100" s="127" t="n">
        <f aca="false">BT98*BT99</f>
        <v>417770.272341961</v>
      </c>
      <c r="BU100" s="127" t="n">
        <f aca="false">BU98*BU99</f>
        <v>295907.663629789</v>
      </c>
      <c r="BV100" s="127" t="n">
        <f aca="false">BV98*BV99</f>
        <v>226023.126356424</v>
      </c>
      <c r="BW100" s="127" t="n">
        <f aca="false">BW98*BW99</f>
        <v>175711.603279501</v>
      </c>
      <c r="BX100" s="127" t="n">
        <f aca="false">BX98*BX99</f>
        <v>49301.053279501</v>
      </c>
      <c r="BY100" s="127" t="n">
        <f aca="false">BY98*BY99</f>
        <v>-40992.196720499</v>
      </c>
      <c r="BZ100" s="127" t="n">
        <f aca="false">BZ98*BZ99</f>
        <v>-121631.273654909</v>
      </c>
      <c r="CA100" s="127" t="n">
        <f aca="false">CA98*CA99</f>
        <v>-248041.823654909</v>
      </c>
      <c r="CB100" s="127" t="n">
        <f aca="false">CB98*CB99</f>
        <v>-0</v>
      </c>
      <c r="CC100" s="127" t="n">
        <f aca="false">CC98*CC99</f>
        <v>-0</v>
      </c>
      <c r="CD100" s="127" t="n">
        <f aca="false">CD98*CD99</f>
        <v>-0</v>
      </c>
      <c r="CE100" s="127" t="n">
        <f aca="false">CE98*CE99</f>
        <v>-0</v>
      </c>
      <c r="CF100" s="127" t="n">
        <f aca="false">CF98*CF99</f>
        <v>-0</v>
      </c>
      <c r="CG100" s="127" t="n">
        <f aca="false">CG98*CG99</f>
        <v>-0</v>
      </c>
      <c r="CH100" s="127" t="n">
        <f aca="false">CH98*CH99</f>
        <v>-0</v>
      </c>
      <c r="CI100" s="127" t="n">
        <f aca="false">CI98*CI99</f>
        <v>-0</v>
      </c>
      <c r="CJ100" s="127" t="n">
        <f aca="false">CJ98*CJ99</f>
        <v>-0</v>
      </c>
      <c r="CK100" s="127" t="n">
        <f aca="false">CK98*CK99</f>
        <v>-0</v>
      </c>
      <c r="CL100" s="127" t="n">
        <f aca="false">CL98*CL99</f>
        <v>-0</v>
      </c>
      <c r="CM100" s="127" t="n">
        <f aca="false">CM98*CM99</f>
        <v>-0</v>
      </c>
      <c r="CN100" s="127" t="n">
        <f aca="false">CN98*CN99</f>
        <v>-0</v>
      </c>
      <c r="CO100" s="127" t="n">
        <f aca="false">CO98*CO99</f>
        <v>-0</v>
      </c>
      <c r="CP100" s="127" t="n">
        <f aca="false">CP98*CP99</f>
        <v>-0</v>
      </c>
      <c r="CQ100" s="127" t="n">
        <f aca="false">CQ98*CQ99</f>
        <v>-0</v>
      </c>
      <c r="CR100" s="127" t="n">
        <f aca="false">CR98*CR99</f>
        <v>-0</v>
      </c>
      <c r="CS100" s="127" t="n">
        <f aca="false">CS98*CS99</f>
        <v>-0</v>
      </c>
      <c r="CT100" s="127" t="n">
        <f aca="false">CT98*CT99</f>
        <v>-0</v>
      </c>
      <c r="CU100" s="127" t="n">
        <f aca="false">CU98*CU99</f>
        <v>-0</v>
      </c>
      <c r="CV100" s="127" t="n">
        <f aca="false">CV98*CV99</f>
        <v>-0</v>
      </c>
      <c r="CW100" s="127" t="n">
        <f aca="false">CW98*CW99</f>
        <v>-0</v>
      </c>
      <c r="CX100" s="127" t="n">
        <f aca="false">CX98*CX99</f>
        <v>-0</v>
      </c>
      <c r="CY100" s="127" t="n">
        <f aca="false">CY98*CY99</f>
        <v>-0</v>
      </c>
      <c r="CZ100" s="127" t="n">
        <f aca="false">CZ98*CZ99</f>
        <v>-0</v>
      </c>
      <c r="DA100" s="127" t="n">
        <f aca="false">DA98*DA99</f>
        <v>-0</v>
      </c>
      <c r="DB100" s="127" t="n">
        <f aca="false">DB98*DB99</f>
        <v>-0</v>
      </c>
      <c r="DC100" s="127" t="n">
        <f aca="false">DC98*DC99</f>
        <v>-0</v>
      </c>
      <c r="DD100" s="127" t="n">
        <f aca="false">DD98*DD99</f>
        <v>-0</v>
      </c>
      <c r="DE100" s="127" t="n">
        <f aca="false">DE98*DE99</f>
        <v>-0</v>
      </c>
      <c r="DF100" s="127" t="n">
        <f aca="false">DF98*DF99</f>
        <v>-0</v>
      </c>
    </row>
    <row r="101" customFormat="false" ht="15" hidden="false" customHeight="true" outlineLevel="0" collapsed="false">
      <c r="A101" s="72" t="s">
        <v>1178</v>
      </c>
      <c r="C101" s="315" t="n">
        <f aca="false">IF(AND(Projects!$G$17="Yes",Projects!$M$17="Yes",-2&gt;=Projects!$C$17,-2&lt;Projects!$C$17+Projects!$D$17),Projects!$B$17*INDEX(Curves!$B$4:$AR$4,1,-2-Projects!$C$17+1),0)+IF(AND(Projects!$G$18="Yes",Projects!$M$18="Yes",-2&gt;=Projects!$C$18,-2&lt;Projects!$C$18+Projects!$D$18),Projects!$B$18*INDEX(Curves!$B$4:$AR$4,1,-2-Projects!$C$18+1),0)+IF(AND(Projects!$G$19="Yes",Projects!$M$19="Yes",-2&gt;=Projects!$C$19,-2&lt;Projects!$C$19+Projects!$D$19),Projects!$B$19*INDEX(Curves!$B$4:$AR$4,1,-2-Projects!$C$19+1),0)+IF(AND(Projects!$G$20="Yes",Projects!$M$20="Yes",-2&gt;=Projects!$C$20,-2&lt;Projects!$C$20+Projects!$D$20),Projects!$B$20*INDEX(Curves!$B$4:$AR$4,1,-2-Projects!$C$20+1),0)+IF(AND(Projects!$G$21="Yes",Projects!$M$21="Yes",-2&gt;=Projects!$C$21,-2&lt;Projects!$C$21+Projects!$D$21),Projects!$B$21*INDEX(Curves!$B$4:$AR$4,1,-2-Projects!$C$21+1),0)+IF(AND(Projects!$G$22="Yes",Projects!$M$22="Yes",-2&gt;=Projects!$C$22,-2&lt;Projects!$C$22+Projects!$D$22),Projects!$B$22*INDEX(Curves!$B$4:$AR$4,1,-2-Projects!$C$22+1),0)+IF(AND(Projects!$G$23="Yes",Projects!$M$23="Yes",-2&gt;=Projects!$C$23,-2&lt;Projects!$C$23+Projects!$D$23),Projects!$B$23*INDEX(Curves!$B$4:$AR$4,1,-2-Projects!$C$23+1),0)+IF(AND(Projects!$G$24="Yes",Projects!$M$24="Yes",-2&gt;=Projects!$C$24,-2&lt;Projects!$C$24+Projects!$D$24),Projects!$B$24*INDEX(Curves!$B$4:$AR$4,1,-2-Projects!$C$24+1),0)+IF(AND(Projects!$G$25="Yes",Projects!$M$25="Yes",-2&gt;=Projects!$C$25,-2&lt;Projects!$C$25+Projects!$D$25),Projects!$B$25*INDEX(Curves!$B$4:$AR$4,1,-2-Projects!$C$25+1),0)+IF(AND(Projects!$G$26="Yes",Projects!$M$26="Yes",-2&gt;=Projects!$C$26,-2&lt;Projects!$C$26+Projects!$D$26),Projects!$B$26*INDEX(Curves!$B$4:$AR$4,1,-2-Projects!$C$26+1),0)+IF(AND(Projects!$G$27="Yes",Projects!$M$27="Yes",-2&gt;=Projects!$C$27,-2&lt;Projects!$C$27+Projects!$D$27),Projects!$B$27*INDEX(Curves!$B$4:$AR$4,1,-2-Projects!$C$27+1),0)+IF(AND(Projects!$G$28="Yes",Projects!$M$28="Yes",-2&gt;=Projects!$C$28,-2&lt;Projects!$C$28+Projects!$D$28),Projects!$B$28*INDEX(Curves!$B$4:$AR$4,1,-2-Projects!$C$28+1),0)+IF(AND(Projects!$G$29="Yes",Projects!$M$29="Yes",-2&gt;=Projects!$C$29,-2&lt;Projects!$C$29+Projects!$D$29),Projects!$B$29*INDEX(Curves!$B$4:$AR$4,1,-2-Projects!$C$29+1),0)+IF(AND(Projects!$G$30="Yes",Projects!$M$30="Yes",-2&gt;=Projects!$C$30,-2&lt;Projects!$C$30+Projects!$D$30),Projects!$B$30*INDEX(Curves!$B$4:$AR$4,1,-2-Projects!$C$30+1),0)+IF(AND(Projects!$G$31="Yes",Projects!$M$31="Yes",-2&gt;=Projects!$C$31,-2&lt;Projects!$C$31+Projects!$D$31),Projects!$B$31*INDEX(Curves!$B$4:$AR$4,1,-2-Projects!$C$31+1),0)+IF(AND(Projects!$G$32="Yes",Projects!$M$32="Yes",-2&gt;=Projects!$C$32,-2&lt;Projects!$C$32+Projects!$D$32),Projects!$B$32*INDEX(Curves!$B$4:$AR$4,1,-2-Projects!$C$32+1),0)+IF(AND(Projects!$G$33="Yes",Projects!$M$33="Yes",-2&gt;=Projects!$C$33,-2&lt;Projects!$C$33+Projects!$D$33),Projects!$B$33*INDEX(Curves!$B$4:$AR$4,1,-2-Projects!$C$33+1),0)+IF(AND(Projects!$G$34="Yes",Projects!$M$34="Yes",-2&gt;=Projects!$C$34,-2&lt;Projects!$C$34+Projects!$D$34),Projects!$B$34*INDEX(Curves!$B$4:$AR$4,1,-2-Projects!$C$34+1),0)+IF(AND(Projects!$G$35="Yes",Projects!$M$35="Yes",-2&gt;=Projects!$C$35,-2&lt;Projects!$C$35+Projects!$D$35),Projects!$B$35*INDEX(Curves!$B$4:$AR$4,1,-2-Projects!$C$35+1),0)+IF(AND(Projects!$G$36="Yes",Projects!$M$36="Yes",-2&gt;=Projects!$C$36,-2&lt;Projects!$C$36+Projects!$D$36),Projects!$B$36*INDEX(Curves!$B$4:$AR$4,1,-2-Projects!$C$36+1),0)+IF(AND(Projects!$G$37="Yes",Projects!$M$37="Yes",-2&gt;=Projects!$C$37,-2&lt;Projects!$C$37+Projects!$D$37),Projects!$B$37*INDEX(Curves!$B$4:$AR$4,1,-2-Projects!$C$37+1),0)+IF(AND(Projects!$G$38="Yes",Projects!$M$38="Yes",-2&gt;=Projects!$C$38,-2&lt;Projects!$C$38+Projects!$D$38),Projects!$B$38*INDEX(Curves!$B$4:$AR$4,1,-2-Projects!$C$38+1),0)+IF(AND(Projects!$G$39="Yes",Projects!$M$39="Yes",-2&gt;=Projects!$C$39,-2&lt;Projects!$C$39+Projects!$D$39),Projects!$B$39*INDEX(Curves!$B$4:$AR$4,1,-2-Projects!$C$39+1),0)+IF(AND(Projects!$G$40="Yes",Projects!$M$40="Yes",-2&gt;=Projects!$C$40,-2&lt;Projects!$C$40+Projects!$D$40),Projects!$B$40*INDEX(Curves!$B$4:$AR$4,1,-2-Projects!$C$40+1),0)+IF(AND(Projects!$G$41="Yes",Projects!$M$41="Yes",-2&gt;=Projects!$C$41,-2&lt;Projects!$C$41+Projects!$D$41),Projects!$B$41*INDEX(Curves!$B$4:$AR$4,1,-2-Projects!$C$41+1),0)+IF(AND(Projects!$G$42="Yes",Projects!$M$42="Yes",-2&gt;=Projects!$C$42,-2&lt;Projects!$C$42+Projects!$D$42),Projects!$B$42*INDEX(Curves!$B$4:$AR$4,1,-2-Projects!$C$42+1),0)+IF(AND(Projects!$G$43="Yes",Projects!$M$43="Yes",-2&gt;=Projects!$C$43,-2&lt;Projects!$C$43+Projects!$D$43),Projects!$B$43*INDEX(Curves!$B$4:$AR$4,1,-2-Projects!$C$43+1),0)+IF(AND(Projects!$G$44="Yes",Projects!$M$44="Yes",-2&gt;=Projects!$C$44,-2&lt;Projects!$C$44+Projects!$D$44),Projects!$B$44*INDEX(Curves!$B$4:$AR$4,1,-2-Projects!$C$44+1),0)+IF(AND(Projects!$G$45="Yes",Projects!$M$45="Yes",-2&gt;=Projects!$C$45,-2&lt;Projects!$C$45+Projects!$D$45),Projects!$B$45*INDEX(Curves!$B$4:$AR$4,1,-2-Projects!$C$45+1),0)+IF(AND(Projects!$G$46="Yes",Projects!$M$46="Yes",-2&gt;=Projects!$C$46,-2&lt;Projects!$C$46+Projects!$D$46),Projects!$B$46*INDEX(Curves!$B$4:$AR$4,1,-2-Projects!$C$46+1),0)</f>
        <v>0</v>
      </c>
      <c r="D101" s="315" t="n">
        <f aca="false">IF(AND(Projects!$G$17="Yes",Projects!$M$17="Yes",-1&gt;=Projects!$C$17,-1&lt;Projects!$C$17+Projects!$D$17),Projects!$B$17*INDEX(Curves!$B$4:$AR$4,1,-1-Projects!$C$17+1),0)+IF(AND(Projects!$G$18="Yes",Projects!$M$18="Yes",-1&gt;=Projects!$C$18,-1&lt;Projects!$C$18+Projects!$D$18),Projects!$B$18*INDEX(Curves!$B$4:$AR$4,1,-1-Projects!$C$18+1),0)+IF(AND(Projects!$G$19="Yes",Projects!$M$19="Yes",-1&gt;=Projects!$C$19,-1&lt;Projects!$C$19+Projects!$D$19),Projects!$B$19*INDEX(Curves!$B$4:$AR$4,1,-1-Projects!$C$19+1),0)+IF(AND(Projects!$G$20="Yes",Projects!$M$20="Yes",-1&gt;=Projects!$C$20,-1&lt;Projects!$C$20+Projects!$D$20),Projects!$B$20*INDEX(Curves!$B$4:$AR$4,1,-1-Projects!$C$20+1),0)+IF(AND(Projects!$G$21="Yes",Projects!$M$21="Yes",-1&gt;=Projects!$C$21,-1&lt;Projects!$C$21+Projects!$D$21),Projects!$B$21*INDEX(Curves!$B$4:$AR$4,1,-1-Projects!$C$21+1),0)+IF(AND(Projects!$G$22="Yes",Projects!$M$22="Yes",-1&gt;=Projects!$C$22,-1&lt;Projects!$C$22+Projects!$D$22),Projects!$B$22*INDEX(Curves!$B$4:$AR$4,1,-1-Projects!$C$22+1),0)+IF(AND(Projects!$G$23="Yes",Projects!$M$23="Yes",-1&gt;=Projects!$C$23,-1&lt;Projects!$C$23+Projects!$D$23),Projects!$B$23*INDEX(Curves!$B$4:$AR$4,1,-1-Projects!$C$23+1),0)+IF(AND(Projects!$G$24="Yes",Projects!$M$24="Yes",-1&gt;=Projects!$C$24,-1&lt;Projects!$C$24+Projects!$D$24),Projects!$B$24*INDEX(Curves!$B$4:$AR$4,1,-1-Projects!$C$24+1),0)+IF(AND(Projects!$G$25="Yes",Projects!$M$25="Yes",-1&gt;=Projects!$C$25,-1&lt;Projects!$C$25+Projects!$D$25),Projects!$B$25*INDEX(Curves!$B$4:$AR$4,1,-1-Projects!$C$25+1),0)+IF(AND(Projects!$G$26="Yes",Projects!$M$26="Yes",-1&gt;=Projects!$C$26,-1&lt;Projects!$C$26+Projects!$D$26),Projects!$B$26*INDEX(Curves!$B$4:$AR$4,1,-1-Projects!$C$26+1),0)+IF(AND(Projects!$G$27="Yes",Projects!$M$27="Yes",-1&gt;=Projects!$C$27,-1&lt;Projects!$C$27+Projects!$D$27),Projects!$B$27*INDEX(Curves!$B$4:$AR$4,1,-1-Projects!$C$27+1),0)+IF(AND(Projects!$G$28="Yes",Projects!$M$28="Yes",-1&gt;=Projects!$C$28,-1&lt;Projects!$C$28+Projects!$D$28),Projects!$B$28*INDEX(Curves!$B$4:$AR$4,1,-1-Projects!$C$28+1),0)+IF(AND(Projects!$G$29="Yes",Projects!$M$29="Yes",-1&gt;=Projects!$C$29,-1&lt;Projects!$C$29+Projects!$D$29),Projects!$B$29*INDEX(Curves!$B$4:$AR$4,1,-1-Projects!$C$29+1),0)+IF(AND(Projects!$G$30="Yes",Projects!$M$30="Yes",-1&gt;=Projects!$C$30,-1&lt;Projects!$C$30+Projects!$D$30),Projects!$B$30*INDEX(Curves!$B$4:$AR$4,1,-1-Projects!$C$30+1),0)+IF(AND(Projects!$G$31="Yes",Projects!$M$31="Yes",-1&gt;=Projects!$C$31,-1&lt;Projects!$C$31+Projects!$D$31),Projects!$B$31*INDEX(Curves!$B$4:$AR$4,1,-1-Projects!$C$31+1),0)+IF(AND(Projects!$G$32="Yes",Projects!$M$32="Yes",-1&gt;=Projects!$C$32,-1&lt;Projects!$C$32+Projects!$D$32),Projects!$B$32*INDEX(Curves!$B$4:$AR$4,1,-1-Projects!$C$32+1),0)+IF(AND(Projects!$G$33="Yes",Projects!$M$33="Yes",-1&gt;=Projects!$C$33,-1&lt;Projects!$C$33+Projects!$D$33),Projects!$B$33*INDEX(Curves!$B$4:$AR$4,1,-1-Projects!$C$33+1),0)+IF(AND(Projects!$G$34="Yes",Projects!$M$34="Yes",-1&gt;=Projects!$C$34,-1&lt;Projects!$C$34+Projects!$D$34),Projects!$B$34*INDEX(Curves!$B$4:$AR$4,1,-1-Projects!$C$34+1),0)+IF(AND(Projects!$G$35="Yes",Projects!$M$35="Yes",-1&gt;=Projects!$C$35,-1&lt;Projects!$C$35+Projects!$D$35),Projects!$B$35*INDEX(Curves!$B$4:$AR$4,1,-1-Projects!$C$35+1),0)+IF(AND(Projects!$G$36="Yes",Projects!$M$36="Yes",-1&gt;=Projects!$C$36,-1&lt;Projects!$C$36+Projects!$D$36),Projects!$B$36*INDEX(Curves!$B$4:$AR$4,1,-1-Projects!$C$36+1),0)+IF(AND(Projects!$G$37="Yes",Projects!$M$37="Yes",-1&gt;=Projects!$C$37,-1&lt;Projects!$C$37+Projects!$D$37),Projects!$B$37*INDEX(Curves!$B$4:$AR$4,1,-1-Projects!$C$37+1),0)+IF(AND(Projects!$G$38="Yes",Projects!$M$38="Yes",-1&gt;=Projects!$C$38,-1&lt;Projects!$C$38+Projects!$D$38),Projects!$B$38*INDEX(Curves!$B$4:$AR$4,1,-1-Projects!$C$38+1),0)+IF(AND(Projects!$G$39="Yes",Projects!$M$39="Yes",-1&gt;=Projects!$C$39,-1&lt;Projects!$C$39+Projects!$D$39),Projects!$B$39*INDEX(Curves!$B$4:$AR$4,1,-1-Projects!$C$39+1),0)+IF(AND(Projects!$G$40="Yes",Projects!$M$40="Yes",-1&gt;=Projects!$C$40,-1&lt;Projects!$C$40+Projects!$D$40),Projects!$B$40*INDEX(Curves!$B$4:$AR$4,1,-1-Projects!$C$40+1),0)+IF(AND(Projects!$G$41="Yes",Projects!$M$41="Yes",-1&gt;=Projects!$C$41,-1&lt;Projects!$C$41+Projects!$D$41),Projects!$B$41*INDEX(Curves!$B$4:$AR$4,1,-1-Projects!$C$41+1),0)+IF(AND(Projects!$G$42="Yes",Projects!$M$42="Yes",-1&gt;=Projects!$C$42,-1&lt;Projects!$C$42+Projects!$D$42),Projects!$B$42*INDEX(Curves!$B$4:$AR$4,1,-1-Projects!$C$42+1),0)+IF(AND(Projects!$G$43="Yes",Projects!$M$43="Yes",-1&gt;=Projects!$C$43,-1&lt;Projects!$C$43+Projects!$D$43),Projects!$B$43*INDEX(Curves!$B$4:$AR$4,1,-1-Projects!$C$43+1),0)+IF(AND(Projects!$G$44="Yes",Projects!$M$44="Yes",-1&gt;=Projects!$C$44,-1&lt;Projects!$C$44+Projects!$D$44),Projects!$B$44*INDEX(Curves!$B$4:$AR$4,1,-1-Projects!$C$44+1),0)+IF(AND(Projects!$G$45="Yes",Projects!$M$45="Yes",-1&gt;=Projects!$C$45,-1&lt;Projects!$C$45+Projects!$D$45),Projects!$B$45*INDEX(Curves!$B$4:$AR$4,1,-1-Projects!$C$45+1),0)+IF(AND(Projects!$G$46="Yes",Projects!$M$46="Yes",-1&gt;=Projects!$C$46,-1&lt;Projects!$C$46+Projects!$D$46),Projects!$B$46*INDEX(Curves!$B$4:$AR$4,1,-1-Projects!$C$46+1),0)</f>
        <v>0</v>
      </c>
      <c r="E101" s="315" t="n">
        <f aca="false">IF(AND(Projects!$G$17="Yes",Projects!$M$17="Yes",0&gt;=Projects!$C$17,0&lt;Projects!$C$17+Projects!$D$17),Projects!$B$17*INDEX(Curves!$B$4:$AR$4,1,0-Projects!$C$17+1),0)+IF(AND(Projects!$G$18="Yes",Projects!$M$18="Yes",0&gt;=Projects!$C$18,0&lt;Projects!$C$18+Projects!$D$18),Projects!$B$18*INDEX(Curves!$B$4:$AR$4,1,0-Projects!$C$18+1),0)+IF(AND(Projects!$G$19="Yes",Projects!$M$19="Yes",0&gt;=Projects!$C$19,0&lt;Projects!$C$19+Projects!$D$19),Projects!$B$19*INDEX(Curves!$B$4:$AR$4,1,0-Projects!$C$19+1),0)+IF(AND(Projects!$G$20="Yes",Projects!$M$20="Yes",0&gt;=Projects!$C$20,0&lt;Projects!$C$20+Projects!$D$20),Projects!$B$20*INDEX(Curves!$B$4:$AR$4,1,0-Projects!$C$20+1),0)+IF(AND(Projects!$G$21="Yes",Projects!$M$21="Yes",0&gt;=Projects!$C$21,0&lt;Projects!$C$21+Projects!$D$21),Projects!$B$21*INDEX(Curves!$B$4:$AR$4,1,0-Projects!$C$21+1),0)+IF(AND(Projects!$G$22="Yes",Projects!$M$22="Yes",0&gt;=Projects!$C$22,0&lt;Projects!$C$22+Projects!$D$22),Projects!$B$22*INDEX(Curves!$B$4:$AR$4,1,0-Projects!$C$22+1),0)+IF(AND(Projects!$G$23="Yes",Projects!$M$23="Yes",0&gt;=Projects!$C$23,0&lt;Projects!$C$23+Projects!$D$23),Projects!$B$23*INDEX(Curves!$B$4:$AR$4,1,0-Projects!$C$23+1),0)+IF(AND(Projects!$G$24="Yes",Projects!$M$24="Yes",0&gt;=Projects!$C$24,0&lt;Projects!$C$24+Projects!$D$24),Projects!$B$24*INDEX(Curves!$B$4:$AR$4,1,0-Projects!$C$24+1),0)+IF(AND(Projects!$G$25="Yes",Projects!$M$25="Yes",0&gt;=Projects!$C$25,0&lt;Projects!$C$25+Projects!$D$25),Projects!$B$25*INDEX(Curves!$B$4:$AR$4,1,0-Projects!$C$25+1),0)+IF(AND(Projects!$G$26="Yes",Projects!$M$26="Yes",0&gt;=Projects!$C$26,0&lt;Projects!$C$26+Projects!$D$26),Projects!$B$26*INDEX(Curves!$B$4:$AR$4,1,0-Projects!$C$26+1),0)+IF(AND(Projects!$G$27="Yes",Projects!$M$27="Yes",0&gt;=Projects!$C$27,0&lt;Projects!$C$27+Projects!$D$27),Projects!$B$27*INDEX(Curves!$B$4:$AR$4,1,0-Projects!$C$27+1),0)+IF(AND(Projects!$G$28="Yes",Projects!$M$28="Yes",0&gt;=Projects!$C$28,0&lt;Projects!$C$28+Projects!$D$28),Projects!$B$28*INDEX(Curves!$B$4:$AR$4,1,0-Projects!$C$28+1),0)+IF(AND(Projects!$G$29="Yes",Projects!$M$29="Yes",0&gt;=Projects!$C$29,0&lt;Projects!$C$29+Projects!$D$29),Projects!$B$29*INDEX(Curves!$B$4:$AR$4,1,0-Projects!$C$29+1),0)+IF(AND(Projects!$G$30="Yes",Projects!$M$30="Yes",0&gt;=Projects!$C$30,0&lt;Projects!$C$30+Projects!$D$30),Projects!$B$30*INDEX(Curves!$B$4:$AR$4,1,0-Projects!$C$30+1),0)+IF(AND(Projects!$G$31="Yes",Projects!$M$31="Yes",0&gt;=Projects!$C$31,0&lt;Projects!$C$31+Projects!$D$31),Projects!$B$31*INDEX(Curves!$B$4:$AR$4,1,0-Projects!$C$31+1),0)+IF(AND(Projects!$G$32="Yes",Projects!$M$32="Yes",0&gt;=Projects!$C$32,0&lt;Projects!$C$32+Projects!$D$32),Projects!$B$32*INDEX(Curves!$B$4:$AR$4,1,0-Projects!$C$32+1),0)+IF(AND(Projects!$G$33="Yes",Projects!$M$33="Yes",0&gt;=Projects!$C$33,0&lt;Projects!$C$33+Projects!$D$33),Projects!$B$33*INDEX(Curves!$B$4:$AR$4,1,0-Projects!$C$33+1),0)+IF(AND(Projects!$G$34="Yes",Projects!$M$34="Yes",0&gt;=Projects!$C$34,0&lt;Projects!$C$34+Projects!$D$34),Projects!$B$34*INDEX(Curves!$B$4:$AR$4,1,0-Projects!$C$34+1),0)+IF(AND(Projects!$G$35="Yes",Projects!$M$35="Yes",0&gt;=Projects!$C$35,0&lt;Projects!$C$35+Projects!$D$35),Projects!$B$35*INDEX(Curves!$B$4:$AR$4,1,0-Projects!$C$35+1),0)+IF(AND(Projects!$G$36="Yes",Projects!$M$36="Yes",0&gt;=Projects!$C$36,0&lt;Projects!$C$36+Projects!$D$36),Projects!$B$36*INDEX(Curves!$B$4:$AR$4,1,0-Projects!$C$36+1),0)+IF(AND(Projects!$G$37="Yes",Projects!$M$37="Yes",0&gt;=Projects!$C$37,0&lt;Projects!$C$37+Projects!$D$37),Projects!$B$37*INDEX(Curves!$B$4:$AR$4,1,0-Projects!$C$37+1),0)+IF(AND(Projects!$G$38="Yes",Projects!$M$38="Yes",0&gt;=Projects!$C$38,0&lt;Projects!$C$38+Projects!$D$38),Projects!$B$38*INDEX(Curves!$B$4:$AR$4,1,0-Projects!$C$38+1),0)+IF(AND(Projects!$G$39="Yes",Projects!$M$39="Yes",0&gt;=Projects!$C$39,0&lt;Projects!$C$39+Projects!$D$39),Projects!$B$39*INDEX(Curves!$B$4:$AR$4,1,0-Projects!$C$39+1),0)+IF(AND(Projects!$G$40="Yes",Projects!$M$40="Yes",0&gt;=Projects!$C$40,0&lt;Projects!$C$40+Projects!$D$40),Projects!$B$40*INDEX(Curves!$B$4:$AR$4,1,0-Projects!$C$40+1),0)+IF(AND(Projects!$G$41="Yes",Projects!$M$41="Yes",0&gt;=Projects!$C$41,0&lt;Projects!$C$41+Projects!$D$41),Projects!$B$41*INDEX(Curves!$B$4:$AR$4,1,0-Projects!$C$41+1),0)+IF(AND(Projects!$G$42="Yes",Projects!$M$42="Yes",0&gt;=Projects!$C$42,0&lt;Projects!$C$42+Projects!$D$42),Projects!$B$42*INDEX(Curves!$B$4:$AR$4,1,0-Projects!$C$42+1),0)+IF(AND(Projects!$G$43="Yes",Projects!$M$43="Yes",0&gt;=Projects!$C$43,0&lt;Projects!$C$43+Projects!$D$43),Projects!$B$43*INDEX(Curves!$B$4:$AR$4,1,0-Projects!$C$43+1),0)+IF(AND(Projects!$G$44="Yes",Projects!$M$44="Yes",0&gt;=Projects!$C$44,0&lt;Projects!$C$44+Projects!$D$44),Projects!$B$44*INDEX(Curves!$B$4:$AR$4,1,0-Projects!$C$44+1),0)+IF(AND(Projects!$G$45="Yes",Projects!$M$45="Yes",0&gt;=Projects!$C$45,0&lt;Projects!$C$45+Projects!$D$45),Projects!$B$45*INDEX(Curves!$B$4:$AR$4,1,0-Projects!$C$45+1),0)+IF(AND(Projects!$G$46="Yes",Projects!$M$46="Yes",0&gt;=Projects!$C$46,0&lt;Projects!$C$46+Projects!$D$46),Projects!$B$46*INDEX(Curves!$B$4:$AR$4,1,0-Projects!$C$46+1),0)</f>
        <v>0</v>
      </c>
      <c r="F101" s="315" t="n">
        <f aca="false">IF(AND(Projects!$G$17="Yes",Projects!$M$17="Yes",1&gt;=Projects!$C$17,1&lt;Projects!$C$17+Projects!$D$17),Projects!$B$17*INDEX(Curves!$B$4:$AR$4,1,1-Projects!$C$17+1),0)+IF(AND(Projects!$G$18="Yes",Projects!$M$18="Yes",1&gt;=Projects!$C$18,1&lt;Projects!$C$18+Projects!$D$18),Projects!$B$18*INDEX(Curves!$B$4:$AR$4,1,1-Projects!$C$18+1),0)+IF(AND(Projects!$G$19="Yes",Projects!$M$19="Yes",1&gt;=Projects!$C$19,1&lt;Projects!$C$19+Projects!$D$19),Projects!$B$19*INDEX(Curves!$B$4:$AR$4,1,1-Projects!$C$19+1),0)+IF(AND(Projects!$G$20="Yes",Projects!$M$20="Yes",1&gt;=Projects!$C$20,1&lt;Projects!$C$20+Projects!$D$20),Projects!$B$20*INDEX(Curves!$B$4:$AR$4,1,1-Projects!$C$20+1),0)+IF(AND(Projects!$G$21="Yes",Projects!$M$21="Yes",1&gt;=Projects!$C$21,1&lt;Projects!$C$21+Projects!$D$21),Projects!$B$21*INDEX(Curves!$B$4:$AR$4,1,1-Projects!$C$21+1),0)+IF(AND(Projects!$G$22="Yes",Projects!$M$22="Yes",1&gt;=Projects!$C$22,1&lt;Projects!$C$22+Projects!$D$22),Projects!$B$22*INDEX(Curves!$B$4:$AR$4,1,1-Projects!$C$22+1),0)+IF(AND(Projects!$G$23="Yes",Projects!$M$23="Yes",1&gt;=Projects!$C$23,1&lt;Projects!$C$23+Projects!$D$23),Projects!$B$23*INDEX(Curves!$B$4:$AR$4,1,1-Projects!$C$23+1),0)+IF(AND(Projects!$G$24="Yes",Projects!$M$24="Yes",1&gt;=Projects!$C$24,1&lt;Projects!$C$24+Projects!$D$24),Projects!$B$24*INDEX(Curves!$B$4:$AR$4,1,1-Projects!$C$24+1),0)+IF(AND(Projects!$G$25="Yes",Projects!$M$25="Yes",1&gt;=Projects!$C$25,1&lt;Projects!$C$25+Projects!$D$25),Projects!$B$25*INDEX(Curves!$B$4:$AR$4,1,1-Projects!$C$25+1),0)+IF(AND(Projects!$G$26="Yes",Projects!$M$26="Yes",1&gt;=Projects!$C$26,1&lt;Projects!$C$26+Projects!$D$26),Projects!$B$26*INDEX(Curves!$B$4:$AR$4,1,1-Projects!$C$26+1),0)+IF(AND(Projects!$G$27="Yes",Projects!$M$27="Yes",1&gt;=Projects!$C$27,1&lt;Projects!$C$27+Projects!$D$27),Projects!$B$27*INDEX(Curves!$B$4:$AR$4,1,1-Projects!$C$27+1),0)+IF(AND(Projects!$G$28="Yes",Projects!$M$28="Yes",1&gt;=Projects!$C$28,1&lt;Projects!$C$28+Projects!$D$28),Projects!$B$28*INDEX(Curves!$B$4:$AR$4,1,1-Projects!$C$28+1),0)+IF(AND(Projects!$G$29="Yes",Projects!$M$29="Yes",1&gt;=Projects!$C$29,1&lt;Projects!$C$29+Projects!$D$29),Projects!$B$29*INDEX(Curves!$B$4:$AR$4,1,1-Projects!$C$29+1),0)+IF(AND(Projects!$G$30="Yes",Projects!$M$30="Yes",1&gt;=Projects!$C$30,1&lt;Projects!$C$30+Projects!$D$30),Projects!$B$30*INDEX(Curves!$B$4:$AR$4,1,1-Projects!$C$30+1),0)+IF(AND(Projects!$G$31="Yes",Projects!$M$31="Yes",1&gt;=Projects!$C$31,1&lt;Projects!$C$31+Projects!$D$31),Projects!$B$31*INDEX(Curves!$B$4:$AR$4,1,1-Projects!$C$31+1),0)+IF(AND(Projects!$G$32="Yes",Projects!$M$32="Yes",1&gt;=Projects!$C$32,1&lt;Projects!$C$32+Projects!$D$32),Projects!$B$32*INDEX(Curves!$B$4:$AR$4,1,1-Projects!$C$32+1),0)+IF(AND(Projects!$G$33="Yes",Projects!$M$33="Yes",1&gt;=Projects!$C$33,1&lt;Projects!$C$33+Projects!$D$33),Projects!$B$33*INDEX(Curves!$B$4:$AR$4,1,1-Projects!$C$33+1),0)+IF(AND(Projects!$G$34="Yes",Projects!$M$34="Yes",1&gt;=Projects!$C$34,1&lt;Projects!$C$34+Projects!$D$34),Projects!$B$34*INDEX(Curves!$B$4:$AR$4,1,1-Projects!$C$34+1),0)+IF(AND(Projects!$G$35="Yes",Projects!$M$35="Yes",1&gt;=Projects!$C$35,1&lt;Projects!$C$35+Projects!$D$35),Projects!$B$35*INDEX(Curves!$B$4:$AR$4,1,1-Projects!$C$35+1),0)+IF(AND(Projects!$G$36="Yes",Projects!$M$36="Yes",1&gt;=Projects!$C$36,1&lt;Projects!$C$36+Projects!$D$36),Projects!$B$36*INDEX(Curves!$B$4:$AR$4,1,1-Projects!$C$36+1),0)+IF(AND(Projects!$G$37="Yes",Projects!$M$37="Yes",1&gt;=Projects!$C$37,1&lt;Projects!$C$37+Projects!$D$37),Projects!$B$37*INDEX(Curves!$B$4:$AR$4,1,1-Projects!$C$37+1),0)+IF(AND(Projects!$G$38="Yes",Projects!$M$38="Yes",1&gt;=Projects!$C$38,1&lt;Projects!$C$38+Projects!$D$38),Projects!$B$38*INDEX(Curves!$B$4:$AR$4,1,1-Projects!$C$38+1),0)+IF(AND(Projects!$G$39="Yes",Projects!$M$39="Yes",1&gt;=Projects!$C$39,1&lt;Projects!$C$39+Projects!$D$39),Projects!$B$39*INDEX(Curves!$B$4:$AR$4,1,1-Projects!$C$39+1),0)+IF(AND(Projects!$G$40="Yes",Projects!$M$40="Yes",1&gt;=Projects!$C$40,1&lt;Projects!$C$40+Projects!$D$40),Projects!$B$40*INDEX(Curves!$B$4:$AR$4,1,1-Projects!$C$40+1),0)+IF(AND(Projects!$G$41="Yes",Projects!$M$41="Yes",1&gt;=Projects!$C$41,1&lt;Projects!$C$41+Projects!$D$41),Projects!$B$41*INDEX(Curves!$B$4:$AR$4,1,1-Projects!$C$41+1),0)+IF(AND(Projects!$G$42="Yes",Projects!$M$42="Yes",1&gt;=Projects!$C$42,1&lt;Projects!$C$42+Projects!$D$42),Projects!$B$42*INDEX(Curves!$B$4:$AR$4,1,1-Projects!$C$42+1),0)+IF(AND(Projects!$G$43="Yes",Projects!$M$43="Yes",1&gt;=Projects!$C$43,1&lt;Projects!$C$43+Projects!$D$43),Projects!$B$43*INDEX(Curves!$B$4:$AR$4,1,1-Projects!$C$43+1),0)+IF(AND(Projects!$G$44="Yes",Projects!$M$44="Yes",1&gt;=Projects!$C$44,1&lt;Projects!$C$44+Projects!$D$44),Projects!$B$44*INDEX(Curves!$B$4:$AR$4,1,1-Projects!$C$44+1),0)+IF(AND(Projects!$G$45="Yes",Projects!$M$45="Yes",1&gt;=Projects!$C$45,1&lt;Projects!$C$45+Projects!$D$45),Projects!$B$45*INDEX(Curves!$B$4:$AR$4,1,1-Projects!$C$45+1),0)+IF(AND(Projects!$G$46="Yes",Projects!$M$46="Yes",1&gt;=Projects!$C$46,1&lt;Projects!$C$46+Projects!$D$46),Projects!$B$46*INDEX(Curves!$B$4:$AR$4,1,1-Projects!$C$46+1),0)</f>
        <v>0</v>
      </c>
      <c r="G101" s="315" t="n">
        <f aca="false">IF(AND(Projects!$G$17="Yes",Projects!$M$17="Yes",2&gt;=Projects!$C$17,2&lt;Projects!$C$17+Projects!$D$17),Projects!$B$17*INDEX(Curves!$B$4:$AR$4,1,2-Projects!$C$17+1),0)+IF(AND(Projects!$G$18="Yes",Projects!$M$18="Yes",2&gt;=Projects!$C$18,2&lt;Projects!$C$18+Projects!$D$18),Projects!$B$18*INDEX(Curves!$B$4:$AR$4,1,2-Projects!$C$18+1),0)+IF(AND(Projects!$G$19="Yes",Projects!$M$19="Yes",2&gt;=Projects!$C$19,2&lt;Projects!$C$19+Projects!$D$19),Projects!$B$19*INDEX(Curves!$B$4:$AR$4,1,2-Projects!$C$19+1),0)+IF(AND(Projects!$G$20="Yes",Projects!$M$20="Yes",2&gt;=Projects!$C$20,2&lt;Projects!$C$20+Projects!$D$20),Projects!$B$20*INDEX(Curves!$B$4:$AR$4,1,2-Projects!$C$20+1),0)+IF(AND(Projects!$G$21="Yes",Projects!$M$21="Yes",2&gt;=Projects!$C$21,2&lt;Projects!$C$21+Projects!$D$21),Projects!$B$21*INDEX(Curves!$B$4:$AR$4,1,2-Projects!$C$21+1),0)+IF(AND(Projects!$G$22="Yes",Projects!$M$22="Yes",2&gt;=Projects!$C$22,2&lt;Projects!$C$22+Projects!$D$22),Projects!$B$22*INDEX(Curves!$B$4:$AR$4,1,2-Projects!$C$22+1),0)+IF(AND(Projects!$G$23="Yes",Projects!$M$23="Yes",2&gt;=Projects!$C$23,2&lt;Projects!$C$23+Projects!$D$23),Projects!$B$23*INDEX(Curves!$B$4:$AR$4,1,2-Projects!$C$23+1),0)+IF(AND(Projects!$G$24="Yes",Projects!$M$24="Yes",2&gt;=Projects!$C$24,2&lt;Projects!$C$24+Projects!$D$24),Projects!$B$24*INDEX(Curves!$B$4:$AR$4,1,2-Projects!$C$24+1),0)+IF(AND(Projects!$G$25="Yes",Projects!$M$25="Yes",2&gt;=Projects!$C$25,2&lt;Projects!$C$25+Projects!$D$25),Projects!$B$25*INDEX(Curves!$B$4:$AR$4,1,2-Projects!$C$25+1),0)+IF(AND(Projects!$G$26="Yes",Projects!$M$26="Yes",2&gt;=Projects!$C$26,2&lt;Projects!$C$26+Projects!$D$26),Projects!$B$26*INDEX(Curves!$B$4:$AR$4,1,2-Projects!$C$26+1),0)+IF(AND(Projects!$G$27="Yes",Projects!$M$27="Yes",2&gt;=Projects!$C$27,2&lt;Projects!$C$27+Projects!$D$27),Projects!$B$27*INDEX(Curves!$B$4:$AR$4,1,2-Projects!$C$27+1),0)+IF(AND(Projects!$G$28="Yes",Projects!$M$28="Yes",2&gt;=Projects!$C$28,2&lt;Projects!$C$28+Projects!$D$28),Projects!$B$28*INDEX(Curves!$B$4:$AR$4,1,2-Projects!$C$28+1),0)+IF(AND(Projects!$G$29="Yes",Projects!$M$29="Yes",2&gt;=Projects!$C$29,2&lt;Projects!$C$29+Projects!$D$29),Projects!$B$29*INDEX(Curves!$B$4:$AR$4,1,2-Projects!$C$29+1),0)+IF(AND(Projects!$G$30="Yes",Projects!$M$30="Yes",2&gt;=Projects!$C$30,2&lt;Projects!$C$30+Projects!$D$30),Projects!$B$30*INDEX(Curves!$B$4:$AR$4,1,2-Projects!$C$30+1),0)+IF(AND(Projects!$G$31="Yes",Projects!$M$31="Yes",2&gt;=Projects!$C$31,2&lt;Projects!$C$31+Projects!$D$31),Projects!$B$31*INDEX(Curves!$B$4:$AR$4,1,2-Projects!$C$31+1),0)+IF(AND(Projects!$G$32="Yes",Projects!$M$32="Yes",2&gt;=Projects!$C$32,2&lt;Projects!$C$32+Projects!$D$32),Projects!$B$32*INDEX(Curves!$B$4:$AR$4,1,2-Projects!$C$32+1),0)+IF(AND(Projects!$G$33="Yes",Projects!$M$33="Yes",2&gt;=Projects!$C$33,2&lt;Projects!$C$33+Projects!$D$33),Projects!$B$33*INDEX(Curves!$B$4:$AR$4,1,2-Projects!$C$33+1),0)+IF(AND(Projects!$G$34="Yes",Projects!$M$34="Yes",2&gt;=Projects!$C$34,2&lt;Projects!$C$34+Projects!$D$34),Projects!$B$34*INDEX(Curves!$B$4:$AR$4,1,2-Projects!$C$34+1),0)+IF(AND(Projects!$G$35="Yes",Projects!$M$35="Yes",2&gt;=Projects!$C$35,2&lt;Projects!$C$35+Projects!$D$35),Projects!$B$35*INDEX(Curves!$B$4:$AR$4,1,2-Projects!$C$35+1),0)+IF(AND(Projects!$G$36="Yes",Projects!$M$36="Yes",2&gt;=Projects!$C$36,2&lt;Projects!$C$36+Projects!$D$36),Projects!$B$36*INDEX(Curves!$B$4:$AR$4,1,2-Projects!$C$36+1),0)+IF(AND(Projects!$G$37="Yes",Projects!$M$37="Yes",2&gt;=Projects!$C$37,2&lt;Projects!$C$37+Projects!$D$37),Projects!$B$37*INDEX(Curves!$B$4:$AR$4,1,2-Projects!$C$37+1),0)+IF(AND(Projects!$G$38="Yes",Projects!$M$38="Yes",2&gt;=Projects!$C$38,2&lt;Projects!$C$38+Projects!$D$38),Projects!$B$38*INDEX(Curves!$B$4:$AR$4,1,2-Projects!$C$38+1),0)+IF(AND(Projects!$G$39="Yes",Projects!$M$39="Yes",2&gt;=Projects!$C$39,2&lt;Projects!$C$39+Projects!$D$39),Projects!$B$39*INDEX(Curves!$B$4:$AR$4,1,2-Projects!$C$39+1),0)+IF(AND(Projects!$G$40="Yes",Projects!$M$40="Yes",2&gt;=Projects!$C$40,2&lt;Projects!$C$40+Projects!$D$40),Projects!$B$40*INDEX(Curves!$B$4:$AR$4,1,2-Projects!$C$40+1),0)+IF(AND(Projects!$G$41="Yes",Projects!$M$41="Yes",2&gt;=Projects!$C$41,2&lt;Projects!$C$41+Projects!$D$41),Projects!$B$41*INDEX(Curves!$B$4:$AR$4,1,2-Projects!$C$41+1),0)+IF(AND(Projects!$G$42="Yes",Projects!$M$42="Yes",2&gt;=Projects!$C$42,2&lt;Projects!$C$42+Projects!$D$42),Projects!$B$42*INDEX(Curves!$B$4:$AR$4,1,2-Projects!$C$42+1),0)+IF(AND(Projects!$G$43="Yes",Projects!$M$43="Yes",2&gt;=Projects!$C$43,2&lt;Projects!$C$43+Projects!$D$43),Projects!$B$43*INDEX(Curves!$B$4:$AR$4,1,2-Projects!$C$43+1),0)+IF(AND(Projects!$G$44="Yes",Projects!$M$44="Yes",2&gt;=Projects!$C$44,2&lt;Projects!$C$44+Projects!$D$44),Projects!$B$44*INDEX(Curves!$B$4:$AR$4,1,2-Projects!$C$44+1),0)+IF(AND(Projects!$G$45="Yes",Projects!$M$45="Yes",2&gt;=Projects!$C$45,2&lt;Projects!$C$45+Projects!$D$45),Projects!$B$45*INDEX(Curves!$B$4:$AR$4,1,2-Projects!$C$45+1),0)+IF(AND(Projects!$G$46="Yes",Projects!$M$46="Yes",2&gt;=Projects!$C$46,2&lt;Projects!$C$46+Projects!$D$46),Projects!$B$46*INDEX(Curves!$B$4:$AR$4,1,2-Projects!$C$46+1),0)</f>
        <v>0</v>
      </c>
      <c r="H101" s="315" t="n">
        <f aca="false">IF(AND(Projects!$G$17="Yes",Projects!$M$17="Yes",3&gt;=Projects!$C$17,3&lt;Projects!$C$17+Projects!$D$17),Projects!$B$17*INDEX(Curves!$B$4:$AR$4,1,3-Projects!$C$17+1),0)+IF(AND(Projects!$G$18="Yes",Projects!$M$18="Yes",3&gt;=Projects!$C$18,3&lt;Projects!$C$18+Projects!$D$18),Projects!$B$18*INDEX(Curves!$B$4:$AR$4,1,3-Projects!$C$18+1),0)+IF(AND(Projects!$G$19="Yes",Projects!$M$19="Yes",3&gt;=Projects!$C$19,3&lt;Projects!$C$19+Projects!$D$19),Projects!$B$19*INDEX(Curves!$B$4:$AR$4,1,3-Projects!$C$19+1),0)+IF(AND(Projects!$G$20="Yes",Projects!$M$20="Yes",3&gt;=Projects!$C$20,3&lt;Projects!$C$20+Projects!$D$20),Projects!$B$20*INDEX(Curves!$B$4:$AR$4,1,3-Projects!$C$20+1),0)+IF(AND(Projects!$G$21="Yes",Projects!$M$21="Yes",3&gt;=Projects!$C$21,3&lt;Projects!$C$21+Projects!$D$21),Projects!$B$21*INDEX(Curves!$B$4:$AR$4,1,3-Projects!$C$21+1),0)+IF(AND(Projects!$G$22="Yes",Projects!$M$22="Yes",3&gt;=Projects!$C$22,3&lt;Projects!$C$22+Projects!$D$22),Projects!$B$22*INDEX(Curves!$B$4:$AR$4,1,3-Projects!$C$22+1),0)+IF(AND(Projects!$G$23="Yes",Projects!$M$23="Yes",3&gt;=Projects!$C$23,3&lt;Projects!$C$23+Projects!$D$23),Projects!$B$23*INDEX(Curves!$B$4:$AR$4,1,3-Projects!$C$23+1),0)+IF(AND(Projects!$G$24="Yes",Projects!$M$24="Yes",3&gt;=Projects!$C$24,3&lt;Projects!$C$24+Projects!$D$24),Projects!$B$24*INDEX(Curves!$B$4:$AR$4,1,3-Projects!$C$24+1),0)+IF(AND(Projects!$G$25="Yes",Projects!$M$25="Yes",3&gt;=Projects!$C$25,3&lt;Projects!$C$25+Projects!$D$25),Projects!$B$25*INDEX(Curves!$B$4:$AR$4,1,3-Projects!$C$25+1),0)+IF(AND(Projects!$G$26="Yes",Projects!$M$26="Yes",3&gt;=Projects!$C$26,3&lt;Projects!$C$26+Projects!$D$26),Projects!$B$26*INDEX(Curves!$B$4:$AR$4,1,3-Projects!$C$26+1),0)+IF(AND(Projects!$G$27="Yes",Projects!$M$27="Yes",3&gt;=Projects!$C$27,3&lt;Projects!$C$27+Projects!$D$27),Projects!$B$27*INDEX(Curves!$B$4:$AR$4,1,3-Projects!$C$27+1),0)+IF(AND(Projects!$G$28="Yes",Projects!$M$28="Yes",3&gt;=Projects!$C$28,3&lt;Projects!$C$28+Projects!$D$28),Projects!$B$28*INDEX(Curves!$B$4:$AR$4,1,3-Projects!$C$28+1),0)+IF(AND(Projects!$G$29="Yes",Projects!$M$29="Yes",3&gt;=Projects!$C$29,3&lt;Projects!$C$29+Projects!$D$29),Projects!$B$29*INDEX(Curves!$B$4:$AR$4,1,3-Projects!$C$29+1),0)+IF(AND(Projects!$G$30="Yes",Projects!$M$30="Yes",3&gt;=Projects!$C$30,3&lt;Projects!$C$30+Projects!$D$30),Projects!$B$30*INDEX(Curves!$B$4:$AR$4,1,3-Projects!$C$30+1),0)+IF(AND(Projects!$G$31="Yes",Projects!$M$31="Yes",3&gt;=Projects!$C$31,3&lt;Projects!$C$31+Projects!$D$31),Projects!$B$31*INDEX(Curves!$B$4:$AR$4,1,3-Projects!$C$31+1),0)+IF(AND(Projects!$G$32="Yes",Projects!$M$32="Yes",3&gt;=Projects!$C$32,3&lt;Projects!$C$32+Projects!$D$32),Projects!$B$32*INDEX(Curves!$B$4:$AR$4,1,3-Projects!$C$32+1),0)+IF(AND(Projects!$G$33="Yes",Projects!$M$33="Yes",3&gt;=Projects!$C$33,3&lt;Projects!$C$33+Projects!$D$33),Projects!$B$33*INDEX(Curves!$B$4:$AR$4,1,3-Projects!$C$33+1),0)+IF(AND(Projects!$G$34="Yes",Projects!$M$34="Yes",3&gt;=Projects!$C$34,3&lt;Projects!$C$34+Projects!$D$34),Projects!$B$34*INDEX(Curves!$B$4:$AR$4,1,3-Projects!$C$34+1),0)+IF(AND(Projects!$G$35="Yes",Projects!$M$35="Yes",3&gt;=Projects!$C$35,3&lt;Projects!$C$35+Projects!$D$35),Projects!$B$35*INDEX(Curves!$B$4:$AR$4,1,3-Projects!$C$35+1),0)+IF(AND(Projects!$G$36="Yes",Projects!$M$36="Yes",3&gt;=Projects!$C$36,3&lt;Projects!$C$36+Projects!$D$36),Projects!$B$36*INDEX(Curves!$B$4:$AR$4,1,3-Projects!$C$36+1),0)+IF(AND(Projects!$G$37="Yes",Projects!$M$37="Yes",3&gt;=Projects!$C$37,3&lt;Projects!$C$37+Projects!$D$37),Projects!$B$37*INDEX(Curves!$B$4:$AR$4,1,3-Projects!$C$37+1),0)+IF(AND(Projects!$G$38="Yes",Projects!$M$38="Yes",3&gt;=Projects!$C$38,3&lt;Projects!$C$38+Projects!$D$38),Projects!$B$38*INDEX(Curves!$B$4:$AR$4,1,3-Projects!$C$38+1),0)+IF(AND(Projects!$G$39="Yes",Projects!$M$39="Yes",3&gt;=Projects!$C$39,3&lt;Projects!$C$39+Projects!$D$39),Projects!$B$39*INDEX(Curves!$B$4:$AR$4,1,3-Projects!$C$39+1),0)+IF(AND(Projects!$G$40="Yes",Projects!$M$40="Yes",3&gt;=Projects!$C$40,3&lt;Projects!$C$40+Projects!$D$40),Projects!$B$40*INDEX(Curves!$B$4:$AR$4,1,3-Projects!$C$40+1),0)+IF(AND(Projects!$G$41="Yes",Projects!$M$41="Yes",3&gt;=Projects!$C$41,3&lt;Projects!$C$41+Projects!$D$41),Projects!$B$41*INDEX(Curves!$B$4:$AR$4,1,3-Projects!$C$41+1),0)+IF(AND(Projects!$G$42="Yes",Projects!$M$42="Yes",3&gt;=Projects!$C$42,3&lt;Projects!$C$42+Projects!$D$42),Projects!$B$42*INDEX(Curves!$B$4:$AR$4,1,3-Projects!$C$42+1),0)+IF(AND(Projects!$G$43="Yes",Projects!$M$43="Yes",3&gt;=Projects!$C$43,3&lt;Projects!$C$43+Projects!$D$43),Projects!$B$43*INDEX(Curves!$B$4:$AR$4,1,3-Projects!$C$43+1),0)+IF(AND(Projects!$G$44="Yes",Projects!$M$44="Yes",3&gt;=Projects!$C$44,3&lt;Projects!$C$44+Projects!$D$44),Projects!$B$44*INDEX(Curves!$B$4:$AR$4,1,3-Projects!$C$44+1),0)+IF(AND(Projects!$G$45="Yes",Projects!$M$45="Yes",3&gt;=Projects!$C$45,3&lt;Projects!$C$45+Projects!$D$45),Projects!$B$45*INDEX(Curves!$B$4:$AR$4,1,3-Projects!$C$45+1),0)+IF(AND(Projects!$G$46="Yes",Projects!$M$46="Yes",3&gt;=Projects!$C$46,3&lt;Projects!$C$46+Projects!$D$46),Projects!$B$46*INDEX(Curves!$B$4:$AR$4,1,3-Projects!$C$46+1),0)</f>
        <v>0</v>
      </c>
      <c r="I101" s="315" t="n">
        <f aca="false">IF(AND(Projects!$G$17="Yes",Projects!$M$17="Yes",4&gt;=Projects!$C$17,4&lt;Projects!$C$17+Projects!$D$17),Projects!$B$17*INDEX(Curves!$B$4:$AR$4,1,4-Projects!$C$17+1),0)+IF(AND(Projects!$G$18="Yes",Projects!$M$18="Yes",4&gt;=Projects!$C$18,4&lt;Projects!$C$18+Projects!$D$18),Projects!$B$18*INDEX(Curves!$B$4:$AR$4,1,4-Projects!$C$18+1),0)+IF(AND(Projects!$G$19="Yes",Projects!$M$19="Yes",4&gt;=Projects!$C$19,4&lt;Projects!$C$19+Projects!$D$19),Projects!$B$19*INDEX(Curves!$B$4:$AR$4,1,4-Projects!$C$19+1),0)+IF(AND(Projects!$G$20="Yes",Projects!$M$20="Yes",4&gt;=Projects!$C$20,4&lt;Projects!$C$20+Projects!$D$20),Projects!$B$20*INDEX(Curves!$B$4:$AR$4,1,4-Projects!$C$20+1),0)+IF(AND(Projects!$G$21="Yes",Projects!$M$21="Yes",4&gt;=Projects!$C$21,4&lt;Projects!$C$21+Projects!$D$21),Projects!$B$21*INDEX(Curves!$B$4:$AR$4,1,4-Projects!$C$21+1),0)+IF(AND(Projects!$G$22="Yes",Projects!$M$22="Yes",4&gt;=Projects!$C$22,4&lt;Projects!$C$22+Projects!$D$22),Projects!$B$22*INDEX(Curves!$B$4:$AR$4,1,4-Projects!$C$22+1),0)+IF(AND(Projects!$G$23="Yes",Projects!$M$23="Yes",4&gt;=Projects!$C$23,4&lt;Projects!$C$23+Projects!$D$23),Projects!$B$23*INDEX(Curves!$B$4:$AR$4,1,4-Projects!$C$23+1),0)+IF(AND(Projects!$G$24="Yes",Projects!$M$24="Yes",4&gt;=Projects!$C$24,4&lt;Projects!$C$24+Projects!$D$24),Projects!$B$24*INDEX(Curves!$B$4:$AR$4,1,4-Projects!$C$24+1),0)+IF(AND(Projects!$G$25="Yes",Projects!$M$25="Yes",4&gt;=Projects!$C$25,4&lt;Projects!$C$25+Projects!$D$25),Projects!$B$25*INDEX(Curves!$B$4:$AR$4,1,4-Projects!$C$25+1),0)+IF(AND(Projects!$G$26="Yes",Projects!$M$26="Yes",4&gt;=Projects!$C$26,4&lt;Projects!$C$26+Projects!$D$26),Projects!$B$26*INDEX(Curves!$B$4:$AR$4,1,4-Projects!$C$26+1),0)+IF(AND(Projects!$G$27="Yes",Projects!$M$27="Yes",4&gt;=Projects!$C$27,4&lt;Projects!$C$27+Projects!$D$27),Projects!$B$27*INDEX(Curves!$B$4:$AR$4,1,4-Projects!$C$27+1),0)+IF(AND(Projects!$G$28="Yes",Projects!$M$28="Yes",4&gt;=Projects!$C$28,4&lt;Projects!$C$28+Projects!$D$28),Projects!$B$28*INDEX(Curves!$B$4:$AR$4,1,4-Projects!$C$28+1),0)+IF(AND(Projects!$G$29="Yes",Projects!$M$29="Yes",4&gt;=Projects!$C$29,4&lt;Projects!$C$29+Projects!$D$29),Projects!$B$29*INDEX(Curves!$B$4:$AR$4,1,4-Projects!$C$29+1),0)+IF(AND(Projects!$G$30="Yes",Projects!$M$30="Yes",4&gt;=Projects!$C$30,4&lt;Projects!$C$30+Projects!$D$30),Projects!$B$30*INDEX(Curves!$B$4:$AR$4,1,4-Projects!$C$30+1),0)+IF(AND(Projects!$G$31="Yes",Projects!$M$31="Yes",4&gt;=Projects!$C$31,4&lt;Projects!$C$31+Projects!$D$31),Projects!$B$31*INDEX(Curves!$B$4:$AR$4,1,4-Projects!$C$31+1),0)+IF(AND(Projects!$G$32="Yes",Projects!$M$32="Yes",4&gt;=Projects!$C$32,4&lt;Projects!$C$32+Projects!$D$32),Projects!$B$32*INDEX(Curves!$B$4:$AR$4,1,4-Projects!$C$32+1),0)+IF(AND(Projects!$G$33="Yes",Projects!$M$33="Yes",4&gt;=Projects!$C$33,4&lt;Projects!$C$33+Projects!$D$33),Projects!$B$33*INDEX(Curves!$B$4:$AR$4,1,4-Projects!$C$33+1),0)+IF(AND(Projects!$G$34="Yes",Projects!$M$34="Yes",4&gt;=Projects!$C$34,4&lt;Projects!$C$34+Projects!$D$34),Projects!$B$34*INDEX(Curves!$B$4:$AR$4,1,4-Projects!$C$34+1),0)+IF(AND(Projects!$G$35="Yes",Projects!$M$35="Yes",4&gt;=Projects!$C$35,4&lt;Projects!$C$35+Projects!$D$35),Projects!$B$35*INDEX(Curves!$B$4:$AR$4,1,4-Projects!$C$35+1),0)+IF(AND(Projects!$G$36="Yes",Projects!$M$36="Yes",4&gt;=Projects!$C$36,4&lt;Projects!$C$36+Projects!$D$36),Projects!$B$36*INDEX(Curves!$B$4:$AR$4,1,4-Projects!$C$36+1),0)+IF(AND(Projects!$G$37="Yes",Projects!$M$37="Yes",4&gt;=Projects!$C$37,4&lt;Projects!$C$37+Projects!$D$37),Projects!$B$37*INDEX(Curves!$B$4:$AR$4,1,4-Projects!$C$37+1),0)+IF(AND(Projects!$G$38="Yes",Projects!$M$38="Yes",4&gt;=Projects!$C$38,4&lt;Projects!$C$38+Projects!$D$38),Projects!$B$38*INDEX(Curves!$B$4:$AR$4,1,4-Projects!$C$38+1),0)+IF(AND(Projects!$G$39="Yes",Projects!$M$39="Yes",4&gt;=Projects!$C$39,4&lt;Projects!$C$39+Projects!$D$39),Projects!$B$39*INDEX(Curves!$B$4:$AR$4,1,4-Projects!$C$39+1),0)+IF(AND(Projects!$G$40="Yes",Projects!$M$40="Yes",4&gt;=Projects!$C$40,4&lt;Projects!$C$40+Projects!$D$40),Projects!$B$40*INDEX(Curves!$B$4:$AR$4,1,4-Projects!$C$40+1),0)+IF(AND(Projects!$G$41="Yes",Projects!$M$41="Yes",4&gt;=Projects!$C$41,4&lt;Projects!$C$41+Projects!$D$41),Projects!$B$41*INDEX(Curves!$B$4:$AR$4,1,4-Projects!$C$41+1),0)+IF(AND(Projects!$G$42="Yes",Projects!$M$42="Yes",4&gt;=Projects!$C$42,4&lt;Projects!$C$42+Projects!$D$42),Projects!$B$42*INDEX(Curves!$B$4:$AR$4,1,4-Projects!$C$42+1),0)+IF(AND(Projects!$G$43="Yes",Projects!$M$43="Yes",4&gt;=Projects!$C$43,4&lt;Projects!$C$43+Projects!$D$43),Projects!$B$43*INDEX(Curves!$B$4:$AR$4,1,4-Projects!$C$43+1),0)+IF(AND(Projects!$G$44="Yes",Projects!$M$44="Yes",4&gt;=Projects!$C$44,4&lt;Projects!$C$44+Projects!$D$44),Projects!$B$44*INDEX(Curves!$B$4:$AR$4,1,4-Projects!$C$44+1),0)+IF(AND(Projects!$G$45="Yes",Projects!$M$45="Yes",4&gt;=Projects!$C$45,4&lt;Projects!$C$45+Projects!$D$45),Projects!$B$45*INDEX(Curves!$B$4:$AR$4,1,4-Projects!$C$45+1),0)+IF(AND(Projects!$G$46="Yes",Projects!$M$46="Yes",4&gt;=Projects!$C$46,4&lt;Projects!$C$46+Projects!$D$46),Projects!$B$46*INDEX(Curves!$B$4:$AR$4,1,4-Projects!$C$46+1),0)</f>
        <v>0</v>
      </c>
      <c r="J101" s="315" t="n">
        <f aca="false">IF(AND(Projects!$G$17="Yes",Projects!$M$17="Yes",5&gt;=Projects!$C$17,5&lt;Projects!$C$17+Projects!$D$17),Projects!$B$17*INDEX(Curves!$B$4:$AR$4,1,5-Projects!$C$17+1),0)+IF(AND(Projects!$G$18="Yes",Projects!$M$18="Yes",5&gt;=Projects!$C$18,5&lt;Projects!$C$18+Projects!$D$18),Projects!$B$18*INDEX(Curves!$B$4:$AR$4,1,5-Projects!$C$18+1),0)+IF(AND(Projects!$G$19="Yes",Projects!$M$19="Yes",5&gt;=Projects!$C$19,5&lt;Projects!$C$19+Projects!$D$19),Projects!$B$19*INDEX(Curves!$B$4:$AR$4,1,5-Projects!$C$19+1),0)+IF(AND(Projects!$G$20="Yes",Projects!$M$20="Yes",5&gt;=Projects!$C$20,5&lt;Projects!$C$20+Projects!$D$20),Projects!$B$20*INDEX(Curves!$B$4:$AR$4,1,5-Projects!$C$20+1),0)+IF(AND(Projects!$G$21="Yes",Projects!$M$21="Yes",5&gt;=Projects!$C$21,5&lt;Projects!$C$21+Projects!$D$21),Projects!$B$21*INDEX(Curves!$B$4:$AR$4,1,5-Projects!$C$21+1),0)+IF(AND(Projects!$G$22="Yes",Projects!$M$22="Yes",5&gt;=Projects!$C$22,5&lt;Projects!$C$22+Projects!$D$22),Projects!$B$22*INDEX(Curves!$B$4:$AR$4,1,5-Projects!$C$22+1),0)+IF(AND(Projects!$G$23="Yes",Projects!$M$23="Yes",5&gt;=Projects!$C$23,5&lt;Projects!$C$23+Projects!$D$23),Projects!$B$23*INDEX(Curves!$B$4:$AR$4,1,5-Projects!$C$23+1),0)+IF(AND(Projects!$G$24="Yes",Projects!$M$24="Yes",5&gt;=Projects!$C$24,5&lt;Projects!$C$24+Projects!$D$24),Projects!$B$24*INDEX(Curves!$B$4:$AR$4,1,5-Projects!$C$24+1),0)+IF(AND(Projects!$G$25="Yes",Projects!$M$25="Yes",5&gt;=Projects!$C$25,5&lt;Projects!$C$25+Projects!$D$25),Projects!$B$25*INDEX(Curves!$B$4:$AR$4,1,5-Projects!$C$25+1),0)+IF(AND(Projects!$G$26="Yes",Projects!$M$26="Yes",5&gt;=Projects!$C$26,5&lt;Projects!$C$26+Projects!$D$26),Projects!$B$26*INDEX(Curves!$B$4:$AR$4,1,5-Projects!$C$26+1),0)+IF(AND(Projects!$G$27="Yes",Projects!$M$27="Yes",5&gt;=Projects!$C$27,5&lt;Projects!$C$27+Projects!$D$27),Projects!$B$27*INDEX(Curves!$B$4:$AR$4,1,5-Projects!$C$27+1),0)+IF(AND(Projects!$G$28="Yes",Projects!$M$28="Yes",5&gt;=Projects!$C$28,5&lt;Projects!$C$28+Projects!$D$28),Projects!$B$28*INDEX(Curves!$B$4:$AR$4,1,5-Projects!$C$28+1),0)+IF(AND(Projects!$G$29="Yes",Projects!$M$29="Yes",5&gt;=Projects!$C$29,5&lt;Projects!$C$29+Projects!$D$29),Projects!$B$29*INDEX(Curves!$B$4:$AR$4,1,5-Projects!$C$29+1),0)+IF(AND(Projects!$G$30="Yes",Projects!$M$30="Yes",5&gt;=Projects!$C$30,5&lt;Projects!$C$30+Projects!$D$30),Projects!$B$30*INDEX(Curves!$B$4:$AR$4,1,5-Projects!$C$30+1),0)+IF(AND(Projects!$G$31="Yes",Projects!$M$31="Yes",5&gt;=Projects!$C$31,5&lt;Projects!$C$31+Projects!$D$31),Projects!$B$31*INDEX(Curves!$B$4:$AR$4,1,5-Projects!$C$31+1),0)+IF(AND(Projects!$G$32="Yes",Projects!$M$32="Yes",5&gt;=Projects!$C$32,5&lt;Projects!$C$32+Projects!$D$32),Projects!$B$32*INDEX(Curves!$B$4:$AR$4,1,5-Projects!$C$32+1),0)+IF(AND(Projects!$G$33="Yes",Projects!$M$33="Yes",5&gt;=Projects!$C$33,5&lt;Projects!$C$33+Projects!$D$33),Projects!$B$33*INDEX(Curves!$B$4:$AR$4,1,5-Projects!$C$33+1),0)+IF(AND(Projects!$G$34="Yes",Projects!$M$34="Yes",5&gt;=Projects!$C$34,5&lt;Projects!$C$34+Projects!$D$34),Projects!$B$34*INDEX(Curves!$B$4:$AR$4,1,5-Projects!$C$34+1),0)+IF(AND(Projects!$G$35="Yes",Projects!$M$35="Yes",5&gt;=Projects!$C$35,5&lt;Projects!$C$35+Projects!$D$35),Projects!$B$35*INDEX(Curves!$B$4:$AR$4,1,5-Projects!$C$35+1),0)+IF(AND(Projects!$G$36="Yes",Projects!$M$36="Yes",5&gt;=Projects!$C$36,5&lt;Projects!$C$36+Projects!$D$36),Projects!$B$36*INDEX(Curves!$B$4:$AR$4,1,5-Projects!$C$36+1),0)+IF(AND(Projects!$G$37="Yes",Projects!$M$37="Yes",5&gt;=Projects!$C$37,5&lt;Projects!$C$37+Projects!$D$37),Projects!$B$37*INDEX(Curves!$B$4:$AR$4,1,5-Projects!$C$37+1),0)+IF(AND(Projects!$G$38="Yes",Projects!$M$38="Yes",5&gt;=Projects!$C$38,5&lt;Projects!$C$38+Projects!$D$38),Projects!$B$38*INDEX(Curves!$B$4:$AR$4,1,5-Projects!$C$38+1),0)+IF(AND(Projects!$G$39="Yes",Projects!$M$39="Yes",5&gt;=Projects!$C$39,5&lt;Projects!$C$39+Projects!$D$39),Projects!$B$39*INDEX(Curves!$B$4:$AR$4,1,5-Projects!$C$39+1),0)+IF(AND(Projects!$G$40="Yes",Projects!$M$40="Yes",5&gt;=Projects!$C$40,5&lt;Projects!$C$40+Projects!$D$40),Projects!$B$40*INDEX(Curves!$B$4:$AR$4,1,5-Projects!$C$40+1),0)+IF(AND(Projects!$G$41="Yes",Projects!$M$41="Yes",5&gt;=Projects!$C$41,5&lt;Projects!$C$41+Projects!$D$41),Projects!$B$41*INDEX(Curves!$B$4:$AR$4,1,5-Projects!$C$41+1),0)+IF(AND(Projects!$G$42="Yes",Projects!$M$42="Yes",5&gt;=Projects!$C$42,5&lt;Projects!$C$42+Projects!$D$42),Projects!$B$42*INDEX(Curves!$B$4:$AR$4,1,5-Projects!$C$42+1),0)+IF(AND(Projects!$G$43="Yes",Projects!$M$43="Yes",5&gt;=Projects!$C$43,5&lt;Projects!$C$43+Projects!$D$43),Projects!$B$43*INDEX(Curves!$B$4:$AR$4,1,5-Projects!$C$43+1),0)+IF(AND(Projects!$G$44="Yes",Projects!$M$44="Yes",5&gt;=Projects!$C$44,5&lt;Projects!$C$44+Projects!$D$44),Projects!$B$44*INDEX(Curves!$B$4:$AR$4,1,5-Projects!$C$44+1),0)+IF(AND(Projects!$G$45="Yes",Projects!$M$45="Yes",5&gt;=Projects!$C$45,5&lt;Projects!$C$45+Projects!$D$45),Projects!$B$45*INDEX(Curves!$B$4:$AR$4,1,5-Projects!$C$45+1),0)+IF(AND(Projects!$G$46="Yes",Projects!$M$46="Yes",5&gt;=Projects!$C$46,5&lt;Projects!$C$46+Projects!$D$46),Projects!$B$46*INDEX(Curves!$B$4:$AR$4,1,5-Projects!$C$46+1),0)</f>
        <v>0</v>
      </c>
      <c r="K101" s="315" t="n">
        <f aca="false">IF(AND(Projects!$G$17="Yes",Projects!$M$17="Yes",6&gt;=Projects!$C$17,6&lt;Projects!$C$17+Projects!$D$17),Projects!$B$17*INDEX(Curves!$B$4:$AR$4,1,6-Projects!$C$17+1),0)+IF(AND(Projects!$G$18="Yes",Projects!$M$18="Yes",6&gt;=Projects!$C$18,6&lt;Projects!$C$18+Projects!$D$18),Projects!$B$18*INDEX(Curves!$B$4:$AR$4,1,6-Projects!$C$18+1),0)+IF(AND(Projects!$G$19="Yes",Projects!$M$19="Yes",6&gt;=Projects!$C$19,6&lt;Projects!$C$19+Projects!$D$19),Projects!$B$19*INDEX(Curves!$B$4:$AR$4,1,6-Projects!$C$19+1),0)+IF(AND(Projects!$G$20="Yes",Projects!$M$20="Yes",6&gt;=Projects!$C$20,6&lt;Projects!$C$20+Projects!$D$20),Projects!$B$20*INDEX(Curves!$B$4:$AR$4,1,6-Projects!$C$20+1),0)+IF(AND(Projects!$G$21="Yes",Projects!$M$21="Yes",6&gt;=Projects!$C$21,6&lt;Projects!$C$21+Projects!$D$21),Projects!$B$21*INDEX(Curves!$B$4:$AR$4,1,6-Projects!$C$21+1),0)+IF(AND(Projects!$G$22="Yes",Projects!$M$22="Yes",6&gt;=Projects!$C$22,6&lt;Projects!$C$22+Projects!$D$22),Projects!$B$22*INDEX(Curves!$B$4:$AR$4,1,6-Projects!$C$22+1),0)+IF(AND(Projects!$G$23="Yes",Projects!$M$23="Yes",6&gt;=Projects!$C$23,6&lt;Projects!$C$23+Projects!$D$23),Projects!$B$23*INDEX(Curves!$B$4:$AR$4,1,6-Projects!$C$23+1),0)+IF(AND(Projects!$G$24="Yes",Projects!$M$24="Yes",6&gt;=Projects!$C$24,6&lt;Projects!$C$24+Projects!$D$24),Projects!$B$24*INDEX(Curves!$B$4:$AR$4,1,6-Projects!$C$24+1),0)+IF(AND(Projects!$G$25="Yes",Projects!$M$25="Yes",6&gt;=Projects!$C$25,6&lt;Projects!$C$25+Projects!$D$25),Projects!$B$25*INDEX(Curves!$B$4:$AR$4,1,6-Projects!$C$25+1),0)+IF(AND(Projects!$G$26="Yes",Projects!$M$26="Yes",6&gt;=Projects!$C$26,6&lt;Projects!$C$26+Projects!$D$26),Projects!$B$26*INDEX(Curves!$B$4:$AR$4,1,6-Projects!$C$26+1),0)+IF(AND(Projects!$G$27="Yes",Projects!$M$27="Yes",6&gt;=Projects!$C$27,6&lt;Projects!$C$27+Projects!$D$27),Projects!$B$27*INDEX(Curves!$B$4:$AR$4,1,6-Projects!$C$27+1),0)+IF(AND(Projects!$G$28="Yes",Projects!$M$28="Yes",6&gt;=Projects!$C$28,6&lt;Projects!$C$28+Projects!$D$28),Projects!$B$28*INDEX(Curves!$B$4:$AR$4,1,6-Projects!$C$28+1),0)+IF(AND(Projects!$G$29="Yes",Projects!$M$29="Yes",6&gt;=Projects!$C$29,6&lt;Projects!$C$29+Projects!$D$29),Projects!$B$29*INDEX(Curves!$B$4:$AR$4,1,6-Projects!$C$29+1),0)+IF(AND(Projects!$G$30="Yes",Projects!$M$30="Yes",6&gt;=Projects!$C$30,6&lt;Projects!$C$30+Projects!$D$30),Projects!$B$30*INDEX(Curves!$B$4:$AR$4,1,6-Projects!$C$30+1),0)+IF(AND(Projects!$G$31="Yes",Projects!$M$31="Yes",6&gt;=Projects!$C$31,6&lt;Projects!$C$31+Projects!$D$31),Projects!$B$31*INDEX(Curves!$B$4:$AR$4,1,6-Projects!$C$31+1),0)+IF(AND(Projects!$G$32="Yes",Projects!$M$32="Yes",6&gt;=Projects!$C$32,6&lt;Projects!$C$32+Projects!$D$32),Projects!$B$32*INDEX(Curves!$B$4:$AR$4,1,6-Projects!$C$32+1),0)+IF(AND(Projects!$G$33="Yes",Projects!$M$33="Yes",6&gt;=Projects!$C$33,6&lt;Projects!$C$33+Projects!$D$33),Projects!$B$33*INDEX(Curves!$B$4:$AR$4,1,6-Projects!$C$33+1),0)+IF(AND(Projects!$G$34="Yes",Projects!$M$34="Yes",6&gt;=Projects!$C$34,6&lt;Projects!$C$34+Projects!$D$34),Projects!$B$34*INDEX(Curves!$B$4:$AR$4,1,6-Projects!$C$34+1),0)+IF(AND(Projects!$G$35="Yes",Projects!$M$35="Yes",6&gt;=Projects!$C$35,6&lt;Projects!$C$35+Projects!$D$35),Projects!$B$35*INDEX(Curves!$B$4:$AR$4,1,6-Projects!$C$35+1),0)+IF(AND(Projects!$G$36="Yes",Projects!$M$36="Yes",6&gt;=Projects!$C$36,6&lt;Projects!$C$36+Projects!$D$36),Projects!$B$36*INDEX(Curves!$B$4:$AR$4,1,6-Projects!$C$36+1),0)+IF(AND(Projects!$G$37="Yes",Projects!$M$37="Yes",6&gt;=Projects!$C$37,6&lt;Projects!$C$37+Projects!$D$37),Projects!$B$37*INDEX(Curves!$B$4:$AR$4,1,6-Projects!$C$37+1),0)+IF(AND(Projects!$G$38="Yes",Projects!$M$38="Yes",6&gt;=Projects!$C$38,6&lt;Projects!$C$38+Projects!$D$38),Projects!$B$38*INDEX(Curves!$B$4:$AR$4,1,6-Projects!$C$38+1),0)+IF(AND(Projects!$G$39="Yes",Projects!$M$39="Yes",6&gt;=Projects!$C$39,6&lt;Projects!$C$39+Projects!$D$39),Projects!$B$39*INDEX(Curves!$B$4:$AR$4,1,6-Projects!$C$39+1),0)+IF(AND(Projects!$G$40="Yes",Projects!$M$40="Yes",6&gt;=Projects!$C$40,6&lt;Projects!$C$40+Projects!$D$40),Projects!$B$40*INDEX(Curves!$B$4:$AR$4,1,6-Projects!$C$40+1),0)+IF(AND(Projects!$G$41="Yes",Projects!$M$41="Yes",6&gt;=Projects!$C$41,6&lt;Projects!$C$41+Projects!$D$41),Projects!$B$41*INDEX(Curves!$B$4:$AR$4,1,6-Projects!$C$41+1),0)+IF(AND(Projects!$G$42="Yes",Projects!$M$42="Yes",6&gt;=Projects!$C$42,6&lt;Projects!$C$42+Projects!$D$42),Projects!$B$42*INDEX(Curves!$B$4:$AR$4,1,6-Projects!$C$42+1),0)+IF(AND(Projects!$G$43="Yes",Projects!$M$43="Yes",6&gt;=Projects!$C$43,6&lt;Projects!$C$43+Projects!$D$43),Projects!$B$43*INDEX(Curves!$B$4:$AR$4,1,6-Projects!$C$43+1),0)+IF(AND(Projects!$G$44="Yes",Projects!$M$44="Yes",6&gt;=Projects!$C$44,6&lt;Projects!$C$44+Projects!$D$44),Projects!$B$44*INDEX(Curves!$B$4:$AR$4,1,6-Projects!$C$44+1),0)+IF(AND(Projects!$G$45="Yes",Projects!$M$45="Yes",6&gt;=Projects!$C$45,6&lt;Projects!$C$45+Projects!$D$45),Projects!$B$45*INDEX(Curves!$B$4:$AR$4,1,6-Projects!$C$45+1),0)+IF(AND(Projects!$G$46="Yes",Projects!$M$46="Yes",6&gt;=Projects!$C$46,6&lt;Projects!$C$46+Projects!$D$46),Projects!$B$46*INDEX(Curves!$B$4:$AR$4,1,6-Projects!$C$46+1),0)</f>
        <v>0</v>
      </c>
      <c r="L101" s="315" t="n">
        <f aca="false">IF(AND(Projects!$G$17="Yes",Projects!$M$17="Yes",7&gt;=Projects!$C$17,7&lt;Projects!$C$17+Projects!$D$17),Projects!$B$17*INDEX(Curves!$B$4:$AR$4,1,7-Projects!$C$17+1),0)+IF(AND(Projects!$G$18="Yes",Projects!$M$18="Yes",7&gt;=Projects!$C$18,7&lt;Projects!$C$18+Projects!$D$18),Projects!$B$18*INDEX(Curves!$B$4:$AR$4,1,7-Projects!$C$18+1),0)+IF(AND(Projects!$G$19="Yes",Projects!$M$19="Yes",7&gt;=Projects!$C$19,7&lt;Projects!$C$19+Projects!$D$19),Projects!$B$19*INDEX(Curves!$B$4:$AR$4,1,7-Projects!$C$19+1),0)+IF(AND(Projects!$G$20="Yes",Projects!$M$20="Yes",7&gt;=Projects!$C$20,7&lt;Projects!$C$20+Projects!$D$20),Projects!$B$20*INDEX(Curves!$B$4:$AR$4,1,7-Projects!$C$20+1),0)+IF(AND(Projects!$G$21="Yes",Projects!$M$21="Yes",7&gt;=Projects!$C$21,7&lt;Projects!$C$21+Projects!$D$21),Projects!$B$21*INDEX(Curves!$B$4:$AR$4,1,7-Projects!$C$21+1),0)+IF(AND(Projects!$G$22="Yes",Projects!$M$22="Yes",7&gt;=Projects!$C$22,7&lt;Projects!$C$22+Projects!$D$22),Projects!$B$22*INDEX(Curves!$B$4:$AR$4,1,7-Projects!$C$22+1),0)+IF(AND(Projects!$G$23="Yes",Projects!$M$23="Yes",7&gt;=Projects!$C$23,7&lt;Projects!$C$23+Projects!$D$23),Projects!$B$23*INDEX(Curves!$B$4:$AR$4,1,7-Projects!$C$23+1),0)+IF(AND(Projects!$G$24="Yes",Projects!$M$24="Yes",7&gt;=Projects!$C$24,7&lt;Projects!$C$24+Projects!$D$24),Projects!$B$24*INDEX(Curves!$B$4:$AR$4,1,7-Projects!$C$24+1),0)+IF(AND(Projects!$G$25="Yes",Projects!$M$25="Yes",7&gt;=Projects!$C$25,7&lt;Projects!$C$25+Projects!$D$25),Projects!$B$25*INDEX(Curves!$B$4:$AR$4,1,7-Projects!$C$25+1),0)+IF(AND(Projects!$G$26="Yes",Projects!$M$26="Yes",7&gt;=Projects!$C$26,7&lt;Projects!$C$26+Projects!$D$26),Projects!$B$26*INDEX(Curves!$B$4:$AR$4,1,7-Projects!$C$26+1),0)+IF(AND(Projects!$G$27="Yes",Projects!$M$27="Yes",7&gt;=Projects!$C$27,7&lt;Projects!$C$27+Projects!$D$27),Projects!$B$27*INDEX(Curves!$B$4:$AR$4,1,7-Projects!$C$27+1),0)+IF(AND(Projects!$G$28="Yes",Projects!$M$28="Yes",7&gt;=Projects!$C$28,7&lt;Projects!$C$28+Projects!$D$28),Projects!$B$28*INDEX(Curves!$B$4:$AR$4,1,7-Projects!$C$28+1),0)+IF(AND(Projects!$G$29="Yes",Projects!$M$29="Yes",7&gt;=Projects!$C$29,7&lt;Projects!$C$29+Projects!$D$29),Projects!$B$29*INDEX(Curves!$B$4:$AR$4,1,7-Projects!$C$29+1),0)+IF(AND(Projects!$G$30="Yes",Projects!$M$30="Yes",7&gt;=Projects!$C$30,7&lt;Projects!$C$30+Projects!$D$30),Projects!$B$30*INDEX(Curves!$B$4:$AR$4,1,7-Projects!$C$30+1),0)+IF(AND(Projects!$G$31="Yes",Projects!$M$31="Yes",7&gt;=Projects!$C$31,7&lt;Projects!$C$31+Projects!$D$31),Projects!$B$31*INDEX(Curves!$B$4:$AR$4,1,7-Projects!$C$31+1),0)+IF(AND(Projects!$G$32="Yes",Projects!$M$32="Yes",7&gt;=Projects!$C$32,7&lt;Projects!$C$32+Projects!$D$32),Projects!$B$32*INDEX(Curves!$B$4:$AR$4,1,7-Projects!$C$32+1),0)+IF(AND(Projects!$G$33="Yes",Projects!$M$33="Yes",7&gt;=Projects!$C$33,7&lt;Projects!$C$33+Projects!$D$33),Projects!$B$33*INDEX(Curves!$B$4:$AR$4,1,7-Projects!$C$33+1),0)+IF(AND(Projects!$G$34="Yes",Projects!$M$34="Yes",7&gt;=Projects!$C$34,7&lt;Projects!$C$34+Projects!$D$34),Projects!$B$34*INDEX(Curves!$B$4:$AR$4,1,7-Projects!$C$34+1),0)+IF(AND(Projects!$G$35="Yes",Projects!$M$35="Yes",7&gt;=Projects!$C$35,7&lt;Projects!$C$35+Projects!$D$35),Projects!$B$35*INDEX(Curves!$B$4:$AR$4,1,7-Projects!$C$35+1),0)+IF(AND(Projects!$G$36="Yes",Projects!$M$36="Yes",7&gt;=Projects!$C$36,7&lt;Projects!$C$36+Projects!$D$36),Projects!$B$36*INDEX(Curves!$B$4:$AR$4,1,7-Projects!$C$36+1),0)+IF(AND(Projects!$G$37="Yes",Projects!$M$37="Yes",7&gt;=Projects!$C$37,7&lt;Projects!$C$37+Projects!$D$37),Projects!$B$37*INDEX(Curves!$B$4:$AR$4,1,7-Projects!$C$37+1),0)+IF(AND(Projects!$G$38="Yes",Projects!$M$38="Yes",7&gt;=Projects!$C$38,7&lt;Projects!$C$38+Projects!$D$38),Projects!$B$38*INDEX(Curves!$B$4:$AR$4,1,7-Projects!$C$38+1),0)+IF(AND(Projects!$G$39="Yes",Projects!$M$39="Yes",7&gt;=Projects!$C$39,7&lt;Projects!$C$39+Projects!$D$39),Projects!$B$39*INDEX(Curves!$B$4:$AR$4,1,7-Projects!$C$39+1),0)+IF(AND(Projects!$G$40="Yes",Projects!$M$40="Yes",7&gt;=Projects!$C$40,7&lt;Projects!$C$40+Projects!$D$40),Projects!$B$40*INDEX(Curves!$B$4:$AR$4,1,7-Projects!$C$40+1),0)+IF(AND(Projects!$G$41="Yes",Projects!$M$41="Yes",7&gt;=Projects!$C$41,7&lt;Projects!$C$41+Projects!$D$41),Projects!$B$41*INDEX(Curves!$B$4:$AR$4,1,7-Projects!$C$41+1),0)+IF(AND(Projects!$G$42="Yes",Projects!$M$42="Yes",7&gt;=Projects!$C$42,7&lt;Projects!$C$42+Projects!$D$42),Projects!$B$42*INDEX(Curves!$B$4:$AR$4,1,7-Projects!$C$42+1),0)+IF(AND(Projects!$G$43="Yes",Projects!$M$43="Yes",7&gt;=Projects!$C$43,7&lt;Projects!$C$43+Projects!$D$43),Projects!$B$43*INDEX(Curves!$B$4:$AR$4,1,7-Projects!$C$43+1),0)+IF(AND(Projects!$G$44="Yes",Projects!$M$44="Yes",7&gt;=Projects!$C$44,7&lt;Projects!$C$44+Projects!$D$44),Projects!$B$44*INDEX(Curves!$B$4:$AR$4,1,7-Projects!$C$44+1),0)+IF(AND(Projects!$G$45="Yes",Projects!$M$45="Yes",7&gt;=Projects!$C$45,7&lt;Projects!$C$45+Projects!$D$45),Projects!$B$45*INDEX(Curves!$B$4:$AR$4,1,7-Projects!$C$45+1),0)+IF(AND(Projects!$G$46="Yes",Projects!$M$46="Yes",7&gt;=Projects!$C$46,7&lt;Projects!$C$46+Projects!$D$46),Projects!$B$46*INDEX(Curves!$B$4:$AR$4,1,7-Projects!$C$46+1),0)</f>
        <v>0</v>
      </c>
      <c r="M101" s="315" t="n">
        <f aca="false">IF(AND(Projects!$G$17="Yes",Projects!$M$17="Yes",8&gt;=Projects!$C$17,8&lt;Projects!$C$17+Projects!$D$17),Projects!$B$17*INDEX(Curves!$B$4:$AR$4,1,8-Projects!$C$17+1),0)+IF(AND(Projects!$G$18="Yes",Projects!$M$18="Yes",8&gt;=Projects!$C$18,8&lt;Projects!$C$18+Projects!$D$18),Projects!$B$18*INDEX(Curves!$B$4:$AR$4,1,8-Projects!$C$18+1),0)+IF(AND(Projects!$G$19="Yes",Projects!$M$19="Yes",8&gt;=Projects!$C$19,8&lt;Projects!$C$19+Projects!$D$19),Projects!$B$19*INDEX(Curves!$B$4:$AR$4,1,8-Projects!$C$19+1),0)+IF(AND(Projects!$G$20="Yes",Projects!$M$20="Yes",8&gt;=Projects!$C$20,8&lt;Projects!$C$20+Projects!$D$20),Projects!$B$20*INDEX(Curves!$B$4:$AR$4,1,8-Projects!$C$20+1),0)+IF(AND(Projects!$G$21="Yes",Projects!$M$21="Yes",8&gt;=Projects!$C$21,8&lt;Projects!$C$21+Projects!$D$21),Projects!$B$21*INDEX(Curves!$B$4:$AR$4,1,8-Projects!$C$21+1),0)+IF(AND(Projects!$G$22="Yes",Projects!$M$22="Yes",8&gt;=Projects!$C$22,8&lt;Projects!$C$22+Projects!$D$22),Projects!$B$22*INDEX(Curves!$B$4:$AR$4,1,8-Projects!$C$22+1),0)+IF(AND(Projects!$G$23="Yes",Projects!$M$23="Yes",8&gt;=Projects!$C$23,8&lt;Projects!$C$23+Projects!$D$23),Projects!$B$23*INDEX(Curves!$B$4:$AR$4,1,8-Projects!$C$23+1),0)+IF(AND(Projects!$G$24="Yes",Projects!$M$24="Yes",8&gt;=Projects!$C$24,8&lt;Projects!$C$24+Projects!$D$24),Projects!$B$24*INDEX(Curves!$B$4:$AR$4,1,8-Projects!$C$24+1),0)+IF(AND(Projects!$G$25="Yes",Projects!$M$25="Yes",8&gt;=Projects!$C$25,8&lt;Projects!$C$25+Projects!$D$25),Projects!$B$25*INDEX(Curves!$B$4:$AR$4,1,8-Projects!$C$25+1),0)+IF(AND(Projects!$G$26="Yes",Projects!$M$26="Yes",8&gt;=Projects!$C$26,8&lt;Projects!$C$26+Projects!$D$26),Projects!$B$26*INDEX(Curves!$B$4:$AR$4,1,8-Projects!$C$26+1),0)+IF(AND(Projects!$G$27="Yes",Projects!$M$27="Yes",8&gt;=Projects!$C$27,8&lt;Projects!$C$27+Projects!$D$27),Projects!$B$27*INDEX(Curves!$B$4:$AR$4,1,8-Projects!$C$27+1),0)+IF(AND(Projects!$G$28="Yes",Projects!$M$28="Yes",8&gt;=Projects!$C$28,8&lt;Projects!$C$28+Projects!$D$28),Projects!$B$28*INDEX(Curves!$B$4:$AR$4,1,8-Projects!$C$28+1),0)+IF(AND(Projects!$G$29="Yes",Projects!$M$29="Yes",8&gt;=Projects!$C$29,8&lt;Projects!$C$29+Projects!$D$29),Projects!$B$29*INDEX(Curves!$B$4:$AR$4,1,8-Projects!$C$29+1),0)+IF(AND(Projects!$G$30="Yes",Projects!$M$30="Yes",8&gt;=Projects!$C$30,8&lt;Projects!$C$30+Projects!$D$30),Projects!$B$30*INDEX(Curves!$B$4:$AR$4,1,8-Projects!$C$30+1),0)+IF(AND(Projects!$G$31="Yes",Projects!$M$31="Yes",8&gt;=Projects!$C$31,8&lt;Projects!$C$31+Projects!$D$31),Projects!$B$31*INDEX(Curves!$B$4:$AR$4,1,8-Projects!$C$31+1),0)+IF(AND(Projects!$G$32="Yes",Projects!$M$32="Yes",8&gt;=Projects!$C$32,8&lt;Projects!$C$32+Projects!$D$32),Projects!$B$32*INDEX(Curves!$B$4:$AR$4,1,8-Projects!$C$32+1),0)+IF(AND(Projects!$G$33="Yes",Projects!$M$33="Yes",8&gt;=Projects!$C$33,8&lt;Projects!$C$33+Projects!$D$33),Projects!$B$33*INDEX(Curves!$B$4:$AR$4,1,8-Projects!$C$33+1),0)+IF(AND(Projects!$G$34="Yes",Projects!$M$34="Yes",8&gt;=Projects!$C$34,8&lt;Projects!$C$34+Projects!$D$34),Projects!$B$34*INDEX(Curves!$B$4:$AR$4,1,8-Projects!$C$34+1),0)+IF(AND(Projects!$G$35="Yes",Projects!$M$35="Yes",8&gt;=Projects!$C$35,8&lt;Projects!$C$35+Projects!$D$35),Projects!$B$35*INDEX(Curves!$B$4:$AR$4,1,8-Projects!$C$35+1),0)+IF(AND(Projects!$G$36="Yes",Projects!$M$36="Yes",8&gt;=Projects!$C$36,8&lt;Projects!$C$36+Projects!$D$36),Projects!$B$36*INDEX(Curves!$B$4:$AR$4,1,8-Projects!$C$36+1),0)+IF(AND(Projects!$G$37="Yes",Projects!$M$37="Yes",8&gt;=Projects!$C$37,8&lt;Projects!$C$37+Projects!$D$37),Projects!$B$37*INDEX(Curves!$B$4:$AR$4,1,8-Projects!$C$37+1),0)+IF(AND(Projects!$G$38="Yes",Projects!$M$38="Yes",8&gt;=Projects!$C$38,8&lt;Projects!$C$38+Projects!$D$38),Projects!$B$38*INDEX(Curves!$B$4:$AR$4,1,8-Projects!$C$38+1),0)+IF(AND(Projects!$G$39="Yes",Projects!$M$39="Yes",8&gt;=Projects!$C$39,8&lt;Projects!$C$39+Projects!$D$39),Projects!$B$39*INDEX(Curves!$B$4:$AR$4,1,8-Projects!$C$39+1),0)+IF(AND(Projects!$G$40="Yes",Projects!$M$40="Yes",8&gt;=Projects!$C$40,8&lt;Projects!$C$40+Projects!$D$40),Projects!$B$40*INDEX(Curves!$B$4:$AR$4,1,8-Projects!$C$40+1),0)+IF(AND(Projects!$G$41="Yes",Projects!$M$41="Yes",8&gt;=Projects!$C$41,8&lt;Projects!$C$41+Projects!$D$41),Projects!$B$41*INDEX(Curves!$B$4:$AR$4,1,8-Projects!$C$41+1),0)+IF(AND(Projects!$G$42="Yes",Projects!$M$42="Yes",8&gt;=Projects!$C$42,8&lt;Projects!$C$42+Projects!$D$42),Projects!$B$42*INDEX(Curves!$B$4:$AR$4,1,8-Projects!$C$42+1),0)+IF(AND(Projects!$G$43="Yes",Projects!$M$43="Yes",8&gt;=Projects!$C$43,8&lt;Projects!$C$43+Projects!$D$43),Projects!$B$43*INDEX(Curves!$B$4:$AR$4,1,8-Projects!$C$43+1),0)+IF(AND(Projects!$G$44="Yes",Projects!$M$44="Yes",8&gt;=Projects!$C$44,8&lt;Projects!$C$44+Projects!$D$44),Projects!$B$44*INDEX(Curves!$B$4:$AR$4,1,8-Projects!$C$44+1),0)+IF(AND(Projects!$G$45="Yes",Projects!$M$45="Yes",8&gt;=Projects!$C$45,8&lt;Projects!$C$45+Projects!$D$45),Projects!$B$45*INDEX(Curves!$B$4:$AR$4,1,8-Projects!$C$45+1),0)+IF(AND(Projects!$G$46="Yes",Projects!$M$46="Yes",8&gt;=Projects!$C$46,8&lt;Projects!$C$46+Projects!$D$46),Projects!$B$46*INDEX(Curves!$B$4:$AR$4,1,8-Projects!$C$46+1),0)</f>
        <v>0</v>
      </c>
      <c r="N101" s="315" t="n">
        <f aca="false">IF(AND(Projects!$G$17="Yes",Projects!$M$17="Yes",9&gt;=Projects!$C$17,9&lt;Projects!$C$17+Projects!$D$17),Projects!$B$17*INDEX(Curves!$B$4:$AR$4,1,9-Projects!$C$17+1),0)+IF(AND(Projects!$G$18="Yes",Projects!$M$18="Yes",9&gt;=Projects!$C$18,9&lt;Projects!$C$18+Projects!$D$18),Projects!$B$18*INDEX(Curves!$B$4:$AR$4,1,9-Projects!$C$18+1),0)+IF(AND(Projects!$G$19="Yes",Projects!$M$19="Yes",9&gt;=Projects!$C$19,9&lt;Projects!$C$19+Projects!$D$19),Projects!$B$19*INDEX(Curves!$B$4:$AR$4,1,9-Projects!$C$19+1),0)+IF(AND(Projects!$G$20="Yes",Projects!$M$20="Yes",9&gt;=Projects!$C$20,9&lt;Projects!$C$20+Projects!$D$20),Projects!$B$20*INDEX(Curves!$B$4:$AR$4,1,9-Projects!$C$20+1),0)+IF(AND(Projects!$G$21="Yes",Projects!$M$21="Yes",9&gt;=Projects!$C$21,9&lt;Projects!$C$21+Projects!$D$21),Projects!$B$21*INDEX(Curves!$B$4:$AR$4,1,9-Projects!$C$21+1),0)+IF(AND(Projects!$G$22="Yes",Projects!$M$22="Yes",9&gt;=Projects!$C$22,9&lt;Projects!$C$22+Projects!$D$22),Projects!$B$22*INDEX(Curves!$B$4:$AR$4,1,9-Projects!$C$22+1),0)+IF(AND(Projects!$G$23="Yes",Projects!$M$23="Yes",9&gt;=Projects!$C$23,9&lt;Projects!$C$23+Projects!$D$23),Projects!$B$23*INDEX(Curves!$B$4:$AR$4,1,9-Projects!$C$23+1),0)+IF(AND(Projects!$G$24="Yes",Projects!$M$24="Yes",9&gt;=Projects!$C$24,9&lt;Projects!$C$24+Projects!$D$24),Projects!$B$24*INDEX(Curves!$B$4:$AR$4,1,9-Projects!$C$24+1),0)+IF(AND(Projects!$G$25="Yes",Projects!$M$25="Yes",9&gt;=Projects!$C$25,9&lt;Projects!$C$25+Projects!$D$25),Projects!$B$25*INDEX(Curves!$B$4:$AR$4,1,9-Projects!$C$25+1),0)+IF(AND(Projects!$G$26="Yes",Projects!$M$26="Yes",9&gt;=Projects!$C$26,9&lt;Projects!$C$26+Projects!$D$26),Projects!$B$26*INDEX(Curves!$B$4:$AR$4,1,9-Projects!$C$26+1),0)+IF(AND(Projects!$G$27="Yes",Projects!$M$27="Yes",9&gt;=Projects!$C$27,9&lt;Projects!$C$27+Projects!$D$27),Projects!$B$27*INDEX(Curves!$B$4:$AR$4,1,9-Projects!$C$27+1),0)+IF(AND(Projects!$G$28="Yes",Projects!$M$28="Yes",9&gt;=Projects!$C$28,9&lt;Projects!$C$28+Projects!$D$28),Projects!$B$28*INDEX(Curves!$B$4:$AR$4,1,9-Projects!$C$28+1),0)+IF(AND(Projects!$G$29="Yes",Projects!$M$29="Yes",9&gt;=Projects!$C$29,9&lt;Projects!$C$29+Projects!$D$29),Projects!$B$29*INDEX(Curves!$B$4:$AR$4,1,9-Projects!$C$29+1),0)+IF(AND(Projects!$G$30="Yes",Projects!$M$30="Yes",9&gt;=Projects!$C$30,9&lt;Projects!$C$30+Projects!$D$30),Projects!$B$30*INDEX(Curves!$B$4:$AR$4,1,9-Projects!$C$30+1),0)+IF(AND(Projects!$G$31="Yes",Projects!$M$31="Yes",9&gt;=Projects!$C$31,9&lt;Projects!$C$31+Projects!$D$31),Projects!$B$31*INDEX(Curves!$B$4:$AR$4,1,9-Projects!$C$31+1),0)+IF(AND(Projects!$G$32="Yes",Projects!$M$32="Yes",9&gt;=Projects!$C$32,9&lt;Projects!$C$32+Projects!$D$32),Projects!$B$32*INDEX(Curves!$B$4:$AR$4,1,9-Projects!$C$32+1),0)+IF(AND(Projects!$G$33="Yes",Projects!$M$33="Yes",9&gt;=Projects!$C$33,9&lt;Projects!$C$33+Projects!$D$33),Projects!$B$33*INDEX(Curves!$B$4:$AR$4,1,9-Projects!$C$33+1),0)+IF(AND(Projects!$G$34="Yes",Projects!$M$34="Yes",9&gt;=Projects!$C$34,9&lt;Projects!$C$34+Projects!$D$34),Projects!$B$34*INDEX(Curves!$B$4:$AR$4,1,9-Projects!$C$34+1),0)+IF(AND(Projects!$G$35="Yes",Projects!$M$35="Yes",9&gt;=Projects!$C$35,9&lt;Projects!$C$35+Projects!$D$35),Projects!$B$35*INDEX(Curves!$B$4:$AR$4,1,9-Projects!$C$35+1),0)+IF(AND(Projects!$G$36="Yes",Projects!$M$36="Yes",9&gt;=Projects!$C$36,9&lt;Projects!$C$36+Projects!$D$36),Projects!$B$36*INDEX(Curves!$B$4:$AR$4,1,9-Projects!$C$36+1),0)+IF(AND(Projects!$G$37="Yes",Projects!$M$37="Yes",9&gt;=Projects!$C$37,9&lt;Projects!$C$37+Projects!$D$37),Projects!$B$37*INDEX(Curves!$B$4:$AR$4,1,9-Projects!$C$37+1),0)+IF(AND(Projects!$G$38="Yes",Projects!$M$38="Yes",9&gt;=Projects!$C$38,9&lt;Projects!$C$38+Projects!$D$38),Projects!$B$38*INDEX(Curves!$B$4:$AR$4,1,9-Projects!$C$38+1),0)+IF(AND(Projects!$G$39="Yes",Projects!$M$39="Yes",9&gt;=Projects!$C$39,9&lt;Projects!$C$39+Projects!$D$39),Projects!$B$39*INDEX(Curves!$B$4:$AR$4,1,9-Projects!$C$39+1),0)+IF(AND(Projects!$G$40="Yes",Projects!$M$40="Yes",9&gt;=Projects!$C$40,9&lt;Projects!$C$40+Projects!$D$40),Projects!$B$40*INDEX(Curves!$B$4:$AR$4,1,9-Projects!$C$40+1),0)+IF(AND(Projects!$G$41="Yes",Projects!$M$41="Yes",9&gt;=Projects!$C$41,9&lt;Projects!$C$41+Projects!$D$41),Projects!$B$41*INDEX(Curves!$B$4:$AR$4,1,9-Projects!$C$41+1),0)+IF(AND(Projects!$G$42="Yes",Projects!$M$42="Yes",9&gt;=Projects!$C$42,9&lt;Projects!$C$42+Projects!$D$42),Projects!$B$42*INDEX(Curves!$B$4:$AR$4,1,9-Projects!$C$42+1),0)+IF(AND(Projects!$G$43="Yes",Projects!$M$43="Yes",9&gt;=Projects!$C$43,9&lt;Projects!$C$43+Projects!$D$43),Projects!$B$43*INDEX(Curves!$B$4:$AR$4,1,9-Projects!$C$43+1),0)+IF(AND(Projects!$G$44="Yes",Projects!$M$44="Yes",9&gt;=Projects!$C$44,9&lt;Projects!$C$44+Projects!$D$44),Projects!$B$44*INDEX(Curves!$B$4:$AR$4,1,9-Projects!$C$44+1),0)+IF(AND(Projects!$G$45="Yes",Projects!$M$45="Yes",9&gt;=Projects!$C$45,9&lt;Projects!$C$45+Projects!$D$45),Projects!$B$45*INDEX(Curves!$B$4:$AR$4,1,9-Projects!$C$45+1),0)+IF(AND(Projects!$G$46="Yes",Projects!$M$46="Yes",9&gt;=Projects!$C$46,9&lt;Projects!$C$46+Projects!$D$46),Projects!$B$46*INDEX(Curves!$B$4:$AR$4,1,9-Projects!$C$46+1),0)</f>
        <v>0</v>
      </c>
      <c r="O101" s="315" t="n">
        <f aca="false">IF(AND(Projects!$G$17="Yes",Projects!$M$17="Yes",10&gt;=Projects!$C$17,10&lt;Projects!$C$17+Projects!$D$17),Projects!$B$17*INDEX(Curves!$B$4:$AR$4,1,10-Projects!$C$17+1),0)+IF(AND(Projects!$G$18="Yes",Projects!$M$18="Yes",10&gt;=Projects!$C$18,10&lt;Projects!$C$18+Projects!$D$18),Projects!$B$18*INDEX(Curves!$B$4:$AR$4,1,10-Projects!$C$18+1),0)+IF(AND(Projects!$G$19="Yes",Projects!$M$19="Yes",10&gt;=Projects!$C$19,10&lt;Projects!$C$19+Projects!$D$19),Projects!$B$19*INDEX(Curves!$B$4:$AR$4,1,10-Projects!$C$19+1),0)+IF(AND(Projects!$G$20="Yes",Projects!$M$20="Yes",10&gt;=Projects!$C$20,10&lt;Projects!$C$20+Projects!$D$20),Projects!$B$20*INDEX(Curves!$B$4:$AR$4,1,10-Projects!$C$20+1),0)+IF(AND(Projects!$G$21="Yes",Projects!$M$21="Yes",10&gt;=Projects!$C$21,10&lt;Projects!$C$21+Projects!$D$21),Projects!$B$21*INDEX(Curves!$B$4:$AR$4,1,10-Projects!$C$21+1),0)+IF(AND(Projects!$G$22="Yes",Projects!$M$22="Yes",10&gt;=Projects!$C$22,10&lt;Projects!$C$22+Projects!$D$22),Projects!$B$22*INDEX(Curves!$B$4:$AR$4,1,10-Projects!$C$22+1),0)+IF(AND(Projects!$G$23="Yes",Projects!$M$23="Yes",10&gt;=Projects!$C$23,10&lt;Projects!$C$23+Projects!$D$23),Projects!$B$23*INDEX(Curves!$B$4:$AR$4,1,10-Projects!$C$23+1),0)+IF(AND(Projects!$G$24="Yes",Projects!$M$24="Yes",10&gt;=Projects!$C$24,10&lt;Projects!$C$24+Projects!$D$24),Projects!$B$24*INDEX(Curves!$B$4:$AR$4,1,10-Projects!$C$24+1),0)+IF(AND(Projects!$G$25="Yes",Projects!$M$25="Yes",10&gt;=Projects!$C$25,10&lt;Projects!$C$25+Projects!$D$25),Projects!$B$25*INDEX(Curves!$B$4:$AR$4,1,10-Projects!$C$25+1),0)+IF(AND(Projects!$G$26="Yes",Projects!$M$26="Yes",10&gt;=Projects!$C$26,10&lt;Projects!$C$26+Projects!$D$26),Projects!$B$26*INDEX(Curves!$B$4:$AR$4,1,10-Projects!$C$26+1),0)+IF(AND(Projects!$G$27="Yes",Projects!$M$27="Yes",10&gt;=Projects!$C$27,10&lt;Projects!$C$27+Projects!$D$27),Projects!$B$27*INDEX(Curves!$B$4:$AR$4,1,10-Projects!$C$27+1),0)+IF(AND(Projects!$G$28="Yes",Projects!$M$28="Yes",10&gt;=Projects!$C$28,10&lt;Projects!$C$28+Projects!$D$28),Projects!$B$28*INDEX(Curves!$B$4:$AR$4,1,10-Projects!$C$28+1),0)+IF(AND(Projects!$G$29="Yes",Projects!$M$29="Yes",10&gt;=Projects!$C$29,10&lt;Projects!$C$29+Projects!$D$29),Projects!$B$29*INDEX(Curves!$B$4:$AR$4,1,10-Projects!$C$29+1),0)+IF(AND(Projects!$G$30="Yes",Projects!$M$30="Yes",10&gt;=Projects!$C$30,10&lt;Projects!$C$30+Projects!$D$30),Projects!$B$30*INDEX(Curves!$B$4:$AR$4,1,10-Projects!$C$30+1),0)+IF(AND(Projects!$G$31="Yes",Projects!$M$31="Yes",10&gt;=Projects!$C$31,10&lt;Projects!$C$31+Projects!$D$31),Projects!$B$31*INDEX(Curves!$B$4:$AR$4,1,10-Projects!$C$31+1),0)+IF(AND(Projects!$G$32="Yes",Projects!$M$32="Yes",10&gt;=Projects!$C$32,10&lt;Projects!$C$32+Projects!$D$32),Projects!$B$32*INDEX(Curves!$B$4:$AR$4,1,10-Projects!$C$32+1),0)+IF(AND(Projects!$G$33="Yes",Projects!$M$33="Yes",10&gt;=Projects!$C$33,10&lt;Projects!$C$33+Projects!$D$33),Projects!$B$33*INDEX(Curves!$B$4:$AR$4,1,10-Projects!$C$33+1),0)+IF(AND(Projects!$G$34="Yes",Projects!$M$34="Yes",10&gt;=Projects!$C$34,10&lt;Projects!$C$34+Projects!$D$34),Projects!$B$34*INDEX(Curves!$B$4:$AR$4,1,10-Projects!$C$34+1),0)+IF(AND(Projects!$G$35="Yes",Projects!$M$35="Yes",10&gt;=Projects!$C$35,10&lt;Projects!$C$35+Projects!$D$35),Projects!$B$35*INDEX(Curves!$B$4:$AR$4,1,10-Projects!$C$35+1),0)+IF(AND(Projects!$G$36="Yes",Projects!$M$36="Yes",10&gt;=Projects!$C$36,10&lt;Projects!$C$36+Projects!$D$36),Projects!$B$36*INDEX(Curves!$B$4:$AR$4,1,10-Projects!$C$36+1),0)+IF(AND(Projects!$G$37="Yes",Projects!$M$37="Yes",10&gt;=Projects!$C$37,10&lt;Projects!$C$37+Projects!$D$37),Projects!$B$37*INDEX(Curves!$B$4:$AR$4,1,10-Projects!$C$37+1),0)+IF(AND(Projects!$G$38="Yes",Projects!$M$38="Yes",10&gt;=Projects!$C$38,10&lt;Projects!$C$38+Projects!$D$38),Projects!$B$38*INDEX(Curves!$B$4:$AR$4,1,10-Projects!$C$38+1),0)+IF(AND(Projects!$G$39="Yes",Projects!$M$39="Yes",10&gt;=Projects!$C$39,10&lt;Projects!$C$39+Projects!$D$39),Projects!$B$39*INDEX(Curves!$B$4:$AR$4,1,10-Projects!$C$39+1),0)+IF(AND(Projects!$G$40="Yes",Projects!$M$40="Yes",10&gt;=Projects!$C$40,10&lt;Projects!$C$40+Projects!$D$40),Projects!$B$40*INDEX(Curves!$B$4:$AR$4,1,10-Projects!$C$40+1),0)+IF(AND(Projects!$G$41="Yes",Projects!$M$41="Yes",10&gt;=Projects!$C$41,10&lt;Projects!$C$41+Projects!$D$41),Projects!$B$41*INDEX(Curves!$B$4:$AR$4,1,10-Projects!$C$41+1),0)+IF(AND(Projects!$G$42="Yes",Projects!$M$42="Yes",10&gt;=Projects!$C$42,10&lt;Projects!$C$42+Projects!$D$42),Projects!$B$42*INDEX(Curves!$B$4:$AR$4,1,10-Projects!$C$42+1),0)+IF(AND(Projects!$G$43="Yes",Projects!$M$43="Yes",10&gt;=Projects!$C$43,10&lt;Projects!$C$43+Projects!$D$43),Projects!$B$43*INDEX(Curves!$B$4:$AR$4,1,10-Projects!$C$43+1),0)+IF(AND(Projects!$G$44="Yes",Projects!$M$44="Yes",10&gt;=Projects!$C$44,10&lt;Projects!$C$44+Projects!$D$44),Projects!$B$44*INDEX(Curves!$B$4:$AR$4,1,10-Projects!$C$44+1),0)+IF(AND(Projects!$G$45="Yes",Projects!$M$45="Yes",10&gt;=Projects!$C$45,10&lt;Projects!$C$45+Projects!$D$45),Projects!$B$45*INDEX(Curves!$B$4:$AR$4,1,10-Projects!$C$45+1),0)+IF(AND(Projects!$G$46="Yes",Projects!$M$46="Yes",10&gt;=Projects!$C$46,10&lt;Projects!$C$46+Projects!$D$46),Projects!$B$46*INDEX(Curves!$B$4:$AR$4,1,10-Projects!$C$46+1),0)</f>
        <v>402780.20352375</v>
      </c>
      <c r="P101" s="315" t="n">
        <f aca="false">IF(AND(Projects!$G$17="Yes",Projects!$M$17="Yes",11&gt;=Projects!$C$17,11&lt;Projects!$C$17+Projects!$D$17),Projects!$B$17*INDEX(Curves!$B$4:$AR$4,1,11-Projects!$C$17+1),0)+IF(AND(Projects!$G$18="Yes",Projects!$M$18="Yes",11&gt;=Projects!$C$18,11&lt;Projects!$C$18+Projects!$D$18),Projects!$B$18*INDEX(Curves!$B$4:$AR$4,1,11-Projects!$C$18+1),0)+IF(AND(Projects!$G$19="Yes",Projects!$M$19="Yes",11&gt;=Projects!$C$19,11&lt;Projects!$C$19+Projects!$D$19),Projects!$B$19*INDEX(Curves!$B$4:$AR$4,1,11-Projects!$C$19+1),0)+IF(AND(Projects!$G$20="Yes",Projects!$M$20="Yes",11&gt;=Projects!$C$20,11&lt;Projects!$C$20+Projects!$D$20),Projects!$B$20*INDEX(Curves!$B$4:$AR$4,1,11-Projects!$C$20+1),0)+IF(AND(Projects!$G$21="Yes",Projects!$M$21="Yes",11&gt;=Projects!$C$21,11&lt;Projects!$C$21+Projects!$D$21),Projects!$B$21*INDEX(Curves!$B$4:$AR$4,1,11-Projects!$C$21+1),0)+IF(AND(Projects!$G$22="Yes",Projects!$M$22="Yes",11&gt;=Projects!$C$22,11&lt;Projects!$C$22+Projects!$D$22),Projects!$B$22*INDEX(Curves!$B$4:$AR$4,1,11-Projects!$C$22+1),0)+IF(AND(Projects!$G$23="Yes",Projects!$M$23="Yes",11&gt;=Projects!$C$23,11&lt;Projects!$C$23+Projects!$D$23),Projects!$B$23*INDEX(Curves!$B$4:$AR$4,1,11-Projects!$C$23+1),0)+IF(AND(Projects!$G$24="Yes",Projects!$M$24="Yes",11&gt;=Projects!$C$24,11&lt;Projects!$C$24+Projects!$D$24),Projects!$B$24*INDEX(Curves!$B$4:$AR$4,1,11-Projects!$C$24+1),0)+IF(AND(Projects!$G$25="Yes",Projects!$M$25="Yes",11&gt;=Projects!$C$25,11&lt;Projects!$C$25+Projects!$D$25),Projects!$B$25*INDEX(Curves!$B$4:$AR$4,1,11-Projects!$C$25+1),0)+IF(AND(Projects!$G$26="Yes",Projects!$M$26="Yes",11&gt;=Projects!$C$26,11&lt;Projects!$C$26+Projects!$D$26),Projects!$B$26*INDEX(Curves!$B$4:$AR$4,1,11-Projects!$C$26+1),0)+IF(AND(Projects!$G$27="Yes",Projects!$M$27="Yes",11&gt;=Projects!$C$27,11&lt;Projects!$C$27+Projects!$D$27),Projects!$B$27*INDEX(Curves!$B$4:$AR$4,1,11-Projects!$C$27+1),0)+IF(AND(Projects!$G$28="Yes",Projects!$M$28="Yes",11&gt;=Projects!$C$28,11&lt;Projects!$C$28+Projects!$D$28),Projects!$B$28*INDEX(Curves!$B$4:$AR$4,1,11-Projects!$C$28+1),0)+IF(AND(Projects!$G$29="Yes",Projects!$M$29="Yes",11&gt;=Projects!$C$29,11&lt;Projects!$C$29+Projects!$D$29),Projects!$B$29*INDEX(Curves!$B$4:$AR$4,1,11-Projects!$C$29+1),0)+IF(AND(Projects!$G$30="Yes",Projects!$M$30="Yes",11&gt;=Projects!$C$30,11&lt;Projects!$C$30+Projects!$D$30),Projects!$B$30*INDEX(Curves!$B$4:$AR$4,1,11-Projects!$C$30+1),0)+IF(AND(Projects!$G$31="Yes",Projects!$M$31="Yes",11&gt;=Projects!$C$31,11&lt;Projects!$C$31+Projects!$D$31),Projects!$B$31*INDEX(Curves!$B$4:$AR$4,1,11-Projects!$C$31+1),0)+IF(AND(Projects!$G$32="Yes",Projects!$M$32="Yes",11&gt;=Projects!$C$32,11&lt;Projects!$C$32+Projects!$D$32),Projects!$B$32*INDEX(Curves!$B$4:$AR$4,1,11-Projects!$C$32+1),0)+IF(AND(Projects!$G$33="Yes",Projects!$M$33="Yes",11&gt;=Projects!$C$33,11&lt;Projects!$C$33+Projects!$D$33),Projects!$B$33*INDEX(Curves!$B$4:$AR$4,1,11-Projects!$C$33+1),0)+IF(AND(Projects!$G$34="Yes",Projects!$M$34="Yes",11&gt;=Projects!$C$34,11&lt;Projects!$C$34+Projects!$D$34),Projects!$B$34*INDEX(Curves!$B$4:$AR$4,1,11-Projects!$C$34+1),0)+IF(AND(Projects!$G$35="Yes",Projects!$M$35="Yes",11&gt;=Projects!$C$35,11&lt;Projects!$C$35+Projects!$D$35),Projects!$B$35*INDEX(Curves!$B$4:$AR$4,1,11-Projects!$C$35+1),0)+IF(AND(Projects!$G$36="Yes",Projects!$M$36="Yes",11&gt;=Projects!$C$36,11&lt;Projects!$C$36+Projects!$D$36),Projects!$B$36*INDEX(Curves!$B$4:$AR$4,1,11-Projects!$C$36+1),0)+IF(AND(Projects!$G$37="Yes",Projects!$M$37="Yes",11&gt;=Projects!$C$37,11&lt;Projects!$C$37+Projects!$D$37),Projects!$B$37*INDEX(Curves!$B$4:$AR$4,1,11-Projects!$C$37+1),0)+IF(AND(Projects!$G$38="Yes",Projects!$M$38="Yes",11&gt;=Projects!$C$38,11&lt;Projects!$C$38+Projects!$D$38),Projects!$B$38*INDEX(Curves!$B$4:$AR$4,1,11-Projects!$C$38+1),0)+IF(AND(Projects!$G$39="Yes",Projects!$M$39="Yes",11&gt;=Projects!$C$39,11&lt;Projects!$C$39+Projects!$D$39),Projects!$B$39*INDEX(Curves!$B$4:$AR$4,1,11-Projects!$C$39+1),0)+IF(AND(Projects!$G$40="Yes",Projects!$M$40="Yes",11&gt;=Projects!$C$40,11&lt;Projects!$C$40+Projects!$D$40),Projects!$B$40*INDEX(Curves!$B$4:$AR$4,1,11-Projects!$C$40+1),0)+IF(AND(Projects!$G$41="Yes",Projects!$M$41="Yes",11&gt;=Projects!$C$41,11&lt;Projects!$C$41+Projects!$D$41),Projects!$B$41*INDEX(Curves!$B$4:$AR$4,1,11-Projects!$C$41+1),0)+IF(AND(Projects!$G$42="Yes",Projects!$M$42="Yes",11&gt;=Projects!$C$42,11&lt;Projects!$C$42+Projects!$D$42),Projects!$B$42*INDEX(Curves!$B$4:$AR$4,1,11-Projects!$C$42+1),0)+IF(AND(Projects!$G$43="Yes",Projects!$M$43="Yes",11&gt;=Projects!$C$43,11&lt;Projects!$C$43+Projects!$D$43),Projects!$B$43*INDEX(Curves!$B$4:$AR$4,1,11-Projects!$C$43+1),0)+IF(AND(Projects!$G$44="Yes",Projects!$M$44="Yes",11&gt;=Projects!$C$44,11&lt;Projects!$C$44+Projects!$D$44),Projects!$B$44*INDEX(Curves!$B$4:$AR$4,1,11-Projects!$C$44+1),0)+IF(AND(Projects!$G$45="Yes",Projects!$M$45="Yes",11&gt;=Projects!$C$45,11&lt;Projects!$C$45+Projects!$D$45),Projects!$B$45*INDEX(Curves!$B$4:$AR$4,1,11-Projects!$C$45+1),0)+IF(AND(Projects!$G$46="Yes",Projects!$M$46="Yes",11&gt;=Projects!$C$46,11&lt;Projects!$C$46+Projects!$D$46),Projects!$B$46*INDEX(Curves!$B$4:$AR$4,1,11-Projects!$C$46+1),0)</f>
        <v>497623.49615875</v>
      </c>
      <c r="Q101" s="315" t="n">
        <f aca="false">IF(AND(Projects!$G$17="Yes",Projects!$M$17="Yes",12&gt;=Projects!$C$17,12&lt;Projects!$C$17+Projects!$D$17),Projects!$B$17*INDEX(Curves!$B$4:$AR$4,1,12-Projects!$C$17+1),0)+IF(AND(Projects!$G$18="Yes",Projects!$M$18="Yes",12&gt;=Projects!$C$18,12&lt;Projects!$C$18+Projects!$D$18),Projects!$B$18*INDEX(Curves!$B$4:$AR$4,1,12-Projects!$C$18+1),0)+IF(AND(Projects!$G$19="Yes",Projects!$M$19="Yes",12&gt;=Projects!$C$19,12&lt;Projects!$C$19+Projects!$D$19),Projects!$B$19*INDEX(Curves!$B$4:$AR$4,1,12-Projects!$C$19+1),0)+IF(AND(Projects!$G$20="Yes",Projects!$M$20="Yes",12&gt;=Projects!$C$20,12&lt;Projects!$C$20+Projects!$D$20),Projects!$B$20*INDEX(Curves!$B$4:$AR$4,1,12-Projects!$C$20+1),0)+IF(AND(Projects!$G$21="Yes",Projects!$M$21="Yes",12&gt;=Projects!$C$21,12&lt;Projects!$C$21+Projects!$D$21),Projects!$B$21*INDEX(Curves!$B$4:$AR$4,1,12-Projects!$C$21+1),0)+IF(AND(Projects!$G$22="Yes",Projects!$M$22="Yes",12&gt;=Projects!$C$22,12&lt;Projects!$C$22+Projects!$D$22),Projects!$B$22*INDEX(Curves!$B$4:$AR$4,1,12-Projects!$C$22+1),0)+IF(AND(Projects!$G$23="Yes",Projects!$M$23="Yes",12&gt;=Projects!$C$23,12&lt;Projects!$C$23+Projects!$D$23),Projects!$B$23*INDEX(Curves!$B$4:$AR$4,1,12-Projects!$C$23+1),0)+IF(AND(Projects!$G$24="Yes",Projects!$M$24="Yes",12&gt;=Projects!$C$24,12&lt;Projects!$C$24+Projects!$D$24),Projects!$B$24*INDEX(Curves!$B$4:$AR$4,1,12-Projects!$C$24+1),0)+IF(AND(Projects!$G$25="Yes",Projects!$M$25="Yes",12&gt;=Projects!$C$25,12&lt;Projects!$C$25+Projects!$D$25),Projects!$B$25*INDEX(Curves!$B$4:$AR$4,1,12-Projects!$C$25+1),0)+IF(AND(Projects!$G$26="Yes",Projects!$M$26="Yes",12&gt;=Projects!$C$26,12&lt;Projects!$C$26+Projects!$D$26),Projects!$B$26*INDEX(Curves!$B$4:$AR$4,1,12-Projects!$C$26+1),0)+IF(AND(Projects!$G$27="Yes",Projects!$M$27="Yes",12&gt;=Projects!$C$27,12&lt;Projects!$C$27+Projects!$D$27),Projects!$B$27*INDEX(Curves!$B$4:$AR$4,1,12-Projects!$C$27+1),0)+IF(AND(Projects!$G$28="Yes",Projects!$M$28="Yes",12&gt;=Projects!$C$28,12&lt;Projects!$C$28+Projects!$D$28),Projects!$B$28*INDEX(Curves!$B$4:$AR$4,1,12-Projects!$C$28+1),0)+IF(AND(Projects!$G$29="Yes",Projects!$M$29="Yes",12&gt;=Projects!$C$29,12&lt;Projects!$C$29+Projects!$D$29),Projects!$B$29*INDEX(Curves!$B$4:$AR$4,1,12-Projects!$C$29+1),0)+IF(AND(Projects!$G$30="Yes",Projects!$M$30="Yes",12&gt;=Projects!$C$30,12&lt;Projects!$C$30+Projects!$D$30),Projects!$B$30*INDEX(Curves!$B$4:$AR$4,1,12-Projects!$C$30+1),0)+IF(AND(Projects!$G$31="Yes",Projects!$M$31="Yes",12&gt;=Projects!$C$31,12&lt;Projects!$C$31+Projects!$D$31),Projects!$B$31*INDEX(Curves!$B$4:$AR$4,1,12-Projects!$C$31+1),0)+IF(AND(Projects!$G$32="Yes",Projects!$M$32="Yes",12&gt;=Projects!$C$32,12&lt;Projects!$C$32+Projects!$D$32),Projects!$B$32*INDEX(Curves!$B$4:$AR$4,1,12-Projects!$C$32+1),0)+IF(AND(Projects!$G$33="Yes",Projects!$M$33="Yes",12&gt;=Projects!$C$33,12&lt;Projects!$C$33+Projects!$D$33),Projects!$B$33*INDEX(Curves!$B$4:$AR$4,1,12-Projects!$C$33+1),0)+IF(AND(Projects!$G$34="Yes",Projects!$M$34="Yes",12&gt;=Projects!$C$34,12&lt;Projects!$C$34+Projects!$D$34),Projects!$B$34*INDEX(Curves!$B$4:$AR$4,1,12-Projects!$C$34+1),0)+IF(AND(Projects!$G$35="Yes",Projects!$M$35="Yes",12&gt;=Projects!$C$35,12&lt;Projects!$C$35+Projects!$D$35),Projects!$B$35*INDEX(Curves!$B$4:$AR$4,1,12-Projects!$C$35+1),0)+IF(AND(Projects!$G$36="Yes",Projects!$M$36="Yes",12&gt;=Projects!$C$36,12&lt;Projects!$C$36+Projects!$D$36),Projects!$B$36*INDEX(Curves!$B$4:$AR$4,1,12-Projects!$C$36+1),0)+IF(AND(Projects!$G$37="Yes",Projects!$M$37="Yes",12&gt;=Projects!$C$37,12&lt;Projects!$C$37+Projects!$D$37),Projects!$B$37*INDEX(Curves!$B$4:$AR$4,1,12-Projects!$C$37+1),0)+IF(AND(Projects!$G$38="Yes",Projects!$M$38="Yes",12&gt;=Projects!$C$38,12&lt;Projects!$C$38+Projects!$D$38),Projects!$B$38*INDEX(Curves!$B$4:$AR$4,1,12-Projects!$C$38+1),0)+IF(AND(Projects!$G$39="Yes",Projects!$M$39="Yes",12&gt;=Projects!$C$39,12&lt;Projects!$C$39+Projects!$D$39),Projects!$B$39*INDEX(Curves!$B$4:$AR$4,1,12-Projects!$C$39+1),0)+IF(AND(Projects!$G$40="Yes",Projects!$M$40="Yes",12&gt;=Projects!$C$40,12&lt;Projects!$C$40+Projects!$D$40),Projects!$B$40*INDEX(Curves!$B$4:$AR$4,1,12-Projects!$C$40+1),0)+IF(AND(Projects!$G$41="Yes",Projects!$M$41="Yes",12&gt;=Projects!$C$41,12&lt;Projects!$C$41+Projects!$D$41),Projects!$B$41*INDEX(Curves!$B$4:$AR$4,1,12-Projects!$C$41+1),0)+IF(AND(Projects!$G$42="Yes",Projects!$M$42="Yes",12&gt;=Projects!$C$42,12&lt;Projects!$C$42+Projects!$D$42),Projects!$B$42*INDEX(Curves!$B$4:$AR$4,1,12-Projects!$C$42+1),0)+IF(AND(Projects!$G$43="Yes",Projects!$M$43="Yes",12&gt;=Projects!$C$43,12&lt;Projects!$C$43+Projects!$D$43),Projects!$B$43*INDEX(Curves!$B$4:$AR$4,1,12-Projects!$C$43+1),0)+IF(AND(Projects!$G$44="Yes",Projects!$M$44="Yes",12&gt;=Projects!$C$44,12&lt;Projects!$C$44+Projects!$D$44),Projects!$B$44*INDEX(Curves!$B$4:$AR$4,1,12-Projects!$C$44+1),0)+IF(AND(Projects!$G$45="Yes",Projects!$M$45="Yes",12&gt;=Projects!$C$45,12&lt;Projects!$C$45+Projects!$D$45),Projects!$B$45*INDEX(Curves!$B$4:$AR$4,1,12-Projects!$C$45+1),0)+IF(AND(Projects!$G$46="Yes",Projects!$M$46="Yes",12&gt;=Projects!$C$46,12&lt;Projects!$C$46+Projects!$D$46),Projects!$B$46*INDEX(Curves!$B$4:$AR$4,1,12-Projects!$C$46+1),0)</f>
        <v>599712.1844675</v>
      </c>
      <c r="R101" s="315" t="n">
        <f aca="false">IF(AND(Projects!$G$17="Yes",Projects!$M$17="Yes",13&gt;=Projects!$C$17,13&lt;Projects!$C$17+Projects!$D$17),Projects!$B$17*INDEX(Curves!$B$4:$AR$4,1,13-Projects!$C$17+1),0)+IF(AND(Projects!$G$18="Yes",Projects!$M$18="Yes",13&gt;=Projects!$C$18,13&lt;Projects!$C$18+Projects!$D$18),Projects!$B$18*INDEX(Curves!$B$4:$AR$4,1,13-Projects!$C$18+1),0)+IF(AND(Projects!$G$19="Yes",Projects!$M$19="Yes",13&gt;=Projects!$C$19,13&lt;Projects!$C$19+Projects!$D$19),Projects!$B$19*INDEX(Curves!$B$4:$AR$4,1,13-Projects!$C$19+1),0)+IF(AND(Projects!$G$20="Yes",Projects!$M$20="Yes",13&gt;=Projects!$C$20,13&lt;Projects!$C$20+Projects!$D$20),Projects!$B$20*INDEX(Curves!$B$4:$AR$4,1,13-Projects!$C$20+1),0)+IF(AND(Projects!$G$21="Yes",Projects!$M$21="Yes",13&gt;=Projects!$C$21,13&lt;Projects!$C$21+Projects!$D$21),Projects!$B$21*INDEX(Curves!$B$4:$AR$4,1,13-Projects!$C$21+1),0)+IF(AND(Projects!$G$22="Yes",Projects!$M$22="Yes",13&gt;=Projects!$C$22,13&lt;Projects!$C$22+Projects!$D$22),Projects!$B$22*INDEX(Curves!$B$4:$AR$4,1,13-Projects!$C$22+1),0)+IF(AND(Projects!$G$23="Yes",Projects!$M$23="Yes",13&gt;=Projects!$C$23,13&lt;Projects!$C$23+Projects!$D$23),Projects!$B$23*INDEX(Curves!$B$4:$AR$4,1,13-Projects!$C$23+1),0)+IF(AND(Projects!$G$24="Yes",Projects!$M$24="Yes",13&gt;=Projects!$C$24,13&lt;Projects!$C$24+Projects!$D$24),Projects!$B$24*INDEX(Curves!$B$4:$AR$4,1,13-Projects!$C$24+1),0)+IF(AND(Projects!$G$25="Yes",Projects!$M$25="Yes",13&gt;=Projects!$C$25,13&lt;Projects!$C$25+Projects!$D$25),Projects!$B$25*INDEX(Curves!$B$4:$AR$4,1,13-Projects!$C$25+1),0)+IF(AND(Projects!$G$26="Yes",Projects!$M$26="Yes",13&gt;=Projects!$C$26,13&lt;Projects!$C$26+Projects!$D$26),Projects!$B$26*INDEX(Curves!$B$4:$AR$4,1,13-Projects!$C$26+1),0)+IF(AND(Projects!$G$27="Yes",Projects!$M$27="Yes",13&gt;=Projects!$C$27,13&lt;Projects!$C$27+Projects!$D$27),Projects!$B$27*INDEX(Curves!$B$4:$AR$4,1,13-Projects!$C$27+1),0)+IF(AND(Projects!$G$28="Yes",Projects!$M$28="Yes",13&gt;=Projects!$C$28,13&lt;Projects!$C$28+Projects!$D$28),Projects!$B$28*INDEX(Curves!$B$4:$AR$4,1,13-Projects!$C$28+1),0)+IF(AND(Projects!$G$29="Yes",Projects!$M$29="Yes",13&gt;=Projects!$C$29,13&lt;Projects!$C$29+Projects!$D$29),Projects!$B$29*INDEX(Curves!$B$4:$AR$4,1,13-Projects!$C$29+1),0)+IF(AND(Projects!$G$30="Yes",Projects!$M$30="Yes",13&gt;=Projects!$C$30,13&lt;Projects!$C$30+Projects!$D$30),Projects!$B$30*INDEX(Curves!$B$4:$AR$4,1,13-Projects!$C$30+1),0)+IF(AND(Projects!$G$31="Yes",Projects!$M$31="Yes",13&gt;=Projects!$C$31,13&lt;Projects!$C$31+Projects!$D$31),Projects!$B$31*INDEX(Curves!$B$4:$AR$4,1,13-Projects!$C$31+1),0)+IF(AND(Projects!$G$32="Yes",Projects!$M$32="Yes",13&gt;=Projects!$C$32,13&lt;Projects!$C$32+Projects!$D$32),Projects!$B$32*INDEX(Curves!$B$4:$AR$4,1,13-Projects!$C$32+1),0)+IF(AND(Projects!$G$33="Yes",Projects!$M$33="Yes",13&gt;=Projects!$C$33,13&lt;Projects!$C$33+Projects!$D$33),Projects!$B$33*INDEX(Curves!$B$4:$AR$4,1,13-Projects!$C$33+1),0)+IF(AND(Projects!$G$34="Yes",Projects!$M$34="Yes",13&gt;=Projects!$C$34,13&lt;Projects!$C$34+Projects!$D$34),Projects!$B$34*INDEX(Curves!$B$4:$AR$4,1,13-Projects!$C$34+1),0)+IF(AND(Projects!$G$35="Yes",Projects!$M$35="Yes",13&gt;=Projects!$C$35,13&lt;Projects!$C$35+Projects!$D$35),Projects!$B$35*INDEX(Curves!$B$4:$AR$4,1,13-Projects!$C$35+1),0)+IF(AND(Projects!$G$36="Yes",Projects!$M$36="Yes",13&gt;=Projects!$C$36,13&lt;Projects!$C$36+Projects!$D$36),Projects!$B$36*INDEX(Curves!$B$4:$AR$4,1,13-Projects!$C$36+1),0)+IF(AND(Projects!$G$37="Yes",Projects!$M$37="Yes",13&gt;=Projects!$C$37,13&lt;Projects!$C$37+Projects!$D$37),Projects!$B$37*INDEX(Curves!$B$4:$AR$4,1,13-Projects!$C$37+1),0)+IF(AND(Projects!$G$38="Yes",Projects!$M$38="Yes",13&gt;=Projects!$C$38,13&lt;Projects!$C$38+Projects!$D$38),Projects!$B$38*INDEX(Curves!$B$4:$AR$4,1,13-Projects!$C$38+1),0)+IF(AND(Projects!$G$39="Yes",Projects!$M$39="Yes",13&gt;=Projects!$C$39,13&lt;Projects!$C$39+Projects!$D$39),Projects!$B$39*INDEX(Curves!$B$4:$AR$4,1,13-Projects!$C$39+1),0)+IF(AND(Projects!$G$40="Yes",Projects!$M$40="Yes",13&gt;=Projects!$C$40,13&lt;Projects!$C$40+Projects!$D$40),Projects!$B$40*INDEX(Curves!$B$4:$AR$4,1,13-Projects!$C$40+1),0)+IF(AND(Projects!$G$41="Yes",Projects!$M$41="Yes",13&gt;=Projects!$C$41,13&lt;Projects!$C$41+Projects!$D$41),Projects!$B$41*INDEX(Curves!$B$4:$AR$4,1,13-Projects!$C$41+1),0)+IF(AND(Projects!$G$42="Yes",Projects!$M$42="Yes",13&gt;=Projects!$C$42,13&lt;Projects!$C$42+Projects!$D$42),Projects!$B$42*INDEX(Curves!$B$4:$AR$4,1,13-Projects!$C$42+1),0)+IF(AND(Projects!$G$43="Yes",Projects!$M$43="Yes",13&gt;=Projects!$C$43,13&lt;Projects!$C$43+Projects!$D$43),Projects!$B$43*INDEX(Curves!$B$4:$AR$4,1,13-Projects!$C$43+1),0)+IF(AND(Projects!$G$44="Yes",Projects!$M$44="Yes",13&gt;=Projects!$C$44,13&lt;Projects!$C$44+Projects!$D$44),Projects!$B$44*INDEX(Curves!$B$4:$AR$4,1,13-Projects!$C$44+1),0)+IF(AND(Projects!$G$45="Yes",Projects!$M$45="Yes",13&gt;=Projects!$C$45,13&lt;Projects!$C$45+Projects!$D$45),Projects!$B$45*INDEX(Curves!$B$4:$AR$4,1,13-Projects!$C$45+1),0)+IF(AND(Projects!$G$46="Yes",Projects!$M$46="Yes",13&gt;=Projects!$C$46,13&lt;Projects!$C$46+Projects!$D$46),Projects!$B$46*INDEX(Curves!$B$4:$AR$4,1,13-Projects!$C$46+1),0)</f>
        <v>704975.480105</v>
      </c>
      <c r="S101" s="315" t="n">
        <f aca="false">IF(AND(Projects!$G$17="Yes",Projects!$M$17="Yes",14&gt;=Projects!$C$17,14&lt;Projects!$C$17+Projects!$D$17),Projects!$B$17*INDEX(Curves!$B$4:$AR$4,1,14-Projects!$C$17+1),0)+IF(AND(Projects!$G$18="Yes",Projects!$M$18="Yes",14&gt;=Projects!$C$18,14&lt;Projects!$C$18+Projects!$D$18),Projects!$B$18*INDEX(Curves!$B$4:$AR$4,1,14-Projects!$C$18+1),0)+IF(AND(Projects!$G$19="Yes",Projects!$M$19="Yes",14&gt;=Projects!$C$19,14&lt;Projects!$C$19+Projects!$D$19),Projects!$B$19*INDEX(Curves!$B$4:$AR$4,1,14-Projects!$C$19+1),0)+IF(AND(Projects!$G$20="Yes",Projects!$M$20="Yes",14&gt;=Projects!$C$20,14&lt;Projects!$C$20+Projects!$D$20),Projects!$B$20*INDEX(Curves!$B$4:$AR$4,1,14-Projects!$C$20+1),0)+IF(AND(Projects!$G$21="Yes",Projects!$M$21="Yes",14&gt;=Projects!$C$21,14&lt;Projects!$C$21+Projects!$D$21),Projects!$B$21*INDEX(Curves!$B$4:$AR$4,1,14-Projects!$C$21+1),0)+IF(AND(Projects!$G$22="Yes",Projects!$M$22="Yes",14&gt;=Projects!$C$22,14&lt;Projects!$C$22+Projects!$D$22),Projects!$B$22*INDEX(Curves!$B$4:$AR$4,1,14-Projects!$C$22+1),0)+IF(AND(Projects!$G$23="Yes",Projects!$M$23="Yes",14&gt;=Projects!$C$23,14&lt;Projects!$C$23+Projects!$D$23),Projects!$B$23*INDEX(Curves!$B$4:$AR$4,1,14-Projects!$C$23+1),0)+IF(AND(Projects!$G$24="Yes",Projects!$M$24="Yes",14&gt;=Projects!$C$24,14&lt;Projects!$C$24+Projects!$D$24),Projects!$B$24*INDEX(Curves!$B$4:$AR$4,1,14-Projects!$C$24+1),0)+IF(AND(Projects!$G$25="Yes",Projects!$M$25="Yes",14&gt;=Projects!$C$25,14&lt;Projects!$C$25+Projects!$D$25),Projects!$B$25*INDEX(Curves!$B$4:$AR$4,1,14-Projects!$C$25+1),0)+IF(AND(Projects!$G$26="Yes",Projects!$M$26="Yes",14&gt;=Projects!$C$26,14&lt;Projects!$C$26+Projects!$D$26),Projects!$B$26*INDEX(Curves!$B$4:$AR$4,1,14-Projects!$C$26+1),0)+IF(AND(Projects!$G$27="Yes",Projects!$M$27="Yes",14&gt;=Projects!$C$27,14&lt;Projects!$C$27+Projects!$D$27),Projects!$B$27*INDEX(Curves!$B$4:$AR$4,1,14-Projects!$C$27+1),0)+IF(AND(Projects!$G$28="Yes",Projects!$M$28="Yes",14&gt;=Projects!$C$28,14&lt;Projects!$C$28+Projects!$D$28),Projects!$B$28*INDEX(Curves!$B$4:$AR$4,1,14-Projects!$C$28+1),0)+IF(AND(Projects!$G$29="Yes",Projects!$M$29="Yes",14&gt;=Projects!$C$29,14&lt;Projects!$C$29+Projects!$D$29),Projects!$B$29*INDEX(Curves!$B$4:$AR$4,1,14-Projects!$C$29+1),0)+IF(AND(Projects!$G$30="Yes",Projects!$M$30="Yes",14&gt;=Projects!$C$30,14&lt;Projects!$C$30+Projects!$D$30),Projects!$B$30*INDEX(Curves!$B$4:$AR$4,1,14-Projects!$C$30+1),0)+IF(AND(Projects!$G$31="Yes",Projects!$M$31="Yes",14&gt;=Projects!$C$31,14&lt;Projects!$C$31+Projects!$D$31),Projects!$B$31*INDEX(Curves!$B$4:$AR$4,1,14-Projects!$C$31+1),0)+IF(AND(Projects!$G$32="Yes",Projects!$M$32="Yes",14&gt;=Projects!$C$32,14&lt;Projects!$C$32+Projects!$D$32),Projects!$B$32*INDEX(Curves!$B$4:$AR$4,1,14-Projects!$C$32+1),0)+IF(AND(Projects!$G$33="Yes",Projects!$M$33="Yes",14&gt;=Projects!$C$33,14&lt;Projects!$C$33+Projects!$D$33),Projects!$B$33*INDEX(Curves!$B$4:$AR$4,1,14-Projects!$C$33+1),0)+IF(AND(Projects!$G$34="Yes",Projects!$M$34="Yes",14&gt;=Projects!$C$34,14&lt;Projects!$C$34+Projects!$D$34),Projects!$B$34*INDEX(Curves!$B$4:$AR$4,1,14-Projects!$C$34+1),0)+IF(AND(Projects!$G$35="Yes",Projects!$M$35="Yes",14&gt;=Projects!$C$35,14&lt;Projects!$C$35+Projects!$D$35),Projects!$B$35*INDEX(Curves!$B$4:$AR$4,1,14-Projects!$C$35+1),0)+IF(AND(Projects!$G$36="Yes",Projects!$M$36="Yes",14&gt;=Projects!$C$36,14&lt;Projects!$C$36+Projects!$D$36),Projects!$B$36*INDEX(Curves!$B$4:$AR$4,1,14-Projects!$C$36+1),0)+IF(AND(Projects!$G$37="Yes",Projects!$M$37="Yes",14&gt;=Projects!$C$37,14&lt;Projects!$C$37+Projects!$D$37),Projects!$B$37*INDEX(Curves!$B$4:$AR$4,1,14-Projects!$C$37+1),0)+IF(AND(Projects!$G$38="Yes",Projects!$M$38="Yes",14&gt;=Projects!$C$38,14&lt;Projects!$C$38+Projects!$D$38),Projects!$B$38*INDEX(Curves!$B$4:$AR$4,1,14-Projects!$C$38+1),0)+IF(AND(Projects!$G$39="Yes",Projects!$M$39="Yes",14&gt;=Projects!$C$39,14&lt;Projects!$C$39+Projects!$D$39),Projects!$B$39*INDEX(Curves!$B$4:$AR$4,1,14-Projects!$C$39+1),0)+IF(AND(Projects!$G$40="Yes",Projects!$M$40="Yes",14&gt;=Projects!$C$40,14&lt;Projects!$C$40+Projects!$D$40),Projects!$B$40*INDEX(Curves!$B$4:$AR$4,1,14-Projects!$C$40+1),0)+IF(AND(Projects!$G$41="Yes",Projects!$M$41="Yes",14&gt;=Projects!$C$41,14&lt;Projects!$C$41+Projects!$D$41),Projects!$B$41*INDEX(Curves!$B$4:$AR$4,1,14-Projects!$C$41+1),0)+IF(AND(Projects!$G$42="Yes",Projects!$M$42="Yes",14&gt;=Projects!$C$42,14&lt;Projects!$C$42+Projects!$D$42),Projects!$B$42*INDEX(Curves!$B$4:$AR$4,1,14-Projects!$C$42+1),0)+IF(AND(Projects!$G$43="Yes",Projects!$M$43="Yes",14&gt;=Projects!$C$43,14&lt;Projects!$C$43+Projects!$D$43),Projects!$B$43*INDEX(Curves!$B$4:$AR$4,1,14-Projects!$C$43+1),0)+IF(AND(Projects!$G$44="Yes",Projects!$M$44="Yes",14&gt;=Projects!$C$44,14&lt;Projects!$C$44+Projects!$D$44),Projects!$B$44*INDEX(Curves!$B$4:$AR$4,1,14-Projects!$C$44+1),0)+IF(AND(Projects!$G$45="Yes",Projects!$M$45="Yes",14&gt;=Projects!$C$45,14&lt;Projects!$C$45+Projects!$D$45),Projects!$B$45*INDEX(Curves!$B$4:$AR$4,1,14-Projects!$C$45+1),0)+IF(AND(Projects!$G$46="Yes",Projects!$M$46="Yes",14&gt;=Projects!$C$46,14&lt;Projects!$C$46+Projects!$D$46),Projects!$B$46*INDEX(Curves!$B$4:$AR$4,1,14-Projects!$C$46+1),0)</f>
        <v>1214490.0464125</v>
      </c>
      <c r="T101" s="315" t="n">
        <f aca="false">IF(AND(Projects!$G$17="Yes",Projects!$M$17="Yes",15&gt;=Projects!$C$17,15&lt;Projects!$C$17+Projects!$D$17),Projects!$B$17*INDEX(Curves!$B$4:$AR$4,1,15-Projects!$C$17+1),0)+IF(AND(Projects!$G$18="Yes",Projects!$M$18="Yes",15&gt;=Projects!$C$18,15&lt;Projects!$C$18+Projects!$D$18),Projects!$B$18*INDEX(Curves!$B$4:$AR$4,1,15-Projects!$C$18+1),0)+IF(AND(Projects!$G$19="Yes",Projects!$M$19="Yes",15&gt;=Projects!$C$19,15&lt;Projects!$C$19+Projects!$D$19),Projects!$B$19*INDEX(Curves!$B$4:$AR$4,1,15-Projects!$C$19+1),0)+IF(AND(Projects!$G$20="Yes",Projects!$M$20="Yes",15&gt;=Projects!$C$20,15&lt;Projects!$C$20+Projects!$D$20),Projects!$B$20*INDEX(Curves!$B$4:$AR$4,1,15-Projects!$C$20+1),0)+IF(AND(Projects!$G$21="Yes",Projects!$M$21="Yes",15&gt;=Projects!$C$21,15&lt;Projects!$C$21+Projects!$D$21),Projects!$B$21*INDEX(Curves!$B$4:$AR$4,1,15-Projects!$C$21+1),0)+IF(AND(Projects!$G$22="Yes",Projects!$M$22="Yes",15&gt;=Projects!$C$22,15&lt;Projects!$C$22+Projects!$D$22),Projects!$B$22*INDEX(Curves!$B$4:$AR$4,1,15-Projects!$C$22+1),0)+IF(AND(Projects!$G$23="Yes",Projects!$M$23="Yes",15&gt;=Projects!$C$23,15&lt;Projects!$C$23+Projects!$D$23),Projects!$B$23*INDEX(Curves!$B$4:$AR$4,1,15-Projects!$C$23+1),0)+IF(AND(Projects!$G$24="Yes",Projects!$M$24="Yes",15&gt;=Projects!$C$24,15&lt;Projects!$C$24+Projects!$D$24),Projects!$B$24*INDEX(Curves!$B$4:$AR$4,1,15-Projects!$C$24+1),0)+IF(AND(Projects!$G$25="Yes",Projects!$M$25="Yes",15&gt;=Projects!$C$25,15&lt;Projects!$C$25+Projects!$D$25),Projects!$B$25*INDEX(Curves!$B$4:$AR$4,1,15-Projects!$C$25+1),0)+IF(AND(Projects!$G$26="Yes",Projects!$M$26="Yes",15&gt;=Projects!$C$26,15&lt;Projects!$C$26+Projects!$D$26),Projects!$B$26*INDEX(Curves!$B$4:$AR$4,1,15-Projects!$C$26+1),0)+IF(AND(Projects!$G$27="Yes",Projects!$M$27="Yes",15&gt;=Projects!$C$27,15&lt;Projects!$C$27+Projects!$D$27),Projects!$B$27*INDEX(Curves!$B$4:$AR$4,1,15-Projects!$C$27+1),0)+IF(AND(Projects!$G$28="Yes",Projects!$M$28="Yes",15&gt;=Projects!$C$28,15&lt;Projects!$C$28+Projects!$D$28),Projects!$B$28*INDEX(Curves!$B$4:$AR$4,1,15-Projects!$C$28+1),0)+IF(AND(Projects!$G$29="Yes",Projects!$M$29="Yes",15&gt;=Projects!$C$29,15&lt;Projects!$C$29+Projects!$D$29),Projects!$B$29*INDEX(Curves!$B$4:$AR$4,1,15-Projects!$C$29+1),0)+IF(AND(Projects!$G$30="Yes",Projects!$M$30="Yes",15&gt;=Projects!$C$30,15&lt;Projects!$C$30+Projects!$D$30),Projects!$B$30*INDEX(Curves!$B$4:$AR$4,1,15-Projects!$C$30+1),0)+IF(AND(Projects!$G$31="Yes",Projects!$M$31="Yes",15&gt;=Projects!$C$31,15&lt;Projects!$C$31+Projects!$D$31),Projects!$B$31*INDEX(Curves!$B$4:$AR$4,1,15-Projects!$C$31+1),0)+IF(AND(Projects!$G$32="Yes",Projects!$M$32="Yes",15&gt;=Projects!$C$32,15&lt;Projects!$C$32+Projects!$D$32),Projects!$B$32*INDEX(Curves!$B$4:$AR$4,1,15-Projects!$C$32+1),0)+IF(AND(Projects!$G$33="Yes",Projects!$M$33="Yes",15&gt;=Projects!$C$33,15&lt;Projects!$C$33+Projects!$D$33),Projects!$B$33*INDEX(Curves!$B$4:$AR$4,1,15-Projects!$C$33+1),0)+IF(AND(Projects!$G$34="Yes",Projects!$M$34="Yes",15&gt;=Projects!$C$34,15&lt;Projects!$C$34+Projects!$D$34),Projects!$B$34*INDEX(Curves!$B$4:$AR$4,1,15-Projects!$C$34+1),0)+IF(AND(Projects!$G$35="Yes",Projects!$M$35="Yes",15&gt;=Projects!$C$35,15&lt;Projects!$C$35+Projects!$D$35),Projects!$B$35*INDEX(Curves!$B$4:$AR$4,1,15-Projects!$C$35+1),0)+IF(AND(Projects!$G$36="Yes",Projects!$M$36="Yes",15&gt;=Projects!$C$36,15&lt;Projects!$C$36+Projects!$D$36),Projects!$B$36*INDEX(Curves!$B$4:$AR$4,1,15-Projects!$C$36+1),0)+IF(AND(Projects!$G$37="Yes",Projects!$M$37="Yes",15&gt;=Projects!$C$37,15&lt;Projects!$C$37+Projects!$D$37),Projects!$B$37*INDEX(Curves!$B$4:$AR$4,1,15-Projects!$C$37+1),0)+IF(AND(Projects!$G$38="Yes",Projects!$M$38="Yes",15&gt;=Projects!$C$38,15&lt;Projects!$C$38+Projects!$D$38),Projects!$B$38*INDEX(Curves!$B$4:$AR$4,1,15-Projects!$C$38+1),0)+IF(AND(Projects!$G$39="Yes",Projects!$M$39="Yes",15&gt;=Projects!$C$39,15&lt;Projects!$C$39+Projects!$D$39),Projects!$B$39*INDEX(Curves!$B$4:$AR$4,1,15-Projects!$C$39+1),0)+IF(AND(Projects!$G$40="Yes",Projects!$M$40="Yes",15&gt;=Projects!$C$40,15&lt;Projects!$C$40+Projects!$D$40),Projects!$B$40*INDEX(Curves!$B$4:$AR$4,1,15-Projects!$C$40+1),0)+IF(AND(Projects!$G$41="Yes",Projects!$M$41="Yes",15&gt;=Projects!$C$41,15&lt;Projects!$C$41+Projects!$D$41),Projects!$B$41*INDEX(Curves!$B$4:$AR$4,1,15-Projects!$C$41+1),0)+IF(AND(Projects!$G$42="Yes",Projects!$M$42="Yes",15&gt;=Projects!$C$42,15&lt;Projects!$C$42+Projects!$D$42),Projects!$B$42*INDEX(Curves!$B$4:$AR$4,1,15-Projects!$C$42+1),0)+IF(AND(Projects!$G$43="Yes",Projects!$M$43="Yes",15&gt;=Projects!$C$43,15&lt;Projects!$C$43+Projects!$D$43),Projects!$B$43*INDEX(Curves!$B$4:$AR$4,1,15-Projects!$C$43+1),0)+IF(AND(Projects!$G$44="Yes",Projects!$M$44="Yes",15&gt;=Projects!$C$44,15&lt;Projects!$C$44+Projects!$D$44),Projects!$B$44*INDEX(Curves!$B$4:$AR$4,1,15-Projects!$C$44+1),0)+IF(AND(Projects!$G$45="Yes",Projects!$M$45="Yes",15&gt;=Projects!$C$45,15&lt;Projects!$C$45+Projects!$D$45),Projects!$B$45*INDEX(Curves!$B$4:$AR$4,1,15-Projects!$C$45+1),0)+IF(AND(Projects!$G$46="Yes",Projects!$M$46="Yes",15&gt;=Projects!$C$46,15&lt;Projects!$C$46+Projects!$D$46),Projects!$B$46*INDEX(Curves!$B$4:$AR$4,1,15-Projects!$C$46+1),0)</f>
        <v>1705981.0052775</v>
      </c>
      <c r="U101" s="315" t="n">
        <f aca="false">IF(AND(Projects!$G$17="Yes",Projects!$M$17="Yes",16&gt;=Projects!$C$17,16&lt;Projects!$C$17+Projects!$D$17),Projects!$B$17*INDEX(Curves!$B$4:$AR$4,1,16-Projects!$C$17+1),0)+IF(AND(Projects!$G$18="Yes",Projects!$M$18="Yes",16&gt;=Projects!$C$18,16&lt;Projects!$C$18+Projects!$D$18),Projects!$B$18*INDEX(Curves!$B$4:$AR$4,1,16-Projects!$C$18+1),0)+IF(AND(Projects!$G$19="Yes",Projects!$M$19="Yes",16&gt;=Projects!$C$19,16&lt;Projects!$C$19+Projects!$D$19),Projects!$B$19*INDEX(Curves!$B$4:$AR$4,1,16-Projects!$C$19+1),0)+IF(AND(Projects!$G$20="Yes",Projects!$M$20="Yes",16&gt;=Projects!$C$20,16&lt;Projects!$C$20+Projects!$D$20),Projects!$B$20*INDEX(Curves!$B$4:$AR$4,1,16-Projects!$C$20+1),0)+IF(AND(Projects!$G$21="Yes",Projects!$M$21="Yes",16&gt;=Projects!$C$21,16&lt;Projects!$C$21+Projects!$D$21),Projects!$B$21*INDEX(Curves!$B$4:$AR$4,1,16-Projects!$C$21+1),0)+IF(AND(Projects!$G$22="Yes",Projects!$M$22="Yes",16&gt;=Projects!$C$22,16&lt;Projects!$C$22+Projects!$D$22),Projects!$B$22*INDEX(Curves!$B$4:$AR$4,1,16-Projects!$C$22+1),0)+IF(AND(Projects!$G$23="Yes",Projects!$M$23="Yes",16&gt;=Projects!$C$23,16&lt;Projects!$C$23+Projects!$D$23),Projects!$B$23*INDEX(Curves!$B$4:$AR$4,1,16-Projects!$C$23+1),0)+IF(AND(Projects!$G$24="Yes",Projects!$M$24="Yes",16&gt;=Projects!$C$24,16&lt;Projects!$C$24+Projects!$D$24),Projects!$B$24*INDEX(Curves!$B$4:$AR$4,1,16-Projects!$C$24+1),0)+IF(AND(Projects!$G$25="Yes",Projects!$M$25="Yes",16&gt;=Projects!$C$25,16&lt;Projects!$C$25+Projects!$D$25),Projects!$B$25*INDEX(Curves!$B$4:$AR$4,1,16-Projects!$C$25+1),0)+IF(AND(Projects!$G$26="Yes",Projects!$M$26="Yes",16&gt;=Projects!$C$26,16&lt;Projects!$C$26+Projects!$D$26),Projects!$B$26*INDEX(Curves!$B$4:$AR$4,1,16-Projects!$C$26+1),0)+IF(AND(Projects!$G$27="Yes",Projects!$M$27="Yes",16&gt;=Projects!$C$27,16&lt;Projects!$C$27+Projects!$D$27),Projects!$B$27*INDEX(Curves!$B$4:$AR$4,1,16-Projects!$C$27+1),0)+IF(AND(Projects!$G$28="Yes",Projects!$M$28="Yes",16&gt;=Projects!$C$28,16&lt;Projects!$C$28+Projects!$D$28),Projects!$B$28*INDEX(Curves!$B$4:$AR$4,1,16-Projects!$C$28+1),0)+IF(AND(Projects!$G$29="Yes",Projects!$M$29="Yes",16&gt;=Projects!$C$29,16&lt;Projects!$C$29+Projects!$D$29),Projects!$B$29*INDEX(Curves!$B$4:$AR$4,1,16-Projects!$C$29+1),0)+IF(AND(Projects!$G$30="Yes",Projects!$M$30="Yes",16&gt;=Projects!$C$30,16&lt;Projects!$C$30+Projects!$D$30),Projects!$B$30*INDEX(Curves!$B$4:$AR$4,1,16-Projects!$C$30+1),0)+IF(AND(Projects!$G$31="Yes",Projects!$M$31="Yes",16&gt;=Projects!$C$31,16&lt;Projects!$C$31+Projects!$D$31),Projects!$B$31*INDEX(Curves!$B$4:$AR$4,1,16-Projects!$C$31+1),0)+IF(AND(Projects!$G$32="Yes",Projects!$M$32="Yes",16&gt;=Projects!$C$32,16&lt;Projects!$C$32+Projects!$D$32),Projects!$B$32*INDEX(Curves!$B$4:$AR$4,1,16-Projects!$C$32+1),0)+IF(AND(Projects!$G$33="Yes",Projects!$M$33="Yes",16&gt;=Projects!$C$33,16&lt;Projects!$C$33+Projects!$D$33),Projects!$B$33*INDEX(Curves!$B$4:$AR$4,1,16-Projects!$C$33+1),0)+IF(AND(Projects!$G$34="Yes",Projects!$M$34="Yes",16&gt;=Projects!$C$34,16&lt;Projects!$C$34+Projects!$D$34),Projects!$B$34*INDEX(Curves!$B$4:$AR$4,1,16-Projects!$C$34+1),0)+IF(AND(Projects!$G$35="Yes",Projects!$M$35="Yes",16&gt;=Projects!$C$35,16&lt;Projects!$C$35+Projects!$D$35),Projects!$B$35*INDEX(Curves!$B$4:$AR$4,1,16-Projects!$C$35+1),0)+IF(AND(Projects!$G$36="Yes",Projects!$M$36="Yes",16&gt;=Projects!$C$36,16&lt;Projects!$C$36+Projects!$D$36),Projects!$B$36*INDEX(Curves!$B$4:$AR$4,1,16-Projects!$C$36+1),0)+IF(AND(Projects!$G$37="Yes",Projects!$M$37="Yes",16&gt;=Projects!$C$37,16&lt;Projects!$C$37+Projects!$D$37),Projects!$B$37*INDEX(Curves!$B$4:$AR$4,1,16-Projects!$C$37+1),0)+IF(AND(Projects!$G$38="Yes",Projects!$M$38="Yes",16&gt;=Projects!$C$38,16&lt;Projects!$C$38+Projects!$D$38),Projects!$B$38*INDEX(Curves!$B$4:$AR$4,1,16-Projects!$C$38+1),0)+IF(AND(Projects!$G$39="Yes",Projects!$M$39="Yes",16&gt;=Projects!$C$39,16&lt;Projects!$C$39+Projects!$D$39),Projects!$B$39*INDEX(Curves!$B$4:$AR$4,1,16-Projects!$C$39+1),0)+IF(AND(Projects!$G$40="Yes",Projects!$M$40="Yes",16&gt;=Projects!$C$40,16&lt;Projects!$C$40+Projects!$D$40),Projects!$B$40*INDEX(Curves!$B$4:$AR$4,1,16-Projects!$C$40+1),0)+IF(AND(Projects!$G$41="Yes",Projects!$M$41="Yes",16&gt;=Projects!$C$41,16&lt;Projects!$C$41+Projects!$D$41),Projects!$B$41*INDEX(Curves!$B$4:$AR$4,1,16-Projects!$C$41+1),0)+IF(AND(Projects!$G$42="Yes",Projects!$M$42="Yes",16&gt;=Projects!$C$42,16&lt;Projects!$C$42+Projects!$D$42),Projects!$B$42*INDEX(Curves!$B$4:$AR$4,1,16-Projects!$C$42+1),0)+IF(AND(Projects!$G$43="Yes",Projects!$M$43="Yes",16&gt;=Projects!$C$43,16&lt;Projects!$C$43+Projects!$D$43),Projects!$B$43*INDEX(Curves!$B$4:$AR$4,1,16-Projects!$C$43+1),0)+IF(AND(Projects!$G$44="Yes",Projects!$M$44="Yes",16&gt;=Projects!$C$44,16&lt;Projects!$C$44+Projects!$D$44),Projects!$B$44*INDEX(Curves!$B$4:$AR$4,1,16-Projects!$C$44+1),0)+IF(AND(Projects!$G$45="Yes",Projects!$M$45="Yes",16&gt;=Projects!$C$45,16&lt;Projects!$C$45+Projects!$D$45),Projects!$B$45*INDEX(Curves!$B$4:$AR$4,1,16-Projects!$C$45+1),0)+IF(AND(Projects!$G$46="Yes",Projects!$M$46="Yes",16&gt;=Projects!$C$46,16&lt;Projects!$C$46+Projects!$D$46),Projects!$B$46*INDEX(Curves!$B$4:$AR$4,1,16-Projects!$C$46+1),0)</f>
        <v>2450883.78948675</v>
      </c>
      <c r="V101" s="315" t="n">
        <f aca="false">IF(AND(Projects!$G$17="Yes",Projects!$M$17="Yes",17&gt;=Projects!$C$17,17&lt;Projects!$C$17+Projects!$D$17),Projects!$B$17*INDEX(Curves!$B$4:$AR$4,1,17-Projects!$C$17+1),0)+IF(AND(Projects!$G$18="Yes",Projects!$M$18="Yes",17&gt;=Projects!$C$18,17&lt;Projects!$C$18+Projects!$D$18),Projects!$B$18*INDEX(Curves!$B$4:$AR$4,1,17-Projects!$C$18+1),0)+IF(AND(Projects!$G$19="Yes",Projects!$M$19="Yes",17&gt;=Projects!$C$19,17&lt;Projects!$C$19+Projects!$D$19),Projects!$B$19*INDEX(Curves!$B$4:$AR$4,1,17-Projects!$C$19+1),0)+IF(AND(Projects!$G$20="Yes",Projects!$M$20="Yes",17&gt;=Projects!$C$20,17&lt;Projects!$C$20+Projects!$D$20),Projects!$B$20*INDEX(Curves!$B$4:$AR$4,1,17-Projects!$C$20+1),0)+IF(AND(Projects!$G$21="Yes",Projects!$M$21="Yes",17&gt;=Projects!$C$21,17&lt;Projects!$C$21+Projects!$D$21),Projects!$B$21*INDEX(Curves!$B$4:$AR$4,1,17-Projects!$C$21+1),0)+IF(AND(Projects!$G$22="Yes",Projects!$M$22="Yes",17&gt;=Projects!$C$22,17&lt;Projects!$C$22+Projects!$D$22),Projects!$B$22*INDEX(Curves!$B$4:$AR$4,1,17-Projects!$C$22+1),0)+IF(AND(Projects!$G$23="Yes",Projects!$M$23="Yes",17&gt;=Projects!$C$23,17&lt;Projects!$C$23+Projects!$D$23),Projects!$B$23*INDEX(Curves!$B$4:$AR$4,1,17-Projects!$C$23+1),0)+IF(AND(Projects!$G$24="Yes",Projects!$M$24="Yes",17&gt;=Projects!$C$24,17&lt;Projects!$C$24+Projects!$D$24),Projects!$B$24*INDEX(Curves!$B$4:$AR$4,1,17-Projects!$C$24+1),0)+IF(AND(Projects!$G$25="Yes",Projects!$M$25="Yes",17&gt;=Projects!$C$25,17&lt;Projects!$C$25+Projects!$D$25),Projects!$B$25*INDEX(Curves!$B$4:$AR$4,1,17-Projects!$C$25+1),0)+IF(AND(Projects!$G$26="Yes",Projects!$M$26="Yes",17&gt;=Projects!$C$26,17&lt;Projects!$C$26+Projects!$D$26),Projects!$B$26*INDEX(Curves!$B$4:$AR$4,1,17-Projects!$C$26+1),0)+IF(AND(Projects!$G$27="Yes",Projects!$M$27="Yes",17&gt;=Projects!$C$27,17&lt;Projects!$C$27+Projects!$D$27),Projects!$B$27*INDEX(Curves!$B$4:$AR$4,1,17-Projects!$C$27+1),0)+IF(AND(Projects!$G$28="Yes",Projects!$M$28="Yes",17&gt;=Projects!$C$28,17&lt;Projects!$C$28+Projects!$D$28),Projects!$B$28*INDEX(Curves!$B$4:$AR$4,1,17-Projects!$C$28+1),0)+IF(AND(Projects!$G$29="Yes",Projects!$M$29="Yes",17&gt;=Projects!$C$29,17&lt;Projects!$C$29+Projects!$D$29),Projects!$B$29*INDEX(Curves!$B$4:$AR$4,1,17-Projects!$C$29+1),0)+IF(AND(Projects!$G$30="Yes",Projects!$M$30="Yes",17&gt;=Projects!$C$30,17&lt;Projects!$C$30+Projects!$D$30),Projects!$B$30*INDEX(Curves!$B$4:$AR$4,1,17-Projects!$C$30+1),0)+IF(AND(Projects!$G$31="Yes",Projects!$M$31="Yes",17&gt;=Projects!$C$31,17&lt;Projects!$C$31+Projects!$D$31),Projects!$B$31*INDEX(Curves!$B$4:$AR$4,1,17-Projects!$C$31+1),0)+IF(AND(Projects!$G$32="Yes",Projects!$M$32="Yes",17&gt;=Projects!$C$32,17&lt;Projects!$C$32+Projects!$D$32),Projects!$B$32*INDEX(Curves!$B$4:$AR$4,1,17-Projects!$C$32+1),0)+IF(AND(Projects!$G$33="Yes",Projects!$M$33="Yes",17&gt;=Projects!$C$33,17&lt;Projects!$C$33+Projects!$D$33),Projects!$B$33*INDEX(Curves!$B$4:$AR$4,1,17-Projects!$C$33+1),0)+IF(AND(Projects!$G$34="Yes",Projects!$M$34="Yes",17&gt;=Projects!$C$34,17&lt;Projects!$C$34+Projects!$D$34),Projects!$B$34*INDEX(Curves!$B$4:$AR$4,1,17-Projects!$C$34+1),0)+IF(AND(Projects!$G$35="Yes",Projects!$M$35="Yes",17&gt;=Projects!$C$35,17&lt;Projects!$C$35+Projects!$D$35),Projects!$B$35*INDEX(Curves!$B$4:$AR$4,1,17-Projects!$C$35+1),0)+IF(AND(Projects!$G$36="Yes",Projects!$M$36="Yes",17&gt;=Projects!$C$36,17&lt;Projects!$C$36+Projects!$D$36),Projects!$B$36*INDEX(Curves!$B$4:$AR$4,1,17-Projects!$C$36+1),0)+IF(AND(Projects!$G$37="Yes",Projects!$M$37="Yes",17&gt;=Projects!$C$37,17&lt;Projects!$C$37+Projects!$D$37),Projects!$B$37*INDEX(Curves!$B$4:$AR$4,1,17-Projects!$C$37+1),0)+IF(AND(Projects!$G$38="Yes",Projects!$M$38="Yes",17&gt;=Projects!$C$38,17&lt;Projects!$C$38+Projects!$D$38),Projects!$B$38*INDEX(Curves!$B$4:$AR$4,1,17-Projects!$C$38+1),0)+IF(AND(Projects!$G$39="Yes",Projects!$M$39="Yes",17&gt;=Projects!$C$39,17&lt;Projects!$C$39+Projects!$D$39),Projects!$B$39*INDEX(Curves!$B$4:$AR$4,1,17-Projects!$C$39+1),0)+IF(AND(Projects!$G$40="Yes",Projects!$M$40="Yes",17&gt;=Projects!$C$40,17&lt;Projects!$C$40+Projects!$D$40),Projects!$B$40*INDEX(Curves!$B$4:$AR$4,1,17-Projects!$C$40+1),0)+IF(AND(Projects!$G$41="Yes",Projects!$M$41="Yes",17&gt;=Projects!$C$41,17&lt;Projects!$C$41+Projects!$D$41),Projects!$B$41*INDEX(Curves!$B$4:$AR$4,1,17-Projects!$C$41+1),0)+IF(AND(Projects!$G$42="Yes",Projects!$M$42="Yes",17&gt;=Projects!$C$42,17&lt;Projects!$C$42+Projects!$D$42),Projects!$B$42*INDEX(Curves!$B$4:$AR$4,1,17-Projects!$C$42+1),0)+IF(AND(Projects!$G$43="Yes",Projects!$M$43="Yes",17&gt;=Projects!$C$43,17&lt;Projects!$C$43+Projects!$D$43),Projects!$B$43*INDEX(Curves!$B$4:$AR$4,1,17-Projects!$C$43+1),0)+IF(AND(Projects!$G$44="Yes",Projects!$M$44="Yes",17&gt;=Projects!$C$44,17&lt;Projects!$C$44+Projects!$D$44),Projects!$B$44*INDEX(Curves!$B$4:$AR$4,1,17-Projects!$C$44+1),0)+IF(AND(Projects!$G$45="Yes",Projects!$M$45="Yes",17&gt;=Projects!$C$45,17&lt;Projects!$C$45+Projects!$D$45),Projects!$B$45*INDEX(Curves!$B$4:$AR$4,1,17-Projects!$C$45+1),0)+IF(AND(Projects!$G$46="Yes",Projects!$M$46="Yes",17&gt;=Projects!$C$46,17&lt;Projects!$C$46+Projects!$D$46),Projects!$B$46*INDEX(Curves!$B$4:$AR$4,1,17-Projects!$C$46+1),0)</f>
        <v>2811539.250619</v>
      </c>
      <c r="W101" s="315" t="n">
        <f aca="false">IF(AND(Projects!$G$17="Yes",Projects!$M$17="Yes",18&gt;=Projects!$C$17,18&lt;Projects!$C$17+Projects!$D$17),Projects!$B$17*INDEX(Curves!$B$4:$AR$4,1,18-Projects!$C$17+1),0)+IF(AND(Projects!$G$18="Yes",Projects!$M$18="Yes",18&gt;=Projects!$C$18,18&lt;Projects!$C$18+Projects!$D$18),Projects!$B$18*INDEX(Curves!$B$4:$AR$4,1,18-Projects!$C$18+1),0)+IF(AND(Projects!$G$19="Yes",Projects!$M$19="Yes",18&gt;=Projects!$C$19,18&lt;Projects!$C$19+Projects!$D$19),Projects!$B$19*INDEX(Curves!$B$4:$AR$4,1,18-Projects!$C$19+1),0)+IF(AND(Projects!$G$20="Yes",Projects!$M$20="Yes",18&gt;=Projects!$C$20,18&lt;Projects!$C$20+Projects!$D$20),Projects!$B$20*INDEX(Curves!$B$4:$AR$4,1,18-Projects!$C$20+1),0)+IF(AND(Projects!$G$21="Yes",Projects!$M$21="Yes",18&gt;=Projects!$C$21,18&lt;Projects!$C$21+Projects!$D$21),Projects!$B$21*INDEX(Curves!$B$4:$AR$4,1,18-Projects!$C$21+1),0)+IF(AND(Projects!$G$22="Yes",Projects!$M$22="Yes",18&gt;=Projects!$C$22,18&lt;Projects!$C$22+Projects!$D$22),Projects!$B$22*INDEX(Curves!$B$4:$AR$4,1,18-Projects!$C$22+1),0)+IF(AND(Projects!$G$23="Yes",Projects!$M$23="Yes",18&gt;=Projects!$C$23,18&lt;Projects!$C$23+Projects!$D$23),Projects!$B$23*INDEX(Curves!$B$4:$AR$4,1,18-Projects!$C$23+1),0)+IF(AND(Projects!$G$24="Yes",Projects!$M$24="Yes",18&gt;=Projects!$C$24,18&lt;Projects!$C$24+Projects!$D$24),Projects!$B$24*INDEX(Curves!$B$4:$AR$4,1,18-Projects!$C$24+1),0)+IF(AND(Projects!$G$25="Yes",Projects!$M$25="Yes",18&gt;=Projects!$C$25,18&lt;Projects!$C$25+Projects!$D$25),Projects!$B$25*INDEX(Curves!$B$4:$AR$4,1,18-Projects!$C$25+1),0)+IF(AND(Projects!$G$26="Yes",Projects!$M$26="Yes",18&gt;=Projects!$C$26,18&lt;Projects!$C$26+Projects!$D$26),Projects!$B$26*INDEX(Curves!$B$4:$AR$4,1,18-Projects!$C$26+1),0)+IF(AND(Projects!$G$27="Yes",Projects!$M$27="Yes",18&gt;=Projects!$C$27,18&lt;Projects!$C$27+Projects!$D$27),Projects!$B$27*INDEX(Curves!$B$4:$AR$4,1,18-Projects!$C$27+1),0)+IF(AND(Projects!$G$28="Yes",Projects!$M$28="Yes",18&gt;=Projects!$C$28,18&lt;Projects!$C$28+Projects!$D$28),Projects!$B$28*INDEX(Curves!$B$4:$AR$4,1,18-Projects!$C$28+1),0)+IF(AND(Projects!$G$29="Yes",Projects!$M$29="Yes",18&gt;=Projects!$C$29,18&lt;Projects!$C$29+Projects!$D$29),Projects!$B$29*INDEX(Curves!$B$4:$AR$4,1,18-Projects!$C$29+1),0)+IF(AND(Projects!$G$30="Yes",Projects!$M$30="Yes",18&gt;=Projects!$C$30,18&lt;Projects!$C$30+Projects!$D$30),Projects!$B$30*INDEX(Curves!$B$4:$AR$4,1,18-Projects!$C$30+1),0)+IF(AND(Projects!$G$31="Yes",Projects!$M$31="Yes",18&gt;=Projects!$C$31,18&lt;Projects!$C$31+Projects!$D$31),Projects!$B$31*INDEX(Curves!$B$4:$AR$4,1,18-Projects!$C$31+1),0)+IF(AND(Projects!$G$32="Yes",Projects!$M$32="Yes",18&gt;=Projects!$C$32,18&lt;Projects!$C$32+Projects!$D$32),Projects!$B$32*INDEX(Curves!$B$4:$AR$4,1,18-Projects!$C$32+1),0)+IF(AND(Projects!$G$33="Yes",Projects!$M$33="Yes",18&gt;=Projects!$C$33,18&lt;Projects!$C$33+Projects!$D$33),Projects!$B$33*INDEX(Curves!$B$4:$AR$4,1,18-Projects!$C$33+1),0)+IF(AND(Projects!$G$34="Yes",Projects!$M$34="Yes",18&gt;=Projects!$C$34,18&lt;Projects!$C$34+Projects!$D$34),Projects!$B$34*INDEX(Curves!$B$4:$AR$4,1,18-Projects!$C$34+1),0)+IF(AND(Projects!$G$35="Yes",Projects!$M$35="Yes",18&gt;=Projects!$C$35,18&lt;Projects!$C$35+Projects!$D$35),Projects!$B$35*INDEX(Curves!$B$4:$AR$4,1,18-Projects!$C$35+1),0)+IF(AND(Projects!$G$36="Yes",Projects!$M$36="Yes",18&gt;=Projects!$C$36,18&lt;Projects!$C$36+Projects!$D$36),Projects!$B$36*INDEX(Curves!$B$4:$AR$4,1,18-Projects!$C$36+1),0)+IF(AND(Projects!$G$37="Yes",Projects!$M$37="Yes",18&gt;=Projects!$C$37,18&lt;Projects!$C$37+Projects!$D$37),Projects!$B$37*INDEX(Curves!$B$4:$AR$4,1,18-Projects!$C$37+1),0)+IF(AND(Projects!$G$38="Yes",Projects!$M$38="Yes",18&gt;=Projects!$C$38,18&lt;Projects!$C$38+Projects!$D$38),Projects!$B$38*INDEX(Curves!$B$4:$AR$4,1,18-Projects!$C$38+1),0)+IF(AND(Projects!$G$39="Yes",Projects!$M$39="Yes",18&gt;=Projects!$C$39,18&lt;Projects!$C$39+Projects!$D$39),Projects!$B$39*INDEX(Curves!$B$4:$AR$4,1,18-Projects!$C$39+1),0)+IF(AND(Projects!$G$40="Yes",Projects!$M$40="Yes",18&gt;=Projects!$C$40,18&lt;Projects!$C$40+Projects!$D$40),Projects!$B$40*INDEX(Curves!$B$4:$AR$4,1,18-Projects!$C$40+1),0)+IF(AND(Projects!$G$41="Yes",Projects!$M$41="Yes",18&gt;=Projects!$C$41,18&lt;Projects!$C$41+Projects!$D$41),Projects!$B$41*INDEX(Curves!$B$4:$AR$4,1,18-Projects!$C$41+1),0)+IF(AND(Projects!$G$42="Yes",Projects!$M$42="Yes",18&gt;=Projects!$C$42,18&lt;Projects!$C$42+Projects!$D$42),Projects!$B$42*INDEX(Curves!$B$4:$AR$4,1,18-Projects!$C$42+1),0)+IF(AND(Projects!$G$43="Yes",Projects!$M$43="Yes",18&gt;=Projects!$C$43,18&lt;Projects!$C$43+Projects!$D$43),Projects!$B$43*INDEX(Curves!$B$4:$AR$4,1,18-Projects!$C$43+1),0)+IF(AND(Projects!$G$44="Yes",Projects!$M$44="Yes",18&gt;=Projects!$C$44,18&lt;Projects!$C$44+Projects!$D$44),Projects!$B$44*INDEX(Curves!$B$4:$AR$4,1,18-Projects!$C$44+1),0)+IF(AND(Projects!$G$45="Yes",Projects!$M$45="Yes",18&gt;=Projects!$C$45,18&lt;Projects!$C$45+Projects!$D$45),Projects!$B$45*INDEX(Curves!$B$4:$AR$4,1,18-Projects!$C$45+1),0)+IF(AND(Projects!$G$46="Yes",Projects!$M$46="Yes",18&gt;=Projects!$C$46,18&lt;Projects!$C$46+Projects!$D$46),Projects!$B$46*INDEX(Curves!$B$4:$AR$4,1,18-Projects!$C$46+1),0)</f>
        <v>3158081.406203</v>
      </c>
      <c r="X101" s="315" t="n">
        <f aca="false">IF(AND(Projects!$G$17="Yes",Projects!$M$17="Yes",19&gt;=Projects!$C$17,19&lt;Projects!$C$17+Projects!$D$17),Projects!$B$17*INDEX(Curves!$B$4:$AR$4,1,19-Projects!$C$17+1),0)+IF(AND(Projects!$G$18="Yes",Projects!$M$18="Yes",19&gt;=Projects!$C$18,19&lt;Projects!$C$18+Projects!$D$18),Projects!$B$18*INDEX(Curves!$B$4:$AR$4,1,19-Projects!$C$18+1),0)+IF(AND(Projects!$G$19="Yes",Projects!$M$19="Yes",19&gt;=Projects!$C$19,19&lt;Projects!$C$19+Projects!$D$19),Projects!$B$19*INDEX(Curves!$B$4:$AR$4,1,19-Projects!$C$19+1),0)+IF(AND(Projects!$G$20="Yes",Projects!$M$20="Yes",19&gt;=Projects!$C$20,19&lt;Projects!$C$20+Projects!$D$20),Projects!$B$20*INDEX(Curves!$B$4:$AR$4,1,19-Projects!$C$20+1),0)+IF(AND(Projects!$G$21="Yes",Projects!$M$21="Yes",19&gt;=Projects!$C$21,19&lt;Projects!$C$21+Projects!$D$21),Projects!$B$21*INDEX(Curves!$B$4:$AR$4,1,19-Projects!$C$21+1),0)+IF(AND(Projects!$G$22="Yes",Projects!$M$22="Yes",19&gt;=Projects!$C$22,19&lt;Projects!$C$22+Projects!$D$22),Projects!$B$22*INDEX(Curves!$B$4:$AR$4,1,19-Projects!$C$22+1),0)+IF(AND(Projects!$G$23="Yes",Projects!$M$23="Yes",19&gt;=Projects!$C$23,19&lt;Projects!$C$23+Projects!$D$23),Projects!$B$23*INDEX(Curves!$B$4:$AR$4,1,19-Projects!$C$23+1),0)+IF(AND(Projects!$G$24="Yes",Projects!$M$24="Yes",19&gt;=Projects!$C$24,19&lt;Projects!$C$24+Projects!$D$24),Projects!$B$24*INDEX(Curves!$B$4:$AR$4,1,19-Projects!$C$24+1),0)+IF(AND(Projects!$G$25="Yes",Projects!$M$25="Yes",19&gt;=Projects!$C$25,19&lt;Projects!$C$25+Projects!$D$25),Projects!$B$25*INDEX(Curves!$B$4:$AR$4,1,19-Projects!$C$25+1),0)+IF(AND(Projects!$G$26="Yes",Projects!$M$26="Yes",19&gt;=Projects!$C$26,19&lt;Projects!$C$26+Projects!$D$26),Projects!$B$26*INDEX(Curves!$B$4:$AR$4,1,19-Projects!$C$26+1),0)+IF(AND(Projects!$G$27="Yes",Projects!$M$27="Yes",19&gt;=Projects!$C$27,19&lt;Projects!$C$27+Projects!$D$27),Projects!$B$27*INDEX(Curves!$B$4:$AR$4,1,19-Projects!$C$27+1),0)+IF(AND(Projects!$G$28="Yes",Projects!$M$28="Yes",19&gt;=Projects!$C$28,19&lt;Projects!$C$28+Projects!$D$28),Projects!$B$28*INDEX(Curves!$B$4:$AR$4,1,19-Projects!$C$28+1),0)+IF(AND(Projects!$G$29="Yes",Projects!$M$29="Yes",19&gt;=Projects!$C$29,19&lt;Projects!$C$29+Projects!$D$29),Projects!$B$29*INDEX(Curves!$B$4:$AR$4,1,19-Projects!$C$29+1),0)+IF(AND(Projects!$G$30="Yes",Projects!$M$30="Yes",19&gt;=Projects!$C$30,19&lt;Projects!$C$30+Projects!$D$30),Projects!$B$30*INDEX(Curves!$B$4:$AR$4,1,19-Projects!$C$30+1),0)+IF(AND(Projects!$G$31="Yes",Projects!$M$31="Yes",19&gt;=Projects!$C$31,19&lt;Projects!$C$31+Projects!$D$31),Projects!$B$31*INDEX(Curves!$B$4:$AR$4,1,19-Projects!$C$31+1),0)+IF(AND(Projects!$G$32="Yes",Projects!$M$32="Yes",19&gt;=Projects!$C$32,19&lt;Projects!$C$32+Projects!$D$32),Projects!$B$32*INDEX(Curves!$B$4:$AR$4,1,19-Projects!$C$32+1),0)+IF(AND(Projects!$G$33="Yes",Projects!$M$33="Yes",19&gt;=Projects!$C$33,19&lt;Projects!$C$33+Projects!$D$33),Projects!$B$33*INDEX(Curves!$B$4:$AR$4,1,19-Projects!$C$33+1),0)+IF(AND(Projects!$G$34="Yes",Projects!$M$34="Yes",19&gt;=Projects!$C$34,19&lt;Projects!$C$34+Projects!$D$34),Projects!$B$34*INDEX(Curves!$B$4:$AR$4,1,19-Projects!$C$34+1),0)+IF(AND(Projects!$G$35="Yes",Projects!$M$35="Yes",19&gt;=Projects!$C$35,19&lt;Projects!$C$35+Projects!$D$35),Projects!$B$35*INDEX(Curves!$B$4:$AR$4,1,19-Projects!$C$35+1),0)+IF(AND(Projects!$G$36="Yes",Projects!$M$36="Yes",19&gt;=Projects!$C$36,19&lt;Projects!$C$36+Projects!$D$36),Projects!$B$36*INDEX(Curves!$B$4:$AR$4,1,19-Projects!$C$36+1),0)+IF(AND(Projects!$G$37="Yes",Projects!$M$37="Yes",19&gt;=Projects!$C$37,19&lt;Projects!$C$37+Projects!$D$37),Projects!$B$37*INDEX(Curves!$B$4:$AR$4,1,19-Projects!$C$37+1),0)+IF(AND(Projects!$G$38="Yes",Projects!$M$38="Yes",19&gt;=Projects!$C$38,19&lt;Projects!$C$38+Projects!$D$38),Projects!$B$38*INDEX(Curves!$B$4:$AR$4,1,19-Projects!$C$38+1),0)+IF(AND(Projects!$G$39="Yes",Projects!$M$39="Yes",19&gt;=Projects!$C$39,19&lt;Projects!$C$39+Projects!$D$39),Projects!$B$39*INDEX(Curves!$B$4:$AR$4,1,19-Projects!$C$39+1),0)+IF(AND(Projects!$G$40="Yes",Projects!$M$40="Yes",19&gt;=Projects!$C$40,19&lt;Projects!$C$40+Projects!$D$40),Projects!$B$40*INDEX(Curves!$B$4:$AR$4,1,19-Projects!$C$40+1),0)+IF(AND(Projects!$G$41="Yes",Projects!$M$41="Yes",19&gt;=Projects!$C$41,19&lt;Projects!$C$41+Projects!$D$41),Projects!$B$41*INDEX(Curves!$B$4:$AR$4,1,19-Projects!$C$41+1),0)+IF(AND(Projects!$G$42="Yes",Projects!$M$42="Yes",19&gt;=Projects!$C$42,19&lt;Projects!$C$42+Projects!$D$42),Projects!$B$42*INDEX(Curves!$B$4:$AR$4,1,19-Projects!$C$42+1),0)+IF(AND(Projects!$G$43="Yes",Projects!$M$43="Yes",19&gt;=Projects!$C$43,19&lt;Projects!$C$43+Projects!$D$43),Projects!$B$43*INDEX(Curves!$B$4:$AR$4,1,19-Projects!$C$43+1),0)+IF(AND(Projects!$G$44="Yes",Projects!$M$44="Yes",19&gt;=Projects!$C$44,19&lt;Projects!$C$44+Projects!$D$44),Projects!$B$44*INDEX(Curves!$B$4:$AR$4,1,19-Projects!$C$44+1),0)+IF(AND(Projects!$G$45="Yes",Projects!$M$45="Yes",19&gt;=Projects!$C$45,19&lt;Projects!$C$45+Projects!$D$45),Projects!$B$45*INDEX(Curves!$B$4:$AR$4,1,19-Projects!$C$45+1),0)+IF(AND(Projects!$G$46="Yes",Projects!$M$46="Yes",19&gt;=Projects!$C$46,19&lt;Projects!$C$46+Projects!$D$46),Projects!$B$46*INDEX(Curves!$B$4:$AR$4,1,19-Projects!$C$46+1),0)</f>
        <v>3473108.2551005</v>
      </c>
      <c r="Y101" s="315" t="n">
        <f aca="false">IF(AND(Projects!$G$17="Yes",Projects!$M$17="Yes",20&gt;=Projects!$C$17,20&lt;Projects!$C$17+Projects!$D$17),Projects!$B$17*INDEX(Curves!$B$4:$AR$4,1,20-Projects!$C$17+1),0)+IF(AND(Projects!$G$18="Yes",Projects!$M$18="Yes",20&gt;=Projects!$C$18,20&lt;Projects!$C$18+Projects!$D$18),Projects!$B$18*INDEX(Curves!$B$4:$AR$4,1,20-Projects!$C$18+1),0)+IF(AND(Projects!$G$19="Yes",Projects!$M$19="Yes",20&gt;=Projects!$C$19,20&lt;Projects!$C$19+Projects!$D$19),Projects!$B$19*INDEX(Curves!$B$4:$AR$4,1,20-Projects!$C$19+1),0)+IF(AND(Projects!$G$20="Yes",Projects!$M$20="Yes",20&gt;=Projects!$C$20,20&lt;Projects!$C$20+Projects!$D$20),Projects!$B$20*INDEX(Curves!$B$4:$AR$4,1,20-Projects!$C$20+1),0)+IF(AND(Projects!$G$21="Yes",Projects!$M$21="Yes",20&gt;=Projects!$C$21,20&lt;Projects!$C$21+Projects!$D$21),Projects!$B$21*INDEX(Curves!$B$4:$AR$4,1,20-Projects!$C$21+1),0)+IF(AND(Projects!$G$22="Yes",Projects!$M$22="Yes",20&gt;=Projects!$C$22,20&lt;Projects!$C$22+Projects!$D$22),Projects!$B$22*INDEX(Curves!$B$4:$AR$4,1,20-Projects!$C$22+1),0)+IF(AND(Projects!$G$23="Yes",Projects!$M$23="Yes",20&gt;=Projects!$C$23,20&lt;Projects!$C$23+Projects!$D$23),Projects!$B$23*INDEX(Curves!$B$4:$AR$4,1,20-Projects!$C$23+1),0)+IF(AND(Projects!$G$24="Yes",Projects!$M$24="Yes",20&gt;=Projects!$C$24,20&lt;Projects!$C$24+Projects!$D$24),Projects!$B$24*INDEX(Curves!$B$4:$AR$4,1,20-Projects!$C$24+1),0)+IF(AND(Projects!$G$25="Yes",Projects!$M$25="Yes",20&gt;=Projects!$C$25,20&lt;Projects!$C$25+Projects!$D$25),Projects!$B$25*INDEX(Curves!$B$4:$AR$4,1,20-Projects!$C$25+1),0)+IF(AND(Projects!$G$26="Yes",Projects!$M$26="Yes",20&gt;=Projects!$C$26,20&lt;Projects!$C$26+Projects!$D$26),Projects!$B$26*INDEX(Curves!$B$4:$AR$4,1,20-Projects!$C$26+1),0)+IF(AND(Projects!$G$27="Yes",Projects!$M$27="Yes",20&gt;=Projects!$C$27,20&lt;Projects!$C$27+Projects!$D$27),Projects!$B$27*INDEX(Curves!$B$4:$AR$4,1,20-Projects!$C$27+1),0)+IF(AND(Projects!$G$28="Yes",Projects!$M$28="Yes",20&gt;=Projects!$C$28,20&lt;Projects!$C$28+Projects!$D$28),Projects!$B$28*INDEX(Curves!$B$4:$AR$4,1,20-Projects!$C$28+1),0)+IF(AND(Projects!$G$29="Yes",Projects!$M$29="Yes",20&gt;=Projects!$C$29,20&lt;Projects!$C$29+Projects!$D$29),Projects!$B$29*INDEX(Curves!$B$4:$AR$4,1,20-Projects!$C$29+1),0)+IF(AND(Projects!$G$30="Yes",Projects!$M$30="Yes",20&gt;=Projects!$C$30,20&lt;Projects!$C$30+Projects!$D$30),Projects!$B$30*INDEX(Curves!$B$4:$AR$4,1,20-Projects!$C$30+1),0)+IF(AND(Projects!$G$31="Yes",Projects!$M$31="Yes",20&gt;=Projects!$C$31,20&lt;Projects!$C$31+Projects!$D$31),Projects!$B$31*INDEX(Curves!$B$4:$AR$4,1,20-Projects!$C$31+1),0)+IF(AND(Projects!$G$32="Yes",Projects!$M$32="Yes",20&gt;=Projects!$C$32,20&lt;Projects!$C$32+Projects!$D$32),Projects!$B$32*INDEX(Curves!$B$4:$AR$4,1,20-Projects!$C$32+1),0)+IF(AND(Projects!$G$33="Yes",Projects!$M$33="Yes",20&gt;=Projects!$C$33,20&lt;Projects!$C$33+Projects!$D$33),Projects!$B$33*INDEX(Curves!$B$4:$AR$4,1,20-Projects!$C$33+1),0)+IF(AND(Projects!$G$34="Yes",Projects!$M$34="Yes",20&gt;=Projects!$C$34,20&lt;Projects!$C$34+Projects!$D$34),Projects!$B$34*INDEX(Curves!$B$4:$AR$4,1,20-Projects!$C$34+1),0)+IF(AND(Projects!$G$35="Yes",Projects!$M$35="Yes",20&gt;=Projects!$C$35,20&lt;Projects!$C$35+Projects!$D$35),Projects!$B$35*INDEX(Curves!$B$4:$AR$4,1,20-Projects!$C$35+1),0)+IF(AND(Projects!$G$36="Yes",Projects!$M$36="Yes",20&gt;=Projects!$C$36,20&lt;Projects!$C$36+Projects!$D$36),Projects!$B$36*INDEX(Curves!$B$4:$AR$4,1,20-Projects!$C$36+1),0)+IF(AND(Projects!$G$37="Yes",Projects!$M$37="Yes",20&gt;=Projects!$C$37,20&lt;Projects!$C$37+Projects!$D$37),Projects!$B$37*INDEX(Curves!$B$4:$AR$4,1,20-Projects!$C$37+1),0)+IF(AND(Projects!$G$38="Yes",Projects!$M$38="Yes",20&gt;=Projects!$C$38,20&lt;Projects!$C$38+Projects!$D$38),Projects!$B$38*INDEX(Curves!$B$4:$AR$4,1,20-Projects!$C$38+1),0)+IF(AND(Projects!$G$39="Yes",Projects!$M$39="Yes",20&gt;=Projects!$C$39,20&lt;Projects!$C$39+Projects!$D$39),Projects!$B$39*INDEX(Curves!$B$4:$AR$4,1,20-Projects!$C$39+1),0)+IF(AND(Projects!$G$40="Yes",Projects!$M$40="Yes",20&gt;=Projects!$C$40,20&lt;Projects!$C$40+Projects!$D$40),Projects!$B$40*INDEX(Curves!$B$4:$AR$4,1,20-Projects!$C$40+1),0)+IF(AND(Projects!$G$41="Yes",Projects!$M$41="Yes",20&gt;=Projects!$C$41,20&lt;Projects!$C$41+Projects!$D$41),Projects!$B$41*INDEX(Curves!$B$4:$AR$4,1,20-Projects!$C$41+1),0)+IF(AND(Projects!$G$42="Yes",Projects!$M$42="Yes",20&gt;=Projects!$C$42,20&lt;Projects!$C$42+Projects!$D$42),Projects!$B$42*INDEX(Curves!$B$4:$AR$4,1,20-Projects!$C$42+1),0)+IF(AND(Projects!$G$43="Yes",Projects!$M$43="Yes",20&gt;=Projects!$C$43,20&lt;Projects!$C$43+Projects!$D$43),Projects!$B$43*INDEX(Curves!$B$4:$AR$4,1,20-Projects!$C$43+1),0)+IF(AND(Projects!$G$44="Yes",Projects!$M$44="Yes",20&gt;=Projects!$C$44,20&lt;Projects!$C$44+Projects!$D$44),Projects!$B$44*INDEX(Curves!$B$4:$AR$4,1,20-Projects!$C$44+1),0)+IF(AND(Projects!$G$45="Yes",Projects!$M$45="Yes",20&gt;=Projects!$C$45,20&lt;Projects!$C$45+Projects!$D$45),Projects!$B$45*INDEX(Curves!$B$4:$AR$4,1,20-Projects!$C$45+1),0)+IF(AND(Projects!$G$46="Yes",Projects!$M$46="Yes",20&gt;=Projects!$C$46,20&lt;Projects!$C$46+Projects!$D$46),Projects!$B$46*INDEX(Curves!$B$4:$AR$4,1,20-Projects!$C$46+1),0)</f>
        <v>3739270.578322</v>
      </c>
      <c r="Z101" s="315" t="n">
        <f aca="false">IF(AND(Projects!$G$17="Yes",Projects!$M$17="Yes",21&gt;=Projects!$C$17,21&lt;Projects!$C$17+Projects!$D$17),Projects!$B$17*INDEX(Curves!$B$4:$AR$4,1,21-Projects!$C$17+1),0)+IF(AND(Projects!$G$18="Yes",Projects!$M$18="Yes",21&gt;=Projects!$C$18,21&lt;Projects!$C$18+Projects!$D$18),Projects!$B$18*INDEX(Curves!$B$4:$AR$4,1,21-Projects!$C$18+1),0)+IF(AND(Projects!$G$19="Yes",Projects!$M$19="Yes",21&gt;=Projects!$C$19,21&lt;Projects!$C$19+Projects!$D$19),Projects!$B$19*INDEX(Curves!$B$4:$AR$4,1,21-Projects!$C$19+1),0)+IF(AND(Projects!$G$20="Yes",Projects!$M$20="Yes",21&gt;=Projects!$C$20,21&lt;Projects!$C$20+Projects!$D$20),Projects!$B$20*INDEX(Curves!$B$4:$AR$4,1,21-Projects!$C$20+1),0)+IF(AND(Projects!$G$21="Yes",Projects!$M$21="Yes",21&gt;=Projects!$C$21,21&lt;Projects!$C$21+Projects!$D$21),Projects!$B$21*INDEX(Curves!$B$4:$AR$4,1,21-Projects!$C$21+1),0)+IF(AND(Projects!$G$22="Yes",Projects!$M$22="Yes",21&gt;=Projects!$C$22,21&lt;Projects!$C$22+Projects!$D$22),Projects!$B$22*INDEX(Curves!$B$4:$AR$4,1,21-Projects!$C$22+1),0)+IF(AND(Projects!$G$23="Yes",Projects!$M$23="Yes",21&gt;=Projects!$C$23,21&lt;Projects!$C$23+Projects!$D$23),Projects!$B$23*INDEX(Curves!$B$4:$AR$4,1,21-Projects!$C$23+1),0)+IF(AND(Projects!$G$24="Yes",Projects!$M$24="Yes",21&gt;=Projects!$C$24,21&lt;Projects!$C$24+Projects!$D$24),Projects!$B$24*INDEX(Curves!$B$4:$AR$4,1,21-Projects!$C$24+1),0)+IF(AND(Projects!$G$25="Yes",Projects!$M$25="Yes",21&gt;=Projects!$C$25,21&lt;Projects!$C$25+Projects!$D$25),Projects!$B$25*INDEX(Curves!$B$4:$AR$4,1,21-Projects!$C$25+1),0)+IF(AND(Projects!$G$26="Yes",Projects!$M$26="Yes",21&gt;=Projects!$C$26,21&lt;Projects!$C$26+Projects!$D$26),Projects!$B$26*INDEX(Curves!$B$4:$AR$4,1,21-Projects!$C$26+1),0)+IF(AND(Projects!$G$27="Yes",Projects!$M$27="Yes",21&gt;=Projects!$C$27,21&lt;Projects!$C$27+Projects!$D$27),Projects!$B$27*INDEX(Curves!$B$4:$AR$4,1,21-Projects!$C$27+1),0)+IF(AND(Projects!$G$28="Yes",Projects!$M$28="Yes",21&gt;=Projects!$C$28,21&lt;Projects!$C$28+Projects!$D$28),Projects!$B$28*INDEX(Curves!$B$4:$AR$4,1,21-Projects!$C$28+1),0)+IF(AND(Projects!$G$29="Yes",Projects!$M$29="Yes",21&gt;=Projects!$C$29,21&lt;Projects!$C$29+Projects!$D$29),Projects!$B$29*INDEX(Curves!$B$4:$AR$4,1,21-Projects!$C$29+1),0)+IF(AND(Projects!$G$30="Yes",Projects!$M$30="Yes",21&gt;=Projects!$C$30,21&lt;Projects!$C$30+Projects!$D$30),Projects!$B$30*INDEX(Curves!$B$4:$AR$4,1,21-Projects!$C$30+1),0)+IF(AND(Projects!$G$31="Yes",Projects!$M$31="Yes",21&gt;=Projects!$C$31,21&lt;Projects!$C$31+Projects!$D$31),Projects!$B$31*INDEX(Curves!$B$4:$AR$4,1,21-Projects!$C$31+1),0)+IF(AND(Projects!$G$32="Yes",Projects!$M$32="Yes",21&gt;=Projects!$C$32,21&lt;Projects!$C$32+Projects!$D$32),Projects!$B$32*INDEX(Curves!$B$4:$AR$4,1,21-Projects!$C$32+1),0)+IF(AND(Projects!$G$33="Yes",Projects!$M$33="Yes",21&gt;=Projects!$C$33,21&lt;Projects!$C$33+Projects!$D$33),Projects!$B$33*INDEX(Curves!$B$4:$AR$4,1,21-Projects!$C$33+1),0)+IF(AND(Projects!$G$34="Yes",Projects!$M$34="Yes",21&gt;=Projects!$C$34,21&lt;Projects!$C$34+Projects!$D$34),Projects!$B$34*INDEX(Curves!$B$4:$AR$4,1,21-Projects!$C$34+1),0)+IF(AND(Projects!$G$35="Yes",Projects!$M$35="Yes",21&gt;=Projects!$C$35,21&lt;Projects!$C$35+Projects!$D$35),Projects!$B$35*INDEX(Curves!$B$4:$AR$4,1,21-Projects!$C$35+1),0)+IF(AND(Projects!$G$36="Yes",Projects!$M$36="Yes",21&gt;=Projects!$C$36,21&lt;Projects!$C$36+Projects!$D$36),Projects!$B$36*INDEX(Curves!$B$4:$AR$4,1,21-Projects!$C$36+1),0)+IF(AND(Projects!$G$37="Yes",Projects!$M$37="Yes",21&gt;=Projects!$C$37,21&lt;Projects!$C$37+Projects!$D$37),Projects!$B$37*INDEX(Curves!$B$4:$AR$4,1,21-Projects!$C$37+1),0)+IF(AND(Projects!$G$38="Yes",Projects!$M$38="Yes",21&gt;=Projects!$C$38,21&lt;Projects!$C$38+Projects!$D$38),Projects!$B$38*INDEX(Curves!$B$4:$AR$4,1,21-Projects!$C$38+1),0)+IF(AND(Projects!$G$39="Yes",Projects!$M$39="Yes",21&gt;=Projects!$C$39,21&lt;Projects!$C$39+Projects!$D$39),Projects!$B$39*INDEX(Curves!$B$4:$AR$4,1,21-Projects!$C$39+1),0)+IF(AND(Projects!$G$40="Yes",Projects!$M$40="Yes",21&gt;=Projects!$C$40,21&lt;Projects!$C$40+Projects!$D$40),Projects!$B$40*INDEX(Curves!$B$4:$AR$4,1,21-Projects!$C$40+1),0)+IF(AND(Projects!$G$41="Yes",Projects!$M$41="Yes",21&gt;=Projects!$C$41,21&lt;Projects!$C$41+Projects!$D$41),Projects!$B$41*INDEX(Curves!$B$4:$AR$4,1,21-Projects!$C$41+1),0)+IF(AND(Projects!$G$42="Yes",Projects!$M$42="Yes",21&gt;=Projects!$C$42,21&lt;Projects!$C$42+Projects!$D$42),Projects!$B$42*INDEX(Curves!$B$4:$AR$4,1,21-Projects!$C$42+1),0)+IF(AND(Projects!$G$43="Yes",Projects!$M$43="Yes",21&gt;=Projects!$C$43,21&lt;Projects!$C$43+Projects!$D$43),Projects!$B$43*INDEX(Curves!$B$4:$AR$4,1,21-Projects!$C$43+1),0)+IF(AND(Projects!$G$44="Yes",Projects!$M$44="Yes",21&gt;=Projects!$C$44,21&lt;Projects!$C$44+Projects!$D$44),Projects!$B$44*INDEX(Curves!$B$4:$AR$4,1,21-Projects!$C$44+1),0)+IF(AND(Projects!$G$45="Yes",Projects!$M$45="Yes",21&gt;=Projects!$C$45,21&lt;Projects!$C$45+Projects!$D$45),Projects!$B$45*INDEX(Curves!$B$4:$AR$4,1,21-Projects!$C$45+1),0)+IF(AND(Projects!$G$46="Yes",Projects!$M$46="Yes",21&gt;=Projects!$C$46,21&lt;Projects!$C$46+Projects!$D$46),Projects!$B$46*INDEX(Curves!$B$4:$AR$4,1,21-Projects!$C$46+1),0)</f>
        <v>3940721.239383</v>
      </c>
      <c r="AA101" s="315" t="n">
        <f aca="false">IF(AND(Projects!$G$17="Yes",Projects!$M$17="Yes",22&gt;=Projects!$C$17,22&lt;Projects!$C$17+Projects!$D$17),Projects!$B$17*INDEX(Curves!$B$4:$AR$4,1,22-Projects!$C$17+1),0)+IF(AND(Projects!$G$18="Yes",Projects!$M$18="Yes",22&gt;=Projects!$C$18,22&lt;Projects!$C$18+Projects!$D$18),Projects!$B$18*INDEX(Curves!$B$4:$AR$4,1,22-Projects!$C$18+1),0)+IF(AND(Projects!$G$19="Yes",Projects!$M$19="Yes",22&gt;=Projects!$C$19,22&lt;Projects!$C$19+Projects!$D$19),Projects!$B$19*INDEX(Curves!$B$4:$AR$4,1,22-Projects!$C$19+1),0)+IF(AND(Projects!$G$20="Yes",Projects!$M$20="Yes",22&gt;=Projects!$C$20,22&lt;Projects!$C$20+Projects!$D$20),Projects!$B$20*INDEX(Curves!$B$4:$AR$4,1,22-Projects!$C$20+1),0)+IF(AND(Projects!$G$21="Yes",Projects!$M$21="Yes",22&gt;=Projects!$C$21,22&lt;Projects!$C$21+Projects!$D$21),Projects!$B$21*INDEX(Curves!$B$4:$AR$4,1,22-Projects!$C$21+1),0)+IF(AND(Projects!$G$22="Yes",Projects!$M$22="Yes",22&gt;=Projects!$C$22,22&lt;Projects!$C$22+Projects!$D$22),Projects!$B$22*INDEX(Curves!$B$4:$AR$4,1,22-Projects!$C$22+1),0)+IF(AND(Projects!$G$23="Yes",Projects!$M$23="Yes",22&gt;=Projects!$C$23,22&lt;Projects!$C$23+Projects!$D$23),Projects!$B$23*INDEX(Curves!$B$4:$AR$4,1,22-Projects!$C$23+1),0)+IF(AND(Projects!$G$24="Yes",Projects!$M$24="Yes",22&gt;=Projects!$C$24,22&lt;Projects!$C$24+Projects!$D$24),Projects!$B$24*INDEX(Curves!$B$4:$AR$4,1,22-Projects!$C$24+1),0)+IF(AND(Projects!$G$25="Yes",Projects!$M$25="Yes",22&gt;=Projects!$C$25,22&lt;Projects!$C$25+Projects!$D$25),Projects!$B$25*INDEX(Curves!$B$4:$AR$4,1,22-Projects!$C$25+1),0)+IF(AND(Projects!$G$26="Yes",Projects!$M$26="Yes",22&gt;=Projects!$C$26,22&lt;Projects!$C$26+Projects!$D$26),Projects!$B$26*INDEX(Curves!$B$4:$AR$4,1,22-Projects!$C$26+1),0)+IF(AND(Projects!$G$27="Yes",Projects!$M$27="Yes",22&gt;=Projects!$C$27,22&lt;Projects!$C$27+Projects!$D$27),Projects!$B$27*INDEX(Curves!$B$4:$AR$4,1,22-Projects!$C$27+1),0)+IF(AND(Projects!$G$28="Yes",Projects!$M$28="Yes",22&gt;=Projects!$C$28,22&lt;Projects!$C$28+Projects!$D$28),Projects!$B$28*INDEX(Curves!$B$4:$AR$4,1,22-Projects!$C$28+1),0)+IF(AND(Projects!$G$29="Yes",Projects!$M$29="Yes",22&gt;=Projects!$C$29,22&lt;Projects!$C$29+Projects!$D$29),Projects!$B$29*INDEX(Curves!$B$4:$AR$4,1,22-Projects!$C$29+1),0)+IF(AND(Projects!$G$30="Yes",Projects!$M$30="Yes",22&gt;=Projects!$C$30,22&lt;Projects!$C$30+Projects!$D$30),Projects!$B$30*INDEX(Curves!$B$4:$AR$4,1,22-Projects!$C$30+1),0)+IF(AND(Projects!$G$31="Yes",Projects!$M$31="Yes",22&gt;=Projects!$C$31,22&lt;Projects!$C$31+Projects!$D$31),Projects!$B$31*INDEX(Curves!$B$4:$AR$4,1,22-Projects!$C$31+1),0)+IF(AND(Projects!$G$32="Yes",Projects!$M$32="Yes",22&gt;=Projects!$C$32,22&lt;Projects!$C$32+Projects!$D$32),Projects!$B$32*INDEX(Curves!$B$4:$AR$4,1,22-Projects!$C$32+1),0)+IF(AND(Projects!$G$33="Yes",Projects!$M$33="Yes",22&gt;=Projects!$C$33,22&lt;Projects!$C$33+Projects!$D$33),Projects!$B$33*INDEX(Curves!$B$4:$AR$4,1,22-Projects!$C$33+1),0)+IF(AND(Projects!$G$34="Yes",Projects!$M$34="Yes",22&gt;=Projects!$C$34,22&lt;Projects!$C$34+Projects!$D$34),Projects!$B$34*INDEX(Curves!$B$4:$AR$4,1,22-Projects!$C$34+1),0)+IF(AND(Projects!$G$35="Yes",Projects!$M$35="Yes",22&gt;=Projects!$C$35,22&lt;Projects!$C$35+Projects!$D$35),Projects!$B$35*INDEX(Curves!$B$4:$AR$4,1,22-Projects!$C$35+1),0)+IF(AND(Projects!$G$36="Yes",Projects!$M$36="Yes",22&gt;=Projects!$C$36,22&lt;Projects!$C$36+Projects!$D$36),Projects!$B$36*INDEX(Curves!$B$4:$AR$4,1,22-Projects!$C$36+1),0)+IF(AND(Projects!$G$37="Yes",Projects!$M$37="Yes",22&gt;=Projects!$C$37,22&lt;Projects!$C$37+Projects!$D$37),Projects!$B$37*INDEX(Curves!$B$4:$AR$4,1,22-Projects!$C$37+1),0)+IF(AND(Projects!$G$38="Yes",Projects!$M$38="Yes",22&gt;=Projects!$C$38,22&lt;Projects!$C$38+Projects!$D$38),Projects!$B$38*INDEX(Curves!$B$4:$AR$4,1,22-Projects!$C$38+1),0)+IF(AND(Projects!$G$39="Yes",Projects!$M$39="Yes",22&gt;=Projects!$C$39,22&lt;Projects!$C$39+Projects!$D$39),Projects!$B$39*INDEX(Curves!$B$4:$AR$4,1,22-Projects!$C$39+1),0)+IF(AND(Projects!$G$40="Yes",Projects!$M$40="Yes",22&gt;=Projects!$C$40,22&lt;Projects!$C$40+Projects!$D$40),Projects!$B$40*INDEX(Curves!$B$4:$AR$4,1,22-Projects!$C$40+1),0)+IF(AND(Projects!$G$41="Yes",Projects!$M$41="Yes",22&gt;=Projects!$C$41,22&lt;Projects!$C$41+Projects!$D$41),Projects!$B$41*INDEX(Curves!$B$4:$AR$4,1,22-Projects!$C$41+1),0)+IF(AND(Projects!$G$42="Yes",Projects!$M$42="Yes",22&gt;=Projects!$C$42,22&lt;Projects!$C$42+Projects!$D$42),Projects!$B$42*INDEX(Curves!$B$4:$AR$4,1,22-Projects!$C$42+1),0)+IF(AND(Projects!$G$43="Yes",Projects!$M$43="Yes",22&gt;=Projects!$C$43,22&lt;Projects!$C$43+Projects!$D$43),Projects!$B$43*INDEX(Curves!$B$4:$AR$4,1,22-Projects!$C$43+1),0)+IF(AND(Projects!$G$44="Yes",Projects!$M$44="Yes",22&gt;=Projects!$C$44,22&lt;Projects!$C$44+Projects!$D$44),Projects!$B$44*INDEX(Curves!$B$4:$AR$4,1,22-Projects!$C$44+1),0)+IF(AND(Projects!$G$45="Yes",Projects!$M$45="Yes",22&gt;=Projects!$C$45,22&lt;Projects!$C$45+Projects!$D$45),Projects!$B$45*INDEX(Curves!$B$4:$AR$4,1,22-Projects!$C$45+1),0)+IF(AND(Projects!$G$46="Yes",Projects!$M$46="Yes",22&gt;=Projects!$C$46,22&lt;Projects!$C$46+Projects!$D$46),Projects!$B$46*INDEX(Curves!$B$4:$AR$4,1,22-Projects!$C$46+1),0)</f>
        <v>4064704.18127175</v>
      </c>
      <c r="AB101" s="315" t="n">
        <f aca="false">IF(AND(Projects!$G$17="Yes",Projects!$M$17="Yes",23&gt;=Projects!$C$17,23&lt;Projects!$C$17+Projects!$D$17),Projects!$B$17*INDEX(Curves!$B$4:$AR$4,1,23-Projects!$C$17+1),0)+IF(AND(Projects!$G$18="Yes",Projects!$M$18="Yes",23&gt;=Projects!$C$18,23&lt;Projects!$C$18+Projects!$D$18),Projects!$B$18*INDEX(Curves!$B$4:$AR$4,1,23-Projects!$C$18+1),0)+IF(AND(Projects!$G$19="Yes",Projects!$M$19="Yes",23&gt;=Projects!$C$19,23&lt;Projects!$C$19+Projects!$D$19),Projects!$B$19*INDEX(Curves!$B$4:$AR$4,1,23-Projects!$C$19+1),0)+IF(AND(Projects!$G$20="Yes",Projects!$M$20="Yes",23&gt;=Projects!$C$20,23&lt;Projects!$C$20+Projects!$D$20),Projects!$B$20*INDEX(Curves!$B$4:$AR$4,1,23-Projects!$C$20+1),0)+IF(AND(Projects!$G$21="Yes",Projects!$M$21="Yes",23&gt;=Projects!$C$21,23&lt;Projects!$C$21+Projects!$D$21),Projects!$B$21*INDEX(Curves!$B$4:$AR$4,1,23-Projects!$C$21+1),0)+IF(AND(Projects!$G$22="Yes",Projects!$M$22="Yes",23&gt;=Projects!$C$22,23&lt;Projects!$C$22+Projects!$D$22),Projects!$B$22*INDEX(Curves!$B$4:$AR$4,1,23-Projects!$C$22+1),0)+IF(AND(Projects!$G$23="Yes",Projects!$M$23="Yes",23&gt;=Projects!$C$23,23&lt;Projects!$C$23+Projects!$D$23),Projects!$B$23*INDEX(Curves!$B$4:$AR$4,1,23-Projects!$C$23+1),0)+IF(AND(Projects!$G$24="Yes",Projects!$M$24="Yes",23&gt;=Projects!$C$24,23&lt;Projects!$C$24+Projects!$D$24),Projects!$B$24*INDEX(Curves!$B$4:$AR$4,1,23-Projects!$C$24+1),0)+IF(AND(Projects!$G$25="Yes",Projects!$M$25="Yes",23&gt;=Projects!$C$25,23&lt;Projects!$C$25+Projects!$D$25),Projects!$B$25*INDEX(Curves!$B$4:$AR$4,1,23-Projects!$C$25+1),0)+IF(AND(Projects!$G$26="Yes",Projects!$M$26="Yes",23&gt;=Projects!$C$26,23&lt;Projects!$C$26+Projects!$D$26),Projects!$B$26*INDEX(Curves!$B$4:$AR$4,1,23-Projects!$C$26+1),0)+IF(AND(Projects!$G$27="Yes",Projects!$M$27="Yes",23&gt;=Projects!$C$27,23&lt;Projects!$C$27+Projects!$D$27),Projects!$B$27*INDEX(Curves!$B$4:$AR$4,1,23-Projects!$C$27+1),0)+IF(AND(Projects!$G$28="Yes",Projects!$M$28="Yes",23&gt;=Projects!$C$28,23&lt;Projects!$C$28+Projects!$D$28),Projects!$B$28*INDEX(Curves!$B$4:$AR$4,1,23-Projects!$C$28+1),0)+IF(AND(Projects!$G$29="Yes",Projects!$M$29="Yes",23&gt;=Projects!$C$29,23&lt;Projects!$C$29+Projects!$D$29),Projects!$B$29*INDEX(Curves!$B$4:$AR$4,1,23-Projects!$C$29+1),0)+IF(AND(Projects!$G$30="Yes",Projects!$M$30="Yes",23&gt;=Projects!$C$30,23&lt;Projects!$C$30+Projects!$D$30),Projects!$B$30*INDEX(Curves!$B$4:$AR$4,1,23-Projects!$C$30+1),0)+IF(AND(Projects!$G$31="Yes",Projects!$M$31="Yes",23&gt;=Projects!$C$31,23&lt;Projects!$C$31+Projects!$D$31),Projects!$B$31*INDEX(Curves!$B$4:$AR$4,1,23-Projects!$C$31+1),0)+IF(AND(Projects!$G$32="Yes",Projects!$M$32="Yes",23&gt;=Projects!$C$32,23&lt;Projects!$C$32+Projects!$D$32),Projects!$B$32*INDEX(Curves!$B$4:$AR$4,1,23-Projects!$C$32+1),0)+IF(AND(Projects!$G$33="Yes",Projects!$M$33="Yes",23&gt;=Projects!$C$33,23&lt;Projects!$C$33+Projects!$D$33),Projects!$B$33*INDEX(Curves!$B$4:$AR$4,1,23-Projects!$C$33+1),0)+IF(AND(Projects!$G$34="Yes",Projects!$M$34="Yes",23&gt;=Projects!$C$34,23&lt;Projects!$C$34+Projects!$D$34),Projects!$B$34*INDEX(Curves!$B$4:$AR$4,1,23-Projects!$C$34+1),0)+IF(AND(Projects!$G$35="Yes",Projects!$M$35="Yes",23&gt;=Projects!$C$35,23&lt;Projects!$C$35+Projects!$D$35),Projects!$B$35*INDEX(Curves!$B$4:$AR$4,1,23-Projects!$C$35+1),0)+IF(AND(Projects!$G$36="Yes",Projects!$M$36="Yes",23&gt;=Projects!$C$36,23&lt;Projects!$C$36+Projects!$D$36),Projects!$B$36*INDEX(Curves!$B$4:$AR$4,1,23-Projects!$C$36+1),0)+IF(AND(Projects!$G$37="Yes",Projects!$M$37="Yes",23&gt;=Projects!$C$37,23&lt;Projects!$C$37+Projects!$D$37),Projects!$B$37*INDEX(Curves!$B$4:$AR$4,1,23-Projects!$C$37+1),0)+IF(AND(Projects!$G$38="Yes",Projects!$M$38="Yes",23&gt;=Projects!$C$38,23&lt;Projects!$C$38+Projects!$D$38),Projects!$B$38*INDEX(Curves!$B$4:$AR$4,1,23-Projects!$C$38+1),0)+IF(AND(Projects!$G$39="Yes",Projects!$M$39="Yes",23&gt;=Projects!$C$39,23&lt;Projects!$C$39+Projects!$D$39),Projects!$B$39*INDEX(Curves!$B$4:$AR$4,1,23-Projects!$C$39+1),0)+IF(AND(Projects!$G$40="Yes",Projects!$M$40="Yes",23&gt;=Projects!$C$40,23&lt;Projects!$C$40+Projects!$D$40),Projects!$B$40*INDEX(Curves!$B$4:$AR$4,1,23-Projects!$C$40+1),0)+IF(AND(Projects!$G$41="Yes",Projects!$M$41="Yes",23&gt;=Projects!$C$41,23&lt;Projects!$C$41+Projects!$D$41),Projects!$B$41*INDEX(Curves!$B$4:$AR$4,1,23-Projects!$C$41+1),0)+IF(AND(Projects!$G$42="Yes",Projects!$M$42="Yes",23&gt;=Projects!$C$42,23&lt;Projects!$C$42+Projects!$D$42),Projects!$B$42*INDEX(Curves!$B$4:$AR$4,1,23-Projects!$C$42+1),0)+IF(AND(Projects!$G$43="Yes",Projects!$M$43="Yes",23&gt;=Projects!$C$43,23&lt;Projects!$C$43+Projects!$D$43),Projects!$B$43*INDEX(Curves!$B$4:$AR$4,1,23-Projects!$C$43+1),0)+IF(AND(Projects!$G$44="Yes",Projects!$M$44="Yes",23&gt;=Projects!$C$44,23&lt;Projects!$C$44+Projects!$D$44),Projects!$B$44*INDEX(Curves!$B$4:$AR$4,1,23-Projects!$C$44+1),0)+IF(AND(Projects!$G$45="Yes",Projects!$M$45="Yes",23&gt;=Projects!$C$45,23&lt;Projects!$C$45+Projects!$D$45),Projects!$B$45*INDEX(Curves!$B$4:$AR$4,1,23-Projects!$C$45+1),0)+IF(AND(Projects!$G$46="Yes",Projects!$M$46="Yes",23&gt;=Projects!$C$46,23&lt;Projects!$C$46+Projects!$D$46),Projects!$B$46*INDEX(Curves!$B$4:$AR$4,1,23-Projects!$C$46+1),0)</f>
        <v>4102799.8790635</v>
      </c>
      <c r="AC101" s="315" t="n">
        <f aca="false">IF(AND(Projects!$G$17="Yes",Projects!$M$17="Yes",24&gt;=Projects!$C$17,24&lt;Projects!$C$17+Projects!$D$17),Projects!$B$17*INDEX(Curves!$B$4:$AR$4,1,24-Projects!$C$17+1),0)+IF(AND(Projects!$G$18="Yes",Projects!$M$18="Yes",24&gt;=Projects!$C$18,24&lt;Projects!$C$18+Projects!$D$18),Projects!$B$18*INDEX(Curves!$B$4:$AR$4,1,24-Projects!$C$18+1),0)+IF(AND(Projects!$G$19="Yes",Projects!$M$19="Yes",24&gt;=Projects!$C$19,24&lt;Projects!$C$19+Projects!$D$19),Projects!$B$19*INDEX(Curves!$B$4:$AR$4,1,24-Projects!$C$19+1),0)+IF(AND(Projects!$G$20="Yes",Projects!$M$20="Yes",24&gt;=Projects!$C$20,24&lt;Projects!$C$20+Projects!$D$20),Projects!$B$20*INDEX(Curves!$B$4:$AR$4,1,24-Projects!$C$20+1),0)+IF(AND(Projects!$G$21="Yes",Projects!$M$21="Yes",24&gt;=Projects!$C$21,24&lt;Projects!$C$21+Projects!$D$21),Projects!$B$21*INDEX(Curves!$B$4:$AR$4,1,24-Projects!$C$21+1),0)+IF(AND(Projects!$G$22="Yes",Projects!$M$22="Yes",24&gt;=Projects!$C$22,24&lt;Projects!$C$22+Projects!$D$22),Projects!$B$22*INDEX(Curves!$B$4:$AR$4,1,24-Projects!$C$22+1),0)+IF(AND(Projects!$G$23="Yes",Projects!$M$23="Yes",24&gt;=Projects!$C$23,24&lt;Projects!$C$23+Projects!$D$23),Projects!$B$23*INDEX(Curves!$B$4:$AR$4,1,24-Projects!$C$23+1),0)+IF(AND(Projects!$G$24="Yes",Projects!$M$24="Yes",24&gt;=Projects!$C$24,24&lt;Projects!$C$24+Projects!$D$24),Projects!$B$24*INDEX(Curves!$B$4:$AR$4,1,24-Projects!$C$24+1),0)+IF(AND(Projects!$G$25="Yes",Projects!$M$25="Yes",24&gt;=Projects!$C$25,24&lt;Projects!$C$25+Projects!$D$25),Projects!$B$25*INDEX(Curves!$B$4:$AR$4,1,24-Projects!$C$25+1),0)+IF(AND(Projects!$G$26="Yes",Projects!$M$26="Yes",24&gt;=Projects!$C$26,24&lt;Projects!$C$26+Projects!$D$26),Projects!$B$26*INDEX(Curves!$B$4:$AR$4,1,24-Projects!$C$26+1),0)+IF(AND(Projects!$G$27="Yes",Projects!$M$27="Yes",24&gt;=Projects!$C$27,24&lt;Projects!$C$27+Projects!$D$27),Projects!$B$27*INDEX(Curves!$B$4:$AR$4,1,24-Projects!$C$27+1),0)+IF(AND(Projects!$G$28="Yes",Projects!$M$28="Yes",24&gt;=Projects!$C$28,24&lt;Projects!$C$28+Projects!$D$28),Projects!$B$28*INDEX(Curves!$B$4:$AR$4,1,24-Projects!$C$28+1),0)+IF(AND(Projects!$G$29="Yes",Projects!$M$29="Yes",24&gt;=Projects!$C$29,24&lt;Projects!$C$29+Projects!$D$29),Projects!$B$29*INDEX(Curves!$B$4:$AR$4,1,24-Projects!$C$29+1),0)+IF(AND(Projects!$G$30="Yes",Projects!$M$30="Yes",24&gt;=Projects!$C$30,24&lt;Projects!$C$30+Projects!$D$30),Projects!$B$30*INDEX(Curves!$B$4:$AR$4,1,24-Projects!$C$30+1),0)+IF(AND(Projects!$G$31="Yes",Projects!$M$31="Yes",24&gt;=Projects!$C$31,24&lt;Projects!$C$31+Projects!$D$31),Projects!$B$31*INDEX(Curves!$B$4:$AR$4,1,24-Projects!$C$31+1),0)+IF(AND(Projects!$G$32="Yes",Projects!$M$32="Yes",24&gt;=Projects!$C$32,24&lt;Projects!$C$32+Projects!$D$32),Projects!$B$32*INDEX(Curves!$B$4:$AR$4,1,24-Projects!$C$32+1),0)+IF(AND(Projects!$G$33="Yes",Projects!$M$33="Yes",24&gt;=Projects!$C$33,24&lt;Projects!$C$33+Projects!$D$33),Projects!$B$33*INDEX(Curves!$B$4:$AR$4,1,24-Projects!$C$33+1),0)+IF(AND(Projects!$G$34="Yes",Projects!$M$34="Yes",24&gt;=Projects!$C$34,24&lt;Projects!$C$34+Projects!$D$34),Projects!$B$34*INDEX(Curves!$B$4:$AR$4,1,24-Projects!$C$34+1),0)+IF(AND(Projects!$G$35="Yes",Projects!$M$35="Yes",24&gt;=Projects!$C$35,24&lt;Projects!$C$35+Projects!$D$35),Projects!$B$35*INDEX(Curves!$B$4:$AR$4,1,24-Projects!$C$35+1),0)+IF(AND(Projects!$G$36="Yes",Projects!$M$36="Yes",24&gt;=Projects!$C$36,24&lt;Projects!$C$36+Projects!$D$36),Projects!$B$36*INDEX(Curves!$B$4:$AR$4,1,24-Projects!$C$36+1),0)+IF(AND(Projects!$G$37="Yes",Projects!$M$37="Yes",24&gt;=Projects!$C$37,24&lt;Projects!$C$37+Projects!$D$37),Projects!$B$37*INDEX(Curves!$B$4:$AR$4,1,24-Projects!$C$37+1),0)+IF(AND(Projects!$G$38="Yes",Projects!$M$38="Yes",24&gt;=Projects!$C$38,24&lt;Projects!$C$38+Projects!$D$38),Projects!$B$38*INDEX(Curves!$B$4:$AR$4,1,24-Projects!$C$38+1),0)+IF(AND(Projects!$G$39="Yes",Projects!$M$39="Yes",24&gt;=Projects!$C$39,24&lt;Projects!$C$39+Projects!$D$39),Projects!$B$39*INDEX(Curves!$B$4:$AR$4,1,24-Projects!$C$39+1),0)+IF(AND(Projects!$G$40="Yes",Projects!$M$40="Yes",24&gt;=Projects!$C$40,24&lt;Projects!$C$40+Projects!$D$40),Projects!$B$40*INDEX(Curves!$B$4:$AR$4,1,24-Projects!$C$40+1),0)+IF(AND(Projects!$G$41="Yes",Projects!$M$41="Yes",24&gt;=Projects!$C$41,24&lt;Projects!$C$41+Projects!$D$41),Projects!$B$41*INDEX(Curves!$B$4:$AR$4,1,24-Projects!$C$41+1),0)+IF(AND(Projects!$G$42="Yes",Projects!$M$42="Yes",24&gt;=Projects!$C$42,24&lt;Projects!$C$42+Projects!$D$42),Projects!$B$42*INDEX(Curves!$B$4:$AR$4,1,24-Projects!$C$42+1),0)+IF(AND(Projects!$G$43="Yes",Projects!$M$43="Yes",24&gt;=Projects!$C$43,24&lt;Projects!$C$43+Projects!$D$43),Projects!$B$43*INDEX(Curves!$B$4:$AR$4,1,24-Projects!$C$43+1),0)+IF(AND(Projects!$G$44="Yes",Projects!$M$44="Yes",24&gt;=Projects!$C$44,24&lt;Projects!$C$44+Projects!$D$44),Projects!$B$44*INDEX(Curves!$B$4:$AR$4,1,24-Projects!$C$44+1),0)+IF(AND(Projects!$G$45="Yes",Projects!$M$45="Yes",24&gt;=Projects!$C$45,24&lt;Projects!$C$45+Projects!$D$45),Projects!$B$45*INDEX(Curves!$B$4:$AR$4,1,24-Projects!$C$45+1),0)+IF(AND(Projects!$G$46="Yes",Projects!$M$46="Yes",24&gt;=Projects!$C$46,24&lt;Projects!$C$46+Projects!$D$46),Projects!$B$46*INDEX(Curves!$B$4:$AR$4,1,24-Projects!$C$46+1),0)</f>
        <v>4051922.0430955</v>
      </c>
      <c r="AD101" s="315" t="n">
        <f aca="false">IF(AND(Projects!$G$17="Yes",Projects!$M$17="Yes",25&gt;=Projects!$C$17,25&lt;Projects!$C$17+Projects!$D$17),Projects!$B$17*INDEX(Curves!$B$4:$AR$4,1,25-Projects!$C$17+1),0)+IF(AND(Projects!$G$18="Yes",Projects!$M$18="Yes",25&gt;=Projects!$C$18,25&lt;Projects!$C$18+Projects!$D$18),Projects!$B$18*INDEX(Curves!$B$4:$AR$4,1,25-Projects!$C$18+1),0)+IF(AND(Projects!$G$19="Yes",Projects!$M$19="Yes",25&gt;=Projects!$C$19,25&lt;Projects!$C$19+Projects!$D$19),Projects!$B$19*INDEX(Curves!$B$4:$AR$4,1,25-Projects!$C$19+1),0)+IF(AND(Projects!$G$20="Yes",Projects!$M$20="Yes",25&gt;=Projects!$C$20,25&lt;Projects!$C$20+Projects!$D$20),Projects!$B$20*INDEX(Curves!$B$4:$AR$4,1,25-Projects!$C$20+1),0)+IF(AND(Projects!$G$21="Yes",Projects!$M$21="Yes",25&gt;=Projects!$C$21,25&lt;Projects!$C$21+Projects!$D$21),Projects!$B$21*INDEX(Curves!$B$4:$AR$4,1,25-Projects!$C$21+1),0)+IF(AND(Projects!$G$22="Yes",Projects!$M$22="Yes",25&gt;=Projects!$C$22,25&lt;Projects!$C$22+Projects!$D$22),Projects!$B$22*INDEX(Curves!$B$4:$AR$4,1,25-Projects!$C$22+1),0)+IF(AND(Projects!$G$23="Yes",Projects!$M$23="Yes",25&gt;=Projects!$C$23,25&lt;Projects!$C$23+Projects!$D$23),Projects!$B$23*INDEX(Curves!$B$4:$AR$4,1,25-Projects!$C$23+1),0)+IF(AND(Projects!$G$24="Yes",Projects!$M$24="Yes",25&gt;=Projects!$C$24,25&lt;Projects!$C$24+Projects!$D$24),Projects!$B$24*INDEX(Curves!$B$4:$AR$4,1,25-Projects!$C$24+1),0)+IF(AND(Projects!$G$25="Yes",Projects!$M$25="Yes",25&gt;=Projects!$C$25,25&lt;Projects!$C$25+Projects!$D$25),Projects!$B$25*INDEX(Curves!$B$4:$AR$4,1,25-Projects!$C$25+1),0)+IF(AND(Projects!$G$26="Yes",Projects!$M$26="Yes",25&gt;=Projects!$C$26,25&lt;Projects!$C$26+Projects!$D$26),Projects!$B$26*INDEX(Curves!$B$4:$AR$4,1,25-Projects!$C$26+1),0)+IF(AND(Projects!$G$27="Yes",Projects!$M$27="Yes",25&gt;=Projects!$C$27,25&lt;Projects!$C$27+Projects!$D$27),Projects!$B$27*INDEX(Curves!$B$4:$AR$4,1,25-Projects!$C$27+1),0)+IF(AND(Projects!$G$28="Yes",Projects!$M$28="Yes",25&gt;=Projects!$C$28,25&lt;Projects!$C$28+Projects!$D$28),Projects!$B$28*INDEX(Curves!$B$4:$AR$4,1,25-Projects!$C$28+1),0)+IF(AND(Projects!$G$29="Yes",Projects!$M$29="Yes",25&gt;=Projects!$C$29,25&lt;Projects!$C$29+Projects!$D$29),Projects!$B$29*INDEX(Curves!$B$4:$AR$4,1,25-Projects!$C$29+1),0)+IF(AND(Projects!$G$30="Yes",Projects!$M$30="Yes",25&gt;=Projects!$C$30,25&lt;Projects!$C$30+Projects!$D$30),Projects!$B$30*INDEX(Curves!$B$4:$AR$4,1,25-Projects!$C$30+1),0)+IF(AND(Projects!$G$31="Yes",Projects!$M$31="Yes",25&gt;=Projects!$C$31,25&lt;Projects!$C$31+Projects!$D$31),Projects!$B$31*INDEX(Curves!$B$4:$AR$4,1,25-Projects!$C$31+1),0)+IF(AND(Projects!$G$32="Yes",Projects!$M$32="Yes",25&gt;=Projects!$C$32,25&lt;Projects!$C$32+Projects!$D$32),Projects!$B$32*INDEX(Curves!$B$4:$AR$4,1,25-Projects!$C$32+1),0)+IF(AND(Projects!$G$33="Yes",Projects!$M$33="Yes",25&gt;=Projects!$C$33,25&lt;Projects!$C$33+Projects!$D$33),Projects!$B$33*INDEX(Curves!$B$4:$AR$4,1,25-Projects!$C$33+1),0)+IF(AND(Projects!$G$34="Yes",Projects!$M$34="Yes",25&gt;=Projects!$C$34,25&lt;Projects!$C$34+Projects!$D$34),Projects!$B$34*INDEX(Curves!$B$4:$AR$4,1,25-Projects!$C$34+1),0)+IF(AND(Projects!$G$35="Yes",Projects!$M$35="Yes",25&gt;=Projects!$C$35,25&lt;Projects!$C$35+Projects!$D$35),Projects!$B$35*INDEX(Curves!$B$4:$AR$4,1,25-Projects!$C$35+1),0)+IF(AND(Projects!$G$36="Yes",Projects!$M$36="Yes",25&gt;=Projects!$C$36,25&lt;Projects!$C$36+Projects!$D$36),Projects!$B$36*INDEX(Curves!$B$4:$AR$4,1,25-Projects!$C$36+1),0)+IF(AND(Projects!$G$37="Yes",Projects!$M$37="Yes",25&gt;=Projects!$C$37,25&lt;Projects!$C$37+Projects!$D$37),Projects!$B$37*INDEX(Curves!$B$4:$AR$4,1,25-Projects!$C$37+1),0)+IF(AND(Projects!$G$38="Yes",Projects!$M$38="Yes",25&gt;=Projects!$C$38,25&lt;Projects!$C$38+Projects!$D$38),Projects!$B$38*INDEX(Curves!$B$4:$AR$4,1,25-Projects!$C$38+1),0)+IF(AND(Projects!$G$39="Yes",Projects!$M$39="Yes",25&gt;=Projects!$C$39,25&lt;Projects!$C$39+Projects!$D$39),Projects!$B$39*INDEX(Curves!$B$4:$AR$4,1,25-Projects!$C$39+1),0)+IF(AND(Projects!$G$40="Yes",Projects!$M$40="Yes",25&gt;=Projects!$C$40,25&lt;Projects!$C$40+Projects!$D$40),Projects!$B$40*INDEX(Curves!$B$4:$AR$4,1,25-Projects!$C$40+1),0)+IF(AND(Projects!$G$41="Yes",Projects!$M$41="Yes",25&gt;=Projects!$C$41,25&lt;Projects!$C$41+Projects!$D$41),Projects!$B$41*INDEX(Curves!$B$4:$AR$4,1,25-Projects!$C$41+1),0)+IF(AND(Projects!$G$42="Yes",Projects!$M$42="Yes",25&gt;=Projects!$C$42,25&lt;Projects!$C$42+Projects!$D$42),Projects!$B$42*INDEX(Curves!$B$4:$AR$4,1,25-Projects!$C$42+1),0)+IF(AND(Projects!$G$43="Yes",Projects!$M$43="Yes",25&gt;=Projects!$C$43,25&lt;Projects!$C$43+Projects!$D$43),Projects!$B$43*INDEX(Curves!$B$4:$AR$4,1,25-Projects!$C$43+1),0)+IF(AND(Projects!$G$44="Yes",Projects!$M$44="Yes",25&gt;=Projects!$C$44,25&lt;Projects!$C$44+Projects!$D$44),Projects!$B$44*INDEX(Curves!$B$4:$AR$4,1,25-Projects!$C$44+1),0)+IF(AND(Projects!$G$45="Yes",Projects!$M$45="Yes",25&gt;=Projects!$C$45,25&lt;Projects!$C$45+Projects!$D$45),Projects!$B$45*INDEX(Curves!$B$4:$AR$4,1,25-Projects!$C$45+1),0)+IF(AND(Projects!$G$46="Yes",Projects!$M$46="Yes",25&gt;=Projects!$C$46,25&lt;Projects!$C$46+Projects!$D$46),Projects!$B$46*INDEX(Curves!$B$4:$AR$4,1,25-Projects!$C$46+1),0)</f>
        <v>3914690.353955</v>
      </c>
      <c r="AE101" s="315" t="n">
        <f aca="false">IF(AND(Projects!$G$17="Yes",Projects!$M$17="Yes",26&gt;=Projects!$C$17,26&lt;Projects!$C$17+Projects!$D$17),Projects!$B$17*INDEX(Curves!$B$4:$AR$4,1,26-Projects!$C$17+1),0)+IF(AND(Projects!$G$18="Yes",Projects!$M$18="Yes",26&gt;=Projects!$C$18,26&lt;Projects!$C$18+Projects!$D$18),Projects!$B$18*INDEX(Curves!$B$4:$AR$4,1,26-Projects!$C$18+1),0)+IF(AND(Projects!$G$19="Yes",Projects!$M$19="Yes",26&gt;=Projects!$C$19,26&lt;Projects!$C$19+Projects!$D$19),Projects!$B$19*INDEX(Curves!$B$4:$AR$4,1,26-Projects!$C$19+1),0)+IF(AND(Projects!$G$20="Yes",Projects!$M$20="Yes",26&gt;=Projects!$C$20,26&lt;Projects!$C$20+Projects!$D$20),Projects!$B$20*INDEX(Curves!$B$4:$AR$4,1,26-Projects!$C$20+1),0)+IF(AND(Projects!$G$21="Yes",Projects!$M$21="Yes",26&gt;=Projects!$C$21,26&lt;Projects!$C$21+Projects!$D$21),Projects!$B$21*INDEX(Curves!$B$4:$AR$4,1,26-Projects!$C$21+1),0)+IF(AND(Projects!$G$22="Yes",Projects!$M$22="Yes",26&gt;=Projects!$C$22,26&lt;Projects!$C$22+Projects!$D$22),Projects!$B$22*INDEX(Curves!$B$4:$AR$4,1,26-Projects!$C$22+1),0)+IF(AND(Projects!$G$23="Yes",Projects!$M$23="Yes",26&gt;=Projects!$C$23,26&lt;Projects!$C$23+Projects!$D$23),Projects!$B$23*INDEX(Curves!$B$4:$AR$4,1,26-Projects!$C$23+1),0)+IF(AND(Projects!$G$24="Yes",Projects!$M$24="Yes",26&gt;=Projects!$C$24,26&lt;Projects!$C$24+Projects!$D$24),Projects!$B$24*INDEX(Curves!$B$4:$AR$4,1,26-Projects!$C$24+1),0)+IF(AND(Projects!$G$25="Yes",Projects!$M$25="Yes",26&gt;=Projects!$C$25,26&lt;Projects!$C$25+Projects!$D$25),Projects!$B$25*INDEX(Curves!$B$4:$AR$4,1,26-Projects!$C$25+1),0)+IF(AND(Projects!$G$26="Yes",Projects!$M$26="Yes",26&gt;=Projects!$C$26,26&lt;Projects!$C$26+Projects!$D$26),Projects!$B$26*INDEX(Curves!$B$4:$AR$4,1,26-Projects!$C$26+1),0)+IF(AND(Projects!$G$27="Yes",Projects!$M$27="Yes",26&gt;=Projects!$C$27,26&lt;Projects!$C$27+Projects!$D$27),Projects!$B$27*INDEX(Curves!$B$4:$AR$4,1,26-Projects!$C$27+1),0)+IF(AND(Projects!$G$28="Yes",Projects!$M$28="Yes",26&gt;=Projects!$C$28,26&lt;Projects!$C$28+Projects!$D$28),Projects!$B$28*INDEX(Curves!$B$4:$AR$4,1,26-Projects!$C$28+1),0)+IF(AND(Projects!$G$29="Yes",Projects!$M$29="Yes",26&gt;=Projects!$C$29,26&lt;Projects!$C$29+Projects!$D$29),Projects!$B$29*INDEX(Curves!$B$4:$AR$4,1,26-Projects!$C$29+1),0)+IF(AND(Projects!$G$30="Yes",Projects!$M$30="Yes",26&gt;=Projects!$C$30,26&lt;Projects!$C$30+Projects!$D$30),Projects!$B$30*INDEX(Curves!$B$4:$AR$4,1,26-Projects!$C$30+1),0)+IF(AND(Projects!$G$31="Yes",Projects!$M$31="Yes",26&gt;=Projects!$C$31,26&lt;Projects!$C$31+Projects!$D$31),Projects!$B$31*INDEX(Curves!$B$4:$AR$4,1,26-Projects!$C$31+1),0)+IF(AND(Projects!$G$32="Yes",Projects!$M$32="Yes",26&gt;=Projects!$C$32,26&lt;Projects!$C$32+Projects!$D$32),Projects!$B$32*INDEX(Curves!$B$4:$AR$4,1,26-Projects!$C$32+1),0)+IF(AND(Projects!$G$33="Yes",Projects!$M$33="Yes",26&gt;=Projects!$C$33,26&lt;Projects!$C$33+Projects!$D$33),Projects!$B$33*INDEX(Curves!$B$4:$AR$4,1,26-Projects!$C$33+1),0)+IF(AND(Projects!$G$34="Yes",Projects!$M$34="Yes",26&gt;=Projects!$C$34,26&lt;Projects!$C$34+Projects!$D$34),Projects!$B$34*INDEX(Curves!$B$4:$AR$4,1,26-Projects!$C$34+1),0)+IF(AND(Projects!$G$35="Yes",Projects!$M$35="Yes",26&gt;=Projects!$C$35,26&lt;Projects!$C$35+Projects!$D$35),Projects!$B$35*INDEX(Curves!$B$4:$AR$4,1,26-Projects!$C$35+1),0)+IF(AND(Projects!$G$36="Yes",Projects!$M$36="Yes",26&gt;=Projects!$C$36,26&lt;Projects!$C$36+Projects!$D$36),Projects!$B$36*INDEX(Curves!$B$4:$AR$4,1,26-Projects!$C$36+1),0)+IF(AND(Projects!$G$37="Yes",Projects!$M$37="Yes",26&gt;=Projects!$C$37,26&lt;Projects!$C$37+Projects!$D$37),Projects!$B$37*INDEX(Curves!$B$4:$AR$4,1,26-Projects!$C$37+1),0)+IF(AND(Projects!$G$38="Yes",Projects!$M$38="Yes",26&gt;=Projects!$C$38,26&lt;Projects!$C$38+Projects!$D$38),Projects!$B$38*INDEX(Curves!$B$4:$AR$4,1,26-Projects!$C$38+1),0)+IF(AND(Projects!$G$39="Yes",Projects!$M$39="Yes",26&gt;=Projects!$C$39,26&lt;Projects!$C$39+Projects!$D$39),Projects!$B$39*INDEX(Curves!$B$4:$AR$4,1,26-Projects!$C$39+1),0)+IF(AND(Projects!$G$40="Yes",Projects!$M$40="Yes",26&gt;=Projects!$C$40,26&lt;Projects!$C$40+Projects!$D$40),Projects!$B$40*INDEX(Curves!$B$4:$AR$4,1,26-Projects!$C$40+1),0)+IF(AND(Projects!$G$41="Yes",Projects!$M$41="Yes",26&gt;=Projects!$C$41,26&lt;Projects!$C$41+Projects!$D$41),Projects!$B$41*INDEX(Curves!$B$4:$AR$4,1,26-Projects!$C$41+1),0)+IF(AND(Projects!$G$42="Yes",Projects!$M$42="Yes",26&gt;=Projects!$C$42,26&lt;Projects!$C$42+Projects!$D$42),Projects!$B$42*INDEX(Curves!$B$4:$AR$4,1,26-Projects!$C$42+1),0)+IF(AND(Projects!$G$43="Yes",Projects!$M$43="Yes",26&gt;=Projects!$C$43,26&lt;Projects!$C$43+Projects!$D$43),Projects!$B$43*INDEX(Curves!$B$4:$AR$4,1,26-Projects!$C$43+1),0)+IF(AND(Projects!$G$44="Yes",Projects!$M$44="Yes",26&gt;=Projects!$C$44,26&lt;Projects!$C$44+Projects!$D$44),Projects!$B$44*INDEX(Curves!$B$4:$AR$4,1,26-Projects!$C$44+1),0)+IF(AND(Projects!$G$45="Yes",Projects!$M$45="Yes",26&gt;=Projects!$C$45,26&lt;Projects!$C$45+Projects!$D$45),Projects!$B$45*INDEX(Curves!$B$4:$AR$4,1,26-Projects!$C$45+1),0)+IF(AND(Projects!$G$46="Yes",Projects!$M$46="Yes",26&gt;=Projects!$C$46,26&lt;Projects!$C$46+Projects!$D$46),Projects!$B$46*INDEX(Curves!$B$4:$AR$4,1,26-Projects!$C$46+1),0)</f>
        <v>3699301.5294705</v>
      </c>
      <c r="AF101" s="315" t="n">
        <f aca="false">IF(AND(Projects!$G$17="Yes",Projects!$M$17="Yes",27&gt;=Projects!$C$17,27&lt;Projects!$C$17+Projects!$D$17),Projects!$B$17*INDEX(Curves!$B$4:$AR$4,1,27-Projects!$C$17+1),0)+IF(AND(Projects!$G$18="Yes",Projects!$M$18="Yes",27&gt;=Projects!$C$18,27&lt;Projects!$C$18+Projects!$D$18),Projects!$B$18*INDEX(Curves!$B$4:$AR$4,1,27-Projects!$C$18+1),0)+IF(AND(Projects!$G$19="Yes",Projects!$M$19="Yes",27&gt;=Projects!$C$19,27&lt;Projects!$C$19+Projects!$D$19),Projects!$B$19*INDEX(Curves!$B$4:$AR$4,1,27-Projects!$C$19+1),0)+IF(AND(Projects!$G$20="Yes",Projects!$M$20="Yes",27&gt;=Projects!$C$20,27&lt;Projects!$C$20+Projects!$D$20),Projects!$B$20*INDEX(Curves!$B$4:$AR$4,1,27-Projects!$C$20+1),0)+IF(AND(Projects!$G$21="Yes",Projects!$M$21="Yes",27&gt;=Projects!$C$21,27&lt;Projects!$C$21+Projects!$D$21),Projects!$B$21*INDEX(Curves!$B$4:$AR$4,1,27-Projects!$C$21+1),0)+IF(AND(Projects!$G$22="Yes",Projects!$M$22="Yes",27&gt;=Projects!$C$22,27&lt;Projects!$C$22+Projects!$D$22),Projects!$B$22*INDEX(Curves!$B$4:$AR$4,1,27-Projects!$C$22+1),0)+IF(AND(Projects!$G$23="Yes",Projects!$M$23="Yes",27&gt;=Projects!$C$23,27&lt;Projects!$C$23+Projects!$D$23),Projects!$B$23*INDEX(Curves!$B$4:$AR$4,1,27-Projects!$C$23+1),0)+IF(AND(Projects!$G$24="Yes",Projects!$M$24="Yes",27&gt;=Projects!$C$24,27&lt;Projects!$C$24+Projects!$D$24),Projects!$B$24*INDEX(Curves!$B$4:$AR$4,1,27-Projects!$C$24+1),0)+IF(AND(Projects!$G$25="Yes",Projects!$M$25="Yes",27&gt;=Projects!$C$25,27&lt;Projects!$C$25+Projects!$D$25),Projects!$B$25*INDEX(Curves!$B$4:$AR$4,1,27-Projects!$C$25+1),0)+IF(AND(Projects!$G$26="Yes",Projects!$M$26="Yes",27&gt;=Projects!$C$26,27&lt;Projects!$C$26+Projects!$D$26),Projects!$B$26*INDEX(Curves!$B$4:$AR$4,1,27-Projects!$C$26+1),0)+IF(AND(Projects!$G$27="Yes",Projects!$M$27="Yes",27&gt;=Projects!$C$27,27&lt;Projects!$C$27+Projects!$D$27),Projects!$B$27*INDEX(Curves!$B$4:$AR$4,1,27-Projects!$C$27+1),0)+IF(AND(Projects!$G$28="Yes",Projects!$M$28="Yes",27&gt;=Projects!$C$28,27&lt;Projects!$C$28+Projects!$D$28),Projects!$B$28*INDEX(Curves!$B$4:$AR$4,1,27-Projects!$C$28+1),0)+IF(AND(Projects!$G$29="Yes",Projects!$M$29="Yes",27&gt;=Projects!$C$29,27&lt;Projects!$C$29+Projects!$D$29),Projects!$B$29*INDEX(Curves!$B$4:$AR$4,1,27-Projects!$C$29+1),0)+IF(AND(Projects!$G$30="Yes",Projects!$M$30="Yes",27&gt;=Projects!$C$30,27&lt;Projects!$C$30+Projects!$D$30),Projects!$B$30*INDEX(Curves!$B$4:$AR$4,1,27-Projects!$C$30+1),0)+IF(AND(Projects!$G$31="Yes",Projects!$M$31="Yes",27&gt;=Projects!$C$31,27&lt;Projects!$C$31+Projects!$D$31),Projects!$B$31*INDEX(Curves!$B$4:$AR$4,1,27-Projects!$C$31+1),0)+IF(AND(Projects!$G$32="Yes",Projects!$M$32="Yes",27&gt;=Projects!$C$32,27&lt;Projects!$C$32+Projects!$D$32),Projects!$B$32*INDEX(Curves!$B$4:$AR$4,1,27-Projects!$C$32+1),0)+IF(AND(Projects!$G$33="Yes",Projects!$M$33="Yes",27&gt;=Projects!$C$33,27&lt;Projects!$C$33+Projects!$D$33),Projects!$B$33*INDEX(Curves!$B$4:$AR$4,1,27-Projects!$C$33+1),0)+IF(AND(Projects!$G$34="Yes",Projects!$M$34="Yes",27&gt;=Projects!$C$34,27&lt;Projects!$C$34+Projects!$D$34),Projects!$B$34*INDEX(Curves!$B$4:$AR$4,1,27-Projects!$C$34+1),0)+IF(AND(Projects!$G$35="Yes",Projects!$M$35="Yes",27&gt;=Projects!$C$35,27&lt;Projects!$C$35+Projects!$D$35),Projects!$B$35*INDEX(Curves!$B$4:$AR$4,1,27-Projects!$C$35+1),0)+IF(AND(Projects!$G$36="Yes",Projects!$M$36="Yes",27&gt;=Projects!$C$36,27&lt;Projects!$C$36+Projects!$D$36),Projects!$B$36*INDEX(Curves!$B$4:$AR$4,1,27-Projects!$C$36+1),0)+IF(AND(Projects!$G$37="Yes",Projects!$M$37="Yes",27&gt;=Projects!$C$37,27&lt;Projects!$C$37+Projects!$D$37),Projects!$B$37*INDEX(Curves!$B$4:$AR$4,1,27-Projects!$C$37+1),0)+IF(AND(Projects!$G$38="Yes",Projects!$M$38="Yes",27&gt;=Projects!$C$38,27&lt;Projects!$C$38+Projects!$D$38),Projects!$B$38*INDEX(Curves!$B$4:$AR$4,1,27-Projects!$C$38+1),0)+IF(AND(Projects!$G$39="Yes",Projects!$M$39="Yes",27&gt;=Projects!$C$39,27&lt;Projects!$C$39+Projects!$D$39),Projects!$B$39*INDEX(Curves!$B$4:$AR$4,1,27-Projects!$C$39+1),0)+IF(AND(Projects!$G$40="Yes",Projects!$M$40="Yes",27&gt;=Projects!$C$40,27&lt;Projects!$C$40+Projects!$D$40),Projects!$B$40*INDEX(Curves!$B$4:$AR$4,1,27-Projects!$C$40+1),0)+IF(AND(Projects!$G$41="Yes",Projects!$M$41="Yes",27&gt;=Projects!$C$41,27&lt;Projects!$C$41+Projects!$D$41),Projects!$B$41*INDEX(Curves!$B$4:$AR$4,1,27-Projects!$C$41+1),0)+IF(AND(Projects!$G$42="Yes",Projects!$M$42="Yes",27&gt;=Projects!$C$42,27&lt;Projects!$C$42+Projects!$D$42),Projects!$B$42*INDEX(Curves!$B$4:$AR$4,1,27-Projects!$C$42+1),0)+IF(AND(Projects!$G$43="Yes",Projects!$M$43="Yes",27&gt;=Projects!$C$43,27&lt;Projects!$C$43+Projects!$D$43),Projects!$B$43*INDEX(Curves!$B$4:$AR$4,1,27-Projects!$C$43+1),0)+IF(AND(Projects!$G$44="Yes",Projects!$M$44="Yes",27&gt;=Projects!$C$44,27&lt;Projects!$C$44+Projects!$D$44),Projects!$B$44*INDEX(Curves!$B$4:$AR$4,1,27-Projects!$C$44+1),0)+IF(AND(Projects!$G$45="Yes",Projects!$M$45="Yes",27&gt;=Projects!$C$45,27&lt;Projects!$C$45+Projects!$D$45),Projects!$B$45*INDEX(Curves!$B$4:$AR$4,1,27-Projects!$C$45+1),0)+IF(AND(Projects!$G$46="Yes",Projects!$M$46="Yes",27&gt;=Projects!$C$46,27&lt;Projects!$C$46+Projects!$D$46),Projects!$B$46*INDEX(Curves!$B$4:$AR$4,1,27-Projects!$C$46+1),0)</f>
        <v>3418649.47970975</v>
      </c>
      <c r="AG101" s="315" t="n">
        <f aca="false">IF(AND(Projects!$G$17="Yes",Projects!$M$17="Yes",28&gt;=Projects!$C$17,28&lt;Projects!$C$17+Projects!$D$17),Projects!$B$17*INDEX(Curves!$B$4:$AR$4,1,28-Projects!$C$17+1),0)+IF(AND(Projects!$G$18="Yes",Projects!$M$18="Yes",28&gt;=Projects!$C$18,28&lt;Projects!$C$18+Projects!$D$18),Projects!$B$18*INDEX(Curves!$B$4:$AR$4,1,28-Projects!$C$18+1),0)+IF(AND(Projects!$G$19="Yes",Projects!$M$19="Yes",28&gt;=Projects!$C$19,28&lt;Projects!$C$19+Projects!$D$19),Projects!$B$19*INDEX(Curves!$B$4:$AR$4,1,28-Projects!$C$19+1),0)+IF(AND(Projects!$G$20="Yes",Projects!$M$20="Yes",28&gt;=Projects!$C$20,28&lt;Projects!$C$20+Projects!$D$20),Projects!$B$20*INDEX(Curves!$B$4:$AR$4,1,28-Projects!$C$20+1),0)+IF(AND(Projects!$G$21="Yes",Projects!$M$21="Yes",28&gt;=Projects!$C$21,28&lt;Projects!$C$21+Projects!$D$21),Projects!$B$21*INDEX(Curves!$B$4:$AR$4,1,28-Projects!$C$21+1),0)+IF(AND(Projects!$G$22="Yes",Projects!$M$22="Yes",28&gt;=Projects!$C$22,28&lt;Projects!$C$22+Projects!$D$22),Projects!$B$22*INDEX(Curves!$B$4:$AR$4,1,28-Projects!$C$22+1),0)+IF(AND(Projects!$G$23="Yes",Projects!$M$23="Yes",28&gt;=Projects!$C$23,28&lt;Projects!$C$23+Projects!$D$23),Projects!$B$23*INDEX(Curves!$B$4:$AR$4,1,28-Projects!$C$23+1),0)+IF(AND(Projects!$G$24="Yes",Projects!$M$24="Yes",28&gt;=Projects!$C$24,28&lt;Projects!$C$24+Projects!$D$24),Projects!$B$24*INDEX(Curves!$B$4:$AR$4,1,28-Projects!$C$24+1),0)+IF(AND(Projects!$G$25="Yes",Projects!$M$25="Yes",28&gt;=Projects!$C$25,28&lt;Projects!$C$25+Projects!$D$25),Projects!$B$25*INDEX(Curves!$B$4:$AR$4,1,28-Projects!$C$25+1),0)+IF(AND(Projects!$G$26="Yes",Projects!$M$26="Yes",28&gt;=Projects!$C$26,28&lt;Projects!$C$26+Projects!$D$26),Projects!$B$26*INDEX(Curves!$B$4:$AR$4,1,28-Projects!$C$26+1),0)+IF(AND(Projects!$G$27="Yes",Projects!$M$27="Yes",28&gt;=Projects!$C$27,28&lt;Projects!$C$27+Projects!$D$27),Projects!$B$27*INDEX(Curves!$B$4:$AR$4,1,28-Projects!$C$27+1),0)+IF(AND(Projects!$G$28="Yes",Projects!$M$28="Yes",28&gt;=Projects!$C$28,28&lt;Projects!$C$28+Projects!$D$28),Projects!$B$28*INDEX(Curves!$B$4:$AR$4,1,28-Projects!$C$28+1),0)+IF(AND(Projects!$G$29="Yes",Projects!$M$29="Yes",28&gt;=Projects!$C$29,28&lt;Projects!$C$29+Projects!$D$29),Projects!$B$29*INDEX(Curves!$B$4:$AR$4,1,28-Projects!$C$29+1),0)+IF(AND(Projects!$G$30="Yes",Projects!$M$30="Yes",28&gt;=Projects!$C$30,28&lt;Projects!$C$30+Projects!$D$30),Projects!$B$30*INDEX(Curves!$B$4:$AR$4,1,28-Projects!$C$30+1),0)+IF(AND(Projects!$G$31="Yes",Projects!$M$31="Yes",28&gt;=Projects!$C$31,28&lt;Projects!$C$31+Projects!$D$31),Projects!$B$31*INDEX(Curves!$B$4:$AR$4,1,28-Projects!$C$31+1),0)+IF(AND(Projects!$G$32="Yes",Projects!$M$32="Yes",28&gt;=Projects!$C$32,28&lt;Projects!$C$32+Projects!$D$32),Projects!$B$32*INDEX(Curves!$B$4:$AR$4,1,28-Projects!$C$32+1),0)+IF(AND(Projects!$G$33="Yes",Projects!$M$33="Yes",28&gt;=Projects!$C$33,28&lt;Projects!$C$33+Projects!$D$33),Projects!$B$33*INDEX(Curves!$B$4:$AR$4,1,28-Projects!$C$33+1),0)+IF(AND(Projects!$G$34="Yes",Projects!$M$34="Yes",28&gt;=Projects!$C$34,28&lt;Projects!$C$34+Projects!$D$34),Projects!$B$34*INDEX(Curves!$B$4:$AR$4,1,28-Projects!$C$34+1),0)+IF(AND(Projects!$G$35="Yes",Projects!$M$35="Yes",28&gt;=Projects!$C$35,28&lt;Projects!$C$35+Projects!$D$35),Projects!$B$35*INDEX(Curves!$B$4:$AR$4,1,28-Projects!$C$35+1),0)+IF(AND(Projects!$G$36="Yes",Projects!$M$36="Yes",28&gt;=Projects!$C$36,28&lt;Projects!$C$36+Projects!$D$36),Projects!$B$36*INDEX(Curves!$B$4:$AR$4,1,28-Projects!$C$36+1),0)+IF(AND(Projects!$G$37="Yes",Projects!$M$37="Yes",28&gt;=Projects!$C$37,28&lt;Projects!$C$37+Projects!$D$37),Projects!$B$37*INDEX(Curves!$B$4:$AR$4,1,28-Projects!$C$37+1),0)+IF(AND(Projects!$G$38="Yes",Projects!$M$38="Yes",28&gt;=Projects!$C$38,28&lt;Projects!$C$38+Projects!$D$38),Projects!$B$38*INDEX(Curves!$B$4:$AR$4,1,28-Projects!$C$38+1),0)+IF(AND(Projects!$G$39="Yes",Projects!$M$39="Yes",28&gt;=Projects!$C$39,28&lt;Projects!$C$39+Projects!$D$39),Projects!$B$39*INDEX(Curves!$B$4:$AR$4,1,28-Projects!$C$39+1),0)+IF(AND(Projects!$G$40="Yes",Projects!$M$40="Yes",28&gt;=Projects!$C$40,28&lt;Projects!$C$40+Projects!$D$40),Projects!$B$40*INDEX(Curves!$B$4:$AR$4,1,28-Projects!$C$40+1),0)+IF(AND(Projects!$G$41="Yes",Projects!$M$41="Yes",28&gt;=Projects!$C$41,28&lt;Projects!$C$41+Projects!$D$41),Projects!$B$41*INDEX(Curves!$B$4:$AR$4,1,28-Projects!$C$41+1),0)+IF(AND(Projects!$G$42="Yes",Projects!$M$42="Yes",28&gt;=Projects!$C$42,28&lt;Projects!$C$42+Projects!$D$42),Projects!$B$42*INDEX(Curves!$B$4:$AR$4,1,28-Projects!$C$42+1),0)+IF(AND(Projects!$G$43="Yes",Projects!$M$43="Yes",28&gt;=Projects!$C$43,28&lt;Projects!$C$43+Projects!$D$43),Projects!$B$43*INDEX(Curves!$B$4:$AR$4,1,28-Projects!$C$43+1),0)+IF(AND(Projects!$G$44="Yes",Projects!$M$44="Yes",28&gt;=Projects!$C$44,28&lt;Projects!$C$44+Projects!$D$44),Projects!$B$44*INDEX(Curves!$B$4:$AR$4,1,28-Projects!$C$44+1),0)+IF(AND(Projects!$G$45="Yes",Projects!$M$45="Yes",28&gt;=Projects!$C$45,28&lt;Projects!$C$45+Projects!$D$45),Projects!$B$45*INDEX(Curves!$B$4:$AR$4,1,28-Projects!$C$45+1),0)+IF(AND(Projects!$G$46="Yes",Projects!$M$46="Yes",28&gt;=Projects!$C$46,28&lt;Projects!$C$46+Projects!$D$46),Projects!$B$46*INDEX(Curves!$B$4:$AR$4,1,28-Projects!$C$46+1),0)</f>
        <v>3089119.37031675</v>
      </c>
      <c r="AH101" s="315" t="n">
        <f aca="false">IF(AND(Projects!$G$17="Yes",Projects!$M$17="Yes",29&gt;=Projects!$C$17,29&lt;Projects!$C$17+Projects!$D$17),Projects!$B$17*INDEX(Curves!$B$4:$AR$4,1,29-Projects!$C$17+1),0)+IF(AND(Projects!$G$18="Yes",Projects!$M$18="Yes",29&gt;=Projects!$C$18,29&lt;Projects!$C$18+Projects!$D$18),Projects!$B$18*INDEX(Curves!$B$4:$AR$4,1,29-Projects!$C$18+1),0)+IF(AND(Projects!$G$19="Yes",Projects!$M$19="Yes",29&gt;=Projects!$C$19,29&lt;Projects!$C$19+Projects!$D$19),Projects!$B$19*INDEX(Curves!$B$4:$AR$4,1,29-Projects!$C$19+1),0)+IF(AND(Projects!$G$20="Yes",Projects!$M$20="Yes",29&gt;=Projects!$C$20,29&lt;Projects!$C$20+Projects!$D$20),Projects!$B$20*INDEX(Curves!$B$4:$AR$4,1,29-Projects!$C$20+1),0)+IF(AND(Projects!$G$21="Yes",Projects!$M$21="Yes",29&gt;=Projects!$C$21,29&lt;Projects!$C$21+Projects!$D$21),Projects!$B$21*INDEX(Curves!$B$4:$AR$4,1,29-Projects!$C$21+1),0)+IF(AND(Projects!$G$22="Yes",Projects!$M$22="Yes",29&gt;=Projects!$C$22,29&lt;Projects!$C$22+Projects!$D$22),Projects!$B$22*INDEX(Curves!$B$4:$AR$4,1,29-Projects!$C$22+1),0)+IF(AND(Projects!$G$23="Yes",Projects!$M$23="Yes",29&gt;=Projects!$C$23,29&lt;Projects!$C$23+Projects!$D$23),Projects!$B$23*INDEX(Curves!$B$4:$AR$4,1,29-Projects!$C$23+1),0)+IF(AND(Projects!$G$24="Yes",Projects!$M$24="Yes",29&gt;=Projects!$C$24,29&lt;Projects!$C$24+Projects!$D$24),Projects!$B$24*INDEX(Curves!$B$4:$AR$4,1,29-Projects!$C$24+1),0)+IF(AND(Projects!$G$25="Yes",Projects!$M$25="Yes",29&gt;=Projects!$C$25,29&lt;Projects!$C$25+Projects!$D$25),Projects!$B$25*INDEX(Curves!$B$4:$AR$4,1,29-Projects!$C$25+1),0)+IF(AND(Projects!$G$26="Yes",Projects!$M$26="Yes",29&gt;=Projects!$C$26,29&lt;Projects!$C$26+Projects!$D$26),Projects!$B$26*INDEX(Curves!$B$4:$AR$4,1,29-Projects!$C$26+1),0)+IF(AND(Projects!$G$27="Yes",Projects!$M$27="Yes",29&gt;=Projects!$C$27,29&lt;Projects!$C$27+Projects!$D$27),Projects!$B$27*INDEX(Curves!$B$4:$AR$4,1,29-Projects!$C$27+1),0)+IF(AND(Projects!$G$28="Yes",Projects!$M$28="Yes",29&gt;=Projects!$C$28,29&lt;Projects!$C$28+Projects!$D$28),Projects!$B$28*INDEX(Curves!$B$4:$AR$4,1,29-Projects!$C$28+1),0)+IF(AND(Projects!$G$29="Yes",Projects!$M$29="Yes",29&gt;=Projects!$C$29,29&lt;Projects!$C$29+Projects!$D$29),Projects!$B$29*INDEX(Curves!$B$4:$AR$4,1,29-Projects!$C$29+1),0)+IF(AND(Projects!$G$30="Yes",Projects!$M$30="Yes",29&gt;=Projects!$C$30,29&lt;Projects!$C$30+Projects!$D$30),Projects!$B$30*INDEX(Curves!$B$4:$AR$4,1,29-Projects!$C$30+1),0)+IF(AND(Projects!$G$31="Yes",Projects!$M$31="Yes",29&gt;=Projects!$C$31,29&lt;Projects!$C$31+Projects!$D$31),Projects!$B$31*INDEX(Curves!$B$4:$AR$4,1,29-Projects!$C$31+1),0)+IF(AND(Projects!$G$32="Yes",Projects!$M$32="Yes",29&gt;=Projects!$C$32,29&lt;Projects!$C$32+Projects!$D$32),Projects!$B$32*INDEX(Curves!$B$4:$AR$4,1,29-Projects!$C$32+1),0)+IF(AND(Projects!$G$33="Yes",Projects!$M$33="Yes",29&gt;=Projects!$C$33,29&lt;Projects!$C$33+Projects!$D$33),Projects!$B$33*INDEX(Curves!$B$4:$AR$4,1,29-Projects!$C$33+1),0)+IF(AND(Projects!$G$34="Yes",Projects!$M$34="Yes",29&gt;=Projects!$C$34,29&lt;Projects!$C$34+Projects!$D$34),Projects!$B$34*INDEX(Curves!$B$4:$AR$4,1,29-Projects!$C$34+1),0)+IF(AND(Projects!$G$35="Yes",Projects!$M$35="Yes",29&gt;=Projects!$C$35,29&lt;Projects!$C$35+Projects!$D$35),Projects!$B$35*INDEX(Curves!$B$4:$AR$4,1,29-Projects!$C$35+1),0)+IF(AND(Projects!$G$36="Yes",Projects!$M$36="Yes",29&gt;=Projects!$C$36,29&lt;Projects!$C$36+Projects!$D$36),Projects!$B$36*INDEX(Curves!$B$4:$AR$4,1,29-Projects!$C$36+1),0)+IF(AND(Projects!$G$37="Yes",Projects!$M$37="Yes",29&gt;=Projects!$C$37,29&lt;Projects!$C$37+Projects!$D$37),Projects!$B$37*INDEX(Curves!$B$4:$AR$4,1,29-Projects!$C$37+1),0)+IF(AND(Projects!$G$38="Yes",Projects!$M$38="Yes",29&gt;=Projects!$C$38,29&lt;Projects!$C$38+Projects!$D$38),Projects!$B$38*INDEX(Curves!$B$4:$AR$4,1,29-Projects!$C$38+1),0)+IF(AND(Projects!$G$39="Yes",Projects!$M$39="Yes",29&gt;=Projects!$C$39,29&lt;Projects!$C$39+Projects!$D$39),Projects!$B$39*INDEX(Curves!$B$4:$AR$4,1,29-Projects!$C$39+1),0)+IF(AND(Projects!$G$40="Yes",Projects!$M$40="Yes",29&gt;=Projects!$C$40,29&lt;Projects!$C$40+Projects!$D$40),Projects!$B$40*INDEX(Curves!$B$4:$AR$4,1,29-Projects!$C$40+1),0)+IF(AND(Projects!$G$41="Yes",Projects!$M$41="Yes",29&gt;=Projects!$C$41,29&lt;Projects!$C$41+Projects!$D$41),Projects!$B$41*INDEX(Curves!$B$4:$AR$4,1,29-Projects!$C$41+1),0)+IF(AND(Projects!$G$42="Yes",Projects!$M$42="Yes",29&gt;=Projects!$C$42,29&lt;Projects!$C$42+Projects!$D$42),Projects!$B$42*INDEX(Curves!$B$4:$AR$4,1,29-Projects!$C$42+1),0)+IF(AND(Projects!$G$43="Yes",Projects!$M$43="Yes",29&gt;=Projects!$C$43,29&lt;Projects!$C$43+Projects!$D$43),Projects!$B$43*INDEX(Curves!$B$4:$AR$4,1,29-Projects!$C$43+1),0)+IF(AND(Projects!$G$44="Yes",Projects!$M$44="Yes",29&gt;=Projects!$C$44,29&lt;Projects!$C$44+Projects!$D$44),Projects!$B$44*INDEX(Curves!$B$4:$AR$4,1,29-Projects!$C$44+1),0)+IF(AND(Projects!$G$45="Yes",Projects!$M$45="Yes",29&gt;=Projects!$C$45,29&lt;Projects!$C$45+Projects!$D$45),Projects!$B$45*INDEX(Curves!$B$4:$AR$4,1,29-Projects!$C$45+1),0)+IF(AND(Projects!$G$46="Yes",Projects!$M$46="Yes",29&gt;=Projects!$C$46,29&lt;Projects!$C$46+Projects!$D$46),Projects!$B$46*INDEX(Curves!$B$4:$AR$4,1,29-Projects!$C$46+1),0)</f>
        <v>2410885.979528</v>
      </c>
      <c r="AI101" s="315" t="n">
        <f aca="false">IF(AND(Projects!$G$17="Yes",Projects!$M$17="Yes",30&gt;=Projects!$C$17,30&lt;Projects!$C$17+Projects!$D$17),Projects!$B$17*INDEX(Curves!$B$4:$AR$4,1,30-Projects!$C$17+1),0)+IF(AND(Projects!$G$18="Yes",Projects!$M$18="Yes",30&gt;=Projects!$C$18,30&lt;Projects!$C$18+Projects!$D$18),Projects!$B$18*INDEX(Curves!$B$4:$AR$4,1,30-Projects!$C$18+1),0)+IF(AND(Projects!$G$19="Yes",Projects!$M$19="Yes",30&gt;=Projects!$C$19,30&lt;Projects!$C$19+Projects!$D$19),Projects!$B$19*INDEX(Curves!$B$4:$AR$4,1,30-Projects!$C$19+1),0)+IF(AND(Projects!$G$20="Yes",Projects!$M$20="Yes",30&gt;=Projects!$C$20,30&lt;Projects!$C$20+Projects!$D$20),Projects!$B$20*INDEX(Curves!$B$4:$AR$4,1,30-Projects!$C$20+1),0)+IF(AND(Projects!$G$21="Yes",Projects!$M$21="Yes",30&gt;=Projects!$C$21,30&lt;Projects!$C$21+Projects!$D$21),Projects!$B$21*INDEX(Curves!$B$4:$AR$4,1,30-Projects!$C$21+1),0)+IF(AND(Projects!$G$22="Yes",Projects!$M$22="Yes",30&gt;=Projects!$C$22,30&lt;Projects!$C$22+Projects!$D$22),Projects!$B$22*INDEX(Curves!$B$4:$AR$4,1,30-Projects!$C$22+1),0)+IF(AND(Projects!$G$23="Yes",Projects!$M$23="Yes",30&gt;=Projects!$C$23,30&lt;Projects!$C$23+Projects!$D$23),Projects!$B$23*INDEX(Curves!$B$4:$AR$4,1,30-Projects!$C$23+1),0)+IF(AND(Projects!$G$24="Yes",Projects!$M$24="Yes",30&gt;=Projects!$C$24,30&lt;Projects!$C$24+Projects!$D$24),Projects!$B$24*INDEX(Curves!$B$4:$AR$4,1,30-Projects!$C$24+1),0)+IF(AND(Projects!$G$25="Yes",Projects!$M$25="Yes",30&gt;=Projects!$C$25,30&lt;Projects!$C$25+Projects!$D$25),Projects!$B$25*INDEX(Curves!$B$4:$AR$4,1,30-Projects!$C$25+1),0)+IF(AND(Projects!$G$26="Yes",Projects!$M$26="Yes",30&gt;=Projects!$C$26,30&lt;Projects!$C$26+Projects!$D$26),Projects!$B$26*INDEX(Curves!$B$4:$AR$4,1,30-Projects!$C$26+1),0)+IF(AND(Projects!$G$27="Yes",Projects!$M$27="Yes",30&gt;=Projects!$C$27,30&lt;Projects!$C$27+Projects!$D$27),Projects!$B$27*INDEX(Curves!$B$4:$AR$4,1,30-Projects!$C$27+1),0)+IF(AND(Projects!$G$28="Yes",Projects!$M$28="Yes",30&gt;=Projects!$C$28,30&lt;Projects!$C$28+Projects!$D$28),Projects!$B$28*INDEX(Curves!$B$4:$AR$4,1,30-Projects!$C$28+1),0)+IF(AND(Projects!$G$29="Yes",Projects!$M$29="Yes",30&gt;=Projects!$C$29,30&lt;Projects!$C$29+Projects!$D$29),Projects!$B$29*INDEX(Curves!$B$4:$AR$4,1,30-Projects!$C$29+1),0)+IF(AND(Projects!$G$30="Yes",Projects!$M$30="Yes",30&gt;=Projects!$C$30,30&lt;Projects!$C$30+Projects!$D$30),Projects!$B$30*INDEX(Curves!$B$4:$AR$4,1,30-Projects!$C$30+1),0)+IF(AND(Projects!$G$31="Yes",Projects!$M$31="Yes",30&gt;=Projects!$C$31,30&lt;Projects!$C$31+Projects!$D$31),Projects!$B$31*INDEX(Curves!$B$4:$AR$4,1,30-Projects!$C$31+1),0)+IF(AND(Projects!$G$32="Yes",Projects!$M$32="Yes",30&gt;=Projects!$C$32,30&lt;Projects!$C$32+Projects!$D$32),Projects!$B$32*INDEX(Curves!$B$4:$AR$4,1,30-Projects!$C$32+1),0)+IF(AND(Projects!$G$33="Yes",Projects!$M$33="Yes",30&gt;=Projects!$C$33,30&lt;Projects!$C$33+Projects!$D$33),Projects!$B$33*INDEX(Curves!$B$4:$AR$4,1,30-Projects!$C$33+1),0)+IF(AND(Projects!$G$34="Yes",Projects!$M$34="Yes",30&gt;=Projects!$C$34,30&lt;Projects!$C$34+Projects!$D$34),Projects!$B$34*INDEX(Curves!$B$4:$AR$4,1,30-Projects!$C$34+1),0)+IF(AND(Projects!$G$35="Yes",Projects!$M$35="Yes",30&gt;=Projects!$C$35,30&lt;Projects!$C$35+Projects!$D$35),Projects!$B$35*INDEX(Curves!$B$4:$AR$4,1,30-Projects!$C$35+1),0)+IF(AND(Projects!$G$36="Yes",Projects!$M$36="Yes",30&gt;=Projects!$C$36,30&lt;Projects!$C$36+Projects!$D$36),Projects!$B$36*INDEX(Curves!$B$4:$AR$4,1,30-Projects!$C$36+1),0)+IF(AND(Projects!$G$37="Yes",Projects!$M$37="Yes",30&gt;=Projects!$C$37,30&lt;Projects!$C$37+Projects!$D$37),Projects!$B$37*INDEX(Curves!$B$4:$AR$4,1,30-Projects!$C$37+1),0)+IF(AND(Projects!$G$38="Yes",Projects!$M$38="Yes",30&gt;=Projects!$C$38,30&lt;Projects!$C$38+Projects!$D$38),Projects!$B$38*INDEX(Curves!$B$4:$AR$4,1,30-Projects!$C$38+1),0)+IF(AND(Projects!$G$39="Yes",Projects!$M$39="Yes",30&gt;=Projects!$C$39,30&lt;Projects!$C$39+Projects!$D$39),Projects!$B$39*INDEX(Curves!$B$4:$AR$4,1,30-Projects!$C$39+1),0)+IF(AND(Projects!$G$40="Yes",Projects!$M$40="Yes",30&gt;=Projects!$C$40,30&lt;Projects!$C$40+Projects!$D$40),Projects!$B$40*INDEX(Curves!$B$4:$AR$4,1,30-Projects!$C$40+1),0)+IF(AND(Projects!$G$41="Yes",Projects!$M$41="Yes",30&gt;=Projects!$C$41,30&lt;Projects!$C$41+Projects!$D$41),Projects!$B$41*INDEX(Curves!$B$4:$AR$4,1,30-Projects!$C$41+1),0)+IF(AND(Projects!$G$42="Yes",Projects!$M$42="Yes",30&gt;=Projects!$C$42,30&lt;Projects!$C$42+Projects!$D$42),Projects!$B$42*INDEX(Curves!$B$4:$AR$4,1,30-Projects!$C$42+1),0)+IF(AND(Projects!$G$43="Yes",Projects!$M$43="Yes",30&gt;=Projects!$C$43,30&lt;Projects!$C$43+Projects!$D$43),Projects!$B$43*INDEX(Curves!$B$4:$AR$4,1,30-Projects!$C$43+1),0)+IF(AND(Projects!$G$44="Yes",Projects!$M$44="Yes",30&gt;=Projects!$C$44,30&lt;Projects!$C$44+Projects!$D$44),Projects!$B$44*INDEX(Curves!$B$4:$AR$4,1,30-Projects!$C$44+1),0)+IF(AND(Projects!$G$45="Yes",Projects!$M$45="Yes",30&gt;=Projects!$C$45,30&lt;Projects!$C$45+Projects!$D$45),Projects!$B$45*INDEX(Curves!$B$4:$AR$4,1,30-Projects!$C$45+1),0)+IF(AND(Projects!$G$46="Yes",Projects!$M$46="Yes",30&gt;=Projects!$C$46,30&lt;Projects!$C$46+Projects!$D$46),Projects!$B$46*INDEX(Curves!$B$4:$AR$4,1,30-Projects!$C$46+1),0)</f>
        <v>2111456.657492</v>
      </c>
      <c r="AJ101" s="315" t="n">
        <f aca="false">IF(AND(Projects!$G$17="Yes",Projects!$M$17="Yes",31&gt;=Projects!$C$17,31&lt;Projects!$C$17+Projects!$D$17),Projects!$B$17*INDEX(Curves!$B$4:$AR$4,1,31-Projects!$C$17+1),0)+IF(AND(Projects!$G$18="Yes",Projects!$M$18="Yes",31&gt;=Projects!$C$18,31&lt;Projects!$C$18+Projects!$D$18),Projects!$B$18*INDEX(Curves!$B$4:$AR$4,1,31-Projects!$C$18+1),0)+IF(AND(Projects!$G$19="Yes",Projects!$M$19="Yes",31&gt;=Projects!$C$19,31&lt;Projects!$C$19+Projects!$D$19),Projects!$B$19*INDEX(Curves!$B$4:$AR$4,1,31-Projects!$C$19+1),0)+IF(AND(Projects!$G$20="Yes",Projects!$M$20="Yes",31&gt;=Projects!$C$20,31&lt;Projects!$C$20+Projects!$D$20),Projects!$B$20*INDEX(Curves!$B$4:$AR$4,1,31-Projects!$C$20+1),0)+IF(AND(Projects!$G$21="Yes",Projects!$M$21="Yes",31&gt;=Projects!$C$21,31&lt;Projects!$C$21+Projects!$D$21),Projects!$B$21*INDEX(Curves!$B$4:$AR$4,1,31-Projects!$C$21+1),0)+IF(AND(Projects!$G$22="Yes",Projects!$M$22="Yes",31&gt;=Projects!$C$22,31&lt;Projects!$C$22+Projects!$D$22),Projects!$B$22*INDEX(Curves!$B$4:$AR$4,1,31-Projects!$C$22+1),0)+IF(AND(Projects!$G$23="Yes",Projects!$M$23="Yes",31&gt;=Projects!$C$23,31&lt;Projects!$C$23+Projects!$D$23),Projects!$B$23*INDEX(Curves!$B$4:$AR$4,1,31-Projects!$C$23+1),0)+IF(AND(Projects!$G$24="Yes",Projects!$M$24="Yes",31&gt;=Projects!$C$24,31&lt;Projects!$C$24+Projects!$D$24),Projects!$B$24*INDEX(Curves!$B$4:$AR$4,1,31-Projects!$C$24+1),0)+IF(AND(Projects!$G$25="Yes",Projects!$M$25="Yes",31&gt;=Projects!$C$25,31&lt;Projects!$C$25+Projects!$D$25),Projects!$B$25*INDEX(Curves!$B$4:$AR$4,1,31-Projects!$C$25+1),0)+IF(AND(Projects!$G$26="Yes",Projects!$M$26="Yes",31&gt;=Projects!$C$26,31&lt;Projects!$C$26+Projects!$D$26),Projects!$B$26*INDEX(Curves!$B$4:$AR$4,1,31-Projects!$C$26+1),0)+IF(AND(Projects!$G$27="Yes",Projects!$M$27="Yes",31&gt;=Projects!$C$27,31&lt;Projects!$C$27+Projects!$D$27),Projects!$B$27*INDEX(Curves!$B$4:$AR$4,1,31-Projects!$C$27+1),0)+IF(AND(Projects!$G$28="Yes",Projects!$M$28="Yes",31&gt;=Projects!$C$28,31&lt;Projects!$C$28+Projects!$D$28),Projects!$B$28*INDEX(Curves!$B$4:$AR$4,1,31-Projects!$C$28+1),0)+IF(AND(Projects!$G$29="Yes",Projects!$M$29="Yes",31&gt;=Projects!$C$29,31&lt;Projects!$C$29+Projects!$D$29),Projects!$B$29*INDEX(Curves!$B$4:$AR$4,1,31-Projects!$C$29+1),0)+IF(AND(Projects!$G$30="Yes",Projects!$M$30="Yes",31&gt;=Projects!$C$30,31&lt;Projects!$C$30+Projects!$D$30),Projects!$B$30*INDEX(Curves!$B$4:$AR$4,1,31-Projects!$C$30+1),0)+IF(AND(Projects!$G$31="Yes",Projects!$M$31="Yes",31&gt;=Projects!$C$31,31&lt;Projects!$C$31+Projects!$D$31),Projects!$B$31*INDEX(Curves!$B$4:$AR$4,1,31-Projects!$C$31+1),0)+IF(AND(Projects!$G$32="Yes",Projects!$M$32="Yes",31&gt;=Projects!$C$32,31&lt;Projects!$C$32+Projects!$D$32),Projects!$B$32*INDEX(Curves!$B$4:$AR$4,1,31-Projects!$C$32+1),0)+IF(AND(Projects!$G$33="Yes",Projects!$M$33="Yes",31&gt;=Projects!$C$33,31&lt;Projects!$C$33+Projects!$D$33),Projects!$B$33*INDEX(Curves!$B$4:$AR$4,1,31-Projects!$C$33+1),0)+IF(AND(Projects!$G$34="Yes",Projects!$M$34="Yes",31&gt;=Projects!$C$34,31&lt;Projects!$C$34+Projects!$D$34),Projects!$B$34*INDEX(Curves!$B$4:$AR$4,1,31-Projects!$C$34+1),0)+IF(AND(Projects!$G$35="Yes",Projects!$M$35="Yes",31&gt;=Projects!$C$35,31&lt;Projects!$C$35+Projects!$D$35),Projects!$B$35*INDEX(Curves!$B$4:$AR$4,1,31-Projects!$C$35+1),0)+IF(AND(Projects!$G$36="Yes",Projects!$M$36="Yes",31&gt;=Projects!$C$36,31&lt;Projects!$C$36+Projects!$D$36),Projects!$B$36*INDEX(Curves!$B$4:$AR$4,1,31-Projects!$C$36+1),0)+IF(AND(Projects!$G$37="Yes",Projects!$M$37="Yes",31&gt;=Projects!$C$37,31&lt;Projects!$C$37+Projects!$D$37),Projects!$B$37*INDEX(Curves!$B$4:$AR$4,1,31-Projects!$C$37+1),0)+IF(AND(Projects!$G$38="Yes",Projects!$M$38="Yes",31&gt;=Projects!$C$38,31&lt;Projects!$C$38+Projects!$D$38),Projects!$B$38*INDEX(Curves!$B$4:$AR$4,1,31-Projects!$C$38+1),0)+IF(AND(Projects!$G$39="Yes",Projects!$M$39="Yes",31&gt;=Projects!$C$39,31&lt;Projects!$C$39+Projects!$D$39),Projects!$B$39*INDEX(Curves!$B$4:$AR$4,1,31-Projects!$C$39+1),0)+IF(AND(Projects!$G$40="Yes",Projects!$M$40="Yes",31&gt;=Projects!$C$40,31&lt;Projects!$C$40+Projects!$D$40),Projects!$B$40*INDEX(Curves!$B$4:$AR$4,1,31-Projects!$C$40+1),0)+IF(AND(Projects!$G$41="Yes",Projects!$M$41="Yes",31&gt;=Projects!$C$41,31&lt;Projects!$C$41+Projects!$D$41),Projects!$B$41*INDEX(Curves!$B$4:$AR$4,1,31-Projects!$C$41+1),0)+IF(AND(Projects!$G$42="Yes",Projects!$M$42="Yes",31&gt;=Projects!$C$42,31&lt;Projects!$C$42+Projects!$D$42),Projects!$B$42*INDEX(Curves!$B$4:$AR$4,1,31-Projects!$C$42+1),0)+IF(AND(Projects!$G$43="Yes",Projects!$M$43="Yes",31&gt;=Projects!$C$43,31&lt;Projects!$C$43+Projects!$D$43),Projects!$B$43*INDEX(Curves!$B$4:$AR$4,1,31-Projects!$C$43+1),0)+IF(AND(Projects!$G$44="Yes",Projects!$M$44="Yes",31&gt;=Projects!$C$44,31&lt;Projects!$C$44+Projects!$D$44),Projects!$B$44*INDEX(Curves!$B$4:$AR$4,1,31-Projects!$C$44+1),0)+IF(AND(Projects!$G$45="Yes",Projects!$M$45="Yes",31&gt;=Projects!$C$45,31&lt;Projects!$C$45+Projects!$D$45),Projects!$B$45*INDEX(Curves!$B$4:$AR$4,1,31-Projects!$C$45+1),0)+IF(AND(Projects!$G$46="Yes",Projects!$M$46="Yes",31&gt;=Projects!$C$46,31&lt;Projects!$C$46+Projects!$D$46),Projects!$B$46*INDEX(Curves!$B$4:$AR$4,1,31-Projects!$C$46+1),0)</f>
        <v>1804566.756813</v>
      </c>
      <c r="AK101" s="315" t="n">
        <f aca="false">IF(AND(Projects!$G$17="Yes",Projects!$M$17="Yes",32&gt;=Projects!$C$17,32&lt;Projects!$C$17+Projects!$D$17),Projects!$B$17*INDEX(Curves!$B$4:$AR$4,1,32-Projects!$C$17+1),0)+IF(AND(Projects!$G$18="Yes",Projects!$M$18="Yes",32&gt;=Projects!$C$18,32&lt;Projects!$C$18+Projects!$D$18),Projects!$B$18*INDEX(Curves!$B$4:$AR$4,1,32-Projects!$C$18+1),0)+IF(AND(Projects!$G$19="Yes",Projects!$M$19="Yes",32&gt;=Projects!$C$19,32&lt;Projects!$C$19+Projects!$D$19),Projects!$B$19*INDEX(Curves!$B$4:$AR$4,1,32-Projects!$C$19+1),0)+IF(AND(Projects!$G$20="Yes",Projects!$M$20="Yes",32&gt;=Projects!$C$20,32&lt;Projects!$C$20+Projects!$D$20),Projects!$B$20*INDEX(Curves!$B$4:$AR$4,1,32-Projects!$C$20+1),0)+IF(AND(Projects!$G$21="Yes",Projects!$M$21="Yes",32&gt;=Projects!$C$21,32&lt;Projects!$C$21+Projects!$D$21),Projects!$B$21*INDEX(Curves!$B$4:$AR$4,1,32-Projects!$C$21+1),0)+IF(AND(Projects!$G$22="Yes",Projects!$M$22="Yes",32&gt;=Projects!$C$22,32&lt;Projects!$C$22+Projects!$D$22),Projects!$B$22*INDEX(Curves!$B$4:$AR$4,1,32-Projects!$C$22+1),0)+IF(AND(Projects!$G$23="Yes",Projects!$M$23="Yes",32&gt;=Projects!$C$23,32&lt;Projects!$C$23+Projects!$D$23),Projects!$B$23*INDEX(Curves!$B$4:$AR$4,1,32-Projects!$C$23+1),0)+IF(AND(Projects!$G$24="Yes",Projects!$M$24="Yes",32&gt;=Projects!$C$24,32&lt;Projects!$C$24+Projects!$D$24),Projects!$B$24*INDEX(Curves!$B$4:$AR$4,1,32-Projects!$C$24+1),0)+IF(AND(Projects!$G$25="Yes",Projects!$M$25="Yes",32&gt;=Projects!$C$25,32&lt;Projects!$C$25+Projects!$D$25),Projects!$B$25*INDEX(Curves!$B$4:$AR$4,1,32-Projects!$C$25+1),0)+IF(AND(Projects!$G$26="Yes",Projects!$M$26="Yes",32&gt;=Projects!$C$26,32&lt;Projects!$C$26+Projects!$D$26),Projects!$B$26*INDEX(Curves!$B$4:$AR$4,1,32-Projects!$C$26+1),0)+IF(AND(Projects!$G$27="Yes",Projects!$M$27="Yes",32&gt;=Projects!$C$27,32&lt;Projects!$C$27+Projects!$D$27),Projects!$B$27*INDEX(Curves!$B$4:$AR$4,1,32-Projects!$C$27+1),0)+IF(AND(Projects!$G$28="Yes",Projects!$M$28="Yes",32&gt;=Projects!$C$28,32&lt;Projects!$C$28+Projects!$D$28),Projects!$B$28*INDEX(Curves!$B$4:$AR$4,1,32-Projects!$C$28+1),0)+IF(AND(Projects!$G$29="Yes",Projects!$M$29="Yes",32&gt;=Projects!$C$29,32&lt;Projects!$C$29+Projects!$D$29),Projects!$B$29*INDEX(Curves!$B$4:$AR$4,1,32-Projects!$C$29+1),0)+IF(AND(Projects!$G$30="Yes",Projects!$M$30="Yes",32&gt;=Projects!$C$30,32&lt;Projects!$C$30+Projects!$D$30),Projects!$B$30*INDEX(Curves!$B$4:$AR$4,1,32-Projects!$C$30+1),0)+IF(AND(Projects!$G$31="Yes",Projects!$M$31="Yes",32&gt;=Projects!$C$31,32&lt;Projects!$C$31+Projects!$D$31),Projects!$B$31*INDEX(Curves!$B$4:$AR$4,1,32-Projects!$C$31+1),0)+IF(AND(Projects!$G$32="Yes",Projects!$M$32="Yes",32&gt;=Projects!$C$32,32&lt;Projects!$C$32+Projects!$D$32),Projects!$B$32*INDEX(Curves!$B$4:$AR$4,1,32-Projects!$C$32+1),0)+IF(AND(Projects!$G$33="Yes",Projects!$M$33="Yes",32&gt;=Projects!$C$33,32&lt;Projects!$C$33+Projects!$D$33),Projects!$B$33*INDEX(Curves!$B$4:$AR$4,1,32-Projects!$C$33+1),0)+IF(AND(Projects!$G$34="Yes",Projects!$M$34="Yes",32&gt;=Projects!$C$34,32&lt;Projects!$C$34+Projects!$D$34),Projects!$B$34*INDEX(Curves!$B$4:$AR$4,1,32-Projects!$C$34+1),0)+IF(AND(Projects!$G$35="Yes",Projects!$M$35="Yes",32&gt;=Projects!$C$35,32&lt;Projects!$C$35+Projects!$D$35),Projects!$B$35*INDEX(Curves!$B$4:$AR$4,1,32-Projects!$C$35+1),0)+IF(AND(Projects!$G$36="Yes",Projects!$M$36="Yes",32&gt;=Projects!$C$36,32&lt;Projects!$C$36+Projects!$D$36),Projects!$B$36*INDEX(Curves!$B$4:$AR$4,1,32-Projects!$C$36+1),0)+IF(AND(Projects!$G$37="Yes",Projects!$M$37="Yes",32&gt;=Projects!$C$37,32&lt;Projects!$C$37+Projects!$D$37),Projects!$B$37*INDEX(Curves!$B$4:$AR$4,1,32-Projects!$C$37+1),0)+IF(AND(Projects!$G$38="Yes",Projects!$M$38="Yes",32&gt;=Projects!$C$38,32&lt;Projects!$C$38+Projects!$D$38),Projects!$B$38*INDEX(Curves!$B$4:$AR$4,1,32-Projects!$C$38+1),0)+IF(AND(Projects!$G$39="Yes",Projects!$M$39="Yes",32&gt;=Projects!$C$39,32&lt;Projects!$C$39+Projects!$D$39),Projects!$B$39*INDEX(Curves!$B$4:$AR$4,1,32-Projects!$C$39+1),0)+IF(AND(Projects!$G$40="Yes",Projects!$M$40="Yes",32&gt;=Projects!$C$40,32&lt;Projects!$C$40+Projects!$D$40),Projects!$B$40*INDEX(Curves!$B$4:$AR$4,1,32-Projects!$C$40+1),0)+IF(AND(Projects!$G$41="Yes",Projects!$M$41="Yes",32&gt;=Projects!$C$41,32&lt;Projects!$C$41+Projects!$D$41),Projects!$B$41*INDEX(Curves!$B$4:$AR$4,1,32-Projects!$C$41+1),0)+IF(AND(Projects!$G$42="Yes",Projects!$M$42="Yes",32&gt;=Projects!$C$42,32&lt;Projects!$C$42+Projects!$D$42),Projects!$B$42*INDEX(Curves!$B$4:$AR$4,1,32-Projects!$C$42+1),0)+IF(AND(Projects!$G$43="Yes",Projects!$M$43="Yes",32&gt;=Projects!$C$43,32&lt;Projects!$C$43+Projects!$D$43),Projects!$B$43*INDEX(Curves!$B$4:$AR$4,1,32-Projects!$C$43+1),0)+IF(AND(Projects!$G$44="Yes",Projects!$M$44="Yes",32&gt;=Projects!$C$44,32&lt;Projects!$C$44+Projects!$D$44),Projects!$B$44*INDEX(Curves!$B$4:$AR$4,1,32-Projects!$C$44+1),0)+IF(AND(Projects!$G$45="Yes",Projects!$M$45="Yes",32&gt;=Projects!$C$45,32&lt;Projects!$C$45+Projects!$D$45),Projects!$B$45*INDEX(Curves!$B$4:$AR$4,1,32-Projects!$C$45+1),0)+IF(AND(Projects!$G$46="Yes",Projects!$M$46="Yes",32&gt;=Projects!$C$46,32&lt;Projects!$C$46+Projects!$D$46),Projects!$B$46*INDEX(Curves!$B$4:$AR$4,1,32-Projects!$C$46+1),0)</f>
        <v>1902816.025398</v>
      </c>
      <c r="AL101" s="315" t="n">
        <f aca="false">IF(AND(Projects!$G$17="Yes",Projects!$M$17="Yes",33&gt;=Projects!$C$17,33&lt;Projects!$C$17+Projects!$D$17),Projects!$B$17*INDEX(Curves!$B$4:$AR$4,1,33-Projects!$C$17+1),0)+IF(AND(Projects!$G$18="Yes",Projects!$M$18="Yes",33&gt;=Projects!$C$18,33&lt;Projects!$C$18+Projects!$D$18),Projects!$B$18*INDEX(Curves!$B$4:$AR$4,1,33-Projects!$C$18+1),0)+IF(AND(Projects!$G$19="Yes",Projects!$M$19="Yes",33&gt;=Projects!$C$19,33&lt;Projects!$C$19+Projects!$D$19),Projects!$B$19*INDEX(Curves!$B$4:$AR$4,1,33-Projects!$C$19+1),0)+IF(AND(Projects!$G$20="Yes",Projects!$M$20="Yes",33&gt;=Projects!$C$20,33&lt;Projects!$C$20+Projects!$D$20),Projects!$B$20*INDEX(Curves!$B$4:$AR$4,1,33-Projects!$C$20+1),0)+IF(AND(Projects!$G$21="Yes",Projects!$M$21="Yes",33&gt;=Projects!$C$21,33&lt;Projects!$C$21+Projects!$D$21),Projects!$B$21*INDEX(Curves!$B$4:$AR$4,1,33-Projects!$C$21+1),0)+IF(AND(Projects!$G$22="Yes",Projects!$M$22="Yes",33&gt;=Projects!$C$22,33&lt;Projects!$C$22+Projects!$D$22),Projects!$B$22*INDEX(Curves!$B$4:$AR$4,1,33-Projects!$C$22+1),0)+IF(AND(Projects!$G$23="Yes",Projects!$M$23="Yes",33&gt;=Projects!$C$23,33&lt;Projects!$C$23+Projects!$D$23),Projects!$B$23*INDEX(Curves!$B$4:$AR$4,1,33-Projects!$C$23+1),0)+IF(AND(Projects!$G$24="Yes",Projects!$M$24="Yes",33&gt;=Projects!$C$24,33&lt;Projects!$C$24+Projects!$D$24),Projects!$B$24*INDEX(Curves!$B$4:$AR$4,1,33-Projects!$C$24+1),0)+IF(AND(Projects!$G$25="Yes",Projects!$M$25="Yes",33&gt;=Projects!$C$25,33&lt;Projects!$C$25+Projects!$D$25),Projects!$B$25*INDEX(Curves!$B$4:$AR$4,1,33-Projects!$C$25+1),0)+IF(AND(Projects!$G$26="Yes",Projects!$M$26="Yes",33&gt;=Projects!$C$26,33&lt;Projects!$C$26+Projects!$D$26),Projects!$B$26*INDEX(Curves!$B$4:$AR$4,1,33-Projects!$C$26+1),0)+IF(AND(Projects!$G$27="Yes",Projects!$M$27="Yes",33&gt;=Projects!$C$27,33&lt;Projects!$C$27+Projects!$D$27),Projects!$B$27*INDEX(Curves!$B$4:$AR$4,1,33-Projects!$C$27+1),0)+IF(AND(Projects!$G$28="Yes",Projects!$M$28="Yes",33&gt;=Projects!$C$28,33&lt;Projects!$C$28+Projects!$D$28),Projects!$B$28*INDEX(Curves!$B$4:$AR$4,1,33-Projects!$C$28+1),0)+IF(AND(Projects!$G$29="Yes",Projects!$M$29="Yes",33&gt;=Projects!$C$29,33&lt;Projects!$C$29+Projects!$D$29),Projects!$B$29*INDEX(Curves!$B$4:$AR$4,1,33-Projects!$C$29+1),0)+IF(AND(Projects!$G$30="Yes",Projects!$M$30="Yes",33&gt;=Projects!$C$30,33&lt;Projects!$C$30+Projects!$D$30),Projects!$B$30*INDEX(Curves!$B$4:$AR$4,1,33-Projects!$C$30+1),0)+IF(AND(Projects!$G$31="Yes",Projects!$M$31="Yes",33&gt;=Projects!$C$31,33&lt;Projects!$C$31+Projects!$D$31),Projects!$B$31*INDEX(Curves!$B$4:$AR$4,1,33-Projects!$C$31+1),0)+IF(AND(Projects!$G$32="Yes",Projects!$M$32="Yes",33&gt;=Projects!$C$32,33&lt;Projects!$C$32+Projects!$D$32),Projects!$B$32*INDEX(Curves!$B$4:$AR$4,1,33-Projects!$C$32+1),0)+IF(AND(Projects!$G$33="Yes",Projects!$M$33="Yes",33&gt;=Projects!$C$33,33&lt;Projects!$C$33+Projects!$D$33),Projects!$B$33*INDEX(Curves!$B$4:$AR$4,1,33-Projects!$C$33+1),0)+IF(AND(Projects!$G$34="Yes",Projects!$M$34="Yes",33&gt;=Projects!$C$34,33&lt;Projects!$C$34+Projects!$D$34),Projects!$B$34*INDEX(Curves!$B$4:$AR$4,1,33-Projects!$C$34+1),0)+IF(AND(Projects!$G$35="Yes",Projects!$M$35="Yes",33&gt;=Projects!$C$35,33&lt;Projects!$C$35+Projects!$D$35),Projects!$B$35*INDEX(Curves!$B$4:$AR$4,1,33-Projects!$C$35+1),0)+IF(AND(Projects!$G$36="Yes",Projects!$M$36="Yes",33&gt;=Projects!$C$36,33&lt;Projects!$C$36+Projects!$D$36),Projects!$B$36*INDEX(Curves!$B$4:$AR$4,1,33-Projects!$C$36+1),0)+IF(AND(Projects!$G$37="Yes",Projects!$M$37="Yes",33&gt;=Projects!$C$37,33&lt;Projects!$C$37+Projects!$D$37),Projects!$B$37*INDEX(Curves!$B$4:$AR$4,1,33-Projects!$C$37+1),0)+IF(AND(Projects!$G$38="Yes",Projects!$M$38="Yes",33&gt;=Projects!$C$38,33&lt;Projects!$C$38+Projects!$D$38),Projects!$B$38*INDEX(Curves!$B$4:$AR$4,1,33-Projects!$C$38+1),0)+IF(AND(Projects!$G$39="Yes",Projects!$M$39="Yes",33&gt;=Projects!$C$39,33&lt;Projects!$C$39+Projects!$D$39),Projects!$B$39*INDEX(Curves!$B$4:$AR$4,1,33-Projects!$C$39+1),0)+IF(AND(Projects!$G$40="Yes",Projects!$M$40="Yes",33&gt;=Projects!$C$40,33&lt;Projects!$C$40+Projects!$D$40),Projects!$B$40*INDEX(Curves!$B$4:$AR$4,1,33-Projects!$C$40+1),0)+IF(AND(Projects!$G$41="Yes",Projects!$M$41="Yes",33&gt;=Projects!$C$41,33&lt;Projects!$C$41+Projects!$D$41),Projects!$B$41*INDEX(Curves!$B$4:$AR$4,1,33-Projects!$C$41+1),0)+IF(AND(Projects!$G$42="Yes",Projects!$M$42="Yes",33&gt;=Projects!$C$42,33&lt;Projects!$C$42+Projects!$D$42),Projects!$B$42*INDEX(Curves!$B$4:$AR$4,1,33-Projects!$C$42+1),0)+IF(AND(Projects!$G$43="Yes",Projects!$M$43="Yes",33&gt;=Projects!$C$43,33&lt;Projects!$C$43+Projects!$D$43),Projects!$B$43*INDEX(Curves!$B$4:$AR$4,1,33-Projects!$C$43+1),0)+IF(AND(Projects!$G$44="Yes",Projects!$M$44="Yes",33&gt;=Projects!$C$44,33&lt;Projects!$C$44+Projects!$D$44),Projects!$B$44*INDEX(Curves!$B$4:$AR$4,1,33-Projects!$C$44+1),0)+IF(AND(Projects!$G$45="Yes",Projects!$M$45="Yes",33&gt;=Projects!$C$45,33&lt;Projects!$C$45+Projects!$D$45),Projects!$B$45*INDEX(Curves!$B$4:$AR$4,1,33-Projects!$C$45+1),0)+IF(AND(Projects!$G$46="Yes",Projects!$M$46="Yes",33&gt;=Projects!$C$46,33&lt;Projects!$C$46+Projects!$D$46),Projects!$B$46*INDEX(Curves!$B$4:$AR$4,1,33-Projects!$C$46+1),0)</f>
        <v>1395721.653254</v>
      </c>
      <c r="AM101" s="315" t="n">
        <f aca="false">IF(AND(Projects!$G$17="Yes",Projects!$M$17="Yes",34&gt;=Projects!$C$17,34&lt;Projects!$C$17+Projects!$D$17),Projects!$B$17*INDEX(Curves!$B$4:$AR$4,1,34-Projects!$C$17+1),0)+IF(AND(Projects!$G$18="Yes",Projects!$M$18="Yes",34&gt;=Projects!$C$18,34&lt;Projects!$C$18+Projects!$D$18),Projects!$B$18*INDEX(Curves!$B$4:$AR$4,1,34-Projects!$C$18+1),0)+IF(AND(Projects!$G$19="Yes",Projects!$M$19="Yes",34&gt;=Projects!$C$19,34&lt;Projects!$C$19+Projects!$D$19),Projects!$B$19*INDEX(Curves!$B$4:$AR$4,1,34-Projects!$C$19+1),0)+IF(AND(Projects!$G$20="Yes",Projects!$M$20="Yes",34&gt;=Projects!$C$20,34&lt;Projects!$C$20+Projects!$D$20),Projects!$B$20*INDEX(Curves!$B$4:$AR$4,1,34-Projects!$C$20+1),0)+IF(AND(Projects!$G$21="Yes",Projects!$M$21="Yes",34&gt;=Projects!$C$21,34&lt;Projects!$C$21+Projects!$D$21),Projects!$B$21*INDEX(Curves!$B$4:$AR$4,1,34-Projects!$C$21+1),0)+IF(AND(Projects!$G$22="Yes",Projects!$M$22="Yes",34&gt;=Projects!$C$22,34&lt;Projects!$C$22+Projects!$D$22),Projects!$B$22*INDEX(Curves!$B$4:$AR$4,1,34-Projects!$C$22+1),0)+IF(AND(Projects!$G$23="Yes",Projects!$M$23="Yes",34&gt;=Projects!$C$23,34&lt;Projects!$C$23+Projects!$D$23),Projects!$B$23*INDEX(Curves!$B$4:$AR$4,1,34-Projects!$C$23+1),0)+IF(AND(Projects!$G$24="Yes",Projects!$M$24="Yes",34&gt;=Projects!$C$24,34&lt;Projects!$C$24+Projects!$D$24),Projects!$B$24*INDEX(Curves!$B$4:$AR$4,1,34-Projects!$C$24+1),0)+IF(AND(Projects!$G$25="Yes",Projects!$M$25="Yes",34&gt;=Projects!$C$25,34&lt;Projects!$C$25+Projects!$D$25),Projects!$B$25*INDEX(Curves!$B$4:$AR$4,1,34-Projects!$C$25+1),0)+IF(AND(Projects!$G$26="Yes",Projects!$M$26="Yes",34&gt;=Projects!$C$26,34&lt;Projects!$C$26+Projects!$D$26),Projects!$B$26*INDEX(Curves!$B$4:$AR$4,1,34-Projects!$C$26+1),0)+IF(AND(Projects!$G$27="Yes",Projects!$M$27="Yes",34&gt;=Projects!$C$27,34&lt;Projects!$C$27+Projects!$D$27),Projects!$B$27*INDEX(Curves!$B$4:$AR$4,1,34-Projects!$C$27+1),0)+IF(AND(Projects!$G$28="Yes",Projects!$M$28="Yes",34&gt;=Projects!$C$28,34&lt;Projects!$C$28+Projects!$D$28),Projects!$B$28*INDEX(Curves!$B$4:$AR$4,1,34-Projects!$C$28+1),0)+IF(AND(Projects!$G$29="Yes",Projects!$M$29="Yes",34&gt;=Projects!$C$29,34&lt;Projects!$C$29+Projects!$D$29),Projects!$B$29*INDEX(Curves!$B$4:$AR$4,1,34-Projects!$C$29+1),0)+IF(AND(Projects!$G$30="Yes",Projects!$M$30="Yes",34&gt;=Projects!$C$30,34&lt;Projects!$C$30+Projects!$D$30),Projects!$B$30*INDEX(Curves!$B$4:$AR$4,1,34-Projects!$C$30+1),0)+IF(AND(Projects!$G$31="Yes",Projects!$M$31="Yes",34&gt;=Projects!$C$31,34&lt;Projects!$C$31+Projects!$D$31),Projects!$B$31*INDEX(Curves!$B$4:$AR$4,1,34-Projects!$C$31+1),0)+IF(AND(Projects!$G$32="Yes",Projects!$M$32="Yes",34&gt;=Projects!$C$32,34&lt;Projects!$C$32+Projects!$D$32),Projects!$B$32*INDEX(Curves!$B$4:$AR$4,1,34-Projects!$C$32+1),0)+IF(AND(Projects!$G$33="Yes",Projects!$M$33="Yes",34&gt;=Projects!$C$33,34&lt;Projects!$C$33+Projects!$D$33),Projects!$B$33*INDEX(Curves!$B$4:$AR$4,1,34-Projects!$C$33+1),0)+IF(AND(Projects!$G$34="Yes",Projects!$M$34="Yes",34&gt;=Projects!$C$34,34&lt;Projects!$C$34+Projects!$D$34),Projects!$B$34*INDEX(Curves!$B$4:$AR$4,1,34-Projects!$C$34+1),0)+IF(AND(Projects!$G$35="Yes",Projects!$M$35="Yes",34&gt;=Projects!$C$35,34&lt;Projects!$C$35+Projects!$D$35),Projects!$B$35*INDEX(Curves!$B$4:$AR$4,1,34-Projects!$C$35+1),0)+IF(AND(Projects!$G$36="Yes",Projects!$M$36="Yes",34&gt;=Projects!$C$36,34&lt;Projects!$C$36+Projects!$D$36),Projects!$B$36*INDEX(Curves!$B$4:$AR$4,1,34-Projects!$C$36+1),0)+IF(AND(Projects!$G$37="Yes",Projects!$M$37="Yes",34&gt;=Projects!$C$37,34&lt;Projects!$C$37+Projects!$D$37),Projects!$B$37*INDEX(Curves!$B$4:$AR$4,1,34-Projects!$C$37+1),0)+IF(AND(Projects!$G$38="Yes",Projects!$M$38="Yes",34&gt;=Projects!$C$38,34&lt;Projects!$C$38+Projects!$D$38),Projects!$B$38*INDEX(Curves!$B$4:$AR$4,1,34-Projects!$C$38+1),0)+IF(AND(Projects!$G$39="Yes",Projects!$M$39="Yes",34&gt;=Projects!$C$39,34&lt;Projects!$C$39+Projects!$D$39),Projects!$B$39*INDEX(Curves!$B$4:$AR$4,1,34-Projects!$C$39+1),0)+IF(AND(Projects!$G$40="Yes",Projects!$M$40="Yes",34&gt;=Projects!$C$40,34&lt;Projects!$C$40+Projects!$D$40),Projects!$B$40*INDEX(Curves!$B$4:$AR$4,1,34-Projects!$C$40+1),0)+IF(AND(Projects!$G$41="Yes",Projects!$M$41="Yes",34&gt;=Projects!$C$41,34&lt;Projects!$C$41+Projects!$D$41),Projects!$B$41*INDEX(Curves!$B$4:$AR$4,1,34-Projects!$C$41+1),0)+IF(AND(Projects!$G$42="Yes",Projects!$M$42="Yes",34&gt;=Projects!$C$42,34&lt;Projects!$C$42+Projects!$D$42),Projects!$B$42*INDEX(Curves!$B$4:$AR$4,1,34-Projects!$C$42+1),0)+IF(AND(Projects!$G$43="Yes",Projects!$M$43="Yes",34&gt;=Projects!$C$43,34&lt;Projects!$C$43+Projects!$D$43),Projects!$B$43*INDEX(Curves!$B$4:$AR$4,1,34-Projects!$C$43+1),0)+IF(AND(Projects!$G$44="Yes",Projects!$M$44="Yes",34&gt;=Projects!$C$44,34&lt;Projects!$C$44+Projects!$D$44),Projects!$B$44*INDEX(Curves!$B$4:$AR$4,1,34-Projects!$C$44+1),0)+IF(AND(Projects!$G$45="Yes",Projects!$M$45="Yes",34&gt;=Projects!$C$45,34&lt;Projects!$C$45+Projects!$D$45),Projects!$B$45*INDEX(Curves!$B$4:$AR$4,1,34-Projects!$C$45+1),0)+IF(AND(Projects!$G$46="Yes",Projects!$M$46="Yes",34&gt;=Projects!$C$46,34&lt;Projects!$C$46+Projects!$D$46),Projects!$B$46*INDEX(Curves!$B$4:$AR$4,1,34-Projects!$C$46+1),0)</f>
        <v>1081276.905573</v>
      </c>
      <c r="AN101" s="315" t="n">
        <f aca="false">IF(AND(Projects!$G$17="Yes",Projects!$M$17="Yes",35&gt;=Projects!$C$17,35&lt;Projects!$C$17+Projects!$D$17),Projects!$B$17*INDEX(Curves!$B$4:$AR$4,1,35-Projects!$C$17+1),0)+IF(AND(Projects!$G$18="Yes",Projects!$M$18="Yes",35&gt;=Projects!$C$18,35&lt;Projects!$C$18+Projects!$D$18),Projects!$B$18*INDEX(Curves!$B$4:$AR$4,1,35-Projects!$C$18+1),0)+IF(AND(Projects!$G$19="Yes",Projects!$M$19="Yes",35&gt;=Projects!$C$19,35&lt;Projects!$C$19+Projects!$D$19),Projects!$B$19*INDEX(Curves!$B$4:$AR$4,1,35-Projects!$C$19+1),0)+IF(AND(Projects!$G$20="Yes",Projects!$M$20="Yes",35&gt;=Projects!$C$20,35&lt;Projects!$C$20+Projects!$D$20),Projects!$B$20*INDEX(Curves!$B$4:$AR$4,1,35-Projects!$C$20+1),0)+IF(AND(Projects!$G$21="Yes",Projects!$M$21="Yes",35&gt;=Projects!$C$21,35&lt;Projects!$C$21+Projects!$D$21),Projects!$B$21*INDEX(Curves!$B$4:$AR$4,1,35-Projects!$C$21+1),0)+IF(AND(Projects!$G$22="Yes",Projects!$M$22="Yes",35&gt;=Projects!$C$22,35&lt;Projects!$C$22+Projects!$D$22),Projects!$B$22*INDEX(Curves!$B$4:$AR$4,1,35-Projects!$C$22+1),0)+IF(AND(Projects!$G$23="Yes",Projects!$M$23="Yes",35&gt;=Projects!$C$23,35&lt;Projects!$C$23+Projects!$D$23),Projects!$B$23*INDEX(Curves!$B$4:$AR$4,1,35-Projects!$C$23+1),0)+IF(AND(Projects!$G$24="Yes",Projects!$M$24="Yes",35&gt;=Projects!$C$24,35&lt;Projects!$C$24+Projects!$D$24),Projects!$B$24*INDEX(Curves!$B$4:$AR$4,1,35-Projects!$C$24+1),0)+IF(AND(Projects!$G$25="Yes",Projects!$M$25="Yes",35&gt;=Projects!$C$25,35&lt;Projects!$C$25+Projects!$D$25),Projects!$B$25*INDEX(Curves!$B$4:$AR$4,1,35-Projects!$C$25+1),0)+IF(AND(Projects!$G$26="Yes",Projects!$M$26="Yes",35&gt;=Projects!$C$26,35&lt;Projects!$C$26+Projects!$D$26),Projects!$B$26*INDEX(Curves!$B$4:$AR$4,1,35-Projects!$C$26+1),0)+IF(AND(Projects!$G$27="Yes",Projects!$M$27="Yes",35&gt;=Projects!$C$27,35&lt;Projects!$C$27+Projects!$D$27),Projects!$B$27*INDEX(Curves!$B$4:$AR$4,1,35-Projects!$C$27+1),0)+IF(AND(Projects!$G$28="Yes",Projects!$M$28="Yes",35&gt;=Projects!$C$28,35&lt;Projects!$C$28+Projects!$D$28),Projects!$B$28*INDEX(Curves!$B$4:$AR$4,1,35-Projects!$C$28+1),0)+IF(AND(Projects!$G$29="Yes",Projects!$M$29="Yes",35&gt;=Projects!$C$29,35&lt;Projects!$C$29+Projects!$D$29),Projects!$B$29*INDEX(Curves!$B$4:$AR$4,1,35-Projects!$C$29+1),0)+IF(AND(Projects!$G$30="Yes",Projects!$M$30="Yes",35&gt;=Projects!$C$30,35&lt;Projects!$C$30+Projects!$D$30),Projects!$B$30*INDEX(Curves!$B$4:$AR$4,1,35-Projects!$C$30+1),0)+IF(AND(Projects!$G$31="Yes",Projects!$M$31="Yes",35&gt;=Projects!$C$31,35&lt;Projects!$C$31+Projects!$D$31),Projects!$B$31*INDEX(Curves!$B$4:$AR$4,1,35-Projects!$C$31+1),0)+IF(AND(Projects!$G$32="Yes",Projects!$M$32="Yes",35&gt;=Projects!$C$32,35&lt;Projects!$C$32+Projects!$D$32),Projects!$B$32*INDEX(Curves!$B$4:$AR$4,1,35-Projects!$C$32+1),0)+IF(AND(Projects!$G$33="Yes",Projects!$M$33="Yes",35&gt;=Projects!$C$33,35&lt;Projects!$C$33+Projects!$D$33),Projects!$B$33*INDEX(Curves!$B$4:$AR$4,1,35-Projects!$C$33+1),0)+IF(AND(Projects!$G$34="Yes",Projects!$M$34="Yes",35&gt;=Projects!$C$34,35&lt;Projects!$C$34+Projects!$D$34),Projects!$B$34*INDEX(Curves!$B$4:$AR$4,1,35-Projects!$C$34+1),0)+IF(AND(Projects!$G$35="Yes",Projects!$M$35="Yes",35&gt;=Projects!$C$35,35&lt;Projects!$C$35+Projects!$D$35),Projects!$B$35*INDEX(Curves!$B$4:$AR$4,1,35-Projects!$C$35+1),0)+IF(AND(Projects!$G$36="Yes",Projects!$M$36="Yes",35&gt;=Projects!$C$36,35&lt;Projects!$C$36+Projects!$D$36),Projects!$B$36*INDEX(Curves!$B$4:$AR$4,1,35-Projects!$C$36+1),0)+IF(AND(Projects!$G$37="Yes",Projects!$M$37="Yes",35&gt;=Projects!$C$37,35&lt;Projects!$C$37+Projects!$D$37),Projects!$B$37*INDEX(Curves!$B$4:$AR$4,1,35-Projects!$C$37+1),0)+IF(AND(Projects!$G$38="Yes",Projects!$M$38="Yes",35&gt;=Projects!$C$38,35&lt;Projects!$C$38+Projects!$D$38),Projects!$B$38*INDEX(Curves!$B$4:$AR$4,1,35-Projects!$C$38+1),0)+IF(AND(Projects!$G$39="Yes",Projects!$M$39="Yes",35&gt;=Projects!$C$39,35&lt;Projects!$C$39+Projects!$D$39),Projects!$B$39*INDEX(Curves!$B$4:$AR$4,1,35-Projects!$C$39+1),0)+IF(AND(Projects!$G$40="Yes",Projects!$M$40="Yes",35&gt;=Projects!$C$40,35&lt;Projects!$C$40+Projects!$D$40),Projects!$B$40*INDEX(Curves!$B$4:$AR$4,1,35-Projects!$C$40+1),0)+IF(AND(Projects!$G$41="Yes",Projects!$M$41="Yes",35&gt;=Projects!$C$41,35&lt;Projects!$C$41+Projects!$D$41),Projects!$B$41*INDEX(Curves!$B$4:$AR$4,1,35-Projects!$C$41+1),0)+IF(AND(Projects!$G$42="Yes",Projects!$M$42="Yes",35&gt;=Projects!$C$42,35&lt;Projects!$C$42+Projects!$D$42),Projects!$B$42*INDEX(Curves!$B$4:$AR$4,1,35-Projects!$C$42+1),0)+IF(AND(Projects!$G$43="Yes",Projects!$M$43="Yes",35&gt;=Projects!$C$43,35&lt;Projects!$C$43+Projects!$D$43),Projects!$B$43*INDEX(Curves!$B$4:$AR$4,1,35-Projects!$C$43+1),0)+IF(AND(Projects!$G$44="Yes",Projects!$M$44="Yes",35&gt;=Projects!$C$44,35&lt;Projects!$C$44+Projects!$D$44),Projects!$B$44*INDEX(Curves!$B$4:$AR$4,1,35-Projects!$C$44+1),0)+IF(AND(Projects!$G$45="Yes",Projects!$M$45="Yes",35&gt;=Projects!$C$45,35&lt;Projects!$C$45+Projects!$D$45),Projects!$B$45*INDEX(Curves!$B$4:$AR$4,1,35-Projects!$C$45+1),0)+IF(AND(Projects!$G$46="Yes",Projects!$M$46="Yes",35&gt;=Projects!$C$46,35&lt;Projects!$C$46+Projects!$D$46),Projects!$B$46*INDEX(Curves!$B$4:$AR$4,1,35-Projects!$C$46+1),0)</f>
        <v>696180</v>
      </c>
      <c r="AO101" s="315" t="n">
        <f aca="false">IF(AND(Projects!$G$17="Yes",Projects!$M$17="Yes",36&gt;=Projects!$C$17,36&lt;Projects!$C$17+Projects!$D$17),Projects!$B$17*INDEX(Curves!$B$4:$AR$4,1,36-Projects!$C$17+1),0)+IF(AND(Projects!$G$18="Yes",Projects!$M$18="Yes",36&gt;=Projects!$C$18,36&lt;Projects!$C$18+Projects!$D$18),Projects!$B$18*INDEX(Curves!$B$4:$AR$4,1,36-Projects!$C$18+1),0)+IF(AND(Projects!$G$19="Yes",Projects!$M$19="Yes",36&gt;=Projects!$C$19,36&lt;Projects!$C$19+Projects!$D$19),Projects!$B$19*INDEX(Curves!$B$4:$AR$4,1,36-Projects!$C$19+1),0)+IF(AND(Projects!$G$20="Yes",Projects!$M$20="Yes",36&gt;=Projects!$C$20,36&lt;Projects!$C$20+Projects!$D$20),Projects!$B$20*INDEX(Curves!$B$4:$AR$4,1,36-Projects!$C$20+1),0)+IF(AND(Projects!$G$21="Yes",Projects!$M$21="Yes",36&gt;=Projects!$C$21,36&lt;Projects!$C$21+Projects!$D$21),Projects!$B$21*INDEX(Curves!$B$4:$AR$4,1,36-Projects!$C$21+1),0)+IF(AND(Projects!$G$22="Yes",Projects!$M$22="Yes",36&gt;=Projects!$C$22,36&lt;Projects!$C$22+Projects!$D$22),Projects!$B$22*INDEX(Curves!$B$4:$AR$4,1,36-Projects!$C$22+1),0)+IF(AND(Projects!$G$23="Yes",Projects!$M$23="Yes",36&gt;=Projects!$C$23,36&lt;Projects!$C$23+Projects!$D$23),Projects!$B$23*INDEX(Curves!$B$4:$AR$4,1,36-Projects!$C$23+1),0)+IF(AND(Projects!$G$24="Yes",Projects!$M$24="Yes",36&gt;=Projects!$C$24,36&lt;Projects!$C$24+Projects!$D$24),Projects!$B$24*INDEX(Curves!$B$4:$AR$4,1,36-Projects!$C$24+1),0)+IF(AND(Projects!$G$25="Yes",Projects!$M$25="Yes",36&gt;=Projects!$C$25,36&lt;Projects!$C$25+Projects!$D$25),Projects!$B$25*INDEX(Curves!$B$4:$AR$4,1,36-Projects!$C$25+1),0)+IF(AND(Projects!$G$26="Yes",Projects!$M$26="Yes",36&gt;=Projects!$C$26,36&lt;Projects!$C$26+Projects!$D$26),Projects!$B$26*INDEX(Curves!$B$4:$AR$4,1,36-Projects!$C$26+1),0)+IF(AND(Projects!$G$27="Yes",Projects!$M$27="Yes",36&gt;=Projects!$C$27,36&lt;Projects!$C$27+Projects!$D$27),Projects!$B$27*INDEX(Curves!$B$4:$AR$4,1,36-Projects!$C$27+1),0)+IF(AND(Projects!$G$28="Yes",Projects!$M$28="Yes",36&gt;=Projects!$C$28,36&lt;Projects!$C$28+Projects!$D$28),Projects!$B$28*INDEX(Curves!$B$4:$AR$4,1,36-Projects!$C$28+1),0)+IF(AND(Projects!$G$29="Yes",Projects!$M$29="Yes",36&gt;=Projects!$C$29,36&lt;Projects!$C$29+Projects!$D$29),Projects!$B$29*INDEX(Curves!$B$4:$AR$4,1,36-Projects!$C$29+1),0)+IF(AND(Projects!$G$30="Yes",Projects!$M$30="Yes",36&gt;=Projects!$C$30,36&lt;Projects!$C$30+Projects!$D$30),Projects!$B$30*INDEX(Curves!$B$4:$AR$4,1,36-Projects!$C$30+1),0)+IF(AND(Projects!$G$31="Yes",Projects!$M$31="Yes",36&gt;=Projects!$C$31,36&lt;Projects!$C$31+Projects!$D$31),Projects!$B$31*INDEX(Curves!$B$4:$AR$4,1,36-Projects!$C$31+1),0)+IF(AND(Projects!$G$32="Yes",Projects!$M$32="Yes",36&gt;=Projects!$C$32,36&lt;Projects!$C$32+Projects!$D$32),Projects!$B$32*INDEX(Curves!$B$4:$AR$4,1,36-Projects!$C$32+1),0)+IF(AND(Projects!$G$33="Yes",Projects!$M$33="Yes",36&gt;=Projects!$C$33,36&lt;Projects!$C$33+Projects!$D$33),Projects!$B$33*INDEX(Curves!$B$4:$AR$4,1,36-Projects!$C$33+1),0)+IF(AND(Projects!$G$34="Yes",Projects!$M$34="Yes",36&gt;=Projects!$C$34,36&lt;Projects!$C$34+Projects!$D$34),Projects!$B$34*INDEX(Curves!$B$4:$AR$4,1,36-Projects!$C$34+1),0)+IF(AND(Projects!$G$35="Yes",Projects!$M$35="Yes",36&gt;=Projects!$C$35,36&lt;Projects!$C$35+Projects!$D$35),Projects!$B$35*INDEX(Curves!$B$4:$AR$4,1,36-Projects!$C$35+1),0)+IF(AND(Projects!$G$36="Yes",Projects!$M$36="Yes",36&gt;=Projects!$C$36,36&lt;Projects!$C$36+Projects!$D$36),Projects!$B$36*INDEX(Curves!$B$4:$AR$4,1,36-Projects!$C$36+1),0)+IF(AND(Projects!$G$37="Yes",Projects!$M$37="Yes",36&gt;=Projects!$C$37,36&lt;Projects!$C$37+Projects!$D$37),Projects!$B$37*INDEX(Curves!$B$4:$AR$4,1,36-Projects!$C$37+1),0)+IF(AND(Projects!$G$38="Yes",Projects!$M$38="Yes",36&gt;=Projects!$C$38,36&lt;Projects!$C$38+Projects!$D$38),Projects!$B$38*INDEX(Curves!$B$4:$AR$4,1,36-Projects!$C$38+1),0)+IF(AND(Projects!$G$39="Yes",Projects!$M$39="Yes",36&gt;=Projects!$C$39,36&lt;Projects!$C$39+Projects!$D$39),Projects!$B$39*INDEX(Curves!$B$4:$AR$4,1,36-Projects!$C$39+1),0)+IF(AND(Projects!$G$40="Yes",Projects!$M$40="Yes",36&gt;=Projects!$C$40,36&lt;Projects!$C$40+Projects!$D$40),Projects!$B$40*INDEX(Curves!$B$4:$AR$4,1,36-Projects!$C$40+1),0)+IF(AND(Projects!$G$41="Yes",Projects!$M$41="Yes",36&gt;=Projects!$C$41,36&lt;Projects!$C$41+Projects!$D$41),Projects!$B$41*INDEX(Curves!$B$4:$AR$4,1,36-Projects!$C$41+1),0)+IF(AND(Projects!$G$42="Yes",Projects!$M$42="Yes",36&gt;=Projects!$C$42,36&lt;Projects!$C$42+Projects!$D$42),Projects!$B$42*INDEX(Curves!$B$4:$AR$4,1,36-Projects!$C$42+1),0)+IF(AND(Projects!$G$43="Yes",Projects!$M$43="Yes",36&gt;=Projects!$C$43,36&lt;Projects!$C$43+Projects!$D$43),Projects!$B$43*INDEX(Curves!$B$4:$AR$4,1,36-Projects!$C$43+1),0)+IF(AND(Projects!$G$44="Yes",Projects!$M$44="Yes",36&gt;=Projects!$C$44,36&lt;Projects!$C$44+Projects!$D$44),Projects!$B$44*INDEX(Curves!$B$4:$AR$4,1,36-Projects!$C$44+1),0)+IF(AND(Projects!$G$45="Yes",Projects!$M$45="Yes",36&gt;=Projects!$C$45,36&lt;Projects!$C$45+Projects!$D$45),Projects!$B$45*INDEX(Curves!$B$4:$AR$4,1,36-Projects!$C$45+1),0)+IF(AND(Projects!$G$46="Yes",Projects!$M$46="Yes",36&gt;=Projects!$C$46,36&lt;Projects!$C$46+Projects!$D$46),Projects!$B$46*INDEX(Curves!$B$4:$AR$4,1,36-Projects!$C$46+1),0)</f>
        <v>798270</v>
      </c>
      <c r="AP101" s="315" t="n">
        <f aca="false">IF(AND(Projects!$G$17="Yes",Projects!$M$17="Yes",37&gt;=Projects!$C$17,37&lt;Projects!$C$17+Projects!$D$17),Projects!$B$17*INDEX(Curves!$B$4:$AR$4,1,37-Projects!$C$17+1),0)+IF(AND(Projects!$G$18="Yes",Projects!$M$18="Yes",37&gt;=Projects!$C$18,37&lt;Projects!$C$18+Projects!$D$18),Projects!$B$18*INDEX(Curves!$B$4:$AR$4,1,37-Projects!$C$18+1),0)+IF(AND(Projects!$G$19="Yes",Projects!$M$19="Yes",37&gt;=Projects!$C$19,37&lt;Projects!$C$19+Projects!$D$19),Projects!$B$19*INDEX(Curves!$B$4:$AR$4,1,37-Projects!$C$19+1),0)+IF(AND(Projects!$G$20="Yes",Projects!$M$20="Yes",37&gt;=Projects!$C$20,37&lt;Projects!$C$20+Projects!$D$20),Projects!$B$20*INDEX(Curves!$B$4:$AR$4,1,37-Projects!$C$20+1),0)+IF(AND(Projects!$G$21="Yes",Projects!$M$21="Yes",37&gt;=Projects!$C$21,37&lt;Projects!$C$21+Projects!$D$21),Projects!$B$21*INDEX(Curves!$B$4:$AR$4,1,37-Projects!$C$21+1),0)+IF(AND(Projects!$G$22="Yes",Projects!$M$22="Yes",37&gt;=Projects!$C$22,37&lt;Projects!$C$22+Projects!$D$22),Projects!$B$22*INDEX(Curves!$B$4:$AR$4,1,37-Projects!$C$22+1),0)+IF(AND(Projects!$G$23="Yes",Projects!$M$23="Yes",37&gt;=Projects!$C$23,37&lt;Projects!$C$23+Projects!$D$23),Projects!$B$23*INDEX(Curves!$B$4:$AR$4,1,37-Projects!$C$23+1),0)+IF(AND(Projects!$G$24="Yes",Projects!$M$24="Yes",37&gt;=Projects!$C$24,37&lt;Projects!$C$24+Projects!$D$24),Projects!$B$24*INDEX(Curves!$B$4:$AR$4,1,37-Projects!$C$24+1),0)+IF(AND(Projects!$G$25="Yes",Projects!$M$25="Yes",37&gt;=Projects!$C$25,37&lt;Projects!$C$25+Projects!$D$25),Projects!$B$25*INDEX(Curves!$B$4:$AR$4,1,37-Projects!$C$25+1),0)+IF(AND(Projects!$G$26="Yes",Projects!$M$26="Yes",37&gt;=Projects!$C$26,37&lt;Projects!$C$26+Projects!$D$26),Projects!$B$26*INDEX(Curves!$B$4:$AR$4,1,37-Projects!$C$26+1),0)+IF(AND(Projects!$G$27="Yes",Projects!$M$27="Yes",37&gt;=Projects!$C$27,37&lt;Projects!$C$27+Projects!$D$27),Projects!$B$27*INDEX(Curves!$B$4:$AR$4,1,37-Projects!$C$27+1),0)+IF(AND(Projects!$G$28="Yes",Projects!$M$28="Yes",37&gt;=Projects!$C$28,37&lt;Projects!$C$28+Projects!$D$28),Projects!$B$28*INDEX(Curves!$B$4:$AR$4,1,37-Projects!$C$28+1),0)+IF(AND(Projects!$G$29="Yes",Projects!$M$29="Yes",37&gt;=Projects!$C$29,37&lt;Projects!$C$29+Projects!$D$29),Projects!$B$29*INDEX(Curves!$B$4:$AR$4,1,37-Projects!$C$29+1),0)+IF(AND(Projects!$G$30="Yes",Projects!$M$30="Yes",37&gt;=Projects!$C$30,37&lt;Projects!$C$30+Projects!$D$30),Projects!$B$30*INDEX(Curves!$B$4:$AR$4,1,37-Projects!$C$30+1),0)+IF(AND(Projects!$G$31="Yes",Projects!$M$31="Yes",37&gt;=Projects!$C$31,37&lt;Projects!$C$31+Projects!$D$31),Projects!$B$31*INDEX(Curves!$B$4:$AR$4,1,37-Projects!$C$31+1),0)+IF(AND(Projects!$G$32="Yes",Projects!$M$32="Yes",37&gt;=Projects!$C$32,37&lt;Projects!$C$32+Projects!$D$32),Projects!$B$32*INDEX(Curves!$B$4:$AR$4,1,37-Projects!$C$32+1),0)+IF(AND(Projects!$G$33="Yes",Projects!$M$33="Yes",37&gt;=Projects!$C$33,37&lt;Projects!$C$33+Projects!$D$33),Projects!$B$33*INDEX(Curves!$B$4:$AR$4,1,37-Projects!$C$33+1),0)+IF(AND(Projects!$G$34="Yes",Projects!$M$34="Yes",37&gt;=Projects!$C$34,37&lt;Projects!$C$34+Projects!$D$34),Projects!$B$34*INDEX(Curves!$B$4:$AR$4,1,37-Projects!$C$34+1),0)+IF(AND(Projects!$G$35="Yes",Projects!$M$35="Yes",37&gt;=Projects!$C$35,37&lt;Projects!$C$35+Projects!$D$35),Projects!$B$35*INDEX(Curves!$B$4:$AR$4,1,37-Projects!$C$35+1),0)+IF(AND(Projects!$G$36="Yes",Projects!$M$36="Yes",37&gt;=Projects!$C$36,37&lt;Projects!$C$36+Projects!$D$36),Projects!$B$36*INDEX(Curves!$B$4:$AR$4,1,37-Projects!$C$36+1),0)+IF(AND(Projects!$G$37="Yes",Projects!$M$37="Yes",37&gt;=Projects!$C$37,37&lt;Projects!$C$37+Projects!$D$37),Projects!$B$37*INDEX(Curves!$B$4:$AR$4,1,37-Projects!$C$37+1),0)+IF(AND(Projects!$G$38="Yes",Projects!$M$38="Yes",37&gt;=Projects!$C$38,37&lt;Projects!$C$38+Projects!$D$38),Projects!$B$38*INDEX(Curves!$B$4:$AR$4,1,37-Projects!$C$38+1),0)+IF(AND(Projects!$G$39="Yes",Projects!$M$39="Yes",37&gt;=Projects!$C$39,37&lt;Projects!$C$39+Projects!$D$39),Projects!$B$39*INDEX(Curves!$B$4:$AR$4,1,37-Projects!$C$39+1),0)+IF(AND(Projects!$G$40="Yes",Projects!$M$40="Yes",37&gt;=Projects!$C$40,37&lt;Projects!$C$40+Projects!$D$40),Projects!$B$40*INDEX(Curves!$B$4:$AR$4,1,37-Projects!$C$40+1),0)+IF(AND(Projects!$G$41="Yes",Projects!$M$41="Yes",37&gt;=Projects!$C$41,37&lt;Projects!$C$41+Projects!$D$41),Projects!$B$41*INDEX(Curves!$B$4:$AR$4,1,37-Projects!$C$41+1),0)+IF(AND(Projects!$G$42="Yes",Projects!$M$42="Yes",37&gt;=Projects!$C$42,37&lt;Projects!$C$42+Projects!$D$42),Projects!$B$42*INDEX(Curves!$B$4:$AR$4,1,37-Projects!$C$42+1),0)+IF(AND(Projects!$G$43="Yes",Projects!$M$43="Yes",37&gt;=Projects!$C$43,37&lt;Projects!$C$43+Projects!$D$43),Projects!$B$43*INDEX(Curves!$B$4:$AR$4,1,37-Projects!$C$43+1),0)+IF(AND(Projects!$G$44="Yes",Projects!$M$44="Yes",37&gt;=Projects!$C$44,37&lt;Projects!$C$44+Projects!$D$44),Projects!$B$44*INDEX(Curves!$B$4:$AR$4,1,37-Projects!$C$44+1),0)+IF(AND(Projects!$G$45="Yes",Projects!$M$45="Yes",37&gt;=Projects!$C$45,37&lt;Projects!$C$45+Projects!$D$45),Projects!$B$45*INDEX(Curves!$B$4:$AR$4,1,37-Projects!$C$45+1),0)+IF(AND(Projects!$G$46="Yes",Projects!$M$46="Yes",37&gt;=Projects!$C$46,37&lt;Projects!$C$46+Projects!$D$46),Projects!$B$46*INDEX(Curves!$B$4:$AR$4,1,37-Projects!$C$46+1),0)</f>
        <v>892830</v>
      </c>
      <c r="AQ101" s="315" t="n">
        <f aca="false">IF(AND(Projects!$G$17="Yes",Projects!$M$17="Yes",38&gt;=Projects!$C$17,38&lt;Projects!$C$17+Projects!$D$17),Projects!$B$17*INDEX(Curves!$B$4:$AR$4,1,38-Projects!$C$17+1),0)+IF(AND(Projects!$G$18="Yes",Projects!$M$18="Yes",38&gt;=Projects!$C$18,38&lt;Projects!$C$18+Projects!$D$18),Projects!$B$18*INDEX(Curves!$B$4:$AR$4,1,38-Projects!$C$18+1),0)+IF(AND(Projects!$G$19="Yes",Projects!$M$19="Yes",38&gt;=Projects!$C$19,38&lt;Projects!$C$19+Projects!$D$19),Projects!$B$19*INDEX(Curves!$B$4:$AR$4,1,38-Projects!$C$19+1),0)+IF(AND(Projects!$G$20="Yes",Projects!$M$20="Yes",38&gt;=Projects!$C$20,38&lt;Projects!$C$20+Projects!$D$20),Projects!$B$20*INDEX(Curves!$B$4:$AR$4,1,38-Projects!$C$20+1),0)+IF(AND(Projects!$G$21="Yes",Projects!$M$21="Yes",38&gt;=Projects!$C$21,38&lt;Projects!$C$21+Projects!$D$21),Projects!$B$21*INDEX(Curves!$B$4:$AR$4,1,38-Projects!$C$21+1),0)+IF(AND(Projects!$G$22="Yes",Projects!$M$22="Yes",38&gt;=Projects!$C$22,38&lt;Projects!$C$22+Projects!$D$22),Projects!$B$22*INDEX(Curves!$B$4:$AR$4,1,38-Projects!$C$22+1),0)+IF(AND(Projects!$G$23="Yes",Projects!$M$23="Yes",38&gt;=Projects!$C$23,38&lt;Projects!$C$23+Projects!$D$23),Projects!$B$23*INDEX(Curves!$B$4:$AR$4,1,38-Projects!$C$23+1),0)+IF(AND(Projects!$G$24="Yes",Projects!$M$24="Yes",38&gt;=Projects!$C$24,38&lt;Projects!$C$24+Projects!$D$24),Projects!$B$24*INDEX(Curves!$B$4:$AR$4,1,38-Projects!$C$24+1),0)+IF(AND(Projects!$G$25="Yes",Projects!$M$25="Yes",38&gt;=Projects!$C$25,38&lt;Projects!$C$25+Projects!$D$25),Projects!$B$25*INDEX(Curves!$B$4:$AR$4,1,38-Projects!$C$25+1),0)+IF(AND(Projects!$G$26="Yes",Projects!$M$26="Yes",38&gt;=Projects!$C$26,38&lt;Projects!$C$26+Projects!$D$26),Projects!$B$26*INDEX(Curves!$B$4:$AR$4,1,38-Projects!$C$26+1),0)+IF(AND(Projects!$G$27="Yes",Projects!$M$27="Yes",38&gt;=Projects!$C$27,38&lt;Projects!$C$27+Projects!$D$27),Projects!$B$27*INDEX(Curves!$B$4:$AR$4,1,38-Projects!$C$27+1),0)+IF(AND(Projects!$G$28="Yes",Projects!$M$28="Yes",38&gt;=Projects!$C$28,38&lt;Projects!$C$28+Projects!$D$28),Projects!$B$28*INDEX(Curves!$B$4:$AR$4,1,38-Projects!$C$28+1),0)+IF(AND(Projects!$G$29="Yes",Projects!$M$29="Yes",38&gt;=Projects!$C$29,38&lt;Projects!$C$29+Projects!$D$29),Projects!$B$29*INDEX(Curves!$B$4:$AR$4,1,38-Projects!$C$29+1),0)+IF(AND(Projects!$G$30="Yes",Projects!$M$30="Yes",38&gt;=Projects!$C$30,38&lt;Projects!$C$30+Projects!$D$30),Projects!$B$30*INDEX(Curves!$B$4:$AR$4,1,38-Projects!$C$30+1),0)+IF(AND(Projects!$G$31="Yes",Projects!$M$31="Yes",38&gt;=Projects!$C$31,38&lt;Projects!$C$31+Projects!$D$31),Projects!$B$31*INDEX(Curves!$B$4:$AR$4,1,38-Projects!$C$31+1),0)+IF(AND(Projects!$G$32="Yes",Projects!$M$32="Yes",38&gt;=Projects!$C$32,38&lt;Projects!$C$32+Projects!$D$32),Projects!$B$32*INDEX(Curves!$B$4:$AR$4,1,38-Projects!$C$32+1),0)+IF(AND(Projects!$G$33="Yes",Projects!$M$33="Yes",38&gt;=Projects!$C$33,38&lt;Projects!$C$33+Projects!$D$33),Projects!$B$33*INDEX(Curves!$B$4:$AR$4,1,38-Projects!$C$33+1),0)+IF(AND(Projects!$G$34="Yes",Projects!$M$34="Yes",38&gt;=Projects!$C$34,38&lt;Projects!$C$34+Projects!$D$34),Projects!$B$34*INDEX(Curves!$B$4:$AR$4,1,38-Projects!$C$34+1),0)+IF(AND(Projects!$G$35="Yes",Projects!$M$35="Yes",38&gt;=Projects!$C$35,38&lt;Projects!$C$35+Projects!$D$35),Projects!$B$35*INDEX(Curves!$B$4:$AR$4,1,38-Projects!$C$35+1),0)+IF(AND(Projects!$G$36="Yes",Projects!$M$36="Yes",38&gt;=Projects!$C$36,38&lt;Projects!$C$36+Projects!$D$36),Projects!$B$36*INDEX(Curves!$B$4:$AR$4,1,38-Projects!$C$36+1),0)+IF(AND(Projects!$G$37="Yes",Projects!$M$37="Yes",38&gt;=Projects!$C$37,38&lt;Projects!$C$37+Projects!$D$37),Projects!$B$37*INDEX(Curves!$B$4:$AR$4,1,38-Projects!$C$37+1),0)+IF(AND(Projects!$G$38="Yes",Projects!$M$38="Yes",38&gt;=Projects!$C$38,38&lt;Projects!$C$38+Projects!$D$38),Projects!$B$38*INDEX(Curves!$B$4:$AR$4,1,38-Projects!$C$38+1),0)+IF(AND(Projects!$G$39="Yes",Projects!$M$39="Yes",38&gt;=Projects!$C$39,38&lt;Projects!$C$39+Projects!$D$39),Projects!$B$39*INDEX(Curves!$B$4:$AR$4,1,38-Projects!$C$39+1),0)+IF(AND(Projects!$G$40="Yes",Projects!$M$40="Yes",38&gt;=Projects!$C$40,38&lt;Projects!$C$40+Projects!$D$40),Projects!$B$40*INDEX(Curves!$B$4:$AR$4,1,38-Projects!$C$40+1),0)+IF(AND(Projects!$G$41="Yes",Projects!$M$41="Yes",38&gt;=Projects!$C$41,38&lt;Projects!$C$41+Projects!$D$41),Projects!$B$41*INDEX(Curves!$B$4:$AR$4,1,38-Projects!$C$41+1),0)+IF(AND(Projects!$G$42="Yes",Projects!$M$42="Yes",38&gt;=Projects!$C$42,38&lt;Projects!$C$42+Projects!$D$42),Projects!$B$42*INDEX(Curves!$B$4:$AR$4,1,38-Projects!$C$42+1),0)+IF(AND(Projects!$G$43="Yes",Projects!$M$43="Yes",38&gt;=Projects!$C$43,38&lt;Projects!$C$43+Projects!$D$43),Projects!$B$43*INDEX(Curves!$B$4:$AR$4,1,38-Projects!$C$43+1),0)+IF(AND(Projects!$G$44="Yes",Projects!$M$44="Yes",38&gt;=Projects!$C$44,38&lt;Projects!$C$44+Projects!$D$44),Projects!$B$44*INDEX(Curves!$B$4:$AR$4,1,38-Projects!$C$44+1),0)+IF(AND(Projects!$G$45="Yes",Projects!$M$45="Yes",38&gt;=Projects!$C$45,38&lt;Projects!$C$45+Projects!$D$45),Projects!$B$45*INDEX(Curves!$B$4:$AR$4,1,38-Projects!$C$45+1),0)+IF(AND(Projects!$G$46="Yes",Projects!$M$46="Yes",38&gt;=Projects!$C$46,38&lt;Projects!$C$46+Projects!$D$46),Projects!$B$46*INDEX(Curves!$B$4:$AR$4,1,38-Projects!$C$46+1),0)</f>
        <v>1451361</v>
      </c>
      <c r="AR101" s="315" t="n">
        <f aca="false">IF(AND(Projects!$G$17="Yes",Projects!$M$17="Yes",39&gt;=Projects!$C$17,39&lt;Projects!$C$17+Projects!$D$17),Projects!$B$17*INDEX(Curves!$B$4:$AR$4,1,39-Projects!$C$17+1),0)+IF(AND(Projects!$G$18="Yes",Projects!$M$18="Yes",39&gt;=Projects!$C$18,39&lt;Projects!$C$18+Projects!$D$18),Projects!$B$18*INDEX(Curves!$B$4:$AR$4,1,39-Projects!$C$18+1),0)+IF(AND(Projects!$G$19="Yes",Projects!$M$19="Yes",39&gt;=Projects!$C$19,39&lt;Projects!$C$19+Projects!$D$19),Projects!$B$19*INDEX(Curves!$B$4:$AR$4,1,39-Projects!$C$19+1),0)+IF(AND(Projects!$G$20="Yes",Projects!$M$20="Yes",39&gt;=Projects!$C$20,39&lt;Projects!$C$20+Projects!$D$20),Projects!$B$20*INDEX(Curves!$B$4:$AR$4,1,39-Projects!$C$20+1),0)+IF(AND(Projects!$G$21="Yes",Projects!$M$21="Yes",39&gt;=Projects!$C$21,39&lt;Projects!$C$21+Projects!$D$21),Projects!$B$21*INDEX(Curves!$B$4:$AR$4,1,39-Projects!$C$21+1),0)+IF(AND(Projects!$G$22="Yes",Projects!$M$22="Yes",39&gt;=Projects!$C$22,39&lt;Projects!$C$22+Projects!$D$22),Projects!$B$22*INDEX(Curves!$B$4:$AR$4,1,39-Projects!$C$22+1),0)+IF(AND(Projects!$G$23="Yes",Projects!$M$23="Yes",39&gt;=Projects!$C$23,39&lt;Projects!$C$23+Projects!$D$23),Projects!$B$23*INDEX(Curves!$B$4:$AR$4,1,39-Projects!$C$23+1),0)+IF(AND(Projects!$G$24="Yes",Projects!$M$24="Yes",39&gt;=Projects!$C$24,39&lt;Projects!$C$24+Projects!$D$24),Projects!$B$24*INDEX(Curves!$B$4:$AR$4,1,39-Projects!$C$24+1),0)+IF(AND(Projects!$G$25="Yes",Projects!$M$25="Yes",39&gt;=Projects!$C$25,39&lt;Projects!$C$25+Projects!$D$25),Projects!$B$25*INDEX(Curves!$B$4:$AR$4,1,39-Projects!$C$25+1),0)+IF(AND(Projects!$G$26="Yes",Projects!$M$26="Yes",39&gt;=Projects!$C$26,39&lt;Projects!$C$26+Projects!$D$26),Projects!$B$26*INDEX(Curves!$B$4:$AR$4,1,39-Projects!$C$26+1),0)+IF(AND(Projects!$G$27="Yes",Projects!$M$27="Yes",39&gt;=Projects!$C$27,39&lt;Projects!$C$27+Projects!$D$27),Projects!$B$27*INDEX(Curves!$B$4:$AR$4,1,39-Projects!$C$27+1),0)+IF(AND(Projects!$G$28="Yes",Projects!$M$28="Yes",39&gt;=Projects!$C$28,39&lt;Projects!$C$28+Projects!$D$28),Projects!$B$28*INDEX(Curves!$B$4:$AR$4,1,39-Projects!$C$28+1),0)+IF(AND(Projects!$G$29="Yes",Projects!$M$29="Yes",39&gt;=Projects!$C$29,39&lt;Projects!$C$29+Projects!$D$29),Projects!$B$29*INDEX(Curves!$B$4:$AR$4,1,39-Projects!$C$29+1),0)+IF(AND(Projects!$G$30="Yes",Projects!$M$30="Yes",39&gt;=Projects!$C$30,39&lt;Projects!$C$30+Projects!$D$30),Projects!$B$30*INDEX(Curves!$B$4:$AR$4,1,39-Projects!$C$30+1),0)+IF(AND(Projects!$G$31="Yes",Projects!$M$31="Yes",39&gt;=Projects!$C$31,39&lt;Projects!$C$31+Projects!$D$31),Projects!$B$31*INDEX(Curves!$B$4:$AR$4,1,39-Projects!$C$31+1),0)+IF(AND(Projects!$G$32="Yes",Projects!$M$32="Yes",39&gt;=Projects!$C$32,39&lt;Projects!$C$32+Projects!$D$32),Projects!$B$32*INDEX(Curves!$B$4:$AR$4,1,39-Projects!$C$32+1),0)+IF(AND(Projects!$G$33="Yes",Projects!$M$33="Yes",39&gt;=Projects!$C$33,39&lt;Projects!$C$33+Projects!$D$33),Projects!$B$33*INDEX(Curves!$B$4:$AR$4,1,39-Projects!$C$33+1),0)+IF(AND(Projects!$G$34="Yes",Projects!$M$34="Yes",39&gt;=Projects!$C$34,39&lt;Projects!$C$34+Projects!$D$34),Projects!$B$34*INDEX(Curves!$B$4:$AR$4,1,39-Projects!$C$34+1),0)+IF(AND(Projects!$G$35="Yes",Projects!$M$35="Yes",39&gt;=Projects!$C$35,39&lt;Projects!$C$35+Projects!$D$35),Projects!$B$35*INDEX(Curves!$B$4:$AR$4,1,39-Projects!$C$35+1),0)+IF(AND(Projects!$G$36="Yes",Projects!$M$36="Yes",39&gt;=Projects!$C$36,39&lt;Projects!$C$36+Projects!$D$36),Projects!$B$36*INDEX(Curves!$B$4:$AR$4,1,39-Projects!$C$36+1),0)+IF(AND(Projects!$G$37="Yes",Projects!$M$37="Yes",39&gt;=Projects!$C$37,39&lt;Projects!$C$37+Projects!$D$37),Projects!$B$37*INDEX(Curves!$B$4:$AR$4,1,39-Projects!$C$37+1),0)+IF(AND(Projects!$G$38="Yes",Projects!$M$38="Yes",39&gt;=Projects!$C$38,39&lt;Projects!$C$38+Projects!$D$38),Projects!$B$38*INDEX(Curves!$B$4:$AR$4,1,39-Projects!$C$38+1),0)+IF(AND(Projects!$G$39="Yes",Projects!$M$39="Yes",39&gt;=Projects!$C$39,39&lt;Projects!$C$39+Projects!$D$39),Projects!$B$39*INDEX(Curves!$B$4:$AR$4,1,39-Projects!$C$39+1),0)+IF(AND(Projects!$G$40="Yes",Projects!$M$40="Yes",39&gt;=Projects!$C$40,39&lt;Projects!$C$40+Projects!$D$40),Projects!$B$40*INDEX(Curves!$B$4:$AR$4,1,39-Projects!$C$40+1),0)+IF(AND(Projects!$G$41="Yes",Projects!$M$41="Yes",39&gt;=Projects!$C$41,39&lt;Projects!$C$41+Projects!$D$41),Projects!$B$41*INDEX(Curves!$B$4:$AR$4,1,39-Projects!$C$41+1),0)+IF(AND(Projects!$G$42="Yes",Projects!$M$42="Yes",39&gt;=Projects!$C$42,39&lt;Projects!$C$42+Projects!$D$42),Projects!$B$42*INDEX(Curves!$B$4:$AR$4,1,39-Projects!$C$42+1),0)+IF(AND(Projects!$G$43="Yes",Projects!$M$43="Yes",39&gt;=Projects!$C$43,39&lt;Projects!$C$43+Projects!$D$43),Projects!$B$43*INDEX(Curves!$B$4:$AR$4,1,39-Projects!$C$43+1),0)+IF(AND(Projects!$G$44="Yes",Projects!$M$44="Yes",39&gt;=Projects!$C$44,39&lt;Projects!$C$44+Projects!$D$44),Projects!$B$44*INDEX(Curves!$B$4:$AR$4,1,39-Projects!$C$44+1),0)+IF(AND(Projects!$G$45="Yes",Projects!$M$45="Yes",39&gt;=Projects!$C$45,39&lt;Projects!$C$45+Projects!$D$45),Projects!$B$45*INDEX(Curves!$B$4:$AR$4,1,39-Projects!$C$45+1),0)+IF(AND(Projects!$G$46="Yes",Projects!$M$46="Yes",39&gt;=Projects!$C$46,39&lt;Projects!$C$46+Projects!$D$46),Projects!$B$46*INDEX(Curves!$B$4:$AR$4,1,39-Projects!$C$46+1),0)</f>
        <v>1626258</v>
      </c>
      <c r="AS101" s="315" t="n">
        <f aca="false">IF(AND(Projects!$G$17="Yes",Projects!$M$17="Yes",40&gt;=Projects!$C$17,40&lt;Projects!$C$17+Projects!$D$17),Projects!$B$17*INDEX(Curves!$B$4:$AR$4,1,40-Projects!$C$17+1),0)+IF(AND(Projects!$G$18="Yes",Projects!$M$18="Yes",40&gt;=Projects!$C$18,40&lt;Projects!$C$18+Projects!$D$18),Projects!$B$18*INDEX(Curves!$B$4:$AR$4,1,40-Projects!$C$18+1),0)+IF(AND(Projects!$G$19="Yes",Projects!$M$19="Yes",40&gt;=Projects!$C$19,40&lt;Projects!$C$19+Projects!$D$19),Projects!$B$19*INDEX(Curves!$B$4:$AR$4,1,40-Projects!$C$19+1),0)+IF(AND(Projects!$G$20="Yes",Projects!$M$20="Yes",40&gt;=Projects!$C$20,40&lt;Projects!$C$20+Projects!$D$20),Projects!$B$20*INDEX(Curves!$B$4:$AR$4,1,40-Projects!$C$20+1),0)+IF(AND(Projects!$G$21="Yes",Projects!$M$21="Yes",40&gt;=Projects!$C$21,40&lt;Projects!$C$21+Projects!$D$21),Projects!$B$21*INDEX(Curves!$B$4:$AR$4,1,40-Projects!$C$21+1),0)+IF(AND(Projects!$G$22="Yes",Projects!$M$22="Yes",40&gt;=Projects!$C$22,40&lt;Projects!$C$22+Projects!$D$22),Projects!$B$22*INDEX(Curves!$B$4:$AR$4,1,40-Projects!$C$22+1),0)+IF(AND(Projects!$G$23="Yes",Projects!$M$23="Yes",40&gt;=Projects!$C$23,40&lt;Projects!$C$23+Projects!$D$23),Projects!$B$23*INDEX(Curves!$B$4:$AR$4,1,40-Projects!$C$23+1),0)+IF(AND(Projects!$G$24="Yes",Projects!$M$24="Yes",40&gt;=Projects!$C$24,40&lt;Projects!$C$24+Projects!$D$24),Projects!$B$24*INDEX(Curves!$B$4:$AR$4,1,40-Projects!$C$24+1),0)+IF(AND(Projects!$G$25="Yes",Projects!$M$25="Yes",40&gt;=Projects!$C$25,40&lt;Projects!$C$25+Projects!$D$25),Projects!$B$25*INDEX(Curves!$B$4:$AR$4,1,40-Projects!$C$25+1),0)+IF(AND(Projects!$G$26="Yes",Projects!$M$26="Yes",40&gt;=Projects!$C$26,40&lt;Projects!$C$26+Projects!$D$26),Projects!$B$26*INDEX(Curves!$B$4:$AR$4,1,40-Projects!$C$26+1),0)+IF(AND(Projects!$G$27="Yes",Projects!$M$27="Yes",40&gt;=Projects!$C$27,40&lt;Projects!$C$27+Projects!$D$27),Projects!$B$27*INDEX(Curves!$B$4:$AR$4,1,40-Projects!$C$27+1),0)+IF(AND(Projects!$G$28="Yes",Projects!$M$28="Yes",40&gt;=Projects!$C$28,40&lt;Projects!$C$28+Projects!$D$28),Projects!$B$28*INDEX(Curves!$B$4:$AR$4,1,40-Projects!$C$28+1),0)+IF(AND(Projects!$G$29="Yes",Projects!$M$29="Yes",40&gt;=Projects!$C$29,40&lt;Projects!$C$29+Projects!$D$29),Projects!$B$29*INDEX(Curves!$B$4:$AR$4,1,40-Projects!$C$29+1),0)+IF(AND(Projects!$G$30="Yes",Projects!$M$30="Yes",40&gt;=Projects!$C$30,40&lt;Projects!$C$30+Projects!$D$30),Projects!$B$30*INDEX(Curves!$B$4:$AR$4,1,40-Projects!$C$30+1),0)+IF(AND(Projects!$G$31="Yes",Projects!$M$31="Yes",40&gt;=Projects!$C$31,40&lt;Projects!$C$31+Projects!$D$31),Projects!$B$31*INDEX(Curves!$B$4:$AR$4,1,40-Projects!$C$31+1),0)+IF(AND(Projects!$G$32="Yes",Projects!$M$32="Yes",40&gt;=Projects!$C$32,40&lt;Projects!$C$32+Projects!$D$32),Projects!$B$32*INDEX(Curves!$B$4:$AR$4,1,40-Projects!$C$32+1),0)+IF(AND(Projects!$G$33="Yes",Projects!$M$33="Yes",40&gt;=Projects!$C$33,40&lt;Projects!$C$33+Projects!$D$33),Projects!$B$33*INDEX(Curves!$B$4:$AR$4,1,40-Projects!$C$33+1),0)+IF(AND(Projects!$G$34="Yes",Projects!$M$34="Yes",40&gt;=Projects!$C$34,40&lt;Projects!$C$34+Projects!$D$34),Projects!$B$34*INDEX(Curves!$B$4:$AR$4,1,40-Projects!$C$34+1),0)+IF(AND(Projects!$G$35="Yes",Projects!$M$35="Yes",40&gt;=Projects!$C$35,40&lt;Projects!$C$35+Projects!$D$35),Projects!$B$35*INDEX(Curves!$B$4:$AR$4,1,40-Projects!$C$35+1),0)+IF(AND(Projects!$G$36="Yes",Projects!$M$36="Yes",40&gt;=Projects!$C$36,40&lt;Projects!$C$36+Projects!$D$36),Projects!$B$36*INDEX(Curves!$B$4:$AR$4,1,40-Projects!$C$36+1),0)+IF(AND(Projects!$G$37="Yes",Projects!$M$37="Yes",40&gt;=Projects!$C$37,40&lt;Projects!$C$37+Projects!$D$37),Projects!$B$37*INDEX(Curves!$B$4:$AR$4,1,40-Projects!$C$37+1),0)+IF(AND(Projects!$G$38="Yes",Projects!$M$38="Yes",40&gt;=Projects!$C$38,40&lt;Projects!$C$38+Projects!$D$38),Projects!$B$38*INDEX(Curves!$B$4:$AR$4,1,40-Projects!$C$38+1),0)+IF(AND(Projects!$G$39="Yes",Projects!$M$39="Yes",40&gt;=Projects!$C$39,40&lt;Projects!$C$39+Projects!$D$39),Projects!$B$39*INDEX(Curves!$B$4:$AR$4,1,40-Projects!$C$39+1),0)+IF(AND(Projects!$G$40="Yes",Projects!$M$40="Yes",40&gt;=Projects!$C$40,40&lt;Projects!$C$40+Projects!$D$40),Projects!$B$40*INDEX(Curves!$B$4:$AR$4,1,40-Projects!$C$40+1),0)+IF(AND(Projects!$G$41="Yes",Projects!$M$41="Yes",40&gt;=Projects!$C$41,40&lt;Projects!$C$41+Projects!$D$41),Projects!$B$41*INDEX(Curves!$B$4:$AR$4,1,40-Projects!$C$41+1),0)+IF(AND(Projects!$G$42="Yes",Projects!$M$42="Yes",40&gt;=Projects!$C$42,40&lt;Projects!$C$42+Projects!$D$42),Projects!$B$42*INDEX(Curves!$B$4:$AR$4,1,40-Projects!$C$42+1),0)+IF(AND(Projects!$G$43="Yes",Projects!$M$43="Yes",40&gt;=Projects!$C$43,40&lt;Projects!$C$43+Projects!$D$43),Projects!$B$43*INDEX(Curves!$B$4:$AR$4,1,40-Projects!$C$43+1),0)+IF(AND(Projects!$G$44="Yes",Projects!$M$44="Yes",40&gt;=Projects!$C$44,40&lt;Projects!$C$44+Projects!$D$44),Projects!$B$44*INDEX(Curves!$B$4:$AR$4,1,40-Projects!$C$44+1),0)+IF(AND(Projects!$G$45="Yes",Projects!$M$45="Yes",40&gt;=Projects!$C$45,40&lt;Projects!$C$45+Projects!$D$45),Projects!$B$45*INDEX(Curves!$B$4:$AR$4,1,40-Projects!$C$45+1),0)+IF(AND(Projects!$G$46="Yes",Projects!$M$46="Yes",40&gt;=Projects!$C$46,40&lt;Projects!$C$46+Projects!$D$46),Projects!$B$46*INDEX(Curves!$B$4:$AR$4,1,40-Projects!$C$46+1),0)</f>
        <v>1786656</v>
      </c>
      <c r="AT101" s="315" t="n">
        <f aca="false">IF(AND(Projects!$G$17="Yes",Projects!$M$17="Yes",41&gt;=Projects!$C$17,41&lt;Projects!$C$17+Projects!$D$17),Projects!$B$17*INDEX(Curves!$B$4:$AR$4,1,41-Projects!$C$17+1),0)+IF(AND(Projects!$G$18="Yes",Projects!$M$18="Yes",41&gt;=Projects!$C$18,41&lt;Projects!$C$18+Projects!$D$18),Projects!$B$18*INDEX(Curves!$B$4:$AR$4,1,41-Projects!$C$18+1),0)+IF(AND(Projects!$G$19="Yes",Projects!$M$19="Yes",41&gt;=Projects!$C$19,41&lt;Projects!$C$19+Projects!$D$19),Projects!$B$19*INDEX(Curves!$B$4:$AR$4,1,41-Projects!$C$19+1),0)+IF(AND(Projects!$G$20="Yes",Projects!$M$20="Yes",41&gt;=Projects!$C$20,41&lt;Projects!$C$20+Projects!$D$20),Projects!$B$20*INDEX(Curves!$B$4:$AR$4,1,41-Projects!$C$20+1),0)+IF(AND(Projects!$G$21="Yes",Projects!$M$21="Yes",41&gt;=Projects!$C$21,41&lt;Projects!$C$21+Projects!$D$21),Projects!$B$21*INDEX(Curves!$B$4:$AR$4,1,41-Projects!$C$21+1),0)+IF(AND(Projects!$G$22="Yes",Projects!$M$22="Yes",41&gt;=Projects!$C$22,41&lt;Projects!$C$22+Projects!$D$22),Projects!$B$22*INDEX(Curves!$B$4:$AR$4,1,41-Projects!$C$22+1),0)+IF(AND(Projects!$G$23="Yes",Projects!$M$23="Yes",41&gt;=Projects!$C$23,41&lt;Projects!$C$23+Projects!$D$23),Projects!$B$23*INDEX(Curves!$B$4:$AR$4,1,41-Projects!$C$23+1),0)+IF(AND(Projects!$G$24="Yes",Projects!$M$24="Yes",41&gt;=Projects!$C$24,41&lt;Projects!$C$24+Projects!$D$24),Projects!$B$24*INDEX(Curves!$B$4:$AR$4,1,41-Projects!$C$24+1),0)+IF(AND(Projects!$G$25="Yes",Projects!$M$25="Yes",41&gt;=Projects!$C$25,41&lt;Projects!$C$25+Projects!$D$25),Projects!$B$25*INDEX(Curves!$B$4:$AR$4,1,41-Projects!$C$25+1),0)+IF(AND(Projects!$G$26="Yes",Projects!$M$26="Yes",41&gt;=Projects!$C$26,41&lt;Projects!$C$26+Projects!$D$26),Projects!$B$26*INDEX(Curves!$B$4:$AR$4,1,41-Projects!$C$26+1),0)+IF(AND(Projects!$G$27="Yes",Projects!$M$27="Yes",41&gt;=Projects!$C$27,41&lt;Projects!$C$27+Projects!$D$27),Projects!$B$27*INDEX(Curves!$B$4:$AR$4,1,41-Projects!$C$27+1),0)+IF(AND(Projects!$G$28="Yes",Projects!$M$28="Yes",41&gt;=Projects!$C$28,41&lt;Projects!$C$28+Projects!$D$28),Projects!$B$28*INDEX(Curves!$B$4:$AR$4,1,41-Projects!$C$28+1),0)+IF(AND(Projects!$G$29="Yes",Projects!$M$29="Yes",41&gt;=Projects!$C$29,41&lt;Projects!$C$29+Projects!$D$29),Projects!$B$29*INDEX(Curves!$B$4:$AR$4,1,41-Projects!$C$29+1),0)+IF(AND(Projects!$G$30="Yes",Projects!$M$30="Yes",41&gt;=Projects!$C$30,41&lt;Projects!$C$30+Projects!$D$30),Projects!$B$30*INDEX(Curves!$B$4:$AR$4,1,41-Projects!$C$30+1),0)+IF(AND(Projects!$G$31="Yes",Projects!$M$31="Yes",41&gt;=Projects!$C$31,41&lt;Projects!$C$31+Projects!$D$31),Projects!$B$31*INDEX(Curves!$B$4:$AR$4,1,41-Projects!$C$31+1),0)+IF(AND(Projects!$G$32="Yes",Projects!$M$32="Yes",41&gt;=Projects!$C$32,41&lt;Projects!$C$32+Projects!$D$32),Projects!$B$32*INDEX(Curves!$B$4:$AR$4,1,41-Projects!$C$32+1),0)+IF(AND(Projects!$G$33="Yes",Projects!$M$33="Yes",41&gt;=Projects!$C$33,41&lt;Projects!$C$33+Projects!$D$33),Projects!$B$33*INDEX(Curves!$B$4:$AR$4,1,41-Projects!$C$33+1),0)+IF(AND(Projects!$G$34="Yes",Projects!$M$34="Yes",41&gt;=Projects!$C$34,41&lt;Projects!$C$34+Projects!$D$34),Projects!$B$34*INDEX(Curves!$B$4:$AR$4,1,41-Projects!$C$34+1),0)+IF(AND(Projects!$G$35="Yes",Projects!$M$35="Yes",41&gt;=Projects!$C$35,41&lt;Projects!$C$35+Projects!$D$35),Projects!$B$35*INDEX(Curves!$B$4:$AR$4,1,41-Projects!$C$35+1),0)+IF(AND(Projects!$G$36="Yes",Projects!$M$36="Yes",41&gt;=Projects!$C$36,41&lt;Projects!$C$36+Projects!$D$36),Projects!$B$36*INDEX(Curves!$B$4:$AR$4,1,41-Projects!$C$36+1),0)+IF(AND(Projects!$G$37="Yes",Projects!$M$37="Yes",41&gt;=Projects!$C$37,41&lt;Projects!$C$37+Projects!$D$37),Projects!$B$37*INDEX(Curves!$B$4:$AR$4,1,41-Projects!$C$37+1),0)+IF(AND(Projects!$G$38="Yes",Projects!$M$38="Yes",41&gt;=Projects!$C$38,41&lt;Projects!$C$38+Projects!$D$38),Projects!$B$38*INDEX(Curves!$B$4:$AR$4,1,41-Projects!$C$38+1),0)+IF(AND(Projects!$G$39="Yes",Projects!$M$39="Yes",41&gt;=Projects!$C$39,41&lt;Projects!$C$39+Projects!$D$39),Projects!$B$39*INDEX(Curves!$B$4:$AR$4,1,41-Projects!$C$39+1),0)+IF(AND(Projects!$G$40="Yes",Projects!$M$40="Yes",41&gt;=Projects!$C$40,41&lt;Projects!$C$40+Projects!$D$40),Projects!$B$40*INDEX(Curves!$B$4:$AR$4,1,41-Projects!$C$40+1),0)+IF(AND(Projects!$G$41="Yes",Projects!$M$41="Yes",41&gt;=Projects!$C$41,41&lt;Projects!$C$41+Projects!$D$41),Projects!$B$41*INDEX(Curves!$B$4:$AR$4,1,41-Projects!$C$41+1),0)+IF(AND(Projects!$G$42="Yes",Projects!$M$42="Yes",41&gt;=Projects!$C$42,41&lt;Projects!$C$42+Projects!$D$42),Projects!$B$42*INDEX(Curves!$B$4:$AR$4,1,41-Projects!$C$42+1),0)+IF(AND(Projects!$G$43="Yes",Projects!$M$43="Yes",41&gt;=Projects!$C$43,41&lt;Projects!$C$43+Projects!$D$43),Projects!$B$43*INDEX(Curves!$B$4:$AR$4,1,41-Projects!$C$43+1),0)+IF(AND(Projects!$G$44="Yes",Projects!$M$44="Yes",41&gt;=Projects!$C$44,41&lt;Projects!$C$44+Projects!$D$44),Projects!$B$44*INDEX(Curves!$B$4:$AR$4,1,41-Projects!$C$44+1),0)+IF(AND(Projects!$G$45="Yes",Projects!$M$45="Yes",41&gt;=Projects!$C$45,41&lt;Projects!$C$45+Projects!$D$45),Projects!$B$45*INDEX(Curves!$B$4:$AR$4,1,41-Projects!$C$45+1),0)+IF(AND(Projects!$G$46="Yes",Projects!$M$46="Yes",41&gt;=Projects!$C$46,41&lt;Projects!$C$46+Projects!$D$46),Projects!$B$46*INDEX(Curves!$B$4:$AR$4,1,41-Projects!$C$46+1),0)</f>
        <v>1924866</v>
      </c>
      <c r="AU101" s="315" t="n">
        <f aca="false">IF(AND(Projects!$G$17="Yes",Projects!$M$17="Yes",42&gt;=Projects!$C$17,42&lt;Projects!$C$17+Projects!$D$17),Projects!$B$17*INDEX(Curves!$B$4:$AR$4,1,42-Projects!$C$17+1),0)+IF(AND(Projects!$G$18="Yes",Projects!$M$18="Yes",42&gt;=Projects!$C$18,42&lt;Projects!$C$18+Projects!$D$18),Projects!$B$18*INDEX(Curves!$B$4:$AR$4,1,42-Projects!$C$18+1),0)+IF(AND(Projects!$G$19="Yes",Projects!$M$19="Yes",42&gt;=Projects!$C$19,42&lt;Projects!$C$19+Projects!$D$19),Projects!$B$19*INDEX(Curves!$B$4:$AR$4,1,42-Projects!$C$19+1),0)+IF(AND(Projects!$G$20="Yes",Projects!$M$20="Yes",42&gt;=Projects!$C$20,42&lt;Projects!$C$20+Projects!$D$20),Projects!$B$20*INDEX(Curves!$B$4:$AR$4,1,42-Projects!$C$20+1),0)+IF(AND(Projects!$G$21="Yes",Projects!$M$21="Yes",42&gt;=Projects!$C$21,42&lt;Projects!$C$21+Projects!$D$21),Projects!$B$21*INDEX(Curves!$B$4:$AR$4,1,42-Projects!$C$21+1),0)+IF(AND(Projects!$G$22="Yes",Projects!$M$22="Yes",42&gt;=Projects!$C$22,42&lt;Projects!$C$22+Projects!$D$22),Projects!$B$22*INDEX(Curves!$B$4:$AR$4,1,42-Projects!$C$22+1),0)+IF(AND(Projects!$G$23="Yes",Projects!$M$23="Yes",42&gt;=Projects!$C$23,42&lt;Projects!$C$23+Projects!$D$23),Projects!$B$23*INDEX(Curves!$B$4:$AR$4,1,42-Projects!$C$23+1),0)+IF(AND(Projects!$G$24="Yes",Projects!$M$24="Yes",42&gt;=Projects!$C$24,42&lt;Projects!$C$24+Projects!$D$24),Projects!$B$24*INDEX(Curves!$B$4:$AR$4,1,42-Projects!$C$24+1),0)+IF(AND(Projects!$G$25="Yes",Projects!$M$25="Yes",42&gt;=Projects!$C$25,42&lt;Projects!$C$25+Projects!$D$25),Projects!$B$25*INDEX(Curves!$B$4:$AR$4,1,42-Projects!$C$25+1),0)+IF(AND(Projects!$G$26="Yes",Projects!$M$26="Yes",42&gt;=Projects!$C$26,42&lt;Projects!$C$26+Projects!$D$26),Projects!$B$26*INDEX(Curves!$B$4:$AR$4,1,42-Projects!$C$26+1),0)+IF(AND(Projects!$G$27="Yes",Projects!$M$27="Yes",42&gt;=Projects!$C$27,42&lt;Projects!$C$27+Projects!$D$27),Projects!$B$27*INDEX(Curves!$B$4:$AR$4,1,42-Projects!$C$27+1),0)+IF(AND(Projects!$G$28="Yes",Projects!$M$28="Yes",42&gt;=Projects!$C$28,42&lt;Projects!$C$28+Projects!$D$28),Projects!$B$28*INDEX(Curves!$B$4:$AR$4,1,42-Projects!$C$28+1),0)+IF(AND(Projects!$G$29="Yes",Projects!$M$29="Yes",42&gt;=Projects!$C$29,42&lt;Projects!$C$29+Projects!$D$29),Projects!$B$29*INDEX(Curves!$B$4:$AR$4,1,42-Projects!$C$29+1),0)+IF(AND(Projects!$G$30="Yes",Projects!$M$30="Yes",42&gt;=Projects!$C$30,42&lt;Projects!$C$30+Projects!$D$30),Projects!$B$30*INDEX(Curves!$B$4:$AR$4,1,42-Projects!$C$30+1),0)+IF(AND(Projects!$G$31="Yes",Projects!$M$31="Yes",42&gt;=Projects!$C$31,42&lt;Projects!$C$31+Projects!$D$31),Projects!$B$31*INDEX(Curves!$B$4:$AR$4,1,42-Projects!$C$31+1),0)+IF(AND(Projects!$G$32="Yes",Projects!$M$32="Yes",42&gt;=Projects!$C$32,42&lt;Projects!$C$32+Projects!$D$32),Projects!$B$32*INDEX(Curves!$B$4:$AR$4,1,42-Projects!$C$32+1),0)+IF(AND(Projects!$G$33="Yes",Projects!$M$33="Yes",42&gt;=Projects!$C$33,42&lt;Projects!$C$33+Projects!$D$33),Projects!$B$33*INDEX(Curves!$B$4:$AR$4,1,42-Projects!$C$33+1),0)+IF(AND(Projects!$G$34="Yes",Projects!$M$34="Yes",42&gt;=Projects!$C$34,42&lt;Projects!$C$34+Projects!$D$34),Projects!$B$34*INDEX(Curves!$B$4:$AR$4,1,42-Projects!$C$34+1),0)+IF(AND(Projects!$G$35="Yes",Projects!$M$35="Yes",42&gt;=Projects!$C$35,42&lt;Projects!$C$35+Projects!$D$35),Projects!$B$35*INDEX(Curves!$B$4:$AR$4,1,42-Projects!$C$35+1),0)+IF(AND(Projects!$G$36="Yes",Projects!$M$36="Yes",42&gt;=Projects!$C$36,42&lt;Projects!$C$36+Projects!$D$36),Projects!$B$36*INDEX(Curves!$B$4:$AR$4,1,42-Projects!$C$36+1),0)+IF(AND(Projects!$G$37="Yes",Projects!$M$37="Yes",42&gt;=Projects!$C$37,42&lt;Projects!$C$37+Projects!$D$37),Projects!$B$37*INDEX(Curves!$B$4:$AR$4,1,42-Projects!$C$37+1),0)+IF(AND(Projects!$G$38="Yes",Projects!$M$38="Yes",42&gt;=Projects!$C$38,42&lt;Projects!$C$38+Projects!$D$38),Projects!$B$38*INDEX(Curves!$B$4:$AR$4,1,42-Projects!$C$38+1),0)+IF(AND(Projects!$G$39="Yes",Projects!$M$39="Yes",42&gt;=Projects!$C$39,42&lt;Projects!$C$39+Projects!$D$39),Projects!$B$39*INDEX(Curves!$B$4:$AR$4,1,42-Projects!$C$39+1),0)+IF(AND(Projects!$G$40="Yes",Projects!$M$40="Yes",42&gt;=Projects!$C$40,42&lt;Projects!$C$40+Projects!$D$40),Projects!$B$40*INDEX(Curves!$B$4:$AR$4,1,42-Projects!$C$40+1),0)+IF(AND(Projects!$G$41="Yes",Projects!$M$41="Yes",42&gt;=Projects!$C$41,42&lt;Projects!$C$41+Projects!$D$41),Projects!$B$41*INDEX(Curves!$B$4:$AR$4,1,42-Projects!$C$41+1),0)+IF(AND(Projects!$G$42="Yes",Projects!$M$42="Yes",42&gt;=Projects!$C$42,42&lt;Projects!$C$42+Projects!$D$42),Projects!$B$42*INDEX(Curves!$B$4:$AR$4,1,42-Projects!$C$42+1),0)+IF(AND(Projects!$G$43="Yes",Projects!$M$43="Yes",42&gt;=Projects!$C$43,42&lt;Projects!$C$43+Projects!$D$43),Projects!$B$43*INDEX(Curves!$B$4:$AR$4,1,42-Projects!$C$43+1),0)+IF(AND(Projects!$G$44="Yes",Projects!$M$44="Yes",42&gt;=Projects!$C$44,42&lt;Projects!$C$44+Projects!$D$44),Projects!$B$44*INDEX(Curves!$B$4:$AR$4,1,42-Projects!$C$44+1),0)+IF(AND(Projects!$G$45="Yes",Projects!$M$45="Yes",42&gt;=Projects!$C$45,42&lt;Projects!$C$45+Projects!$D$45),Projects!$B$45*INDEX(Curves!$B$4:$AR$4,1,42-Projects!$C$45+1),0)+IF(AND(Projects!$G$46="Yes",Projects!$M$46="Yes",42&gt;=Projects!$C$46,42&lt;Projects!$C$46+Projects!$D$46),Projects!$B$46*INDEX(Curves!$B$4:$AR$4,1,42-Projects!$C$46+1),0)</f>
        <v>2033904</v>
      </c>
      <c r="AV101" s="315" t="n">
        <f aca="false">IF(AND(Projects!$G$17="Yes",Projects!$M$17="Yes",43&gt;=Projects!$C$17,43&lt;Projects!$C$17+Projects!$D$17),Projects!$B$17*INDEX(Curves!$B$4:$AR$4,1,43-Projects!$C$17+1),0)+IF(AND(Projects!$G$18="Yes",Projects!$M$18="Yes",43&gt;=Projects!$C$18,43&lt;Projects!$C$18+Projects!$D$18),Projects!$B$18*INDEX(Curves!$B$4:$AR$4,1,43-Projects!$C$18+1),0)+IF(AND(Projects!$G$19="Yes",Projects!$M$19="Yes",43&gt;=Projects!$C$19,43&lt;Projects!$C$19+Projects!$D$19),Projects!$B$19*INDEX(Curves!$B$4:$AR$4,1,43-Projects!$C$19+1),0)+IF(AND(Projects!$G$20="Yes",Projects!$M$20="Yes",43&gt;=Projects!$C$20,43&lt;Projects!$C$20+Projects!$D$20),Projects!$B$20*INDEX(Curves!$B$4:$AR$4,1,43-Projects!$C$20+1),0)+IF(AND(Projects!$G$21="Yes",Projects!$M$21="Yes",43&gt;=Projects!$C$21,43&lt;Projects!$C$21+Projects!$D$21),Projects!$B$21*INDEX(Curves!$B$4:$AR$4,1,43-Projects!$C$21+1),0)+IF(AND(Projects!$G$22="Yes",Projects!$M$22="Yes",43&gt;=Projects!$C$22,43&lt;Projects!$C$22+Projects!$D$22),Projects!$B$22*INDEX(Curves!$B$4:$AR$4,1,43-Projects!$C$22+1),0)+IF(AND(Projects!$G$23="Yes",Projects!$M$23="Yes",43&gt;=Projects!$C$23,43&lt;Projects!$C$23+Projects!$D$23),Projects!$B$23*INDEX(Curves!$B$4:$AR$4,1,43-Projects!$C$23+1),0)+IF(AND(Projects!$G$24="Yes",Projects!$M$24="Yes",43&gt;=Projects!$C$24,43&lt;Projects!$C$24+Projects!$D$24),Projects!$B$24*INDEX(Curves!$B$4:$AR$4,1,43-Projects!$C$24+1),0)+IF(AND(Projects!$G$25="Yes",Projects!$M$25="Yes",43&gt;=Projects!$C$25,43&lt;Projects!$C$25+Projects!$D$25),Projects!$B$25*INDEX(Curves!$B$4:$AR$4,1,43-Projects!$C$25+1),0)+IF(AND(Projects!$G$26="Yes",Projects!$M$26="Yes",43&gt;=Projects!$C$26,43&lt;Projects!$C$26+Projects!$D$26),Projects!$B$26*INDEX(Curves!$B$4:$AR$4,1,43-Projects!$C$26+1),0)+IF(AND(Projects!$G$27="Yes",Projects!$M$27="Yes",43&gt;=Projects!$C$27,43&lt;Projects!$C$27+Projects!$D$27),Projects!$B$27*INDEX(Curves!$B$4:$AR$4,1,43-Projects!$C$27+1),0)+IF(AND(Projects!$G$28="Yes",Projects!$M$28="Yes",43&gt;=Projects!$C$28,43&lt;Projects!$C$28+Projects!$D$28),Projects!$B$28*INDEX(Curves!$B$4:$AR$4,1,43-Projects!$C$28+1),0)+IF(AND(Projects!$G$29="Yes",Projects!$M$29="Yes",43&gt;=Projects!$C$29,43&lt;Projects!$C$29+Projects!$D$29),Projects!$B$29*INDEX(Curves!$B$4:$AR$4,1,43-Projects!$C$29+1),0)+IF(AND(Projects!$G$30="Yes",Projects!$M$30="Yes",43&gt;=Projects!$C$30,43&lt;Projects!$C$30+Projects!$D$30),Projects!$B$30*INDEX(Curves!$B$4:$AR$4,1,43-Projects!$C$30+1),0)+IF(AND(Projects!$G$31="Yes",Projects!$M$31="Yes",43&gt;=Projects!$C$31,43&lt;Projects!$C$31+Projects!$D$31),Projects!$B$31*INDEX(Curves!$B$4:$AR$4,1,43-Projects!$C$31+1),0)+IF(AND(Projects!$G$32="Yes",Projects!$M$32="Yes",43&gt;=Projects!$C$32,43&lt;Projects!$C$32+Projects!$D$32),Projects!$B$32*INDEX(Curves!$B$4:$AR$4,1,43-Projects!$C$32+1),0)+IF(AND(Projects!$G$33="Yes",Projects!$M$33="Yes",43&gt;=Projects!$C$33,43&lt;Projects!$C$33+Projects!$D$33),Projects!$B$33*INDEX(Curves!$B$4:$AR$4,1,43-Projects!$C$33+1),0)+IF(AND(Projects!$G$34="Yes",Projects!$M$34="Yes",43&gt;=Projects!$C$34,43&lt;Projects!$C$34+Projects!$D$34),Projects!$B$34*INDEX(Curves!$B$4:$AR$4,1,43-Projects!$C$34+1),0)+IF(AND(Projects!$G$35="Yes",Projects!$M$35="Yes",43&gt;=Projects!$C$35,43&lt;Projects!$C$35+Projects!$D$35),Projects!$B$35*INDEX(Curves!$B$4:$AR$4,1,43-Projects!$C$35+1),0)+IF(AND(Projects!$G$36="Yes",Projects!$M$36="Yes",43&gt;=Projects!$C$36,43&lt;Projects!$C$36+Projects!$D$36),Projects!$B$36*INDEX(Curves!$B$4:$AR$4,1,43-Projects!$C$36+1),0)+IF(AND(Projects!$G$37="Yes",Projects!$M$37="Yes",43&gt;=Projects!$C$37,43&lt;Projects!$C$37+Projects!$D$37),Projects!$B$37*INDEX(Curves!$B$4:$AR$4,1,43-Projects!$C$37+1),0)+IF(AND(Projects!$G$38="Yes",Projects!$M$38="Yes",43&gt;=Projects!$C$38,43&lt;Projects!$C$38+Projects!$D$38),Projects!$B$38*INDEX(Curves!$B$4:$AR$4,1,43-Projects!$C$38+1),0)+IF(AND(Projects!$G$39="Yes",Projects!$M$39="Yes",43&gt;=Projects!$C$39,43&lt;Projects!$C$39+Projects!$D$39),Projects!$B$39*INDEX(Curves!$B$4:$AR$4,1,43-Projects!$C$39+1),0)+IF(AND(Projects!$G$40="Yes",Projects!$M$40="Yes",43&gt;=Projects!$C$40,43&lt;Projects!$C$40+Projects!$D$40),Projects!$B$40*INDEX(Curves!$B$4:$AR$4,1,43-Projects!$C$40+1),0)+IF(AND(Projects!$G$41="Yes",Projects!$M$41="Yes",43&gt;=Projects!$C$41,43&lt;Projects!$C$41+Projects!$D$41),Projects!$B$41*INDEX(Curves!$B$4:$AR$4,1,43-Projects!$C$41+1),0)+IF(AND(Projects!$G$42="Yes",Projects!$M$42="Yes",43&gt;=Projects!$C$42,43&lt;Projects!$C$42+Projects!$D$42),Projects!$B$42*INDEX(Curves!$B$4:$AR$4,1,43-Projects!$C$42+1),0)+IF(AND(Projects!$G$43="Yes",Projects!$M$43="Yes",43&gt;=Projects!$C$43,43&lt;Projects!$C$43+Projects!$D$43),Projects!$B$43*INDEX(Curves!$B$4:$AR$4,1,43-Projects!$C$43+1),0)+IF(AND(Projects!$G$44="Yes",Projects!$M$44="Yes",43&gt;=Projects!$C$44,43&lt;Projects!$C$44+Projects!$D$44),Projects!$B$44*INDEX(Curves!$B$4:$AR$4,1,43-Projects!$C$44+1),0)+IF(AND(Projects!$G$45="Yes",Projects!$M$45="Yes",43&gt;=Projects!$C$45,43&lt;Projects!$C$45+Projects!$D$45),Projects!$B$45*INDEX(Curves!$B$4:$AR$4,1,43-Projects!$C$45+1),0)+IF(AND(Projects!$G$46="Yes",Projects!$M$46="Yes",43&gt;=Projects!$C$46,43&lt;Projects!$C$46+Projects!$D$46),Projects!$B$46*INDEX(Curves!$B$4:$AR$4,1,43-Projects!$C$46+1),0)</f>
        <v>2107956</v>
      </c>
      <c r="AW101" s="315" t="n">
        <f aca="false">IF(AND(Projects!$G$17="Yes",Projects!$M$17="Yes",44&gt;=Projects!$C$17,44&lt;Projects!$C$17+Projects!$D$17),Projects!$B$17*INDEX(Curves!$B$4:$AR$4,1,44-Projects!$C$17+1),0)+IF(AND(Projects!$G$18="Yes",Projects!$M$18="Yes",44&gt;=Projects!$C$18,44&lt;Projects!$C$18+Projects!$D$18),Projects!$B$18*INDEX(Curves!$B$4:$AR$4,1,44-Projects!$C$18+1),0)+IF(AND(Projects!$G$19="Yes",Projects!$M$19="Yes",44&gt;=Projects!$C$19,44&lt;Projects!$C$19+Projects!$D$19),Projects!$B$19*INDEX(Curves!$B$4:$AR$4,1,44-Projects!$C$19+1),0)+IF(AND(Projects!$G$20="Yes",Projects!$M$20="Yes",44&gt;=Projects!$C$20,44&lt;Projects!$C$20+Projects!$D$20),Projects!$B$20*INDEX(Curves!$B$4:$AR$4,1,44-Projects!$C$20+1),0)+IF(AND(Projects!$G$21="Yes",Projects!$M$21="Yes",44&gt;=Projects!$C$21,44&lt;Projects!$C$21+Projects!$D$21),Projects!$B$21*INDEX(Curves!$B$4:$AR$4,1,44-Projects!$C$21+1),0)+IF(AND(Projects!$G$22="Yes",Projects!$M$22="Yes",44&gt;=Projects!$C$22,44&lt;Projects!$C$22+Projects!$D$22),Projects!$B$22*INDEX(Curves!$B$4:$AR$4,1,44-Projects!$C$22+1),0)+IF(AND(Projects!$G$23="Yes",Projects!$M$23="Yes",44&gt;=Projects!$C$23,44&lt;Projects!$C$23+Projects!$D$23),Projects!$B$23*INDEX(Curves!$B$4:$AR$4,1,44-Projects!$C$23+1),0)+IF(AND(Projects!$G$24="Yes",Projects!$M$24="Yes",44&gt;=Projects!$C$24,44&lt;Projects!$C$24+Projects!$D$24),Projects!$B$24*INDEX(Curves!$B$4:$AR$4,1,44-Projects!$C$24+1),0)+IF(AND(Projects!$G$25="Yes",Projects!$M$25="Yes",44&gt;=Projects!$C$25,44&lt;Projects!$C$25+Projects!$D$25),Projects!$B$25*INDEX(Curves!$B$4:$AR$4,1,44-Projects!$C$25+1),0)+IF(AND(Projects!$G$26="Yes",Projects!$M$26="Yes",44&gt;=Projects!$C$26,44&lt;Projects!$C$26+Projects!$D$26),Projects!$B$26*INDEX(Curves!$B$4:$AR$4,1,44-Projects!$C$26+1),0)+IF(AND(Projects!$G$27="Yes",Projects!$M$27="Yes",44&gt;=Projects!$C$27,44&lt;Projects!$C$27+Projects!$D$27),Projects!$B$27*INDEX(Curves!$B$4:$AR$4,1,44-Projects!$C$27+1),0)+IF(AND(Projects!$G$28="Yes",Projects!$M$28="Yes",44&gt;=Projects!$C$28,44&lt;Projects!$C$28+Projects!$D$28),Projects!$B$28*INDEX(Curves!$B$4:$AR$4,1,44-Projects!$C$28+1),0)+IF(AND(Projects!$G$29="Yes",Projects!$M$29="Yes",44&gt;=Projects!$C$29,44&lt;Projects!$C$29+Projects!$D$29),Projects!$B$29*INDEX(Curves!$B$4:$AR$4,1,44-Projects!$C$29+1),0)+IF(AND(Projects!$G$30="Yes",Projects!$M$30="Yes",44&gt;=Projects!$C$30,44&lt;Projects!$C$30+Projects!$D$30),Projects!$B$30*INDEX(Curves!$B$4:$AR$4,1,44-Projects!$C$30+1),0)+IF(AND(Projects!$G$31="Yes",Projects!$M$31="Yes",44&gt;=Projects!$C$31,44&lt;Projects!$C$31+Projects!$D$31),Projects!$B$31*INDEX(Curves!$B$4:$AR$4,1,44-Projects!$C$31+1),0)+IF(AND(Projects!$G$32="Yes",Projects!$M$32="Yes",44&gt;=Projects!$C$32,44&lt;Projects!$C$32+Projects!$D$32),Projects!$B$32*INDEX(Curves!$B$4:$AR$4,1,44-Projects!$C$32+1),0)+IF(AND(Projects!$G$33="Yes",Projects!$M$33="Yes",44&gt;=Projects!$C$33,44&lt;Projects!$C$33+Projects!$D$33),Projects!$B$33*INDEX(Curves!$B$4:$AR$4,1,44-Projects!$C$33+1),0)+IF(AND(Projects!$G$34="Yes",Projects!$M$34="Yes",44&gt;=Projects!$C$34,44&lt;Projects!$C$34+Projects!$D$34),Projects!$B$34*INDEX(Curves!$B$4:$AR$4,1,44-Projects!$C$34+1),0)+IF(AND(Projects!$G$35="Yes",Projects!$M$35="Yes",44&gt;=Projects!$C$35,44&lt;Projects!$C$35+Projects!$D$35),Projects!$B$35*INDEX(Curves!$B$4:$AR$4,1,44-Projects!$C$35+1),0)+IF(AND(Projects!$G$36="Yes",Projects!$M$36="Yes",44&gt;=Projects!$C$36,44&lt;Projects!$C$36+Projects!$D$36),Projects!$B$36*INDEX(Curves!$B$4:$AR$4,1,44-Projects!$C$36+1),0)+IF(AND(Projects!$G$37="Yes",Projects!$M$37="Yes",44&gt;=Projects!$C$37,44&lt;Projects!$C$37+Projects!$D$37),Projects!$B$37*INDEX(Curves!$B$4:$AR$4,1,44-Projects!$C$37+1),0)+IF(AND(Projects!$G$38="Yes",Projects!$M$38="Yes",44&gt;=Projects!$C$38,44&lt;Projects!$C$38+Projects!$D$38),Projects!$B$38*INDEX(Curves!$B$4:$AR$4,1,44-Projects!$C$38+1),0)+IF(AND(Projects!$G$39="Yes",Projects!$M$39="Yes",44&gt;=Projects!$C$39,44&lt;Projects!$C$39+Projects!$D$39),Projects!$B$39*INDEX(Curves!$B$4:$AR$4,1,44-Projects!$C$39+1),0)+IF(AND(Projects!$G$40="Yes",Projects!$M$40="Yes",44&gt;=Projects!$C$40,44&lt;Projects!$C$40+Projects!$D$40),Projects!$B$40*INDEX(Curves!$B$4:$AR$4,1,44-Projects!$C$40+1),0)+IF(AND(Projects!$G$41="Yes",Projects!$M$41="Yes",44&gt;=Projects!$C$41,44&lt;Projects!$C$41+Projects!$D$41),Projects!$B$41*INDEX(Curves!$B$4:$AR$4,1,44-Projects!$C$41+1),0)+IF(AND(Projects!$G$42="Yes",Projects!$M$42="Yes",44&gt;=Projects!$C$42,44&lt;Projects!$C$42+Projects!$D$42),Projects!$B$42*INDEX(Curves!$B$4:$AR$4,1,44-Projects!$C$42+1),0)+IF(AND(Projects!$G$43="Yes",Projects!$M$43="Yes",44&gt;=Projects!$C$43,44&lt;Projects!$C$43+Projects!$D$43),Projects!$B$43*INDEX(Curves!$B$4:$AR$4,1,44-Projects!$C$43+1),0)+IF(AND(Projects!$G$44="Yes",Projects!$M$44="Yes",44&gt;=Projects!$C$44,44&lt;Projects!$C$44+Projects!$D$44),Projects!$B$44*INDEX(Curves!$B$4:$AR$4,1,44-Projects!$C$44+1),0)+IF(AND(Projects!$G$45="Yes",Projects!$M$45="Yes",44&gt;=Projects!$C$45,44&lt;Projects!$C$45+Projects!$D$45),Projects!$B$45*INDEX(Curves!$B$4:$AR$4,1,44-Projects!$C$45+1),0)+IF(AND(Projects!$G$46="Yes",Projects!$M$46="Yes",44&gt;=Projects!$C$46,44&lt;Projects!$C$46+Projects!$D$46),Projects!$B$46*INDEX(Curves!$B$4:$AR$4,1,44-Projects!$C$46+1),0)</f>
        <v>2142921</v>
      </c>
      <c r="AX101" s="315" t="n">
        <f aca="false">IF(AND(Projects!$G$17="Yes",Projects!$M$17="Yes",45&gt;=Projects!$C$17,45&lt;Projects!$C$17+Projects!$D$17),Projects!$B$17*INDEX(Curves!$B$4:$AR$4,1,45-Projects!$C$17+1),0)+IF(AND(Projects!$G$18="Yes",Projects!$M$18="Yes",45&gt;=Projects!$C$18,45&lt;Projects!$C$18+Projects!$D$18),Projects!$B$18*INDEX(Curves!$B$4:$AR$4,1,45-Projects!$C$18+1),0)+IF(AND(Projects!$G$19="Yes",Projects!$M$19="Yes",45&gt;=Projects!$C$19,45&lt;Projects!$C$19+Projects!$D$19),Projects!$B$19*INDEX(Curves!$B$4:$AR$4,1,45-Projects!$C$19+1),0)+IF(AND(Projects!$G$20="Yes",Projects!$M$20="Yes",45&gt;=Projects!$C$20,45&lt;Projects!$C$20+Projects!$D$20),Projects!$B$20*INDEX(Curves!$B$4:$AR$4,1,45-Projects!$C$20+1),0)+IF(AND(Projects!$G$21="Yes",Projects!$M$21="Yes",45&gt;=Projects!$C$21,45&lt;Projects!$C$21+Projects!$D$21),Projects!$B$21*INDEX(Curves!$B$4:$AR$4,1,45-Projects!$C$21+1),0)+IF(AND(Projects!$G$22="Yes",Projects!$M$22="Yes",45&gt;=Projects!$C$22,45&lt;Projects!$C$22+Projects!$D$22),Projects!$B$22*INDEX(Curves!$B$4:$AR$4,1,45-Projects!$C$22+1),0)+IF(AND(Projects!$G$23="Yes",Projects!$M$23="Yes",45&gt;=Projects!$C$23,45&lt;Projects!$C$23+Projects!$D$23),Projects!$B$23*INDEX(Curves!$B$4:$AR$4,1,45-Projects!$C$23+1),0)+IF(AND(Projects!$G$24="Yes",Projects!$M$24="Yes",45&gt;=Projects!$C$24,45&lt;Projects!$C$24+Projects!$D$24),Projects!$B$24*INDEX(Curves!$B$4:$AR$4,1,45-Projects!$C$24+1),0)+IF(AND(Projects!$G$25="Yes",Projects!$M$25="Yes",45&gt;=Projects!$C$25,45&lt;Projects!$C$25+Projects!$D$25),Projects!$B$25*INDEX(Curves!$B$4:$AR$4,1,45-Projects!$C$25+1),0)+IF(AND(Projects!$G$26="Yes",Projects!$M$26="Yes",45&gt;=Projects!$C$26,45&lt;Projects!$C$26+Projects!$D$26),Projects!$B$26*INDEX(Curves!$B$4:$AR$4,1,45-Projects!$C$26+1),0)+IF(AND(Projects!$G$27="Yes",Projects!$M$27="Yes",45&gt;=Projects!$C$27,45&lt;Projects!$C$27+Projects!$D$27),Projects!$B$27*INDEX(Curves!$B$4:$AR$4,1,45-Projects!$C$27+1),0)+IF(AND(Projects!$G$28="Yes",Projects!$M$28="Yes",45&gt;=Projects!$C$28,45&lt;Projects!$C$28+Projects!$D$28),Projects!$B$28*INDEX(Curves!$B$4:$AR$4,1,45-Projects!$C$28+1),0)+IF(AND(Projects!$G$29="Yes",Projects!$M$29="Yes",45&gt;=Projects!$C$29,45&lt;Projects!$C$29+Projects!$D$29),Projects!$B$29*INDEX(Curves!$B$4:$AR$4,1,45-Projects!$C$29+1),0)+IF(AND(Projects!$G$30="Yes",Projects!$M$30="Yes",45&gt;=Projects!$C$30,45&lt;Projects!$C$30+Projects!$D$30),Projects!$B$30*INDEX(Curves!$B$4:$AR$4,1,45-Projects!$C$30+1),0)+IF(AND(Projects!$G$31="Yes",Projects!$M$31="Yes",45&gt;=Projects!$C$31,45&lt;Projects!$C$31+Projects!$D$31),Projects!$B$31*INDEX(Curves!$B$4:$AR$4,1,45-Projects!$C$31+1),0)+IF(AND(Projects!$G$32="Yes",Projects!$M$32="Yes",45&gt;=Projects!$C$32,45&lt;Projects!$C$32+Projects!$D$32),Projects!$B$32*INDEX(Curves!$B$4:$AR$4,1,45-Projects!$C$32+1),0)+IF(AND(Projects!$G$33="Yes",Projects!$M$33="Yes",45&gt;=Projects!$C$33,45&lt;Projects!$C$33+Projects!$D$33),Projects!$B$33*INDEX(Curves!$B$4:$AR$4,1,45-Projects!$C$33+1),0)+IF(AND(Projects!$G$34="Yes",Projects!$M$34="Yes",45&gt;=Projects!$C$34,45&lt;Projects!$C$34+Projects!$D$34),Projects!$B$34*INDEX(Curves!$B$4:$AR$4,1,45-Projects!$C$34+1),0)+IF(AND(Projects!$G$35="Yes",Projects!$M$35="Yes",45&gt;=Projects!$C$35,45&lt;Projects!$C$35+Projects!$D$35),Projects!$B$35*INDEX(Curves!$B$4:$AR$4,1,45-Projects!$C$35+1),0)+IF(AND(Projects!$G$36="Yes",Projects!$M$36="Yes",45&gt;=Projects!$C$36,45&lt;Projects!$C$36+Projects!$D$36),Projects!$B$36*INDEX(Curves!$B$4:$AR$4,1,45-Projects!$C$36+1),0)+IF(AND(Projects!$G$37="Yes",Projects!$M$37="Yes",45&gt;=Projects!$C$37,45&lt;Projects!$C$37+Projects!$D$37),Projects!$B$37*INDEX(Curves!$B$4:$AR$4,1,45-Projects!$C$37+1),0)+IF(AND(Projects!$G$38="Yes",Projects!$M$38="Yes",45&gt;=Projects!$C$38,45&lt;Projects!$C$38+Projects!$D$38),Projects!$B$38*INDEX(Curves!$B$4:$AR$4,1,45-Projects!$C$38+1),0)+IF(AND(Projects!$G$39="Yes",Projects!$M$39="Yes",45&gt;=Projects!$C$39,45&lt;Projects!$C$39+Projects!$D$39),Projects!$B$39*INDEX(Curves!$B$4:$AR$4,1,45-Projects!$C$39+1),0)+IF(AND(Projects!$G$40="Yes",Projects!$M$40="Yes",45&gt;=Projects!$C$40,45&lt;Projects!$C$40+Projects!$D$40),Projects!$B$40*INDEX(Curves!$B$4:$AR$4,1,45-Projects!$C$40+1),0)+IF(AND(Projects!$G$41="Yes",Projects!$M$41="Yes",45&gt;=Projects!$C$41,45&lt;Projects!$C$41+Projects!$D$41),Projects!$B$41*INDEX(Curves!$B$4:$AR$4,1,45-Projects!$C$41+1),0)+IF(AND(Projects!$G$42="Yes",Projects!$M$42="Yes",45&gt;=Projects!$C$42,45&lt;Projects!$C$42+Projects!$D$42),Projects!$B$42*INDEX(Curves!$B$4:$AR$4,1,45-Projects!$C$42+1),0)+IF(AND(Projects!$G$43="Yes",Projects!$M$43="Yes",45&gt;=Projects!$C$43,45&lt;Projects!$C$43+Projects!$D$43),Projects!$B$43*INDEX(Curves!$B$4:$AR$4,1,45-Projects!$C$43+1),0)+IF(AND(Projects!$G$44="Yes",Projects!$M$44="Yes",45&gt;=Projects!$C$44,45&lt;Projects!$C$44+Projects!$D$44),Projects!$B$44*INDEX(Curves!$B$4:$AR$4,1,45-Projects!$C$44+1),0)+IF(AND(Projects!$G$45="Yes",Projects!$M$45="Yes",45&gt;=Projects!$C$45,45&lt;Projects!$C$45+Projects!$D$45),Projects!$B$45*INDEX(Curves!$B$4:$AR$4,1,45-Projects!$C$45+1),0)+IF(AND(Projects!$G$46="Yes",Projects!$M$46="Yes",45&gt;=Projects!$C$46,45&lt;Projects!$C$46+Projects!$D$46),Projects!$B$46*INDEX(Curves!$B$4:$AR$4,1,45-Projects!$C$46+1),0)</f>
        <v>2136702</v>
      </c>
      <c r="AY101" s="315" t="n">
        <f aca="false">IF(AND(Projects!$G$17="Yes",Projects!$M$17="Yes",46&gt;=Projects!$C$17,46&lt;Projects!$C$17+Projects!$D$17),Projects!$B$17*INDEX(Curves!$B$4:$AR$4,1,46-Projects!$C$17+1),0)+IF(AND(Projects!$G$18="Yes",Projects!$M$18="Yes",46&gt;=Projects!$C$18,46&lt;Projects!$C$18+Projects!$D$18),Projects!$B$18*INDEX(Curves!$B$4:$AR$4,1,46-Projects!$C$18+1),0)+IF(AND(Projects!$G$19="Yes",Projects!$M$19="Yes",46&gt;=Projects!$C$19,46&lt;Projects!$C$19+Projects!$D$19),Projects!$B$19*INDEX(Curves!$B$4:$AR$4,1,46-Projects!$C$19+1),0)+IF(AND(Projects!$G$20="Yes",Projects!$M$20="Yes",46&gt;=Projects!$C$20,46&lt;Projects!$C$20+Projects!$D$20),Projects!$B$20*INDEX(Curves!$B$4:$AR$4,1,46-Projects!$C$20+1),0)+IF(AND(Projects!$G$21="Yes",Projects!$M$21="Yes",46&gt;=Projects!$C$21,46&lt;Projects!$C$21+Projects!$D$21),Projects!$B$21*INDEX(Curves!$B$4:$AR$4,1,46-Projects!$C$21+1),0)+IF(AND(Projects!$G$22="Yes",Projects!$M$22="Yes",46&gt;=Projects!$C$22,46&lt;Projects!$C$22+Projects!$D$22),Projects!$B$22*INDEX(Curves!$B$4:$AR$4,1,46-Projects!$C$22+1),0)+IF(AND(Projects!$G$23="Yes",Projects!$M$23="Yes",46&gt;=Projects!$C$23,46&lt;Projects!$C$23+Projects!$D$23),Projects!$B$23*INDEX(Curves!$B$4:$AR$4,1,46-Projects!$C$23+1),0)+IF(AND(Projects!$G$24="Yes",Projects!$M$24="Yes",46&gt;=Projects!$C$24,46&lt;Projects!$C$24+Projects!$D$24),Projects!$B$24*INDEX(Curves!$B$4:$AR$4,1,46-Projects!$C$24+1),0)+IF(AND(Projects!$G$25="Yes",Projects!$M$25="Yes",46&gt;=Projects!$C$25,46&lt;Projects!$C$25+Projects!$D$25),Projects!$B$25*INDEX(Curves!$B$4:$AR$4,1,46-Projects!$C$25+1),0)+IF(AND(Projects!$G$26="Yes",Projects!$M$26="Yes",46&gt;=Projects!$C$26,46&lt;Projects!$C$26+Projects!$D$26),Projects!$B$26*INDEX(Curves!$B$4:$AR$4,1,46-Projects!$C$26+1),0)+IF(AND(Projects!$G$27="Yes",Projects!$M$27="Yes",46&gt;=Projects!$C$27,46&lt;Projects!$C$27+Projects!$D$27),Projects!$B$27*INDEX(Curves!$B$4:$AR$4,1,46-Projects!$C$27+1),0)+IF(AND(Projects!$G$28="Yes",Projects!$M$28="Yes",46&gt;=Projects!$C$28,46&lt;Projects!$C$28+Projects!$D$28),Projects!$B$28*INDEX(Curves!$B$4:$AR$4,1,46-Projects!$C$28+1),0)+IF(AND(Projects!$G$29="Yes",Projects!$M$29="Yes",46&gt;=Projects!$C$29,46&lt;Projects!$C$29+Projects!$D$29),Projects!$B$29*INDEX(Curves!$B$4:$AR$4,1,46-Projects!$C$29+1),0)+IF(AND(Projects!$G$30="Yes",Projects!$M$30="Yes",46&gt;=Projects!$C$30,46&lt;Projects!$C$30+Projects!$D$30),Projects!$B$30*INDEX(Curves!$B$4:$AR$4,1,46-Projects!$C$30+1),0)+IF(AND(Projects!$G$31="Yes",Projects!$M$31="Yes",46&gt;=Projects!$C$31,46&lt;Projects!$C$31+Projects!$D$31),Projects!$B$31*INDEX(Curves!$B$4:$AR$4,1,46-Projects!$C$31+1),0)+IF(AND(Projects!$G$32="Yes",Projects!$M$32="Yes",46&gt;=Projects!$C$32,46&lt;Projects!$C$32+Projects!$D$32),Projects!$B$32*INDEX(Curves!$B$4:$AR$4,1,46-Projects!$C$32+1),0)+IF(AND(Projects!$G$33="Yes",Projects!$M$33="Yes",46&gt;=Projects!$C$33,46&lt;Projects!$C$33+Projects!$D$33),Projects!$B$33*INDEX(Curves!$B$4:$AR$4,1,46-Projects!$C$33+1),0)+IF(AND(Projects!$G$34="Yes",Projects!$M$34="Yes",46&gt;=Projects!$C$34,46&lt;Projects!$C$34+Projects!$D$34),Projects!$B$34*INDEX(Curves!$B$4:$AR$4,1,46-Projects!$C$34+1),0)+IF(AND(Projects!$G$35="Yes",Projects!$M$35="Yes",46&gt;=Projects!$C$35,46&lt;Projects!$C$35+Projects!$D$35),Projects!$B$35*INDEX(Curves!$B$4:$AR$4,1,46-Projects!$C$35+1),0)+IF(AND(Projects!$G$36="Yes",Projects!$M$36="Yes",46&gt;=Projects!$C$36,46&lt;Projects!$C$36+Projects!$D$36),Projects!$B$36*INDEX(Curves!$B$4:$AR$4,1,46-Projects!$C$36+1),0)+IF(AND(Projects!$G$37="Yes",Projects!$M$37="Yes",46&gt;=Projects!$C$37,46&lt;Projects!$C$37+Projects!$D$37),Projects!$B$37*INDEX(Curves!$B$4:$AR$4,1,46-Projects!$C$37+1),0)+IF(AND(Projects!$G$38="Yes",Projects!$M$38="Yes",46&gt;=Projects!$C$38,46&lt;Projects!$C$38+Projects!$D$38),Projects!$B$38*INDEX(Curves!$B$4:$AR$4,1,46-Projects!$C$38+1),0)+IF(AND(Projects!$G$39="Yes",Projects!$M$39="Yes",46&gt;=Projects!$C$39,46&lt;Projects!$C$39+Projects!$D$39),Projects!$B$39*INDEX(Curves!$B$4:$AR$4,1,46-Projects!$C$39+1),0)+IF(AND(Projects!$G$40="Yes",Projects!$M$40="Yes",46&gt;=Projects!$C$40,46&lt;Projects!$C$40+Projects!$D$40),Projects!$B$40*INDEX(Curves!$B$4:$AR$4,1,46-Projects!$C$40+1),0)+IF(AND(Projects!$G$41="Yes",Projects!$M$41="Yes",46&gt;=Projects!$C$41,46&lt;Projects!$C$41+Projects!$D$41),Projects!$B$41*INDEX(Curves!$B$4:$AR$4,1,46-Projects!$C$41+1),0)+IF(AND(Projects!$G$42="Yes",Projects!$M$42="Yes",46&gt;=Projects!$C$42,46&lt;Projects!$C$42+Projects!$D$42),Projects!$B$42*INDEX(Curves!$B$4:$AR$4,1,46-Projects!$C$42+1),0)+IF(AND(Projects!$G$43="Yes",Projects!$M$43="Yes",46&gt;=Projects!$C$43,46&lt;Projects!$C$43+Projects!$D$43),Projects!$B$43*INDEX(Curves!$B$4:$AR$4,1,46-Projects!$C$43+1),0)+IF(AND(Projects!$G$44="Yes",Projects!$M$44="Yes",46&gt;=Projects!$C$44,46&lt;Projects!$C$44+Projects!$D$44),Projects!$B$44*INDEX(Curves!$B$4:$AR$4,1,46-Projects!$C$44+1),0)+IF(AND(Projects!$G$45="Yes",Projects!$M$45="Yes",46&gt;=Projects!$C$45,46&lt;Projects!$C$45+Projects!$D$45),Projects!$B$45*INDEX(Curves!$B$4:$AR$4,1,46-Projects!$C$45+1),0)+IF(AND(Projects!$G$46="Yes",Projects!$M$46="Yes",46&gt;=Projects!$C$46,46&lt;Projects!$C$46+Projects!$D$46),Projects!$B$46*INDEX(Curves!$B$4:$AR$4,1,46-Projects!$C$46+1),0)</f>
        <v>2089446</v>
      </c>
      <c r="AZ101" s="315" t="n">
        <f aca="false">IF(AND(Projects!$G$17="Yes",Projects!$M$17="Yes",47&gt;=Projects!$C$17,47&lt;Projects!$C$17+Projects!$D$17),Projects!$B$17*INDEX(Curves!$B$4:$AR$4,1,47-Projects!$C$17+1),0)+IF(AND(Projects!$G$18="Yes",Projects!$M$18="Yes",47&gt;=Projects!$C$18,47&lt;Projects!$C$18+Projects!$D$18),Projects!$B$18*INDEX(Curves!$B$4:$AR$4,1,47-Projects!$C$18+1),0)+IF(AND(Projects!$G$19="Yes",Projects!$M$19="Yes",47&gt;=Projects!$C$19,47&lt;Projects!$C$19+Projects!$D$19),Projects!$B$19*INDEX(Curves!$B$4:$AR$4,1,47-Projects!$C$19+1),0)+IF(AND(Projects!$G$20="Yes",Projects!$M$20="Yes",47&gt;=Projects!$C$20,47&lt;Projects!$C$20+Projects!$D$20),Projects!$B$20*INDEX(Curves!$B$4:$AR$4,1,47-Projects!$C$20+1),0)+IF(AND(Projects!$G$21="Yes",Projects!$M$21="Yes",47&gt;=Projects!$C$21,47&lt;Projects!$C$21+Projects!$D$21),Projects!$B$21*INDEX(Curves!$B$4:$AR$4,1,47-Projects!$C$21+1),0)+IF(AND(Projects!$G$22="Yes",Projects!$M$22="Yes",47&gt;=Projects!$C$22,47&lt;Projects!$C$22+Projects!$D$22),Projects!$B$22*INDEX(Curves!$B$4:$AR$4,1,47-Projects!$C$22+1),0)+IF(AND(Projects!$G$23="Yes",Projects!$M$23="Yes",47&gt;=Projects!$C$23,47&lt;Projects!$C$23+Projects!$D$23),Projects!$B$23*INDEX(Curves!$B$4:$AR$4,1,47-Projects!$C$23+1),0)+IF(AND(Projects!$G$24="Yes",Projects!$M$24="Yes",47&gt;=Projects!$C$24,47&lt;Projects!$C$24+Projects!$D$24),Projects!$B$24*INDEX(Curves!$B$4:$AR$4,1,47-Projects!$C$24+1),0)+IF(AND(Projects!$G$25="Yes",Projects!$M$25="Yes",47&gt;=Projects!$C$25,47&lt;Projects!$C$25+Projects!$D$25),Projects!$B$25*INDEX(Curves!$B$4:$AR$4,1,47-Projects!$C$25+1),0)+IF(AND(Projects!$G$26="Yes",Projects!$M$26="Yes",47&gt;=Projects!$C$26,47&lt;Projects!$C$26+Projects!$D$26),Projects!$B$26*INDEX(Curves!$B$4:$AR$4,1,47-Projects!$C$26+1),0)+IF(AND(Projects!$G$27="Yes",Projects!$M$27="Yes",47&gt;=Projects!$C$27,47&lt;Projects!$C$27+Projects!$D$27),Projects!$B$27*INDEX(Curves!$B$4:$AR$4,1,47-Projects!$C$27+1),0)+IF(AND(Projects!$G$28="Yes",Projects!$M$28="Yes",47&gt;=Projects!$C$28,47&lt;Projects!$C$28+Projects!$D$28),Projects!$B$28*INDEX(Curves!$B$4:$AR$4,1,47-Projects!$C$28+1),0)+IF(AND(Projects!$G$29="Yes",Projects!$M$29="Yes",47&gt;=Projects!$C$29,47&lt;Projects!$C$29+Projects!$D$29),Projects!$B$29*INDEX(Curves!$B$4:$AR$4,1,47-Projects!$C$29+1),0)+IF(AND(Projects!$G$30="Yes",Projects!$M$30="Yes",47&gt;=Projects!$C$30,47&lt;Projects!$C$30+Projects!$D$30),Projects!$B$30*INDEX(Curves!$B$4:$AR$4,1,47-Projects!$C$30+1),0)+IF(AND(Projects!$G$31="Yes",Projects!$M$31="Yes",47&gt;=Projects!$C$31,47&lt;Projects!$C$31+Projects!$D$31),Projects!$B$31*INDEX(Curves!$B$4:$AR$4,1,47-Projects!$C$31+1),0)+IF(AND(Projects!$G$32="Yes",Projects!$M$32="Yes",47&gt;=Projects!$C$32,47&lt;Projects!$C$32+Projects!$D$32),Projects!$B$32*INDEX(Curves!$B$4:$AR$4,1,47-Projects!$C$32+1),0)+IF(AND(Projects!$G$33="Yes",Projects!$M$33="Yes",47&gt;=Projects!$C$33,47&lt;Projects!$C$33+Projects!$D$33),Projects!$B$33*INDEX(Curves!$B$4:$AR$4,1,47-Projects!$C$33+1),0)+IF(AND(Projects!$G$34="Yes",Projects!$M$34="Yes",47&gt;=Projects!$C$34,47&lt;Projects!$C$34+Projects!$D$34),Projects!$B$34*INDEX(Curves!$B$4:$AR$4,1,47-Projects!$C$34+1),0)+IF(AND(Projects!$G$35="Yes",Projects!$M$35="Yes",47&gt;=Projects!$C$35,47&lt;Projects!$C$35+Projects!$D$35),Projects!$B$35*INDEX(Curves!$B$4:$AR$4,1,47-Projects!$C$35+1),0)+IF(AND(Projects!$G$36="Yes",Projects!$M$36="Yes",47&gt;=Projects!$C$36,47&lt;Projects!$C$36+Projects!$D$36),Projects!$B$36*INDEX(Curves!$B$4:$AR$4,1,47-Projects!$C$36+1),0)+IF(AND(Projects!$G$37="Yes",Projects!$M$37="Yes",47&gt;=Projects!$C$37,47&lt;Projects!$C$37+Projects!$D$37),Projects!$B$37*INDEX(Curves!$B$4:$AR$4,1,47-Projects!$C$37+1),0)+IF(AND(Projects!$G$38="Yes",Projects!$M$38="Yes",47&gt;=Projects!$C$38,47&lt;Projects!$C$38+Projects!$D$38),Projects!$B$38*INDEX(Curves!$B$4:$AR$4,1,47-Projects!$C$38+1),0)+IF(AND(Projects!$G$39="Yes",Projects!$M$39="Yes",47&gt;=Projects!$C$39,47&lt;Projects!$C$39+Projects!$D$39),Projects!$B$39*INDEX(Curves!$B$4:$AR$4,1,47-Projects!$C$39+1),0)+IF(AND(Projects!$G$40="Yes",Projects!$M$40="Yes",47&gt;=Projects!$C$40,47&lt;Projects!$C$40+Projects!$D$40),Projects!$B$40*INDEX(Curves!$B$4:$AR$4,1,47-Projects!$C$40+1),0)+IF(AND(Projects!$G$41="Yes",Projects!$M$41="Yes",47&gt;=Projects!$C$41,47&lt;Projects!$C$41+Projects!$D$41),Projects!$B$41*INDEX(Curves!$B$4:$AR$4,1,47-Projects!$C$41+1),0)+IF(AND(Projects!$G$42="Yes",Projects!$M$42="Yes",47&gt;=Projects!$C$42,47&lt;Projects!$C$42+Projects!$D$42),Projects!$B$42*INDEX(Curves!$B$4:$AR$4,1,47-Projects!$C$42+1),0)+IF(AND(Projects!$G$43="Yes",Projects!$M$43="Yes",47&gt;=Projects!$C$43,47&lt;Projects!$C$43+Projects!$D$43),Projects!$B$43*INDEX(Curves!$B$4:$AR$4,1,47-Projects!$C$43+1),0)+IF(AND(Projects!$G$44="Yes",Projects!$M$44="Yes",47&gt;=Projects!$C$44,47&lt;Projects!$C$44+Projects!$D$44),Projects!$B$44*INDEX(Curves!$B$4:$AR$4,1,47-Projects!$C$44+1),0)+IF(AND(Projects!$G$45="Yes",Projects!$M$45="Yes",47&gt;=Projects!$C$45,47&lt;Projects!$C$45+Projects!$D$45),Projects!$B$45*INDEX(Curves!$B$4:$AR$4,1,47-Projects!$C$45+1),0)+IF(AND(Projects!$G$46="Yes",Projects!$M$46="Yes",47&gt;=Projects!$C$46,47&lt;Projects!$C$46+Projects!$D$46),Projects!$B$46*INDEX(Curves!$B$4:$AR$4,1,47-Projects!$C$46+1),0)</f>
        <v>2003520</v>
      </c>
      <c r="BA101" s="315" t="n">
        <f aca="false">IF(AND(Projects!$G$17="Yes",Projects!$M$17="Yes",48&gt;=Projects!$C$17,48&lt;Projects!$C$17+Projects!$D$17),Projects!$B$17*INDEX(Curves!$B$4:$AR$4,1,48-Projects!$C$17+1),0)+IF(AND(Projects!$G$18="Yes",Projects!$M$18="Yes",48&gt;=Projects!$C$18,48&lt;Projects!$C$18+Projects!$D$18),Projects!$B$18*INDEX(Curves!$B$4:$AR$4,1,48-Projects!$C$18+1),0)+IF(AND(Projects!$G$19="Yes",Projects!$M$19="Yes",48&gt;=Projects!$C$19,48&lt;Projects!$C$19+Projects!$D$19),Projects!$B$19*INDEX(Curves!$B$4:$AR$4,1,48-Projects!$C$19+1),0)+IF(AND(Projects!$G$20="Yes",Projects!$M$20="Yes",48&gt;=Projects!$C$20,48&lt;Projects!$C$20+Projects!$D$20),Projects!$B$20*INDEX(Curves!$B$4:$AR$4,1,48-Projects!$C$20+1),0)+IF(AND(Projects!$G$21="Yes",Projects!$M$21="Yes",48&gt;=Projects!$C$21,48&lt;Projects!$C$21+Projects!$D$21),Projects!$B$21*INDEX(Curves!$B$4:$AR$4,1,48-Projects!$C$21+1),0)+IF(AND(Projects!$G$22="Yes",Projects!$M$22="Yes",48&gt;=Projects!$C$22,48&lt;Projects!$C$22+Projects!$D$22),Projects!$B$22*INDEX(Curves!$B$4:$AR$4,1,48-Projects!$C$22+1),0)+IF(AND(Projects!$G$23="Yes",Projects!$M$23="Yes",48&gt;=Projects!$C$23,48&lt;Projects!$C$23+Projects!$D$23),Projects!$B$23*INDEX(Curves!$B$4:$AR$4,1,48-Projects!$C$23+1),0)+IF(AND(Projects!$G$24="Yes",Projects!$M$24="Yes",48&gt;=Projects!$C$24,48&lt;Projects!$C$24+Projects!$D$24),Projects!$B$24*INDEX(Curves!$B$4:$AR$4,1,48-Projects!$C$24+1),0)+IF(AND(Projects!$G$25="Yes",Projects!$M$25="Yes",48&gt;=Projects!$C$25,48&lt;Projects!$C$25+Projects!$D$25),Projects!$B$25*INDEX(Curves!$B$4:$AR$4,1,48-Projects!$C$25+1),0)+IF(AND(Projects!$G$26="Yes",Projects!$M$26="Yes",48&gt;=Projects!$C$26,48&lt;Projects!$C$26+Projects!$D$26),Projects!$B$26*INDEX(Curves!$B$4:$AR$4,1,48-Projects!$C$26+1),0)+IF(AND(Projects!$G$27="Yes",Projects!$M$27="Yes",48&gt;=Projects!$C$27,48&lt;Projects!$C$27+Projects!$D$27),Projects!$B$27*INDEX(Curves!$B$4:$AR$4,1,48-Projects!$C$27+1),0)+IF(AND(Projects!$G$28="Yes",Projects!$M$28="Yes",48&gt;=Projects!$C$28,48&lt;Projects!$C$28+Projects!$D$28),Projects!$B$28*INDEX(Curves!$B$4:$AR$4,1,48-Projects!$C$28+1),0)+IF(AND(Projects!$G$29="Yes",Projects!$M$29="Yes",48&gt;=Projects!$C$29,48&lt;Projects!$C$29+Projects!$D$29),Projects!$B$29*INDEX(Curves!$B$4:$AR$4,1,48-Projects!$C$29+1),0)+IF(AND(Projects!$G$30="Yes",Projects!$M$30="Yes",48&gt;=Projects!$C$30,48&lt;Projects!$C$30+Projects!$D$30),Projects!$B$30*INDEX(Curves!$B$4:$AR$4,1,48-Projects!$C$30+1),0)+IF(AND(Projects!$G$31="Yes",Projects!$M$31="Yes",48&gt;=Projects!$C$31,48&lt;Projects!$C$31+Projects!$D$31),Projects!$B$31*INDEX(Curves!$B$4:$AR$4,1,48-Projects!$C$31+1),0)+IF(AND(Projects!$G$32="Yes",Projects!$M$32="Yes",48&gt;=Projects!$C$32,48&lt;Projects!$C$32+Projects!$D$32),Projects!$B$32*INDEX(Curves!$B$4:$AR$4,1,48-Projects!$C$32+1),0)+IF(AND(Projects!$G$33="Yes",Projects!$M$33="Yes",48&gt;=Projects!$C$33,48&lt;Projects!$C$33+Projects!$D$33),Projects!$B$33*INDEX(Curves!$B$4:$AR$4,1,48-Projects!$C$33+1),0)+IF(AND(Projects!$G$34="Yes",Projects!$M$34="Yes",48&gt;=Projects!$C$34,48&lt;Projects!$C$34+Projects!$D$34),Projects!$B$34*INDEX(Curves!$B$4:$AR$4,1,48-Projects!$C$34+1),0)+IF(AND(Projects!$G$35="Yes",Projects!$M$35="Yes",48&gt;=Projects!$C$35,48&lt;Projects!$C$35+Projects!$D$35),Projects!$B$35*INDEX(Curves!$B$4:$AR$4,1,48-Projects!$C$35+1),0)+IF(AND(Projects!$G$36="Yes",Projects!$M$36="Yes",48&gt;=Projects!$C$36,48&lt;Projects!$C$36+Projects!$D$36),Projects!$B$36*INDEX(Curves!$B$4:$AR$4,1,48-Projects!$C$36+1),0)+IF(AND(Projects!$G$37="Yes",Projects!$M$37="Yes",48&gt;=Projects!$C$37,48&lt;Projects!$C$37+Projects!$D$37),Projects!$B$37*INDEX(Curves!$B$4:$AR$4,1,48-Projects!$C$37+1),0)+IF(AND(Projects!$G$38="Yes",Projects!$M$38="Yes",48&gt;=Projects!$C$38,48&lt;Projects!$C$38+Projects!$D$38),Projects!$B$38*INDEX(Curves!$B$4:$AR$4,1,48-Projects!$C$38+1),0)+IF(AND(Projects!$G$39="Yes",Projects!$M$39="Yes",48&gt;=Projects!$C$39,48&lt;Projects!$C$39+Projects!$D$39),Projects!$B$39*INDEX(Curves!$B$4:$AR$4,1,48-Projects!$C$39+1),0)+IF(AND(Projects!$G$40="Yes",Projects!$M$40="Yes",48&gt;=Projects!$C$40,48&lt;Projects!$C$40+Projects!$D$40),Projects!$B$40*INDEX(Curves!$B$4:$AR$4,1,48-Projects!$C$40+1),0)+IF(AND(Projects!$G$41="Yes",Projects!$M$41="Yes",48&gt;=Projects!$C$41,48&lt;Projects!$C$41+Projects!$D$41),Projects!$B$41*INDEX(Curves!$B$4:$AR$4,1,48-Projects!$C$41+1),0)+IF(AND(Projects!$G$42="Yes",Projects!$M$42="Yes",48&gt;=Projects!$C$42,48&lt;Projects!$C$42+Projects!$D$42),Projects!$B$42*INDEX(Curves!$B$4:$AR$4,1,48-Projects!$C$42+1),0)+IF(AND(Projects!$G$43="Yes",Projects!$M$43="Yes",48&gt;=Projects!$C$43,48&lt;Projects!$C$43+Projects!$D$43),Projects!$B$43*INDEX(Curves!$B$4:$AR$4,1,48-Projects!$C$43+1),0)+IF(AND(Projects!$G$44="Yes",Projects!$M$44="Yes",48&gt;=Projects!$C$44,48&lt;Projects!$C$44+Projects!$D$44),Projects!$B$44*INDEX(Curves!$B$4:$AR$4,1,48-Projects!$C$44+1),0)+IF(AND(Projects!$G$45="Yes",Projects!$M$45="Yes",48&gt;=Projects!$C$45,48&lt;Projects!$C$45+Projects!$D$45),Projects!$B$45*INDEX(Curves!$B$4:$AR$4,1,48-Projects!$C$45+1),0)+IF(AND(Projects!$G$46="Yes",Projects!$M$46="Yes",48&gt;=Projects!$C$46,48&lt;Projects!$C$46+Projects!$D$46),Projects!$B$46*INDEX(Curves!$B$4:$AR$4,1,48-Projects!$C$46+1),0)</f>
        <v>1883406</v>
      </c>
      <c r="BB101" s="315" t="n">
        <f aca="false">IF(AND(Projects!$G$17="Yes",Projects!$M$17="Yes",49&gt;=Projects!$C$17,49&lt;Projects!$C$17+Projects!$D$17),Projects!$B$17*INDEX(Curves!$B$4:$AR$4,1,49-Projects!$C$17+1),0)+IF(AND(Projects!$G$18="Yes",Projects!$M$18="Yes",49&gt;=Projects!$C$18,49&lt;Projects!$C$18+Projects!$D$18),Projects!$B$18*INDEX(Curves!$B$4:$AR$4,1,49-Projects!$C$18+1),0)+IF(AND(Projects!$G$19="Yes",Projects!$M$19="Yes",49&gt;=Projects!$C$19,49&lt;Projects!$C$19+Projects!$D$19),Projects!$B$19*INDEX(Curves!$B$4:$AR$4,1,49-Projects!$C$19+1),0)+IF(AND(Projects!$G$20="Yes",Projects!$M$20="Yes",49&gt;=Projects!$C$20,49&lt;Projects!$C$20+Projects!$D$20),Projects!$B$20*INDEX(Curves!$B$4:$AR$4,1,49-Projects!$C$20+1),0)+IF(AND(Projects!$G$21="Yes",Projects!$M$21="Yes",49&gt;=Projects!$C$21,49&lt;Projects!$C$21+Projects!$D$21),Projects!$B$21*INDEX(Curves!$B$4:$AR$4,1,49-Projects!$C$21+1),0)+IF(AND(Projects!$G$22="Yes",Projects!$M$22="Yes",49&gt;=Projects!$C$22,49&lt;Projects!$C$22+Projects!$D$22),Projects!$B$22*INDEX(Curves!$B$4:$AR$4,1,49-Projects!$C$22+1),0)+IF(AND(Projects!$G$23="Yes",Projects!$M$23="Yes",49&gt;=Projects!$C$23,49&lt;Projects!$C$23+Projects!$D$23),Projects!$B$23*INDEX(Curves!$B$4:$AR$4,1,49-Projects!$C$23+1),0)+IF(AND(Projects!$G$24="Yes",Projects!$M$24="Yes",49&gt;=Projects!$C$24,49&lt;Projects!$C$24+Projects!$D$24),Projects!$B$24*INDEX(Curves!$B$4:$AR$4,1,49-Projects!$C$24+1),0)+IF(AND(Projects!$G$25="Yes",Projects!$M$25="Yes",49&gt;=Projects!$C$25,49&lt;Projects!$C$25+Projects!$D$25),Projects!$B$25*INDEX(Curves!$B$4:$AR$4,1,49-Projects!$C$25+1),0)+IF(AND(Projects!$G$26="Yes",Projects!$M$26="Yes",49&gt;=Projects!$C$26,49&lt;Projects!$C$26+Projects!$D$26),Projects!$B$26*INDEX(Curves!$B$4:$AR$4,1,49-Projects!$C$26+1),0)+IF(AND(Projects!$G$27="Yes",Projects!$M$27="Yes",49&gt;=Projects!$C$27,49&lt;Projects!$C$27+Projects!$D$27),Projects!$B$27*INDEX(Curves!$B$4:$AR$4,1,49-Projects!$C$27+1),0)+IF(AND(Projects!$G$28="Yes",Projects!$M$28="Yes",49&gt;=Projects!$C$28,49&lt;Projects!$C$28+Projects!$D$28),Projects!$B$28*INDEX(Curves!$B$4:$AR$4,1,49-Projects!$C$28+1),0)+IF(AND(Projects!$G$29="Yes",Projects!$M$29="Yes",49&gt;=Projects!$C$29,49&lt;Projects!$C$29+Projects!$D$29),Projects!$B$29*INDEX(Curves!$B$4:$AR$4,1,49-Projects!$C$29+1),0)+IF(AND(Projects!$G$30="Yes",Projects!$M$30="Yes",49&gt;=Projects!$C$30,49&lt;Projects!$C$30+Projects!$D$30),Projects!$B$30*INDEX(Curves!$B$4:$AR$4,1,49-Projects!$C$30+1),0)+IF(AND(Projects!$G$31="Yes",Projects!$M$31="Yes",49&gt;=Projects!$C$31,49&lt;Projects!$C$31+Projects!$D$31),Projects!$B$31*INDEX(Curves!$B$4:$AR$4,1,49-Projects!$C$31+1),0)+IF(AND(Projects!$G$32="Yes",Projects!$M$32="Yes",49&gt;=Projects!$C$32,49&lt;Projects!$C$32+Projects!$D$32),Projects!$B$32*INDEX(Curves!$B$4:$AR$4,1,49-Projects!$C$32+1),0)+IF(AND(Projects!$G$33="Yes",Projects!$M$33="Yes",49&gt;=Projects!$C$33,49&lt;Projects!$C$33+Projects!$D$33),Projects!$B$33*INDEX(Curves!$B$4:$AR$4,1,49-Projects!$C$33+1),0)+IF(AND(Projects!$G$34="Yes",Projects!$M$34="Yes",49&gt;=Projects!$C$34,49&lt;Projects!$C$34+Projects!$D$34),Projects!$B$34*INDEX(Curves!$B$4:$AR$4,1,49-Projects!$C$34+1),0)+IF(AND(Projects!$G$35="Yes",Projects!$M$35="Yes",49&gt;=Projects!$C$35,49&lt;Projects!$C$35+Projects!$D$35),Projects!$B$35*INDEX(Curves!$B$4:$AR$4,1,49-Projects!$C$35+1),0)+IF(AND(Projects!$G$36="Yes",Projects!$M$36="Yes",49&gt;=Projects!$C$36,49&lt;Projects!$C$36+Projects!$D$36),Projects!$B$36*INDEX(Curves!$B$4:$AR$4,1,49-Projects!$C$36+1),0)+IF(AND(Projects!$G$37="Yes",Projects!$M$37="Yes",49&gt;=Projects!$C$37,49&lt;Projects!$C$37+Projects!$D$37),Projects!$B$37*INDEX(Curves!$B$4:$AR$4,1,49-Projects!$C$37+1),0)+IF(AND(Projects!$G$38="Yes",Projects!$M$38="Yes",49&gt;=Projects!$C$38,49&lt;Projects!$C$38+Projects!$D$38),Projects!$B$38*INDEX(Curves!$B$4:$AR$4,1,49-Projects!$C$38+1),0)+IF(AND(Projects!$G$39="Yes",Projects!$M$39="Yes",49&gt;=Projects!$C$39,49&lt;Projects!$C$39+Projects!$D$39),Projects!$B$39*INDEX(Curves!$B$4:$AR$4,1,49-Projects!$C$39+1),0)+IF(AND(Projects!$G$40="Yes",Projects!$M$40="Yes",49&gt;=Projects!$C$40,49&lt;Projects!$C$40+Projects!$D$40),Projects!$B$40*INDEX(Curves!$B$4:$AR$4,1,49-Projects!$C$40+1),0)+IF(AND(Projects!$G$41="Yes",Projects!$M$41="Yes",49&gt;=Projects!$C$41,49&lt;Projects!$C$41+Projects!$D$41),Projects!$B$41*INDEX(Curves!$B$4:$AR$4,1,49-Projects!$C$41+1),0)+IF(AND(Projects!$G$42="Yes",Projects!$M$42="Yes",49&gt;=Projects!$C$42,49&lt;Projects!$C$42+Projects!$D$42),Projects!$B$42*INDEX(Curves!$B$4:$AR$4,1,49-Projects!$C$42+1),0)+IF(AND(Projects!$G$43="Yes",Projects!$M$43="Yes",49&gt;=Projects!$C$43,49&lt;Projects!$C$43+Projects!$D$43),Projects!$B$43*INDEX(Curves!$B$4:$AR$4,1,49-Projects!$C$43+1),0)+IF(AND(Projects!$G$44="Yes",Projects!$M$44="Yes",49&gt;=Projects!$C$44,49&lt;Projects!$C$44+Projects!$D$44),Projects!$B$44*INDEX(Curves!$B$4:$AR$4,1,49-Projects!$C$44+1),0)+IF(AND(Projects!$G$45="Yes",Projects!$M$45="Yes",49&gt;=Projects!$C$45,49&lt;Projects!$C$45+Projects!$D$45),Projects!$B$45*INDEX(Curves!$B$4:$AR$4,1,49-Projects!$C$45+1),0)+IF(AND(Projects!$G$46="Yes",Projects!$M$46="Yes",49&gt;=Projects!$C$46,49&lt;Projects!$C$46+Projects!$D$46),Projects!$B$46*INDEX(Curves!$B$4:$AR$4,1,49-Projects!$C$46+1),0)</f>
        <v>1735287</v>
      </c>
      <c r="BC101" s="315" t="n">
        <f aca="false">IF(AND(Projects!$G$17="Yes",Projects!$M$17="Yes",50&gt;=Projects!$C$17,50&lt;Projects!$C$17+Projects!$D$17),Projects!$B$17*INDEX(Curves!$B$4:$AR$4,1,50-Projects!$C$17+1),0)+IF(AND(Projects!$G$18="Yes",Projects!$M$18="Yes",50&gt;=Projects!$C$18,50&lt;Projects!$C$18+Projects!$D$18),Projects!$B$18*INDEX(Curves!$B$4:$AR$4,1,50-Projects!$C$18+1),0)+IF(AND(Projects!$G$19="Yes",Projects!$M$19="Yes",50&gt;=Projects!$C$19,50&lt;Projects!$C$19+Projects!$D$19),Projects!$B$19*INDEX(Curves!$B$4:$AR$4,1,50-Projects!$C$19+1),0)+IF(AND(Projects!$G$20="Yes",Projects!$M$20="Yes",50&gt;=Projects!$C$20,50&lt;Projects!$C$20+Projects!$D$20),Projects!$B$20*INDEX(Curves!$B$4:$AR$4,1,50-Projects!$C$20+1),0)+IF(AND(Projects!$G$21="Yes",Projects!$M$21="Yes",50&gt;=Projects!$C$21,50&lt;Projects!$C$21+Projects!$D$21),Projects!$B$21*INDEX(Curves!$B$4:$AR$4,1,50-Projects!$C$21+1),0)+IF(AND(Projects!$G$22="Yes",Projects!$M$22="Yes",50&gt;=Projects!$C$22,50&lt;Projects!$C$22+Projects!$D$22),Projects!$B$22*INDEX(Curves!$B$4:$AR$4,1,50-Projects!$C$22+1),0)+IF(AND(Projects!$G$23="Yes",Projects!$M$23="Yes",50&gt;=Projects!$C$23,50&lt;Projects!$C$23+Projects!$D$23),Projects!$B$23*INDEX(Curves!$B$4:$AR$4,1,50-Projects!$C$23+1),0)+IF(AND(Projects!$G$24="Yes",Projects!$M$24="Yes",50&gt;=Projects!$C$24,50&lt;Projects!$C$24+Projects!$D$24),Projects!$B$24*INDEX(Curves!$B$4:$AR$4,1,50-Projects!$C$24+1),0)+IF(AND(Projects!$G$25="Yes",Projects!$M$25="Yes",50&gt;=Projects!$C$25,50&lt;Projects!$C$25+Projects!$D$25),Projects!$B$25*INDEX(Curves!$B$4:$AR$4,1,50-Projects!$C$25+1),0)+IF(AND(Projects!$G$26="Yes",Projects!$M$26="Yes",50&gt;=Projects!$C$26,50&lt;Projects!$C$26+Projects!$D$26),Projects!$B$26*INDEX(Curves!$B$4:$AR$4,1,50-Projects!$C$26+1),0)+IF(AND(Projects!$G$27="Yes",Projects!$M$27="Yes",50&gt;=Projects!$C$27,50&lt;Projects!$C$27+Projects!$D$27),Projects!$B$27*INDEX(Curves!$B$4:$AR$4,1,50-Projects!$C$27+1),0)+IF(AND(Projects!$G$28="Yes",Projects!$M$28="Yes",50&gt;=Projects!$C$28,50&lt;Projects!$C$28+Projects!$D$28),Projects!$B$28*INDEX(Curves!$B$4:$AR$4,1,50-Projects!$C$28+1),0)+IF(AND(Projects!$G$29="Yes",Projects!$M$29="Yes",50&gt;=Projects!$C$29,50&lt;Projects!$C$29+Projects!$D$29),Projects!$B$29*INDEX(Curves!$B$4:$AR$4,1,50-Projects!$C$29+1),0)+IF(AND(Projects!$G$30="Yes",Projects!$M$30="Yes",50&gt;=Projects!$C$30,50&lt;Projects!$C$30+Projects!$D$30),Projects!$B$30*INDEX(Curves!$B$4:$AR$4,1,50-Projects!$C$30+1),0)+IF(AND(Projects!$G$31="Yes",Projects!$M$31="Yes",50&gt;=Projects!$C$31,50&lt;Projects!$C$31+Projects!$D$31),Projects!$B$31*INDEX(Curves!$B$4:$AR$4,1,50-Projects!$C$31+1),0)+IF(AND(Projects!$G$32="Yes",Projects!$M$32="Yes",50&gt;=Projects!$C$32,50&lt;Projects!$C$32+Projects!$D$32),Projects!$B$32*INDEX(Curves!$B$4:$AR$4,1,50-Projects!$C$32+1),0)+IF(AND(Projects!$G$33="Yes",Projects!$M$33="Yes",50&gt;=Projects!$C$33,50&lt;Projects!$C$33+Projects!$D$33),Projects!$B$33*INDEX(Curves!$B$4:$AR$4,1,50-Projects!$C$33+1),0)+IF(AND(Projects!$G$34="Yes",Projects!$M$34="Yes",50&gt;=Projects!$C$34,50&lt;Projects!$C$34+Projects!$D$34),Projects!$B$34*INDEX(Curves!$B$4:$AR$4,1,50-Projects!$C$34+1),0)+IF(AND(Projects!$G$35="Yes",Projects!$M$35="Yes",50&gt;=Projects!$C$35,50&lt;Projects!$C$35+Projects!$D$35),Projects!$B$35*INDEX(Curves!$B$4:$AR$4,1,50-Projects!$C$35+1),0)+IF(AND(Projects!$G$36="Yes",Projects!$M$36="Yes",50&gt;=Projects!$C$36,50&lt;Projects!$C$36+Projects!$D$36),Projects!$B$36*INDEX(Curves!$B$4:$AR$4,1,50-Projects!$C$36+1),0)+IF(AND(Projects!$G$37="Yes",Projects!$M$37="Yes",50&gt;=Projects!$C$37,50&lt;Projects!$C$37+Projects!$D$37),Projects!$B$37*INDEX(Curves!$B$4:$AR$4,1,50-Projects!$C$37+1),0)+IF(AND(Projects!$G$38="Yes",Projects!$M$38="Yes",50&gt;=Projects!$C$38,50&lt;Projects!$C$38+Projects!$D$38),Projects!$B$38*INDEX(Curves!$B$4:$AR$4,1,50-Projects!$C$38+1),0)+IF(AND(Projects!$G$39="Yes",Projects!$M$39="Yes",50&gt;=Projects!$C$39,50&lt;Projects!$C$39+Projects!$D$39),Projects!$B$39*INDEX(Curves!$B$4:$AR$4,1,50-Projects!$C$39+1),0)+IF(AND(Projects!$G$40="Yes",Projects!$M$40="Yes",50&gt;=Projects!$C$40,50&lt;Projects!$C$40+Projects!$D$40),Projects!$B$40*INDEX(Curves!$B$4:$AR$4,1,50-Projects!$C$40+1),0)+IF(AND(Projects!$G$41="Yes",Projects!$M$41="Yes",50&gt;=Projects!$C$41,50&lt;Projects!$C$41+Projects!$D$41),Projects!$B$41*INDEX(Curves!$B$4:$AR$4,1,50-Projects!$C$41+1),0)+IF(AND(Projects!$G$42="Yes",Projects!$M$42="Yes",50&gt;=Projects!$C$42,50&lt;Projects!$C$42+Projects!$D$42),Projects!$B$42*INDEX(Curves!$B$4:$AR$4,1,50-Projects!$C$42+1),0)+IF(AND(Projects!$G$43="Yes",Projects!$M$43="Yes",50&gt;=Projects!$C$43,50&lt;Projects!$C$43+Projects!$D$43),Projects!$B$43*INDEX(Curves!$B$4:$AR$4,1,50-Projects!$C$43+1),0)+IF(AND(Projects!$G$44="Yes",Projects!$M$44="Yes",50&gt;=Projects!$C$44,50&lt;Projects!$C$44+Projects!$D$44),Projects!$B$44*INDEX(Curves!$B$4:$AR$4,1,50-Projects!$C$44+1),0)+IF(AND(Projects!$G$45="Yes",Projects!$M$45="Yes",50&gt;=Projects!$C$45,50&lt;Projects!$C$45+Projects!$D$45),Projects!$B$45*INDEX(Curves!$B$4:$AR$4,1,50-Projects!$C$45+1),0)+IF(AND(Projects!$G$46="Yes",Projects!$M$46="Yes",50&gt;=Projects!$C$46,50&lt;Projects!$C$46+Projects!$D$46),Projects!$B$46*INDEX(Curves!$B$4:$AR$4,1,50-Projects!$C$46+1),0)</f>
        <v>1964376</v>
      </c>
      <c r="BD101" s="315" t="n">
        <f aca="false">IF(AND(Projects!$G$17="Yes",Projects!$M$17="Yes",51&gt;=Projects!$C$17,51&lt;Projects!$C$17+Projects!$D$17),Projects!$B$17*INDEX(Curves!$B$4:$AR$4,1,51-Projects!$C$17+1),0)+IF(AND(Projects!$G$18="Yes",Projects!$M$18="Yes",51&gt;=Projects!$C$18,51&lt;Projects!$C$18+Projects!$D$18),Projects!$B$18*INDEX(Curves!$B$4:$AR$4,1,51-Projects!$C$18+1),0)+IF(AND(Projects!$G$19="Yes",Projects!$M$19="Yes",51&gt;=Projects!$C$19,51&lt;Projects!$C$19+Projects!$D$19),Projects!$B$19*INDEX(Curves!$B$4:$AR$4,1,51-Projects!$C$19+1),0)+IF(AND(Projects!$G$20="Yes",Projects!$M$20="Yes",51&gt;=Projects!$C$20,51&lt;Projects!$C$20+Projects!$D$20),Projects!$B$20*INDEX(Curves!$B$4:$AR$4,1,51-Projects!$C$20+1),0)+IF(AND(Projects!$G$21="Yes",Projects!$M$21="Yes",51&gt;=Projects!$C$21,51&lt;Projects!$C$21+Projects!$D$21),Projects!$B$21*INDEX(Curves!$B$4:$AR$4,1,51-Projects!$C$21+1),0)+IF(AND(Projects!$G$22="Yes",Projects!$M$22="Yes",51&gt;=Projects!$C$22,51&lt;Projects!$C$22+Projects!$D$22),Projects!$B$22*INDEX(Curves!$B$4:$AR$4,1,51-Projects!$C$22+1),0)+IF(AND(Projects!$G$23="Yes",Projects!$M$23="Yes",51&gt;=Projects!$C$23,51&lt;Projects!$C$23+Projects!$D$23),Projects!$B$23*INDEX(Curves!$B$4:$AR$4,1,51-Projects!$C$23+1),0)+IF(AND(Projects!$G$24="Yes",Projects!$M$24="Yes",51&gt;=Projects!$C$24,51&lt;Projects!$C$24+Projects!$D$24),Projects!$B$24*INDEX(Curves!$B$4:$AR$4,1,51-Projects!$C$24+1),0)+IF(AND(Projects!$G$25="Yes",Projects!$M$25="Yes",51&gt;=Projects!$C$25,51&lt;Projects!$C$25+Projects!$D$25),Projects!$B$25*INDEX(Curves!$B$4:$AR$4,1,51-Projects!$C$25+1),0)+IF(AND(Projects!$G$26="Yes",Projects!$M$26="Yes",51&gt;=Projects!$C$26,51&lt;Projects!$C$26+Projects!$D$26),Projects!$B$26*INDEX(Curves!$B$4:$AR$4,1,51-Projects!$C$26+1),0)+IF(AND(Projects!$G$27="Yes",Projects!$M$27="Yes",51&gt;=Projects!$C$27,51&lt;Projects!$C$27+Projects!$D$27),Projects!$B$27*INDEX(Curves!$B$4:$AR$4,1,51-Projects!$C$27+1),0)+IF(AND(Projects!$G$28="Yes",Projects!$M$28="Yes",51&gt;=Projects!$C$28,51&lt;Projects!$C$28+Projects!$D$28),Projects!$B$28*INDEX(Curves!$B$4:$AR$4,1,51-Projects!$C$28+1),0)+IF(AND(Projects!$G$29="Yes",Projects!$M$29="Yes",51&gt;=Projects!$C$29,51&lt;Projects!$C$29+Projects!$D$29),Projects!$B$29*INDEX(Curves!$B$4:$AR$4,1,51-Projects!$C$29+1),0)+IF(AND(Projects!$G$30="Yes",Projects!$M$30="Yes",51&gt;=Projects!$C$30,51&lt;Projects!$C$30+Projects!$D$30),Projects!$B$30*INDEX(Curves!$B$4:$AR$4,1,51-Projects!$C$30+1),0)+IF(AND(Projects!$G$31="Yes",Projects!$M$31="Yes",51&gt;=Projects!$C$31,51&lt;Projects!$C$31+Projects!$D$31),Projects!$B$31*INDEX(Curves!$B$4:$AR$4,1,51-Projects!$C$31+1),0)+IF(AND(Projects!$G$32="Yes",Projects!$M$32="Yes",51&gt;=Projects!$C$32,51&lt;Projects!$C$32+Projects!$D$32),Projects!$B$32*INDEX(Curves!$B$4:$AR$4,1,51-Projects!$C$32+1),0)+IF(AND(Projects!$G$33="Yes",Projects!$M$33="Yes",51&gt;=Projects!$C$33,51&lt;Projects!$C$33+Projects!$D$33),Projects!$B$33*INDEX(Curves!$B$4:$AR$4,1,51-Projects!$C$33+1),0)+IF(AND(Projects!$G$34="Yes",Projects!$M$34="Yes",51&gt;=Projects!$C$34,51&lt;Projects!$C$34+Projects!$D$34),Projects!$B$34*INDEX(Curves!$B$4:$AR$4,1,51-Projects!$C$34+1),0)+IF(AND(Projects!$G$35="Yes",Projects!$M$35="Yes",51&gt;=Projects!$C$35,51&lt;Projects!$C$35+Projects!$D$35),Projects!$B$35*INDEX(Curves!$B$4:$AR$4,1,51-Projects!$C$35+1),0)+IF(AND(Projects!$G$36="Yes",Projects!$M$36="Yes",51&gt;=Projects!$C$36,51&lt;Projects!$C$36+Projects!$D$36),Projects!$B$36*INDEX(Curves!$B$4:$AR$4,1,51-Projects!$C$36+1),0)+IF(AND(Projects!$G$37="Yes",Projects!$M$37="Yes",51&gt;=Projects!$C$37,51&lt;Projects!$C$37+Projects!$D$37),Projects!$B$37*INDEX(Curves!$B$4:$AR$4,1,51-Projects!$C$37+1),0)+IF(AND(Projects!$G$38="Yes",Projects!$M$38="Yes",51&gt;=Projects!$C$38,51&lt;Projects!$C$38+Projects!$D$38),Projects!$B$38*INDEX(Curves!$B$4:$AR$4,1,51-Projects!$C$38+1),0)+IF(AND(Projects!$G$39="Yes",Projects!$M$39="Yes",51&gt;=Projects!$C$39,51&lt;Projects!$C$39+Projects!$D$39),Projects!$B$39*INDEX(Curves!$B$4:$AR$4,1,51-Projects!$C$39+1),0)+IF(AND(Projects!$G$40="Yes",Projects!$M$40="Yes",51&gt;=Projects!$C$40,51&lt;Projects!$C$40+Projects!$D$40),Projects!$B$40*INDEX(Curves!$B$4:$AR$4,1,51-Projects!$C$40+1),0)+IF(AND(Projects!$G$41="Yes",Projects!$M$41="Yes",51&gt;=Projects!$C$41,51&lt;Projects!$C$41+Projects!$D$41),Projects!$B$41*INDEX(Curves!$B$4:$AR$4,1,51-Projects!$C$41+1),0)+IF(AND(Projects!$G$42="Yes",Projects!$M$42="Yes",51&gt;=Projects!$C$42,51&lt;Projects!$C$42+Projects!$D$42),Projects!$B$42*INDEX(Curves!$B$4:$AR$4,1,51-Projects!$C$42+1),0)+IF(AND(Projects!$G$43="Yes",Projects!$M$43="Yes",51&gt;=Projects!$C$43,51&lt;Projects!$C$43+Projects!$D$43),Projects!$B$43*INDEX(Curves!$B$4:$AR$4,1,51-Projects!$C$43+1),0)+IF(AND(Projects!$G$44="Yes",Projects!$M$44="Yes",51&gt;=Projects!$C$44,51&lt;Projects!$C$44+Projects!$D$44),Projects!$B$44*INDEX(Curves!$B$4:$AR$4,1,51-Projects!$C$44+1),0)+IF(AND(Projects!$G$45="Yes",Projects!$M$45="Yes",51&gt;=Projects!$C$45,51&lt;Projects!$C$45+Projects!$D$45),Projects!$B$45*INDEX(Curves!$B$4:$AR$4,1,51-Projects!$C$45+1),0)+IF(AND(Projects!$G$46="Yes",Projects!$M$46="Yes",51&gt;=Projects!$C$46,51&lt;Projects!$C$46+Projects!$D$46),Projects!$B$46*INDEX(Curves!$B$4:$AR$4,1,51-Projects!$C$46+1),0)</f>
        <v>1562811</v>
      </c>
      <c r="BE101" s="315" t="n">
        <f aca="false">IF(AND(Projects!$G$17="Yes",Projects!$M$17="Yes",52&gt;=Projects!$C$17,52&lt;Projects!$C$17+Projects!$D$17),Projects!$B$17*INDEX(Curves!$B$4:$AR$4,1,52-Projects!$C$17+1),0)+IF(AND(Projects!$G$18="Yes",Projects!$M$18="Yes",52&gt;=Projects!$C$18,52&lt;Projects!$C$18+Projects!$D$18),Projects!$B$18*INDEX(Curves!$B$4:$AR$4,1,52-Projects!$C$18+1),0)+IF(AND(Projects!$G$19="Yes",Projects!$M$19="Yes",52&gt;=Projects!$C$19,52&lt;Projects!$C$19+Projects!$D$19),Projects!$B$19*INDEX(Curves!$B$4:$AR$4,1,52-Projects!$C$19+1),0)+IF(AND(Projects!$G$20="Yes",Projects!$M$20="Yes",52&gt;=Projects!$C$20,52&lt;Projects!$C$20+Projects!$D$20),Projects!$B$20*INDEX(Curves!$B$4:$AR$4,1,52-Projects!$C$20+1),0)+IF(AND(Projects!$G$21="Yes",Projects!$M$21="Yes",52&gt;=Projects!$C$21,52&lt;Projects!$C$21+Projects!$D$21),Projects!$B$21*INDEX(Curves!$B$4:$AR$4,1,52-Projects!$C$21+1),0)+IF(AND(Projects!$G$22="Yes",Projects!$M$22="Yes",52&gt;=Projects!$C$22,52&lt;Projects!$C$22+Projects!$D$22),Projects!$B$22*INDEX(Curves!$B$4:$AR$4,1,52-Projects!$C$22+1),0)+IF(AND(Projects!$G$23="Yes",Projects!$M$23="Yes",52&gt;=Projects!$C$23,52&lt;Projects!$C$23+Projects!$D$23),Projects!$B$23*INDEX(Curves!$B$4:$AR$4,1,52-Projects!$C$23+1),0)+IF(AND(Projects!$G$24="Yes",Projects!$M$24="Yes",52&gt;=Projects!$C$24,52&lt;Projects!$C$24+Projects!$D$24),Projects!$B$24*INDEX(Curves!$B$4:$AR$4,1,52-Projects!$C$24+1),0)+IF(AND(Projects!$G$25="Yes",Projects!$M$25="Yes",52&gt;=Projects!$C$25,52&lt;Projects!$C$25+Projects!$D$25),Projects!$B$25*INDEX(Curves!$B$4:$AR$4,1,52-Projects!$C$25+1),0)+IF(AND(Projects!$G$26="Yes",Projects!$M$26="Yes",52&gt;=Projects!$C$26,52&lt;Projects!$C$26+Projects!$D$26),Projects!$B$26*INDEX(Curves!$B$4:$AR$4,1,52-Projects!$C$26+1),0)+IF(AND(Projects!$G$27="Yes",Projects!$M$27="Yes",52&gt;=Projects!$C$27,52&lt;Projects!$C$27+Projects!$D$27),Projects!$B$27*INDEX(Curves!$B$4:$AR$4,1,52-Projects!$C$27+1),0)+IF(AND(Projects!$G$28="Yes",Projects!$M$28="Yes",52&gt;=Projects!$C$28,52&lt;Projects!$C$28+Projects!$D$28),Projects!$B$28*INDEX(Curves!$B$4:$AR$4,1,52-Projects!$C$28+1),0)+IF(AND(Projects!$G$29="Yes",Projects!$M$29="Yes",52&gt;=Projects!$C$29,52&lt;Projects!$C$29+Projects!$D$29),Projects!$B$29*INDEX(Curves!$B$4:$AR$4,1,52-Projects!$C$29+1),0)+IF(AND(Projects!$G$30="Yes",Projects!$M$30="Yes",52&gt;=Projects!$C$30,52&lt;Projects!$C$30+Projects!$D$30),Projects!$B$30*INDEX(Curves!$B$4:$AR$4,1,52-Projects!$C$30+1),0)+IF(AND(Projects!$G$31="Yes",Projects!$M$31="Yes",52&gt;=Projects!$C$31,52&lt;Projects!$C$31+Projects!$D$31),Projects!$B$31*INDEX(Curves!$B$4:$AR$4,1,52-Projects!$C$31+1),0)+IF(AND(Projects!$G$32="Yes",Projects!$M$32="Yes",52&gt;=Projects!$C$32,52&lt;Projects!$C$32+Projects!$D$32),Projects!$B$32*INDEX(Curves!$B$4:$AR$4,1,52-Projects!$C$32+1),0)+IF(AND(Projects!$G$33="Yes",Projects!$M$33="Yes",52&gt;=Projects!$C$33,52&lt;Projects!$C$33+Projects!$D$33),Projects!$B$33*INDEX(Curves!$B$4:$AR$4,1,52-Projects!$C$33+1),0)+IF(AND(Projects!$G$34="Yes",Projects!$M$34="Yes",52&gt;=Projects!$C$34,52&lt;Projects!$C$34+Projects!$D$34),Projects!$B$34*INDEX(Curves!$B$4:$AR$4,1,52-Projects!$C$34+1),0)+IF(AND(Projects!$G$35="Yes",Projects!$M$35="Yes",52&gt;=Projects!$C$35,52&lt;Projects!$C$35+Projects!$D$35),Projects!$B$35*INDEX(Curves!$B$4:$AR$4,1,52-Projects!$C$35+1),0)+IF(AND(Projects!$G$36="Yes",Projects!$M$36="Yes",52&gt;=Projects!$C$36,52&lt;Projects!$C$36+Projects!$D$36),Projects!$B$36*INDEX(Curves!$B$4:$AR$4,1,52-Projects!$C$36+1),0)+IF(AND(Projects!$G$37="Yes",Projects!$M$37="Yes",52&gt;=Projects!$C$37,52&lt;Projects!$C$37+Projects!$D$37),Projects!$B$37*INDEX(Curves!$B$4:$AR$4,1,52-Projects!$C$37+1),0)+IF(AND(Projects!$G$38="Yes",Projects!$M$38="Yes",52&gt;=Projects!$C$38,52&lt;Projects!$C$38+Projects!$D$38),Projects!$B$38*INDEX(Curves!$B$4:$AR$4,1,52-Projects!$C$38+1),0)+IF(AND(Projects!$G$39="Yes",Projects!$M$39="Yes",52&gt;=Projects!$C$39,52&lt;Projects!$C$39+Projects!$D$39),Projects!$B$39*INDEX(Curves!$B$4:$AR$4,1,52-Projects!$C$39+1),0)+IF(AND(Projects!$G$40="Yes",Projects!$M$40="Yes",52&gt;=Projects!$C$40,52&lt;Projects!$C$40+Projects!$D$40),Projects!$B$40*INDEX(Curves!$B$4:$AR$4,1,52-Projects!$C$40+1),0)+IF(AND(Projects!$G$41="Yes",Projects!$M$41="Yes",52&gt;=Projects!$C$41,52&lt;Projects!$C$41+Projects!$D$41),Projects!$B$41*INDEX(Curves!$B$4:$AR$4,1,52-Projects!$C$41+1),0)+IF(AND(Projects!$G$42="Yes",Projects!$M$42="Yes",52&gt;=Projects!$C$42,52&lt;Projects!$C$42+Projects!$D$42),Projects!$B$42*INDEX(Curves!$B$4:$AR$4,1,52-Projects!$C$42+1),0)+IF(AND(Projects!$G$43="Yes",Projects!$M$43="Yes",52&gt;=Projects!$C$43,52&lt;Projects!$C$43+Projects!$D$43),Projects!$B$43*INDEX(Curves!$B$4:$AR$4,1,52-Projects!$C$43+1),0)+IF(AND(Projects!$G$44="Yes",Projects!$M$44="Yes",52&gt;=Projects!$C$44,52&lt;Projects!$C$44+Projects!$D$44),Projects!$B$44*INDEX(Curves!$B$4:$AR$4,1,52-Projects!$C$44+1),0)+IF(AND(Projects!$G$45="Yes",Projects!$M$45="Yes",52&gt;=Projects!$C$45,52&lt;Projects!$C$45+Projects!$D$45),Projects!$B$45*INDEX(Curves!$B$4:$AR$4,1,52-Projects!$C$45+1),0)+IF(AND(Projects!$G$46="Yes",Projects!$M$46="Yes",52&gt;=Projects!$C$46,52&lt;Projects!$C$46+Projects!$D$46),Projects!$B$46*INDEX(Curves!$B$4:$AR$4,1,52-Projects!$C$46+1),0)</f>
        <v>1550154</v>
      </c>
      <c r="BF101" s="315" t="n">
        <f aca="false">IF(AND(Projects!$G$17="Yes",Projects!$M$17="Yes",53&gt;=Projects!$C$17,53&lt;Projects!$C$17+Projects!$D$17),Projects!$B$17*INDEX(Curves!$B$4:$AR$4,1,53-Projects!$C$17+1),0)+IF(AND(Projects!$G$18="Yes",Projects!$M$18="Yes",53&gt;=Projects!$C$18,53&lt;Projects!$C$18+Projects!$D$18),Projects!$B$18*INDEX(Curves!$B$4:$AR$4,1,53-Projects!$C$18+1),0)+IF(AND(Projects!$G$19="Yes",Projects!$M$19="Yes",53&gt;=Projects!$C$19,53&lt;Projects!$C$19+Projects!$D$19),Projects!$B$19*INDEX(Curves!$B$4:$AR$4,1,53-Projects!$C$19+1),0)+IF(AND(Projects!$G$20="Yes",Projects!$M$20="Yes",53&gt;=Projects!$C$20,53&lt;Projects!$C$20+Projects!$D$20),Projects!$B$20*INDEX(Curves!$B$4:$AR$4,1,53-Projects!$C$20+1),0)+IF(AND(Projects!$G$21="Yes",Projects!$M$21="Yes",53&gt;=Projects!$C$21,53&lt;Projects!$C$21+Projects!$D$21),Projects!$B$21*INDEX(Curves!$B$4:$AR$4,1,53-Projects!$C$21+1),0)+IF(AND(Projects!$G$22="Yes",Projects!$M$22="Yes",53&gt;=Projects!$C$22,53&lt;Projects!$C$22+Projects!$D$22),Projects!$B$22*INDEX(Curves!$B$4:$AR$4,1,53-Projects!$C$22+1),0)+IF(AND(Projects!$G$23="Yes",Projects!$M$23="Yes",53&gt;=Projects!$C$23,53&lt;Projects!$C$23+Projects!$D$23),Projects!$B$23*INDEX(Curves!$B$4:$AR$4,1,53-Projects!$C$23+1),0)+IF(AND(Projects!$G$24="Yes",Projects!$M$24="Yes",53&gt;=Projects!$C$24,53&lt;Projects!$C$24+Projects!$D$24),Projects!$B$24*INDEX(Curves!$B$4:$AR$4,1,53-Projects!$C$24+1),0)+IF(AND(Projects!$G$25="Yes",Projects!$M$25="Yes",53&gt;=Projects!$C$25,53&lt;Projects!$C$25+Projects!$D$25),Projects!$B$25*INDEX(Curves!$B$4:$AR$4,1,53-Projects!$C$25+1),0)+IF(AND(Projects!$G$26="Yes",Projects!$M$26="Yes",53&gt;=Projects!$C$26,53&lt;Projects!$C$26+Projects!$D$26),Projects!$B$26*INDEX(Curves!$B$4:$AR$4,1,53-Projects!$C$26+1),0)+IF(AND(Projects!$G$27="Yes",Projects!$M$27="Yes",53&gt;=Projects!$C$27,53&lt;Projects!$C$27+Projects!$D$27),Projects!$B$27*INDEX(Curves!$B$4:$AR$4,1,53-Projects!$C$27+1),0)+IF(AND(Projects!$G$28="Yes",Projects!$M$28="Yes",53&gt;=Projects!$C$28,53&lt;Projects!$C$28+Projects!$D$28),Projects!$B$28*INDEX(Curves!$B$4:$AR$4,1,53-Projects!$C$28+1),0)+IF(AND(Projects!$G$29="Yes",Projects!$M$29="Yes",53&gt;=Projects!$C$29,53&lt;Projects!$C$29+Projects!$D$29),Projects!$B$29*INDEX(Curves!$B$4:$AR$4,1,53-Projects!$C$29+1),0)+IF(AND(Projects!$G$30="Yes",Projects!$M$30="Yes",53&gt;=Projects!$C$30,53&lt;Projects!$C$30+Projects!$D$30),Projects!$B$30*INDEX(Curves!$B$4:$AR$4,1,53-Projects!$C$30+1),0)+IF(AND(Projects!$G$31="Yes",Projects!$M$31="Yes",53&gt;=Projects!$C$31,53&lt;Projects!$C$31+Projects!$D$31),Projects!$B$31*INDEX(Curves!$B$4:$AR$4,1,53-Projects!$C$31+1),0)+IF(AND(Projects!$G$32="Yes",Projects!$M$32="Yes",53&gt;=Projects!$C$32,53&lt;Projects!$C$32+Projects!$D$32),Projects!$B$32*INDEX(Curves!$B$4:$AR$4,1,53-Projects!$C$32+1),0)+IF(AND(Projects!$G$33="Yes",Projects!$M$33="Yes",53&gt;=Projects!$C$33,53&lt;Projects!$C$33+Projects!$D$33),Projects!$B$33*INDEX(Curves!$B$4:$AR$4,1,53-Projects!$C$33+1),0)+IF(AND(Projects!$G$34="Yes",Projects!$M$34="Yes",53&gt;=Projects!$C$34,53&lt;Projects!$C$34+Projects!$D$34),Projects!$B$34*INDEX(Curves!$B$4:$AR$4,1,53-Projects!$C$34+1),0)+IF(AND(Projects!$G$35="Yes",Projects!$M$35="Yes",53&gt;=Projects!$C$35,53&lt;Projects!$C$35+Projects!$D$35),Projects!$B$35*INDEX(Curves!$B$4:$AR$4,1,53-Projects!$C$35+1),0)+IF(AND(Projects!$G$36="Yes",Projects!$M$36="Yes",53&gt;=Projects!$C$36,53&lt;Projects!$C$36+Projects!$D$36),Projects!$B$36*INDEX(Curves!$B$4:$AR$4,1,53-Projects!$C$36+1),0)+IF(AND(Projects!$G$37="Yes",Projects!$M$37="Yes",53&gt;=Projects!$C$37,53&lt;Projects!$C$37+Projects!$D$37),Projects!$B$37*INDEX(Curves!$B$4:$AR$4,1,53-Projects!$C$37+1),0)+IF(AND(Projects!$G$38="Yes",Projects!$M$38="Yes",53&gt;=Projects!$C$38,53&lt;Projects!$C$38+Projects!$D$38),Projects!$B$38*INDEX(Curves!$B$4:$AR$4,1,53-Projects!$C$38+1),0)+IF(AND(Projects!$G$39="Yes",Projects!$M$39="Yes",53&gt;=Projects!$C$39,53&lt;Projects!$C$39+Projects!$D$39),Projects!$B$39*INDEX(Curves!$B$4:$AR$4,1,53-Projects!$C$39+1),0)+IF(AND(Projects!$G$40="Yes",Projects!$M$40="Yes",53&gt;=Projects!$C$40,53&lt;Projects!$C$40+Projects!$D$40),Projects!$B$40*INDEX(Curves!$B$4:$AR$4,1,53-Projects!$C$40+1),0)+IF(AND(Projects!$G$41="Yes",Projects!$M$41="Yes",53&gt;=Projects!$C$41,53&lt;Projects!$C$41+Projects!$D$41),Projects!$B$41*INDEX(Curves!$B$4:$AR$4,1,53-Projects!$C$41+1),0)+IF(AND(Projects!$G$42="Yes",Projects!$M$42="Yes",53&gt;=Projects!$C$42,53&lt;Projects!$C$42+Projects!$D$42),Projects!$B$42*INDEX(Curves!$B$4:$AR$4,1,53-Projects!$C$42+1),0)+IF(AND(Projects!$G$43="Yes",Projects!$M$43="Yes",53&gt;=Projects!$C$43,53&lt;Projects!$C$43+Projects!$D$43),Projects!$B$43*INDEX(Curves!$B$4:$AR$4,1,53-Projects!$C$43+1),0)+IF(AND(Projects!$G$44="Yes",Projects!$M$44="Yes",53&gt;=Projects!$C$44,53&lt;Projects!$C$44+Projects!$D$44),Projects!$B$44*INDEX(Curves!$B$4:$AR$4,1,53-Projects!$C$44+1),0)+IF(AND(Projects!$G$45="Yes",Projects!$M$45="Yes",53&gt;=Projects!$C$45,53&lt;Projects!$C$45+Projects!$D$45),Projects!$B$45*INDEX(Curves!$B$4:$AR$4,1,53-Projects!$C$45+1),0)+IF(AND(Projects!$G$46="Yes",Projects!$M$46="Yes",53&gt;=Projects!$C$46,53&lt;Projects!$C$46+Projects!$D$46),Projects!$B$46*INDEX(Curves!$B$4:$AR$4,1,53-Projects!$C$46+1),0)</f>
        <v>1531596</v>
      </c>
      <c r="BG101" s="315" t="n">
        <f aca="false">IF(AND(Projects!$G$17="Yes",Projects!$M$17="Yes",54&gt;=Projects!$C$17,54&lt;Projects!$C$17+Projects!$D$17),Projects!$B$17*INDEX(Curves!$B$4:$AR$4,1,54-Projects!$C$17+1),0)+IF(AND(Projects!$G$18="Yes",Projects!$M$18="Yes",54&gt;=Projects!$C$18,54&lt;Projects!$C$18+Projects!$D$18),Projects!$B$18*INDEX(Curves!$B$4:$AR$4,1,54-Projects!$C$18+1),0)+IF(AND(Projects!$G$19="Yes",Projects!$M$19="Yes",54&gt;=Projects!$C$19,54&lt;Projects!$C$19+Projects!$D$19),Projects!$B$19*INDEX(Curves!$B$4:$AR$4,1,54-Projects!$C$19+1),0)+IF(AND(Projects!$G$20="Yes",Projects!$M$20="Yes",54&gt;=Projects!$C$20,54&lt;Projects!$C$20+Projects!$D$20),Projects!$B$20*INDEX(Curves!$B$4:$AR$4,1,54-Projects!$C$20+1),0)+IF(AND(Projects!$G$21="Yes",Projects!$M$21="Yes",54&gt;=Projects!$C$21,54&lt;Projects!$C$21+Projects!$D$21),Projects!$B$21*INDEX(Curves!$B$4:$AR$4,1,54-Projects!$C$21+1),0)+IF(AND(Projects!$G$22="Yes",Projects!$M$22="Yes",54&gt;=Projects!$C$22,54&lt;Projects!$C$22+Projects!$D$22),Projects!$B$22*INDEX(Curves!$B$4:$AR$4,1,54-Projects!$C$22+1),0)+IF(AND(Projects!$G$23="Yes",Projects!$M$23="Yes",54&gt;=Projects!$C$23,54&lt;Projects!$C$23+Projects!$D$23),Projects!$B$23*INDEX(Curves!$B$4:$AR$4,1,54-Projects!$C$23+1),0)+IF(AND(Projects!$G$24="Yes",Projects!$M$24="Yes",54&gt;=Projects!$C$24,54&lt;Projects!$C$24+Projects!$D$24),Projects!$B$24*INDEX(Curves!$B$4:$AR$4,1,54-Projects!$C$24+1),0)+IF(AND(Projects!$G$25="Yes",Projects!$M$25="Yes",54&gt;=Projects!$C$25,54&lt;Projects!$C$25+Projects!$D$25),Projects!$B$25*INDEX(Curves!$B$4:$AR$4,1,54-Projects!$C$25+1),0)+IF(AND(Projects!$G$26="Yes",Projects!$M$26="Yes",54&gt;=Projects!$C$26,54&lt;Projects!$C$26+Projects!$D$26),Projects!$B$26*INDEX(Curves!$B$4:$AR$4,1,54-Projects!$C$26+1),0)+IF(AND(Projects!$G$27="Yes",Projects!$M$27="Yes",54&gt;=Projects!$C$27,54&lt;Projects!$C$27+Projects!$D$27),Projects!$B$27*INDEX(Curves!$B$4:$AR$4,1,54-Projects!$C$27+1),0)+IF(AND(Projects!$G$28="Yes",Projects!$M$28="Yes",54&gt;=Projects!$C$28,54&lt;Projects!$C$28+Projects!$D$28),Projects!$B$28*INDEX(Curves!$B$4:$AR$4,1,54-Projects!$C$28+1),0)+IF(AND(Projects!$G$29="Yes",Projects!$M$29="Yes",54&gt;=Projects!$C$29,54&lt;Projects!$C$29+Projects!$D$29),Projects!$B$29*INDEX(Curves!$B$4:$AR$4,1,54-Projects!$C$29+1),0)+IF(AND(Projects!$G$30="Yes",Projects!$M$30="Yes",54&gt;=Projects!$C$30,54&lt;Projects!$C$30+Projects!$D$30),Projects!$B$30*INDEX(Curves!$B$4:$AR$4,1,54-Projects!$C$30+1),0)+IF(AND(Projects!$G$31="Yes",Projects!$M$31="Yes",54&gt;=Projects!$C$31,54&lt;Projects!$C$31+Projects!$D$31),Projects!$B$31*INDEX(Curves!$B$4:$AR$4,1,54-Projects!$C$31+1),0)+IF(AND(Projects!$G$32="Yes",Projects!$M$32="Yes",54&gt;=Projects!$C$32,54&lt;Projects!$C$32+Projects!$D$32),Projects!$B$32*INDEX(Curves!$B$4:$AR$4,1,54-Projects!$C$32+1),0)+IF(AND(Projects!$G$33="Yes",Projects!$M$33="Yes",54&gt;=Projects!$C$33,54&lt;Projects!$C$33+Projects!$D$33),Projects!$B$33*INDEX(Curves!$B$4:$AR$4,1,54-Projects!$C$33+1),0)+IF(AND(Projects!$G$34="Yes",Projects!$M$34="Yes",54&gt;=Projects!$C$34,54&lt;Projects!$C$34+Projects!$D$34),Projects!$B$34*INDEX(Curves!$B$4:$AR$4,1,54-Projects!$C$34+1),0)+IF(AND(Projects!$G$35="Yes",Projects!$M$35="Yes",54&gt;=Projects!$C$35,54&lt;Projects!$C$35+Projects!$D$35),Projects!$B$35*INDEX(Curves!$B$4:$AR$4,1,54-Projects!$C$35+1),0)+IF(AND(Projects!$G$36="Yes",Projects!$M$36="Yes",54&gt;=Projects!$C$36,54&lt;Projects!$C$36+Projects!$D$36),Projects!$B$36*INDEX(Curves!$B$4:$AR$4,1,54-Projects!$C$36+1),0)+IF(AND(Projects!$G$37="Yes",Projects!$M$37="Yes",54&gt;=Projects!$C$37,54&lt;Projects!$C$37+Projects!$D$37),Projects!$B$37*INDEX(Curves!$B$4:$AR$4,1,54-Projects!$C$37+1),0)+IF(AND(Projects!$G$38="Yes",Projects!$M$38="Yes",54&gt;=Projects!$C$38,54&lt;Projects!$C$38+Projects!$D$38),Projects!$B$38*INDEX(Curves!$B$4:$AR$4,1,54-Projects!$C$38+1),0)+IF(AND(Projects!$G$39="Yes",Projects!$M$39="Yes",54&gt;=Projects!$C$39,54&lt;Projects!$C$39+Projects!$D$39),Projects!$B$39*INDEX(Curves!$B$4:$AR$4,1,54-Projects!$C$39+1),0)+IF(AND(Projects!$G$40="Yes",Projects!$M$40="Yes",54&gt;=Projects!$C$40,54&lt;Projects!$C$40+Projects!$D$40),Projects!$B$40*INDEX(Curves!$B$4:$AR$4,1,54-Projects!$C$40+1),0)+IF(AND(Projects!$G$41="Yes",Projects!$M$41="Yes",54&gt;=Projects!$C$41,54&lt;Projects!$C$41+Projects!$D$41),Projects!$B$41*INDEX(Curves!$B$4:$AR$4,1,54-Projects!$C$41+1),0)+IF(AND(Projects!$G$42="Yes",Projects!$M$42="Yes",54&gt;=Projects!$C$42,54&lt;Projects!$C$42+Projects!$D$42),Projects!$B$42*INDEX(Curves!$B$4:$AR$4,1,54-Projects!$C$42+1),0)+IF(AND(Projects!$G$43="Yes",Projects!$M$43="Yes",54&gt;=Projects!$C$43,54&lt;Projects!$C$43+Projects!$D$43),Projects!$B$43*INDEX(Curves!$B$4:$AR$4,1,54-Projects!$C$43+1),0)+IF(AND(Projects!$G$44="Yes",Projects!$M$44="Yes",54&gt;=Projects!$C$44,54&lt;Projects!$C$44+Projects!$D$44),Projects!$B$44*INDEX(Curves!$B$4:$AR$4,1,54-Projects!$C$44+1),0)+IF(AND(Projects!$G$45="Yes",Projects!$M$45="Yes",54&gt;=Projects!$C$45,54&lt;Projects!$C$45+Projects!$D$45),Projects!$B$45*INDEX(Curves!$B$4:$AR$4,1,54-Projects!$C$45+1),0)+IF(AND(Projects!$G$46="Yes",Projects!$M$46="Yes",54&gt;=Projects!$C$46,54&lt;Projects!$C$46+Projects!$D$46),Projects!$B$46*INDEX(Curves!$B$4:$AR$4,1,54-Projects!$C$46+1),0)</f>
        <v>1508946</v>
      </c>
      <c r="BH101" s="315" t="n">
        <f aca="false">IF(AND(Projects!$G$17="Yes",Projects!$M$17="Yes",55&gt;=Projects!$C$17,55&lt;Projects!$C$17+Projects!$D$17),Projects!$B$17*INDEX(Curves!$B$4:$AR$4,1,55-Projects!$C$17+1),0)+IF(AND(Projects!$G$18="Yes",Projects!$M$18="Yes",55&gt;=Projects!$C$18,55&lt;Projects!$C$18+Projects!$D$18),Projects!$B$18*INDEX(Curves!$B$4:$AR$4,1,55-Projects!$C$18+1),0)+IF(AND(Projects!$G$19="Yes",Projects!$M$19="Yes",55&gt;=Projects!$C$19,55&lt;Projects!$C$19+Projects!$D$19),Projects!$B$19*INDEX(Curves!$B$4:$AR$4,1,55-Projects!$C$19+1),0)+IF(AND(Projects!$G$20="Yes",Projects!$M$20="Yes",55&gt;=Projects!$C$20,55&lt;Projects!$C$20+Projects!$D$20),Projects!$B$20*INDEX(Curves!$B$4:$AR$4,1,55-Projects!$C$20+1),0)+IF(AND(Projects!$G$21="Yes",Projects!$M$21="Yes",55&gt;=Projects!$C$21,55&lt;Projects!$C$21+Projects!$D$21),Projects!$B$21*INDEX(Curves!$B$4:$AR$4,1,55-Projects!$C$21+1),0)+IF(AND(Projects!$G$22="Yes",Projects!$M$22="Yes",55&gt;=Projects!$C$22,55&lt;Projects!$C$22+Projects!$D$22),Projects!$B$22*INDEX(Curves!$B$4:$AR$4,1,55-Projects!$C$22+1),0)+IF(AND(Projects!$G$23="Yes",Projects!$M$23="Yes",55&gt;=Projects!$C$23,55&lt;Projects!$C$23+Projects!$D$23),Projects!$B$23*INDEX(Curves!$B$4:$AR$4,1,55-Projects!$C$23+1),0)+IF(AND(Projects!$G$24="Yes",Projects!$M$24="Yes",55&gt;=Projects!$C$24,55&lt;Projects!$C$24+Projects!$D$24),Projects!$B$24*INDEX(Curves!$B$4:$AR$4,1,55-Projects!$C$24+1),0)+IF(AND(Projects!$G$25="Yes",Projects!$M$25="Yes",55&gt;=Projects!$C$25,55&lt;Projects!$C$25+Projects!$D$25),Projects!$B$25*INDEX(Curves!$B$4:$AR$4,1,55-Projects!$C$25+1),0)+IF(AND(Projects!$G$26="Yes",Projects!$M$26="Yes",55&gt;=Projects!$C$26,55&lt;Projects!$C$26+Projects!$D$26),Projects!$B$26*INDEX(Curves!$B$4:$AR$4,1,55-Projects!$C$26+1),0)+IF(AND(Projects!$G$27="Yes",Projects!$M$27="Yes",55&gt;=Projects!$C$27,55&lt;Projects!$C$27+Projects!$D$27),Projects!$B$27*INDEX(Curves!$B$4:$AR$4,1,55-Projects!$C$27+1),0)+IF(AND(Projects!$G$28="Yes",Projects!$M$28="Yes",55&gt;=Projects!$C$28,55&lt;Projects!$C$28+Projects!$D$28),Projects!$B$28*INDEX(Curves!$B$4:$AR$4,1,55-Projects!$C$28+1),0)+IF(AND(Projects!$G$29="Yes",Projects!$M$29="Yes",55&gt;=Projects!$C$29,55&lt;Projects!$C$29+Projects!$D$29),Projects!$B$29*INDEX(Curves!$B$4:$AR$4,1,55-Projects!$C$29+1),0)+IF(AND(Projects!$G$30="Yes",Projects!$M$30="Yes",55&gt;=Projects!$C$30,55&lt;Projects!$C$30+Projects!$D$30),Projects!$B$30*INDEX(Curves!$B$4:$AR$4,1,55-Projects!$C$30+1),0)+IF(AND(Projects!$G$31="Yes",Projects!$M$31="Yes",55&gt;=Projects!$C$31,55&lt;Projects!$C$31+Projects!$D$31),Projects!$B$31*INDEX(Curves!$B$4:$AR$4,1,55-Projects!$C$31+1),0)+IF(AND(Projects!$G$32="Yes",Projects!$M$32="Yes",55&gt;=Projects!$C$32,55&lt;Projects!$C$32+Projects!$D$32),Projects!$B$32*INDEX(Curves!$B$4:$AR$4,1,55-Projects!$C$32+1),0)+IF(AND(Projects!$G$33="Yes",Projects!$M$33="Yes",55&gt;=Projects!$C$33,55&lt;Projects!$C$33+Projects!$D$33),Projects!$B$33*INDEX(Curves!$B$4:$AR$4,1,55-Projects!$C$33+1),0)+IF(AND(Projects!$G$34="Yes",Projects!$M$34="Yes",55&gt;=Projects!$C$34,55&lt;Projects!$C$34+Projects!$D$34),Projects!$B$34*INDEX(Curves!$B$4:$AR$4,1,55-Projects!$C$34+1),0)+IF(AND(Projects!$G$35="Yes",Projects!$M$35="Yes",55&gt;=Projects!$C$35,55&lt;Projects!$C$35+Projects!$D$35),Projects!$B$35*INDEX(Curves!$B$4:$AR$4,1,55-Projects!$C$35+1),0)+IF(AND(Projects!$G$36="Yes",Projects!$M$36="Yes",55&gt;=Projects!$C$36,55&lt;Projects!$C$36+Projects!$D$36),Projects!$B$36*INDEX(Curves!$B$4:$AR$4,1,55-Projects!$C$36+1),0)+IF(AND(Projects!$G$37="Yes",Projects!$M$37="Yes",55&gt;=Projects!$C$37,55&lt;Projects!$C$37+Projects!$D$37),Projects!$B$37*INDEX(Curves!$B$4:$AR$4,1,55-Projects!$C$37+1),0)+IF(AND(Projects!$G$38="Yes",Projects!$M$38="Yes",55&gt;=Projects!$C$38,55&lt;Projects!$C$38+Projects!$D$38),Projects!$B$38*INDEX(Curves!$B$4:$AR$4,1,55-Projects!$C$38+1),0)+IF(AND(Projects!$G$39="Yes",Projects!$M$39="Yes",55&gt;=Projects!$C$39,55&lt;Projects!$C$39+Projects!$D$39),Projects!$B$39*INDEX(Curves!$B$4:$AR$4,1,55-Projects!$C$39+1),0)+IF(AND(Projects!$G$40="Yes",Projects!$M$40="Yes",55&gt;=Projects!$C$40,55&lt;Projects!$C$40+Projects!$D$40),Projects!$B$40*INDEX(Curves!$B$4:$AR$4,1,55-Projects!$C$40+1),0)+IF(AND(Projects!$G$41="Yes",Projects!$M$41="Yes",55&gt;=Projects!$C$41,55&lt;Projects!$C$41+Projects!$D$41),Projects!$B$41*INDEX(Curves!$B$4:$AR$4,1,55-Projects!$C$41+1),0)+IF(AND(Projects!$G$42="Yes",Projects!$M$42="Yes",55&gt;=Projects!$C$42,55&lt;Projects!$C$42+Projects!$D$42),Projects!$B$42*INDEX(Curves!$B$4:$AR$4,1,55-Projects!$C$42+1),0)+IF(AND(Projects!$G$43="Yes",Projects!$M$43="Yes",55&gt;=Projects!$C$43,55&lt;Projects!$C$43+Projects!$D$43),Projects!$B$43*INDEX(Curves!$B$4:$AR$4,1,55-Projects!$C$43+1),0)+IF(AND(Projects!$G$44="Yes",Projects!$M$44="Yes",55&gt;=Projects!$C$44,55&lt;Projects!$C$44+Projects!$D$44),Projects!$B$44*INDEX(Curves!$B$4:$AR$4,1,55-Projects!$C$44+1),0)+IF(AND(Projects!$G$45="Yes",Projects!$M$45="Yes",55&gt;=Projects!$C$45,55&lt;Projects!$C$45+Projects!$D$45),Projects!$B$45*INDEX(Curves!$B$4:$AR$4,1,55-Projects!$C$45+1),0)+IF(AND(Projects!$G$46="Yes",Projects!$M$46="Yes",55&gt;=Projects!$C$46,55&lt;Projects!$C$46+Projects!$D$46),Projects!$B$46*INDEX(Curves!$B$4:$AR$4,1,55-Projects!$C$46+1),0)</f>
        <v>1482528</v>
      </c>
      <c r="BI101" s="315" t="n">
        <f aca="false">IF(AND(Projects!$G$17="Yes",Projects!$M$17="Yes",56&gt;=Projects!$C$17,56&lt;Projects!$C$17+Projects!$D$17),Projects!$B$17*INDEX(Curves!$B$4:$AR$4,1,56-Projects!$C$17+1),0)+IF(AND(Projects!$G$18="Yes",Projects!$M$18="Yes",56&gt;=Projects!$C$18,56&lt;Projects!$C$18+Projects!$D$18),Projects!$B$18*INDEX(Curves!$B$4:$AR$4,1,56-Projects!$C$18+1),0)+IF(AND(Projects!$G$19="Yes",Projects!$M$19="Yes",56&gt;=Projects!$C$19,56&lt;Projects!$C$19+Projects!$D$19),Projects!$B$19*INDEX(Curves!$B$4:$AR$4,1,56-Projects!$C$19+1),0)+IF(AND(Projects!$G$20="Yes",Projects!$M$20="Yes",56&gt;=Projects!$C$20,56&lt;Projects!$C$20+Projects!$D$20),Projects!$B$20*INDEX(Curves!$B$4:$AR$4,1,56-Projects!$C$20+1),0)+IF(AND(Projects!$G$21="Yes",Projects!$M$21="Yes",56&gt;=Projects!$C$21,56&lt;Projects!$C$21+Projects!$D$21),Projects!$B$21*INDEX(Curves!$B$4:$AR$4,1,56-Projects!$C$21+1),0)+IF(AND(Projects!$G$22="Yes",Projects!$M$22="Yes",56&gt;=Projects!$C$22,56&lt;Projects!$C$22+Projects!$D$22),Projects!$B$22*INDEX(Curves!$B$4:$AR$4,1,56-Projects!$C$22+1),0)+IF(AND(Projects!$G$23="Yes",Projects!$M$23="Yes",56&gt;=Projects!$C$23,56&lt;Projects!$C$23+Projects!$D$23),Projects!$B$23*INDEX(Curves!$B$4:$AR$4,1,56-Projects!$C$23+1),0)+IF(AND(Projects!$G$24="Yes",Projects!$M$24="Yes",56&gt;=Projects!$C$24,56&lt;Projects!$C$24+Projects!$D$24),Projects!$B$24*INDEX(Curves!$B$4:$AR$4,1,56-Projects!$C$24+1),0)+IF(AND(Projects!$G$25="Yes",Projects!$M$25="Yes",56&gt;=Projects!$C$25,56&lt;Projects!$C$25+Projects!$D$25),Projects!$B$25*INDEX(Curves!$B$4:$AR$4,1,56-Projects!$C$25+1),0)+IF(AND(Projects!$G$26="Yes",Projects!$M$26="Yes",56&gt;=Projects!$C$26,56&lt;Projects!$C$26+Projects!$D$26),Projects!$B$26*INDEX(Curves!$B$4:$AR$4,1,56-Projects!$C$26+1),0)+IF(AND(Projects!$G$27="Yes",Projects!$M$27="Yes",56&gt;=Projects!$C$27,56&lt;Projects!$C$27+Projects!$D$27),Projects!$B$27*INDEX(Curves!$B$4:$AR$4,1,56-Projects!$C$27+1),0)+IF(AND(Projects!$G$28="Yes",Projects!$M$28="Yes",56&gt;=Projects!$C$28,56&lt;Projects!$C$28+Projects!$D$28),Projects!$B$28*INDEX(Curves!$B$4:$AR$4,1,56-Projects!$C$28+1),0)+IF(AND(Projects!$G$29="Yes",Projects!$M$29="Yes",56&gt;=Projects!$C$29,56&lt;Projects!$C$29+Projects!$D$29),Projects!$B$29*INDEX(Curves!$B$4:$AR$4,1,56-Projects!$C$29+1),0)+IF(AND(Projects!$G$30="Yes",Projects!$M$30="Yes",56&gt;=Projects!$C$30,56&lt;Projects!$C$30+Projects!$D$30),Projects!$B$30*INDEX(Curves!$B$4:$AR$4,1,56-Projects!$C$30+1),0)+IF(AND(Projects!$G$31="Yes",Projects!$M$31="Yes",56&gt;=Projects!$C$31,56&lt;Projects!$C$31+Projects!$D$31),Projects!$B$31*INDEX(Curves!$B$4:$AR$4,1,56-Projects!$C$31+1),0)+IF(AND(Projects!$G$32="Yes",Projects!$M$32="Yes",56&gt;=Projects!$C$32,56&lt;Projects!$C$32+Projects!$D$32),Projects!$B$32*INDEX(Curves!$B$4:$AR$4,1,56-Projects!$C$32+1),0)+IF(AND(Projects!$G$33="Yes",Projects!$M$33="Yes",56&gt;=Projects!$C$33,56&lt;Projects!$C$33+Projects!$D$33),Projects!$B$33*INDEX(Curves!$B$4:$AR$4,1,56-Projects!$C$33+1),0)+IF(AND(Projects!$G$34="Yes",Projects!$M$34="Yes",56&gt;=Projects!$C$34,56&lt;Projects!$C$34+Projects!$D$34),Projects!$B$34*INDEX(Curves!$B$4:$AR$4,1,56-Projects!$C$34+1),0)+IF(AND(Projects!$G$35="Yes",Projects!$M$35="Yes",56&gt;=Projects!$C$35,56&lt;Projects!$C$35+Projects!$D$35),Projects!$B$35*INDEX(Curves!$B$4:$AR$4,1,56-Projects!$C$35+1),0)+IF(AND(Projects!$G$36="Yes",Projects!$M$36="Yes",56&gt;=Projects!$C$36,56&lt;Projects!$C$36+Projects!$D$36),Projects!$B$36*INDEX(Curves!$B$4:$AR$4,1,56-Projects!$C$36+1),0)+IF(AND(Projects!$G$37="Yes",Projects!$M$37="Yes",56&gt;=Projects!$C$37,56&lt;Projects!$C$37+Projects!$D$37),Projects!$B$37*INDEX(Curves!$B$4:$AR$4,1,56-Projects!$C$37+1),0)+IF(AND(Projects!$G$38="Yes",Projects!$M$38="Yes",56&gt;=Projects!$C$38,56&lt;Projects!$C$38+Projects!$D$38),Projects!$B$38*INDEX(Curves!$B$4:$AR$4,1,56-Projects!$C$38+1),0)+IF(AND(Projects!$G$39="Yes",Projects!$M$39="Yes",56&gt;=Projects!$C$39,56&lt;Projects!$C$39+Projects!$D$39),Projects!$B$39*INDEX(Curves!$B$4:$AR$4,1,56-Projects!$C$39+1),0)+IF(AND(Projects!$G$40="Yes",Projects!$M$40="Yes",56&gt;=Projects!$C$40,56&lt;Projects!$C$40+Projects!$D$40),Projects!$B$40*INDEX(Curves!$B$4:$AR$4,1,56-Projects!$C$40+1),0)+IF(AND(Projects!$G$41="Yes",Projects!$M$41="Yes",56&gt;=Projects!$C$41,56&lt;Projects!$C$41+Projects!$D$41),Projects!$B$41*INDEX(Curves!$B$4:$AR$4,1,56-Projects!$C$41+1),0)+IF(AND(Projects!$G$42="Yes",Projects!$M$42="Yes",56&gt;=Projects!$C$42,56&lt;Projects!$C$42+Projects!$D$42),Projects!$B$42*INDEX(Curves!$B$4:$AR$4,1,56-Projects!$C$42+1),0)+IF(AND(Projects!$G$43="Yes",Projects!$M$43="Yes",56&gt;=Projects!$C$43,56&lt;Projects!$C$43+Projects!$D$43),Projects!$B$43*INDEX(Curves!$B$4:$AR$4,1,56-Projects!$C$43+1),0)+IF(AND(Projects!$G$44="Yes",Projects!$M$44="Yes",56&gt;=Projects!$C$44,56&lt;Projects!$C$44+Projects!$D$44),Projects!$B$44*INDEX(Curves!$B$4:$AR$4,1,56-Projects!$C$44+1),0)+IF(AND(Projects!$G$45="Yes",Projects!$M$45="Yes",56&gt;=Projects!$C$45,56&lt;Projects!$C$45+Projects!$D$45),Projects!$B$45*INDEX(Curves!$B$4:$AR$4,1,56-Projects!$C$45+1),0)+IF(AND(Projects!$G$46="Yes",Projects!$M$46="Yes",56&gt;=Projects!$C$46,56&lt;Projects!$C$46+Projects!$D$46),Projects!$B$46*INDEX(Curves!$B$4:$AR$4,1,56-Projects!$C$46+1),0)</f>
        <v>1849116</v>
      </c>
      <c r="BJ101" s="315" t="n">
        <f aca="false">IF(AND(Projects!$G$17="Yes",Projects!$M$17="Yes",57&gt;=Projects!$C$17,57&lt;Projects!$C$17+Projects!$D$17),Projects!$B$17*INDEX(Curves!$B$4:$AR$4,1,57-Projects!$C$17+1),0)+IF(AND(Projects!$G$18="Yes",Projects!$M$18="Yes",57&gt;=Projects!$C$18,57&lt;Projects!$C$18+Projects!$D$18),Projects!$B$18*INDEX(Curves!$B$4:$AR$4,1,57-Projects!$C$18+1),0)+IF(AND(Projects!$G$19="Yes",Projects!$M$19="Yes",57&gt;=Projects!$C$19,57&lt;Projects!$C$19+Projects!$D$19),Projects!$B$19*INDEX(Curves!$B$4:$AR$4,1,57-Projects!$C$19+1),0)+IF(AND(Projects!$G$20="Yes",Projects!$M$20="Yes",57&gt;=Projects!$C$20,57&lt;Projects!$C$20+Projects!$D$20),Projects!$B$20*INDEX(Curves!$B$4:$AR$4,1,57-Projects!$C$20+1),0)+IF(AND(Projects!$G$21="Yes",Projects!$M$21="Yes",57&gt;=Projects!$C$21,57&lt;Projects!$C$21+Projects!$D$21),Projects!$B$21*INDEX(Curves!$B$4:$AR$4,1,57-Projects!$C$21+1),0)+IF(AND(Projects!$G$22="Yes",Projects!$M$22="Yes",57&gt;=Projects!$C$22,57&lt;Projects!$C$22+Projects!$D$22),Projects!$B$22*INDEX(Curves!$B$4:$AR$4,1,57-Projects!$C$22+1),0)+IF(AND(Projects!$G$23="Yes",Projects!$M$23="Yes",57&gt;=Projects!$C$23,57&lt;Projects!$C$23+Projects!$D$23),Projects!$B$23*INDEX(Curves!$B$4:$AR$4,1,57-Projects!$C$23+1),0)+IF(AND(Projects!$G$24="Yes",Projects!$M$24="Yes",57&gt;=Projects!$C$24,57&lt;Projects!$C$24+Projects!$D$24),Projects!$B$24*INDEX(Curves!$B$4:$AR$4,1,57-Projects!$C$24+1),0)+IF(AND(Projects!$G$25="Yes",Projects!$M$25="Yes",57&gt;=Projects!$C$25,57&lt;Projects!$C$25+Projects!$D$25),Projects!$B$25*INDEX(Curves!$B$4:$AR$4,1,57-Projects!$C$25+1),0)+IF(AND(Projects!$G$26="Yes",Projects!$M$26="Yes",57&gt;=Projects!$C$26,57&lt;Projects!$C$26+Projects!$D$26),Projects!$B$26*INDEX(Curves!$B$4:$AR$4,1,57-Projects!$C$26+1),0)+IF(AND(Projects!$G$27="Yes",Projects!$M$27="Yes",57&gt;=Projects!$C$27,57&lt;Projects!$C$27+Projects!$D$27),Projects!$B$27*INDEX(Curves!$B$4:$AR$4,1,57-Projects!$C$27+1),0)+IF(AND(Projects!$G$28="Yes",Projects!$M$28="Yes",57&gt;=Projects!$C$28,57&lt;Projects!$C$28+Projects!$D$28),Projects!$B$28*INDEX(Curves!$B$4:$AR$4,1,57-Projects!$C$28+1),0)+IF(AND(Projects!$G$29="Yes",Projects!$M$29="Yes",57&gt;=Projects!$C$29,57&lt;Projects!$C$29+Projects!$D$29),Projects!$B$29*INDEX(Curves!$B$4:$AR$4,1,57-Projects!$C$29+1),0)+IF(AND(Projects!$G$30="Yes",Projects!$M$30="Yes",57&gt;=Projects!$C$30,57&lt;Projects!$C$30+Projects!$D$30),Projects!$B$30*INDEX(Curves!$B$4:$AR$4,1,57-Projects!$C$30+1),0)+IF(AND(Projects!$G$31="Yes",Projects!$M$31="Yes",57&gt;=Projects!$C$31,57&lt;Projects!$C$31+Projects!$D$31),Projects!$B$31*INDEX(Curves!$B$4:$AR$4,1,57-Projects!$C$31+1),0)+IF(AND(Projects!$G$32="Yes",Projects!$M$32="Yes",57&gt;=Projects!$C$32,57&lt;Projects!$C$32+Projects!$D$32),Projects!$B$32*INDEX(Curves!$B$4:$AR$4,1,57-Projects!$C$32+1),0)+IF(AND(Projects!$G$33="Yes",Projects!$M$33="Yes",57&gt;=Projects!$C$33,57&lt;Projects!$C$33+Projects!$D$33),Projects!$B$33*INDEX(Curves!$B$4:$AR$4,1,57-Projects!$C$33+1),0)+IF(AND(Projects!$G$34="Yes",Projects!$M$34="Yes",57&gt;=Projects!$C$34,57&lt;Projects!$C$34+Projects!$D$34),Projects!$B$34*INDEX(Curves!$B$4:$AR$4,1,57-Projects!$C$34+1),0)+IF(AND(Projects!$G$35="Yes",Projects!$M$35="Yes",57&gt;=Projects!$C$35,57&lt;Projects!$C$35+Projects!$D$35),Projects!$B$35*INDEX(Curves!$B$4:$AR$4,1,57-Projects!$C$35+1),0)+IF(AND(Projects!$G$36="Yes",Projects!$M$36="Yes",57&gt;=Projects!$C$36,57&lt;Projects!$C$36+Projects!$D$36),Projects!$B$36*INDEX(Curves!$B$4:$AR$4,1,57-Projects!$C$36+1),0)+IF(AND(Projects!$G$37="Yes",Projects!$M$37="Yes",57&gt;=Projects!$C$37,57&lt;Projects!$C$37+Projects!$D$37),Projects!$B$37*INDEX(Curves!$B$4:$AR$4,1,57-Projects!$C$37+1),0)+IF(AND(Projects!$G$38="Yes",Projects!$M$38="Yes",57&gt;=Projects!$C$38,57&lt;Projects!$C$38+Projects!$D$38),Projects!$B$38*INDEX(Curves!$B$4:$AR$4,1,57-Projects!$C$38+1),0)+IF(AND(Projects!$G$39="Yes",Projects!$M$39="Yes",57&gt;=Projects!$C$39,57&lt;Projects!$C$39+Projects!$D$39),Projects!$B$39*INDEX(Curves!$B$4:$AR$4,1,57-Projects!$C$39+1),0)+IF(AND(Projects!$G$40="Yes",Projects!$M$40="Yes",57&gt;=Projects!$C$40,57&lt;Projects!$C$40+Projects!$D$40),Projects!$B$40*INDEX(Curves!$B$4:$AR$4,1,57-Projects!$C$40+1),0)+IF(AND(Projects!$G$41="Yes",Projects!$M$41="Yes",57&gt;=Projects!$C$41,57&lt;Projects!$C$41+Projects!$D$41),Projects!$B$41*INDEX(Curves!$B$4:$AR$4,1,57-Projects!$C$41+1),0)+IF(AND(Projects!$G$42="Yes",Projects!$M$42="Yes",57&gt;=Projects!$C$42,57&lt;Projects!$C$42+Projects!$D$42),Projects!$B$42*INDEX(Curves!$B$4:$AR$4,1,57-Projects!$C$42+1),0)+IF(AND(Projects!$G$43="Yes",Projects!$M$43="Yes",57&gt;=Projects!$C$43,57&lt;Projects!$C$43+Projects!$D$43),Projects!$B$43*INDEX(Curves!$B$4:$AR$4,1,57-Projects!$C$43+1),0)+IF(AND(Projects!$G$44="Yes",Projects!$M$44="Yes",57&gt;=Projects!$C$44,57&lt;Projects!$C$44+Projects!$D$44),Projects!$B$44*INDEX(Curves!$B$4:$AR$4,1,57-Projects!$C$44+1),0)+IF(AND(Projects!$G$45="Yes",Projects!$M$45="Yes",57&gt;=Projects!$C$45,57&lt;Projects!$C$45+Projects!$D$45),Projects!$B$45*INDEX(Curves!$B$4:$AR$4,1,57-Projects!$C$45+1),0)+IF(AND(Projects!$G$46="Yes",Projects!$M$46="Yes",57&gt;=Projects!$C$46,57&lt;Projects!$C$46+Projects!$D$46),Projects!$B$46*INDEX(Curves!$B$4:$AR$4,1,57-Projects!$C$46+1),0)</f>
        <v>1527975</v>
      </c>
      <c r="BK101" s="315" t="n">
        <f aca="false">IF(AND(Projects!$G$17="Yes",Projects!$M$17="Yes",58&gt;=Projects!$C$17,58&lt;Projects!$C$17+Projects!$D$17),Projects!$B$17*INDEX(Curves!$B$4:$AR$4,1,58-Projects!$C$17+1),0)+IF(AND(Projects!$G$18="Yes",Projects!$M$18="Yes",58&gt;=Projects!$C$18,58&lt;Projects!$C$18+Projects!$D$18),Projects!$B$18*INDEX(Curves!$B$4:$AR$4,1,58-Projects!$C$18+1),0)+IF(AND(Projects!$G$19="Yes",Projects!$M$19="Yes",58&gt;=Projects!$C$19,58&lt;Projects!$C$19+Projects!$D$19),Projects!$B$19*INDEX(Curves!$B$4:$AR$4,1,58-Projects!$C$19+1),0)+IF(AND(Projects!$G$20="Yes",Projects!$M$20="Yes",58&gt;=Projects!$C$20,58&lt;Projects!$C$20+Projects!$D$20),Projects!$B$20*INDEX(Curves!$B$4:$AR$4,1,58-Projects!$C$20+1),0)+IF(AND(Projects!$G$21="Yes",Projects!$M$21="Yes",58&gt;=Projects!$C$21,58&lt;Projects!$C$21+Projects!$D$21),Projects!$B$21*INDEX(Curves!$B$4:$AR$4,1,58-Projects!$C$21+1),0)+IF(AND(Projects!$G$22="Yes",Projects!$M$22="Yes",58&gt;=Projects!$C$22,58&lt;Projects!$C$22+Projects!$D$22),Projects!$B$22*INDEX(Curves!$B$4:$AR$4,1,58-Projects!$C$22+1),0)+IF(AND(Projects!$G$23="Yes",Projects!$M$23="Yes",58&gt;=Projects!$C$23,58&lt;Projects!$C$23+Projects!$D$23),Projects!$B$23*INDEX(Curves!$B$4:$AR$4,1,58-Projects!$C$23+1),0)+IF(AND(Projects!$G$24="Yes",Projects!$M$24="Yes",58&gt;=Projects!$C$24,58&lt;Projects!$C$24+Projects!$D$24),Projects!$B$24*INDEX(Curves!$B$4:$AR$4,1,58-Projects!$C$24+1),0)+IF(AND(Projects!$G$25="Yes",Projects!$M$25="Yes",58&gt;=Projects!$C$25,58&lt;Projects!$C$25+Projects!$D$25),Projects!$B$25*INDEX(Curves!$B$4:$AR$4,1,58-Projects!$C$25+1),0)+IF(AND(Projects!$G$26="Yes",Projects!$M$26="Yes",58&gt;=Projects!$C$26,58&lt;Projects!$C$26+Projects!$D$26),Projects!$B$26*INDEX(Curves!$B$4:$AR$4,1,58-Projects!$C$26+1),0)+IF(AND(Projects!$G$27="Yes",Projects!$M$27="Yes",58&gt;=Projects!$C$27,58&lt;Projects!$C$27+Projects!$D$27),Projects!$B$27*INDEX(Curves!$B$4:$AR$4,1,58-Projects!$C$27+1),0)+IF(AND(Projects!$G$28="Yes",Projects!$M$28="Yes",58&gt;=Projects!$C$28,58&lt;Projects!$C$28+Projects!$D$28),Projects!$B$28*INDEX(Curves!$B$4:$AR$4,1,58-Projects!$C$28+1),0)+IF(AND(Projects!$G$29="Yes",Projects!$M$29="Yes",58&gt;=Projects!$C$29,58&lt;Projects!$C$29+Projects!$D$29),Projects!$B$29*INDEX(Curves!$B$4:$AR$4,1,58-Projects!$C$29+1),0)+IF(AND(Projects!$G$30="Yes",Projects!$M$30="Yes",58&gt;=Projects!$C$30,58&lt;Projects!$C$30+Projects!$D$30),Projects!$B$30*INDEX(Curves!$B$4:$AR$4,1,58-Projects!$C$30+1),0)+IF(AND(Projects!$G$31="Yes",Projects!$M$31="Yes",58&gt;=Projects!$C$31,58&lt;Projects!$C$31+Projects!$D$31),Projects!$B$31*INDEX(Curves!$B$4:$AR$4,1,58-Projects!$C$31+1),0)+IF(AND(Projects!$G$32="Yes",Projects!$M$32="Yes",58&gt;=Projects!$C$32,58&lt;Projects!$C$32+Projects!$D$32),Projects!$B$32*INDEX(Curves!$B$4:$AR$4,1,58-Projects!$C$32+1),0)+IF(AND(Projects!$G$33="Yes",Projects!$M$33="Yes",58&gt;=Projects!$C$33,58&lt;Projects!$C$33+Projects!$D$33),Projects!$B$33*INDEX(Curves!$B$4:$AR$4,1,58-Projects!$C$33+1),0)+IF(AND(Projects!$G$34="Yes",Projects!$M$34="Yes",58&gt;=Projects!$C$34,58&lt;Projects!$C$34+Projects!$D$34),Projects!$B$34*INDEX(Curves!$B$4:$AR$4,1,58-Projects!$C$34+1),0)+IF(AND(Projects!$G$35="Yes",Projects!$M$35="Yes",58&gt;=Projects!$C$35,58&lt;Projects!$C$35+Projects!$D$35),Projects!$B$35*INDEX(Curves!$B$4:$AR$4,1,58-Projects!$C$35+1),0)+IF(AND(Projects!$G$36="Yes",Projects!$M$36="Yes",58&gt;=Projects!$C$36,58&lt;Projects!$C$36+Projects!$D$36),Projects!$B$36*INDEX(Curves!$B$4:$AR$4,1,58-Projects!$C$36+1),0)+IF(AND(Projects!$G$37="Yes",Projects!$M$37="Yes",58&gt;=Projects!$C$37,58&lt;Projects!$C$37+Projects!$D$37),Projects!$B$37*INDEX(Curves!$B$4:$AR$4,1,58-Projects!$C$37+1),0)+IF(AND(Projects!$G$38="Yes",Projects!$M$38="Yes",58&gt;=Projects!$C$38,58&lt;Projects!$C$38+Projects!$D$38),Projects!$B$38*INDEX(Curves!$B$4:$AR$4,1,58-Projects!$C$38+1),0)+IF(AND(Projects!$G$39="Yes",Projects!$M$39="Yes",58&gt;=Projects!$C$39,58&lt;Projects!$C$39+Projects!$D$39),Projects!$B$39*INDEX(Curves!$B$4:$AR$4,1,58-Projects!$C$39+1),0)+IF(AND(Projects!$G$40="Yes",Projects!$M$40="Yes",58&gt;=Projects!$C$40,58&lt;Projects!$C$40+Projects!$D$40),Projects!$B$40*INDEX(Curves!$B$4:$AR$4,1,58-Projects!$C$40+1),0)+IF(AND(Projects!$G$41="Yes",Projects!$M$41="Yes",58&gt;=Projects!$C$41,58&lt;Projects!$C$41+Projects!$D$41),Projects!$B$41*INDEX(Curves!$B$4:$AR$4,1,58-Projects!$C$41+1),0)+IF(AND(Projects!$G$42="Yes",Projects!$M$42="Yes",58&gt;=Projects!$C$42,58&lt;Projects!$C$42+Projects!$D$42),Projects!$B$42*INDEX(Curves!$B$4:$AR$4,1,58-Projects!$C$42+1),0)+IF(AND(Projects!$G$43="Yes",Projects!$M$43="Yes",58&gt;=Projects!$C$43,58&lt;Projects!$C$43+Projects!$D$43),Projects!$B$43*INDEX(Curves!$B$4:$AR$4,1,58-Projects!$C$43+1),0)+IF(AND(Projects!$G$44="Yes",Projects!$M$44="Yes",58&gt;=Projects!$C$44,58&lt;Projects!$C$44+Projects!$D$44),Projects!$B$44*INDEX(Curves!$B$4:$AR$4,1,58-Projects!$C$44+1),0)+IF(AND(Projects!$G$45="Yes",Projects!$M$45="Yes",58&gt;=Projects!$C$45,58&lt;Projects!$C$45+Projects!$D$45),Projects!$B$45*INDEX(Curves!$B$4:$AR$4,1,58-Projects!$C$45+1),0)+IF(AND(Projects!$G$46="Yes",Projects!$M$46="Yes",58&gt;=Projects!$C$46,58&lt;Projects!$C$46+Projects!$D$46),Projects!$B$46*INDEX(Curves!$B$4:$AR$4,1,58-Projects!$C$46+1),0)</f>
        <v>1668210</v>
      </c>
      <c r="BL101" s="315" t="n">
        <f aca="false">IF(AND(Projects!$G$17="Yes",Projects!$M$17="Yes",59&gt;=Projects!$C$17,59&lt;Projects!$C$17+Projects!$D$17),Projects!$B$17*INDEX(Curves!$B$4:$AR$4,1,59-Projects!$C$17+1),0)+IF(AND(Projects!$G$18="Yes",Projects!$M$18="Yes",59&gt;=Projects!$C$18,59&lt;Projects!$C$18+Projects!$D$18),Projects!$B$18*INDEX(Curves!$B$4:$AR$4,1,59-Projects!$C$18+1),0)+IF(AND(Projects!$G$19="Yes",Projects!$M$19="Yes",59&gt;=Projects!$C$19,59&lt;Projects!$C$19+Projects!$D$19),Projects!$B$19*INDEX(Curves!$B$4:$AR$4,1,59-Projects!$C$19+1),0)+IF(AND(Projects!$G$20="Yes",Projects!$M$20="Yes",59&gt;=Projects!$C$20,59&lt;Projects!$C$20+Projects!$D$20),Projects!$B$20*INDEX(Curves!$B$4:$AR$4,1,59-Projects!$C$20+1),0)+IF(AND(Projects!$G$21="Yes",Projects!$M$21="Yes",59&gt;=Projects!$C$21,59&lt;Projects!$C$21+Projects!$D$21),Projects!$B$21*INDEX(Curves!$B$4:$AR$4,1,59-Projects!$C$21+1),0)+IF(AND(Projects!$G$22="Yes",Projects!$M$22="Yes",59&gt;=Projects!$C$22,59&lt;Projects!$C$22+Projects!$D$22),Projects!$B$22*INDEX(Curves!$B$4:$AR$4,1,59-Projects!$C$22+1),0)+IF(AND(Projects!$G$23="Yes",Projects!$M$23="Yes",59&gt;=Projects!$C$23,59&lt;Projects!$C$23+Projects!$D$23),Projects!$B$23*INDEX(Curves!$B$4:$AR$4,1,59-Projects!$C$23+1),0)+IF(AND(Projects!$G$24="Yes",Projects!$M$24="Yes",59&gt;=Projects!$C$24,59&lt;Projects!$C$24+Projects!$D$24),Projects!$B$24*INDEX(Curves!$B$4:$AR$4,1,59-Projects!$C$24+1),0)+IF(AND(Projects!$G$25="Yes",Projects!$M$25="Yes",59&gt;=Projects!$C$25,59&lt;Projects!$C$25+Projects!$D$25),Projects!$B$25*INDEX(Curves!$B$4:$AR$4,1,59-Projects!$C$25+1),0)+IF(AND(Projects!$G$26="Yes",Projects!$M$26="Yes",59&gt;=Projects!$C$26,59&lt;Projects!$C$26+Projects!$D$26),Projects!$B$26*INDEX(Curves!$B$4:$AR$4,1,59-Projects!$C$26+1),0)+IF(AND(Projects!$G$27="Yes",Projects!$M$27="Yes",59&gt;=Projects!$C$27,59&lt;Projects!$C$27+Projects!$D$27),Projects!$B$27*INDEX(Curves!$B$4:$AR$4,1,59-Projects!$C$27+1),0)+IF(AND(Projects!$G$28="Yes",Projects!$M$28="Yes",59&gt;=Projects!$C$28,59&lt;Projects!$C$28+Projects!$D$28),Projects!$B$28*INDEX(Curves!$B$4:$AR$4,1,59-Projects!$C$28+1),0)+IF(AND(Projects!$G$29="Yes",Projects!$M$29="Yes",59&gt;=Projects!$C$29,59&lt;Projects!$C$29+Projects!$D$29),Projects!$B$29*INDEX(Curves!$B$4:$AR$4,1,59-Projects!$C$29+1),0)+IF(AND(Projects!$G$30="Yes",Projects!$M$30="Yes",59&gt;=Projects!$C$30,59&lt;Projects!$C$30+Projects!$D$30),Projects!$B$30*INDEX(Curves!$B$4:$AR$4,1,59-Projects!$C$30+1),0)+IF(AND(Projects!$G$31="Yes",Projects!$M$31="Yes",59&gt;=Projects!$C$31,59&lt;Projects!$C$31+Projects!$D$31),Projects!$B$31*INDEX(Curves!$B$4:$AR$4,1,59-Projects!$C$31+1),0)+IF(AND(Projects!$G$32="Yes",Projects!$M$32="Yes",59&gt;=Projects!$C$32,59&lt;Projects!$C$32+Projects!$D$32),Projects!$B$32*INDEX(Curves!$B$4:$AR$4,1,59-Projects!$C$32+1),0)+IF(AND(Projects!$G$33="Yes",Projects!$M$33="Yes",59&gt;=Projects!$C$33,59&lt;Projects!$C$33+Projects!$D$33),Projects!$B$33*INDEX(Curves!$B$4:$AR$4,1,59-Projects!$C$33+1),0)+IF(AND(Projects!$G$34="Yes",Projects!$M$34="Yes",59&gt;=Projects!$C$34,59&lt;Projects!$C$34+Projects!$D$34),Projects!$B$34*INDEX(Curves!$B$4:$AR$4,1,59-Projects!$C$34+1),0)+IF(AND(Projects!$G$35="Yes",Projects!$M$35="Yes",59&gt;=Projects!$C$35,59&lt;Projects!$C$35+Projects!$D$35),Projects!$B$35*INDEX(Curves!$B$4:$AR$4,1,59-Projects!$C$35+1),0)+IF(AND(Projects!$G$36="Yes",Projects!$M$36="Yes",59&gt;=Projects!$C$36,59&lt;Projects!$C$36+Projects!$D$36),Projects!$B$36*INDEX(Curves!$B$4:$AR$4,1,59-Projects!$C$36+1),0)+IF(AND(Projects!$G$37="Yes",Projects!$M$37="Yes",59&gt;=Projects!$C$37,59&lt;Projects!$C$37+Projects!$D$37),Projects!$B$37*INDEX(Curves!$B$4:$AR$4,1,59-Projects!$C$37+1),0)+IF(AND(Projects!$G$38="Yes",Projects!$M$38="Yes",59&gt;=Projects!$C$38,59&lt;Projects!$C$38+Projects!$D$38),Projects!$B$38*INDEX(Curves!$B$4:$AR$4,1,59-Projects!$C$38+1),0)+IF(AND(Projects!$G$39="Yes",Projects!$M$39="Yes",59&gt;=Projects!$C$39,59&lt;Projects!$C$39+Projects!$D$39),Projects!$B$39*INDEX(Curves!$B$4:$AR$4,1,59-Projects!$C$39+1),0)+IF(AND(Projects!$G$40="Yes",Projects!$M$40="Yes",59&gt;=Projects!$C$40,59&lt;Projects!$C$40+Projects!$D$40),Projects!$B$40*INDEX(Curves!$B$4:$AR$4,1,59-Projects!$C$40+1),0)+IF(AND(Projects!$G$41="Yes",Projects!$M$41="Yes",59&gt;=Projects!$C$41,59&lt;Projects!$C$41+Projects!$D$41),Projects!$B$41*INDEX(Curves!$B$4:$AR$4,1,59-Projects!$C$41+1),0)+IF(AND(Projects!$G$42="Yes",Projects!$M$42="Yes",59&gt;=Projects!$C$42,59&lt;Projects!$C$42+Projects!$D$42),Projects!$B$42*INDEX(Curves!$B$4:$AR$4,1,59-Projects!$C$42+1),0)+IF(AND(Projects!$G$43="Yes",Projects!$M$43="Yes",59&gt;=Projects!$C$43,59&lt;Projects!$C$43+Projects!$D$43),Projects!$B$43*INDEX(Curves!$B$4:$AR$4,1,59-Projects!$C$43+1),0)+IF(AND(Projects!$G$44="Yes",Projects!$M$44="Yes",59&gt;=Projects!$C$44,59&lt;Projects!$C$44+Projects!$D$44),Projects!$B$44*INDEX(Curves!$B$4:$AR$4,1,59-Projects!$C$44+1),0)+IF(AND(Projects!$G$45="Yes",Projects!$M$45="Yes",59&gt;=Projects!$C$45,59&lt;Projects!$C$45+Projects!$D$45),Projects!$B$45*INDEX(Curves!$B$4:$AR$4,1,59-Projects!$C$45+1),0)+IF(AND(Projects!$G$46="Yes",Projects!$M$46="Yes",59&gt;=Projects!$C$46,59&lt;Projects!$C$46+Projects!$D$46),Projects!$B$46*INDEX(Curves!$B$4:$AR$4,1,59-Projects!$C$46+1),0)</f>
        <v>1785630</v>
      </c>
      <c r="BM101" s="315" t="n">
        <f aca="false">IF(AND(Projects!$G$17="Yes",Projects!$M$17="Yes",60&gt;=Projects!$C$17,60&lt;Projects!$C$17+Projects!$D$17),Projects!$B$17*INDEX(Curves!$B$4:$AR$4,1,60-Projects!$C$17+1),0)+IF(AND(Projects!$G$18="Yes",Projects!$M$18="Yes",60&gt;=Projects!$C$18,60&lt;Projects!$C$18+Projects!$D$18),Projects!$B$18*INDEX(Curves!$B$4:$AR$4,1,60-Projects!$C$18+1),0)+IF(AND(Projects!$G$19="Yes",Projects!$M$19="Yes",60&gt;=Projects!$C$19,60&lt;Projects!$C$19+Projects!$D$19),Projects!$B$19*INDEX(Curves!$B$4:$AR$4,1,60-Projects!$C$19+1),0)+IF(AND(Projects!$G$20="Yes",Projects!$M$20="Yes",60&gt;=Projects!$C$20,60&lt;Projects!$C$20+Projects!$D$20),Projects!$B$20*INDEX(Curves!$B$4:$AR$4,1,60-Projects!$C$20+1),0)+IF(AND(Projects!$G$21="Yes",Projects!$M$21="Yes",60&gt;=Projects!$C$21,60&lt;Projects!$C$21+Projects!$D$21),Projects!$B$21*INDEX(Curves!$B$4:$AR$4,1,60-Projects!$C$21+1),0)+IF(AND(Projects!$G$22="Yes",Projects!$M$22="Yes",60&gt;=Projects!$C$22,60&lt;Projects!$C$22+Projects!$D$22),Projects!$B$22*INDEX(Curves!$B$4:$AR$4,1,60-Projects!$C$22+1),0)+IF(AND(Projects!$G$23="Yes",Projects!$M$23="Yes",60&gt;=Projects!$C$23,60&lt;Projects!$C$23+Projects!$D$23),Projects!$B$23*INDEX(Curves!$B$4:$AR$4,1,60-Projects!$C$23+1),0)+IF(AND(Projects!$G$24="Yes",Projects!$M$24="Yes",60&gt;=Projects!$C$24,60&lt;Projects!$C$24+Projects!$D$24),Projects!$B$24*INDEX(Curves!$B$4:$AR$4,1,60-Projects!$C$24+1),0)+IF(AND(Projects!$G$25="Yes",Projects!$M$25="Yes",60&gt;=Projects!$C$25,60&lt;Projects!$C$25+Projects!$D$25),Projects!$B$25*INDEX(Curves!$B$4:$AR$4,1,60-Projects!$C$25+1),0)+IF(AND(Projects!$G$26="Yes",Projects!$M$26="Yes",60&gt;=Projects!$C$26,60&lt;Projects!$C$26+Projects!$D$26),Projects!$B$26*INDEX(Curves!$B$4:$AR$4,1,60-Projects!$C$26+1),0)+IF(AND(Projects!$G$27="Yes",Projects!$M$27="Yes",60&gt;=Projects!$C$27,60&lt;Projects!$C$27+Projects!$D$27),Projects!$B$27*INDEX(Curves!$B$4:$AR$4,1,60-Projects!$C$27+1),0)+IF(AND(Projects!$G$28="Yes",Projects!$M$28="Yes",60&gt;=Projects!$C$28,60&lt;Projects!$C$28+Projects!$D$28),Projects!$B$28*INDEX(Curves!$B$4:$AR$4,1,60-Projects!$C$28+1),0)+IF(AND(Projects!$G$29="Yes",Projects!$M$29="Yes",60&gt;=Projects!$C$29,60&lt;Projects!$C$29+Projects!$D$29),Projects!$B$29*INDEX(Curves!$B$4:$AR$4,1,60-Projects!$C$29+1),0)+IF(AND(Projects!$G$30="Yes",Projects!$M$30="Yes",60&gt;=Projects!$C$30,60&lt;Projects!$C$30+Projects!$D$30),Projects!$B$30*INDEX(Curves!$B$4:$AR$4,1,60-Projects!$C$30+1),0)+IF(AND(Projects!$G$31="Yes",Projects!$M$31="Yes",60&gt;=Projects!$C$31,60&lt;Projects!$C$31+Projects!$D$31),Projects!$B$31*INDEX(Curves!$B$4:$AR$4,1,60-Projects!$C$31+1),0)+IF(AND(Projects!$G$32="Yes",Projects!$M$32="Yes",60&gt;=Projects!$C$32,60&lt;Projects!$C$32+Projects!$D$32),Projects!$B$32*INDEX(Curves!$B$4:$AR$4,1,60-Projects!$C$32+1),0)+IF(AND(Projects!$G$33="Yes",Projects!$M$33="Yes",60&gt;=Projects!$C$33,60&lt;Projects!$C$33+Projects!$D$33),Projects!$B$33*INDEX(Curves!$B$4:$AR$4,1,60-Projects!$C$33+1),0)+IF(AND(Projects!$G$34="Yes",Projects!$M$34="Yes",60&gt;=Projects!$C$34,60&lt;Projects!$C$34+Projects!$D$34),Projects!$B$34*INDEX(Curves!$B$4:$AR$4,1,60-Projects!$C$34+1),0)+IF(AND(Projects!$G$35="Yes",Projects!$M$35="Yes",60&gt;=Projects!$C$35,60&lt;Projects!$C$35+Projects!$D$35),Projects!$B$35*INDEX(Curves!$B$4:$AR$4,1,60-Projects!$C$35+1),0)+IF(AND(Projects!$G$36="Yes",Projects!$M$36="Yes",60&gt;=Projects!$C$36,60&lt;Projects!$C$36+Projects!$D$36),Projects!$B$36*INDEX(Curves!$B$4:$AR$4,1,60-Projects!$C$36+1),0)+IF(AND(Projects!$G$37="Yes",Projects!$M$37="Yes",60&gt;=Projects!$C$37,60&lt;Projects!$C$37+Projects!$D$37),Projects!$B$37*INDEX(Curves!$B$4:$AR$4,1,60-Projects!$C$37+1),0)+IF(AND(Projects!$G$38="Yes",Projects!$M$38="Yes",60&gt;=Projects!$C$38,60&lt;Projects!$C$38+Projects!$D$38),Projects!$B$38*INDEX(Curves!$B$4:$AR$4,1,60-Projects!$C$38+1),0)+IF(AND(Projects!$G$39="Yes",Projects!$M$39="Yes",60&gt;=Projects!$C$39,60&lt;Projects!$C$39+Projects!$D$39),Projects!$B$39*INDEX(Curves!$B$4:$AR$4,1,60-Projects!$C$39+1),0)+IF(AND(Projects!$G$40="Yes",Projects!$M$40="Yes",60&gt;=Projects!$C$40,60&lt;Projects!$C$40+Projects!$D$40),Projects!$B$40*INDEX(Curves!$B$4:$AR$4,1,60-Projects!$C$40+1),0)+IF(AND(Projects!$G$41="Yes",Projects!$M$41="Yes",60&gt;=Projects!$C$41,60&lt;Projects!$C$41+Projects!$D$41),Projects!$B$41*INDEX(Curves!$B$4:$AR$4,1,60-Projects!$C$41+1),0)+IF(AND(Projects!$G$42="Yes",Projects!$M$42="Yes",60&gt;=Projects!$C$42,60&lt;Projects!$C$42+Projects!$D$42),Projects!$B$42*INDEX(Curves!$B$4:$AR$4,1,60-Projects!$C$42+1),0)+IF(AND(Projects!$G$43="Yes",Projects!$M$43="Yes",60&gt;=Projects!$C$43,60&lt;Projects!$C$43+Projects!$D$43),Projects!$B$43*INDEX(Curves!$B$4:$AR$4,1,60-Projects!$C$43+1),0)+IF(AND(Projects!$G$44="Yes",Projects!$M$44="Yes",60&gt;=Projects!$C$44,60&lt;Projects!$C$44+Projects!$D$44),Projects!$B$44*INDEX(Curves!$B$4:$AR$4,1,60-Projects!$C$44+1),0)+IF(AND(Projects!$G$45="Yes",Projects!$M$45="Yes",60&gt;=Projects!$C$45,60&lt;Projects!$C$45+Projects!$D$45),Projects!$B$45*INDEX(Curves!$B$4:$AR$4,1,60-Projects!$C$45+1),0)+IF(AND(Projects!$G$46="Yes",Projects!$M$46="Yes",60&gt;=Projects!$C$46,60&lt;Projects!$C$46+Projects!$D$46),Projects!$B$46*INDEX(Curves!$B$4:$AR$4,1,60-Projects!$C$46+1),0)</f>
        <v>1874250</v>
      </c>
      <c r="BN101" s="315" t="n">
        <f aca="false">IF(AND(Projects!$G$17="Yes",Projects!$M$17="Yes",61&gt;=Projects!$C$17,61&lt;Projects!$C$17+Projects!$D$17),Projects!$B$17*INDEX(Curves!$B$4:$AR$4,1,61-Projects!$C$17+1),0)+IF(AND(Projects!$G$18="Yes",Projects!$M$18="Yes",61&gt;=Projects!$C$18,61&lt;Projects!$C$18+Projects!$D$18),Projects!$B$18*INDEX(Curves!$B$4:$AR$4,1,61-Projects!$C$18+1),0)+IF(AND(Projects!$G$19="Yes",Projects!$M$19="Yes",61&gt;=Projects!$C$19,61&lt;Projects!$C$19+Projects!$D$19),Projects!$B$19*INDEX(Curves!$B$4:$AR$4,1,61-Projects!$C$19+1),0)+IF(AND(Projects!$G$20="Yes",Projects!$M$20="Yes",61&gt;=Projects!$C$20,61&lt;Projects!$C$20+Projects!$D$20),Projects!$B$20*INDEX(Curves!$B$4:$AR$4,1,61-Projects!$C$20+1),0)+IF(AND(Projects!$G$21="Yes",Projects!$M$21="Yes",61&gt;=Projects!$C$21,61&lt;Projects!$C$21+Projects!$D$21),Projects!$B$21*INDEX(Curves!$B$4:$AR$4,1,61-Projects!$C$21+1),0)+IF(AND(Projects!$G$22="Yes",Projects!$M$22="Yes",61&gt;=Projects!$C$22,61&lt;Projects!$C$22+Projects!$D$22),Projects!$B$22*INDEX(Curves!$B$4:$AR$4,1,61-Projects!$C$22+1),0)+IF(AND(Projects!$G$23="Yes",Projects!$M$23="Yes",61&gt;=Projects!$C$23,61&lt;Projects!$C$23+Projects!$D$23),Projects!$B$23*INDEX(Curves!$B$4:$AR$4,1,61-Projects!$C$23+1),0)+IF(AND(Projects!$G$24="Yes",Projects!$M$24="Yes",61&gt;=Projects!$C$24,61&lt;Projects!$C$24+Projects!$D$24),Projects!$B$24*INDEX(Curves!$B$4:$AR$4,1,61-Projects!$C$24+1),0)+IF(AND(Projects!$G$25="Yes",Projects!$M$25="Yes",61&gt;=Projects!$C$25,61&lt;Projects!$C$25+Projects!$D$25),Projects!$B$25*INDEX(Curves!$B$4:$AR$4,1,61-Projects!$C$25+1),0)+IF(AND(Projects!$G$26="Yes",Projects!$M$26="Yes",61&gt;=Projects!$C$26,61&lt;Projects!$C$26+Projects!$D$26),Projects!$B$26*INDEX(Curves!$B$4:$AR$4,1,61-Projects!$C$26+1),0)+IF(AND(Projects!$G$27="Yes",Projects!$M$27="Yes",61&gt;=Projects!$C$27,61&lt;Projects!$C$27+Projects!$D$27),Projects!$B$27*INDEX(Curves!$B$4:$AR$4,1,61-Projects!$C$27+1),0)+IF(AND(Projects!$G$28="Yes",Projects!$M$28="Yes",61&gt;=Projects!$C$28,61&lt;Projects!$C$28+Projects!$D$28),Projects!$B$28*INDEX(Curves!$B$4:$AR$4,1,61-Projects!$C$28+1),0)+IF(AND(Projects!$G$29="Yes",Projects!$M$29="Yes",61&gt;=Projects!$C$29,61&lt;Projects!$C$29+Projects!$D$29),Projects!$B$29*INDEX(Curves!$B$4:$AR$4,1,61-Projects!$C$29+1),0)+IF(AND(Projects!$G$30="Yes",Projects!$M$30="Yes",61&gt;=Projects!$C$30,61&lt;Projects!$C$30+Projects!$D$30),Projects!$B$30*INDEX(Curves!$B$4:$AR$4,1,61-Projects!$C$30+1),0)+IF(AND(Projects!$G$31="Yes",Projects!$M$31="Yes",61&gt;=Projects!$C$31,61&lt;Projects!$C$31+Projects!$D$31),Projects!$B$31*INDEX(Curves!$B$4:$AR$4,1,61-Projects!$C$31+1),0)+IF(AND(Projects!$G$32="Yes",Projects!$M$32="Yes",61&gt;=Projects!$C$32,61&lt;Projects!$C$32+Projects!$D$32),Projects!$B$32*INDEX(Curves!$B$4:$AR$4,1,61-Projects!$C$32+1),0)+IF(AND(Projects!$G$33="Yes",Projects!$M$33="Yes",61&gt;=Projects!$C$33,61&lt;Projects!$C$33+Projects!$D$33),Projects!$B$33*INDEX(Curves!$B$4:$AR$4,1,61-Projects!$C$33+1),0)+IF(AND(Projects!$G$34="Yes",Projects!$M$34="Yes",61&gt;=Projects!$C$34,61&lt;Projects!$C$34+Projects!$D$34),Projects!$B$34*INDEX(Curves!$B$4:$AR$4,1,61-Projects!$C$34+1),0)+IF(AND(Projects!$G$35="Yes",Projects!$M$35="Yes",61&gt;=Projects!$C$35,61&lt;Projects!$C$35+Projects!$D$35),Projects!$B$35*INDEX(Curves!$B$4:$AR$4,1,61-Projects!$C$35+1),0)+IF(AND(Projects!$G$36="Yes",Projects!$M$36="Yes",61&gt;=Projects!$C$36,61&lt;Projects!$C$36+Projects!$D$36),Projects!$B$36*INDEX(Curves!$B$4:$AR$4,1,61-Projects!$C$36+1),0)+IF(AND(Projects!$G$37="Yes",Projects!$M$37="Yes",61&gt;=Projects!$C$37,61&lt;Projects!$C$37+Projects!$D$37),Projects!$B$37*INDEX(Curves!$B$4:$AR$4,1,61-Projects!$C$37+1),0)+IF(AND(Projects!$G$38="Yes",Projects!$M$38="Yes",61&gt;=Projects!$C$38,61&lt;Projects!$C$38+Projects!$D$38),Projects!$B$38*INDEX(Curves!$B$4:$AR$4,1,61-Projects!$C$38+1),0)+IF(AND(Projects!$G$39="Yes",Projects!$M$39="Yes",61&gt;=Projects!$C$39,61&lt;Projects!$C$39+Projects!$D$39),Projects!$B$39*INDEX(Curves!$B$4:$AR$4,1,61-Projects!$C$39+1),0)+IF(AND(Projects!$G$40="Yes",Projects!$M$40="Yes",61&gt;=Projects!$C$40,61&lt;Projects!$C$40+Projects!$D$40),Projects!$B$40*INDEX(Curves!$B$4:$AR$4,1,61-Projects!$C$40+1),0)+IF(AND(Projects!$G$41="Yes",Projects!$M$41="Yes",61&gt;=Projects!$C$41,61&lt;Projects!$C$41+Projects!$D$41),Projects!$B$41*INDEX(Curves!$B$4:$AR$4,1,61-Projects!$C$41+1),0)+IF(AND(Projects!$G$42="Yes",Projects!$M$42="Yes",61&gt;=Projects!$C$42,61&lt;Projects!$C$42+Projects!$D$42),Projects!$B$42*INDEX(Curves!$B$4:$AR$4,1,61-Projects!$C$42+1),0)+IF(AND(Projects!$G$43="Yes",Projects!$M$43="Yes",61&gt;=Projects!$C$43,61&lt;Projects!$C$43+Projects!$D$43),Projects!$B$43*INDEX(Curves!$B$4:$AR$4,1,61-Projects!$C$43+1),0)+IF(AND(Projects!$G$44="Yes",Projects!$M$44="Yes",61&gt;=Projects!$C$44,61&lt;Projects!$C$44+Projects!$D$44),Projects!$B$44*INDEX(Curves!$B$4:$AR$4,1,61-Projects!$C$44+1),0)+IF(AND(Projects!$G$45="Yes",Projects!$M$45="Yes",61&gt;=Projects!$C$45,61&lt;Projects!$C$45+Projects!$D$45),Projects!$B$45*INDEX(Curves!$B$4:$AR$4,1,61-Projects!$C$45+1),0)+IF(AND(Projects!$G$46="Yes",Projects!$M$46="Yes",61&gt;=Projects!$C$46,61&lt;Projects!$C$46+Projects!$D$46),Projects!$B$46*INDEX(Curves!$B$4:$AR$4,1,61-Projects!$C$46+1),0)</f>
        <v>1929390</v>
      </c>
      <c r="BO101" s="315" t="n">
        <f aca="false">IF(AND(Projects!$G$17="Yes",Projects!$M$17="Yes",62&gt;=Projects!$C$17,62&lt;Projects!$C$17+Projects!$D$17),Projects!$B$17*INDEX(Curves!$B$4:$AR$4,1,62-Projects!$C$17+1),0)+IF(AND(Projects!$G$18="Yes",Projects!$M$18="Yes",62&gt;=Projects!$C$18,62&lt;Projects!$C$18+Projects!$D$18),Projects!$B$18*INDEX(Curves!$B$4:$AR$4,1,62-Projects!$C$18+1),0)+IF(AND(Projects!$G$19="Yes",Projects!$M$19="Yes",62&gt;=Projects!$C$19,62&lt;Projects!$C$19+Projects!$D$19),Projects!$B$19*INDEX(Curves!$B$4:$AR$4,1,62-Projects!$C$19+1),0)+IF(AND(Projects!$G$20="Yes",Projects!$M$20="Yes",62&gt;=Projects!$C$20,62&lt;Projects!$C$20+Projects!$D$20),Projects!$B$20*INDEX(Curves!$B$4:$AR$4,1,62-Projects!$C$20+1),0)+IF(AND(Projects!$G$21="Yes",Projects!$M$21="Yes",62&gt;=Projects!$C$21,62&lt;Projects!$C$21+Projects!$D$21),Projects!$B$21*INDEX(Curves!$B$4:$AR$4,1,62-Projects!$C$21+1),0)+IF(AND(Projects!$G$22="Yes",Projects!$M$22="Yes",62&gt;=Projects!$C$22,62&lt;Projects!$C$22+Projects!$D$22),Projects!$B$22*INDEX(Curves!$B$4:$AR$4,1,62-Projects!$C$22+1),0)+IF(AND(Projects!$G$23="Yes",Projects!$M$23="Yes",62&gt;=Projects!$C$23,62&lt;Projects!$C$23+Projects!$D$23),Projects!$B$23*INDEX(Curves!$B$4:$AR$4,1,62-Projects!$C$23+1),0)+IF(AND(Projects!$G$24="Yes",Projects!$M$24="Yes",62&gt;=Projects!$C$24,62&lt;Projects!$C$24+Projects!$D$24),Projects!$B$24*INDEX(Curves!$B$4:$AR$4,1,62-Projects!$C$24+1),0)+IF(AND(Projects!$G$25="Yes",Projects!$M$25="Yes",62&gt;=Projects!$C$25,62&lt;Projects!$C$25+Projects!$D$25),Projects!$B$25*INDEX(Curves!$B$4:$AR$4,1,62-Projects!$C$25+1),0)+IF(AND(Projects!$G$26="Yes",Projects!$M$26="Yes",62&gt;=Projects!$C$26,62&lt;Projects!$C$26+Projects!$D$26),Projects!$B$26*INDEX(Curves!$B$4:$AR$4,1,62-Projects!$C$26+1),0)+IF(AND(Projects!$G$27="Yes",Projects!$M$27="Yes",62&gt;=Projects!$C$27,62&lt;Projects!$C$27+Projects!$D$27),Projects!$B$27*INDEX(Curves!$B$4:$AR$4,1,62-Projects!$C$27+1),0)+IF(AND(Projects!$G$28="Yes",Projects!$M$28="Yes",62&gt;=Projects!$C$28,62&lt;Projects!$C$28+Projects!$D$28),Projects!$B$28*INDEX(Curves!$B$4:$AR$4,1,62-Projects!$C$28+1),0)+IF(AND(Projects!$G$29="Yes",Projects!$M$29="Yes",62&gt;=Projects!$C$29,62&lt;Projects!$C$29+Projects!$D$29),Projects!$B$29*INDEX(Curves!$B$4:$AR$4,1,62-Projects!$C$29+1),0)+IF(AND(Projects!$G$30="Yes",Projects!$M$30="Yes",62&gt;=Projects!$C$30,62&lt;Projects!$C$30+Projects!$D$30),Projects!$B$30*INDEX(Curves!$B$4:$AR$4,1,62-Projects!$C$30+1),0)+IF(AND(Projects!$G$31="Yes",Projects!$M$31="Yes",62&gt;=Projects!$C$31,62&lt;Projects!$C$31+Projects!$D$31),Projects!$B$31*INDEX(Curves!$B$4:$AR$4,1,62-Projects!$C$31+1),0)+IF(AND(Projects!$G$32="Yes",Projects!$M$32="Yes",62&gt;=Projects!$C$32,62&lt;Projects!$C$32+Projects!$D$32),Projects!$B$32*INDEX(Curves!$B$4:$AR$4,1,62-Projects!$C$32+1),0)+IF(AND(Projects!$G$33="Yes",Projects!$M$33="Yes",62&gt;=Projects!$C$33,62&lt;Projects!$C$33+Projects!$D$33),Projects!$B$33*INDEX(Curves!$B$4:$AR$4,1,62-Projects!$C$33+1),0)+IF(AND(Projects!$G$34="Yes",Projects!$M$34="Yes",62&gt;=Projects!$C$34,62&lt;Projects!$C$34+Projects!$D$34),Projects!$B$34*INDEX(Curves!$B$4:$AR$4,1,62-Projects!$C$34+1),0)+IF(AND(Projects!$G$35="Yes",Projects!$M$35="Yes",62&gt;=Projects!$C$35,62&lt;Projects!$C$35+Projects!$D$35),Projects!$B$35*INDEX(Curves!$B$4:$AR$4,1,62-Projects!$C$35+1),0)+IF(AND(Projects!$G$36="Yes",Projects!$M$36="Yes",62&gt;=Projects!$C$36,62&lt;Projects!$C$36+Projects!$D$36),Projects!$B$36*INDEX(Curves!$B$4:$AR$4,1,62-Projects!$C$36+1),0)+IF(AND(Projects!$G$37="Yes",Projects!$M$37="Yes",62&gt;=Projects!$C$37,62&lt;Projects!$C$37+Projects!$D$37),Projects!$B$37*INDEX(Curves!$B$4:$AR$4,1,62-Projects!$C$37+1),0)+IF(AND(Projects!$G$38="Yes",Projects!$M$38="Yes",62&gt;=Projects!$C$38,62&lt;Projects!$C$38+Projects!$D$38),Projects!$B$38*INDEX(Curves!$B$4:$AR$4,1,62-Projects!$C$38+1),0)+IF(AND(Projects!$G$39="Yes",Projects!$M$39="Yes",62&gt;=Projects!$C$39,62&lt;Projects!$C$39+Projects!$D$39),Projects!$B$39*INDEX(Curves!$B$4:$AR$4,1,62-Projects!$C$39+1),0)+IF(AND(Projects!$G$40="Yes",Projects!$M$40="Yes",62&gt;=Projects!$C$40,62&lt;Projects!$C$40+Projects!$D$40),Projects!$B$40*INDEX(Curves!$B$4:$AR$4,1,62-Projects!$C$40+1),0)+IF(AND(Projects!$G$41="Yes",Projects!$M$41="Yes",62&gt;=Projects!$C$41,62&lt;Projects!$C$41+Projects!$D$41),Projects!$B$41*INDEX(Curves!$B$4:$AR$4,1,62-Projects!$C$41+1),0)+IF(AND(Projects!$G$42="Yes",Projects!$M$42="Yes",62&gt;=Projects!$C$42,62&lt;Projects!$C$42+Projects!$D$42),Projects!$B$42*INDEX(Curves!$B$4:$AR$4,1,62-Projects!$C$42+1),0)+IF(AND(Projects!$G$43="Yes",Projects!$M$43="Yes",62&gt;=Projects!$C$43,62&lt;Projects!$C$43+Projects!$D$43),Projects!$B$43*INDEX(Curves!$B$4:$AR$4,1,62-Projects!$C$43+1),0)+IF(AND(Projects!$G$44="Yes",Projects!$M$44="Yes",62&gt;=Projects!$C$44,62&lt;Projects!$C$44+Projects!$D$44),Projects!$B$44*INDEX(Curves!$B$4:$AR$4,1,62-Projects!$C$44+1),0)+IF(AND(Projects!$G$45="Yes",Projects!$M$45="Yes",62&gt;=Projects!$C$45,62&lt;Projects!$C$45+Projects!$D$45),Projects!$B$45*INDEX(Curves!$B$4:$AR$4,1,62-Projects!$C$45+1),0)+IF(AND(Projects!$G$46="Yes",Projects!$M$46="Yes",62&gt;=Projects!$C$46,62&lt;Projects!$C$46+Projects!$D$46),Projects!$B$46*INDEX(Curves!$B$4:$AR$4,1,62-Projects!$C$46+1),0)</f>
        <v>1948110</v>
      </c>
      <c r="BP101" s="315" t="n">
        <f aca="false">IF(AND(Projects!$G$17="Yes",Projects!$M$17="Yes",63&gt;=Projects!$C$17,63&lt;Projects!$C$17+Projects!$D$17),Projects!$B$17*INDEX(Curves!$B$4:$AR$4,1,63-Projects!$C$17+1),0)+IF(AND(Projects!$G$18="Yes",Projects!$M$18="Yes",63&gt;=Projects!$C$18,63&lt;Projects!$C$18+Projects!$D$18),Projects!$B$18*INDEX(Curves!$B$4:$AR$4,1,63-Projects!$C$18+1),0)+IF(AND(Projects!$G$19="Yes",Projects!$M$19="Yes",63&gt;=Projects!$C$19,63&lt;Projects!$C$19+Projects!$D$19),Projects!$B$19*INDEX(Curves!$B$4:$AR$4,1,63-Projects!$C$19+1),0)+IF(AND(Projects!$G$20="Yes",Projects!$M$20="Yes",63&gt;=Projects!$C$20,63&lt;Projects!$C$20+Projects!$D$20),Projects!$B$20*INDEX(Curves!$B$4:$AR$4,1,63-Projects!$C$20+1),0)+IF(AND(Projects!$G$21="Yes",Projects!$M$21="Yes",63&gt;=Projects!$C$21,63&lt;Projects!$C$21+Projects!$D$21),Projects!$B$21*INDEX(Curves!$B$4:$AR$4,1,63-Projects!$C$21+1),0)+IF(AND(Projects!$G$22="Yes",Projects!$M$22="Yes",63&gt;=Projects!$C$22,63&lt;Projects!$C$22+Projects!$D$22),Projects!$B$22*INDEX(Curves!$B$4:$AR$4,1,63-Projects!$C$22+1),0)+IF(AND(Projects!$G$23="Yes",Projects!$M$23="Yes",63&gt;=Projects!$C$23,63&lt;Projects!$C$23+Projects!$D$23),Projects!$B$23*INDEX(Curves!$B$4:$AR$4,1,63-Projects!$C$23+1),0)+IF(AND(Projects!$G$24="Yes",Projects!$M$24="Yes",63&gt;=Projects!$C$24,63&lt;Projects!$C$24+Projects!$D$24),Projects!$B$24*INDEX(Curves!$B$4:$AR$4,1,63-Projects!$C$24+1),0)+IF(AND(Projects!$G$25="Yes",Projects!$M$25="Yes",63&gt;=Projects!$C$25,63&lt;Projects!$C$25+Projects!$D$25),Projects!$B$25*INDEX(Curves!$B$4:$AR$4,1,63-Projects!$C$25+1),0)+IF(AND(Projects!$G$26="Yes",Projects!$M$26="Yes",63&gt;=Projects!$C$26,63&lt;Projects!$C$26+Projects!$D$26),Projects!$B$26*INDEX(Curves!$B$4:$AR$4,1,63-Projects!$C$26+1),0)+IF(AND(Projects!$G$27="Yes",Projects!$M$27="Yes",63&gt;=Projects!$C$27,63&lt;Projects!$C$27+Projects!$D$27),Projects!$B$27*INDEX(Curves!$B$4:$AR$4,1,63-Projects!$C$27+1),0)+IF(AND(Projects!$G$28="Yes",Projects!$M$28="Yes",63&gt;=Projects!$C$28,63&lt;Projects!$C$28+Projects!$D$28),Projects!$B$28*INDEX(Curves!$B$4:$AR$4,1,63-Projects!$C$28+1),0)+IF(AND(Projects!$G$29="Yes",Projects!$M$29="Yes",63&gt;=Projects!$C$29,63&lt;Projects!$C$29+Projects!$D$29),Projects!$B$29*INDEX(Curves!$B$4:$AR$4,1,63-Projects!$C$29+1),0)+IF(AND(Projects!$G$30="Yes",Projects!$M$30="Yes",63&gt;=Projects!$C$30,63&lt;Projects!$C$30+Projects!$D$30),Projects!$B$30*INDEX(Curves!$B$4:$AR$4,1,63-Projects!$C$30+1),0)+IF(AND(Projects!$G$31="Yes",Projects!$M$31="Yes",63&gt;=Projects!$C$31,63&lt;Projects!$C$31+Projects!$D$31),Projects!$B$31*INDEX(Curves!$B$4:$AR$4,1,63-Projects!$C$31+1),0)+IF(AND(Projects!$G$32="Yes",Projects!$M$32="Yes",63&gt;=Projects!$C$32,63&lt;Projects!$C$32+Projects!$D$32),Projects!$B$32*INDEX(Curves!$B$4:$AR$4,1,63-Projects!$C$32+1),0)+IF(AND(Projects!$G$33="Yes",Projects!$M$33="Yes",63&gt;=Projects!$C$33,63&lt;Projects!$C$33+Projects!$D$33),Projects!$B$33*INDEX(Curves!$B$4:$AR$4,1,63-Projects!$C$33+1),0)+IF(AND(Projects!$G$34="Yes",Projects!$M$34="Yes",63&gt;=Projects!$C$34,63&lt;Projects!$C$34+Projects!$D$34),Projects!$B$34*INDEX(Curves!$B$4:$AR$4,1,63-Projects!$C$34+1),0)+IF(AND(Projects!$G$35="Yes",Projects!$M$35="Yes",63&gt;=Projects!$C$35,63&lt;Projects!$C$35+Projects!$D$35),Projects!$B$35*INDEX(Curves!$B$4:$AR$4,1,63-Projects!$C$35+1),0)+IF(AND(Projects!$G$36="Yes",Projects!$M$36="Yes",63&gt;=Projects!$C$36,63&lt;Projects!$C$36+Projects!$D$36),Projects!$B$36*INDEX(Curves!$B$4:$AR$4,1,63-Projects!$C$36+1),0)+IF(AND(Projects!$G$37="Yes",Projects!$M$37="Yes",63&gt;=Projects!$C$37,63&lt;Projects!$C$37+Projects!$D$37),Projects!$B$37*INDEX(Curves!$B$4:$AR$4,1,63-Projects!$C$37+1),0)+IF(AND(Projects!$G$38="Yes",Projects!$M$38="Yes",63&gt;=Projects!$C$38,63&lt;Projects!$C$38+Projects!$D$38),Projects!$B$38*INDEX(Curves!$B$4:$AR$4,1,63-Projects!$C$38+1),0)+IF(AND(Projects!$G$39="Yes",Projects!$M$39="Yes",63&gt;=Projects!$C$39,63&lt;Projects!$C$39+Projects!$D$39),Projects!$B$39*INDEX(Curves!$B$4:$AR$4,1,63-Projects!$C$39+1),0)+IF(AND(Projects!$G$40="Yes",Projects!$M$40="Yes",63&gt;=Projects!$C$40,63&lt;Projects!$C$40+Projects!$D$40),Projects!$B$40*INDEX(Curves!$B$4:$AR$4,1,63-Projects!$C$40+1),0)+IF(AND(Projects!$G$41="Yes",Projects!$M$41="Yes",63&gt;=Projects!$C$41,63&lt;Projects!$C$41+Projects!$D$41),Projects!$B$41*INDEX(Curves!$B$4:$AR$4,1,63-Projects!$C$41+1),0)+IF(AND(Projects!$G$42="Yes",Projects!$M$42="Yes",63&gt;=Projects!$C$42,63&lt;Projects!$C$42+Projects!$D$42),Projects!$B$42*INDEX(Curves!$B$4:$AR$4,1,63-Projects!$C$42+1),0)+IF(AND(Projects!$G$43="Yes",Projects!$M$43="Yes",63&gt;=Projects!$C$43,63&lt;Projects!$C$43+Projects!$D$43),Projects!$B$43*INDEX(Curves!$B$4:$AR$4,1,63-Projects!$C$43+1),0)+IF(AND(Projects!$G$44="Yes",Projects!$M$44="Yes",63&gt;=Projects!$C$44,63&lt;Projects!$C$44+Projects!$D$44),Projects!$B$44*INDEX(Curves!$B$4:$AR$4,1,63-Projects!$C$44+1),0)+IF(AND(Projects!$G$45="Yes",Projects!$M$45="Yes",63&gt;=Projects!$C$45,63&lt;Projects!$C$45+Projects!$D$45),Projects!$B$45*INDEX(Curves!$B$4:$AR$4,1,63-Projects!$C$45+1),0)+IF(AND(Projects!$G$46="Yes",Projects!$M$46="Yes",63&gt;=Projects!$C$46,63&lt;Projects!$C$46+Projects!$D$46),Projects!$B$46*INDEX(Curves!$B$4:$AR$4,1,63-Projects!$C$46+1),0)</f>
        <v>1929390</v>
      </c>
      <c r="BQ101" s="315" t="n">
        <f aca="false">IF(AND(Projects!$G$17="Yes",Projects!$M$17="Yes",64&gt;=Projects!$C$17,64&lt;Projects!$C$17+Projects!$D$17),Projects!$B$17*INDEX(Curves!$B$4:$AR$4,1,64-Projects!$C$17+1),0)+IF(AND(Projects!$G$18="Yes",Projects!$M$18="Yes",64&gt;=Projects!$C$18,64&lt;Projects!$C$18+Projects!$D$18),Projects!$B$18*INDEX(Curves!$B$4:$AR$4,1,64-Projects!$C$18+1),0)+IF(AND(Projects!$G$19="Yes",Projects!$M$19="Yes",64&gt;=Projects!$C$19,64&lt;Projects!$C$19+Projects!$D$19),Projects!$B$19*INDEX(Curves!$B$4:$AR$4,1,64-Projects!$C$19+1),0)+IF(AND(Projects!$G$20="Yes",Projects!$M$20="Yes",64&gt;=Projects!$C$20,64&lt;Projects!$C$20+Projects!$D$20),Projects!$B$20*INDEX(Curves!$B$4:$AR$4,1,64-Projects!$C$20+1),0)+IF(AND(Projects!$G$21="Yes",Projects!$M$21="Yes",64&gt;=Projects!$C$21,64&lt;Projects!$C$21+Projects!$D$21),Projects!$B$21*INDEX(Curves!$B$4:$AR$4,1,64-Projects!$C$21+1),0)+IF(AND(Projects!$G$22="Yes",Projects!$M$22="Yes",64&gt;=Projects!$C$22,64&lt;Projects!$C$22+Projects!$D$22),Projects!$B$22*INDEX(Curves!$B$4:$AR$4,1,64-Projects!$C$22+1),0)+IF(AND(Projects!$G$23="Yes",Projects!$M$23="Yes",64&gt;=Projects!$C$23,64&lt;Projects!$C$23+Projects!$D$23),Projects!$B$23*INDEX(Curves!$B$4:$AR$4,1,64-Projects!$C$23+1),0)+IF(AND(Projects!$G$24="Yes",Projects!$M$24="Yes",64&gt;=Projects!$C$24,64&lt;Projects!$C$24+Projects!$D$24),Projects!$B$24*INDEX(Curves!$B$4:$AR$4,1,64-Projects!$C$24+1),0)+IF(AND(Projects!$G$25="Yes",Projects!$M$25="Yes",64&gt;=Projects!$C$25,64&lt;Projects!$C$25+Projects!$D$25),Projects!$B$25*INDEX(Curves!$B$4:$AR$4,1,64-Projects!$C$25+1),0)+IF(AND(Projects!$G$26="Yes",Projects!$M$26="Yes",64&gt;=Projects!$C$26,64&lt;Projects!$C$26+Projects!$D$26),Projects!$B$26*INDEX(Curves!$B$4:$AR$4,1,64-Projects!$C$26+1),0)+IF(AND(Projects!$G$27="Yes",Projects!$M$27="Yes",64&gt;=Projects!$C$27,64&lt;Projects!$C$27+Projects!$D$27),Projects!$B$27*INDEX(Curves!$B$4:$AR$4,1,64-Projects!$C$27+1),0)+IF(AND(Projects!$G$28="Yes",Projects!$M$28="Yes",64&gt;=Projects!$C$28,64&lt;Projects!$C$28+Projects!$D$28),Projects!$B$28*INDEX(Curves!$B$4:$AR$4,1,64-Projects!$C$28+1),0)+IF(AND(Projects!$G$29="Yes",Projects!$M$29="Yes",64&gt;=Projects!$C$29,64&lt;Projects!$C$29+Projects!$D$29),Projects!$B$29*INDEX(Curves!$B$4:$AR$4,1,64-Projects!$C$29+1),0)+IF(AND(Projects!$G$30="Yes",Projects!$M$30="Yes",64&gt;=Projects!$C$30,64&lt;Projects!$C$30+Projects!$D$30),Projects!$B$30*INDEX(Curves!$B$4:$AR$4,1,64-Projects!$C$30+1),0)+IF(AND(Projects!$G$31="Yes",Projects!$M$31="Yes",64&gt;=Projects!$C$31,64&lt;Projects!$C$31+Projects!$D$31),Projects!$B$31*INDEX(Curves!$B$4:$AR$4,1,64-Projects!$C$31+1),0)+IF(AND(Projects!$G$32="Yes",Projects!$M$32="Yes",64&gt;=Projects!$C$32,64&lt;Projects!$C$32+Projects!$D$32),Projects!$B$32*INDEX(Curves!$B$4:$AR$4,1,64-Projects!$C$32+1),0)+IF(AND(Projects!$G$33="Yes",Projects!$M$33="Yes",64&gt;=Projects!$C$33,64&lt;Projects!$C$33+Projects!$D$33),Projects!$B$33*INDEX(Curves!$B$4:$AR$4,1,64-Projects!$C$33+1),0)+IF(AND(Projects!$G$34="Yes",Projects!$M$34="Yes",64&gt;=Projects!$C$34,64&lt;Projects!$C$34+Projects!$D$34),Projects!$B$34*INDEX(Curves!$B$4:$AR$4,1,64-Projects!$C$34+1),0)+IF(AND(Projects!$G$35="Yes",Projects!$M$35="Yes",64&gt;=Projects!$C$35,64&lt;Projects!$C$35+Projects!$D$35),Projects!$B$35*INDEX(Curves!$B$4:$AR$4,1,64-Projects!$C$35+1),0)+IF(AND(Projects!$G$36="Yes",Projects!$M$36="Yes",64&gt;=Projects!$C$36,64&lt;Projects!$C$36+Projects!$D$36),Projects!$B$36*INDEX(Curves!$B$4:$AR$4,1,64-Projects!$C$36+1),0)+IF(AND(Projects!$G$37="Yes",Projects!$M$37="Yes",64&gt;=Projects!$C$37,64&lt;Projects!$C$37+Projects!$D$37),Projects!$B$37*INDEX(Curves!$B$4:$AR$4,1,64-Projects!$C$37+1),0)+IF(AND(Projects!$G$38="Yes",Projects!$M$38="Yes",64&gt;=Projects!$C$38,64&lt;Projects!$C$38+Projects!$D$38),Projects!$B$38*INDEX(Curves!$B$4:$AR$4,1,64-Projects!$C$38+1),0)+IF(AND(Projects!$G$39="Yes",Projects!$M$39="Yes",64&gt;=Projects!$C$39,64&lt;Projects!$C$39+Projects!$D$39),Projects!$B$39*INDEX(Curves!$B$4:$AR$4,1,64-Projects!$C$39+1),0)+IF(AND(Projects!$G$40="Yes",Projects!$M$40="Yes",64&gt;=Projects!$C$40,64&lt;Projects!$C$40+Projects!$D$40),Projects!$B$40*INDEX(Curves!$B$4:$AR$4,1,64-Projects!$C$40+1),0)+IF(AND(Projects!$G$41="Yes",Projects!$M$41="Yes",64&gt;=Projects!$C$41,64&lt;Projects!$C$41+Projects!$D$41),Projects!$B$41*INDEX(Curves!$B$4:$AR$4,1,64-Projects!$C$41+1),0)+IF(AND(Projects!$G$42="Yes",Projects!$M$42="Yes",64&gt;=Projects!$C$42,64&lt;Projects!$C$42+Projects!$D$42),Projects!$B$42*INDEX(Curves!$B$4:$AR$4,1,64-Projects!$C$42+1),0)+IF(AND(Projects!$G$43="Yes",Projects!$M$43="Yes",64&gt;=Projects!$C$43,64&lt;Projects!$C$43+Projects!$D$43),Projects!$B$43*INDEX(Curves!$B$4:$AR$4,1,64-Projects!$C$43+1),0)+IF(AND(Projects!$G$44="Yes",Projects!$M$44="Yes",64&gt;=Projects!$C$44,64&lt;Projects!$C$44+Projects!$D$44),Projects!$B$44*INDEX(Curves!$B$4:$AR$4,1,64-Projects!$C$44+1),0)+IF(AND(Projects!$G$45="Yes",Projects!$M$45="Yes",64&gt;=Projects!$C$45,64&lt;Projects!$C$45+Projects!$D$45),Projects!$B$45*INDEX(Curves!$B$4:$AR$4,1,64-Projects!$C$45+1),0)+IF(AND(Projects!$G$46="Yes",Projects!$M$46="Yes",64&gt;=Projects!$C$46,64&lt;Projects!$C$46+Projects!$D$46),Projects!$B$46*INDEX(Curves!$B$4:$AR$4,1,64-Projects!$C$46+1),0)</f>
        <v>1874250</v>
      </c>
      <c r="BR101" s="315" t="n">
        <f aca="false">IF(AND(Projects!$G$17="Yes",Projects!$M$17="Yes",65&gt;=Projects!$C$17,65&lt;Projects!$C$17+Projects!$D$17),Projects!$B$17*INDEX(Curves!$B$4:$AR$4,1,65-Projects!$C$17+1),0)+IF(AND(Projects!$G$18="Yes",Projects!$M$18="Yes",65&gt;=Projects!$C$18,65&lt;Projects!$C$18+Projects!$D$18),Projects!$B$18*INDEX(Curves!$B$4:$AR$4,1,65-Projects!$C$18+1),0)+IF(AND(Projects!$G$19="Yes",Projects!$M$19="Yes",65&gt;=Projects!$C$19,65&lt;Projects!$C$19+Projects!$D$19),Projects!$B$19*INDEX(Curves!$B$4:$AR$4,1,65-Projects!$C$19+1),0)+IF(AND(Projects!$G$20="Yes",Projects!$M$20="Yes",65&gt;=Projects!$C$20,65&lt;Projects!$C$20+Projects!$D$20),Projects!$B$20*INDEX(Curves!$B$4:$AR$4,1,65-Projects!$C$20+1),0)+IF(AND(Projects!$G$21="Yes",Projects!$M$21="Yes",65&gt;=Projects!$C$21,65&lt;Projects!$C$21+Projects!$D$21),Projects!$B$21*INDEX(Curves!$B$4:$AR$4,1,65-Projects!$C$21+1),0)+IF(AND(Projects!$G$22="Yes",Projects!$M$22="Yes",65&gt;=Projects!$C$22,65&lt;Projects!$C$22+Projects!$D$22),Projects!$B$22*INDEX(Curves!$B$4:$AR$4,1,65-Projects!$C$22+1),0)+IF(AND(Projects!$G$23="Yes",Projects!$M$23="Yes",65&gt;=Projects!$C$23,65&lt;Projects!$C$23+Projects!$D$23),Projects!$B$23*INDEX(Curves!$B$4:$AR$4,1,65-Projects!$C$23+1),0)+IF(AND(Projects!$G$24="Yes",Projects!$M$24="Yes",65&gt;=Projects!$C$24,65&lt;Projects!$C$24+Projects!$D$24),Projects!$B$24*INDEX(Curves!$B$4:$AR$4,1,65-Projects!$C$24+1),0)+IF(AND(Projects!$G$25="Yes",Projects!$M$25="Yes",65&gt;=Projects!$C$25,65&lt;Projects!$C$25+Projects!$D$25),Projects!$B$25*INDEX(Curves!$B$4:$AR$4,1,65-Projects!$C$25+1),0)+IF(AND(Projects!$G$26="Yes",Projects!$M$26="Yes",65&gt;=Projects!$C$26,65&lt;Projects!$C$26+Projects!$D$26),Projects!$B$26*INDEX(Curves!$B$4:$AR$4,1,65-Projects!$C$26+1),0)+IF(AND(Projects!$G$27="Yes",Projects!$M$27="Yes",65&gt;=Projects!$C$27,65&lt;Projects!$C$27+Projects!$D$27),Projects!$B$27*INDEX(Curves!$B$4:$AR$4,1,65-Projects!$C$27+1),0)+IF(AND(Projects!$G$28="Yes",Projects!$M$28="Yes",65&gt;=Projects!$C$28,65&lt;Projects!$C$28+Projects!$D$28),Projects!$B$28*INDEX(Curves!$B$4:$AR$4,1,65-Projects!$C$28+1),0)+IF(AND(Projects!$G$29="Yes",Projects!$M$29="Yes",65&gt;=Projects!$C$29,65&lt;Projects!$C$29+Projects!$D$29),Projects!$B$29*INDEX(Curves!$B$4:$AR$4,1,65-Projects!$C$29+1),0)+IF(AND(Projects!$G$30="Yes",Projects!$M$30="Yes",65&gt;=Projects!$C$30,65&lt;Projects!$C$30+Projects!$D$30),Projects!$B$30*INDEX(Curves!$B$4:$AR$4,1,65-Projects!$C$30+1),0)+IF(AND(Projects!$G$31="Yes",Projects!$M$31="Yes",65&gt;=Projects!$C$31,65&lt;Projects!$C$31+Projects!$D$31),Projects!$B$31*INDEX(Curves!$B$4:$AR$4,1,65-Projects!$C$31+1),0)+IF(AND(Projects!$G$32="Yes",Projects!$M$32="Yes",65&gt;=Projects!$C$32,65&lt;Projects!$C$32+Projects!$D$32),Projects!$B$32*INDEX(Curves!$B$4:$AR$4,1,65-Projects!$C$32+1),0)+IF(AND(Projects!$G$33="Yes",Projects!$M$33="Yes",65&gt;=Projects!$C$33,65&lt;Projects!$C$33+Projects!$D$33),Projects!$B$33*INDEX(Curves!$B$4:$AR$4,1,65-Projects!$C$33+1),0)+IF(AND(Projects!$G$34="Yes",Projects!$M$34="Yes",65&gt;=Projects!$C$34,65&lt;Projects!$C$34+Projects!$D$34),Projects!$B$34*INDEX(Curves!$B$4:$AR$4,1,65-Projects!$C$34+1),0)+IF(AND(Projects!$G$35="Yes",Projects!$M$35="Yes",65&gt;=Projects!$C$35,65&lt;Projects!$C$35+Projects!$D$35),Projects!$B$35*INDEX(Curves!$B$4:$AR$4,1,65-Projects!$C$35+1),0)+IF(AND(Projects!$G$36="Yes",Projects!$M$36="Yes",65&gt;=Projects!$C$36,65&lt;Projects!$C$36+Projects!$D$36),Projects!$B$36*INDEX(Curves!$B$4:$AR$4,1,65-Projects!$C$36+1),0)+IF(AND(Projects!$G$37="Yes",Projects!$M$37="Yes",65&gt;=Projects!$C$37,65&lt;Projects!$C$37+Projects!$D$37),Projects!$B$37*INDEX(Curves!$B$4:$AR$4,1,65-Projects!$C$37+1),0)+IF(AND(Projects!$G$38="Yes",Projects!$M$38="Yes",65&gt;=Projects!$C$38,65&lt;Projects!$C$38+Projects!$D$38),Projects!$B$38*INDEX(Curves!$B$4:$AR$4,1,65-Projects!$C$38+1),0)+IF(AND(Projects!$G$39="Yes",Projects!$M$39="Yes",65&gt;=Projects!$C$39,65&lt;Projects!$C$39+Projects!$D$39),Projects!$B$39*INDEX(Curves!$B$4:$AR$4,1,65-Projects!$C$39+1),0)+IF(AND(Projects!$G$40="Yes",Projects!$M$40="Yes",65&gt;=Projects!$C$40,65&lt;Projects!$C$40+Projects!$D$40),Projects!$B$40*INDEX(Curves!$B$4:$AR$4,1,65-Projects!$C$40+1),0)+IF(AND(Projects!$G$41="Yes",Projects!$M$41="Yes",65&gt;=Projects!$C$41,65&lt;Projects!$C$41+Projects!$D$41),Projects!$B$41*INDEX(Curves!$B$4:$AR$4,1,65-Projects!$C$41+1),0)+IF(AND(Projects!$G$42="Yes",Projects!$M$42="Yes",65&gt;=Projects!$C$42,65&lt;Projects!$C$42+Projects!$D$42),Projects!$B$42*INDEX(Curves!$B$4:$AR$4,1,65-Projects!$C$42+1),0)+IF(AND(Projects!$G$43="Yes",Projects!$M$43="Yes",65&gt;=Projects!$C$43,65&lt;Projects!$C$43+Projects!$D$43),Projects!$B$43*INDEX(Curves!$B$4:$AR$4,1,65-Projects!$C$43+1),0)+IF(AND(Projects!$G$44="Yes",Projects!$M$44="Yes",65&gt;=Projects!$C$44,65&lt;Projects!$C$44+Projects!$D$44),Projects!$B$44*INDEX(Curves!$B$4:$AR$4,1,65-Projects!$C$44+1),0)+IF(AND(Projects!$G$45="Yes",Projects!$M$45="Yes",65&gt;=Projects!$C$45,65&lt;Projects!$C$45+Projects!$D$45),Projects!$B$45*INDEX(Curves!$B$4:$AR$4,1,65-Projects!$C$45+1),0)+IF(AND(Projects!$G$46="Yes",Projects!$M$46="Yes",65&gt;=Projects!$C$46,65&lt;Projects!$C$46+Projects!$D$46),Projects!$B$46*INDEX(Curves!$B$4:$AR$4,1,65-Projects!$C$46+1),0)</f>
        <v>1785630</v>
      </c>
      <c r="BS101" s="315" t="n">
        <f aca="false">IF(AND(Projects!$G$17="Yes",Projects!$M$17="Yes",66&gt;=Projects!$C$17,66&lt;Projects!$C$17+Projects!$D$17),Projects!$B$17*INDEX(Curves!$B$4:$AR$4,1,66-Projects!$C$17+1),0)+IF(AND(Projects!$G$18="Yes",Projects!$M$18="Yes",66&gt;=Projects!$C$18,66&lt;Projects!$C$18+Projects!$D$18),Projects!$B$18*INDEX(Curves!$B$4:$AR$4,1,66-Projects!$C$18+1),0)+IF(AND(Projects!$G$19="Yes",Projects!$M$19="Yes",66&gt;=Projects!$C$19,66&lt;Projects!$C$19+Projects!$D$19),Projects!$B$19*INDEX(Curves!$B$4:$AR$4,1,66-Projects!$C$19+1),0)+IF(AND(Projects!$G$20="Yes",Projects!$M$20="Yes",66&gt;=Projects!$C$20,66&lt;Projects!$C$20+Projects!$D$20),Projects!$B$20*INDEX(Curves!$B$4:$AR$4,1,66-Projects!$C$20+1),0)+IF(AND(Projects!$G$21="Yes",Projects!$M$21="Yes",66&gt;=Projects!$C$21,66&lt;Projects!$C$21+Projects!$D$21),Projects!$B$21*INDEX(Curves!$B$4:$AR$4,1,66-Projects!$C$21+1),0)+IF(AND(Projects!$G$22="Yes",Projects!$M$22="Yes",66&gt;=Projects!$C$22,66&lt;Projects!$C$22+Projects!$D$22),Projects!$B$22*INDEX(Curves!$B$4:$AR$4,1,66-Projects!$C$22+1),0)+IF(AND(Projects!$G$23="Yes",Projects!$M$23="Yes",66&gt;=Projects!$C$23,66&lt;Projects!$C$23+Projects!$D$23),Projects!$B$23*INDEX(Curves!$B$4:$AR$4,1,66-Projects!$C$23+1),0)+IF(AND(Projects!$G$24="Yes",Projects!$M$24="Yes",66&gt;=Projects!$C$24,66&lt;Projects!$C$24+Projects!$D$24),Projects!$B$24*INDEX(Curves!$B$4:$AR$4,1,66-Projects!$C$24+1),0)+IF(AND(Projects!$G$25="Yes",Projects!$M$25="Yes",66&gt;=Projects!$C$25,66&lt;Projects!$C$25+Projects!$D$25),Projects!$B$25*INDEX(Curves!$B$4:$AR$4,1,66-Projects!$C$25+1),0)+IF(AND(Projects!$G$26="Yes",Projects!$M$26="Yes",66&gt;=Projects!$C$26,66&lt;Projects!$C$26+Projects!$D$26),Projects!$B$26*INDEX(Curves!$B$4:$AR$4,1,66-Projects!$C$26+1),0)+IF(AND(Projects!$G$27="Yes",Projects!$M$27="Yes",66&gt;=Projects!$C$27,66&lt;Projects!$C$27+Projects!$D$27),Projects!$B$27*INDEX(Curves!$B$4:$AR$4,1,66-Projects!$C$27+1),0)+IF(AND(Projects!$G$28="Yes",Projects!$M$28="Yes",66&gt;=Projects!$C$28,66&lt;Projects!$C$28+Projects!$D$28),Projects!$B$28*INDEX(Curves!$B$4:$AR$4,1,66-Projects!$C$28+1),0)+IF(AND(Projects!$G$29="Yes",Projects!$M$29="Yes",66&gt;=Projects!$C$29,66&lt;Projects!$C$29+Projects!$D$29),Projects!$B$29*INDEX(Curves!$B$4:$AR$4,1,66-Projects!$C$29+1),0)+IF(AND(Projects!$G$30="Yes",Projects!$M$30="Yes",66&gt;=Projects!$C$30,66&lt;Projects!$C$30+Projects!$D$30),Projects!$B$30*INDEX(Curves!$B$4:$AR$4,1,66-Projects!$C$30+1),0)+IF(AND(Projects!$G$31="Yes",Projects!$M$31="Yes",66&gt;=Projects!$C$31,66&lt;Projects!$C$31+Projects!$D$31),Projects!$B$31*INDEX(Curves!$B$4:$AR$4,1,66-Projects!$C$31+1),0)+IF(AND(Projects!$G$32="Yes",Projects!$M$32="Yes",66&gt;=Projects!$C$32,66&lt;Projects!$C$32+Projects!$D$32),Projects!$B$32*INDEX(Curves!$B$4:$AR$4,1,66-Projects!$C$32+1),0)+IF(AND(Projects!$G$33="Yes",Projects!$M$33="Yes",66&gt;=Projects!$C$33,66&lt;Projects!$C$33+Projects!$D$33),Projects!$B$33*INDEX(Curves!$B$4:$AR$4,1,66-Projects!$C$33+1),0)+IF(AND(Projects!$G$34="Yes",Projects!$M$34="Yes",66&gt;=Projects!$C$34,66&lt;Projects!$C$34+Projects!$D$34),Projects!$B$34*INDEX(Curves!$B$4:$AR$4,1,66-Projects!$C$34+1),0)+IF(AND(Projects!$G$35="Yes",Projects!$M$35="Yes",66&gt;=Projects!$C$35,66&lt;Projects!$C$35+Projects!$D$35),Projects!$B$35*INDEX(Curves!$B$4:$AR$4,1,66-Projects!$C$35+1),0)+IF(AND(Projects!$G$36="Yes",Projects!$M$36="Yes",66&gt;=Projects!$C$36,66&lt;Projects!$C$36+Projects!$D$36),Projects!$B$36*INDEX(Curves!$B$4:$AR$4,1,66-Projects!$C$36+1),0)+IF(AND(Projects!$G$37="Yes",Projects!$M$37="Yes",66&gt;=Projects!$C$37,66&lt;Projects!$C$37+Projects!$D$37),Projects!$B$37*INDEX(Curves!$B$4:$AR$4,1,66-Projects!$C$37+1),0)+IF(AND(Projects!$G$38="Yes",Projects!$M$38="Yes",66&gt;=Projects!$C$38,66&lt;Projects!$C$38+Projects!$D$38),Projects!$B$38*INDEX(Curves!$B$4:$AR$4,1,66-Projects!$C$38+1),0)+IF(AND(Projects!$G$39="Yes",Projects!$M$39="Yes",66&gt;=Projects!$C$39,66&lt;Projects!$C$39+Projects!$D$39),Projects!$B$39*INDEX(Curves!$B$4:$AR$4,1,66-Projects!$C$39+1),0)+IF(AND(Projects!$G$40="Yes",Projects!$M$40="Yes",66&gt;=Projects!$C$40,66&lt;Projects!$C$40+Projects!$D$40),Projects!$B$40*INDEX(Curves!$B$4:$AR$4,1,66-Projects!$C$40+1),0)+IF(AND(Projects!$G$41="Yes",Projects!$M$41="Yes",66&gt;=Projects!$C$41,66&lt;Projects!$C$41+Projects!$D$41),Projects!$B$41*INDEX(Curves!$B$4:$AR$4,1,66-Projects!$C$41+1),0)+IF(AND(Projects!$G$42="Yes",Projects!$M$42="Yes",66&gt;=Projects!$C$42,66&lt;Projects!$C$42+Projects!$D$42),Projects!$B$42*INDEX(Curves!$B$4:$AR$4,1,66-Projects!$C$42+1),0)+IF(AND(Projects!$G$43="Yes",Projects!$M$43="Yes",66&gt;=Projects!$C$43,66&lt;Projects!$C$43+Projects!$D$43),Projects!$B$43*INDEX(Curves!$B$4:$AR$4,1,66-Projects!$C$43+1),0)+IF(AND(Projects!$G$44="Yes",Projects!$M$44="Yes",66&gt;=Projects!$C$44,66&lt;Projects!$C$44+Projects!$D$44),Projects!$B$44*INDEX(Curves!$B$4:$AR$4,1,66-Projects!$C$44+1),0)+IF(AND(Projects!$G$45="Yes",Projects!$M$45="Yes",66&gt;=Projects!$C$45,66&lt;Projects!$C$45+Projects!$D$45),Projects!$B$45*INDEX(Curves!$B$4:$AR$4,1,66-Projects!$C$45+1),0)+IF(AND(Projects!$G$46="Yes",Projects!$M$46="Yes",66&gt;=Projects!$C$46,66&lt;Projects!$C$46+Projects!$D$46),Projects!$B$46*INDEX(Curves!$B$4:$AR$4,1,66-Projects!$C$46+1),0)</f>
        <v>1668210</v>
      </c>
      <c r="BT101" s="315" t="n">
        <f aca="false">IF(AND(Projects!$G$17="Yes",Projects!$M$17="Yes",67&gt;=Projects!$C$17,67&lt;Projects!$C$17+Projects!$D$17),Projects!$B$17*INDEX(Curves!$B$4:$AR$4,1,67-Projects!$C$17+1),0)+IF(AND(Projects!$G$18="Yes",Projects!$M$18="Yes",67&gt;=Projects!$C$18,67&lt;Projects!$C$18+Projects!$D$18),Projects!$B$18*INDEX(Curves!$B$4:$AR$4,1,67-Projects!$C$18+1),0)+IF(AND(Projects!$G$19="Yes",Projects!$M$19="Yes",67&gt;=Projects!$C$19,67&lt;Projects!$C$19+Projects!$D$19),Projects!$B$19*INDEX(Curves!$B$4:$AR$4,1,67-Projects!$C$19+1),0)+IF(AND(Projects!$G$20="Yes",Projects!$M$20="Yes",67&gt;=Projects!$C$20,67&lt;Projects!$C$20+Projects!$D$20),Projects!$B$20*INDEX(Curves!$B$4:$AR$4,1,67-Projects!$C$20+1),0)+IF(AND(Projects!$G$21="Yes",Projects!$M$21="Yes",67&gt;=Projects!$C$21,67&lt;Projects!$C$21+Projects!$D$21),Projects!$B$21*INDEX(Curves!$B$4:$AR$4,1,67-Projects!$C$21+1),0)+IF(AND(Projects!$G$22="Yes",Projects!$M$22="Yes",67&gt;=Projects!$C$22,67&lt;Projects!$C$22+Projects!$D$22),Projects!$B$22*INDEX(Curves!$B$4:$AR$4,1,67-Projects!$C$22+1),0)+IF(AND(Projects!$G$23="Yes",Projects!$M$23="Yes",67&gt;=Projects!$C$23,67&lt;Projects!$C$23+Projects!$D$23),Projects!$B$23*INDEX(Curves!$B$4:$AR$4,1,67-Projects!$C$23+1),0)+IF(AND(Projects!$G$24="Yes",Projects!$M$24="Yes",67&gt;=Projects!$C$24,67&lt;Projects!$C$24+Projects!$D$24),Projects!$B$24*INDEX(Curves!$B$4:$AR$4,1,67-Projects!$C$24+1),0)+IF(AND(Projects!$G$25="Yes",Projects!$M$25="Yes",67&gt;=Projects!$C$25,67&lt;Projects!$C$25+Projects!$D$25),Projects!$B$25*INDEX(Curves!$B$4:$AR$4,1,67-Projects!$C$25+1),0)+IF(AND(Projects!$G$26="Yes",Projects!$M$26="Yes",67&gt;=Projects!$C$26,67&lt;Projects!$C$26+Projects!$D$26),Projects!$B$26*INDEX(Curves!$B$4:$AR$4,1,67-Projects!$C$26+1),0)+IF(AND(Projects!$G$27="Yes",Projects!$M$27="Yes",67&gt;=Projects!$C$27,67&lt;Projects!$C$27+Projects!$D$27),Projects!$B$27*INDEX(Curves!$B$4:$AR$4,1,67-Projects!$C$27+1),0)+IF(AND(Projects!$G$28="Yes",Projects!$M$28="Yes",67&gt;=Projects!$C$28,67&lt;Projects!$C$28+Projects!$D$28),Projects!$B$28*INDEX(Curves!$B$4:$AR$4,1,67-Projects!$C$28+1),0)+IF(AND(Projects!$G$29="Yes",Projects!$M$29="Yes",67&gt;=Projects!$C$29,67&lt;Projects!$C$29+Projects!$D$29),Projects!$B$29*INDEX(Curves!$B$4:$AR$4,1,67-Projects!$C$29+1),0)+IF(AND(Projects!$G$30="Yes",Projects!$M$30="Yes",67&gt;=Projects!$C$30,67&lt;Projects!$C$30+Projects!$D$30),Projects!$B$30*INDEX(Curves!$B$4:$AR$4,1,67-Projects!$C$30+1),0)+IF(AND(Projects!$G$31="Yes",Projects!$M$31="Yes",67&gt;=Projects!$C$31,67&lt;Projects!$C$31+Projects!$D$31),Projects!$B$31*INDEX(Curves!$B$4:$AR$4,1,67-Projects!$C$31+1),0)+IF(AND(Projects!$G$32="Yes",Projects!$M$32="Yes",67&gt;=Projects!$C$32,67&lt;Projects!$C$32+Projects!$D$32),Projects!$B$32*INDEX(Curves!$B$4:$AR$4,1,67-Projects!$C$32+1),0)+IF(AND(Projects!$G$33="Yes",Projects!$M$33="Yes",67&gt;=Projects!$C$33,67&lt;Projects!$C$33+Projects!$D$33),Projects!$B$33*INDEX(Curves!$B$4:$AR$4,1,67-Projects!$C$33+1),0)+IF(AND(Projects!$G$34="Yes",Projects!$M$34="Yes",67&gt;=Projects!$C$34,67&lt;Projects!$C$34+Projects!$D$34),Projects!$B$34*INDEX(Curves!$B$4:$AR$4,1,67-Projects!$C$34+1),0)+IF(AND(Projects!$G$35="Yes",Projects!$M$35="Yes",67&gt;=Projects!$C$35,67&lt;Projects!$C$35+Projects!$D$35),Projects!$B$35*INDEX(Curves!$B$4:$AR$4,1,67-Projects!$C$35+1),0)+IF(AND(Projects!$G$36="Yes",Projects!$M$36="Yes",67&gt;=Projects!$C$36,67&lt;Projects!$C$36+Projects!$D$36),Projects!$B$36*INDEX(Curves!$B$4:$AR$4,1,67-Projects!$C$36+1),0)+IF(AND(Projects!$G$37="Yes",Projects!$M$37="Yes",67&gt;=Projects!$C$37,67&lt;Projects!$C$37+Projects!$D$37),Projects!$B$37*INDEX(Curves!$B$4:$AR$4,1,67-Projects!$C$37+1),0)+IF(AND(Projects!$G$38="Yes",Projects!$M$38="Yes",67&gt;=Projects!$C$38,67&lt;Projects!$C$38+Projects!$D$38),Projects!$B$38*INDEX(Curves!$B$4:$AR$4,1,67-Projects!$C$38+1),0)+IF(AND(Projects!$G$39="Yes",Projects!$M$39="Yes",67&gt;=Projects!$C$39,67&lt;Projects!$C$39+Projects!$D$39),Projects!$B$39*INDEX(Curves!$B$4:$AR$4,1,67-Projects!$C$39+1),0)+IF(AND(Projects!$G$40="Yes",Projects!$M$40="Yes",67&gt;=Projects!$C$40,67&lt;Projects!$C$40+Projects!$D$40),Projects!$B$40*INDEX(Curves!$B$4:$AR$4,1,67-Projects!$C$40+1),0)+IF(AND(Projects!$G$41="Yes",Projects!$M$41="Yes",67&gt;=Projects!$C$41,67&lt;Projects!$C$41+Projects!$D$41),Projects!$B$41*INDEX(Curves!$B$4:$AR$4,1,67-Projects!$C$41+1),0)+IF(AND(Projects!$G$42="Yes",Projects!$M$42="Yes",67&gt;=Projects!$C$42,67&lt;Projects!$C$42+Projects!$D$42),Projects!$B$42*INDEX(Curves!$B$4:$AR$4,1,67-Projects!$C$42+1),0)+IF(AND(Projects!$G$43="Yes",Projects!$M$43="Yes",67&gt;=Projects!$C$43,67&lt;Projects!$C$43+Projects!$D$43),Projects!$B$43*INDEX(Curves!$B$4:$AR$4,1,67-Projects!$C$43+1),0)+IF(AND(Projects!$G$44="Yes",Projects!$M$44="Yes",67&gt;=Projects!$C$44,67&lt;Projects!$C$44+Projects!$D$44),Projects!$B$44*INDEX(Curves!$B$4:$AR$4,1,67-Projects!$C$44+1),0)+IF(AND(Projects!$G$45="Yes",Projects!$M$45="Yes",67&gt;=Projects!$C$45,67&lt;Projects!$C$45+Projects!$D$45),Projects!$B$45*INDEX(Curves!$B$4:$AR$4,1,67-Projects!$C$45+1),0)+IF(AND(Projects!$G$46="Yes",Projects!$M$46="Yes",67&gt;=Projects!$C$46,67&lt;Projects!$C$46+Projects!$D$46),Projects!$B$46*INDEX(Curves!$B$4:$AR$4,1,67-Projects!$C$46+1),0)</f>
        <v>1527975</v>
      </c>
      <c r="BU101" s="315" t="n">
        <f aca="false">IF(AND(Projects!$G$17="Yes",Projects!$M$17="Yes",68&gt;=Projects!$C$17,68&lt;Projects!$C$17+Projects!$D$17),Projects!$B$17*INDEX(Curves!$B$4:$AR$4,1,68-Projects!$C$17+1),0)+IF(AND(Projects!$G$18="Yes",Projects!$M$18="Yes",68&gt;=Projects!$C$18,68&lt;Projects!$C$18+Projects!$D$18),Projects!$B$18*INDEX(Curves!$B$4:$AR$4,1,68-Projects!$C$18+1),0)+IF(AND(Projects!$G$19="Yes",Projects!$M$19="Yes",68&gt;=Projects!$C$19,68&lt;Projects!$C$19+Projects!$D$19),Projects!$B$19*INDEX(Curves!$B$4:$AR$4,1,68-Projects!$C$19+1),0)+IF(AND(Projects!$G$20="Yes",Projects!$M$20="Yes",68&gt;=Projects!$C$20,68&lt;Projects!$C$20+Projects!$D$20),Projects!$B$20*INDEX(Curves!$B$4:$AR$4,1,68-Projects!$C$20+1),0)+IF(AND(Projects!$G$21="Yes",Projects!$M$21="Yes",68&gt;=Projects!$C$21,68&lt;Projects!$C$21+Projects!$D$21),Projects!$B$21*INDEX(Curves!$B$4:$AR$4,1,68-Projects!$C$21+1),0)+IF(AND(Projects!$G$22="Yes",Projects!$M$22="Yes",68&gt;=Projects!$C$22,68&lt;Projects!$C$22+Projects!$D$22),Projects!$B$22*INDEX(Curves!$B$4:$AR$4,1,68-Projects!$C$22+1),0)+IF(AND(Projects!$G$23="Yes",Projects!$M$23="Yes",68&gt;=Projects!$C$23,68&lt;Projects!$C$23+Projects!$D$23),Projects!$B$23*INDEX(Curves!$B$4:$AR$4,1,68-Projects!$C$23+1),0)+IF(AND(Projects!$G$24="Yes",Projects!$M$24="Yes",68&gt;=Projects!$C$24,68&lt;Projects!$C$24+Projects!$D$24),Projects!$B$24*INDEX(Curves!$B$4:$AR$4,1,68-Projects!$C$24+1),0)+IF(AND(Projects!$G$25="Yes",Projects!$M$25="Yes",68&gt;=Projects!$C$25,68&lt;Projects!$C$25+Projects!$D$25),Projects!$B$25*INDEX(Curves!$B$4:$AR$4,1,68-Projects!$C$25+1),0)+IF(AND(Projects!$G$26="Yes",Projects!$M$26="Yes",68&gt;=Projects!$C$26,68&lt;Projects!$C$26+Projects!$D$26),Projects!$B$26*INDEX(Curves!$B$4:$AR$4,1,68-Projects!$C$26+1),0)+IF(AND(Projects!$G$27="Yes",Projects!$M$27="Yes",68&gt;=Projects!$C$27,68&lt;Projects!$C$27+Projects!$D$27),Projects!$B$27*INDEX(Curves!$B$4:$AR$4,1,68-Projects!$C$27+1),0)+IF(AND(Projects!$G$28="Yes",Projects!$M$28="Yes",68&gt;=Projects!$C$28,68&lt;Projects!$C$28+Projects!$D$28),Projects!$B$28*INDEX(Curves!$B$4:$AR$4,1,68-Projects!$C$28+1),0)+IF(AND(Projects!$G$29="Yes",Projects!$M$29="Yes",68&gt;=Projects!$C$29,68&lt;Projects!$C$29+Projects!$D$29),Projects!$B$29*INDEX(Curves!$B$4:$AR$4,1,68-Projects!$C$29+1),0)+IF(AND(Projects!$G$30="Yes",Projects!$M$30="Yes",68&gt;=Projects!$C$30,68&lt;Projects!$C$30+Projects!$D$30),Projects!$B$30*INDEX(Curves!$B$4:$AR$4,1,68-Projects!$C$30+1),0)+IF(AND(Projects!$G$31="Yes",Projects!$M$31="Yes",68&gt;=Projects!$C$31,68&lt;Projects!$C$31+Projects!$D$31),Projects!$B$31*INDEX(Curves!$B$4:$AR$4,1,68-Projects!$C$31+1),0)+IF(AND(Projects!$G$32="Yes",Projects!$M$32="Yes",68&gt;=Projects!$C$32,68&lt;Projects!$C$32+Projects!$D$32),Projects!$B$32*INDEX(Curves!$B$4:$AR$4,1,68-Projects!$C$32+1),0)+IF(AND(Projects!$G$33="Yes",Projects!$M$33="Yes",68&gt;=Projects!$C$33,68&lt;Projects!$C$33+Projects!$D$33),Projects!$B$33*INDEX(Curves!$B$4:$AR$4,1,68-Projects!$C$33+1),0)+IF(AND(Projects!$G$34="Yes",Projects!$M$34="Yes",68&gt;=Projects!$C$34,68&lt;Projects!$C$34+Projects!$D$34),Projects!$B$34*INDEX(Curves!$B$4:$AR$4,1,68-Projects!$C$34+1),0)+IF(AND(Projects!$G$35="Yes",Projects!$M$35="Yes",68&gt;=Projects!$C$35,68&lt;Projects!$C$35+Projects!$D$35),Projects!$B$35*INDEX(Curves!$B$4:$AR$4,1,68-Projects!$C$35+1),0)+IF(AND(Projects!$G$36="Yes",Projects!$M$36="Yes",68&gt;=Projects!$C$36,68&lt;Projects!$C$36+Projects!$D$36),Projects!$B$36*INDEX(Curves!$B$4:$AR$4,1,68-Projects!$C$36+1),0)+IF(AND(Projects!$G$37="Yes",Projects!$M$37="Yes",68&gt;=Projects!$C$37,68&lt;Projects!$C$37+Projects!$D$37),Projects!$B$37*INDEX(Curves!$B$4:$AR$4,1,68-Projects!$C$37+1),0)+IF(AND(Projects!$G$38="Yes",Projects!$M$38="Yes",68&gt;=Projects!$C$38,68&lt;Projects!$C$38+Projects!$D$38),Projects!$B$38*INDEX(Curves!$B$4:$AR$4,1,68-Projects!$C$38+1),0)+IF(AND(Projects!$G$39="Yes",Projects!$M$39="Yes",68&gt;=Projects!$C$39,68&lt;Projects!$C$39+Projects!$D$39),Projects!$B$39*INDEX(Curves!$B$4:$AR$4,1,68-Projects!$C$39+1),0)+IF(AND(Projects!$G$40="Yes",Projects!$M$40="Yes",68&gt;=Projects!$C$40,68&lt;Projects!$C$40+Projects!$D$40),Projects!$B$40*INDEX(Curves!$B$4:$AR$4,1,68-Projects!$C$40+1),0)+IF(AND(Projects!$G$41="Yes",Projects!$M$41="Yes",68&gt;=Projects!$C$41,68&lt;Projects!$C$41+Projects!$D$41),Projects!$B$41*INDEX(Curves!$B$4:$AR$4,1,68-Projects!$C$41+1),0)+IF(AND(Projects!$G$42="Yes",Projects!$M$42="Yes",68&gt;=Projects!$C$42,68&lt;Projects!$C$42+Projects!$D$42),Projects!$B$42*INDEX(Curves!$B$4:$AR$4,1,68-Projects!$C$42+1),0)+IF(AND(Projects!$G$43="Yes",Projects!$M$43="Yes",68&gt;=Projects!$C$43,68&lt;Projects!$C$43+Projects!$D$43),Projects!$B$43*INDEX(Curves!$B$4:$AR$4,1,68-Projects!$C$43+1),0)+IF(AND(Projects!$G$44="Yes",Projects!$M$44="Yes",68&gt;=Projects!$C$44,68&lt;Projects!$C$44+Projects!$D$44),Projects!$B$44*INDEX(Curves!$B$4:$AR$4,1,68-Projects!$C$44+1),0)+IF(AND(Projects!$G$45="Yes",Projects!$M$45="Yes",68&gt;=Projects!$C$45,68&lt;Projects!$C$45+Projects!$D$45),Projects!$B$45*INDEX(Curves!$B$4:$AR$4,1,68-Projects!$C$45+1),0)+IF(AND(Projects!$G$46="Yes",Projects!$M$46="Yes",68&gt;=Projects!$C$46,68&lt;Projects!$C$46+Projects!$D$46),Projects!$B$46*INDEX(Curves!$B$4:$AR$4,1,68-Projects!$C$46+1),0)</f>
        <v>1371810</v>
      </c>
      <c r="BV101" s="315" t="n">
        <f aca="false">IF(AND(Projects!$G$17="Yes",Projects!$M$17="Yes",69&gt;=Projects!$C$17,69&lt;Projects!$C$17+Projects!$D$17),Projects!$B$17*INDEX(Curves!$B$4:$AR$4,1,69-Projects!$C$17+1),0)+IF(AND(Projects!$G$18="Yes",Projects!$M$18="Yes",69&gt;=Projects!$C$18,69&lt;Projects!$C$18+Projects!$D$18),Projects!$B$18*INDEX(Curves!$B$4:$AR$4,1,69-Projects!$C$18+1),0)+IF(AND(Projects!$G$19="Yes",Projects!$M$19="Yes",69&gt;=Projects!$C$19,69&lt;Projects!$C$19+Projects!$D$19),Projects!$B$19*INDEX(Curves!$B$4:$AR$4,1,69-Projects!$C$19+1),0)+IF(AND(Projects!$G$20="Yes",Projects!$M$20="Yes",69&gt;=Projects!$C$20,69&lt;Projects!$C$20+Projects!$D$20),Projects!$B$20*INDEX(Curves!$B$4:$AR$4,1,69-Projects!$C$20+1),0)+IF(AND(Projects!$G$21="Yes",Projects!$M$21="Yes",69&gt;=Projects!$C$21,69&lt;Projects!$C$21+Projects!$D$21),Projects!$B$21*INDEX(Curves!$B$4:$AR$4,1,69-Projects!$C$21+1),0)+IF(AND(Projects!$G$22="Yes",Projects!$M$22="Yes",69&gt;=Projects!$C$22,69&lt;Projects!$C$22+Projects!$D$22),Projects!$B$22*INDEX(Curves!$B$4:$AR$4,1,69-Projects!$C$22+1),0)+IF(AND(Projects!$G$23="Yes",Projects!$M$23="Yes",69&gt;=Projects!$C$23,69&lt;Projects!$C$23+Projects!$D$23),Projects!$B$23*INDEX(Curves!$B$4:$AR$4,1,69-Projects!$C$23+1),0)+IF(AND(Projects!$G$24="Yes",Projects!$M$24="Yes",69&gt;=Projects!$C$24,69&lt;Projects!$C$24+Projects!$D$24),Projects!$B$24*INDEX(Curves!$B$4:$AR$4,1,69-Projects!$C$24+1),0)+IF(AND(Projects!$G$25="Yes",Projects!$M$25="Yes",69&gt;=Projects!$C$25,69&lt;Projects!$C$25+Projects!$D$25),Projects!$B$25*INDEX(Curves!$B$4:$AR$4,1,69-Projects!$C$25+1),0)+IF(AND(Projects!$G$26="Yes",Projects!$M$26="Yes",69&gt;=Projects!$C$26,69&lt;Projects!$C$26+Projects!$D$26),Projects!$B$26*INDEX(Curves!$B$4:$AR$4,1,69-Projects!$C$26+1),0)+IF(AND(Projects!$G$27="Yes",Projects!$M$27="Yes",69&gt;=Projects!$C$27,69&lt;Projects!$C$27+Projects!$D$27),Projects!$B$27*INDEX(Curves!$B$4:$AR$4,1,69-Projects!$C$27+1),0)+IF(AND(Projects!$G$28="Yes",Projects!$M$28="Yes",69&gt;=Projects!$C$28,69&lt;Projects!$C$28+Projects!$D$28),Projects!$B$28*INDEX(Curves!$B$4:$AR$4,1,69-Projects!$C$28+1),0)+IF(AND(Projects!$G$29="Yes",Projects!$M$29="Yes",69&gt;=Projects!$C$29,69&lt;Projects!$C$29+Projects!$D$29),Projects!$B$29*INDEX(Curves!$B$4:$AR$4,1,69-Projects!$C$29+1),0)+IF(AND(Projects!$G$30="Yes",Projects!$M$30="Yes",69&gt;=Projects!$C$30,69&lt;Projects!$C$30+Projects!$D$30),Projects!$B$30*INDEX(Curves!$B$4:$AR$4,1,69-Projects!$C$30+1),0)+IF(AND(Projects!$G$31="Yes",Projects!$M$31="Yes",69&gt;=Projects!$C$31,69&lt;Projects!$C$31+Projects!$D$31),Projects!$B$31*INDEX(Curves!$B$4:$AR$4,1,69-Projects!$C$31+1),0)+IF(AND(Projects!$G$32="Yes",Projects!$M$32="Yes",69&gt;=Projects!$C$32,69&lt;Projects!$C$32+Projects!$D$32),Projects!$B$32*INDEX(Curves!$B$4:$AR$4,1,69-Projects!$C$32+1),0)+IF(AND(Projects!$G$33="Yes",Projects!$M$33="Yes",69&gt;=Projects!$C$33,69&lt;Projects!$C$33+Projects!$D$33),Projects!$B$33*INDEX(Curves!$B$4:$AR$4,1,69-Projects!$C$33+1),0)+IF(AND(Projects!$G$34="Yes",Projects!$M$34="Yes",69&gt;=Projects!$C$34,69&lt;Projects!$C$34+Projects!$D$34),Projects!$B$34*INDEX(Curves!$B$4:$AR$4,1,69-Projects!$C$34+1),0)+IF(AND(Projects!$G$35="Yes",Projects!$M$35="Yes",69&gt;=Projects!$C$35,69&lt;Projects!$C$35+Projects!$D$35),Projects!$B$35*INDEX(Curves!$B$4:$AR$4,1,69-Projects!$C$35+1),0)+IF(AND(Projects!$G$36="Yes",Projects!$M$36="Yes",69&gt;=Projects!$C$36,69&lt;Projects!$C$36+Projects!$D$36),Projects!$B$36*INDEX(Curves!$B$4:$AR$4,1,69-Projects!$C$36+1),0)+IF(AND(Projects!$G$37="Yes",Projects!$M$37="Yes",69&gt;=Projects!$C$37,69&lt;Projects!$C$37+Projects!$D$37),Projects!$B$37*INDEX(Curves!$B$4:$AR$4,1,69-Projects!$C$37+1),0)+IF(AND(Projects!$G$38="Yes",Projects!$M$38="Yes",69&gt;=Projects!$C$38,69&lt;Projects!$C$38+Projects!$D$38),Projects!$B$38*INDEX(Curves!$B$4:$AR$4,1,69-Projects!$C$38+1),0)+IF(AND(Projects!$G$39="Yes",Projects!$M$39="Yes",69&gt;=Projects!$C$39,69&lt;Projects!$C$39+Projects!$D$39),Projects!$B$39*INDEX(Curves!$B$4:$AR$4,1,69-Projects!$C$39+1),0)+IF(AND(Projects!$G$40="Yes",Projects!$M$40="Yes",69&gt;=Projects!$C$40,69&lt;Projects!$C$40+Projects!$D$40),Projects!$B$40*INDEX(Curves!$B$4:$AR$4,1,69-Projects!$C$40+1),0)+IF(AND(Projects!$G$41="Yes",Projects!$M$41="Yes",69&gt;=Projects!$C$41,69&lt;Projects!$C$41+Projects!$D$41),Projects!$B$41*INDEX(Curves!$B$4:$AR$4,1,69-Projects!$C$41+1),0)+IF(AND(Projects!$G$42="Yes",Projects!$M$42="Yes",69&gt;=Projects!$C$42,69&lt;Projects!$C$42+Projects!$D$42),Projects!$B$42*INDEX(Curves!$B$4:$AR$4,1,69-Projects!$C$42+1),0)+IF(AND(Projects!$G$43="Yes",Projects!$M$43="Yes",69&gt;=Projects!$C$43,69&lt;Projects!$C$43+Projects!$D$43),Projects!$B$43*INDEX(Curves!$B$4:$AR$4,1,69-Projects!$C$43+1),0)+IF(AND(Projects!$G$44="Yes",Projects!$M$44="Yes",69&gt;=Projects!$C$44,69&lt;Projects!$C$44+Projects!$D$44),Projects!$B$44*INDEX(Curves!$B$4:$AR$4,1,69-Projects!$C$44+1),0)+IF(AND(Projects!$G$45="Yes",Projects!$M$45="Yes",69&gt;=Projects!$C$45,69&lt;Projects!$C$45+Projects!$D$45),Projects!$B$45*INDEX(Curves!$B$4:$AR$4,1,69-Projects!$C$45+1),0)+IF(AND(Projects!$G$46="Yes",Projects!$M$46="Yes",69&gt;=Projects!$C$46,69&lt;Projects!$C$46+Projects!$D$46),Projects!$B$46*INDEX(Curves!$B$4:$AR$4,1,69-Projects!$C$46+1),0)</f>
        <v>892830</v>
      </c>
      <c r="BW101" s="315" t="n">
        <f aca="false">IF(AND(Projects!$G$17="Yes",Projects!$M$17="Yes",70&gt;=Projects!$C$17,70&lt;Projects!$C$17+Projects!$D$17),Projects!$B$17*INDEX(Curves!$B$4:$AR$4,1,70-Projects!$C$17+1),0)+IF(AND(Projects!$G$18="Yes",Projects!$M$18="Yes",70&gt;=Projects!$C$18,70&lt;Projects!$C$18+Projects!$D$18),Projects!$B$18*INDEX(Curves!$B$4:$AR$4,1,70-Projects!$C$18+1),0)+IF(AND(Projects!$G$19="Yes",Projects!$M$19="Yes",70&gt;=Projects!$C$19,70&lt;Projects!$C$19+Projects!$D$19),Projects!$B$19*INDEX(Curves!$B$4:$AR$4,1,70-Projects!$C$19+1),0)+IF(AND(Projects!$G$20="Yes",Projects!$M$20="Yes",70&gt;=Projects!$C$20,70&lt;Projects!$C$20+Projects!$D$20),Projects!$B$20*INDEX(Curves!$B$4:$AR$4,1,70-Projects!$C$20+1),0)+IF(AND(Projects!$G$21="Yes",Projects!$M$21="Yes",70&gt;=Projects!$C$21,70&lt;Projects!$C$21+Projects!$D$21),Projects!$B$21*INDEX(Curves!$B$4:$AR$4,1,70-Projects!$C$21+1),0)+IF(AND(Projects!$G$22="Yes",Projects!$M$22="Yes",70&gt;=Projects!$C$22,70&lt;Projects!$C$22+Projects!$D$22),Projects!$B$22*INDEX(Curves!$B$4:$AR$4,1,70-Projects!$C$22+1),0)+IF(AND(Projects!$G$23="Yes",Projects!$M$23="Yes",70&gt;=Projects!$C$23,70&lt;Projects!$C$23+Projects!$D$23),Projects!$B$23*INDEX(Curves!$B$4:$AR$4,1,70-Projects!$C$23+1),0)+IF(AND(Projects!$G$24="Yes",Projects!$M$24="Yes",70&gt;=Projects!$C$24,70&lt;Projects!$C$24+Projects!$D$24),Projects!$B$24*INDEX(Curves!$B$4:$AR$4,1,70-Projects!$C$24+1),0)+IF(AND(Projects!$G$25="Yes",Projects!$M$25="Yes",70&gt;=Projects!$C$25,70&lt;Projects!$C$25+Projects!$D$25),Projects!$B$25*INDEX(Curves!$B$4:$AR$4,1,70-Projects!$C$25+1),0)+IF(AND(Projects!$G$26="Yes",Projects!$M$26="Yes",70&gt;=Projects!$C$26,70&lt;Projects!$C$26+Projects!$D$26),Projects!$B$26*INDEX(Curves!$B$4:$AR$4,1,70-Projects!$C$26+1),0)+IF(AND(Projects!$G$27="Yes",Projects!$M$27="Yes",70&gt;=Projects!$C$27,70&lt;Projects!$C$27+Projects!$D$27),Projects!$B$27*INDEX(Curves!$B$4:$AR$4,1,70-Projects!$C$27+1),0)+IF(AND(Projects!$G$28="Yes",Projects!$M$28="Yes",70&gt;=Projects!$C$28,70&lt;Projects!$C$28+Projects!$D$28),Projects!$B$28*INDEX(Curves!$B$4:$AR$4,1,70-Projects!$C$28+1),0)+IF(AND(Projects!$G$29="Yes",Projects!$M$29="Yes",70&gt;=Projects!$C$29,70&lt;Projects!$C$29+Projects!$D$29),Projects!$B$29*INDEX(Curves!$B$4:$AR$4,1,70-Projects!$C$29+1),0)+IF(AND(Projects!$G$30="Yes",Projects!$M$30="Yes",70&gt;=Projects!$C$30,70&lt;Projects!$C$30+Projects!$D$30),Projects!$B$30*INDEX(Curves!$B$4:$AR$4,1,70-Projects!$C$30+1),0)+IF(AND(Projects!$G$31="Yes",Projects!$M$31="Yes",70&gt;=Projects!$C$31,70&lt;Projects!$C$31+Projects!$D$31),Projects!$B$31*INDEX(Curves!$B$4:$AR$4,1,70-Projects!$C$31+1),0)+IF(AND(Projects!$G$32="Yes",Projects!$M$32="Yes",70&gt;=Projects!$C$32,70&lt;Projects!$C$32+Projects!$D$32),Projects!$B$32*INDEX(Curves!$B$4:$AR$4,1,70-Projects!$C$32+1),0)+IF(AND(Projects!$G$33="Yes",Projects!$M$33="Yes",70&gt;=Projects!$C$33,70&lt;Projects!$C$33+Projects!$D$33),Projects!$B$33*INDEX(Curves!$B$4:$AR$4,1,70-Projects!$C$33+1),0)+IF(AND(Projects!$G$34="Yes",Projects!$M$34="Yes",70&gt;=Projects!$C$34,70&lt;Projects!$C$34+Projects!$D$34),Projects!$B$34*INDEX(Curves!$B$4:$AR$4,1,70-Projects!$C$34+1),0)+IF(AND(Projects!$G$35="Yes",Projects!$M$35="Yes",70&gt;=Projects!$C$35,70&lt;Projects!$C$35+Projects!$D$35),Projects!$B$35*INDEX(Curves!$B$4:$AR$4,1,70-Projects!$C$35+1),0)+IF(AND(Projects!$G$36="Yes",Projects!$M$36="Yes",70&gt;=Projects!$C$36,70&lt;Projects!$C$36+Projects!$D$36),Projects!$B$36*INDEX(Curves!$B$4:$AR$4,1,70-Projects!$C$36+1),0)+IF(AND(Projects!$G$37="Yes",Projects!$M$37="Yes",70&gt;=Projects!$C$37,70&lt;Projects!$C$37+Projects!$D$37),Projects!$B$37*INDEX(Curves!$B$4:$AR$4,1,70-Projects!$C$37+1),0)+IF(AND(Projects!$G$38="Yes",Projects!$M$38="Yes",70&gt;=Projects!$C$38,70&lt;Projects!$C$38+Projects!$D$38),Projects!$B$38*INDEX(Curves!$B$4:$AR$4,1,70-Projects!$C$38+1),0)+IF(AND(Projects!$G$39="Yes",Projects!$M$39="Yes",70&gt;=Projects!$C$39,70&lt;Projects!$C$39+Projects!$D$39),Projects!$B$39*INDEX(Curves!$B$4:$AR$4,1,70-Projects!$C$39+1),0)+IF(AND(Projects!$G$40="Yes",Projects!$M$40="Yes",70&gt;=Projects!$C$40,70&lt;Projects!$C$40+Projects!$D$40),Projects!$B$40*INDEX(Curves!$B$4:$AR$4,1,70-Projects!$C$40+1),0)+IF(AND(Projects!$G$41="Yes",Projects!$M$41="Yes",70&gt;=Projects!$C$41,70&lt;Projects!$C$41+Projects!$D$41),Projects!$B$41*INDEX(Curves!$B$4:$AR$4,1,70-Projects!$C$41+1),0)+IF(AND(Projects!$G$42="Yes",Projects!$M$42="Yes",70&gt;=Projects!$C$42,70&lt;Projects!$C$42+Projects!$D$42),Projects!$B$42*INDEX(Curves!$B$4:$AR$4,1,70-Projects!$C$42+1),0)+IF(AND(Projects!$G$43="Yes",Projects!$M$43="Yes",70&gt;=Projects!$C$43,70&lt;Projects!$C$43+Projects!$D$43),Projects!$B$43*INDEX(Curves!$B$4:$AR$4,1,70-Projects!$C$43+1),0)+IF(AND(Projects!$G$44="Yes",Projects!$M$44="Yes",70&gt;=Projects!$C$44,70&lt;Projects!$C$44+Projects!$D$44),Projects!$B$44*INDEX(Curves!$B$4:$AR$4,1,70-Projects!$C$44+1),0)+IF(AND(Projects!$G$45="Yes",Projects!$M$45="Yes",70&gt;=Projects!$C$45,70&lt;Projects!$C$45+Projects!$D$45),Projects!$B$45*INDEX(Curves!$B$4:$AR$4,1,70-Projects!$C$45+1),0)+IF(AND(Projects!$G$46="Yes",Projects!$M$46="Yes",70&gt;=Projects!$C$46,70&lt;Projects!$C$46+Projects!$D$46),Projects!$B$46*INDEX(Curves!$B$4:$AR$4,1,70-Projects!$C$46+1),0)</f>
        <v>798270</v>
      </c>
      <c r="BX101" s="315" t="n">
        <f aca="false">IF(AND(Projects!$G$17="Yes",Projects!$M$17="Yes",71&gt;=Projects!$C$17,71&lt;Projects!$C$17+Projects!$D$17),Projects!$B$17*INDEX(Curves!$B$4:$AR$4,1,71-Projects!$C$17+1),0)+IF(AND(Projects!$G$18="Yes",Projects!$M$18="Yes",71&gt;=Projects!$C$18,71&lt;Projects!$C$18+Projects!$D$18),Projects!$B$18*INDEX(Curves!$B$4:$AR$4,1,71-Projects!$C$18+1),0)+IF(AND(Projects!$G$19="Yes",Projects!$M$19="Yes",71&gt;=Projects!$C$19,71&lt;Projects!$C$19+Projects!$D$19),Projects!$B$19*INDEX(Curves!$B$4:$AR$4,1,71-Projects!$C$19+1),0)+IF(AND(Projects!$G$20="Yes",Projects!$M$20="Yes",71&gt;=Projects!$C$20,71&lt;Projects!$C$20+Projects!$D$20),Projects!$B$20*INDEX(Curves!$B$4:$AR$4,1,71-Projects!$C$20+1),0)+IF(AND(Projects!$G$21="Yes",Projects!$M$21="Yes",71&gt;=Projects!$C$21,71&lt;Projects!$C$21+Projects!$D$21),Projects!$B$21*INDEX(Curves!$B$4:$AR$4,1,71-Projects!$C$21+1),0)+IF(AND(Projects!$G$22="Yes",Projects!$M$22="Yes",71&gt;=Projects!$C$22,71&lt;Projects!$C$22+Projects!$D$22),Projects!$B$22*INDEX(Curves!$B$4:$AR$4,1,71-Projects!$C$22+1),0)+IF(AND(Projects!$G$23="Yes",Projects!$M$23="Yes",71&gt;=Projects!$C$23,71&lt;Projects!$C$23+Projects!$D$23),Projects!$B$23*INDEX(Curves!$B$4:$AR$4,1,71-Projects!$C$23+1),0)+IF(AND(Projects!$G$24="Yes",Projects!$M$24="Yes",71&gt;=Projects!$C$24,71&lt;Projects!$C$24+Projects!$D$24),Projects!$B$24*INDEX(Curves!$B$4:$AR$4,1,71-Projects!$C$24+1),0)+IF(AND(Projects!$G$25="Yes",Projects!$M$25="Yes",71&gt;=Projects!$C$25,71&lt;Projects!$C$25+Projects!$D$25),Projects!$B$25*INDEX(Curves!$B$4:$AR$4,1,71-Projects!$C$25+1),0)+IF(AND(Projects!$G$26="Yes",Projects!$M$26="Yes",71&gt;=Projects!$C$26,71&lt;Projects!$C$26+Projects!$D$26),Projects!$B$26*INDEX(Curves!$B$4:$AR$4,1,71-Projects!$C$26+1),0)+IF(AND(Projects!$G$27="Yes",Projects!$M$27="Yes",71&gt;=Projects!$C$27,71&lt;Projects!$C$27+Projects!$D$27),Projects!$B$27*INDEX(Curves!$B$4:$AR$4,1,71-Projects!$C$27+1),0)+IF(AND(Projects!$G$28="Yes",Projects!$M$28="Yes",71&gt;=Projects!$C$28,71&lt;Projects!$C$28+Projects!$D$28),Projects!$B$28*INDEX(Curves!$B$4:$AR$4,1,71-Projects!$C$28+1),0)+IF(AND(Projects!$G$29="Yes",Projects!$M$29="Yes",71&gt;=Projects!$C$29,71&lt;Projects!$C$29+Projects!$D$29),Projects!$B$29*INDEX(Curves!$B$4:$AR$4,1,71-Projects!$C$29+1),0)+IF(AND(Projects!$G$30="Yes",Projects!$M$30="Yes",71&gt;=Projects!$C$30,71&lt;Projects!$C$30+Projects!$D$30),Projects!$B$30*INDEX(Curves!$B$4:$AR$4,1,71-Projects!$C$30+1),0)+IF(AND(Projects!$G$31="Yes",Projects!$M$31="Yes",71&gt;=Projects!$C$31,71&lt;Projects!$C$31+Projects!$D$31),Projects!$B$31*INDEX(Curves!$B$4:$AR$4,1,71-Projects!$C$31+1),0)+IF(AND(Projects!$G$32="Yes",Projects!$M$32="Yes",71&gt;=Projects!$C$32,71&lt;Projects!$C$32+Projects!$D$32),Projects!$B$32*INDEX(Curves!$B$4:$AR$4,1,71-Projects!$C$32+1),0)+IF(AND(Projects!$G$33="Yes",Projects!$M$33="Yes",71&gt;=Projects!$C$33,71&lt;Projects!$C$33+Projects!$D$33),Projects!$B$33*INDEX(Curves!$B$4:$AR$4,1,71-Projects!$C$33+1),0)+IF(AND(Projects!$G$34="Yes",Projects!$M$34="Yes",71&gt;=Projects!$C$34,71&lt;Projects!$C$34+Projects!$D$34),Projects!$B$34*INDEX(Curves!$B$4:$AR$4,1,71-Projects!$C$34+1),0)+IF(AND(Projects!$G$35="Yes",Projects!$M$35="Yes",71&gt;=Projects!$C$35,71&lt;Projects!$C$35+Projects!$D$35),Projects!$B$35*INDEX(Curves!$B$4:$AR$4,1,71-Projects!$C$35+1),0)+IF(AND(Projects!$G$36="Yes",Projects!$M$36="Yes",71&gt;=Projects!$C$36,71&lt;Projects!$C$36+Projects!$D$36),Projects!$B$36*INDEX(Curves!$B$4:$AR$4,1,71-Projects!$C$36+1),0)+IF(AND(Projects!$G$37="Yes",Projects!$M$37="Yes",71&gt;=Projects!$C$37,71&lt;Projects!$C$37+Projects!$D$37),Projects!$B$37*INDEX(Curves!$B$4:$AR$4,1,71-Projects!$C$37+1),0)+IF(AND(Projects!$G$38="Yes",Projects!$M$38="Yes",71&gt;=Projects!$C$38,71&lt;Projects!$C$38+Projects!$D$38),Projects!$B$38*INDEX(Curves!$B$4:$AR$4,1,71-Projects!$C$38+1),0)+IF(AND(Projects!$G$39="Yes",Projects!$M$39="Yes",71&gt;=Projects!$C$39,71&lt;Projects!$C$39+Projects!$D$39),Projects!$B$39*INDEX(Curves!$B$4:$AR$4,1,71-Projects!$C$39+1),0)+IF(AND(Projects!$G$40="Yes",Projects!$M$40="Yes",71&gt;=Projects!$C$40,71&lt;Projects!$C$40+Projects!$D$40),Projects!$B$40*INDEX(Curves!$B$4:$AR$4,1,71-Projects!$C$40+1),0)+IF(AND(Projects!$G$41="Yes",Projects!$M$41="Yes",71&gt;=Projects!$C$41,71&lt;Projects!$C$41+Projects!$D$41),Projects!$B$41*INDEX(Curves!$B$4:$AR$4,1,71-Projects!$C$41+1),0)+IF(AND(Projects!$G$42="Yes",Projects!$M$42="Yes",71&gt;=Projects!$C$42,71&lt;Projects!$C$42+Projects!$D$42),Projects!$B$42*INDEX(Curves!$B$4:$AR$4,1,71-Projects!$C$42+1),0)+IF(AND(Projects!$G$43="Yes",Projects!$M$43="Yes",71&gt;=Projects!$C$43,71&lt;Projects!$C$43+Projects!$D$43),Projects!$B$43*INDEX(Curves!$B$4:$AR$4,1,71-Projects!$C$43+1),0)+IF(AND(Projects!$G$44="Yes",Projects!$M$44="Yes",71&gt;=Projects!$C$44,71&lt;Projects!$C$44+Projects!$D$44),Projects!$B$44*INDEX(Curves!$B$4:$AR$4,1,71-Projects!$C$44+1),0)+IF(AND(Projects!$G$45="Yes",Projects!$M$45="Yes",71&gt;=Projects!$C$45,71&lt;Projects!$C$45+Projects!$D$45),Projects!$B$45*INDEX(Curves!$B$4:$AR$4,1,71-Projects!$C$45+1),0)+IF(AND(Projects!$G$46="Yes",Projects!$M$46="Yes",71&gt;=Projects!$C$46,71&lt;Projects!$C$46+Projects!$D$46),Projects!$B$46*INDEX(Curves!$B$4:$AR$4,1,71-Projects!$C$46+1),0)</f>
        <v>696180</v>
      </c>
      <c r="BY101" s="315" t="n">
        <f aca="false">IF(AND(Projects!$G$17="Yes",Projects!$M$17="Yes",72&gt;=Projects!$C$17,72&lt;Projects!$C$17+Projects!$D$17),Projects!$B$17*INDEX(Curves!$B$4:$AR$4,1,72-Projects!$C$17+1),0)+IF(AND(Projects!$G$18="Yes",Projects!$M$18="Yes",72&gt;=Projects!$C$18,72&lt;Projects!$C$18+Projects!$D$18),Projects!$B$18*INDEX(Curves!$B$4:$AR$4,1,72-Projects!$C$18+1),0)+IF(AND(Projects!$G$19="Yes",Projects!$M$19="Yes",72&gt;=Projects!$C$19,72&lt;Projects!$C$19+Projects!$D$19),Projects!$B$19*INDEX(Curves!$B$4:$AR$4,1,72-Projects!$C$19+1),0)+IF(AND(Projects!$G$20="Yes",Projects!$M$20="Yes",72&gt;=Projects!$C$20,72&lt;Projects!$C$20+Projects!$D$20),Projects!$B$20*INDEX(Curves!$B$4:$AR$4,1,72-Projects!$C$20+1),0)+IF(AND(Projects!$G$21="Yes",Projects!$M$21="Yes",72&gt;=Projects!$C$21,72&lt;Projects!$C$21+Projects!$D$21),Projects!$B$21*INDEX(Curves!$B$4:$AR$4,1,72-Projects!$C$21+1),0)+IF(AND(Projects!$G$22="Yes",Projects!$M$22="Yes",72&gt;=Projects!$C$22,72&lt;Projects!$C$22+Projects!$D$22),Projects!$B$22*INDEX(Curves!$B$4:$AR$4,1,72-Projects!$C$22+1),0)+IF(AND(Projects!$G$23="Yes",Projects!$M$23="Yes",72&gt;=Projects!$C$23,72&lt;Projects!$C$23+Projects!$D$23),Projects!$B$23*INDEX(Curves!$B$4:$AR$4,1,72-Projects!$C$23+1),0)+IF(AND(Projects!$G$24="Yes",Projects!$M$24="Yes",72&gt;=Projects!$C$24,72&lt;Projects!$C$24+Projects!$D$24),Projects!$B$24*INDEX(Curves!$B$4:$AR$4,1,72-Projects!$C$24+1),0)+IF(AND(Projects!$G$25="Yes",Projects!$M$25="Yes",72&gt;=Projects!$C$25,72&lt;Projects!$C$25+Projects!$D$25),Projects!$B$25*INDEX(Curves!$B$4:$AR$4,1,72-Projects!$C$25+1),0)+IF(AND(Projects!$G$26="Yes",Projects!$M$26="Yes",72&gt;=Projects!$C$26,72&lt;Projects!$C$26+Projects!$D$26),Projects!$B$26*INDEX(Curves!$B$4:$AR$4,1,72-Projects!$C$26+1),0)+IF(AND(Projects!$G$27="Yes",Projects!$M$27="Yes",72&gt;=Projects!$C$27,72&lt;Projects!$C$27+Projects!$D$27),Projects!$B$27*INDEX(Curves!$B$4:$AR$4,1,72-Projects!$C$27+1),0)+IF(AND(Projects!$G$28="Yes",Projects!$M$28="Yes",72&gt;=Projects!$C$28,72&lt;Projects!$C$28+Projects!$D$28),Projects!$B$28*INDEX(Curves!$B$4:$AR$4,1,72-Projects!$C$28+1),0)+IF(AND(Projects!$G$29="Yes",Projects!$M$29="Yes",72&gt;=Projects!$C$29,72&lt;Projects!$C$29+Projects!$D$29),Projects!$B$29*INDEX(Curves!$B$4:$AR$4,1,72-Projects!$C$29+1),0)+IF(AND(Projects!$G$30="Yes",Projects!$M$30="Yes",72&gt;=Projects!$C$30,72&lt;Projects!$C$30+Projects!$D$30),Projects!$B$30*INDEX(Curves!$B$4:$AR$4,1,72-Projects!$C$30+1),0)+IF(AND(Projects!$G$31="Yes",Projects!$M$31="Yes",72&gt;=Projects!$C$31,72&lt;Projects!$C$31+Projects!$D$31),Projects!$B$31*INDEX(Curves!$B$4:$AR$4,1,72-Projects!$C$31+1),0)+IF(AND(Projects!$G$32="Yes",Projects!$M$32="Yes",72&gt;=Projects!$C$32,72&lt;Projects!$C$32+Projects!$D$32),Projects!$B$32*INDEX(Curves!$B$4:$AR$4,1,72-Projects!$C$32+1),0)+IF(AND(Projects!$G$33="Yes",Projects!$M$33="Yes",72&gt;=Projects!$C$33,72&lt;Projects!$C$33+Projects!$D$33),Projects!$B$33*INDEX(Curves!$B$4:$AR$4,1,72-Projects!$C$33+1),0)+IF(AND(Projects!$G$34="Yes",Projects!$M$34="Yes",72&gt;=Projects!$C$34,72&lt;Projects!$C$34+Projects!$D$34),Projects!$B$34*INDEX(Curves!$B$4:$AR$4,1,72-Projects!$C$34+1),0)+IF(AND(Projects!$G$35="Yes",Projects!$M$35="Yes",72&gt;=Projects!$C$35,72&lt;Projects!$C$35+Projects!$D$35),Projects!$B$35*INDEX(Curves!$B$4:$AR$4,1,72-Projects!$C$35+1),0)+IF(AND(Projects!$G$36="Yes",Projects!$M$36="Yes",72&gt;=Projects!$C$36,72&lt;Projects!$C$36+Projects!$D$36),Projects!$B$36*INDEX(Curves!$B$4:$AR$4,1,72-Projects!$C$36+1),0)+IF(AND(Projects!$G$37="Yes",Projects!$M$37="Yes",72&gt;=Projects!$C$37,72&lt;Projects!$C$37+Projects!$D$37),Projects!$B$37*INDEX(Curves!$B$4:$AR$4,1,72-Projects!$C$37+1),0)+IF(AND(Projects!$G$38="Yes",Projects!$M$38="Yes",72&gt;=Projects!$C$38,72&lt;Projects!$C$38+Projects!$D$38),Projects!$B$38*INDEX(Curves!$B$4:$AR$4,1,72-Projects!$C$38+1),0)+IF(AND(Projects!$G$39="Yes",Projects!$M$39="Yes",72&gt;=Projects!$C$39,72&lt;Projects!$C$39+Projects!$D$39),Projects!$B$39*INDEX(Curves!$B$4:$AR$4,1,72-Projects!$C$39+1),0)+IF(AND(Projects!$G$40="Yes",Projects!$M$40="Yes",72&gt;=Projects!$C$40,72&lt;Projects!$C$40+Projects!$D$40),Projects!$B$40*INDEX(Curves!$B$4:$AR$4,1,72-Projects!$C$40+1),0)+IF(AND(Projects!$G$41="Yes",Projects!$M$41="Yes",72&gt;=Projects!$C$41,72&lt;Projects!$C$41+Projects!$D$41),Projects!$B$41*INDEX(Curves!$B$4:$AR$4,1,72-Projects!$C$41+1),0)+IF(AND(Projects!$G$42="Yes",Projects!$M$42="Yes",72&gt;=Projects!$C$42,72&lt;Projects!$C$42+Projects!$D$42),Projects!$B$42*INDEX(Curves!$B$4:$AR$4,1,72-Projects!$C$42+1),0)+IF(AND(Projects!$G$43="Yes",Projects!$M$43="Yes",72&gt;=Projects!$C$43,72&lt;Projects!$C$43+Projects!$D$43),Projects!$B$43*INDEX(Curves!$B$4:$AR$4,1,72-Projects!$C$43+1),0)+IF(AND(Projects!$G$44="Yes",Projects!$M$44="Yes",72&gt;=Projects!$C$44,72&lt;Projects!$C$44+Projects!$D$44),Projects!$B$44*INDEX(Curves!$B$4:$AR$4,1,72-Projects!$C$44+1),0)+IF(AND(Projects!$G$45="Yes",Projects!$M$45="Yes",72&gt;=Projects!$C$45,72&lt;Projects!$C$45+Projects!$D$45),Projects!$B$45*INDEX(Curves!$B$4:$AR$4,1,72-Projects!$C$45+1),0)+IF(AND(Projects!$G$46="Yes",Projects!$M$46="Yes",72&gt;=Projects!$C$46,72&lt;Projects!$C$46+Projects!$D$46),Projects!$B$46*INDEX(Curves!$B$4:$AR$4,1,72-Projects!$C$46+1),0)</f>
        <v>592230</v>
      </c>
      <c r="BZ101" s="315" t="n">
        <f aca="false">IF(AND(Projects!$G$17="Yes",Projects!$M$17="Yes",73&gt;=Projects!$C$17,73&lt;Projects!$C$17+Projects!$D$17),Projects!$B$17*INDEX(Curves!$B$4:$AR$4,1,73-Projects!$C$17+1),0)+IF(AND(Projects!$G$18="Yes",Projects!$M$18="Yes",73&gt;=Projects!$C$18,73&lt;Projects!$C$18+Projects!$D$18),Projects!$B$18*INDEX(Curves!$B$4:$AR$4,1,73-Projects!$C$18+1),0)+IF(AND(Projects!$G$19="Yes",Projects!$M$19="Yes",73&gt;=Projects!$C$19,73&lt;Projects!$C$19+Projects!$D$19),Projects!$B$19*INDEX(Curves!$B$4:$AR$4,1,73-Projects!$C$19+1),0)+IF(AND(Projects!$G$20="Yes",Projects!$M$20="Yes",73&gt;=Projects!$C$20,73&lt;Projects!$C$20+Projects!$D$20),Projects!$B$20*INDEX(Curves!$B$4:$AR$4,1,73-Projects!$C$20+1),0)+IF(AND(Projects!$G$21="Yes",Projects!$M$21="Yes",73&gt;=Projects!$C$21,73&lt;Projects!$C$21+Projects!$D$21),Projects!$B$21*INDEX(Curves!$B$4:$AR$4,1,73-Projects!$C$21+1),0)+IF(AND(Projects!$G$22="Yes",Projects!$M$22="Yes",73&gt;=Projects!$C$22,73&lt;Projects!$C$22+Projects!$D$22),Projects!$B$22*INDEX(Curves!$B$4:$AR$4,1,73-Projects!$C$22+1),0)+IF(AND(Projects!$G$23="Yes",Projects!$M$23="Yes",73&gt;=Projects!$C$23,73&lt;Projects!$C$23+Projects!$D$23),Projects!$B$23*INDEX(Curves!$B$4:$AR$4,1,73-Projects!$C$23+1),0)+IF(AND(Projects!$G$24="Yes",Projects!$M$24="Yes",73&gt;=Projects!$C$24,73&lt;Projects!$C$24+Projects!$D$24),Projects!$B$24*INDEX(Curves!$B$4:$AR$4,1,73-Projects!$C$24+1),0)+IF(AND(Projects!$G$25="Yes",Projects!$M$25="Yes",73&gt;=Projects!$C$25,73&lt;Projects!$C$25+Projects!$D$25),Projects!$B$25*INDEX(Curves!$B$4:$AR$4,1,73-Projects!$C$25+1),0)+IF(AND(Projects!$G$26="Yes",Projects!$M$26="Yes",73&gt;=Projects!$C$26,73&lt;Projects!$C$26+Projects!$D$26),Projects!$B$26*INDEX(Curves!$B$4:$AR$4,1,73-Projects!$C$26+1),0)+IF(AND(Projects!$G$27="Yes",Projects!$M$27="Yes",73&gt;=Projects!$C$27,73&lt;Projects!$C$27+Projects!$D$27),Projects!$B$27*INDEX(Curves!$B$4:$AR$4,1,73-Projects!$C$27+1),0)+IF(AND(Projects!$G$28="Yes",Projects!$M$28="Yes",73&gt;=Projects!$C$28,73&lt;Projects!$C$28+Projects!$D$28),Projects!$B$28*INDEX(Curves!$B$4:$AR$4,1,73-Projects!$C$28+1),0)+IF(AND(Projects!$G$29="Yes",Projects!$M$29="Yes",73&gt;=Projects!$C$29,73&lt;Projects!$C$29+Projects!$D$29),Projects!$B$29*INDEX(Curves!$B$4:$AR$4,1,73-Projects!$C$29+1),0)+IF(AND(Projects!$G$30="Yes",Projects!$M$30="Yes",73&gt;=Projects!$C$30,73&lt;Projects!$C$30+Projects!$D$30),Projects!$B$30*INDEX(Curves!$B$4:$AR$4,1,73-Projects!$C$30+1),0)+IF(AND(Projects!$G$31="Yes",Projects!$M$31="Yes",73&gt;=Projects!$C$31,73&lt;Projects!$C$31+Projects!$D$31),Projects!$B$31*INDEX(Curves!$B$4:$AR$4,1,73-Projects!$C$31+1),0)+IF(AND(Projects!$G$32="Yes",Projects!$M$32="Yes",73&gt;=Projects!$C$32,73&lt;Projects!$C$32+Projects!$D$32),Projects!$B$32*INDEX(Curves!$B$4:$AR$4,1,73-Projects!$C$32+1),0)+IF(AND(Projects!$G$33="Yes",Projects!$M$33="Yes",73&gt;=Projects!$C$33,73&lt;Projects!$C$33+Projects!$D$33),Projects!$B$33*INDEX(Curves!$B$4:$AR$4,1,73-Projects!$C$33+1),0)+IF(AND(Projects!$G$34="Yes",Projects!$M$34="Yes",73&gt;=Projects!$C$34,73&lt;Projects!$C$34+Projects!$D$34),Projects!$B$34*INDEX(Curves!$B$4:$AR$4,1,73-Projects!$C$34+1),0)+IF(AND(Projects!$G$35="Yes",Projects!$M$35="Yes",73&gt;=Projects!$C$35,73&lt;Projects!$C$35+Projects!$D$35),Projects!$B$35*INDEX(Curves!$B$4:$AR$4,1,73-Projects!$C$35+1),0)+IF(AND(Projects!$G$36="Yes",Projects!$M$36="Yes",73&gt;=Projects!$C$36,73&lt;Projects!$C$36+Projects!$D$36),Projects!$B$36*INDEX(Curves!$B$4:$AR$4,1,73-Projects!$C$36+1),0)+IF(AND(Projects!$G$37="Yes",Projects!$M$37="Yes",73&gt;=Projects!$C$37,73&lt;Projects!$C$37+Projects!$D$37),Projects!$B$37*INDEX(Curves!$B$4:$AR$4,1,73-Projects!$C$37+1),0)+IF(AND(Projects!$G$38="Yes",Projects!$M$38="Yes",73&gt;=Projects!$C$38,73&lt;Projects!$C$38+Projects!$D$38),Projects!$B$38*INDEX(Curves!$B$4:$AR$4,1,73-Projects!$C$38+1),0)+IF(AND(Projects!$G$39="Yes",Projects!$M$39="Yes",73&gt;=Projects!$C$39,73&lt;Projects!$C$39+Projects!$D$39),Projects!$B$39*INDEX(Curves!$B$4:$AR$4,1,73-Projects!$C$39+1),0)+IF(AND(Projects!$G$40="Yes",Projects!$M$40="Yes",73&gt;=Projects!$C$40,73&lt;Projects!$C$40+Projects!$D$40),Projects!$B$40*INDEX(Curves!$B$4:$AR$4,1,73-Projects!$C$40+1),0)+IF(AND(Projects!$G$41="Yes",Projects!$M$41="Yes",73&gt;=Projects!$C$41,73&lt;Projects!$C$41+Projects!$D$41),Projects!$B$41*INDEX(Curves!$B$4:$AR$4,1,73-Projects!$C$41+1),0)+IF(AND(Projects!$G$42="Yes",Projects!$M$42="Yes",73&gt;=Projects!$C$42,73&lt;Projects!$C$42+Projects!$D$42),Projects!$B$42*INDEX(Curves!$B$4:$AR$4,1,73-Projects!$C$42+1),0)+IF(AND(Projects!$G$43="Yes",Projects!$M$43="Yes",73&gt;=Projects!$C$43,73&lt;Projects!$C$43+Projects!$D$43),Projects!$B$43*INDEX(Curves!$B$4:$AR$4,1,73-Projects!$C$43+1),0)+IF(AND(Projects!$G$44="Yes",Projects!$M$44="Yes",73&gt;=Projects!$C$44,73&lt;Projects!$C$44+Projects!$D$44),Projects!$B$44*INDEX(Curves!$B$4:$AR$4,1,73-Projects!$C$44+1),0)+IF(AND(Projects!$G$45="Yes",Projects!$M$45="Yes",73&gt;=Projects!$C$45,73&lt;Projects!$C$45+Projects!$D$45),Projects!$B$45*INDEX(Curves!$B$4:$AR$4,1,73-Projects!$C$45+1),0)+IF(AND(Projects!$G$46="Yes",Projects!$M$46="Yes",73&gt;=Projects!$C$46,73&lt;Projects!$C$46+Projects!$D$46),Projects!$B$46*INDEX(Curves!$B$4:$AR$4,1,73-Projects!$C$46+1),0)</f>
        <v>491415</v>
      </c>
      <c r="CA101" s="315" t="n">
        <f aca="false">IF(AND(Projects!$G$17="Yes",Projects!$M$17="Yes",74&gt;=Projects!$C$17,74&lt;Projects!$C$17+Projects!$D$17),Projects!$B$17*INDEX(Curves!$B$4:$AR$4,1,74-Projects!$C$17+1),0)+IF(AND(Projects!$G$18="Yes",Projects!$M$18="Yes",74&gt;=Projects!$C$18,74&lt;Projects!$C$18+Projects!$D$18),Projects!$B$18*INDEX(Curves!$B$4:$AR$4,1,74-Projects!$C$18+1),0)+IF(AND(Projects!$G$19="Yes",Projects!$M$19="Yes",74&gt;=Projects!$C$19,74&lt;Projects!$C$19+Projects!$D$19),Projects!$B$19*INDEX(Curves!$B$4:$AR$4,1,74-Projects!$C$19+1),0)+IF(AND(Projects!$G$20="Yes",Projects!$M$20="Yes",74&gt;=Projects!$C$20,74&lt;Projects!$C$20+Projects!$D$20),Projects!$B$20*INDEX(Curves!$B$4:$AR$4,1,74-Projects!$C$20+1),0)+IF(AND(Projects!$G$21="Yes",Projects!$M$21="Yes",74&gt;=Projects!$C$21,74&lt;Projects!$C$21+Projects!$D$21),Projects!$B$21*INDEX(Curves!$B$4:$AR$4,1,74-Projects!$C$21+1),0)+IF(AND(Projects!$G$22="Yes",Projects!$M$22="Yes",74&gt;=Projects!$C$22,74&lt;Projects!$C$22+Projects!$D$22),Projects!$B$22*INDEX(Curves!$B$4:$AR$4,1,74-Projects!$C$22+1),0)+IF(AND(Projects!$G$23="Yes",Projects!$M$23="Yes",74&gt;=Projects!$C$23,74&lt;Projects!$C$23+Projects!$D$23),Projects!$B$23*INDEX(Curves!$B$4:$AR$4,1,74-Projects!$C$23+1),0)+IF(AND(Projects!$G$24="Yes",Projects!$M$24="Yes",74&gt;=Projects!$C$24,74&lt;Projects!$C$24+Projects!$D$24),Projects!$B$24*INDEX(Curves!$B$4:$AR$4,1,74-Projects!$C$24+1),0)+IF(AND(Projects!$G$25="Yes",Projects!$M$25="Yes",74&gt;=Projects!$C$25,74&lt;Projects!$C$25+Projects!$D$25),Projects!$B$25*INDEX(Curves!$B$4:$AR$4,1,74-Projects!$C$25+1),0)+IF(AND(Projects!$G$26="Yes",Projects!$M$26="Yes",74&gt;=Projects!$C$26,74&lt;Projects!$C$26+Projects!$D$26),Projects!$B$26*INDEX(Curves!$B$4:$AR$4,1,74-Projects!$C$26+1),0)+IF(AND(Projects!$G$27="Yes",Projects!$M$27="Yes",74&gt;=Projects!$C$27,74&lt;Projects!$C$27+Projects!$D$27),Projects!$B$27*INDEX(Curves!$B$4:$AR$4,1,74-Projects!$C$27+1),0)+IF(AND(Projects!$G$28="Yes",Projects!$M$28="Yes",74&gt;=Projects!$C$28,74&lt;Projects!$C$28+Projects!$D$28),Projects!$B$28*INDEX(Curves!$B$4:$AR$4,1,74-Projects!$C$28+1),0)+IF(AND(Projects!$G$29="Yes",Projects!$M$29="Yes",74&gt;=Projects!$C$29,74&lt;Projects!$C$29+Projects!$D$29),Projects!$B$29*INDEX(Curves!$B$4:$AR$4,1,74-Projects!$C$29+1),0)+IF(AND(Projects!$G$30="Yes",Projects!$M$30="Yes",74&gt;=Projects!$C$30,74&lt;Projects!$C$30+Projects!$D$30),Projects!$B$30*INDEX(Curves!$B$4:$AR$4,1,74-Projects!$C$30+1),0)+IF(AND(Projects!$G$31="Yes",Projects!$M$31="Yes",74&gt;=Projects!$C$31,74&lt;Projects!$C$31+Projects!$D$31),Projects!$B$31*INDEX(Curves!$B$4:$AR$4,1,74-Projects!$C$31+1),0)+IF(AND(Projects!$G$32="Yes",Projects!$M$32="Yes",74&gt;=Projects!$C$32,74&lt;Projects!$C$32+Projects!$D$32),Projects!$B$32*INDEX(Curves!$B$4:$AR$4,1,74-Projects!$C$32+1),0)+IF(AND(Projects!$G$33="Yes",Projects!$M$33="Yes",74&gt;=Projects!$C$33,74&lt;Projects!$C$33+Projects!$D$33),Projects!$B$33*INDEX(Curves!$B$4:$AR$4,1,74-Projects!$C$33+1),0)+IF(AND(Projects!$G$34="Yes",Projects!$M$34="Yes",74&gt;=Projects!$C$34,74&lt;Projects!$C$34+Projects!$D$34),Projects!$B$34*INDEX(Curves!$B$4:$AR$4,1,74-Projects!$C$34+1),0)+IF(AND(Projects!$G$35="Yes",Projects!$M$35="Yes",74&gt;=Projects!$C$35,74&lt;Projects!$C$35+Projects!$D$35),Projects!$B$35*INDEX(Curves!$B$4:$AR$4,1,74-Projects!$C$35+1),0)+IF(AND(Projects!$G$36="Yes",Projects!$M$36="Yes",74&gt;=Projects!$C$36,74&lt;Projects!$C$36+Projects!$D$36),Projects!$B$36*INDEX(Curves!$B$4:$AR$4,1,74-Projects!$C$36+1),0)+IF(AND(Projects!$G$37="Yes",Projects!$M$37="Yes",74&gt;=Projects!$C$37,74&lt;Projects!$C$37+Projects!$D$37),Projects!$B$37*INDEX(Curves!$B$4:$AR$4,1,74-Projects!$C$37+1),0)+IF(AND(Projects!$G$38="Yes",Projects!$M$38="Yes",74&gt;=Projects!$C$38,74&lt;Projects!$C$38+Projects!$D$38),Projects!$B$38*INDEX(Curves!$B$4:$AR$4,1,74-Projects!$C$38+1),0)+IF(AND(Projects!$G$39="Yes",Projects!$M$39="Yes",74&gt;=Projects!$C$39,74&lt;Projects!$C$39+Projects!$D$39),Projects!$B$39*INDEX(Curves!$B$4:$AR$4,1,74-Projects!$C$39+1),0)+IF(AND(Projects!$G$40="Yes",Projects!$M$40="Yes",74&gt;=Projects!$C$40,74&lt;Projects!$C$40+Projects!$D$40),Projects!$B$40*INDEX(Curves!$B$4:$AR$4,1,74-Projects!$C$40+1),0)+IF(AND(Projects!$G$41="Yes",Projects!$M$41="Yes",74&gt;=Projects!$C$41,74&lt;Projects!$C$41+Projects!$D$41),Projects!$B$41*INDEX(Curves!$B$4:$AR$4,1,74-Projects!$C$41+1),0)+IF(AND(Projects!$G$42="Yes",Projects!$M$42="Yes",74&gt;=Projects!$C$42,74&lt;Projects!$C$42+Projects!$D$42),Projects!$B$42*INDEX(Curves!$B$4:$AR$4,1,74-Projects!$C$42+1),0)+IF(AND(Projects!$G$43="Yes",Projects!$M$43="Yes",74&gt;=Projects!$C$43,74&lt;Projects!$C$43+Projects!$D$43),Projects!$B$43*INDEX(Curves!$B$4:$AR$4,1,74-Projects!$C$43+1),0)+IF(AND(Projects!$G$44="Yes",Projects!$M$44="Yes",74&gt;=Projects!$C$44,74&lt;Projects!$C$44+Projects!$D$44),Projects!$B$44*INDEX(Curves!$B$4:$AR$4,1,74-Projects!$C$44+1),0)+IF(AND(Projects!$G$45="Yes",Projects!$M$45="Yes",74&gt;=Projects!$C$45,74&lt;Projects!$C$45+Projects!$D$45),Projects!$B$45*INDEX(Curves!$B$4:$AR$4,1,74-Projects!$C$45+1),0)+IF(AND(Projects!$G$46="Yes",Projects!$M$46="Yes",74&gt;=Projects!$C$46,74&lt;Projects!$C$46+Projects!$D$46),Projects!$B$46*INDEX(Curves!$B$4:$AR$4,1,74-Projects!$C$46+1),0)</f>
        <v>397755</v>
      </c>
      <c r="CB101" s="315" t="n">
        <f aca="false">IF(AND(Projects!$G$17="Yes",Projects!$M$17="Yes",75&gt;=Projects!$C$17,75&lt;Projects!$C$17+Projects!$D$17),Projects!$B$17*INDEX(Curves!$B$4:$AR$4,1,75-Projects!$C$17+1),0)+IF(AND(Projects!$G$18="Yes",Projects!$M$18="Yes",75&gt;=Projects!$C$18,75&lt;Projects!$C$18+Projects!$D$18),Projects!$B$18*INDEX(Curves!$B$4:$AR$4,1,75-Projects!$C$18+1),0)+IF(AND(Projects!$G$19="Yes",Projects!$M$19="Yes",75&gt;=Projects!$C$19,75&lt;Projects!$C$19+Projects!$D$19),Projects!$B$19*INDEX(Curves!$B$4:$AR$4,1,75-Projects!$C$19+1),0)+IF(AND(Projects!$G$20="Yes",Projects!$M$20="Yes",75&gt;=Projects!$C$20,75&lt;Projects!$C$20+Projects!$D$20),Projects!$B$20*INDEX(Curves!$B$4:$AR$4,1,75-Projects!$C$20+1),0)+IF(AND(Projects!$G$21="Yes",Projects!$M$21="Yes",75&gt;=Projects!$C$21,75&lt;Projects!$C$21+Projects!$D$21),Projects!$B$21*INDEX(Curves!$B$4:$AR$4,1,75-Projects!$C$21+1),0)+IF(AND(Projects!$G$22="Yes",Projects!$M$22="Yes",75&gt;=Projects!$C$22,75&lt;Projects!$C$22+Projects!$D$22),Projects!$B$22*INDEX(Curves!$B$4:$AR$4,1,75-Projects!$C$22+1),0)+IF(AND(Projects!$G$23="Yes",Projects!$M$23="Yes",75&gt;=Projects!$C$23,75&lt;Projects!$C$23+Projects!$D$23),Projects!$B$23*INDEX(Curves!$B$4:$AR$4,1,75-Projects!$C$23+1),0)+IF(AND(Projects!$G$24="Yes",Projects!$M$24="Yes",75&gt;=Projects!$C$24,75&lt;Projects!$C$24+Projects!$D$24),Projects!$B$24*INDEX(Curves!$B$4:$AR$4,1,75-Projects!$C$24+1),0)+IF(AND(Projects!$G$25="Yes",Projects!$M$25="Yes",75&gt;=Projects!$C$25,75&lt;Projects!$C$25+Projects!$D$25),Projects!$B$25*INDEX(Curves!$B$4:$AR$4,1,75-Projects!$C$25+1),0)+IF(AND(Projects!$G$26="Yes",Projects!$M$26="Yes",75&gt;=Projects!$C$26,75&lt;Projects!$C$26+Projects!$D$26),Projects!$B$26*INDEX(Curves!$B$4:$AR$4,1,75-Projects!$C$26+1),0)+IF(AND(Projects!$G$27="Yes",Projects!$M$27="Yes",75&gt;=Projects!$C$27,75&lt;Projects!$C$27+Projects!$D$27),Projects!$B$27*INDEX(Curves!$B$4:$AR$4,1,75-Projects!$C$27+1),0)+IF(AND(Projects!$G$28="Yes",Projects!$M$28="Yes",75&gt;=Projects!$C$28,75&lt;Projects!$C$28+Projects!$D$28),Projects!$B$28*INDEX(Curves!$B$4:$AR$4,1,75-Projects!$C$28+1),0)+IF(AND(Projects!$G$29="Yes",Projects!$M$29="Yes",75&gt;=Projects!$C$29,75&lt;Projects!$C$29+Projects!$D$29),Projects!$B$29*INDEX(Curves!$B$4:$AR$4,1,75-Projects!$C$29+1),0)+IF(AND(Projects!$G$30="Yes",Projects!$M$30="Yes",75&gt;=Projects!$C$30,75&lt;Projects!$C$30+Projects!$D$30),Projects!$B$30*INDEX(Curves!$B$4:$AR$4,1,75-Projects!$C$30+1),0)+IF(AND(Projects!$G$31="Yes",Projects!$M$31="Yes",75&gt;=Projects!$C$31,75&lt;Projects!$C$31+Projects!$D$31),Projects!$B$31*INDEX(Curves!$B$4:$AR$4,1,75-Projects!$C$31+1),0)+IF(AND(Projects!$G$32="Yes",Projects!$M$32="Yes",75&gt;=Projects!$C$32,75&lt;Projects!$C$32+Projects!$D$32),Projects!$B$32*INDEX(Curves!$B$4:$AR$4,1,75-Projects!$C$32+1),0)+IF(AND(Projects!$G$33="Yes",Projects!$M$33="Yes",75&gt;=Projects!$C$33,75&lt;Projects!$C$33+Projects!$D$33),Projects!$B$33*INDEX(Curves!$B$4:$AR$4,1,75-Projects!$C$33+1),0)+IF(AND(Projects!$G$34="Yes",Projects!$M$34="Yes",75&gt;=Projects!$C$34,75&lt;Projects!$C$34+Projects!$D$34),Projects!$B$34*INDEX(Curves!$B$4:$AR$4,1,75-Projects!$C$34+1),0)+IF(AND(Projects!$G$35="Yes",Projects!$M$35="Yes",75&gt;=Projects!$C$35,75&lt;Projects!$C$35+Projects!$D$35),Projects!$B$35*INDEX(Curves!$B$4:$AR$4,1,75-Projects!$C$35+1),0)+IF(AND(Projects!$G$36="Yes",Projects!$M$36="Yes",75&gt;=Projects!$C$36,75&lt;Projects!$C$36+Projects!$D$36),Projects!$B$36*INDEX(Curves!$B$4:$AR$4,1,75-Projects!$C$36+1),0)+IF(AND(Projects!$G$37="Yes",Projects!$M$37="Yes",75&gt;=Projects!$C$37,75&lt;Projects!$C$37+Projects!$D$37),Projects!$B$37*INDEX(Curves!$B$4:$AR$4,1,75-Projects!$C$37+1),0)+IF(AND(Projects!$G$38="Yes",Projects!$M$38="Yes",75&gt;=Projects!$C$38,75&lt;Projects!$C$38+Projects!$D$38),Projects!$B$38*INDEX(Curves!$B$4:$AR$4,1,75-Projects!$C$38+1),0)+IF(AND(Projects!$G$39="Yes",Projects!$M$39="Yes",75&gt;=Projects!$C$39,75&lt;Projects!$C$39+Projects!$D$39),Projects!$B$39*INDEX(Curves!$B$4:$AR$4,1,75-Projects!$C$39+1),0)+IF(AND(Projects!$G$40="Yes",Projects!$M$40="Yes",75&gt;=Projects!$C$40,75&lt;Projects!$C$40+Projects!$D$40),Projects!$B$40*INDEX(Curves!$B$4:$AR$4,1,75-Projects!$C$40+1),0)+IF(AND(Projects!$G$41="Yes",Projects!$M$41="Yes",75&gt;=Projects!$C$41,75&lt;Projects!$C$41+Projects!$D$41),Projects!$B$41*INDEX(Curves!$B$4:$AR$4,1,75-Projects!$C$41+1),0)+IF(AND(Projects!$G$42="Yes",Projects!$M$42="Yes",75&gt;=Projects!$C$42,75&lt;Projects!$C$42+Projects!$D$42),Projects!$B$42*INDEX(Curves!$B$4:$AR$4,1,75-Projects!$C$42+1),0)+IF(AND(Projects!$G$43="Yes",Projects!$M$43="Yes",75&gt;=Projects!$C$43,75&lt;Projects!$C$43+Projects!$D$43),Projects!$B$43*INDEX(Curves!$B$4:$AR$4,1,75-Projects!$C$43+1),0)+IF(AND(Projects!$G$44="Yes",Projects!$M$44="Yes",75&gt;=Projects!$C$44,75&lt;Projects!$C$44+Projects!$D$44),Projects!$B$44*INDEX(Curves!$B$4:$AR$4,1,75-Projects!$C$44+1),0)+IF(AND(Projects!$G$45="Yes",Projects!$M$45="Yes",75&gt;=Projects!$C$45,75&lt;Projects!$C$45+Projects!$D$45),Projects!$B$45*INDEX(Curves!$B$4:$AR$4,1,75-Projects!$C$45+1),0)+IF(AND(Projects!$G$46="Yes",Projects!$M$46="Yes",75&gt;=Projects!$C$46,75&lt;Projects!$C$46+Projects!$D$46),Projects!$B$46*INDEX(Curves!$B$4:$AR$4,1,75-Projects!$C$46+1),0)</f>
        <v>0</v>
      </c>
      <c r="CC101" s="315" t="n">
        <f aca="false">IF(AND(Projects!$G$17="Yes",Projects!$M$17="Yes",76&gt;=Projects!$C$17,76&lt;Projects!$C$17+Projects!$D$17),Projects!$B$17*INDEX(Curves!$B$4:$AR$4,1,76-Projects!$C$17+1),0)+IF(AND(Projects!$G$18="Yes",Projects!$M$18="Yes",76&gt;=Projects!$C$18,76&lt;Projects!$C$18+Projects!$D$18),Projects!$B$18*INDEX(Curves!$B$4:$AR$4,1,76-Projects!$C$18+1),0)+IF(AND(Projects!$G$19="Yes",Projects!$M$19="Yes",76&gt;=Projects!$C$19,76&lt;Projects!$C$19+Projects!$D$19),Projects!$B$19*INDEX(Curves!$B$4:$AR$4,1,76-Projects!$C$19+1),0)+IF(AND(Projects!$G$20="Yes",Projects!$M$20="Yes",76&gt;=Projects!$C$20,76&lt;Projects!$C$20+Projects!$D$20),Projects!$B$20*INDEX(Curves!$B$4:$AR$4,1,76-Projects!$C$20+1),0)+IF(AND(Projects!$G$21="Yes",Projects!$M$21="Yes",76&gt;=Projects!$C$21,76&lt;Projects!$C$21+Projects!$D$21),Projects!$B$21*INDEX(Curves!$B$4:$AR$4,1,76-Projects!$C$21+1),0)+IF(AND(Projects!$G$22="Yes",Projects!$M$22="Yes",76&gt;=Projects!$C$22,76&lt;Projects!$C$22+Projects!$D$22),Projects!$B$22*INDEX(Curves!$B$4:$AR$4,1,76-Projects!$C$22+1),0)+IF(AND(Projects!$G$23="Yes",Projects!$M$23="Yes",76&gt;=Projects!$C$23,76&lt;Projects!$C$23+Projects!$D$23),Projects!$B$23*INDEX(Curves!$B$4:$AR$4,1,76-Projects!$C$23+1),0)+IF(AND(Projects!$G$24="Yes",Projects!$M$24="Yes",76&gt;=Projects!$C$24,76&lt;Projects!$C$24+Projects!$D$24),Projects!$B$24*INDEX(Curves!$B$4:$AR$4,1,76-Projects!$C$24+1),0)+IF(AND(Projects!$G$25="Yes",Projects!$M$25="Yes",76&gt;=Projects!$C$25,76&lt;Projects!$C$25+Projects!$D$25),Projects!$B$25*INDEX(Curves!$B$4:$AR$4,1,76-Projects!$C$25+1),0)+IF(AND(Projects!$G$26="Yes",Projects!$M$26="Yes",76&gt;=Projects!$C$26,76&lt;Projects!$C$26+Projects!$D$26),Projects!$B$26*INDEX(Curves!$B$4:$AR$4,1,76-Projects!$C$26+1),0)+IF(AND(Projects!$G$27="Yes",Projects!$M$27="Yes",76&gt;=Projects!$C$27,76&lt;Projects!$C$27+Projects!$D$27),Projects!$B$27*INDEX(Curves!$B$4:$AR$4,1,76-Projects!$C$27+1),0)+IF(AND(Projects!$G$28="Yes",Projects!$M$28="Yes",76&gt;=Projects!$C$28,76&lt;Projects!$C$28+Projects!$D$28),Projects!$B$28*INDEX(Curves!$B$4:$AR$4,1,76-Projects!$C$28+1),0)+IF(AND(Projects!$G$29="Yes",Projects!$M$29="Yes",76&gt;=Projects!$C$29,76&lt;Projects!$C$29+Projects!$D$29),Projects!$B$29*INDEX(Curves!$B$4:$AR$4,1,76-Projects!$C$29+1),0)+IF(AND(Projects!$G$30="Yes",Projects!$M$30="Yes",76&gt;=Projects!$C$30,76&lt;Projects!$C$30+Projects!$D$30),Projects!$B$30*INDEX(Curves!$B$4:$AR$4,1,76-Projects!$C$30+1),0)+IF(AND(Projects!$G$31="Yes",Projects!$M$31="Yes",76&gt;=Projects!$C$31,76&lt;Projects!$C$31+Projects!$D$31),Projects!$B$31*INDEX(Curves!$B$4:$AR$4,1,76-Projects!$C$31+1),0)+IF(AND(Projects!$G$32="Yes",Projects!$M$32="Yes",76&gt;=Projects!$C$32,76&lt;Projects!$C$32+Projects!$D$32),Projects!$B$32*INDEX(Curves!$B$4:$AR$4,1,76-Projects!$C$32+1),0)+IF(AND(Projects!$G$33="Yes",Projects!$M$33="Yes",76&gt;=Projects!$C$33,76&lt;Projects!$C$33+Projects!$D$33),Projects!$B$33*INDEX(Curves!$B$4:$AR$4,1,76-Projects!$C$33+1),0)+IF(AND(Projects!$G$34="Yes",Projects!$M$34="Yes",76&gt;=Projects!$C$34,76&lt;Projects!$C$34+Projects!$D$34),Projects!$B$34*INDEX(Curves!$B$4:$AR$4,1,76-Projects!$C$34+1),0)+IF(AND(Projects!$G$35="Yes",Projects!$M$35="Yes",76&gt;=Projects!$C$35,76&lt;Projects!$C$35+Projects!$D$35),Projects!$B$35*INDEX(Curves!$B$4:$AR$4,1,76-Projects!$C$35+1),0)+IF(AND(Projects!$G$36="Yes",Projects!$M$36="Yes",76&gt;=Projects!$C$36,76&lt;Projects!$C$36+Projects!$D$36),Projects!$B$36*INDEX(Curves!$B$4:$AR$4,1,76-Projects!$C$36+1),0)+IF(AND(Projects!$G$37="Yes",Projects!$M$37="Yes",76&gt;=Projects!$C$37,76&lt;Projects!$C$37+Projects!$D$37),Projects!$B$37*INDEX(Curves!$B$4:$AR$4,1,76-Projects!$C$37+1),0)+IF(AND(Projects!$G$38="Yes",Projects!$M$38="Yes",76&gt;=Projects!$C$38,76&lt;Projects!$C$38+Projects!$D$38),Projects!$B$38*INDEX(Curves!$B$4:$AR$4,1,76-Projects!$C$38+1),0)+IF(AND(Projects!$G$39="Yes",Projects!$M$39="Yes",76&gt;=Projects!$C$39,76&lt;Projects!$C$39+Projects!$D$39),Projects!$B$39*INDEX(Curves!$B$4:$AR$4,1,76-Projects!$C$39+1),0)+IF(AND(Projects!$G$40="Yes",Projects!$M$40="Yes",76&gt;=Projects!$C$40,76&lt;Projects!$C$40+Projects!$D$40),Projects!$B$40*INDEX(Curves!$B$4:$AR$4,1,76-Projects!$C$40+1),0)+IF(AND(Projects!$G$41="Yes",Projects!$M$41="Yes",76&gt;=Projects!$C$41,76&lt;Projects!$C$41+Projects!$D$41),Projects!$B$41*INDEX(Curves!$B$4:$AR$4,1,76-Projects!$C$41+1),0)+IF(AND(Projects!$G$42="Yes",Projects!$M$42="Yes",76&gt;=Projects!$C$42,76&lt;Projects!$C$42+Projects!$D$42),Projects!$B$42*INDEX(Curves!$B$4:$AR$4,1,76-Projects!$C$42+1),0)+IF(AND(Projects!$G$43="Yes",Projects!$M$43="Yes",76&gt;=Projects!$C$43,76&lt;Projects!$C$43+Projects!$D$43),Projects!$B$43*INDEX(Curves!$B$4:$AR$4,1,76-Projects!$C$43+1),0)+IF(AND(Projects!$G$44="Yes",Projects!$M$44="Yes",76&gt;=Projects!$C$44,76&lt;Projects!$C$44+Projects!$D$44),Projects!$B$44*INDEX(Curves!$B$4:$AR$4,1,76-Projects!$C$44+1),0)+IF(AND(Projects!$G$45="Yes",Projects!$M$45="Yes",76&gt;=Projects!$C$45,76&lt;Projects!$C$45+Projects!$D$45),Projects!$B$45*INDEX(Curves!$B$4:$AR$4,1,76-Projects!$C$45+1),0)+IF(AND(Projects!$G$46="Yes",Projects!$M$46="Yes",76&gt;=Projects!$C$46,76&lt;Projects!$C$46+Projects!$D$46),Projects!$B$46*INDEX(Curves!$B$4:$AR$4,1,76-Projects!$C$46+1),0)</f>
        <v>0</v>
      </c>
      <c r="CD101" s="315" t="n">
        <f aca="false">IF(AND(Projects!$G$17="Yes",Projects!$M$17="Yes",77&gt;=Projects!$C$17,77&lt;Projects!$C$17+Projects!$D$17),Projects!$B$17*INDEX(Curves!$B$4:$AR$4,1,77-Projects!$C$17+1),0)+IF(AND(Projects!$G$18="Yes",Projects!$M$18="Yes",77&gt;=Projects!$C$18,77&lt;Projects!$C$18+Projects!$D$18),Projects!$B$18*INDEX(Curves!$B$4:$AR$4,1,77-Projects!$C$18+1),0)+IF(AND(Projects!$G$19="Yes",Projects!$M$19="Yes",77&gt;=Projects!$C$19,77&lt;Projects!$C$19+Projects!$D$19),Projects!$B$19*INDEX(Curves!$B$4:$AR$4,1,77-Projects!$C$19+1),0)+IF(AND(Projects!$G$20="Yes",Projects!$M$20="Yes",77&gt;=Projects!$C$20,77&lt;Projects!$C$20+Projects!$D$20),Projects!$B$20*INDEX(Curves!$B$4:$AR$4,1,77-Projects!$C$20+1),0)+IF(AND(Projects!$G$21="Yes",Projects!$M$21="Yes",77&gt;=Projects!$C$21,77&lt;Projects!$C$21+Projects!$D$21),Projects!$B$21*INDEX(Curves!$B$4:$AR$4,1,77-Projects!$C$21+1),0)+IF(AND(Projects!$G$22="Yes",Projects!$M$22="Yes",77&gt;=Projects!$C$22,77&lt;Projects!$C$22+Projects!$D$22),Projects!$B$22*INDEX(Curves!$B$4:$AR$4,1,77-Projects!$C$22+1),0)+IF(AND(Projects!$G$23="Yes",Projects!$M$23="Yes",77&gt;=Projects!$C$23,77&lt;Projects!$C$23+Projects!$D$23),Projects!$B$23*INDEX(Curves!$B$4:$AR$4,1,77-Projects!$C$23+1),0)+IF(AND(Projects!$G$24="Yes",Projects!$M$24="Yes",77&gt;=Projects!$C$24,77&lt;Projects!$C$24+Projects!$D$24),Projects!$B$24*INDEX(Curves!$B$4:$AR$4,1,77-Projects!$C$24+1),0)+IF(AND(Projects!$G$25="Yes",Projects!$M$25="Yes",77&gt;=Projects!$C$25,77&lt;Projects!$C$25+Projects!$D$25),Projects!$B$25*INDEX(Curves!$B$4:$AR$4,1,77-Projects!$C$25+1),0)+IF(AND(Projects!$G$26="Yes",Projects!$M$26="Yes",77&gt;=Projects!$C$26,77&lt;Projects!$C$26+Projects!$D$26),Projects!$B$26*INDEX(Curves!$B$4:$AR$4,1,77-Projects!$C$26+1),0)+IF(AND(Projects!$G$27="Yes",Projects!$M$27="Yes",77&gt;=Projects!$C$27,77&lt;Projects!$C$27+Projects!$D$27),Projects!$B$27*INDEX(Curves!$B$4:$AR$4,1,77-Projects!$C$27+1),0)+IF(AND(Projects!$G$28="Yes",Projects!$M$28="Yes",77&gt;=Projects!$C$28,77&lt;Projects!$C$28+Projects!$D$28),Projects!$B$28*INDEX(Curves!$B$4:$AR$4,1,77-Projects!$C$28+1),0)+IF(AND(Projects!$G$29="Yes",Projects!$M$29="Yes",77&gt;=Projects!$C$29,77&lt;Projects!$C$29+Projects!$D$29),Projects!$B$29*INDEX(Curves!$B$4:$AR$4,1,77-Projects!$C$29+1),0)+IF(AND(Projects!$G$30="Yes",Projects!$M$30="Yes",77&gt;=Projects!$C$30,77&lt;Projects!$C$30+Projects!$D$30),Projects!$B$30*INDEX(Curves!$B$4:$AR$4,1,77-Projects!$C$30+1),0)+IF(AND(Projects!$G$31="Yes",Projects!$M$31="Yes",77&gt;=Projects!$C$31,77&lt;Projects!$C$31+Projects!$D$31),Projects!$B$31*INDEX(Curves!$B$4:$AR$4,1,77-Projects!$C$31+1),0)+IF(AND(Projects!$G$32="Yes",Projects!$M$32="Yes",77&gt;=Projects!$C$32,77&lt;Projects!$C$32+Projects!$D$32),Projects!$B$32*INDEX(Curves!$B$4:$AR$4,1,77-Projects!$C$32+1),0)+IF(AND(Projects!$G$33="Yes",Projects!$M$33="Yes",77&gt;=Projects!$C$33,77&lt;Projects!$C$33+Projects!$D$33),Projects!$B$33*INDEX(Curves!$B$4:$AR$4,1,77-Projects!$C$33+1),0)+IF(AND(Projects!$G$34="Yes",Projects!$M$34="Yes",77&gt;=Projects!$C$34,77&lt;Projects!$C$34+Projects!$D$34),Projects!$B$34*INDEX(Curves!$B$4:$AR$4,1,77-Projects!$C$34+1),0)+IF(AND(Projects!$G$35="Yes",Projects!$M$35="Yes",77&gt;=Projects!$C$35,77&lt;Projects!$C$35+Projects!$D$35),Projects!$B$35*INDEX(Curves!$B$4:$AR$4,1,77-Projects!$C$35+1),0)+IF(AND(Projects!$G$36="Yes",Projects!$M$36="Yes",77&gt;=Projects!$C$36,77&lt;Projects!$C$36+Projects!$D$36),Projects!$B$36*INDEX(Curves!$B$4:$AR$4,1,77-Projects!$C$36+1),0)+IF(AND(Projects!$G$37="Yes",Projects!$M$37="Yes",77&gt;=Projects!$C$37,77&lt;Projects!$C$37+Projects!$D$37),Projects!$B$37*INDEX(Curves!$B$4:$AR$4,1,77-Projects!$C$37+1),0)+IF(AND(Projects!$G$38="Yes",Projects!$M$38="Yes",77&gt;=Projects!$C$38,77&lt;Projects!$C$38+Projects!$D$38),Projects!$B$38*INDEX(Curves!$B$4:$AR$4,1,77-Projects!$C$38+1),0)+IF(AND(Projects!$G$39="Yes",Projects!$M$39="Yes",77&gt;=Projects!$C$39,77&lt;Projects!$C$39+Projects!$D$39),Projects!$B$39*INDEX(Curves!$B$4:$AR$4,1,77-Projects!$C$39+1),0)+IF(AND(Projects!$G$40="Yes",Projects!$M$40="Yes",77&gt;=Projects!$C$40,77&lt;Projects!$C$40+Projects!$D$40),Projects!$B$40*INDEX(Curves!$B$4:$AR$4,1,77-Projects!$C$40+1),0)+IF(AND(Projects!$G$41="Yes",Projects!$M$41="Yes",77&gt;=Projects!$C$41,77&lt;Projects!$C$41+Projects!$D$41),Projects!$B$41*INDEX(Curves!$B$4:$AR$4,1,77-Projects!$C$41+1),0)+IF(AND(Projects!$G$42="Yes",Projects!$M$42="Yes",77&gt;=Projects!$C$42,77&lt;Projects!$C$42+Projects!$D$42),Projects!$B$42*INDEX(Curves!$B$4:$AR$4,1,77-Projects!$C$42+1),0)+IF(AND(Projects!$G$43="Yes",Projects!$M$43="Yes",77&gt;=Projects!$C$43,77&lt;Projects!$C$43+Projects!$D$43),Projects!$B$43*INDEX(Curves!$B$4:$AR$4,1,77-Projects!$C$43+1),0)+IF(AND(Projects!$G$44="Yes",Projects!$M$44="Yes",77&gt;=Projects!$C$44,77&lt;Projects!$C$44+Projects!$D$44),Projects!$B$44*INDEX(Curves!$B$4:$AR$4,1,77-Projects!$C$44+1),0)+IF(AND(Projects!$G$45="Yes",Projects!$M$45="Yes",77&gt;=Projects!$C$45,77&lt;Projects!$C$45+Projects!$D$45),Projects!$B$45*INDEX(Curves!$B$4:$AR$4,1,77-Projects!$C$45+1),0)+IF(AND(Projects!$G$46="Yes",Projects!$M$46="Yes",77&gt;=Projects!$C$46,77&lt;Projects!$C$46+Projects!$D$46),Projects!$B$46*INDEX(Curves!$B$4:$AR$4,1,77-Projects!$C$46+1),0)</f>
        <v>0</v>
      </c>
      <c r="CE101" s="315" t="n">
        <f aca="false">IF(AND(Projects!$G$17="Yes",Projects!$M$17="Yes",78&gt;=Projects!$C$17,78&lt;Projects!$C$17+Projects!$D$17),Projects!$B$17*INDEX(Curves!$B$4:$AR$4,1,78-Projects!$C$17+1),0)+IF(AND(Projects!$G$18="Yes",Projects!$M$18="Yes",78&gt;=Projects!$C$18,78&lt;Projects!$C$18+Projects!$D$18),Projects!$B$18*INDEX(Curves!$B$4:$AR$4,1,78-Projects!$C$18+1),0)+IF(AND(Projects!$G$19="Yes",Projects!$M$19="Yes",78&gt;=Projects!$C$19,78&lt;Projects!$C$19+Projects!$D$19),Projects!$B$19*INDEX(Curves!$B$4:$AR$4,1,78-Projects!$C$19+1),0)+IF(AND(Projects!$G$20="Yes",Projects!$M$20="Yes",78&gt;=Projects!$C$20,78&lt;Projects!$C$20+Projects!$D$20),Projects!$B$20*INDEX(Curves!$B$4:$AR$4,1,78-Projects!$C$20+1),0)+IF(AND(Projects!$G$21="Yes",Projects!$M$21="Yes",78&gt;=Projects!$C$21,78&lt;Projects!$C$21+Projects!$D$21),Projects!$B$21*INDEX(Curves!$B$4:$AR$4,1,78-Projects!$C$21+1),0)+IF(AND(Projects!$G$22="Yes",Projects!$M$22="Yes",78&gt;=Projects!$C$22,78&lt;Projects!$C$22+Projects!$D$22),Projects!$B$22*INDEX(Curves!$B$4:$AR$4,1,78-Projects!$C$22+1),0)+IF(AND(Projects!$G$23="Yes",Projects!$M$23="Yes",78&gt;=Projects!$C$23,78&lt;Projects!$C$23+Projects!$D$23),Projects!$B$23*INDEX(Curves!$B$4:$AR$4,1,78-Projects!$C$23+1),0)+IF(AND(Projects!$G$24="Yes",Projects!$M$24="Yes",78&gt;=Projects!$C$24,78&lt;Projects!$C$24+Projects!$D$24),Projects!$B$24*INDEX(Curves!$B$4:$AR$4,1,78-Projects!$C$24+1),0)+IF(AND(Projects!$G$25="Yes",Projects!$M$25="Yes",78&gt;=Projects!$C$25,78&lt;Projects!$C$25+Projects!$D$25),Projects!$B$25*INDEX(Curves!$B$4:$AR$4,1,78-Projects!$C$25+1),0)+IF(AND(Projects!$G$26="Yes",Projects!$M$26="Yes",78&gt;=Projects!$C$26,78&lt;Projects!$C$26+Projects!$D$26),Projects!$B$26*INDEX(Curves!$B$4:$AR$4,1,78-Projects!$C$26+1),0)+IF(AND(Projects!$G$27="Yes",Projects!$M$27="Yes",78&gt;=Projects!$C$27,78&lt;Projects!$C$27+Projects!$D$27),Projects!$B$27*INDEX(Curves!$B$4:$AR$4,1,78-Projects!$C$27+1),0)+IF(AND(Projects!$G$28="Yes",Projects!$M$28="Yes",78&gt;=Projects!$C$28,78&lt;Projects!$C$28+Projects!$D$28),Projects!$B$28*INDEX(Curves!$B$4:$AR$4,1,78-Projects!$C$28+1),0)+IF(AND(Projects!$G$29="Yes",Projects!$M$29="Yes",78&gt;=Projects!$C$29,78&lt;Projects!$C$29+Projects!$D$29),Projects!$B$29*INDEX(Curves!$B$4:$AR$4,1,78-Projects!$C$29+1),0)+IF(AND(Projects!$G$30="Yes",Projects!$M$30="Yes",78&gt;=Projects!$C$30,78&lt;Projects!$C$30+Projects!$D$30),Projects!$B$30*INDEX(Curves!$B$4:$AR$4,1,78-Projects!$C$30+1),0)+IF(AND(Projects!$G$31="Yes",Projects!$M$31="Yes",78&gt;=Projects!$C$31,78&lt;Projects!$C$31+Projects!$D$31),Projects!$B$31*INDEX(Curves!$B$4:$AR$4,1,78-Projects!$C$31+1),0)+IF(AND(Projects!$G$32="Yes",Projects!$M$32="Yes",78&gt;=Projects!$C$32,78&lt;Projects!$C$32+Projects!$D$32),Projects!$B$32*INDEX(Curves!$B$4:$AR$4,1,78-Projects!$C$32+1),0)+IF(AND(Projects!$G$33="Yes",Projects!$M$33="Yes",78&gt;=Projects!$C$33,78&lt;Projects!$C$33+Projects!$D$33),Projects!$B$33*INDEX(Curves!$B$4:$AR$4,1,78-Projects!$C$33+1),0)+IF(AND(Projects!$G$34="Yes",Projects!$M$34="Yes",78&gt;=Projects!$C$34,78&lt;Projects!$C$34+Projects!$D$34),Projects!$B$34*INDEX(Curves!$B$4:$AR$4,1,78-Projects!$C$34+1),0)+IF(AND(Projects!$G$35="Yes",Projects!$M$35="Yes",78&gt;=Projects!$C$35,78&lt;Projects!$C$35+Projects!$D$35),Projects!$B$35*INDEX(Curves!$B$4:$AR$4,1,78-Projects!$C$35+1),0)+IF(AND(Projects!$G$36="Yes",Projects!$M$36="Yes",78&gt;=Projects!$C$36,78&lt;Projects!$C$36+Projects!$D$36),Projects!$B$36*INDEX(Curves!$B$4:$AR$4,1,78-Projects!$C$36+1),0)+IF(AND(Projects!$G$37="Yes",Projects!$M$37="Yes",78&gt;=Projects!$C$37,78&lt;Projects!$C$37+Projects!$D$37),Projects!$B$37*INDEX(Curves!$B$4:$AR$4,1,78-Projects!$C$37+1),0)+IF(AND(Projects!$G$38="Yes",Projects!$M$38="Yes",78&gt;=Projects!$C$38,78&lt;Projects!$C$38+Projects!$D$38),Projects!$B$38*INDEX(Curves!$B$4:$AR$4,1,78-Projects!$C$38+1),0)+IF(AND(Projects!$G$39="Yes",Projects!$M$39="Yes",78&gt;=Projects!$C$39,78&lt;Projects!$C$39+Projects!$D$39),Projects!$B$39*INDEX(Curves!$B$4:$AR$4,1,78-Projects!$C$39+1),0)+IF(AND(Projects!$G$40="Yes",Projects!$M$40="Yes",78&gt;=Projects!$C$40,78&lt;Projects!$C$40+Projects!$D$40),Projects!$B$40*INDEX(Curves!$B$4:$AR$4,1,78-Projects!$C$40+1),0)+IF(AND(Projects!$G$41="Yes",Projects!$M$41="Yes",78&gt;=Projects!$C$41,78&lt;Projects!$C$41+Projects!$D$41),Projects!$B$41*INDEX(Curves!$B$4:$AR$4,1,78-Projects!$C$41+1),0)+IF(AND(Projects!$G$42="Yes",Projects!$M$42="Yes",78&gt;=Projects!$C$42,78&lt;Projects!$C$42+Projects!$D$42),Projects!$B$42*INDEX(Curves!$B$4:$AR$4,1,78-Projects!$C$42+1),0)+IF(AND(Projects!$G$43="Yes",Projects!$M$43="Yes",78&gt;=Projects!$C$43,78&lt;Projects!$C$43+Projects!$D$43),Projects!$B$43*INDEX(Curves!$B$4:$AR$4,1,78-Projects!$C$43+1),0)+IF(AND(Projects!$G$44="Yes",Projects!$M$44="Yes",78&gt;=Projects!$C$44,78&lt;Projects!$C$44+Projects!$D$44),Projects!$B$44*INDEX(Curves!$B$4:$AR$4,1,78-Projects!$C$44+1),0)+IF(AND(Projects!$G$45="Yes",Projects!$M$45="Yes",78&gt;=Projects!$C$45,78&lt;Projects!$C$45+Projects!$D$45),Projects!$B$45*INDEX(Curves!$B$4:$AR$4,1,78-Projects!$C$45+1),0)+IF(AND(Projects!$G$46="Yes",Projects!$M$46="Yes",78&gt;=Projects!$C$46,78&lt;Projects!$C$46+Projects!$D$46),Projects!$B$46*INDEX(Curves!$B$4:$AR$4,1,78-Projects!$C$46+1),0)</f>
        <v>0</v>
      </c>
      <c r="CF101" s="315" t="n">
        <f aca="false">IF(AND(Projects!$G$17="Yes",Projects!$M$17="Yes",79&gt;=Projects!$C$17,79&lt;Projects!$C$17+Projects!$D$17),Projects!$B$17*INDEX(Curves!$B$4:$AR$4,1,79-Projects!$C$17+1),0)+IF(AND(Projects!$G$18="Yes",Projects!$M$18="Yes",79&gt;=Projects!$C$18,79&lt;Projects!$C$18+Projects!$D$18),Projects!$B$18*INDEX(Curves!$B$4:$AR$4,1,79-Projects!$C$18+1),0)+IF(AND(Projects!$G$19="Yes",Projects!$M$19="Yes",79&gt;=Projects!$C$19,79&lt;Projects!$C$19+Projects!$D$19),Projects!$B$19*INDEX(Curves!$B$4:$AR$4,1,79-Projects!$C$19+1),0)+IF(AND(Projects!$G$20="Yes",Projects!$M$20="Yes",79&gt;=Projects!$C$20,79&lt;Projects!$C$20+Projects!$D$20),Projects!$B$20*INDEX(Curves!$B$4:$AR$4,1,79-Projects!$C$20+1),0)+IF(AND(Projects!$G$21="Yes",Projects!$M$21="Yes",79&gt;=Projects!$C$21,79&lt;Projects!$C$21+Projects!$D$21),Projects!$B$21*INDEX(Curves!$B$4:$AR$4,1,79-Projects!$C$21+1),0)+IF(AND(Projects!$G$22="Yes",Projects!$M$22="Yes",79&gt;=Projects!$C$22,79&lt;Projects!$C$22+Projects!$D$22),Projects!$B$22*INDEX(Curves!$B$4:$AR$4,1,79-Projects!$C$22+1),0)+IF(AND(Projects!$G$23="Yes",Projects!$M$23="Yes",79&gt;=Projects!$C$23,79&lt;Projects!$C$23+Projects!$D$23),Projects!$B$23*INDEX(Curves!$B$4:$AR$4,1,79-Projects!$C$23+1),0)+IF(AND(Projects!$G$24="Yes",Projects!$M$24="Yes",79&gt;=Projects!$C$24,79&lt;Projects!$C$24+Projects!$D$24),Projects!$B$24*INDEX(Curves!$B$4:$AR$4,1,79-Projects!$C$24+1),0)+IF(AND(Projects!$G$25="Yes",Projects!$M$25="Yes",79&gt;=Projects!$C$25,79&lt;Projects!$C$25+Projects!$D$25),Projects!$B$25*INDEX(Curves!$B$4:$AR$4,1,79-Projects!$C$25+1),0)+IF(AND(Projects!$G$26="Yes",Projects!$M$26="Yes",79&gt;=Projects!$C$26,79&lt;Projects!$C$26+Projects!$D$26),Projects!$B$26*INDEX(Curves!$B$4:$AR$4,1,79-Projects!$C$26+1),0)+IF(AND(Projects!$G$27="Yes",Projects!$M$27="Yes",79&gt;=Projects!$C$27,79&lt;Projects!$C$27+Projects!$D$27),Projects!$B$27*INDEX(Curves!$B$4:$AR$4,1,79-Projects!$C$27+1),0)+IF(AND(Projects!$G$28="Yes",Projects!$M$28="Yes",79&gt;=Projects!$C$28,79&lt;Projects!$C$28+Projects!$D$28),Projects!$B$28*INDEX(Curves!$B$4:$AR$4,1,79-Projects!$C$28+1),0)+IF(AND(Projects!$G$29="Yes",Projects!$M$29="Yes",79&gt;=Projects!$C$29,79&lt;Projects!$C$29+Projects!$D$29),Projects!$B$29*INDEX(Curves!$B$4:$AR$4,1,79-Projects!$C$29+1),0)+IF(AND(Projects!$G$30="Yes",Projects!$M$30="Yes",79&gt;=Projects!$C$30,79&lt;Projects!$C$30+Projects!$D$30),Projects!$B$30*INDEX(Curves!$B$4:$AR$4,1,79-Projects!$C$30+1),0)+IF(AND(Projects!$G$31="Yes",Projects!$M$31="Yes",79&gt;=Projects!$C$31,79&lt;Projects!$C$31+Projects!$D$31),Projects!$B$31*INDEX(Curves!$B$4:$AR$4,1,79-Projects!$C$31+1),0)+IF(AND(Projects!$G$32="Yes",Projects!$M$32="Yes",79&gt;=Projects!$C$32,79&lt;Projects!$C$32+Projects!$D$32),Projects!$B$32*INDEX(Curves!$B$4:$AR$4,1,79-Projects!$C$32+1),0)+IF(AND(Projects!$G$33="Yes",Projects!$M$33="Yes",79&gt;=Projects!$C$33,79&lt;Projects!$C$33+Projects!$D$33),Projects!$B$33*INDEX(Curves!$B$4:$AR$4,1,79-Projects!$C$33+1),0)+IF(AND(Projects!$G$34="Yes",Projects!$M$34="Yes",79&gt;=Projects!$C$34,79&lt;Projects!$C$34+Projects!$D$34),Projects!$B$34*INDEX(Curves!$B$4:$AR$4,1,79-Projects!$C$34+1),0)+IF(AND(Projects!$G$35="Yes",Projects!$M$35="Yes",79&gt;=Projects!$C$35,79&lt;Projects!$C$35+Projects!$D$35),Projects!$B$35*INDEX(Curves!$B$4:$AR$4,1,79-Projects!$C$35+1),0)+IF(AND(Projects!$G$36="Yes",Projects!$M$36="Yes",79&gt;=Projects!$C$36,79&lt;Projects!$C$36+Projects!$D$36),Projects!$B$36*INDEX(Curves!$B$4:$AR$4,1,79-Projects!$C$36+1),0)+IF(AND(Projects!$G$37="Yes",Projects!$M$37="Yes",79&gt;=Projects!$C$37,79&lt;Projects!$C$37+Projects!$D$37),Projects!$B$37*INDEX(Curves!$B$4:$AR$4,1,79-Projects!$C$37+1),0)+IF(AND(Projects!$G$38="Yes",Projects!$M$38="Yes",79&gt;=Projects!$C$38,79&lt;Projects!$C$38+Projects!$D$38),Projects!$B$38*INDEX(Curves!$B$4:$AR$4,1,79-Projects!$C$38+1),0)+IF(AND(Projects!$G$39="Yes",Projects!$M$39="Yes",79&gt;=Projects!$C$39,79&lt;Projects!$C$39+Projects!$D$39),Projects!$B$39*INDEX(Curves!$B$4:$AR$4,1,79-Projects!$C$39+1),0)+IF(AND(Projects!$G$40="Yes",Projects!$M$40="Yes",79&gt;=Projects!$C$40,79&lt;Projects!$C$40+Projects!$D$40),Projects!$B$40*INDEX(Curves!$B$4:$AR$4,1,79-Projects!$C$40+1),0)+IF(AND(Projects!$G$41="Yes",Projects!$M$41="Yes",79&gt;=Projects!$C$41,79&lt;Projects!$C$41+Projects!$D$41),Projects!$B$41*INDEX(Curves!$B$4:$AR$4,1,79-Projects!$C$41+1),0)+IF(AND(Projects!$G$42="Yes",Projects!$M$42="Yes",79&gt;=Projects!$C$42,79&lt;Projects!$C$42+Projects!$D$42),Projects!$B$42*INDEX(Curves!$B$4:$AR$4,1,79-Projects!$C$42+1),0)+IF(AND(Projects!$G$43="Yes",Projects!$M$43="Yes",79&gt;=Projects!$C$43,79&lt;Projects!$C$43+Projects!$D$43),Projects!$B$43*INDEX(Curves!$B$4:$AR$4,1,79-Projects!$C$43+1),0)+IF(AND(Projects!$G$44="Yes",Projects!$M$44="Yes",79&gt;=Projects!$C$44,79&lt;Projects!$C$44+Projects!$D$44),Projects!$B$44*INDEX(Curves!$B$4:$AR$4,1,79-Projects!$C$44+1),0)+IF(AND(Projects!$G$45="Yes",Projects!$M$45="Yes",79&gt;=Projects!$C$45,79&lt;Projects!$C$45+Projects!$D$45),Projects!$B$45*INDEX(Curves!$B$4:$AR$4,1,79-Projects!$C$45+1),0)+IF(AND(Projects!$G$46="Yes",Projects!$M$46="Yes",79&gt;=Projects!$C$46,79&lt;Projects!$C$46+Projects!$D$46),Projects!$B$46*INDEX(Curves!$B$4:$AR$4,1,79-Projects!$C$46+1),0)</f>
        <v>0</v>
      </c>
      <c r="CG101" s="315" t="n">
        <f aca="false">IF(AND(Projects!$G$17="Yes",Projects!$M$17="Yes",80&gt;=Projects!$C$17,80&lt;Projects!$C$17+Projects!$D$17),Projects!$B$17*INDEX(Curves!$B$4:$AR$4,1,80-Projects!$C$17+1),0)+IF(AND(Projects!$G$18="Yes",Projects!$M$18="Yes",80&gt;=Projects!$C$18,80&lt;Projects!$C$18+Projects!$D$18),Projects!$B$18*INDEX(Curves!$B$4:$AR$4,1,80-Projects!$C$18+1),0)+IF(AND(Projects!$G$19="Yes",Projects!$M$19="Yes",80&gt;=Projects!$C$19,80&lt;Projects!$C$19+Projects!$D$19),Projects!$B$19*INDEX(Curves!$B$4:$AR$4,1,80-Projects!$C$19+1),0)+IF(AND(Projects!$G$20="Yes",Projects!$M$20="Yes",80&gt;=Projects!$C$20,80&lt;Projects!$C$20+Projects!$D$20),Projects!$B$20*INDEX(Curves!$B$4:$AR$4,1,80-Projects!$C$20+1),0)+IF(AND(Projects!$G$21="Yes",Projects!$M$21="Yes",80&gt;=Projects!$C$21,80&lt;Projects!$C$21+Projects!$D$21),Projects!$B$21*INDEX(Curves!$B$4:$AR$4,1,80-Projects!$C$21+1),0)+IF(AND(Projects!$G$22="Yes",Projects!$M$22="Yes",80&gt;=Projects!$C$22,80&lt;Projects!$C$22+Projects!$D$22),Projects!$B$22*INDEX(Curves!$B$4:$AR$4,1,80-Projects!$C$22+1),0)+IF(AND(Projects!$G$23="Yes",Projects!$M$23="Yes",80&gt;=Projects!$C$23,80&lt;Projects!$C$23+Projects!$D$23),Projects!$B$23*INDEX(Curves!$B$4:$AR$4,1,80-Projects!$C$23+1),0)+IF(AND(Projects!$G$24="Yes",Projects!$M$24="Yes",80&gt;=Projects!$C$24,80&lt;Projects!$C$24+Projects!$D$24),Projects!$B$24*INDEX(Curves!$B$4:$AR$4,1,80-Projects!$C$24+1),0)+IF(AND(Projects!$G$25="Yes",Projects!$M$25="Yes",80&gt;=Projects!$C$25,80&lt;Projects!$C$25+Projects!$D$25),Projects!$B$25*INDEX(Curves!$B$4:$AR$4,1,80-Projects!$C$25+1),0)+IF(AND(Projects!$G$26="Yes",Projects!$M$26="Yes",80&gt;=Projects!$C$26,80&lt;Projects!$C$26+Projects!$D$26),Projects!$B$26*INDEX(Curves!$B$4:$AR$4,1,80-Projects!$C$26+1),0)+IF(AND(Projects!$G$27="Yes",Projects!$M$27="Yes",80&gt;=Projects!$C$27,80&lt;Projects!$C$27+Projects!$D$27),Projects!$B$27*INDEX(Curves!$B$4:$AR$4,1,80-Projects!$C$27+1),0)+IF(AND(Projects!$G$28="Yes",Projects!$M$28="Yes",80&gt;=Projects!$C$28,80&lt;Projects!$C$28+Projects!$D$28),Projects!$B$28*INDEX(Curves!$B$4:$AR$4,1,80-Projects!$C$28+1),0)+IF(AND(Projects!$G$29="Yes",Projects!$M$29="Yes",80&gt;=Projects!$C$29,80&lt;Projects!$C$29+Projects!$D$29),Projects!$B$29*INDEX(Curves!$B$4:$AR$4,1,80-Projects!$C$29+1),0)+IF(AND(Projects!$G$30="Yes",Projects!$M$30="Yes",80&gt;=Projects!$C$30,80&lt;Projects!$C$30+Projects!$D$30),Projects!$B$30*INDEX(Curves!$B$4:$AR$4,1,80-Projects!$C$30+1),0)+IF(AND(Projects!$G$31="Yes",Projects!$M$31="Yes",80&gt;=Projects!$C$31,80&lt;Projects!$C$31+Projects!$D$31),Projects!$B$31*INDEX(Curves!$B$4:$AR$4,1,80-Projects!$C$31+1),0)+IF(AND(Projects!$G$32="Yes",Projects!$M$32="Yes",80&gt;=Projects!$C$32,80&lt;Projects!$C$32+Projects!$D$32),Projects!$B$32*INDEX(Curves!$B$4:$AR$4,1,80-Projects!$C$32+1),0)+IF(AND(Projects!$G$33="Yes",Projects!$M$33="Yes",80&gt;=Projects!$C$33,80&lt;Projects!$C$33+Projects!$D$33),Projects!$B$33*INDEX(Curves!$B$4:$AR$4,1,80-Projects!$C$33+1),0)+IF(AND(Projects!$G$34="Yes",Projects!$M$34="Yes",80&gt;=Projects!$C$34,80&lt;Projects!$C$34+Projects!$D$34),Projects!$B$34*INDEX(Curves!$B$4:$AR$4,1,80-Projects!$C$34+1),0)+IF(AND(Projects!$G$35="Yes",Projects!$M$35="Yes",80&gt;=Projects!$C$35,80&lt;Projects!$C$35+Projects!$D$35),Projects!$B$35*INDEX(Curves!$B$4:$AR$4,1,80-Projects!$C$35+1),0)+IF(AND(Projects!$G$36="Yes",Projects!$M$36="Yes",80&gt;=Projects!$C$36,80&lt;Projects!$C$36+Projects!$D$36),Projects!$B$36*INDEX(Curves!$B$4:$AR$4,1,80-Projects!$C$36+1),0)+IF(AND(Projects!$G$37="Yes",Projects!$M$37="Yes",80&gt;=Projects!$C$37,80&lt;Projects!$C$37+Projects!$D$37),Projects!$B$37*INDEX(Curves!$B$4:$AR$4,1,80-Projects!$C$37+1),0)+IF(AND(Projects!$G$38="Yes",Projects!$M$38="Yes",80&gt;=Projects!$C$38,80&lt;Projects!$C$38+Projects!$D$38),Projects!$B$38*INDEX(Curves!$B$4:$AR$4,1,80-Projects!$C$38+1),0)+IF(AND(Projects!$G$39="Yes",Projects!$M$39="Yes",80&gt;=Projects!$C$39,80&lt;Projects!$C$39+Projects!$D$39),Projects!$B$39*INDEX(Curves!$B$4:$AR$4,1,80-Projects!$C$39+1),0)+IF(AND(Projects!$G$40="Yes",Projects!$M$40="Yes",80&gt;=Projects!$C$40,80&lt;Projects!$C$40+Projects!$D$40),Projects!$B$40*INDEX(Curves!$B$4:$AR$4,1,80-Projects!$C$40+1),0)+IF(AND(Projects!$G$41="Yes",Projects!$M$41="Yes",80&gt;=Projects!$C$41,80&lt;Projects!$C$41+Projects!$D$41),Projects!$B$41*INDEX(Curves!$B$4:$AR$4,1,80-Projects!$C$41+1),0)+IF(AND(Projects!$G$42="Yes",Projects!$M$42="Yes",80&gt;=Projects!$C$42,80&lt;Projects!$C$42+Projects!$D$42),Projects!$B$42*INDEX(Curves!$B$4:$AR$4,1,80-Projects!$C$42+1),0)+IF(AND(Projects!$G$43="Yes",Projects!$M$43="Yes",80&gt;=Projects!$C$43,80&lt;Projects!$C$43+Projects!$D$43),Projects!$B$43*INDEX(Curves!$B$4:$AR$4,1,80-Projects!$C$43+1),0)+IF(AND(Projects!$G$44="Yes",Projects!$M$44="Yes",80&gt;=Projects!$C$44,80&lt;Projects!$C$44+Projects!$D$44),Projects!$B$44*INDEX(Curves!$B$4:$AR$4,1,80-Projects!$C$44+1),0)+IF(AND(Projects!$G$45="Yes",Projects!$M$45="Yes",80&gt;=Projects!$C$45,80&lt;Projects!$C$45+Projects!$D$45),Projects!$B$45*INDEX(Curves!$B$4:$AR$4,1,80-Projects!$C$45+1),0)+IF(AND(Projects!$G$46="Yes",Projects!$M$46="Yes",80&gt;=Projects!$C$46,80&lt;Projects!$C$46+Projects!$D$46),Projects!$B$46*INDEX(Curves!$B$4:$AR$4,1,80-Projects!$C$46+1),0)</f>
        <v>0</v>
      </c>
      <c r="CH101" s="315" t="n">
        <f aca="false">IF(AND(Projects!$G$17="Yes",Projects!$M$17="Yes",81&gt;=Projects!$C$17,81&lt;Projects!$C$17+Projects!$D$17),Projects!$B$17*INDEX(Curves!$B$4:$AR$4,1,81-Projects!$C$17+1),0)+IF(AND(Projects!$G$18="Yes",Projects!$M$18="Yes",81&gt;=Projects!$C$18,81&lt;Projects!$C$18+Projects!$D$18),Projects!$B$18*INDEX(Curves!$B$4:$AR$4,1,81-Projects!$C$18+1),0)+IF(AND(Projects!$G$19="Yes",Projects!$M$19="Yes",81&gt;=Projects!$C$19,81&lt;Projects!$C$19+Projects!$D$19),Projects!$B$19*INDEX(Curves!$B$4:$AR$4,1,81-Projects!$C$19+1),0)+IF(AND(Projects!$G$20="Yes",Projects!$M$20="Yes",81&gt;=Projects!$C$20,81&lt;Projects!$C$20+Projects!$D$20),Projects!$B$20*INDEX(Curves!$B$4:$AR$4,1,81-Projects!$C$20+1),0)+IF(AND(Projects!$G$21="Yes",Projects!$M$21="Yes",81&gt;=Projects!$C$21,81&lt;Projects!$C$21+Projects!$D$21),Projects!$B$21*INDEX(Curves!$B$4:$AR$4,1,81-Projects!$C$21+1),0)+IF(AND(Projects!$G$22="Yes",Projects!$M$22="Yes",81&gt;=Projects!$C$22,81&lt;Projects!$C$22+Projects!$D$22),Projects!$B$22*INDEX(Curves!$B$4:$AR$4,1,81-Projects!$C$22+1),0)+IF(AND(Projects!$G$23="Yes",Projects!$M$23="Yes",81&gt;=Projects!$C$23,81&lt;Projects!$C$23+Projects!$D$23),Projects!$B$23*INDEX(Curves!$B$4:$AR$4,1,81-Projects!$C$23+1),0)+IF(AND(Projects!$G$24="Yes",Projects!$M$24="Yes",81&gt;=Projects!$C$24,81&lt;Projects!$C$24+Projects!$D$24),Projects!$B$24*INDEX(Curves!$B$4:$AR$4,1,81-Projects!$C$24+1),0)+IF(AND(Projects!$G$25="Yes",Projects!$M$25="Yes",81&gt;=Projects!$C$25,81&lt;Projects!$C$25+Projects!$D$25),Projects!$B$25*INDEX(Curves!$B$4:$AR$4,1,81-Projects!$C$25+1),0)+IF(AND(Projects!$G$26="Yes",Projects!$M$26="Yes",81&gt;=Projects!$C$26,81&lt;Projects!$C$26+Projects!$D$26),Projects!$B$26*INDEX(Curves!$B$4:$AR$4,1,81-Projects!$C$26+1),0)+IF(AND(Projects!$G$27="Yes",Projects!$M$27="Yes",81&gt;=Projects!$C$27,81&lt;Projects!$C$27+Projects!$D$27),Projects!$B$27*INDEX(Curves!$B$4:$AR$4,1,81-Projects!$C$27+1),0)+IF(AND(Projects!$G$28="Yes",Projects!$M$28="Yes",81&gt;=Projects!$C$28,81&lt;Projects!$C$28+Projects!$D$28),Projects!$B$28*INDEX(Curves!$B$4:$AR$4,1,81-Projects!$C$28+1),0)+IF(AND(Projects!$G$29="Yes",Projects!$M$29="Yes",81&gt;=Projects!$C$29,81&lt;Projects!$C$29+Projects!$D$29),Projects!$B$29*INDEX(Curves!$B$4:$AR$4,1,81-Projects!$C$29+1),0)+IF(AND(Projects!$G$30="Yes",Projects!$M$30="Yes",81&gt;=Projects!$C$30,81&lt;Projects!$C$30+Projects!$D$30),Projects!$B$30*INDEX(Curves!$B$4:$AR$4,1,81-Projects!$C$30+1),0)+IF(AND(Projects!$G$31="Yes",Projects!$M$31="Yes",81&gt;=Projects!$C$31,81&lt;Projects!$C$31+Projects!$D$31),Projects!$B$31*INDEX(Curves!$B$4:$AR$4,1,81-Projects!$C$31+1),0)+IF(AND(Projects!$G$32="Yes",Projects!$M$32="Yes",81&gt;=Projects!$C$32,81&lt;Projects!$C$32+Projects!$D$32),Projects!$B$32*INDEX(Curves!$B$4:$AR$4,1,81-Projects!$C$32+1),0)+IF(AND(Projects!$G$33="Yes",Projects!$M$33="Yes",81&gt;=Projects!$C$33,81&lt;Projects!$C$33+Projects!$D$33),Projects!$B$33*INDEX(Curves!$B$4:$AR$4,1,81-Projects!$C$33+1),0)+IF(AND(Projects!$G$34="Yes",Projects!$M$34="Yes",81&gt;=Projects!$C$34,81&lt;Projects!$C$34+Projects!$D$34),Projects!$B$34*INDEX(Curves!$B$4:$AR$4,1,81-Projects!$C$34+1),0)+IF(AND(Projects!$G$35="Yes",Projects!$M$35="Yes",81&gt;=Projects!$C$35,81&lt;Projects!$C$35+Projects!$D$35),Projects!$B$35*INDEX(Curves!$B$4:$AR$4,1,81-Projects!$C$35+1),0)+IF(AND(Projects!$G$36="Yes",Projects!$M$36="Yes",81&gt;=Projects!$C$36,81&lt;Projects!$C$36+Projects!$D$36),Projects!$B$36*INDEX(Curves!$B$4:$AR$4,1,81-Projects!$C$36+1),0)+IF(AND(Projects!$G$37="Yes",Projects!$M$37="Yes",81&gt;=Projects!$C$37,81&lt;Projects!$C$37+Projects!$D$37),Projects!$B$37*INDEX(Curves!$B$4:$AR$4,1,81-Projects!$C$37+1),0)+IF(AND(Projects!$G$38="Yes",Projects!$M$38="Yes",81&gt;=Projects!$C$38,81&lt;Projects!$C$38+Projects!$D$38),Projects!$B$38*INDEX(Curves!$B$4:$AR$4,1,81-Projects!$C$38+1),0)+IF(AND(Projects!$G$39="Yes",Projects!$M$39="Yes",81&gt;=Projects!$C$39,81&lt;Projects!$C$39+Projects!$D$39),Projects!$B$39*INDEX(Curves!$B$4:$AR$4,1,81-Projects!$C$39+1),0)+IF(AND(Projects!$G$40="Yes",Projects!$M$40="Yes",81&gt;=Projects!$C$40,81&lt;Projects!$C$40+Projects!$D$40),Projects!$B$40*INDEX(Curves!$B$4:$AR$4,1,81-Projects!$C$40+1),0)+IF(AND(Projects!$G$41="Yes",Projects!$M$41="Yes",81&gt;=Projects!$C$41,81&lt;Projects!$C$41+Projects!$D$41),Projects!$B$41*INDEX(Curves!$B$4:$AR$4,1,81-Projects!$C$41+1),0)+IF(AND(Projects!$G$42="Yes",Projects!$M$42="Yes",81&gt;=Projects!$C$42,81&lt;Projects!$C$42+Projects!$D$42),Projects!$B$42*INDEX(Curves!$B$4:$AR$4,1,81-Projects!$C$42+1),0)+IF(AND(Projects!$G$43="Yes",Projects!$M$43="Yes",81&gt;=Projects!$C$43,81&lt;Projects!$C$43+Projects!$D$43),Projects!$B$43*INDEX(Curves!$B$4:$AR$4,1,81-Projects!$C$43+1),0)+IF(AND(Projects!$G$44="Yes",Projects!$M$44="Yes",81&gt;=Projects!$C$44,81&lt;Projects!$C$44+Projects!$D$44),Projects!$B$44*INDEX(Curves!$B$4:$AR$4,1,81-Projects!$C$44+1),0)+IF(AND(Projects!$G$45="Yes",Projects!$M$45="Yes",81&gt;=Projects!$C$45,81&lt;Projects!$C$45+Projects!$D$45),Projects!$B$45*INDEX(Curves!$B$4:$AR$4,1,81-Projects!$C$45+1),0)+IF(AND(Projects!$G$46="Yes",Projects!$M$46="Yes",81&gt;=Projects!$C$46,81&lt;Projects!$C$46+Projects!$D$46),Projects!$B$46*INDEX(Curves!$B$4:$AR$4,1,81-Projects!$C$46+1),0)</f>
        <v>0</v>
      </c>
      <c r="CI101" s="315" t="n">
        <f aca="false">IF(AND(Projects!$G$17="Yes",Projects!$M$17="Yes",82&gt;=Projects!$C$17,82&lt;Projects!$C$17+Projects!$D$17),Projects!$B$17*INDEX(Curves!$B$4:$AR$4,1,82-Projects!$C$17+1),0)+IF(AND(Projects!$G$18="Yes",Projects!$M$18="Yes",82&gt;=Projects!$C$18,82&lt;Projects!$C$18+Projects!$D$18),Projects!$B$18*INDEX(Curves!$B$4:$AR$4,1,82-Projects!$C$18+1),0)+IF(AND(Projects!$G$19="Yes",Projects!$M$19="Yes",82&gt;=Projects!$C$19,82&lt;Projects!$C$19+Projects!$D$19),Projects!$B$19*INDEX(Curves!$B$4:$AR$4,1,82-Projects!$C$19+1),0)+IF(AND(Projects!$G$20="Yes",Projects!$M$20="Yes",82&gt;=Projects!$C$20,82&lt;Projects!$C$20+Projects!$D$20),Projects!$B$20*INDEX(Curves!$B$4:$AR$4,1,82-Projects!$C$20+1),0)+IF(AND(Projects!$G$21="Yes",Projects!$M$21="Yes",82&gt;=Projects!$C$21,82&lt;Projects!$C$21+Projects!$D$21),Projects!$B$21*INDEX(Curves!$B$4:$AR$4,1,82-Projects!$C$21+1),0)+IF(AND(Projects!$G$22="Yes",Projects!$M$22="Yes",82&gt;=Projects!$C$22,82&lt;Projects!$C$22+Projects!$D$22),Projects!$B$22*INDEX(Curves!$B$4:$AR$4,1,82-Projects!$C$22+1),0)+IF(AND(Projects!$G$23="Yes",Projects!$M$23="Yes",82&gt;=Projects!$C$23,82&lt;Projects!$C$23+Projects!$D$23),Projects!$B$23*INDEX(Curves!$B$4:$AR$4,1,82-Projects!$C$23+1),0)+IF(AND(Projects!$G$24="Yes",Projects!$M$24="Yes",82&gt;=Projects!$C$24,82&lt;Projects!$C$24+Projects!$D$24),Projects!$B$24*INDEX(Curves!$B$4:$AR$4,1,82-Projects!$C$24+1),0)+IF(AND(Projects!$G$25="Yes",Projects!$M$25="Yes",82&gt;=Projects!$C$25,82&lt;Projects!$C$25+Projects!$D$25),Projects!$B$25*INDEX(Curves!$B$4:$AR$4,1,82-Projects!$C$25+1),0)+IF(AND(Projects!$G$26="Yes",Projects!$M$26="Yes",82&gt;=Projects!$C$26,82&lt;Projects!$C$26+Projects!$D$26),Projects!$B$26*INDEX(Curves!$B$4:$AR$4,1,82-Projects!$C$26+1),0)+IF(AND(Projects!$G$27="Yes",Projects!$M$27="Yes",82&gt;=Projects!$C$27,82&lt;Projects!$C$27+Projects!$D$27),Projects!$B$27*INDEX(Curves!$B$4:$AR$4,1,82-Projects!$C$27+1),0)+IF(AND(Projects!$G$28="Yes",Projects!$M$28="Yes",82&gt;=Projects!$C$28,82&lt;Projects!$C$28+Projects!$D$28),Projects!$B$28*INDEX(Curves!$B$4:$AR$4,1,82-Projects!$C$28+1),0)+IF(AND(Projects!$G$29="Yes",Projects!$M$29="Yes",82&gt;=Projects!$C$29,82&lt;Projects!$C$29+Projects!$D$29),Projects!$B$29*INDEX(Curves!$B$4:$AR$4,1,82-Projects!$C$29+1),0)+IF(AND(Projects!$G$30="Yes",Projects!$M$30="Yes",82&gt;=Projects!$C$30,82&lt;Projects!$C$30+Projects!$D$30),Projects!$B$30*INDEX(Curves!$B$4:$AR$4,1,82-Projects!$C$30+1),0)+IF(AND(Projects!$G$31="Yes",Projects!$M$31="Yes",82&gt;=Projects!$C$31,82&lt;Projects!$C$31+Projects!$D$31),Projects!$B$31*INDEX(Curves!$B$4:$AR$4,1,82-Projects!$C$31+1),0)+IF(AND(Projects!$G$32="Yes",Projects!$M$32="Yes",82&gt;=Projects!$C$32,82&lt;Projects!$C$32+Projects!$D$32),Projects!$B$32*INDEX(Curves!$B$4:$AR$4,1,82-Projects!$C$32+1),0)+IF(AND(Projects!$G$33="Yes",Projects!$M$33="Yes",82&gt;=Projects!$C$33,82&lt;Projects!$C$33+Projects!$D$33),Projects!$B$33*INDEX(Curves!$B$4:$AR$4,1,82-Projects!$C$33+1),0)+IF(AND(Projects!$G$34="Yes",Projects!$M$34="Yes",82&gt;=Projects!$C$34,82&lt;Projects!$C$34+Projects!$D$34),Projects!$B$34*INDEX(Curves!$B$4:$AR$4,1,82-Projects!$C$34+1),0)+IF(AND(Projects!$G$35="Yes",Projects!$M$35="Yes",82&gt;=Projects!$C$35,82&lt;Projects!$C$35+Projects!$D$35),Projects!$B$35*INDEX(Curves!$B$4:$AR$4,1,82-Projects!$C$35+1),0)+IF(AND(Projects!$G$36="Yes",Projects!$M$36="Yes",82&gt;=Projects!$C$36,82&lt;Projects!$C$36+Projects!$D$36),Projects!$B$36*INDEX(Curves!$B$4:$AR$4,1,82-Projects!$C$36+1),0)+IF(AND(Projects!$G$37="Yes",Projects!$M$37="Yes",82&gt;=Projects!$C$37,82&lt;Projects!$C$37+Projects!$D$37),Projects!$B$37*INDEX(Curves!$B$4:$AR$4,1,82-Projects!$C$37+1),0)+IF(AND(Projects!$G$38="Yes",Projects!$M$38="Yes",82&gt;=Projects!$C$38,82&lt;Projects!$C$38+Projects!$D$38),Projects!$B$38*INDEX(Curves!$B$4:$AR$4,1,82-Projects!$C$38+1),0)+IF(AND(Projects!$G$39="Yes",Projects!$M$39="Yes",82&gt;=Projects!$C$39,82&lt;Projects!$C$39+Projects!$D$39),Projects!$B$39*INDEX(Curves!$B$4:$AR$4,1,82-Projects!$C$39+1),0)+IF(AND(Projects!$G$40="Yes",Projects!$M$40="Yes",82&gt;=Projects!$C$40,82&lt;Projects!$C$40+Projects!$D$40),Projects!$B$40*INDEX(Curves!$B$4:$AR$4,1,82-Projects!$C$40+1),0)+IF(AND(Projects!$G$41="Yes",Projects!$M$41="Yes",82&gt;=Projects!$C$41,82&lt;Projects!$C$41+Projects!$D$41),Projects!$B$41*INDEX(Curves!$B$4:$AR$4,1,82-Projects!$C$41+1),0)+IF(AND(Projects!$G$42="Yes",Projects!$M$42="Yes",82&gt;=Projects!$C$42,82&lt;Projects!$C$42+Projects!$D$42),Projects!$B$42*INDEX(Curves!$B$4:$AR$4,1,82-Projects!$C$42+1),0)+IF(AND(Projects!$G$43="Yes",Projects!$M$43="Yes",82&gt;=Projects!$C$43,82&lt;Projects!$C$43+Projects!$D$43),Projects!$B$43*INDEX(Curves!$B$4:$AR$4,1,82-Projects!$C$43+1),0)+IF(AND(Projects!$G$44="Yes",Projects!$M$44="Yes",82&gt;=Projects!$C$44,82&lt;Projects!$C$44+Projects!$D$44),Projects!$B$44*INDEX(Curves!$B$4:$AR$4,1,82-Projects!$C$44+1),0)+IF(AND(Projects!$G$45="Yes",Projects!$M$45="Yes",82&gt;=Projects!$C$45,82&lt;Projects!$C$45+Projects!$D$45),Projects!$B$45*INDEX(Curves!$B$4:$AR$4,1,82-Projects!$C$45+1),0)+IF(AND(Projects!$G$46="Yes",Projects!$M$46="Yes",82&gt;=Projects!$C$46,82&lt;Projects!$C$46+Projects!$D$46),Projects!$B$46*INDEX(Curves!$B$4:$AR$4,1,82-Projects!$C$46+1),0)</f>
        <v>0</v>
      </c>
      <c r="CJ101" s="315" t="n">
        <f aca="false">IF(AND(Projects!$G$17="Yes",Projects!$M$17="Yes",83&gt;=Projects!$C$17,83&lt;Projects!$C$17+Projects!$D$17),Projects!$B$17*INDEX(Curves!$B$4:$AR$4,1,83-Projects!$C$17+1),0)+IF(AND(Projects!$G$18="Yes",Projects!$M$18="Yes",83&gt;=Projects!$C$18,83&lt;Projects!$C$18+Projects!$D$18),Projects!$B$18*INDEX(Curves!$B$4:$AR$4,1,83-Projects!$C$18+1),0)+IF(AND(Projects!$G$19="Yes",Projects!$M$19="Yes",83&gt;=Projects!$C$19,83&lt;Projects!$C$19+Projects!$D$19),Projects!$B$19*INDEX(Curves!$B$4:$AR$4,1,83-Projects!$C$19+1),0)+IF(AND(Projects!$G$20="Yes",Projects!$M$20="Yes",83&gt;=Projects!$C$20,83&lt;Projects!$C$20+Projects!$D$20),Projects!$B$20*INDEX(Curves!$B$4:$AR$4,1,83-Projects!$C$20+1),0)+IF(AND(Projects!$G$21="Yes",Projects!$M$21="Yes",83&gt;=Projects!$C$21,83&lt;Projects!$C$21+Projects!$D$21),Projects!$B$21*INDEX(Curves!$B$4:$AR$4,1,83-Projects!$C$21+1),0)+IF(AND(Projects!$G$22="Yes",Projects!$M$22="Yes",83&gt;=Projects!$C$22,83&lt;Projects!$C$22+Projects!$D$22),Projects!$B$22*INDEX(Curves!$B$4:$AR$4,1,83-Projects!$C$22+1),0)+IF(AND(Projects!$G$23="Yes",Projects!$M$23="Yes",83&gt;=Projects!$C$23,83&lt;Projects!$C$23+Projects!$D$23),Projects!$B$23*INDEX(Curves!$B$4:$AR$4,1,83-Projects!$C$23+1),0)+IF(AND(Projects!$G$24="Yes",Projects!$M$24="Yes",83&gt;=Projects!$C$24,83&lt;Projects!$C$24+Projects!$D$24),Projects!$B$24*INDEX(Curves!$B$4:$AR$4,1,83-Projects!$C$24+1),0)+IF(AND(Projects!$G$25="Yes",Projects!$M$25="Yes",83&gt;=Projects!$C$25,83&lt;Projects!$C$25+Projects!$D$25),Projects!$B$25*INDEX(Curves!$B$4:$AR$4,1,83-Projects!$C$25+1),0)+IF(AND(Projects!$G$26="Yes",Projects!$M$26="Yes",83&gt;=Projects!$C$26,83&lt;Projects!$C$26+Projects!$D$26),Projects!$B$26*INDEX(Curves!$B$4:$AR$4,1,83-Projects!$C$26+1),0)+IF(AND(Projects!$G$27="Yes",Projects!$M$27="Yes",83&gt;=Projects!$C$27,83&lt;Projects!$C$27+Projects!$D$27),Projects!$B$27*INDEX(Curves!$B$4:$AR$4,1,83-Projects!$C$27+1),0)+IF(AND(Projects!$G$28="Yes",Projects!$M$28="Yes",83&gt;=Projects!$C$28,83&lt;Projects!$C$28+Projects!$D$28),Projects!$B$28*INDEX(Curves!$B$4:$AR$4,1,83-Projects!$C$28+1),0)+IF(AND(Projects!$G$29="Yes",Projects!$M$29="Yes",83&gt;=Projects!$C$29,83&lt;Projects!$C$29+Projects!$D$29),Projects!$B$29*INDEX(Curves!$B$4:$AR$4,1,83-Projects!$C$29+1),0)+IF(AND(Projects!$G$30="Yes",Projects!$M$30="Yes",83&gt;=Projects!$C$30,83&lt;Projects!$C$30+Projects!$D$30),Projects!$B$30*INDEX(Curves!$B$4:$AR$4,1,83-Projects!$C$30+1),0)+IF(AND(Projects!$G$31="Yes",Projects!$M$31="Yes",83&gt;=Projects!$C$31,83&lt;Projects!$C$31+Projects!$D$31),Projects!$B$31*INDEX(Curves!$B$4:$AR$4,1,83-Projects!$C$31+1),0)+IF(AND(Projects!$G$32="Yes",Projects!$M$32="Yes",83&gt;=Projects!$C$32,83&lt;Projects!$C$32+Projects!$D$32),Projects!$B$32*INDEX(Curves!$B$4:$AR$4,1,83-Projects!$C$32+1),0)+IF(AND(Projects!$G$33="Yes",Projects!$M$33="Yes",83&gt;=Projects!$C$33,83&lt;Projects!$C$33+Projects!$D$33),Projects!$B$33*INDEX(Curves!$B$4:$AR$4,1,83-Projects!$C$33+1),0)+IF(AND(Projects!$G$34="Yes",Projects!$M$34="Yes",83&gt;=Projects!$C$34,83&lt;Projects!$C$34+Projects!$D$34),Projects!$B$34*INDEX(Curves!$B$4:$AR$4,1,83-Projects!$C$34+1),0)+IF(AND(Projects!$G$35="Yes",Projects!$M$35="Yes",83&gt;=Projects!$C$35,83&lt;Projects!$C$35+Projects!$D$35),Projects!$B$35*INDEX(Curves!$B$4:$AR$4,1,83-Projects!$C$35+1),0)+IF(AND(Projects!$G$36="Yes",Projects!$M$36="Yes",83&gt;=Projects!$C$36,83&lt;Projects!$C$36+Projects!$D$36),Projects!$B$36*INDEX(Curves!$B$4:$AR$4,1,83-Projects!$C$36+1),0)+IF(AND(Projects!$G$37="Yes",Projects!$M$37="Yes",83&gt;=Projects!$C$37,83&lt;Projects!$C$37+Projects!$D$37),Projects!$B$37*INDEX(Curves!$B$4:$AR$4,1,83-Projects!$C$37+1),0)+IF(AND(Projects!$G$38="Yes",Projects!$M$38="Yes",83&gt;=Projects!$C$38,83&lt;Projects!$C$38+Projects!$D$38),Projects!$B$38*INDEX(Curves!$B$4:$AR$4,1,83-Projects!$C$38+1),0)+IF(AND(Projects!$G$39="Yes",Projects!$M$39="Yes",83&gt;=Projects!$C$39,83&lt;Projects!$C$39+Projects!$D$39),Projects!$B$39*INDEX(Curves!$B$4:$AR$4,1,83-Projects!$C$39+1),0)+IF(AND(Projects!$G$40="Yes",Projects!$M$40="Yes",83&gt;=Projects!$C$40,83&lt;Projects!$C$40+Projects!$D$40),Projects!$B$40*INDEX(Curves!$B$4:$AR$4,1,83-Projects!$C$40+1),0)+IF(AND(Projects!$G$41="Yes",Projects!$M$41="Yes",83&gt;=Projects!$C$41,83&lt;Projects!$C$41+Projects!$D$41),Projects!$B$41*INDEX(Curves!$B$4:$AR$4,1,83-Projects!$C$41+1),0)+IF(AND(Projects!$G$42="Yes",Projects!$M$42="Yes",83&gt;=Projects!$C$42,83&lt;Projects!$C$42+Projects!$D$42),Projects!$B$42*INDEX(Curves!$B$4:$AR$4,1,83-Projects!$C$42+1),0)+IF(AND(Projects!$G$43="Yes",Projects!$M$43="Yes",83&gt;=Projects!$C$43,83&lt;Projects!$C$43+Projects!$D$43),Projects!$B$43*INDEX(Curves!$B$4:$AR$4,1,83-Projects!$C$43+1),0)+IF(AND(Projects!$G$44="Yes",Projects!$M$44="Yes",83&gt;=Projects!$C$44,83&lt;Projects!$C$44+Projects!$D$44),Projects!$B$44*INDEX(Curves!$B$4:$AR$4,1,83-Projects!$C$44+1),0)+IF(AND(Projects!$G$45="Yes",Projects!$M$45="Yes",83&gt;=Projects!$C$45,83&lt;Projects!$C$45+Projects!$D$45),Projects!$B$45*INDEX(Curves!$B$4:$AR$4,1,83-Projects!$C$45+1),0)+IF(AND(Projects!$G$46="Yes",Projects!$M$46="Yes",83&gt;=Projects!$C$46,83&lt;Projects!$C$46+Projects!$D$46),Projects!$B$46*INDEX(Curves!$B$4:$AR$4,1,83-Projects!$C$46+1),0)</f>
        <v>0</v>
      </c>
      <c r="CK101" s="315" t="n">
        <f aca="false">IF(AND(Projects!$G$17="Yes",Projects!$M$17="Yes",84&gt;=Projects!$C$17,84&lt;Projects!$C$17+Projects!$D$17),Projects!$B$17*INDEX(Curves!$B$4:$AR$4,1,84-Projects!$C$17+1),0)+IF(AND(Projects!$G$18="Yes",Projects!$M$18="Yes",84&gt;=Projects!$C$18,84&lt;Projects!$C$18+Projects!$D$18),Projects!$B$18*INDEX(Curves!$B$4:$AR$4,1,84-Projects!$C$18+1),0)+IF(AND(Projects!$G$19="Yes",Projects!$M$19="Yes",84&gt;=Projects!$C$19,84&lt;Projects!$C$19+Projects!$D$19),Projects!$B$19*INDEX(Curves!$B$4:$AR$4,1,84-Projects!$C$19+1),0)+IF(AND(Projects!$G$20="Yes",Projects!$M$20="Yes",84&gt;=Projects!$C$20,84&lt;Projects!$C$20+Projects!$D$20),Projects!$B$20*INDEX(Curves!$B$4:$AR$4,1,84-Projects!$C$20+1),0)+IF(AND(Projects!$G$21="Yes",Projects!$M$21="Yes",84&gt;=Projects!$C$21,84&lt;Projects!$C$21+Projects!$D$21),Projects!$B$21*INDEX(Curves!$B$4:$AR$4,1,84-Projects!$C$21+1),0)+IF(AND(Projects!$G$22="Yes",Projects!$M$22="Yes",84&gt;=Projects!$C$22,84&lt;Projects!$C$22+Projects!$D$22),Projects!$B$22*INDEX(Curves!$B$4:$AR$4,1,84-Projects!$C$22+1),0)+IF(AND(Projects!$G$23="Yes",Projects!$M$23="Yes",84&gt;=Projects!$C$23,84&lt;Projects!$C$23+Projects!$D$23),Projects!$B$23*INDEX(Curves!$B$4:$AR$4,1,84-Projects!$C$23+1),0)+IF(AND(Projects!$G$24="Yes",Projects!$M$24="Yes",84&gt;=Projects!$C$24,84&lt;Projects!$C$24+Projects!$D$24),Projects!$B$24*INDEX(Curves!$B$4:$AR$4,1,84-Projects!$C$24+1),0)+IF(AND(Projects!$G$25="Yes",Projects!$M$25="Yes",84&gt;=Projects!$C$25,84&lt;Projects!$C$25+Projects!$D$25),Projects!$B$25*INDEX(Curves!$B$4:$AR$4,1,84-Projects!$C$25+1),0)+IF(AND(Projects!$G$26="Yes",Projects!$M$26="Yes",84&gt;=Projects!$C$26,84&lt;Projects!$C$26+Projects!$D$26),Projects!$B$26*INDEX(Curves!$B$4:$AR$4,1,84-Projects!$C$26+1),0)+IF(AND(Projects!$G$27="Yes",Projects!$M$27="Yes",84&gt;=Projects!$C$27,84&lt;Projects!$C$27+Projects!$D$27),Projects!$B$27*INDEX(Curves!$B$4:$AR$4,1,84-Projects!$C$27+1),0)+IF(AND(Projects!$G$28="Yes",Projects!$M$28="Yes",84&gt;=Projects!$C$28,84&lt;Projects!$C$28+Projects!$D$28),Projects!$B$28*INDEX(Curves!$B$4:$AR$4,1,84-Projects!$C$28+1),0)+IF(AND(Projects!$G$29="Yes",Projects!$M$29="Yes",84&gt;=Projects!$C$29,84&lt;Projects!$C$29+Projects!$D$29),Projects!$B$29*INDEX(Curves!$B$4:$AR$4,1,84-Projects!$C$29+1),0)+IF(AND(Projects!$G$30="Yes",Projects!$M$30="Yes",84&gt;=Projects!$C$30,84&lt;Projects!$C$30+Projects!$D$30),Projects!$B$30*INDEX(Curves!$B$4:$AR$4,1,84-Projects!$C$30+1),0)+IF(AND(Projects!$G$31="Yes",Projects!$M$31="Yes",84&gt;=Projects!$C$31,84&lt;Projects!$C$31+Projects!$D$31),Projects!$B$31*INDEX(Curves!$B$4:$AR$4,1,84-Projects!$C$31+1),0)+IF(AND(Projects!$G$32="Yes",Projects!$M$32="Yes",84&gt;=Projects!$C$32,84&lt;Projects!$C$32+Projects!$D$32),Projects!$B$32*INDEX(Curves!$B$4:$AR$4,1,84-Projects!$C$32+1),0)+IF(AND(Projects!$G$33="Yes",Projects!$M$33="Yes",84&gt;=Projects!$C$33,84&lt;Projects!$C$33+Projects!$D$33),Projects!$B$33*INDEX(Curves!$B$4:$AR$4,1,84-Projects!$C$33+1),0)+IF(AND(Projects!$G$34="Yes",Projects!$M$34="Yes",84&gt;=Projects!$C$34,84&lt;Projects!$C$34+Projects!$D$34),Projects!$B$34*INDEX(Curves!$B$4:$AR$4,1,84-Projects!$C$34+1),0)+IF(AND(Projects!$G$35="Yes",Projects!$M$35="Yes",84&gt;=Projects!$C$35,84&lt;Projects!$C$35+Projects!$D$35),Projects!$B$35*INDEX(Curves!$B$4:$AR$4,1,84-Projects!$C$35+1),0)+IF(AND(Projects!$G$36="Yes",Projects!$M$36="Yes",84&gt;=Projects!$C$36,84&lt;Projects!$C$36+Projects!$D$36),Projects!$B$36*INDEX(Curves!$B$4:$AR$4,1,84-Projects!$C$36+1),0)+IF(AND(Projects!$G$37="Yes",Projects!$M$37="Yes",84&gt;=Projects!$C$37,84&lt;Projects!$C$37+Projects!$D$37),Projects!$B$37*INDEX(Curves!$B$4:$AR$4,1,84-Projects!$C$37+1),0)+IF(AND(Projects!$G$38="Yes",Projects!$M$38="Yes",84&gt;=Projects!$C$38,84&lt;Projects!$C$38+Projects!$D$38),Projects!$B$38*INDEX(Curves!$B$4:$AR$4,1,84-Projects!$C$38+1),0)+IF(AND(Projects!$G$39="Yes",Projects!$M$39="Yes",84&gt;=Projects!$C$39,84&lt;Projects!$C$39+Projects!$D$39),Projects!$B$39*INDEX(Curves!$B$4:$AR$4,1,84-Projects!$C$39+1),0)+IF(AND(Projects!$G$40="Yes",Projects!$M$40="Yes",84&gt;=Projects!$C$40,84&lt;Projects!$C$40+Projects!$D$40),Projects!$B$40*INDEX(Curves!$B$4:$AR$4,1,84-Projects!$C$40+1),0)+IF(AND(Projects!$G$41="Yes",Projects!$M$41="Yes",84&gt;=Projects!$C$41,84&lt;Projects!$C$41+Projects!$D$41),Projects!$B$41*INDEX(Curves!$B$4:$AR$4,1,84-Projects!$C$41+1),0)+IF(AND(Projects!$G$42="Yes",Projects!$M$42="Yes",84&gt;=Projects!$C$42,84&lt;Projects!$C$42+Projects!$D$42),Projects!$B$42*INDEX(Curves!$B$4:$AR$4,1,84-Projects!$C$42+1),0)+IF(AND(Projects!$G$43="Yes",Projects!$M$43="Yes",84&gt;=Projects!$C$43,84&lt;Projects!$C$43+Projects!$D$43),Projects!$B$43*INDEX(Curves!$B$4:$AR$4,1,84-Projects!$C$43+1),0)+IF(AND(Projects!$G$44="Yes",Projects!$M$44="Yes",84&gt;=Projects!$C$44,84&lt;Projects!$C$44+Projects!$D$44),Projects!$B$44*INDEX(Curves!$B$4:$AR$4,1,84-Projects!$C$44+1),0)+IF(AND(Projects!$G$45="Yes",Projects!$M$45="Yes",84&gt;=Projects!$C$45,84&lt;Projects!$C$45+Projects!$D$45),Projects!$B$45*INDEX(Curves!$B$4:$AR$4,1,84-Projects!$C$45+1),0)+IF(AND(Projects!$G$46="Yes",Projects!$M$46="Yes",84&gt;=Projects!$C$46,84&lt;Projects!$C$46+Projects!$D$46),Projects!$B$46*INDEX(Curves!$B$4:$AR$4,1,84-Projects!$C$46+1),0)</f>
        <v>0</v>
      </c>
      <c r="CL101" s="315" t="n">
        <f aca="false">IF(AND(Projects!$G$17="Yes",Projects!$M$17="Yes",85&gt;=Projects!$C$17,85&lt;Projects!$C$17+Projects!$D$17),Projects!$B$17*INDEX(Curves!$B$4:$AR$4,1,85-Projects!$C$17+1),0)+IF(AND(Projects!$G$18="Yes",Projects!$M$18="Yes",85&gt;=Projects!$C$18,85&lt;Projects!$C$18+Projects!$D$18),Projects!$B$18*INDEX(Curves!$B$4:$AR$4,1,85-Projects!$C$18+1),0)+IF(AND(Projects!$G$19="Yes",Projects!$M$19="Yes",85&gt;=Projects!$C$19,85&lt;Projects!$C$19+Projects!$D$19),Projects!$B$19*INDEX(Curves!$B$4:$AR$4,1,85-Projects!$C$19+1),0)+IF(AND(Projects!$G$20="Yes",Projects!$M$20="Yes",85&gt;=Projects!$C$20,85&lt;Projects!$C$20+Projects!$D$20),Projects!$B$20*INDEX(Curves!$B$4:$AR$4,1,85-Projects!$C$20+1),0)+IF(AND(Projects!$G$21="Yes",Projects!$M$21="Yes",85&gt;=Projects!$C$21,85&lt;Projects!$C$21+Projects!$D$21),Projects!$B$21*INDEX(Curves!$B$4:$AR$4,1,85-Projects!$C$21+1),0)+IF(AND(Projects!$G$22="Yes",Projects!$M$22="Yes",85&gt;=Projects!$C$22,85&lt;Projects!$C$22+Projects!$D$22),Projects!$B$22*INDEX(Curves!$B$4:$AR$4,1,85-Projects!$C$22+1),0)+IF(AND(Projects!$G$23="Yes",Projects!$M$23="Yes",85&gt;=Projects!$C$23,85&lt;Projects!$C$23+Projects!$D$23),Projects!$B$23*INDEX(Curves!$B$4:$AR$4,1,85-Projects!$C$23+1),0)+IF(AND(Projects!$G$24="Yes",Projects!$M$24="Yes",85&gt;=Projects!$C$24,85&lt;Projects!$C$24+Projects!$D$24),Projects!$B$24*INDEX(Curves!$B$4:$AR$4,1,85-Projects!$C$24+1),0)+IF(AND(Projects!$G$25="Yes",Projects!$M$25="Yes",85&gt;=Projects!$C$25,85&lt;Projects!$C$25+Projects!$D$25),Projects!$B$25*INDEX(Curves!$B$4:$AR$4,1,85-Projects!$C$25+1),0)+IF(AND(Projects!$G$26="Yes",Projects!$M$26="Yes",85&gt;=Projects!$C$26,85&lt;Projects!$C$26+Projects!$D$26),Projects!$B$26*INDEX(Curves!$B$4:$AR$4,1,85-Projects!$C$26+1),0)+IF(AND(Projects!$G$27="Yes",Projects!$M$27="Yes",85&gt;=Projects!$C$27,85&lt;Projects!$C$27+Projects!$D$27),Projects!$B$27*INDEX(Curves!$B$4:$AR$4,1,85-Projects!$C$27+1),0)+IF(AND(Projects!$G$28="Yes",Projects!$M$28="Yes",85&gt;=Projects!$C$28,85&lt;Projects!$C$28+Projects!$D$28),Projects!$B$28*INDEX(Curves!$B$4:$AR$4,1,85-Projects!$C$28+1),0)+IF(AND(Projects!$G$29="Yes",Projects!$M$29="Yes",85&gt;=Projects!$C$29,85&lt;Projects!$C$29+Projects!$D$29),Projects!$B$29*INDEX(Curves!$B$4:$AR$4,1,85-Projects!$C$29+1),0)+IF(AND(Projects!$G$30="Yes",Projects!$M$30="Yes",85&gt;=Projects!$C$30,85&lt;Projects!$C$30+Projects!$D$30),Projects!$B$30*INDEX(Curves!$B$4:$AR$4,1,85-Projects!$C$30+1),0)+IF(AND(Projects!$G$31="Yes",Projects!$M$31="Yes",85&gt;=Projects!$C$31,85&lt;Projects!$C$31+Projects!$D$31),Projects!$B$31*INDEX(Curves!$B$4:$AR$4,1,85-Projects!$C$31+1),0)+IF(AND(Projects!$G$32="Yes",Projects!$M$32="Yes",85&gt;=Projects!$C$32,85&lt;Projects!$C$32+Projects!$D$32),Projects!$B$32*INDEX(Curves!$B$4:$AR$4,1,85-Projects!$C$32+1),0)+IF(AND(Projects!$G$33="Yes",Projects!$M$33="Yes",85&gt;=Projects!$C$33,85&lt;Projects!$C$33+Projects!$D$33),Projects!$B$33*INDEX(Curves!$B$4:$AR$4,1,85-Projects!$C$33+1),0)+IF(AND(Projects!$G$34="Yes",Projects!$M$34="Yes",85&gt;=Projects!$C$34,85&lt;Projects!$C$34+Projects!$D$34),Projects!$B$34*INDEX(Curves!$B$4:$AR$4,1,85-Projects!$C$34+1),0)+IF(AND(Projects!$G$35="Yes",Projects!$M$35="Yes",85&gt;=Projects!$C$35,85&lt;Projects!$C$35+Projects!$D$35),Projects!$B$35*INDEX(Curves!$B$4:$AR$4,1,85-Projects!$C$35+1),0)+IF(AND(Projects!$G$36="Yes",Projects!$M$36="Yes",85&gt;=Projects!$C$36,85&lt;Projects!$C$36+Projects!$D$36),Projects!$B$36*INDEX(Curves!$B$4:$AR$4,1,85-Projects!$C$36+1),0)+IF(AND(Projects!$G$37="Yes",Projects!$M$37="Yes",85&gt;=Projects!$C$37,85&lt;Projects!$C$37+Projects!$D$37),Projects!$B$37*INDEX(Curves!$B$4:$AR$4,1,85-Projects!$C$37+1),0)+IF(AND(Projects!$G$38="Yes",Projects!$M$38="Yes",85&gt;=Projects!$C$38,85&lt;Projects!$C$38+Projects!$D$38),Projects!$B$38*INDEX(Curves!$B$4:$AR$4,1,85-Projects!$C$38+1),0)+IF(AND(Projects!$G$39="Yes",Projects!$M$39="Yes",85&gt;=Projects!$C$39,85&lt;Projects!$C$39+Projects!$D$39),Projects!$B$39*INDEX(Curves!$B$4:$AR$4,1,85-Projects!$C$39+1),0)+IF(AND(Projects!$G$40="Yes",Projects!$M$40="Yes",85&gt;=Projects!$C$40,85&lt;Projects!$C$40+Projects!$D$40),Projects!$B$40*INDEX(Curves!$B$4:$AR$4,1,85-Projects!$C$40+1),0)+IF(AND(Projects!$G$41="Yes",Projects!$M$41="Yes",85&gt;=Projects!$C$41,85&lt;Projects!$C$41+Projects!$D$41),Projects!$B$41*INDEX(Curves!$B$4:$AR$4,1,85-Projects!$C$41+1),0)+IF(AND(Projects!$G$42="Yes",Projects!$M$42="Yes",85&gt;=Projects!$C$42,85&lt;Projects!$C$42+Projects!$D$42),Projects!$B$42*INDEX(Curves!$B$4:$AR$4,1,85-Projects!$C$42+1),0)+IF(AND(Projects!$G$43="Yes",Projects!$M$43="Yes",85&gt;=Projects!$C$43,85&lt;Projects!$C$43+Projects!$D$43),Projects!$B$43*INDEX(Curves!$B$4:$AR$4,1,85-Projects!$C$43+1),0)+IF(AND(Projects!$G$44="Yes",Projects!$M$44="Yes",85&gt;=Projects!$C$44,85&lt;Projects!$C$44+Projects!$D$44),Projects!$B$44*INDEX(Curves!$B$4:$AR$4,1,85-Projects!$C$44+1),0)+IF(AND(Projects!$G$45="Yes",Projects!$M$45="Yes",85&gt;=Projects!$C$45,85&lt;Projects!$C$45+Projects!$D$45),Projects!$B$45*INDEX(Curves!$B$4:$AR$4,1,85-Projects!$C$45+1),0)+IF(AND(Projects!$G$46="Yes",Projects!$M$46="Yes",85&gt;=Projects!$C$46,85&lt;Projects!$C$46+Projects!$D$46),Projects!$B$46*INDEX(Curves!$B$4:$AR$4,1,85-Projects!$C$46+1),0)</f>
        <v>0</v>
      </c>
      <c r="CM101" s="315" t="n">
        <f aca="false">IF(AND(Projects!$G$17="Yes",Projects!$M$17="Yes",86&gt;=Projects!$C$17,86&lt;Projects!$C$17+Projects!$D$17),Projects!$B$17*INDEX(Curves!$B$4:$AR$4,1,86-Projects!$C$17+1),0)+IF(AND(Projects!$G$18="Yes",Projects!$M$18="Yes",86&gt;=Projects!$C$18,86&lt;Projects!$C$18+Projects!$D$18),Projects!$B$18*INDEX(Curves!$B$4:$AR$4,1,86-Projects!$C$18+1),0)+IF(AND(Projects!$G$19="Yes",Projects!$M$19="Yes",86&gt;=Projects!$C$19,86&lt;Projects!$C$19+Projects!$D$19),Projects!$B$19*INDEX(Curves!$B$4:$AR$4,1,86-Projects!$C$19+1),0)+IF(AND(Projects!$G$20="Yes",Projects!$M$20="Yes",86&gt;=Projects!$C$20,86&lt;Projects!$C$20+Projects!$D$20),Projects!$B$20*INDEX(Curves!$B$4:$AR$4,1,86-Projects!$C$20+1),0)+IF(AND(Projects!$G$21="Yes",Projects!$M$21="Yes",86&gt;=Projects!$C$21,86&lt;Projects!$C$21+Projects!$D$21),Projects!$B$21*INDEX(Curves!$B$4:$AR$4,1,86-Projects!$C$21+1),0)+IF(AND(Projects!$G$22="Yes",Projects!$M$22="Yes",86&gt;=Projects!$C$22,86&lt;Projects!$C$22+Projects!$D$22),Projects!$B$22*INDEX(Curves!$B$4:$AR$4,1,86-Projects!$C$22+1),0)+IF(AND(Projects!$G$23="Yes",Projects!$M$23="Yes",86&gt;=Projects!$C$23,86&lt;Projects!$C$23+Projects!$D$23),Projects!$B$23*INDEX(Curves!$B$4:$AR$4,1,86-Projects!$C$23+1),0)+IF(AND(Projects!$G$24="Yes",Projects!$M$24="Yes",86&gt;=Projects!$C$24,86&lt;Projects!$C$24+Projects!$D$24),Projects!$B$24*INDEX(Curves!$B$4:$AR$4,1,86-Projects!$C$24+1),0)+IF(AND(Projects!$G$25="Yes",Projects!$M$25="Yes",86&gt;=Projects!$C$25,86&lt;Projects!$C$25+Projects!$D$25),Projects!$B$25*INDEX(Curves!$B$4:$AR$4,1,86-Projects!$C$25+1),0)+IF(AND(Projects!$G$26="Yes",Projects!$M$26="Yes",86&gt;=Projects!$C$26,86&lt;Projects!$C$26+Projects!$D$26),Projects!$B$26*INDEX(Curves!$B$4:$AR$4,1,86-Projects!$C$26+1),0)+IF(AND(Projects!$G$27="Yes",Projects!$M$27="Yes",86&gt;=Projects!$C$27,86&lt;Projects!$C$27+Projects!$D$27),Projects!$B$27*INDEX(Curves!$B$4:$AR$4,1,86-Projects!$C$27+1),0)+IF(AND(Projects!$G$28="Yes",Projects!$M$28="Yes",86&gt;=Projects!$C$28,86&lt;Projects!$C$28+Projects!$D$28),Projects!$B$28*INDEX(Curves!$B$4:$AR$4,1,86-Projects!$C$28+1),0)+IF(AND(Projects!$G$29="Yes",Projects!$M$29="Yes",86&gt;=Projects!$C$29,86&lt;Projects!$C$29+Projects!$D$29),Projects!$B$29*INDEX(Curves!$B$4:$AR$4,1,86-Projects!$C$29+1),0)+IF(AND(Projects!$G$30="Yes",Projects!$M$30="Yes",86&gt;=Projects!$C$30,86&lt;Projects!$C$30+Projects!$D$30),Projects!$B$30*INDEX(Curves!$B$4:$AR$4,1,86-Projects!$C$30+1),0)+IF(AND(Projects!$G$31="Yes",Projects!$M$31="Yes",86&gt;=Projects!$C$31,86&lt;Projects!$C$31+Projects!$D$31),Projects!$B$31*INDEX(Curves!$B$4:$AR$4,1,86-Projects!$C$31+1),0)+IF(AND(Projects!$G$32="Yes",Projects!$M$32="Yes",86&gt;=Projects!$C$32,86&lt;Projects!$C$32+Projects!$D$32),Projects!$B$32*INDEX(Curves!$B$4:$AR$4,1,86-Projects!$C$32+1),0)+IF(AND(Projects!$G$33="Yes",Projects!$M$33="Yes",86&gt;=Projects!$C$33,86&lt;Projects!$C$33+Projects!$D$33),Projects!$B$33*INDEX(Curves!$B$4:$AR$4,1,86-Projects!$C$33+1),0)+IF(AND(Projects!$G$34="Yes",Projects!$M$34="Yes",86&gt;=Projects!$C$34,86&lt;Projects!$C$34+Projects!$D$34),Projects!$B$34*INDEX(Curves!$B$4:$AR$4,1,86-Projects!$C$34+1),0)+IF(AND(Projects!$G$35="Yes",Projects!$M$35="Yes",86&gt;=Projects!$C$35,86&lt;Projects!$C$35+Projects!$D$35),Projects!$B$35*INDEX(Curves!$B$4:$AR$4,1,86-Projects!$C$35+1),0)+IF(AND(Projects!$G$36="Yes",Projects!$M$36="Yes",86&gt;=Projects!$C$36,86&lt;Projects!$C$36+Projects!$D$36),Projects!$B$36*INDEX(Curves!$B$4:$AR$4,1,86-Projects!$C$36+1),0)+IF(AND(Projects!$G$37="Yes",Projects!$M$37="Yes",86&gt;=Projects!$C$37,86&lt;Projects!$C$37+Projects!$D$37),Projects!$B$37*INDEX(Curves!$B$4:$AR$4,1,86-Projects!$C$37+1),0)+IF(AND(Projects!$G$38="Yes",Projects!$M$38="Yes",86&gt;=Projects!$C$38,86&lt;Projects!$C$38+Projects!$D$38),Projects!$B$38*INDEX(Curves!$B$4:$AR$4,1,86-Projects!$C$38+1),0)+IF(AND(Projects!$G$39="Yes",Projects!$M$39="Yes",86&gt;=Projects!$C$39,86&lt;Projects!$C$39+Projects!$D$39),Projects!$B$39*INDEX(Curves!$B$4:$AR$4,1,86-Projects!$C$39+1),0)+IF(AND(Projects!$G$40="Yes",Projects!$M$40="Yes",86&gt;=Projects!$C$40,86&lt;Projects!$C$40+Projects!$D$40),Projects!$B$40*INDEX(Curves!$B$4:$AR$4,1,86-Projects!$C$40+1),0)+IF(AND(Projects!$G$41="Yes",Projects!$M$41="Yes",86&gt;=Projects!$C$41,86&lt;Projects!$C$41+Projects!$D$41),Projects!$B$41*INDEX(Curves!$B$4:$AR$4,1,86-Projects!$C$41+1),0)+IF(AND(Projects!$G$42="Yes",Projects!$M$42="Yes",86&gt;=Projects!$C$42,86&lt;Projects!$C$42+Projects!$D$42),Projects!$B$42*INDEX(Curves!$B$4:$AR$4,1,86-Projects!$C$42+1),0)+IF(AND(Projects!$G$43="Yes",Projects!$M$43="Yes",86&gt;=Projects!$C$43,86&lt;Projects!$C$43+Projects!$D$43),Projects!$B$43*INDEX(Curves!$B$4:$AR$4,1,86-Projects!$C$43+1),0)+IF(AND(Projects!$G$44="Yes",Projects!$M$44="Yes",86&gt;=Projects!$C$44,86&lt;Projects!$C$44+Projects!$D$44),Projects!$B$44*INDEX(Curves!$B$4:$AR$4,1,86-Projects!$C$44+1),0)+IF(AND(Projects!$G$45="Yes",Projects!$M$45="Yes",86&gt;=Projects!$C$45,86&lt;Projects!$C$45+Projects!$D$45),Projects!$B$45*INDEX(Curves!$B$4:$AR$4,1,86-Projects!$C$45+1),0)+IF(AND(Projects!$G$46="Yes",Projects!$M$46="Yes",86&gt;=Projects!$C$46,86&lt;Projects!$C$46+Projects!$D$46),Projects!$B$46*INDEX(Curves!$B$4:$AR$4,1,86-Projects!$C$46+1),0)</f>
        <v>0</v>
      </c>
      <c r="CN101" s="315" t="n">
        <f aca="false">IF(AND(Projects!$G$17="Yes",Projects!$M$17="Yes",87&gt;=Projects!$C$17,87&lt;Projects!$C$17+Projects!$D$17),Projects!$B$17*INDEX(Curves!$B$4:$AR$4,1,87-Projects!$C$17+1),0)+IF(AND(Projects!$G$18="Yes",Projects!$M$18="Yes",87&gt;=Projects!$C$18,87&lt;Projects!$C$18+Projects!$D$18),Projects!$B$18*INDEX(Curves!$B$4:$AR$4,1,87-Projects!$C$18+1),0)+IF(AND(Projects!$G$19="Yes",Projects!$M$19="Yes",87&gt;=Projects!$C$19,87&lt;Projects!$C$19+Projects!$D$19),Projects!$B$19*INDEX(Curves!$B$4:$AR$4,1,87-Projects!$C$19+1),0)+IF(AND(Projects!$G$20="Yes",Projects!$M$20="Yes",87&gt;=Projects!$C$20,87&lt;Projects!$C$20+Projects!$D$20),Projects!$B$20*INDEX(Curves!$B$4:$AR$4,1,87-Projects!$C$20+1),0)+IF(AND(Projects!$G$21="Yes",Projects!$M$21="Yes",87&gt;=Projects!$C$21,87&lt;Projects!$C$21+Projects!$D$21),Projects!$B$21*INDEX(Curves!$B$4:$AR$4,1,87-Projects!$C$21+1),0)+IF(AND(Projects!$G$22="Yes",Projects!$M$22="Yes",87&gt;=Projects!$C$22,87&lt;Projects!$C$22+Projects!$D$22),Projects!$B$22*INDEX(Curves!$B$4:$AR$4,1,87-Projects!$C$22+1),0)+IF(AND(Projects!$G$23="Yes",Projects!$M$23="Yes",87&gt;=Projects!$C$23,87&lt;Projects!$C$23+Projects!$D$23),Projects!$B$23*INDEX(Curves!$B$4:$AR$4,1,87-Projects!$C$23+1),0)+IF(AND(Projects!$G$24="Yes",Projects!$M$24="Yes",87&gt;=Projects!$C$24,87&lt;Projects!$C$24+Projects!$D$24),Projects!$B$24*INDEX(Curves!$B$4:$AR$4,1,87-Projects!$C$24+1),0)+IF(AND(Projects!$G$25="Yes",Projects!$M$25="Yes",87&gt;=Projects!$C$25,87&lt;Projects!$C$25+Projects!$D$25),Projects!$B$25*INDEX(Curves!$B$4:$AR$4,1,87-Projects!$C$25+1),0)+IF(AND(Projects!$G$26="Yes",Projects!$M$26="Yes",87&gt;=Projects!$C$26,87&lt;Projects!$C$26+Projects!$D$26),Projects!$B$26*INDEX(Curves!$B$4:$AR$4,1,87-Projects!$C$26+1),0)+IF(AND(Projects!$G$27="Yes",Projects!$M$27="Yes",87&gt;=Projects!$C$27,87&lt;Projects!$C$27+Projects!$D$27),Projects!$B$27*INDEX(Curves!$B$4:$AR$4,1,87-Projects!$C$27+1),0)+IF(AND(Projects!$G$28="Yes",Projects!$M$28="Yes",87&gt;=Projects!$C$28,87&lt;Projects!$C$28+Projects!$D$28),Projects!$B$28*INDEX(Curves!$B$4:$AR$4,1,87-Projects!$C$28+1),0)+IF(AND(Projects!$G$29="Yes",Projects!$M$29="Yes",87&gt;=Projects!$C$29,87&lt;Projects!$C$29+Projects!$D$29),Projects!$B$29*INDEX(Curves!$B$4:$AR$4,1,87-Projects!$C$29+1),0)+IF(AND(Projects!$G$30="Yes",Projects!$M$30="Yes",87&gt;=Projects!$C$30,87&lt;Projects!$C$30+Projects!$D$30),Projects!$B$30*INDEX(Curves!$B$4:$AR$4,1,87-Projects!$C$30+1),0)+IF(AND(Projects!$G$31="Yes",Projects!$M$31="Yes",87&gt;=Projects!$C$31,87&lt;Projects!$C$31+Projects!$D$31),Projects!$B$31*INDEX(Curves!$B$4:$AR$4,1,87-Projects!$C$31+1),0)+IF(AND(Projects!$G$32="Yes",Projects!$M$32="Yes",87&gt;=Projects!$C$32,87&lt;Projects!$C$32+Projects!$D$32),Projects!$B$32*INDEX(Curves!$B$4:$AR$4,1,87-Projects!$C$32+1),0)+IF(AND(Projects!$G$33="Yes",Projects!$M$33="Yes",87&gt;=Projects!$C$33,87&lt;Projects!$C$33+Projects!$D$33),Projects!$B$33*INDEX(Curves!$B$4:$AR$4,1,87-Projects!$C$33+1),0)+IF(AND(Projects!$G$34="Yes",Projects!$M$34="Yes",87&gt;=Projects!$C$34,87&lt;Projects!$C$34+Projects!$D$34),Projects!$B$34*INDEX(Curves!$B$4:$AR$4,1,87-Projects!$C$34+1),0)+IF(AND(Projects!$G$35="Yes",Projects!$M$35="Yes",87&gt;=Projects!$C$35,87&lt;Projects!$C$35+Projects!$D$35),Projects!$B$35*INDEX(Curves!$B$4:$AR$4,1,87-Projects!$C$35+1),0)+IF(AND(Projects!$G$36="Yes",Projects!$M$36="Yes",87&gt;=Projects!$C$36,87&lt;Projects!$C$36+Projects!$D$36),Projects!$B$36*INDEX(Curves!$B$4:$AR$4,1,87-Projects!$C$36+1),0)+IF(AND(Projects!$G$37="Yes",Projects!$M$37="Yes",87&gt;=Projects!$C$37,87&lt;Projects!$C$37+Projects!$D$37),Projects!$B$37*INDEX(Curves!$B$4:$AR$4,1,87-Projects!$C$37+1),0)+IF(AND(Projects!$G$38="Yes",Projects!$M$38="Yes",87&gt;=Projects!$C$38,87&lt;Projects!$C$38+Projects!$D$38),Projects!$B$38*INDEX(Curves!$B$4:$AR$4,1,87-Projects!$C$38+1),0)+IF(AND(Projects!$G$39="Yes",Projects!$M$39="Yes",87&gt;=Projects!$C$39,87&lt;Projects!$C$39+Projects!$D$39),Projects!$B$39*INDEX(Curves!$B$4:$AR$4,1,87-Projects!$C$39+1),0)+IF(AND(Projects!$G$40="Yes",Projects!$M$40="Yes",87&gt;=Projects!$C$40,87&lt;Projects!$C$40+Projects!$D$40),Projects!$B$40*INDEX(Curves!$B$4:$AR$4,1,87-Projects!$C$40+1),0)+IF(AND(Projects!$G$41="Yes",Projects!$M$41="Yes",87&gt;=Projects!$C$41,87&lt;Projects!$C$41+Projects!$D$41),Projects!$B$41*INDEX(Curves!$B$4:$AR$4,1,87-Projects!$C$41+1),0)+IF(AND(Projects!$G$42="Yes",Projects!$M$42="Yes",87&gt;=Projects!$C$42,87&lt;Projects!$C$42+Projects!$D$42),Projects!$B$42*INDEX(Curves!$B$4:$AR$4,1,87-Projects!$C$42+1),0)+IF(AND(Projects!$G$43="Yes",Projects!$M$43="Yes",87&gt;=Projects!$C$43,87&lt;Projects!$C$43+Projects!$D$43),Projects!$B$43*INDEX(Curves!$B$4:$AR$4,1,87-Projects!$C$43+1),0)+IF(AND(Projects!$G$44="Yes",Projects!$M$44="Yes",87&gt;=Projects!$C$44,87&lt;Projects!$C$44+Projects!$D$44),Projects!$B$44*INDEX(Curves!$B$4:$AR$4,1,87-Projects!$C$44+1),0)+IF(AND(Projects!$G$45="Yes",Projects!$M$45="Yes",87&gt;=Projects!$C$45,87&lt;Projects!$C$45+Projects!$D$45),Projects!$B$45*INDEX(Curves!$B$4:$AR$4,1,87-Projects!$C$45+1),0)+IF(AND(Projects!$G$46="Yes",Projects!$M$46="Yes",87&gt;=Projects!$C$46,87&lt;Projects!$C$46+Projects!$D$46),Projects!$B$46*INDEX(Curves!$B$4:$AR$4,1,87-Projects!$C$46+1),0)</f>
        <v>0</v>
      </c>
      <c r="CO101" s="315" t="n">
        <f aca="false">IF(AND(Projects!$G$17="Yes",Projects!$M$17="Yes",88&gt;=Projects!$C$17,88&lt;Projects!$C$17+Projects!$D$17),Projects!$B$17*INDEX(Curves!$B$4:$AR$4,1,88-Projects!$C$17+1),0)+IF(AND(Projects!$G$18="Yes",Projects!$M$18="Yes",88&gt;=Projects!$C$18,88&lt;Projects!$C$18+Projects!$D$18),Projects!$B$18*INDEX(Curves!$B$4:$AR$4,1,88-Projects!$C$18+1),0)+IF(AND(Projects!$G$19="Yes",Projects!$M$19="Yes",88&gt;=Projects!$C$19,88&lt;Projects!$C$19+Projects!$D$19),Projects!$B$19*INDEX(Curves!$B$4:$AR$4,1,88-Projects!$C$19+1),0)+IF(AND(Projects!$G$20="Yes",Projects!$M$20="Yes",88&gt;=Projects!$C$20,88&lt;Projects!$C$20+Projects!$D$20),Projects!$B$20*INDEX(Curves!$B$4:$AR$4,1,88-Projects!$C$20+1),0)+IF(AND(Projects!$G$21="Yes",Projects!$M$21="Yes",88&gt;=Projects!$C$21,88&lt;Projects!$C$21+Projects!$D$21),Projects!$B$21*INDEX(Curves!$B$4:$AR$4,1,88-Projects!$C$21+1),0)+IF(AND(Projects!$G$22="Yes",Projects!$M$22="Yes",88&gt;=Projects!$C$22,88&lt;Projects!$C$22+Projects!$D$22),Projects!$B$22*INDEX(Curves!$B$4:$AR$4,1,88-Projects!$C$22+1),0)+IF(AND(Projects!$G$23="Yes",Projects!$M$23="Yes",88&gt;=Projects!$C$23,88&lt;Projects!$C$23+Projects!$D$23),Projects!$B$23*INDEX(Curves!$B$4:$AR$4,1,88-Projects!$C$23+1),0)+IF(AND(Projects!$G$24="Yes",Projects!$M$24="Yes",88&gt;=Projects!$C$24,88&lt;Projects!$C$24+Projects!$D$24),Projects!$B$24*INDEX(Curves!$B$4:$AR$4,1,88-Projects!$C$24+1),0)+IF(AND(Projects!$G$25="Yes",Projects!$M$25="Yes",88&gt;=Projects!$C$25,88&lt;Projects!$C$25+Projects!$D$25),Projects!$B$25*INDEX(Curves!$B$4:$AR$4,1,88-Projects!$C$25+1),0)+IF(AND(Projects!$G$26="Yes",Projects!$M$26="Yes",88&gt;=Projects!$C$26,88&lt;Projects!$C$26+Projects!$D$26),Projects!$B$26*INDEX(Curves!$B$4:$AR$4,1,88-Projects!$C$26+1),0)+IF(AND(Projects!$G$27="Yes",Projects!$M$27="Yes",88&gt;=Projects!$C$27,88&lt;Projects!$C$27+Projects!$D$27),Projects!$B$27*INDEX(Curves!$B$4:$AR$4,1,88-Projects!$C$27+1),0)+IF(AND(Projects!$G$28="Yes",Projects!$M$28="Yes",88&gt;=Projects!$C$28,88&lt;Projects!$C$28+Projects!$D$28),Projects!$B$28*INDEX(Curves!$B$4:$AR$4,1,88-Projects!$C$28+1),0)+IF(AND(Projects!$G$29="Yes",Projects!$M$29="Yes",88&gt;=Projects!$C$29,88&lt;Projects!$C$29+Projects!$D$29),Projects!$B$29*INDEX(Curves!$B$4:$AR$4,1,88-Projects!$C$29+1),0)+IF(AND(Projects!$G$30="Yes",Projects!$M$30="Yes",88&gt;=Projects!$C$30,88&lt;Projects!$C$30+Projects!$D$30),Projects!$B$30*INDEX(Curves!$B$4:$AR$4,1,88-Projects!$C$30+1),0)+IF(AND(Projects!$G$31="Yes",Projects!$M$31="Yes",88&gt;=Projects!$C$31,88&lt;Projects!$C$31+Projects!$D$31),Projects!$B$31*INDEX(Curves!$B$4:$AR$4,1,88-Projects!$C$31+1),0)+IF(AND(Projects!$G$32="Yes",Projects!$M$32="Yes",88&gt;=Projects!$C$32,88&lt;Projects!$C$32+Projects!$D$32),Projects!$B$32*INDEX(Curves!$B$4:$AR$4,1,88-Projects!$C$32+1),0)+IF(AND(Projects!$G$33="Yes",Projects!$M$33="Yes",88&gt;=Projects!$C$33,88&lt;Projects!$C$33+Projects!$D$33),Projects!$B$33*INDEX(Curves!$B$4:$AR$4,1,88-Projects!$C$33+1),0)+IF(AND(Projects!$G$34="Yes",Projects!$M$34="Yes",88&gt;=Projects!$C$34,88&lt;Projects!$C$34+Projects!$D$34),Projects!$B$34*INDEX(Curves!$B$4:$AR$4,1,88-Projects!$C$34+1),0)+IF(AND(Projects!$G$35="Yes",Projects!$M$35="Yes",88&gt;=Projects!$C$35,88&lt;Projects!$C$35+Projects!$D$35),Projects!$B$35*INDEX(Curves!$B$4:$AR$4,1,88-Projects!$C$35+1),0)+IF(AND(Projects!$G$36="Yes",Projects!$M$36="Yes",88&gt;=Projects!$C$36,88&lt;Projects!$C$36+Projects!$D$36),Projects!$B$36*INDEX(Curves!$B$4:$AR$4,1,88-Projects!$C$36+1),0)+IF(AND(Projects!$G$37="Yes",Projects!$M$37="Yes",88&gt;=Projects!$C$37,88&lt;Projects!$C$37+Projects!$D$37),Projects!$B$37*INDEX(Curves!$B$4:$AR$4,1,88-Projects!$C$37+1),0)+IF(AND(Projects!$G$38="Yes",Projects!$M$38="Yes",88&gt;=Projects!$C$38,88&lt;Projects!$C$38+Projects!$D$38),Projects!$B$38*INDEX(Curves!$B$4:$AR$4,1,88-Projects!$C$38+1),0)+IF(AND(Projects!$G$39="Yes",Projects!$M$39="Yes",88&gt;=Projects!$C$39,88&lt;Projects!$C$39+Projects!$D$39),Projects!$B$39*INDEX(Curves!$B$4:$AR$4,1,88-Projects!$C$39+1),0)+IF(AND(Projects!$G$40="Yes",Projects!$M$40="Yes",88&gt;=Projects!$C$40,88&lt;Projects!$C$40+Projects!$D$40),Projects!$B$40*INDEX(Curves!$B$4:$AR$4,1,88-Projects!$C$40+1),0)+IF(AND(Projects!$G$41="Yes",Projects!$M$41="Yes",88&gt;=Projects!$C$41,88&lt;Projects!$C$41+Projects!$D$41),Projects!$B$41*INDEX(Curves!$B$4:$AR$4,1,88-Projects!$C$41+1),0)+IF(AND(Projects!$G$42="Yes",Projects!$M$42="Yes",88&gt;=Projects!$C$42,88&lt;Projects!$C$42+Projects!$D$42),Projects!$B$42*INDEX(Curves!$B$4:$AR$4,1,88-Projects!$C$42+1),0)+IF(AND(Projects!$G$43="Yes",Projects!$M$43="Yes",88&gt;=Projects!$C$43,88&lt;Projects!$C$43+Projects!$D$43),Projects!$B$43*INDEX(Curves!$B$4:$AR$4,1,88-Projects!$C$43+1),0)+IF(AND(Projects!$G$44="Yes",Projects!$M$44="Yes",88&gt;=Projects!$C$44,88&lt;Projects!$C$44+Projects!$D$44),Projects!$B$44*INDEX(Curves!$B$4:$AR$4,1,88-Projects!$C$44+1),0)+IF(AND(Projects!$G$45="Yes",Projects!$M$45="Yes",88&gt;=Projects!$C$45,88&lt;Projects!$C$45+Projects!$D$45),Projects!$B$45*INDEX(Curves!$B$4:$AR$4,1,88-Projects!$C$45+1),0)+IF(AND(Projects!$G$46="Yes",Projects!$M$46="Yes",88&gt;=Projects!$C$46,88&lt;Projects!$C$46+Projects!$D$46),Projects!$B$46*INDEX(Curves!$B$4:$AR$4,1,88-Projects!$C$46+1),0)</f>
        <v>0</v>
      </c>
      <c r="CP101" s="315" t="n">
        <f aca="false">IF(AND(Projects!$G$17="Yes",Projects!$M$17="Yes",89&gt;=Projects!$C$17,89&lt;Projects!$C$17+Projects!$D$17),Projects!$B$17*INDEX(Curves!$B$4:$AR$4,1,89-Projects!$C$17+1),0)+IF(AND(Projects!$G$18="Yes",Projects!$M$18="Yes",89&gt;=Projects!$C$18,89&lt;Projects!$C$18+Projects!$D$18),Projects!$B$18*INDEX(Curves!$B$4:$AR$4,1,89-Projects!$C$18+1),0)+IF(AND(Projects!$G$19="Yes",Projects!$M$19="Yes",89&gt;=Projects!$C$19,89&lt;Projects!$C$19+Projects!$D$19),Projects!$B$19*INDEX(Curves!$B$4:$AR$4,1,89-Projects!$C$19+1),0)+IF(AND(Projects!$G$20="Yes",Projects!$M$20="Yes",89&gt;=Projects!$C$20,89&lt;Projects!$C$20+Projects!$D$20),Projects!$B$20*INDEX(Curves!$B$4:$AR$4,1,89-Projects!$C$20+1),0)+IF(AND(Projects!$G$21="Yes",Projects!$M$21="Yes",89&gt;=Projects!$C$21,89&lt;Projects!$C$21+Projects!$D$21),Projects!$B$21*INDEX(Curves!$B$4:$AR$4,1,89-Projects!$C$21+1),0)+IF(AND(Projects!$G$22="Yes",Projects!$M$22="Yes",89&gt;=Projects!$C$22,89&lt;Projects!$C$22+Projects!$D$22),Projects!$B$22*INDEX(Curves!$B$4:$AR$4,1,89-Projects!$C$22+1),0)+IF(AND(Projects!$G$23="Yes",Projects!$M$23="Yes",89&gt;=Projects!$C$23,89&lt;Projects!$C$23+Projects!$D$23),Projects!$B$23*INDEX(Curves!$B$4:$AR$4,1,89-Projects!$C$23+1),0)+IF(AND(Projects!$G$24="Yes",Projects!$M$24="Yes",89&gt;=Projects!$C$24,89&lt;Projects!$C$24+Projects!$D$24),Projects!$B$24*INDEX(Curves!$B$4:$AR$4,1,89-Projects!$C$24+1),0)+IF(AND(Projects!$G$25="Yes",Projects!$M$25="Yes",89&gt;=Projects!$C$25,89&lt;Projects!$C$25+Projects!$D$25),Projects!$B$25*INDEX(Curves!$B$4:$AR$4,1,89-Projects!$C$25+1),0)+IF(AND(Projects!$G$26="Yes",Projects!$M$26="Yes",89&gt;=Projects!$C$26,89&lt;Projects!$C$26+Projects!$D$26),Projects!$B$26*INDEX(Curves!$B$4:$AR$4,1,89-Projects!$C$26+1),0)+IF(AND(Projects!$G$27="Yes",Projects!$M$27="Yes",89&gt;=Projects!$C$27,89&lt;Projects!$C$27+Projects!$D$27),Projects!$B$27*INDEX(Curves!$B$4:$AR$4,1,89-Projects!$C$27+1),0)+IF(AND(Projects!$G$28="Yes",Projects!$M$28="Yes",89&gt;=Projects!$C$28,89&lt;Projects!$C$28+Projects!$D$28),Projects!$B$28*INDEX(Curves!$B$4:$AR$4,1,89-Projects!$C$28+1),0)+IF(AND(Projects!$G$29="Yes",Projects!$M$29="Yes",89&gt;=Projects!$C$29,89&lt;Projects!$C$29+Projects!$D$29),Projects!$B$29*INDEX(Curves!$B$4:$AR$4,1,89-Projects!$C$29+1),0)+IF(AND(Projects!$G$30="Yes",Projects!$M$30="Yes",89&gt;=Projects!$C$30,89&lt;Projects!$C$30+Projects!$D$30),Projects!$B$30*INDEX(Curves!$B$4:$AR$4,1,89-Projects!$C$30+1),0)+IF(AND(Projects!$G$31="Yes",Projects!$M$31="Yes",89&gt;=Projects!$C$31,89&lt;Projects!$C$31+Projects!$D$31),Projects!$B$31*INDEX(Curves!$B$4:$AR$4,1,89-Projects!$C$31+1),0)+IF(AND(Projects!$G$32="Yes",Projects!$M$32="Yes",89&gt;=Projects!$C$32,89&lt;Projects!$C$32+Projects!$D$32),Projects!$B$32*INDEX(Curves!$B$4:$AR$4,1,89-Projects!$C$32+1),0)+IF(AND(Projects!$G$33="Yes",Projects!$M$33="Yes",89&gt;=Projects!$C$33,89&lt;Projects!$C$33+Projects!$D$33),Projects!$B$33*INDEX(Curves!$B$4:$AR$4,1,89-Projects!$C$33+1),0)+IF(AND(Projects!$G$34="Yes",Projects!$M$34="Yes",89&gt;=Projects!$C$34,89&lt;Projects!$C$34+Projects!$D$34),Projects!$B$34*INDEX(Curves!$B$4:$AR$4,1,89-Projects!$C$34+1),0)+IF(AND(Projects!$G$35="Yes",Projects!$M$35="Yes",89&gt;=Projects!$C$35,89&lt;Projects!$C$35+Projects!$D$35),Projects!$B$35*INDEX(Curves!$B$4:$AR$4,1,89-Projects!$C$35+1),0)+IF(AND(Projects!$G$36="Yes",Projects!$M$36="Yes",89&gt;=Projects!$C$36,89&lt;Projects!$C$36+Projects!$D$36),Projects!$B$36*INDEX(Curves!$B$4:$AR$4,1,89-Projects!$C$36+1),0)+IF(AND(Projects!$G$37="Yes",Projects!$M$37="Yes",89&gt;=Projects!$C$37,89&lt;Projects!$C$37+Projects!$D$37),Projects!$B$37*INDEX(Curves!$B$4:$AR$4,1,89-Projects!$C$37+1),0)+IF(AND(Projects!$G$38="Yes",Projects!$M$38="Yes",89&gt;=Projects!$C$38,89&lt;Projects!$C$38+Projects!$D$38),Projects!$B$38*INDEX(Curves!$B$4:$AR$4,1,89-Projects!$C$38+1),0)+IF(AND(Projects!$G$39="Yes",Projects!$M$39="Yes",89&gt;=Projects!$C$39,89&lt;Projects!$C$39+Projects!$D$39),Projects!$B$39*INDEX(Curves!$B$4:$AR$4,1,89-Projects!$C$39+1),0)+IF(AND(Projects!$G$40="Yes",Projects!$M$40="Yes",89&gt;=Projects!$C$40,89&lt;Projects!$C$40+Projects!$D$40),Projects!$B$40*INDEX(Curves!$B$4:$AR$4,1,89-Projects!$C$40+1),0)+IF(AND(Projects!$G$41="Yes",Projects!$M$41="Yes",89&gt;=Projects!$C$41,89&lt;Projects!$C$41+Projects!$D$41),Projects!$B$41*INDEX(Curves!$B$4:$AR$4,1,89-Projects!$C$41+1),0)+IF(AND(Projects!$G$42="Yes",Projects!$M$42="Yes",89&gt;=Projects!$C$42,89&lt;Projects!$C$42+Projects!$D$42),Projects!$B$42*INDEX(Curves!$B$4:$AR$4,1,89-Projects!$C$42+1),0)+IF(AND(Projects!$G$43="Yes",Projects!$M$43="Yes",89&gt;=Projects!$C$43,89&lt;Projects!$C$43+Projects!$D$43),Projects!$B$43*INDEX(Curves!$B$4:$AR$4,1,89-Projects!$C$43+1),0)+IF(AND(Projects!$G$44="Yes",Projects!$M$44="Yes",89&gt;=Projects!$C$44,89&lt;Projects!$C$44+Projects!$D$44),Projects!$B$44*INDEX(Curves!$B$4:$AR$4,1,89-Projects!$C$44+1),0)+IF(AND(Projects!$G$45="Yes",Projects!$M$45="Yes",89&gt;=Projects!$C$45,89&lt;Projects!$C$45+Projects!$D$45),Projects!$B$45*INDEX(Curves!$B$4:$AR$4,1,89-Projects!$C$45+1),0)+IF(AND(Projects!$G$46="Yes",Projects!$M$46="Yes",89&gt;=Projects!$C$46,89&lt;Projects!$C$46+Projects!$D$46),Projects!$B$46*INDEX(Curves!$B$4:$AR$4,1,89-Projects!$C$46+1),0)</f>
        <v>0</v>
      </c>
      <c r="CQ101" s="315" t="n">
        <f aca="false">IF(AND(Projects!$G$17="Yes",Projects!$M$17="Yes",90&gt;=Projects!$C$17,90&lt;Projects!$C$17+Projects!$D$17),Projects!$B$17*INDEX(Curves!$B$4:$AR$4,1,90-Projects!$C$17+1),0)+IF(AND(Projects!$G$18="Yes",Projects!$M$18="Yes",90&gt;=Projects!$C$18,90&lt;Projects!$C$18+Projects!$D$18),Projects!$B$18*INDEX(Curves!$B$4:$AR$4,1,90-Projects!$C$18+1),0)+IF(AND(Projects!$G$19="Yes",Projects!$M$19="Yes",90&gt;=Projects!$C$19,90&lt;Projects!$C$19+Projects!$D$19),Projects!$B$19*INDEX(Curves!$B$4:$AR$4,1,90-Projects!$C$19+1),0)+IF(AND(Projects!$G$20="Yes",Projects!$M$20="Yes",90&gt;=Projects!$C$20,90&lt;Projects!$C$20+Projects!$D$20),Projects!$B$20*INDEX(Curves!$B$4:$AR$4,1,90-Projects!$C$20+1),0)+IF(AND(Projects!$G$21="Yes",Projects!$M$21="Yes",90&gt;=Projects!$C$21,90&lt;Projects!$C$21+Projects!$D$21),Projects!$B$21*INDEX(Curves!$B$4:$AR$4,1,90-Projects!$C$21+1),0)+IF(AND(Projects!$G$22="Yes",Projects!$M$22="Yes",90&gt;=Projects!$C$22,90&lt;Projects!$C$22+Projects!$D$22),Projects!$B$22*INDEX(Curves!$B$4:$AR$4,1,90-Projects!$C$22+1),0)+IF(AND(Projects!$G$23="Yes",Projects!$M$23="Yes",90&gt;=Projects!$C$23,90&lt;Projects!$C$23+Projects!$D$23),Projects!$B$23*INDEX(Curves!$B$4:$AR$4,1,90-Projects!$C$23+1),0)+IF(AND(Projects!$G$24="Yes",Projects!$M$24="Yes",90&gt;=Projects!$C$24,90&lt;Projects!$C$24+Projects!$D$24),Projects!$B$24*INDEX(Curves!$B$4:$AR$4,1,90-Projects!$C$24+1),0)+IF(AND(Projects!$G$25="Yes",Projects!$M$25="Yes",90&gt;=Projects!$C$25,90&lt;Projects!$C$25+Projects!$D$25),Projects!$B$25*INDEX(Curves!$B$4:$AR$4,1,90-Projects!$C$25+1),0)+IF(AND(Projects!$G$26="Yes",Projects!$M$26="Yes",90&gt;=Projects!$C$26,90&lt;Projects!$C$26+Projects!$D$26),Projects!$B$26*INDEX(Curves!$B$4:$AR$4,1,90-Projects!$C$26+1),0)+IF(AND(Projects!$G$27="Yes",Projects!$M$27="Yes",90&gt;=Projects!$C$27,90&lt;Projects!$C$27+Projects!$D$27),Projects!$B$27*INDEX(Curves!$B$4:$AR$4,1,90-Projects!$C$27+1),0)+IF(AND(Projects!$G$28="Yes",Projects!$M$28="Yes",90&gt;=Projects!$C$28,90&lt;Projects!$C$28+Projects!$D$28),Projects!$B$28*INDEX(Curves!$B$4:$AR$4,1,90-Projects!$C$28+1),0)+IF(AND(Projects!$G$29="Yes",Projects!$M$29="Yes",90&gt;=Projects!$C$29,90&lt;Projects!$C$29+Projects!$D$29),Projects!$B$29*INDEX(Curves!$B$4:$AR$4,1,90-Projects!$C$29+1),0)+IF(AND(Projects!$G$30="Yes",Projects!$M$30="Yes",90&gt;=Projects!$C$30,90&lt;Projects!$C$30+Projects!$D$30),Projects!$B$30*INDEX(Curves!$B$4:$AR$4,1,90-Projects!$C$30+1),0)+IF(AND(Projects!$G$31="Yes",Projects!$M$31="Yes",90&gt;=Projects!$C$31,90&lt;Projects!$C$31+Projects!$D$31),Projects!$B$31*INDEX(Curves!$B$4:$AR$4,1,90-Projects!$C$31+1),0)+IF(AND(Projects!$G$32="Yes",Projects!$M$32="Yes",90&gt;=Projects!$C$32,90&lt;Projects!$C$32+Projects!$D$32),Projects!$B$32*INDEX(Curves!$B$4:$AR$4,1,90-Projects!$C$32+1),0)+IF(AND(Projects!$G$33="Yes",Projects!$M$33="Yes",90&gt;=Projects!$C$33,90&lt;Projects!$C$33+Projects!$D$33),Projects!$B$33*INDEX(Curves!$B$4:$AR$4,1,90-Projects!$C$33+1),0)+IF(AND(Projects!$G$34="Yes",Projects!$M$34="Yes",90&gt;=Projects!$C$34,90&lt;Projects!$C$34+Projects!$D$34),Projects!$B$34*INDEX(Curves!$B$4:$AR$4,1,90-Projects!$C$34+1),0)+IF(AND(Projects!$G$35="Yes",Projects!$M$35="Yes",90&gt;=Projects!$C$35,90&lt;Projects!$C$35+Projects!$D$35),Projects!$B$35*INDEX(Curves!$B$4:$AR$4,1,90-Projects!$C$35+1),0)+IF(AND(Projects!$G$36="Yes",Projects!$M$36="Yes",90&gt;=Projects!$C$36,90&lt;Projects!$C$36+Projects!$D$36),Projects!$B$36*INDEX(Curves!$B$4:$AR$4,1,90-Projects!$C$36+1),0)+IF(AND(Projects!$G$37="Yes",Projects!$M$37="Yes",90&gt;=Projects!$C$37,90&lt;Projects!$C$37+Projects!$D$37),Projects!$B$37*INDEX(Curves!$B$4:$AR$4,1,90-Projects!$C$37+1),0)+IF(AND(Projects!$G$38="Yes",Projects!$M$38="Yes",90&gt;=Projects!$C$38,90&lt;Projects!$C$38+Projects!$D$38),Projects!$B$38*INDEX(Curves!$B$4:$AR$4,1,90-Projects!$C$38+1),0)+IF(AND(Projects!$G$39="Yes",Projects!$M$39="Yes",90&gt;=Projects!$C$39,90&lt;Projects!$C$39+Projects!$D$39),Projects!$B$39*INDEX(Curves!$B$4:$AR$4,1,90-Projects!$C$39+1),0)+IF(AND(Projects!$G$40="Yes",Projects!$M$40="Yes",90&gt;=Projects!$C$40,90&lt;Projects!$C$40+Projects!$D$40),Projects!$B$40*INDEX(Curves!$B$4:$AR$4,1,90-Projects!$C$40+1),0)+IF(AND(Projects!$G$41="Yes",Projects!$M$41="Yes",90&gt;=Projects!$C$41,90&lt;Projects!$C$41+Projects!$D$41),Projects!$B$41*INDEX(Curves!$B$4:$AR$4,1,90-Projects!$C$41+1),0)+IF(AND(Projects!$G$42="Yes",Projects!$M$42="Yes",90&gt;=Projects!$C$42,90&lt;Projects!$C$42+Projects!$D$42),Projects!$B$42*INDEX(Curves!$B$4:$AR$4,1,90-Projects!$C$42+1),0)+IF(AND(Projects!$G$43="Yes",Projects!$M$43="Yes",90&gt;=Projects!$C$43,90&lt;Projects!$C$43+Projects!$D$43),Projects!$B$43*INDEX(Curves!$B$4:$AR$4,1,90-Projects!$C$43+1),0)+IF(AND(Projects!$G$44="Yes",Projects!$M$44="Yes",90&gt;=Projects!$C$44,90&lt;Projects!$C$44+Projects!$D$44),Projects!$B$44*INDEX(Curves!$B$4:$AR$4,1,90-Projects!$C$44+1),0)+IF(AND(Projects!$G$45="Yes",Projects!$M$45="Yes",90&gt;=Projects!$C$45,90&lt;Projects!$C$45+Projects!$D$45),Projects!$B$45*INDEX(Curves!$B$4:$AR$4,1,90-Projects!$C$45+1),0)+IF(AND(Projects!$G$46="Yes",Projects!$M$46="Yes",90&gt;=Projects!$C$46,90&lt;Projects!$C$46+Projects!$D$46),Projects!$B$46*INDEX(Curves!$B$4:$AR$4,1,90-Projects!$C$46+1),0)</f>
        <v>0</v>
      </c>
      <c r="CR101" s="315" t="n">
        <f aca="false">IF(AND(Projects!$G$17="Yes",Projects!$M$17="Yes",91&gt;=Projects!$C$17,91&lt;Projects!$C$17+Projects!$D$17),Projects!$B$17*INDEX(Curves!$B$4:$AR$4,1,91-Projects!$C$17+1),0)+IF(AND(Projects!$G$18="Yes",Projects!$M$18="Yes",91&gt;=Projects!$C$18,91&lt;Projects!$C$18+Projects!$D$18),Projects!$B$18*INDEX(Curves!$B$4:$AR$4,1,91-Projects!$C$18+1),0)+IF(AND(Projects!$G$19="Yes",Projects!$M$19="Yes",91&gt;=Projects!$C$19,91&lt;Projects!$C$19+Projects!$D$19),Projects!$B$19*INDEX(Curves!$B$4:$AR$4,1,91-Projects!$C$19+1),0)+IF(AND(Projects!$G$20="Yes",Projects!$M$20="Yes",91&gt;=Projects!$C$20,91&lt;Projects!$C$20+Projects!$D$20),Projects!$B$20*INDEX(Curves!$B$4:$AR$4,1,91-Projects!$C$20+1),0)+IF(AND(Projects!$G$21="Yes",Projects!$M$21="Yes",91&gt;=Projects!$C$21,91&lt;Projects!$C$21+Projects!$D$21),Projects!$B$21*INDEX(Curves!$B$4:$AR$4,1,91-Projects!$C$21+1),0)+IF(AND(Projects!$G$22="Yes",Projects!$M$22="Yes",91&gt;=Projects!$C$22,91&lt;Projects!$C$22+Projects!$D$22),Projects!$B$22*INDEX(Curves!$B$4:$AR$4,1,91-Projects!$C$22+1),0)+IF(AND(Projects!$G$23="Yes",Projects!$M$23="Yes",91&gt;=Projects!$C$23,91&lt;Projects!$C$23+Projects!$D$23),Projects!$B$23*INDEX(Curves!$B$4:$AR$4,1,91-Projects!$C$23+1),0)+IF(AND(Projects!$G$24="Yes",Projects!$M$24="Yes",91&gt;=Projects!$C$24,91&lt;Projects!$C$24+Projects!$D$24),Projects!$B$24*INDEX(Curves!$B$4:$AR$4,1,91-Projects!$C$24+1),0)+IF(AND(Projects!$G$25="Yes",Projects!$M$25="Yes",91&gt;=Projects!$C$25,91&lt;Projects!$C$25+Projects!$D$25),Projects!$B$25*INDEX(Curves!$B$4:$AR$4,1,91-Projects!$C$25+1),0)+IF(AND(Projects!$G$26="Yes",Projects!$M$26="Yes",91&gt;=Projects!$C$26,91&lt;Projects!$C$26+Projects!$D$26),Projects!$B$26*INDEX(Curves!$B$4:$AR$4,1,91-Projects!$C$26+1),0)+IF(AND(Projects!$G$27="Yes",Projects!$M$27="Yes",91&gt;=Projects!$C$27,91&lt;Projects!$C$27+Projects!$D$27),Projects!$B$27*INDEX(Curves!$B$4:$AR$4,1,91-Projects!$C$27+1),0)+IF(AND(Projects!$G$28="Yes",Projects!$M$28="Yes",91&gt;=Projects!$C$28,91&lt;Projects!$C$28+Projects!$D$28),Projects!$B$28*INDEX(Curves!$B$4:$AR$4,1,91-Projects!$C$28+1),0)+IF(AND(Projects!$G$29="Yes",Projects!$M$29="Yes",91&gt;=Projects!$C$29,91&lt;Projects!$C$29+Projects!$D$29),Projects!$B$29*INDEX(Curves!$B$4:$AR$4,1,91-Projects!$C$29+1),0)+IF(AND(Projects!$G$30="Yes",Projects!$M$30="Yes",91&gt;=Projects!$C$30,91&lt;Projects!$C$30+Projects!$D$30),Projects!$B$30*INDEX(Curves!$B$4:$AR$4,1,91-Projects!$C$30+1),0)+IF(AND(Projects!$G$31="Yes",Projects!$M$31="Yes",91&gt;=Projects!$C$31,91&lt;Projects!$C$31+Projects!$D$31),Projects!$B$31*INDEX(Curves!$B$4:$AR$4,1,91-Projects!$C$31+1),0)+IF(AND(Projects!$G$32="Yes",Projects!$M$32="Yes",91&gt;=Projects!$C$32,91&lt;Projects!$C$32+Projects!$D$32),Projects!$B$32*INDEX(Curves!$B$4:$AR$4,1,91-Projects!$C$32+1),0)+IF(AND(Projects!$G$33="Yes",Projects!$M$33="Yes",91&gt;=Projects!$C$33,91&lt;Projects!$C$33+Projects!$D$33),Projects!$B$33*INDEX(Curves!$B$4:$AR$4,1,91-Projects!$C$33+1),0)+IF(AND(Projects!$G$34="Yes",Projects!$M$34="Yes",91&gt;=Projects!$C$34,91&lt;Projects!$C$34+Projects!$D$34),Projects!$B$34*INDEX(Curves!$B$4:$AR$4,1,91-Projects!$C$34+1),0)+IF(AND(Projects!$G$35="Yes",Projects!$M$35="Yes",91&gt;=Projects!$C$35,91&lt;Projects!$C$35+Projects!$D$35),Projects!$B$35*INDEX(Curves!$B$4:$AR$4,1,91-Projects!$C$35+1),0)+IF(AND(Projects!$G$36="Yes",Projects!$M$36="Yes",91&gt;=Projects!$C$36,91&lt;Projects!$C$36+Projects!$D$36),Projects!$B$36*INDEX(Curves!$B$4:$AR$4,1,91-Projects!$C$36+1),0)+IF(AND(Projects!$G$37="Yes",Projects!$M$37="Yes",91&gt;=Projects!$C$37,91&lt;Projects!$C$37+Projects!$D$37),Projects!$B$37*INDEX(Curves!$B$4:$AR$4,1,91-Projects!$C$37+1),0)+IF(AND(Projects!$G$38="Yes",Projects!$M$38="Yes",91&gt;=Projects!$C$38,91&lt;Projects!$C$38+Projects!$D$38),Projects!$B$38*INDEX(Curves!$B$4:$AR$4,1,91-Projects!$C$38+1),0)+IF(AND(Projects!$G$39="Yes",Projects!$M$39="Yes",91&gt;=Projects!$C$39,91&lt;Projects!$C$39+Projects!$D$39),Projects!$B$39*INDEX(Curves!$B$4:$AR$4,1,91-Projects!$C$39+1),0)+IF(AND(Projects!$G$40="Yes",Projects!$M$40="Yes",91&gt;=Projects!$C$40,91&lt;Projects!$C$40+Projects!$D$40),Projects!$B$40*INDEX(Curves!$B$4:$AR$4,1,91-Projects!$C$40+1),0)+IF(AND(Projects!$G$41="Yes",Projects!$M$41="Yes",91&gt;=Projects!$C$41,91&lt;Projects!$C$41+Projects!$D$41),Projects!$B$41*INDEX(Curves!$B$4:$AR$4,1,91-Projects!$C$41+1),0)+IF(AND(Projects!$G$42="Yes",Projects!$M$42="Yes",91&gt;=Projects!$C$42,91&lt;Projects!$C$42+Projects!$D$42),Projects!$B$42*INDEX(Curves!$B$4:$AR$4,1,91-Projects!$C$42+1),0)+IF(AND(Projects!$G$43="Yes",Projects!$M$43="Yes",91&gt;=Projects!$C$43,91&lt;Projects!$C$43+Projects!$D$43),Projects!$B$43*INDEX(Curves!$B$4:$AR$4,1,91-Projects!$C$43+1),0)+IF(AND(Projects!$G$44="Yes",Projects!$M$44="Yes",91&gt;=Projects!$C$44,91&lt;Projects!$C$44+Projects!$D$44),Projects!$B$44*INDEX(Curves!$B$4:$AR$4,1,91-Projects!$C$44+1),0)+IF(AND(Projects!$G$45="Yes",Projects!$M$45="Yes",91&gt;=Projects!$C$45,91&lt;Projects!$C$45+Projects!$D$45),Projects!$B$45*INDEX(Curves!$B$4:$AR$4,1,91-Projects!$C$45+1),0)+IF(AND(Projects!$G$46="Yes",Projects!$M$46="Yes",91&gt;=Projects!$C$46,91&lt;Projects!$C$46+Projects!$D$46),Projects!$B$46*INDEX(Curves!$B$4:$AR$4,1,91-Projects!$C$46+1),0)</f>
        <v>0</v>
      </c>
      <c r="CS101" s="315" t="n">
        <f aca="false">IF(AND(Projects!$G$17="Yes",Projects!$M$17="Yes",92&gt;=Projects!$C$17,92&lt;Projects!$C$17+Projects!$D$17),Projects!$B$17*INDEX(Curves!$B$4:$AR$4,1,92-Projects!$C$17+1),0)+IF(AND(Projects!$G$18="Yes",Projects!$M$18="Yes",92&gt;=Projects!$C$18,92&lt;Projects!$C$18+Projects!$D$18),Projects!$B$18*INDEX(Curves!$B$4:$AR$4,1,92-Projects!$C$18+1),0)+IF(AND(Projects!$G$19="Yes",Projects!$M$19="Yes",92&gt;=Projects!$C$19,92&lt;Projects!$C$19+Projects!$D$19),Projects!$B$19*INDEX(Curves!$B$4:$AR$4,1,92-Projects!$C$19+1),0)+IF(AND(Projects!$G$20="Yes",Projects!$M$20="Yes",92&gt;=Projects!$C$20,92&lt;Projects!$C$20+Projects!$D$20),Projects!$B$20*INDEX(Curves!$B$4:$AR$4,1,92-Projects!$C$20+1),0)+IF(AND(Projects!$G$21="Yes",Projects!$M$21="Yes",92&gt;=Projects!$C$21,92&lt;Projects!$C$21+Projects!$D$21),Projects!$B$21*INDEX(Curves!$B$4:$AR$4,1,92-Projects!$C$21+1),0)+IF(AND(Projects!$G$22="Yes",Projects!$M$22="Yes",92&gt;=Projects!$C$22,92&lt;Projects!$C$22+Projects!$D$22),Projects!$B$22*INDEX(Curves!$B$4:$AR$4,1,92-Projects!$C$22+1),0)+IF(AND(Projects!$G$23="Yes",Projects!$M$23="Yes",92&gt;=Projects!$C$23,92&lt;Projects!$C$23+Projects!$D$23),Projects!$B$23*INDEX(Curves!$B$4:$AR$4,1,92-Projects!$C$23+1),0)+IF(AND(Projects!$G$24="Yes",Projects!$M$24="Yes",92&gt;=Projects!$C$24,92&lt;Projects!$C$24+Projects!$D$24),Projects!$B$24*INDEX(Curves!$B$4:$AR$4,1,92-Projects!$C$24+1),0)+IF(AND(Projects!$G$25="Yes",Projects!$M$25="Yes",92&gt;=Projects!$C$25,92&lt;Projects!$C$25+Projects!$D$25),Projects!$B$25*INDEX(Curves!$B$4:$AR$4,1,92-Projects!$C$25+1),0)+IF(AND(Projects!$G$26="Yes",Projects!$M$26="Yes",92&gt;=Projects!$C$26,92&lt;Projects!$C$26+Projects!$D$26),Projects!$B$26*INDEX(Curves!$B$4:$AR$4,1,92-Projects!$C$26+1),0)+IF(AND(Projects!$G$27="Yes",Projects!$M$27="Yes",92&gt;=Projects!$C$27,92&lt;Projects!$C$27+Projects!$D$27),Projects!$B$27*INDEX(Curves!$B$4:$AR$4,1,92-Projects!$C$27+1),0)+IF(AND(Projects!$G$28="Yes",Projects!$M$28="Yes",92&gt;=Projects!$C$28,92&lt;Projects!$C$28+Projects!$D$28),Projects!$B$28*INDEX(Curves!$B$4:$AR$4,1,92-Projects!$C$28+1),0)+IF(AND(Projects!$G$29="Yes",Projects!$M$29="Yes",92&gt;=Projects!$C$29,92&lt;Projects!$C$29+Projects!$D$29),Projects!$B$29*INDEX(Curves!$B$4:$AR$4,1,92-Projects!$C$29+1),0)+IF(AND(Projects!$G$30="Yes",Projects!$M$30="Yes",92&gt;=Projects!$C$30,92&lt;Projects!$C$30+Projects!$D$30),Projects!$B$30*INDEX(Curves!$B$4:$AR$4,1,92-Projects!$C$30+1),0)+IF(AND(Projects!$G$31="Yes",Projects!$M$31="Yes",92&gt;=Projects!$C$31,92&lt;Projects!$C$31+Projects!$D$31),Projects!$B$31*INDEX(Curves!$B$4:$AR$4,1,92-Projects!$C$31+1),0)+IF(AND(Projects!$G$32="Yes",Projects!$M$32="Yes",92&gt;=Projects!$C$32,92&lt;Projects!$C$32+Projects!$D$32),Projects!$B$32*INDEX(Curves!$B$4:$AR$4,1,92-Projects!$C$32+1),0)+IF(AND(Projects!$G$33="Yes",Projects!$M$33="Yes",92&gt;=Projects!$C$33,92&lt;Projects!$C$33+Projects!$D$33),Projects!$B$33*INDEX(Curves!$B$4:$AR$4,1,92-Projects!$C$33+1),0)+IF(AND(Projects!$G$34="Yes",Projects!$M$34="Yes",92&gt;=Projects!$C$34,92&lt;Projects!$C$34+Projects!$D$34),Projects!$B$34*INDEX(Curves!$B$4:$AR$4,1,92-Projects!$C$34+1),0)+IF(AND(Projects!$G$35="Yes",Projects!$M$35="Yes",92&gt;=Projects!$C$35,92&lt;Projects!$C$35+Projects!$D$35),Projects!$B$35*INDEX(Curves!$B$4:$AR$4,1,92-Projects!$C$35+1),0)+IF(AND(Projects!$G$36="Yes",Projects!$M$36="Yes",92&gt;=Projects!$C$36,92&lt;Projects!$C$36+Projects!$D$36),Projects!$B$36*INDEX(Curves!$B$4:$AR$4,1,92-Projects!$C$36+1),0)+IF(AND(Projects!$G$37="Yes",Projects!$M$37="Yes",92&gt;=Projects!$C$37,92&lt;Projects!$C$37+Projects!$D$37),Projects!$B$37*INDEX(Curves!$B$4:$AR$4,1,92-Projects!$C$37+1),0)+IF(AND(Projects!$G$38="Yes",Projects!$M$38="Yes",92&gt;=Projects!$C$38,92&lt;Projects!$C$38+Projects!$D$38),Projects!$B$38*INDEX(Curves!$B$4:$AR$4,1,92-Projects!$C$38+1),0)+IF(AND(Projects!$G$39="Yes",Projects!$M$39="Yes",92&gt;=Projects!$C$39,92&lt;Projects!$C$39+Projects!$D$39),Projects!$B$39*INDEX(Curves!$B$4:$AR$4,1,92-Projects!$C$39+1),0)+IF(AND(Projects!$G$40="Yes",Projects!$M$40="Yes",92&gt;=Projects!$C$40,92&lt;Projects!$C$40+Projects!$D$40),Projects!$B$40*INDEX(Curves!$B$4:$AR$4,1,92-Projects!$C$40+1),0)+IF(AND(Projects!$G$41="Yes",Projects!$M$41="Yes",92&gt;=Projects!$C$41,92&lt;Projects!$C$41+Projects!$D$41),Projects!$B$41*INDEX(Curves!$B$4:$AR$4,1,92-Projects!$C$41+1),0)+IF(AND(Projects!$G$42="Yes",Projects!$M$42="Yes",92&gt;=Projects!$C$42,92&lt;Projects!$C$42+Projects!$D$42),Projects!$B$42*INDEX(Curves!$B$4:$AR$4,1,92-Projects!$C$42+1),0)+IF(AND(Projects!$G$43="Yes",Projects!$M$43="Yes",92&gt;=Projects!$C$43,92&lt;Projects!$C$43+Projects!$D$43),Projects!$B$43*INDEX(Curves!$B$4:$AR$4,1,92-Projects!$C$43+1),0)+IF(AND(Projects!$G$44="Yes",Projects!$M$44="Yes",92&gt;=Projects!$C$44,92&lt;Projects!$C$44+Projects!$D$44),Projects!$B$44*INDEX(Curves!$B$4:$AR$4,1,92-Projects!$C$44+1),0)+IF(AND(Projects!$G$45="Yes",Projects!$M$45="Yes",92&gt;=Projects!$C$45,92&lt;Projects!$C$45+Projects!$D$45),Projects!$B$45*INDEX(Curves!$B$4:$AR$4,1,92-Projects!$C$45+1),0)+IF(AND(Projects!$G$46="Yes",Projects!$M$46="Yes",92&gt;=Projects!$C$46,92&lt;Projects!$C$46+Projects!$D$46),Projects!$B$46*INDEX(Curves!$B$4:$AR$4,1,92-Projects!$C$46+1),0)</f>
        <v>0</v>
      </c>
      <c r="CT101" s="315" t="n">
        <f aca="false">IF(AND(Projects!$G$17="Yes",Projects!$M$17="Yes",93&gt;=Projects!$C$17,93&lt;Projects!$C$17+Projects!$D$17),Projects!$B$17*INDEX(Curves!$B$4:$AR$4,1,93-Projects!$C$17+1),0)+IF(AND(Projects!$G$18="Yes",Projects!$M$18="Yes",93&gt;=Projects!$C$18,93&lt;Projects!$C$18+Projects!$D$18),Projects!$B$18*INDEX(Curves!$B$4:$AR$4,1,93-Projects!$C$18+1),0)+IF(AND(Projects!$G$19="Yes",Projects!$M$19="Yes",93&gt;=Projects!$C$19,93&lt;Projects!$C$19+Projects!$D$19),Projects!$B$19*INDEX(Curves!$B$4:$AR$4,1,93-Projects!$C$19+1),0)+IF(AND(Projects!$G$20="Yes",Projects!$M$20="Yes",93&gt;=Projects!$C$20,93&lt;Projects!$C$20+Projects!$D$20),Projects!$B$20*INDEX(Curves!$B$4:$AR$4,1,93-Projects!$C$20+1),0)+IF(AND(Projects!$G$21="Yes",Projects!$M$21="Yes",93&gt;=Projects!$C$21,93&lt;Projects!$C$21+Projects!$D$21),Projects!$B$21*INDEX(Curves!$B$4:$AR$4,1,93-Projects!$C$21+1),0)+IF(AND(Projects!$G$22="Yes",Projects!$M$22="Yes",93&gt;=Projects!$C$22,93&lt;Projects!$C$22+Projects!$D$22),Projects!$B$22*INDEX(Curves!$B$4:$AR$4,1,93-Projects!$C$22+1),0)+IF(AND(Projects!$G$23="Yes",Projects!$M$23="Yes",93&gt;=Projects!$C$23,93&lt;Projects!$C$23+Projects!$D$23),Projects!$B$23*INDEX(Curves!$B$4:$AR$4,1,93-Projects!$C$23+1),0)+IF(AND(Projects!$G$24="Yes",Projects!$M$24="Yes",93&gt;=Projects!$C$24,93&lt;Projects!$C$24+Projects!$D$24),Projects!$B$24*INDEX(Curves!$B$4:$AR$4,1,93-Projects!$C$24+1),0)+IF(AND(Projects!$G$25="Yes",Projects!$M$25="Yes",93&gt;=Projects!$C$25,93&lt;Projects!$C$25+Projects!$D$25),Projects!$B$25*INDEX(Curves!$B$4:$AR$4,1,93-Projects!$C$25+1),0)+IF(AND(Projects!$G$26="Yes",Projects!$M$26="Yes",93&gt;=Projects!$C$26,93&lt;Projects!$C$26+Projects!$D$26),Projects!$B$26*INDEX(Curves!$B$4:$AR$4,1,93-Projects!$C$26+1),0)+IF(AND(Projects!$G$27="Yes",Projects!$M$27="Yes",93&gt;=Projects!$C$27,93&lt;Projects!$C$27+Projects!$D$27),Projects!$B$27*INDEX(Curves!$B$4:$AR$4,1,93-Projects!$C$27+1),0)+IF(AND(Projects!$G$28="Yes",Projects!$M$28="Yes",93&gt;=Projects!$C$28,93&lt;Projects!$C$28+Projects!$D$28),Projects!$B$28*INDEX(Curves!$B$4:$AR$4,1,93-Projects!$C$28+1),0)+IF(AND(Projects!$G$29="Yes",Projects!$M$29="Yes",93&gt;=Projects!$C$29,93&lt;Projects!$C$29+Projects!$D$29),Projects!$B$29*INDEX(Curves!$B$4:$AR$4,1,93-Projects!$C$29+1),0)+IF(AND(Projects!$G$30="Yes",Projects!$M$30="Yes",93&gt;=Projects!$C$30,93&lt;Projects!$C$30+Projects!$D$30),Projects!$B$30*INDEX(Curves!$B$4:$AR$4,1,93-Projects!$C$30+1),0)+IF(AND(Projects!$G$31="Yes",Projects!$M$31="Yes",93&gt;=Projects!$C$31,93&lt;Projects!$C$31+Projects!$D$31),Projects!$B$31*INDEX(Curves!$B$4:$AR$4,1,93-Projects!$C$31+1),0)+IF(AND(Projects!$G$32="Yes",Projects!$M$32="Yes",93&gt;=Projects!$C$32,93&lt;Projects!$C$32+Projects!$D$32),Projects!$B$32*INDEX(Curves!$B$4:$AR$4,1,93-Projects!$C$32+1),0)+IF(AND(Projects!$G$33="Yes",Projects!$M$33="Yes",93&gt;=Projects!$C$33,93&lt;Projects!$C$33+Projects!$D$33),Projects!$B$33*INDEX(Curves!$B$4:$AR$4,1,93-Projects!$C$33+1),0)+IF(AND(Projects!$G$34="Yes",Projects!$M$34="Yes",93&gt;=Projects!$C$34,93&lt;Projects!$C$34+Projects!$D$34),Projects!$B$34*INDEX(Curves!$B$4:$AR$4,1,93-Projects!$C$34+1),0)+IF(AND(Projects!$G$35="Yes",Projects!$M$35="Yes",93&gt;=Projects!$C$35,93&lt;Projects!$C$35+Projects!$D$35),Projects!$B$35*INDEX(Curves!$B$4:$AR$4,1,93-Projects!$C$35+1),0)+IF(AND(Projects!$G$36="Yes",Projects!$M$36="Yes",93&gt;=Projects!$C$36,93&lt;Projects!$C$36+Projects!$D$36),Projects!$B$36*INDEX(Curves!$B$4:$AR$4,1,93-Projects!$C$36+1),0)+IF(AND(Projects!$G$37="Yes",Projects!$M$37="Yes",93&gt;=Projects!$C$37,93&lt;Projects!$C$37+Projects!$D$37),Projects!$B$37*INDEX(Curves!$B$4:$AR$4,1,93-Projects!$C$37+1),0)+IF(AND(Projects!$G$38="Yes",Projects!$M$38="Yes",93&gt;=Projects!$C$38,93&lt;Projects!$C$38+Projects!$D$38),Projects!$B$38*INDEX(Curves!$B$4:$AR$4,1,93-Projects!$C$38+1),0)+IF(AND(Projects!$G$39="Yes",Projects!$M$39="Yes",93&gt;=Projects!$C$39,93&lt;Projects!$C$39+Projects!$D$39),Projects!$B$39*INDEX(Curves!$B$4:$AR$4,1,93-Projects!$C$39+1),0)+IF(AND(Projects!$G$40="Yes",Projects!$M$40="Yes",93&gt;=Projects!$C$40,93&lt;Projects!$C$40+Projects!$D$40),Projects!$B$40*INDEX(Curves!$B$4:$AR$4,1,93-Projects!$C$40+1),0)+IF(AND(Projects!$G$41="Yes",Projects!$M$41="Yes",93&gt;=Projects!$C$41,93&lt;Projects!$C$41+Projects!$D$41),Projects!$B$41*INDEX(Curves!$B$4:$AR$4,1,93-Projects!$C$41+1),0)+IF(AND(Projects!$G$42="Yes",Projects!$M$42="Yes",93&gt;=Projects!$C$42,93&lt;Projects!$C$42+Projects!$D$42),Projects!$B$42*INDEX(Curves!$B$4:$AR$4,1,93-Projects!$C$42+1),0)+IF(AND(Projects!$G$43="Yes",Projects!$M$43="Yes",93&gt;=Projects!$C$43,93&lt;Projects!$C$43+Projects!$D$43),Projects!$B$43*INDEX(Curves!$B$4:$AR$4,1,93-Projects!$C$43+1),0)+IF(AND(Projects!$G$44="Yes",Projects!$M$44="Yes",93&gt;=Projects!$C$44,93&lt;Projects!$C$44+Projects!$D$44),Projects!$B$44*INDEX(Curves!$B$4:$AR$4,1,93-Projects!$C$44+1),0)+IF(AND(Projects!$G$45="Yes",Projects!$M$45="Yes",93&gt;=Projects!$C$45,93&lt;Projects!$C$45+Projects!$D$45),Projects!$B$45*INDEX(Curves!$B$4:$AR$4,1,93-Projects!$C$45+1),0)+IF(AND(Projects!$G$46="Yes",Projects!$M$46="Yes",93&gt;=Projects!$C$46,93&lt;Projects!$C$46+Projects!$D$46),Projects!$B$46*INDEX(Curves!$B$4:$AR$4,1,93-Projects!$C$46+1),0)</f>
        <v>0</v>
      </c>
      <c r="CU101" s="315" t="n">
        <f aca="false">IF(AND(Projects!$G$17="Yes",Projects!$M$17="Yes",94&gt;=Projects!$C$17,94&lt;Projects!$C$17+Projects!$D$17),Projects!$B$17*INDEX(Curves!$B$4:$AR$4,1,94-Projects!$C$17+1),0)+IF(AND(Projects!$G$18="Yes",Projects!$M$18="Yes",94&gt;=Projects!$C$18,94&lt;Projects!$C$18+Projects!$D$18),Projects!$B$18*INDEX(Curves!$B$4:$AR$4,1,94-Projects!$C$18+1),0)+IF(AND(Projects!$G$19="Yes",Projects!$M$19="Yes",94&gt;=Projects!$C$19,94&lt;Projects!$C$19+Projects!$D$19),Projects!$B$19*INDEX(Curves!$B$4:$AR$4,1,94-Projects!$C$19+1),0)+IF(AND(Projects!$G$20="Yes",Projects!$M$20="Yes",94&gt;=Projects!$C$20,94&lt;Projects!$C$20+Projects!$D$20),Projects!$B$20*INDEX(Curves!$B$4:$AR$4,1,94-Projects!$C$20+1),0)+IF(AND(Projects!$G$21="Yes",Projects!$M$21="Yes",94&gt;=Projects!$C$21,94&lt;Projects!$C$21+Projects!$D$21),Projects!$B$21*INDEX(Curves!$B$4:$AR$4,1,94-Projects!$C$21+1),0)+IF(AND(Projects!$G$22="Yes",Projects!$M$22="Yes",94&gt;=Projects!$C$22,94&lt;Projects!$C$22+Projects!$D$22),Projects!$B$22*INDEX(Curves!$B$4:$AR$4,1,94-Projects!$C$22+1),0)+IF(AND(Projects!$G$23="Yes",Projects!$M$23="Yes",94&gt;=Projects!$C$23,94&lt;Projects!$C$23+Projects!$D$23),Projects!$B$23*INDEX(Curves!$B$4:$AR$4,1,94-Projects!$C$23+1),0)+IF(AND(Projects!$G$24="Yes",Projects!$M$24="Yes",94&gt;=Projects!$C$24,94&lt;Projects!$C$24+Projects!$D$24),Projects!$B$24*INDEX(Curves!$B$4:$AR$4,1,94-Projects!$C$24+1),0)+IF(AND(Projects!$G$25="Yes",Projects!$M$25="Yes",94&gt;=Projects!$C$25,94&lt;Projects!$C$25+Projects!$D$25),Projects!$B$25*INDEX(Curves!$B$4:$AR$4,1,94-Projects!$C$25+1),0)+IF(AND(Projects!$G$26="Yes",Projects!$M$26="Yes",94&gt;=Projects!$C$26,94&lt;Projects!$C$26+Projects!$D$26),Projects!$B$26*INDEX(Curves!$B$4:$AR$4,1,94-Projects!$C$26+1),0)+IF(AND(Projects!$G$27="Yes",Projects!$M$27="Yes",94&gt;=Projects!$C$27,94&lt;Projects!$C$27+Projects!$D$27),Projects!$B$27*INDEX(Curves!$B$4:$AR$4,1,94-Projects!$C$27+1),0)+IF(AND(Projects!$G$28="Yes",Projects!$M$28="Yes",94&gt;=Projects!$C$28,94&lt;Projects!$C$28+Projects!$D$28),Projects!$B$28*INDEX(Curves!$B$4:$AR$4,1,94-Projects!$C$28+1),0)+IF(AND(Projects!$G$29="Yes",Projects!$M$29="Yes",94&gt;=Projects!$C$29,94&lt;Projects!$C$29+Projects!$D$29),Projects!$B$29*INDEX(Curves!$B$4:$AR$4,1,94-Projects!$C$29+1),0)+IF(AND(Projects!$G$30="Yes",Projects!$M$30="Yes",94&gt;=Projects!$C$30,94&lt;Projects!$C$30+Projects!$D$30),Projects!$B$30*INDEX(Curves!$B$4:$AR$4,1,94-Projects!$C$30+1),0)+IF(AND(Projects!$G$31="Yes",Projects!$M$31="Yes",94&gt;=Projects!$C$31,94&lt;Projects!$C$31+Projects!$D$31),Projects!$B$31*INDEX(Curves!$B$4:$AR$4,1,94-Projects!$C$31+1),0)+IF(AND(Projects!$G$32="Yes",Projects!$M$32="Yes",94&gt;=Projects!$C$32,94&lt;Projects!$C$32+Projects!$D$32),Projects!$B$32*INDEX(Curves!$B$4:$AR$4,1,94-Projects!$C$32+1),0)+IF(AND(Projects!$G$33="Yes",Projects!$M$33="Yes",94&gt;=Projects!$C$33,94&lt;Projects!$C$33+Projects!$D$33),Projects!$B$33*INDEX(Curves!$B$4:$AR$4,1,94-Projects!$C$33+1),0)+IF(AND(Projects!$G$34="Yes",Projects!$M$34="Yes",94&gt;=Projects!$C$34,94&lt;Projects!$C$34+Projects!$D$34),Projects!$B$34*INDEX(Curves!$B$4:$AR$4,1,94-Projects!$C$34+1),0)+IF(AND(Projects!$G$35="Yes",Projects!$M$35="Yes",94&gt;=Projects!$C$35,94&lt;Projects!$C$35+Projects!$D$35),Projects!$B$35*INDEX(Curves!$B$4:$AR$4,1,94-Projects!$C$35+1),0)+IF(AND(Projects!$G$36="Yes",Projects!$M$36="Yes",94&gt;=Projects!$C$36,94&lt;Projects!$C$36+Projects!$D$36),Projects!$B$36*INDEX(Curves!$B$4:$AR$4,1,94-Projects!$C$36+1),0)+IF(AND(Projects!$G$37="Yes",Projects!$M$37="Yes",94&gt;=Projects!$C$37,94&lt;Projects!$C$37+Projects!$D$37),Projects!$B$37*INDEX(Curves!$B$4:$AR$4,1,94-Projects!$C$37+1),0)+IF(AND(Projects!$G$38="Yes",Projects!$M$38="Yes",94&gt;=Projects!$C$38,94&lt;Projects!$C$38+Projects!$D$38),Projects!$B$38*INDEX(Curves!$B$4:$AR$4,1,94-Projects!$C$38+1),0)+IF(AND(Projects!$G$39="Yes",Projects!$M$39="Yes",94&gt;=Projects!$C$39,94&lt;Projects!$C$39+Projects!$D$39),Projects!$B$39*INDEX(Curves!$B$4:$AR$4,1,94-Projects!$C$39+1),0)+IF(AND(Projects!$G$40="Yes",Projects!$M$40="Yes",94&gt;=Projects!$C$40,94&lt;Projects!$C$40+Projects!$D$40),Projects!$B$40*INDEX(Curves!$B$4:$AR$4,1,94-Projects!$C$40+1),0)+IF(AND(Projects!$G$41="Yes",Projects!$M$41="Yes",94&gt;=Projects!$C$41,94&lt;Projects!$C$41+Projects!$D$41),Projects!$B$41*INDEX(Curves!$B$4:$AR$4,1,94-Projects!$C$41+1),0)+IF(AND(Projects!$G$42="Yes",Projects!$M$42="Yes",94&gt;=Projects!$C$42,94&lt;Projects!$C$42+Projects!$D$42),Projects!$B$42*INDEX(Curves!$B$4:$AR$4,1,94-Projects!$C$42+1),0)+IF(AND(Projects!$G$43="Yes",Projects!$M$43="Yes",94&gt;=Projects!$C$43,94&lt;Projects!$C$43+Projects!$D$43),Projects!$B$43*INDEX(Curves!$B$4:$AR$4,1,94-Projects!$C$43+1),0)+IF(AND(Projects!$G$44="Yes",Projects!$M$44="Yes",94&gt;=Projects!$C$44,94&lt;Projects!$C$44+Projects!$D$44),Projects!$B$44*INDEX(Curves!$B$4:$AR$4,1,94-Projects!$C$44+1),0)+IF(AND(Projects!$G$45="Yes",Projects!$M$45="Yes",94&gt;=Projects!$C$45,94&lt;Projects!$C$45+Projects!$D$45),Projects!$B$45*INDEX(Curves!$B$4:$AR$4,1,94-Projects!$C$45+1),0)+IF(AND(Projects!$G$46="Yes",Projects!$M$46="Yes",94&gt;=Projects!$C$46,94&lt;Projects!$C$46+Projects!$D$46),Projects!$B$46*INDEX(Curves!$B$4:$AR$4,1,94-Projects!$C$46+1),0)</f>
        <v>0</v>
      </c>
      <c r="CV101" s="315" t="n">
        <f aca="false">IF(AND(Projects!$G$17="Yes",Projects!$M$17="Yes",95&gt;=Projects!$C$17,95&lt;Projects!$C$17+Projects!$D$17),Projects!$B$17*INDEX(Curves!$B$4:$AR$4,1,95-Projects!$C$17+1),0)+IF(AND(Projects!$G$18="Yes",Projects!$M$18="Yes",95&gt;=Projects!$C$18,95&lt;Projects!$C$18+Projects!$D$18),Projects!$B$18*INDEX(Curves!$B$4:$AR$4,1,95-Projects!$C$18+1),0)+IF(AND(Projects!$G$19="Yes",Projects!$M$19="Yes",95&gt;=Projects!$C$19,95&lt;Projects!$C$19+Projects!$D$19),Projects!$B$19*INDEX(Curves!$B$4:$AR$4,1,95-Projects!$C$19+1),0)+IF(AND(Projects!$G$20="Yes",Projects!$M$20="Yes",95&gt;=Projects!$C$20,95&lt;Projects!$C$20+Projects!$D$20),Projects!$B$20*INDEX(Curves!$B$4:$AR$4,1,95-Projects!$C$20+1),0)+IF(AND(Projects!$G$21="Yes",Projects!$M$21="Yes",95&gt;=Projects!$C$21,95&lt;Projects!$C$21+Projects!$D$21),Projects!$B$21*INDEX(Curves!$B$4:$AR$4,1,95-Projects!$C$21+1),0)+IF(AND(Projects!$G$22="Yes",Projects!$M$22="Yes",95&gt;=Projects!$C$22,95&lt;Projects!$C$22+Projects!$D$22),Projects!$B$22*INDEX(Curves!$B$4:$AR$4,1,95-Projects!$C$22+1),0)+IF(AND(Projects!$G$23="Yes",Projects!$M$23="Yes",95&gt;=Projects!$C$23,95&lt;Projects!$C$23+Projects!$D$23),Projects!$B$23*INDEX(Curves!$B$4:$AR$4,1,95-Projects!$C$23+1),0)+IF(AND(Projects!$G$24="Yes",Projects!$M$24="Yes",95&gt;=Projects!$C$24,95&lt;Projects!$C$24+Projects!$D$24),Projects!$B$24*INDEX(Curves!$B$4:$AR$4,1,95-Projects!$C$24+1),0)+IF(AND(Projects!$G$25="Yes",Projects!$M$25="Yes",95&gt;=Projects!$C$25,95&lt;Projects!$C$25+Projects!$D$25),Projects!$B$25*INDEX(Curves!$B$4:$AR$4,1,95-Projects!$C$25+1),0)+IF(AND(Projects!$G$26="Yes",Projects!$M$26="Yes",95&gt;=Projects!$C$26,95&lt;Projects!$C$26+Projects!$D$26),Projects!$B$26*INDEX(Curves!$B$4:$AR$4,1,95-Projects!$C$26+1),0)+IF(AND(Projects!$G$27="Yes",Projects!$M$27="Yes",95&gt;=Projects!$C$27,95&lt;Projects!$C$27+Projects!$D$27),Projects!$B$27*INDEX(Curves!$B$4:$AR$4,1,95-Projects!$C$27+1),0)+IF(AND(Projects!$G$28="Yes",Projects!$M$28="Yes",95&gt;=Projects!$C$28,95&lt;Projects!$C$28+Projects!$D$28),Projects!$B$28*INDEX(Curves!$B$4:$AR$4,1,95-Projects!$C$28+1),0)+IF(AND(Projects!$G$29="Yes",Projects!$M$29="Yes",95&gt;=Projects!$C$29,95&lt;Projects!$C$29+Projects!$D$29),Projects!$B$29*INDEX(Curves!$B$4:$AR$4,1,95-Projects!$C$29+1),0)+IF(AND(Projects!$G$30="Yes",Projects!$M$30="Yes",95&gt;=Projects!$C$30,95&lt;Projects!$C$30+Projects!$D$30),Projects!$B$30*INDEX(Curves!$B$4:$AR$4,1,95-Projects!$C$30+1),0)+IF(AND(Projects!$G$31="Yes",Projects!$M$31="Yes",95&gt;=Projects!$C$31,95&lt;Projects!$C$31+Projects!$D$31),Projects!$B$31*INDEX(Curves!$B$4:$AR$4,1,95-Projects!$C$31+1),0)+IF(AND(Projects!$G$32="Yes",Projects!$M$32="Yes",95&gt;=Projects!$C$32,95&lt;Projects!$C$32+Projects!$D$32),Projects!$B$32*INDEX(Curves!$B$4:$AR$4,1,95-Projects!$C$32+1),0)+IF(AND(Projects!$G$33="Yes",Projects!$M$33="Yes",95&gt;=Projects!$C$33,95&lt;Projects!$C$33+Projects!$D$33),Projects!$B$33*INDEX(Curves!$B$4:$AR$4,1,95-Projects!$C$33+1),0)+IF(AND(Projects!$G$34="Yes",Projects!$M$34="Yes",95&gt;=Projects!$C$34,95&lt;Projects!$C$34+Projects!$D$34),Projects!$B$34*INDEX(Curves!$B$4:$AR$4,1,95-Projects!$C$34+1),0)+IF(AND(Projects!$G$35="Yes",Projects!$M$35="Yes",95&gt;=Projects!$C$35,95&lt;Projects!$C$35+Projects!$D$35),Projects!$B$35*INDEX(Curves!$B$4:$AR$4,1,95-Projects!$C$35+1),0)+IF(AND(Projects!$G$36="Yes",Projects!$M$36="Yes",95&gt;=Projects!$C$36,95&lt;Projects!$C$36+Projects!$D$36),Projects!$B$36*INDEX(Curves!$B$4:$AR$4,1,95-Projects!$C$36+1),0)+IF(AND(Projects!$G$37="Yes",Projects!$M$37="Yes",95&gt;=Projects!$C$37,95&lt;Projects!$C$37+Projects!$D$37),Projects!$B$37*INDEX(Curves!$B$4:$AR$4,1,95-Projects!$C$37+1),0)+IF(AND(Projects!$G$38="Yes",Projects!$M$38="Yes",95&gt;=Projects!$C$38,95&lt;Projects!$C$38+Projects!$D$38),Projects!$B$38*INDEX(Curves!$B$4:$AR$4,1,95-Projects!$C$38+1),0)+IF(AND(Projects!$G$39="Yes",Projects!$M$39="Yes",95&gt;=Projects!$C$39,95&lt;Projects!$C$39+Projects!$D$39),Projects!$B$39*INDEX(Curves!$B$4:$AR$4,1,95-Projects!$C$39+1),0)+IF(AND(Projects!$G$40="Yes",Projects!$M$40="Yes",95&gt;=Projects!$C$40,95&lt;Projects!$C$40+Projects!$D$40),Projects!$B$40*INDEX(Curves!$B$4:$AR$4,1,95-Projects!$C$40+1),0)+IF(AND(Projects!$G$41="Yes",Projects!$M$41="Yes",95&gt;=Projects!$C$41,95&lt;Projects!$C$41+Projects!$D$41),Projects!$B$41*INDEX(Curves!$B$4:$AR$4,1,95-Projects!$C$41+1),0)+IF(AND(Projects!$G$42="Yes",Projects!$M$42="Yes",95&gt;=Projects!$C$42,95&lt;Projects!$C$42+Projects!$D$42),Projects!$B$42*INDEX(Curves!$B$4:$AR$4,1,95-Projects!$C$42+1),0)+IF(AND(Projects!$G$43="Yes",Projects!$M$43="Yes",95&gt;=Projects!$C$43,95&lt;Projects!$C$43+Projects!$D$43),Projects!$B$43*INDEX(Curves!$B$4:$AR$4,1,95-Projects!$C$43+1),0)+IF(AND(Projects!$G$44="Yes",Projects!$M$44="Yes",95&gt;=Projects!$C$44,95&lt;Projects!$C$44+Projects!$D$44),Projects!$B$44*INDEX(Curves!$B$4:$AR$4,1,95-Projects!$C$44+1),0)+IF(AND(Projects!$G$45="Yes",Projects!$M$45="Yes",95&gt;=Projects!$C$45,95&lt;Projects!$C$45+Projects!$D$45),Projects!$B$45*INDEX(Curves!$B$4:$AR$4,1,95-Projects!$C$45+1),0)+IF(AND(Projects!$G$46="Yes",Projects!$M$46="Yes",95&gt;=Projects!$C$46,95&lt;Projects!$C$46+Projects!$D$46),Projects!$B$46*INDEX(Curves!$B$4:$AR$4,1,95-Projects!$C$46+1),0)</f>
        <v>0</v>
      </c>
      <c r="CW101" s="315" t="n">
        <f aca="false">IF(AND(Projects!$G$17="Yes",Projects!$M$17="Yes",96&gt;=Projects!$C$17,96&lt;Projects!$C$17+Projects!$D$17),Projects!$B$17*INDEX(Curves!$B$4:$AR$4,1,96-Projects!$C$17+1),0)+IF(AND(Projects!$G$18="Yes",Projects!$M$18="Yes",96&gt;=Projects!$C$18,96&lt;Projects!$C$18+Projects!$D$18),Projects!$B$18*INDEX(Curves!$B$4:$AR$4,1,96-Projects!$C$18+1),0)+IF(AND(Projects!$G$19="Yes",Projects!$M$19="Yes",96&gt;=Projects!$C$19,96&lt;Projects!$C$19+Projects!$D$19),Projects!$B$19*INDEX(Curves!$B$4:$AR$4,1,96-Projects!$C$19+1),0)+IF(AND(Projects!$G$20="Yes",Projects!$M$20="Yes",96&gt;=Projects!$C$20,96&lt;Projects!$C$20+Projects!$D$20),Projects!$B$20*INDEX(Curves!$B$4:$AR$4,1,96-Projects!$C$20+1),0)+IF(AND(Projects!$G$21="Yes",Projects!$M$21="Yes",96&gt;=Projects!$C$21,96&lt;Projects!$C$21+Projects!$D$21),Projects!$B$21*INDEX(Curves!$B$4:$AR$4,1,96-Projects!$C$21+1),0)+IF(AND(Projects!$G$22="Yes",Projects!$M$22="Yes",96&gt;=Projects!$C$22,96&lt;Projects!$C$22+Projects!$D$22),Projects!$B$22*INDEX(Curves!$B$4:$AR$4,1,96-Projects!$C$22+1),0)+IF(AND(Projects!$G$23="Yes",Projects!$M$23="Yes",96&gt;=Projects!$C$23,96&lt;Projects!$C$23+Projects!$D$23),Projects!$B$23*INDEX(Curves!$B$4:$AR$4,1,96-Projects!$C$23+1),0)+IF(AND(Projects!$G$24="Yes",Projects!$M$24="Yes",96&gt;=Projects!$C$24,96&lt;Projects!$C$24+Projects!$D$24),Projects!$B$24*INDEX(Curves!$B$4:$AR$4,1,96-Projects!$C$24+1),0)+IF(AND(Projects!$G$25="Yes",Projects!$M$25="Yes",96&gt;=Projects!$C$25,96&lt;Projects!$C$25+Projects!$D$25),Projects!$B$25*INDEX(Curves!$B$4:$AR$4,1,96-Projects!$C$25+1),0)+IF(AND(Projects!$G$26="Yes",Projects!$M$26="Yes",96&gt;=Projects!$C$26,96&lt;Projects!$C$26+Projects!$D$26),Projects!$B$26*INDEX(Curves!$B$4:$AR$4,1,96-Projects!$C$26+1),0)+IF(AND(Projects!$G$27="Yes",Projects!$M$27="Yes",96&gt;=Projects!$C$27,96&lt;Projects!$C$27+Projects!$D$27),Projects!$B$27*INDEX(Curves!$B$4:$AR$4,1,96-Projects!$C$27+1),0)+IF(AND(Projects!$G$28="Yes",Projects!$M$28="Yes",96&gt;=Projects!$C$28,96&lt;Projects!$C$28+Projects!$D$28),Projects!$B$28*INDEX(Curves!$B$4:$AR$4,1,96-Projects!$C$28+1),0)+IF(AND(Projects!$G$29="Yes",Projects!$M$29="Yes",96&gt;=Projects!$C$29,96&lt;Projects!$C$29+Projects!$D$29),Projects!$B$29*INDEX(Curves!$B$4:$AR$4,1,96-Projects!$C$29+1),0)+IF(AND(Projects!$G$30="Yes",Projects!$M$30="Yes",96&gt;=Projects!$C$30,96&lt;Projects!$C$30+Projects!$D$30),Projects!$B$30*INDEX(Curves!$B$4:$AR$4,1,96-Projects!$C$30+1),0)+IF(AND(Projects!$G$31="Yes",Projects!$M$31="Yes",96&gt;=Projects!$C$31,96&lt;Projects!$C$31+Projects!$D$31),Projects!$B$31*INDEX(Curves!$B$4:$AR$4,1,96-Projects!$C$31+1),0)+IF(AND(Projects!$G$32="Yes",Projects!$M$32="Yes",96&gt;=Projects!$C$32,96&lt;Projects!$C$32+Projects!$D$32),Projects!$B$32*INDEX(Curves!$B$4:$AR$4,1,96-Projects!$C$32+1),0)+IF(AND(Projects!$G$33="Yes",Projects!$M$33="Yes",96&gt;=Projects!$C$33,96&lt;Projects!$C$33+Projects!$D$33),Projects!$B$33*INDEX(Curves!$B$4:$AR$4,1,96-Projects!$C$33+1),0)+IF(AND(Projects!$G$34="Yes",Projects!$M$34="Yes",96&gt;=Projects!$C$34,96&lt;Projects!$C$34+Projects!$D$34),Projects!$B$34*INDEX(Curves!$B$4:$AR$4,1,96-Projects!$C$34+1),0)+IF(AND(Projects!$G$35="Yes",Projects!$M$35="Yes",96&gt;=Projects!$C$35,96&lt;Projects!$C$35+Projects!$D$35),Projects!$B$35*INDEX(Curves!$B$4:$AR$4,1,96-Projects!$C$35+1),0)+IF(AND(Projects!$G$36="Yes",Projects!$M$36="Yes",96&gt;=Projects!$C$36,96&lt;Projects!$C$36+Projects!$D$36),Projects!$B$36*INDEX(Curves!$B$4:$AR$4,1,96-Projects!$C$36+1),0)+IF(AND(Projects!$G$37="Yes",Projects!$M$37="Yes",96&gt;=Projects!$C$37,96&lt;Projects!$C$37+Projects!$D$37),Projects!$B$37*INDEX(Curves!$B$4:$AR$4,1,96-Projects!$C$37+1),0)+IF(AND(Projects!$G$38="Yes",Projects!$M$38="Yes",96&gt;=Projects!$C$38,96&lt;Projects!$C$38+Projects!$D$38),Projects!$B$38*INDEX(Curves!$B$4:$AR$4,1,96-Projects!$C$38+1),0)+IF(AND(Projects!$G$39="Yes",Projects!$M$39="Yes",96&gt;=Projects!$C$39,96&lt;Projects!$C$39+Projects!$D$39),Projects!$B$39*INDEX(Curves!$B$4:$AR$4,1,96-Projects!$C$39+1),0)+IF(AND(Projects!$G$40="Yes",Projects!$M$40="Yes",96&gt;=Projects!$C$40,96&lt;Projects!$C$40+Projects!$D$40),Projects!$B$40*INDEX(Curves!$B$4:$AR$4,1,96-Projects!$C$40+1),0)+IF(AND(Projects!$G$41="Yes",Projects!$M$41="Yes",96&gt;=Projects!$C$41,96&lt;Projects!$C$41+Projects!$D$41),Projects!$B$41*INDEX(Curves!$B$4:$AR$4,1,96-Projects!$C$41+1),0)+IF(AND(Projects!$G$42="Yes",Projects!$M$42="Yes",96&gt;=Projects!$C$42,96&lt;Projects!$C$42+Projects!$D$42),Projects!$B$42*INDEX(Curves!$B$4:$AR$4,1,96-Projects!$C$42+1),0)+IF(AND(Projects!$G$43="Yes",Projects!$M$43="Yes",96&gt;=Projects!$C$43,96&lt;Projects!$C$43+Projects!$D$43),Projects!$B$43*INDEX(Curves!$B$4:$AR$4,1,96-Projects!$C$43+1),0)+IF(AND(Projects!$G$44="Yes",Projects!$M$44="Yes",96&gt;=Projects!$C$44,96&lt;Projects!$C$44+Projects!$D$44),Projects!$B$44*INDEX(Curves!$B$4:$AR$4,1,96-Projects!$C$44+1),0)+IF(AND(Projects!$G$45="Yes",Projects!$M$45="Yes",96&gt;=Projects!$C$45,96&lt;Projects!$C$45+Projects!$D$45),Projects!$B$45*INDEX(Curves!$B$4:$AR$4,1,96-Projects!$C$45+1),0)+IF(AND(Projects!$G$46="Yes",Projects!$M$46="Yes",96&gt;=Projects!$C$46,96&lt;Projects!$C$46+Projects!$D$46),Projects!$B$46*INDEX(Curves!$B$4:$AR$4,1,96-Projects!$C$46+1),0)</f>
        <v>0</v>
      </c>
      <c r="CX101" s="315" t="n">
        <f aca="false">IF(AND(Projects!$G$17="Yes",Projects!$M$17="Yes",97&gt;=Projects!$C$17,97&lt;Projects!$C$17+Projects!$D$17),Projects!$B$17*INDEX(Curves!$B$4:$AR$4,1,97-Projects!$C$17+1),0)+IF(AND(Projects!$G$18="Yes",Projects!$M$18="Yes",97&gt;=Projects!$C$18,97&lt;Projects!$C$18+Projects!$D$18),Projects!$B$18*INDEX(Curves!$B$4:$AR$4,1,97-Projects!$C$18+1),0)+IF(AND(Projects!$G$19="Yes",Projects!$M$19="Yes",97&gt;=Projects!$C$19,97&lt;Projects!$C$19+Projects!$D$19),Projects!$B$19*INDEX(Curves!$B$4:$AR$4,1,97-Projects!$C$19+1),0)+IF(AND(Projects!$G$20="Yes",Projects!$M$20="Yes",97&gt;=Projects!$C$20,97&lt;Projects!$C$20+Projects!$D$20),Projects!$B$20*INDEX(Curves!$B$4:$AR$4,1,97-Projects!$C$20+1),0)+IF(AND(Projects!$G$21="Yes",Projects!$M$21="Yes",97&gt;=Projects!$C$21,97&lt;Projects!$C$21+Projects!$D$21),Projects!$B$21*INDEX(Curves!$B$4:$AR$4,1,97-Projects!$C$21+1),0)+IF(AND(Projects!$G$22="Yes",Projects!$M$22="Yes",97&gt;=Projects!$C$22,97&lt;Projects!$C$22+Projects!$D$22),Projects!$B$22*INDEX(Curves!$B$4:$AR$4,1,97-Projects!$C$22+1),0)+IF(AND(Projects!$G$23="Yes",Projects!$M$23="Yes",97&gt;=Projects!$C$23,97&lt;Projects!$C$23+Projects!$D$23),Projects!$B$23*INDEX(Curves!$B$4:$AR$4,1,97-Projects!$C$23+1),0)+IF(AND(Projects!$G$24="Yes",Projects!$M$24="Yes",97&gt;=Projects!$C$24,97&lt;Projects!$C$24+Projects!$D$24),Projects!$B$24*INDEX(Curves!$B$4:$AR$4,1,97-Projects!$C$24+1),0)+IF(AND(Projects!$G$25="Yes",Projects!$M$25="Yes",97&gt;=Projects!$C$25,97&lt;Projects!$C$25+Projects!$D$25),Projects!$B$25*INDEX(Curves!$B$4:$AR$4,1,97-Projects!$C$25+1),0)+IF(AND(Projects!$G$26="Yes",Projects!$M$26="Yes",97&gt;=Projects!$C$26,97&lt;Projects!$C$26+Projects!$D$26),Projects!$B$26*INDEX(Curves!$B$4:$AR$4,1,97-Projects!$C$26+1),0)+IF(AND(Projects!$G$27="Yes",Projects!$M$27="Yes",97&gt;=Projects!$C$27,97&lt;Projects!$C$27+Projects!$D$27),Projects!$B$27*INDEX(Curves!$B$4:$AR$4,1,97-Projects!$C$27+1),0)+IF(AND(Projects!$G$28="Yes",Projects!$M$28="Yes",97&gt;=Projects!$C$28,97&lt;Projects!$C$28+Projects!$D$28),Projects!$B$28*INDEX(Curves!$B$4:$AR$4,1,97-Projects!$C$28+1),0)+IF(AND(Projects!$G$29="Yes",Projects!$M$29="Yes",97&gt;=Projects!$C$29,97&lt;Projects!$C$29+Projects!$D$29),Projects!$B$29*INDEX(Curves!$B$4:$AR$4,1,97-Projects!$C$29+1),0)+IF(AND(Projects!$G$30="Yes",Projects!$M$30="Yes",97&gt;=Projects!$C$30,97&lt;Projects!$C$30+Projects!$D$30),Projects!$B$30*INDEX(Curves!$B$4:$AR$4,1,97-Projects!$C$30+1),0)+IF(AND(Projects!$G$31="Yes",Projects!$M$31="Yes",97&gt;=Projects!$C$31,97&lt;Projects!$C$31+Projects!$D$31),Projects!$B$31*INDEX(Curves!$B$4:$AR$4,1,97-Projects!$C$31+1),0)+IF(AND(Projects!$G$32="Yes",Projects!$M$32="Yes",97&gt;=Projects!$C$32,97&lt;Projects!$C$32+Projects!$D$32),Projects!$B$32*INDEX(Curves!$B$4:$AR$4,1,97-Projects!$C$32+1),0)+IF(AND(Projects!$G$33="Yes",Projects!$M$33="Yes",97&gt;=Projects!$C$33,97&lt;Projects!$C$33+Projects!$D$33),Projects!$B$33*INDEX(Curves!$B$4:$AR$4,1,97-Projects!$C$33+1),0)+IF(AND(Projects!$G$34="Yes",Projects!$M$34="Yes",97&gt;=Projects!$C$34,97&lt;Projects!$C$34+Projects!$D$34),Projects!$B$34*INDEX(Curves!$B$4:$AR$4,1,97-Projects!$C$34+1),0)+IF(AND(Projects!$G$35="Yes",Projects!$M$35="Yes",97&gt;=Projects!$C$35,97&lt;Projects!$C$35+Projects!$D$35),Projects!$B$35*INDEX(Curves!$B$4:$AR$4,1,97-Projects!$C$35+1),0)+IF(AND(Projects!$G$36="Yes",Projects!$M$36="Yes",97&gt;=Projects!$C$36,97&lt;Projects!$C$36+Projects!$D$36),Projects!$B$36*INDEX(Curves!$B$4:$AR$4,1,97-Projects!$C$36+1),0)+IF(AND(Projects!$G$37="Yes",Projects!$M$37="Yes",97&gt;=Projects!$C$37,97&lt;Projects!$C$37+Projects!$D$37),Projects!$B$37*INDEX(Curves!$B$4:$AR$4,1,97-Projects!$C$37+1),0)+IF(AND(Projects!$G$38="Yes",Projects!$M$38="Yes",97&gt;=Projects!$C$38,97&lt;Projects!$C$38+Projects!$D$38),Projects!$B$38*INDEX(Curves!$B$4:$AR$4,1,97-Projects!$C$38+1),0)+IF(AND(Projects!$G$39="Yes",Projects!$M$39="Yes",97&gt;=Projects!$C$39,97&lt;Projects!$C$39+Projects!$D$39),Projects!$B$39*INDEX(Curves!$B$4:$AR$4,1,97-Projects!$C$39+1),0)+IF(AND(Projects!$G$40="Yes",Projects!$M$40="Yes",97&gt;=Projects!$C$40,97&lt;Projects!$C$40+Projects!$D$40),Projects!$B$40*INDEX(Curves!$B$4:$AR$4,1,97-Projects!$C$40+1),0)+IF(AND(Projects!$G$41="Yes",Projects!$M$41="Yes",97&gt;=Projects!$C$41,97&lt;Projects!$C$41+Projects!$D$41),Projects!$B$41*INDEX(Curves!$B$4:$AR$4,1,97-Projects!$C$41+1),0)+IF(AND(Projects!$G$42="Yes",Projects!$M$42="Yes",97&gt;=Projects!$C$42,97&lt;Projects!$C$42+Projects!$D$42),Projects!$B$42*INDEX(Curves!$B$4:$AR$4,1,97-Projects!$C$42+1),0)+IF(AND(Projects!$G$43="Yes",Projects!$M$43="Yes",97&gt;=Projects!$C$43,97&lt;Projects!$C$43+Projects!$D$43),Projects!$B$43*INDEX(Curves!$B$4:$AR$4,1,97-Projects!$C$43+1),0)+IF(AND(Projects!$G$44="Yes",Projects!$M$44="Yes",97&gt;=Projects!$C$44,97&lt;Projects!$C$44+Projects!$D$44),Projects!$B$44*INDEX(Curves!$B$4:$AR$4,1,97-Projects!$C$44+1),0)+IF(AND(Projects!$G$45="Yes",Projects!$M$45="Yes",97&gt;=Projects!$C$45,97&lt;Projects!$C$45+Projects!$D$45),Projects!$B$45*INDEX(Curves!$B$4:$AR$4,1,97-Projects!$C$45+1),0)+IF(AND(Projects!$G$46="Yes",Projects!$M$46="Yes",97&gt;=Projects!$C$46,97&lt;Projects!$C$46+Projects!$D$46),Projects!$B$46*INDEX(Curves!$B$4:$AR$4,1,97-Projects!$C$46+1),0)</f>
        <v>0</v>
      </c>
      <c r="CY101" s="315" t="n">
        <f aca="false">IF(AND(Projects!$G$17="Yes",Projects!$M$17="Yes",98&gt;=Projects!$C$17,98&lt;Projects!$C$17+Projects!$D$17),Projects!$B$17*INDEX(Curves!$B$4:$AR$4,1,98-Projects!$C$17+1),0)+IF(AND(Projects!$G$18="Yes",Projects!$M$18="Yes",98&gt;=Projects!$C$18,98&lt;Projects!$C$18+Projects!$D$18),Projects!$B$18*INDEX(Curves!$B$4:$AR$4,1,98-Projects!$C$18+1),0)+IF(AND(Projects!$G$19="Yes",Projects!$M$19="Yes",98&gt;=Projects!$C$19,98&lt;Projects!$C$19+Projects!$D$19),Projects!$B$19*INDEX(Curves!$B$4:$AR$4,1,98-Projects!$C$19+1),0)+IF(AND(Projects!$G$20="Yes",Projects!$M$20="Yes",98&gt;=Projects!$C$20,98&lt;Projects!$C$20+Projects!$D$20),Projects!$B$20*INDEX(Curves!$B$4:$AR$4,1,98-Projects!$C$20+1),0)+IF(AND(Projects!$G$21="Yes",Projects!$M$21="Yes",98&gt;=Projects!$C$21,98&lt;Projects!$C$21+Projects!$D$21),Projects!$B$21*INDEX(Curves!$B$4:$AR$4,1,98-Projects!$C$21+1),0)+IF(AND(Projects!$G$22="Yes",Projects!$M$22="Yes",98&gt;=Projects!$C$22,98&lt;Projects!$C$22+Projects!$D$22),Projects!$B$22*INDEX(Curves!$B$4:$AR$4,1,98-Projects!$C$22+1),0)+IF(AND(Projects!$G$23="Yes",Projects!$M$23="Yes",98&gt;=Projects!$C$23,98&lt;Projects!$C$23+Projects!$D$23),Projects!$B$23*INDEX(Curves!$B$4:$AR$4,1,98-Projects!$C$23+1),0)+IF(AND(Projects!$G$24="Yes",Projects!$M$24="Yes",98&gt;=Projects!$C$24,98&lt;Projects!$C$24+Projects!$D$24),Projects!$B$24*INDEX(Curves!$B$4:$AR$4,1,98-Projects!$C$24+1),0)+IF(AND(Projects!$G$25="Yes",Projects!$M$25="Yes",98&gt;=Projects!$C$25,98&lt;Projects!$C$25+Projects!$D$25),Projects!$B$25*INDEX(Curves!$B$4:$AR$4,1,98-Projects!$C$25+1),0)+IF(AND(Projects!$G$26="Yes",Projects!$M$26="Yes",98&gt;=Projects!$C$26,98&lt;Projects!$C$26+Projects!$D$26),Projects!$B$26*INDEX(Curves!$B$4:$AR$4,1,98-Projects!$C$26+1),0)+IF(AND(Projects!$G$27="Yes",Projects!$M$27="Yes",98&gt;=Projects!$C$27,98&lt;Projects!$C$27+Projects!$D$27),Projects!$B$27*INDEX(Curves!$B$4:$AR$4,1,98-Projects!$C$27+1),0)+IF(AND(Projects!$G$28="Yes",Projects!$M$28="Yes",98&gt;=Projects!$C$28,98&lt;Projects!$C$28+Projects!$D$28),Projects!$B$28*INDEX(Curves!$B$4:$AR$4,1,98-Projects!$C$28+1),0)+IF(AND(Projects!$G$29="Yes",Projects!$M$29="Yes",98&gt;=Projects!$C$29,98&lt;Projects!$C$29+Projects!$D$29),Projects!$B$29*INDEX(Curves!$B$4:$AR$4,1,98-Projects!$C$29+1),0)+IF(AND(Projects!$G$30="Yes",Projects!$M$30="Yes",98&gt;=Projects!$C$30,98&lt;Projects!$C$30+Projects!$D$30),Projects!$B$30*INDEX(Curves!$B$4:$AR$4,1,98-Projects!$C$30+1),0)+IF(AND(Projects!$G$31="Yes",Projects!$M$31="Yes",98&gt;=Projects!$C$31,98&lt;Projects!$C$31+Projects!$D$31),Projects!$B$31*INDEX(Curves!$B$4:$AR$4,1,98-Projects!$C$31+1),0)+IF(AND(Projects!$G$32="Yes",Projects!$M$32="Yes",98&gt;=Projects!$C$32,98&lt;Projects!$C$32+Projects!$D$32),Projects!$B$32*INDEX(Curves!$B$4:$AR$4,1,98-Projects!$C$32+1),0)+IF(AND(Projects!$G$33="Yes",Projects!$M$33="Yes",98&gt;=Projects!$C$33,98&lt;Projects!$C$33+Projects!$D$33),Projects!$B$33*INDEX(Curves!$B$4:$AR$4,1,98-Projects!$C$33+1),0)+IF(AND(Projects!$G$34="Yes",Projects!$M$34="Yes",98&gt;=Projects!$C$34,98&lt;Projects!$C$34+Projects!$D$34),Projects!$B$34*INDEX(Curves!$B$4:$AR$4,1,98-Projects!$C$34+1),0)+IF(AND(Projects!$G$35="Yes",Projects!$M$35="Yes",98&gt;=Projects!$C$35,98&lt;Projects!$C$35+Projects!$D$35),Projects!$B$35*INDEX(Curves!$B$4:$AR$4,1,98-Projects!$C$35+1),0)+IF(AND(Projects!$G$36="Yes",Projects!$M$36="Yes",98&gt;=Projects!$C$36,98&lt;Projects!$C$36+Projects!$D$36),Projects!$B$36*INDEX(Curves!$B$4:$AR$4,1,98-Projects!$C$36+1),0)+IF(AND(Projects!$G$37="Yes",Projects!$M$37="Yes",98&gt;=Projects!$C$37,98&lt;Projects!$C$37+Projects!$D$37),Projects!$B$37*INDEX(Curves!$B$4:$AR$4,1,98-Projects!$C$37+1),0)+IF(AND(Projects!$G$38="Yes",Projects!$M$38="Yes",98&gt;=Projects!$C$38,98&lt;Projects!$C$38+Projects!$D$38),Projects!$B$38*INDEX(Curves!$B$4:$AR$4,1,98-Projects!$C$38+1),0)+IF(AND(Projects!$G$39="Yes",Projects!$M$39="Yes",98&gt;=Projects!$C$39,98&lt;Projects!$C$39+Projects!$D$39),Projects!$B$39*INDEX(Curves!$B$4:$AR$4,1,98-Projects!$C$39+1),0)+IF(AND(Projects!$G$40="Yes",Projects!$M$40="Yes",98&gt;=Projects!$C$40,98&lt;Projects!$C$40+Projects!$D$40),Projects!$B$40*INDEX(Curves!$B$4:$AR$4,1,98-Projects!$C$40+1),0)+IF(AND(Projects!$G$41="Yes",Projects!$M$41="Yes",98&gt;=Projects!$C$41,98&lt;Projects!$C$41+Projects!$D$41),Projects!$B$41*INDEX(Curves!$B$4:$AR$4,1,98-Projects!$C$41+1),0)+IF(AND(Projects!$G$42="Yes",Projects!$M$42="Yes",98&gt;=Projects!$C$42,98&lt;Projects!$C$42+Projects!$D$42),Projects!$B$42*INDEX(Curves!$B$4:$AR$4,1,98-Projects!$C$42+1),0)+IF(AND(Projects!$G$43="Yes",Projects!$M$43="Yes",98&gt;=Projects!$C$43,98&lt;Projects!$C$43+Projects!$D$43),Projects!$B$43*INDEX(Curves!$B$4:$AR$4,1,98-Projects!$C$43+1),0)+IF(AND(Projects!$G$44="Yes",Projects!$M$44="Yes",98&gt;=Projects!$C$44,98&lt;Projects!$C$44+Projects!$D$44),Projects!$B$44*INDEX(Curves!$B$4:$AR$4,1,98-Projects!$C$44+1),0)+IF(AND(Projects!$G$45="Yes",Projects!$M$45="Yes",98&gt;=Projects!$C$45,98&lt;Projects!$C$45+Projects!$D$45),Projects!$B$45*INDEX(Curves!$B$4:$AR$4,1,98-Projects!$C$45+1),0)+IF(AND(Projects!$G$46="Yes",Projects!$M$46="Yes",98&gt;=Projects!$C$46,98&lt;Projects!$C$46+Projects!$D$46),Projects!$B$46*INDEX(Curves!$B$4:$AR$4,1,98-Projects!$C$46+1),0)</f>
        <v>0</v>
      </c>
      <c r="CZ101" s="315" t="n">
        <f aca="false">IF(AND(Projects!$G$17="Yes",Projects!$M$17="Yes",99&gt;=Projects!$C$17,99&lt;Projects!$C$17+Projects!$D$17),Projects!$B$17*INDEX(Curves!$B$4:$AR$4,1,99-Projects!$C$17+1),0)+IF(AND(Projects!$G$18="Yes",Projects!$M$18="Yes",99&gt;=Projects!$C$18,99&lt;Projects!$C$18+Projects!$D$18),Projects!$B$18*INDEX(Curves!$B$4:$AR$4,1,99-Projects!$C$18+1),0)+IF(AND(Projects!$G$19="Yes",Projects!$M$19="Yes",99&gt;=Projects!$C$19,99&lt;Projects!$C$19+Projects!$D$19),Projects!$B$19*INDEX(Curves!$B$4:$AR$4,1,99-Projects!$C$19+1),0)+IF(AND(Projects!$G$20="Yes",Projects!$M$20="Yes",99&gt;=Projects!$C$20,99&lt;Projects!$C$20+Projects!$D$20),Projects!$B$20*INDEX(Curves!$B$4:$AR$4,1,99-Projects!$C$20+1),0)+IF(AND(Projects!$G$21="Yes",Projects!$M$21="Yes",99&gt;=Projects!$C$21,99&lt;Projects!$C$21+Projects!$D$21),Projects!$B$21*INDEX(Curves!$B$4:$AR$4,1,99-Projects!$C$21+1),0)+IF(AND(Projects!$G$22="Yes",Projects!$M$22="Yes",99&gt;=Projects!$C$22,99&lt;Projects!$C$22+Projects!$D$22),Projects!$B$22*INDEX(Curves!$B$4:$AR$4,1,99-Projects!$C$22+1),0)+IF(AND(Projects!$G$23="Yes",Projects!$M$23="Yes",99&gt;=Projects!$C$23,99&lt;Projects!$C$23+Projects!$D$23),Projects!$B$23*INDEX(Curves!$B$4:$AR$4,1,99-Projects!$C$23+1),0)+IF(AND(Projects!$G$24="Yes",Projects!$M$24="Yes",99&gt;=Projects!$C$24,99&lt;Projects!$C$24+Projects!$D$24),Projects!$B$24*INDEX(Curves!$B$4:$AR$4,1,99-Projects!$C$24+1),0)+IF(AND(Projects!$G$25="Yes",Projects!$M$25="Yes",99&gt;=Projects!$C$25,99&lt;Projects!$C$25+Projects!$D$25),Projects!$B$25*INDEX(Curves!$B$4:$AR$4,1,99-Projects!$C$25+1),0)+IF(AND(Projects!$G$26="Yes",Projects!$M$26="Yes",99&gt;=Projects!$C$26,99&lt;Projects!$C$26+Projects!$D$26),Projects!$B$26*INDEX(Curves!$B$4:$AR$4,1,99-Projects!$C$26+1),0)+IF(AND(Projects!$G$27="Yes",Projects!$M$27="Yes",99&gt;=Projects!$C$27,99&lt;Projects!$C$27+Projects!$D$27),Projects!$B$27*INDEX(Curves!$B$4:$AR$4,1,99-Projects!$C$27+1),0)+IF(AND(Projects!$G$28="Yes",Projects!$M$28="Yes",99&gt;=Projects!$C$28,99&lt;Projects!$C$28+Projects!$D$28),Projects!$B$28*INDEX(Curves!$B$4:$AR$4,1,99-Projects!$C$28+1),0)+IF(AND(Projects!$G$29="Yes",Projects!$M$29="Yes",99&gt;=Projects!$C$29,99&lt;Projects!$C$29+Projects!$D$29),Projects!$B$29*INDEX(Curves!$B$4:$AR$4,1,99-Projects!$C$29+1),0)+IF(AND(Projects!$G$30="Yes",Projects!$M$30="Yes",99&gt;=Projects!$C$30,99&lt;Projects!$C$30+Projects!$D$30),Projects!$B$30*INDEX(Curves!$B$4:$AR$4,1,99-Projects!$C$30+1),0)+IF(AND(Projects!$G$31="Yes",Projects!$M$31="Yes",99&gt;=Projects!$C$31,99&lt;Projects!$C$31+Projects!$D$31),Projects!$B$31*INDEX(Curves!$B$4:$AR$4,1,99-Projects!$C$31+1),0)+IF(AND(Projects!$G$32="Yes",Projects!$M$32="Yes",99&gt;=Projects!$C$32,99&lt;Projects!$C$32+Projects!$D$32),Projects!$B$32*INDEX(Curves!$B$4:$AR$4,1,99-Projects!$C$32+1),0)+IF(AND(Projects!$G$33="Yes",Projects!$M$33="Yes",99&gt;=Projects!$C$33,99&lt;Projects!$C$33+Projects!$D$33),Projects!$B$33*INDEX(Curves!$B$4:$AR$4,1,99-Projects!$C$33+1),0)+IF(AND(Projects!$G$34="Yes",Projects!$M$34="Yes",99&gt;=Projects!$C$34,99&lt;Projects!$C$34+Projects!$D$34),Projects!$B$34*INDEX(Curves!$B$4:$AR$4,1,99-Projects!$C$34+1),0)+IF(AND(Projects!$G$35="Yes",Projects!$M$35="Yes",99&gt;=Projects!$C$35,99&lt;Projects!$C$35+Projects!$D$35),Projects!$B$35*INDEX(Curves!$B$4:$AR$4,1,99-Projects!$C$35+1),0)+IF(AND(Projects!$G$36="Yes",Projects!$M$36="Yes",99&gt;=Projects!$C$36,99&lt;Projects!$C$36+Projects!$D$36),Projects!$B$36*INDEX(Curves!$B$4:$AR$4,1,99-Projects!$C$36+1),0)+IF(AND(Projects!$G$37="Yes",Projects!$M$37="Yes",99&gt;=Projects!$C$37,99&lt;Projects!$C$37+Projects!$D$37),Projects!$B$37*INDEX(Curves!$B$4:$AR$4,1,99-Projects!$C$37+1),0)+IF(AND(Projects!$G$38="Yes",Projects!$M$38="Yes",99&gt;=Projects!$C$38,99&lt;Projects!$C$38+Projects!$D$38),Projects!$B$38*INDEX(Curves!$B$4:$AR$4,1,99-Projects!$C$38+1),0)+IF(AND(Projects!$G$39="Yes",Projects!$M$39="Yes",99&gt;=Projects!$C$39,99&lt;Projects!$C$39+Projects!$D$39),Projects!$B$39*INDEX(Curves!$B$4:$AR$4,1,99-Projects!$C$39+1),0)+IF(AND(Projects!$G$40="Yes",Projects!$M$40="Yes",99&gt;=Projects!$C$40,99&lt;Projects!$C$40+Projects!$D$40),Projects!$B$40*INDEX(Curves!$B$4:$AR$4,1,99-Projects!$C$40+1),0)+IF(AND(Projects!$G$41="Yes",Projects!$M$41="Yes",99&gt;=Projects!$C$41,99&lt;Projects!$C$41+Projects!$D$41),Projects!$B$41*INDEX(Curves!$B$4:$AR$4,1,99-Projects!$C$41+1),0)+IF(AND(Projects!$G$42="Yes",Projects!$M$42="Yes",99&gt;=Projects!$C$42,99&lt;Projects!$C$42+Projects!$D$42),Projects!$B$42*INDEX(Curves!$B$4:$AR$4,1,99-Projects!$C$42+1),0)+IF(AND(Projects!$G$43="Yes",Projects!$M$43="Yes",99&gt;=Projects!$C$43,99&lt;Projects!$C$43+Projects!$D$43),Projects!$B$43*INDEX(Curves!$B$4:$AR$4,1,99-Projects!$C$43+1),0)+IF(AND(Projects!$G$44="Yes",Projects!$M$44="Yes",99&gt;=Projects!$C$44,99&lt;Projects!$C$44+Projects!$D$44),Projects!$B$44*INDEX(Curves!$B$4:$AR$4,1,99-Projects!$C$44+1),0)+IF(AND(Projects!$G$45="Yes",Projects!$M$45="Yes",99&gt;=Projects!$C$45,99&lt;Projects!$C$45+Projects!$D$45),Projects!$B$45*INDEX(Curves!$B$4:$AR$4,1,99-Projects!$C$45+1),0)+IF(AND(Projects!$G$46="Yes",Projects!$M$46="Yes",99&gt;=Projects!$C$46,99&lt;Projects!$C$46+Projects!$D$46),Projects!$B$46*INDEX(Curves!$B$4:$AR$4,1,99-Projects!$C$46+1),0)</f>
        <v>0</v>
      </c>
      <c r="DA101" s="315" t="n">
        <f aca="false">IF(AND(Projects!$G$17="Yes",Projects!$M$17="Yes",100&gt;=Projects!$C$17,100&lt;Projects!$C$17+Projects!$D$17),Projects!$B$17*INDEX(Curves!$B$4:$AR$4,1,100-Projects!$C$17+1),0)+IF(AND(Projects!$G$18="Yes",Projects!$M$18="Yes",100&gt;=Projects!$C$18,100&lt;Projects!$C$18+Projects!$D$18),Projects!$B$18*INDEX(Curves!$B$4:$AR$4,1,100-Projects!$C$18+1),0)+IF(AND(Projects!$G$19="Yes",Projects!$M$19="Yes",100&gt;=Projects!$C$19,100&lt;Projects!$C$19+Projects!$D$19),Projects!$B$19*INDEX(Curves!$B$4:$AR$4,1,100-Projects!$C$19+1),0)+IF(AND(Projects!$G$20="Yes",Projects!$M$20="Yes",100&gt;=Projects!$C$20,100&lt;Projects!$C$20+Projects!$D$20),Projects!$B$20*INDEX(Curves!$B$4:$AR$4,1,100-Projects!$C$20+1),0)+IF(AND(Projects!$G$21="Yes",Projects!$M$21="Yes",100&gt;=Projects!$C$21,100&lt;Projects!$C$21+Projects!$D$21),Projects!$B$21*INDEX(Curves!$B$4:$AR$4,1,100-Projects!$C$21+1),0)+IF(AND(Projects!$G$22="Yes",Projects!$M$22="Yes",100&gt;=Projects!$C$22,100&lt;Projects!$C$22+Projects!$D$22),Projects!$B$22*INDEX(Curves!$B$4:$AR$4,1,100-Projects!$C$22+1),0)+IF(AND(Projects!$G$23="Yes",Projects!$M$23="Yes",100&gt;=Projects!$C$23,100&lt;Projects!$C$23+Projects!$D$23),Projects!$B$23*INDEX(Curves!$B$4:$AR$4,1,100-Projects!$C$23+1),0)+IF(AND(Projects!$G$24="Yes",Projects!$M$24="Yes",100&gt;=Projects!$C$24,100&lt;Projects!$C$24+Projects!$D$24),Projects!$B$24*INDEX(Curves!$B$4:$AR$4,1,100-Projects!$C$24+1),0)+IF(AND(Projects!$G$25="Yes",Projects!$M$25="Yes",100&gt;=Projects!$C$25,100&lt;Projects!$C$25+Projects!$D$25),Projects!$B$25*INDEX(Curves!$B$4:$AR$4,1,100-Projects!$C$25+1),0)+IF(AND(Projects!$G$26="Yes",Projects!$M$26="Yes",100&gt;=Projects!$C$26,100&lt;Projects!$C$26+Projects!$D$26),Projects!$B$26*INDEX(Curves!$B$4:$AR$4,1,100-Projects!$C$26+1),0)+IF(AND(Projects!$G$27="Yes",Projects!$M$27="Yes",100&gt;=Projects!$C$27,100&lt;Projects!$C$27+Projects!$D$27),Projects!$B$27*INDEX(Curves!$B$4:$AR$4,1,100-Projects!$C$27+1),0)+IF(AND(Projects!$G$28="Yes",Projects!$M$28="Yes",100&gt;=Projects!$C$28,100&lt;Projects!$C$28+Projects!$D$28),Projects!$B$28*INDEX(Curves!$B$4:$AR$4,1,100-Projects!$C$28+1),0)+IF(AND(Projects!$G$29="Yes",Projects!$M$29="Yes",100&gt;=Projects!$C$29,100&lt;Projects!$C$29+Projects!$D$29),Projects!$B$29*INDEX(Curves!$B$4:$AR$4,1,100-Projects!$C$29+1),0)+IF(AND(Projects!$G$30="Yes",Projects!$M$30="Yes",100&gt;=Projects!$C$30,100&lt;Projects!$C$30+Projects!$D$30),Projects!$B$30*INDEX(Curves!$B$4:$AR$4,1,100-Projects!$C$30+1),0)+IF(AND(Projects!$G$31="Yes",Projects!$M$31="Yes",100&gt;=Projects!$C$31,100&lt;Projects!$C$31+Projects!$D$31),Projects!$B$31*INDEX(Curves!$B$4:$AR$4,1,100-Projects!$C$31+1),0)+IF(AND(Projects!$G$32="Yes",Projects!$M$32="Yes",100&gt;=Projects!$C$32,100&lt;Projects!$C$32+Projects!$D$32),Projects!$B$32*INDEX(Curves!$B$4:$AR$4,1,100-Projects!$C$32+1),0)+IF(AND(Projects!$G$33="Yes",Projects!$M$33="Yes",100&gt;=Projects!$C$33,100&lt;Projects!$C$33+Projects!$D$33),Projects!$B$33*INDEX(Curves!$B$4:$AR$4,1,100-Projects!$C$33+1),0)+IF(AND(Projects!$G$34="Yes",Projects!$M$34="Yes",100&gt;=Projects!$C$34,100&lt;Projects!$C$34+Projects!$D$34),Projects!$B$34*INDEX(Curves!$B$4:$AR$4,1,100-Projects!$C$34+1),0)+IF(AND(Projects!$G$35="Yes",Projects!$M$35="Yes",100&gt;=Projects!$C$35,100&lt;Projects!$C$35+Projects!$D$35),Projects!$B$35*INDEX(Curves!$B$4:$AR$4,1,100-Projects!$C$35+1),0)+IF(AND(Projects!$G$36="Yes",Projects!$M$36="Yes",100&gt;=Projects!$C$36,100&lt;Projects!$C$36+Projects!$D$36),Projects!$B$36*INDEX(Curves!$B$4:$AR$4,1,100-Projects!$C$36+1),0)+IF(AND(Projects!$G$37="Yes",Projects!$M$37="Yes",100&gt;=Projects!$C$37,100&lt;Projects!$C$37+Projects!$D$37),Projects!$B$37*INDEX(Curves!$B$4:$AR$4,1,100-Projects!$C$37+1),0)+IF(AND(Projects!$G$38="Yes",Projects!$M$38="Yes",100&gt;=Projects!$C$38,100&lt;Projects!$C$38+Projects!$D$38),Projects!$B$38*INDEX(Curves!$B$4:$AR$4,1,100-Projects!$C$38+1),0)+IF(AND(Projects!$G$39="Yes",Projects!$M$39="Yes",100&gt;=Projects!$C$39,100&lt;Projects!$C$39+Projects!$D$39),Projects!$B$39*INDEX(Curves!$B$4:$AR$4,1,100-Projects!$C$39+1),0)+IF(AND(Projects!$G$40="Yes",Projects!$M$40="Yes",100&gt;=Projects!$C$40,100&lt;Projects!$C$40+Projects!$D$40),Projects!$B$40*INDEX(Curves!$B$4:$AR$4,1,100-Projects!$C$40+1),0)+IF(AND(Projects!$G$41="Yes",Projects!$M$41="Yes",100&gt;=Projects!$C$41,100&lt;Projects!$C$41+Projects!$D$41),Projects!$B$41*INDEX(Curves!$B$4:$AR$4,1,100-Projects!$C$41+1),0)+IF(AND(Projects!$G$42="Yes",Projects!$M$42="Yes",100&gt;=Projects!$C$42,100&lt;Projects!$C$42+Projects!$D$42),Projects!$B$42*INDEX(Curves!$B$4:$AR$4,1,100-Projects!$C$42+1),0)+IF(AND(Projects!$G$43="Yes",Projects!$M$43="Yes",100&gt;=Projects!$C$43,100&lt;Projects!$C$43+Projects!$D$43),Projects!$B$43*INDEX(Curves!$B$4:$AR$4,1,100-Projects!$C$43+1),0)+IF(AND(Projects!$G$44="Yes",Projects!$M$44="Yes",100&gt;=Projects!$C$44,100&lt;Projects!$C$44+Projects!$D$44),Projects!$B$44*INDEX(Curves!$B$4:$AR$4,1,100-Projects!$C$44+1),0)+IF(AND(Projects!$G$45="Yes",Projects!$M$45="Yes",100&gt;=Projects!$C$45,100&lt;Projects!$C$45+Projects!$D$45),Projects!$B$45*INDEX(Curves!$B$4:$AR$4,1,100-Projects!$C$45+1),0)+IF(AND(Projects!$G$46="Yes",Projects!$M$46="Yes",100&gt;=Projects!$C$46,100&lt;Projects!$C$46+Projects!$D$46),Projects!$B$46*INDEX(Curves!$B$4:$AR$4,1,100-Projects!$C$46+1),0)</f>
        <v>0</v>
      </c>
      <c r="DB101" s="315" t="n">
        <f aca="false">IF(AND(Projects!$G$17="Yes",Projects!$M$17="Yes",101&gt;=Projects!$C$17,101&lt;Projects!$C$17+Projects!$D$17),Projects!$B$17*INDEX(Curves!$B$4:$AR$4,1,101-Projects!$C$17+1),0)+IF(AND(Projects!$G$18="Yes",Projects!$M$18="Yes",101&gt;=Projects!$C$18,101&lt;Projects!$C$18+Projects!$D$18),Projects!$B$18*INDEX(Curves!$B$4:$AR$4,1,101-Projects!$C$18+1),0)+IF(AND(Projects!$G$19="Yes",Projects!$M$19="Yes",101&gt;=Projects!$C$19,101&lt;Projects!$C$19+Projects!$D$19),Projects!$B$19*INDEX(Curves!$B$4:$AR$4,1,101-Projects!$C$19+1),0)+IF(AND(Projects!$G$20="Yes",Projects!$M$20="Yes",101&gt;=Projects!$C$20,101&lt;Projects!$C$20+Projects!$D$20),Projects!$B$20*INDEX(Curves!$B$4:$AR$4,1,101-Projects!$C$20+1),0)+IF(AND(Projects!$G$21="Yes",Projects!$M$21="Yes",101&gt;=Projects!$C$21,101&lt;Projects!$C$21+Projects!$D$21),Projects!$B$21*INDEX(Curves!$B$4:$AR$4,1,101-Projects!$C$21+1),0)+IF(AND(Projects!$G$22="Yes",Projects!$M$22="Yes",101&gt;=Projects!$C$22,101&lt;Projects!$C$22+Projects!$D$22),Projects!$B$22*INDEX(Curves!$B$4:$AR$4,1,101-Projects!$C$22+1),0)+IF(AND(Projects!$G$23="Yes",Projects!$M$23="Yes",101&gt;=Projects!$C$23,101&lt;Projects!$C$23+Projects!$D$23),Projects!$B$23*INDEX(Curves!$B$4:$AR$4,1,101-Projects!$C$23+1),0)+IF(AND(Projects!$G$24="Yes",Projects!$M$24="Yes",101&gt;=Projects!$C$24,101&lt;Projects!$C$24+Projects!$D$24),Projects!$B$24*INDEX(Curves!$B$4:$AR$4,1,101-Projects!$C$24+1),0)+IF(AND(Projects!$G$25="Yes",Projects!$M$25="Yes",101&gt;=Projects!$C$25,101&lt;Projects!$C$25+Projects!$D$25),Projects!$B$25*INDEX(Curves!$B$4:$AR$4,1,101-Projects!$C$25+1),0)+IF(AND(Projects!$G$26="Yes",Projects!$M$26="Yes",101&gt;=Projects!$C$26,101&lt;Projects!$C$26+Projects!$D$26),Projects!$B$26*INDEX(Curves!$B$4:$AR$4,1,101-Projects!$C$26+1),0)+IF(AND(Projects!$G$27="Yes",Projects!$M$27="Yes",101&gt;=Projects!$C$27,101&lt;Projects!$C$27+Projects!$D$27),Projects!$B$27*INDEX(Curves!$B$4:$AR$4,1,101-Projects!$C$27+1),0)+IF(AND(Projects!$G$28="Yes",Projects!$M$28="Yes",101&gt;=Projects!$C$28,101&lt;Projects!$C$28+Projects!$D$28),Projects!$B$28*INDEX(Curves!$B$4:$AR$4,1,101-Projects!$C$28+1),0)+IF(AND(Projects!$G$29="Yes",Projects!$M$29="Yes",101&gt;=Projects!$C$29,101&lt;Projects!$C$29+Projects!$D$29),Projects!$B$29*INDEX(Curves!$B$4:$AR$4,1,101-Projects!$C$29+1),0)+IF(AND(Projects!$G$30="Yes",Projects!$M$30="Yes",101&gt;=Projects!$C$30,101&lt;Projects!$C$30+Projects!$D$30),Projects!$B$30*INDEX(Curves!$B$4:$AR$4,1,101-Projects!$C$30+1),0)+IF(AND(Projects!$G$31="Yes",Projects!$M$31="Yes",101&gt;=Projects!$C$31,101&lt;Projects!$C$31+Projects!$D$31),Projects!$B$31*INDEX(Curves!$B$4:$AR$4,1,101-Projects!$C$31+1),0)+IF(AND(Projects!$G$32="Yes",Projects!$M$32="Yes",101&gt;=Projects!$C$32,101&lt;Projects!$C$32+Projects!$D$32),Projects!$B$32*INDEX(Curves!$B$4:$AR$4,1,101-Projects!$C$32+1),0)+IF(AND(Projects!$G$33="Yes",Projects!$M$33="Yes",101&gt;=Projects!$C$33,101&lt;Projects!$C$33+Projects!$D$33),Projects!$B$33*INDEX(Curves!$B$4:$AR$4,1,101-Projects!$C$33+1),0)+IF(AND(Projects!$G$34="Yes",Projects!$M$34="Yes",101&gt;=Projects!$C$34,101&lt;Projects!$C$34+Projects!$D$34),Projects!$B$34*INDEX(Curves!$B$4:$AR$4,1,101-Projects!$C$34+1),0)+IF(AND(Projects!$G$35="Yes",Projects!$M$35="Yes",101&gt;=Projects!$C$35,101&lt;Projects!$C$35+Projects!$D$35),Projects!$B$35*INDEX(Curves!$B$4:$AR$4,1,101-Projects!$C$35+1),0)+IF(AND(Projects!$G$36="Yes",Projects!$M$36="Yes",101&gt;=Projects!$C$36,101&lt;Projects!$C$36+Projects!$D$36),Projects!$B$36*INDEX(Curves!$B$4:$AR$4,1,101-Projects!$C$36+1),0)+IF(AND(Projects!$G$37="Yes",Projects!$M$37="Yes",101&gt;=Projects!$C$37,101&lt;Projects!$C$37+Projects!$D$37),Projects!$B$37*INDEX(Curves!$B$4:$AR$4,1,101-Projects!$C$37+1),0)+IF(AND(Projects!$G$38="Yes",Projects!$M$38="Yes",101&gt;=Projects!$C$38,101&lt;Projects!$C$38+Projects!$D$38),Projects!$B$38*INDEX(Curves!$B$4:$AR$4,1,101-Projects!$C$38+1),0)+IF(AND(Projects!$G$39="Yes",Projects!$M$39="Yes",101&gt;=Projects!$C$39,101&lt;Projects!$C$39+Projects!$D$39),Projects!$B$39*INDEX(Curves!$B$4:$AR$4,1,101-Projects!$C$39+1),0)+IF(AND(Projects!$G$40="Yes",Projects!$M$40="Yes",101&gt;=Projects!$C$40,101&lt;Projects!$C$40+Projects!$D$40),Projects!$B$40*INDEX(Curves!$B$4:$AR$4,1,101-Projects!$C$40+1),0)+IF(AND(Projects!$G$41="Yes",Projects!$M$41="Yes",101&gt;=Projects!$C$41,101&lt;Projects!$C$41+Projects!$D$41),Projects!$B$41*INDEX(Curves!$B$4:$AR$4,1,101-Projects!$C$41+1),0)+IF(AND(Projects!$G$42="Yes",Projects!$M$42="Yes",101&gt;=Projects!$C$42,101&lt;Projects!$C$42+Projects!$D$42),Projects!$B$42*INDEX(Curves!$B$4:$AR$4,1,101-Projects!$C$42+1),0)+IF(AND(Projects!$G$43="Yes",Projects!$M$43="Yes",101&gt;=Projects!$C$43,101&lt;Projects!$C$43+Projects!$D$43),Projects!$B$43*INDEX(Curves!$B$4:$AR$4,1,101-Projects!$C$43+1),0)+IF(AND(Projects!$G$44="Yes",Projects!$M$44="Yes",101&gt;=Projects!$C$44,101&lt;Projects!$C$44+Projects!$D$44),Projects!$B$44*INDEX(Curves!$B$4:$AR$4,1,101-Projects!$C$44+1),0)+IF(AND(Projects!$G$45="Yes",Projects!$M$45="Yes",101&gt;=Projects!$C$45,101&lt;Projects!$C$45+Projects!$D$45),Projects!$B$45*INDEX(Curves!$B$4:$AR$4,1,101-Projects!$C$45+1),0)+IF(AND(Projects!$G$46="Yes",Projects!$M$46="Yes",101&gt;=Projects!$C$46,101&lt;Projects!$C$46+Projects!$D$46),Projects!$B$46*INDEX(Curves!$B$4:$AR$4,1,101-Projects!$C$46+1),0)</f>
        <v>0</v>
      </c>
      <c r="DC101" s="315" t="n">
        <f aca="false">IF(AND(Projects!$G$17="Yes",Projects!$M$17="Yes",102&gt;=Projects!$C$17,102&lt;Projects!$C$17+Projects!$D$17),Projects!$B$17*INDEX(Curves!$B$4:$AR$4,1,102-Projects!$C$17+1),0)+IF(AND(Projects!$G$18="Yes",Projects!$M$18="Yes",102&gt;=Projects!$C$18,102&lt;Projects!$C$18+Projects!$D$18),Projects!$B$18*INDEX(Curves!$B$4:$AR$4,1,102-Projects!$C$18+1),0)+IF(AND(Projects!$G$19="Yes",Projects!$M$19="Yes",102&gt;=Projects!$C$19,102&lt;Projects!$C$19+Projects!$D$19),Projects!$B$19*INDEX(Curves!$B$4:$AR$4,1,102-Projects!$C$19+1),0)+IF(AND(Projects!$G$20="Yes",Projects!$M$20="Yes",102&gt;=Projects!$C$20,102&lt;Projects!$C$20+Projects!$D$20),Projects!$B$20*INDEX(Curves!$B$4:$AR$4,1,102-Projects!$C$20+1),0)+IF(AND(Projects!$G$21="Yes",Projects!$M$21="Yes",102&gt;=Projects!$C$21,102&lt;Projects!$C$21+Projects!$D$21),Projects!$B$21*INDEX(Curves!$B$4:$AR$4,1,102-Projects!$C$21+1),0)+IF(AND(Projects!$G$22="Yes",Projects!$M$22="Yes",102&gt;=Projects!$C$22,102&lt;Projects!$C$22+Projects!$D$22),Projects!$B$22*INDEX(Curves!$B$4:$AR$4,1,102-Projects!$C$22+1),0)+IF(AND(Projects!$G$23="Yes",Projects!$M$23="Yes",102&gt;=Projects!$C$23,102&lt;Projects!$C$23+Projects!$D$23),Projects!$B$23*INDEX(Curves!$B$4:$AR$4,1,102-Projects!$C$23+1),0)+IF(AND(Projects!$G$24="Yes",Projects!$M$24="Yes",102&gt;=Projects!$C$24,102&lt;Projects!$C$24+Projects!$D$24),Projects!$B$24*INDEX(Curves!$B$4:$AR$4,1,102-Projects!$C$24+1),0)+IF(AND(Projects!$G$25="Yes",Projects!$M$25="Yes",102&gt;=Projects!$C$25,102&lt;Projects!$C$25+Projects!$D$25),Projects!$B$25*INDEX(Curves!$B$4:$AR$4,1,102-Projects!$C$25+1),0)+IF(AND(Projects!$G$26="Yes",Projects!$M$26="Yes",102&gt;=Projects!$C$26,102&lt;Projects!$C$26+Projects!$D$26),Projects!$B$26*INDEX(Curves!$B$4:$AR$4,1,102-Projects!$C$26+1),0)+IF(AND(Projects!$G$27="Yes",Projects!$M$27="Yes",102&gt;=Projects!$C$27,102&lt;Projects!$C$27+Projects!$D$27),Projects!$B$27*INDEX(Curves!$B$4:$AR$4,1,102-Projects!$C$27+1),0)+IF(AND(Projects!$G$28="Yes",Projects!$M$28="Yes",102&gt;=Projects!$C$28,102&lt;Projects!$C$28+Projects!$D$28),Projects!$B$28*INDEX(Curves!$B$4:$AR$4,1,102-Projects!$C$28+1),0)+IF(AND(Projects!$G$29="Yes",Projects!$M$29="Yes",102&gt;=Projects!$C$29,102&lt;Projects!$C$29+Projects!$D$29),Projects!$B$29*INDEX(Curves!$B$4:$AR$4,1,102-Projects!$C$29+1),0)+IF(AND(Projects!$G$30="Yes",Projects!$M$30="Yes",102&gt;=Projects!$C$30,102&lt;Projects!$C$30+Projects!$D$30),Projects!$B$30*INDEX(Curves!$B$4:$AR$4,1,102-Projects!$C$30+1),0)+IF(AND(Projects!$G$31="Yes",Projects!$M$31="Yes",102&gt;=Projects!$C$31,102&lt;Projects!$C$31+Projects!$D$31),Projects!$B$31*INDEX(Curves!$B$4:$AR$4,1,102-Projects!$C$31+1),0)+IF(AND(Projects!$G$32="Yes",Projects!$M$32="Yes",102&gt;=Projects!$C$32,102&lt;Projects!$C$32+Projects!$D$32),Projects!$B$32*INDEX(Curves!$B$4:$AR$4,1,102-Projects!$C$32+1),0)+IF(AND(Projects!$G$33="Yes",Projects!$M$33="Yes",102&gt;=Projects!$C$33,102&lt;Projects!$C$33+Projects!$D$33),Projects!$B$33*INDEX(Curves!$B$4:$AR$4,1,102-Projects!$C$33+1),0)+IF(AND(Projects!$G$34="Yes",Projects!$M$34="Yes",102&gt;=Projects!$C$34,102&lt;Projects!$C$34+Projects!$D$34),Projects!$B$34*INDEX(Curves!$B$4:$AR$4,1,102-Projects!$C$34+1),0)+IF(AND(Projects!$G$35="Yes",Projects!$M$35="Yes",102&gt;=Projects!$C$35,102&lt;Projects!$C$35+Projects!$D$35),Projects!$B$35*INDEX(Curves!$B$4:$AR$4,1,102-Projects!$C$35+1),0)+IF(AND(Projects!$G$36="Yes",Projects!$M$36="Yes",102&gt;=Projects!$C$36,102&lt;Projects!$C$36+Projects!$D$36),Projects!$B$36*INDEX(Curves!$B$4:$AR$4,1,102-Projects!$C$36+1),0)+IF(AND(Projects!$G$37="Yes",Projects!$M$37="Yes",102&gt;=Projects!$C$37,102&lt;Projects!$C$37+Projects!$D$37),Projects!$B$37*INDEX(Curves!$B$4:$AR$4,1,102-Projects!$C$37+1),0)+IF(AND(Projects!$G$38="Yes",Projects!$M$38="Yes",102&gt;=Projects!$C$38,102&lt;Projects!$C$38+Projects!$D$38),Projects!$B$38*INDEX(Curves!$B$4:$AR$4,1,102-Projects!$C$38+1),0)+IF(AND(Projects!$G$39="Yes",Projects!$M$39="Yes",102&gt;=Projects!$C$39,102&lt;Projects!$C$39+Projects!$D$39),Projects!$B$39*INDEX(Curves!$B$4:$AR$4,1,102-Projects!$C$39+1),0)+IF(AND(Projects!$G$40="Yes",Projects!$M$40="Yes",102&gt;=Projects!$C$40,102&lt;Projects!$C$40+Projects!$D$40),Projects!$B$40*INDEX(Curves!$B$4:$AR$4,1,102-Projects!$C$40+1),0)+IF(AND(Projects!$G$41="Yes",Projects!$M$41="Yes",102&gt;=Projects!$C$41,102&lt;Projects!$C$41+Projects!$D$41),Projects!$B$41*INDEX(Curves!$B$4:$AR$4,1,102-Projects!$C$41+1),0)+IF(AND(Projects!$G$42="Yes",Projects!$M$42="Yes",102&gt;=Projects!$C$42,102&lt;Projects!$C$42+Projects!$D$42),Projects!$B$42*INDEX(Curves!$B$4:$AR$4,1,102-Projects!$C$42+1),0)+IF(AND(Projects!$G$43="Yes",Projects!$M$43="Yes",102&gt;=Projects!$C$43,102&lt;Projects!$C$43+Projects!$D$43),Projects!$B$43*INDEX(Curves!$B$4:$AR$4,1,102-Projects!$C$43+1),0)+IF(AND(Projects!$G$44="Yes",Projects!$M$44="Yes",102&gt;=Projects!$C$44,102&lt;Projects!$C$44+Projects!$D$44),Projects!$B$44*INDEX(Curves!$B$4:$AR$4,1,102-Projects!$C$44+1),0)+IF(AND(Projects!$G$45="Yes",Projects!$M$45="Yes",102&gt;=Projects!$C$45,102&lt;Projects!$C$45+Projects!$D$45),Projects!$B$45*INDEX(Curves!$B$4:$AR$4,1,102-Projects!$C$45+1),0)+IF(AND(Projects!$G$46="Yes",Projects!$M$46="Yes",102&gt;=Projects!$C$46,102&lt;Projects!$C$46+Projects!$D$46),Projects!$B$46*INDEX(Curves!$B$4:$AR$4,1,102-Projects!$C$46+1),0)</f>
        <v>0</v>
      </c>
      <c r="DD101" s="315" t="n">
        <f aca="false">IF(AND(Projects!$G$17="Yes",Projects!$M$17="Yes",103&gt;=Projects!$C$17,103&lt;Projects!$C$17+Projects!$D$17),Projects!$B$17*INDEX(Curves!$B$4:$AR$4,1,103-Projects!$C$17+1),0)+IF(AND(Projects!$G$18="Yes",Projects!$M$18="Yes",103&gt;=Projects!$C$18,103&lt;Projects!$C$18+Projects!$D$18),Projects!$B$18*INDEX(Curves!$B$4:$AR$4,1,103-Projects!$C$18+1),0)+IF(AND(Projects!$G$19="Yes",Projects!$M$19="Yes",103&gt;=Projects!$C$19,103&lt;Projects!$C$19+Projects!$D$19),Projects!$B$19*INDEX(Curves!$B$4:$AR$4,1,103-Projects!$C$19+1),0)+IF(AND(Projects!$G$20="Yes",Projects!$M$20="Yes",103&gt;=Projects!$C$20,103&lt;Projects!$C$20+Projects!$D$20),Projects!$B$20*INDEX(Curves!$B$4:$AR$4,1,103-Projects!$C$20+1),0)+IF(AND(Projects!$G$21="Yes",Projects!$M$21="Yes",103&gt;=Projects!$C$21,103&lt;Projects!$C$21+Projects!$D$21),Projects!$B$21*INDEX(Curves!$B$4:$AR$4,1,103-Projects!$C$21+1),0)+IF(AND(Projects!$G$22="Yes",Projects!$M$22="Yes",103&gt;=Projects!$C$22,103&lt;Projects!$C$22+Projects!$D$22),Projects!$B$22*INDEX(Curves!$B$4:$AR$4,1,103-Projects!$C$22+1),0)+IF(AND(Projects!$G$23="Yes",Projects!$M$23="Yes",103&gt;=Projects!$C$23,103&lt;Projects!$C$23+Projects!$D$23),Projects!$B$23*INDEX(Curves!$B$4:$AR$4,1,103-Projects!$C$23+1),0)+IF(AND(Projects!$G$24="Yes",Projects!$M$24="Yes",103&gt;=Projects!$C$24,103&lt;Projects!$C$24+Projects!$D$24),Projects!$B$24*INDEX(Curves!$B$4:$AR$4,1,103-Projects!$C$24+1),0)+IF(AND(Projects!$G$25="Yes",Projects!$M$25="Yes",103&gt;=Projects!$C$25,103&lt;Projects!$C$25+Projects!$D$25),Projects!$B$25*INDEX(Curves!$B$4:$AR$4,1,103-Projects!$C$25+1),0)+IF(AND(Projects!$G$26="Yes",Projects!$M$26="Yes",103&gt;=Projects!$C$26,103&lt;Projects!$C$26+Projects!$D$26),Projects!$B$26*INDEX(Curves!$B$4:$AR$4,1,103-Projects!$C$26+1),0)+IF(AND(Projects!$G$27="Yes",Projects!$M$27="Yes",103&gt;=Projects!$C$27,103&lt;Projects!$C$27+Projects!$D$27),Projects!$B$27*INDEX(Curves!$B$4:$AR$4,1,103-Projects!$C$27+1),0)+IF(AND(Projects!$G$28="Yes",Projects!$M$28="Yes",103&gt;=Projects!$C$28,103&lt;Projects!$C$28+Projects!$D$28),Projects!$B$28*INDEX(Curves!$B$4:$AR$4,1,103-Projects!$C$28+1),0)+IF(AND(Projects!$G$29="Yes",Projects!$M$29="Yes",103&gt;=Projects!$C$29,103&lt;Projects!$C$29+Projects!$D$29),Projects!$B$29*INDEX(Curves!$B$4:$AR$4,1,103-Projects!$C$29+1),0)+IF(AND(Projects!$G$30="Yes",Projects!$M$30="Yes",103&gt;=Projects!$C$30,103&lt;Projects!$C$30+Projects!$D$30),Projects!$B$30*INDEX(Curves!$B$4:$AR$4,1,103-Projects!$C$30+1),0)+IF(AND(Projects!$G$31="Yes",Projects!$M$31="Yes",103&gt;=Projects!$C$31,103&lt;Projects!$C$31+Projects!$D$31),Projects!$B$31*INDEX(Curves!$B$4:$AR$4,1,103-Projects!$C$31+1),0)+IF(AND(Projects!$G$32="Yes",Projects!$M$32="Yes",103&gt;=Projects!$C$32,103&lt;Projects!$C$32+Projects!$D$32),Projects!$B$32*INDEX(Curves!$B$4:$AR$4,1,103-Projects!$C$32+1),0)+IF(AND(Projects!$G$33="Yes",Projects!$M$33="Yes",103&gt;=Projects!$C$33,103&lt;Projects!$C$33+Projects!$D$33),Projects!$B$33*INDEX(Curves!$B$4:$AR$4,1,103-Projects!$C$33+1),0)+IF(AND(Projects!$G$34="Yes",Projects!$M$34="Yes",103&gt;=Projects!$C$34,103&lt;Projects!$C$34+Projects!$D$34),Projects!$B$34*INDEX(Curves!$B$4:$AR$4,1,103-Projects!$C$34+1),0)+IF(AND(Projects!$G$35="Yes",Projects!$M$35="Yes",103&gt;=Projects!$C$35,103&lt;Projects!$C$35+Projects!$D$35),Projects!$B$35*INDEX(Curves!$B$4:$AR$4,1,103-Projects!$C$35+1),0)+IF(AND(Projects!$G$36="Yes",Projects!$M$36="Yes",103&gt;=Projects!$C$36,103&lt;Projects!$C$36+Projects!$D$36),Projects!$B$36*INDEX(Curves!$B$4:$AR$4,1,103-Projects!$C$36+1),0)+IF(AND(Projects!$G$37="Yes",Projects!$M$37="Yes",103&gt;=Projects!$C$37,103&lt;Projects!$C$37+Projects!$D$37),Projects!$B$37*INDEX(Curves!$B$4:$AR$4,1,103-Projects!$C$37+1),0)+IF(AND(Projects!$G$38="Yes",Projects!$M$38="Yes",103&gt;=Projects!$C$38,103&lt;Projects!$C$38+Projects!$D$38),Projects!$B$38*INDEX(Curves!$B$4:$AR$4,1,103-Projects!$C$38+1),0)+IF(AND(Projects!$G$39="Yes",Projects!$M$39="Yes",103&gt;=Projects!$C$39,103&lt;Projects!$C$39+Projects!$D$39),Projects!$B$39*INDEX(Curves!$B$4:$AR$4,1,103-Projects!$C$39+1),0)+IF(AND(Projects!$G$40="Yes",Projects!$M$40="Yes",103&gt;=Projects!$C$40,103&lt;Projects!$C$40+Projects!$D$40),Projects!$B$40*INDEX(Curves!$B$4:$AR$4,1,103-Projects!$C$40+1),0)+IF(AND(Projects!$G$41="Yes",Projects!$M$41="Yes",103&gt;=Projects!$C$41,103&lt;Projects!$C$41+Projects!$D$41),Projects!$B$41*INDEX(Curves!$B$4:$AR$4,1,103-Projects!$C$41+1),0)+IF(AND(Projects!$G$42="Yes",Projects!$M$42="Yes",103&gt;=Projects!$C$42,103&lt;Projects!$C$42+Projects!$D$42),Projects!$B$42*INDEX(Curves!$B$4:$AR$4,1,103-Projects!$C$42+1),0)+IF(AND(Projects!$G$43="Yes",Projects!$M$43="Yes",103&gt;=Projects!$C$43,103&lt;Projects!$C$43+Projects!$D$43),Projects!$B$43*INDEX(Curves!$B$4:$AR$4,1,103-Projects!$C$43+1),0)+IF(AND(Projects!$G$44="Yes",Projects!$M$44="Yes",103&gt;=Projects!$C$44,103&lt;Projects!$C$44+Projects!$D$44),Projects!$B$44*INDEX(Curves!$B$4:$AR$4,1,103-Projects!$C$44+1),0)+IF(AND(Projects!$G$45="Yes",Projects!$M$45="Yes",103&gt;=Projects!$C$45,103&lt;Projects!$C$45+Projects!$D$45),Projects!$B$45*INDEX(Curves!$B$4:$AR$4,1,103-Projects!$C$45+1),0)+IF(AND(Projects!$G$46="Yes",Projects!$M$46="Yes",103&gt;=Projects!$C$46,103&lt;Projects!$C$46+Projects!$D$46),Projects!$B$46*INDEX(Curves!$B$4:$AR$4,1,103-Projects!$C$46+1),0)</f>
        <v>0</v>
      </c>
      <c r="DE101" s="315" t="n">
        <f aca="false">IF(AND(Projects!$G$17="Yes",Projects!$M$17="Yes",104&gt;=Projects!$C$17,104&lt;Projects!$C$17+Projects!$D$17),Projects!$B$17*INDEX(Curves!$B$4:$AR$4,1,104-Projects!$C$17+1),0)+IF(AND(Projects!$G$18="Yes",Projects!$M$18="Yes",104&gt;=Projects!$C$18,104&lt;Projects!$C$18+Projects!$D$18),Projects!$B$18*INDEX(Curves!$B$4:$AR$4,1,104-Projects!$C$18+1),0)+IF(AND(Projects!$G$19="Yes",Projects!$M$19="Yes",104&gt;=Projects!$C$19,104&lt;Projects!$C$19+Projects!$D$19),Projects!$B$19*INDEX(Curves!$B$4:$AR$4,1,104-Projects!$C$19+1),0)+IF(AND(Projects!$G$20="Yes",Projects!$M$20="Yes",104&gt;=Projects!$C$20,104&lt;Projects!$C$20+Projects!$D$20),Projects!$B$20*INDEX(Curves!$B$4:$AR$4,1,104-Projects!$C$20+1),0)+IF(AND(Projects!$G$21="Yes",Projects!$M$21="Yes",104&gt;=Projects!$C$21,104&lt;Projects!$C$21+Projects!$D$21),Projects!$B$21*INDEX(Curves!$B$4:$AR$4,1,104-Projects!$C$21+1),0)+IF(AND(Projects!$G$22="Yes",Projects!$M$22="Yes",104&gt;=Projects!$C$22,104&lt;Projects!$C$22+Projects!$D$22),Projects!$B$22*INDEX(Curves!$B$4:$AR$4,1,104-Projects!$C$22+1),0)+IF(AND(Projects!$G$23="Yes",Projects!$M$23="Yes",104&gt;=Projects!$C$23,104&lt;Projects!$C$23+Projects!$D$23),Projects!$B$23*INDEX(Curves!$B$4:$AR$4,1,104-Projects!$C$23+1),0)+IF(AND(Projects!$G$24="Yes",Projects!$M$24="Yes",104&gt;=Projects!$C$24,104&lt;Projects!$C$24+Projects!$D$24),Projects!$B$24*INDEX(Curves!$B$4:$AR$4,1,104-Projects!$C$24+1),0)+IF(AND(Projects!$G$25="Yes",Projects!$M$25="Yes",104&gt;=Projects!$C$25,104&lt;Projects!$C$25+Projects!$D$25),Projects!$B$25*INDEX(Curves!$B$4:$AR$4,1,104-Projects!$C$25+1),0)+IF(AND(Projects!$G$26="Yes",Projects!$M$26="Yes",104&gt;=Projects!$C$26,104&lt;Projects!$C$26+Projects!$D$26),Projects!$B$26*INDEX(Curves!$B$4:$AR$4,1,104-Projects!$C$26+1),0)+IF(AND(Projects!$G$27="Yes",Projects!$M$27="Yes",104&gt;=Projects!$C$27,104&lt;Projects!$C$27+Projects!$D$27),Projects!$B$27*INDEX(Curves!$B$4:$AR$4,1,104-Projects!$C$27+1),0)+IF(AND(Projects!$G$28="Yes",Projects!$M$28="Yes",104&gt;=Projects!$C$28,104&lt;Projects!$C$28+Projects!$D$28),Projects!$B$28*INDEX(Curves!$B$4:$AR$4,1,104-Projects!$C$28+1),0)+IF(AND(Projects!$G$29="Yes",Projects!$M$29="Yes",104&gt;=Projects!$C$29,104&lt;Projects!$C$29+Projects!$D$29),Projects!$B$29*INDEX(Curves!$B$4:$AR$4,1,104-Projects!$C$29+1),0)+IF(AND(Projects!$G$30="Yes",Projects!$M$30="Yes",104&gt;=Projects!$C$30,104&lt;Projects!$C$30+Projects!$D$30),Projects!$B$30*INDEX(Curves!$B$4:$AR$4,1,104-Projects!$C$30+1),0)+IF(AND(Projects!$G$31="Yes",Projects!$M$31="Yes",104&gt;=Projects!$C$31,104&lt;Projects!$C$31+Projects!$D$31),Projects!$B$31*INDEX(Curves!$B$4:$AR$4,1,104-Projects!$C$31+1),0)+IF(AND(Projects!$G$32="Yes",Projects!$M$32="Yes",104&gt;=Projects!$C$32,104&lt;Projects!$C$32+Projects!$D$32),Projects!$B$32*INDEX(Curves!$B$4:$AR$4,1,104-Projects!$C$32+1),0)+IF(AND(Projects!$G$33="Yes",Projects!$M$33="Yes",104&gt;=Projects!$C$33,104&lt;Projects!$C$33+Projects!$D$33),Projects!$B$33*INDEX(Curves!$B$4:$AR$4,1,104-Projects!$C$33+1),0)+IF(AND(Projects!$G$34="Yes",Projects!$M$34="Yes",104&gt;=Projects!$C$34,104&lt;Projects!$C$34+Projects!$D$34),Projects!$B$34*INDEX(Curves!$B$4:$AR$4,1,104-Projects!$C$34+1),0)+IF(AND(Projects!$G$35="Yes",Projects!$M$35="Yes",104&gt;=Projects!$C$35,104&lt;Projects!$C$35+Projects!$D$35),Projects!$B$35*INDEX(Curves!$B$4:$AR$4,1,104-Projects!$C$35+1),0)+IF(AND(Projects!$G$36="Yes",Projects!$M$36="Yes",104&gt;=Projects!$C$36,104&lt;Projects!$C$36+Projects!$D$36),Projects!$B$36*INDEX(Curves!$B$4:$AR$4,1,104-Projects!$C$36+1),0)+IF(AND(Projects!$G$37="Yes",Projects!$M$37="Yes",104&gt;=Projects!$C$37,104&lt;Projects!$C$37+Projects!$D$37),Projects!$B$37*INDEX(Curves!$B$4:$AR$4,1,104-Projects!$C$37+1),0)+IF(AND(Projects!$G$38="Yes",Projects!$M$38="Yes",104&gt;=Projects!$C$38,104&lt;Projects!$C$38+Projects!$D$38),Projects!$B$38*INDEX(Curves!$B$4:$AR$4,1,104-Projects!$C$38+1),0)+IF(AND(Projects!$G$39="Yes",Projects!$M$39="Yes",104&gt;=Projects!$C$39,104&lt;Projects!$C$39+Projects!$D$39),Projects!$B$39*INDEX(Curves!$B$4:$AR$4,1,104-Projects!$C$39+1),0)+IF(AND(Projects!$G$40="Yes",Projects!$M$40="Yes",104&gt;=Projects!$C$40,104&lt;Projects!$C$40+Projects!$D$40),Projects!$B$40*INDEX(Curves!$B$4:$AR$4,1,104-Projects!$C$40+1),0)+IF(AND(Projects!$G$41="Yes",Projects!$M$41="Yes",104&gt;=Projects!$C$41,104&lt;Projects!$C$41+Projects!$D$41),Projects!$B$41*INDEX(Curves!$B$4:$AR$4,1,104-Projects!$C$41+1),0)+IF(AND(Projects!$G$42="Yes",Projects!$M$42="Yes",104&gt;=Projects!$C$42,104&lt;Projects!$C$42+Projects!$D$42),Projects!$B$42*INDEX(Curves!$B$4:$AR$4,1,104-Projects!$C$42+1),0)+IF(AND(Projects!$G$43="Yes",Projects!$M$43="Yes",104&gt;=Projects!$C$43,104&lt;Projects!$C$43+Projects!$D$43),Projects!$B$43*INDEX(Curves!$B$4:$AR$4,1,104-Projects!$C$43+1),0)+IF(AND(Projects!$G$44="Yes",Projects!$M$44="Yes",104&gt;=Projects!$C$44,104&lt;Projects!$C$44+Projects!$D$44),Projects!$B$44*INDEX(Curves!$B$4:$AR$4,1,104-Projects!$C$44+1),0)+IF(AND(Projects!$G$45="Yes",Projects!$M$45="Yes",104&gt;=Projects!$C$45,104&lt;Projects!$C$45+Projects!$D$45),Projects!$B$45*INDEX(Curves!$B$4:$AR$4,1,104-Projects!$C$45+1),0)+IF(AND(Projects!$G$46="Yes",Projects!$M$46="Yes",104&gt;=Projects!$C$46,104&lt;Projects!$C$46+Projects!$D$46),Projects!$B$46*INDEX(Curves!$B$4:$AR$4,1,104-Projects!$C$46+1),0)</f>
        <v>0</v>
      </c>
      <c r="DF101" s="315" t="n">
        <f aca="false">IF(AND(Projects!$G$17="Yes",Projects!$M$17="Yes",105&gt;=Projects!$C$17,105&lt;Projects!$C$17+Projects!$D$17),Projects!$B$17*INDEX(Curves!$B$4:$AR$4,1,105-Projects!$C$17+1),0)+IF(AND(Projects!$G$18="Yes",Projects!$M$18="Yes",105&gt;=Projects!$C$18,105&lt;Projects!$C$18+Projects!$D$18),Projects!$B$18*INDEX(Curves!$B$4:$AR$4,1,105-Projects!$C$18+1),0)+IF(AND(Projects!$G$19="Yes",Projects!$M$19="Yes",105&gt;=Projects!$C$19,105&lt;Projects!$C$19+Projects!$D$19),Projects!$B$19*INDEX(Curves!$B$4:$AR$4,1,105-Projects!$C$19+1),0)+IF(AND(Projects!$G$20="Yes",Projects!$M$20="Yes",105&gt;=Projects!$C$20,105&lt;Projects!$C$20+Projects!$D$20),Projects!$B$20*INDEX(Curves!$B$4:$AR$4,1,105-Projects!$C$20+1),0)+IF(AND(Projects!$G$21="Yes",Projects!$M$21="Yes",105&gt;=Projects!$C$21,105&lt;Projects!$C$21+Projects!$D$21),Projects!$B$21*INDEX(Curves!$B$4:$AR$4,1,105-Projects!$C$21+1),0)+IF(AND(Projects!$G$22="Yes",Projects!$M$22="Yes",105&gt;=Projects!$C$22,105&lt;Projects!$C$22+Projects!$D$22),Projects!$B$22*INDEX(Curves!$B$4:$AR$4,1,105-Projects!$C$22+1),0)+IF(AND(Projects!$G$23="Yes",Projects!$M$23="Yes",105&gt;=Projects!$C$23,105&lt;Projects!$C$23+Projects!$D$23),Projects!$B$23*INDEX(Curves!$B$4:$AR$4,1,105-Projects!$C$23+1),0)+IF(AND(Projects!$G$24="Yes",Projects!$M$24="Yes",105&gt;=Projects!$C$24,105&lt;Projects!$C$24+Projects!$D$24),Projects!$B$24*INDEX(Curves!$B$4:$AR$4,1,105-Projects!$C$24+1),0)+IF(AND(Projects!$G$25="Yes",Projects!$M$25="Yes",105&gt;=Projects!$C$25,105&lt;Projects!$C$25+Projects!$D$25),Projects!$B$25*INDEX(Curves!$B$4:$AR$4,1,105-Projects!$C$25+1),0)+IF(AND(Projects!$G$26="Yes",Projects!$M$26="Yes",105&gt;=Projects!$C$26,105&lt;Projects!$C$26+Projects!$D$26),Projects!$B$26*INDEX(Curves!$B$4:$AR$4,1,105-Projects!$C$26+1),0)+IF(AND(Projects!$G$27="Yes",Projects!$M$27="Yes",105&gt;=Projects!$C$27,105&lt;Projects!$C$27+Projects!$D$27),Projects!$B$27*INDEX(Curves!$B$4:$AR$4,1,105-Projects!$C$27+1),0)+IF(AND(Projects!$G$28="Yes",Projects!$M$28="Yes",105&gt;=Projects!$C$28,105&lt;Projects!$C$28+Projects!$D$28),Projects!$B$28*INDEX(Curves!$B$4:$AR$4,1,105-Projects!$C$28+1),0)+IF(AND(Projects!$G$29="Yes",Projects!$M$29="Yes",105&gt;=Projects!$C$29,105&lt;Projects!$C$29+Projects!$D$29),Projects!$B$29*INDEX(Curves!$B$4:$AR$4,1,105-Projects!$C$29+1),0)+IF(AND(Projects!$G$30="Yes",Projects!$M$30="Yes",105&gt;=Projects!$C$30,105&lt;Projects!$C$30+Projects!$D$30),Projects!$B$30*INDEX(Curves!$B$4:$AR$4,1,105-Projects!$C$30+1),0)+IF(AND(Projects!$G$31="Yes",Projects!$M$31="Yes",105&gt;=Projects!$C$31,105&lt;Projects!$C$31+Projects!$D$31),Projects!$B$31*INDEX(Curves!$B$4:$AR$4,1,105-Projects!$C$31+1),0)+IF(AND(Projects!$G$32="Yes",Projects!$M$32="Yes",105&gt;=Projects!$C$32,105&lt;Projects!$C$32+Projects!$D$32),Projects!$B$32*INDEX(Curves!$B$4:$AR$4,1,105-Projects!$C$32+1),0)+IF(AND(Projects!$G$33="Yes",Projects!$M$33="Yes",105&gt;=Projects!$C$33,105&lt;Projects!$C$33+Projects!$D$33),Projects!$B$33*INDEX(Curves!$B$4:$AR$4,1,105-Projects!$C$33+1),0)+IF(AND(Projects!$G$34="Yes",Projects!$M$34="Yes",105&gt;=Projects!$C$34,105&lt;Projects!$C$34+Projects!$D$34),Projects!$B$34*INDEX(Curves!$B$4:$AR$4,1,105-Projects!$C$34+1),0)+IF(AND(Projects!$G$35="Yes",Projects!$M$35="Yes",105&gt;=Projects!$C$35,105&lt;Projects!$C$35+Projects!$D$35),Projects!$B$35*INDEX(Curves!$B$4:$AR$4,1,105-Projects!$C$35+1),0)+IF(AND(Projects!$G$36="Yes",Projects!$M$36="Yes",105&gt;=Projects!$C$36,105&lt;Projects!$C$36+Projects!$D$36),Projects!$B$36*INDEX(Curves!$B$4:$AR$4,1,105-Projects!$C$36+1),0)+IF(AND(Projects!$G$37="Yes",Projects!$M$37="Yes",105&gt;=Projects!$C$37,105&lt;Projects!$C$37+Projects!$D$37),Projects!$B$37*INDEX(Curves!$B$4:$AR$4,1,105-Projects!$C$37+1),0)+IF(AND(Projects!$G$38="Yes",Projects!$M$38="Yes",105&gt;=Projects!$C$38,105&lt;Projects!$C$38+Projects!$D$38),Projects!$B$38*INDEX(Curves!$B$4:$AR$4,1,105-Projects!$C$38+1),0)+IF(AND(Projects!$G$39="Yes",Projects!$M$39="Yes",105&gt;=Projects!$C$39,105&lt;Projects!$C$39+Projects!$D$39),Projects!$B$39*INDEX(Curves!$B$4:$AR$4,1,105-Projects!$C$39+1),0)+IF(AND(Projects!$G$40="Yes",Projects!$M$40="Yes",105&gt;=Projects!$C$40,105&lt;Projects!$C$40+Projects!$D$40),Projects!$B$40*INDEX(Curves!$B$4:$AR$4,1,105-Projects!$C$40+1),0)+IF(AND(Projects!$G$41="Yes",Projects!$M$41="Yes",105&gt;=Projects!$C$41,105&lt;Projects!$C$41+Projects!$D$41),Projects!$B$41*INDEX(Curves!$B$4:$AR$4,1,105-Projects!$C$41+1),0)+IF(AND(Projects!$G$42="Yes",Projects!$M$42="Yes",105&gt;=Projects!$C$42,105&lt;Projects!$C$42+Projects!$D$42),Projects!$B$42*INDEX(Curves!$B$4:$AR$4,1,105-Projects!$C$42+1),0)+IF(AND(Projects!$G$43="Yes",Projects!$M$43="Yes",105&gt;=Projects!$C$43,105&lt;Projects!$C$43+Projects!$D$43),Projects!$B$43*INDEX(Curves!$B$4:$AR$4,1,105-Projects!$C$43+1),0)+IF(AND(Projects!$G$44="Yes",Projects!$M$44="Yes",105&gt;=Projects!$C$44,105&lt;Projects!$C$44+Projects!$D$44),Projects!$B$44*INDEX(Curves!$B$4:$AR$4,1,105-Projects!$C$44+1),0)+IF(AND(Projects!$G$45="Yes",Projects!$M$45="Yes",105&gt;=Projects!$C$45,105&lt;Projects!$C$45+Projects!$D$45),Projects!$B$45*INDEX(Curves!$B$4:$AR$4,1,105-Projects!$C$45+1),0)+IF(AND(Projects!$G$46="Yes",Projects!$M$46="Yes",105&gt;=Projects!$C$46,105&lt;Projects!$C$46+Projects!$D$46),Projects!$B$46*INDEX(Curves!$B$4:$AR$4,1,105-Projects!$C$46+1),0)</f>
        <v>0</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CH44"/>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7109375" defaultRowHeight="13.5" zeroHeight="false" outlineLevelRow="0" outlineLevelCol="0"/>
  <cols>
    <col collapsed="false" customWidth="true" hidden="false" outlineLevel="0" max="1" min="1" style="1" width="30"/>
    <col collapsed="false" customWidth="true" hidden="false" outlineLevel="0" max="4" min="2" style="1" width="16"/>
    <col collapsed="false" customWidth="true" hidden="false" outlineLevel="0" max="86" min="5" style="1" width="12"/>
  </cols>
  <sheetData>
    <row r="1" customFormat="false" ht="15.75" hidden="false" customHeight="true" outlineLevel="0" collapsed="false">
      <c r="A1" s="97" t="s">
        <v>1179</v>
      </c>
      <c r="B1" s="90"/>
      <c r="C1" s="90"/>
      <c r="D1" s="90"/>
      <c r="E1" s="90"/>
      <c r="F1" s="90"/>
      <c r="G1" s="90"/>
      <c r="H1" s="90"/>
      <c r="I1" s="90"/>
      <c r="J1" s="90"/>
      <c r="K1" s="90"/>
      <c r="L1" s="90"/>
      <c r="M1" s="90"/>
      <c r="N1" s="90"/>
      <c r="O1" s="90"/>
      <c r="P1" s="90"/>
      <c r="Q1" s="90"/>
      <c r="R1" s="90"/>
      <c r="S1" s="90"/>
      <c r="T1" s="90"/>
      <c r="U1" s="90"/>
      <c r="V1" s="90"/>
      <c r="W1" s="90"/>
      <c r="X1" s="90"/>
      <c r="Y1" s="90"/>
      <c r="Z1" s="90"/>
      <c r="AA1" s="90"/>
      <c r="AB1" s="90"/>
      <c r="AC1" s="90"/>
      <c r="AD1" s="90"/>
      <c r="AE1" s="90"/>
      <c r="AF1" s="90"/>
      <c r="AG1" s="90"/>
      <c r="AH1" s="90"/>
      <c r="AI1" s="90"/>
      <c r="AJ1" s="90"/>
      <c r="AK1" s="90"/>
      <c r="AL1" s="90"/>
      <c r="AM1" s="90"/>
      <c r="AN1" s="90"/>
      <c r="AO1" s="90"/>
      <c r="AP1" s="90"/>
      <c r="AQ1" s="90"/>
      <c r="AR1" s="90"/>
      <c r="AS1" s="90"/>
      <c r="AT1" s="90"/>
      <c r="AU1" s="90"/>
      <c r="AV1" s="90"/>
      <c r="AW1" s="90"/>
      <c r="AX1" s="90"/>
      <c r="AY1" s="90"/>
      <c r="AZ1" s="90"/>
      <c r="BA1" s="90"/>
      <c r="BB1" s="90"/>
      <c r="BC1" s="90"/>
      <c r="BD1" s="90"/>
      <c r="BE1" s="90"/>
      <c r="BF1" s="90"/>
      <c r="BG1" s="90"/>
      <c r="BH1" s="90"/>
      <c r="BI1" s="90"/>
      <c r="BJ1" s="90"/>
      <c r="BK1" s="90"/>
      <c r="BL1" s="90"/>
      <c r="BM1" s="90"/>
      <c r="BN1" s="90"/>
      <c r="BO1" s="90"/>
      <c r="BP1" s="90"/>
      <c r="BQ1" s="90"/>
      <c r="BR1" s="90"/>
      <c r="BS1" s="90"/>
      <c r="BT1" s="90"/>
      <c r="BU1" s="90"/>
      <c r="BV1" s="90"/>
      <c r="BW1" s="90"/>
      <c r="BX1" s="90"/>
      <c r="BY1" s="90"/>
      <c r="BZ1" s="90"/>
      <c r="CA1" s="90"/>
      <c r="CB1" s="90"/>
      <c r="CC1" s="90"/>
      <c r="CD1" s="90"/>
      <c r="CE1" s="90"/>
      <c r="CF1" s="90"/>
      <c r="CG1" s="90"/>
      <c r="CH1" s="90"/>
    </row>
    <row r="2" customFormat="false" ht="15" hidden="false" customHeight="true" outlineLevel="0" collapsed="false">
      <c r="A2" s="90"/>
      <c r="B2" s="90"/>
      <c r="C2" s="316"/>
      <c r="D2" s="316"/>
      <c r="E2" s="316"/>
      <c r="F2" s="316"/>
      <c r="G2" s="316"/>
      <c r="H2" s="316"/>
      <c r="I2" s="316"/>
      <c r="J2" s="316"/>
      <c r="K2" s="316"/>
      <c r="L2" s="316"/>
      <c r="M2" s="316"/>
      <c r="N2" s="316"/>
      <c r="O2" s="316"/>
      <c r="P2" s="316"/>
      <c r="Q2" s="316"/>
      <c r="R2" s="316"/>
      <c r="S2" s="316"/>
      <c r="T2" s="316"/>
      <c r="U2" s="316"/>
      <c r="V2" s="316"/>
      <c r="W2" s="316"/>
      <c r="X2" s="316"/>
      <c r="Y2" s="316"/>
      <c r="Z2" s="316"/>
      <c r="AA2" s="316"/>
      <c r="AB2" s="316"/>
      <c r="AC2" s="316"/>
      <c r="AD2" s="316"/>
      <c r="AE2" s="316"/>
      <c r="AF2" s="316"/>
      <c r="AG2" s="316"/>
      <c r="AH2" s="316"/>
      <c r="AI2" s="316"/>
      <c r="AJ2" s="316"/>
      <c r="AK2" s="316"/>
      <c r="AL2" s="316"/>
      <c r="AM2" s="316"/>
      <c r="AN2" s="316"/>
      <c r="AO2" s="316"/>
      <c r="AP2" s="316"/>
      <c r="AQ2" s="316"/>
      <c r="AR2" s="316"/>
      <c r="AS2" s="316"/>
      <c r="AT2" s="316"/>
      <c r="AU2" s="316"/>
      <c r="AV2" s="316"/>
      <c r="AW2" s="316"/>
      <c r="AX2" s="316"/>
      <c r="AY2" s="316"/>
      <c r="AZ2" s="316"/>
      <c r="BA2" s="316"/>
      <c r="BB2" s="316"/>
      <c r="BC2" s="316"/>
      <c r="BD2" s="316"/>
      <c r="BE2" s="316"/>
      <c r="BF2" s="316"/>
      <c r="BG2" s="316"/>
      <c r="BH2" s="316"/>
      <c r="BI2" s="316"/>
      <c r="BJ2" s="316"/>
      <c r="BK2" s="316"/>
      <c r="BL2" s="316"/>
      <c r="BM2" s="316"/>
      <c r="BN2" s="316"/>
      <c r="BO2" s="316"/>
      <c r="BP2" s="316"/>
      <c r="BQ2" s="316"/>
      <c r="BR2" s="316"/>
      <c r="BS2" s="316"/>
      <c r="BT2" s="316"/>
      <c r="BU2" s="316"/>
      <c r="BV2" s="316"/>
      <c r="BW2" s="316"/>
      <c r="BX2" s="316"/>
      <c r="BY2" s="316"/>
      <c r="BZ2" s="316"/>
      <c r="CA2" s="316"/>
      <c r="CB2" s="316"/>
      <c r="CC2" s="316"/>
      <c r="CD2" s="316"/>
      <c r="CE2" s="316"/>
      <c r="CF2" s="316"/>
      <c r="CG2" s="316"/>
      <c r="CH2" s="316"/>
    </row>
    <row r="3" customFormat="false" ht="15" hidden="false" customHeight="true" outlineLevel="0" collapsed="false">
      <c r="A3" s="317"/>
      <c r="B3" s="318" t="s">
        <v>1180</v>
      </c>
      <c r="C3" s="318" t="s">
        <v>1181</v>
      </c>
      <c r="D3" s="318" t="s">
        <v>1182</v>
      </c>
      <c r="E3" s="90"/>
      <c r="F3" s="90"/>
      <c r="G3" s="90"/>
      <c r="H3" s="90"/>
      <c r="I3" s="90"/>
      <c r="J3" s="90"/>
      <c r="K3" s="90"/>
      <c r="L3" s="90"/>
      <c r="M3" s="90"/>
      <c r="N3" s="90"/>
      <c r="O3" s="90"/>
      <c r="P3" s="90"/>
      <c r="Q3" s="90"/>
      <c r="R3" s="90"/>
      <c r="S3" s="90"/>
      <c r="T3" s="90"/>
      <c r="U3" s="90"/>
      <c r="V3" s="90"/>
      <c r="W3" s="90"/>
      <c r="X3" s="90"/>
      <c r="Y3" s="90"/>
      <c r="Z3" s="90"/>
      <c r="AA3" s="90"/>
      <c r="AB3" s="90"/>
      <c r="AC3" s="90"/>
      <c r="AD3" s="90"/>
      <c r="AE3" s="90"/>
      <c r="AF3" s="90"/>
      <c r="AG3" s="90"/>
      <c r="AH3" s="90"/>
      <c r="AI3" s="90"/>
      <c r="AJ3" s="90"/>
      <c r="AK3" s="90"/>
      <c r="AL3" s="90"/>
      <c r="AM3" s="90"/>
      <c r="AN3" s="90"/>
      <c r="AO3" s="90"/>
      <c r="AP3" s="90"/>
      <c r="AQ3" s="90"/>
      <c r="AR3" s="90"/>
      <c r="AS3" s="90"/>
      <c r="AT3" s="90"/>
      <c r="AU3" s="90"/>
      <c r="AV3" s="90"/>
      <c r="AW3" s="90"/>
      <c r="AX3" s="90"/>
      <c r="AY3" s="90"/>
      <c r="AZ3" s="90"/>
      <c r="BA3" s="90"/>
      <c r="BB3" s="90"/>
      <c r="BC3" s="90"/>
      <c r="BD3" s="90"/>
      <c r="BE3" s="90"/>
      <c r="BF3" s="90"/>
      <c r="BG3" s="90"/>
      <c r="BH3" s="90"/>
      <c r="BI3" s="90"/>
      <c r="BJ3" s="90"/>
      <c r="BK3" s="90"/>
      <c r="BL3" s="90"/>
      <c r="BM3" s="90"/>
      <c r="BN3" s="90"/>
      <c r="BO3" s="90"/>
      <c r="BP3" s="90"/>
      <c r="BQ3" s="90"/>
      <c r="BR3" s="90"/>
      <c r="BS3" s="90"/>
      <c r="BT3" s="90"/>
      <c r="BU3" s="90"/>
      <c r="BV3" s="90"/>
      <c r="BW3" s="90"/>
      <c r="BX3" s="90"/>
      <c r="BY3" s="90"/>
      <c r="BZ3" s="90"/>
      <c r="CA3" s="90"/>
      <c r="CB3" s="90"/>
      <c r="CC3" s="90"/>
      <c r="CD3" s="90"/>
      <c r="CE3" s="90"/>
      <c r="CF3" s="90"/>
      <c r="CG3" s="90"/>
      <c r="CH3" s="90"/>
    </row>
    <row r="4" customFormat="false" ht="15" hidden="false" customHeight="true" outlineLevel="0" collapsed="false">
      <c r="A4" s="90"/>
      <c r="B4" s="220"/>
      <c r="C4" s="220"/>
      <c r="D4" s="220"/>
      <c r="E4" s="90"/>
      <c r="F4" s="90"/>
      <c r="G4" s="90"/>
      <c r="H4" s="90"/>
      <c r="I4" s="90"/>
      <c r="J4" s="90"/>
      <c r="K4" s="90"/>
      <c r="L4" s="90"/>
      <c r="M4" s="90"/>
      <c r="N4" s="90"/>
      <c r="O4" s="90"/>
      <c r="P4" s="90"/>
      <c r="Q4" s="90"/>
      <c r="R4" s="90"/>
      <c r="S4" s="90"/>
      <c r="T4" s="90"/>
      <c r="U4" s="90"/>
      <c r="V4" s="90"/>
      <c r="W4" s="90"/>
      <c r="X4" s="90"/>
      <c r="Y4" s="90"/>
      <c r="Z4" s="90"/>
      <c r="AA4" s="90"/>
      <c r="AB4" s="90"/>
      <c r="AC4" s="90"/>
      <c r="AD4" s="90"/>
      <c r="AE4" s="90"/>
      <c r="AF4" s="90"/>
      <c r="AG4" s="90"/>
      <c r="AH4" s="90"/>
      <c r="AI4" s="90"/>
      <c r="AJ4" s="90"/>
      <c r="AK4" s="90"/>
      <c r="AL4" s="90"/>
      <c r="AM4" s="90"/>
      <c r="AN4" s="90"/>
      <c r="AO4" s="90"/>
      <c r="AP4" s="90"/>
      <c r="AQ4" s="90"/>
      <c r="AR4" s="90"/>
      <c r="AS4" s="90"/>
      <c r="AT4" s="90"/>
      <c r="AU4" s="90"/>
      <c r="AV4" s="90"/>
      <c r="AW4" s="90"/>
      <c r="AX4" s="90"/>
      <c r="AY4" s="90"/>
      <c r="AZ4" s="90"/>
      <c r="BA4" s="90"/>
      <c r="BB4" s="90"/>
      <c r="BC4" s="90"/>
      <c r="BD4" s="90"/>
      <c r="BE4" s="90"/>
      <c r="BF4" s="90"/>
      <c r="BG4" s="90"/>
      <c r="BH4" s="90"/>
      <c r="BI4" s="90"/>
      <c r="BJ4" s="90"/>
      <c r="BK4" s="90"/>
      <c r="BL4" s="90"/>
      <c r="BM4" s="90"/>
      <c r="BN4" s="90"/>
      <c r="BO4" s="90"/>
      <c r="BP4" s="90"/>
      <c r="BQ4" s="90"/>
      <c r="BR4" s="90"/>
      <c r="BS4" s="90"/>
      <c r="BT4" s="90"/>
      <c r="BU4" s="90"/>
      <c r="BV4" s="90"/>
      <c r="BW4" s="90"/>
      <c r="BX4" s="90"/>
      <c r="BY4" s="90"/>
      <c r="BZ4" s="90"/>
      <c r="CA4" s="90"/>
      <c r="CB4" s="90"/>
      <c r="CC4" s="90"/>
      <c r="CD4" s="90"/>
      <c r="CE4" s="90"/>
      <c r="CF4" s="90"/>
      <c r="CG4" s="90"/>
      <c r="CH4" s="90"/>
    </row>
    <row r="5" customFormat="false" ht="15" hidden="false" customHeight="true" outlineLevel="0" collapsed="false">
      <c r="A5" s="319" t="s">
        <v>12</v>
      </c>
      <c r="B5" s="320"/>
      <c r="C5" s="320"/>
      <c r="D5" s="320"/>
      <c r="E5" s="220"/>
      <c r="F5" s="220"/>
      <c r="G5" s="220"/>
      <c r="H5" s="220"/>
      <c r="I5" s="220"/>
      <c r="J5" s="220"/>
      <c r="K5" s="220"/>
      <c r="L5" s="220"/>
      <c r="M5" s="220"/>
      <c r="N5" s="220"/>
      <c r="O5" s="220"/>
      <c r="P5" s="220"/>
      <c r="Q5" s="220"/>
      <c r="R5" s="220"/>
      <c r="S5" s="220"/>
      <c r="T5" s="220"/>
      <c r="U5" s="220"/>
      <c r="V5" s="220"/>
      <c r="W5" s="220"/>
      <c r="X5" s="220"/>
      <c r="Y5" s="220"/>
      <c r="Z5" s="220"/>
      <c r="AA5" s="220"/>
      <c r="AB5" s="220"/>
      <c r="AC5" s="220"/>
      <c r="AD5" s="220"/>
      <c r="AE5" s="220"/>
      <c r="AF5" s="220"/>
      <c r="AG5" s="220"/>
      <c r="AH5" s="220"/>
      <c r="AI5" s="220"/>
      <c r="AJ5" s="220"/>
      <c r="AK5" s="220"/>
      <c r="AL5" s="220"/>
      <c r="AM5" s="220"/>
      <c r="AN5" s="220"/>
      <c r="AO5" s="220"/>
      <c r="AP5" s="220"/>
      <c r="AQ5" s="220"/>
      <c r="AR5" s="220"/>
      <c r="AS5" s="220"/>
      <c r="AT5" s="220"/>
      <c r="AU5" s="220"/>
      <c r="AV5" s="220"/>
      <c r="AW5" s="220"/>
      <c r="AX5" s="220"/>
      <c r="AY5" s="220"/>
      <c r="AZ5" s="220"/>
      <c r="BA5" s="220"/>
      <c r="BB5" s="220"/>
      <c r="BC5" s="220"/>
      <c r="BD5" s="220"/>
      <c r="BE5" s="220"/>
      <c r="BF5" s="220"/>
      <c r="BG5" s="220"/>
      <c r="BH5" s="220"/>
      <c r="BI5" s="220"/>
      <c r="BJ5" s="220"/>
      <c r="BK5" s="220"/>
      <c r="BL5" s="220"/>
      <c r="BM5" s="220"/>
      <c r="BN5" s="220"/>
      <c r="BO5" s="220"/>
      <c r="BP5" s="220"/>
      <c r="BQ5" s="220"/>
      <c r="BR5" s="220"/>
      <c r="BS5" s="220"/>
      <c r="BT5" s="220"/>
      <c r="BU5" s="220"/>
      <c r="BV5" s="220"/>
      <c r="BW5" s="220"/>
      <c r="BX5" s="220"/>
      <c r="BY5" s="220"/>
      <c r="BZ5" s="220"/>
      <c r="CA5" s="220"/>
      <c r="CB5" s="220"/>
      <c r="CC5" s="220"/>
      <c r="CD5" s="220"/>
      <c r="CE5" s="220"/>
      <c r="CF5" s="220"/>
      <c r="CG5" s="220"/>
      <c r="CH5" s="220"/>
    </row>
    <row r="6" customFormat="false" ht="15" hidden="false" customHeight="true" outlineLevel="0" collapsed="false">
      <c r="A6" s="321" t="s">
        <v>1183</v>
      </c>
      <c r="B6" s="322" t="n">
        <f aca="false">SUM(Model!E254:CG254)</f>
        <v>1114996</v>
      </c>
      <c r="C6" s="322" t="n">
        <f aca="false">Helpers!B47</f>
        <v>1912475</v>
      </c>
      <c r="D6" s="322" t="n">
        <f aca="false">B6+C6</f>
        <v>3027471</v>
      </c>
      <c r="E6" s="220"/>
      <c r="F6" s="220"/>
      <c r="G6" s="220"/>
      <c r="H6" s="220"/>
      <c r="I6" s="220"/>
      <c r="J6" s="220"/>
      <c r="K6" s="220"/>
      <c r="L6" s="220"/>
      <c r="M6" s="220"/>
      <c r="N6" s="220"/>
      <c r="O6" s="220"/>
      <c r="P6" s="220"/>
      <c r="Q6" s="220"/>
      <c r="R6" s="220"/>
      <c r="S6" s="220"/>
      <c r="T6" s="220"/>
      <c r="U6" s="220"/>
      <c r="V6" s="220"/>
      <c r="W6" s="220"/>
      <c r="X6" s="220"/>
      <c r="Y6" s="220"/>
      <c r="Z6" s="220"/>
      <c r="AA6" s="220"/>
      <c r="AB6" s="220"/>
      <c r="AC6" s="220"/>
      <c r="AD6" s="220"/>
      <c r="AE6" s="220"/>
      <c r="AF6" s="220"/>
      <c r="AG6" s="220"/>
      <c r="AH6" s="220"/>
      <c r="AI6" s="220"/>
      <c r="AJ6" s="220"/>
      <c r="AK6" s="220"/>
      <c r="AL6" s="220"/>
      <c r="AM6" s="220"/>
      <c r="AN6" s="220"/>
      <c r="AO6" s="220"/>
      <c r="AP6" s="220"/>
      <c r="AQ6" s="220"/>
      <c r="AR6" s="220"/>
      <c r="AS6" s="220"/>
      <c r="AT6" s="220"/>
      <c r="AU6" s="220"/>
      <c r="AV6" s="220"/>
      <c r="AW6" s="220"/>
      <c r="AX6" s="220"/>
      <c r="AY6" s="220"/>
      <c r="AZ6" s="220"/>
      <c r="BA6" s="220"/>
      <c r="BB6" s="220"/>
      <c r="BC6" s="220"/>
      <c r="BD6" s="220"/>
      <c r="BE6" s="220"/>
      <c r="BF6" s="220"/>
      <c r="BG6" s="220"/>
      <c r="BH6" s="220"/>
      <c r="BI6" s="220"/>
      <c r="BJ6" s="220"/>
      <c r="BK6" s="220"/>
      <c r="BL6" s="220"/>
      <c r="BM6" s="220"/>
      <c r="BN6" s="220"/>
      <c r="BO6" s="220"/>
      <c r="BP6" s="220"/>
      <c r="BQ6" s="220"/>
      <c r="BR6" s="220"/>
      <c r="BS6" s="220"/>
      <c r="BT6" s="220"/>
      <c r="BU6" s="220"/>
      <c r="BV6" s="220"/>
      <c r="BW6" s="220"/>
      <c r="BX6" s="220"/>
      <c r="BY6" s="220"/>
      <c r="BZ6" s="220"/>
      <c r="CA6" s="220"/>
      <c r="CB6" s="220"/>
      <c r="CC6" s="220"/>
      <c r="CD6" s="220"/>
      <c r="CE6" s="220"/>
      <c r="CF6" s="220"/>
      <c r="CG6" s="220"/>
      <c r="CH6" s="220"/>
    </row>
    <row r="7" customFormat="false" ht="15" hidden="false" customHeight="true" outlineLevel="0" collapsed="false">
      <c r="A7" s="90" t="s">
        <v>1184</v>
      </c>
      <c r="B7" s="220" t="n">
        <f aca="false">-Projects!$B$7*Assumptions!$B$47</f>
        <v>-427947.65</v>
      </c>
      <c r="C7" s="220" t="n">
        <v>0</v>
      </c>
      <c r="D7" s="220" t="n">
        <f aca="false">B7+C7</f>
        <v>-427947.65</v>
      </c>
      <c r="E7" s="220"/>
      <c r="F7" s="220"/>
      <c r="G7" s="220"/>
      <c r="H7" s="220"/>
      <c r="I7" s="220"/>
      <c r="J7" s="220"/>
      <c r="K7" s="220"/>
      <c r="L7" s="220"/>
      <c r="M7" s="220"/>
      <c r="N7" s="220"/>
      <c r="O7" s="220"/>
      <c r="P7" s="220"/>
      <c r="Q7" s="220"/>
      <c r="R7" s="220"/>
      <c r="S7" s="220"/>
      <c r="T7" s="220"/>
      <c r="U7" s="220"/>
      <c r="V7" s="220"/>
      <c r="W7" s="220"/>
      <c r="X7" s="220"/>
      <c r="Y7" s="220"/>
      <c r="Z7" s="220"/>
      <c r="AA7" s="220"/>
      <c r="AB7" s="220"/>
      <c r="AC7" s="220"/>
      <c r="AD7" s="220"/>
      <c r="AE7" s="220"/>
      <c r="AF7" s="220"/>
      <c r="AG7" s="220"/>
      <c r="AH7" s="220"/>
      <c r="AI7" s="220"/>
      <c r="AJ7" s="220"/>
      <c r="AK7" s="220"/>
      <c r="AL7" s="220"/>
      <c r="AM7" s="220"/>
      <c r="AN7" s="220"/>
      <c r="AO7" s="220"/>
      <c r="AP7" s="220"/>
      <c r="AQ7" s="220"/>
      <c r="AR7" s="220"/>
      <c r="AS7" s="220"/>
      <c r="AT7" s="220"/>
      <c r="AU7" s="220"/>
      <c r="AV7" s="220"/>
      <c r="AW7" s="220"/>
      <c r="AX7" s="220"/>
      <c r="AY7" s="220"/>
      <c r="AZ7" s="220"/>
      <c r="BA7" s="220"/>
      <c r="BB7" s="220"/>
      <c r="BC7" s="220"/>
      <c r="BD7" s="220"/>
      <c r="BE7" s="220"/>
      <c r="BF7" s="220"/>
      <c r="BG7" s="220"/>
      <c r="BH7" s="220"/>
      <c r="BI7" s="220"/>
      <c r="BJ7" s="220"/>
      <c r="BK7" s="220"/>
      <c r="BL7" s="220"/>
      <c r="BM7" s="220"/>
      <c r="BN7" s="220"/>
      <c r="BO7" s="220"/>
      <c r="BP7" s="220"/>
      <c r="BQ7" s="220"/>
      <c r="BR7" s="220"/>
      <c r="BS7" s="220"/>
      <c r="BT7" s="220"/>
      <c r="BU7" s="220"/>
      <c r="BV7" s="220"/>
      <c r="BW7" s="220"/>
      <c r="BX7" s="220"/>
      <c r="BY7" s="220"/>
      <c r="BZ7" s="220"/>
      <c r="CA7" s="220"/>
      <c r="CB7" s="220"/>
      <c r="CC7" s="220"/>
      <c r="CD7" s="220"/>
      <c r="CE7" s="220"/>
      <c r="CF7" s="220"/>
      <c r="CG7" s="220"/>
      <c r="CH7" s="220"/>
    </row>
    <row r="8" customFormat="false" ht="15" hidden="false" customHeight="true" outlineLevel="0" collapsed="false">
      <c r="A8" s="321" t="s">
        <v>1185</v>
      </c>
      <c r="B8" s="322" t="n">
        <f aca="false">-Assumptions!$B$53*Assumptions!$B$48</f>
        <v>-150000</v>
      </c>
      <c r="C8" s="322" t="n">
        <v>0</v>
      </c>
      <c r="D8" s="322" t="n">
        <f aca="false">B8+C8</f>
        <v>-150000</v>
      </c>
      <c r="E8" s="90"/>
      <c r="F8" s="90"/>
      <c r="G8" s="90"/>
      <c r="H8" s="90"/>
      <c r="I8" s="90"/>
      <c r="J8" s="90"/>
      <c r="K8" s="90"/>
      <c r="L8" s="90"/>
      <c r="M8" s="90"/>
      <c r="N8" s="90"/>
      <c r="O8" s="90"/>
      <c r="P8" s="90"/>
      <c r="Q8" s="90"/>
      <c r="R8" s="90"/>
      <c r="S8" s="90"/>
      <c r="T8" s="90"/>
      <c r="U8" s="90"/>
      <c r="V8" s="90"/>
      <c r="W8" s="90"/>
      <c r="X8" s="90"/>
      <c r="Y8" s="90"/>
      <c r="Z8" s="90"/>
      <c r="AA8" s="90"/>
      <c r="AB8" s="90"/>
      <c r="AC8" s="90"/>
      <c r="AD8" s="90"/>
      <c r="AE8" s="90"/>
      <c r="AF8" s="90"/>
      <c r="AG8" s="90"/>
      <c r="AH8" s="90"/>
      <c r="AI8" s="90"/>
      <c r="AJ8" s="90"/>
      <c r="AK8" s="90"/>
      <c r="AL8" s="90"/>
      <c r="AM8" s="90"/>
      <c r="AN8" s="90"/>
      <c r="AO8" s="90"/>
      <c r="AP8" s="90"/>
      <c r="AQ8" s="90"/>
      <c r="AR8" s="90"/>
      <c r="AS8" s="90"/>
      <c r="AT8" s="90"/>
      <c r="AU8" s="90"/>
      <c r="AV8" s="90"/>
      <c r="AW8" s="90"/>
      <c r="AX8" s="90"/>
      <c r="AY8" s="90"/>
      <c r="AZ8" s="90"/>
      <c r="BA8" s="90"/>
      <c r="BB8" s="90"/>
      <c r="BC8" s="90"/>
      <c r="BD8" s="90"/>
      <c r="BE8" s="90"/>
      <c r="BF8" s="90"/>
      <c r="BG8" s="90"/>
      <c r="BH8" s="90"/>
      <c r="BI8" s="90"/>
      <c r="BJ8" s="90"/>
      <c r="BK8" s="90"/>
      <c r="BL8" s="90"/>
      <c r="BM8" s="90"/>
      <c r="BN8" s="90"/>
      <c r="BO8" s="90"/>
      <c r="BP8" s="90"/>
      <c r="BQ8" s="90"/>
      <c r="BR8" s="90"/>
      <c r="BS8" s="90"/>
      <c r="BT8" s="90"/>
      <c r="BU8" s="90"/>
      <c r="BV8" s="90"/>
      <c r="BW8" s="90"/>
      <c r="BX8" s="90"/>
      <c r="BY8" s="90"/>
      <c r="BZ8" s="90"/>
      <c r="CA8" s="90"/>
      <c r="CB8" s="90"/>
      <c r="CC8" s="90"/>
      <c r="CD8" s="90"/>
      <c r="CE8" s="90"/>
      <c r="CF8" s="90"/>
      <c r="CG8" s="90"/>
      <c r="CH8" s="90"/>
    </row>
    <row r="9" customFormat="false" ht="15" hidden="false" customHeight="true" outlineLevel="0" collapsed="false">
      <c r="A9" s="90" t="s">
        <v>1168</v>
      </c>
      <c r="B9" s="220" t="n">
        <v>0</v>
      </c>
      <c r="C9" s="220" t="n">
        <v>0</v>
      </c>
      <c r="D9" s="220" t="n">
        <f aca="false">B9+C9</f>
        <v>0</v>
      </c>
      <c r="E9" s="90"/>
      <c r="F9" s="90"/>
      <c r="G9" s="90"/>
      <c r="H9" s="90"/>
      <c r="I9" s="90"/>
      <c r="J9" s="90"/>
      <c r="K9" s="90"/>
      <c r="L9" s="90"/>
      <c r="M9" s="90"/>
      <c r="N9" s="90"/>
      <c r="O9" s="90"/>
      <c r="P9" s="90"/>
      <c r="Q9" s="90"/>
      <c r="R9" s="90"/>
      <c r="S9" s="90"/>
      <c r="T9" s="90"/>
      <c r="U9" s="90"/>
      <c r="V9" s="90"/>
      <c r="W9" s="90"/>
      <c r="X9" s="90"/>
      <c r="Y9" s="90"/>
      <c r="Z9" s="90"/>
      <c r="AA9" s="90"/>
      <c r="AB9" s="90"/>
      <c r="AC9" s="90"/>
      <c r="AD9" s="90"/>
      <c r="AE9" s="90"/>
      <c r="AF9" s="90"/>
      <c r="AG9" s="90"/>
      <c r="AH9" s="90"/>
      <c r="AI9" s="90"/>
      <c r="AJ9" s="90"/>
      <c r="AK9" s="90"/>
      <c r="AL9" s="90"/>
      <c r="AM9" s="90"/>
      <c r="AN9" s="90"/>
      <c r="AO9" s="90"/>
      <c r="AP9" s="90"/>
      <c r="AQ9" s="90"/>
      <c r="AR9" s="90"/>
      <c r="AS9" s="90"/>
      <c r="AT9" s="90"/>
      <c r="AU9" s="90"/>
      <c r="AV9" s="90"/>
      <c r="AW9" s="90"/>
      <c r="AX9" s="90"/>
      <c r="AY9" s="90"/>
      <c r="AZ9" s="90"/>
      <c r="BA9" s="90"/>
      <c r="BB9" s="90"/>
      <c r="BC9" s="90"/>
      <c r="BD9" s="90"/>
      <c r="BE9" s="90"/>
      <c r="BF9" s="90"/>
      <c r="BG9" s="90"/>
      <c r="BH9" s="90"/>
      <c r="BI9" s="90"/>
      <c r="BJ9" s="90"/>
      <c r="BK9" s="90"/>
      <c r="BL9" s="90"/>
      <c r="BM9" s="90"/>
      <c r="BN9" s="90"/>
      <c r="BO9" s="90"/>
      <c r="BP9" s="90"/>
      <c r="BQ9" s="90"/>
      <c r="BR9" s="90"/>
      <c r="BS9" s="90"/>
      <c r="BT9" s="90"/>
      <c r="BU9" s="90"/>
      <c r="BV9" s="90"/>
      <c r="BW9" s="90"/>
      <c r="BX9" s="90"/>
      <c r="BY9" s="90"/>
      <c r="BZ9" s="90"/>
      <c r="CA9" s="90"/>
      <c r="CB9" s="90"/>
      <c r="CC9" s="90"/>
      <c r="CD9" s="90"/>
      <c r="CE9" s="90"/>
      <c r="CF9" s="90"/>
      <c r="CG9" s="90"/>
      <c r="CH9" s="90"/>
    </row>
    <row r="10" customFormat="false" ht="15" hidden="false" customHeight="true" outlineLevel="0" collapsed="false">
      <c r="A10" s="229" t="s">
        <v>1186</v>
      </c>
      <c r="B10" s="232" t="n">
        <f aca="false">SUM(B6:B9)</f>
        <v>537048.35</v>
      </c>
      <c r="C10" s="232" t="n">
        <f aca="false">SUM(C6:C9)</f>
        <v>1912475</v>
      </c>
      <c r="D10" s="232" t="n">
        <f aca="false">SUM(D6:D9)</f>
        <v>2449523.35</v>
      </c>
      <c r="E10" s="220"/>
      <c r="F10" s="220"/>
      <c r="G10" s="220"/>
      <c r="H10" s="220"/>
      <c r="I10" s="220"/>
      <c r="J10" s="220"/>
      <c r="K10" s="220"/>
      <c r="L10" s="220"/>
      <c r="M10" s="220"/>
      <c r="N10" s="220"/>
      <c r="O10" s="220"/>
      <c r="P10" s="220"/>
      <c r="Q10" s="220"/>
      <c r="R10" s="220"/>
      <c r="S10" s="220"/>
      <c r="T10" s="220"/>
      <c r="U10" s="220"/>
      <c r="V10" s="220"/>
      <c r="W10" s="220"/>
      <c r="X10" s="220"/>
      <c r="Y10" s="220"/>
      <c r="Z10" s="220"/>
      <c r="AA10" s="220"/>
      <c r="AB10" s="220"/>
      <c r="AC10" s="220"/>
      <c r="AD10" s="220"/>
      <c r="AE10" s="220"/>
      <c r="AF10" s="220"/>
      <c r="AG10" s="220"/>
      <c r="AH10" s="220"/>
      <c r="AI10" s="220"/>
      <c r="AJ10" s="220"/>
      <c r="AK10" s="220"/>
      <c r="AL10" s="220"/>
      <c r="AM10" s="220"/>
      <c r="AN10" s="220"/>
      <c r="AO10" s="220"/>
      <c r="AP10" s="220"/>
      <c r="AQ10" s="220"/>
      <c r="AR10" s="220"/>
      <c r="AS10" s="220"/>
      <c r="AT10" s="220"/>
      <c r="AU10" s="220"/>
      <c r="AV10" s="220"/>
      <c r="AW10" s="220"/>
      <c r="AX10" s="220"/>
      <c r="AY10" s="220"/>
      <c r="AZ10" s="220"/>
      <c r="BA10" s="220"/>
      <c r="BB10" s="220"/>
      <c r="BC10" s="220"/>
      <c r="BD10" s="220"/>
      <c r="BE10" s="220"/>
      <c r="BF10" s="220"/>
      <c r="BG10" s="220"/>
      <c r="BH10" s="220"/>
      <c r="BI10" s="220"/>
      <c r="BJ10" s="220"/>
      <c r="BK10" s="220"/>
      <c r="BL10" s="220"/>
      <c r="BM10" s="220"/>
      <c r="BN10" s="220"/>
      <c r="BO10" s="220"/>
      <c r="BP10" s="220"/>
      <c r="BQ10" s="220"/>
      <c r="BR10" s="220"/>
      <c r="BS10" s="220"/>
      <c r="BT10" s="220"/>
      <c r="BU10" s="220"/>
      <c r="BV10" s="220"/>
      <c r="BW10" s="220"/>
      <c r="BX10" s="220"/>
      <c r="BY10" s="220"/>
      <c r="BZ10" s="220"/>
      <c r="CA10" s="220"/>
      <c r="CB10" s="220"/>
      <c r="CC10" s="220"/>
      <c r="CD10" s="220"/>
      <c r="CE10" s="220"/>
      <c r="CF10" s="220"/>
      <c r="CG10" s="220"/>
      <c r="CH10" s="220"/>
    </row>
    <row r="11" customFormat="false" ht="15" hidden="false" customHeight="true" outlineLevel="0" collapsed="false">
      <c r="A11" s="323"/>
      <c r="B11" s="324"/>
      <c r="C11" s="324"/>
      <c r="D11" s="324"/>
      <c r="E11" s="220"/>
      <c r="F11" s="220"/>
      <c r="G11" s="220"/>
      <c r="H11" s="220"/>
      <c r="I11" s="220"/>
      <c r="J11" s="220"/>
      <c r="K11" s="220"/>
      <c r="L11" s="220"/>
      <c r="M11" s="220"/>
      <c r="N11" s="220"/>
      <c r="O11" s="220"/>
      <c r="P11" s="220"/>
      <c r="Q11" s="220"/>
      <c r="R11" s="220"/>
      <c r="S11" s="220"/>
      <c r="T11" s="220"/>
      <c r="U11" s="220"/>
      <c r="V11" s="220"/>
      <c r="W11" s="220"/>
      <c r="X11" s="220"/>
      <c r="Y11" s="220"/>
      <c r="Z11" s="220"/>
      <c r="AA11" s="220"/>
      <c r="AB11" s="220"/>
      <c r="AC11" s="220"/>
      <c r="AD11" s="220"/>
      <c r="AE11" s="220"/>
      <c r="AF11" s="220"/>
      <c r="AG11" s="220"/>
      <c r="AH11" s="220"/>
      <c r="AI11" s="220"/>
      <c r="AJ11" s="220"/>
      <c r="AK11" s="220"/>
      <c r="AL11" s="220"/>
      <c r="AM11" s="220"/>
      <c r="AN11" s="220"/>
      <c r="AO11" s="220"/>
      <c r="AP11" s="220"/>
      <c r="AQ11" s="220"/>
      <c r="AR11" s="220"/>
      <c r="AS11" s="220"/>
      <c r="AT11" s="220"/>
      <c r="AU11" s="220"/>
      <c r="AV11" s="220"/>
      <c r="AW11" s="220"/>
      <c r="AX11" s="220"/>
      <c r="AY11" s="220"/>
      <c r="AZ11" s="220"/>
      <c r="BA11" s="220"/>
      <c r="BB11" s="220"/>
      <c r="BC11" s="220"/>
      <c r="BD11" s="220"/>
      <c r="BE11" s="220"/>
      <c r="BF11" s="220"/>
      <c r="BG11" s="220"/>
      <c r="BH11" s="220"/>
      <c r="BI11" s="220"/>
      <c r="BJ11" s="220"/>
      <c r="BK11" s="220"/>
      <c r="BL11" s="220"/>
      <c r="BM11" s="220"/>
      <c r="BN11" s="220"/>
      <c r="BO11" s="220"/>
      <c r="BP11" s="220"/>
      <c r="BQ11" s="220"/>
      <c r="BR11" s="220"/>
      <c r="BS11" s="220"/>
      <c r="BT11" s="220"/>
      <c r="BU11" s="220"/>
      <c r="BV11" s="220"/>
      <c r="BW11" s="220"/>
      <c r="BX11" s="220"/>
      <c r="BY11" s="220"/>
      <c r="BZ11" s="220"/>
      <c r="CA11" s="220"/>
      <c r="CB11" s="220"/>
      <c r="CC11" s="220"/>
      <c r="CD11" s="220"/>
      <c r="CE11" s="220"/>
      <c r="CF11" s="220"/>
      <c r="CG11" s="220"/>
      <c r="CH11" s="220"/>
    </row>
    <row r="12" customFormat="false" ht="15" hidden="false" customHeight="true" outlineLevel="0" collapsed="false">
      <c r="A12" s="292" t="s">
        <v>1187</v>
      </c>
      <c r="B12" s="292"/>
      <c r="C12" s="325"/>
      <c r="D12" s="325"/>
      <c r="E12" s="220"/>
      <c r="F12" s="220"/>
      <c r="G12" s="220"/>
      <c r="H12" s="220"/>
      <c r="I12" s="220"/>
      <c r="J12" s="220"/>
      <c r="K12" s="220"/>
      <c r="L12" s="220"/>
      <c r="M12" s="220"/>
      <c r="N12" s="220"/>
      <c r="O12" s="220"/>
      <c r="P12" s="220"/>
      <c r="Q12" s="220"/>
      <c r="R12" s="220"/>
      <c r="S12" s="220"/>
      <c r="T12" s="220"/>
      <c r="U12" s="220"/>
      <c r="V12" s="220"/>
      <c r="W12" s="220"/>
      <c r="X12" s="220"/>
      <c r="Y12" s="220"/>
      <c r="Z12" s="220"/>
      <c r="AA12" s="220"/>
      <c r="AB12" s="220"/>
      <c r="AC12" s="220"/>
      <c r="AD12" s="220"/>
      <c r="AE12" s="220"/>
      <c r="AF12" s="220"/>
      <c r="AG12" s="220"/>
      <c r="AH12" s="220"/>
      <c r="AI12" s="220"/>
      <c r="AJ12" s="220"/>
      <c r="AK12" s="220"/>
      <c r="AL12" s="220"/>
      <c r="AM12" s="220"/>
      <c r="AN12" s="220"/>
      <c r="AO12" s="220"/>
      <c r="AP12" s="220"/>
      <c r="AQ12" s="220"/>
      <c r="AR12" s="220"/>
      <c r="AS12" s="220"/>
      <c r="AT12" s="220"/>
      <c r="AU12" s="220"/>
      <c r="AV12" s="220"/>
      <c r="AW12" s="220"/>
      <c r="AX12" s="220"/>
      <c r="AY12" s="220"/>
      <c r="AZ12" s="220"/>
      <c r="BA12" s="220"/>
      <c r="BB12" s="220"/>
      <c r="BC12" s="220"/>
      <c r="BD12" s="220"/>
      <c r="BE12" s="220"/>
      <c r="BF12" s="220"/>
      <c r="BG12" s="220"/>
      <c r="BH12" s="220"/>
      <c r="BI12" s="220"/>
      <c r="BJ12" s="220"/>
      <c r="BK12" s="220"/>
      <c r="BL12" s="220"/>
      <c r="BM12" s="220"/>
      <c r="BN12" s="220"/>
      <c r="BO12" s="220"/>
      <c r="BP12" s="220"/>
      <c r="BQ12" s="220"/>
      <c r="BR12" s="220"/>
      <c r="BS12" s="220"/>
      <c r="BT12" s="220"/>
      <c r="BU12" s="220"/>
      <c r="BV12" s="220"/>
      <c r="BW12" s="220"/>
      <c r="BX12" s="220"/>
      <c r="BY12" s="220"/>
      <c r="BZ12" s="220"/>
      <c r="CA12" s="220"/>
      <c r="CB12" s="220"/>
      <c r="CC12" s="220"/>
      <c r="CD12" s="220"/>
      <c r="CE12" s="220"/>
      <c r="CF12" s="220"/>
      <c r="CG12" s="220"/>
      <c r="CH12" s="220"/>
    </row>
    <row r="13" customFormat="false" ht="15" hidden="false" customHeight="true" outlineLevel="0" collapsed="false">
      <c r="A13" s="321" t="s">
        <v>1183</v>
      </c>
      <c r="B13" s="322" t="n">
        <f aca="false">SUM(Model!E256:CG256)</f>
        <v>219466</v>
      </c>
      <c r="C13" s="322" t="n">
        <f aca="false">Helpers!B48</f>
        <v>2706735</v>
      </c>
      <c r="D13" s="322" t="n">
        <f aca="false">B13+C13</f>
        <v>2926201</v>
      </c>
      <c r="E13" s="220"/>
      <c r="F13" s="220"/>
      <c r="G13" s="220"/>
      <c r="H13" s="220"/>
      <c r="I13" s="220"/>
      <c r="J13" s="220"/>
      <c r="K13" s="220"/>
      <c r="L13" s="220"/>
      <c r="M13" s="220"/>
      <c r="N13" s="220"/>
      <c r="O13" s="220"/>
      <c r="P13" s="220"/>
      <c r="Q13" s="220"/>
      <c r="R13" s="220"/>
      <c r="S13" s="220"/>
      <c r="T13" s="220"/>
      <c r="U13" s="220"/>
      <c r="V13" s="220"/>
      <c r="W13" s="220"/>
      <c r="X13" s="220"/>
      <c r="Y13" s="220"/>
      <c r="Z13" s="220"/>
      <c r="AA13" s="220"/>
      <c r="AB13" s="220"/>
      <c r="AC13" s="220"/>
      <c r="AD13" s="220"/>
      <c r="AE13" s="220"/>
      <c r="AF13" s="220"/>
      <c r="AG13" s="220"/>
      <c r="AH13" s="220"/>
      <c r="AI13" s="220"/>
      <c r="AJ13" s="220"/>
      <c r="AK13" s="220"/>
      <c r="AL13" s="220"/>
      <c r="AM13" s="220"/>
      <c r="AN13" s="220"/>
      <c r="AO13" s="220"/>
      <c r="AP13" s="220"/>
      <c r="AQ13" s="220"/>
      <c r="AR13" s="220"/>
      <c r="AS13" s="220"/>
      <c r="AT13" s="220"/>
      <c r="AU13" s="220"/>
      <c r="AV13" s="220"/>
      <c r="AW13" s="220"/>
      <c r="AX13" s="220"/>
      <c r="AY13" s="220"/>
      <c r="AZ13" s="220"/>
      <c r="BA13" s="220"/>
      <c r="BB13" s="220"/>
      <c r="BC13" s="220"/>
      <c r="BD13" s="220"/>
      <c r="BE13" s="220"/>
      <c r="BF13" s="220"/>
      <c r="BG13" s="220"/>
      <c r="BH13" s="220"/>
      <c r="BI13" s="220"/>
      <c r="BJ13" s="220"/>
      <c r="BK13" s="220"/>
      <c r="BL13" s="220"/>
      <c r="BM13" s="220"/>
      <c r="BN13" s="220"/>
      <c r="BO13" s="220"/>
      <c r="BP13" s="220"/>
      <c r="BQ13" s="220"/>
      <c r="BR13" s="220"/>
      <c r="BS13" s="220"/>
      <c r="BT13" s="220"/>
      <c r="BU13" s="220"/>
      <c r="BV13" s="220"/>
      <c r="BW13" s="220"/>
      <c r="BX13" s="220"/>
      <c r="BY13" s="220"/>
      <c r="BZ13" s="220"/>
      <c r="CA13" s="220"/>
      <c r="CB13" s="220"/>
      <c r="CC13" s="220"/>
      <c r="CD13" s="220"/>
      <c r="CE13" s="220"/>
      <c r="CF13" s="220"/>
      <c r="CG13" s="220"/>
      <c r="CH13" s="220"/>
    </row>
    <row r="14" customFormat="false" ht="15" hidden="false" customHeight="true" outlineLevel="0" collapsed="false">
      <c r="A14" s="326" t="s">
        <v>1184</v>
      </c>
      <c r="B14" s="327" t="n">
        <f aca="false">-Projects!$B$14*Assumptions!$B$47</f>
        <v>-413546.32</v>
      </c>
      <c r="C14" s="327" t="n">
        <v>0</v>
      </c>
      <c r="D14" s="327" t="n">
        <f aca="false">B14+C14</f>
        <v>-413546.32</v>
      </c>
      <c r="E14" s="220"/>
      <c r="F14" s="220"/>
      <c r="G14" s="220"/>
      <c r="H14" s="220"/>
      <c r="I14" s="220"/>
      <c r="J14" s="220"/>
      <c r="K14" s="220"/>
      <c r="L14" s="220"/>
      <c r="M14" s="220"/>
      <c r="N14" s="220"/>
      <c r="O14" s="220"/>
      <c r="P14" s="220"/>
      <c r="Q14" s="220"/>
      <c r="R14" s="220"/>
      <c r="S14" s="220"/>
      <c r="T14" s="220"/>
      <c r="U14" s="220"/>
      <c r="V14" s="220"/>
      <c r="W14" s="220"/>
      <c r="X14" s="220"/>
      <c r="Y14" s="220"/>
      <c r="Z14" s="220"/>
      <c r="AA14" s="220"/>
      <c r="AB14" s="220"/>
      <c r="AC14" s="220"/>
      <c r="AD14" s="220"/>
      <c r="AE14" s="220"/>
      <c r="AF14" s="220"/>
      <c r="AG14" s="220"/>
      <c r="AH14" s="220"/>
      <c r="AI14" s="220"/>
      <c r="AJ14" s="220"/>
      <c r="AK14" s="220"/>
      <c r="AL14" s="220"/>
      <c r="AM14" s="220"/>
      <c r="AN14" s="220"/>
      <c r="AO14" s="220"/>
      <c r="AP14" s="220"/>
      <c r="AQ14" s="220"/>
      <c r="AR14" s="220"/>
      <c r="AS14" s="220"/>
      <c r="AT14" s="220"/>
      <c r="AU14" s="220"/>
      <c r="AV14" s="220"/>
      <c r="AW14" s="220"/>
      <c r="AX14" s="220"/>
      <c r="AY14" s="220"/>
      <c r="AZ14" s="220"/>
      <c r="BA14" s="220"/>
      <c r="BB14" s="220"/>
      <c r="BC14" s="220"/>
      <c r="BD14" s="220"/>
      <c r="BE14" s="220"/>
      <c r="BF14" s="220"/>
      <c r="BG14" s="220"/>
      <c r="BH14" s="220"/>
      <c r="BI14" s="220"/>
      <c r="BJ14" s="220"/>
      <c r="BK14" s="220"/>
      <c r="BL14" s="220"/>
      <c r="BM14" s="220"/>
      <c r="BN14" s="220"/>
      <c r="BO14" s="220"/>
      <c r="BP14" s="220"/>
      <c r="BQ14" s="220"/>
      <c r="BR14" s="220"/>
      <c r="BS14" s="220"/>
      <c r="BT14" s="220"/>
      <c r="BU14" s="220"/>
      <c r="BV14" s="220"/>
      <c r="BW14" s="220"/>
      <c r="BX14" s="220"/>
      <c r="BY14" s="220"/>
      <c r="BZ14" s="220"/>
      <c r="CA14" s="220"/>
      <c r="CB14" s="220"/>
      <c r="CC14" s="220"/>
      <c r="CD14" s="220"/>
      <c r="CE14" s="220"/>
      <c r="CF14" s="220"/>
      <c r="CG14" s="220"/>
      <c r="CH14" s="220"/>
    </row>
    <row r="15" customFormat="false" ht="15" hidden="false" customHeight="true" outlineLevel="0" collapsed="false">
      <c r="A15" s="321" t="s">
        <v>1185</v>
      </c>
      <c r="B15" s="322" t="n">
        <f aca="false">-Assumptions!$B$55*Assumptions!$B$48</f>
        <v>-150000</v>
      </c>
      <c r="C15" s="322" t="n">
        <v>0</v>
      </c>
      <c r="D15" s="322" t="n">
        <f aca="false">B15+C15</f>
        <v>-150000</v>
      </c>
      <c r="E15" s="90"/>
      <c r="F15" s="90"/>
      <c r="G15" s="90"/>
      <c r="H15" s="90"/>
      <c r="I15" s="90"/>
      <c r="J15" s="90"/>
      <c r="K15" s="90"/>
      <c r="L15" s="90"/>
      <c r="M15" s="90"/>
      <c r="N15" s="90"/>
      <c r="O15" s="90"/>
      <c r="P15" s="90"/>
      <c r="Q15" s="90"/>
      <c r="R15" s="90"/>
      <c r="S15" s="90"/>
      <c r="T15" s="90"/>
      <c r="U15" s="90"/>
      <c r="V15" s="90"/>
      <c r="W15" s="90"/>
      <c r="X15" s="90"/>
      <c r="Y15" s="90"/>
      <c r="Z15" s="90"/>
      <c r="AA15" s="90"/>
      <c r="AB15" s="90"/>
      <c r="AC15" s="90"/>
      <c r="AD15" s="90"/>
      <c r="AE15" s="90"/>
      <c r="AF15" s="90"/>
      <c r="AG15" s="90"/>
      <c r="AH15" s="90"/>
      <c r="AI15" s="90"/>
      <c r="AJ15" s="90"/>
      <c r="AK15" s="90"/>
      <c r="AL15" s="90"/>
      <c r="AM15" s="90"/>
      <c r="AN15" s="90"/>
      <c r="AO15" s="90"/>
      <c r="AP15" s="90"/>
      <c r="AQ15" s="90"/>
      <c r="AR15" s="90"/>
      <c r="AS15" s="90"/>
      <c r="AT15" s="90"/>
      <c r="AU15" s="90"/>
      <c r="AV15" s="90"/>
      <c r="AW15" s="90"/>
      <c r="AX15" s="90"/>
      <c r="AY15" s="90"/>
      <c r="AZ15" s="90"/>
      <c r="BA15" s="90"/>
      <c r="BB15" s="90"/>
      <c r="BC15" s="90"/>
      <c r="BD15" s="90"/>
      <c r="BE15" s="90"/>
      <c r="BF15" s="90"/>
      <c r="BG15" s="90"/>
      <c r="BH15" s="90"/>
      <c r="BI15" s="90"/>
      <c r="BJ15" s="90"/>
      <c r="BK15" s="90"/>
      <c r="BL15" s="90"/>
      <c r="BM15" s="90"/>
      <c r="BN15" s="90"/>
      <c r="BO15" s="90"/>
      <c r="BP15" s="90"/>
      <c r="BQ15" s="90"/>
      <c r="BR15" s="90"/>
      <c r="BS15" s="90"/>
      <c r="BT15" s="90"/>
      <c r="BU15" s="90"/>
      <c r="BV15" s="90"/>
      <c r="BW15" s="90"/>
      <c r="BX15" s="90"/>
      <c r="BY15" s="90"/>
      <c r="BZ15" s="90"/>
      <c r="CA15" s="90"/>
      <c r="CB15" s="90"/>
      <c r="CC15" s="90"/>
      <c r="CD15" s="90"/>
      <c r="CE15" s="90"/>
      <c r="CF15" s="90"/>
      <c r="CG15" s="90"/>
      <c r="CH15" s="90"/>
    </row>
    <row r="16" customFormat="false" ht="15" hidden="false" customHeight="true" outlineLevel="0" collapsed="false">
      <c r="A16" s="326" t="s">
        <v>1168</v>
      </c>
      <c r="B16" s="327" t="n">
        <f aca="false">-SUM(Model!E331:CG331)</f>
        <v>-583237.358559202</v>
      </c>
      <c r="C16" s="327" t="n">
        <f aca="false">-Helpers!F93</f>
        <v>-240125.881206445</v>
      </c>
      <c r="D16" s="327" t="n">
        <f aca="false">B16+C16</f>
        <v>-823363.239765647</v>
      </c>
      <c r="E16" s="90"/>
      <c r="F16" s="90"/>
      <c r="G16" s="90"/>
      <c r="H16" s="90"/>
      <c r="I16" s="90"/>
      <c r="J16" s="90"/>
      <c r="K16" s="90"/>
      <c r="L16" s="90"/>
      <c r="M16" s="90"/>
      <c r="N16" s="90"/>
      <c r="O16" s="90"/>
      <c r="P16" s="90"/>
      <c r="Q16" s="90"/>
      <c r="R16" s="90"/>
      <c r="S16" s="90"/>
      <c r="T16" s="90"/>
      <c r="U16" s="90"/>
      <c r="V16" s="90"/>
      <c r="W16" s="90"/>
      <c r="X16" s="90"/>
      <c r="Y16" s="90"/>
      <c r="Z16" s="90"/>
      <c r="AA16" s="90"/>
      <c r="AB16" s="90"/>
      <c r="AC16" s="90"/>
      <c r="AD16" s="90"/>
      <c r="AE16" s="90"/>
      <c r="AF16" s="90"/>
      <c r="AG16" s="90"/>
      <c r="AH16" s="90"/>
      <c r="AI16" s="90"/>
      <c r="AJ16" s="90"/>
      <c r="AK16" s="90"/>
      <c r="AL16" s="90"/>
      <c r="AM16" s="90"/>
      <c r="AN16" s="90"/>
      <c r="AO16" s="90"/>
      <c r="AP16" s="90"/>
      <c r="AQ16" s="90"/>
      <c r="AR16" s="90"/>
      <c r="AS16" s="90"/>
      <c r="AT16" s="90"/>
      <c r="AU16" s="90"/>
      <c r="AV16" s="90"/>
      <c r="AW16" s="90"/>
      <c r="AX16" s="90"/>
      <c r="AY16" s="90"/>
      <c r="AZ16" s="90"/>
      <c r="BA16" s="90"/>
      <c r="BB16" s="90"/>
      <c r="BC16" s="90"/>
      <c r="BD16" s="90"/>
      <c r="BE16" s="90"/>
      <c r="BF16" s="90"/>
      <c r="BG16" s="90"/>
      <c r="BH16" s="90"/>
      <c r="BI16" s="90"/>
      <c r="BJ16" s="90"/>
      <c r="BK16" s="90"/>
      <c r="BL16" s="90"/>
      <c r="BM16" s="90"/>
      <c r="BN16" s="90"/>
      <c r="BO16" s="90"/>
      <c r="BP16" s="90"/>
      <c r="BQ16" s="90"/>
      <c r="BR16" s="90"/>
      <c r="BS16" s="90"/>
      <c r="BT16" s="90"/>
      <c r="BU16" s="90"/>
      <c r="BV16" s="90"/>
      <c r="BW16" s="90"/>
      <c r="BX16" s="90"/>
      <c r="BY16" s="90"/>
      <c r="BZ16" s="90"/>
      <c r="CA16" s="90"/>
      <c r="CB16" s="90"/>
      <c r="CC16" s="90"/>
      <c r="CD16" s="90"/>
      <c r="CE16" s="90"/>
      <c r="CF16" s="90"/>
      <c r="CG16" s="90"/>
      <c r="CH16" s="90"/>
    </row>
    <row r="17" customFormat="false" ht="15" hidden="false" customHeight="true" outlineLevel="0" collapsed="false">
      <c r="A17" s="97" t="s">
        <v>1186</v>
      </c>
      <c r="B17" s="221" t="n">
        <f aca="false">SUM(B13:B16)</f>
        <v>-927317.678559202</v>
      </c>
      <c r="C17" s="221" t="n">
        <f aca="false">SUM(C13:C16)</f>
        <v>2466609.11879355</v>
      </c>
      <c r="D17" s="221" t="n">
        <f aca="false">SUM(D13:D16)</f>
        <v>1539291.44023435</v>
      </c>
      <c r="E17" s="220"/>
      <c r="F17" s="220"/>
      <c r="G17" s="220"/>
      <c r="H17" s="220"/>
      <c r="I17" s="220"/>
      <c r="J17" s="220"/>
      <c r="K17" s="220"/>
      <c r="L17" s="220"/>
      <c r="M17" s="220"/>
      <c r="N17" s="220"/>
      <c r="O17" s="220"/>
      <c r="P17" s="220"/>
      <c r="Q17" s="220"/>
      <c r="R17" s="220"/>
      <c r="S17" s="220"/>
      <c r="T17" s="220"/>
      <c r="U17" s="220"/>
      <c r="V17" s="220"/>
      <c r="W17" s="220"/>
      <c r="X17" s="220"/>
      <c r="Y17" s="220"/>
      <c r="Z17" s="220"/>
      <c r="AA17" s="220"/>
      <c r="AB17" s="220"/>
      <c r="AC17" s="220"/>
      <c r="AD17" s="220"/>
      <c r="AE17" s="220"/>
      <c r="AF17" s="220"/>
      <c r="AG17" s="220"/>
      <c r="AH17" s="220"/>
      <c r="AI17" s="220"/>
      <c r="AJ17" s="220"/>
      <c r="AK17" s="220"/>
      <c r="AL17" s="220"/>
      <c r="AM17" s="220"/>
      <c r="AN17" s="220"/>
      <c r="AO17" s="220"/>
      <c r="AP17" s="220"/>
      <c r="AQ17" s="220"/>
      <c r="AR17" s="220"/>
      <c r="AS17" s="220"/>
      <c r="AT17" s="220"/>
      <c r="AU17" s="220"/>
      <c r="AV17" s="220"/>
      <c r="AW17" s="220"/>
      <c r="AX17" s="220"/>
      <c r="AY17" s="220"/>
      <c r="AZ17" s="220"/>
      <c r="BA17" s="220"/>
      <c r="BB17" s="220"/>
      <c r="BC17" s="220"/>
      <c r="BD17" s="220"/>
      <c r="BE17" s="220"/>
      <c r="BF17" s="220"/>
      <c r="BG17" s="220"/>
      <c r="BH17" s="220"/>
      <c r="BI17" s="220"/>
      <c r="BJ17" s="220"/>
      <c r="BK17" s="220"/>
      <c r="BL17" s="220"/>
      <c r="BM17" s="220"/>
      <c r="BN17" s="220"/>
      <c r="BO17" s="220"/>
      <c r="BP17" s="220"/>
      <c r="BQ17" s="220"/>
      <c r="BR17" s="220"/>
      <c r="BS17" s="220"/>
      <c r="BT17" s="220"/>
      <c r="BU17" s="220"/>
      <c r="BV17" s="220"/>
      <c r="BW17" s="220"/>
      <c r="BX17" s="220"/>
      <c r="BY17" s="220"/>
      <c r="BZ17" s="220"/>
      <c r="CA17" s="220"/>
      <c r="CB17" s="220"/>
      <c r="CC17" s="220"/>
      <c r="CD17" s="220"/>
      <c r="CE17" s="220"/>
      <c r="CF17" s="220"/>
      <c r="CG17" s="220"/>
      <c r="CH17" s="220"/>
    </row>
    <row r="18" customFormat="false" ht="15" hidden="false" customHeight="true" outlineLevel="0" collapsed="false">
      <c r="A18" s="328"/>
      <c r="B18" s="329"/>
      <c r="C18" s="329"/>
      <c r="D18" s="329"/>
      <c r="E18" s="220"/>
      <c r="F18" s="220"/>
      <c r="G18" s="220"/>
      <c r="H18" s="220"/>
      <c r="I18" s="220"/>
      <c r="J18" s="220"/>
      <c r="K18" s="220"/>
      <c r="L18" s="220"/>
      <c r="M18" s="220"/>
      <c r="N18" s="220"/>
      <c r="O18" s="220"/>
      <c r="P18" s="220"/>
      <c r="Q18" s="220"/>
      <c r="R18" s="220"/>
      <c r="S18" s="220"/>
      <c r="T18" s="220"/>
      <c r="U18" s="220"/>
      <c r="V18" s="220"/>
      <c r="W18" s="220"/>
      <c r="X18" s="220"/>
      <c r="Y18" s="220"/>
      <c r="Z18" s="220"/>
      <c r="AA18" s="220"/>
      <c r="AB18" s="220"/>
      <c r="AC18" s="220"/>
      <c r="AD18" s="220"/>
      <c r="AE18" s="220"/>
      <c r="AF18" s="220"/>
      <c r="AG18" s="220"/>
      <c r="AH18" s="220"/>
      <c r="AI18" s="220"/>
      <c r="AJ18" s="220"/>
      <c r="AK18" s="220"/>
      <c r="AL18" s="220"/>
      <c r="AM18" s="220"/>
      <c r="AN18" s="220"/>
      <c r="AO18" s="220"/>
      <c r="AP18" s="220"/>
      <c r="AQ18" s="220"/>
      <c r="AR18" s="220"/>
      <c r="AS18" s="220"/>
      <c r="AT18" s="220"/>
      <c r="AU18" s="220"/>
      <c r="AV18" s="220"/>
      <c r="AW18" s="220"/>
      <c r="AX18" s="220"/>
      <c r="AY18" s="220"/>
      <c r="AZ18" s="220"/>
      <c r="BA18" s="220"/>
      <c r="BB18" s="220"/>
      <c r="BC18" s="220"/>
      <c r="BD18" s="220"/>
      <c r="BE18" s="220"/>
      <c r="BF18" s="220"/>
      <c r="BG18" s="220"/>
      <c r="BH18" s="220"/>
      <c r="BI18" s="220"/>
      <c r="BJ18" s="220"/>
      <c r="BK18" s="220"/>
      <c r="BL18" s="220"/>
      <c r="BM18" s="220"/>
      <c r="BN18" s="220"/>
      <c r="BO18" s="220"/>
      <c r="BP18" s="220"/>
      <c r="BQ18" s="220"/>
      <c r="BR18" s="220"/>
      <c r="BS18" s="220"/>
      <c r="BT18" s="220"/>
      <c r="BU18" s="220"/>
      <c r="BV18" s="220"/>
      <c r="BW18" s="220"/>
      <c r="BX18" s="220"/>
      <c r="BY18" s="220"/>
      <c r="BZ18" s="220"/>
      <c r="CA18" s="220"/>
      <c r="CB18" s="220"/>
      <c r="CC18" s="220"/>
      <c r="CD18" s="220"/>
      <c r="CE18" s="220"/>
      <c r="CF18" s="220"/>
      <c r="CG18" s="220"/>
      <c r="CH18" s="220"/>
    </row>
    <row r="19" customFormat="false" ht="15" hidden="false" customHeight="true" outlineLevel="0" collapsed="false">
      <c r="A19" s="330" t="s">
        <v>18</v>
      </c>
      <c r="B19" s="331"/>
      <c r="C19" s="331"/>
      <c r="D19" s="331"/>
      <c r="E19" s="220"/>
      <c r="F19" s="220"/>
      <c r="G19" s="220"/>
      <c r="H19" s="220"/>
      <c r="I19" s="220"/>
      <c r="J19" s="220"/>
      <c r="K19" s="220"/>
      <c r="L19" s="220"/>
      <c r="M19" s="220"/>
      <c r="N19" s="220"/>
      <c r="O19" s="220"/>
      <c r="P19" s="220"/>
      <c r="Q19" s="220"/>
      <c r="R19" s="220"/>
      <c r="S19" s="220"/>
      <c r="T19" s="220"/>
      <c r="U19" s="220"/>
      <c r="V19" s="220"/>
      <c r="W19" s="220"/>
      <c r="X19" s="220"/>
      <c r="Y19" s="220"/>
      <c r="Z19" s="220"/>
      <c r="AA19" s="220"/>
      <c r="AB19" s="220"/>
      <c r="AC19" s="220"/>
      <c r="AD19" s="220"/>
      <c r="AE19" s="220"/>
      <c r="AF19" s="220"/>
      <c r="AG19" s="220"/>
      <c r="AH19" s="220"/>
      <c r="AI19" s="220"/>
      <c r="AJ19" s="220"/>
      <c r="AK19" s="220"/>
      <c r="AL19" s="220"/>
      <c r="AM19" s="220"/>
      <c r="AN19" s="220"/>
      <c r="AO19" s="220"/>
      <c r="AP19" s="220"/>
      <c r="AQ19" s="220"/>
      <c r="AR19" s="220"/>
      <c r="AS19" s="220"/>
      <c r="AT19" s="220"/>
      <c r="AU19" s="220"/>
      <c r="AV19" s="220"/>
      <c r="AW19" s="220"/>
      <c r="AX19" s="220"/>
      <c r="AY19" s="220"/>
      <c r="AZ19" s="220"/>
      <c r="BA19" s="220"/>
      <c r="BB19" s="220"/>
      <c r="BC19" s="220"/>
      <c r="BD19" s="220"/>
      <c r="BE19" s="220"/>
      <c r="BF19" s="220"/>
      <c r="BG19" s="220"/>
      <c r="BH19" s="220"/>
      <c r="BI19" s="220"/>
      <c r="BJ19" s="220"/>
      <c r="BK19" s="220"/>
      <c r="BL19" s="220"/>
      <c r="BM19" s="220"/>
      <c r="BN19" s="220"/>
      <c r="BO19" s="220"/>
      <c r="BP19" s="220"/>
      <c r="BQ19" s="220"/>
      <c r="BR19" s="220"/>
      <c r="BS19" s="220"/>
      <c r="BT19" s="220"/>
      <c r="BU19" s="220"/>
      <c r="BV19" s="220"/>
      <c r="BW19" s="220"/>
      <c r="BX19" s="220"/>
      <c r="BY19" s="220"/>
      <c r="BZ19" s="220"/>
      <c r="CA19" s="220"/>
      <c r="CB19" s="220"/>
      <c r="CC19" s="220"/>
      <c r="CD19" s="220"/>
      <c r="CE19" s="220"/>
      <c r="CF19" s="220"/>
      <c r="CG19" s="220"/>
      <c r="CH19" s="220"/>
    </row>
    <row r="20" customFormat="false" ht="15" hidden="false" customHeight="true" outlineLevel="0" collapsed="false">
      <c r="A20" s="332" t="s">
        <v>1183</v>
      </c>
      <c r="B20" s="333" t="n">
        <f aca="false">SUM(Model!E255:CG255)</f>
        <v>1599927</v>
      </c>
      <c r="C20" s="333" t="n">
        <f aca="false">Helpers!B49</f>
        <v>2359498</v>
      </c>
      <c r="D20" s="333" t="n">
        <f aca="false">B20+C20</f>
        <v>3959425</v>
      </c>
      <c r="E20" s="90"/>
      <c r="F20" s="90"/>
      <c r="G20" s="90"/>
      <c r="H20" s="90"/>
      <c r="I20" s="90"/>
      <c r="J20" s="90"/>
      <c r="K20" s="90"/>
      <c r="L20" s="90"/>
      <c r="M20" s="90"/>
      <c r="N20" s="90"/>
      <c r="O20" s="90"/>
      <c r="P20" s="90"/>
      <c r="Q20" s="90"/>
      <c r="R20" s="90"/>
      <c r="S20" s="90"/>
      <c r="T20" s="90"/>
      <c r="U20" s="90"/>
      <c r="V20" s="90"/>
      <c r="W20" s="90"/>
      <c r="X20" s="90"/>
      <c r="Y20" s="90"/>
      <c r="Z20" s="90"/>
      <c r="AA20" s="90"/>
      <c r="AB20" s="90"/>
      <c r="AC20" s="90"/>
      <c r="AD20" s="90"/>
      <c r="AE20" s="90"/>
      <c r="AF20" s="90"/>
      <c r="AG20" s="90"/>
      <c r="AH20" s="90"/>
      <c r="AI20" s="90"/>
      <c r="AJ20" s="90"/>
      <c r="AK20" s="90"/>
      <c r="AL20" s="90"/>
      <c r="AM20" s="90"/>
      <c r="AN20" s="90"/>
      <c r="AO20" s="90"/>
      <c r="AP20" s="90"/>
      <c r="AQ20" s="90"/>
      <c r="AR20" s="90"/>
      <c r="AS20" s="90"/>
      <c r="AT20" s="90"/>
      <c r="AU20" s="90"/>
      <c r="AV20" s="90"/>
      <c r="AW20" s="90"/>
      <c r="AX20" s="90"/>
      <c r="AY20" s="90"/>
      <c r="AZ20" s="90"/>
      <c r="BA20" s="90"/>
      <c r="BB20" s="90"/>
      <c r="BC20" s="90"/>
      <c r="BD20" s="90"/>
      <c r="BE20" s="90"/>
      <c r="BF20" s="90"/>
      <c r="BG20" s="90"/>
      <c r="BH20" s="90"/>
      <c r="BI20" s="90"/>
      <c r="BJ20" s="90"/>
      <c r="BK20" s="90"/>
      <c r="BL20" s="90"/>
      <c r="BM20" s="90"/>
      <c r="BN20" s="90"/>
      <c r="BO20" s="90"/>
      <c r="BP20" s="90"/>
      <c r="BQ20" s="90"/>
      <c r="BR20" s="90"/>
      <c r="BS20" s="90"/>
      <c r="BT20" s="90"/>
      <c r="BU20" s="90"/>
      <c r="BV20" s="90"/>
      <c r="BW20" s="90"/>
      <c r="BX20" s="90"/>
      <c r="BY20" s="90"/>
      <c r="BZ20" s="90"/>
      <c r="CA20" s="90"/>
      <c r="CB20" s="90"/>
      <c r="CC20" s="90"/>
      <c r="CD20" s="90"/>
      <c r="CE20" s="90"/>
      <c r="CF20" s="90"/>
      <c r="CG20" s="90"/>
      <c r="CH20" s="90"/>
    </row>
    <row r="21" customFormat="false" ht="15" hidden="false" customHeight="true" outlineLevel="0" collapsed="false">
      <c r="A21" s="334" t="s">
        <v>1184</v>
      </c>
      <c r="B21" s="335" t="n">
        <f aca="false">-Projects!$B$13*Assumptions!$B$47</f>
        <v>-452667.7</v>
      </c>
      <c r="C21" s="335" t="n">
        <v>0</v>
      </c>
      <c r="D21" s="335" t="n">
        <f aca="false">B21+C21</f>
        <v>-452667.7</v>
      </c>
      <c r="E21" s="90"/>
      <c r="F21" s="90"/>
      <c r="G21" s="90"/>
      <c r="H21" s="90"/>
      <c r="I21" s="90"/>
      <c r="J21" s="90"/>
      <c r="K21" s="90"/>
      <c r="L21" s="90"/>
      <c r="M21" s="90"/>
      <c r="N21" s="90"/>
      <c r="O21" s="90"/>
      <c r="P21" s="90"/>
      <c r="Q21" s="90"/>
      <c r="R21" s="90"/>
      <c r="S21" s="90"/>
      <c r="T21" s="90"/>
      <c r="U21" s="90"/>
      <c r="V21" s="90"/>
      <c r="W21" s="90"/>
      <c r="X21" s="90"/>
      <c r="Y21" s="90"/>
      <c r="Z21" s="90"/>
      <c r="AA21" s="90"/>
      <c r="AB21" s="90"/>
      <c r="AC21" s="90"/>
      <c r="AD21" s="90"/>
      <c r="AE21" s="90"/>
      <c r="AF21" s="90"/>
      <c r="AG21" s="90"/>
      <c r="AH21" s="90"/>
      <c r="AI21" s="90"/>
      <c r="AJ21" s="90"/>
      <c r="AK21" s="90"/>
      <c r="AL21" s="90"/>
      <c r="AM21" s="90"/>
      <c r="AN21" s="90"/>
      <c r="AO21" s="90"/>
      <c r="AP21" s="90"/>
      <c r="AQ21" s="90"/>
      <c r="AR21" s="90"/>
      <c r="AS21" s="90"/>
      <c r="AT21" s="90"/>
      <c r="AU21" s="90"/>
      <c r="AV21" s="90"/>
      <c r="AW21" s="90"/>
      <c r="AX21" s="90"/>
      <c r="AY21" s="90"/>
      <c r="AZ21" s="90"/>
      <c r="BA21" s="90"/>
      <c r="BB21" s="90"/>
      <c r="BC21" s="90"/>
      <c r="BD21" s="90"/>
      <c r="BE21" s="90"/>
      <c r="BF21" s="90"/>
      <c r="BG21" s="90"/>
      <c r="BH21" s="90"/>
      <c r="BI21" s="90"/>
      <c r="BJ21" s="90"/>
      <c r="BK21" s="90"/>
      <c r="BL21" s="90"/>
      <c r="BM21" s="90"/>
      <c r="BN21" s="90"/>
      <c r="BO21" s="90"/>
      <c r="BP21" s="90"/>
      <c r="BQ21" s="90"/>
      <c r="BR21" s="90"/>
      <c r="BS21" s="90"/>
      <c r="BT21" s="90"/>
      <c r="BU21" s="90"/>
      <c r="BV21" s="90"/>
      <c r="BW21" s="90"/>
      <c r="BX21" s="90"/>
      <c r="BY21" s="90"/>
      <c r="BZ21" s="90"/>
      <c r="CA21" s="90"/>
      <c r="CB21" s="90"/>
      <c r="CC21" s="90"/>
      <c r="CD21" s="90"/>
      <c r="CE21" s="90"/>
      <c r="CF21" s="90"/>
      <c r="CG21" s="90"/>
      <c r="CH21" s="90"/>
    </row>
    <row r="22" customFormat="false" ht="15" hidden="false" customHeight="true" outlineLevel="0" collapsed="false">
      <c r="A22" s="332" t="s">
        <v>1185</v>
      </c>
      <c r="B22" s="333" t="n">
        <f aca="false">-Assumptions!$B$54*Assumptions!$B$48</f>
        <v>-150000</v>
      </c>
      <c r="C22" s="333" t="n">
        <v>0</v>
      </c>
      <c r="D22" s="333" t="n">
        <f aca="false">B22+C22</f>
        <v>-150000</v>
      </c>
      <c r="E22" s="220"/>
      <c r="F22" s="220"/>
      <c r="G22" s="220"/>
      <c r="H22" s="220"/>
      <c r="I22" s="220"/>
      <c r="J22" s="220"/>
      <c r="K22" s="220"/>
      <c r="L22" s="220"/>
      <c r="M22" s="220"/>
      <c r="N22" s="220"/>
      <c r="O22" s="220"/>
      <c r="P22" s="220"/>
      <c r="Q22" s="220"/>
      <c r="R22" s="220"/>
      <c r="S22" s="220"/>
      <c r="T22" s="220"/>
      <c r="U22" s="220"/>
      <c r="V22" s="220"/>
      <c r="W22" s="220"/>
      <c r="X22" s="220"/>
      <c r="Y22" s="220"/>
      <c r="Z22" s="220"/>
      <c r="AA22" s="220"/>
      <c r="AB22" s="220"/>
      <c r="AC22" s="220"/>
      <c r="AD22" s="220"/>
      <c r="AE22" s="220"/>
      <c r="AF22" s="220"/>
      <c r="AG22" s="220"/>
      <c r="AH22" s="220"/>
      <c r="AI22" s="220"/>
      <c r="AJ22" s="220"/>
      <c r="AK22" s="220"/>
      <c r="AL22" s="220"/>
      <c r="AM22" s="220"/>
      <c r="AN22" s="220"/>
      <c r="AO22" s="220"/>
      <c r="AP22" s="220"/>
      <c r="AQ22" s="220"/>
      <c r="AR22" s="220"/>
      <c r="AS22" s="220"/>
      <c r="AT22" s="220"/>
      <c r="AU22" s="220"/>
      <c r="AV22" s="220"/>
      <c r="AW22" s="220"/>
      <c r="AX22" s="220"/>
      <c r="AY22" s="220"/>
      <c r="AZ22" s="220"/>
      <c r="BA22" s="220"/>
      <c r="BB22" s="220"/>
      <c r="BC22" s="220"/>
      <c r="BD22" s="220"/>
      <c r="BE22" s="220"/>
      <c r="BF22" s="220"/>
      <c r="BG22" s="220"/>
      <c r="BH22" s="220"/>
      <c r="BI22" s="220"/>
      <c r="BJ22" s="220"/>
      <c r="BK22" s="220"/>
      <c r="BL22" s="220"/>
      <c r="BM22" s="220"/>
      <c r="BN22" s="220"/>
      <c r="BO22" s="220"/>
      <c r="BP22" s="220"/>
      <c r="BQ22" s="220"/>
      <c r="BR22" s="220"/>
      <c r="BS22" s="220"/>
      <c r="BT22" s="220"/>
      <c r="BU22" s="220"/>
      <c r="BV22" s="220"/>
      <c r="BW22" s="220"/>
      <c r="BX22" s="220"/>
      <c r="BY22" s="220"/>
      <c r="BZ22" s="220"/>
      <c r="CA22" s="220"/>
      <c r="CB22" s="220"/>
      <c r="CC22" s="220"/>
      <c r="CD22" s="220"/>
      <c r="CE22" s="220"/>
      <c r="CF22" s="220"/>
      <c r="CG22" s="220"/>
      <c r="CH22" s="220"/>
    </row>
    <row r="23" customFormat="false" ht="15" hidden="false" customHeight="true" outlineLevel="0" collapsed="false">
      <c r="A23" s="90" t="s">
        <v>1168</v>
      </c>
      <c r="B23" s="220" t="n">
        <f aca="false">-SUM(Model!E336:CG336)</f>
        <v>-735311.322547972</v>
      </c>
      <c r="C23" s="220" t="n">
        <v>0</v>
      </c>
      <c r="D23" s="220" t="n">
        <f aca="false">B23+C23</f>
        <v>-735311.322547972</v>
      </c>
      <c r="E23" s="220"/>
      <c r="F23" s="220"/>
      <c r="G23" s="220"/>
      <c r="H23" s="220"/>
      <c r="I23" s="220"/>
      <c r="J23" s="220"/>
      <c r="K23" s="220"/>
      <c r="L23" s="220"/>
      <c r="M23" s="220"/>
      <c r="N23" s="220"/>
      <c r="O23" s="220"/>
      <c r="P23" s="220"/>
      <c r="Q23" s="220"/>
      <c r="R23" s="220"/>
      <c r="S23" s="220"/>
      <c r="T23" s="220"/>
      <c r="U23" s="220"/>
      <c r="V23" s="220"/>
      <c r="W23" s="220"/>
      <c r="X23" s="220"/>
      <c r="Y23" s="220"/>
      <c r="Z23" s="220"/>
      <c r="AA23" s="220"/>
      <c r="AB23" s="220"/>
      <c r="AC23" s="220"/>
      <c r="AD23" s="220"/>
      <c r="AE23" s="220"/>
      <c r="AF23" s="220"/>
      <c r="AG23" s="220"/>
      <c r="AH23" s="220"/>
      <c r="AI23" s="220"/>
      <c r="AJ23" s="220"/>
      <c r="AK23" s="220"/>
      <c r="AL23" s="220"/>
      <c r="AM23" s="220"/>
      <c r="AN23" s="220"/>
      <c r="AO23" s="220"/>
      <c r="AP23" s="220"/>
      <c r="AQ23" s="220"/>
      <c r="AR23" s="220"/>
      <c r="AS23" s="220"/>
      <c r="AT23" s="220"/>
      <c r="AU23" s="220"/>
      <c r="AV23" s="220"/>
      <c r="AW23" s="220"/>
      <c r="AX23" s="220"/>
      <c r="AY23" s="220"/>
      <c r="AZ23" s="220"/>
      <c r="BA23" s="220"/>
      <c r="BB23" s="220"/>
      <c r="BC23" s="220"/>
      <c r="BD23" s="220"/>
      <c r="BE23" s="220"/>
      <c r="BF23" s="220"/>
      <c r="BG23" s="220"/>
      <c r="BH23" s="220"/>
      <c r="BI23" s="220"/>
      <c r="BJ23" s="220"/>
      <c r="BK23" s="220"/>
      <c r="BL23" s="220"/>
      <c r="BM23" s="220"/>
      <c r="BN23" s="220"/>
      <c r="BO23" s="220"/>
      <c r="BP23" s="220"/>
      <c r="BQ23" s="220"/>
      <c r="BR23" s="220"/>
      <c r="BS23" s="220"/>
      <c r="BT23" s="220"/>
      <c r="BU23" s="220"/>
      <c r="BV23" s="220"/>
      <c r="BW23" s="220"/>
      <c r="BX23" s="220"/>
      <c r="BY23" s="220"/>
      <c r="BZ23" s="220"/>
      <c r="CA23" s="220"/>
      <c r="CB23" s="220"/>
      <c r="CC23" s="220"/>
      <c r="CD23" s="220"/>
      <c r="CE23" s="220"/>
      <c r="CF23" s="220"/>
      <c r="CG23" s="220"/>
      <c r="CH23" s="220"/>
    </row>
    <row r="24" customFormat="false" ht="15" hidden="false" customHeight="true" outlineLevel="0" collapsed="false">
      <c r="A24" s="234" t="s">
        <v>1186</v>
      </c>
      <c r="B24" s="235" t="n">
        <f aca="false">SUM(B20:B23)</f>
        <v>261947.977452028</v>
      </c>
      <c r="C24" s="235" t="n">
        <f aca="false">SUM(C20:C23)</f>
        <v>2359498</v>
      </c>
      <c r="D24" s="235" t="n">
        <f aca="false">SUM(D20:D23)</f>
        <v>2621445.97745203</v>
      </c>
      <c r="E24" s="220"/>
      <c r="F24" s="220"/>
      <c r="G24" s="220"/>
      <c r="H24" s="220"/>
      <c r="I24" s="220"/>
      <c r="J24" s="220"/>
      <c r="K24" s="220"/>
      <c r="L24" s="220"/>
      <c r="M24" s="220"/>
      <c r="N24" s="220"/>
      <c r="O24" s="220"/>
      <c r="P24" s="220"/>
      <c r="Q24" s="220"/>
      <c r="R24" s="220"/>
      <c r="S24" s="220"/>
      <c r="T24" s="220"/>
      <c r="U24" s="220"/>
      <c r="V24" s="220"/>
      <c r="W24" s="220"/>
      <c r="X24" s="220"/>
      <c r="Y24" s="220"/>
      <c r="Z24" s="220"/>
      <c r="AA24" s="220"/>
      <c r="AB24" s="220"/>
      <c r="AC24" s="220"/>
      <c r="AD24" s="220"/>
      <c r="AE24" s="220"/>
      <c r="AF24" s="220"/>
      <c r="AG24" s="220"/>
      <c r="AH24" s="220"/>
      <c r="AI24" s="220"/>
      <c r="AJ24" s="220"/>
      <c r="AK24" s="220"/>
      <c r="AL24" s="220"/>
      <c r="AM24" s="220"/>
      <c r="AN24" s="220"/>
      <c r="AO24" s="220"/>
      <c r="AP24" s="220"/>
      <c r="AQ24" s="220"/>
      <c r="AR24" s="220"/>
      <c r="AS24" s="220"/>
      <c r="AT24" s="220"/>
      <c r="AU24" s="220"/>
      <c r="AV24" s="220"/>
      <c r="AW24" s="220"/>
      <c r="AX24" s="220"/>
      <c r="AY24" s="220"/>
      <c r="AZ24" s="220"/>
      <c r="BA24" s="220"/>
      <c r="BB24" s="220"/>
      <c r="BC24" s="220"/>
      <c r="BD24" s="220"/>
      <c r="BE24" s="220"/>
      <c r="BF24" s="220"/>
      <c r="BG24" s="220"/>
      <c r="BH24" s="220"/>
      <c r="BI24" s="220"/>
      <c r="BJ24" s="220"/>
      <c r="BK24" s="220"/>
      <c r="BL24" s="220"/>
      <c r="BM24" s="220"/>
      <c r="BN24" s="220"/>
      <c r="BO24" s="220"/>
      <c r="BP24" s="220"/>
      <c r="BQ24" s="220"/>
      <c r="BR24" s="220"/>
      <c r="BS24" s="220"/>
      <c r="BT24" s="220"/>
      <c r="BU24" s="220"/>
      <c r="BV24" s="220"/>
      <c r="BW24" s="220"/>
      <c r="BX24" s="220"/>
      <c r="BY24" s="220"/>
      <c r="BZ24" s="220"/>
      <c r="CA24" s="220"/>
      <c r="CB24" s="220"/>
      <c r="CC24" s="220"/>
      <c r="CD24" s="220"/>
      <c r="CE24" s="220"/>
      <c r="CF24" s="220"/>
      <c r="CG24" s="220"/>
      <c r="CH24" s="220"/>
    </row>
    <row r="25" customFormat="false" ht="15" hidden="false" customHeight="true" outlineLevel="0" collapsed="false">
      <c r="A25" s="310"/>
      <c r="B25" s="336"/>
      <c r="C25" s="336"/>
      <c r="D25" s="336"/>
      <c r="E25" s="220"/>
      <c r="F25" s="220"/>
      <c r="G25" s="220"/>
      <c r="H25" s="220"/>
      <c r="I25" s="220"/>
      <c r="J25" s="220"/>
      <c r="K25" s="220"/>
      <c r="L25" s="220"/>
      <c r="M25" s="220"/>
      <c r="N25" s="220"/>
      <c r="O25" s="220"/>
      <c r="P25" s="220"/>
      <c r="Q25" s="220"/>
      <c r="R25" s="220"/>
      <c r="S25" s="220"/>
      <c r="T25" s="220"/>
      <c r="U25" s="220"/>
      <c r="V25" s="220"/>
      <c r="W25" s="220"/>
      <c r="X25" s="220"/>
      <c r="Y25" s="220"/>
      <c r="Z25" s="220"/>
      <c r="AA25" s="220"/>
      <c r="AB25" s="220"/>
      <c r="AC25" s="220"/>
      <c r="AD25" s="220"/>
      <c r="AE25" s="220"/>
      <c r="AF25" s="220"/>
      <c r="AG25" s="220"/>
      <c r="AH25" s="220"/>
      <c r="AI25" s="220"/>
      <c r="AJ25" s="220"/>
      <c r="AK25" s="220"/>
      <c r="AL25" s="220"/>
      <c r="AM25" s="220"/>
      <c r="AN25" s="220"/>
      <c r="AO25" s="220"/>
      <c r="AP25" s="220"/>
      <c r="AQ25" s="220"/>
      <c r="AR25" s="220"/>
      <c r="AS25" s="220"/>
      <c r="AT25" s="220"/>
      <c r="AU25" s="220"/>
      <c r="AV25" s="220"/>
      <c r="AW25" s="220"/>
      <c r="AX25" s="220"/>
      <c r="AY25" s="220"/>
      <c r="AZ25" s="220"/>
      <c r="BA25" s="220"/>
      <c r="BB25" s="220"/>
      <c r="BC25" s="220"/>
      <c r="BD25" s="220"/>
      <c r="BE25" s="220"/>
      <c r="BF25" s="220"/>
      <c r="BG25" s="220"/>
      <c r="BH25" s="220"/>
      <c r="BI25" s="220"/>
      <c r="BJ25" s="220"/>
      <c r="BK25" s="220"/>
      <c r="BL25" s="220"/>
      <c r="BM25" s="220"/>
      <c r="BN25" s="220"/>
      <c r="BO25" s="220"/>
      <c r="BP25" s="220"/>
      <c r="BQ25" s="220"/>
      <c r="BR25" s="220"/>
      <c r="BS25" s="220"/>
      <c r="BT25" s="220"/>
      <c r="BU25" s="220"/>
      <c r="BV25" s="220"/>
      <c r="BW25" s="220"/>
      <c r="BX25" s="220"/>
      <c r="BY25" s="220"/>
      <c r="BZ25" s="220"/>
      <c r="CA25" s="220"/>
      <c r="CB25" s="220"/>
      <c r="CC25" s="220"/>
      <c r="CD25" s="220"/>
      <c r="CE25" s="220"/>
      <c r="CF25" s="220"/>
      <c r="CG25" s="220"/>
      <c r="CH25" s="220"/>
    </row>
    <row r="26" customFormat="false" ht="15" hidden="false" customHeight="true" outlineLevel="0" collapsed="false">
      <c r="A26" s="337" t="s">
        <v>1188</v>
      </c>
      <c r="B26" s="338"/>
      <c r="C26" s="338"/>
      <c r="D26" s="338"/>
      <c r="E26" s="220"/>
      <c r="F26" s="220"/>
      <c r="G26" s="220"/>
      <c r="H26" s="220"/>
      <c r="I26" s="220"/>
      <c r="J26" s="220"/>
      <c r="K26" s="220"/>
      <c r="L26" s="220"/>
      <c r="M26" s="220"/>
      <c r="N26" s="220"/>
      <c r="O26" s="220"/>
      <c r="P26" s="220"/>
      <c r="Q26" s="220"/>
      <c r="R26" s="220"/>
      <c r="S26" s="220"/>
      <c r="T26" s="220"/>
      <c r="U26" s="220"/>
      <c r="V26" s="220"/>
      <c r="W26" s="220"/>
      <c r="X26" s="220"/>
      <c r="Y26" s="220"/>
      <c r="Z26" s="220"/>
      <c r="AA26" s="220"/>
      <c r="AB26" s="220"/>
      <c r="AC26" s="220"/>
      <c r="AD26" s="220"/>
      <c r="AE26" s="220"/>
      <c r="AF26" s="220"/>
      <c r="AG26" s="220"/>
      <c r="AH26" s="220"/>
      <c r="AI26" s="220"/>
      <c r="AJ26" s="220"/>
      <c r="AK26" s="220"/>
      <c r="AL26" s="220"/>
      <c r="AM26" s="220"/>
      <c r="AN26" s="220"/>
      <c r="AO26" s="220"/>
      <c r="AP26" s="220"/>
      <c r="AQ26" s="220"/>
      <c r="AR26" s="220"/>
      <c r="AS26" s="220"/>
      <c r="AT26" s="220"/>
      <c r="AU26" s="220"/>
      <c r="AV26" s="220"/>
      <c r="AW26" s="220"/>
      <c r="AX26" s="220"/>
      <c r="AY26" s="220"/>
      <c r="AZ26" s="220"/>
      <c r="BA26" s="220"/>
      <c r="BB26" s="220"/>
      <c r="BC26" s="220"/>
      <c r="BD26" s="220"/>
      <c r="BE26" s="220"/>
      <c r="BF26" s="220"/>
      <c r="BG26" s="220"/>
      <c r="BH26" s="220"/>
      <c r="BI26" s="220"/>
      <c r="BJ26" s="220"/>
      <c r="BK26" s="220"/>
      <c r="BL26" s="220"/>
      <c r="BM26" s="220"/>
      <c r="BN26" s="220"/>
      <c r="BO26" s="220"/>
      <c r="BP26" s="220"/>
      <c r="BQ26" s="220"/>
      <c r="BR26" s="220"/>
      <c r="BS26" s="220"/>
      <c r="BT26" s="220"/>
      <c r="BU26" s="220"/>
      <c r="BV26" s="220"/>
      <c r="BW26" s="220"/>
      <c r="BX26" s="220"/>
      <c r="BY26" s="220"/>
      <c r="BZ26" s="220"/>
      <c r="CA26" s="220"/>
      <c r="CB26" s="220"/>
      <c r="CC26" s="220"/>
      <c r="CD26" s="220"/>
      <c r="CE26" s="220"/>
      <c r="CF26" s="220"/>
      <c r="CG26" s="220"/>
      <c r="CH26" s="220"/>
    </row>
    <row r="27" customFormat="false" ht="15" hidden="false" customHeight="true" outlineLevel="0" collapsed="false">
      <c r="A27" s="339" t="s">
        <v>1189</v>
      </c>
      <c r="B27" s="340" t="n">
        <f aca="false">B6+B13+B20</f>
        <v>2934389</v>
      </c>
      <c r="C27" s="340" t="n">
        <f aca="false">C6+C13+C20</f>
        <v>6978708</v>
      </c>
      <c r="D27" s="340" t="n">
        <f aca="false">D6+D13+D20</f>
        <v>9913097</v>
      </c>
      <c r="E27" s="90"/>
      <c r="F27" s="90"/>
      <c r="G27" s="90"/>
      <c r="H27" s="90"/>
      <c r="I27" s="90"/>
      <c r="J27" s="90"/>
      <c r="K27" s="90"/>
      <c r="L27" s="90"/>
      <c r="M27" s="90"/>
      <c r="N27" s="90"/>
      <c r="O27" s="90"/>
      <c r="P27" s="90"/>
      <c r="Q27" s="90"/>
      <c r="R27" s="90"/>
      <c r="S27" s="90"/>
      <c r="T27" s="90"/>
      <c r="U27" s="90"/>
      <c r="V27" s="90"/>
      <c r="W27" s="90"/>
      <c r="X27" s="90"/>
      <c r="Y27" s="90"/>
      <c r="Z27" s="90"/>
      <c r="AA27" s="90"/>
      <c r="AB27" s="90"/>
      <c r="AC27" s="90"/>
      <c r="AD27" s="90"/>
      <c r="AE27" s="90"/>
      <c r="AF27" s="90"/>
      <c r="AG27" s="90"/>
      <c r="AH27" s="90"/>
      <c r="AI27" s="90"/>
      <c r="AJ27" s="90"/>
      <c r="AK27" s="90"/>
      <c r="AL27" s="90"/>
      <c r="AM27" s="90"/>
      <c r="AN27" s="90"/>
      <c r="AO27" s="90"/>
      <c r="AP27" s="90"/>
      <c r="AQ27" s="90"/>
      <c r="AR27" s="90"/>
      <c r="AS27" s="90"/>
      <c r="AT27" s="90"/>
      <c r="AU27" s="90"/>
      <c r="AV27" s="90"/>
      <c r="AW27" s="90"/>
      <c r="AX27" s="90"/>
      <c r="AY27" s="90"/>
      <c r="AZ27" s="90"/>
      <c r="BA27" s="90"/>
      <c r="BB27" s="90"/>
      <c r="BC27" s="90"/>
      <c r="BD27" s="90"/>
      <c r="BE27" s="90"/>
      <c r="BF27" s="90"/>
      <c r="BG27" s="90"/>
      <c r="BH27" s="90"/>
      <c r="BI27" s="90"/>
      <c r="BJ27" s="90"/>
      <c r="BK27" s="90"/>
      <c r="BL27" s="90"/>
      <c r="BM27" s="90"/>
      <c r="BN27" s="90"/>
      <c r="BO27" s="90"/>
      <c r="BP27" s="90"/>
      <c r="BQ27" s="90"/>
      <c r="BR27" s="90"/>
      <c r="BS27" s="90"/>
      <c r="BT27" s="90"/>
      <c r="BU27" s="90"/>
      <c r="BV27" s="90"/>
      <c r="BW27" s="90"/>
      <c r="BX27" s="90"/>
      <c r="BY27" s="90"/>
      <c r="BZ27" s="90"/>
      <c r="CA27" s="90"/>
      <c r="CB27" s="90"/>
      <c r="CC27" s="90"/>
      <c r="CD27" s="90"/>
      <c r="CE27" s="90"/>
      <c r="CF27" s="90"/>
      <c r="CG27" s="90"/>
      <c r="CH27" s="90"/>
    </row>
    <row r="28" customFormat="false" ht="15" hidden="false" customHeight="true" outlineLevel="0" collapsed="false">
      <c r="A28" s="90" t="s">
        <v>1190</v>
      </c>
      <c r="B28" s="220" t="n">
        <f aca="false">B7+B14+B21</f>
        <v>-1294161.67</v>
      </c>
      <c r="C28" s="220" t="n">
        <f aca="false">C7+C14+C21</f>
        <v>0</v>
      </c>
      <c r="D28" s="220" t="n">
        <f aca="false">D7+D14+D21</f>
        <v>-1294161.67</v>
      </c>
      <c r="E28" s="90"/>
      <c r="F28" s="90"/>
      <c r="G28" s="90"/>
      <c r="H28" s="90"/>
      <c r="I28" s="90"/>
      <c r="J28" s="90"/>
      <c r="K28" s="90"/>
      <c r="L28" s="90"/>
      <c r="M28" s="90"/>
      <c r="N28" s="90"/>
      <c r="O28" s="90"/>
      <c r="P28" s="90"/>
      <c r="Q28" s="90"/>
      <c r="R28" s="90"/>
      <c r="S28" s="90"/>
      <c r="T28" s="90"/>
      <c r="U28" s="90"/>
      <c r="V28" s="90"/>
      <c r="W28" s="90"/>
      <c r="X28" s="90"/>
      <c r="Y28" s="90"/>
      <c r="Z28" s="90"/>
      <c r="AA28" s="90"/>
      <c r="AB28" s="90"/>
      <c r="AC28" s="90"/>
      <c r="AD28" s="90"/>
      <c r="AE28" s="90"/>
      <c r="AF28" s="90"/>
      <c r="AG28" s="90"/>
      <c r="AH28" s="90"/>
      <c r="AI28" s="90"/>
      <c r="AJ28" s="90"/>
      <c r="AK28" s="90"/>
      <c r="AL28" s="90"/>
      <c r="AM28" s="90"/>
      <c r="AN28" s="90"/>
      <c r="AO28" s="90"/>
      <c r="AP28" s="90"/>
      <c r="AQ28" s="90"/>
      <c r="AR28" s="90"/>
      <c r="AS28" s="90"/>
      <c r="AT28" s="90"/>
      <c r="AU28" s="90"/>
      <c r="AV28" s="90"/>
      <c r="AW28" s="90"/>
      <c r="AX28" s="90"/>
      <c r="AY28" s="90"/>
      <c r="AZ28" s="90"/>
      <c r="BA28" s="90"/>
      <c r="BB28" s="90"/>
      <c r="BC28" s="90"/>
      <c r="BD28" s="90"/>
      <c r="BE28" s="90"/>
      <c r="BF28" s="90"/>
      <c r="BG28" s="90"/>
      <c r="BH28" s="90"/>
      <c r="BI28" s="90"/>
      <c r="BJ28" s="90"/>
      <c r="BK28" s="90"/>
      <c r="BL28" s="90"/>
      <c r="BM28" s="90"/>
      <c r="BN28" s="90"/>
      <c r="BO28" s="90"/>
      <c r="BP28" s="90"/>
      <c r="BQ28" s="90"/>
      <c r="BR28" s="90"/>
      <c r="BS28" s="90"/>
      <c r="BT28" s="90"/>
      <c r="BU28" s="90"/>
      <c r="BV28" s="90"/>
      <c r="BW28" s="90"/>
      <c r="BX28" s="90"/>
      <c r="BY28" s="90"/>
      <c r="BZ28" s="90"/>
      <c r="CA28" s="90"/>
      <c r="CB28" s="90"/>
      <c r="CC28" s="90"/>
      <c r="CD28" s="90"/>
      <c r="CE28" s="90"/>
      <c r="CF28" s="90"/>
      <c r="CG28" s="90"/>
      <c r="CH28" s="90"/>
    </row>
    <row r="29" customFormat="false" ht="15" hidden="false" customHeight="true" outlineLevel="0" collapsed="false">
      <c r="A29" s="341" t="s">
        <v>1191</v>
      </c>
      <c r="B29" s="342" t="n">
        <f aca="false">B8+B15+B22</f>
        <v>-450000</v>
      </c>
      <c r="C29" s="342" t="n">
        <f aca="false">C8+C15+C22</f>
        <v>0</v>
      </c>
      <c r="D29" s="342" t="n">
        <f aca="false">D8+D15+D22</f>
        <v>-450000</v>
      </c>
      <c r="E29" s="220"/>
      <c r="F29" s="220"/>
      <c r="G29" s="220"/>
      <c r="H29" s="220"/>
      <c r="I29" s="220"/>
      <c r="J29" s="220"/>
      <c r="K29" s="220"/>
      <c r="L29" s="220"/>
      <c r="M29" s="220"/>
      <c r="N29" s="220"/>
      <c r="O29" s="220"/>
      <c r="P29" s="220"/>
      <c r="Q29" s="220"/>
      <c r="R29" s="220"/>
      <c r="S29" s="220"/>
      <c r="T29" s="220"/>
      <c r="U29" s="220"/>
      <c r="V29" s="220"/>
      <c r="W29" s="220"/>
      <c r="X29" s="220"/>
      <c r="Y29" s="220"/>
      <c r="Z29" s="220"/>
      <c r="AA29" s="220"/>
      <c r="AB29" s="220"/>
      <c r="AC29" s="220"/>
      <c r="AD29" s="220"/>
      <c r="AE29" s="220"/>
      <c r="AF29" s="220"/>
      <c r="AG29" s="220"/>
      <c r="AH29" s="220"/>
      <c r="AI29" s="220"/>
      <c r="AJ29" s="220"/>
      <c r="AK29" s="220"/>
      <c r="AL29" s="220"/>
      <c r="AM29" s="220"/>
      <c r="AN29" s="220"/>
      <c r="AO29" s="220"/>
      <c r="AP29" s="220"/>
      <c r="AQ29" s="220"/>
      <c r="AR29" s="220"/>
      <c r="AS29" s="220"/>
      <c r="AT29" s="220"/>
      <c r="AU29" s="220"/>
      <c r="AV29" s="220"/>
      <c r="AW29" s="220"/>
      <c r="AX29" s="220"/>
      <c r="AY29" s="220"/>
      <c r="AZ29" s="220"/>
      <c r="BA29" s="220"/>
      <c r="BB29" s="220"/>
      <c r="BC29" s="220"/>
      <c r="BD29" s="220"/>
      <c r="BE29" s="220"/>
      <c r="BF29" s="220"/>
      <c r="BG29" s="220"/>
      <c r="BH29" s="220"/>
      <c r="BI29" s="220"/>
      <c r="BJ29" s="220"/>
      <c r="BK29" s="220"/>
      <c r="BL29" s="220"/>
      <c r="BM29" s="220"/>
      <c r="BN29" s="220"/>
      <c r="BO29" s="220"/>
      <c r="BP29" s="220"/>
      <c r="BQ29" s="220"/>
      <c r="BR29" s="220"/>
      <c r="BS29" s="220"/>
      <c r="BT29" s="220"/>
      <c r="BU29" s="220"/>
      <c r="BV29" s="220"/>
      <c r="BW29" s="220"/>
      <c r="BX29" s="220"/>
      <c r="BY29" s="220"/>
      <c r="BZ29" s="220"/>
      <c r="CA29" s="220"/>
      <c r="CB29" s="220"/>
      <c r="CC29" s="220"/>
      <c r="CD29" s="220"/>
      <c r="CE29" s="220"/>
      <c r="CF29" s="220"/>
      <c r="CG29" s="220"/>
      <c r="CH29" s="220"/>
    </row>
    <row r="30" customFormat="false" ht="15" hidden="false" customHeight="true" outlineLevel="0" collapsed="false">
      <c r="A30" s="343" t="s">
        <v>1192</v>
      </c>
      <c r="B30" s="344" t="n">
        <f aca="false">B9+B16+B23</f>
        <v>-1318548.68110717</v>
      </c>
      <c r="C30" s="344" t="n">
        <f aca="false">C9+C16+C23</f>
        <v>-240125.881206445</v>
      </c>
      <c r="D30" s="344" t="n">
        <f aca="false">D9+D16+D23</f>
        <v>-1558674.56231362</v>
      </c>
      <c r="E30" s="220"/>
      <c r="F30" s="220"/>
      <c r="G30" s="220"/>
      <c r="H30" s="220"/>
      <c r="I30" s="220"/>
      <c r="J30" s="220"/>
      <c r="K30" s="220"/>
      <c r="L30" s="220"/>
      <c r="M30" s="220"/>
      <c r="N30" s="220"/>
      <c r="O30" s="220"/>
      <c r="P30" s="220"/>
      <c r="Q30" s="220"/>
      <c r="R30" s="220"/>
      <c r="S30" s="220"/>
      <c r="T30" s="220"/>
      <c r="U30" s="220"/>
      <c r="V30" s="220"/>
      <c r="W30" s="220"/>
      <c r="X30" s="220"/>
      <c r="Y30" s="220"/>
      <c r="Z30" s="220"/>
      <c r="AA30" s="220"/>
      <c r="AB30" s="220"/>
      <c r="AC30" s="220"/>
      <c r="AD30" s="220"/>
      <c r="AE30" s="220"/>
      <c r="AF30" s="220"/>
      <c r="AG30" s="220"/>
      <c r="AH30" s="220"/>
      <c r="AI30" s="220"/>
      <c r="AJ30" s="220"/>
      <c r="AK30" s="220"/>
      <c r="AL30" s="220"/>
      <c r="AM30" s="220"/>
      <c r="AN30" s="220"/>
      <c r="AO30" s="220"/>
      <c r="AP30" s="220"/>
      <c r="AQ30" s="220"/>
      <c r="AR30" s="220"/>
      <c r="AS30" s="220"/>
      <c r="AT30" s="220"/>
      <c r="AU30" s="220"/>
      <c r="AV30" s="220"/>
      <c r="AW30" s="220"/>
      <c r="AX30" s="220"/>
      <c r="AY30" s="220"/>
      <c r="AZ30" s="220"/>
      <c r="BA30" s="220"/>
      <c r="BB30" s="220"/>
      <c r="BC30" s="220"/>
      <c r="BD30" s="220"/>
      <c r="BE30" s="220"/>
      <c r="BF30" s="220"/>
      <c r="BG30" s="220"/>
      <c r="BH30" s="220"/>
      <c r="BI30" s="220"/>
      <c r="BJ30" s="220"/>
      <c r="BK30" s="220"/>
      <c r="BL30" s="220"/>
      <c r="BM30" s="220"/>
      <c r="BN30" s="220"/>
      <c r="BO30" s="220"/>
      <c r="BP30" s="220"/>
      <c r="BQ30" s="220"/>
      <c r="BR30" s="220"/>
      <c r="BS30" s="220"/>
      <c r="BT30" s="220"/>
      <c r="BU30" s="220"/>
      <c r="BV30" s="220"/>
      <c r="BW30" s="220"/>
      <c r="BX30" s="220"/>
      <c r="BY30" s="220"/>
      <c r="BZ30" s="220"/>
      <c r="CA30" s="220"/>
      <c r="CB30" s="220"/>
      <c r="CC30" s="220"/>
      <c r="CD30" s="220"/>
      <c r="CE30" s="220"/>
      <c r="CF30" s="220"/>
      <c r="CG30" s="220"/>
      <c r="CH30" s="220"/>
    </row>
    <row r="31" customFormat="false" ht="15" hidden="false" customHeight="true" outlineLevel="0" collapsed="false">
      <c r="A31" s="97" t="s">
        <v>1193</v>
      </c>
      <c r="B31" s="221" t="n">
        <f aca="false">B10+B17+B24</f>
        <v>-128321.351107174</v>
      </c>
      <c r="C31" s="221" t="n">
        <f aca="false">C10+C17+C24</f>
        <v>6738582.11879356</v>
      </c>
      <c r="D31" s="221" t="n">
        <f aca="false">D10+D17+D24</f>
        <v>6610260.76768638</v>
      </c>
      <c r="E31" s="220"/>
      <c r="F31" s="220"/>
      <c r="G31" s="220"/>
      <c r="H31" s="220"/>
      <c r="I31" s="220"/>
      <c r="J31" s="220"/>
      <c r="K31" s="220"/>
      <c r="L31" s="220"/>
      <c r="M31" s="220"/>
      <c r="N31" s="220"/>
      <c r="O31" s="220"/>
      <c r="P31" s="220"/>
      <c r="Q31" s="220"/>
      <c r="R31" s="220"/>
      <c r="S31" s="220"/>
      <c r="T31" s="220"/>
      <c r="U31" s="220"/>
      <c r="V31" s="220"/>
      <c r="W31" s="220"/>
      <c r="X31" s="220"/>
      <c r="Y31" s="220"/>
      <c r="Z31" s="220"/>
      <c r="AA31" s="220"/>
      <c r="AB31" s="220"/>
      <c r="AC31" s="220"/>
      <c r="AD31" s="220"/>
      <c r="AE31" s="220"/>
      <c r="AF31" s="220"/>
      <c r="AG31" s="220"/>
      <c r="AH31" s="220"/>
      <c r="AI31" s="220"/>
      <c r="AJ31" s="220"/>
      <c r="AK31" s="220"/>
      <c r="AL31" s="220"/>
      <c r="AM31" s="220"/>
      <c r="AN31" s="220"/>
      <c r="AO31" s="220"/>
      <c r="AP31" s="220"/>
      <c r="AQ31" s="220"/>
      <c r="AR31" s="220"/>
      <c r="AS31" s="220"/>
      <c r="AT31" s="220"/>
      <c r="AU31" s="220"/>
      <c r="AV31" s="220"/>
      <c r="AW31" s="220"/>
      <c r="AX31" s="220"/>
      <c r="AY31" s="220"/>
      <c r="AZ31" s="220"/>
      <c r="BA31" s="220"/>
      <c r="BB31" s="220"/>
      <c r="BC31" s="220"/>
      <c r="BD31" s="220"/>
      <c r="BE31" s="220"/>
      <c r="BF31" s="220"/>
      <c r="BG31" s="220"/>
      <c r="BH31" s="220"/>
      <c r="BI31" s="220"/>
      <c r="BJ31" s="220"/>
      <c r="BK31" s="220"/>
      <c r="BL31" s="220"/>
      <c r="BM31" s="220"/>
      <c r="BN31" s="220"/>
      <c r="BO31" s="220"/>
      <c r="BP31" s="220"/>
      <c r="BQ31" s="220"/>
      <c r="BR31" s="220"/>
      <c r="BS31" s="220"/>
      <c r="BT31" s="220"/>
      <c r="BU31" s="220"/>
      <c r="BV31" s="220"/>
      <c r="BW31" s="220"/>
      <c r="BX31" s="220"/>
      <c r="BY31" s="220"/>
      <c r="BZ31" s="220"/>
      <c r="CA31" s="220"/>
      <c r="CB31" s="220"/>
      <c r="CC31" s="220"/>
      <c r="CD31" s="220"/>
      <c r="CE31" s="220"/>
      <c r="CF31" s="220"/>
      <c r="CG31" s="220"/>
      <c r="CH31" s="220"/>
    </row>
    <row r="32" customFormat="false" ht="15" hidden="false" customHeight="true" outlineLevel="0" collapsed="false">
      <c r="A32" s="345"/>
      <c r="B32" s="346"/>
      <c r="C32" s="346"/>
      <c r="D32" s="346"/>
      <c r="E32" s="90"/>
      <c r="F32" s="90"/>
      <c r="G32" s="90"/>
      <c r="H32" s="90"/>
      <c r="I32" s="90"/>
      <c r="J32" s="90"/>
      <c r="K32" s="90"/>
      <c r="L32" s="90"/>
      <c r="M32" s="90"/>
      <c r="N32" s="90"/>
      <c r="O32" s="90"/>
      <c r="P32" s="90"/>
      <c r="Q32" s="90"/>
      <c r="R32" s="90"/>
      <c r="S32" s="90"/>
      <c r="T32" s="90"/>
      <c r="U32" s="90"/>
      <c r="V32" s="90"/>
      <c r="W32" s="90"/>
      <c r="X32" s="90"/>
      <c r="Y32" s="90"/>
      <c r="Z32" s="90"/>
      <c r="AA32" s="90"/>
      <c r="AB32" s="90"/>
      <c r="AC32" s="90"/>
      <c r="AD32" s="90"/>
      <c r="AE32" s="90"/>
      <c r="AF32" s="90"/>
      <c r="AG32" s="90"/>
      <c r="AH32" s="90"/>
      <c r="AI32" s="90"/>
      <c r="AJ32" s="90"/>
      <c r="AK32" s="90"/>
      <c r="AL32" s="90"/>
      <c r="AM32" s="90"/>
      <c r="AN32" s="90"/>
      <c r="AO32" s="90"/>
      <c r="AP32" s="90"/>
      <c r="AQ32" s="90"/>
      <c r="AR32" s="90"/>
      <c r="AS32" s="90"/>
      <c r="AT32" s="90"/>
      <c r="AU32" s="90"/>
      <c r="AV32" s="90"/>
      <c r="AW32" s="90"/>
      <c r="AX32" s="90"/>
      <c r="AY32" s="90"/>
      <c r="AZ32" s="90"/>
      <c r="BA32" s="90"/>
      <c r="BB32" s="90"/>
      <c r="BC32" s="90"/>
      <c r="BD32" s="90"/>
      <c r="BE32" s="90"/>
      <c r="BF32" s="90"/>
      <c r="BG32" s="90"/>
      <c r="BH32" s="90"/>
      <c r="BI32" s="90"/>
      <c r="BJ32" s="90"/>
      <c r="BK32" s="90"/>
      <c r="BL32" s="90"/>
      <c r="BM32" s="90"/>
      <c r="BN32" s="90"/>
      <c r="BO32" s="90"/>
      <c r="BP32" s="90"/>
      <c r="BQ32" s="90"/>
      <c r="BR32" s="90"/>
      <c r="BS32" s="90"/>
      <c r="BT32" s="90"/>
      <c r="BU32" s="90"/>
      <c r="BV32" s="90"/>
      <c r="BW32" s="90"/>
      <c r="BX32" s="90"/>
      <c r="BY32" s="90"/>
      <c r="BZ32" s="90"/>
      <c r="CA32" s="90"/>
      <c r="CB32" s="90"/>
      <c r="CC32" s="90"/>
      <c r="CD32" s="90"/>
      <c r="CE32" s="90"/>
      <c r="CF32" s="90"/>
      <c r="CG32" s="90"/>
      <c r="CH32" s="90"/>
    </row>
    <row r="33" customFormat="false" ht="15" hidden="false" customHeight="true" outlineLevel="0" collapsed="false">
      <c r="A33" s="310"/>
      <c r="B33" s="336"/>
      <c r="C33" s="336"/>
      <c r="D33" s="336"/>
      <c r="E33" s="220"/>
      <c r="F33" s="220"/>
      <c r="G33" s="220"/>
      <c r="H33" s="220"/>
      <c r="I33" s="220"/>
      <c r="J33" s="220"/>
      <c r="K33" s="220"/>
      <c r="L33" s="220"/>
      <c r="M33" s="220"/>
      <c r="N33" s="220"/>
      <c r="O33" s="220"/>
      <c r="P33" s="220"/>
      <c r="Q33" s="220"/>
      <c r="R33" s="220"/>
      <c r="S33" s="220"/>
      <c r="T33" s="220"/>
      <c r="U33" s="220"/>
      <c r="V33" s="220"/>
      <c r="W33" s="220"/>
      <c r="X33" s="220"/>
      <c r="Y33" s="220"/>
      <c r="Z33" s="220"/>
      <c r="AA33" s="220"/>
      <c r="AB33" s="220"/>
      <c r="AC33" s="220"/>
      <c r="AD33" s="220"/>
      <c r="AE33" s="220"/>
      <c r="AF33" s="220"/>
      <c r="AG33" s="220"/>
      <c r="AH33" s="220"/>
      <c r="AI33" s="220"/>
      <c r="AJ33" s="220"/>
      <c r="AK33" s="220"/>
      <c r="AL33" s="220"/>
      <c r="AM33" s="220"/>
      <c r="AN33" s="220"/>
      <c r="AO33" s="220"/>
      <c r="AP33" s="220"/>
      <c r="AQ33" s="220"/>
      <c r="AR33" s="220"/>
      <c r="AS33" s="220"/>
      <c r="AT33" s="220"/>
      <c r="AU33" s="220"/>
      <c r="AV33" s="220"/>
      <c r="AW33" s="220"/>
      <c r="AX33" s="220"/>
      <c r="AY33" s="220"/>
      <c r="AZ33" s="220"/>
      <c r="BA33" s="220"/>
      <c r="BB33" s="220"/>
      <c r="BC33" s="220"/>
      <c r="BD33" s="220"/>
      <c r="BE33" s="220"/>
      <c r="BF33" s="220"/>
      <c r="BG33" s="220"/>
      <c r="BH33" s="220"/>
      <c r="BI33" s="220"/>
      <c r="BJ33" s="220"/>
      <c r="BK33" s="220"/>
      <c r="BL33" s="220"/>
      <c r="BM33" s="220"/>
      <c r="BN33" s="220"/>
      <c r="BO33" s="220"/>
      <c r="BP33" s="220"/>
      <c r="BQ33" s="220"/>
      <c r="BR33" s="220"/>
      <c r="BS33" s="220"/>
      <c r="BT33" s="220"/>
      <c r="BU33" s="220"/>
      <c r="BV33" s="220"/>
      <c r="BW33" s="220"/>
      <c r="BX33" s="220"/>
      <c r="BY33" s="220"/>
      <c r="BZ33" s="220"/>
      <c r="CA33" s="220"/>
      <c r="CB33" s="220"/>
      <c r="CC33" s="220"/>
      <c r="CD33" s="220"/>
      <c r="CE33" s="220"/>
      <c r="CF33" s="220"/>
      <c r="CG33" s="220"/>
      <c r="CH33" s="220"/>
    </row>
    <row r="34" customFormat="false" ht="15" hidden="false" customHeight="true" outlineLevel="0" collapsed="false">
      <c r="A34" s="345"/>
      <c r="B34" s="346"/>
      <c r="C34" s="346"/>
      <c r="D34" s="346"/>
    </row>
    <row r="35" customFormat="false" ht="15" hidden="false" customHeight="true" outlineLevel="0" collapsed="false">
      <c r="A35" s="323"/>
      <c r="B35" s="324"/>
      <c r="C35" s="324"/>
      <c r="D35" s="324"/>
    </row>
    <row r="37" customFormat="false" ht="15" hidden="false" customHeight="true" outlineLevel="0" collapsed="false">
      <c r="A37" s="347"/>
    </row>
    <row r="38" customFormat="false" ht="15" hidden="false" customHeight="true" outlineLevel="0" collapsed="false">
      <c r="A38" s="348"/>
    </row>
    <row r="39" customFormat="false" ht="15" hidden="false" customHeight="true" outlineLevel="0" collapsed="false">
      <c r="A39" s="348"/>
    </row>
    <row r="40" customFormat="false" ht="15" hidden="false" customHeight="true" outlineLevel="0" collapsed="false">
      <c r="A40" s="348" t="s">
        <v>1194</v>
      </c>
    </row>
    <row r="41" customFormat="false" ht="15" hidden="false" customHeight="true" outlineLevel="0" collapsed="false">
      <c r="A41" s="348" t="s">
        <v>1195</v>
      </c>
    </row>
    <row r="42" customFormat="false" ht="15" hidden="false" customHeight="true" outlineLevel="0" collapsed="false">
      <c r="A42" s="348" t="s">
        <v>1196</v>
      </c>
    </row>
    <row r="43" customFormat="false" ht="15" hidden="false" customHeight="true" outlineLevel="0" collapsed="false">
      <c r="A43" s="348" t="s">
        <v>1197</v>
      </c>
    </row>
    <row r="44" customFormat="false" ht="15" hidden="false" customHeight="true" outlineLevel="0" collapsed="false">
      <c r="A44" s="348" t="s">
        <v>1198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DF5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109375" defaultRowHeight="13.5" zeroHeight="false" outlineLevelRow="0" outlineLevelCol="0"/>
  <cols>
    <col collapsed="false" customWidth="true" hidden="false" outlineLevel="0" max="1" min="1" style="1" width="32"/>
    <col collapsed="false" customWidth="true" hidden="false" outlineLevel="0" max="2" min="2" style="1" width="15"/>
    <col collapsed="false" customWidth="true" hidden="false" outlineLevel="0" max="3" min="3" style="1" width="12"/>
    <col collapsed="false" customWidth="true" hidden="false" outlineLevel="0" max="6" min="4" style="1" width="14"/>
    <col collapsed="false" customWidth="true" hidden="false" outlineLevel="0" max="7" min="7" style="1" width="12"/>
    <col collapsed="false" customWidth="true" hidden="false" outlineLevel="0" max="10" min="8" style="1" width="11"/>
    <col collapsed="false" customWidth="true" hidden="false" outlineLevel="0" max="97" min="11" style="1" width="14"/>
    <col collapsed="false" customWidth="true" hidden="false" outlineLevel="0" max="110" min="98" style="1" width="12"/>
  </cols>
  <sheetData>
    <row r="1" customFormat="false" ht="17.25" hidden="false" customHeight="true" outlineLevel="0" collapsed="false">
      <c r="A1" s="94" t="s">
        <v>1199</v>
      </c>
    </row>
    <row r="2" customFormat="false" ht="15" hidden="false" customHeight="true" outlineLevel="0" collapsed="false">
      <c r="A2" s="90" t="s">
        <v>1200</v>
      </c>
      <c r="B2" s="349" t="n">
        <v>0.0025</v>
      </c>
    </row>
    <row r="3" customFormat="false" ht="15" hidden="false" customHeight="true" outlineLevel="0" collapsed="false">
      <c r="A3" s="90" t="s">
        <v>1201</v>
      </c>
      <c r="B3" s="350" t="n">
        <v>0.1</v>
      </c>
    </row>
    <row r="4" customFormat="false" ht="15" hidden="false" customHeight="true" outlineLevel="0" collapsed="false"/>
    <row r="5" customFormat="false" ht="30" hidden="false" customHeight="true" outlineLevel="0" collapsed="false">
      <c r="A5" s="351" t="s">
        <v>1202</v>
      </c>
      <c r="B5" s="351" t="s">
        <v>1203</v>
      </c>
      <c r="C5" s="351" t="s">
        <v>1204</v>
      </c>
      <c r="D5" s="352" t="s">
        <v>1205</v>
      </c>
      <c r="E5" s="352" t="s">
        <v>1206</v>
      </c>
      <c r="F5" s="352" t="s">
        <v>1207</v>
      </c>
      <c r="G5" s="353" t="s">
        <v>532</v>
      </c>
    </row>
    <row r="6" customFormat="false" ht="15" hidden="false" customHeight="true" outlineLevel="0" collapsed="false">
      <c r="A6" s="9" t="n">
        <v>2026</v>
      </c>
      <c r="B6" s="9" t="n">
        <v>-2</v>
      </c>
      <c r="C6" s="9" t="n">
        <v>9</v>
      </c>
      <c r="D6" s="104" t="n">
        <f aca="false">SUM(Helpers!C96:N96)</f>
        <v>0</v>
      </c>
      <c r="E6" s="104" t="n">
        <f aca="false">SUM(Helpers!C101:N101)</f>
        <v>0</v>
      </c>
      <c r="F6" s="104" t="n">
        <f aca="false">D6-E6</f>
        <v>0</v>
      </c>
      <c r="G6" s="354" t="n">
        <f aca="false">IF(F6&gt;=Assumptions!$B$86,Assumptions!$C$86,IF(F6&gt;=Assumptions!$B$85,Assumptions!$C$85,IF(F6&gt;=Assumptions!$B$84,Assumptions!$C$84,Assumptions!$C$83)))</f>
        <v>0.25</v>
      </c>
    </row>
    <row r="7" customFormat="false" ht="15" hidden="false" customHeight="true" outlineLevel="0" collapsed="false">
      <c r="A7" s="9" t="n">
        <v>2027</v>
      </c>
      <c r="B7" s="9" t="n">
        <v>10</v>
      </c>
      <c r="C7" s="9" t="n">
        <v>21</v>
      </c>
      <c r="D7" s="104" t="n">
        <f aca="false">SUM(Helpers!O96:Z96)</f>
        <v>26182677.7591805</v>
      </c>
      <c r="E7" s="104" t="n">
        <f aca="false">SUM(Helpers!O101:Z101)</f>
        <v>24699166.9350593</v>
      </c>
      <c r="F7" s="104" t="n">
        <f aca="false">D7-E7</f>
        <v>1483510.82412124</v>
      </c>
      <c r="G7" s="354" t="n">
        <f aca="false">IF(F7&gt;=Assumptions!$B$86,Assumptions!$C$86,IF(F7&gt;=Assumptions!$B$85,Assumptions!$C$85,IF(F7&gt;=Assumptions!$B$84,Assumptions!$C$84,Assumptions!$C$83)))</f>
        <v>0.25</v>
      </c>
    </row>
    <row r="8" customFormat="false" ht="15" hidden="false" customHeight="true" outlineLevel="0" collapsed="false">
      <c r="A8" s="9" t="n">
        <v>2028</v>
      </c>
      <c r="B8" s="9" t="n">
        <v>22</v>
      </c>
      <c r="C8" s="9" t="n">
        <v>33</v>
      </c>
      <c r="D8" s="104" t="n">
        <f aca="false">SUM(Helpers!AA96:AL96)</f>
        <v>72261420.9414803</v>
      </c>
      <c r="E8" s="104" t="n">
        <f aca="false">SUM(Helpers!AA101:AL101)</f>
        <v>35966633.9093678</v>
      </c>
      <c r="F8" s="104" t="n">
        <f aca="false">D8-E8</f>
        <v>36294787.0321126</v>
      </c>
      <c r="G8" s="354" t="n">
        <f aca="false">IF(F8&gt;=Assumptions!$B$86,Assumptions!$C$86,IF(F8&gt;=Assumptions!$B$85,Assumptions!$C$85,IF(F8&gt;=Assumptions!$B$84,Assumptions!$C$84,Assumptions!$C$83)))</f>
        <v>0.5</v>
      </c>
    </row>
    <row r="9" customFormat="false" ht="15" hidden="false" customHeight="true" outlineLevel="0" collapsed="false">
      <c r="A9" s="9" t="n">
        <v>2029</v>
      </c>
      <c r="B9" s="9" t="n">
        <v>34</v>
      </c>
      <c r="C9" s="9" t="n">
        <v>45</v>
      </c>
      <c r="D9" s="104" t="n">
        <f aca="false">SUM(Helpers!AM96:AX96)</f>
        <v>124647965.629339</v>
      </c>
      <c r="E9" s="104" t="n">
        <f aca="false">SUM(Helpers!AM101:AX101)</f>
        <v>18679180.905573</v>
      </c>
      <c r="F9" s="104" t="n">
        <f aca="false">D9-E9</f>
        <v>105968784.723766</v>
      </c>
      <c r="G9" s="354" t="n">
        <f aca="false">IF(F9&gt;=Assumptions!$B$86,Assumptions!$C$86,IF(F9&gt;=Assumptions!$B$85,Assumptions!$C$85,IF(F9&gt;=Assumptions!$B$84,Assumptions!$C$84,Assumptions!$C$83)))</f>
        <v>1</v>
      </c>
    </row>
    <row r="10" customFormat="false" ht="15" hidden="false" customHeight="true" outlineLevel="0" collapsed="false">
      <c r="A10" s="9" t="n">
        <v>2030</v>
      </c>
      <c r="B10" s="9" t="n">
        <v>46</v>
      </c>
      <c r="C10" s="9" t="n">
        <v>57</v>
      </c>
      <c r="D10" s="104" t="n">
        <f aca="false">SUM(Helpers!AY96:BJ96)</f>
        <v>124186779</v>
      </c>
      <c r="E10" s="104" t="n">
        <f aca="false">SUM(Helpers!AY101:BJ101)</f>
        <v>20689161</v>
      </c>
      <c r="F10" s="104" t="n">
        <f aca="false">D10-E10</f>
        <v>103497618</v>
      </c>
      <c r="G10" s="354" t="n">
        <f aca="false">IF(F10&gt;=Assumptions!$B$86,Assumptions!$C$86,IF(F10&gt;=Assumptions!$B$85,Assumptions!$C$85,IF(F10&gt;=Assumptions!$B$84,Assumptions!$C$84,Assumptions!$C$83)))</f>
        <v>1</v>
      </c>
    </row>
    <row r="11" customFormat="false" ht="15" hidden="false" customHeight="true" outlineLevel="0" collapsed="false">
      <c r="A11" s="9" t="n">
        <v>2031</v>
      </c>
      <c r="B11" s="9" t="n">
        <v>58</v>
      </c>
      <c r="C11" s="9" t="n">
        <v>69</v>
      </c>
      <c r="D11" s="104" t="n">
        <f aca="false">SUM(Helpers!BK96:BV96)</f>
        <v>101576343</v>
      </c>
      <c r="E11" s="104" t="n">
        <f aca="false">SUM(Helpers!BK101:BV101)</f>
        <v>20255685</v>
      </c>
      <c r="F11" s="104" t="n">
        <f aca="false">D11-E11</f>
        <v>81320658</v>
      </c>
      <c r="G11" s="354" t="n">
        <f aca="false">IF(F11&gt;=Assumptions!$B$86,Assumptions!$C$86,IF(F11&gt;=Assumptions!$B$85,Assumptions!$C$85,IF(F11&gt;=Assumptions!$B$84,Assumptions!$C$84,Assumptions!$C$83)))</f>
        <v>1</v>
      </c>
    </row>
    <row r="12" customFormat="false" ht="15" hidden="false" customHeight="true" outlineLevel="0" collapsed="false">
      <c r="A12" s="9" t="n">
        <v>2032</v>
      </c>
      <c r="B12" s="9" t="n">
        <v>70</v>
      </c>
      <c r="C12" s="9" t="n">
        <v>81</v>
      </c>
      <c r="D12" s="104" t="n">
        <f aca="false">SUM(Helpers!BW96:CH96)</f>
        <v>8436822</v>
      </c>
      <c r="E12" s="104" t="n">
        <f aca="false">SUM(Helpers!BW101:CH101)</f>
        <v>2975850</v>
      </c>
      <c r="F12" s="104" t="n">
        <f aca="false">D12-E12</f>
        <v>5460972</v>
      </c>
      <c r="G12" s="354" t="n">
        <f aca="false">IF(F12&gt;=Assumptions!$B$86,Assumptions!$C$86,IF(F12&gt;=Assumptions!$B$85,Assumptions!$C$85,IF(F12&gt;=Assumptions!$B$84,Assumptions!$C$84,Assumptions!$C$83)))</f>
        <v>0.25</v>
      </c>
    </row>
    <row r="13" customFormat="false" ht="15" hidden="false" customHeight="true" outlineLevel="0" collapsed="false">
      <c r="A13" s="9" t="n">
        <v>2033</v>
      </c>
      <c r="B13" s="9" t="n">
        <v>82</v>
      </c>
      <c r="C13" s="9" t="n">
        <v>93</v>
      </c>
      <c r="D13" s="104" t="n">
        <f aca="false">SUM(Helpers!CI96:CT96)</f>
        <v>0</v>
      </c>
      <c r="E13" s="104" t="n">
        <f aca="false">SUM(Helpers!CI101:CT101)</f>
        <v>0</v>
      </c>
      <c r="F13" s="104" t="n">
        <f aca="false">D13-E13</f>
        <v>0</v>
      </c>
      <c r="G13" s="354" t="n">
        <f aca="false">IF(F13&gt;=Assumptions!$B$86,Assumptions!$C$86,IF(F13&gt;=Assumptions!$B$85,Assumptions!$C$85,IF(F13&gt;=Assumptions!$B$84,Assumptions!$C$84,Assumptions!$C$83)))</f>
        <v>0.25</v>
      </c>
    </row>
    <row r="14" customFormat="false" ht="15" hidden="false" customHeight="true" outlineLevel="0" collapsed="false">
      <c r="A14" s="9" t="n">
        <v>2034</v>
      </c>
      <c r="B14" s="9" t="n">
        <v>94</v>
      </c>
      <c r="C14" s="9" t="n">
        <v>105</v>
      </c>
      <c r="D14" s="104" t="n">
        <f aca="false">SUM(Helpers!CU96:DF96)</f>
        <v>0</v>
      </c>
      <c r="E14" s="104" t="n">
        <f aca="false">SUM(Helpers!CU101:DF101)</f>
        <v>0</v>
      </c>
      <c r="F14" s="104" t="n">
        <f aca="false">D14-E14</f>
        <v>0</v>
      </c>
      <c r="G14" s="354" t="n">
        <f aca="false">IF(F14&gt;=Assumptions!$B$86,Assumptions!$C$86,IF(F14&gt;=Assumptions!$B$85,Assumptions!$C$85,IF(F14&gt;=Assumptions!$B$84,Assumptions!$C$84,Assumptions!$C$83)))</f>
        <v>0.25</v>
      </c>
    </row>
    <row r="15" customFormat="false" ht="15" hidden="false" customHeight="true" outlineLevel="0" collapsed="false">
      <c r="A15" s="230" t="s">
        <v>1</v>
      </c>
      <c r="C15" s="9" t="n">
        <f aca="false">Model!B3</f>
        <v>-2</v>
      </c>
      <c r="D15" s="9" t="n">
        <f aca="false">Model!C3</f>
        <v>-1</v>
      </c>
      <c r="E15" s="9" t="n">
        <f aca="false">Model!D3</f>
        <v>0</v>
      </c>
      <c r="F15" s="9" t="n">
        <f aca="false">Model!E3</f>
        <v>1</v>
      </c>
      <c r="G15" s="9" t="n">
        <f aca="false">Model!F3</f>
        <v>2</v>
      </c>
      <c r="H15" s="9" t="n">
        <f aca="false">Model!G3</f>
        <v>3</v>
      </c>
      <c r="I15" s="9" t="n">
        <f aca="false">Model!H3</f>
        <v>4</v>
      </c>
      <c r="J15" s="9" t="n">
        <f aca="false">Model!I3</f>
        <v>5</v>
      </c>
      <c r="K15" s="9" t="n">
        <f aca="false">Model!J3</f>
        <v>6</v>
      </c>
      <c r="L15" s="9" t="n">
        <f aca="false">Model!K3</f>
        <v>7</v>
      </c>
      <c r="M15" s="9" t="n">
        <f aca="false">Model!L3</f>
        <v>8</v>
      </c>
      <c r="N15" s="9" t="n">
        <f aca="false">Model!M3</f>
        <v>9</v>
      </c>
      <c r="O15" s="9" t="n">
        <f aca="false">Model!N3</f>
        <v>10</v>
      </c>
      <c r="P15" s="9" t="n">
        <f aca="false">Model!O3</f>
        <v>11</v>
      </c>
      <c r="Q15" s="9" t="n">
        <f aca="false">Model!P3</f>
        <v>12</v>
      </c>
      <c r="R15" s="9" t="n">
        <f aca="false">Model!Q3</f>
        <v>13</v>
      </c>
      <c r="S15" s="9" t="n">
        <f aca="false">Model!R3</f>
        <v>14</v>
      </c>
      <c r="T15" s="9" t="n">
        <f aca="false">Model!S3</f>
        <v>15</v>
      </c>
      <c r="U15" s="9" t="n">
        <f aca="false">Model!T3</f>
        <v>16</v>
      </c>
      <c r="V15" s="9" t="n">
        <f aca="false">Model!U3</f>
        <v>17</v>
      </c>
      <c r="W15" s="9" t="n">
        <f aca="false">Model!V3</f>
        <v>18</v>
      </c>
      <c r="X15" s="9" t="n">
        <f aca="false">Model!W3</f>
        <v>19</v>
      </c>
      <c r="Y15" s="9" t="n">
        <f aca="false">Model!X3</f>
        <v>20</v>
      </c>
      <c r="Z15" s="9" t="n">
        <f aca="false">Model!Y3</f>
        <v>21</v>
      </c>
      <c r="AA15" s="9" t="n">
        <f aca="false">Model!Z3</f>
        <v>22</v>
      </c>
      <c r="AB15" s="9" t="n">
        <f aca="false">Model!AA3</f>
        <v>23</v>
      </c>
      <c r="AC15" s="9" t="n">
        <f aca="false">Model!AB3</f>
        <v>24</v>
      </c>
      <c r="AD15" s="9" t="n">
        <f aca="false">Model!AC3</f>
        <v>25</v>
      </c>
      <c r="AE15" s="9" t="n">
        <f aca="false">Model!AD3</f>
        <v>26</v>
      </c>
      <c r="AF15" s="9" t="n">
        <f aca="false">Model!AE3</f>
        <v>27</v>
      </c>
      <c r="AG15" s="9" t="n">
        <f aca="false">Model!AF3</f>
        <v>28</v>
      </c>
      <c r="AH15" s="9" t="n">
        <f aca="false">Model!AG3</f>
        <v>29</v>
      </c>
      <c r="AI15" s="9" t="n">
        <f aca="false">Model!AH3</f>
        <v>30</v>
      </c>
      <c r="AJ15" s="9" t="n">
        <f aca="false">Model!AI3</f>
        <v>31</v>
      </c>
      <c r="AK15" s="9" t="n">
        <f aca="false">Model!AJ3</f>
        <v>32</v>
      </c>
      <c r="AL15" s="9" t="n">
        <f aca="false">Model!AK3</f>
        <v>33</v>
      </c>
      <c r="AM15" s="9" t="n">
        <f aca="false">Model!AL3</f>
        <v>34</v>
      </c>
      <c r="AN15" s="9" t="n">
        <f aca="false">Model!AM3</f>
        <v>35</v>
      </c>
      <c r="AO15" s="9" t="n">
        <f aca="false">Model!AN3</f>
        <v>36</v>
      </c>
      <c r="AP15" s="9" t="n">
        <f aca="false">Model!AO3</f>
        <v>37</v>
      </c>
      <c r="AQ15" s="9" t="n">
        <f aca="false">Model!AP3</f>
        <v>38</v>
      </c>
      <c r="AR15" s="9" t="n">
        <f aca="false">Model!AQ3</f>
        <v>39</v>
      </c>
      <c r="AS15" s="9" t="n">
        <f aca="false">Model!AR3</f>
        <v>40</v>
      </c>
      <c r="AT15" s="9" t="n">
        <f aca="false">Model!AS3</f>
        <v>41</v>
      </c>
      <c r="AU15" s="9" t="n">
        <f aca="false">Model!AT3</f>
        <v>42</v>
      </c>
      <c r="AV15" s="9" t="n">
        <f aca="false">Model!AU3</f>
        <v>43</v>
      </c>
      <c r="AW15" s="9" t="n">
        <f aca="false">Model!AV3</f>
        <v>44</v>
      </c>
      <c r="AX15" s="9" t="n">
        <f aca="false">Model!AW3</f>
        <v>45</v>
      </c>
      <c r="AY15" s="9" t="n">
        <f aca="false">Model!AX3</f>
        <v>46</v>
      </c>
      <c r="AZ15" s="9" t="n">
        <f aca="false">Model!AY3</f>
        <v>47</v>
      </c>
      <c r="BA15" s="9" t="n">
        <f aca="false">Model!AZ3</f>
        <v>48</v>
      </c>
      <c r="BB15" s="9" t="n">
        <f aca="false">Model!BA3</f>
        <v>49</v>
      </c>
      <c r="BC15" s="9" t="n">
        <f aca="false">Model!BB3</f>
        <v>50</v>
      </c>
      <c r="BD15" s="9" t="n">
        <f aca="false">Model!BC3</f>
        <v>51</v>
      </c>
      <c r="BE15" s="9" t="n">
        <f aca="false">Model!BD3</f>
        <v>52</v>
      </c>
      <c r="BF15" s="9" t="n">
        <f aca="false">Model!BE3</f>
        <v>53</v>
      </c>
      <c r="BG15" s="9" t="n">
        <f aca="false">Model!BF3</f>
        <v>54</v>
      </c>
      <c r="BH15" s="9" t="n">
        <f aca="false">Model!BG3</f>
        <v>55</v>
      </c>
      <c r="BI15" s="9" t="n">
        <f aca="false">Model!BH3</f>
        <v>56</v>
      </c>
      <c r="BJ15" s="9" t="n">
        <f aca="false">Model!BI3</f>
        <v>57</v>
      </c>
      <c r="BK15" s="9" t="n">
        <f aca="false">Model!BJ3</f>
        <v>58</v>
      </c>
      <c r="BL15" s="9" t="n">
        <f aca="false">Model!BK3</f>
        <v>59</v>
      </c>
      <c r="BM15" s="9" t="n">
        <f aca="false">Model!BL3</f>
        <v>60</v>
      </c>
      <c r="BN15" s="9" t="n">
        <f aca="false">Model!BM3</f>
        <v>61</v>
      </c>
      <c r="BO15" s="9" t="n">
        <f aca="false">Model!BN3</f>
        <v>62</v>
      </c>
      <c r="BP15" s="9" t="n">
        <f aca="false">Model!BO3</f>
        <v>63</v>
      </c>
      <c r="BQ15" s="9" t="n">
        <f aca="false">Model!BP3</f>
        <v>64</v>
      </c>
      <c r="BR15" s="9" t="n">
        <f aca="false">Model!BQ3</f>
        <v>65</v>
      </c>
      <c r="BS15" s="9" t="n">
        <f aca="false">Model!BR3</f>
        <v>66</v>
      </c>
      <c r="BT15" s="9" t="n">
        <f aca="false">Model!BS3</f>
        <v>67</v>
      </c>
      <c r="BU15" s="9" t="n">
        <f aca="false">Model!BT3</f>
        <v>68</v>
      </c>
      <c r="BV15" s="9" t="n">
        <f aca="false">Model!BU3</f>
        <v>69</v>
      </c>
      <c r="BW15" s="9" t="n">
        <f aca="false">Model!BV3</f>
        <v>70</v>
      </c>
      <c r="BX15" s="9" t="n">
        <f aca="false">Model!BW3</f>
        <v>71</v>
      </c>
      <c r="BY15" s="9" t="n">
        <f aca="false">Model!BX3</f>
        <v>72</v>
      </c>
      <c r="BZ15" s="9" t="n">
        <f aca="false">Model!BY3</f>
        <v>73</v>
      </c>
      <c r="CA15" s="9" t="n">
        <f aca="false">Model!BZ3</f>
        <v>74</v>
      </c>
      <c r="CB15" s="9" t="n">
        <f aca="false">Model!CA3</f>
        <v>75</v>
      </c>
      <c r="CC15" s="9" t="n">
        <f aca="false">Model!CB3</f>
        <v>76</v>
      </c>
      <c r="CD15" s="9" t="n">
        <f aca="false">Model!CC3</f>
        <v>77</v>
      </c>
      <c r="CE15" s="9" t="n">
        <f aca="false">Model!CD3</f>
        <v>78</v>
      </c>
      <c r="CF15" s="9" t="n">
        <f aca="false">Model!CE3</f>
        <v>79</v>
      </c>
      <c r="CG15" s="9" t="n">
        <f aca="false">Model!CF3</f>
        <v>80</v>
      </c>
      <c r="CH15" s="9" t="n">
        <f aca="false">Model!CG3</f>
        <v>81</v>
      </c>
      <c r="CI15" s="9" t="n">
        <f aca="false">Model!CH3</f>
        <v>82</v>
      </c>
      <c r="CJ15" s="9" t="n">
        <f aca="false">Model!CI3</f>
        <v>83</v>
      </c>
      <c r="CK15" s="9" t="n">
        <f aca="false">Model!CJ3</f>
        <v>84</v>
      </c>
      <c r="CL15" s="9" t="n">
        <f aca="false">Model!CK3</f>
        <v>85</v>
      </c>
      <c r="CM15" s="9" t="n">
        <f aca="false">Model!CL3</f>
        <v>86</v>
      </c>
      <c r="CN15" s="9" t="n">
        <f aca="false">Model!CM3</f>
        <v>87</v>
      </c>
      <c r="CO15" s="9" t="n">
        <f aca="false">Model!CN3</f>
        <v>88</v>
      </c>
      <c r="CP15" s="9" t="n">
        <f aca="false">Model!CO3</f>
        <v>89</v>
      </c>
      <c r="CQ15" s="9" t="n">
        <f aca="false">Model!CP3</f>
        <v>90</v>
      </c>
      <c r="CR15" s="9" t="n">
        <f aca="false">Model!CQ3</f>
        <v>91</v>
      </c>
      <c r="CS15" s="9" t="n">
        <f aca="false">Model!CR3</f>
        <v>92</v>
      </c>
      <c r="CT15" s="9" t="n">
        <f aca="false">Model!CS3</f>
        <v>93</v>
      </c>
      <c r="CU15" s="9" t="n">
        <f aca="false">Model!CT3</f>
        <v>94</v>
      </c>
      <c r="CV15" s="9" t="n">
        <f aca="false">Model!CU3</f>
        <v>95</v>
      </c>
      <c r="CW15" s="9" t="n">
        <f aca="false">Model!CV3</f>
        <v>96</v>
      </c>
      <c r="CX15" s="9" t="n">
        <f aca="false">Model!CW3</f>
        <v>97</v>
      </c>
      <c r="CY15" s="9" t="n">
        <f aca="false">Model!CX3</f>
        <v>98</v>
      </c>
      <c r="CZ15" s="9" t="n">
        <f aca="false">Model!CY3</f>
        <v>99</v>
      </c>
      <c r="DA15" s="9" t="n">
        <f aca="false">Model!CZ3</f>
        <v>100</v>
      </c>
      <c r="DB15" s="9" t="n">
        <f aca="false">Model!DA3</f>
        <v>101</v>
      </c>
      <c r="DC15" s="9" t="n">
        <f aca="false">Model!DB3</f>
        <v>102</v>
      </c>
      <c r="DD15" s="9" t="n">
        <f aca="false">Model!DC3</f>
        <v>103</v>
      </c>
      <c r="DE15" s="9" t="n">
        <f aca="false">Model!DD3</f>
        <v>104</v>
      </c>
      <c r="DF15" s="9" t="n">
        <f aca="false">Model!DE3</f>
        <v>105</v>
      </c>
    </row>
    <row r="16" customFormat="false" ht="15" hidden="false" customHeight="true" outlineLevel="0" collapsed="false">
      <c r="A16" s="230" t="s">
        <v>1208</v>
      </c>
      <c r="C16" s="104" t="n">
        <f aca="false">-SUM(Model!B203:B233)-Model!B235</f>
        <v>260601.5</v>
      </c>
      <c r="D16" s="104" t="n">
        <f aca="false">-SUM(Model!C203:C233)-Model!C235</f>
        <v>260308.54</v>
      </c>
      <c r="E16" s="104" t="n">
        <f aca="false">-SUM(Model!D203:D233)-Model!D235</f>
        <v>351937.74</v>
      </c>
      <c r="F16" s="104" t="n">
        <f aca="false">-SUM(Model!E203:E233)-Model!E235</f>
        <v>73431.56</v>
      </c>
      <c r="G16" s="104" t="n">
        <f aca="false">-SUM(Model!F203:F233)-Model!F235</f>
        <v>437914.85</v>
      </c>
      <c r="H16" s="104" t="n">
        <f aca="false">-SUM(Model!G203:G233)-Model!G235</f>
        <v>322841.21</v>
      </c>
      <c r="I16" s="104" t="n">
        <f aca="false">-SUM(Model!H203:H233)-Model!H235</f>
        <v>319901.66</v>
      </c>
      <c r="J16" s="104" t="n">
        <f aca="false">-SUM(Model!I203:I233)-Model!I235</f>
        <v>383553.26</v>
      </c>
      <c r="K16" s="104" t="n">
        <f aca="false">-SUM(Model!J203:J233)-Model!J235</f>
        <v>404365.935</v>
      </c>
      <c r="L16" s="104" t="n">
        <f aca="false">-SUM(Model!K203:K233)-Model!K235</f>
        <v>394365.935</v>
      </c>
      <c r="M16" s="104" t="n">
        <f aca="false">-SUM(Model!L203:L233)-Model!L235</f>
        <v>394365.935</v>
      </c>
      <c r="N16" s="104" t="n">
        <f aca="false">-SUM(Model!M203:M233)-Model!M235</f>
        <v>464309.685</v>
      </c>
      <c r="O16" s="104" t="n">
        <f aca="false">-SUM(Model!N203:N233)-Model!N235</f>
        <v>492474.268333333</v>
      </c>
      <c r="P16" s="104" t="n">
        <f aca="false">-SUM(Model!O203:O233)-Model!O235</f>
        <v>569226.351666667</v>
      </c>
      <c r="Q16" s="104" t="n">
        <f aca="false">-SUM(Model!P203:P233)-Model!P235</f>
        <v>487476.351666667</v>
      </c>
      <c r="R16" s="104" t="n">
        <f aca="false">-SUM(Model!Q203:Q233)-Model!Q235</f>
        <v>567713.5037</v>
      </c>
      <c r="S16" s="104" t="n">
        <f aca="false">-SUM(Model!R203:R233)-Model!R235</f>
        <v>616473.7537</v>
      </c>
      <c r="T16" s="104" t="n">
        <f aca="false">-SUM(Model!S203:S233)-Model!S235</f>
        <v>591889.3787</v>
      </c>
      <c r="U16" s="104" t="n">
        <f aca="false">-SUM(Model!T203:T233)-Model!T235</f>
        <v>604055.0037</v>
      </c>
      <c r="V16" s="104" t="n">
        <f aca="false">-SUM(Model!U203:U233)-Model!U235</f>
        <v>585305.0037</v>
      </c>
      <c r="W16" s="104" t="n">
        <f aca="false">-SUM(Model!V203:V233)-Model!V235</f>
        <v>585305.0037</v>
      </c>
      <c r="X16" s="104" t="n">
        <f aca="false">-SUM(Model!W203:W233)-Model!W235</f>
        <v>585305.0037</v>
      </c>
      <c r="Y16" s="104" t="n">
        <f aca="false">-SUM(Model!X203:X233)-Model!X235</f>
        <v>585305.0037</v>
      </c>
      <c r="Z16" s="104" t="n">
        <f aca="false">-SUM(Model!Y203:Y233)-Model!Y235</f>
        <v>585305.0037</v>
      </c>
      <c r="AA16" s="104" t="n">
        <f aca="false">-SUM(Model!Z203:Z233)-Model!Z235</f>
        <v>582754.763315385</v>
      </c>
      <c r="AB16" s="104" t="n">
        <f aca="false">-SUM(Model!AA203:AA233)-Model!AA235</f>
        <v>573139.3787</v>
      </c>
      <c r="AC16" s="104" t="n">
        <f aca="false">-SUM(Model!AB203:AB233)-Model!AB235</f>
        <v>571507.224853846</v>
      </c>
      <c r="AD16" s="104" t="n">
        <f aca="false">-SUM(Model!AC203:AC233)-Model!AC235</f>
        <v>576660.446274</v>
      </c>
      <c r="AE16" s="104" t="n">
        <f aca="false">-SUM(Model!AD203:AD233)-Model!AD235</f>
        <v>576660.446274</v>
      </c>
      <c r="AF16" s="104" t="n">
        <f aca="false">-SUM(Model!AE203:AE233)-Model!AE235</f>
        <v>576660.446274</v>
      </c>
      <c r="AG16" s="104" t="n">
        <f aca="false">-SUM(Model!AF203:AF233)-Model!AF235</f>
        <v>576660.446274</v>
      </c>
      <c r="AH16" s="104" t="n">
        <f aca="false">-SUM(Model!AG203:AG233)-Model!AG235</f>
        <v>576660.446274</v>
      </c>
      <c r="AI16" s="104" t="n">
        <f aca="false">-SUM(Model!AH203:AH233)-Model!AH235</f>
        <v>576660.446274</v>
      </c>
      <c r="AJ16" s="104" t="n">
        <f aca="false">-SUM(Model!AI203:AI233)-Model!AI235</f>
        <v>576660.446274</v>
      </c>
      <c r="AK16" s="104" t="n">
        <f aca="false">-SUM(Model!AJ203:AJ233)-Model!AJ235</f>
        <v>627761.103774</v>
      </c>
      <c r="AL16" s="104" t="n">
        <f aca="false">-SUM(Model!AK203:AK233)-Model!AK235</f>
        <v>597011.103774</v>
      </c>
      <c r="AM16" s="104" t="n">
        <f aca="false">-SUM(Model!AL203:AL233)-Model!AL235</f>
        <v>597011.103774</v>
      </c>
      <c r="AN16" s="104" t="n">
        <f aca="false">-SUM(Model!AM203:AM233)-Model!AM235</f>
        <v>597011.103774</v>
      </c>
      <c r="AO16" s="104" t="n">
        <f aca="false">-SUM(Model!AN203:AN233)-Model!AN235</f>
        <v>597011.103774</v>
      </c>
      <c r="AP16" s="104" t="n">
        <f aca="false">-SUM(Model!AO203:AO233)-Model!AO235</f>
        <v>608951.32584948</v>
      </c>
      <c r="AQ16" s="104" t="n">
        <f aca="false">-SUM(Model!AP203:AP233)-Model!AP235</f>
        <v>608951.32584948</v>
      </c>
      <c r="AR16" s="104" t="n">
        <f aca="false">-SUM(Model!AQ203:AQ233)-Model!AQ235</f>
        <v>673021.84299948</v>
      </c>
      <c r="AS16" s="104" t="n">
        <f aca="false">-SUM(Model!AR203:AR233)-Model!AR235</f>
        <v>634771.84299948</v>
      </c>
      <c r="AT16" s="104" t="n">
        <f aca="false">-SUM(Model!AS203:AS233)-Model!AS235</f>
        <v>634771.84299948</v>
      </c>
      <c r="AU16" s="104" t="n">
        <f aca="false">-SUM(Model!AT203:AT233)-Model!AT235</f>
        <v>634771.84299948</v>
      </c>
      <c r="AV16" s="104" t="n">
        <f aca="false">-SUM(Model!AU203:AU233)-Model!AU235</f>
        <v>697586.07549948</v>
      </c>
      <c r="AW16" s="104" t="n">
        <f aca="false">-SUM(Model!AV203:AV233)-Model!AV235</f>
        <v>660086.07549948</v>
      </c>
      <c r="AX16" s="104" t="n">
        <f aca="false">-SUM(Model!AW203:AW233)-Model!AW235</f>
        <v>656922.67459948</v>
      </c>
      <c r="AY16" s="104" t="n">
        <f aca="false">-SUM(Model!AX203:AX233)-Model!AX235</f>
        <v>646922.67459948</v>
      </c>
      <c r="AZ16" s="104" t="n">
        <f aca="false">-SUM(Model!AY203:AY233)-Model!AY235</f>
        <v>646922.67459948</v>
      </c>
      <c r="BA16" s="104" t="n">
        <f aca="false">-SUM(Model!AZ203:AZ233)-Model!AZ235</f>
        <v>646922.67459948</v>
      </c>
      <c r="BB16" s="104" t="n">
        <f aca="false">-SUM(Model!BA203:BA233)-Model!BA235</f>
        <v>653271.380172239</v>
      </c>
      <c r="BC16" s="104" t="n">
        <f aca="false">-SUM(Model!BB203:BB233)-Model!BB235</f>
        <v>626001.118480008</v>
      </c>
      <c r="BD16" s="104" t="n">
        <f aca="false">-SUM(Model!BC203:BC233)-Model!BC235</f>
        <v>602539.58001847</v>
      </c>
      <c r="BE16" s="104" t="n">
        <f aca="false">-SUM(Model!BD203:BD233)-Model!BD235</f>
        <v>602539.58001847</v>
      </c>
      <c r="BF16" s="104" t="n">
        <f aca="false">-SUM(Model!BE203:BE233)-Model!BE235</f>
        <v>602539.58001847</v>
      </c>
      <c r="BG16" s="104" t="n">
        <f aca="false">-SUM(Model!BF203:BF233)-Model!BF235</f>
        <v>602539.58001847</v>
      </c>
      <c r="BH16" s="104" t="n">
        <f aca="false">-SUM(Model!BG203:BG233)-Model!BG235</f>
        <v>602539.58001847</v>
      </c>
      <c r="BI16" s="104" t="n">
        <f aca="false">-SUM(Model!BH203:BH233)-Model!BH235</f>
        <v>602539.58001847</v>
      </c>
      <c r="BJ16" s="104" t="n">
        <f aca="false">-SUM(Model!BI203:BI233)-Model!BI235</f>
        <v>602539.58001847</v>
      </c>
      <c r="BK16" s="104" t="n">
        <f aca="false">-SUM(Model!BJ203:BJ233)-Model!BJ235</f>
        <v>602539.58001847</v>
      </c>
      <c r="BL16" s="104" t="n">
        <f aca="false">-SUM(Model!BK203:BK233)-Model!BK235</f>
        <v>599112.91110047</v>
      </c>
      <c r="BM16" s="104" t="n">
        <f aca="false">-SUM(Model!BL203:BL233)-Model!BL235</f>
        <v>589112.91110047</v>
      </c>
      <c r="BN16" s="104" t="n">
        <f aca="false">-SUM(Model!BM203:BM233)-Model!BM235</f>
        <v>597342.090191364</v>
      </c>
      <c r="BO16" s="104" t="n">
        <f aca="false">-SUM(Model!BN203:BN233)-Model!BN235</f>
        <v>581899.65580095</v>
      </c>
      <c r="BP16" s="104" t="n">
        <f aca="false">-SUM(Model!BO203:BO233)-Model!BO235</f>
        <v>551207.492681034</v>
      </c>
      <c r="BQ16" s="104" t="n">
        <f aca="false">-SUM(Model!BP203:BP233)-Model!BP235</f>
        <v>502721.856877476</v>
      </c>
      <c r="BR16" s="104" t="n">
        <f aca="false">-SUM(Model!BQ203:BQ233)-Model!BQ235</f>
        <v>477103.577658039</v>
      </c>
      <c r="BS16" s="104" t="n">
        <f aca="false">-SUM(Model!BR203:BR233)-Model!BR235</f>
        <v>467103.577658039</v>
      </c>
      <c r="BT16" s="104" t="n">
        <f aca="false">-SUM(Model!BS203:BS233)-Model!BS235</f>
        <v>467103.577658039</v>
      </c>
      <c r="BU16" s="104" t="n">
        <f aca="false">-SUM(Model!BT203:BT233)-Model!BT235</f>
        <v>462555.636370211</v>
      </c>
      <c r="BV16" s="104" t="n">
        <f aca="false">-SUM(Model!BU203:BU233)-Model!BU235</f>
        <v>442146.923643576</v>
      </c>
      <c r="BW16" s="104" t="n">
        <f aca="false">-SUM(Model!BV203:BV233)-Model!BV235</f>
        <v>420223.846720499</v>
      </c>
      <c r="BX16" s="104" t="n">
        <f aca="false">-SUM(Model!BW203:BW233)-Model!BW235</f>
        <v>420223.846720499</v>
      </c>
      <c r="BY16" s="104" t="n">
        <f aca="false">-SUM(Model!BX203:BX233)-Model!BX235</f>
        <v>420223.846720499</v>
      </c>
      <c r="BZ16" s="104" t="n">
        <f aca="false">-SUM(Model!BY203:BY233)-Model!BY235</f>
        <v>428628.323654909</v>
      </c>
      <c r="CA16" s="104" t="n">
        <f aca="false">-SUM(Model!BZ203:BZ233)-Model!BZ235</f>
        <v>428628.323654909</v>
      </c>
      <c r="CB16" s="104" t="n">
        <f aca="false">-SUM(Model!CA203:CA233)-Model!CA235</f>
        <v>428628.323654909</v>
      </c>
      <c r="CC16" s="104" t="n">
        <f aca="false">-SUM(Model!CB203:CB233)-Model!CB235</f>
        <v>428628.323654909</v>
      </c>
      <c r="CD16" s="104" t="n">
        <f aca="false">-SUM(Model!CC203:CC233)-Model!CC235</f>
        <v>428628.323654909</v>
      </c>
      <c r="CE16" s="104" t="n">
        <f aca="false">-SUM(Model!CD203:CD233)-Model!CD235</f>
        <v>428628.323654909</v>
      </c>
      <c r="CF16" s="104" t="n">
        <f aca="false">-SUM(Model!CE203:CE233)-Model!CE235</f>
        <v>428628.323654909</v>
      </c>
      <c r="CG16" s="104" t="n">
        <f aca="false">-SUM(Model!CF203:CF233)-Model!CF235</f>
        <v>428628.323654909</v>
      </c>
      <c r="CH16" s="104" t="n">
        <f aca="false">-SUM(Model!CG203:CG233)-Model!CG235</f>
        <v>428628.323654909</v>
      </c>
      <c r="CI16" s="104" t="n">
        <f aca="false">-SUM(Model!CH203:CH233)-Model!CH235</f>
        <v>428628.323654909</v>
      </c>
      <c r="CJ16" s="104" t="n">
        <f aca="false">-SUM(Model!CI203:CI233)-Model!CI235</f>
        <v>428628.323654909</v>
      </c>
      <c r="CK16" s="104" t="n">
        <f aca="false">-SUM(Model!CJ203:CJ233)-Model!CJ235</f>
        <v>428628.323654909</v>
      </c>
      <c r="CL16" s="104" t="n">
        <f aca="false">-SUM(Model!CK203:CK233)-Model!CK235</f>
        <v>437200.890128007</v>
      </c>
      <c r="CM16" s="104" t="n">
        <f aca="false">-SUM(Model!CL203:CL233)-Model!CL235</f>
        <v>437200.890128007</v>
      </c>
      <c r="CN16" s="104" t="n">
        <f aca="false">-SUM(Model!CM203:CM233)-Model!CM235</f>
        <v>437200.890128007</v>
      </c>
      <c r="CO16" s="104" t="n">
        <f aca="false">-SUM(Model!CN203:CN233)-Model!CN235</f>
        <v>437200.890128007</v>
      </c>
      <c r="CP16" s="104" t="n">
        <f aca="false">-SUM(Model!CO203:CO233)-Model!CO235</f>
        <v>437200.890128007</v>
      </c>
      <c r="CQ16" s="104" t="n">
        <f aca="false">-SUM(Model!CP203:CP233)-Model!CP235</f>
        <v>437200.890128007</v>
      </c>
      <c r="CR16" s="104" t="n">
        <f aca="false">-SUM(Model!CQ203:CQ233)-Model!CQ235</f>
        <v>437200.890128007</v>
      </c>
      <c r="CS16" s="104" t="n">
        <f aca="false">-SUM(Model!CR203:CR233)-Model!CR235</f>
        <v>437200.890128007</v>
      </c>
      <c r="CT16" s="104" t="n">
        <f aca="false">-SUM(Model!CS203:CS233)-Model!CS235</f>
        <v>437200.890128007</v>
      </c>
      <c r="CU16" s="104" t="n">
        <f aca="false">-SUM(Model!CT203:CT233)-Model!CT235</f>
        <v>385420.730516558</v>
      </c>
      <c r="CV16" s="104" t="n">
        <f aca="false">-SUM(Model!CU203:CU233)-Model!CU235</f>
        <v>385420.730516558</v>
      </c>
      <c r="CW16" s="104" t="n">
        <f aca="false">-SUM(Model!CV203:CV233)-Model!CV235</f>
        <v>385420.730516558</v>
      </c>
      <c r="CX16" s="104" t="n">
        <f aca="false">-SUM(Model!CW203:CW233)-Model!CW235</f>
        <v>393129.145126889</v>
      </c>
      <c r="CY16" s="104" t="n">
        <f aca="false">-SUM(Model!CX203:CX233)-Model!CX235</f>
        <v>393129.145126889</v>
      </c>
      <c r="CZ16" s="104" t="n">
        <f aca="false">-SUM(Model!CY203:CY233)-Model!CY235</f>
        <v>393129.145126889</v>
      </c>
      <c r="DA16" s="104" t="n">
        <f aca="false">-SUM(Model!CZ203:CZ233)-Model!CZ235</f>
        <v>393129.145126889</v>
      </c>
      <c r="DB16" s="104" t="n">
        <f aca="false">-SUM(Model!DA203:DA233)-Model!DA235</f>
        <v>393129.145126889</v>
      </c>
      <c r="DC16" s="104" t="n">
        <f aca="false">-SUM(Model!DB203:DB233)-Model!DB235</f>
        <v>393129.145126889</v>
      </c>
      <c r="DD16" s="104" t="n">
        <f aca="false">-SUM(Model!DC203:DC233)-Model!DC235</f>
        <v>393129.145126889</v>
      </c>
      <c r="DE16" s="104" t="n">
        <f aca="false">-SUM(Model!DD203:DD233)-Model!DD235</f>
        <v>393129.145126889</v>
      </c>
      <c r="DF16" s="104" t="n">
        <f aca="false">-SUM(Model!DE203:DE233)-Model!DE235</f>
        <v>393129.145126889</v>
      </c>
    </row>
    <row r="17" customFormat="false" ht="15" hidden="false" customHeight="true" outlineLevel="0" collapsed="false">
      <c r="A17" s="230" t="s">
        <v>1209</v>
      </c>
      <c r="C17" s="9" t="n">
        <f aca="false">SUMPRODUCT((Projects!$G$2:$G$14="Yes")*(C$15&gt;=Projects!$C$2:$C$14)*(C$15&lt;Projects!$C$2:$C$14+Projects!$D$2:$D$14))+SUMPRODUCT((Projects!$G$17:$G$46="Yes")*(C$15&gt;=Projects!$C$17:$C$46)*(C$15&lt;Projects!$C$17:$C$46+Projects!$D$17:$D$46))</f>
        <v>0</v>
      </c>
      <c r="D17" s="9" t="n">
        <f aca="false">SUMPRODUCT((Projects!$G$2:$G$14="Yes")*(D$15&gt;=Projects!$C$2:$C$14)*(D$15&lt;Projects!$C$2:$C$14+Projects!$D$2:$D$14))+SUMPRODUCT((Projects!$G$17:$G$46="Yes")*(D$15&gt;=Projects!$C$17:$C$46)*(D$15&lt;Projects!$C$17:$C$46+Projects!$D$17:$D$46))</f>
        <v>0</v>
      </c>
      <c r="E17" s="9" t="n">
        <f aca="false">SUMPRODUCT((Projects!$G$2:$G$14="Yes")*(E$15&gt;=Projects!$C$2:$C$14)*(E$15&lt;Projects!$C$2:$C$14+Projects!$D$2:$D$14))+SUMPRODUCT((Projects!$G$17:$G$46="Yes")*(E$15&gt;=Projects!$C$17:$C$46)*(E$15&lt;Projects!$C$17:$C$46+Projects!$D$17:$D$46))</f>
        <v>0</v>
      </c>
      <c r="F17" s="9" t="n">
        <f aca="false">SUMPRODUCT((Projects!$G$2:$G$14="Yes")*(F$15&gt;=Projects!$C$2:$C$14)*(F$15&lt;Projects!$C$2:$C$14+Projects!$D$2:$D$14))+SUMPRODUCT((Projects!$G$17:$G$46="Yes")*(F$15&gt;=Projects!$C$17:$C$46)*(F$15&lt;Projects!$C$17:$C$46+Projects!$D$17:$D$46))</f>
        <v>1</v>
      </c>
      <c r="G17" s="9" t="n">
        <f aca="false">SUMPRODUCT((Projects!$G$2:$G$14="Yes")*(G$15&gt;=Projects!$C$2:$C$14)*(G$15&lt;Projects!$C$2:$C$14+Projects!$D$2:$D$14))+SUMPRODUCT((Projects!$G$17:$G$46="Yes")*(G$15&gt;=Projects!$C$17:$C$46)*(G$15&lt;Projects!$C$17:$C$46+Projects!$D$17:$D$46))</f>
        <v>1</v>
      </c>
      <c r="H17" s="9" t="n">
        <f aca="false">SUMPRODUCT((Projects!$G$2:$G$14="Yes")*(H$15&gt;=Projects!$C$2:$C$14)*(H$15&lt;Projects!$C$2:$C$14+Projects!$D$2:$D$14))+SUMPRODUCT((Projects!$G$17:$G$46="Yes")*(H$15&gt;=Projects!$C$17:$C$46)*(H$15&lt;Projects!$C$17:$C$46+Projects!$D$17:$D$46))</f>
        <v>1</v>
      </c>
      <c r="I17" s="9" t="n">
        <f aca="false">SUMPRODUCT((Projects!$G$2:$G$14="Yes")*(I$15&gt;=Projects!$C$2:$C$14)*(I$15&lt;Projects!$C$2:$C$14+Projects!$D$2:$D$14))+SUMPRODUCT((Projects!$G$17:$G$46="Yes")*(I$15&gt;=Projects!$C$17:$C$46)*(I$15&lt;Projects!$C$17:$C$46+Projects!$D$17:$D$46))</f>
        <v>1</v>
      </c>
      <c r="J17" s="9" t="n">
        <f aca="false">SUMPRODUCT((Projects!$G$2:$G$14="Yes")*(J$15&gt;=Projects!$C$2:$C$14)*(J$15&lt;Projects!$C$2:$C$14+Projects!$D$2:$D$14))+SUMPRODUCT((Projects!$G$17:$G$46="Yes")*(J$15&gt;=Projects!$C$17:$C$46)*(J$15&lt;Projects!$C$17:$C$46+Projects!$D$17:$D$46))</f>
        <v>2</v>
      </c>
      <c r="K17" s="9" t="n">
        <f aca="false">SUMPRODUCT((Projects!$G$2:$G$14="Yes")*(K$15&gt;=Projects!$C$2:$C$14)*(K$15&lt;Projects!$C$2:$C$14+Projects!$D$2:$D$14))+SUMPRODUCT((Projects!$G$17:$G$46="Yes")*(K$15&gt;=Projects!$C$17:$C$46)*(K$15&lt;Projects!$C$17:$C$46+Projects!$D$17:$D$46))</f>
        <v>3</v>
      </c>
      <c r="L17" s="9" t="n">
        <f aca="false">SUMPRODUCT((Projects!$G$2:$G$14="Yes")*(L$15&gt;=Projects!$C$2:$C$14)*(L$15&lt;Projects!$C$2:$C$14+Projects!$D$2:$D$14))+SUMPRODUCT((Projects!$G$17:$G$46="Yes")*(L$15&gt;=Projects!$C$17:$C$46)*(L$15&lt;Projects!$C$17:$C$46+Projects!$D$17:$D$46))</f>
        <v>3</v>
      </c>
      <c r="M17" s="9" t="n">
        <f aca="false">SUMPRODUCT((Projects!$G$2:$G$14="Yes")*(M$15&gt;=Projects!$C$2:$C$14)*(M$15&lt;Projects!$C$2:$C$14+Projects!$D$2:$D$14))+SUMPRODUCT((Projects!$G$17:$G$46="Yes")*(M$15&gt;=Projects!$C$17:$C$46)*(M$15&lt;Projects!$C$17:$C$46+Projects!$D$17:$D$46))</f>
        <v>3</v>
      </c>
      <c r="N17" s="9" t="n">
        <f aca="false">SUMPRODUCT((Projects!$G$2:$G$14="Yes")*(N$15&gt;=Projects!$C$2:$C$14)*(N$15&lt;Projects!$C$2:$C$14+Projects!$D$2:$D$14))+SUMPRODUCT((Projects!$G$17:$G$46="Yes")*(N$15&gt;=Projects!$C$17:$C$46)*(N$15&lt;Projects!$C$17:$C$46+Projects!$D$17:$D$46))</f>
        <v>3</v>
      </c>
      <c r="O17" s="9" t="n">
        <f aca="false">SUMPRODUCT((Projects!$G$2:$G$14="Yes")*(O$15&gt;=Projects!$C$2:$C$14)*(O$15&lt;Projects!$C$2:$C$14+Projects!$D$2:$D$14))+SUMPRODUCT((Projects!$G$17:$G$46="Yes")*(O$15&gt;=Projects!$C$17:$C$46)*(O$15&lt;Projects!$C$17:$C$46+Projects!$D$17:$D$46))</f>
        <v>5</v>
      </c>
      <c r="P17" s="9" t="n">
        <f aca="false">SUMPRODUCT((Projects!$G$2:$G$14="Yes")*(P$15&gt;=Projects!$C$2:$C$14)*(P$15&lt;Projects!$C$2:$C$14+Projects!$D$2:$D$14))+SUMPRODUCT((Projects!$G$17:$G$46="Yes")*(P$15&gt;=Projects!$C$17:$C$46)*(P$15&lt;Projects!$C$17:$C$46+Projects!$D$17:$D$46))</f>
        <v>6</v>
      </c>
      <c r="Q17" s="9" t="n">
        <f aca="false">SUMPRODUCT((Projects!$G$2:$G$14="Yes")*(Q$15&gt;=Projects!$C$2:$C$14)*(Q$15&lt;Projects!$C$2:$C$14+Projects!$D$2:$D$14))+SUMPRODUCT((Projects!$G$17:$G$46="Yes")*(Q$15&gt;=Projects!$C$17:$C$46)*(Q$15&lt;Projects!$C$17:$C$46+Projects!$D$17:$D$46))</f>
        <v>6</v>
      </c>
      <c r="R17" s="9" t="n">
        <f aca="false">SUMPRODUCT((Projects!$G$2:$G$14="Yes")*(R$15&gt;=Projects!$C$2:$C$14)*(R$15&lt;Projects!$C$2:$C$14+Projects!$D$2:$D$14))+SUMPRODUCT((Projects!$G$17:$G$46="Yes")*(R$15&gt;=Projects!$C$17:$C$46)*(R$15&lt;Projects!$C$17:$C$46+Projects!$D$17:$D$46))</f>
        <v>7</v>
      </c>
      <c r="S17" s="9" t="n">
        <f aca="false">SUMPRODUCT((Projects!$G$2:$G$14="Yes")*(S$15&gt;=Projects!$C$2:$C$14)*(S$15&lt;Projects!$C$2:$C$14+Projects!$D$2:$D$14))+SUMPRODUCT((Projects!$G$17:$G$46="Yes")*(S$15&gt;=Projects!$C$17:$C$46)*(S$15&lt;Projects!$C$17:$C$46+Projects!$D$17:$D$46))</f>
        <v>8</v>
      </c>
      <c r="T17" s="9" t="n">
        <f aca="false">SUMPRODUCT((Projects!$G$2:$G$14="Yes")*(T$15&gt;=Projects!$C$2:$C$14)*(T$15&lt;Projects!$C$2:$C$14+Projects!$D$2:$D$14))+SUMPRODUCT((Projects!$G$17:$G$46="Yes")*(T$15&gt;=Projects!$C$17:$C$46)*(T$15&lt;Projects!$C$17:$C$46+Projects!$D$17:$D$46))</f>
        <v>9</v>
      </c>
      <c r="U17" s="9" t="n">
        <f aca="false">SUMPRODUCT((Projects!$G$2:$G$14="Yes")*(U$15&gt;=Projects!$C$2:$C$14)*(U$15&lt;Projects!$C$2:$C$14+Projects!$D$2:$D$14))+SUMPRODUCT((Projects!$G$17:$G$46="Yes")*(U$15&gt;=Projects!$C$17:$C$46)*(U$15&lt;Projects!$C$17:$C$46+Projects!$D$17:$D$46))</f>
        <v>10</v>
      </c>
      <c r="V17" s="9" t="n">
        <f aca="false">SUMPRODUCT((Projects!$G$2:$G$14="Yes")*(V$15&gt;=Projects!$C$2:$C$14)*(V$15&lt;Projects!$C$2:$C$14+Projects!$D$2:$D$14))+SUMPRODUCT((Projects!$G$17:$G$46="Yes")*(V$15&gt;=Projects!$C$17:$C$46)*(V$15&lt;Projects!$C$17:$C$46+Projects!$D$17:$D$46))</f>
        <v>10</v>
      </c>
      <c r="W17" s="9" t="n">
        <f aca="false">SUMPRODUCT((Projects!$G$2:$G$14="Yes")*(W$15&gt;=Projects!$C$2:$C$14)*(W$15&lt;Projects!$C$2:$C$14+Projects!$D$2:$D$14))+SUMPRODUCT((Projects!$G$17:$G$46="Yes")*(W$15&gt;=Projects!$C$17:$C$46)*(W$15&lt;Projects!$C$17:$C$46+Projects!$D$17:$D$46))</f>
        <v>10</v>
      </c>
      <c r="X17" s="9" t="n">
        <f aca="false">SUMPRODUCT((Projects!$G$2:$G$14="Yes")*(X$15&gt;=Projects!$C$2:$C$14)*(X$15&lt;Projects!$C$2:$C$14+Projects!$D$2:$D$14))+SUMPRODUCT((Projects!$G$17:$G$46="Yes")*(X$15&gt;=Projects!$C$17:$C$46)*(X$15&lt;Projects!$C$17:$C$46+Projects!$D$17:$D$46))</f>
        <v>10</v>
      </c>
      <c r="Y17" s="9" t="n">
        <f aca="false">SUMPRODUCT((Projects!$G$2:$G$14="Yes")*(Y$15&gt;=Projects!$C$2:$C$14)*(Y$15&lt;Projects!$C$2:$C$14+Projects!$D$2:$D$14))+SUMPRODUCT((Projects!$G$17:$G$46="Yes")*(Y$15&gt;=Projects!$C$17:$C$46)*(Y$15&lt;Projects!$C$17:$C$46+Projects!$D$17:$D$46))</f>
        <v>11</v>
      </c>
      <c r="Z17" s="9" t="n">
        <f aca="false">SUMPRODUCT((Projects!$G$2:$G$14="Yes")*(Z$15&gt;=Projects!$C$2:$C$14)*(Z$15&lt;Projects!$C$2:$C$14+Projects!$D$2:$D$14))+SUMPRODUCT((Projects!$G$17:$G$46="Yes")*(Z$15&gt;=Projects!$C$17:$C$46)*(Z$15&lt;Projects!$C$17:$C$46+Projects!$D$17:$D$46))</f>
        <v>11</v>
      </c>
      <c r="AA17" s="9" t="n">
        <f aca="false">SUMPRODUCT((Projects!$G$2:$G$14="Yes")*(AA$15&gt;=Projects!$C$2:$C$14)*(AA$15&lt;Projects!$C$2:$C$14+Projects!$D$2:$D$14))+SUMPRODUCT((Projects!$G$17:$G$46="Yes")*(AA$15&gt;=Projects!$C$17:$C$46)*(AA$15&lt;Projects!$C$17:$C$46+Projects!$D$17:$D$46))</f>
        <v>11</v>
      </c>
      <c r="AB17" s="9" t="n">
        <f aca="false">SUMPRODUCT((Projects!$G$2:$G$14="Yes")*(AB$15&gt;=Projects!$C$2:$C$14)*(AB$15&lt;Projects!$C$2:$C$14+Projects!$D$2:$D$14))+SUMPRODUCT((Projects!$G$17:$G$46="Yes")*(AB$15&gt;=Projects!$C$17:$C$46)*(AB$15&lt;Projects!$C$17:$C$46+Projects!$D$17:$D$46))</f>
        <v>11</v>
      </c>
      <c r="AC17" s="9" t="n">
        <f aca="false">SUMPRODUCT((Projects!$G$2:$G$14="Yes")*(AC$15&gt;=Projects!$C$2:$C$14)*(AC$15&lt;Projects!$C$2:$C$14+Projects!$D$2:$D$14))+SUMPRODUCT((Projects!$G$17:$G$46="Yes")*(AC$15&gt;=Projects!$C$17:$C$46)*(AC$15&lt;Projects!$C$17:$C$46+Projects!$D$17:$D$46))</f>
        <v>11</v>
      </c>
      <c r="AD17" s="9" t="n">
        <f aca="false">SUMPRODUCT((Projects!$G$2:$G$14="Yes")*(AD$15&gt;=Projects!$C$2:$C$14)*(AD$15&lt;Projects!$C$2:$C$14+Projects!$D$2:$D$14))+SUMPRODUCT((Projects!$G$17:$G$46="Yes")*(AD$15&gt;=Projects!$C$17:$C$46)*(AD$15&lt;Projects!$C$17:$C$46+Projects!$D$17:$D$46))</f>
        <v>10</v>
      </c>
      <c r="AE17" s="9" t="n">
        <f aca="false">SUMPRODUCT((Projects!$G$2:$G$14="Yes")*(AE$15&gt;=Projects!$C$2:$C$14)*(AE$15&lt;Projects!$C$2:$C$14+Projects!$D$2:$D$14))+SUMPRODUCT((Projects!$G$17:$G$46="Yes")*(AE$15&gt;=Projects!$C$17:$C$46)*(AE$15&lt;Projects!$C$17:$C$46+Projects!$D$17:$D$46))</f>
        <v>10</v>
      </c>
      <c r="AF17" s="9" t="n">
        <f aca="false">SUMPRODUCT((Projects!$G$2:$G$14="Yes")*(AF$15&gt;=Projects!$C$2:$C$14)*(AF$15&lt;Projects!$C$2:$C$14+Projects!$D$2:$D$14))+SUMPRODUCT((Projects!$G$17:$G$46="Yes")*(AF$15&gt;=Projects!$C$17:$C$46)*(AF$15&lt;Projects!$C$17:$C$46+Projects!$D$17:$D$46))</f>
        <v>11</v>
      </c>
      <c r="AG17" s="9" t="n">
        <f aca="false">SUMPRODUCT((Projects!$G$2:$G$14="Yes")*(AG$15&gt;=Projects!$C$2:$C$14)*(AG$15&lt;Projects!$C$2:$C$14+Projects!$D$2:$D$14))+SUMPRODUCT((Projects!$G$17:$G$46="Yes")*(AG$15&gt;=Projects!$C$17:$C$46)*(AG$15&lt;Projects!$C$17:$C$46+Projects!$D$17:$D$46))</f>
        <v>11</v>
      </c>
      <c r="AH17" s="9" t="n">
        <f aca="false">SUMPRODUCT((Projects!$G$2:$G$14="Yes")*(AH$15&gt;=Projects!$C$2:$C$14)*(AH$15&lt;Projects!$C$2:$C$14+Projects!$D$2:$D$14))+SUMPRODUCT((Projects!$G$17:$G$46="Yes")*(AH$15&gt;=Projects!$C$17:$C$46)*(AH$15&lt;Projects!$C$17:$C$46+Projects!$D$17:$D$46))</f>
        <v>10</v>
      </c>
      <c r="AI17" s="9" t="n">
        <f aca="false">SUMPRODUCT((Projects!$G$2:$G$14="Yes")*(AI$15&gt;=Projects!$C$2:$C$14)*(AI$15&lt;Projects!$C$2:$C$14+Projects!$D$2:$D$14))+SUMPRODUCT((Projects!$G$17:$G$46="Yes")*(AI$15&gt;=Projects!$C$17:$C$46)*(AI$15&lt;Projects!$C$17:$C$46+Projects!$D$17:$D$46))</f>
        <v>10</v>
      </c>
      <c r="AJ17" s="9" t="n">
        <f aca="false">SUMPRODUCT((Projects!$G$2:$G$14="Yes")*(AJ$15&gt;=Projects!$C$2:$C$14)*(AJ$15&lt;Projects!$C$2:$C$14+Projects!$D$2:$D$14))+SUMPRODUCT((Projects!$G$17:$G$46="Yes")*(AJ$15&gt;=Projects!$C$17:$C$46)*(AJ$15&lt;Projects!$C$17:$C$46+Projects!$D$17:$D$46))</f>
        <v>11</v>
      </c>
      <c r="AK17" s="9" t="n">
        <f aca="false">SUMPRODUCT((Projects!$G$2:$G$14="Yes")*(AK$15&gt;=Projects!$C$2:$C$14)*(AK$15&lt;Projects!$C$2:$C$14+Projects!$D$2:$D$14))+SUMPRODUCT((Projects!$G$17:$G$46="Yes")*(AK$15&gt;=Projects!$C$17:$C$46)*(AK$15&lt;Projects!$C$17:$C$46+Projects!$D$17:$D$46))</f>
        <v>12</v>
      </c>
      <c r="AL17" s="9" t="n">
        <f aca="false">SUMPRODUCT((Projects!$G$2:$G$14="Yes")*(AL$15&gt;=Projects!$C$2:$C$14)*(AL$15&lt;Projects!$C$2:$C$14+Projects!$D$2:$D$14))+SUMPRODUCT((Projects!$G$17:$G$46="Yes")*(AL$15&gt;=Projects!$C$17:$C$46)*(AL$15&lt;Projects!$C$17:$C$46+Projects!$D$17:$D$46))</f>
        <v>11</v>
      </c>
      <c r="AM17" s="9" t="n">
        <f aca="false">SUMPRODUCT((Projects!$G$2:$G$14="Yes")*(AM$15&gt;=Projects!$C$2:$C$14)*(AM$15&lt;Projects!$C$2:$C$14+Projects!$D$2:$D$14))+SUMPRODUCT((Projects!$G$17:$G$46="Yes")*(AM$15&gt;=Projects!$C$17:$C$46)*(AM$15&lt;Projects!$C$17:$C$46+Projects!$D$17:$D$46))</f>
        <v>11</v>
      </c>
      <c r="AN17" s="9" t="n">
        <f aca="false">SUMPRODUCT((Projects!$G$2:$G$14="Yes")*(AN$15&gt;=Projects!$C$2:$C$14)*(AN$15&lt;Projects!$C$2:$C$14+Projects!$D$2:$D$14))+SUMPRODUCT((Projects!$G$17:$G$46="Yes")*(AN$15&gt;=Projects!$C$17:$C$46)*(AN$15&lt;Projects!$C$17:$C$46+Projects!$D$17:$D$46))</f>
        <v>11</v>
      </c>
      <c r="AO17" s="9" t="n">
        <f aca="false">SUMPRODUCT((Projects!$G$2:$G$14="Yes")*(AO$15&gt;=Projects!$C$2:$C$14)*(AO$15&lt;Projects!$C$2:$C$14+Projects!$D$2:$D$14))+SUMPRODUCT((Projects!$G$17:$G$46="Yes")*(AO$15&gt;=Projects!$C$17:$C$46)*(AO$15&lt;Projects!$C$17:$C$46+Projects!$D$17:$D$46))</f>
        <v>12</v>
      </c>
      <c r="AP17" s="9" t="n">
        <f aca="false">SUMPRODUCT((Projects!$G$2:$G$14="Yes")*(AP$15&gt;=Projects!$C$2:$C$14)*(AP$15&lt;Projects!$C$2:$C$14+Projects!$D$2:$D$14))+SUMPRODUCT((Projects!$G$17:$G$46="Yes")*(AP$15&gt;=Projects!$C$17:$C$46)*(AP$15&lt;Projects!$C$17:$C$46+Projects!$D$17:$D$46))</f>
        <v>13</v>
      </c>
      <c r="AQ17" s="9" t="n">
        <f aca="false">SUMPRODUCT((Projects!$G$2:$G$14="Yes")*(AQ$15&gt;=Projects!$C$2:$C$14)*(AQ$15&lt;Projects!$C$2:$C$14+Projects!$D$2:$D$14))+SUMPRODUCT((Projects!$G$17:$G$46="Yes")*(AQ$15&gt;=Projects!$C$17:$C$46)*(AQ$15&lt;Projects!$C$17:$C$46+Projects!$D$17:$D$46))</f>
        <v>14</v>
      </c>
      <c r="AR17" s="9" t="n">
        <f aca="false">SUMPRODUCT((Projects!$G$2:$G$14="Yes")*(AR$15&gt;=Projects!$C$2:$C$14)*(AR$15&lt;Projects!$C$2:$C$14+Projects!$D$2:$D$14))+SUMPRODUCT((Projects!$G$17:$G$46="Yes")*(AR$15&gt;=Projects!$C$17:$C$46)*(AR$15&lt;Projects!$C$17:$C$46+Projects!$D$17:$D$46))</f>
        <v>15</v>
      </c>
      <c r="AS17" s="9" t="n">
        <f aca="false">SUMPRODUCT((Projects!$G$2:$G$14="Yes")*(AS$15&gt;=Projects!$C$2:$C$14)*(AS$15&lt;Projects!$C$2:$C$14+Projects!$D$2:$D$14))+SUMPRODUCT((Projects!$G$17:$G$46="Yes")*(AS$15&gt;=Projects!$C$17:$C$46)*(AS$15&lt;Projects!$C$17:$C$46+Projects!$D$17:$D$46))</f>
        <v>15</v>
      </c>
      <c r="AT17" s="9" t="n">
        <f aca="false">SUMPRODUCT((Projects!$G$2:$G$14="Yes")*(AT$15&gt;=Projects!$C$2:$C$14)*(AT$15&lt;Projects!$C$2:$C$14+Projects!$D$2:$D$14))+SUMPRODUCT((Projects!$G$17:$G$46="Yes")*(AT$15&gt;=Projects!$C$17:$C$46)*(AT$15&lt;Projects!$C$17:$C$46+Projects!$D$17:$D$46))</f>
        <v>15</v>
      </c>
      <c r="AU17" s="9" t="n">
        <f aca="false">SUMPRODUCT((Projects!$G$2:$G$14="Yes")*(AU$15&gt;=Projects!$C$2:$C$14)*(AU$15&lt;Projects!$C$2:$C$14+Projects!$D$2:$D$14))+SUMPRODUCT((Projects!$G$17:$G$46="Yes")*(AU$15&gt;=Projects!$C$17:$C$46)*(AU$15&lt;Projects!$C$17:$C$46+Projects!$D$17:$D$46))</f>
        <v>15</v>
      </c>
      <c r="AV17" s="9" t="n">
        <f aca="false">SUMPRODUCT((Projects!$G$2:$G$14="Yes")*(AV$15&gt;=Projects!$C$2:$C$14)*(AV$15&lt;Projects!$C$2:$C$14+Projects!$D$2:$D$14))+SUMPRODUCT((Projects!$G$17:$G$46="Yes")*(AV$15&gt;=Projects!$C$17:$C$46)*(AV$15&lt;Projects!$C$17:$C$46+Projects!$D$17:$D$46))</f>
        <v>14</v>
      </c>
      <c r="AW17" s="9" t="n">
        <f aca="false">SUMPRODUCT((Projects!$G$2:$G$14="Yes")*(AW$15&gt;=Projects!$C$2:$C$14)*(AW$15&lt;Projects!$C$2:$C$14+Projects!$D$2:$D$14))+SUMPRODUCT((Projects!$G$17:$G$46="Yes")*(AW$15&gt;=Projects!$C$17:$C$46)*(AW$15&lt;Projects!$C$17:$C$46+Projects!$D$17:$D$46))</f>
        <v>14</v>
      </c>
      <c r="AX17" s="9" t="n">
        <f aca="false">SUMPRODUCT((Projects!$G$2:$G$14="Yes")*(AX$15&gt;=Projects!$C$2:$C$14)*(AX$15&lt;Projects!$C$2:$C$14+Projects!$D$2:$D$14))+SUMPRODUCT((Projects!$G$17:$G$46="Yes")*(AX$15&gt;=Projects!$C$17:$C$46)*(AX$15&lt;Projects!$C$17:$C$46+Projects!$D$17:$D$46))</f>
        <v>14</v>
      </c>
      <c r="AY17" s="9" t="n">
        <f aca="false">SUMPRODUCT((Projects!$G$2:$G$14="Yes")*(AY$15&gt;=Projects!$C$2:$C$14)*(AY$15&lt;Projects!$C$2:$C$14+Projects!$D$2:$D$14))+SUMPRODUCT((Projects!$G$17:$G$46="Yes")*(AY$15&gt;=Projects!$C$17:$C$46)*(AY$15&lt;Projects!$C$17:$C$46+Projects!$D$17:$D$46))</f>
        <v>14</v>
      </c>
      <c r="AZ17" s="9" t="n">
        <f aca="false">SUMPRODUCT((Projects!$G$2:$G$14="Yes")*(AZ$15&gt;=Projects!$C$2:$C$14)*(AZ$15&lt;Projects!$C$2:$C$14+Projects!$D$2:$D$14))+SUMPRODUCT((Projects!$G$17:$G$46="Yes")*(AZ$15&gt;=Projects!$C$17:$C$46)*(AZ$15&lt;Projects!$C$17:$C$46+Projects!$D$17:$D$46))</f>
        <v>14</v>
      </c>
      <c r="BA17" s="9" t="n">
        <f aca="false">SUMPRODUCT((Projects!$G$2:$G$14="Yes")*(BA$15&gt;=Projects!$C$2:$C$14)*(BA$15&lt;Projects!$C$2:$C$14+Projects!$D$2:$D$14))+SUMPRODUCT((Projects!$G$17:$G$46="Yes")*(BA$15&gt;=Projects!$C$17:$C$46)*(BA$15&lt;Projects!$C$17:$C$46+Projects!$D$17:$D$46))</f>
        <v>14</v>
      </c>
      <c r="BB17" s="9" t="n">
        <f aca="false">SUMPRODUCT((Projects!$G$2:$G$14="Yes")*(BB$15&gt;=Projects!$C$2:$C$14)*(BB$15&lt;Projects!$C$2:$C$14+Projects!$D$2:$D$14))+SUMPRODUCT((Projects!$G$17:$G$46="Yes")*(BB$15&gt;=Projects!$C$17:$C$46)*(BB$15&lt;Projects!$C$17:$C$46+Projects!$D$17:$D$46))</f>
        <v>14</v>
      </c>
      <c r="BC17" s="9" t="n">
        <f aca="false">SUMPRODUCT((Projects!$G$2:$G$14="Yes")*(BC$15&gt;=Projects!$C$2:$C$14)*(BC$15&lt;Projects!$C$2:$C$14+Projects!$D$2:$D$14))+SUMPRODUCT((Projects!$G$17:$G$46="Yes")*(BC$15&gt;=Projects!$C$17:$C$46)*(BC$15&lt;Projects!$C$17:$C$46+Projects!$D$17:$D$46))</f>
        <v>14</v>
      </c>
      <c r="BD17" s="9" t="n">
        <f aca="false">SUMPRODUCT((Projects!$G$2:$G$14="Yes")*(BD$15&gt;=Projects!$C$2:$C$14)*(BD$15&lt;Projects!$C$2:$C$14+Projects!$D$2:$D$14))+SUMPRODUCT((Projects!$G$17:$G$46="Yes")*(BD$15&gt;=Projects!$C$17:$C$46)*(BD$15&lt;Projects!$C$17:$C$46+Projects!$D$17:$D$46))</f>
        <v>14</v>
      </c>
      <c r="BE17" s="9" t="n">
        <f aca="false">SUMPRODUCT((Projects!$G$2:$G$14="Yes")*(BE$15&gt;=Projects!$C$2:$C$14)*(BE$15&lt;Projects!$C$2:$C$14+Projects!$D$2:$D$14))+SUMPRODUCT((Projects!$G$17:$G$46="Yes")*(BE$15&gt;=Projects!$C$17:$C$46)*(BE$15&lt;Projects!$C$17:$C$46+Projects!$D$17:$D$46))</f>
        <v>14</v>
      </c>
      <c r="BF17" s="9" t="n">
        <f aca="false">SUMPRODUCT((Projects!$G$2:$G$14="Yes")*(BF$15&gt;=Projects!$C$2:$C$14)*(BF$15&lt;Projects!$C$2:$C$14+Projects!$D$2:$D$14))+SUMPRODUCT((Projects!$G$17:$G$46="Yes")*(BF$15&gt;=Projects!$C$17:$C$46)*(BF$15&lt;Projects!$C$17:$C$46+Projects!$D$17:$D$46))</f>
        <v>14</v>
      </c>
      <c r="BG17" s="9" t="n">
        <f aca="false">SUMPRODUCT((Projects!$G$2:$G$14="Yes")*(BG$15&gt;=Projects!$C$2:$C$14)*(BG$15&lt;Projects!$C$2:$C$14+Projects!$D$2:$D$14))+SUMPRODUCT((Projects!$G$17:$G$46="Yes")*(BG$15&gt;=Projects!$C$17:$C$46)*(BG$15&lt;Projects!$C$17:$C$46+Projects!$D$17:$D$46))</f>
        <v>14</v>
      </c>
      <c r="BH17" s="9" t="n">
        <f aca="false">SUMPRODUCT((Projects!$G$2:$G$14="Yes")*(BH$15&gt;=Projects!$C$2:$C$14)*(BH$15&lt;Projects!$C$2:$C$14+Projects!$D$2:$D$14))+SUMPRODUCT((Projects!$G$17:$G$46="Yes")*(BH$15&gt;=Projects!$C$17:$C$46)*(BH$15&lt;Projects!$C$17:$C$46+Projects!$D$17:$D$46))</f>
        <v>14</v>
      </c>
      <c r="BI17" s="9" t="n">
        <f aca="false">SUMPRODUCT((Projects!$G$2:$G$14="Yes")*(BI$15&gt;=Projects!$C$2:$C$14)*(BI$15&lt;Projects!$C$2:$C$14+Projects!$D$2:$D$14))+SUMPRODUCT((Projects!$G$17:$G$46="Yes")*(BI$15&gt;=Projects!$C$17:$C$46)*(BI$15&lt;Projects!$C$17:$C$46+Projects!$D$17:$D$46))</f>
        <v>14</v>
      </c>
      <c r="BJ17" s="9" t="n">
        <f aca="false">SUMPRODUCT((Projects!$G$2:$G$14="Yes")*(BJ$15&gt;=Projects!$C$2:$C$14)*(BJ$15&lt;Projects!$C$2:$C$14+Projects!$D$2:$D$14))+SUMPRODUCT((Projects!$G$17:$G$46="Yes")*(BJ$15&gt;=Projects!$C$17:$C$46)*(BJ$15&lt;Projects!$C$17:$C$46+Projects!$D$17:$D$46))</f>
        <v>12</v>
      </c>
      <c r="BK17" s="9" t="n">
        <f aca="false">SUMPRODUCT((Projects!$G$2:$G$14="Yes")*(BK$15&gt;=Projects!$C$2:$C$14)*(BK$15&lt;Projects!$C$2:$C$14+Projects!$D$2:$D$14))+SUMPRODUCT((Projects!$G$17:$G$46="Yes")*(BK$15&gt;=Projects!$C$17:$C$46)*(BK$15&lt;Projects!$C$17:$C$46+Projects!$D$17:$D$46))</f>
        <v>11</v>
      </c>
      <c r="BL17" s="9" t="n">
        <f aca="false">SUMPRODUCT((Projects!$G$2:$G$14="Yes")*(BL$15&gt;=Projects!$C$2:$C$14)*(BL$15&lt;Projects!$C$2:$C$14+Projects!$D$2:$D$14))+SUMPRODUCT((Projects!$G$17:$G$46="Yes")*(BL$15&gt;=Projects!$C$17:$C$46)*(BL$15&lt;Projects!$C$17:$C$46+Projects!$D$17:$D$46))</f>
        <v>11</v>
      </c>
      <c r="BM17" s="9" t="n">
        <f aca="false">SUMPRODUCT((Projects!$G$2:$G$14="Yes")*(BM$15&gt;=Projects!$C$2:$C$14)*(BM$15&lt;Projects!$C$2:$C$14+Projects!$D$2:$D$14))+SUMPRODUCT((Projects!$G$17:$G$46="Yes")*(BM$15&gt;=Projects!$C$17:$C$46)*(BM$15&lt;Projects!$C$17:$C$46+Projects!$D$17:$D$46))</f>
        <v>11</v>
      </c>
      <c r="BN17" s="9" t="n">
        <f aca="false">SUMPRODUCT((Projects!$G$2:$G$14="Yes")*(BN$15&gt;=Projects!$C$2:$C$14)*(BN$15&lt;Projects!$C$2:$C$14+Projects!$D$2:$D$14))+SUMPRODUCT((Projects!$G$17:$G$46="Yes")*(BN$15&gt;=Projects!$C$17:$C$46)*(BN$15&lt;Projects!$C$17:$C$46+Projects!$D$17:$D$46))</f>
        <v>11</v>
      </c>
      <c r="BO17" s="9" t="n">
        <f aca="false">SUMPRODUCT((Projects!$G$2:$G$14="Yes")*(BO$15&gt;=Projects!$C$2:$C$14)*(BO$15&lt;Projects!$C$2:$C$14+Projects!$D$2:$D$14))+SUMPRODUCT((Projects!$G$17:$G$46="Yes")*(BO$15&gt;=Projects!$C$17:$C$46)*(BO$15&lt;Projects!$C$17:$C$46+Projects!$D$17:$D$46))</f>
        <v>10</v>
      </c>
      <c r="BP17" s="9" t="n">
        <f aca="false">SUMPRODUCT((Projects!$G$2:$G$14="Yes")*(BP$15&gt;=Projects!$C$2:$C$14)*(BP$15&lt;Projects!$C$2:$C$14+Projects!$D$2:$D$14))+SUMPRODUCT((Projects!$G$17:$G$46="Yes")*(BP$15&gt;=Projects!$C$17:$C$46)*(BP$15&lt;Projects!$C$17:$C$46+Projects!$D$17:$D$46))</f>
        <v>9</v>
      </c>
      <c r="BQ17" s="9" t="n">
        <f aca="false">SUMPRODUCT((Projects!$G$2:$G$14="Yes")*(BQ$15&gt;=Projects!$C$2:$C$14)*(BQ$15&lt;Projects!$C$2:$C$14+Projects!$D$2:$D$14))+SUMPRODUCT((Projects!$G$17:$G$46="Yes")*(BQ$15&gt;=Projects!$C$17:$C$46)*(BQ$15&lt;Projects!$C$17:$C$46+Projects!$D$17:$D$46))</f>
        <v>9</v>
      </c>
      <c r="BR17" s="9" t="n">
        <f aca="false">SUMPRODUCT((Projects!$G$2:$G$14="Yes")*(BR$15&gt;=Projects!$C$2:$C$14)*(BR$15&lt;Projects!$C$2:$C$14+Projects!$D$2:$D$14))+SUMPRODUCT((Projects!$G$17:$G$46="Yes")*(BR$15&gt;=Projects!$C$17:$C$46)*(BR$15&lt;Projects!$C$17:$C$46+Projects!$D$17:$D$46))</f>
        <v>9</v>
      </c>
      <c r="BS17" s="9" t="n">
        <f aca="false">SUMPRODUCT((Projects!$G$2:$G$14="Yes")*(BS$15&gt;=Projects!$C$2:$C$14)*(BS$15&lt;Projects!$C$2:$C$14+Projects!$D$2:$D$14))+SUMPRODUCT((Projects!$G$17:$G$46="Yes")*(BS$15&gt;=Projects!$C$17:$C$46)*(BS$15&lt;Projects!$C$17:$C$46+Projects!$D$17:$D$46))</f>
        <v>9</v>
      </c>
      <c r="BT17" s="9" t="n">
        <f aca="false">SUMPRODUCT((Projects!$G$2:$G$14="Yes")*(BT$15&gt;=Projects!$C$2:$C$14)*(BT$15&lt;Projects!$C$2:$C$14+Projects!$D$2:$D$14))+SUMPRODUCT((Projects!$G$17:$G$46="Yes")*(BT$15&gt;=Projects!$C$17:$C$46)*(BT$15&lt;Projects!$C$17:$C$46+Projects!$D$17:$D$46))</f>
        <v>8</v>
      </c>
      <c r="BU17" s="9" t="n">
        <f aca="false">SUMPRODUCT((Projects!$G$2:$G$14="Yes")*(BU$15&gt;=Projects!$C$2:$C$14)*(BU$15&lt;Projects!$C$2:$C$14+Projects!$D$2:$D$14))+SUMPRODUCT((Projects!$G$17:$G$46="Yes")*(BU$15&gt;=Projects!$C$17:$C$46)*(BU$15&lt;Projects!$C$17:$C$46+Projects!$D$17:$D$46))</f>
        <v>7</v>
      </c>
      <c r="BV17" s="9" t="n">
        <f aca="false">SUMPRODUCT((Projects!$G$2:$G$14="Yes")*(BV$15&gt;=Projects!$C$2:$C$14)*(BV$15&lt;Projects!$C$2:$C$14+Projects!$D$2:$D$14))+SUMPRODUCT((Projects!$G$17:$G$46="Yes")*(BV$15&gt;=Projects!$C$17:$C$46)*(BV$15&lt;Projects!$C$17:$C$46+Projects!$D$17:$D$46))</f>
        <v>6</v>
      </c>
      <c r="BW17" s="9" t="n">
        <f aca="false">SUMPRODUCT((Projects!$G$2:$G$14="Yes")*(BW$15&gt;=Projects!$C$2:$C$14)*(BW$15&lt;Projects!$C$2:$C$14+Projects!$D$2:$D$14))+SUMPRODUCT((Projects!$G$17:$G$46="Yes")*(BW$15&gt;=Projects!$C$17:$C$46)*(BW$15&lt;Projects!$C$17:$C$46+Projects!$D$17:$D$46))</f>
        <v>5</v>
      </c>
      <c r="BX17" s="9" t="n">
        <f aca="false">SUMPRODUCT((Projects!$G$2:$G$14="Yes")*(BX$15&gt;=Projects!$C$2:$C$14)*(BX$15&lt;Projects!$C$2:$C$14+Projects!$D$2:$D$14))+SUMPRODUCT((Projects!$G$17:$G$46="Yes")*(BX$15&gt;=Projects!$C$17:$C$46)*(BX$15&lt;Projects!$C$17:$C$46+Projects!$D$17:$D$46))</f>
        <v>4</v>
      </c>
      <c r="BY17" s="9" t="n">
        <f aca="false">SUMPRODUCT((Projects!$G$2:$G$14="Yes")*(BY$15&gt;=Projects!$C$2:$C$14)*(BY$15&lt;Projects!$C$2:$C$14+Projects!$D$2:$D$14))+SUMPRODUCT((Projects!$G$17:$G$46="Yes")*(BY$15&gt;=Projects!$C$17:$C$46)*(BY$15&lt;Projects!$C$17:$C$46+Projects!$D$17:$D$46))</f>
        <v>3</v>
      </c>
      <c r="BZ17" s="9" t="n">
        <f aca="false">SUMPRODUCT((Projects!$G$2:$G$14="Yes")*(BZ$15&gt;=Projects!$C$2:$C$14)*(BZ$15&lt;Projects!$C$2:$C$14+Projects!$D$2:$D$14))+SUMPRODUCT((Projects!$G$17:$G$46="Yes")*(BZ$15&gt;=Projects!$C$17:$C$46)*(BZ$15&lt;Projects!$C$17:$C$46+Projects!$D$17:$D$46))</f>
        <v>2</v>
      </c>
      <c r="CA17" s="9" t="n">
        <f aca="false">SUMPRODUCT((Projects!$G$2:$G$14="Yes")*(CA$15&gt;=Projects!$C$2:$C$14)*(CA$15&lt;Projects!$C$2:$C$14+Projects!$D$2:$D$14))+SUMPRODUCT((Projects!$G$17:$G$46="Yes")*(CA$15&gt;=Projects!$C$17:$C$46)*(CA$15&lt;Projects!$C$17:$C$46+Projects!$D$17:$D$46))</f>
        <v>1</v>
      </c>
      <c r="CB17" s="9" t="n">
        <f aca="false">SUMPRODUCT((Projects!$G$2:$G$14="Yes")*(CB$15&gt;=Projects!$C$2:$C$14)*(CB$15&lt;Projects!$C$2:$C$14+Projects!$D$2:$D$14))+SUMPRODUCT((Projects!$G$17:$G$46="Yes")*(CB$15&gt;=Projects!$C$17:$C$46)*(CB$15&lt;Projects!$C$17:$C$46+Projects!$D$17:$D$46))</f>
        <v>0</v>
      </c>
      <c r="CC17" s="9" t="n">
        <f aca="false">SUMPRODUCT((Projects!$G$2:$G$14="Yes")*(CC$15&gt;=Projects!$C$2:$C$14)*(CC$15&lt;Projects!$C$2:$C$14+Projects!$D$2:$D$14))+SUMPRODUCT((Projects!$G$17:$G$46="Yes")*(CC$15&gt;=Projects!$C$17:$C$46)*(CC$15&lt;Projects!$C$17:$C$46+Projects!$D$17:$D$46))</f>
        <v>0</v>
      </c>
      <c r="CD17" s="9" t="n">
        <f aca="false">SUMPRODUCT((Projects!$G$2:$G$14="Yes")*(CD$15&gt;=Projects!$C$2:$C$14)*(CD$15&lt;Projects!$C$2:$C$14+Projects!$D$2:$D$14))+SUMPRODUCT((Projects!$G$17:$G$46="Yes")*(CD$15&gt;=Projects!$C$17:$C$46)*(CD$15&lt;Projects!$C$17:$C$46+Projects!$D$17:$D$46))</f>
        <v>0</v>
      </c>
      <c r="CE17" s="9" t="n">
        <f aca="false">SUMPRODUCT((Projects!$G$2:$G$14="Yes")*(CE$15&gt;=Projects!$C$2:$C$14)*(CE$15&lt;Projects!$C$2:$C$14+Projects!$D$2:$D$14))+SUMPRODUCT((Projects!$G$17:$G$46="Yes")*(CE$15&gt;=Projects!$C$17:$C$46)*(CE$15&lt;Projects!$C$17:$C$46+Projects!$D$17:$D$46))</f>
        <v>0</v>
      </c>
      <c r="CF17" s="9" t="n">
        <f aca="false">SUMPRODUCT((Projects!$G$2:$G$14="Yes")*(CF$15&gt;=Projects!$C$2:$C$14)*(CF$15&lt;Projects!$C$2:$C$14+Projects!$D$2:$D$14))+SUMPRODUCT((Projects!$G$17:$G$46="Yes")*(CF$15&gt;=Projects!$C$17:$C$46)*(CF$15&lt;Projects!$C$17:$C$46+Projects!$D$17:$D$46))</f>
        <v>0</v>
      </c>
      <c r="CG17" s="9" t="n">
        <f aca="false">SUMPRODUCT((Projects!$G$2:$G$14="Yes")*(CG$15&gt;=Projects!$C$2:$C$14)*(CG$15&lt;Projects!$C$2:$C$14+Projects!$D$2:$D$14))+SUMPRODUCT((Projects!$G$17:$G$46="Yes")*(CG$15&gt;=Projects!$C$17:$C$46)*(CG$15&lt;Projects!$C$17:$C$46+Projects!$D$17:$D$46))</f>
        <v>0</v>
      </c>
      <c r="CH17" s="9" t="n">
        <f aca="false">SUMPRODUCT((Projects!$G$2:$G$14="Yes")*(CH$15&gt;=Projects!$C$2:$C$14)*(CH$15&lt;Projects!$C$2:$C$14+Projects!$D$2:$D$14))+SUMPRODUCT((Projects!$G$17:$G$46="Yes")*(CH$15&gt;=Projects!$C$17:$C$46)*(CH$15&lt;Projects!$C$17:$C$46+Projects!$D$17:$D$46))</f>
        <v>0</v>
      </c>
      <c r="CI17" s="9" t="n">
        <f aca="false">SUMPRODUCT((Projects!$G$2:$G$14="Yes")*(CI$15&gt;=Projects!$C$2:$C$14)*(CI$15&lt;Projects!$C$2:$C$14+Projects!$D$2:$D$14))+SUMPRODUCT((Projects!$G$17:$G$46="Yes")*(CI$15&gt;=Projects!$C$17:$C$46)*(CI$15&lt;Projects!$C$17:$C$46+Projects!$D$17:$D$46))</f>
        <v>0</v>
      </c>
      <c r="CJ17" s="9" t="n">
        <f aca="false">SUMPRODUCT((Projects!$G$2:$G$14="Yes")*(CJ$15&gt;=Projects!$C$2:$C$14)*(CJ$15&lt;Projects!$C$2:$C$14+Projects!$D$2:$D$14))+SUMPRODUCT((Projects!$G$17:$G$46="Yes")*(CJ$15&gt;=Projects!$C$17:$C$46)*(CJ$15&lt;Projects!$C$17:$C$46+Projects!$D$17:$D$46))</f>
        <v>0</v>
      </c>
      <c r="CK17" s="9" t="n">
        <f aca="false">SUMPRODUCT((Projects!$G$2:$G$14="Yes")*(CK$15&gt;=Projects!$C$2:$C$14)*(CK$15&lt;Projects!$C$2:$C$14+Projects!$D$2:$D$14))+SUMPRODUCT((Projects!$G$17:$G$46="Yes")*(CK$15&gt;=Projects!$C$17:$C$46)*(CK$15&lt;Projects!$C$17:$C$46+Projects!$D$17:$D$46))</f>
        <v>0</v>
      </c>
      <c r="CL17" s="9" t="n">
        <f aca="false">SUMPRODUCT((Projects!$G$2:$G$14="Yes")*(CL$15&gt;=Projects!$C$2:$C$14)*(CL$15&lt;Projects!$C$2:$C$14+Projects!$D$2:$D$14))+SUMPRODUCT((Projects!$G$17:$G$46="Yes")*(CL$15&gt;=Projects!$C$17:$C$46)*(CL$15&lt;Projects!$C$17:$C$46+Projects!$D$17:$D$46))</f>
        <v>0</v>
      </c>
      <c r="CM17" s="9" t="n">
        <f aca="false">SUMPRODUCT((Projects!$G$2:$G$14="Yes")*(CM$15&gt;=Projects!$C$2:$C$14)*(CM$15&lt;Projects!$C$2:$C$14+Projects!$D$2:$D$14))+SUMPRODUCT((Projects!$G$17:$G$46="Yes")*(CM$15&gt;=Projects!$C$17:$C$46)*(CM$15&lt;Projects!$C$17:$C$46+Projects!$D$17:$D$46))</f>
        <v>0</v>
      </c>
      <c r="CN17" s="9" t="n">
        <f aca="false">SUMPRODUCT((Projects!$G$2:$G$14="Yes")*(CN$15&gt;=Projects!$C$2:$C$14)*(CN$15&lt;Projects!$C$2:$C$14+Projects!$D$2:$D$14))+SUMPRODUCT((Projects!$G$17:$G$46="Yes")*(CN$15&gt;=Projects!$C$17:$C$46)*(CN$15&lt;Projects!$C$17:$C$46+Projects!$D$17:$D$46))</f>
        <v>0</v>
      </c>
      <c r="CO17" s="9" t="n">
        <f aca="false">SUMPRODUCT((Projects!$G$2:$G$14="Yes")*(CO$15&gt;=Projects!$C$2:$C$14)*(CO$15&lt;Projects!$C$2:$C$14+Projects!$D$2:$D$14))+SUMPRODUCT((Projects!$G$17:$G$46="Yes")*(CO$15&gt;=Projects!$C$17:$C$46)*(CO$15&lt;Projects!$C$17:$C$46+Projects!$D$17:$D$46))</f>
        <v>0</v>
      </c>
      <c r="CP17" s="9" t="n">
        <f aca="false">SUMPRODUCT((Projects!$G$2:$G$14="Yes")*(CP$15&gt;=Projects!$C$2:$C$14)*(CP$15&lt;Projects!$C$2:$C$14+Projects!$D$2:$D$14))+SUMPRODUCT((Projects!$G$17:$G$46="Yes")*(CP$15&gt;=Projects!$C$17:$C$46)*(CP$15&lt;Projects!$C$17:$C$46+Projects!$D$17:$D$46))</f>
        <v>0</v>
      </c>
      <c r="CQ17" s="9" t="n">
        <f aca="false">SUMPRODUCT((Projects!$G$2:$G$14="Yes")*(CQ$15&gt;=Projects!$C$2:$C$14)*(CQ$15&lt;Projects!$C$2:$C$14+Projects!$D$2:$D$14))+SUMPRODUCT((Projects!$G$17:$G$46="Yes")*(CQ$15&gt;=Projects!$C$17:$C$46)*(CQ$15&lt;Projects!$C$17:$C$46+Projects!$D$17:$D$46))</f>
        <v>0</v>
      </c>
      <c r="CR17" s="9" t="n">
        <f aca="false">SUMPRODUCT((Projects!$G$2:$G$14="Yes")*(CR$15&gt;=Projects!$C$2:$C$14)*(CR$15&lt;Projects!$C$2:$C$14+Projects!$D$2:$D$14))+SUMPRODUCT((Projects!$G$17:$G$46="Yes")*(CR$15&gt;=Projects!$C$17:$C$46)*(CR$15&lt;Projects!$C$17:$C$46+Projects!$D$17:$D$46))</f>
        <v>0</v>
      </c>
      <c r="CS17" s="9" t="n">
        <f aca="false">SUMPRODUCT((Projects!$G$2:$G$14="Yes")*(CS$15&gt;=Projects!$C$2:$C$14)*(CS$15&lt;Projects!$C$2:$C$14+Projects!$D$2:$D$14))+SUMPRODUCT((Projects!$G$17:$G$46="Yes")*(CS$15&gt;=Projects!$C$17:$C$46)*(CS$15&lt;Projects!$C$17:$C$46+Projects!$D$17:$D$46))</f>
        <v>0</v>
      </c>
      <c r="CT17" s="9" t="n">
        <f aca="false">SUMPRODUCT((Projects!$G$2:$G$14="Yes")*(CT$15&gt;=Projects!$C$2:$C$14)*(CT$15&lt;Projects!$C$2:$C$14+Projects!$D$2:$D$14))+SUMPRODUCT((Projects!$G$17:$G$46="Yes")*(CT$15&gt;=Projects!$C$17:$C$46)*(CT$15&lt;Projects!$C$17:$C$46+Projects!$D$17:$D$46))</f>
        <v>0</v>
      </c>
      <c r="CU17" s="9" t="n">
        <f aca="false">SUMPRODUCT((Projects!$G$2:$G$14="Yes")*(CU$15&gt;=Projects!$C$2:$C$14)*(CU$15&lt;Projects!$C$2:$C$14+Projects!$D$2:$D$14))+SUMPRODUCT((Projects!$G$17:$G$46="Yes")*(CU$15&gt;=Projects!$C$17:$C$46)*(CU$15&lt;Projects!$C$17:$C$46+Projects!$D$17:$D$46))</f>
        <v>0</v>
      </c>
      <c r="CV17" s="9" t="n">
        <f aca="false">SUMPRODUCT((Projects!$G$2:$G$14="Yes")*(CV$15&gt;=Projects!$C$2:$C$14)*(CV$15&lt;Projects!$C$2:$C$14+Projects!$D$2:$D$14))+SUMPRODUCT((Projects!$G$17:$G$46="Yes")*(CV$15&gt;=Projects!$C$17:$C$46)*(CV$15&lt;Projects!$C$17:$C$46+Projects!$D$17:$D$46))</f>
        <v>0</v>
      </c>
      <c r="CW17" s="9" t="n">
        <f aca="false">SUMPRODUCT((Projects!$G$2:$G$14="Yes")*(CW$15&gt;=Projects!$C$2:$C$14)*(CW$15&lt;Projects!$C$2:$C$14+Projects!$D$2:$D$14))+SUMPRODUCT((Projects!$G$17:$G$46="Yes")*(CW$15&gt;=Projects!$C$17:$C$46)*(CW$15&lt;Projects!$C$17:$C$46+Projects!$D$17:$D$46))</f>
        <v>0</v>
      </c>
      <c r="CX17" s="9" t="n">
        <f aca="false">SUMPRODUCT((Projects!$G$2:$G$14="Yes")*(CX$15&gt;=Projects!$C$2:$C$14)*(CX$15&lt;Projects!$C$2:$C$14+Projects!$D$2:$D$14))+SUMPRODUCT((Projects!$G$17:$G$46="Yes")*(CX$15&gt;=Projects!$C$17:$C$46)*(CX$15&lt;Projects!$C$17:$C$46+Projects!$D$17:$D$46))</f>
        <v>0</v>
      </c>
      <c r="CY17" s="9" t="n">
        <f aca="false">SUMPRODUCT((Projects!$G$2:$G$14="Yes")*(CY$15&gt;=Projects!$C$2:$C$14)*(CY$15&lt;Projects!$C$2:$C$14+Projects!$D$2:$D$14))+SUMPRODUCT((Projects!$G$17:$G$46="Yes")*(CY$15&gt;=Projects!$C$17:$C$46)*(CY$15&lt;Projects!$C$17:$C$46+Projects!$D$17:$D$46))</f>
        <v>0</v>
      </c>
      <c r="CZ17" s="9" t="n">
        <f aca="false">SUMPRODUCT((Projects!$G$2:$G$14="Yes")*(CZ$15&gt;=Projects!$C$2:$C$14)*(CZ$15&lt;Projects!$C$2:$C$14+Projects!$D$2:$D$14))+SUMPRODUCT((Projects!$G$17:$G$46="Yes")*(CZ$15&gt;=Projects!$C$17:$C$46)*(CZ$15&lt;Projects!$C$17:$C$46+Projects!$D$17:$D$46))</f>
        <v>0</v>
      </c>
      <c r="DA17" s="9" t="n">
        <f aca="false">SUMPRODUCT((Projects!$G$2:$G$14="Yes")*(DA$15&gt;=Projects!$C$2:$C$14)*(DA$15&lt;Projects!$C$2:$C$14+Projects!$D$2:$D$14))+SUMPRODUCT((Projects!$G$17:$G$46="Yes")*(DA$15&gt;=Projects!$C$17:$C$46)*(DA$15&lt;Projects!$C$17:$C$46+Projects!$D$17:$D$46))</f>
        <v>0</v>
      </c>
      <c r="DB17" s="9" t="n">
        <f aca="false">SUMPRODUCT((Projects!$G$2:$G$14="Yes")*(DB$15&gt;=Projects!$C$2:$C$14)*(DB$15&lt;Projects!$C$2:$C$14+Projects!$D$2:$D$14))+SUMPRODUCT((Projects!$G$17:$G$46="Yes")*(DB$15&gt;=Projects!$C$17:$C$46)*(DB$15&lt;Projects!$C$17:$C$46+Projects!$D$17:$D$46))</f>
        <v>0</v>
      </c>
      <c r="DC17" s="9" t="n">
        <f aca="false">SUMPRODUCT((Projects!$G$2:$G$14="Yes")*(DC$15&gt;=Projects!$C$2:$C$14)*(DC$15&lt;Projects!$C$2:$C$14+Projects!$D$2:$D$14))+SUMPRODUCT((Projects!$G$17:$G$46="Yes")*(DC$15&gt;=Projects!$C$17:$C$46)*(DC$15&lt;Projects!$C$17:$C$46+Projects!$D$17:$D$46))</f>
        <v>0</v>
      </c>
      <c r="DD17" s="9" t="n">
        <f aca="false">SUMPRODUCT((Projects!$G$2:$G$14="Yes")*(DD$15&gt;=Projects!$C$2:$C$14)*(DD$15&lt;Projects!$C$2:$C$14+Projects!$D$2:$D$14))+SUMPRODUCT((Projects!$G$17:$G$46="Yes")*(DD$15&gt;=Projects!$C$17:$C$46)*(DD$15&lt;Projects!$C$17:$C$46+Projects!$D$17:$D$46))</f>
        <v>0</v>
      </c>
      <c r="DE17" s="9" t="n">
        <f aca="false">SUMPRODUCT((Projects!$G$2:$G$14="Yes")*(DE$15&gt;=Projects!$C$2:$C$14)*(DE$15&lt;Projects!$C$2:$C$14+Projects!$D$2:$D$14))+SUMPRODUCT((Projects!$G$17:$G$46="Yes")*(DE$15&gt;=Projects!$C$17:$C$46)*(DE$15&lt;Projects!$C$17:$C$46+Projects!$D$17:$D$46))</f>
        <v>0</v>
      </c>
      <c r="DF17" s="9" t="n">
        <f aca="false">SUMPRODUCT((Projects!$G$2:$G$14="Yes")*(DF$15&gt;=Projects!$C$2:$C$14)*(DF$15&lt;Projects!$C$2:$C$14+Projects!$D$2:$D$14))+SUMPRODUCT((Projects!$G$17:$G$46="Yes")*(DF$15&gt;=Projects!$C$17:$C$46)*(DF$15&lt;Projects!$C$17:$C$46+Projects!$D$17:$D$46))</f>
        <v>0</v>
      </c>
    </row>
    <row r="18" customFormat="false" ht="15" hidden="false" customHeight="true" outlineLevel="0" collapsed="false">
      <c r="A18" s="230" t="s">
        <v>1210</v>
      </c>
      <c r="C18" s="104" t="n">
        <f aca="false">IFERROR(C16/C17,0)</f>
        <v>0</v>
      </c>
      <c r="D18" s="104" t="n">
        <f aca="false">IFERROR(D16/D17,0)</f>
        <v>0</v>
      </c>
      <c r="E18" s="104" t="n">
        <f aca="false">IFERROR(E16/E17,0)</f>
        <v>0</v>
      </c>
      <c r="F18" s="104" t="n">
        <f aca="false">IFERROR(F16/F17,0)</f>
        <v>73431.56</v>
      </c>
      <c r="G18" s="104" t="n">
        <f aca="false">IFERROR(G16/G17,0)</f>
        <v>437914.85</v>
      </c>
      <c r="H18" s="104" t="n">
        <f aca="false">IFERROR(H16/H17,0)</f>
        <v>322841.21</v>
      </c>
      <c r="I18" s="104" t="n">
        <f aca="false">IFERROR(I16/I17,0)</f>
        <v>319901.66</v>
      </c>
      <c r="J18" s="104" t="n">
        <f aca="false">IFERROR(J16/J17,0)</f>
        <v>191776.63</v>
      </c>
      <c r="K18" s="104" t="n">
        <f aca="false">IFERROR(K16/K17,0)</f>
        <v>134788.645</v>
      </c>
      <c r="L18" s="104" t="n">
        <f aca="false">IFERROR(L16/L17,0)</f>
        <v>131455.311666667</v>
      </c>
      <c r="M18" s="104" t="n">
        <f aca="false">IFERROR(M16/M17,0)</f>
        <v>131455.311666667</v>
      </c>
      <c r="N18" s="104" t="n">
        <f aca="false">IFERROR(N16/N17,0)</f>
        <v>154769.895</v>
      </c>
      <c r="O18" s="104" t="n">
        <f aca="false">IFERROR(O16/O17,0)</f>
        <v>98494.8536666667</v>
      </c>
      <c r="P18" s="104" t="n">
        <f aca="false">IFERROR(P16/P17,0)</f>
        <v>94871.0586111111</v>
      </c>
      <c r="Q18" s="104" t="n">
        <f aca="false">IFERROR(Q16/Q17,0)</f>
        <v>81246.0586111111</v>
      </c>
      <c r="R18" s="104" t="n">
        <f aca="false">IFERROR(R16/R17,0)</f>
        <v>81101.9291</v>
      </c>
      <c r="S18" s="104" t="n">
        <f aca="false">IFERROR(S16/S17,0)</f>
        <v>77059.2192125</v>
      </c>
      <c r="T18" s="104" t="n">
        <f aca="false">IFERROR(T16/T17,0)</f>
        <v>65765.4865222222</v>
      </c>
      <c r="U18" s="104" t="n">
        <f aca="false">IFERROR(U16/U17,0)</f>
        <v>60405.50037</v>
      </c>
      <c r="V18" s="104" t="n">
        <f aca="false">IFERROR(V16/V17,0)</f>
        <v>58530.50037</v>
      </c>
      <c r="W18" s="104" t="n">
        <f aca="false">IFERROR(W16/W17,0)</f>
        <v>58530.50037</v>
      </c>
      <c r="X18" s="104" t="n">
        <f aca="false">IFERROR(X16/X17,0)</f>
        <v>58530.50037</v>
      </c>
      <c r="Y18" s="104" t="n">
        <f aca="false">IFERROR(Y16/Y17,0)</f>
        <v>53209.5457909091</v>
      </c>
      <c r="Z18" s="104" t="n">
        <f aca="false">IFERROR(Z16/Z17,0)</f>
        <v>53209.5457909091</v>
      </c>
      <c r="AA18" s="104" t="n">
        <f aca="false">IFERROR(AA16/AA17,0)</f>
        <v>52977.7057559441</v>
      </c>
      <c r="AB18" s="104" t="n">
        <f aca="false">IFERROR(AB16/AB17,0)</f>
        <v>52103.5798818182</v>
      </c>
      <c r="AC18" s="104" t="n">
        <f aca="false">IFERROR(AC16/AC17,0)</f>
        <v>51955.2022594406</v>
      </c>
      <c r="AD18" s="104" t="n">
        <f aca="false">IFERROR(AD16/AD17,0)</f>
        <v>57666.0446274</v>
      </c>
      <c r="AE18" s="104" t="n">
        <f aca="false">IFERROR(AE16/AE17,0)</f>
        <v>57666.0446274</v>
      </c>
      <c r="AF18" s="104" t="n">
        <f aca="false">IFERROR(AF16/AF17,0)</f>
        <v>52423.676934</v>
      </c>
      <c r="AG18" s="104" t="n">
        <f aca="false">IFERROR(AG16/AG17,0)</f>
        <v>52423.676934</v>
      </c>
      <c r="AH18" s="104" t="n">
        <f aca="false">IFERROR(AH16/AH17,0)</f>
        <v>57666.0446274</v>
      </c>
      <c r="AI18" s="104" t="n">
        <f aca="false">IFERROR(AI16/AI17,0)</f>
        <v>57666.0446274</v>
      </c>
      <c r="AJ18" s="104" t="n">
        <f aca="false">IFERROR(AJ16/AJ17,0)</f>
        <v>52423.676934</v>
      </c>
      <c r="AK18" s="104" t="n">
        <f aca="false">IFERROR(AK16/AK17,0)</f>
        <v>52313.4253145</v>
      </c>
      <c r="AL18" s="104" t="n">
        <f aca="false">IFERROR(AL16/AL17,0)</f>
        <v>54273.7367067273</v>
      </c>
      <c r="AM18" s="104" t="n">
        <f aca="false">IFERROR(AM16/AM17,0)</f>
        <v>54273.7367067273</v>
      </c>
      <c r="AN18" s="104" t="n">
        <f aca="false">IFERROR(AN16/AN17,0)</f>
        <v>54273.7367067273</v>
      </c>
      <c r="AO18" s="104" t="n">
        <f aca="false">IFERROR(AO16/AO17,0)</f>
        <v>49750.9253145</v>
      </c>
      <c r="AP18" s="104" t="n">
        <f aca="false">IFERROR(AP16/AP17,0)</f>
        <v>46842.4096807293</v>
      </c>
      <c r="AQ18" s="104" t="n">
        <f aca="false">IFERROR(AQ16/AQ17,0)</f>
        <v>43496.5232749629</v>
      </c>
      <c r="AR18" s="104" t="n">
        <f aca="false">IFERROR(AR16/AR17,0)</f>
        <v>44868.122866632</v>
      </c>
      <c r="AS18" s="104" t="n">
        <f aca="false">IFERROR(AS16/AS17,0)</f>
        <v>42318.122866632</v>
      </c>
      <c r="AT18" s="104" t="n">
        <f aca="false">IFERROR(AT16/AT17,0)</f>
        <v>42318.122866632</v>
      </c>
      <c r="AU18" s="104" t="n">
        <f aca="false">IFERROR(AU16/AU17,0)</f>
        <v>42318.122866632</v>
      </c>
      <c r="AV18" s="104" t="n">
        <f aca="false">IFERROR(AV16/AV17,0)</f>
        <v>49827.5768213915</v>
      </c>
      <c r="AW18" s="104" t="n">
        <f aca="false">IFERROR(AW16/AW17,0)</f>
        <v>47149.00539282</v>
      </c>
      <c r="AX18" s="104" t="n">
        <f aca="false">IFERROR(AX16/AX17,0)</f>
        <v>46923.0481856772</v>
      </c>
      <c r="AY18" s="104" t="n">
        <f aca="false">IFERROR(AY16/AY17,0)</f>
        <v>46208.7624713915</v>
      </c>
      <c r="AZ18" s="104" t="n">
        <f aca="false">IFERROR(AZ16/AZ17,0)</f>
        <v>46208.7624713915</v>
      </c>
      <c r="BA18" s="104" t="n">
        <f aca="false">IFERROR(BA16/BA17,0)</f>
        <v>46208.7624713915</v>
      </c>
      <c r="BB18" s="104" t="n">
        <f aca="false">IFERROR(BB16/BB17,0)</f>
        <v>46662.2414408742</v>
      </c>
      <c r="BC18" s="104" t="n">
        <f aca="false">IFERROR(BC16/BC17,0)</f>
        <v>44714.3656057149</v>
      </c>
      <c r="BD18" s="104" t="n">
        <f aca="false">IFERROR(BD16/BD17,0)</f>
        <v>43038.5414298907</v>
      </c>
      <c r="BE18" s="104" t="n">
        <f aca="false">IFERROR(BE16/BE17,0)</f>
        <v>43038.5414298907</v>
      </c>
      <c r="BF18" s="104" t="n">
        <f aca="false">IFERROR(BF16/BF17,0)</f>
        <v>43038.5414298907</v>
      </c>
      <c r="BG18" s="104" t="n">
        <f aca="false">IFERROR(BG16/BG17,0)</f>
        <v>43038.5414298907</v>
      </c>
      <c r="BH18" s="104" t="n">
        <f aca="false">IFERROR(BH16/BH17,0)</f>
        <v>43038.5414298907</v>
      </c>
      <c r="BI18" s="104" t="n">
        <f aca="false">IFERROR(BI16/BI17,0)</f>
        <v>43038.5414298907</v>
      </c>
      <c r="BJ18" s="104" t="n">
        <f aca="false">IFERROR(BJ16/BJ17,0)</f>
        <v>50211.6316682058</v>
      </c>
      <c r="BK18" s="104" t="n">
        <f aca="false">IFERROR(BK16/BK17,0)</f>
        <v>54776.3254562245</v>
      </c>
      <c r="BL18" s="104" t="n">
        <f aca="false">IFERROR(BL16/BL17,0)</f>
        <v>54464.8101000427</v>
      </c>
      <c r="BM18" s="104" t="n">
        <f aca="false">IFERROR(BM16/BM17,0)</f>
        <v>53555.7191909518</v>
      </c>
      <c r="BN18" s="104" t="n">
        <f aca="false">IFERROR(BN16/BN17,0)</f>
        <v>54303.8263810331</v>
      </c>
      <c r="BO18" s="104" t="n">
        <f aca="false">IFERROR(BO16/BO17,0)</f>
        <v>58189.965580095</v>
      </c>
      <c r="BP18" s="104" t="n">
        <f aca="false">IFERROR(BP16/BP17,0)</f>
        <v>61245.2769645594</v>
      </c>
      <c r="BQ18" s="104" t="n">
        <f aca="false">IFERROR(BQ16/BQ17,0)</f>
        <v>55857.9840974973</v>
      </c>
      <c r="BR18" s="104" t="n">
        <f aca="false">IFERROR(BR16/BR17,0)</f>
        <v>53011.508628671</v>
      </c>
      <c r="BS18" s="104" t="n">
        <f aca="false">IFERROR(BS16/BS17,0)</f>
        <v>51900.3975175599</v>
      </c>
      <c r="BT18" s="104" t="n">
        <f aca="false">IFERROR(BT16/BT17,0)</f>
        <v>58387.9472072549</v>
      </c>
      <c r="BU18" s="104" t="n">
        <f aca="false">IFERROR(BU16/BU17,0)</f>
        <v>66079.3766243159</v>
      </c>
      <c r="BV18" s="104" t="n">
        <f aca="false">IFERROR(BV16/BV17,0)</f>
        <v>73691.153940596</v>
      </c>
      <c r="BW18" s="104" t="n">
        <f aca="false">IFERROR(BW16/BW17,0)</f>
        <v>84044.7693440998</v>
      </c>
      <c r="BX18" s="104" t="n">
        <f aca="false">IFERROR(BX16/BX17,0)</f>
        <v>105055.961680125</v>
      </c>
      <c r="BY18" s="104" t="n">
        <f aca="false">IFERROR(BY16/BY17,0)</f>
        <v>140074.6155735</v>
      </c>
      <c r="BZ18" s="104" t="n">
        <f aca="false">IFERROR(BZ16/BZ17,0)</f>
        <v>214314.161827455</v>
      </c>
      <c r="CA18" s="104" t="n">
        <f aca="false">IFERROR(CA16/CA17,0)</f>
        <v>428628.323654909</v>
      </c>
      <c r="CB18" s="104" t="n">
        <f aca="false">IFERROR(CB16/CB17,0)</f>
        <v>0</v>
      </c>
      <c r="CC18" s="104" t="n">
        <f aca="false">IFERROR(CC16/CC17,0)</f>
        <v>0</v>
      </c>
      <c r="CD18" s="104" t="n">
        <f aca="false">IFERROR(CD16/CD17,0)</f>
        <v>0</v>
      </c>
      <c r="CE18" s="104" t="n">
        <f aca="false">IFERROR(CE16/CE17,0)</f>
        <v>0</v>
      </c>
      <c r="CF18" s="104" t="n">
        <f aca="false">IFERROR(CF16/CF17,0)</f>
        <v>0</v>
      </c>
      <c r="CG18" s="104" t="n">
        <f aca="false">IFERROR(CG16/CG17,0)</f>
        <v>0</v>
      </c>
      <c r="CH18" s="104" t="n">
        <f aca="false">IFERROR(CH16/CH17,0)</f>
        <v>0</v>
      </c>
      <c r="CI18" s="104" t="n">
        <f aca="false">IFERROR(CI16/CI17,0)</f>
        <v>0</v>
      </c>
      <c r="CJ18" s="104" t="n">
        <f aca="false">IFERROR(CJ16/CJ17,0)</f>
        <v>0</v>
      </c>
      <c r="CK18" s="104" t="n">
        <f aca="false">IFERROR(CK16/CK17,0)</f>
        <v>0</v>
      </c>
      <c r="CL18" s="104" t="n">
        <f aca="false">IFERROR(CL16/CL17,0)</f>
        <v>0</v>
      </c>
      <c r="CM18" s="104" t="n">
        <f aca="false">IFERROR(CM16/CM17,0)</f>
        <v>0</v>
      </c>
      <c r="CN18" s="104" t="n">
        <f aca="false">IFERROR(CN16/CN17,0)</f>
        <v>0</v>
      </c>
      <c r="CO18" s="104" t="n">
        <f aca="false">IFERROR(CO16/CO17,0)</f>
        <v>0</v>
      </c>
      <c r="CP18" s="104" t="n">
        <f aca="false">IFERROR(CP16/CP17,0)</f>
        <v>0</v>
      </c>
      <c r="CQ18" s="104" t="n">
        <f aca="false">IFERROR(CQ16/CQ17,0)</f>
        <v>0</v>
      </c>
      <c r="CR18" s="104" t="n">
        <f aca="false">IFERROR(CR16/CR17,0)</f>
        <v>0</v>
      </c>
      <c r="CS18" s="104" t="n">
        <f aca="false">IFERROR(CS16/CS17,0)</f>
        <v>0</v>
      </c>
      <c r="CT18" s="104" t="n">
        <f aca="false">IFERROR(CT16/CT17,0)</f>
        <v>0</v>
      </c>
      <c r="CU18" s="104" t="n">
        <f aca="false">IFERROR(CU16/CU17,0)</f>
        <v>0</v>
      </c>
      <c r="CV18" s="104" t="n">
        <f aca="false">IFERROR(CV16/CV17,0)</f>
        <v>0</v>
      </c>
      <c r="CW18" s="104" t="n">
        <f aca="false">IFERROR(CW16/CW17,0)</f>
        <v>0</v>
      </c>
      <c r="CX18" s="104" t="n">
        <f aca="false">IFERROR(CX16/CX17,0)</f>
        <v>0</v>
      </c>
      <c r="CY18" s="104" t="n">
        <f aca="false">IFERROR(CY16/CY17,0)</f>
        <v>0</v>
      </c>
      <c r="CZ18" s="104" t="n">
        <f aca="false">IFERROR(CZ16/CZ17,0)</f>
        <v>0</v>
      </c>
      <c r="DA18" s="104" t="n">
        <f aca="false">IFERROR(DA16/DA17,0)</f>
        <v>0</v>
      </c>
      <c r="DB18" s="104" t="n">
        <f aca="false">IFERROR(DB16/DB17,0)</f>
        <v>0</v>
      </c>
      <c r="DC18" s="104" t="n">
        <f aca="false">IFERROR(DC16/DC17,0)</f>
        <v>0</v>
      </c>
      <c r="DD18" s="104" t="n">
        <f aca="false">IFERROR(DD16/DD17,0)</f>
        <v>0</v>
      </c>
      <c r="DE18" s="104" t="n">
        <f aca="false">IFERROR(DE16/DE17,0)</f>
        <v>0</v>
      </c>
      <c r="DF18" s="104" t="n">
        <f aca="false">IFERROR(DF16/DF17,0)</f>
        <v>0</v>
      </c>
    </row>
    <row r="19" customFormat="false" ht="15" hidden="false" customHeight="true" outlineLevel="0" collapsed="false"/>
    <row r="20" customFormat="false" ht="30" hidden="false" customHeight="true" outlineLevel="0" collapsed="false">
      <c r="A20" s="124" t="s">
        <v>1211</v>
      </c>
      <c r="B20" s="124" t="s">
        <v>901</v>
      </c>
      <c r="C20" s="124" t="s">
        <v>577</v>
      </c>
      <c r="D20" s="124" t="s">
        <v>579</v>
      </c>
      <c r="E20" s="124" t="s">
        <v>552</v>
      </c>
      <c r="F20" s="124" t="s">
        <v>1212</v>
      </c>
      <c r="G20" s="124" t="s">
        <v>578</v>
      </c>
      <c r="H20" s="124" t="s">
        <v>1213</v>
      </c>
      <c r="I20" s="124" t="s">
        <v>1214</v>
      </c>
      <c r="J20" s="124" t="s">
        <v>1215</v>
      </c>
      <c r="K20" s="124" t="s">
        <v>1216</v>
      </c>
      <c r="L20" s="124" t="s">
        <v>1217</v>
      </c>
      <c r="M20" s="124" t="s">
        <v>1218</v>
      </c>
      <c r="N20" s="124" t="s">
        <v>1219</v>
      </c>
      <c r="O20" s="124" t="s">
        <v>1220</v>
      </c>
      <c r="P20" s="124" t="s">
        <v>472</v>
      </c>
      <c r="Q20" s="124" t="s">
        <v>1221</v>
      </c>
    </row>
    <row r="21" customFormat="false" ht="15" hidden="false" customHeight="true" outlineLevel="0" collapsed="false">
      <c r="A21" s="1" t="str">
        <f aca="false">Projects!A17</f>
        <v>Dickens</v>
      </c>
      <c r="B21" s="104" t="n">
        <f aca="false">Projects!B17</f>
        <v>15316015</v>
      </c>
      <c r="C21" s="9" t="n">
        <f aca="false">Projects!C17</f>
        <v>14</v>
      </c>
      <c r="D21" s="9" t="n">
        <f aca="false">Projects!D17</f>
        <v>19</v>
      </c>
      <c r="E21" s="1" t="str">
        <f aca="false">Projects!G17</f>
        <v>Yes</v>
      </c>
      <c r="F21" s="1" t="str">
        <f aca="false">Projects!M17</f>
        <v>Yes</v>
      </c>
      <c r="G21" s="9" t="n">
        <f aca="false">C21+D21-1</f>
        <v>32</v>
      </c>
      <c r="H21" s="9" t="n">
        <f aca="false">C21+1</f>
        <v>15</v>
      </c>
      <c r="I21" s="350" t="n">
        <f aca="false">IF($F21="Yes",INDEX($G$6:$G$14,MATCH(MIN($G21,105),$B$6:$B$14,1)),1)</f>
        <v>0.5</v>
      </c>
      <c r="J21" s="104" t="n">
        <f aca="false">IF($E21="Yes",$B21*Assumptions!$B$9*0.95/$D21*SUMPRODUCT(($C$15:$DF$15&gt;=$C21)*($C$15:$DF$15&lt;$C21+$D21))+$B21*Assumptions!$B$9*0.05*SUMPRODUCT(--($C$15:$DF$15=$G21)),0)</f>
        <v>1843910.361865</v>
      </c>
      <c r="K21" s="104" t="n">
        <f aca="false">IF($E21="Yes",SUMPRODUCT(($C$15:$DF$15&gt;=$C21)*($C$15:$DF$15&lt;$C21+$D21)*$C$18:$DF$18),0)</f>
        <v>1082525.92131984</v>
      </c>
      <c r="L21" s="104" t="n">
        <f aca="false">J21-K21</f>
        <v>761384.440545157</v>
      </c>
      <c r="M21" s="350" t="n">
        <f aca="false">$B$3*I21</f>
        <v>0.05</v>
      </c>
      <c r="N21" s="104" t="n">
        <f aca="false">IF($E21="Yes",$B$2*$B21,0)</f>
        <v>38290.0375</v>
      </c>
      <c r="O21" s="104" t="n">
        <f aca="false">M21*MAX(0,L21)</f>
        <v>38069.2220272578</v>
      </c>
      <c r="P21" s="104" t="n">
        <f aca="false">N21+Q21</f>
        <v>38290.0375</v>
      </c>
      <c r="Q21" s="104" t="n">
        <f aca="false">MAX(0,O21-N21)</f>
        <v>0</v>
      </c>
    </row>
    <row r="22" customFormat="false" ht="15" hidden="false" customHeight="true" outlineLevel="0" collapsed="false">
      <c r="A22" s="1" t="str">
        <f aca="false">Projects!A18</f>
        <v>Riverton 75</v>
      </c>
      <c r="B22" s="104" t="n">
        <f aca="false">Projects!B18</f>
        <v>11317385</v>
      </c>
      <c r="C22" s="9" t="n">
        <f aca="false">Projects!C18</f>
        <v>15</v>
      </c>
      <c r="D22" s="9" t="n">
        <f aca="false">Projects!D18</f>
        <v>19</v>
      </c>
      <c r="E22" s="1" t="str">
        <f aca="false">Projects!G18</f>
        <v>Yes</v>
      </c>
      <c r="F22" s="1" t="str">
        <f aca="false">Projects!M18</f>
        <v>Yes</v>
      </c>
      <c r="G22" s="9" t="n">
        <f aca="false">C22+D22-1</f>
        <v>33</v>
      </c>
      <c r="H22" s="9" t="n">
        <f aca="false">C22+1</f>
        <v>16</v>
      </c>
      <c r="I22" s="350" t="n">
        <f aca="false">IF($F22="Yes",INDEX($G$6:$G$14,MATCH(MIN($G22,105),$B$6:$B$14,1)),1)</f>
        <v>0.5</v>
      </c>
      <c r="J22" s="104" t="n">
        <f aca="false">IF($E22="Yes",$B22*Assumptions!$B$9*0.95/$D22*SUMPRODUCT(($C$15:$DF$15&gt;=$C22)*($C$15:$DF$15&lt;$C22+$D22))+$B22*Assumptions!$B$9*0.05*SUMPRODUCT(--($C$15:$DF$15=$G22)),0)</f>
        <v>1362511.297535</v>
      </c>
      <c r="K22" s="104" t="n">
        <f aca="false">IF($E22="Yes",SUMPRODUCT(($C$15:$DF$15&gt;=$C22)*($C$15:$DF$15&lt;$C22+$D22)*$C$18:$DF$18),0)</f>
        <v>1059740.43881407</v>
      </c>
      <c r="L22" s="104" t="n">
        <f aca="false">J22-K22</f>
        <v>302770.858720929</v>
      </c>
      <c r="M22" s="350" t="n">
        <f aca="false">$B$3*I22</f>
        <v>0.05</v>
      </c>
      <c r="N22" s="104" t="n">
        <f aca="false">IF($E22="Yes",$B$2*$B22,0)</f>
        <v>28293.4625</v>
      </c>
      <c r="O22" s="104" t="n">
        <f aca="false">M22*MAX(0,L22)</f>
        <v>15138.5429360465</v>
      </c>
      <c r="P22" s="104" t="n">
        <f aca="false">N22+Q22</f>
        <v>28293.4625</v>
      </c>
      <c r="Q22" s="104" t="n">
        <f aca="false">MAX(0,O22-N22)</f>
        <v>0</v>
      </c>
    </row>
    <row r="23" customFormat="false" ht="15" hidden="false" customHeight="true" outlineLevel="0" collapsed="false">
      <c r="A23" s="1" t="str">
        <f aca="false">Projects!A19</f>
        <v>Moorpark</v>
      </c>
      <c r="B23" s="104" t="n">
        <f aca="false">Projects!B19</f>
        <v>18442769</v>
      </c>
      <c r="C23" s="9" t="n">
        <f aca="false">Projects!C19</f>
        <v>16</v>
      </c>
      <c r="D23" s="9" t="n">
        <f aca="false">Projects!D19</f>
        <v>19</v>
      </c>
      <c r="E23" s="1" t="str">
        <f aca="false">Projects!G19</f>
        <v>Yes</v>
      </c>
      <c r="F23" s="1" t="str">
        <f aca="false">Projects!M19</f>
        <v>Yes</v>
      </c>
      <c r="G23" s="9" t="n">
        <f aca="false">C23+D23-1</f>
        <v>34</v>
      </c>
      <c r="H23" s="9" t="n">
        <f aca="false">C23+1</f>
        <v>17</v>
      </c>
      <c r="I23" s="350" t="n">
        <f aca="false">IF($F23="Yes",INDEX($G$6:$G$14,MATCH(MIN($G23,105),$B$6:$B$14,1)),1)</f>
        <v>1</v>
      </c>
      <c r="J23" s="104" t="n">
        <f aca="false">IF($E23="Yes",$B23*Assumptions!$B$9*0.95/$D23*SUMPRODUCT(($C$15:$DF$15&gt;=$C23)*($C$15:$DF$15&lt;$C23+$D23))+$B23*Assumptions!$B$9*0.05*SUMPRODUCT(--($C$15:$DF$15=$G23)),0)</f>
        <v>2220343.402679</v>
      </c>
      <c r="K23" s="104" t="n">
        <f aca="false">IF($E23="Yes",SUMPRODUCT(($C$15:$DF$15&gt;=$C23)*($C$15:$DF$15&lt;$C23+$D23)*$C$18:$DF$18),0)</f>
        <v>1048248.68899858</v>
      </c>
      <c r="L23" s="104" t="n">
        <f aca="false">J23-K23</f>
        <v>1172094.71368042</v>
      </c>
      <c r="M23" s="350" t="n">
        <f aca="false">$B$3*I23</f>
        <v>0.1</v>
      </c>
      <c r="N23" s="104" t="n">
        <f aca="false">IF($E23="Yes",$B$2*$B23,0)</f>
        <v>46106.9225</v>
      </c>
      <c r="O23" s="104" t="n">
        <f aca="false">M23*MAX(0,L23)</f>
        <v>117209.471368042</v>
      </c>
      <c r="P23" s="104" t="n">
        <f aca="false">N23+Q23</f>
        <v>117209.471368042</v>
      </c>
      <c r="Q23" s="104" t="n">
        <f aca="false">MAX(0,O23-N23)</f>
        <v>71102.5488680425</v>
      </c>
    </row>
    <row r="24" customFormat="false" ht="15" hidden="false" customHeight="true" outlineLevel="0" collapsed="false">
      <c r="A24" s="1" t="str">
        <f aca="false">Projects!A20</f>
        <v>Beverly (BD-04)</v>
      </c>
      <c r="B24" s="104" t="n">
        <f aca="false">Projects!B20</f>
        <v>25026330.58</v>
      </c>
      <c r="C24" s="9" t="n">
        <f aca="false">Projects!C20</f>
        <v>20</v>
      </c>
      <c r="D24" s="9" t="n">
        <f aca="false">Projects!D20</f>
        <v>24</v>
      </c>
      <c r="E24" s="1" t="str">
        <f aca="false">Projects!G20</f>
        <v>Yes</v>
      </c>
      <c r="F24" s="1" t="str">
        <f aca="false">Projects!M20</f>
        <v>No</v>
      </c>
      <c r="G24" s="9" t="n">
        <f aca="false">C24+D24-1</f>
        <v>43</v>
      </c>
      <c r="H24" s="9" t="n">
        <f aca="false">C24+1</f>
        <v>21</v>
      </c>
      <c r="I24" s="350" t="n">
        <f aca="false">IF($F24="Yes",INDEX($G$6:$G$14,MATCH(MIN($G24,105),$B$6:$B$14,1)),1)</f>
        <v>1</v>
      </c>
      <c r="J24" s="104" t="n">
        <f aca="false">IF($E24="Yes",$B24*Assumptions!$B$9*0.95/$D24*SUMPRODUCT(($C$15:$DF$15&gt;=$C24)*($C$15:$DF$15&lt;$C24+$D24))+$B24*Assumptions!$B$9*0.05*SUMPRODUCT(--($C$15:$DF$15=$G24)),0)</f>
        <v>3012944.96485678</v>
      </c>
      <c r="K24" s="104" t="n">
        <f aca="false">IF($E24="Yes",SUMPRODUCT(($C$15:$DF$15&gt;=$C24)*($C$15:$DF$15&lt;$C24+$D24)*$C$18:$DF$18),0)</f>
        <v>1228265.35078341</v>
      </c>
      <c r="L24" s="104" t="n">
        <f aca="false">J24-K24</f>
        <v>1784679.61407336</v>
      </c>
      <c r="M24" s="350" t="n">
        <f aca="false">$B$3*I24</f>
        <v>0.1</v>
      </c>
      <c r="N24" s="104" t="n">
        <f aca="false">IF($E24="Yes",$B$2*$B24,0)</f>
        <v>62565.82645</v>
      </c>
      <c r="O24" s="104" t="n">
        <f aca="false">M24*MAX(0,L24)</f>
        <v>178467.961407337</v>
      </c>
      <c r="P24" s="104" t="n">
        <f aca="false">N24+Q24</f>
        <v>178467.961407337</v>
      </c>
      <c r="Q24" s="104" t="n">
        <f aca="false">MAX(0,O24-N24)</f>
        <v>115902.134957337</v>
      </c>
    </row>
    <row r="25" customFormat="false" ht="15" hidden="false" customHeight="true" outlineLevel="0" collapsed="false">
      <c r="A25" s="1" t="str">
        <f aca="false">Projects!A21</f>
        <v>Troost (HVN)</v>
      </c>
      <c r="B25" s="104" t="n">
        <f aca="false">Projects!B21</f>
        <v>15189508.75</v>
      </c>
      <c r="C25" s="9" t="n">
        <f aca="false">Projects!C21</f>
        <v>10</v>
      </c>
      <c r="D25" s="9" t="n">
        <f aca="false">Projects!D21</f>
        <v>19</v>
      </c>
      <c r="E25" s="1" t="str">
        <f aca="false">Projects!G21</f>
        <v>Yes</v>
      </c>
      <c r="F25" s="1" t="str">
        <f aca="false">Projects!M21</f>
        <v>Yes</v>
      </c>
      <c r="G25" s="9" t="n">
        <f aca="false">C25+D25-1</f>
        <v>28</v>
      </c>
      <c r="H25" s="9" t="n">
        <f aca="false">C25+1</f>
        <v>11</v>
      </c>
      <c r="I25" s="350" t="n">
        <f aca="false">IF($F25="Yes",INDEX($G$6:$G$14,MATCH(MIN($G25,105),$B$6:$B$14,1)),1)</f>
        <v>0.5</v>
      </c>
      <c r="J25" s="104" t="n">
        <f aca="false">IF($E25="Yes",$B25*Assumptions!$B$9*0.95/$D25*SUMPRODUCT(($C$15:$DF$15&gt;=$C25)*($C$15:$DF$15&lt;$C25+$D25))+$B25*Assumptions!$B$9*0.05*SUMPRODUCT(--($C$15:$DF$15=$G25)),0)</f>
        <v>1828680.14792125</v>
      </c>
      <c r="K25" s="104" t="n">
        <f aca="false">IF($E25="Yes",SUMPRODUCT(($C$15:$DF$15&gt;=$C25)*($C$15:$DF$15&lt;$C25+$D25)*$C$18:$DF$18),0)</f>
        <v>1218170.62980543</v>
      </c>
      <c r="L25" s="104" t="n">
        <f aca="false">J25-K25</f>
        <v>610509.518115818</v>
      </c>
      <c r="M25" s="350" t="n">
        <f aca="false">$B$3*I25</f>
        <v>0.05</v>
      </c>
      <c r="N25" s="104" t="n">
        <f aca="false">IF($E25="Yes",$B$2*$B25,0)</f>
        <v>37973.771875</v>
      </c>
      <c r="O25" s="104" t="n">
        <f aca="false">M25*MAX(0,L25)</f>
        <v>30525.4759057909</v>
      </c>
      <c r="P25" s="104" t="n">
        <f aca="false">N25+Q25</f>
        <v>37973.771875</v>
      </c>
      <c r="Q25" s="104" t="n">
        <f aca="false">MAX(0,O25-N25)</f>
        <v>0</v>
      </c>
    </row>
    <row r="26" customFormat="false" ht="15" hidden="false" customHeight="true" outlineLevel="0" collapsed="false">
      <c r="A26" s="1" t="str">
        <f aca="false">Projects!A22</f>
        <v>BD-06</v>
      </c>
      <c r="B26" s="104" t="n">
        <f aca="false">Projects!B22</f>
        <v>15000000</v>
      </c>
      <c r="C26" s="9" t="n">
        <f aca="false">Projects!C22</f>
        <v>16</v>
      </c>
      <c r="D26" s="9" t="n">
        <f aca="false">Projects!D22</f>
        <v>19</v>
      </c>
      <c r="E26" s="1" t="str">
        <f aca="false">Projects!G22</f>
        <v>No</v>
      </c>
      <c r="F26" s="1" t="str">
        <f aca="false">Projects!M22</f>
        <v>No</v>
      </c>
      <c r="G26" s="9" t="n">
        <f aca="false">C26+D26-1</f>
        <v>34</v>
      </c>
      <c r="H26" s="9" t="n">
        <f aca="false">C26+1</f>
        <v>17</v>
      </c>
      <c r="I26" s="350" t="n">
        <f aca="false">IF($F26="Yes",INDEX($G$6:$G$14,MATCH(MIN($G26,105),$B$6:$B$14,1)),1)</f>
        <v>1</v>
      </c>
      <c r="J26" s="104" t="n">
        <f aca="false">IF($E26="Yes",$B26*Assumptions!$B$9*0.95/$D26*SUMPRODUCT(($C$15:$DF$15&gt;=$C26)*($C$15:$DF$15&lt;$C26+$D26))+$B26*Assumptions!$B$9*0.05*SUMPRODUCT(--($C$15:$DF$15=$G26)),0)</f>
        <v>0</v>
      </c>
      <c r="K26" s="104" t="n">
        <f aca="false">IF($E26="Yes",SUMPRODUCT(($C$15:$DF$15&gt;=$C26)*($C$15:$DF$15&lt;$C26+$D26)*$C$18:$DF$18),0)</f>
        <v>0</v>
      </c>
      <c r="L26" s="104" t="n">
        <f aca="false">J26-K26</f>
        <v>0</v>
      </c>
      <c r="M26" s="350" t="n">
        <f aca="false">$B$3*I26</f>
        <v>0.1</v>
      </c>
      <c r="N26" s="104" t="n">
        <f aca="false">IF($E26="Yes",$B$2*$B26,0)</f>
        <v>0</v>
      </c>
      <c r="O26" s="104" t="n">
        <f aca="false">M26*MAX(0,L26)</f>
        <v>0</v>
      </c>
      <c r="P26" s="104" t="n">
        <f aca="false">N26+Q26</f>
        <v>0</v>
      </c>
      <c r="Q26" s="104" t="n">
        <f aca="false">MAX(0,O26-N26)</f>
        <v>0</v>
      </c>
    </row>
    <row r="27" customFormat="false" ht="15" hidden="false" customHeight="true" outlineLevel="0" collapsed="false">
      <c r="A27" s="1" t="str">
        <f aca="false">Projects!A23</f>
        <v>BD-07</v>
      </c>
      <c r="B27" s="104" t="n">
        <f aca="false">Projects!B23</f>
        <v>15000000</v>
      </c>
      <c r="C27" s="9" t="n">
        <f aca="false">Projects!C23</f>
        <v>17</v>
      </c>
      <c r="D27" s="9" t="n">
        <f aca="false">Projects!D23</f>
        <v>19</v>
      </c>
      <c r="E27" s="1" t="str">
        <f aca="false">Projects!G23</f>
        <v>No</v>
      </c>
      <c r="F27" s="1" t="str">
        <f aca="false">Projects!M23</f>
        <v>Yes</v>
      </c>
      <c r="G27" s="9" t="n">
        <f aca="false">C27+D27-1</f>
        <v>35</v>
      </c>
      <c r="H27" s="9" t="n">
        <f aca="false">C27+1</f>
        <v>18</v>
      </c>
      <c r="I27" s="350" t="n">
        <f aca="false">IF($F27="Yes",INDEX($G$6:$G$14,MATCH(MIN($G27,105),$B$6:$B$14,1)),1)</f>
        <v>1</v>
      </c>
      <c r="J27" s="104" t="n">
        <f aca="false">IF($E27="Yes",$B27*Assumptions!$B$9*0.95/$D27*SUMPRODUCT(($C$15:$DF$15&gt;=$C27)*($C$15:$DF$15&lt;$C27+$D27))+$B27*Assumptions!$B$9*0.05*SUMPRODUCT(--($C$15:$DF$15=$G27)),0)</f>
        <v>0</v>
      </c>
      <c r="K27" s="104" t="n">
        <f aca="false">IF($E27="Yes",SUMPRODUCT(($C$15:$DF$15&gt;=$C27)*($C$15:$DF$15&lt;$C27+$D27)*$C$18:$DF$18),0)</f>
        <v>0</v>
      </c>
      <c r="L27" s="104" t="n">
        <f aca="false">J27-K27</f>
        <v>0</v>
      </c>
      <c r="M27" s="350" t="n">
        <f aca="false">$B$3*I27</f>
        <v>0.1</v>
      </c>
      <c r="N27" s="104" t="n">
        <f aca="false">IF($E27="Yes",$B$2*$B27,0)</f>
        <v>0</v>
      </c>
      <c r="O27" s="104" t="n">
        <f aca="false">M27*MAX(0,L27)</f>
        <v>0</v>
      </c>
      <c r="P27" s="104" t="n">
        <f aca="false">N27+Q27</f>
        <v>0</v>
      </c>
      <c r="Q27" s="104" t="n">
        <f aca="false">MAX(0,O27-N27)</f>
        <v>0</v>
      </c>
    </row>
    <row r="28" customFormat="false" ht="15" hidden="false" customHeight="true" outlineLevel="0" collapsed="false">
      <c r="A28" s="1" t="str">
        <f aca="false">Projects!A24</f>
        <v>BD-08</v>
      </c>
      <c r="B28" s="104" t="n">
        <f aca="false">Projects!B24</f>
        <v>18000000</v>
      </c>
      <c r="C28" s="9" t="n">
        <f aca="false">Projects!C24</f>
        <v>24</v>
      </c>
      <c r="D28" s="9" t="n">
        <f aca="false">Projects!D24</f>
        <v>19</v>
      </c>
      <c r="E28" s="1" t="str">
        <f aca="false">Projects!G24</f>
        <v>Yes</v>
      </c>
      <c r="F28" s="1" t="str">
        <f aca="false">Projects!M24</f>
        <v>No</v>
      </c>
      <c r="G28" s="9" t="n">
        <f aca="false">C28+D28-1</f>
        <v>42</v>
      </c>
      <c r="H28" s="9" t="n">
        <f aca="false">C28+1</f>
        <v>25</v>
      </c>
      <c r="I28" s="350" t="n">
        <f aca="false">IF($F28="Yes",INDEX($G$6:$G$14,MATCH(MIN($G28,105),$B$6:$B$14,1)),1)</f>
        <v>1</v>
      </c>
      <c r="J28" s="104" t="n">
        <f aca="false">IF($E28="Yes",$B28*Assumptions!$B$9*0.95/$D28*SUMPRODUCT(($C$15:$DF$15&gt;=$C28)*($C$15:$DF$15&lt;$C28+$D28))+$B28*Assumptions!$B$9*0.05*SUMPRODUCT(--($C$15:$DF$15=$G28)),0)</f>
        <v>2167038</v>
      </c>
      <c r="K28" s="104" t="n">
        <f aca="false">IF($E28="Yes",SUMPRODUCT(($C$15:$DF$15&gt;=$C28)*($C$15:$DF$15&lt;$C28+$D28)*$C$18:$DF$18),0)</f>
        <v>966937.396742443</v>
      </c>
      <c r="L28" s="104" t="n">
        <f aca="false">J28-K28</f>
        <v>1200100.60325756</v>
      </c>
      <c r="M28" s="350" t="n">
        <f aca="false">$B$3*I28</f>
        <v>0.1</v>
      </c>
      <c r="N28" s="104" t="n">
        <f aca="false">IF($E28="Yes",$B$2*$B28,0)</f>
        <v>45000</v>
      </c>
      <c r="O28" s="104" t="n">
        <f aca="false">M28*MAX(0,L28)</f>
        <v>120010.060325756</v>
      </c>
      <c r="P28" s="104" t="n">
        <f aca="false">N28+Q28</f>
        <v>120010.060325756</v>
      </c>
      <c r="Q28" s="104" t="n">
        <f aca="false">MAX(0,O28-N28)</f>
        <v>75010.0603257557</v>
      </c>
    </row>
    <row r="29" customFormat="false" ht="15" hidden="false" customHeight="true" outlineLevel="0" collapsed="false">
      <c r="A29" s="1" t="str">
        <f aca="false">Projects!A25</f>
        <v>BD-09</v>
      </c>
      <c r="B29" s="104" t="n">
        <f aca="false">Projects!B25</f>
        <v>18000000</v>
      </c>
      <c r="C29" s="9" t="n">
        <f aca="false">Projects!C25</f>
        <v>29</v>
      </c>
      <c r="D29" s="9" t="n">
        <f aca="false">Projects!D25</f>
        <v>19</v>
      </c>
      <c r="E29" s="1" t="str">
        <f aca="false">Projects!G25</f>
        <v>Yes</v>
      </c>
      <c r="F29" s="1" t="str">
        <f aca="false">Projects!M25</f>
        <v>No</v>
      </c>
      <c r="G29" s="9" t="n">
        <f aca="false">C29+D29-1</f>
        <v>47</v>
      </c>
      <c r="H29" s="9" t="n">
        <f aca="false">C29+1</f>
        <v>30</v>
      </c>
      <c r="I29" s="350" t="n">
        <f aca="false">IF($F29="Yes",INDEX($G$6:$G$14,MATCH(MIN($G29,105),$B$6:$B$14,1)),1)</f>
        <v>1</v>
      </c>
      <c r="J29" s="104" t="n">
        <f aca="false">IF($E29="Yes",$B29*Assumptions!$B$9*0.95/$D29*SUMPRODUCT(($C$15:$DF$15&gt;=$C29)*($C$15:$DF$15&lt;$C29+$D29))+$B29*Assumptions!$B$9*0.05*SUMPRODUCT(--($C$15:$DF$15=$G29)),0)</f>
        <v>2167038</v>
      </c>
      <c r="K29" s="104" t="n">
        <f aca="false">IF($E29="Yes",SUMPRODUCT(($C$15:$DF$15&gt;=$C29)*($C$15:$DF$15&lt;$C29+$D29)*$C$18:$DF$18),0)</f>
        <v>931119.906702874</v>
      </c>
      <c r="L29" s="104" t="n">
        <f aca="false">J29-K29</f>
        <v>1235918.09329713</v>
      </c>
      <c r="M29" s="350" t="n">
        <f aca="false">$B$3*I29</f>
        <v>0.1</v>
      </c>
      <c r="N29" s="104" t="n">
        <f aca="false">IF($E29="Yes",$B$2*$B29,0)</f>
        <v>45000</v>
      </c>
      <c r="O29" s="104" t="n">
        <f aca="false">M29*MAX(0,L29)</f>
        <v>123591.809329713</v>
      </c>
      <c r="P29" s="104" t="n">
        <f aca="false">N29+Q29</f>
        <v>123591.809329713</v>
      </c>
      <c r="Q29" s="104" t="n">
        <f aca="false">MAX(0,O29-N29)</f>
        <v>78591.8093297127</v>
      </c>
    </row>
    <row r="30" customFormat="false" ht="15" hidden="false" customHeight="true" outlineLevel="0" collapsed="false">
      <c r="A30" s="1" t="str">
        <f aca="false">Projects!A26</f>
        <v>BD-10</v>
      </c>
      <c r="B30" s="104" t="n">
        <f aca="false">Projects!B26</f>
        <v>18000000</v>
      </c>
      <c r="C30" s="9" t="n">
        <f aca="false">Projects!C26</f>
        <v>30</v>
      </c>
      <c r="D30" s="9" t="n">
        <f aca="false">Projects!D26</f>
        <v>19</v>
      </c>
      <c r="E30" s="1" t="str">
        <f aca="false">Projects!G26</f>
        <v>Yes</v>
      </c>
      <c r="F30" s="1" t="str">
        <f aca="false">Projects!M26</f>
        <v>No</v>
      </c>
      <c r="G30" s="9" t="n">
        <f aca="false">C30+D30-1</f>
        <v>48</v>
      </c>
      <c r="H30" s="9" t="n">
        <f aca="false">C30+1</f>
        <v>31</v>
      </c>
      <c r="I30" s="350" t="n">
        <f aca="false">IF($F30="Yes",INDEX($G$6:$G$14,MATCH(MIN($G30,105),$B$6:$B$14,1)),1)</f>
        <v>1</v>
      </c>
      <c r="J30" s="104" t="n">
        <f aca="false">IF($E30="Yes",$B30*Assumptions!$B$9*0.95/$D30*SUMPRODUCT(($C$15:$DF$15&gt;=$C30)*($C$15:$DF$15&lt;$C30+$D30))+$B30*Assumptions!$B$9*0.05*SUMPRODUCT(--($C$15:$DF$15=$G30)),0)</f>
        <v>2167038</v>
      </c>
      <c r="K30" s="104" t="n">
        <f aca="false">IF($E30="Yes",SUMPRODUCT(($C$15:$DF$15&gt;=$C30)*($C$15:$DF$15&lt;$C30+$D30)*$C$18:$DF$18),0)</f>
        <v>919662.624546865</v>
      </c>
      <c r="L30" s="104" t="n">
        <f aca="false">J30-K30</f>
        <v>1247375.37545314</v>
      </c>
      <c r="M30" s="350" t="n">
        <f aca="false">$B$3*I30</f>
        <v>0.1</v>
      </c>
      <c r="N30" s="104" t="n">
        <f aca="false">IF($E30="Yes",$B$2*$B30,0)</f>
        <v>45000</v>
      </c>
      <c r="O30" s="104" t="n">
        <f aca="false">M30*MAX(0,L30)</f>
        <v>124737.537545314</v>
      </c>
      <c r="P30" s="104" t="n">
        <f aca="false">N30+Q30</f>
        <v>124737.537545314</v>
      </c>
      <c r="Q30" s="104" t="n">
        <f aca="false">MAX(0,O30-N30)</f>
        <v>79737.5375453135</v>
      </c>
    </row>
    <row r="31" customFormat="false" ht="15" hidden="false" customHeight="true" outlineLevel="0" collapsed="false">
      <c r="A31" s="1" t="str">
        <f aca="false">Projects!A27</f>
        <v>BD-11</v>
      </c>
      <c r="B31" s="104" t="n">
        <f aca="false">Projects!B27</f>
        <v>15000000</v>
      </c>
      <c r="C31" s="9" t="n">
        <f aca="false">Projects!C27</f>
        <v>31</v>
      </c>
      <c r="D31" s="9" t="n">
        <f aca="false">Projects!D27</f>
        <v>19</v>
      </c>
      <c r="E31" s="1" t="str">
        <f aca="false">Projects!G27</f>
        <v>Yes</v>
      </c>
      <c r="F31" s="1" t="str">
        <f aca="false">Projects!M27</f>
        <v>No</v>
      </c>
      <c r="G31" s="9" t="n">
        <f aca="false">C31+D31-1</f>
        <v>49</v>
      </c>
      <c r="H31" s="9" t="n">
        <f aca="false">C31+1</f>
        <v>32</v>
      </c>
      <c r="I31" s="350" t="n">
        <f aca="false">IF($F31="Yes",INDEX($G$6:$G$14,MATCH(MIN($G31,105),$B$6:$B$14,1)),1)</f>
        <v>1</v>
      </c>
      <c r="J31" s="104" t="n">
        <f aca="false">IF($E31="Yes",$B31*Assumptions!$B$9*0.95/$D31*SUMPRODUCT(($C$15:$DF$15&gt;=$C31)*($C$15:$DF$15&lt;$C31+$D31))+$B31*Assumptions!$B$9*0.05*SUMPRODUCT(--($C$15:$DF$15=$G31)),0)</f>
        <v>1805865</v>
      </c>
      <c r="K31" s="104" t="n">
        <f aca="false">IF($E31="Yes",SUMPRODUCT(($C$15:$DF$15&gt;=$C31)*($C$15:$DF$15&lt;$C31+$D31)*$C$18:$DF$18),0)</f>
        <v>908658.821360339</v>
      </c>
      <c r="L31" s="104" t="n">
        <f aca="false">J31-K31</f>
        <v>897206.178639661</v>
      </c>
      <c r="M31" s="350" t="n">
        <f aca="false">$B$3*I31</f>
        <v>0.1</v>
      </c>
      <c r="N31" s="104" t="n">
        <f aca="false">IF($E31="Yes",$B$2*$B31,0)</f>
        <v>37500</v>
      </c>
      <c r="O31" s="104" t="n">
        <f aca="false">M31*MAX(0,L31)</f>
        <v>89720.6178639661</v>
      </c>
      <c r="P31" s="104" t="n">
        <f aca="false">N31+Q31</f>
        <v>89720.6178639661</v>
      </c>
      <c r="Q31" s="104" t="n">
        <f aca="false">MAX(0,O31-N31)</f>
        <v>52220.6178639661</v>
      </c>
    </row>
    <row r="32" customFormat="false" ht="15" hidden="false" customHeight="true" outlineLevel="0" collapsed="false">
      <c r="A32" s="1" t="str">
        <f aca="false">Projects!A28</f>
        <v>BD-12</v>
      </c>
      <c r="B32" s="104" t="n">
        <f aca="false">Projects!B28</f>
        <v>15000000</v>
      </c>
      <c r="C32" s="9" t="n">
        <f aca="false">Projects!C28</f>
        <v>32</v>
      </c>
      <c r="D32" s="9" t="n">
        <f aca="false">Projects!D28</f>
        <v>19</v>
      </c>
      <c r="E32" s="1" t="str">
        <f aca="false">Projects!G28</f>
        <v>Yes</v>
      </c>
      <c r="F32" s="1" t="str">
        <f aca="false">Projects!M28</f>
        <v>Yes</v>
      </c>
      <c r="G32" s="9" t="n">
        <f aca="false">C32+D32-1</f>
        <v>50</v>
      </c>
      <c r="H32" s="9" t="n">
        <f aca="false">C32+1</f>
        <v>33</v>
      </c>
      <c r="I32" s="350" t="n">
        <f aca="false">IF($F32="Yes",INDEX($G$6:$G$14,MATCH(MIN($G32,105),$B$6:$B$14,1)),1)</f>
        <v>1</v>
      </c>
      <c r="J32" s="104" t="n">
        <f aca="false">IF($E32="Yes",$B32*Assumptions!$B$9*0.95/$D32*SUMPRODUCT(($C$15:$DF$15&gt;=$C32)*($C$15:$DF$15&lt;$C32+$D32))+$B32*Assumptions!$B$9*0.05*SUMPRODUCT(--($C$15:$DF$15=$G32)),0)</f>
        <v>1805865</v>
      </c>
      <c r="K32" s="104" t="n">
        <f aca="false">IF($E32="Yes",SUMPRODUCT(($C$15:$DF$15&gt;=$C32)*($C$15:$DF$15&lt;$C32+$D32)*$C$18:$DF$18),0)</f>
        <v>900949.510032054</v>
      </c>
      <c r="L32" s="104" t="n">
        <f aca="false">J32-K32</f>
        <v>904915.489967946</v>
      </c>
      <c r="M32" s="350" t="n">
        <f aca="false">$B$3*I32</f>
        <v>0.1</v>
      </c>
      <c r="N32" s="104" t="n">
        <f aca="false">IF($E32="Yes",$B$2*$B32,0)</f>
        <v>37500</v>
      </c>
      <c r="O32" s="104" t="n">
        <f aca="false">M32*MAX(0,L32)</f>
        <v>90491.5489967946</v>
      </c>
      <c r="P32" s="104" t="n">
        <f aca="false">N32+Q32</f>
        <v>90491.5489967946</v>
      </c>
      <c r="Q32" s="104" t="n">
        <f aca="false">MAX(0,O32-N32)</f>
        <v>52991.5489967946</v>
      </c>
    </row>
    <row r="33" customFormat="false" ht="15" hidden="false" customHeight="true" outlineLevel="0" collapsed="false">
      <c r="A33" s="1" t="str">
        <f aca="false">Projects!A29</f>
        <v>BD-13</v>
      </c>
      <c r="B33" s="104" t="n">
        <f aca="false">Projects!B29</f>
        <v>15000000</v>
      </c>
      <c r="C33" s="9" t="n">
        <f aca="false">Projects!C29</f>
        <v>33</v>
      </c>
      <c r="D33" s="9" t="n">
        <f aca="false">Projects!D29</f>
        <v>19</v>
      </c>
      <c r="E33" s="1" t="str">
        <f aca="false">Projects!G29</f>
        <v>Yes</v>
      </c>
      <c r="F33" s="1" t="str">
        <f aca="false">Projects!M29</f>
        <v>No</v>
      </c>
      <c r="G33" s="9" t="n">
        <f aca="false">C33+D33-1</f>
        <v>51</v>
      </c>
      <c r="H33" s="9" t="n">
        <f aca="false">C33+1</f>
        <v>34</v>
      </c>
      <c r="I33" s="350" t="n">
        <f aca="false">IF($F33="Yes",INDEX($G$6:$G$14,MATCH(MIN($G33,105),$B$6:$B$14,1)),1)</f>
        <v>1</v>
      </c>
      <c r="J33" s="104" t="n">
        <f aca="false">IF($E33="Yes",$B33*Assumptions!$B$9*0.95/$D33*SUMPRODUCT(($C$15:$DF$15&gt;=$C33)*($C$15:$DF$15&lt;$C33+$D33))+$B33*Assumptions!$B$9*0.05*SUMPRODUCT(--($C$15:$DF$15=$G33)),0)</f>
        <v>1805865</v>
      </c>
      <c r="K33" s="104" t="n">
        <f aca="false">IF($E33="Yes",SUMPRODUCT(($C$15:$DF$15&gt;=$C33)*($C$15:$DF$15&lt;$C33+$D33)*$C$18:$DF$18),0)</f>
        <v>891674.626147445</v>
      </c>
      <c r="L33" s="104" t="n">
        <f aca="false">J33-K33</f>
        <v>914190.373852555</v>
      </c>
      <c r="M33" s="350" t="n">
        <f aca="false">$B$3*I33</f>
        <v>0.1</v>
      </c>
      <c r="N33" s="104" t="n">
        <f aca="false">IF($E33="Yes",$B$2*$B33,0)</f>
        <v>37500</v>
      </c>
      <c r="O33" s="104" t="n">
        <f aca="false">M33*MAX(0,L33)</f>
        <v>91419.0373852555</v>
      </c>
      <c r="P33" s="104" t="n">
        <f aca="false">N33+Q33</f>
        <v>91419.0373852555</v>
      </c>
      <c r="Q33" s="104" t="n">
        <f aca="false">MAX(0,O33-N33)</f>
        <v>53919.0373852555</v>
      </c>
    </row>
    <row r="34" customFormat="false" ht="15" hidden="false" customHeight="true" outlineLevel="0" collapsed="false">
      <c r="A34" s="1" t="str">
        <f aca="false">Projects!A30</f>
        <v>BD-14</v>
      </c>
      <c r="B34" s="104" t="n">
        <f aca="false">Projects!B30</f>
        <v>15000000</v>
      </c>
      <c r="C34" s="9" t="n">
        <f aca="false">Projects!C30</f>
        <v>34</v>
      </c>
      <c r="D34" s="9" t="n">
        <f aca="false">Projects!D30</f>
        <v>19</v>
      </c>
      <c r="E34" s="1" t="str">
        <f aca="false">Projects!G30</f>
        <v>Yes</v>
      </c>
      <c r="F34" s="1" t="str">
        <f aca="false">Projects!M30</f>
        <v>No</v>
      </c>
      <c r="G34" s="9" t="n">
        <f aca="false">C34+D34-1</f>
        <v>52</v>
      </c>
      <c r="H34" s="9" t="n">
        <f aca="false">C34+1</f>
        <v>35</v>
      </c>
      <c r="I34" s="350" t="n">
        <f aca="false">IF($F34="Yes",INDEX($G$6:$G$14,MATCH(MIN($G34,105),$B$6:$B$14,1)),1)</f>
        <v>1</v>
      </c>
      <c r="J34" s="104" t="n">
        <f aca="false">IF($E34="Yes",$B34*Assumptions!$B$9*0.95/$D34*SUMPRODUCT(($C$15:$DF$15&gt;=$C34)*($C$15:$DF$15&lt;$C34+$D34))+$B34*Assumptions!$B$9*0.05*SUMPRODUCT(--($C$15:$DF$15=$G34)),0)</f>
        <v>1805865</v>
      </c>
      <c r="K34" s="104" t="n">
        <f aca="false">IF($E34="Yes",SUMPRODUCT(($C$15:$DF$15&gt;=$C34)*($C$15:$DF$15&lt;$C34+$D34)*$C$18:$DF$18),0)</f>
        <v>880439.430870608</v>
      </c>
      <c r="L34" s="104" t="n">
        <f aca="false">J34-K34</f>
        <v>925425.569129392</v>
      </c>
      <c r="M34" s="350" t="n">
        <f aca="false">$B$3*I34</f>
        <v>0.1</v>
      </c>
      <c r="N34" s="104" t="n">
        <f aca="false">IF($E34="Yes",$B$2*$B34,0)</f>
        <v>37500</v>
      </c>
      <c r="O34" s="104" t="n">
        <f aca="false">M34*MAX(0,L34)</f>
        <v>92542.5569129392</v>
      </c>
      <c r="P34" s="104" t="n">
        <f aca="false">N34+Q34</f>
        <v>92542.5569129392</v>
      </c>
      <c r="Q34" s="104" t="n">
        <f aca="false">MAX(0,O34-N34)</f>
        <v>55042.5569129392</v>
      </c>
    </row>
    <row r="35" customFormat="false" ht="15" hidden="false" customHeight="true" outlineLevel="0" collapsed="false">
      <c r="A35" s="1" t="str">
        <f aca="false">Projects!A31</f>
        <v>BD-15</v>
      </c>
      <c r="B35" s="104" t="n">
        <f aca="false">Projects!B31</f>
        <v>18000000</v>
      </c>
      <c r="C35" s="9" t="n">
        <f aca="false">Projects!C31</f>
        <v>35</v>
      </c>
      <c r="D35" s="9" t="n">
        <f aca="false">Projects!D31</f>
        <v>19</v>
      </c>
      <c r="E35" s="1" t="str">
        <f aca="false">Projects!G31</f>
        <v>Yes</v>
      </c>
      <c r="F35" s="1" t="str">
        <f aca="false">Projects!M31</f>
        <v>No</v>
      </c>
      <c r="G35" s="9" t="n">
        <f aca="false">C35+D35-1</f>
        <v>53</v>
      </c>
      <c r="H35" s="9" t="n">
        <f aca="false">C35+1</f>
        <v>36</v>
      </c>
      <c r="I35" s="350" t="n">
        <f aca="false">IF($F35="Yes",INDEX($G$6:$G$14,MATCH(MIN($G35,105),$B$6:$B$14,1)),1)</f>
        <v>1</v>
      </c>
      <c r="J35" s="104" t="n">
        <f aca="false">IF($E35="Yes",$B35*Assumptions!$B$9*0.95/$D35*SUMPRODUCT(($C$15:$DF$15&gt;=$C35)*($C$15:$DF$15&lt;$C35+$D35))+$B35*Assumptions!$B$9*0.05*SUMPRODUCT(--($C$15:$DF$15=$G35)),0)</f>
        <v>2167038</v>
      </c>
      <c r="K35" s="104" t="n">
        <f aca="false">IF($E35="Yes",SUMPRODUCT(($C$15:$DF$15&gt;=$C35)*($C$15:$DF$15&lt;$C35+$D35)*$C$18:$DF$18),0)</f>
        <v>869204.235593772</v>
      </c>
      <c r="L35" s="104" t="n">
        <f aca="false">J35-K35</f>
        <v>1297833.76440623</v>
      </c>
      <c r="M35" s="350" t="n">
        <f aca="false">$B$3*I35</f>
        <v>0.1</v>
      </c>
      <c r="N35" s="104" t="n">
        <f aca="false">IF($E35="Yes",$B$2*$B35,0)</f>
        <v>45000</v>
      </c>
      <c r="O35" s="104" t="n">
        <f aca="false">M35*MAX(0,L35)</f>
        <v>129783.376440623</v>
      </c>
      <c r="P35" s="104" t="n">
        <f aca="false">N35+Q35</f>
        <v>129783.376440623</v>
      </c>
      <c r="Q35" s="104" t="n">
        <f aca="false">MAX(0,O35-N35)</f>
        <v>84783.3764406228</v>
      </c>
    </row>
    <row r="36" customFormat="false" ht="15" hidden="false" customHeight="true" outlineLevel="0" collapsed="false">
      <c r="A36" s="1" t="str">
        <f aca="false">Projects!A32</f>
        <v>BD-16</v>
      </c>
      <c r="B36" s="104" t="n">
        <f aca="false">Projects!B32</f>
        <v>15000000</v>
      </c>
      <c r="C36" s="9" t="n">
        <f aca="false">Projects!C32</f>
        <v>36</v>
      </c>
      <c r="D36" s="9" t="n">
        <f aca="false">Projects!D32</f>
        <v>19</v>
      </c>
      <c r="E36" s="1" t="str">
        <f aca="false">Projects!G32</f>
        <v>Yes</v>
      </c>
      <c r="F36" s="1" t="str">
        <f aca="false">Projects!M32</f>
        <v>No</v>
      </c>
      <c r="G36" s="9" t="n">
        <f aca="false">C36+D36-1</f>
        <v>54</v>
      </c>
      <c r="H36" s="9" t="n">
        <f aca="false">C36+1</f>
        <v>37</v>
      </c>
      <c r="I36" s="350" t="n">
        <f aca="false">IF($F36="Yes",INDEX($G$6:$G$14,MATCH(MIN($G36,105),$B$6:$B$14,1)),1)</f>
        <v>1</v>
      </c>
      <c r="J36" s="104" t="n">
        <f aca="false">IF($E36="Yes",$B36*Assumptions!$B$9*0.95/$D36*SUMPRODUCT(($C$15:$DF$15&gt;=$C36)*($C$15:$DF$15&lt;$C36+$D36))+$B36*Assumptions!$B$9*0.05*SUMPRODUCT(--($C$15:$DF$15=$G36)),0)</f>
        <v>1805865</v>
      </c>
      <c r="K36" s="104" t="n">
        <f aca="false">IF($E36="Yes",SUMPRODUCT(($C$15:$DF$15&gt;=$C36)*($C$15:$DF$15&lt;$C36+$D36)*$C$18:$DF$18),0)</f>
        <v>857969.040316935</v>
      </c>
      <c r="L36" s="104" t="n">
        <f aca="false">J36-K36</f>
        <v>947895.959683065</v>
      </c>
      <c r="M36" s="350" t="n">
        <f aca="false">$B$3*I36</f>
        <v>0.1</v>
      </c>
      <c r="N36" s="104" t="n">
        <f aca="false">IF($E36="Yes",$B$2*$B36,0)</f>
        <v>37500</v>
      </c>
      <c r="O36" s="104" t="n">
        <f aca="false">M36*MAX(0,L36)</f>
        <v>94789.5959683065</v>
      </c>
      <c r="P36" s="104" t="n">
        <f aca="false">N36+Q36</f>
        <v>94789.5959683065</v>
      </c>
      <c r="Q36" s="104" t="n">
        <f aca="false">MAX(0,O36-N36)</f>
        <v>57289.5959683065</v>
      </c>
    </row>
    <row r="37" customFormat="false" ht="15" hidden="false" customHeight="true" outlineLevel="0" collapsed="false">
      <c r="A37" s="1" t="str">
        <f aca="false">Projects!A33</f>
        <v>BD-17</v>
      </c>
      <c r="B37" s="104" t="n">
        <f aca="false">Projects!B33</f>
        <v>15000000</v>
      </c>
      <c r="C37" s="9" t="n">
        <f aca="false">Projects!C33</f>
        <v>37</v>
      </c>
      <c r="D37" s="9" t="n">
        <f aca="false">Projects!D33</f>
        <v>19</v>
      </c>
      <c r="E37" s="1" t="str">
        <f aca="false">Projects!G33</f>
        <v>Yes</v>
      </c>
      <c r="F37" s="1" t="str">
        <f aca="false">Projects!M33</f>
        <v>No</v>
      </c>
      <c r="G37" s="9" t="n">
        <f aca="false">C37+D37-1</f>
        <v>55</v>
      </c>
      <c r="H37" s="9" t="n">
        <f aca="false">C37+1</f>
        <v>38</v>
      </c>
      <c r="I37" s="350" t="n">
        <f aca="false">IF($F37="Yes",INDEX($G$6:$G$14,MATCH(MIN($G37,105),$B$6:$B$14,1)),1)</f>
        <v>1</v>
      </c>
      <c r="J37" s="104" t="n">
        <f aca="false">IF($E37="Yes",$B37*Assumptions!$B$9*0.95/$D37*SUMPRODUCT(($C$15:$DF$15&gt;=$C37)*($C$15:$DF$15&lt;$C37+$D37))+$B37*Assumptions!$B$9*0.05*SUMPRODUCT(--($C$15:$DF$15=$G37)),0)</f>
        <v>1805865</v>
      </c>
      <c r="K37" s="104" t="n">
        <f aca="false">IF($E37="Yes",SUMPRODUCT(($C$15:$DF$15&gt;=$C37)*($C$15:$DF$15&lt;$C37+$D37)*$C$18:$DF$18),0)</f>
        <v>851256.656432326</v>
      </c>
      <c r="L37" s="104" t="n">
        <f aca="false">J37-K37</f>
        <v>954608.343567674</v>
      </c>
      <c r="M37" s="350" t="n">
        <f aca="false">$B$3*I37</f>
        <v>0.1</v>
      </c>
      <c r="N37" s="104" t="n">
        <f aca="false">IF($E37="Yes",$B$2*$B37,0)</f>
        <v>37500</v>
      </c>
      <c r="O37" s="104" t="n">
        <f aca="false">M37*MAX(0,L37)</f>
        <v>95460.8343567675</v>
      </c>
      <c r="P37" s="104" t="n">
        <f aca="false">N37+Q37</f>
        <v>95460.8343567675</v>
      </c>
      <c r="Q37" s="104" t="n">
        <f aca="false">MAX(0,O37-N37)</f>
        <v>57960.8343567674</v>
      </c>
    </row>
    <row r="38" customFormat="false" ht="15" hidden="false" customHeight="true" outlineLevel="0" collapsed="false">
      <c r="A38" s="1" t="str">
        <f aca="false">Projects!A34</f>
        <v>BD-18</v>
      </c>
      <c r="B38" s="104" t="n">
        <f aca="false">Projects!B34</f>
        <v>18000000</v>
      </c>
      <c r="C38" s="9" t="n">
        <f aca="false">Projects!C34</f>
        <v>38</v>
      </c>
      <c r="D38" s="9" t="n">
        <f aca="false">Projects!D34</f>
        <v>19</v>
      </c>
      <c r="E38" s="1" t="str">
        <f aca="false">Projects!G34</f>
        <v>Yes</v>
      </c>
      <c r="F38" s="1" t="str">
        <f aca="false">Projects!M34</f>
        <v>Yes</v>
      </c>
      <c r="G38" s="9" t="n">
        <f aca="false">C38+D38-1</f>
        <v>56</v>
      </c>
      <c r="H38" s="9" t="n">
        <f aca="false">C38+1</f>
        <v>39</v>
      </c>
      <c r="I38" s="350" t="n">
        <f aca="false">IF($F38="Yes",INDEX($G$6:$G$14,MATCH(MIN($G38,105),$B$6:$B$14,1)),1)</f>
        <v>1</v>
      </c>
      <c r="J38" s="104" t="n">
        <f aca="false">IF($E38="Yes",$B38*Assumptions!$B$9*0.95/$D38*SUMPRODUCT(($C$15:$DF$15&gt;=$C38)*($C$15:$DF$15&lt;$C38+$D38))+$B38*Assumptions!$B$9*0.05*SUMPRODUCT(--($C$15:$DF$15=$G38)),0)</f>
        <v>2167038</v>
      </c>
      <c r="K38" s="104" t="n">
        <f aca="false">IF($E38="Yes",SUMPRODUCT(($C$15:$DF$15&gt;=$C38)*($C$15:$DF$15&lt;$C38+$D38)*$C$18:$DF$18),0)</f>
        <v>847452.788181487</v>
      </c>
      <c r="L38" s="104" t="n">
        <f aca="false">J38-K38</f>
        <v>1319585.21181851</v>
      </c>
      <c r="M38" s="350" t="n">
        <f aca="false">$B$3*I38</f>
        <v>0.1</v>
      </c>
      <c r="N38" s="104" t="n">
        <f aca="false">IF($E38="Yes",$B$2*$B38,0)</f>
        <v>45000</v>
      </c>
      <c r="O38" s="104" t="n">
        <f aca="false">M38*MAX(0,L38)</f>
        <v>131958.521181851</v>
      </c>
      <c r="P38" s="104" t="n">
        <f aca="false">N38+Q38</f>
        <v>131958.521181851</v>
      </c>
      <c r="Q38" s="104" t="n">
        <f aca="false">MAX(0,O38-N38)</f>
        <v>86958.5211818513</v>
      </c>
    </row>
    <row r="39" customFormat="false" ht="15" hidden="false" customHeight="true" outlineLevel="0" collapsed="false">
      <c r="A39" s="1" t="str">
        <f aca="false">Projects!A35</f>
        <v>BD-19</v>
      </c>
      <c r="B39" s="104" t="n">
        <f aca="false">Projects!B35</f>
        <v>15000000</v>
      </c>
      <c r="C39" s="9" t="n">
        <f aca="false">Projects!C35</f>
        <v>39</v>
      </c>
      <c r="D39" s="9" t="n">
        <f aca="false">Projects!D35</f>
        <v>19</v>
      </c>
      <c r="E39" s="1" t="str">
        <f aca="false">Projects!G35</f>
        <v>Yes</v>
      </c>
      <c r="F39" s="1" t="str">
        <f aca="false">Projects!M35</f>
        <v>No</v>
      </c>
      <c r="G39" s="9" t="n">
        <f aca="false">C39+D39-1</f>
        <v>57</v>
      </c>
      <c r="H39" s="9" t="n">
        <f aca="false">C39+1</f>
        <v>40</v>
      </c>
      <c r="I39" s="350" t="n">
        <f aca="false">IF($F39="Yes",INDEX($G$6:$G$14,MATCH(MIN($G39,105),$B$6:$B$14,1)),1)</f>
        <v>1</v>
      </c>
      <c r="J39" s="104" t="n">
        <f aca="false">IF($E39="Yes",$B39*Assumptions!$B$9*0.95/$D39*SUMPRODUCT(($C$15:$DF$15&gt;=$C39)*($C$15:$DF$15&lt;$C39+$D39))+$B39*Assumptions!$B$9*0.05*SUMPRODUCT(--($C$15:$DF$15=$G39)),0)</f>
        <v>1805865</v>
      </c>
      <c r="K39" s="104" t="n">
        <f aca="false">IF($E39="Yes",SUMPRODUCT(($C$15:$DF$15&gt;=$C39)*($C$15:$DF$15&lt;$C39+$D39)*$C$18:$DF$18),0)</f>
        <v>854167.89657473</v>
      </c>
      <c r="L39" s="104" t="n">
        <f aca="false">J39-K39</f>
        <v>951697.10342527</v>
      </c>
      <c r="M39" s="350" t="n">
        <f aca="false">$B$3*I39</f>
        <v>0.1</v>
      </c>
      <c r="N39" s="104" t="n">
        <f aca="false">IF($E39="Yes",$B$2*$B39,0)</f>
        <v>37500</v>
      </c>
      <c r="O39" s="104" t="n">
        <f aca="false">M39*MAX(0,L39)</f>
        <v>95169.710342527</v>
      </c>
      <c r="P39" s="104" t="n">
        <f aca="false">N39+Q39</f>
        <v>95169.710342527</v>
      </c>
      <c r="Q39" s="104" t="n">
        <f aca="false">MAX(0,O39-N39)</f>
        <v>57669.710342527</v>
      </c>
    </row>
    <row r="40" customFormat="false" ht="15" hidden="false" customHeight="true" outlineLevel="0" collapsed="false">
      <c r="A40" s="1" t="str">
        <f aca="false">Projects!A36</f>
        <v>BD-20</v>
      </c>
      <c r="B40" s="104" t="n">
        <f aca="false">Projects!B36</f>
        <v>18000000</v>
      </c>
      <c r="C40" s="9" t="n">
        <f aca="false">Projects!C36</f>
        <v>43</v>
      </c>
      <c r="D40" s="9" t="n">
        <f aca="false">Projects!D36</f>
        <v>19</v>
      </c>
      <c r="E40" s="1" t="str">
        <f aca="false">Projects!G36</f>
        <v>Yes</v>
      </c>
      <c r="F40" s="1" t="str">
        <f aca="false">Projects!M36</f>
        <v>No</v>
      </c>
      <c r="G40" s="9" t="n">
        <f aca="false">C40+D40-1</f>
        <v>61</v>
      </c>
      <c r="H40" s="9" t="n">
        <f aca="false">C40+1</f>
        <v>44</v>
      </c>
      <c r="I40" s="350" t="n">
        <f aca="false">IF($F40="Yes",INDEX($G$6:$G$14,MATCH(MIN($G40,105),$B$6:$B$14,1)),1)</f>
        <v>1</v>
      </c>
      <c r="J40" s="104" t="n">
        <f aca="false">IF($E40="Yes",$B40*Assumptions!$B$9*0.95/$D40*SUMPRODUCT(($C$15:$DF$15&gt;=$C40)*($C$15:$DF$15&lt;$C40+$D40))+$B40*Assumptions!$B$9*0.05*SUMPRODUCT(--($C$15:$DF$15=$G40)),0)</f>
        <v>2167038</v>
      </c>
      <c r="K40" s="104" t="n">
        <f aca="false">IF($E40="Yes",SUMPRODUCT(($C$15:$DF$15&gt;=$C40)*($C$15:$DF$15&lt;$C40+$D40)*$C$18:$DF$18),0)</f>
        <v>899446.086236454</v>
      </c>
      <c r="L40" s="104" t="n">
        <f aca="false">J40-K40</f>
        <v>1267591.91376355</v>
      </c>
      <c r="M40" s="350" t="n">
        <f aca="false">$B$3*I40</f>
        <v>0.1</v>
      </c>
      <c r="N40" s="104" t="n">
        <f aca="false">IF($E40="Yes",$B$2*$B40,0)</f>
        <v>45000</v>
      </c>
      <c r="O40" s="104" t="n">
        <f aca="false">M40*MAX(0,L40)</f>
        <v>126759.191376355</v>
      </c>
      <c r="P40" s="104" t="n">
        <f aca="false">N40+Q40</f>
        <v>126759.191376355</v>
      </c>
      <c r="Q40" s="104" t="n">
        <f aca="false">MAX(0,O40-N40)</f>
        <v>81759.1913763546</v>
      </c>
    </row>
    <row r="41" customFormat="false" ht="15" hidden="false" customHeight="true" outlineLevel="0" collapsed="false">
      <c r="A41" s="1" t="str">
        <f aca="false">Projects!A37</f>
        <v>BD-21</v>
      </c>
      <c r="B41" s="104" t="n">
        <f aca="false">Projects!B37</f>
        <v>15000000</v>
      </c>
      <c r="C41" s="9" t="n">
        <f aca="false">Projects!C37</f>
        <v>44</v>
      </c>
      <c r="D41" s="9" t="n">
        <f aca="false">Projects!D37</f>
        <v>19</v>
      </c>
      <c r="E41" s="1" t="str">
        <f aca="false">Projects!G37</f>
        <v>Yes</v>
      </c>
      <c r="F41" s="1" t="str">
        <f aca="false">Projects!M37</f>
        <v>No</v>
      </c>
      <c r="G41" s="9" t="n">
        <f aca="false">C41+D41-1</f>
        <v>62</v>
      </c>
      <c r="H41" s="9" t="n">
        <f aca="false">C41+1</f>
        <v>45</v>
      </c>
      <c r="I41" s="350" t="n">
        <f aca="false">IF($F41="Yes",INDEX($G$6:$G$14,MATCH(MIN($G41,105),$B$6:$B$14,1)),1)</f>
        <v>1</v>
      </c>
      <c r="J41" s="104" t="n">
        <f aca="false">IF($E41="Yes",$B41*Assumptions!$B$9*0.95/$D41*SUMPRODUCT(($C$15:$DF$15&gt;=$C41)*($C$15:$DF$15&lt;$C41+$D41))+$B41*Assumptions!$B$9*0.05*SUMPRODUCT(--($C$15:$DF$15=$G41)),0)</f>
        <v>1805865</v>
      </c>
      <c r="K41" s="104" t="n">
        <f aca="false">IF($E41="Yes",SUMPRODUCT(($C$15:$DF$15&gt;=$C41)*($C$15:$DF$15&lt;$C41+$D41)*$C$18:$DF$18),0)</f>
        <v>907808.474995157</v>
      </c>
      <c r="L41" s="104" t="n">
        <f aca="false">J41-K41</f>
        <v>898056.525004843</v>
      </c>
      <c r="M41" s="350" t="n">
        <f aca="false">$B$3*I41</f>
        <v>0.1</v>
      </c>
      <c r="N41" s="104" t="n">
        <f aca="false">IF($E41="Yes",$B$2*$B41,0)</f>
        <v>37500</v>
      </c>
      <c r="O41" s="104" t="n">
        <f aca="false">M41*MAX(0,L41)</f>
        <v>89805.6525004843</v>
      </c>
      <c r="P41" s="104" t="n">
        <f aca="false">N41+Q41</f>
        <v>89805.6525004843</v>
      </c>
      <c r="Q41" s="104" t="n">
        <f aca="false">MAX(0,O41-N41)</f>
        <v>52305.6525004843</v>
      </c>
    </row>
    <row r="42" customFormat="false" ht="15" hidden="false" customHeight="true" outlineLevel="0" collapsed="false">
      <c r="A42" s="1" t="str">
        <f aca="false">Projects!A38</f>
        <v>BD-22</v>
      </c>
      <c r="B42" s="104" t="n">
        <f aca="false">Projects!B38</f>
        <v>15000000</v>
      </c>
      <c r="C42" s="9" t="n">
        <f aca="false">Projects!C38</f>
        <v>48</v>
      </c>
      <c r="D42" s="9" t="n">
        <f aca="false">Projects!D38</f>
        <v>19</v>
      </c>
      <c r="E42" s="1" t="str">
        <f aca="false">Projects!G38</f>
        <v>Yes</v>
      </c>
      <c r="F42" s="1" t="str">
        <f aca="false">Projects!M38</f>
        <v>No</v>
      </c>
      <c r="G42" s="9" t="n">
        <f aca="false">C42+D42-1</f>
        <v>66</v>
      </c>
      <c r="H42" s="9" t="n">
        <f aca="false">C42+1</f>
        <v>49</v>
      </c>
      <c r="I42" s="350" t="n">
        <f aca="false">IF($F42="Yes",INDEX($G$6:$G$14,MATCH(MIN($G42,105),$B$6:$B$14,1)),1)</f>
        <v>1</v>
      </c>
      <c r="J42" s="104" t="n">
        <f aca="false">IF($E42="Yes",$B42*Assumptions!$B$9*0.95/$D42*SUMPRODUCT(($C$15:$DF$15&gt;=$C42)*($C$15:$DF$15&lt;$C42+$D42))+$B42*Assumptions!$B$9*0.05*SUMPRODUCT(--($C$15:$DF$15=$G42)),0)</f>
        <v>1805865</v>
      </c>
      <c r="K42" s="104" t="n">
        <f aca="false">IF($E42="Yes",SUMPRODUCT(($C$15:$DF$15&gt;=$C42)*($C$15:$DF$15&lt;$C42+$D42)*$C$18:$DF$18),0)</f>
        <v>943334.063682165</v>
      </c>
      <c r="L42" s="104" t="n">
        <f aca="false">J42-K42</f>
        <v>862530.936317835</v>
      </c>
      <c r="M42" s="350" t="n">
        <f aca="false">$B$3*I42</f>
        <v>0.1</v>
      </c>
      <c r="N42" s="104" t="n">
        <f aca="false">IF($E42="Yes",$B$2*$B42,0)</f>
        <v>37500</v>
      </c>
      <c r="O42" s="104" t="n">
        <f aca="false">M42*MAX(0,L42)</f>
        <v>86253.0936317835</v>
      </c>
      <c r="P42" s="104" t="n">
        <f aca="false">N42+Q42</f>
        <v>86253.0936317835</v>
      </c>
      <c r="Q42" s="104" t="n">
        <f aca="false">MAX(0,O42-N42)</f>
        <v>48753.0936317835</v>
      </c>
    </row>
    <row r="43" customFormat="false" ht="15" hidden="false" customHeight="true" outlineLevel="0" collapsed="false">
      <c r="A43" s="1" t="str">
        <f aca="false">Projects!A39</f>
        <v>BD-23</v>
      </c>
      <c r="B43" s="104" t="n">
        <f aca="false">Projects!B39</f>
        <v>18000000</v>
      </c>
      <c r="C43" s="9" t="n">
        <f aca="false">Projects!C39</f>
        <v>49</v>
      </c>
      <c r="D43" s="9" t="n">
        <f aca="false">Projects!D39</f>
        <v>19</v>
      </c>
      <c r="E43" s="1" t="str">
        <f aca="false">Projects!G39</f>
        <v>Yes</v>
      </c>
      <c r="F43" s="1" t="str">
        <f aca="false">Projects!M39</f>
        <v>No</v>
      </c>
      <c r="G43" s="9" t="n">
        <f aca="false">C43+D43-1</f>
        <v>67</v>
      </c>
      <c r="H43" s="9" t="n">
        <f aca="false">C43+1</f>
        <v>50</v>
      </c>
      <c r="I43" s="350" t="n">
        <f aca="false">IF($F43="Yes",INDEX($G$6:$G$14,MATCH(MIN($G43,105),$B$6:$B$14,1)),1)</f>
        <v>1</v>
      </c>
      <c r="J43" s="104" t="n">
        <f aca="false">IF($E43="Yes",$B43*Assumptions!$B$9*0.95/$D43*SUMPRODUCT(($C$15:$DF$15&gt;=$C43)*($C$15:$DF$15&lt;$C43+$D43))+$B43*Assumptions!$B$9*0.05*SUMPRODUCT(--($C$15:$DF$15=$G43)),0)</f>
        <v>2167038</v>
      </c>
      <c r="K43" s="104" t="n">
        <f aca="false">IF($E43="Yes",SUMPRODUCT(($C$15:$DF$15&gt;=$C43)*($C$15:$DF$15&lt;$C43+$D43)*$C$18:$DF$18),0)</f>
        <v>955513.248418028</v>
      </c>
      <c r="L43" s="104" t="n">
        <f aca="false">J43-K43</f>
        <v>1211524.75158197</v>
      </c>
      <c r="M43" s="350" t="n">
        <f aca="false">$B$3*I43</f>
        <v>0.1</v>
      </c>
      <c r="N43" s="104" t="n">
        <f aca="false">IF($E43="Yes",$B$2*$B43,0)</f>
        <v>45000</v>
      </c>
      <c r="O43" s="104" t="n">
        <f aca="false">M43*MAX(0,L43)</f>
        <v>121152.475158197</v>
      </c>
      <c r="P43" s="104" t="n">
        <f aca="false">N43+Q43</f>
        <v>121152.475158197</v>
      </c>
      <c r="Q43" s="104" t="n">
        <f aca="false">MAX(0,O43-N43)</f>
        <v>76152.4751581972</v>
      </c>
    </row>
    <row r="44" customFormat="false" ht="15" hidden="false" customHeight="true" outlineLevel="0" collapsed="false">
      <c r="A44" s="1" t="str">
        <f aca="false">Projects!A40</f>
        <v>BD-24</v>
      </c>
      <c r="B44" s="104" t="n">
        <f aca="false">Projects!B40</f>
        <v>15000000</v>
      </c>
      <c r="C44" s="9" t="n">
        <f aca="false">Projects!C40</f>
        <v>50</v>
      </c>
      <c r="D44" s="9" t="n">
        <f aca="false">Projects!D40</f>
        <v>19</v>
      </c>
      <c r="E44" s="1" t="str">
        <f aca="false">Projects!G40</f>
        <v>Yes</v>
      </c>
      <c r="F44" s="1" t="str">
        <f aca="false">Projects!M40</f>
        <v>Yes</v>
      </c>
      <c r="G44" s="9" t="n">
        <f aca="false">C44+D44-1</f>
        <v>68</v>
      </c>
      <c r="H44" s="9" t="n">
        <f aca="false">C44+1</f>
        <v>51</v>
      </c>
      <c r="I44" s="350" t="n">
        <f aca="false">IF($F44="Yes",INDEX($G$6:$G$14,MATCH(MIN($G44,105),$B$6:$B$14,1)),1)</f>
        <v>1</v>
      </c>
      <c r="J44" s="104" t="n">
        <f aca="false">IF($E44="Yes",$B44*Assumptions!$B$9*0.95/$D44*SUMPRODUCT(($C$15:$DF$15&gt;=$C44)*($C$15:$DF$15&lt;$C44+$D44))+$B44*Assumptions!$B$9*0.05*SUMPRODUCT(--($C$15:$DF$15=$G44)),0)</f>
        <v>1805865</v>
      </c>
      <c r="K44" s="104" t="n">
        <f aca="false">IF($E44="Yes",SUMPRODUCT(($C$15:$DF$15&gt;=$C44)*($C$15:$DF$15&lt;$C44+$D44)*$C$18:$DF$18),0)</f>
        <v>974930.38360147</v>
      </c>
      <c r="L44" s="104" t="n">
        <f aca="false">J44-K44</f>
        <v>830934.61639853</v>
      </c>
      <c r="M44" s="350" t="n">
        <f aca="false">$B$3*I44</f>
        <v>0.1</v>
      </c>
      <c r="N44" s="104" t="n">
        <f aca="false">IF($E44="Yes",$B$2*$B44,0)</f>
        <v>37500</v>
      </c>
      <c r="O44" s="104" t="n">
        <f aca="false">M44*MAX(0,L44)</f>
        <v>83093.461639853</v>
      </c>
      <c r="P44" s="104" t="n">
        <f aca="false">N44+Q44</f>
        <v>83093.461639853</v>
      </c>
      <c r="Q44" s="104" t="n">
        <f aca="false">MAX(0,O44-N44)</f>
        <v>45593.461639853</v>
      </c>
    </row>
    <row r="45" customFormat="false" ht="15" hidden="false" customHeight="true" outlineLevel="0" collapsed="false">
      <c r="A45" s="1" t="str">
        <f aca="false">Projects!A41</f>
        <v>BD-25</v>
      </c>
      <c r="B45" s="104" t="n">
        <f aca="false">Projects!B41</f>
        <v>15000000</v>
      </c>
      <c r="C45" s="9" t="n">
        <f aca="false">Projects!C41</f>
        <v>51</v>
      </c>
      <c r="D45" s="9" t="n">
        <f aca="false">Projects!D41</f>
        <v>19</v>
      </c>
      <c r="E45" s="1" t="str">
        <f aca="false">Projects!G41</f>
        <v>Yes</v>
      </c>
      <c r="F45" s="1" t="str">
        <f aca="false">Projects!M41</f>
        <v>No</v>
      </c>
      <c r="G45" s="9" t="n">
        <f aca="false">C45+D45-1</f>
        <v>69</v>
      </c>
      <c r="H45" s="9" t="n">
        <f aca="false">C45+1</f>
        <v>52</v>
      </c>
      <c r="I45" s="350" t="n">
        <f aca="false">IF($F45="Yes",INDEX($G$6:$G$14,MATCH(MIN($G45,105),$B$6:$B$14,1)),1)</f>
        <v>1</v>
      </c>
      <c r="J45" s="104" t="n">
        <f aca="false">IF($E45="Yes",$B45*Assumptions!$B$9*0.95/$D45*SUMPRODUCT(($C$15:$DF$15&gt;=$C45)*($C$15:$DF$15&lt;$C45+$D45))+$B45*Assumptions!$B$9*0.05*SUMPRODUCT(--($C$15:$DF$15=$G45)),0)</f>
        <v>1805865</v>
      </c>
      <c r="K45" s="104" t="n">
        <f aca="false">IF($E45="Yes",SUMPRODUCT(($C$15:$DF$15&gt;=$C45)*($C$15:$DF$15&lt;$C45+$D45)*$C$18:$DF$18),0)</f>
        <v>1003907.17193635</v>
      </c>
      <c r="L45" s="104" t="n">
        <f aca="false">J45-K45</f>
        <v>801957.828063649</v>
      </c>
      <c r="M45" s="350" t="n">
        <f aca="false">$B$3*I45</f>
        <v>0.1</v>
      </c>
      <c r="N45" s="104" t="n">
        <f aca="false">IF($E45="Yes",$B$2*$B45,0)</f>
        <v>37500</v>
      </c>
      <c r="O45" s="104" t="n">
        <f aca="false">M45*MAX(0,L45)</f>
        <v>80195.7828063649</v>
      </c>
      <c r="P45" s="104" t="n">
        <f aca="false">N45+Q45</f>
        <v>80195.7828063649</v>
      </c>
      <c r="Q45" s="104" t="n">
        <f aca="false">MAX(0,O45-N45)</f>
        <v>42695.7828063649</v>
      </c>
    </row>
    <row r="46" customFormat="false" ht="15" hidden="false" customHeight="true" outlineLevel="0" collapsed="false">
      <c r="A46" s="1" t="str">
        <f aca="false">Projects!A42</f>
        <v>BD-26</v>
      </c>
      <c r="B46" s="104" t="n">
        <f aca="false">Projects!B42</f>
        <v>18000000</v>
      </c>
      <c r="C46" s="9" t="n">
        <f aca="false">Projects!C42</f>
        <v>52</v>
      </c>
      <c r="D46" s="9" t="n">
        <f aca="false">Projects!D42</f>
        <v>19</v>
      </c>
      <c r="E46" s="1" t="str">
        <f aca="false">Projects!G42</f>
        <v>Yes</v>
      </c>
      <c r="F46" s="1" t="str">
        <f aca="false">Projects!M42</f>
        <v>No</v>
      </c>
      <c r="G46" s="9" t="n">
        <f aca="false">C46+D46-1</f>
        <v>70</v>
      </c>
      <c r="H46" s="9" t="n">
        <f aca="false">C46+1</f>
        <v>53</v>
      </c>
      <c r="I46" s="350" t="n">
        <f aca="false">IF($F46="Yes",INDEX($G$6:$G$14,MATCH(MIN($G46,105),$B$6:$B$14,1)),1)</f>
        <v>1</v>
      </c>
      <c r="J46" s="104" t="n">
        <f aca="false">IF($E46="Yes",$B46*Assumptions!$B$9*0.95/$D46*SUMPRODUCT(($C$15:$DF$15&gt;=$C46)*($C$15:$DF$15&lt;$C46+$D46))+$B46*Assumptions!$B$9*0.05*SUMPRODUCT(--($C$15:$DF$15=$G46)),0)</f>
        <v>2167038</v>
      </c>
      <c r="K46" s="104" t="n">
        <f aca="false">IF($E46="Yes",SUMPRODUCT(($C$15:$DF$15&gt;=$C46)*($C$15:$DF$15&lt;$C46+$D46)*$C$18:$DF$18),0)</f>
        <v>1044913.39985056</v>
      </c>
      <c r="L46" s="104" t="n">
        <f aca="false">J46-K46</f>
        <v>1122124.60014944</v>
      </c>
      <c r="M46" s="350" t="n">
        <f aca="false">$B$3*I46</f>
        <v>0.1</v>
      </c>
      <c r="N46" s="104" t="n">
        <f aca="false">IF($E46="Yes",$B$2*$B46,0)</f>
        <v>45000</v>
      </c>
      <c r="O46" s="104" t="n">
        <f aca="false">M46*MAX(0,L46)</f>
        <v>112212.460014944</v>
      </c>
      <c r="P46" s="104" t="n">
        <f aca="false">N46+Q46</f>
        <v>112212.460014944</v>
      </c>
      <c r="Q46" s="104" t="n">
        <f aca="false">MAX(0,O46-N46)</f>
        <v>67212.460014944</v>
      </c>
    </row>
    <row r="47" customFormat="false" ht="15" hidden="false" customHeight="true" outlineLevel="0" collapsed="false">
      <c r="A47" s="1" t="str">
        <f aca="false">Projects!A43</f>
        <v>BD-27</v>
      </c>
      <c r="B47" s="104" t="n">
        <f aca="false">Projects!B43</f>
        <v>15000000</v>
      </c>
      <c r="C47" s="9" t="n">
        <f aca="false">Projects!C43</f>
        <v>53</v>
      </c>
      <c r="D47" s="9" t="n">
        <f aca="false">Projects!D43</f>
        <v>19</v>
      </c>
      <c r="E47" s="1" t="str">
        <f aca="false">Projects!G43</f>
        <v>Yes</v>
      </c>
      <c r="F47" s="1" t="str">
        <f aca="false">Projects!M43</f>
        <v>No</v>
      </c>
      <c r="G47" s="9" t="n">
        <f aca="false">C47+D47-1</f>
        <v>71</v>
      </c>
      <c r="H47" s="9" t="n">
        <f aca="false">C47+1</f>
        <v>54</v>
      </c>
      <c r="I47" s="350" t="n">
        <f aca="false">IF($F47="Yes",INDEX($G$6:$G$14,MATCH(MIN($G47,105),$B$6:$B$14,1)),1)</f>
        <v>1</v>
      </c>
      <c r="J47" s="104" t="n">
        <f aca="false">IF($E47="Yes",$B47*Assumptions!$B$9*0.95/$D47*SUMPRODUCT(($C$15:$DF$15&gt;=$C47)*($C$15:$DF$15&lt;$C47+$D47))+$B47*Assumptions!$B$9*0.05*SUMPRODUCT(--($C$15:$DF$15=$G47)),0)</f>
        <v>1805865</v>
      </c>
      <c r="K47" s="104" t="n">
        <f aca="false">IF($E47="Yes",SUMPRODUCT(($C$15:$DF$15&gt;=$C47)*($C$15:$DF$15&lt;$C47+$D47)*$C$18:$DF$18),0)</f>
        <v>1106930.82010079</v>
      </c>
      <c r="L47" s="104" t="n">
        <f aca="false">J47-K47</f>
        <v>698934.179899206</v>
      </c>
      <c r="M47" s="350" t="n">
        <f aca="false">$B$3*I47</f>
        <v>0.1</v>
      </c>
      <c r="N47" s="104" t="n">
        <f aca="false">IF($E47="Yes",$B$2*$B47,0)</f>
        <v>37500</v>
      </c>
      <c r="O47" s="104" t="n">
        <f aca="false">M47*MAX(0,L47)</f>
        <v>69893.4179899206</v>
      </c>
      <c r="P47" s="104" t="n">
        <f aca="false">N47+Q47</f>
        <v>69893.4179899206</v>
      </c>
      <c r="Q47" s="104" t="n">
        <f aca="false">MAX(0,O47-N47)</f>
        <v>32393.4179899206</v>
      </c>
    </row>
    <row r="48" customFormat="false" ht="15" hidden="false" customHeight="true" outlineLevel="0" collapsed="false">
      <c r="A48" s="1" t="str">
        <f aca="false">Projects!A44</f>
        <v>BD-28</v>
      </c>
      <c r="B48" s="104" t="n">
        <f aca="false">Projects!B44</f>
        <v>15000000</v>
      </c>
      <c r="C48" s="9" t="n">
        <f aca="false">Projects!C44</f>
        <v>54</v>
      </c>
      <c r="D48" s="9" t="n">
        <f aca="false">Projects!D44</f>
        <v>19</v>
      </c>
      <c r="E48" s="1" t="str">
        <f aca="false">Projects!G44</f>
        <v>Yes</v>
      </c>
      <c r="F48" s="1" t="str">
        <f aca="false">Projects!M44</f>
        <v>No</v>
      </c>
      <c r="G48" s="9" t="n">
        <f aca="false">C48+D48-1</f>
        <v>72</v>
      </c>
      <c r="H48" s="9" t="n">
        <f aca="false">C48+1</f>
        <v>55</v>
      </c>
      <c r="I48" s="350" t="n">
        <f aca="false">IF($F48="Yes",INDEX($G$6:$G$14,MATCH(MIN($G48,105),$B$6:$B$14,1)),1)</f>
        <v>1</v>
      </c>
      <c r="J48" s="104" t="n">
        <f aca="false">IF($E48="Yes",$B48*Assumptions!$B$9*0.95/$D48*SUMPRODUCT(($C$15:$DF$15&gt;=$C48)*($C$15:$DF$15&lt;$C48+$D48))+$B48*Assumptions!$B$9*0.05*SUMPRODUCT(--($C$15:$DF$15=$G48)),0)</f>
        <v>1805865</v>
      </c>
      <c r="K48" s="104" t="n">
        <f aca="false">IF($E48="Yes",SUMPRODUCT(($C$15:$DF$15&gt;=$C48)*($C$15:$DF$15&lt;$C48+$D48)*$C$18:$DF$18),0)</f>
        <v>1203966.8942444</v>
      </c>
      <c r="L48" s="104" t="n">
        <f aca="false">J48-K48</f>
        <v>601898.105755597</v>
      </c>
      <c r="M48" s="350" t="n">
        <f aca="false">$B$3*I48</f>
        <v>0.1</v>
      </c>
      <c r="N48" s="104" t="n">
        <f aca="false">IF($E48="Yes",$B$2*$B48,0)</f>
        <v>37500</v>
      </c>
      <c r="O48" s="104" t="n">
        <f aca="false">M48*MAX(0,L48)</f>
        <v>60189.8105755597</v>
      </c>
      <c r="P48" s="104" t="n">
        <f aca="false">N48+Q48</f>
        <v>60189.8105755597</v>
      </c>
      <c r="Q48" s="104" t="n">
        <f aca="false">MAX(0,O48-N48)</f>
        <v>22689.8105755597</v>
      </c>
    </row>
    <row r="49" customFormat="false" ht="15" hidden="false" customHeight="true" outlineLevel="0" collapsed="false">
      <c r="A49" s="1" t="str">
        <f aca="false">Projects!A45</f>
        <v>BD-29</v>
      </c>
      <c r="B49" s="104" t="n">
        <f aca="false">Projects!B45</f>
        <v>18000000</v>
      </c>
      <c r="C49" s="9" t="n">
        <f aca="false">Projects!C45</f>
        <v>55</v>
      </c>
      <c r="D49" s="9" t="n">
        <f aca="false">Projects!D45</f>
        <v>19</v>
      </c>
      <c r="E49" s="1" t="str">
        <f aca="false">Projects!G45</f>
        <v>Yes</v>
      </c>
      <c r="F49" s="1" t="str">
        <f aca="false">Projects!M45</f>
        <v>No</v>
      </c>
      <c r="G49" s="9" t="n">
        <f aca="false">C49+D49-1</f>
        <v>73</v>
      </c>
      <c r="H49" s="9" t="n">
        <f aca="false">C49+1</f>
        <v>56</v>
      </c>
      <c r="I49" s="350" t="n">
        <f aca="false">IF($F49="Yes",INDEX($G$6:$G$14,MATCH(MIN($G49,105),$B$6:$B$14,1)),1)</f>
        <v>1</v>
      </c>
      <c r="J49" s="104" t="n">
        <f aca="false">IF($E49="Yes",$B49*Assumptions!$B$9*0.95/$D49*SUMPRODUCT(($C$15:$DF$15&gt;=$C49)*($C$15:$DF$15&lt;$C49+$D49))+$B49*Assumptions!$B$9*0.05*SUMPRODUCT(--($C$15:$DF$15=$G49)),0)</f>
        <v>2167038</v>
      </c>
      <c r="K49" s="104" t="n">
        <f aca="false">IF($E49="Yes",SUMPRODUCT(($C$15:$DF$15&gt;=$C49)*($C$15:$DF$15&lt;$C49+$D49)*$C$18:$DF$18),0)</f>
        <v>1375242.51464197</v>
      </c>
      <c r="L49" s="104" t="n">
        <f aca="false">J49-K49</f>
        <v>791795.485358033</v>
      </c>
      <c r="M49" s="350" t="n">
        <f aca="false">$B$3*I49</f>
        <v>0.1</v>
      </c>
      <c r="N49" s="104" t="n">
        <f aca="false">IF($E49="Yes",$B$2*$B49,0)</f>
        <v>45000</v>
      </c>
      <c r="O49" s="104" t="n">
        <f aca="false">M49*MAX(0,L49)</f>
        <v>79179.5485358033</v>
      </c>
      <c r="P49" s="104" t="n">
        <f aca="false">N49+Q49</f>
        <v>79179.5485358033</v>
      </c>
      <c r="Q49" s="104" t="n">
        <f aca="false">MAX(0,O49-N49)</f>
        <v>34179.5485358033</v>
      </c>
    </row>
    <row r="50" customFormat="false" ht="15" hidden="false" customHeight="true" outlineLevel="0" collapsed="false">
      <c r="A50" s="1" t="str">
        <f aca="false">Projects!A46</f>
        <v>BD-30</v>
      </c>
      <c r="B50" s="104" t="n">
        <f aca="false">Projects!B46</f>
        <v>15000000</v>
      </c>
      <c r="C50" s="9" t="n">
        <f aca="false">Projects!C46</f>
        <v>56</v>
      </c>
      <c r="D50" s="9" t="n">
        <f aca="false">Projects!D46</f>
        <v>19</v>
      </c>
      <c r="E50" s="1" t="str">
        <f aca="false">Projects!G46</f>
        <v>Yes</v>
      </c>
      <c r="F50" s="1" t="str">
        <f aca="false">Projects!M46</f>
        <v>Yes</v>
      </c>
      <c r="G50" s="9" t="n">
        <f aca="false">C50+D50-1</f>
        <v>74</v>
      </c>
      <c r="H50" s="9" t="n">
        <f aca="false">C50+1</f>
        <v>57</v>
      </c>
      <c r="I50" s="350" t="n">
        <f aca="false">IF($F50="Yes",INDEX($G$6:$G$14,MATCH(MIN($G50,105),$B$6:$B$14,1)),1)</f>
        <v>0.25</v>
      </c>
      <c r="J50" s="104" t="n">
        <f aca="false">IF($E50="Yes",$B50*Assumptions!$B$9*0.95/$D50*SUMPRODUCT(($C$15:$DF$15&gt;=$C50)*($C$15:$DF$15&lt;$C50+$D50))+$B50*Assumptions!$B$9*0.05*SUMPRODUCT(--($C$15:$DF$15=$G50)),0)</f>
        <v>1805865</v>
      </c>
      <c r="K50" s="104" t="n">
        <f aca="false">IF($E50="Yes",SUMPRODUCT(($C$15:$DF$15&gt;=$C50)*($C$15:$DF$15&lt;$C50+$D50)*$C$18:$DF$18),0)</f>
        <v>1760832.29686699</v>
      </c>
      <c r="L50" s="104" t="n">
        <f aca="false">J50-K50</f>
        <v>45032.7031330145</v>
      </c>
      <c r="M50" s="350" t="n">
        <f aca="false">$B$3*I50</f>
        <v>0.025</v>
      </c>
      <c r="N50" s="104" t="n">
        <f aca="false">IF($E50="Yes",$B$2*$B50,0)</f>
        <v>37500</v>
      </c>
      <c r="O50" s="104" t="n">
        <f aca="false">M50*MAX(0,L50)</f>
        <v>1125.81757832536</v>
      </c>
      <c r="P50" s="104" t="n">
        <f aca="false">N50+Q50</f>
        <v>37500</v>
      </c>
      <c r="Q50" s="104" t="n">
        <f aca="false">MAX(0,O50-N50)</f>
        <v>0</v>
      </c>
    </row>
    <row r="51" customFormat="false" ht="15" hidden="false" customHeight="true" outlineLevel="0" collapsed="false"/>
    <row r="52" customFormat="false" ht="15" hidden="false" customHeight="true" outlineLevel="0" collapsed="false"/>
    <row r="53" customFormat="false" ht="15" hidden="false" customHeight="true" outlineLevel="0" collapsed="false">
      <c r="A53" s="101" t="s">
        <v>1222</v>
      </c>
      <c r="C53" s="104" t="n">
        <f aca="false">SUMPRODUCT(($H$21:$H$50=C$15)*$N$21:$N$50)+SUMPRODUCT(($G$21:$G$50=C$15)*$Q$21:$Q$50)</f>
        <v>0</v>
      </c>
      <c r="D53" s="104" t="n">
        <f aca="false">SUMPRODUCT(($H$21:$H$50=D$15)*$N$21:$N$50)+SUMPRODUCT(($G$21:$G$50=D$15)*$Q$21:$Q$50)</f>
        <v>0</v>
      </c>
      <c r="E53" s="104" t="n">
        <f aca="false">SUMPRODUCT(($H$21:$H$50=E$15)*$N$21:$N$50)+SUMPRODUCT(($G$21:$G$50=E$15)*$Q$21:$Q$50)</f>
        <v>0</v>
      </c>
      <c r="F53" s="104" t="n">
        <f aca="false">SUMPRODUCT(($H$21:$H$50=F$15)*$N$21:$N$50)+SUMPRODUCT(($G$21:$G$50=F$15)*$Q$21:$Q$50)</f>
        <v>0</v>
      </c>
      <c r="G53" s="104" t="n">
        <f aca="false">SUMPRODUCT(($H$21:$H$50=G$15)*$N$21:$N$50)+SUMPRODUCT(($G$21:$G$50=G$15)*$Q$21:$Q$50)</f>
        <v>0</v>
      </c>
      <c r="H53" s="104" t="n">
        <f aca="false">SUMPRODUCT(($H$21:$H$50=H$15)*$N$21:$N$50)+SUMPRODUCT(($G$21:$G$50=H$15)*$Q$21:$Q$50)</f>
        <v>0</v>
      </c>
      <c r="I53" s="104" t="n">
        <f aca="false">SUMPRODUCT(($H$21:$H$50=I$15)*$N$21:$N$50)+SUMPRODUCT(($G$21:$G$50=I$15)*$Q$21:$Q$50)</f>
        <v>0</v>
      </c>
      <c r="J53" s="104" t="n">
        <f aca="false">SUMPRODUCT(($H$21:$H$50=J$15)*$N$21:$N$50)+SUMPRODUCT(($G$21:$G$50=J$15)*$Q$21:$Q$50)</f>
        <v>0</v>
      </c>
      <c r="K53" s="104" t="n">
        <f aca="false">SUMPRODUCT(($H$21:$H$50=K$15)*$N$21:$N$50)+SUMPRODUCT(($G$21:$G$50=K$15)*$Q$21:$Q$50)</f>
        <v>0</v>
      </c>
      <c r="L53" s="104" t="n">
        <f aca="false">SUMPRODUCT(($H$21:$H$50=L$15)*$N$21:$N$50)+SUMPRODUCT(($G$21:$G$50=L$15)*$Q$21:$Q$50)</f>
        <v>0</v>
      </c>
      <c r="M53" s="104" t="n">
        <f aca="false">SUMPRODUCT(($H$21:$H$50=M$15)*$N$21:$N$50)+SUMPRODUCT(($G$21:$G$50=M$15)*$Q$21:$Q$50)</f>
        <v>0</v>
      </c>
      <c r="N53" s="104" t="n">
        <f aca="false">SUMPRODUCT(($H$21:$H$50=N$15)*$N$21:$N$50)+SUMPRODUCT(($G$21:$G$50=N$15)*$Q$21:$Q$50)</f>
        <v>0</v>
      </c>
      <c r="O53" s="104" t="n">
        <f aca="false">SUMPRODUCT(($H$21:$H$50=O$15)*$N$21:$N$50)+SUMPRODUCT(($G$21:$G$50=O$15)*$Q$21:$Q$50)</f>
        <v>0</v>
      </c>
      <c r="P53" s="104" t="n">
        <f aca="false">SUMPRODUCT(($H$21:$H$50=P$15)*$N$21:$N$50)+SUMPRODUCT(($G$21:$G$50=P$15)*$Q$21:$Q$50)</f>
        <v>37973.771875</v>
      </c>
      <c r="Q53" s="104" t="n">
        <f aca="false">SUMPRODUCT(($H$21:$H$50=Q$15)*$N$21:$N$50)+SUMPRODUCT(($G$21:$G$50=Q$15)*$Q$21:$Q$50)</f>
        <v>0</v>
      </c>
      <c r="R53" s="104" t="n">
        <f aca="false">SUMPRODUCT(($H$21:$H$50=R$15)*$N$21:$N$50)+SUMPRODUCT(($G$21:$G$50=R$15)*$Q$21:$Q$50)</f>
        <v>0</v>
      </c>
      <c r="S53" s="104" t="n">
        <f aca="false">SUMPRODUCT(($H$21:$H$50=S$15)*$N$21:$N$50)+SUMPRODUCT(($G$21:$G$50=S$15)*$Q$21:$Q$50)</f>
        <v>0</v>
      </c>
      <c r="T53" s="104" t="n">
        <f aca="false">SUMPRODUCT(($H$21:$H$50=T$15)*$N$21:$N$50)+SUMPRODUCT(($G$21:$G$50=T$15)*$Q$21:$Q$50)</f>
        <v>38290.0375</v>
      </c>
      <c r="U53" s="104" t="n">
        <f aca="false">SUMPRODUCT(($H$21:$H$50=U$15)*$N$21:$N$50)+SUMPRODUCT(($G$21:$G$50=U$15)*$Q$21:$Q$50)</f>
        <v>28293.4625</v>
      </c>
      <c r="V53" s="104" t="n">
        <f aca="false">SUMPRODUCT(($H$21:$H$50=V$15)*$N$21:$N$50)+SUMPRODUCT(($G$21:$G$50=V$15)*$Q$21:$Q$50)</f>
        <v>46106.9225</v>
      </c>
      <c r="W53" s="104" t="n">
        <f aca="false">SUMPRODUCT(($H$21:$H$50=W$15)*$N$21:$N$50)+SUMPRODUCT(($G$21:$G$50=W$15)*$Q$21:$Q$50)</f>
        <v>0</v>
      </c>
      <c r="X53" s="104" t="n">
        <f aca="false">SUMPRODUCT(($H$21:$H$50=X$15)*$N$21:$N$50)+SUMPRODUCT(($G$21:$G$50=X$15)*$Q$21:$Q$50)</f>
        <v>0</v>
      </c>
      <c r="Y53" s="104" t="n">
        <f aca="false">SUMPRODUCT(($H$21:$H$50=Y$15)*$N$21:$N$50)+SUMPRODUCT(($G$21:$G$50=Y$15)*$Q$21:$Q$50)</f>
        <v>0</v>
      </c>
      <c r="Z53" s="104" t="n">
        <f aca="false">SUMPRODUCT(($H$21:$H$50=Z$15)*$N$21:$N$50)+SUMPRODUCT(($G$21:$G$50=Z$15)*$Q$21:$Q$50)</f>
        <v>62565.82645</v>
      </c>
      <c r="AA53" s="104" t="n">
        <f aca="false">SUMPRODUCT(($H$21:$H$50=AA$15)*$N$21:$N$50)+SUMPRODUCT(($G$21:$G$50=AA$15)*$Q$21:$Q$50)</f>
        <v>0</v>
      </c>
      <c r="AB53" s="104" t="n">
        <f aca="false">SUMPRODUCT(($H$21:$H$50=AB$15)*$N$21:$N$50)+SUMPRODUCT(($G$21:$G$50=AB$15)*$Q$21:$Q$50)</f>
        <v>0</v>
      </c>
      <c r="AC53" s="104" t="n">
        <f aca="false">SUMPRODUCT(($H$21:$H$50=AC$15)*$N$21:$N$50)+SUMPRODUCT(($G$21:$G$50=AC$15)*$Q$21:$Q$50)</f>
        <v>0</v>
      </c>
      <c r="AD53" s="104" t="n">
        <f aca="false">SUMPRODUCT(($H$21:$H$50=AD$15)*$N$21:$N$50)+SUMPRODUCT(($G$21:$G$50=AD$15)*$Q$21:$Q$50)</f>
        <v>45000</v>
      </c>
      <c r="AE53" s="104" t="n">
        <f aca="false">SUMPRODUCT(($H$21:$H$50=AE$15)*$N$21:$N$50)+SUMPRODUCT(($G$21:$G$50=AE$15)*$Q$21:$Q$50)</f>
        <v>0</v>
      </c>
      <c r="AF53" s="104" t="n">
        <f aca="false">SUMPRODUCT(($H$21:$H$50=AF$15)*$N$21:$N$50)+SUMPRODUCT(($G$21:$G$50=AF$15)*$Q$21:$Q$50)</f>
        <v>0</v>
      </c>
      <c r="AG53" s="104" t="n">
        <f aca="false">SUMPRODUCT(($H$21:$H$50=AG$15)*$N$21:$N$50)+SUMPRODUCT(($G$21:$G$50=AG$15)*$Q$21:$Q$50)</f>
        <v>0</v>
      </c>
      <c r="AH53" s="104" t="n">
        <f aca="false">SUMPRODUCT(($H$21:$H$50=AH$15)*$N$21:$N$50)+SUMPRODUCT(($G$21:$G$50=AH$15)*$Q$21:$Q$50)</f>
        <v>0</v>
      </c>
      <c r="AI53" s="104" t="n">
        <f aca="false">SUMPRODUCT(($H$21:$H$50=AI$15)*$N$21:$N$50)+SUMPRODUCT(($G$21:$G$50=AI$15)*$Q$21:$Q$50)</f>
        <v>45000</v>
      </c>
      <c r="AJ53" s="104" t="n">
        <f aca="false">SUMPRODUCT(($H$21:$H$50=AJ$15)*$N$21:$N$50)+SUMPRODUCT(($G$21:$G$50=AJ$15)*$Q$21:$Q$50)</f>
        <v>45000</v>
      </c>
      <c r="AK53" s="104" t="n">
        <f aca="false">SUMPRODUCT(($H$21:$H$50=AK$15)*$N$21:$N$50)+SUMPRODUCT(($G$21:$G$50=AK$15)*$Q$21:$Q$50)</f>
        <v>37500</v>
      </c>
      <c r="AL53" s="104" t="n">
        <f aca="false">SUMPRODUCT(($H$21:$H$50=AL$15)*$N$21:$N$50)+SUMPRODUCT(($G$21:$G$50=AL$15)*$Q$21:$Q$50)</f>
        <v>37500</v>
      </c>
      <c r="AM53" s="104" t="n">
        <f aca="false">SUMPRODUCT(($H$21:$H$50=AM$15)*$N$21:$N$50)+SUMPRODUCT(($G$21:$G$50=AM$15)*$Q$21:$Q$50)</f>
        <v>108602.548868042</v>
      </c>
      <c r="AN53" s="104" t="n">
        <f aca="false">SUMPRODUCT(($H$21:$H$50=AN$15)*$N$21:$N$50)+SUMPRODUCT(($G$21:$G$50=AN$15)*$Q$21:$Q$50)</f>
        <v>37500</v>
      </c>
      <c r="AO53" s="104" t="n">
        <f aca="false">SUMPRODUCT(($H$21:$H$50=AO$15)*$N$21:$N$50)+SUMPRODUCT(($G$21:$G$50=AO$15)*$Q$21:$Q$50)</f>
        <v>45000</v>
      </c>
      <c r="AP53" s="104" t="n">
        <f aca="false">SUMPRODUCT(($H$21:$H$50=AP$15)*$N$21:$N$50)+SUMPRODUCT(($G$21:$G$50=AP$15)*$Q$21:$Q$50)</f>
        <v>37500</v>
      </c>
      <c r="AQ53" s="104" t="n">
        <f aca="false">SUMPRODUCT(($H$21:$H$50=AQ$15)*$N$21:$N$50)+SUMPRODUCT(($G$21:$G$50=AQ$15)*$Q$21:$Q$50)</f>
        <v>37500</v>
      </c>
      <c r="AR53" s="104" t="n">
        <f aca="false">SUMPRODUCT(($H$21:$H$50=AR$15)*$N$21:$N$50)+SUMPRODUCT(($G$21:$G$50=AR$15)*$Q$21:$Q$50)</f>
        <v>45000</v>
      </c>
      <c r="AS53" s="104" t="n">
        <f aca="false">SUMPRODUCT(($H$21:$H$50=AS$15)*$N$21:$N$50)+SUMPRODUCT(($G$21:$G$50=AS$15)*$Q$21:$Q$50)</f>
        <v>37500</v>
      </c>
      <c r="AT53" s="104" t="n">
        <f aca="false">SUMPRODUCT(($H$21:$H$50=AT$15)*$N$21:$N$50)+SUMPRODUCT(($G$21:$G$50=AT$15)*$Q$21:$Q$50)</f>
        <v>0</v>
      </c>
      <c r="AU53" s="104" t="n">
        <f aca="false">SUMPRODUCT(($H$21:$H$50=AU$15)*$N$21:$N$50)+SUMPRODUCT(($G$21:$G$50=AU$15)*$Q$21:$Q$50)</f>
        <v>75010.0603257557</v>
      </c>
      <c r="AV53" s="104" t="n">
        <f aca="false">SUMPRODUCT(($H$21:$H$50=AV$15)*$N$21:$N$50)+SUMPRODUCT(($G$21:$G$50=AV$15)*$Q$21:$Q$50)</f>
        <v>115902.134957337</v>
      </c>
      <c r="AW53" s="104" t="n">
        <f aca="false">SUMPRODUCT(($H$21:$H$50=AW$15)*$N$21:$N$50)+SUMPRODUCT(($G$21:$G$50=AW$15)*$Q$21:$Q$50)</f>
        <v>45000</v>
      </c>
      <c r="AX53" s="104" t="n">
        <f aca="false">SUMPRODUCT(($H$21:$H$50=AX$15)*$N$21:$N$50)+SUMPRODUCT(($G$21:$G$50=AX$15)*$Q$21:$Q$50)</f>
        <v>37500</v>
      </c>
      <c r="AY53" s="104" t="n">
        <f aca="false">SUMPRODUCT(($H$21:$H$50=AY$15)*$N$21:$N$50)+SUMPRODUCT(($G$21:$G$50=AY$15)*$Q$21:$Q$50)</f>
        <v>0</v>
      </c>
      <c r="AZ53" s="104" t="n">
        <f aca="false">SUMPRODUCT(($H$21:$H$50=AZ$15)*$N$21:$N$50)+SUMPRODUCT(($G$21:$G$50=AZ$15)*$Q$21:$Q$50)</f>
        <v>78591.8093297127</v>
      </c>
      <c r="BA53" s="104" t="n">
        <f aca="false">SUMPRODUCT(($H$21:$H$50=BA$15)*$N$21:$N$50)+SUMPRODUCT(($G$21:$G$50=BA$15)*$Q$21:$Q$50)</f>
        <v>79737.5375453135</v>
      </c>
      <c r="BB53" s="104" t="n">
        <f aca="false">SUMPRODUCT(($H$21:$H$50=BB$15)*$N$21:$N$50)+SUMPRODUCT(($G$21:$G$50=BB$15)*$Q$21:$Q$50)</f>
        <v>89720.6178639661</v>
      </c>
      <c r="BC53" s="104" t="n">
        <f aca="false">SUMPRODUCT(($H$21:$H$50=BC$15)*$N$21:$N$50)+SUMPRODUCT(($G$21:$G$50=BC$15)*$Q$21:$Q$50)</f>
        <v>97991.5489967946</v>
      </c>
      <c r="BD53" s="104" t="n">
        <f aca="false">SUMPRODUCT(($H$21:$H$50=BD$15)*$N$21:$N$50)+SUMPRODUCT(($G$21:$G$50=BD$15)*$Q$21:$Q$50)</f>
        <v>91419.0373852555</v>
      </c>
      <c r="BE53" s="104" t="n">
        <f aca="false">SUMPRODUCT(($H$21:$H$50=BE$15)*$N$21:$N$50)+SUMPRODUCT(($G$21:$G$50=BE$15)*$Q$21:$Q$50)</f>
        <v>92542.5569129392</v>
      </c>
      <c r="BF53" s="104" t="n">
        <f aca="false">SUMPRODUCT(($H$21:$H$50=BF$15)*$N$21:$N$50)+SUMPRODUCT(($G$21:$G$50=BF$15)*$Q$21:$Q$50)</f>
        <v>129783.376440623</v>
      </c>
      <c r="BG53" s="104" t="n">
        <f aca="false">SUMPRODUCT(($H$21:$H$50=BG$15)*$N$21:$N$50)+SUMPRODUCT(($G$21:$G$50=BG$15)*$Q$21:$Q$50)</f>
        <v>94789.5959683065</v>
      </c>
      <c r="BH53" s="104" t="n">
        <f aca="false">SUMPRODUCT(($H$21:$H$50=BH$15)*$N$21:$N$50)+SUMPRODUCT(($G$21:$G$50=BH$15)*$Q$21:$Q$50)</f>
        <v>95460.8343567675</v>
      </c>
      <c r="BI53" s="104" t="n">
        <f aca="false">SUMPRODUCT(($H$21:$H$50=BI$15)*$N$21:$N$50)+SUMPRODUCT(($G$21:$G$50=BI$15)*$Q$21:$Q$50)</f>
        <v>131958.521181851</v>
      </c>
      <c r="BJ53" s="104" t="n">
        <f aca="false">SUMPRODUCT(($H$21:$H$50=BJ$15)*$N$21:$N$50)+SUMPRODUCT(($G$21:$G$50=BJ$15)*$Q$21:$Q$50)</f>
        <v>95169.710342527</v>
      </c>
      <c r="BK53" s="104" t="n">
        <f aca="false">SUMPRODUCT(($H$21:$H$50=BK$15)*$N$21:$N$50)+SUMPRODUCT(($G$21:$G$50=BK$15)*$Q$21:$Q$50)</f>
        <v>0</v>
      </c>
      <c r="BL53" s="104" t="n">
        <f aca="false">SUMPRODUCT(($H$21:$H$50=BL$15)*$N$21:$N$50)+SUMPRODUCT(($G$21:$G$50=BL$15)*$Q$21:$Q$50)</f>
        <v>0</v>
      </c>
      <c r="BM53" s="104" t="n">
        <f aca="false">SUMPRODUCT(($H$21:$H$50=BM$15)*$N$21:$N$50)+SUMPRODUCT(($G$21:$G$50=BM$15)*$Q$21:$Q$50)</f>
        <v>0</v>
      </c>
      <c r="BN53" s="104" t="n">
        <f aca="false">SUMPRODUCT(($H$21:$H$50=BN$15)*$N$21:$N$50)+SUMPRODUCT(($G$21:$G$50=BN$15)*$Q$21:$Q$50)</f>
        <v>81759.1913763546</v>
      </c>
      <c r="BO53" s="104" t="n">
        <f aca="false">SUMPRODUCT(($H$21:$H$50=BO$15)*$N$21:$N$50)+SUMPRODUCT(($G$21:$G$50=BO$15)*$Q$21:$Q$50)</f>
        <v>52305.6525004843</v>
      </c>
      <c r="BP53" s="104" t="n">
        <f aca="false">SUMPRODUCT(($H$21:$H$50=BP$15)*$N$21:$N$50)+SUMPRODUCT(($G$21:$G$50=BP$15)*$Q$21:$Q$50)</f>
        <v>0</v>
      </c>
      <c r="BQ53" s="104" t="n">
        <f aca="false">SUMPRODUCT(($H$21:$H$50=BQ$15)*$N$21:$N$50)+SUMPRODUCT(($G$21:$G$50=BQ$15)*$Q$21:$Q$50)</f>
        <v>0</v>
      </c>
      <c r="BR53" s="104" t="n">
        <f aca="false">SUMPRODUCT(($H$21:$H$50=BR$15)*$N$21:$N$50)+SUMPRODUCT(($G$21:$G$50=BR$15)*$Q$21:$Q$50)</f>
        <v>0</v>
      </c>
      <c r="BS53" s="104" t="n">
        <f aca="false">SUMPRODUCT(($H$21:$H$50=BS$15)*$N$21:$N$50)+SUMPRODUCT(($G$21:$G$50=BS$15)*$Q$21:$Q$50)</f>
        <v>48753.0936317835</v>
      </c>
      <c r="BT53" s="104" t="n">
        <f aca="false">SUMPRODUCT(($H$21:$H$50=BT$15)*$N$21:$N$50)+SUMPRODUCT(($G$21:$G$50=BT$15)*$Q$21:$Q$50)</f>
        <v>76152.4751581972</v>
      </c>
      <c r="BU53" s="104" t="n">
        <f aca="false">SUMPRODUCT(($H$21:$H$50=BU$15)*$N$21:$N$50)+SUMPRODUCT(($G$21:$G$50=BU$15)*$Q$21:$Q$50)</f>
        <v>45593.461639853</v>
      </c>
      <c r="BV53" s="104" t="n">
        <f aca="false">SUMPRODUCT(($H$21:$H$50=BV$15)*$N$21:$N$50)+SUMPRODUCT(($G$21:$G$50=BV$15)*$Q$21:$Q$50)</f>
        <v>42695.7828063649</v>
      </c>
      <c r="BW53" s="104" t="n">
        <f aca="false">SUMPRODUCT(($H$21:$H$50=BW$15)*$N$21:$N$50)+SUMPRODUCT(($G$21:$G$50=BW$15)*$Q$21:$Q$50)</f>
        <v>67212.460014944</v>
      </c>
      <c r="BX53" s="104" t="n">
        <f aca="false">SUMPRODUCT(($H$21:$H$50=BX$15)*$N$21:$N$50)+SUMPRODUCT(($G$21:$G$50=BX$15)*$Q$21:$Q$50)</f>
        <v>32393.4179899206</v>
      </c>
      <c r="BY53" s="104" t="n">
        <f aca="false">SUMPRODUCT(($H$21:$H$50=BY$15)*$N$21:$N$50)+SUMPRODUCT(($G$21:$G$50=BY$15)*$Q$21:$Q$50)</f>
        <v>22689.8105755597</v>
      </c>
      <c r="BZ53" s="104" t="n">
        <f aca="false">SUMPRODUCT(($H$21:$H$50=BZ$15)*$N$21:$N$50)+SUMPRODUCT(($G$21:$G$50=BZ$15)*$Q$21:$Q$50)</f>
        <v>34179.5485358033</v>
      </c>
      <c r="CA53" s="104" t="n">
        <f aca="false">SUMPRODUCT(($H$21:$H$50=CA$15)*$N$21:$N$50)+SUMPRODUCT(($G$21:$G$50=CA$15)*$Q$21:$Q$50)</f>
        <v>0</v>
      </c>
      <c r="CB53" s="104" t="n">
        <f aca="false">SUMPRODUCT(($H$21:$H$50=CB$15)*$N$21:$N$50)+SUMPRODUCT(($G$21:$G$50=CB$15)*$Q$21:$Q$50)</f>
        <v>0</v>
      </c>
      <c r="CC53" s="104" t="n">
        <f aca="false">SUMPRODUCT(($H$21:$H$50=CC$15)*$N$21:$N$50)+SUMPRODUCT(($G$21:$G$50=CC$15)*$Q$21:$Q$50)</f>
        <v>0</v>
      </c>
      <c r="CD53" s="104" t="n">
        <f aca="false">SUMPRODUCT(($H$21:$H$50=CD$15)*$N$21:$N$50)+SUMPRODUCT(($G$21:$G$50=CD$15)*$Q$21:$Q$50)</f>
        <v>0</v>
      </c>
      <c r="CE53" s="104" t="n">
        <f aca="false">SUMPRODUCT(($H$21:$H$50=CE$15)*$N$21:$N$50)+SUMPRODUCT(($G$21:$G$50=CE$15)*$Q$21:$Q$50)</f>
        <v>0</v>
      </c>
      <c r="CF53" s="104" t="n">
        <f aca="false">SUMPRODUCT(($H$21:$H$50=CF$15)*$N$21:$N$50)+SUMPRODUCT(($G$21:$G$50=CF$15)*$Q$21:$Q$50)</f>
        <v>0</v>
      </c>
      <c r="CG53" s="104" t="n">
        <f aca="false">SUMPRODUCT(($H$21:$H$50=CG$15)*$N$21:$N$50)+SUMPRODUCT(($G$21:$G$50=CG$15)*$Q$21:$Q$50)</f>
        <v>0</v>
      </c>
      <c r="CH53" s="104" t="n">
        <f aca="false">SUMPRODUCT(($H$21:$H$50=CH$15)*$N$21:$N$50)+SUMPRODUCT(($G$21:$G$50=CH$15)*$Q$21:$Q$50)</f>
        <v>0</v>
      </c>
      <c r="CI53" s="104" t="n">
        <f aca="false">SUMPRODUCT(($H$21:$H$50=CI$15)*$N$21:$N$50)+SUMPRODUCT(($G$21:$G$50=CI$15)*$Q$21:$Q$50)</f>
        <v>0</v>
      </c>
      <c r="CJ53" s="104" t="n">
        <f aca="false">SUMPRODUCT(($H$21:$H$50=CJ$15)*$N$21:$N$50)+SUMPRODUCT(($G$21:$G$50=CJ$15)*$Q$21:$Q$50)</f>
        <v>0</v>
      </c>
      <c r="CK53" s="104" t="n">
        <f aca="false">SUMPRODUCT(($H$21:$H$50=CK$15)*$N$21:$N$50)+SUMPRODUCT(($G$21:$G$50=CK$15)*$Q$21:$Q$50)</f>
        <v>0</v>
      </c>
      <c r="CL53" s="104" t="n">
        <f aca="false">SUMPRODUCT(($H$21:$H$50=CL$15)*$N$21:$N$50)+SUMPRODUCT(($G$21:$G$50=CL$15)*$Q$21:$Q$50)</f>
        <v>0</v>
      </c>
      <c r="CM53" s="104" t="n">
        <f aca="false">SUMPRODUCT(($H$21:$H$50=CM$15)*$N$21:$N$50)+SUMPRODUCT(($G$21:$G$50=CM$15)*$Q$21:$Q$50)</f>
        <v>0</v>
      </c>
      <c r="CN53" s="104" t="n">
        <f aca="false">SUMPRODUCT(($H$21:$H$50=CN$15)*$N$21:$N$50)+SUMPRODUCT(($G$21:$G$50=CN$15)*$Q$21:$Q$50)</f>
        <v>0</v>
      </c>
      <c r="CO53" s="104" t="n">
        <f aca="false">SUMPRODUCT(($H$21:$H$50=CO$15)*$N$21:$N$50)+SUMPRODUCT(($G$21:$G$50=CO$15)*$Q$21:$Q$50)</f>
        <v>0</v>
      </c>
      <c r="CP53" s="104" t="n">
        <f aca="false">SUMPRODUCT(($H$21:$H$50=CP$15)*$N$21:$N$50)+SUMPRODUCT(($G$21:$G$50=CP$15)*$Q$21:$Q$50)</f>
        <v>0</v>
      </c>
      <c r="CQ53" s="104" t="n">
        <f aca="false">SUMPRODUCT(($H$21:$H$50=CQ$15)*$N$21:$N$50)+SUMPRODUCT(($G$21:$G$50=CQ$15)*$Q$21:$Q$50)</f>
        <v>0</v>
      </c>
      <c r="CR53" s="104" t="n">
        <f aca="false">SUMPRODUCT(($H$21:$H$50=CR$15)*$N$21:$N$50)+SUMPRODUCT(($G$21:$G$50=CR$15)*$Q$21:$Q$50)</f>
        <v>0</v>
      </c>
      <c r="CS53" s="104" t="n">
        <f aca="false">SUMPRODUCT(($H$21:$H$50=CS$15)*$N$21:$N$50)+SUMPRODUCT(($G$21:$G$50=CS$15)*$Q$21:$Q$50)</f>
        <v>0</v>
      </c>
      <c r="CT53" s="104" t="n">
        <f aca="false">SUMPRODUCT(($H$21:$H$50=CT$15)*$N$21:$N$50)+SUMPRODUCT(($G$21:$G$50=CT$15)*$Q$21:$Q$50)</f>
        <v>0</v>
      </c>
      <c r="CU53" s="104" t="n">
        <f aca="false">SUMPRODUCT(($H$21:$H$50=CU$15)*$N$21:$N$50)+SUMPRODUCT(($G$21:$G$50=CU$15)*$Q$21:$Q$50)</f>
        <v>0</v>
      </c>
      <c r="CV53" s="104" t="n">
        <f aca="false">SUMPRODUCT(($H$21:$H$50=CV$15)*$N$21:$N$50)+SUMPRODUCT(($G$21:$G$50=CV$15)*$Q$21:$Q$50)</f>
        <v>0</v>
      </c>
      <c r="CW53" s="104" t="n">
        <f aca="false">SUMPRODUCT(($H$21:$H$50=CW$15)*$N$21:$N$50)+SUMPRODUCT(($G$21:$G$50=CW$15)*$Q$21:$Q$50)</f>
        <v>0</v>
      </c>
      <c r="CX53" s="104" t="n">
        <f aca="false">SUMPRODUCT(($H$21:$H$50=CX$15)*$N$21:$N$50)+SUMPRODUCT(($G$21:$G$50=CX$15)*$Q$21:$Q$50)</f>
        <v>0</v>
      </c>
      <c r="CY53" s="104" t="n">
        <f aca="false">SUMPRODUCT(($H$21:$H$50=CY$15)*$N$21:$N$50)+SUMPRODUCT(($G$21:$G$50=CY$15)*$Q$21:$Q$50)</f>
        <v>0</v>
      </c>
      <c r="CZ53" s="104" t="n">
        <f aca="false">SUMPRODUCT(($H$21:$H$50=CZ$15)*$N$21:$N$50)+SUMPRODUCT(($G$21:$G$50=CZ$15)*$Q$21:$Q$50)</f>
        <v>0</v>
      </c>
      <c r="DA53" s="104" t="n">
        <f aca="false">SUMPRODUCT(($H$21:$H$50=DA$15)*$N$21:$N$50)+SUMPRODUCT(($G$21:$G$50=DA$15)*$Q$21:$Q$50)</f>
        <v>0</v>
      </c>
      <c r="DB53" s="104" t="n">
        <f aca="false">SUMPRODUCT(($H$21:$H$50=DB$15)*$N$21:$N$50)+SUMPRODUCT(($G$21:$G$50=DB$15)*$Q$21:$Q$50)</f>
        <v>0</v>
      </c>
      <c r="DC53" s="104" t="n">
        <f aca="false">SUMPRODUCT(($H$21:$H$50=DC$15)*$N$21:$N$50)+SUMPRODUCT(($G$21:$G$50=DC$15)*$Q$21:$Q$50)</f>
        <v>0</v>
      </c>
      <c r="DD53" s="104" t="n">
        <f aca="false">SUMPRODUCT(($H$21:$H$50=DD$15)*$N$21:$N$50)+SUMPRODUCT(($G$21:$G$50=DD$15)*$Q$21:$Q$50)</f>
        <v>0</v>
      </c>
      <c r="DE53" s="104" t="n">
        <f aca="false">SUMPRODUCT(($H$21:$H$50=DE$15)*$N$21:$N$50)+SUMPRODUCT(($G$21:$G$50=DE$15)*$Q$21:$Q$50)</f>
        <v>0</v>
      </c>
      <c r="DF53" s="104" t="n">
        <f aca="false">SUMPRODUCT(($H$21:$H$50=DF$15)*$N$21:$N$50)+SUMPRODUCT(($G$21:$G$50=DF$15)*$Q$21:$Q$50)</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7375E"/>
    <pageSetUpPr fitToPage="false"/>
  </sheetPr>
  <dimension ref="A1:G44"/>
  <sheetViews>
    <sheetView showFormulas="false" showGridLines="true" showRowColHeaders="true" showZeros="true" rightToLeft="false" tabSelected="true" showOutlineSymbols="true" defaultGridColor="true" view="normal" topLeftCell="A1" colorId="64" zoomScale="85" zoomScaleNormal="85" zoomScalePageLayoutView="100" workbookViewId="0">
      <pane xSplit="0" ySplit="1" topLeftCell="A2" activePane="bottomLeft" state="frozen"/>
      <selection pane="topLeft" activeCell="A1" activeCellId="0" sqref="A1"/>
      <selection pane="bottomLeft" activeCell="F283" activeCellId="0" sqref="F283"/>
    </sheetView>
  </sheetViews>
  <sheetFormatPr defaultColWidth="8.7109375" defaultRowHeight="13.5" zeroHeight="false" outlineLevelRow="0" outlineLevelCol="0"/>
  <cols>
    <col collapsed="false" customWidth="true" hidden="false" outlineLevel="0" max="1" min="1" style="1" width="20"/>
    <col collapsed="false" customWidth="true" hidden="false" outlineLevel="0" max="2" min="2" style="1" width="22"/>
    <col collapsed="false" customWidth="true" hidden="false" outlineLevel="0" max="3" min="3" style="1" width="23"/>
    <col collapsed="false" customWidth="true" hidden="false" outlineLevel="0" max="4" min="4" style="1" width="17.57"/>
    <col collapsed="false" customWidth="true" hidden="false" outlineLevel="0" max="5" min="5" style="1" width="16.86"/>
    <col collapsed="false" customWidth="true" hidden="false" outlineLevel="0" max="6" min="6" style="1" width="21.86"/>
    <col collapsed="false" customWidth="true" hidden="false" outlineLevel="0" max="7" min="7" style="1" width="18.14"/>
  </cols>
  <sheetData>
    <row r="1" s="356" customFormat="true" ht="15" hidden="false" customHeight="true" outlineLevel="0" collapsed="false">
      <c r="A1" s="355" t="s">
        <v>546</v>
      </c>
      <c r="B1" s="355" t="s">
        <v>1223</v>
      </c>
      <c r="C1" s="355" t="s">
        <v>1224</v>
      </c>
      <c r="D1" s="355" t="s">
        <v>1225</v>
      </c>
      <c r="E1" s="355" t="s">
        <v>1226</v>
      </c>
      <c r="F1" s="355" t="s">
        <v>1227</v>
      </c>
      <c r="G1" s="355" t="s">
        <v>1228</v>
      </c>
    </row>
    <row r="2" customFormat="false" ht="15" hidden="false" customHeight="true" outlineLevel="0" collapsed="false">
      <c r="A2" s="177" t="s">
        <v>7</v>
      </c>
      <c r="B2" s="178" t="n">
        <v>64068.16</v>
      </c>
      <c r="C2" s="178" t="n">
        <v>262447.96</v>
      </c>
      <c r="D2" s="357" t="n">
        <f aca="false">C2*0.05</f>
        <v>13122.398</v>
      </c>
      <c r="E2" s="357" t="n">
        <f aca="false">B2+D2</f>
        <v>77190.558</v>
      </c>
      <c r="F2" s="358" t="n">
        <f aca="false">Projects!$C$2+Projects!$D$2-1</f>
        <v>8</v>
      </c>
      <c r="G2" s="359" t="n">
        <f aca="false">EDATE(DATE(2026,4,1),F2-1)</f>
        <v>46327</v>
      </c>
    </row>
    <row r="3" customFormat="false" ht="15" hidden="false" customHeight="true" outlineLevel="0" collapsed="false">
      <c r="A3" s="177" t="s">
        <v>8</v>
      </c>
      <c r="B3" s="178" t="n">
        <v>71716.43</v>
      </c>
      <c r="C3" s="178" t="n">
        <v>1314727.24</v>
      </c>
      <c r="D3" s="357" t="n">
        <f aca="false">C3*0.05</f>
        <v>65736.362</v>
      </c>
      <c r="E3" s="357" t="n">
        <f aca="false">B3+D3</f>
        <v>137452.792</v>
      </c>
      <c r="F3" s="358" t="n">
        <v>18</v>
      </c>
      <c r="G3" s="359" t="n">
        <f aca="false">EDATE(DATE(2026,4,1),F3-1)</f>
        <v>46631</v>
      </c>
    </row>
    <row r="4" customFormat="false" ht="15" hidden="false" customHeight="true" outlineLevel="0" collapsed="false">
      <c r="A4" s="177" t="s">
        <v>9</v>
      </c>
      <c r="B4" s="178" t="n">
        <v>37008.93</v>
      </c>
      <c r="C4" s="178" t="n">
        <v>876131.96</v>
      </c>
      <c r="D4" s="357" t="n">
        <f aca="false">C4*0.05</f>
        <v>43806.598</v>
      </c>
      <c r="E4" s="357" t="n">
        <f aca="false">B4+D4</f>
        <v>80815.528</v>
      </c>
      <c r="F4" s="358" t="n">
        <v>17</v>
      </c>
      <c r="G4" s="359" t="n">
        <f aca="false">EDATE(DATE(2026,4,1),F4-1)</f>
        <v>46600</v>
      </c>
    </row>
    <row r="5" customFormat="false" ht="15" hidden="false" customHeight="true" outlineLevel="0" collapsed="false">
      <c r="A5" s="177" t="s">
        <v>10</v>
      </c>
      <c r="B5" s="178" t="n">
        <v>41184.33</v>
      </c>
      <c r="C5" s="178" t="n">
        <v>1021070.74</v>
      </c>
      <c r="D5" s="357" t="n">
        <f aca="false">C5*0.05</f>
        <v>51053.537</v>
      </c>
      <c r="E5" s="357" t="n">
        <f aca="false">B5+D5</f>
        <v>92237.867</v>
      </c>
      <c r="F5" s="358" t="n">
        <v>19</v>
      </c>
      <c r="G5" s="359" t="n">
        <f aca="false">EDATE(DATE(2026,4,1),F5-1)</f>
        <v>46661</v>
      </c>
    </row>
    <row r="6" customFormat="false" ht="15" hidden="false" customHeight="true" outlineLevel="0" collapsed="false">
      <c r="A6" s="177" t="s">
        <v>11</v>
      </c>
      <c r="B6" s="178" t="n">
        <v>15059.01</v>
      </c>
      <c r="C6" s="178" t="n">
        <v>307369.47</v>
      </c>
      <c r="D6" s="357" t="n">
        <f aca="false">C6*0.05</f>
        <v>15368.4735</v>
      </c>
      <c r="E6" s="357" t="n">
        <f aca="false">B6+D6</f>
        <v>30427.4835</v>
      </c>
      <c r="F6" s="358" t="n">
        <v>15</v>
      </c>
      <c r="G6" s="359" t="n">
        <f aca="false">EDATE(DATE(2026,4,1),F6-1)</f>
        <v>46539</v>
      </c>
    </row>
    <row r="7" customFormat="false" ht="15" hidden="false" customHeight="true" outlineLevel="0" collapsed="false">
      <c r="A7" s="177" t="s">
        <v>12</v>
      </c>
      <c r="B7" s="178" t="n">
        <v>5444.32</v>
      </c>
      <c r="C7" s="357" t="n">
        <v>5038551.52</v>
      </c>
      <c r="D7" s="357" t="n">
        <f aca="false">C7*0.05</f>
        <v>251927.576</v>
      </c>
      <c r="E7" s="357" t="n">
        <f aca="false">B7+D7</f>
        <v>257371.896</v>
      </c>
      <c r="F7" s="358" t="n">
        <v>36</v>
      </c>
      <c r="G7" s="359" t="n">
        <f aca="false">EDATE(DATE(2026,4,1),F7-1)</f>
        <v>47178</v>
      </c>
    </row>
    <row r="8" customFormat="false" ht="15" hidden="false" customHeight="true" outlineLevel="0" collapsed="false">
      <c r="A8" s="177" t="s">
        <v>13</v>
      </c>
      <c r="B8" s="178" t="n">
        <v>0</v>
      </c>
      <c r="C8" s="357" t="n">
        <f aca="false">IF(Projects!$G$8="Yes",Projects!$B$8*(Assumptions!$B$10+Assumptions!$B$11+Assumptions!$B$12),0)</f>
        <v>1564333.69243555</v>
      </c>
      <c r="D8" s="357" t="n">
        <f aca="false">C8*0.05</f>
        <v>78216.6846217775</v>
      </c>
      <c r="E8" s="357" t="n">
        <f aca="false">B8+D8</f>
        <v>78216.6846217775</v>
      </c>
      <c r="F8" s="358" t="n">
        <f aca="false">Projects!$C$8+Projects!$D$8-1</f>
        <v>24</v>
      </c>
      <c r="G8" s="359" t="n">
        <f aca="false">EDATE(DATE(2026,4,1),F8-1)</f>
        <v>46813</v>
      </c>
    </row>
    <row r="9" customFormat="false" ht="15" hidden="false" customHeight="true" outlineLevel="0" collapsed="false">
      <c r="A9" s="177" t="s">
        <v>14</v>
      </c>
      <c r="B9" s="178" t="n">
        <v>6916.62</v>
      </c>
      <c r="C9" s="357" t="n">
        <v>1587341.45</v>
      </c>
      <c r="D9" s="357" t="n">
        <f aca="false">C9*0.05</f>
        <v>79367.0725</v>
      </c>
      <c r="E9" s="357" t="n">
        <f aca="false">B9+D9</f>
        <v>86283.6925</v>
      </c>
      <c r="F9" s="358" t="n">
        <f aca="false">Projects!$C$9+Projects!$D$9-1</f>
        <v>23</v>
      </c>
      <c r="G9" s="359" t="n">
        <f aca="false">EDATE(DATE(2026,4,1),F9-1)</f>
        <v>46784</v>
      </c>
    </row>
    <row r="10" customFormat="false" ht="15" hidden="false" customHeight="true" outlineLevel="0" collapsed="false">
      <c r="A10" s="177" t="s">
        <v>15</v>
      </c>
      <c r="B10" s="178" t="n">
        <v>0</v>
      </c>
      <c r="C10" s="357" t="n">
        <f aca="false">IF(Projects!$G$10="Yes",Projects!$B$10*(Assumptions!$B$10+Assumptions!$B$11+Assumptions!$B$12),0)</f>
        <v>2559922.591355</v>
      </c>
      <c r="D10" s="357" t="n">
        <f aca="false">C10*0.05</f>
        <v>127996.12956775</v>
      </c>
      <c r="E10" s="357" t="n">
        <f aca="false">B10+D10</f>
        <v>127996.12956775</v>
      </c>
      <c r="F10" s="358" t="n">
        <f aca="false">Projects!$C$10+Projects!$D$10-1</f>
        <v>32</v>
      </c>
      <c r="G10" s="359" t="n">
        <f aca="false">EDATE(DATE(2026,4,1),F10-1)</f>
        <v>47058</v>
      </c>
    </row>
    <row r="11" customFormat="false" ht="15" hidden="false" customHeight="true" outlineLevel="0" collapsed="false">
      <c r="A11" s="177" t="s">
        <v>16</v>
      </c>
      <c r="B11" s="178" t="n">
        <v>0</v>
      </c>
      <c r="C11" s="357" t="n">
        <f aca="false">IF(Projects!$G$11="Yes",Projects!$B$11*(Assumptions!$B$10+Assumptions!$B$11+Assumptions!$B$12),0)</f>
        <v>1152997.729619</v>
      </c>
      <c r="D11" s="357" t="n">
        <f aca="false">C11*0.05</f>
        <v>57649.88648095</v>
      </c>
      <c r="E11" s="357" t="n">
        <f aca="false">B11+D11</f>
        <v>57649.88648095</v>
      </c>
      <c r="F11" s="358" t="n">
        <f aca="false">Projects!$C$11+Projects!$D$11-1</f>
        <v>29</v>
      </c>
      <c r="G11" s="359" t="n">
        <f aca="false">EDATE(DATE(2026,4,1),F11-1)</f>
        <v>46966</v>
      </c>
    </row>
    <row r="12" customFormat="false" ht="15" hidden="false" customHeight="true" outlineLevel="0" collapsed="false">
      <c r="A12" s="177" t="s">
        <v>17</v>
      </c>
      <c r="B12" s="178" t="n">
        <v>0</v>
      </c>
      <c r="C12" s="357" t="n">
        <f aca="false">IF(Projects!$G$12="Yes",Projects!$B$12*(Assumptions!$B$10+Assumptions!$B$11+Assumptions!$B$12),0)</f>
        <v>908374.534373</v>
      </c>
      <c r="D12" s="357" t="n">
        <f aca="false">C12*0.05</f>
        <v>45418.72671865</v>
      </c>
      <c r="E12" s="357" t="n">
        <f aca="false">B12+D12</f>
        <v>45418.72671865</v>
      </c>
      <c r="F12" s="358" t="n">
        <f aca="false">Projects!$C$12+Projects!$D$12-1</f>
        <v>28</v>
      </c>
      <c r="G12" s="359" t="n">
        <f aca="false">EDATE(DATE(2026,4,1),F12-1)</f>
        <v>46935</v>
      </c>
    </row>
    <row r="13" customFormat="false" ht="15" hidden="false" customHeight="true" outlineLevel="0" collapsed="false">
      <c r="A13" s="177" t="s">
        <v>18</v>
      </c>
      <c r="B13" s="178" t="n">
        <v>0</v>
      </c>
      <c r="C13" s="357" t="n">
        <f aca="false">IF(Projects!$G$13="Yes",Projects!$B$13*(Assumptions!$B$10+Assumptions!$B$11+Assumptions!$B$12),0)</f>
        <v>5449711.70707</v>
      </c>
      <c r="D13" s="357" t="n">
        <f aca="false">C13*0.05</f>
        <v>272485.5853535</v>
      </c>
      <c r="E13" s="357" t="n">
        <f aca="false">B13+D13</f>
        <v>272485.5853535</v>
      </c>
      <c r="F13" s="358" t="n">
        <f aca="false">Projects!$C$13+Projects!$D$13-1</f>
        <v>42</v>
      </c>
      <c r="G13" s="359" t="n">
        <f aca="false">EDATE(DATE(2026,4,1),F13-1)</f>
        <v>47362</v>
      </c>
    </row>
    <row r="14" customFormat="false" ht="15" hidden="false" customHeight="true" outlineLevel="0" collapsed="false">
      <c r="A14" s="177" t="s">
        <v>19</v>
      </c>
      <c r="B14" s="178" t="n">
        <v>0</v>
      </c>
      <c r="C14" s="357" t="n">
        <f aca="false">IF(Projects!$G$14="Yes",Projects!$B$14*(Assumptions!$B$10+Assumptions!$B$11+Assumptions!$B$12),0)</f>
        <v>4978725.501112</v>
      </c>
      <c r="D14" s="357" t="n">
        <f aca="false">C14*0.05</f>
        <v>248936.2750556</v>
      </c>
      <c r="E14" s="357" t="n">
        <f aca="false">B14+D14</f>
        <v>248936.2750556</v>
      </c>
      <c r="F14" s="358" t="n">
        <f aca="false">Projects!$C$14+Projects!$D$14-1</f>
        <v>56</v>
      </c>
      <c r="G14" s="359" t="n">
        <f aca="false">EDATE(DATE(2026,4,1),F14-1)</f>
        <v>47788</v>
      </c>
    </row>
    <row r="15" customFormat="false" ht="15" hidden="false" customHeight="true" outlineLevel="0" collapsed="false">
      <c r="A15" s="177" t="s">
        <v>1229</v>
      </c>
      <c r="B15" s="178" t="n">
        <v>0</v>
      </c>
      <c r="C15" s="357" t="n">
        <f aca="false">IF(Projects!$G$17="Yes",Projects!$B$17*(Assumptions!$B$10+Assumptions!$B$11+Assumptions!$B$12),0)</f>
        <v>1843910.361865</v>
      </c>
      <c r="D15" s="357" t="n">
        <f aca="false">C15*0.05</f>
        <v>92195.51809325</v>
      </c>
      <c r="E15" s="357" t="n">
        <f aca="false">B15+D15</f>
        <v>92195.51809325</v>
      </c>
      <c r="F15" s="358" t="n">
        <f aca="false">Projects!$C$17+Projects!$D$17-1</f>
        <v>32</v>
      </c>
      <c r="G15" s="359" t="n">
        <f aca="false">EDATE(DATE(2026,4,1),F15-1)</f>
        <v>47058</v>
      </c>
    </row>
    <row r="16" customFormat="false" ht="15" hidden="false" customHeight="true" outlineLevel="0" collapsed="false">
      <c r="A16" s="177" t="s">
        <v>1230</v>
      </c>
      <c r="B16" s="178" t="n">
        <v>0</v>
      </c>
      <c r="C16" s="357" t="n">
        <f aca="false">IF(Projects!$G$18="Yes",Projects!$B$18*(Assumptions!$B$10+Assumptions!$B$11+Assumptions!$B$12),0)</f>
        <v>1362511.297535</v>
      </c>
      <c r="D16" s="357" t="n">
        <f aca="false">C16*0.05</f>
        <v>68125.56487675</v>
      </c>
      <c r="E16" s="357" t="n">
        <f aca="false">B16+D16</f>
        <v>68125.56487675</v>
      </c>
      <c r="F16" s="358" t="n">
        <f aca="false">Projects!$C$18+Projects!$D$18-1</f>
        <v>33</v>
      </c>
      <c r="G16" s="359" t="n">
        <f aca="false">EDATE(DATE(2026,4,1),F16-1)</f>
        <v>47088</v>
      </c>
    </row>
    <row r="17" customFormat="false" ht="15" hidden="false" customHeight="true" outlineLevel="0" collapsed="false">
      <c r="A17" s="177" t="s">
        <v>1231</v>
      </c>
      <c r="B17" s="178" t="n">
        <v>0</v>
      </c>
      <c r="C17" s="357" t="n">
        <f aca="false">IF(Projects!$G$19="Yes",Projects!$B$19*(Assumptions!$B$10+Assumptions!$B$11+Assumptions!$B$12),0)</f>
        <v>2220343.402679</v>
      </c>
      <c r="D17" s="357" t="n">
        <f aca="false">C17*0.05</f>
        <v>111017.17013395</v>
      </c>
      <c r="E17" s="357" t="n">
        <f aca="false">B17+D17</f>
        <v>111017.17013395</v>
      </c>
      <c r="F17" s="358" t="n">
        <f aca="false">Projects!$C$19+Projects!$D$19-1</f>
        <v>34</v>
      </c>
      <c r="G17" s="359" t="n">
        <f aca="false">EDATE(DATE(2026,4,1),F17-1)</f>
        <v>47119</v>
      </c>
    </row>
    <row r="18" customFormat="false" ht="15" hidden="false" customHeight="true" outlineLevel="0" collapsed="false">
      <c r="A18" s="177" t="s">
        <v>23</v>
      </c>
      <c r="B18" s="178" t="n">
        <v>0</v>
      </c>
      <c r="C18" s="357" t="n">
        <f aca="false">IF(Projects!$G$20="Yes",Projects!$B$20*(Assumptions!$B$10+Assumptions!$B$11+Assumptions!$B$12),0)</f>
        <v>3012944.96485678</v>
      </c>
      <c r="D18" s="357" t="n">
        <f aca="false">C18*0.05</f>
        <v>150647.248242839</v>
      </c>
      <c r="E18" s="357" t="n">
        <f aca="false">B18+D18</f>
        <v>150647.248242839</v>
      </c>
      <c r="F18" s="358" t="n">
        <f aca="false">Projects!$C$20+Projects!$D$20-1</f>
        <v>43</v>
      </c>
      <c r="G18" s="359" t="n">
        <f aca="false">EDATE(DATE(2026,4,1),F18-1)</f>
        <v>47392</v>
      </c>
    </row>
    <row r="19" customFormat="false" ht="15" hidden="false" customHeight="true" outlineLevel="0" collapsed="false">
      <c r="A19" s="177" t="s">
        <v>24</v>
      </c>
      <c r="B19" s="178" t="n">
        <v>0</v>
      </c>
      <c r="C19" s="357" t="n">
        <f aca="false">IF(Projects!$G$21="Yes",Projects!$B$21*(Assumptions!$B$10+Assumptions!$B$11+Assumptions!$B$12),0)</f>
        <v>1828680.14792125</v>
      </c>
      <c r="D19" s="357" t="n">
        <f aca="false">C19*0.05</f>
        <v>91434.0073960625</v>
      </c>
      <c r="E19" s="357" t="n">
        <f aca="false">B19+D19</f>
        <v>91434.0073960625</v>
      </c>
      <c r="F19" s="358" t="n">
        <f aca="false">Projects!$C$21+Projects!$D$21-1</f>
        <v>28</v>
      </c>
      <c r="G19" s="359" t="n">
        <f aca="false">EDATE(DATE(2026,4,1),F19-1)</f>
        <v>46935</v>
      </c>
    </row>
    <row r="20" customFormat="false" ht="15" hidden="false" customHeight="true" outlineLevel="0" collapsed="false">
      <c r="A20" s="177" t="s">
        <v>25</v>
      </c>
      <c r="B20" s="178" t="n">
        <v>0</v>
      </c>
      <c r="C20" s="357" t="n">
        <f aca="false">IF(Projects!$G$22="Yes",Projects!$B$22*(Assumptions!$B$10+Assumptions!$B$11+Assumptions!$B$12),0)</f>
        <v>0</v>
      </c>
      <c r="D20" s="357" t="n">
        <f aca="false">C20*0.05</f>
        <v>0</v>
      </c>
      <c r="E20" s="357" t="n">
        <f aca="false">B20+D20</f>
        <v>0</v>
      </c>
      <c r="F20" s="358" t="n">
        <f aca="false">Projects!$C$22+Projects!$D$22-1</f>
        <v>34</v>
      </c>
      <c r="G20" s="359" t="n">
        <f aca="false">EDATE(DATE(2026,4,1),F20-1)</f>
        <v>47119</v>
      </c>
    </row>
    <row r="21" customFormat="false" ht="15" hidden="false" customHeight="true" outlineLevel="0" collapsed="false">
      <c r="A21" s="177" t="s">
        <v>26</v>
      </c>
      <c r="B21" s="178" t="n">
        <v>0</v>
      </c>
      <c r="C21" s="357" t="n">
        <f aca="false">IF(Projects!$G$23="Yes",Projects!$B$23*(Assumptions!$B$10+Assumptions!$B$11+Assumptions!$B$12),0)</f>
        <v>0</v>
      </c>
      <c r="D21" s="357" t="n">
        <f aca="false">C21*0.05</f>
        <v>0</v>
      </c>
      <c r="E21" s="357" t="n">
        <f aca="false">B21+D21</f>
        <v>0</v>
      </c>
      <c r="F21" s="358" t="n">
        <f aca="false">Projects!$C$23+Projects!$D$23-1</f>
        <v>35</v>
      </c>
      <c r="G21" s="359" t="n">
        <f aca="false">EDATE(DATE(2026,4,1),F21-1)</f>
        <v>47150</v>
      </c>
    </row>
    <row r="22" customFormat="false" ht="15" hidden="false" customHeight="true" outlineLevel="0" collapsed="false">
      <c r="A22" s="177" t="s">
        <v>27</v>
      </c>
      <c r="B22" s="178" t="n">
        <v>0</v>
      </c>
      <c r="C22" s="357" t="n">
        <f aca="false">IF(Projects!$G$24="Yes",Projects!$B$24*(Assumptions!$B$10+Assumptions!$B$11+Assumptions!$B$12),0)</f>
        <v>2167038</v>
      </c>
      <c r="D22" s="357" t="n">
        <f aca="false">C22*0.05</f>
        <v>108351.9</v>
      </c>
      <c r="E22" s="357" t="n">
        <f aca="false">B22+D22</f>
        <v>108351.9</v>
      </c>
      <c r="F22" s="358" t="n">
        <f aca="false">Projects!$C$24+Projects!$D$24-1</f>
        <v>42</v>
      </c>
      <c r="G22" s="359" t="n">
        <f aca="false">EDATE(DATE(2026,4,1),F22-1)</f>
        <v>47362</v>
      </c>
    </row>
    <row r="23" customFormat="false" ht="15" hidden="false" customHeight="true" outlineLevel="0" collapsed="false">
      <c r="A23" s="177" t="s">
        <v>28</v>
      </c>
      <c r="B23" s="178" t="n">
        <v>0</v>
      </c>
      <c r="C23" s="357" t="n">
        <f aca="false">IF(Projects!$G$25="Yes",Projects!$B$25*(Assumptions!$B$10+Assumptions!$B$11+Assumptions!$B$12),0)</f>
        <v>2167038</v>
      </c>
      <c r="D23" s="357" t="n">
        <f aca="false">C23*0.05</f>
        <v>108351.9</v>
      </c>
      <c r="E23" s="357" t="n">
        <f aca="false">B23+D23</f>
        <v>108351.9</v>
      </c>
      <c r="F23" s="358" t="n">
        <f aca="false">Projects!$C$25+Projects!$D$25-1</f>
        <v>47</v>
      </c>
      <c r="G23" s="359" t="n">
        <f aca="false">EDATE(DATE(2026,4,1),F23-1)</f>
        <v>47515</v>
      </c>
    </row>
    <row r="24" customFormat="false" ht="15" hidden="false" customHeight="true" outlineLevel="0" collapsed="false">
      <c r="A24" s="177" t="s">
        <v>29</v>
      </c>
      <c r="B24" s="178" t="n">
        <v>0</v>
      </c>
      <c r="C24" s="357" t="n">
        <f aca="false">IF(Projects!$G$26="Yes",Projects!$B$26*(Assumptions!$B$10+Assumptions!$B$11+Assumptions!$B$12),0)</f>
        <v>2167038</v>
      </c>
      <c r="D24" s="357" t="n">
        <f aca="false">C24*0.05</f>
        <v>108351.9</v>
      </c>
      <c r="E24" s="357" t="n">
        <f aca="false">B24+D24</f>
        <v>108351.9</v>
      </c>
      <c r="F24" s="358" t="n">
        <f aca="false">Projects!$C$26+Projects!$D$26-1</f>
        <v>48</v>
      </c>
      <c r="G24" s="359" t="n">
        <f aca="false">EDATE(DATE(2026,4,1),F24-1)</f>
        <v>47543</v>
      </c>
    </row>
    <row r="25" customFormat="false" ht="15" hidden="false" customHeight="true" outlineLevel="0" collapsed="false">
      <c r="A25" s="177" t="s">
        <v>30</v>
      </c>
      <c r="B25" s="178" t="n">
        <v>0</v>
      </c>
      <c r="C25" s="357" t="n">
        <f aca="false">IF(Projects!$G$27="Yes",Projects!$B$27*(Assumptions!$B$10+Assumptions!$B$11+Assumptions!$B$12),0)</f>
        <v>1805865</v>
      </c>
      <c r="D25" s="357" t="n">
        <f aca="false">C25*0.05</f>
        <v>90293.25</v>
      </c>
      <c r="E25" s="357" t="n">
        <f aca="false">B25+D25</f>
        <v>90293.25</v>
      </c>
      <c r="F25" s="358" t="n">
        <f aca="false">Projects!$C$27+Projects!$D$27-1</f>
        <v>49</v>
      </c>
      <c r="G25" s="359" t="n">
        <f aca="false">EDATE(DATE(2026,4,1),F25-1)</f>
        <v>47574</v>
      </c>
    </row>
    <row r="26" customFormat="false" ht="15" hidden="false" customHeight="true" outlineLevel="0" collapsed="false">
      <c r="A26" s="177" t="s">
        <v>31</v>
      </c>
      <c r="B26" s="178" t="n">
        <v>0</v>
      </c>
      <c r="C26" s="357" t="n">
        <f aca="false">IF(Projects!$G$28="Yes",Projects!$B$28*(Assumptions!$B$10+Assumptions!$B$11+Assumptions!$B$12),0)</f>
        <v>1805865</v>
      </c>
      <c r="D26" s="357" t="n">
        <f aca="false">C26*0.05</f>
        <v>90293.25</v>
      </c>
      <c r="E26" s="357" t="n">
        <f aca="false">B26+D26</f>
        <v>90293.25</v>
      </c>
      <c r="F26" s="358" t="n">
        <f aca="false">Projects!$C$28+Projects!$D$28-1</f>
        <v>50</v>
      </c>
      <c r="G26" s="359" t="n">
        <f aca="false">EDATE(DATE(2026,4,1),F26-1)</f>
        <v>47604</v>
      </c>
    </row>
    <row r="27" customFormat="false" ht="15" hidden="false" customHeight="true" outlineLevel="0" collapsed="false">
      <c r="A27" s="177" t="s">
        <v>32</v>
      </c>
      <c r="B27" s="178" t="n">
        <v>0</v>
      </c>
      <c r="C27" s="357" t="n">
        <f aca="false">IF(Projects!$G$29="Yes",Projects!$B$29*(Assumptions!$B$10+Assumptions!$B$11+Assumptions!$B$12),0)</f>
        <v>1805865</v>
      </c>
      <c r="D27" s="357" t="n">
        <f aca="false">C27*0.05</f>
        <v>90293.25</v>
      </c>
      <c r="E27" s="357" t="n">
        <f aca="false">B27+D27</f>
        <v>90293.25</v>
      </c>
      <c r="F27" s="358" t="n">
        <f aca="false">Projects!$C$29+Projects!$D$29-1</f>
        <v>51</v>
      </c>
      <c r="G27" s="359" t="n">
        <f aca="false">EDATE(DATE(2026,4,1),F27-1)</f>
        <v>47635</v>
      </c>
    </row>
    <row r="28" customFormat="false" ht="15" hidden="false" customHeight="true" outlineLevel="0" collapsed="false">
      <c r="A28" s="177" t="s">
        <v>33</v>
      </c>
      <c r="B28" s="178" t="n">
        <v>0</v>
      </c>
      <c r="C28" s="357" t="n">
        <f aca="false">IF(Projects!$G$30="Yes",Projects!$B$30*(Assumptions!$B$10+Assumptions!$B$11+Assumptions!$B$12),0)</f>
        <v>1805865</v>
      </c>
      <c r="D28" s="357" t="n">
        <f aca="false">C28*0.05</f>
        <v>90293.25</v>
      </c>
      <c r="E28" s="357" t="n">
        <f aca="false">B28+D28</f>
        <v>90293.25</v>
      </c>
      <c r="F28" s="358" t="n">
        <f aca="false">Projects!$C$30+Projects!$D$30-1</f>
        <v>52</v>
      </c>
      <c r="G28" s="359" t="n">
        <f aca="false">EDATE(DATE(2026,4,1),F28-1)</f>
        <v>47665</v>
      </c>
    </row>
    <row r="29" customFormat="false" ht="15" hidden="false" customHeight="true" outlineLevel="0" collapsed="false">
      <c r="A29" s="177" t="s">
        <v>34</v>
      </c>
      <c r="B29" s="178" t="n">
        <v>0</v>
      </c>
      <c r="C29" s="357" t="n">
        <f aca="false">IF(Projects!$G$31="Yes",Projects!$B$31*(Assumptions!$B$10+Assumptions!$B$11+Assumptions!$B$12),0)</f>
        <v>2167038</v>
      </c>
      <c r="D29" s="357" t="n">
        <f aca="false">C29*0.05</f>
        <v>108351.9</v>
      </c>
      <c r="E29" s="357" t="n">
        <f aca="false">B29+D29</f>
        <v>108351.9</v>
      </c>
      <c r="F29" s="358" t="n">
        <f aca="false">Projects!$C$31+Projects!$D$31-1</f>
        <v>53</v>
      </c>
      <c r="G29" s="359" t="n">
        <f aca="false">EDATE(DATE(2026,4,1),F29-1)</f>
        <v>47696</v>
      </c>
    </row>
    <row r="30" customFormat="false" ht="15" hidden="false" customHeight="true" outlineLevel="0" collapsed="false">
      <c r="A30" s="177" t="s">
        <v>35</v>
      </c>
      <c r="B30" s="178" t="n">
        <v>0</v>
      </c>
      <c r="C30" s="357" t="n">
        <f aca="false">IF(Projects!$G$32="Yes",Projects!$B$32*(Assumptions!$B$10+Assumptions!$B$11+Assumptions!$B$12),0)</f>
        <v>1805865</v>
      </c>
      <c r="D30" s="357" t="n">
        <f aca="false">C30*0.05</f>
        <v>90293.25</v>
      </c>
      <c r="E30" s="357" t="n">
        <f aca="false">B30+D30</f>
        <v>90293.25</v>
      </c>
      <c r="F30" s="358" t="n">
        <f aca="false">Projects!$C$32+Projects!$D$32-1</f>
        <v>54</v>
      </c>
      <c r="G30" s="359" t="n">
        <f aca="false">EDATE(DATE(2026,4,1),F30-1)</f>
        <v>47727</v>
      </c>
    </row>
    <row r="31" customFormat="false" ht="15" hidden="false" customHeight="true" outlineLevel="0" collapsed="false">
      <c r="A31" s="177" t="s">
        <v>36</v>
      </c>
      <c r="B31" s="178" t="n">
        <v>0</v>
      </c>
      <c r="C31" s="357" t="n">
        <f aca="false">IF(Projects!$G$33="Yes",Projects!$B$33*(Assumptions!$B$10+Assumptions!$B$11+Assumptions!$B$12),0)</f>
        <v>1805865</v>
      </c>
      <c r="D31" s="357" t="n">
        <f aca="false">C31*0.05</f>
        <v>90293.25</v>
      </c>
      <c r="E31" s="357" t="n">
        <f aca="false">B31+D31</f>
        <v>90293.25</v>
      </c>
      <c r="F31" s="358" t="n">
        <f aca="false">Projects!$C$33+Projects!$D$33-1</f>
        <v>55</v>
      </c>
      <c r="G31" s="359" t="n">
        <f aca="false">EDATE(DATE(2026,4,1),F31-1)</f>
        <v>47757</v>
      </c>
    </row>
    <row r="32" customFormat="false" ht="15" hidden="false" customHeight="true" outlineLevel="0" collapsed="false">
      <c r="A32" s="177" t="s">
        <v>37</v>
      </c>
      <c r="B32" s="178" t="n">
        <v>0</v>
      </c>
      <c r="C32" s="357" t="n">
        <f aca="false">IF(Projects!$G$34="Yes",Projects!$B$34*(Assumptions!$B$10+Assumptions!$B$11+Assumptions!$B$12),0)</f>
        <v>2167038</v>
      </c>
      <c r="D32" s="357" t="n">
        <f aca="false">C32*0.05</f>
        <v>108351.9</v>
      </c>
      <c r="E32" s="357" t="n">
        <f aca="false">B32+D32</f>
        <v>108351.9</v>
      </c>
      <c r="F32" s="358" t="n">
        <f aca="false">Projects!$C$34+Projects!$D$34-1</f>
        <v>56</v>
      </c>
      <c r="G32" s="359" t="n">
        <f aca="false">EDATE(DATE(2026,4,1),F32-1)</f>
        <v>47788</v>
      </c>
    </row>
    <row r="33" customFormat="false" ht="15" hidden="false" customHeight="true" outlineLevel="0" collapsed="false">
      <c r="A33" s="177" t="s">
        <v>38</v>
      </c>
      <c r="B33" s="178" t="n">
        <v>0</v>
      </c>
      <c r="C33" s="357" t="n">
        <f aca="false">IF(Projects!$G$35="Yes",Projects!$B$35*(Assumptions!$B$10+Assumptions!$B$11+Assumptions!$B$12),0)</f>
        <v>1805865</v>
      </c>
      <c r="D33" s="357" t="n">
        <f aca="false">C33*0.05</f>
        <v>90293.25</v>
      </c>
      <c r="E33" s="357" t="n">
        <f aca="false">B33+D33</f>
        <v>90293.25</v>
      </c>
      <c r="F33" s="358" t="n">
        <f aca="false">Projects!$C$35+Projects!$D$35-1</f>
        <v>57</v>
      </c>
      <c r="G33" s="359" t="n">
        <f aca="false">EDATE(DATE(2026,4,1),F33-1)</f>
        <v>47818</v>
      </c>
    </row>
    <row r="34" customFormat="false" ht="15" hidden="false" customHeight="true" outlineLevel="0" collapsed="false">
      <c r="A34" s="177" t="s">
        <v>39</v>
      </c>
      <c r="B34" s="178" t="n">
        <v>0</v>
      </c>
      <c r="C34" s="357" t="n">
        <f aca="false">IF(Projects!$G$36="Yes",Projects!$B$36*(Assumptions!$B$10+Assumptions!$B$11+Assumptions!$B$12),0)</f>
        <v>2167038</v>
      </c>
      <c r="D34" s="357" t="n">
        <f aca="false">C34*0.05</f>
        <v>108351.9</v>
      </c>
      <c r="E34" s="357" t="n">
        <f aca="false">B34+D34</f>
        <v>108351.9</v>
      </c>
      <c r="F34" s="358" t="n">
        <f aca="false">Projects!$C$36+Projects!$D$36-1</f>
        <v>61</v>
      </c>
      <c r="G34" s="359" t="n">
        <f aca="false">EDATE(DATE(2026,4,1),F34-1)</f>
        <v>47939</v>
      </c>
    </row>
    <row r="35" customFormat="false" ht="15" hidden="false" customHeight="true" outlineLevel="0" collapsed="false">
      <c r="A35" s="177" t="s">
        <v>40</v>
      </c>
      <c r="B35" s="178" t="n">
        <v>0</v>
      </c>
      <c r="C35" s="357" t="n">
        <f aca="false">IF(Projects!$G$37="Yes",Projects!$B$37*(Assumptions!$B$10+Assumptions!$B$11+Assumptions!$B$12),0)</f>
        <v>1805865</v>
      </c>
      <c r="D35" s="357" t="n">
        <f aca="false">C35*0.05</f>
        <v>90293.25</v>
      </c>
      <c r="E35" s="357" t="n">
        <f aca="false">B35+D35</f>
        <v>90293.25</v>
      </c>
      <c r="F35" s="358" t="n">
        <f aca="false">Projects!$C$37+Projects!$D$37-1</f>
        <v>62</v>
      </c>
      <c r="G35" s="359" t="n">
        <f aca="false">EDATE(DATE(2026,4,1),F35-1)</f>
        <v>47969</v>
      </c>
    </row>
    <row r="36" customFormat="false" ht="15" hidden="false" customHeight="true" outlineLevel="0" collapsed="false">
      <c r="A36" s="177" t="s">
        <v>41</v>
      </c>
      <c r="B36" s="178" t="n">
        <v>0</v>
      </c>
      <c r="C36" s="357" t="n">
        <f aca="false">IF(Projects!$G$38="Yes",Projects!$B$38*(Assumptions!$B$10+Assumptions!$B$11+Assumptions!$B$12),0)</f>
        <v>1805865</v>
      </c>
      <c r="D36" s="357" t="n">
        <f aca="false">C36*0.05</f>
        <v>90293.25</v>
      </c>
      <c r="E36" s="357" t="n">
        <f aca="false">B36+D36</f>
        <v>90293.25</v>
      </c>
      <c r="F36" s="358" t="n">
        <f aca="false">Projects!$C$38+Projects!$D$38-1</f>
        <v>66</v>
      </c>
      <c r="G36" s="359" t="n">
        <f aca="false">EDATE(DATE(2026,4,1),F36-1)</f>
        <v>48092</v>
      </c>
    </row>
    <row r="37" customFormat="false" ht="15" hidden="false" customHeight="true" outlineLevel="0" collapsed="false">
      <c r="A37" s="177" t="s">
        <v>42</v>
      </c>
      <c r="B37" s="178" t="n">
        <v>0</v>
      </c>
      <c r="C37" s="357" t="n">
        <f aca="false">IF(Projects!$G$39="Yes",Projects!$B$39*(Assumptions!$B$10+Assumptions!$B$11+Assumptions!$B$12),0)</f>
        <v>2167038</v>
      </c>
      <c r="D37" s="357" t="n">
        <f aca="false">C37*0.05</f>
        <v>108351.9</v>
      </c>
      <c r="E37" s="357" t="n">
        <f aca="false">B37+D37</f>
        <v>108351.9</v>
      </c>
      <c r="F37" s="358" t="n">
        <f aca="false">Projects!$C$39+Projects!$D$39-1</f>
        <v>67</v>
      </c>
      <c r="G37" s="359" t="n">
        <f aca="false">EDATE(DATE(2026,4,1),F37-1)</f>
        <v>48122</v>
      </c>
    </row>
    <row r="38" customFormat="false" ht="15" hidden="false" customHeight="true" outlineLevel="0" collapsed="false">
      <c r="A38" s="177" t="s">
        <v>43</v>
      </c>
      <c r="B38" s="178" t="n">
        <v>0</v>
      </c>
      <c r="C38" s="357" t="n">
        <f aca="false">IF(Projects!$G$40="Yes",Projects!$B$40*(Assumptions!$B$10+Assumptions!$B$11+Assumptions!$B$12),0)</f>
        <v>1805865</v>
      </c>
      <c r="D38" s="357" t="n">
        <f aca="false">C38*0.05</f>
        <v>90293.25</v>
      </c>
      <c r="E38" s="357" t="n">
        <f aca="false">B38+D38</f>
        <v>90293.25</v>
      </c>
      <c r="F38" s="358" t="n">
        <f aca="false">Projects!$C$40+Projects!$D$40-1</f>
        <v>68</v>
      </c>
      <c r="G38" s="359" t="n">
        <f aca="false">EDATE(DATE(2026,4,1),F38-1)</f>
        <v>48153</v>
      </c>
    </row>
    <row r="39" customFormat="false" ht="15" hidden="false" customHeight="true" outlineLevel="0" collapsed="false">
      <c r="A39" s="177" t="s">
        <v>44</v>
      </c>
      <c r="B39" s="178" t="n">
        <v>0</v>
      </c>
      <c r="C39" s="357" t="n">
        <f aca="false">IF(Projects!$G$41="Yes",Projects!$B$41*(Assumptions!$B$10+Assumptions!$B$11+Assumptions!$B$12),0)</f>
        <v>1805865</v>
      </c>
      <c r="D39" s="357" t="n">
        <f aca="false">C39*0.05</f>
        <v>90293.25</v>
      </c>
      <c r="E39" s="357" t="n">
        <f aca="false">B39+D39</f>
        <v>90293.25</v>
      </c>
      <c r="F39" s="358" t="n">
        <f aca="false">Projects!$C$41+Projects!$D$41-1</f>
        <v>69</v>
      </c>
      <c r="G39" s="359" t="n">
        <f aca="false">EDATE(DATE(2026,4,1),F39-1)</f>
        <v>48183</v>
      </c>
    </row>
    <row r="40" customFormat="false" ht="15" hidden="false" customHeight="true" outlineLevel="0" collapsed="false">
      <c r="A40" s="177" t="s">
        <v>45</v>
      </c>
      <c r="B40" s="178" t="n">
        <v>0</v>
      </c>
      <c r="C40" s="357" t="n">
        <f aca="false">IF(Projects!$G$42="Yes",Projects!$B$42*(Assumptions!$B$10+Assumptions!$B$11+Assumptions!$B$12),0)</f>
        <v>2167038</v>
      </c>
      <c r="D40" s="357" t="n">
        <f aca="false">C40*0.05</f>
        <v>108351.9</v>
      </c>
      <c r="E40" s="357" t="n">
        <f aca="false">B40+D40</f>
        <v>108351.9</v>
      </c>
      <c r="F40" s="358" t="n">
        <f aca="false">Projects!$C$42+Projects!$D$42-1</f>
        <v>70</v>
      </c>
      <c r="G40" s="359" t="n">
        <f aca="false">EDATE(DATE(2026,4,1),F40-1)</f>
        <v>48214</v>
      </c>
    </row>
    <row r="41" customFormat="false" ht="15" hidden="false" customHeight="true" outlineLevel="0" collapsed="false">
      <c r="A41" s="177" t="s">
        <v>46</v>
      </c>
      <c r="B41" s="178" t="n">
        <v>0</v>
      </c>
      <c r="C41" s="357" t="n">
        <f aca="false">IF(Projects!$G$43="Yes",Projects!$B$43*(Assumptions!$B$10+Assumptions!$B$11+Assumptions!$B$12),0)</f>
        <v>1805865</v>
      </c>
      <c r="D41" s="357" t="n">
        <f aca="false">C41*0.05</f>
        <v>90293.25</v>
      </c>
      <c r="E41" s="357" t="n">
        <f aca="false">B41+D41</f>
        <v>90293.25</v>
      </c>
      <c r="F41" s="358" t="n">
        <f aca="false">Projects!$C$43+Projects!$D$43-1</f>
        <v>71</v>
      </c>
      <c r="G41" s="359" t="n">
        <f aca="false">EDATE(DATE(2026,4,1),F41-1)</f>
        <v>48245</v>
      </c>
    </row>
    <row r="42" customFormat="false" ht="15" hidden="false" customHeight="true" outlineLevel="0" collapsed="false">
      <c r="A42" s="177" t="s">
        <v>47</v>
      </c>
      <c r="B42" s="178" t="n">
        <v>0</v>
      </c>
      <c r="C42" s="357" t="n">
        <f aca="false">IF(Projects!$G$44="Yes",Projects!$B$44*(Assumptions!$B$10+Assumptions!$B$11+Assumptions!$B$12),0)</f>
        <v>1805865</v>
      </c>
      <c r="D42" s="357" t="n">
        <f aca="false">C42*0.05</f>
        <v>90293.25</v>
      </c>
      <c r="E42" s="357" t="n">
        <f aca="false">B42+D42</f>
        <v>90293.25</v>
      </c>
      <c r="F42" s="358" t="n">
        <f aca="false">Projects!$C$44+Projects!$D$44-1</f>
        <v>72</v>
      </c>
      <c r="G42" s="359" t="n">
        <f aca="false">EDATE(DATE(2026,4,1),F42-1)</f>
        <v>48274</v>
      </c>
    </row>
    <row r="43" customFormat="false" ht="15" hidden="false" customHeight="true" outlineLevel="0" collapsed="false">
      <c r="A43" s="177" t="s">
        <v>48</v>
      </c>
      <c r="B43" s="178" t="n">
        <v>0</v>
      </c>
      <c r="C43" s="357" t="n">
        <f aca="false">IF(Projects!$G$45="Yes",Projects!$B$45*(Assumptions!$B$10+Assumptions!$B$11+Assumptions!$B$12),0)</f>
        <v>2167038</v>
      </c>
      <c r="D43" s="357" t="n">
        <f aca="false">C43*0.05</f>
        <v>108351.9</v>
      </c>
      <c r="E43" s="357" t="n">
        <f aca="false">B43+D43</f>
        <v>108351.9</v>
      </c>
      <c r="F43" s="358" t="n">
        <f aca="false">Projects!$C$45+Projects!$D$45-1</f>
        <v>73</v>
      </c>
      <c r="G43" s="359" t="n">
        <f aca="false">EDATE(DATE(2026,4,1),F43-1)</f>
        <v>48305</v>
      </c>
    </row>
    <row r="44" customFormat="false" ht="15" hidden="false" customHeight="true" outlineLevel="0" collapsed="false">
      <c r="A44" s="177" t="s">
        <v>49</v>
      </c>
      <c r="B44" s="178" t="n">
        <v>0</v>
      </c>
      <c r="C44" s="357" t="n">
        <f aca="false">IF(Projects!$G$46="Yes",Projects!$B$46*(Assumptions!$B$10+Assumptions!$B$11+Assumptions!$B$12),0)</f>
        <v>1805865</v>
      </c>
      <c r="D44" s="357" t="n">
        <f aca="false">C44*0.05</f>
        <v>90293.25</v>
      </c>
      <c r="E44" s="357" t="n">
        <f aca="false">B44+D44</f>
        <v>90293.25</v>
      </c>
      <c r="F44" s="358" t="n">
        <f aca="false">Projects!$C$46+Projects!$D$46-1</f>
        <v>74</v>
      </c>
      <c r="G44" s="359" t="n">
        <f aca="false">EDATE(DATE(2026,4,1),F44-1)</f>
        <v>48335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7375E"/>
    <pageSetUpPr fitToPage="false"/>
  </sheetPr>
  <dimension ref="A1:C40"/>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109375" defaultRowHeight="13.5" zeroHeight="false" outlineLevelRow="0" outlineLevelCol="0"/>
  <cols>
    <col collapsed="false" customWidth="true" hidden="false" outlineLevel="0" max="1" min="1" style="1" width="46"/>
    <col collapsed="false" customWidth="true" hidden="false" outlineLevel="0" max="2" min="2" style="1" width="12"/>
    <col collapsed="false" customWidth="true" hidden="false" outlineLevel="0" max="3" min="3" style="1" width="58"/>
  </cols>
  <sheetData>
    <row r="1" customFormat="false" ht="15.75" hidden="false" customHeight="true" outlineLevel="0" collapsed="false">
      <c r="A1" s="94" t="s">
        <v>1232</v>
      </c>
    </row>
    <row r="2" customFormat="false" ht="15" hidden="false" customHeight="true" outlineLevel="0" collapsed="false">
      <c r="A2" s="72" t="s">
        <v>1233</v>
      </c>
    </row>
    <row r="4" customFormat="false" ht="15" hidden="false" customHeight="true" outlineLevel="0" collapsed="false">
      <c r="A4" s="23" t="s">
        <v>1234</v>
      </c>
      <c r="B4" s="23"/>
      <c r="C4" s="23"/>
    </row>
    <row r="5" customFormat="false" ht="15" hidden="false" customHeight="true" outlineLevel="0" collapsed="false">
      <c r="A5" s="177" t="s">
        <v>1235</v>
      </c>
      <c r="B5" s="178" t="n">
        <v>180000</v>
      </c>
      <c r="C5" s="72" t="s">
        <v>1236</v>
      </c>
    </row>
    <row r="6" customFormat="false" ht="15" hidden="false" customHeight="true" outlineLevel="0" collapsed="false">
      <c r="A6" s="177" t="s">
        <v>1237</v>
      </c>
      <c r="B6" s="360" t="n">
        <v>1</v>
      </c>
      <c r="C6" s="72" t="s">
        <v>489</v>
      </c>
    </row>
    <row r="7" customFormat="false" ht="15" hidden="false" customHeight="true" outlineLevel="0" collapsed="false">
      <c r="A7" s="177" t="s">
        <v>1238</v>
      </c>
      <c r="B7" s="360" t="n">
        <v>7</v>
      </c>
      <c r="C7" s="72" t="s">
        <v>1239</v>
      </c>
    </row>
    <row r="8" customFormat="false" ht="15" hidden="false" customHeight="true" outlineLevel="0" collapsed="false">
      <c r="A8" s="177" t="s">
        <v>1240</v>
      </c>
      <c r="B8" s="357" t="n">
        <f aca="false">B5/B7</f>
        <v>25714.2857142857</v>
      </c>
      <c r="C8" s="72" t="s">
        <v>1241</v>
      </c>
    </row>
    <row r="9" customFormat="false" ht="15" hidden="false" customHeight="true" outlineLevel="0" collapsed="false">
      <c r="A9" s="177" t="s">
        <v>1242</v>
      </c>
      <c r="B9" s="178" t="n">
        <v>2500</v>
      </c>
      <c r="C9" s="72" t="s">
        <v>1243</v>
      </c>
    </row>
    <row r="10" customFormat="false" ht="15" hidden="false" customHeight="true" outlineLevel="0" collapsed="false">
      <c r="A10" s="177" t="s">
        <v>1244</v>
      </c>
      <c r="B10" s="360" t="n">
        <v>9</v>
      </c>
      <c r="C10" s="72" t="s">
        <v>1245</v>
      </c>
    </row>
    <row r="11" customFormat="false" ht="15" hidden="false" customHeight="true" outlineLevel="0" collapsed="false">
      <c r="A11" s="177" t="s">
        <v>1246</v>
      </c>
      <c r="B11" s="360" t="n">
        <v>30</v>
      </c>
      <c r="C11" s="72" t="s">
        <v>1247</v>
      </c>
    </row>
    <row r="12" customFormat="false" ht="15" hidden="false" customHeight="true" outlineLevel="0" collapsed="false">
      <c r="A12" s="177" t="s">
        <v>1248</v>
      </c>
      <c r="B12" s="178" t="n">
        <v>2694</v>
      </c>
      <c r="C12" s="72" t="s">
        <v>1249</v>
      </c>
    </row>
    <row r="13" customFormat="false" ht="15" hidden="false" customHeight="true" outlineLevel="0" collapsed="false">
      <c r="A13" s="177" t="s">
        <v>1250</v>
      </c>
      <c r="B13" s="360" t="n">
        <v>2</v>
      </c>
      <c r="C13" s="72" t="s">
        <v>490</v>
      </c>
    </row>
    <row r="14" customFormat="false" ht="15" hidden="false" customHeight="true" outlineLevel="0" collapsed="false">
      <c r="A14" s="177" t="s">
        <v>1251</v>
      </c>
      <c r="B14" s="360" t="n">
        <v>15</v>
      </c>
      <c r="C14" s="72" t="s">
        <v>1252</v>
      </c>
    </row>
    <row r="15" customFormat="false" ht="15" hidden="false" customHeight="true" outlineLevel="0" collapsed="false">
      <c r="A15" s="177" t="s">
        <v>1253</v>
      </c>
      <c r="B15" s="178" t="n">
        <v>2500</v>
      </c>
      <c r="C15" s="72" t="s">
        <v>1254</v>
      </c>
    </row>
    <row r="16" customFormat="false" ht="15" hidden="false" customHeight="true" outlineLevel="0" collapsed="false">
      <c r="A16" s="177" t="s">
        <v>1255</v>
      </c>
      <c r="B16" s="360" t="n">
        <v>2</v>
      </c>
      <c r="C16" s="72" t="s">
        <v>490</v>
      </c>
    </row>
    <row r="17" customFormat="false" ht="15" hidden="false" customHeight="true" outlineLevel="0" collapsed="false">
      <c r="A17" s="177" t="s">
        <v>1256</v>
      </c>
      <c r="B17" s="360" t="n">
        <v>30</v>
      </c>
      <c r="C17" s="72" t="s">
        <v>1257</v>
      </c>
    </row>
    <row r="18" customFormat="false" ht="15" hidden="false" customHeight="true" outlineLevel="0" collapsed="false">
      <c r="A18" s="177" t="s">
        <v>1258</v>
      </c>
      <c r="B18" s="178" t="n">
        <v>7500</v>
      </c>
      <c r="C18" s="72" t="s">
        <v>1259</v>
      </c>
    </row>
    <row r="19" customFormat="false" ht="15" hidden="false" customHeight="true" outlineLevel="0" collapsed="false">
      <c r="A19" s="177" t="s">
        <v>1260</v>
      </c>
      <c r="B19" s="360" t="n">
        <v>2</v>
      </c>
      <c r="C19" s="72" t="s">
        <v>490</v>
      </c>
    </row>
    <row r="20" customFormat="false" ht="15" hidden="false" customHeight="true" outlineLevel="0" collapsed="false">
      <c r="A20" s="177" t="s">
        <v>1261</v>
      </c>
      <c r="B20" s="178" t="n">
        <v>32000</v>
      </c>
      <c r="C20" s="72" t="s">
        <v>1262</v>
      </c>
    </row>
    <row r="21" customFormat="false" ht="15" hidden="false" customHeight="true" outlineLevel="0" collapsed="false">
      <c r="A21" s="177" t="s">
        <v>1263</v>
      </c>
      <c r="B21" s="178" t="n">
        <v>600000</v>
      </c>
      <c r="C21" s="72" t="s">
        <v>1264</v>
      </c>
    </row>
    <row r="22" customFormat="false" ht="15" hidden="false" customHeight="true" outlineLevel="0" collapsed="false">
      <c r="A22" s="177" t="s">
        <v>1265</v>
      </c>
      <c r="B22" s="360" t="n">
        <v>7</v>
      </c>
      <c r="C22" s="72" t="s">
        <v>1266</v>
      </c>
    </row>
    <row r="23" customFormat="false" ht="15" hidden="false" customHeight="true" outlineLevel="0" collapsed="false">
      <c r="A23" s="177" t="s">
        <v>1267</v>
      </c>
      <c r="B23" s="360" t="n">
        <v>12</v>
      </c>
      <c r="C23" s="72" t="s">
        <v>1268</v>
      </c>
    </row>
    <row r="24" customFormat="false" ht="15" hidden="false" customHeight="true" outlineLevel="0" collapsed="false">
      <c r="A24" s="177" t="s">
        <v>1269</v>
      </c>
      <c r="B24" s="357" t="n">
        <f aca="false">B21/B23</f>
        <v>50000</v>
      </c>
      <c r="C24" s="72" t="s">
        <v>1241</v>
      </c>
    </row>
    <row r="25" customFormat="false" ht="15" hidden="false" customHeight="true" outlineLevel="0" collapsed="false">
      <c r="A25" s="177" t="s">
        <v>1270</v>
      </c>
      <c r="B25" s="178" t="n">
        <v>2500</v>
      </c>
      <c r="C25" s="72" t="s">
        <v>1264</v>
      </c>
    </row>
    <row r="26" customFormat="false" ht="15" hidden="false" customHeight="true" outlineLevel="0" collapsed="false">
      <c r="A26" s="177" t="s">
        <v>1271</v>
      </c>
      <c r="B26" s="360" t="n">
        <v>22</v>
      </c>
      <c r="C26" s="72" t="s">
        <v>1272</v>
      </c>
    </row>
    <row r="27" customFormat="false" ht="15" hidden="false" customHeight="true" outlineLevel="0" collapsed="false">
      <c r="A27" s="177" t="s">
        <v>1273</v>
      </c>
      <c r="B27" s="360" t="n">
        <v>30</v>
      </c>
      <c r="C27" s="72" t="s">
        <v>1274</v>
      </c>
    </row>
    <row r="28" customFormat="false" ht="15" hidden="false" customHeight="true" outlineLevel="0" collapsed="false">
      <c r="A28" s="23" t="s">
        <v>1275</v>
      </c>
      <c r="B28" s="23"/>
      <c r="C28" s="23"/>
    </row>
    <row r="29" customFormat="false" ht="15" hidden="false" customHeight="true" outlineLevel="0" collapsed="false">
      <c r="A29" s="177" t="s">
        <v>1276</v>
      </c>
      <c r="B29" s="178" t="n">
        <v>12500</v>
      </c>
      <c r="C29" s="72" t="s">
        <v>1277</v>
      </c>
    </row>
    <row r="30" customFormat="false" ht="15" hidden="false" customHeight="true" outlineLevel="0" collapsed="false">
      <c r="A30" s="177" t="s">
        <v>1278</v>
      </c>
      <c r="B30" s="360" t="n">
        <v>18750</v>
      </c>
      <c r="C30" s="72" t="s">
        <v>1279</v>
      </c>
    </row>
    <row r="31" customFormat="false" ht="15" hidden="false" customHeight="true" outlineLevel="0" collapsed="false">
      <c r="A31" s="177" t="s">
        <v>1280</v>
      </c>
      <c r="B31" s="358" t="n">
        <f aca="false">B22</f>
        <v>7</v>
      </c>
      <c r="C31" s="72" t="s">
        <v>1281</v>
      </c>
    </row>
    <row r="32" customFormat="false" ht="15" hidden="false" customHeight="true" outlineLevel="0" collapsed="false">
      <c r="A32" s="177" t="s">
        <v>1282</v>
      </c>
      <c r="B32" s="178" t="n">
        <v>365</v>
      </c>
      <c r="C32" s="72" t="s">
        <v>1283</v>
      </c>
    </row>
    <row r="33" customFormat="false" ht="15" hidden="false" customHeight="true" outlineLevel="0" collapsed="false">
      <c r="A33" s="177" t="s">
        <v>1284</v>
      </c>
      <c r="B33" s="178" t="n">
        <v>8000</v>
      </c>
      <c r="C33" s="72" t="s">
        <v>1285</v>
      </c>
    </row>
    <row r="34" customFormat="false" ht="15" hidden="false" customHeight="true" outlineLevel="0" collapsed="false">
      <c r="A34" s="177" t="s">
        <v>1286</v>
      </c>
      <c r="B34" s="360" t="n">
        <v>5000</v>
      </c>
      <c r="C34" s="72" t="s">
        <v>1287</v>
      </c>
    </row>
    <row r="35" customFormat="false" ht="15" hidden="false" customHeight="true" outlineLevel="0" collapsed="false">
      <c r="A35" s="177" t="s">
        <v>1288</v>
      </c>
      <c r="B35" s="360" t="n">
        <v>2500</v>
      </c>
      <c r="C35" s="72" t="s">
        <v>1289</v>
      </c>
    </row>
    <row r="36" customFormat="false" ht="15" hidden="false" customHeight="true" outlineLevel="0" collapsed="false">
      <c r="A36" s="177" t="s">
        <v>1290</v>
      </c>
      <c r="B36" s="360" t="n">
        <v>2</v>
      </c>
      <c r="C36" s="72" t="s">
        <v>490</v>
      </c>
    </row>
    <row r="38" customFormat="false" ht="15" hidden="false" customHeight="true" outlineLevel="0" collapsed="false">
      <c r="A38" s="23" t="s">
        <v>1291</v>
      </c>
    </row>
    <row r="39" customFormat="false" ht="15" hidden="false" customHeight="true" outlineLevel="0" collapsed="false">
      <c r="A39" s="177" t="s">
        <v>1292</v>
      </c>
      <c r="B39" s="361" t="n">
        <v>0.6</v>
      </c>
      <c r="C39" s="72" t="s">
        <v>1293</v>
      </c>
    </row>
    <row r="40" customFormat="false" ht="15" hidden="false" customHeight="true" outlineLevel="0" collapsed="false">
      <c r="A40" s="177" t="s">
        <v>1294</v>
      </c>
      <c r="B40" s="178" t="n">
        <v>10</v>
      </c>
      <c r="C40" s="72" t="s">
        <v>1295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7375E"/>
    <pageSetUpPr fitToPage="false"/>
  </sheetPr>
  <dimension ref="A1:AN39"/>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7109375" defaultRowHeight="13.5" zeroHeight="false" outlineLevelRow="0" outlineLevelCol="0"/>
  <cols>
    <col collapsed="false" customWidth="true" hidden="false" outlineLevel="0" max="1" min="1" style="1" width="36"/>
    <col collapsed="false" customWidth="true" hidden="false" outlineLevel="0" max="40" min="2" style="1" width="12.42"/>
  </cols>
  <sheetData>
    <row r="1" customFormat="false" ht="15.75" hidden="false" customHeight="true" outlineLevel="0" collapsed="false">
      <c r="A1" s="94" t="s">
        <v>1296</v>
      </c>
    </row>
    <row r="3" customFormat="false" ht="15" hidden="false" customHeight="true" outlineLevel="0" collapsed="false">
      <c r="A3" s="49" t="s">
        <v>1</v>
      </c>
      <c r="B3" s="362" t="n">
        <v>1</v>
      </c>
      <c r="C3" s="362" t="n">
        <v>2</v>
      </c>
      <c r="D3" s="362" t="n">
        <v>3</v>
      </c>
      <c r="E3" s="362" t="n">
        <v>4</v>
      </c>
      <c r="F3" s="362" t="n">
        <v>5</v>
      </c>
      <c r="G3" s="362" t="n">
        <v>6</v>
      </c>
      <c r="H3" s="362" t="n">
        <v>7</v>
      </c>
      <c r="I3" s="362" t="n">
        <v>8</v>
      </c>
      <c r="J3" s="362" t="n">
        <v>9</v>
      </c>
      <c r="K3" s="362" t="n">
        <v>10</v>
      </c>
      <c r="L3" s="362" t="n">
        <v>11</v>
      </c>
      <c r="M3" s="362" t="n">
        <v>12</v>
      </c>
      <c r="N3" s="362" t="n">
        <v>13</v>
      </c>
      <c r="O3" s="362" t="n">
        <v>14</v>
      </c>
      <c r="P3" s="362" t="n">
        <v>15</v>
      </c>
      <c r="Q3" s="362" t="n">
        <v>16</v>
      </c>
      <c r="R3" s="362" t="n">
        <v>17</v>
      </c>
      <c r="S3" s="362" t="n">
        <v>18</v>
      </c>
      <c r="T3" s="362" t="n">
        <v>19</v>
      </c>
      <c r="U3" s="362" t="n">
        <v>20</v>
      </c>
      <c r="V3" s="362" t="n">
        <v>21</v>
      </c>
      <c r="W3" s="362" t="n">
        <v>22</v>
      </c>
      <c r="X3" s="362" t="n">
        <v>23</v>
      </c>
      <c r="Y3" s="362" t="n">
        <v>24</v>
      </c>
      <c r="Z3" s="362" t="n">
        <v>25</v>
      </c>
      <c r="AA3" s="362" t="n">
        <v>26</v>
      </c>
      <c r="AB3" s="362" t="n">
        <v>27</v>
      </c>
      <c r="AC3" s="362" t="n">
        <v>28</v>
      </c>
      <c r="AD3" s="362" t="n">
        <v>29</v>
      </c>
      <c r="AE3" s="362" t="n">
        <v>30</v>
      </c>
      <c r="AF3" s="362" t="n">
        <v>31</v>
      </c>
      <c r="AG3" s="362" t="n">
        <v>32</v>
      </c>
      <c r="AH3" s="362" t="n">
        <v>33</v>
      </c>
      <c r="AI3" s="362" t="n">
        <v>34</v>
      </c>
      <c r="AJ3" s="362" t="n">
        <v>35</v>
      </c>
      <c r="AK3" s="362" t="n">
        <v>36</v>
      </c>
      <c r="AL3" s="362" t="n">
        <v>37</v>
      </c>
      <c r="AM3" s="362" t="n">
        <v>38</v>
      </c>
      <c r="AN3" s="362"/>
    </row>
    <row r="4" customFormat="false" ht="15" hidden="false" customHeight="true" outlineLevel="0" collapsed="false">
      <c r="A4" s="5"/>
      <c r="B4" s="5" t="n">
        <v>46204</v>
      </c>
      <c r="C4" s="5" t="n">
        <v>46235</v>
      </c>
      <c r="D4" s="5" t="n">
        <v>46266</v>
      </c>
      <c r="E4" s="5" t="n">
        <v>46296</v>
      </c>
      <c r="F4" s="5" t="n">
        <v>46327</v>
      </c>
      <c r="G4" s="5" t="n">
        <v>46357</v>
      </c>
      <c r="H4" s="5" t="n">
        <v>46388</v>
      </c>
      <c r="I4" s="5" t="n">
        <v>46419</v>
      </c>
      <c r="J4" s="5" t="n">
        <v>46447</v>
      </c>
      <c r="K4" s="5" t="n">
        <v>46478</v>
      </c>
      <c r="L4" s="5" t="n">
        <v>46508</v>
      </c>
      <c r="M4" s="5" t="n">
        <v>46539</v>
      </c>
      <c r="N4" s="5" t="n">
        <v>46569</v>
      </c>
      <c r="O4" s="5" t="n">
        <v>46600</v>
      </c>
      <c r="P4" s="5" t="n">
        <v>46631</v>
      </c>
      <c r="Q4" s="5" t="n">
        <v>46661</v>
      </c>
      <c r="R4" s="5" t="n">
        <v>46692</v>
      </c>
      <c r="S4" s="5" t="n">
        <v>46722</v>
      </c>
      <c r="T4" s="5" t="n">
        <v>46753</v>
      </c>
      <c r="U4" s="5" t="n">
        <v>46784</v>
      </c>
      <c r="V4" s="5" t="n">
        <v>46813</v>
      </c>
      <c r="W4" s="5" t="n">
        <v>46844</v>
      </c>
      <c r="X4" s="5" t="n">
        <v>46874</v>
      </c>
      <c r="Y4" s="5" t="n">
        <v>46905</v>
      </c>
      <c r="Z4" s="5" t="n">
        <v>46935</v>
      </c>
      <c r="AA4" s="5" t="n">
        <v>46966</v>
      </c>
      <c r="AB4" s="5" t="n">
        <v>46997</v>
      </c>
      <c r="AC4" s="5" t="n">
        <v>47027</v>
      </c>
      <c r="AD4" s="5" t="n">
        <v>47058</v>
      </c>
      <c r="AE4" s="5" t="n">
        <v>47088</v>
      </c>
      <c r="AF4" s="5" t="n">
        <v>47119</v>
      </c>
      <c r="AG4" s="5" t="n">
        <v>47150</v>
      </c>
      <c r="AH4" s="5" t="n">
        <v>47178</v>
      </c>
      <c r="AI4" s="5" t="n">
        <v>47209</v>
      </c>
      <c r="AJ4" s="5" t="n">
        <v>47239</v>
      </c>
      <c r="AK4" s="5" t="n">
        <v>47270</v>
      </c>
      <c r="AL4" s="5" t="n">
        <v>47300</v>
      </c>
      <c r="AM4" s="5" t="n">
        <v>47331</v>
      </c>
      <c r="AN4" s="5" t="s">
        <v>472</v>
      </c>
    </row>
    <row r="6" customFormat="false" ht="15" hidden="false" customHeight="true" outlineLevel="0" collapsed="false">
      <c r="A6" s="23" t="s">
        <v>1234</v>
      </c>
      <c r="B6" s="23"/>
      <c r="C6" s="23"/>
      <c r="D6" s="23"/>
      <c r="E6" s="23"/>
      <c r="F6" s="23"/>
      <c r="G6" s="23"/>
      <c r="H6" s="23"/>
      <c r="I6" s="23"/>
      <c r="J6" s="23"/>
      <c r="K6" s="23"/>
      <c r="L6" s="23"/>
      <c r="M6" s="23"/>
      <c r="N6" s="23"/>
      <c r="O6" s="23"/>
      <c r="P6" s="23"/>
      <c r="Q6" s="23"/>
      <c r="R6" s="23"/>
      <c r="S6" s="23"/>
      <c r="T6" s="23"/>
      <c r="U6" s="23"/>
      <c r="V6" s="23"/>
      <c r="W6" s="23"/>
      <c r="X6" s="23"/>
      <c r="Y6" s="23"/>
      <c r="Z6" s="23"/>
      <c r="AA6" s="23"/>
      <c r="AB6" s="23"/>
      <c r="AC6" s="23"/>
      <c r="AD6" s="23"/>
      <c r="AE6" s="23"/>
      <c r="AF6" s="23"/>
      <c r="AG6" s="23"/>
      <c r="AH6" s="23"/>
      <c r="AI6" s="23"/>
      <c r="AJ6" s="23"/>
      <c r="AK6" s="23"/>
      <c r="AL6" s="23"/>
      <c r="AM6" s="23"/>
      <c r="AN6" s="23"/>
    </row>
    <row r="7" customFormat="false" ht="15" hidden="false" customHeight="true" outlineLevel="0" collapsed="false">
      <c r="A7" s="125" t="s">
        <v>1297</v>
      </c>
      <c r="B7" s="357" t="n">
        <f aca="false">IF(AND(B$3&gt;='APA Assumptions'!$B$6,B$3&lt;'APA Assumptions'!$B$6+'APA Assumptions'!$B$7),'APA Assumptions'!$B$8,0)</f>
        <v>25714.2857142857</v>
      </c>
      <c r="C7" s="357" t="n">
        <f aca="false">IF(AND(C$3&gt;='APA Assumptions'!$B$6,C$3&lt;'APA Assumptions'!$B$6+'APA Assumptions'!$B$7),'APA Assumptions'!$B$8,0)</f>
        <v>25714.2857142857</v>
      </c>
      <c r="D7" s="357" t="n">
        <f aca="false">IF(AND(D$3&gt;='APA Assumptions'!$B$6,D$3&lt;'APA Assumptions'!$B$6+'APA Assumptions'!$B$7),'APA Assumptions'!$B$8,0)</f>
        <v>25714.2857142857</v>
      </c>
      <c r="E7" s="357" t="n">
        <f aca="false">IF(AND(E$3&gt;='APA Assumptions'!$B$6,E$3&lt;'APA Assumptions'!$B$6+'APA Assumptions'!$B$7),'APA Assumptions'!$B$8,0)</f>
        <v>25714.2857142857</v>
      </c>
      <c r="F7" s="357" t="n">
        <f aca="false">IF(AND(F$3&gt;='APA Assumptions'!$B$6,F$3&lt;'APA Assumptions'!$B$6+'APA Assumptions'!$B$7),'APA Assumptions'!$B$8,0)</f>
        <v>25714.2857142857</v>
      </c>
      <c r="G7" s="357" t="n">
        <f aca="false">IF(AND(G$3&gt;='APA Assumptions'!$B$6,G$3&lt;'APA Assumptions'!$B$6+'APA Assumptions'!$B$7),'APA Assumptions'!$B$8,0)</f>
        <v>25714.2857142857</v>
      </c>
      <c r="H7" s="357" t="n">
        <f aca="false">IF(AND(H$3&gt;='APA Assumptions'!$B$6,H$3&lt;'APA Assumptions'!$B$6+'APA Assumptions'!$B$7),'APA Assumptions'!$B$8,0)</f>
        <v>25714.2857142857</v>
      </c>
      <c r="I7" s="357" t="n">
        <f aca="false">IF(AND(I$3&gt;='APA Assumptions'!$B$6,I$3&lt;'APA Assumptions'!$B$6+'APA Assumptions'!$B$7),'APA Assumptions'!$B$8,0)</f>
        <v>0</v>
      </c>
      <c r="J7" s="357" t="n">
        <f aca="false">IF(AND(J$3&gt;='APA Assumptions'!$B$6,J$3&lt;'APA Assumptions'!$B$6+'APA Assumptions'!$B$7),'APA Assumptions'!$B$8,0)</f>
        <v>0</v>
      </c>
      <c r="K7" s="357" t="n">
        <f aca="false">IF(AND(K$3&gt;='APA Assumptions'!$B$6,K$3&lt;'APA Assumptions'!$B$6+'APA Assumptions'!$B$7),'APA Assumptions'!$B$8,0)</f>
        <v>0</v>
      </c>
      <c r="L7" s="357" t="n">
        <f aca="false">IF(AND(L$3&gt;='APA Assumptions'!$B$6,L$3&lt;'APA Assumptions'!$B$6+'APA Assumptions'!$B$7),'APA Assumptions'!$B$8,0)</f>
        <v>0</v>
      </c>
      <c r="M7" s="357" t="n">
        <f aca="false">IF(AND(M$3&gt;='APA Assumptions'!$B$6,M$3&lt;'APA Assumptions'!$B$6+'APA Assumptions'!$B$7),'APA Assumptions'!$B$8,0)</f>
        <v>0</v>
      </c>
      <c r="N7" s="357" t="n">
        <f aca="false">IF(AND(N$3&gt;='APA Assumptions'!$B$6,N$3&lt;'APA Assumptions'!$B$6+'APA Assumptions'!$B$7),'APA Assumptions'!$B$8,0)</f>
        <v>0</v>
      </c>
      <c r="O7" s="357" t="n">
        <f aca="false">IF(AND(O$3&gt;='APA Assumptions'!$B$6,O$3&lt;'APA Assumptions'!$B$6+'APA Assumptions'!$B$7),'APA Assumptions'!$B$8,0)</f>
        <v>0</v>
      </c>
      <c r="P7" s="357" t="n">
        <f aca="false">IF(AND(P$3&gt;='APA Assumptions'!$B$6,P$3&lt;'APA Assumptions'!$B$6+'APA Assumptions'!$B$7),'APA Assumptions'!$B$8,0)</f>
        <v>0</v>
      </c>
      <c r="Q7" s="357" t="n">
        <f aca="false">IF(AND(Q$3&gt;='APA Assumptions'!$B$6,Q$3&lt;'APA Assumptions'!$B$6+'APA Assumptions'!$B$7),'APA Assumptions'!$B$8,0)</f>
        <v>0</v>
      </c>
      <c r="R7" s="357" t="n">
        <f aca="false">IF(AND(R$3&gt;='APA Assumptions'!$B$6,R$3&lt;'APA Assumptions'!$B$6+'APA Assumptions'!$B$7),'APA Assumptions'!$B$8,0)</f>
        <v>0</v>
      </c>
      <c r="S7" s="357" t="n">
        <f aca="false">IF(AND(S$3&gt;='APA Assumptions'!$B$6,S$3&lt;'APA Assumptions'!$B$6+'APA Assumptions'!$B$7),'APA Assumptions'!$B$8,0)</f>
        <v>0</v>
      </c>
      <c r="T7" s="357" t="n">
        <f aca="false">IF(AND(T$3&gt;='APA Assumptions'!$B$6,T$3&lt;'APA Assumptions'!$B$6+'APA Assumptions'!$B$7),'APA Assumptions'!$B$8,0)</f>
        <v>0</v>
      </c>
      <c r="U7" s="357" t="n">
        <f aca="false">IF(AND(U$3&gt;='APA Assumptions'!$B$6,U$3&lt;'APA Assumptions'!$B$6+'APA Assumptions'!$B$7),'APA Assumptions'!$B$8,0)</f>
        <v>0</v>
      </c>
      <c r="V7" s="357" t="n">
        <f aca="false">IF(AND(V$3&gt;='APA Assumptions'!$B$6,V$3&lt;'APA Assumptions'!$B$6+'APA Assumptions'!$B$7),'APA Assumptions'!$B$8,0)</f>
        <v>0</v>
      </c>
      <c r="W7" s="357" t="n">
        <f aca="false">IF(AND(W$3&gt;='APA Assumptions'!$B$6,W$3&lt;'APA Assumptions'!$B$6+'APA Assumptions'!$B$7),'APA Assumptions'!$B$8,0)</f>
        <v>0</v>
      </c>
      <c r="X7" s="357" t="n">
        <f aca="false">IF(AND(X$3&gt;='APA Assumptions'!$B$6,X$3&lt;'APA Assumptions'!$B$6+'APA Assumptions'!$B$7),'APA Assumptions'!$B$8,0)</f>
        <v>0</v>
      </c>
      <c r="Y7" s="357" t="n">
        <f aca="false">IF(AND(Y$3&gt;='APA Assumptions'!$B$6,Y$3&lt;'APA Assumptions'!$B$6+'APA Assumptions'!$B$7),'APA Assumptions'!$B$8,0)</f>
        <v>0</v>
      </c>
      <c r="Z7" s="357" t="n">
        <f aca="false">IF(AND(Z$3&gt;='APA Assumptions'!$B$6,Z$3&lt;'APA Assumptions'!$B$6+'APA Assumptions'!$B$7),'APA Assumptions'!$B$8,0)</f>
        <v>0</v>
      </c>
      <c r="AA7" s="357" t="n">
        <f aca="false">IF(AND(AA$3&gt;='APA Assumptions'!$B$6,AA$3&lt;'APA Assumptions'!$B$6+'APA Assumptions'!$B$7),'APA Assumptions'!$B$8,0)</f>
        <v>0</v>
      </c>
      <c r="AB7" s="357" t="n">
        <f aca="false">IF(AND(AB$3&gt;='APA Assumptions'!$B$6,AB$3&lt;'APA Assumptions'!$B$6+'APA Assumptions'!$B$7),'APA Assumptions'!$B$8,0)</f>
        <v>0</v>
      </c>
      <c r="AC7" s="357" t="n">
        <f aca="false">IF(AND(AC$3&gt;='APA Assumptions'!$B$6,AC$3&lt;'APA Assumptions'!$B$6+'APA Assumptions'!$B$7),'APA Assumptions'!$B$8,0)</f>
        <v>0</v>
      </c>
      <c r="AD7" s="357" t="n">
        <f aca="false">IF(AND(AD$3&gt;='APA Assumptions'!$B$6,AD$3&lt;'APA Assumptions'!$B$6+'APA Assumptions'!$B$7),'APA Assumptions'!$B$8,0)</f>
        <v>0</v>
      </c>
      <c r="AE7" s="357" t="n">
        <f aca="false">IF(AND(AE$3&gt;='APA Assumptions'!$B$6,AE$3&lt;'APA Assumptions'!$B$6+'APA Assumptions'!$B$7),'APA Assumptions'!$B$8,0)</f>
        <v>0</v>
      </c>
      <c r="AF7" s="357" t="n">
        <f aca="false">IF(AND(AF$3&gt;='APA Assumptions'!$B$6,AF$3&lt;'APA Assumptions'!$B$6+'APA Assumptions'!$B$7),'APA Assumptions'!$B$8,0)</f>
        <v>0</v>
      </c>
      <c r="AG7" s="357" t="n">
        <f aca="false">IF(AND(AG$3&gt;='APA Assumptions'!$B$6,AG$3&lt;'APA Assumptions'!$B$6+'APA Assumptions'!$B$7),'APA Assumptions'!$B$8,0)</f>
        <v>0</v>
      </c>
      <c r="AH7" s="357" t="n">
        <f aca="false">IF(AND(AH$3&gt;='APA Assumptions'!$B$6,AH$3&lt;'APA Assumptions'!$B$6+'APA Assumptions'!$B$7),'APA Assumptions'!$B$8,0)</f>
        <v>0</v>
      </c>
      <c r="AI7" s="357" t="n">
        <f aca="false">IF(AND(AI$3&gt;='APA Assumptions'!$B$6,AI$3&lt;'APA Assumptions'!$B$6+'APA Assumptions'!$B$7),'APA Assumptions'!$B$8,0)</f>
        <v>0</v>
      </c>
      <c r="AJ7" s="357" t="n">
        <f aca="false">IF(AND(AJ$3&gt;='APA Assumptions'!$B$6,AJ$3&lt;'APA Assumptions'!$B$6+'APA Assumptions'!$B$7),'APA Assumptions'!$B$8,0)</f>
        <v>0</v>
      </c>
      <c r="AK7" s="357" t="n">
        <f aca="false">IF(AND(AK$3&gt;='APA Assumptions'!$B$6,AK$3&lt;'APA Assumptions'!$B$6+'APA Assumptions'!$B$7),'APA Assumptions'!$B$8,0)</f>
        <v>0</v>
      </c>
      <c r="AL7" s="357" t="n">
        <f aca="false">IF(AND(AL$3&gt;='APA Assumptions'!$B$6,AL$3&lt;'APA Assumptions'!$B$6+'APA Assumptions'!$B$7),'APA Assumptions'!$B$8,0)</f>
        <v>0</v>
      </c>
      <c r="AM7" s="357" t="n">
        <f aca="false">IF(AND(AM$3&gt;='APA Assumptions'!$B$6,AM$3&lt;'APA Assumptions'!$B$6+'APA Assumptions'!$B$7),'APA Assumptions'!$B$8,0)</f>
        <v>0</v>
      </c>
      <c r="AN7" s="357" t="n">
        <f aca="false">SUM(B7:AM7)</f>
        <v>180000</v>
      </c>
    </row>
    <row r="8" customFormat="false" ht="15" hidden="false" customHeight="true" outlineLevel="0" collapsed="false">
      <c r="A8" s="125" t="s">
        <v>1298</v>
      </c>
      <c r="B8" s="357" t="n">
        <f aca="false">IF(AND(B$3&gt;='APA Assumptions'!$B$10,B$3&lt;'APA Assumptions'!$B$10+'APA Assumptions'!$B$11),'APA Assumptions'!$B$9,0)</f>
        <v>0</v>
      </c>
      <c r="C8" s="357" t="n">
        <f aca="false">IF(AND(C$3&gt;='APA Assumptions'!$B$10,C$3&lt;'APA Assumptions'!$B$10+'APA Assumptions'!$B$11),'APA Assumptions'!$B$9,0)</f>
        <v>0</v>
      </c>
      <c r="D8" s="357" t="n">
        <f aca="false">IF(AND(D$3&gt;='APA Assumptions'!$B$10,D$3&lt;'APA Assumptions'!$B$10+'APA Assumptions'!$B$11),'APA Assumptions'!$B$9,0)</f>
        <v>0</v>
      </c>
      <c r="E8" s="357" t="n">
        <f aca="false">IF(AND(E$3&gt;='APA Assumptions'!$B$10,E$3&lt;'APA Assumptions'!$B$10+'APA Assumptions'!$B$11),'APA Assumptions'!$B$9,0)</f>
        <v>0</v>
      </c>
      <c r="F8" s="357" t="n">
        <f aca="false">IF(AND(F$3&gt;='APA Assumptions'!$B$10,F$3&lt;'APA Assumptions'!$B$10+'APA Assumptions'!$B$11),'APA Assumptions'!$B$9,0)</f>
        <v>0</v>
      </c>
      <c r="G8" s="357" t="n">
        <f aca="false">IF(AND(G$3&gt;='APA Assumptions'!$B$10,G$3&lt;'APA Assumptions'!$B$10+'APA Assumptions'!$B$11),'APA Assumptions'!$B$9,0)</f>
        <v>0</v>
      </c>
      <c r="H8" s="357" t="n">
        <f aca="false">IF(AND(H$3&gt;='APA Assumptions'!$B$10,H$3&lt;'APA Assumptions'!$B$10+'APA Assumptions'!$B$11),'APA Assumptions'!$B$9,0)</f>
        <v>0</v>
      </c>
      <c r="I8" s="357" t="n">
        <f aca="false">IF(AND(I$3&gt;='APA Assumptions'!$B$10,I$3&lt;'APA Assumptions'!$B$10+'APA Assumptions'!$B$11),'APA Assumptions'!$B$9,0)</f>
        <v>0</v>
      </c>
      <c r="J8" s="357" t="n">
        <f aca="false">IF(AND(J$3&gt;='APA Assumptions'!$B$10,J$3&lt;'APA Assumptions'!$B$10+'APA Assumptions'!$B$11),'APA Assumptions'!$B$9,0)</f>
        <v>2500</v>
      </c>
      <c r="K8" s="357" t="n">
        <f aca="false">IF(AND(K$3&gt;='APA Assumptions'!$B$10,K$3&lt;'APA Assumptions'!$B$10+'APA Assumptions'!$B$11),'APA Assumptions'!$B$9,0)</f>
        <v>2500</v>
      </c>
      <c r="L8" s="357" t="n">
        <f aca="false">IF(AND(L$3&gt;='APA Assumptions'!$B$10,L$3&lt;'APA Assumptions'!$B$10+'APA Assumptions'!$B$11),'APA Assumptions'!$B$9,0)</f>
        <v>2500</v>
      </c>
      <c r="M8" s="357" t="n">
        <f aca="false">IF(AND(M$3&gt;='APA Assumptions'!$B$10,M$3&lt;'APA Assumptions'!$B$10+'APA Assumptions'!$B$11),'APA Assumptions'!$B$9,0)</f>
        <v>2500</v>
      </c>
      <c r="N8" s="357" t="n">
        <f aca="false">IF(AND(N$3&gt;='APA Assumptions'!$B$10,N$3&lt;'APA Assumptions'!$B$10+'APA Assumptions'!$B$11),'APA Assumptions'!$B$9,0)</f>
        <v>2500</v>
      </c>
      <c r="O8" s="357" t="n">
        <f aca="false">IF(AND(O$3&gt;='APA Assumptions'!$B$10,O$3&lt;'APA Assumptions'!$B$10+'APA Assumptions'!$B$11),'APA Assumptions'!$B$9,0)</f>
        <v>2500</v>
      </c>
      <c r="P8" s="357" t="n">
        <f aca="false">IF(AND(P$3&gt;='APA Assumptions'!$B$10,P$3&lt;'APA Assumptions'!$B$10+'APA Assumptions'!$B$11),'APA Assumptions'!$B$9,0)</f>
        <v>2500</v>
      </c>
      <c r="Q8" s="357" t="n">
        <f aca="false">IF(AND(Q$3&gt;='APA Assumptions'!$B$10,Q$3&lt;'APA Assumptions'!$B$10+'APA Assumptions'!$B$11),'APA Assumptions'!$B$9,0)</f>
        <v>2500</v>
      </c>
      <c r="R8" s="357" t="n">
        <f aca="false">IF(AND(R$3&gt;='APA Assumptions'!$B$10,R$3&lt;'APA Assumptions'!$B$10+'APA Assumptions'!$B$11),'APA Assumptions'!$B$9,0)</f>
        <v>2500</v>
      </c>
      <c r="S8" s="357" t="n">
        <f aca="false">IF(AND(S$3&gt;='APA Assumptions'!$B$10,S$3&lt;'APA Assumptions'!$B$10+'APA Assumptions'!$B$11),'APA Assumptions'!$B$9,0)</f>
        <v>2500</v>
      </c>
      <c r="T8" s="357" t="n">
        <f aca="false">IF(AND(T$3&gt;='APA Assumptions'!$B$10,T$3&lt;'APA Assumptions'!$B$10+'APA Assumptions'!$B$11),'APA Assumptions'!$B$9,0)</f>
        <v>2500</v>
      </c>
      <c r="U8" s="357" t="n">
        <f aca="false">IF(AND(U$3&gt;='APA Assumptions'!$B$10,U$3&lt;'APA Assumptions'!$B$10+'APA Assumptions'!$B$11),'APA Assumptions'!$B$9,0)</f>
        <v>2500</v>
      </c>
      <c r="V8" s="357" t="n">
        <f aca="false">IF(AND(V$3&gt;='APA Assumptions'!$B$10,V$3&lt;'APA Assumptions'!$B$10+'APA Assumptions'!$B$11),'APA Assumptions'!$B$9,0)</f>
        <v>2500</v>
      </c>
      <c r="W8" s="357" t="n">
        <f aca="false">IF(AND(W$3&gt;='APA Assumptions'!$B$10,W$3&lt;'APA Assumptions'!$B$10+'APA Assumptions'!$B$11),'APA Assumptions'!$B$9,0)</f>
        <v>2500</v>
      </c>
      <c r="X8" s="357" t="n">
        <f aca="false">IF(AND(X$3&gt;='APA Assumptions'!$B$10,X$3&lt;'APA Assumptions'!$B$10+'APA Assumptions'!$B$11),'APA Assumptions'!$B$9,0)</f>
        <v>2500</v>
      </c>
      <c r="Y8" s="357" t="n">
        <f aca="false">IF(AND(Y$3&gt;='APA Assumptions'!$B$10,Y$3&lt;'APA Assumptions'!$B$10+'APA Assumptions'!$B$11),'APA Assumptions'!$B$9,0)</f>
        <v>2500</v>
      </c>
      <c r="Z8" s="357" t="n">
        <f aca="false">IF(AND(Z$3&gt;='APA Assumptions'!$B$10,Z$3&lt;'APA Assumptions'!$B$10+'APA Assumptions'!$B$11),'APA Assumptions'!$B$9,0)</f>
        <v>2500</v>
      </c>
      <c r="AA8" s="357" t="n">
        <f aca="false">IF(AND(AA$3&gt;='APA Assumptions'!$B$10,AA$3&lt;'APA Assumptions'!$B$10+'APA Assumptions'!$B$11),'APA Assumptions'!$B$9,0)</f>
        <v>2500</v>
      </c>
      <c r="AB8" s="357" t="n">
        <f aca="false">IF(AND(AB$3&gt;='APA Assumptions'!$B$10,AB$3&lt;'APA Assumptions'!$B$10+'APA Assumptions'!$B$11),'APA Assumptions'!$B$9,0)</f>
        <v>2500</v>
      </c>
      <c r="AC8" s="357" t="n">
        <f aca="false">IF(AND(AC$3&gt;='APA Assumptions'!$B$10,AC$3&lt;'APA Assumptions'!$B$10+'APA Assumptions'!$B$11),'APA Assumptions'!$B$9,0)</f>
        <v>2500</v>
      </c>
      <c r="AD8" s="357" t="n">
        <f aca="false">IF(AND(AD$3&gt;='APA Assumptions'!$B$10,AD$3&lt;'APA Assumptions'!$B$10+'APA Assumptions'!$B$11),'APA Assumptions'!$B$9,0)</f>
        <v>2500</v>
      </c>
      <c r="AE8" s="357" t="n">
        <f aca="false">IF(AND(AE$3&gt;='APA Assumptions'!$B$10,AE$3&lt;'APA Assumptions'!$B$10+'APA Assumptions'!$B$11),'APA Assumptions'!$B$9,0)</f>
        <v>2500</v>
      </c>
      <c r="AF8" s="357" t="n">
        <f aca="false">IF(AND(AF$3&gt;='APA Assumptions'!$B$10,AF$3&lt;'APA Assumptions'!$B$10+'APA Assumptions'!$B$11),'APA Assumptions'!$B$9,0)</f>
        <v>2500</v>
      </c>
      <c r="AG8" s="357" t="n">
        <f aca="false">IF(AND(AG$3&gt;='APA Assumptions'!$B$10,AG$3&lt;'APA Assumptions'!$B$10+'APA Assumptions'!$B$11),'APA Assumptions'!$B$9,0)</f>
        <v>2500</v>
      </c>
      <c r="AH8" s="357" t="n">
        <f aca="false">IF(AND(AH$3&gt;='APA Assumptions'!$B$10,AH$3&lt;'APA Assumptions'!$B$10+'APA Assumptions'!$B$11),'APA Assumptions'!$B$9,0)</f>
        <v>2500</v>
      </c>
      <c r="AI8" s="357" t="n">
        <f aca="false">IF(AND(AI$3&gt;='APA Assumptions'!$B$10,AI$3&lt;'APA Assumptions'!$B$10+'APA Assumptions'!$B$11),'APA Assumptions'!$B$9,0)</f>
        <v>2500</v>
      </c>
      <c r="AJ8" s="357" t="n">
        <f aca="false">IF(AND(AJ$3&gt;='APA Assumptions'!$B$10,AJ$3&lt;'APA Assumptions'!$B$10+'APA Assumptions'!$B$11),'APA Assumptions'!$B$9,0)</f>
        <v>2500</v>
      </c>
      <c r="AK8" s="357" t="n">
        <f aca="false">IF(AND(AK$3&gt;='APA Assumptions'!$B$10,AK$3&lt;'APA Assumptions'!$B$10+'APA Assumptions'!$B$11),'APA Assumptions'!$B$9,0)</f>
        <v>2500</v>
      </c>
      <c r="AL8" s="357" t="n">
        <f aca="false">IF(AND(AL$3&gt;='APA Assumptions'!$B$10,AL$3&lt;'APA Assumptions'!$B$10+'APA Assumptions'!$B$11),'APA Assumptions'!$B$9,0)</f>
        <v>2500</v>
      </c>
      <c r="AM8" s="357" t="n">
        <f aca="false">IF(AND(AM$3&gt;='APA Assumptions'!$B$10,AM$3&lt;'APA Assumptions'!$B$10+'APA Assumptions'!$B$11),'APA Assumptions'!$B$9,0)</f>
        <v>2500</v>
      </c>
      <c r="AN8" s="357" t="n">
        <f aca="false">SUM(B8:AM8)</f>
        <v>75000</v>
      </c>
    </row>
    <row r="9" customFormat="false" ht="15" hidden="false" customHeight="true" outlineLevel="0" collapsed="false">
      <c r="A9" s="125" t="s">
        <v>1299</v>
      </c>
      <c r="B9" s="357" t="n">
        <f aca="false">IF(AND(B$3&gt;='APA Assumptions'!$B$13,B$3&lt;'APA Assumptions'!$B$13+'APA Assumptions'!$B$14),'APA Assumptions'!$B$12,0)</f>
        <v>0</v>
      </c>
      <c r="C9" s="357" t="n">
        <f aca="false">IF(AND(C$3&gt;='APA Assumptions'!$B$13,C$3&lt;'APA Assumptions'!$B$13+'APA Assumptions'!$B$14),'APA Assumptions'!$B$12,0)</f>
        <v>2694</v>
      </c>
      <c r="D9" s="357" t="n">
        <f aca="false">IF(AND(D$3&gt;='APA Assumptions'!$B$13,D$3&lt;'APA Assumptions'!$B$13+'APA Assumptions'!$B$14),'APA Assumptions'!$B$12,0)</f>
        <v>2694</v>
      </c>
      <c r="E9" s="357" t="n">
        <f aca="false">IF(AND(E$3&gt;='APA Assumptions'!$B$13,E$3&lt;'APA Assumptions'!$B$13+'APA Assumptions'!$B$14),'APA Assumptions'!$B$12,0)</f>
        <v>2694</v>
      </c>
      <c r="F9" s="357" t="n">
        <f aca="false">IF(AND(F$3&gt;='APA Assumptions'!$B$13,F$3&lt;'APA Assumptions'!$B$13+'APA Assumptions'!$B$14),'APA Assumptions'!$B$12,0)</f>
        <v>2694</v>
      </c>
      <c r="G9" s="357" t="n">
        <f aca="false">IF(AND(G$3&gt;='APA Assumptions'!$B$13,G$3&lt;'APA Assumptions'!$B$13+'APA Assumptions'!$B$14),'APA Assumptions'!$B$12,0)</f>
        <v>2694</v>
      </c>
      <c r="H9" s="357" t="n">
        <f aca="false">IF(AND(H$3&gt;='APA Assumptions'!$B$13,H$3&lt;'APA Assumptions'!$B$13+'APA Assumptions'!$B$14),'APA Assumptions'!$B$12,0)</f>
        <v>2694</v>
      </c>
      <c r="I9" s="357" t="n">
        <f aca="false">IF(AND(I$3&gt;='APA Assumptions'!$B$13,I$3&lt;'APA Assumptions'!$B$13+'APA Assumptions'!$B$14),'APA Assumptions'!$B$12,0)</f>
        <v>2694</v>
      </c>
      <c r="J9" s="357" t="n">
        <f aca="false">IF(AND(J$3&gt;='APA Assumptions'!$B$13,J$3&lt;'APA Assumptions'!$B$13+'APA Assumptions'!$B$14),'APA Assumptions'!$B$12,0)</f>
        <v>2694</v>
      </c>
      <c r="K9" s="357" t="n">
        <f aca="false">IF(AND(K$3&gt;='APA Assumptions'!$B$13,K$3&lt;'APA Assumptions'!$B$13+'APA Assumptions'!$B$14),'APA Assumptions'!$B$12,0)</f>
        <v>2694</v>
      </c>
      <c r="L9" s="357" t="n">
        <f aca="false">IF(AND(L$3&gt;='APA Assumptions'!$B$13,L$3&lt;'APA Assumptions'!$B$13+'APA Assumptions'!$B$14),'APA Assumptions'!$B$12,0)</f>
        <v>2694</v>
      </c>
      <c r="M9" s="357" t="n">
        <f aca="false">IF(AND(M$3&gt;='APA Assumptions'!$B$13,M$3&lt;'APA Assumptions'!$B$13+'APA Assumptions'!$B$14),'APA Assumptions'!$B$12,0)</f>
        <v>2694</v>
      </c>
      <c r="N9" s="357" t="n">
        <f aca="false">IF(AND(N$3&gt;='APA Assumptions'!$B$13,N$3&lt;'APA Assumptions'!$B$13+'APA Assumptions'!$B$14),'APA Assumptions'!$B$12,0)</f>
        <v>2694</v>
      </c>
      <c r="O9" s="357" t="n">
        <f aca="false">IF(AND(O$3&gt;='APA Assumptions'!$B$13,O$3&lt;'APA Assumptions'!$B$13+'APA Assumptions'!$B$14),'APA Assumptions'!$B$12,0)</f>
        <v>2694</v>
      </c>
      <c r="P9" s="357" t="n">
        <f aca="false">IF(AND(P$3&gt;='APA Assumptions'!$B$13,P$3&lt;'APA Assumptions'!$B$13+'APA Assumptions'!$B$14),'APA Assumptions'!$B$12,0)</f>
        <v>2694</v>
      </c>
      <c r="Q9" s="357" t="n">
        <f aca="false">IF(AND(Q$3&gt;='APA Assumptions'!$B$13,Q$3&lt;'APA Assumptions'!$B$13+'APA Assumptions'!$B$14),'APA Assumptions'!$B$12,0)</f>
        <v>2694</v>
      </c>
      <c r="R9" s="357" t="n">
        <f aca="false">IF(AND(R$3&gt;='APA Assumptions'!$B$13,R$3&lt;'APA Assumptions'!$B$13+'APA Assumptions'!$B$14),'APA Assumptions'!$B$12,0)</f>
        <v>0</v>
      </c>
      <c r="S9" s="357" t="n">
        <f aca="false">IF(AND(S$3&gt;='APA Assumptions'!$B$13,S$3&lt;'APA Assumptions'!$B$13+'APA Assumptions'!$B$14),'APA Assumptions'!$B$12,0)</f>
        <v>0</v>
      </c>
      <c r="T9" s="357" t="n">
        <f aca="false">IF(AND(T$3&gt;='APA Assumptions'!$B$13,T$3&lt;'APA Assumptions'!$B$13+'APA Assumptions'!$B$14),'APA Assumptions'!$B$12,0)</f>
        <v>0</v>
      </c>
      <c r="U9" s="357" t="n">
        <f aca="false">IF(AND(U$3&gt;='APA Assumptions'!$B$13,U$3&lt;'APA Assumptions'!$B$13+'APA Assumptions'!$B$14),'APA Assumptions'!$B$12,0)</f>
        <v>0</v>
      </c>
      <c r="V9" s="357" t="n">
        <f aca="false">IF(AND(V$3&gt;='APA Assumptions'!$B$13,V$3&lt;'APA Assumptions'!$B$13+'APA Assumptions'!$B$14),'APA Assumptions'!$B$12,0)</f>
        <v>0</v>
      </c>
      <c r="W9" s="357" t="n">
        <f aca="false">IF(AND(W$3&gt;='APA Assumptions'!$B$13,W$3&lt;'APA Assumptions'!$B$13+'APA Assumptions'!$B$14),'APA Assumptions'!$B$12,0)</f>
        <v>0</v>
      </c>
      <c r="X9" s="357" t="n">
        <f aca="false">IF(AND(X$3&gt;='APA Assumptions'!$B$13,X$3&lt;'APA Assumptions'!$B$13+'APA Assumptions'!$B$14),'APA Assumptions'!$B$12,0)</f>
        <v>0</v>
      </c>
      <c r="Y9" s="357" t="n">
        <f aca="false">IF(AND(Y$3&gt;='APA Assumptions'!$B$13,Y$3&lt;'APA Assumptions'!$B$13+'APA Assumptions'!$B$14),'APA Assumptions'!$B$12,0)</f>
        <v>0</v>
      </c>
      <c r="Z9" s="357" t="n">
        <f aca="false">IF(AND(Z$3&gt;='APA Assumptions'!$B$13,Z$3&lt;'APA Assumptions'!$B$13+'APA Assumptions'!$B$14),'APA Assumptions'!$B$12,0)</f>
        <v>0</v>
      </c>
      <c r="AA9" s="357" t="n">
        <f aca="false">IF(AND(AA$3&gt;='APA Assumptions'!$B$13,AA$3&lt;'APA Assumptions'!$B$13+'APA Assumptions'!$B$14),'APA Assumptions'!$B$12,0)</f>
        <v>0</v>
      </c>
      <c r="AB9" s="357" t="n">
        <f aca="false">IF(AND(AB$3&gt;='APA Assumptions'!$B$13,AB$3&lt;'APA Assumptions'!$B$13+'APA Assumptions'!$B$14),'APA Assumptions'!$B$12,0)</f>
        <v>0</v>
      </c>
      <c r="AC9" s="357" t="n">
        <f aca="false">IF(AND(AC$3&gt;='APA Assumptions'!$B$13,AC$3&lt;'APA Assumptions'!$B$13+'APA Assumptions'!$B$14),'APA Assumptions'!$B$12,0)</f>
        <v>0</v>
      </c>
      <c r="AD9" s="357" t="n">
        <f aca="false">IF(AND(AD$3&gt;='APA Assumptions'!$B$13,AD$3&lt;'APA Assumptions'!$B$13+'APA Assumptions'!$B$14),'APA Assumptions'!$B$12,0)</f>
        <v>0</v>
      </c>
      <c r="AE9" s="357" t="n">
        <f aca="false">IF(AND(AE$3&gt;='APA Assumptions'!$B$13,AE$3&lt;'APA Assumptions'!$B$13+'APA Assumptions'!$B$14),'APA Assumptions'!$B$12,0)</f>
        <v>0</v>
      </c>
      <c r="AF9" s="357" t="n">
        <f aca="false">IF(AND(AF$3&gt;='APA Assumptions'!$B$13,AF$3&lt;'APA Assumptions'!$B$13+'APA Assumptions'!$B$14),'APA Assumptions'!$B$12,0)</f>
        <v>0</v>
      </c>
      <c r="AG9" s="357" t="n">
        <f aca="false">IF(AND(AG$3&gt;='APA Assumptions'!$B$13,AG$3&lt;'APA Assumptions'!$B$13+'APA Assumptions'!$B$14),'APA Assumptions'!$B$12,0)</f>
        <v>0</v>
      </c>
      <c r="AH9" s="357" t="n">
        <f aca="false">IF(AND(AH$3&gt;='APA Assumptions'!$B$13,AH$3&lt;'APA Assumptions'!$B$13+'APA Assumptions'!$B$14),'APA Assumptions'!$B$12,0)</f>
        <v>0</v>
      </c>
      <c r="AI9" s="357" t="n">
        <f aca="false">IF(AND(AI$3&gt;='APA Assumptions'!$B$13,AI$3&lt;'APA Assumptions'!$B$13+'APA Assumptions'!$B$14),'APA Assumptions'!$B$12,0)</f>
        <v>0</v>
      </c>
      <c r="AJ9" s="357" t="n">
        <f aca="false">IF(AND(AJ$3&gt;='APA Assumptions'!$B$13,AJ$3&lt;'APA Assumptions'!$B$13+'APA Assumptions'!$B$14),'APA Assumptions'!$B$12,0)</f>
        <v>0</v>
      </c>
      <c r="AK9" s="357" t="n">
        <f aca="false">IF(AND(AK$3&gt;='APA Assumptions'!$B$13,AK$3&lt;'APA Assumptions'!$B$13+'APA Assumptions'!$B$14),'APA Assumptions'!$B$12,0)</f>
        <v>0</v>
      </c>
      <c r="AL9" s="357" t="n">
        <f aca="false">IF(AND(AL$3&gt;='APA Assumptions'!$B$13,AL$3&lt;'APA Assumptions'!$B$13+'APA Assumptions'!$B$14),'APA Assumptions'!$B$12,0)</f>
        <v>0</v>
      </c>
      <c r="AM9" s="357" t="n">
        <f aca="false">IF(AND(AM$3&gt;='APA Assumptions'!$B$13,AM$3&lt;'APA Assumptions'!$B$13+'APA Assumptions'!$B$14),'APA Assumptions'!$B$12,0)</f>
        <v>0</v>
      </c>
      <c r="AN9" s="357" t="n">
        <f aca="false">SUM(B9:AM9)</f>
        <v>40410</v>
      </c>
    </row>
    <row r="10" customFormat="false" ht="15" hidden="false" customHeight="true" outlineLevel="0" collapsed="false">
      <c r="A10" s="125" t="s">
        <v>1300</v>
      </c>
      <c r="B10" s="357" t="n">
        <f aca="false">IF(AND(B$3&gt;='APA Assumptions'!$B$16,B$3&lt;'APA Assumptions'!$B$16+'APA Assumptions'!$B$17),'APA Assumptions'!$B$15,0)</f>
        <v>0</v>
      </c>
      <c r="C10" s="357" t="n">
        <f aca="false">IF(AND(C$3&gt;='APA Assumptions'!$B$16,C$3&lt;'APA Assumptions'!$B$16+'APA Assumptions'!$B$17),'APA Assumptions'!$B$15,0)</f>
        <v>2500</v>
      </c>
      <c r="D10" s="357" t="n">
        <f aca="false">IF(AND(D$3&gt;='APA Assumptions'!$B$16,D$3&lt;'APA Assumptions'!$B$16+'APA Assumptions'!$B$17),'APA Assumptions'!$B$15,0)</f>
        <v>2500</v>
      </c>
      <c r="E10" s="357" t="n">
        <f aca="false">IF(AND(E$3&gt;='APA Assumptions'!$B$16,E$3&lt;'APA Assumptions'!$B$16+'APA Assumptions'!$B$17),'APA Assumptions'!$B$15,0)</f>
        <v>2500</v>
      </c>
      <c r="F10" s="357" t="n">
        <f aca="false">IF(AND(F$3&gt;='APA Assumptions'!$B$16,F$3&lt;'APA Assumptions'!$B$16+'APA Assumptions'!$B$17),'APA Assumptions'!$B$15,0)</f>
        <v>2500</v>
      </c>
      <c r="G10" s="357" t="n">
        <f aca="false">IF(AND(G$3&gt;='APA Assumptions'!$B$16,G$3&lt;'APA Assumptions'!$B$16+'APA Assumptions'!$B$17),'APA Assumptions'!$B$15,0)</f>
        <v>2500</v>
      </c>
      <c r="H10" s="357" t="n">
        <f aca="false">IF(AND(H$3&gt;='APA Assumptions'!$B$16,H$3&lt;'APA Assumptions'!$B$16+'APA Assumptions'!$B$17),'APA Assumptions'!$B$15,0)</f>
        <v>2500</v>
      </c>
      <c r="I10" s="357" t="n">
        <f aca="false">IF(AND(I$3&gt;='APA Assumptions'!$B$16,I$3&lt;'APA Assumptions'!$B$16+'APA Assumptions'!$B$17),'APA Assumptions'!$B$15,0)</f>
        <v>2500</v>
      </c>
      <c r="J10" s="357" t="n">
        <f aca="false">IF(AND(J$3&gt;='APA Assumptions'!$B$16,J$3&lt;'APA Assumptions'!$B$16+'APA Assumptions'!$B$17),'APA Assumptions'!$B$15,0)</f>
        <v>2500</v>
      </c>
      <c r="K10" s="357" t="n">
        <f aca="false">IF(AND(K$3&gt;='APA Assumptions'!$B$16,K$3&lt;'APA Assumptions'!$B$16+'APA Assumptions'!$B$17),'APA Assumptions'!$B$15,0)</f>
        <v>2500</v>
      </c>
      <c r="L10" s="357" t="n">
        <f aca="false">IF(AND(L$3&gt;='APA Assumptions'!$B$16,L$3&lt;'APA Assumptions'!$B$16+'APA Assumptions'!$B$17),'APA Assumptions'!$B$15,0)</f>
        <v>2500</v>
      </c>
      <c r="M10" s="357" t="n">
        <f aca="false">IF(AND(M$3&gt;='APA Assumptions'!$B$16,M$3&lt;'APA Assumptions'!$B$16+'APA Assumptions'!$B$17),'APA Assumptions'!$B$15,0)</f>
        <v>2500</v>
      </c>
      <c r="N10" s="357" t="n">
        <f aca="false">IF(AND(N$3&gt;='APA Assumptions'!$B$16,N$3&lt;'APA Assumptions'!$B$16+'APA Assumptions'!$B$17),'APA Assumptions'!$B$15,0)</f>
        <v>2500</v>
      </c>
      <c r="O10" s="357" t="n">
        <f aca="false">IF(AND(O$3&gt;='APA Assumptions'!$B$16,O$3&lt;'APA Assumptions'!$B$16+'APA Assumptions'!$B$17),'APA Assumptions'!$B$15,0)</f>
        <v>2500</v>
      </c>
      <c r="P10" s="357" t="n">
        <f aca="false">IF(AND(P$3&gt;='APA Assumptions'!$B$16,P$3&lt;'APA Assumptions'!$B$16+'APA Assumptions'!$B$17),'APA Assumptions'!$B$15,0)</f>
        <v>2500</v>
      </c>
      <c r="Q10" s="357" t="n">
        <f aca="false">IF(AND(Q$3&gt;='APA Assumptions'!$B$16,Q$3&lt;'APA Assumptions'!$B$16+'APA Assumptions'!$B$17),'APA Assumptions'!$B$15,0)</f>
        <v>2500</v>
      </c>
      <c r="R10" s="357" t="n">
        <f aca="false">IF(AND(R$3&gt;='APA Assumptions'!$B$16,R$3&lt;'APA Assumptions'!$B$16+'APA Assumptions'!$B$17),'APA Assumptions'!$B$15,0)</f>
        <v>2500</v>
      </c>
      <c r="S10" s="357" t="n">
        <f aca="false">IF(AND(S$3&gt;='APA Assumptions'!$B$16,S$3&lt;'APA Assumptions'!$B$16+'APA Assumptions'!$B$17),'APA Assumptions'!$B$15,0)</f>
        <v>2500</v>
      </c>
      <c r="T10" s="357" t="n">
        <f aca="false">IF(AND(T$3&gt;='APA Assumptions'!$B$16,T$3&lt;'APA Assumptions'!$B$16+'APA Assumptions'!$B$17),'APA Assumptions'!$B$15,0)</f>
        <v>2500</v>
      </c>
      <c r="U10" s="357" t="n">
        <f aca="false">IF(AND(U$3&gt;='APA Assumptions'!$B$16,U$3&lt;'APA Assumptions'!$B$16+'APA Assumptions'!$B$17),'APA Assumptions'!$B$15,0)</f>
        <v>2500</v>
      </c>
      <c r="V10" s="357" t="n">
        <f aca="false">IF(AND(V$3&gt;='APA Assumptions'!$B$16,V$3&lt;'APA Assumptions'!$B$16+'APA Assumptions'!$B$17),'APA Assumptions'!$B$15,0)</f>
        <v>2500</v>
      </c>
      <c r="W10" s="357" t="n">
        <f aca="false">IF(AND(W$3&gt;='APA Assumptions'!$B$16,W$3&lt;'APA Assumptions'!$B$16+'APA Assumptions'!$B$17),'APA Assumptions'!$B$15,0)</f>
        <v>2500</v>
      </c>
      <c r="X10" s="357" t="n">
        <f aca="false">IF(AND(X$3&gt;='APA Assumptions'!$B$16,X$3&lt;'APA Assumptions'!$B$16+'APA Assumptions'!$B$17),'APA Assumptions'!$B$15,0)</f>
        <v>2500</v>
      </c>
      <c r="Y10" s="357" t="n">
        <f aca="false">IF(AND(Y$3&gt;='APA Assumptions'!$B$16,Y$3&lt;'APA Assumptions'!$B$16+'APA Assumptions'!$B$17),'APA Assumptions'!$B$15,0)</f>
        <v>2500</v>
      </c>
      <c r="Z10" s="357" t="n">
        <f aca="false">IF(AND(Z$3&gt;='APA Assumptions'!$B$16,Z$3&lt;'APA Assumptions'!$B$16+'APA Assumptions'!$B$17),'APA Assumptions'!$B$15,0)</f>
        <v>2500</v>
      </c>
      <c r="AA10" s="357" t="n">
        <f aca="false">IF(AND(AA$3&gt;='APA Assumptions'!$B$16,AA$3&lt;'APA Assumptions'!$B$16+'APA Assumptions'!$B$17),'APA Assumptions'!$B$15,0)</f>
        <v>2500</v>
      </c>
      <c r="AB10" s="357" t="n">
        <f aca="false">IF(AND(AB$3&gt;='APA Assumptions'!$B$16,AB$3&lt;'APA Assumptions'!$B$16+'APA Assumptions'!$B$17),'APA Assumptions'!$B$15,0)</f>
        <v>2500</v>
      </c>
      <c r="AC10" s="357" t="n">
        <f aca="false">IF(AND(AC$3&gt;='APA Assumptions'!$B$16,AC$3&lt;'APA Assumptions'!$B$16+'APA Assumptions'!$B$17),'APA Assumptions'!$B$15,0)</f>
        <v>2500</v>
      </c>
      <c r="AD10" s="357" t="n">
        <f aca="false">IF(AND(AD$3&gt;='APA Assumptions'!$B$16,AD$3&lt;'APA Assumptions'!$B$16+'APA Assumptions'!$B$17),'APA Assumptions'!$B$15,0)</f>
        <v>2500</v>
      </c>
      <c r="AE10" s="357" t="n">
        <f aca="false">IF(AND(AE$3&gt;='APA Assumptions'!$B$16,AE$3&lt;'APA Assumptions'!$B$16+'APA Assumptions'!$B$17),'APA Assumptions'!$B$15,0)</f>
        <v>2500</v>
      </c>
      <c r="AF10" s="357" t="n">
        <f aca="false">IF(AND(AF$3&gt;='APA Assumptions'!$B$16,AF$3&lt;'APA Assumptions'!$B$16+'APA Assumptions'!$B$17),'APA Assumptions'!$B$15,0)</f>
        <v>2500</v>
      </c>
      <c r="AG10" s="357" t="n">
        <f aca="false">IF(AND(AG$3&gt;='APA Assumptions'!$B$16,AG$3&lt;'APA Assumptions'!$B$16+'APA Assumptions'!$B$17),'APA Assumptions'!$B$15,0)</f>
        <v>0</v>
      </c>
      <c r="AH10" s="357" t="n">
        <f aca="false">IF(AND(AH$3&gt;='APA Assumptions'!$B$16,AH$3&lt;'APA Assumptions'!$B$16+'APA Assumptions'!$B$17),'APA Assumptions'!$B$15,0)</f>
        <v>0</v>
      </c>
      <c r="AI10" s="357" t="n">
        <f aca="false">IF(AND(AI$3&gt;='APA Assumptions'!$B$16,AI$3&lt;'APA Assumptions'!$B$16+'APA Assumptions'!$B$17),'APA Assumptions'!$B$15,0)</f>
        <v>0</v>
      </c>
      <c r="AJ10" s="357" t="n">
        <f aca="false">IF(AND(AJ$3&gt;='APA Assumptions'!$B$16,AJ$3&lt;'APA Assumptions'!$B$16+'APA Assumptions'!$B$17),'APA Assumptions'!$B$15,0)</f>
        <v>0</v>
      </c>
      <c r="AK10" s="357" t="n">
        <f aca="false">IF(AND(AK$3&gt;='APA Assumptions'!$B$16,AK$3&lt;'APA Assumptions'!$B$16+'APA Assumptions'!$B$17),'APA Assumptions'!$B$15,0)</f>
        <v>0</v>
      </c>
      <c r="AL10" s="357" t="n">
        <f aca="false">IF(AND(AL$3&gt;='APA Assumptions'!$B$16,AL$3&lt;'APA Assumptions'!$B$16+'APA Assumptions'!$B$17),'APA Assumptions'!$B$15,0)</f>
        <v>0</v>
      </c>
      <c r="AM10" s="357" t="n">
        <f aca="false">IF(AND(AM$3&gt;='APA Assumptions'!$B$16,AM$3&lt;'APA Assumptions'!$B$16+'APA Assumptions'!$B$17),'APA Assumptions'!$B$15,0)</f>
        <v>0</v>
      </c>
      <c r="AN10" s="357" t="n">
        <f aca="false">SUM(B10:AM10)</f>
        <v>75000</v>
      </c>
    </row>
    <row r="11" customFormat="false" ht="15" hidden="false" customHeight="true" outlineLevel="0" collapsed="false">
      <c r="A11" s="125" t="s">
        <v>1301</v>
      </c>
      <c r="B11" s="357" t="n">
        <f aca="false">IF(B$3&gt;='APA Assumptions'!$B$19,MAX(0,MIN('APA Assumptions'!$B$18,'APA Assumptions'!$B$20-'APA Assumptions'!$B$18*(B$3-'APA Assumptions'!$B$19))),0)</f>
        <v>0</v>
      </c>
      <c r="C11" s="357" t="n">
        <f aca="false">IF(C$3&gt;='APA Assumptions'!$B$19,MAX(0,MIN('APA Assumptions'!$B$18,'APA Assumptions'!$B$20-'APA Assumptions'!$B$18*(C$3-'APA Assumptions'!$B$19))),0)</f>
        <v>7500</v>
      </c>
      <c r="D11" s="357" t="n">
        <f aca="false">IF(D$3&gt;='APA Assumptions'!$B$19,MAX(0,MIN('APA Assumptions'!$B$18,'APA Assumptions'!$B$20-'APA Assumptions'!$B$18*(D$3-'APA Assumptions'!$B$19))),0)</f>
        <v>7500</v>
      </c>
      <c r="E11" s="357" t="n">
        <f aca="false">IF(E$3&gt;='APA Assumptions'!$B$19,MAX(0,MIN('APA Assumptions'!$B$18,'APA Assumptions'!$B$20-'APA Assumptions'!$B$18*(E$3-'APA Assumptions'!$B$19))),0)</f>
        <v>7500</v>
      </c>
      <c r="F11" s="357" t="n">
        <f aca="false">IF(F$3&gt;='APA Assumptions'!$B$19,MAX(0,MIN('APA Assumptions'!$B$18,'APA Assumptions'!$B$20-'APA Assumptions'!$B$18*(F$3-'APA Assumptions'!$B$19))),0)</f>
        <v>7500</v>
      </c>
      <c r="G11" s="357" t="n">
        <f aca="false">IF(G$3&gt;='APA Assumptions'!$B$19,MAX(0,MIN('APA Assumptions'!$B$18,'APA Assumptions'!$B$20-'APA Assumptions'!$B$18*(G$3-'APA Assumptions'!$B$19))),0)</f>
        <v>2000</v>
      </c>
      <c r="H11" s="357" t="n">
        <f aca="false">IF(H$3&gt;='APA Assumptions'!$B$19,MAX(0,MIN('APA Assumptions'!$B$18,'APA Assumptions'!$B$20-'APA Assumptions'!$B$18*(H$3-'APA Assumptions'!$B$19))),0)</f>
        <v>0</v>
      </c>
      <c r="I11" s="357" t="n">
        <f aca="false">IF(I$3&gt;='APA Assumptions'!$B$19,MAX(0,MIN('APA Assumptions'!$B$18,'APA Assumptions'!$B$20-'APA Assumptions'!$B$18*(I$3-'APA Assumptions'!$B$19))),0)</f>
        <v>0</v>
      </c>
      <c r="J11" s="357" t="n">
        <f aca="false">IF(J$3&gt;='APA Assumptions'!$B$19,MAX(0,MIN('APA Assumptions'!$B$18,'APA Assumptions'!$B$20-'APA Assumptions'!$B$18*(J$3-'APA Assumptions'!$B$19))),0)</f>
        <v>0</v>
      </c>
      <c r="K11" s="357" t="n">
        <f aca="false">IF(K$3&gt;='APA Assumptions'!$B$19,MAX(0,MIN('APA Assumptions'!$B$18,'APA Assumptions'!$B$20-'APA Assumptions'!$B$18*(K$3-'APA Assumptions'!$B$19))),0)</f>
        <v>0</v>
      </c>
      <c r="L11" s="357" t="n">
        <f aca="false">IF(L$3&gt;='APA Assumptions'!$B$19,MAX(0,MIN('APA Assumptions'!$B$18,'APA Assumptions'!$B$20-'APA Assumptions'!$B$18*(L$3-'APA Assumptions'!$B$19))),0)</f>
        <v>0</v>
      </c>
      <c r="M11" s="357" t="n">
        <f aca="false">IF(M$3&gt;='APA Assumptions'!$B$19,MAX(0,MIN('APA Assumptions'!$B$18,'APA Assumptions'!$B$20-'APA Assumptions'!$B$18*(M$3-'APA Assumptions'!$B$19))),0)</f>
        <v>0</v>
      </c>
      <c r="N11" s="357" t="n">
        <f aca="false">IF(N$3&gt;='APA Assumptions'!$B$19,MAX(0,MIN('APA Assumptions'!$B$18,'APA Assumptions'!$B$20-'APA Assumptions'!$B$18*(N$3-'APA Assumptions'!$B$19))),0)</f>
        <v>0</v>
      </c>
      <c r="O11" s="357" t="n">
        <f aca="false">IF(O$3&gt;='APA Assumptions'!$B$19,MAX(0,MIN('APA Assumptions'!$B$18,'APA Assumptions'!$B$20-'APA Assumptions'!$B$18*(O$3-'APA Assumptions'!$B$19))),0)</f>
        <v>0</v>
      </c>
      <c r="P11" s="357" t="n">
        <f aca="false">IF(P$3&gt;='APA Assumptions'!$B$19,MAX(0,MIN('APA Assumptions'!$B$18,'APA Assumptions'!$B$20-'APA Assumptions'!$B$18*(P$3-'APA Assumptions'!$B$19))),0)</f>
        <v>0</v>
      </c>
      <c r="Q11" s="357" t="n">
        <f aca="false">IF(Q$3&gt;='APA Assumptions'!$B$19,MAX(0,MIN('APA Assumptions'!$B$18,'APA Assumptions'!$B$20-'APA Assumptions'!$B$18*(Q$3-'APA Assumptions'!$B$19))),0)</f>
        <v>0</v>
      </c>
      <c r="R11" s="357" t="n">
        <f aca="false">IF(R$3&gt;='APA Assumptions'!$B$19,MAX(0,MIN('APA Assumptions'!$B$18,'APA Assumptions'!$B$20-'APA Assumptions'!$B$18*(R$3-'APA Assumptions'!$B$19))),0)</f>
        <v>0</v>
      </c>
      <c r="S11" s="357" t="n">
        <f aca="false">IF(S$3&gt;='APA Assumptions'!$B$19,MAX(0,MIN('APA Assumptions'!$B$18,'APA Assumptions'!$B$20-'APA Assumptions'!$B$18*(S$3-'APA Assumptions'!$B$19))),0)</f>
        <v>0</v>
      </c>
      <c r="T11" s="357" t="n">
        <f aca="false">IF(T$3&gt;='APA Assumptions'!$B$19,MAX(0,MIN('APA Assumptions'!$B$18,'APA Assumptions'!$B$20-'APA Assumptions'!$B$18*(T$3-'APA Assumptions'!$B$19))),0)</f>
        <v>0</v>
      </c>
      <c r="U11" s="357" t="n">
        <f aca="false">IF(U$3&gt;='APA Assumptions'!$B$19,MAX(0,MIN('APA Assumptions'!$B$18,'APA Assumptions'!$B$20-'APA Assumptions'!$B$18*(U$3-'APA Assumptions'!$B$19))),0)</f>
        <v>0</v>
      </c>
      <c r="V11" s="357" t="n">
        <f aca="false">IF(V$3&gt;='APA Assumptions'!$B$19,MAX(0,MIN('APA Assumptions'!$B$18,'APA Assumptions'!$B$20-'APA Assumptions'!$B$18*(V$3-'APA Assumptions'!$B$19))),0)</f>
        <v>0</v>
      </c>
      <c r="W11" s="357" t="n">
        <f aca="false">IF(W$3&gt;='APA Assumptions'!$B$19,MAX(0,MIN('APA Assumptions'!$B$18,'APA Assumptions'!$B$20-'APA Assumptions'!$B$18*(W$3-'APA Assumptions'!$B$19))),0)</f>
        <v>0</v>
      </c>
      <c r="X11" s="357" t="n">
        <f aca="false">IF(X$3&gt;='APA Assumptions'!$B$19,MAX(0,MIN('APA Assumptions'!$B$18,'APA Assumptions'!$B$20-'APA Assumptions'!$B$18*(X$3-'APA Assumptions'!$B$19))),0)</f>
        <v>0</v>
      </c>
      <c r="Y11" s="357" t="n">
        <f aca="false">IF(Y$3&gt;='APA Assumptions'!$B$19,MAX(0,MIN('APA Assumptions'!$B$18,'APA Assumptions'!$B$20-'APA Assumptions'!$B$18*(Y$3-'APA Assumptions'!$B$19))),0)</f>
        <v>0</v>
      </c>
      <c r="Z11" s="357" t="n">
        <f aca="false">IF(Z$3&gt;='APA Assumptions'!$B$19,MAX(0,MIN('APA Assumptions'!$B$18,'APA Assumptions'!$B$20-'APA Assumptions'!$B$18*(Z$3-'APA Assumptions'!$B$19))),0)</f>
        <v>0</v>
      </c>
      <c r="AA11" s="357" t="n">
        <f aca="false">IF(AA$3&gt;='APA Assumptions'!$B$19,MAX(0,MIN('APA Assumptions'!$B$18,'APA Assumptions'!$B$20-'APA Assumptions'!$B$18*(AA$3-'APA Assumptions'!$B$19))),0)</f>
        <v>0</v>
      </c>
      <c r="AB11" s="357" t="n">
        <f aca="false">IF(AB$3&gt;='APA Assumptions'!$B$19,MAX(0,MIN('APA Assumptions'!$B$18,'APA Assumptions'!$B$20-'APA Assumptions'!$B$18*(AB$3-'APA Assumptions'!$B$19))),0)</f>
        <v>0</v>
      </c>
      <c r="AC11" s="357" t="n">
        <f aca="false">IF(AC$3&gt;='APA Assumptions'!$B$19,MAX(0,MIN('APA Assumptions'!$B$18,'APA Assumptions'!$B$20-'APA Assumptions'!$B$18*(AC$3-'APA Assumptions'!$B$19))),0)</f>
        <v>0</v>
      </c>
      <c r="AD11" s="357" t="n">
        <f aca="false">IF(AD$3&gt;='APA Assumptions'!$B$19,MAX(0,MIN('APA Assumptions'!$B$18,'APA Assumptions'!$B$20-'APA Assumptions'!$B$18*(AD$3-'APA Assumptions'!$B$19))),0)</f>
        <v>0</v>
      </c>
      <c r="AE11" s="357" t="n">
        <f aca="false">IF(AE$3&gt;='APA Assumptions'!$B$19,MAX(0,MIN('APA Assumptions'!$B$18,'APA Assumptions'!$B$20-'APA Assumptions'!$B$18*(AE$3-'APA Assumptions'!$B$19))),0)</f>
        <v>0</v>
      </c>
      <c r="AF11" s="357" t="n">
        <f aca="false">IF(AF$3&gt;='APA Assumptions'!$B$19,MAX(0,MIN('APA Assumptions'!$B$18,'APA Assumptions'!$B$20-'APA Assumptions'!$B$18*(AF$3-'APA Assumptions'!$B$19))),0)</f>
        <v>0</v>
      </c>
      <c r="AG11" s="357" t="n">
        <f aca="false">IF(AG$3&gt;='APA Assumptions'!$B$19,MAX(0,MIN('APA Assumptions'!$B$18,'APA Assumptions'!$B$20-'APA Assumptions'!$B$18*(AG$3-'APA Assumptions'!$B$19))),0)</f>
        <v>0</v>
      </c>
      <c r="AH11" s="357" t="n">
        <f aca="false">IF(AH$3&gt;='APA Assumptions'!$B$19,MAX(0,MIN('APA Assumptions'!$B$18,'APA Assumptions'!$B$20-'APA Assumptions'!$B$18*(AH$3-'APA Assumptions'!$B$19))),0)</f>
        <v>0</v>
      </c>
      <c r="AI11" s="357" t="n">
        <f aca="false">IF(AI$3&gt;='APA Assumptions'!$B$19,MAX(0,MIN('APA Assumptions'!$B$18,'APA Assumptions'!$B$20-'APA Assumptions'!$B$18*(AI$3-'APA Assumptions'!$B$19))),0)</f>
        <v>0</v>
      </c>
      <c r="AJ11" s="357" t="n">
        <f aca="false">IF(AJ$3&gt;='APA Assumptions'!$B$19,MAX(0,MIN('APA Assumptions'!$B$18,'APA Assumptions'!$B$20-'APA Assumptions'!$B$18*(AJ$3-'APA Assumptions'!$B$19))),0)</f>
        <v>0</v>
      </c>
      <c r="AK11" s="357" t="n">
        <f aca="false">IF(AK$3&gt;='APA Assumptions'!$B$19,MAX(0,MIN('APA Assumptions'!$B$18,'APA Assumptions'!$B$20-'APA Assumptions'!$B$18*(AK$3-'APA Assumptions'!$B$19))),0)</f>
        <v>0</v>
      </c>
      <c r="AL11" s="357" t="n">
        <f aca="false">IF(AL$3&gt;='APA Assumptions'!$B$19,MAX(0,MIN('APA Assumptions'!$B$18,'APA Assumptions'!$B$20-'APA Assumptions'!$B$18*(AL$3-'APA Assumptions'!$B$19))),0)</f>
        <v>0</v>
      </c>
      <c r="AM11" s="357" t="n">
        <f aca="false">IF(AM$3&gt;='APA Assumptions'!$B$19,MAX(0,MIN('APA Assumptions'!$B$18,'APA Assumptions'!$B$20-'APA Assumptions'!$B$18*(AM$3-'APA Assumptions'!$B$19))),0)</f>
        <v>0</v>
      </c>
      <c r="AN11" s="357" t="n">
        <f aca="false">SUM(B11:AM11)</f>
        <v>32000</v>
      </c>
    </row>
    <row r="12" customFormat="false" ht="15" hidden="false" customHeight="true" outlineLevel="0" collapsed="false">
      <c r="A12" s="125" t="s">
        <v>1302</v>
      </c>
      <c r="B12" s="357" t="n">
        <f aca="false">IF(AND(B$3&gt;='APA Assumptions'!$B$22,B$3&lt;'APA Assumptions'!$B$22+'APA Assumptions'!$B$23),'APA Assumptions'!$B$24,0)</f>
        <v>0</v>
      </c>
      <c r="C12" s="357" t="n">
        <f aca="false">IF(AND(C$3&gt;='APA Assumptions'!$B$22,C$3&lt;'APA Assumptions'!$B$22+'APA Assumptions'!$B$23),'APA Assumptions'!$B$24,0)</f>
        <v>0</v>
      </c>
      <c r="D12" s="357" t="n">
        <f aca="false">IF(AND(D$3&gt;='APA Assumptions'!$B$22,D$3&lt;'APA Assumptions'!$B$22+'APA Assumptions'!$B$23),'APA Assumptions'!$B$24,0)</f>
        <v>0</v>
      </c>
      <c r="E12" s="357" t="n">
        <f aca="false">IF(AND(E$3&gt;='APA Assumptions'!$B$22,E$3&lt;'APA Assumptions'!$B$22+'APA Assumptions'!$B$23),'APA Assumptions'!$B$24,0)</f>
        <v>0</v>
      </c>
      <c r="F12" s="357" t="n">
        <f aca="false">IF(AND(F$3&gt;='APA Assumptions'!$B$22,F$3&lt;'APA Assumptions'!$B$22+'APA Assumptions'!$B$23),'APA Assumptions'!$B$24,0)</f>
        <v>0</v>
      </c>
      <c r="G12" s="357" t="n">
        <f aca="false">IF(AND(G$3&gt;='APA Assumptions'!$B$22,G$3&lt;'APA Assumptions'!$B$22+'APA Assumptions'!$B$23),'APA Assumptions'!$B$24,0)</f>
        <v>0</v>
      </c>
      <c r="H12" s="357" t="n">
        <f aca="false">IF(AND(H$3&gt;='APA Assumptions'!$B$22,H$3&lt;'APA Assumptions'!$B$22+'APA Assumptions'!$B$23),'APA Assumptions'!$B$24,0)</f>
        <v>50000</v>
      </c>
      <c r="I12" s="357" t="n">
        <f aca="false">IF(AND(I$3&gt;='APA Assumptions'!$B$22,I$3&lt;'APA Assumptions'!$B$22+'APA Assumptions'!$B$23),'APA Assumptions'!$B$24,0)</f>
        <v>50000</v>
      </c>
      <c r="J12" s="357" t="n">
        <f aca="false">IF(AND(J$3&gt;='APA Assumptions'!$B$22,J$3&lt;'APA Assumptions'!$B$22+'APA Assumptions'!$B$23),'APA Assumptions'!$B$24,0)</f>
        <v>50000</v>
      </c>
      <c r="K12" s="357" t="n">
        <f aca="false">IF(AND(K$3&gt;='APA Assumptions'!$B$22,K$3&lt;'APA Assumptions'!$B$22+'APA Assumptions'!$B$23),'APA Assumptions'!$B$24,0)</f>
        <v>50000</v>
      </c>
      <c r="L12" s="357" t="n">
        <f aca="false">IF(AND(L$3&gt;='APA Assumptions'!$B$22,L$3&lt;'APA Assumptions'!$B$22+'APA Assumptions'!$B$23),'APA Assumptions'!$B$24,0)</f>
        <v>50000</v>
      </c>
      <c r="M12" s="357" t="n">
        <f aca="false">IF(AND(M$3&gt;='APA Assumptions'!$B$22,M$3&lt;'APA Assumptions'!$B$22+'APA Assumptions'!$B$23),'APA Assumptions'!$B$24,0)</f>
        <v>50000</v>
      </c>
      <c r="N12" s="357" t="n">
        <f aca="false">IF(AND(N$3&gt;='APA Assumptions'!$B$22,N$3&lt;'APA Assumptions'!$B$22+'APA Assumptions'!$B$23),'APA Assumptions'!$B$24,0)</f>
        <v>50000</v>
      </c>
      <c r="O12" s="357" t="n">
        <f aca="false">IF(AND(O$3&gt;='APA Assumptions'!$B$22,O$3&lt;'APA Assumptions'!$B$22+'APA Assumptions'!$B$23),'APA Assumptions'!$B$24,0)</f>
        <v>50000</v>
      </c>
      <c r="P12" s="357" t="n">
        <f aca="false">IF(AND(P$3&gt;='APA Assumptions'!$B$22,P$3&lt;'APA Assumptions'!$B$22+'APA Assumptions'!$B$23),'APA Assumptions'!$B$24,0)</f>
        <v>50000</v>
      </c>
      <c r="Q12" s="357" t="n">
        <f aca="false">IF(AND(Q$3&gt;='APA Assumptions'!$B$22,Q$3&lt;'APA Assumptions'!$B$22+'APA Assumptions'!$B$23),'APA Assumptions'!$B$24,0)</f>
        <v>50000</v>
      </c>
      <c r="R12" s="357" t="n">
        <f aca="false">IF(AND(R$3&gt;='APA Assumptions'!$B$22,R$3&lt;'APA Assumptions'!$B$22+'APA Assumptions'!$B$23),'APA Assumptions'!$B$24,0)</f>
        <v>50000</v>
      </c>
      <c r="S12" s="357" t="n">
        <f aca="false">IF(AND(S$3&gt;='APA Assumptions'!$B$22,S$3&lt;'APA Assumptions'!$B$22+'APA Assumptions'!$B$23),'APA Assumptions'!$B$24,0)</f>
        <v>50000</v>
      </c>
      <c r="T12" s="357" t="n">
        <f aca="false">IF(AND(T$3&gt;='APA Assumptions'!$B$22,T$3&lt;'APA Assumptions'!$B$22+'APA Assumptions'!$B$23),'APA Assumptions'!$B$24,0)</f>
        <v>0</v>
      </c>
      <c r="U12" s="357" t="n">
        <f aca="false">IF(AND(U$3&gt;='APA Assumptions'!$B$22,U$3&lt;'APA Assumptions'!$B$22+'APA Assumptions'!$B$23),'APA Assumptions'!$B$24,0)</f>
        <v>0</v>
      </c>
      <c r="V12" s="357" t="n">
        <f aca="false">IF(AND(V$3&gt;='APA Assumptions'!$B$22,V$3&lt;'APA Assumptions'!$B$22+'APA Assumptions'!$B$23),'APA Assumptions'!$B$24,0)</f>
        <v>0</v>
      </c>
      <c r="W12" s="357" t="n">
        <f aca="false">IF(AND(W$3&gt;='APA Assumptions'!$B$22,W$3&lt;'APA Assumptions'!$B$22+'APA Assumptions'!$B$23),'APA Assumptions'!$B$24,0)</f>
        <v>0</v>
      </c>
      <c r="X12" s="357" t="n">
        <f aca="false">IF(AND(X$3&gt;='APA Assumptions'!$B$22,X$3&lt;'APA Assumptions'!$B$22+'APA Assumptions'!$B$23),'APA Assumptions'!$B$24,0)</f>
        <v>0</v>
      </c>
      <c r="Y12" s="357" t="n">
        <f aca="false">IF(AND(Y$3&gt;='APA Assumptions'!$B$22,Y$3&lt;'APA Assumptions'!$B$22+'APA Assumptions'!$B$23),'APA Assumptions'!$B$24,0)</f>
        <v>0</v>
      </c>
      <c r="Z12" s="357" t="n">
        <f aca="false">IF(AND(Z$3&gt;='APA Assumptions'!$B$22,Z$3&lt;'APA Assumptions'!$B$22+'APA Assumptions'!$B$23),'APA Assumptions'!$B$24,0)</f>
        <v>0</v>
      </c>
      <c r="AA12" s="357" t="n">
        <f aca="false">IF(AND(AA$3&gt;='APA Assumptions'!$B$22,AA$3&lt;'APA Assumptions'!$B$22+'APA Assumptions'!$B$23),'APA Assumptions'!$B$24,0)</f>
        <v>0</v>
      </c>
      <c r="AB12" s="357" t="n">
        <f aca="false">IF(AND(AB$3&gt;='APA Assumptions'!$B$22,AB$3&lt;'APA Assumptions'!$B$22+'APA Assumptions'!$B$23),'APA Assumptions'!$B$24,0)</f>
        <v>0</v>
      </c>
      <c r="AC12" s="357" t="n">
        <f aca="false">IF(AND(AC$3&gt;='APA Assumptions'!$B$22,AC$3&lt;'APA Assumptions'!$B$22+'APA Assumptions'!$B$23),'APA Assumptions'!$B$24,0)</f>
        <v>0</v>
      </c>
      <c r="AD12" s="357" t="n">
        <f aca="false">IF(AND(AD$3&gt;='APA Assumptions'!$B$22,AD$3&lt;'APA Assumptions'!$B$22+'APA Assumptions'!$B$23),'APA Assumptions'!$B$24,0)</f>
        <v>0</v>
      </c>
      <c r="AE12" s="357" t="n">
        <f aca="false">IF(AND(AE$3&gt;='APA Assumptions'!$B$22,AE$3&lt;'APA Assumptions'!$B$22+'APA Assumptions'!$B$23),'APA Assumptions'!$B$24,0)</f>
        <v>0</v>
      </c>
      <c r="AF12" s="357" t="n">
        <f aca="false">IF(AND(AF$3&gt;='APA Assumptions'!$B$22,AF$3&lt;'APA Assumptions'!$B$22+'APA Assumptions'!$B$23),'APA Assumptions'!$B$24,0)</f>
        <v>0</v>
      </c>
      <c r="AG12" s="357" t="n">
        <f aca="false">IF(AND(AG$3&gt;='APA Assumptions'!$B$22,AG$3&lt;'APA Assumptions'!$B$22+'APA Assumptions'!$B$23),'APA Assumptions'!$B$24,0)</f>
        <v>0</v>
      </c>
      <c r="AH12" s="357" t="n">
        <f aca="false">IF(AND(AH$3&gt;='APA Assumptions'!$B$22,AH$3&lt;'APA Assumptions'!$B$22+'APA Assumptions'!$B$23),'APA Assumptions'!$B$24,0)</f>
        <v>0</v>
      </c>
      <c r="AI12" s="357" t="n">
        <f aca="false">IF(AND(AI$3&gt;='APA Assumptions'!$B$22,AI$3&lt;'APA Assumptions'!$B$22+'APA Assumptions'!$B$23),'APA Assumptions'!$B$24,0)</f>
        <v>0</v>
      </c>
      <c r="AJ12" s="357" t="n">
        <f aca="false">IF(AND(AJ$3&gt;='APA Assumptions'!$B$22,AJ$3&lt;'APA Assumptions'!$B$22+'APA Assumptions'!$B$23),'APA Assumptions'!$B$24,0)</f>
        <v>0</v>
      </c>
      <c r="AK12" s="357" t="n">
        <f aca="false">IF(AND(AK$3&gt;='APA Assumptions'!$B$22,AK$3&lt;'APA Assumptions'!$B$22+'APA Assumptions'!$B$23),'APA Assumptions'!$B$24,0)</f>
        <v>0</v>
      </c>
      <c r="AL12" s="357" t="n">
        <f aca="false">IF(AND(AL$3&gt;='APA Assumptions'!$B$22,AL$3&lt;'APA Assumptions'!$B$22+'APA Assumptions'!$B$23),'APA Assumptions'!$B$24,0)</f>
        <v>0</v>
      </c>
      <c r="AM12" s="357" t="n">
        <f aca="false">IF(AND(AM$3&gt;='APA Assumptions'!$B$22,AM$3&lt;'APA Assumptions'!$B$22+'APA Assumptions'!$B$23),'APA Assumptions'!$B$24,0)</f>
        <v>0</v>
      </c>
      <c r="AN12" s="357" t="n">
        <f aca="false">SUM(B12:AM12)</f>
        <v>600000</v>
      </c>
    </row>
    <row r="13" customFormat="false" ht="15" hidden="false" customHeight="true" outlineLevel="0" collapsed="false">
      <c r="A13" s="125" t="s">
        <v>1303</v>
      </c>
      <c r="B13" s="357" t="n">
        <f aca="false">IF(AND(B$3&gt;='APA Assumptions'!$B$26,B$3&lt;'APA Assumptions'!$B$26+'APA Assumptions'!$B$27),'APA Assumptions'!$B$25,0)</f>
        <v>0</v>
      </c>
      <c r="C13" s="357" t="n">
        <f aca="false">IF(AND(C$3&gt;='APA Assumptions'!$B$26,C$3&lt;'APA Assumptions'!$B$26+'APA Assumptions'!$B$27),'APA Assumptions'!$B$25,0)</f>
        <v>0</v>
      </c>
      <c r="D13" s="357" t="n">
        <f aca="false">IF(AND(D$3&gt;='APA Assumptions'!$B$26,D$3&lt;'APA Assumptions'!$B$26+'APA Assumptions'!$B$27),'APA Assumptions'!$B$25,0)</f>
        <v>0</v>
      </c>
      <c r="E13" s="357" t="n">
        <f aca="false">IF(AND(E$3&gt;='APA Assumptions'!$B$26,E$3&lt;'APA Assumptions'!$B$26+'APA Assumptions'!$B$27),'APA Assumptions'!$B$25,0)</f>
        <v>0</v>
      </c>
      <c r="F13" s="357" t="n">
        <f aca="false">IF(AND(F$3&gt;='APA Assumptions'!$B$26,F$3&lt;'APA Assumptions'!$B$26+'APA Assumptions'!$B$27),'APA Assumptions'!$B$25,0)</f>
        <v>0</v>
      </c>
      <c r="G13" s="357" t="n">
        <f aca="false">IF(AND(G$3&gt;='APA Assumptions'!$B$26,G$3&lt;'APA Assumptions'!$B$26+'APA Assumptions'!$B$27),'APA Assumptions'!$B$25,0)</f>
        <v>0</v>
      </c>
      <c r="H13" s="357" t="n">
        <f aca="false">IF(AND(H$3&gt;='APA Assumptions'!$B$26,H$3&lt;'APA Assumptions'!$B$26+'APA Assumptions'!$B$27),'APA Assumptions'!$B$25,0)</f>
        <v>0</v>
      </c>
      <c r="I13" s="357" t="n">
        <f aca="false">IF(AND(I$3&gt;='APA Assumptions'!$B$26,I$3&lt;'APA Assumptions'!$B$26+'APA Assumptions'!$B$27),'APA Assumptions'!$B$25,0)</f>
        <v>0</v>
      </c>
      <c r="J13" s="357" t="n">
        <f aca="false">IF(AND(J$3&gt;='APA Assumptions'!$B$26,J$3&lt;'APA Assumptions'!$B$26+'APA Assumptions'!$B$27),'APA Assumptions'!$B$25,0)</f>
        <v>0</v>
      </c>
      <c r="K13" s="357" t="n">
        <f aca="false">IF(AND(K$3&gt;='APA Assumptions'!$B$26,K$3&lt;'APA Assumptions'!$B$26+'APA Assumptions'!$B$27),'APA Assumptions'!$B$25,0)</f>
        <v>0</v>
      </c>
      <c r="L13" s="357" t="n">
        <f aca="false">IF(AND(L$3&gt;='APA Assumptions'!$B$26,L$3&lt;'APA Assumptions'!$B$26+'APA Assumptions'!$B$27),'APA Assumptions'!$B$25,0)</f>
        <v>0</v>
      </c>
      <c r="M13" s="357" t="n">
        <f aca="false">IF(AND(M$3&gt;='APA Assumptions'!$B$26,M$3&lt;'APA Assumptions'!$B$26+'APA Assumptions'!$B$27),'APA Assumptions'!$B$25,0)</f>
        <v>0</v>
      </c>
      <c r="N13" s="357" t="n">
        <f aca="false">IF(AND(N$3&gt;='APA Assumptions'!$B$26,N$3&lt;'APA Assumptions'!$B$26+'APA Assumptions'!$B$27),'APA Assumptions'!$B$25,0)</f>
        <v>0</v>
      </c>
      <c r="O13" s="357" t="n">
        <f aca="false">IF(AND(O$3&gt;='APA Assumptions'!$B$26,O$3&lt;'APA Assumptions'!$B$26+'APA Assumptions'!$B$27),'APA Assumptions'!$B$25,0)</f>
        <v>0</v>
      </c>
      <c r="P13" s="357" t="n">
        <f aca="false">IF(AND(P$3&gt;='APA Assumptions'!$B$26,P$3&lt;'APA Assumptions'!$B$26+'APA Assumptions'!$B$27),'APA Assumptions'!$B$25,0)</f>
        <v>0</v>
      </c>
      <c r="Q13" s="357" t="n">
        <f aca="false">IF(AND(Q$3&gt;='APA Assumptions'!$B$26,Q$3&lt;'APA Assumptions'!$B$26+'APA Assumptions'!$B$27),'APA Assumptions'!$B$25,0)</f>
        <v>0</v>
      </c>
      <c r="R13" s="357" t="n">
        <f aca="false">IF(AND(R$3&gt;='APA Assumptions'!$B$26,R$3&lt;'APA Assumptions'!$B$26+'APA Assumptions'!$B$27),'APA Assumptions'!$B$25,0)</f>
        <v>0</v>
      </c>
      <c r="S13" s="357" t="n">
        <f aca="false">IF(AND(S$3&gt;='APA Assumptions'!$B$26,S$3&lt;'APA Assumptions'!$B$26+'APA Assumptions'!$B$27),'APA Assumptions'!$B$25,0)</f>
        <v>0</v>
      </c>
      <c r="T13" s="357" t="n">
        <f aca="false">IF(AND(T$3&gt;='APA Assumptions'!$B$26,T$3&lt;'APA Assumptions'!$B$26+'APA Assumptions'!$B$27),'APA Assumptions'!$B$25,0)</f>
        <v>0</v>
      </c>
      <c r="U13" s="357" t="n">
        <f aca="false">IF(AND(U$3&gt;='APA Assumptions'!$B$26,U$3&lt;'APA Assumptions'!$B$26+'APA Assumptions'!$B$27),'APA Assumptions'!$B$25,0)</f>
        <v>0</v>
      </c>
      <c r="V13" s="357" t="n">
        <f aca="false">IF(AND(V$3&gt;='APA Assumptions'!$B$26,V$3&lt;'APA Assumptions'!$B$26+'APA Assumptions'!$B$27),'APA Assumptions'!$B$25,0)</f>
        <v>0</v>
      </c>
      <c r="W13" s="357" t="n">
        <f aca="false">IF(AND(W$3&gt;='APA Assumptions'!$B$26,W$3&lt;'APA Assumptions'!$B$26+'APA Assumptions'!$B$27),'APA Assumptions'!$B$25,0)</f>
        <v>2500</v>
      </c>
      <c r="X13" s="357" t="n">
        <f aca="false">IF(AND(X$3&gt;='APA Assumptions'!$B$26,X$3&lt;'APA Assumptions'!$B$26+'APA Assumptions'!$B$27),'APA Assumptions'!$B$25,0)</f>
        <v>2500</v>
      </c>
      <c r="Y13" s="357" t="n">
        <f aca="false">IF(AND(Y$3&gt;='APA Assumptions'!$B$26,Y$3&lt;'APA Assumptions'!$B$26+'APA Assumptions'!$B$27),'APA Assumptions'!$B$25,0)</f>
        <v>2500</v>
      </c>
      <c r="Z13" s="357" t="n">
        <f aca="false">IF(AND(Z$3&gt;='APA Assumptions'!$B$26,Z$3&lt;'APA Assumptions'!$B$26+'APA Assumptions'!$B$27),'APA Assumptions'!$B$25,0)</f>
        <v>2500</v>
      </c>
      <c r="AA13" s="357" t="n">
        <f aca="false">IF(AND(AA$3&gt;='APA Assumptions'!$B$26,AA$3&lt;'APA Assumptions'!$B$26+'APA Assumptions'!$B$27),'APA Assumptions'!$B$25,0)</f>
        <v>2500</v>
      </c>
      <c r="AB13" s="357" t="n">
        <f aca="false">IF(AND(AB$3&gt;='APA Assumptions'!$B$26,AB$3&lt;'APA Assumptions'!$B$26+'APA Assumptions'!$B$27),'APA Assumptions'!$B$25,0)</f>
        <v>2500</v>
      </c>
      <c r="AC13" s="357" t="n">
        <f aca="false">IF(AND(AC$3&gt;='APA Assumptions'!$B$26,AC$3&lt;'APA Assumptions'!$B$26+'APA Assumptions'!$B$27),'APA Assumptions'!$B$25,0)</f>
        <v>2500</v>
      </c>
      <c r="AD13" s="357" t="n">
        <f aca="false">IF(AND(AD$3&gt;='APA Assumptions'!$B$26,AD$3&lt;'APA Assumptions'!$B$26+'APA Assumptions'!$B$27),'APA Assumptions'!$B$25,0)</f>
        <v>2500</v>
      </c>
      <c r="AE13" s="357" t="n">
        <f aca="false">IF(AND(AE$3&gt;='APA Assumptions'!$B$26,AE$3&lt;'APA Assumptions'!$B$26+'APA Assumptions'!$B$27),'APA Assumptions'!$B$25,0)</f>
        <v>2500</v>
      </c>
      <c r="AF13" s="357" t="n">
        <f aca="false">IF(AND(AF$3&gt;='APA Assumptions'!$B$26,AF$3&lt;'APA Assumptions'!$B$26+'APA Assumptions'!$B$27),'APA Assumptions'!$B$25,0)</f>
        <v>2500</v>
      </c>
      <c r="AG13" s="357" t="n">
        <f aca="false">IF(AND(AG$3&gt;='APA Assumptions'!$B$26,AG$3&lt;'APA Assumptions'!$B$26+'APA Assumptions'!$B$27),'APA Assumptions'!$B$25,0)</f>
        <v>2500</v>
      </c>
      <c r="AH13" s="357" t="n">
        <f aca="false">IF(AND(AH$3&gt;='APA Assumptions'!$B$26,AH$3&lt;'APA Assumptions'!$B$26+'APA Assumptions'!$B$27),'APA Assumptions'!$B$25,0)</f>
        <v>2500</v>
      </c>
      <c r="AI13" s="357" t="n">
        <f aca="false">IF(AND(AI$3&gt;='APA Assumptions'!$B$26,AI$3&lt;'APA Assumptions'!$B$26+'APA Assumptions'!$B$27),'APA Assumptions'!$B$25,0)</f>
        <v>2500</v>
      </c>
      <c r="AJ13" s="357" t="n">
        <f aca="false">IF(AND(AJ$3&gt;='APA Assumptions'!$B$26,AJ$3&lt;'APA Assumptions'!$B$26+'APA Assumptions'!$B$27),'APA Assumptions'!$B$25,0)</f>
        <v>2500</v>
      </c>
      <c r="AK13" s="357" t="n">
        <f aca="false">IF(AND(AK$3&gt;='APA Assumptions'!$B$26,AK$3&lt;'APA Assumptions'!$B$26+'APA Assumptions'!$B$27),'APA Assumptions'!$B$25,0)</f>
        <v>2500</v>
      </c>
      <c r="AL13" s="357" t="n">
        <f aca="false">IF(AND(AL$3&gt;='APA Assumptions'!$B$26,AL$3&lt;'APA Assumptions'!$B$26+'APA Assumptions'!$B$27),'APA Assumptions'!$B$25,0)</f>
        <v>2500</v>
      </c>
      <c r="AM13" s="357" t="n">
        <f aca="false">IF(AND(AM$3&gt;='APA Assumptions'!$B$26,AM$3&lt;'APA Assumptions'!$B$26+'APA Assumptions'!$B$27),'APA Assumptions'!$B$25,0)</f>
        <v>2500</v>
      </c>
      <c r="AN13" s="357" t="n">
        <f aca="false">SUM(B13:AM13)</f>
        <v>42500</v>
      </c>
    </row>
    <row r="14" customFormat="false" ht="15" hidden="false" customHeight="true" outlineLevel="0" collapsed="false">
      <c r="A14" s="363" t="s">
        <v>1304</v>
      </c>
      <c r="B14" s="364" t="n">
        <f aca="false">SUM(B7:B13)</f>
        <v>25714.2857142857</v>
      </c>
      <c r="C14" s="364" t="n">
        <f aca="false">SUM(C7:C13)</f>
        <v>38408.2857142857</v>
      </c>
      <c r="D14" s="364" t="n">
        <f aca="false">SUM(D7:D13)</f>
        <v>38408.2857142857</v>
      </c>
      <c r="E14" s="364" t="n">
        <f aca="false">SUM(E7:E13)</f>
        <v>38408.2857142857</v>
      </c>
      <c r="F14" s="364" t="n">
        <f aca="false">SUM(F7:F13)</f>
        <v>38408.2857142857</v>
      </c>
      <c r="G14" s="364" t="n">
        <f aca="false">SUM(G7:G13)</f>
        <v>32908.2857142857</v>
      </c>
      <c r="H14" s="364" t="n">
        <f aca="false">SUM(H7:H13)</f>
        <v>80908.2857142857</v>
      </c>
      <c r="I14" s="364" t="n">
        <f aca="false">SUM(I7:I13)</f>
        <v>55194</v>
      </c>
      <c r="J14" s="364" t="n">
        <f aca="false">SUM(J7:J13)</f>
        <v>57694</v>
      </c>
      <c r="K14" s="364" t="n">
        <f aca="false">SUM(K7:K13)</f>
        <v>57694</v>
      </c>
      <c r="L14" s="364" t="n">
        <f aca="false">SUM(L7:L13)</f>
        <v>57694</v>
      </c>
      <c r="M14" s="364" t="n">
        <f aca="false">SUM(M7:M13)</f>
        <v>57694</v>
      </c>
      <c r="N14" s="364" t="n">
        <f aca="false">SUM(N7:N13)</f>
        <v>57694</v>
      </c>
      <c r="O14" s="364" t="n">
        <f aca="false">SUM(O7:O13)</f>
        <v>57694</v>
      </c>
      <c r="P14" s="364" t="n">
        <f aca="false">SUM(P7:P13)</f>
        <v>57694</v>
      </c>
      <c r="Q14" s="364" t="n">
        <f aca="false">SUM(Q7:Q13)</f>
        <v>57694</v>
      </c>
      <c r="R14" s="364" t="n">
        <f aca="false">SUM(R7:R13)</f>
        <v>55000</v>
      </c>
      <c r="S14" s="364" t="n">
        <f aca="false">SUM(S7:S13)</f>
        <v>55000</v>
      </c>
      <c r="T14" s="364" t="n">
        <f aca="false">SUM(T7:T13)</f>
        <v>5000</v>
      </c>
      <c r="U14" s="364" t="n">
        <f aca="false">SUM(U7:U13)</f>
        <v>5000</v>
      </c>
      <c r="V14" s="364" t="n">
        <f aca="false">SUM(V7:V13)</f>
        <v>5000</v>
      </c>
      <c r="W14" s="364" t="n">
        <f aca="false">SUM(W7:W13)</f>
        <v>7500</v>
      </c>
      <c r="X14" s="364" t="n">
        <f aca="false">SUM(X7:X13)</f>
        <v>7500</v>
      </c>
      <c r="Y14" s="364" t="n">
        <f aca="false">SUM(Y7:Y13)</f>
        <v>7500</v>
      </c>
      <c r="Z14" s="364" t="n">
        <f aca="false">SUM(Z7:Z13)</f>
        <v>7500</v>
      </c>
      <c r="AA14" s="364" t="n">
        <f aca="false">SUM(AA7:AA13)</f>
        <v>7500</v>
      </c>
      <c r="AB14" s="364" t="n">
        <f aca="false">SUM(AB7:AB13)</f>
        <v>7500</v>
      </c>
      <c r="AC14" s="364" t="n">
        <f aca="false">SUM(AC7:AC13)</f>
        <v>7500</v>
      </c>
      <c r="AD14" s="364" t="n">
        <f aca="false">SUM(AD7:AD13)</f>
        <v>7500</v>
      </c>
      <c r="AE14" s="364" t="n">
        <f aca="false">SUM(AE7:AE13)</f>
        <v>7500</v>
      </c>
      <c r="AF14" s="364" t="n">
        <f aca="false">SUM(AF7:AF13)</f>
        <v>7500</v>
      </c>
      <c r="AG14" s="364" t="n">
        <f aca="false">SUM(AG7:AG13)</f>
        <v>5000</v>
      </c>
      <c r="AH14" s="364" t="n">
        <f aca="false">SUM(AH7:AH13)</f>
        <v>5000</v>
      </c>
      <c r="AI14" s="364" t="n">
        <f aca="false">SUM(AI7:AI13)</f>
        <v>5000</v>
      </c>
      <c r="AJ14" s="364" t="n">
        <f aca="false">SUM(AJ7:AJ13)</f>
        <v>5000</v>
      </c>
      <c r="AK14" s="364" t="n">
        <f aca="false">SUM(AK7:AK13)</f>
        <v>5000</v>
      </c>
      <c r="AL14" s="364" t="n">
        <f aca="false">SUM(AL7:AL13)</f>
        <v>5000</v>
      </c>
      <c r="AM14" s="364" t="n">
        <f aca="false">SUM(AM7:AM13)</f>
        <v>5000</v>
      </c>
      <c r="AN14" s="364" t="n">
        <f aca="false">SUM(B14:AM14)</f>
        <v>1044910</v>
      </c>
    </row>
    <row r="16" customFormat="false" ht="15" hidden="false" customHeight="true" outlineLevel="0" collapsed="false">
      <c r="A16" s="23" t="s">
        <v>1275</v>
      </c>
      <c r="B16" s="23"/>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row>
    <row r="17" customFormat="false" ht="15" hidden="false" customHeight="true" outlineLevel="0" collapsed="false">
      <c r="A17" s="125" t="s">
        <v>1305</v>
      </c>
      <c r="B17" s="357" t="n">
        <f aca="false">IF(B$3&gt;='APA Assumptions'!$B$31,'APA Assumptions'!$B$30,'APA Assumptions'!$B$29)</f>
        <v>12500</v>
      </c>
      <c r="C17" s="357" t="n">
        <f aca="false">IF(C$3&gt;='APA Assumptions'!$B$31,'APA Assumptions'!$B$30,'APA Assumptions'!$B$29)</f>
        <v>12500</v>
      </c>
      <c r="D17" s="357" t="n">
        <f aca="false">IF(D$3&gt;='APA Assumptions'!$B$31,'APA Assumptions'!$B$30,'APA Assumptions'!$B$29)</f>
        <v>12500</v>
      </c>
      <c r="E17" s="357" t="n">
        <f aca="false">IF(E$3&gt;='APA Assumptions'!$B$31,'APA Assumptions'!$B$30,'APA Assumptions'!$B$29)</f>
        <v>12500</v>
      </c>
      <c r="F17" s="357" t="n">
        <f aca="false">IF(F$3&gt;='APA Assumptions'!$B$31,'APA Assumptions'!$B$30,'APA Assumptions'!$B$29)</f>
        <v>12500</v>
      </c>
      <c r="G17" s="357" t="n">
        <f aca="false">IF(G$3&gt;='APA Assumptions'!$B$31,'APA Assumptions'!$B$30,'APA Assumptions'!$B$29)</f>
        <v>12500</v>
      </c>
      <c r="H17" s="357" t="n">
        <f aca="false">IF(H$3&gt;='APA Assumptions'!$B$31,'APA Assumptions'!$B$30,'APA Assumptions'!$B$29)</f>
        <v>18750</v>
      </c>
      <c r="I17" s="357" t="n">
        <f aca="false">IF(I$3&gt;='APA Assumptions'!$B$31,'APA Assumptions'!$B$30,'APA Assumptions'!$B$29)</f>
        <v>18750</v>
      </c>
      <c r="J17" s="357" t="n">
        <f aca="false">IF(J$3&gt;='APA Assumptions'!$B$31,'APA Assumptions'!$B$30,'APA Assumptions'!$B$29)</f>
        <v>18750</v>
      </c>
      <c r="K17" s="357" t="n">
        <f aca="false">IF(K$3&gt;='APA Assumptions'!$B$31,'APA Assumptions'!$B$30,'APA Assumptions'!$B$29)</f>
        <v>18750</v>
      </c>
      <c r="L17" s="357" t="n">
        <f aca="false">IF(L$3&gt;='APA Assumptions'!$B$31,'APA Assumptions'!$B$30,'APA Assumptions'!$B$29)</f>
        <v>18750</v>
      </c>
      <c r="M17" s="357" t="n">
        <f aca="false">IF(M$3&gt;='APA Assumptions'!$B$31,'APA Assumptions'!$B$30,'APA Assumptions'!$B$29)</f>
        <v>18750</v>
      </c>
      <c r="N17" s="357" t="n">
        <f aca="false">IF(N$3&gt;='APA Assumptions'!$B$31,'APA Assumptions'!$B$30,'APA Assumptions'!$B$29)</f>
        <v>18750</v>
      </c>
      <c r="O17" s="357" t="n">
        <f aca="false">IF(O$3&gt;='APA Assumptions'!$B$31,'APA Assumptions'!$B$30,'APA Assumptions'!$B$29)</f>
        <v>18750</v>
      </c>
      <c r="P17" s="357" t="n">
        <f aca="false">IF(P$3&gt;='APA Assumptions'!$B$31,'APA Assumptions'!$B$30,'APA Assumptions'!$B$29)</f>
        <v>18750</v>
      </c>
      <c r="Q17" s="357" t="n">
        <f aca="false">IF(Q$3&gt;='APA Assumptions'!$B$31,'APA Assumptions'!$B$30,'APA Assumptions'!$B$29)</f>
        <v>18750</v>
      </c>
      <c r="R17" s="357" t="n">
        <f aca="false">IF(R$3&gt;='APA Assumptions'!$B$31,'APA Assumptions'!$B$30,'APA Assumptions'!$B$29)</f>
        <v>18750</v>
      </c>
      <c r="S17" s="357" t="n">
        <f aca="false">IF(S$3&gt;='APA Assumptions'!$B$31,'APA Assumptions'!$B$30,'APA Assumptions'!$B$29)</f>
        <v>18750</v>
      </c>
      <c r="T17" s="357" t="n">
        <f aca="false">IF(T$3&gt;='APA Assumptions'!$B$31,'APA Assumptions'!$B$30,'APA Assumptions'!$B$29)</f>
        <v>18750</v>
      </c>
      <c r="U17" s="357" t="n">
        <f aca="false">IF(U$3&gt;='APA Assumptions'!$B$31,'APA Assumptions'!$B$30,'APA Assumptions'!$B$29)</f>
        <v>18750</v>
      </c>
      <c r="V17" s="357" t="n">
        <f aca="false">IF(V$3&gt;='APA Assumptions'!$B$31,'APA Assumptions'!$B$30,'APA Assumptions'!$B$29)</f>
        <v>18750</v>
      </c>
      <c r="W17" s="357" t="n">
        <f aca="false">IF(W$3&gt;='APA Assumptions'!$B$31,'APA Assumptions'!$B$30,'APA Assumptions'!$B$29)</f>
        <v>18750</v>
      </c>
      <c r="X17" s="357" t="n">
        <f aca="false">IF(X$3&gt;='APA Assumptions'!$B$31,'APA Assumptions'!$B$30,'APA Assumptions'!$B$29)</f>
        <v>18750</v>
      </c>
      <c r="Y17" s="357" t="n">
        <f aca="false">IF(Y$3&gt;='APA Assumptions'!$B$31,'APA Assumptions'!$B$30,'APA Assumptions'!$B$29)</f>
        <v>18750</v>
      </c>
      <c r="Z17" s="357" t="n">
        <f aca="false">IF(Z$3&gt;='APA Assumptions'!$B$31,'APA Assumptions'!$B$30,'APA Assumptions'!$B$29)</f>
        <v>18750</v>
      </c>
      <c r="AA17" s="357" t="n">
        <f aca="false">IF(AA$3&gt;='APA Assumptions'!$B$31,'APA Assumptions'!$B$30,'APA Assumptions'!$B$29)</f>
        <v>18750</v>
      </c>
      <c r="AB17" s="357" t="n">
        <f aca="false">IF(AB$3&gt;='APA Assumptions'!$B$31,'APA Assumptions'!$B$30,'APA Assumptions'!$B$29)</f>
        <v>18750</v>
      </c>
      <c r="AC17" s="357" t="n">
        <f aca="false">IF(AC$3&gt;='APA Assumptions'!$B$31,'APA Assumptions'!$B$30,'APA Assumptions'!$B$29)</f>
        <v>18750</v>
      </c>
      <c r="AD17" s="357" t="n">
        <f aca="false">IF(AD$3&gt;='APA Assumptions'!$B$31,'APA Assumptions'!$B$30,'APA Assumptions'!$B$29)</f>
        <v>18750</v>
      </c>
      <c r="AE17" s="357" t="n">
        <f aca="false">IF(AE$3&gt;='APA Assumptions'!$B$31,'APA Assumptions'!$B$30,'APA Assumptions'!$B$29)</f>
        <v>18750</v>
      </c>
      <c r="AF17" s="357" t="n">
        <f aca="false">IF(AF$3&gt;='APA Assumptions'!$B$31,'APA Assumptions'!$B$30,'APA Assumptions'!$B$29)</f>
        <v>18750</v>
      </c>
      <c r="AG17" s="357" t="n">
        <f aca="false">IF(AG$3&gt;='APA Assumptions'!$B$31,'APA Assumptions'!$B$30,'APA Assumptions'!$B$29)</f>
        <v>18750</v>
      </c>
      <c r="AH17" s="357" t="n">
        <f aca="false">IF(AH$3&gt;='APA Assumptions'!$B$31,'APA Assumptions'!$B$30,'APA Assumptions'!$B$29)</f>
        <v>18750</v>
      </c>
      <c r="AI17" s="357" t="n">
        <f aca="false">IF(AI$3&gt;='APA Assumptions'!$B$31,'APA Assumptions'!$B$30,'APA Assumptions'!$B$29)</f>
        <v>18750</v>
      </c>
      <c r="AJ17" s="357" t="n">
        <f aca="false">IF(AJ$3&gt;='APA Assumptions'!$B$31,'APA Assumptions'!$B$30,'APA Assumptions'!$B$29)</f>
        <v>18750</v>
      </c>
      <c r="AK17" s="357" t="n">
        <f aca="false">IF(AK$3&gt;='APA Assumptions'!$B$31,'APA Assumptions'!$B$30,'APA Assumptions'!$B$29)</f>
        <v>18750</v>
      </c>
      <c r="AL17" s="357" t="n">
        <f aca="false">IF(AL$3&gt;='APA Assumptions'!$B$31,'APA Assumptions'!$B$30,'APA Assumptions'!$B$29)</f>
        <v>18750</v>
      </c>
      <c r="AM17" s="357" t="n">
        <f aca="false">IF(AM$3&gt;='APA Assumptions'!$B$31,'APA Assumptions'!$B$30,'APA Assumptions'!$B$29)</f>
        <v>18750</v>
      </c>
      <c r="AN17" s="357" t="n">
        <f aca="false">SUM(B17:AM17)</f>
        <v>675000</v>
      </c>
    </row>
    <row r="18" customFormat="false" ht="15" hidden="false" customHeight="true" outlineLevel="0" collapsed="false">
      <c r="A18" s="125" t="s">
        <v>1306</v>
      </c>
      <c r="B18" s="357" t="n">
        <f aca="false">'APA Assumptions'!$B$32</f>
        <v>365</v>
      </c>
      <c r="C18" s="357" t="n">
        <f aca="false">'APA Assumptions'!$B$32</f>
        <v>365</v>
      </c>
      <c r="D18" s="357" t="n">
        <f aca="false">'APA Assumptions'!$B$32</f>
        <v>365</v>
      </c>
      <c r="E18" s="357" t="n">
        <f aca="false">'APA Assumptions'!$B$32</f>
        <v>365</v>
      </c>
      <c r="F18" s="357" t="n">
        <f aca="false">'APA Assumptions'!$B$32</f>
        <v>365</v>
      </c>
      <c r="G18" s="357" t="n">
        <f aca="false">'APA Assumptions'!$B$32</f>
        <v>365</v>
      </c>
      <c r="H18" s="357" t="n">
        <f aca="false">'APA Assumptions'!$B$32</f>
        <v>365</v>
      </c>
      <c r="I18" s="357" t="n">
        <f aca="false">'APA Assumptions'!$B$32</f>
        <v>365</v>
      </c>
      <c r="J18" s="357" t="n">
        <f aca="false">'APA Assumptions'!$B$32</f>
        <v>365</v>
      </c>
      <c r="K18" s="357" t="n">
        <f aca="false">'APA Assumptions'!$B$32</f>
        <v>365</v>
      </c>
      <c r="L18" s="357" t="n">
        <f aca="false">'APA Assumptions'!$B$32</f>
        <v>365</v>
      </c>
      <c r="M18" s="357" t="n">
        <f aca="false">'APA Assumptions'!$B$32</f>
        <v>365</v>
      </c>
      <c r="N18" s="357" t="n">
        <f aca="false">'APA Assumptions'!$B$32</f>
        <v>365</v>
      </c>
      <c r="O18" s="357" t="n">
        <f aca="false">'APA Assumptions'!$B$32</f>
        <v>365</v>
      </c>
      <c r="P18" s="357" t="n">
        <f aca="false">'APA Assumptions'!$B$32</f>
        <v>365</v>
      </c>
      <c r="Q18" s="357" t="n">
        <f aca="false">'APA Assumptions'!$B$32</f>
        <v>365</v>
      </c>
      <c r="R18" s="357" t="n">
        <f aca="false">'APA Assumptions'!$B$32</f>
        <v>365</v>
      </c>
      <c r="S18" s="357" t="n">
        <f aca="false">'APA Assumptions'!$B$32</f>
        <v>365</v>
      </c>
      <c r="T18" s="357" t="n">
        <f aca="false">'APA Assumptions'!$B$32</f>
        <v>365</v>
      </c>
      <c r="U18" s="357" t="n">
        <f aca="false">'APA Assumptions'!$B$32</f>
        <v>365</v>
      </c>
      <c r="V18" s="357" t="n">
        <f aca="false">'APA Assumptions'!$B$32</f>
        <v>365</v>
      </c>
      <c r="W18" s="357" t="n">
        <f aca="false">'APA Assumptions'!$B$32</f>
        <v>365</v>
      </c>
      <c r="X18" s="357" t="n">
        <f aca="false">'APA Assumptions'!$B$32</f>
        <v>365</v>
      </c>
      <c r="Y18" s="357" t="n">
        <f aca="false">'APA Assumptions'!$B$32</f>
        <v>365</v>
      </c>
      <c r="Z18" s="357" t="n">
        <f aca="false">'APA Assumptions'!$B$32</f>
        <v>365</v>
      </c>
      <c r="AA18" s="357" t="n">
        <f aca="false">'APA Assumptions'!$B$32</f>
        <v>365</v>
      </c>
      <c r="AB18" s="357" t="n">
        <f aca="false">'APA Assumptions'!$B$32</f>
        <v>365</v>
      </c>
      <c r="AC18" s="357" t="n">
        <f aca="false">'APA Assumptions'!$B$32</f>
        <v>365</v>
      </c>
      <c r="AD18" s="357" t="n">
        <f aca="false">'APA Assumptions'!$B$32</f>
        <v>365</v>
      </c>
      <c r="AE18" s="357" t="n">
        <f aca="false">'APA Assumptions'!$B$32</f>
        <v>365</v>
      </c>
      <c r="AF18" s="357" t="n">
        <f aca="false">'APA Assumptions'!$B$32</f>
        <v>365</v>
      </c>
      <c r="AG18" s="357" t="n">
        <f aca="false">'APA Assumptions'!$B$32</f>
        <v>365</v>
      </c>
      <c r="AH18" s="357" t="n">
        <f aca="false">'APA Assumptions'!$B$32</f>
        <v>365</v>
      </c>
      <c r="AI18" s="357" t="n">
        <f aca="false">'APA Assumptions'!$B$32</f>
        <v>365</v>
      </c>
      <c r="AJ18" s="357" t="n">
        <f aca="false">'APA Assumptions'!$B$32</f>
        <v>365</v>
      </c>
      <c r="AK18" s="357" t="n">
        <f aca="false">'APA Assumptions'!$B$32</f>
        <v>365</v>
      </c>
      <c r="AL18" s="357" t="n">
        <f aca="false">'APA Assumptions'!$B$32</f>
        <v>365</v>
      </c>
      <c r="AM18" s="357" t="n">
        <f aca="false">'APA Assumptions'!$B$32</f>
        <v>365</v>
      </c>
      <c r="AN18" s="357" t="n">
        <f aca="false">SUM(B18:AM18)</f>
        <v>13870</v>
      </c>
    </row>
    <row r="19" customFormat="false" ht="15" hidden="false" customHeight="true" outlineLevel="0" collapsed="false">
      <c r="A19" s="125" t="s">
        <v>1307</v>
      </c>
      <c r="B19" s="357" t="n">
        <f aca="false">IF(MOD(B$3-1,12)=0,'APA Assumptions'!$B$33,0)</f>
        <v>8000</v>
      </c>
      <c r="C19" s="357" t="n">
        <f aca="false">IF(MOD(C$3-1,12)=0,'APA Assumptions'!$B$33,0)</f>
        <v>0</v>
      </c>
      <c r="D19" s="357" t="n">
        <f aca="false">IF(MOD(D$3-1,12)=0,'APA Assumptions'!$B$33,0)</f>
        <v>0</v>
      </c>
      <c r="E19" s="357" t="n">
        <f aca="false">IF(MOD(E$3-1,12)=0,'APA Assumptions'!$B$33,0)</f>
        <v>0</v>
      </c>
      <c r="F19" s="357" t="n">
        <f aca="false">IF(MOD(F$3-1,12)=0,'APA Assumptions'!$B$33,0)</f>
        <v>0</v>
      </c>
      <c r="G19" s="357" t="n">
        <f aca="false">IF(MOD(G$3-1,12)=0,'APA Assumptions'!$B$33,0)</f>
        <v>0</v>
      </c>
      <c r="H19" s="357" t="n">
        <f aca="false">IF(MOD(H$3-1,12)=0,'APA Assumptions'!$B$33,0)</f>
        <v>0</v>
      </c>
      <c r="I19" s="357" t="n">
        <f aca="false">IF(MOD(I$3-1,12)=0,'APA Assumptions'!$B$33,0)</f>
        <v>0</v>
      </c>
      <c r="J19" s="357" t="n">
        <f aca="false">IF(MOD(J$3-1,12)=0,'APA Assumptions'!$B$33,0)</f>
        <v>0</v>
      </c>
      <c r="K19" s="357" t="n">
        <f aca="false">IF(MOD(K$3-1,12)=0,'APA Assumptions'!$B$33,0)</f>
        <v>0</v>
      </c>
      <c r="L19" s="357" t="n">
        <f aca="false">IF(MOD(L$3-1,12)=0,'APA Assumptions'!$B$33,0)</f>
        <v>0</v>
      </c>
      <c r="M19" s="357" t="n">
        <f aca="false">IF(MOD(M$3-1,12)=0,'APA Assumptions'!$B$33,0)</f>
        <v>0</v>
      </c>
      <c r="N19" s="357" t="n">
        <f aca="false">IF(MOD(N$3-1,12)=0,'APA Assumptions'!$B$33,0)</f>
        <v>8000</v>
      </c>
      <c r="O19" s="357" t="n">
        <f aca="false">IF(MOD(O$3-1,12)=0,'APA Assumptions'!$B$33,0)</f>
        <v>0</v>
      </c>
      <c r="P19" s="357" t="n">
        <f aca="false">IF(MOD(P$3-1,12)=0,'APA Assumptions'!$B$33,0)</f>
        <v>0</v>
      </c>
      <c r="Q19" s="357" t="n">
        <f aca="false">IF(MOD(Q$3-1,12)=0,'APA Assumptions'!$B$33,0)</f>
        <v>0</v>
      </c>
      <c r="R19" s="357" t="n">
        <f aca="false">IF(MOD(R$3-1,12)=0,'APA Assumptions'!$B$33,0)</f>
        <v>0</v>
      </c>
      <c r="S19" s="357" t="n">
        <f aca="false">IF(MOD(S$3-1,12)=0,'APA Assumptions'!$B$33,0)</f>
        <v>0</v>
      </c>
      <c r="T19" s="357" t="n">
        <f aca="false">IF(MOD(T$3-1,12)=0,'APA Assumptions'!$B$33,0)</f>
        <v>0</v>
      </c>
      <c r="U19" s="357" t="n">
        <f aca="false">IF(MOD(U$3-1,12)=0,'APA Assumptions'!$B$33,0)</f>
        <v>0</v>
      </c>
      <c r="V19" s="357" t="n">
        <f aca="false">IF(MOD(V$3-1,12)=0,'APA Assumptions'!$B$33,0)</f>
        <v>0</v>
      </c>
      <c r="W19" s="357" t="n">
        <f aca="false">IF(MOD(W$3-1,12)=0,'APA Assumptions'!$B$33,0)</f>
        <v>0</v>
      </c>
      <c r="X19" s="357" t="n">
        <f aca="false">IF(MOD(X$3-1,12)=0,'APA Assumptions'!$B$33,0)</f>
        <v>0</v>
      </c>
      <c r="Y19" s="357" t="n">
        <f aca="false">IF(MOD(Y$3-1,12)=0,'APA Assumptions'!$B$33,0)</f>
        <v>0</v>
      </c>
      <c r="Z19" s="357" t="n">
        <f aca="false">IF(MOD(Z$3-1,12)=0,'APA Assumptions'!$B$33,0)</f>
        <v>8000</v>
      </c>
      <c r="AA19" s="357" t="n">
        <f aca="false">IF(MOD(AA$3-1,12)=0,'APA Assumptions'!$B$33,0)</f>
        <v>0</v>
      </c>
      <c r="AB19" s="357" t="n">
        <f aca="false">IF(MOD(AB$3-1,12)=0,'APA Assumptions'!$B$33,0)</f>
        <v>0</v>
      </c>
      <c r="AC19" s="357" t="n">
        <f aca="false">IF(MOD(AC$3-1,12)=0,'APA Assumptions'!$B$33,0)</f>
        <v>0</v>
      </c>
      <c r="AD19" s="357" t="n">
        <f aca="false">IF(MOD(AD$3-1,12)=0,'APA Assumptions'!$B$33,0)</f>
        <v>0</v>
      </c>
      <c r="AE19" s="357" t="n">
        <f aca="false">IF(MOD(AE$3-1,12)=0,'APA Assumptions'!$B$33,0)</f>
        <v>0</v>
      </c>
      <c r="AF19" s="357" t="n">
        <f aca="false">IF(MOD(AF$3-1,12)=0,'APA Assumptions'!$B$33,0)</f>
        <v>0</v>
      </c>
      <c r="AG19" s="357" t="n">
        <f aca="false">IF(MOD(AG$3-1,12)=0,'APA Assumptions'!$B$33,0)</f>
        <v>0</v>
      </c>
      <c r="AH19" s="357" t="n">
        <f aca="false">IF(MOD(AH$3-1,12)=0,'APA Assumptions'!$B$33,0)</f>
        <v>0</v>
      </c>
      <c r="AI19" s="357" t="n">
        <f aca="false">IF(MOD(AI$3-1,12)=0,'APA Assumptions'!$B$33,0)</f>
        <v>0</v>
      </c>
      <c r="AJ19" s="357" t="n">
        <f aca="false">IF(MOD(AJ$3-1,12)=0,'APA Assumptions'!$B$33,0)</f>
        <v>0</v>
      </c>
      <c r="AK19" s="357" t="n">
        <f aca="false">IF(MOD(AK$3-1,12)=0,'APA Assumptions'!$B$33,0)</f>
        <v>0</v>
      </c>
      <c r="AL19" s="357" t="n">
        <f aca="false">IF(MOD(AL$3-1,12)=0,'APA Assumptions'!$B$33,0)</f>
        <v>8000</v>
      </c>
      <c r="AM19" s="357" t="n">
        <f aca="false">IF(MOD(AM$3-1,12)=0,'APA Assumptions'!$B$33,0)</f>
        <v>0</v>
      </c>
      <c r="AN19" s="357" t="n">
        <f aca="false">SUM(B19:AM19)</f>
        <v>32000</v>
      </c>
    </row>
    <row r="20" customFormat="false" ht="15" hidden="false" customHeight="true" outlineLevel="0" collapsed="false">
      <c r="A20" s="125" t="s">
        <v>1308</v>
      </c>
      <c r="B20" s="357" t="n">
        <f aca="false">IF(B$3='APA Assumptions'!$B$36,'APA Assumptions'!$B$34+'APA Assumptions'!$B$35,0)</f>
        <v>0</v>
      </c>
      <c r="C20" s="357" t="n">
        <f aca="false">IF(C$3='APA Assumptions'!$B$36,'APA Assumptions'!$B$34+'APA Assumptions'!$B$35,0)</f>
        <v>7500</v>
      </c>
      <c r="D20" s="357" t="n">
        <f aca="false">IF(D$3='APA Assumptions'!$B$36,'APA Assumptions'!$B$34+'APA Assumptions'!$B$35,0)</f>
        <v>0</v>
      </c>
      <c r="E20" s="357" t="n">
        <f aca="false">IF(E$3='APA Assumptions'!$B$36,'APA Assumptions'!$B$34+'APA Assumptions'!$B$35,0)</f>
        <v>0</v>
      </c>
      <c r="F20" s="357" t="n">
        <f aca="false">IF(F$3='APA Assumptions'!$B$36,'APA Assumptions'!$B$34+'APA Assumptions'!$B$35,0)</f>
        <v>0</v>
      </c>
      <c r="G20" s="357" t="n">
        <f aca="false">IF(G$3='APA Assumptions'!$B$36,'APA Assumptions'!$B$34+'APA Assumptions'!$B$35,0)</f>
        <v>0</v>
      </c>
      <c r="H20" s="357" t="n">
        <f aca="false">IF(H$3='APA Assumptions'!$B$36,'APA Assumptions'!$B$34+'APA Assumptions'!$B$35,0)</f>
        <v>0</v>
      </c>
      <c r="I20" s="357" t="n">
        <f aca="false">IF(I$3='APA Assumptions'!$B$36,'APA Assumptions'!$B$34+'APA Assumptions'!$B$35,0)</f>
        <v>0</v>
      </c>
      <c r="J20" s="357" t="n">
        <f aca="false">IF(J$3='APA Assumptions'!$B$36,'APA Assumptions'!$B$34+'APA Assumptions'!$B$35,0)</f>
        <v>0</v>
      </c>
      <c r="K20" s="357" t="n">
        <f aca="false">IF(K$3='APA Assumptions'!$B$36,'APA Assumptions'!$B$34+'APA Assumptions'!$B$35,0)</f>
        <v>0</v>
      </c>
      <c r="L20" s="357" t="n">
        <f aca="false">IF(L$3='APA Assumptions'!$B$36,'APA Assumptions'!$B$34+'APA Assumptions'!$B$35,0)</f>
        <v>0</v>
      </c>
      <c r="M20" s="357" t="n">
        <f aca="false">IF(M$3='APA Assumptions'!$B$36,'APA Assumptions'!$B$34+'APA Assumptions'!$B$35,0)</f>
        <v>0</v>
      </c>
      <c r="N20" s="357" t="n">
        <f aca="false">IF(N$3='APA Assumptions'!$B$36,'APA Assumptions'!$B$34+'APA Assumptions'!$B$35,0)</f>
        <v>0</v>
      </c>
      <c r="O20" s="357" t="n">
        <f aca="false">IF(O$3='APA Assumptions'!$B$36,'APA Assumptions'!$B$34+'APA Assumptions'!$B$35,0)</f>
        <v>0</v>
      </c>
      <c r="P20" s="357" t="n">
        <f aca="false">IF(P$3='APA Assumptions'!$B$36,'APA Assumptions'!$B$34+'APA Assumptions'!$B$35,0)</f>
        <v>0</v>
      </c>
      <c r="Q20" s="357" t="n">
        <f aca="false">IF(Q$3='APA Assumptions'!$B$36,'APA Assumptions'!$B$34+'APA Assumptions'!$B$35,0)</f>
        <v>0</v>
      </c>
      <c r="R20" s="357" t="n">
        <f aca="false">IF(R$3='APA Assumptions'!$B$36,'APA Assumptions'!$B$34+'APA Assumptions'!$B$35,0)</f>
        <v>0</v>
      </c>
      <c r="S20" s="357" t="n">
        <f aca="false">IF(S$3='APA Assumptions'!$B$36,'APA Assumptions'!$B$34+'APA Assumptions'!$B$35,0)</f>
        <v>0</v>
      </c>
      <c r="T20" s="357" t="n">
        <f aca="false">IF(T$3='APA Assumptions'!$B$36,'APA Assumptions'!$B$34+'APA Assumptions'!$B$35,0)</f>
        <v>0</v>
      </c>
      <c r="U20" s="357" t="n">
        <f aca="false">IF(U$3='APA Assumptions'!$B$36,'APA Assumptions'!$B$34+'APA Assumptions'!$B$35,0)</f>
        <v>0</v>
      </c>
      <c r="V20" s="357" t="n">
        <f aca="false">IF(V$3='APA Assumptions'!$B$36,'APA Assumptions'!$B$34+'APA Assumptions'!$B$35,0)</f>
        <v>0</v>
      </c>
      <c r="W20" s="357" t="n">
        <f aca="false">IF(W$3='APA Assumptions'!$B$36,'APA Assumptions'!$B$34+'APA Assumptions'!$B$35,0)</f>
        <v>0</v>
      </c>
      <c r="X20" s="357" t="n">
        <f aca="false">IF(X$3='APA Assumptions'!$B$36,'APA Assumptions'!$B$34+'APA Assumptions'!$B$35,0)</f>
        <v>0</v>
      </c>
      <c r="Y20" s="357" t="n">
        <f aca="false">IF(Y$3='APA Assumptions'!$B$36,'APA Assumptions'!$B$34+'APA Assumptions'!$B$35,0)</f>
        <v>0</v>
      </c>
      <c r="Z20" s="357" t="n">
        <f aca="false">IF(Z$3='APA Assumptions'!$B$36,'APA Assumptions'!$B$34+'APA Assumptions'!$B$35,0)</f>
        <v>0</v>
      </c>
      <c r="AA20" s="357" t="n">
        <f aca="false">IF(AA$3='APA Assumptions'!$B$36,'APA Assumptions'!$B$34+'APA Assumptions'!$B$35,0)</f>
        <v>0</v>
      </c>
      <c r="AB20" s="357" t="n">
        <f aca="false">IF(AB$3='APA Assumptions'!$B$36,'APA Assumptions'!$B$34+'APA Assumptions'!$B$35,0)</f>
        <v>0</v>
      </c>
      <c r="AC20" s="357" t="n">
        <f aca="false">IF(AC$3='APA Assumptions'!$B$36,'APA Assumptions'!$B$34+'APA Assumptions'!$B$35,0)</f>
        <v>0</v>
      </c>
      <c r="AD20" s="357" t="n">
        <f aca="false">IF(AD$3='APA Assumptions'!$B$36,'APA Assumptions'!$B$34+'APA Assumptions'!$B$35,0)</f>
        <v>0</v>
      </c>
      <c r="AE20" s="357" t="n">
        <f aca="false">IF(AE$3='APA Assumptions'!$B$36,'APA Assumptions'!$B$34+'APA Assumptions'!$B$35,0)</f>
        <v>0</v>
      </c>
      <c r="AF20" s="357" t="n">
        <f aca="false">IF(AF$3='APA Assumptions'!$B$36,'APA Assumptions'!$B$34+'APA Assumptions'!$B$35,0)</f>
        <v>0</v>
      </c>
      <c r="AG20" s="357" t="n">
        <f aca="false">IF(AG$3='APA Assumptions'!$B$36,'APA Assumptions'!$B$34+'APA Assumptions'!$B$35,0)</f>
        <v>0</v>
      </c>
      <c r="AH20" s="357" t="n">
        <f aca="false">IF(AH$3='APA Assumptions'!$B$36,'APA Assumptions'!$B$34+'APA Assumptions'!$B$35,0)</f>
        <v>0</v>
      </c>
      <c r="AI20" s="357" t="n">
        <f aca="false">IF(AI$3='APA Assumptions'!$B$36,'APA Assumptions'!$B$34+'APA Assumptions'!$B$35,0)</f>
        <v>0</v>
      </c>
      <c r="AJ20" s="357" t="n">
        <f aca="false">IF(AJ$3='APA Assumptions'!$B$36,'APA Assumptions'!$B$34+'APA Assumptions'!$B$35,0)</f>
        <v>0</v>
      </c>
      <c r="AK20" s="357" t="n">
        <f aca="false">IF(AK$3='APA Assumptions'!$B$36,'APA Assumptions'!$B$34+'APA Assumptions'!$B$35,0)</f>
        <v>0</v>
      </c>
      <c r="AL20" s="357" t="n">
        <f aca="false">IF(AL$3='APA Assumptions'!$B$36,'APA Assumptions'!$B$34+'APA Assumptions'!$B$35,0)</f>
        <v>0</v>
      </c>
      <c r="AM20" s="357" t="n">
        <f aca="false">IF(AM$3='APA Assumptions'!$B$36,'APA Assumptions'!$B$34+'APA Assumptions'!$B$35,0)</f>
        <v>0</v>
      </c>
      <c r="AN20" s="357" t="n">
        <f aca="false">SUM(B20:AM20)</f>
        <v>7500</v>
      </c>
    </row>
    <row r="21" customFormat="false" ht="15" hidden="false" customHeight="true" outlineLevel="0" collapsed="false">
      <c r="A21" s="363" t="s">
        <v>1309</v>
      </c>
      <c r="B21" s="364" t="n">
        <f aca="false">SUM(B17:B20)</f>
        <v>20865</v>
      </c>
      <c r="C21" s="364" t="n">
        <f aca="false">SUM(C17:C20)</f>
        <v>20365</v>
      </c>
      <c r="D21" s="364" t="n">
        <f aca="false">SUM(D17:D20)</f>
        <v>12865</v>
      </c>
      <c r="E21" s="364" t="n">
        <f aca="false">SUM(E17:E20)</f>
        <v>12865</v>
      </c>
      <c r="F21" s="364" t="n">
        <f aca="false">SUM(F17:F20)</f>
        <v>12865</v>
      </c>
      <c r="G21" s="364" t="n">
        <f aca="false">SUM(G17:G20)</f>
        <v>12865</v>
      </c>
      <c r="H21" s="364" t="n">
        <f aca="false">SUM(H17:H20)</f>
        <v>19115</v>
      </c>
      <c r="I21" s="364" t="n">
        <f aca="false">SUM(I17:I20)</f>
        <v>19115</v>
      </c>
      <c r="J21" s="364" t="n">
        <f aca="false">SUM(J17:J20)</f>
        <v>19115</v>
      </c>
      <c r="K21" s="364" t="n">
        <f aca="false">SUM(K17:K20)</f>
        <v>19115</v>
      </c>
      <c r="L21" s="364" t="n">
        <f aca="false">SUM(L17:L20)</f>
        <v>19115</v>
      </c>
      <c r="M21" s="364" t="n">
        <f aca="false">SUM(M17:M20)</f>
        <v>19115</v>
      </c>
      <c r="N21" s="364" t="n">
        <f aca="false">SUM(N17:N20)</f>
        <v>27115</v>
      </c>
      <c r="O21" s="364" t="n">
        <f aca="false">SUM(O17:O20)</f>
        <v>19115</v>
      </c>
      <c r="P21" s="364" t="n">
        <f aca="false">SUM(P17:P20)</f>
        <v>19115</v>
      </c>
      <c r="Q21" s="364" t="n">
        <f aca="false">SUM(Q17:Q20)</f>
        <v>19115</v>
      </c>
      <c r="R21" s="364" t="n">
        <f aca="false">SUM(R17:R20)</f>
        <v>19115</v>
      </c>
      <c r="S21" s="364" t="n">
        <f aca="false">SUM(S17:S20)</f>
        <v>19115</v>
      </c>
      <c r="T21" s="364" t="n">
        <f aca="false">SUM(T17:T20)</f>
        <v>19115</v>
      </c>
      <c r="U21" s="364" t="n">
        <f aca="false">SUM(U17:U20)</f>
        <v>19115</v>
      </c>
      <c r="V21" s="364" t="n">
        <f aca="false">SUM(V17:V20)</f>
        <v>19115</v>
      </c>
      <c r="W21" s="364" t="n">
        <f aca="false">SUM(W17:W20)</f>
        <v>19115</v>
      </c>
      <c r="X21" s="364" t="n">
        <f aca="false">SUM(X17:X20)</f>
        <v>19115</v>
      </c>
      <c r="Y21" s="364" t="n">
        <f aca="false">SUM(Y17:Y20)</f>
        <v>19115</v>
      </c>
      <c r="Z21" s="364" t="n">
        <f aca="false">SUM(Z17:Z20)</f>
        <v>27115</v>
      </c>
      <c r="AA21" s="364" t="n">
        <f aca="false">SUM(AA17:AA20)</f>
        <v>19115</v>
      </c>
      <c r="AB21" s="364" t="n">
        <f aca="false">SUM(AB17:AB20)</f>
        <v>19115</v>
      </c>
      <c r="AC21" s="364" t="n">
        <f aca="false">SUM(AC17:AC20)</f>
        <v>19115</v>
      </c>
      <c r="AD21" s="364" t="n">
        <f aca="false">SUM(AD17:AD20)</f>
        <v>19115</v>
      </c>
      <c r="AE21" s="364" t="n">
        <f aca="false">SUM(AE17:AE20)</f>
        <v>19115</v>
      </c>
      <c r="AF21" s="364" t="n">
        <f aca="false">SUM(AF17:AF20)</f>
        <v>19115</v>
      </c>
      <c r="AG21" s="364" t="n">
        <f aca="false">SUM(AG17:AG20)</f>
        <v>19115</v>
      </c>
      <c r="AH21" s="364" t="n">
        <f aca="false">SUM(AH17:AH20)</f>
        <v>19115</v>
      </c>
      <c r="AI21" s="364" t="n">
        <f aca="false">SUM(AI17:AI20)</f>
        <v>19115</v>
      </c>
      <c r="AJ21" s="364" t="n">
        <f aca="false">SUM(AJ17:AJ20)</f>
        <v>19115</v>
      </c>
      <c r="AK21" s="364" t="n">
        <f aca="false">SUM(AK17:AK20)</f>
        <v>19115</v>
      </c>
      <c r="AL21" s="364" t="n">
        <f aca="false">SUM(AL17:AL20)</f>
        <v>27115</v>
      </c>
      <c r="AM21" s="364" t="n">
        <f aca="false">SUM(AM17:AM20)</f>
        <v>19115</v>
      </c>
      <c r="AN21" s="364" t="n">
        <f aca="false">SUM(B21:AM21)</f>
        <v>728370</v>
      </c>
    </row>
    <row r="23" customFormat="false" ht="15" hidden="false" customHeight="true" outlineLevel="0" collapsed="false">
      <c r="A23" s="365" t="s">
        <v>1310</v>
      </c>
      <c r="B23" s="366" t="n">
        <f aca="false">B14-B21</f>
        <v>4849.28571428571</v>
      </c>
      <c r="C23" s="366" t="n">
        <f aca="false">C14-C21</f>
        <v>18043.2857142857</v>
      </c>
      <c r="D23" s="366" t="n">
        <f aca="false">D14-D21</f>
        <v>25543.2857142857</v>
      </c>
      <c r="E23" s="366" t="n">
        <f aca="false">E14-E21</f>
        <v>25543.2857142857</v>
      </c>
      <c r="F23" s="366" t="n">
        <f aca="false">F14-F21</f>
        <v>25543.2857142857</v>
      </c>
      <c r="G23" s="366" t="n">
        <f aca="false">G14-G21</f>
        <v>20043.2857142857</v>
      </c>
      <c r="H23" s="366" t="n">
        <f aca="false">H14-H21</f>
        <v>61793.2857142857</v>
      </c>
      <c r="I23" s="366" t="n">
        <f aca="false">I14-I21</f>
        <v>36079</v>
      </c>
      <c r="J23" s="366" t="n">
        <f aca="false">J14-J21</f>
        <v>38579</v>
      </c>
      <c r="K23" s="366" t="n">
        <f aca="false">K14-K21</f>
        <v>38579</v>
      </c>
      <c r="L23" s="366" t="n">
        <f aca="false">L14-L21</f>
        <v>38579</v>
      </c>
      <c r="M23" s="366" t="n">
        <f aca="false">M14-M21</f>
        <v>38579</v>
      </c>
      <c r="N23" s="366" t="n">
        <f aca="false">N14-N21</f>
        <v>30579</v>
      </c>
      <c r="O23" s="366" t="n">
        <f aca="false">O14-O21</f>
        <v>38579</v>
      </c>
      <c r="P23" s="366" t="n">
        <f aca="false">P14-P21</f>
        <v>38579</v>
      </c>
      <c r="Q23" s="366" t="n">
        <f aca="false">Q14-Q21</f>
        <v>38579</v>
      </c>
      <c r="R23" s="366" t="n">
        <f aca="false">R14-R21</f>
        <v>35885</v>
      </c>
      <c r="S23" s="366" t="n">
        <f aca="false">S14-S21</f>
        <v>35885</v>
      </c>
      <c r="T23" s="366" t="n">
        <f aca="false">T14-T21</f>
        <v>-14115</v>
      </c>
      <c r="U23" s="366" t="n">
        <f aca="false">U14-U21</f>
        <v>-14115</v>
      </c>
      <c r="V23" s="366" t="n">
        <f aca="false">V14-V21</f>
        <v>-14115</v>
      </c>
      <c r="W23" s="366" t="n">
        <f aca="false">W14-W21</f>
        <v>-11615</v>
      </c>
      <c r="X23" s="366" t="n">
        <f aca="false">X14-X21</f>
        <v>-11615</v>
      </c>
      <c r="Y23" s="366" t="n">
        <f aca="false">Y14-Y21</f>
        <v>-11615</v>
      </c>
      <c r="Z23" s="366" t="n">
        <f aca="false">Z14-Z21</f>
        <v>-19615</v>
      </c>
      <c r="AA23" s="366" t="n">
        <f aca="false">AA14-AA21</f>
        <v>-11615</v>
      </c>
      <c r="AB23" s="366" t="n">
        <f aca="false">AB14-AB21</f>
        <v>-11615</v>
      </c>
      <c r="AC23" s="366" t="n">
        <f aca="false">AC14-AC21</f>
        <v>-11615</v>
      </c>
      <c r="AD23" s="366" t="n">
        <f aca="false">AD14-AD21</f>
        <v>-11615</v>
      </c>
      <c r="AE23" s="366" t="n">
        <f aca="false">AE14-AE21</f>
        <v>-11615</v>
      </c>
      <c r="AF23" s="366" t="n">
        <f aca="false">AF14-AF21</f>
        <v>-11615</v>
      </c>
      <c r="AG23" s="366" t="n">
        <f aca="false">AG14-AG21</f>
        <v>-14115</v>
      </c>
      <c r="AH23" s="366" t="n">
        <f aca="false">AH14-AH21</f>
        <v>-14115</v>
      </c>
      <c r="AI23" s="366" t="n">
        <f aca="false">AI14-AI21</f>
        <v>-14115</v>
      </c>
      <c r="AJ23" s="366" t="n">
        <f aca="false">AJ14-AJ21</f>
        <v>-14115</v>
      </c>
      <c r="AK23" s="366" t="n">
        <f aca="false">AK14-AK21</f>
        <v>-14115</v>
      </c>
      <c r="AL23" s="366" t="n">
        <f aca="false">AL14-AL21</f>
        <v>-22115</v>
      </c>
      <c r="AM23" s="366" t="n">
        <f aca="false">AM14-AM21</f>
        <v>-14115</v>
      </c>
      <c r="AN23" s="366" t="n">
        <f aca="false">AN14-AN21</f>
        <v>316540</v>
      </c>
    </row>
    <row r="24" customFormat="false" ht="15" hidden="false" customHeight="true" outlineLevel="0" collapsed="false">
      <c r="A24" s="125" t="s">
        <v>1311</v>
      </c>
      <c r="B24" s="357" t="n">
        <f aca="false">B23</f>
        <v>4849.28571428571</v>
      </c>
      <c r="C24" s="357" t="n">
        <f aca="false">B24+C23</f>
        <v>22892.5714285714</v>
      </c>
      <c r="D24" s="357" t="n">
        <f aca="false">C24+D23</f>
        <v>48435.8571428571</v>
      </c>
      <c r="E24" s="357" t="n">
        <f aca="false">D24+E23</f>
        <v>73979.1428571428</v>
      </c>
      <c r="F24" s="357" t="n">
        <f aca="false">E24+F23</f>
        <v>99522.4285714286</v>
      </c>
      <c r="G24" s="357" t="n">
        <f aca="false">F24+G23</f>
        <v>119565.714285714</v>
      </c>
      <c r="H24" s="357" t="n">
        <f aca="false">G24+H23</f>
        <v>181359</v>
      </c>
      <c r="I24" s="357" t="n">
        <f aca="false">H24+I23</f>
        <v>217438</v>
      </c>
      <c r="J24" s="357" t="n">
        <f aca="false">I24+J23</f>
        <v>256017</v>
      </c>
      <c r="K24" s="357" t="n">
        <f aca="false">J24+K23</f>
        <v>294596</v>
      </c>
      <c r="L24" s="357" t="n">
        <f aca="false">K24+L23</f>
        <v>333175</v>
      </c>
      <c r="M24" s="357" t="n">
        <f aca="false">L24+M23</f>
        <v>371754</v>
      </c>
      <c r="N24" s="357" t="n">
        <f aca="false">M24+N23</f>
        <v>402333</v>
      </c>
      <c r="O24" s="357" t="n">
        <f aca="false">N24+O23</f>
        <v>440912</v>
      </c>
      <c r="P24" s="357" t="n">
        <f aca="false">O24+P23</f>
        <v>479491</v>
      </c>
      <c r="Q24" s="357" t="n">
        <f aca="false">P24+Q23</f>
        <v>518070</v>
      </c>
      <c r="R24" s="357" t="n">
        <f aca="false">Q24+R23</f>
        <v>553955</v>
      </c>
      <c r="S24" s="357" t="n">
        <f aca="false">R24+S23</f>
        <v>589840</v>
      </c>
      <c r="T24" s="357" t="n">
        <f aca="false">S24+T23</f>
        <v>575725</v>
      </c>
      <c r="U24" s="357" t="n">
        <f aca="false">T24+U23</f>
        <v>561610</v>
      </c>
      <c r="V24" s="357" t="n">
        <f aca="false">U24+V23</f>
        <v>547495</v>
      </c>
      <c r="W24" s="357" t="n">
        <f aca="false">V24+W23</f>
        <v>535880</v>
      </c>
      <c r="X24" s="357" t="n">
        <f aca="false">W24+X23</f>
        <v>524265</v>
      </c>
      <c r="Y24" s="357" t="n">
        <f aca="false">X24+Y23</f>
        <v>512650</v>
      </c>
      <c r="Z24" s="357" t="n">
        <f aca="false">Y24+Z23</f>
        <v>493035</v>
      </c>
      <c r="AA24" s="357" t="n">
        <f aca="false">Z24+AA23</f>
        <v>481420</v>
      </c>
      <c r="AB24" s="357" t="n">
        <f aca="false">AA24+AB23</f>
        <v>469805</v>
      </c>
      <c r="AC24" s="357" t="n">
        <f aca="false">AB24+AC23</f>
        <v>458190</v>
      </c>
      <c r="AD24" s="357" t="n">
        <f aca="false">AC24+AD23</f>
        <v>446575</v>
      </c>
      <c r="AE24" s="357" t="n">
        <f aca="false">AD24+AE23</f>
        <v>434960</v>
      </c>
      <c r="AF24" s="357" t="n">
        <f aca="false">AE24+AF23</f>
        <v>423345</v>
      </c>
      <c r="AG24" s="357" t="n">
        <f aca="false">AF24+AG23</f>
        <v>409230</v>
      </c>
      <c r="AH24" s="357" t="n">
        <f aca="false">AG24+AH23</f>
        <v>395115</v>
      </c>
      <c r="AI24" s="357" t="n">
        <f aca="false">AH24+AI23</f>
        <v>381000</v>
      </c>
      <c r="AJ24" s="357" t="n">
        <f aca="false">AI24+AJ23</f>
        <v>366885</v>
      </c>
      <c r="AK24" s="357" t="n">
        <f aca="false">AJ24+AK23</f>
        <v>352770</v>
      </c>
      <c r="AL24" s="357" t="n">
        <f aca="false">AK24+AL23</f>
        <v>330655</v>
      </c>
      <c r="AM24" s="357" t="n">
        <f aca="false">AL24+AM23</f>
        <v>316540</v>
      </c>
      <c r="AN24" s="357"/>
    </row>
    <row r="27" customFormat="false" ht="15" hidden="false" customHeight="true" outlineLevel="0" collapsed="false">
      <c r="A27" s="23" t="s">
        <v>1312</v>
      </c>
      <c r="B27" s="23"/>
      <c r="C27" s="23"/>
    </row>
    <row r="28" customFormat="false" ht="15" hidden="false" customHeight="true" outlineLevel="0" collapsed="false">
      <c r="A28" s="177" t="s">
        <v>1304</v>
      </c>
      <c r="B28" s="357" t="n">
        <f aca="false">AN14</f>
        <v>1044910</v>
      </c>
    </row>
    <row r="29" customFormat="false" ht="15" hidden="false" customHeight="true" outlineLevel="0" collapsed="false">
      <c r="A29" s="177" t="s">
        <v>1309</v>
      </c>
      <c r="B29" s="357" t="n">
        <f aca="false">AN21</f>
        <v>728370</v>
      </c>
    </row>
    <row r="30" customFormat="false" ht="15" hidden="false" customHeight="true" outlineLevel="0" collapsed="false">
      <c r="A30" s="101" t="s">
        <v>1313</v>
      </c>
      <c r="B30" s="367" t="n">
        <f aca="false">B28-B29</f>
        <v>316540</v>
      </c>
    </row>
    <row r="31" customFormat="false" ht="15" hidden="false" customHeight="true" outlineLevel="0" collapsed="false">
      <c r="A31" s="101" t="s">
        <v>1314</v>
      </c>
      <c r="B31" s="367" t="n">
        <f aca="false">B30*0.5</f>
        <v>158270</v>
      </c>
    </row>
    <row r="32" customFormat="false" ht="15" hidden="false" customHeight="true" outlineLevel="0" collapsed="false">
      <c r="A32" s="177" t="s">
        <v>1315</v>
      </c>
      <c r="B32" s="357" t="n">
        <f aca="false">B30*0.5</f>
        <v>158270</v>
      </c>
    </row>
    <row r="33" customFormat="false" ht="15" hidden="false" customHeight="true" outlineLevel="0" collapsed="false">
      <c r="A33" s="177" t="s">
        <v>1316</v>
      </c>
      <c r="B33" s="357" t="n">
        <f aca="false">AN17+B32</f>
        <v>833270</v>
      </c>
    </row>
    <row r="35" customFormat="false" ht="15" hidden="false" customHeight="true" outlineLevel="0" collapsed="false">
      <c r="A35" s="72" t="s">
        <v>1317</v>
      </c>
    </row>
    <row r="36" customFormat="false" ht="15" hidden="false" customHeight="true" outlineLevel="0" collapsed="false">
      <c r="A36" s="72" t="s">
        <v>1318</v>
      </c>
    </row>
    <row r="37" customFormat="false" ht="15" hidden="false" customHeight="true" outlineLevel="0" collapsed="false">
      <c r="A37" s="72" t="s">
        <v>1319</v>
      </c>
    </row>
    <row r="38" customFormat="false" ht="15" hidden="false" customHeight="true" outlineLevel="0" collapsed="false">
      <c r="A38" s="72" t="s">
        <v>1320</v>
      </c>
    </row>
    <row r="39" customFormat="false" ht="15" hidden="false" customHeight="true" outlineLevel="0" collapsed="false">
      <c r="A39" s="72" t="s">
        <v>1321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DE104"/>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703125" defaultRowHeight="13.5" zeroHeight="false" outlineLevelRow="0" outlineLevelCol="0"/>
  <cols>
    <col collapsed="false" customWidth="true" hidden="false" outlineLevel="0" max="1" min="1" style="1" width="11"/>
    <col collapsed="false" customWidth="true" hidden="false" outlineLevel="0" max="2" min="2" style="1" width="20"/>
    <col collapsed="false" customWidth="true" hidden="false" outlineLevel="0" max="3" min="3" style="1" width="24"/>
    <col collapsed="false" customWidth="true" hidden="false" outlineLevel="0" max="5" min="4" style="1" width="18"/>
    <col collapsed="false" customWidth="true" hidden="false" outlineLevel="0" max="6" min="6" style="1" width="20"/>
    <col collapsed="false" customWidth="true" hidden="false" outlineLevel="0" max="7" min="7" style="1" width="21"/>
    <col collapsed="false" customWidth="true" hidden="false" outlineLevel="0" max="8" min="8" style="1" width="52"/>
    <col collapsed="false" customWidth="true" hidden="false" outlineLevel="0" max="9" min="9" style="1" width="13"/>
    <col collapsed="false" customWidth="true" hidden="false" outlineLevel="0" max="11" min="10" style="1" width="16"/>
    <col collapsed="false" customWidth="true" hidden="false" outlineLevel="0" max="12" min="12" style="1" width="14"/>
  </cols>
  <sheetData>
    <row r="1" customFormat="false" ht="15" hidden="false" customHeight="true" outlineLevel="0" collapsed="false">
      <c r="A1" s="368" t="s">
        <v>1322</v>
      </c>
      <c r="N1" s="1" t="s">
        <v>1323</v>
      </c>
      <c r="O1" s="369" t="n">
        <v>1</v>
      </c>
    </row>
    <row r="2" customFormat="false" ht="13.5" hidden="false" customHeight="true" outlineLevel="0" collapsed="false">
      <c r="A2" s="370" t="s">
        <v>1324</v>
      </c>
      <c r="N2" s="1" t="s">
        <v>1325</v>
      </c>
    </row>
    <row r="3" customFormat="false" ht="57" hidden="false" customHeight="true" outlineLevel="0" collapsed="false">
      <c r="A3" s="176" t="s">
        <v>1326</v>
      </c>
      <c r="B3" s="176" t="s">
        <v>453</v>
      </c>
      <c r="C3" s="176" t="s">
        <v>1327</v>
      </c>
      <c r="D3" s="176" t="s">
        <v>1328</v>
      </c>
      <c r="E3" s="176" t="s">
        <v>1329</v>
      </c>
      <c r="F3" s="176" t="s">
        <v>1330</v>
      </c>
      <c r="G3" s="176" t="s">
        <v>1331</v>
      </c>
      <c r="H3" s="176" t="s">
        <v>613</v>
      </c>
      <c r="I3" s="176" t="s">
        <v>1332</v>
      </c>
      <c r="J3" s="176" t="s">
        <v>1333</v>
      </c>
      <c r="K3" s="176" t="s">
        <v>1334</v>
      </c>
      <c r="L3" s="176" t="s">
        <v>1335</v>
      </c>
    </row>
    <row r="4" customFormat="false" ht="13.5" hidden="false" customHeight="true" outlineLevel="0" collapsed="false">
      <c r="A4" s="217" t="n">
        <v>13</v>
      </c>
      <c r="B4" s="215" t="s">
        <v>7</v>
      </c>
      <c r="C4" s="215" t="s">
        <v>1336</v>
      </c>
      <c r="D4" s="217" t="n">
        <v>0</v>
      </c>
      <c r="E4" s="217" t="n">
        <v>1</v>
      </c>
      <c r="F4" s="371" t="n">
        <v>150000</v>
      </c>
      <c r="G4" s="217" t="n">
        <v>9</v>
      </c>
      <c r="H4" s="215" t="s">
        <v>1337</v>
      </c>
      <c r="I4" s="217" t="n">
        <f aca="false">IF(OR($D4=1,$E4=1),SUM(INDEX(Model!$J$13:$DE$56,$A4-12,0))+SUM(INDEX(Model!$J$60:$DE$103,$A4-12,0)),0)</f>
        <v>5373.77120754728</v>
      </c>
      <c r="J4" s="371" t="n">
        <v>142810</v>
      </c>
      <c r="K4" s="217" t="n">
        <f aca="false">IF(OR($D4=1,$E4=1),J4+IF(AND($D4=1,$O$1=1),0,I4),0)</f>
        <v>148183.771207547</v>
      </c>
      <c r="L4" s="372" t="n">
        <v>0.5</v>
      </c>
    </row>
    <row r="5" customFormat="false" ht="13.5" hidden="false" customHeight="true" outlineLevel="0" collapsed="false">
      <c r="A5" s="373" t="n">
        <v>14</v>
      </c>
      <c r="B5" s="374" t="s">
        <v>8</v>
      </c>
      <c r="C5" s="374" t="s">
        <v>1336</v>
      </c>
      <c r="D5" s="373" t="n">
        <v>0</v>
      </c>
      <c r="E5" s="373" t="n">
        <v>1</v>
      </c>
      <c r="F5" s="375" t="n">
        <v>358268</v>
      </c>
      <c r="G5" s="373" t="n">
        <v>19</v>
      </c>
      <c r="H5" s="374" t="s">
        <v>1337</v>
      </c>
      <c r="I5" s="373" t="n">
        <f aca="false">IF(OR($D5=1,$E5=1),SUM(INDEX(Model!$J$13:$DE$56,$A5-12,0))+SUM(INDEX(Model!$J$60:$DE$103,$A5-12,0)),0)</f>
        <v>-332620.069999998</v>
      </c>
      <c r="J5" s="375" t="n">
        <v>133665</v>
      </c>
      <c r="K5" s="373" t="n">
        <f aca="false">IF(OR($D5=1,$E5=1),J5+IF(AND($D5=1,$O$1=1),0,I5),0)</f>
        <v>-198955.069999998</v>
      </c>
      <c r="L5" s="376" t="n">
        <v>0.5</v>
      </c>
    </row>
    <row r="6" customFormat="false" ht="13.5" hidden="false" customHeight="true" outlineLevel="0" collapsed="false">
      <c r="A6" s="217" t="n">
        <v>15</v>
      </c>
      <c r="B6" s="215" t="s">
        <v>9</v>
      </c>
      <c r="C6" s="215" t="s">
        <v>1338</v>
      </c>
      <c r="D6" s="217" t="n">
        <v>1</v>
      </c>
      <c r="E6" s="217" t="n">
        <v>0</v>
      </c>
      <c r="F6" s="371" t="n">
        <v>0</v>
      </c>
      <c r="G6" s="377" t="n">
        <f aca="false">Retention!$F$4</f>
        <v>17</v>
      </c>
      <c r="H6" s="1" t="s">
        <v>1339</v>
      </c>
      <c r="I6" s="217" t="n">
        <f aca="false">IF(OR($D6=1,$E6=1),SUM(INDEX(Model!$J$13:$DE$56,$A6-12,0))+SUM(INDEX(Model!$J$60:$DE$103,$A6-12,0)),0)</f>
        <v>151039.86</v>
      </c>
      <c r="J6" s="371" t="n">
        <f aca="false">92186-100503</f>
        <v>-8317</v>
      </c>
      <c r="K6" s="217" t="n">
        <f aca="false">IF(OR($D6=1,$E6=1),J6+IF(AND($D6=1,$O$1=1),0,I6),0)</f>
        <v>-8317</v>
      </c>
      <c r="L6" s="372" t="n">
        <v>0</v>
      </c>
    </row>
    <row r="7" customFormat="false" ht="13.5" hidden="false" customHeight="true" outlineLevel="0" collapsed="false">
      <c r="A7" s="373" t="n">
        <v>16</v>
      </c>
      <c r="B7" s="374" t="s">
        <v>10</v>
      </c>
      <c r="C7" s="374" t="s">
        <v>1338</v>
      </c>
      <c r="D7" s="373" t="n">
        <v>1</v>
      </c>
      <c r="E7" s="373" t="n">
        <v>0</v>
      </c>
      <c r="F7" s="375" t="n">
        <v>0</v>
      </c>
      <c r="G7" s="378" t="n">
        <f aca="false">Retention!$F$5</f>
        <v>19</v>
      </c>
      <c r="H7" s="1" t="s">
        <v>1339</v>
      </c>
      <c r="I7" s="373" t="n">
        <f aca="false">IF(OR($D7=1,$E7=1),SUM(INDEX(Model!$J$13:$DE$56,$A7-12,0))+SUM(INDEX(Model!$J$60:$DE$103,$A7-12,0)),0)</f>
        <v>52497.3800000008</v>
      </c>
      <c r="J7" s="375" t="n">
        <f aca="false">107920-116123</f>
        <v>-8203</v>
      </c>
      <c r="K7" s="373" t="n">
        <f aca="false">IF(OR($D7=1,$E7=1),J7+IF(AND($D7=1,$O$1=1),0,I7),0)</f>
        <v>-8203</v>
      </c>
      <c r="L7" s="376" t="n">
        <v>0</v>
      </c>
    </row>
    <row r="8" customFormat="false" ht="13.5" hidden="false" customHeight="true" outlineLevel="0" collapsed="false">
      <c r="A8" s="217" t="n">
        <v>17</v>
      </c>
      <c r="B8" s="215" t="s">
        <v>11</v>
      </c>
      <c r="C8" s="215" t="s">
        <v>1336</v>
      </c>
      <c r="D8" s="217" t="n">
        <v>0</v>
      </c>
      <c r="E8" s="217" t="n">
        <v>1</v>
      </c>
      <c r="F8" s="371" t="n">
        <v>0</v>
      </c>
      <c r="G8" s="377" t="n">
        <f aca="false">Retention!$F$6</f>
        <v>15</v>
      </c>
      <c r="H8" s="215" t="s">
        <v>1337</v>
      </c>
      <c r="I8" s="217" t="n">
        <f aca="false">IF(OR($D8=1,$E8=1),SUM(INDEX(Model!$J$13:$DE$56,$A8-12,0))+SUM(INDEX(Model!$J$60:$DE$103,$A8-12,0)),0)</f>
        <v>0</v>
      </c>
      <c r="J8" s="371" t="n">
        <v>3381</v>
      </c>
      <c r="K8" s="217" t="n">
        <f aca="false">IF(OR($D8=1,$E8=1),J8+IF(AND($D8=1,$O$1=1),0,I8),0)</f>
        <v>3381</v>
      </c>
      <c r="L8" s="372" t="n">
        <v>0.5</v>
      </c>
    </row>
    <row r="9" customFormat="false" ht="13.5" hidden="false" customHeight="true" outlineLevel="0" collapsed="false">
      <c r="A9" s="373" t="n">
        <v>18</v>
      </c>
      <c r="B9" s="374" t="s">
        <v>12</v>
      </c>
      <c r="C9" s="374" t="s">
        <v>1338</v>
      </c>
      <c r="D9" s="373" t="n">
        <v>1</v>
      </c>
      <c r="E9" s="373" t="n">
        <v>0</v>
      </c>
      <c r="F9" s="375" t="n">
        <v>0</v>
      </c>
      <c r="G9" s="378" t="n">
        <f aca="false">Retention!$F$7</f>
        <v>36</v>
      </c>
      <c r="H9" s="1" t="s">
        <v>1339</v>
      </c>
      <c r="I9" s="373" t="n">
        <f aca="false">IF(OR($D9=1,$E9=1),SUM(INDEX(Model!$J$13:$DE$56,$A9-12,0))+SUM(INDEX(Model!$J$60:$DE$103,$A9-12,0)),0)</f>
        <v>0</v>
      </c>
      <c r="J9" s="375" t="n">
        <f aca="false">514466.85-525378</f>
        <v>-10911.15</v>
      </c>
      <c r="K9" s="373" t="n">
        <f aca="false">IF(OR($D9=1,$E9=1),J9+IF(AND($D9=1,$O$1=1),0,I9),0)</f>
        <v>-10911.15</v>
      </c>
      <c r="L9" s="376" t="n">
        <v>0</v>
      </c>
    </row>
    <row r="10" customFormat="false" ht="13.5" hidden="false" customHeight="true" outlineLevel="0" collapsed="false">
      <c r="A10" s="217" t="n">
        <v>19</v>
      </c>
      <c r="B10" s="215" t="s">
        <v>13</v>
      </c>
      <c r="C10" s="215" t="s">
        <v>1338</v>
      </c>
      <c r="D10" s="217" t="n">
        <v>1</v>
      </c>
      <c r="E10" s="217" t="n">
        <v>0</v>
      </c>
      <c r="F10" s="371" t="n">
        <v>0</v>
      </c>
      <c r="G10" s="377" t="n">
        <f aca="false">Retention!$F$8</f>
        <v>24</v>
      </c>
      <c r="H10" s="1" t="s">
        <v>1339</v>
      </c>
      <c r="I10" s="217" t="n">
        <f aca="false">IF(OR($D10=1,$E10=1),SUM(INDEX(Model!$J$13:$DE$56,$A10-12,0))+SUM(INDEX(Model!$J$60:$DE$103,$A10-12,0)),0)</f>
        <v>0</v>
      </c>
      <c r="J10" s="371" t="n">
        <f aca="false">96942.25-96992.25</f>
        <v>-50</v>
      </c>
      <c r="K10" s="217" t="n">
        <f aca="false">IF(OR($D10=1,$E10=1),J10+IF(AND($D10=1,$O$1=1),0,I10),0)</f>
        <v>-50</v>
      </c>
      <c r="L10" s="372" t="n">
        <v>0</v>
      </c>
    </row>
    <row r="11" customFormat="false" ht="13.5" hidden="false" customHeight="true" outlineLevel="0" collapsed="false">
      <c r="A11" s="373" t="n">
        <v>20</v>
      </c>
      <c r="B11" s="374" t="s">
        <v>14</v>
      </c>
      <c r="C11" s="374" t="s">
        <v>1338</v>
      </c>
      <c r="D11" s="373" t="n">
        <v>1</v>
      </c>
      <c r="E11" s="373" t="n">
        <v>0</v>
      </c>
      <c r="F11" s="375" t="n">
        <v>0</v>
      </c>
      <c r="G11" s="378" t="n">
        <f aca="false">Retention!$F$9</f>
        <v>23</v>
      </c>
      <c r="H11" s="1" t="s">
        <v>1339</v>
      </c>
      <c r="I11" s="373" t="n">
        <f aca="false">IF(OR($D11=1,$E11=1),SUM(INDEX(Model!$J$13:$DE$56,$A11-12,0))+SUM(INDEX(Model!$J$60:$DE$103,$A11-12,0)),0)</f>
        <v>0</v>
      </c>
      <c r="J11" s="375" t="n">
        <f aca="false">104889.4-107911</f>
        <v>-3021.60000000001</v>
      </c>
      <c r="K11" s="373" t="n">
        <f aca="false">IF(OR($D11=1,$E11=1),J11+IF(AND($D11=1,$O$1=1),0,I11),0)</f>
        <v>-3021.60000000001</v>
      </c>
      <c r="L11" s="376" t="n">
        <v>0</v>
      </c>
    </row>
    <row r="12" customFormat="false" ht="13.5" hidden="false" customHeight="true" outlineLevel="0" collapsed="false">
      <c r="A12" s="217" t="n">
        <v>21</v>
      </c>
      <c r="B12" s="215" t="s">
        <v>15</v>
      </c>
      <c r="C12" s="215" t="s">
        <v>1338</v>
      </c>
      <c r="D12" s="217" t="n">
        <v>1</v>
      </c>
      <c r="E12" s="217" t="n">
        <v>0</v>
      </c>
      <c r="F12" s="371" t="n">
        <v>0</v>
      </c>
      <c r="G12" s="377" t="n">
        <f aca="false">Retention!$F$10</f>
        <v>32</v>
      </c>
      <c r="H12" s="1" t="s">
        <v>1339</v>
      </c>
      <c r="I12" s="217" t="n">
        <f aca="false">IF(OR($D12=1,$E12=1),SUM(INDEX(Model!$J$13:$DE$56,$A12-12,0))+SUM(INDEX(Model!$J$60:$DE$103,$A12-12,0)),0)</f>
        <v>0</v>
      </c>
      <c r="J12" s="371" t="n">
        <v>0</v>
      </c>
      <c r="K12" s="217" t="n">
        <f aca="false">IF(OR($D12=1,$E12=1),J12+IF(AND($D12=1,$O$1=1),0,I12),0)</f>
        <v>0</v>
      </c>
      <c r="L12" s="372" t="n">
        <v>0</v>
      </c>
    </row>
    <row r="13" customFormat="false" ht="13.5" hidden="false" customHeight="true" outlineLevel="0" collapsed="false">
      <c r="A13" s="373" t="n">
        <v>22</v>
      </c>
      <c r="B13" s="374" t="s">
        <v>16</v>
      </c>
      <c r="C13" s="374" t="s">
        <v>1336</v>
      </c>
      <c r="D13" s="373" t="n">
        <v>0</v>
      </c>
      <c r="E13" s="373" t="n">
        <v>1</v>
      </c>
      <c r="F13" s="375" t="n">
        <v>0</v>
      </c>
      <c r="G13" s="378" t="n">
        <f aca="false">Retention!$F$11</f>
        <v>29</v>
      </c>
      <c r="H13" s="374" t="s">
        <v>1337</v>
      </c>
      <c r="I13" s="373" t="n">
        <f aca="false">IF(OR($D13=1,$E13=1),SUM(INDEX(Model!$J$13:$DE$56,$A13-12,0))+SUM(INDEX(Model!$J$60:$DE$103,$A13-12,0)),0)</f>
        <v>0</v>
      </c>
      <c r="J13" s="375" t="n">
        <v>0</v>
      </c>
      <c r="K13" s="373" t="n">
        <f aca="false">IF(OR($D13=1,$E13=1),J13+IF(AND($D13=1,$O$1=1),0,I13),0)</f>
        <v>0</v>
      </c>
      <c r="L13" s="376" t="n">
        <v>0.5</v>
      </c>
    </row>
    <row r="14" customFormat="false" ht="13.5" hidden="false" customHeight="true" outlineLevel="0" collapsed="false">
      <c r="A14" s="217" t="n">
        <v>23</v>
      </c>
      <c r="B14" s="215" t="s">
        <v>17</v>
      </c>
      <c r="C14" s="215" t="s">
        <v>1336</v>
      </c>
      <c r="D14" s="217" t="n">
        <v>0</v>
      </c>
      <c r="E14" s="217" t="n">
        <v>1</v>
      </c>
      <c r="F14" s="371" t="n">
        <v>0</v>
      </c>
      <c r="G14" s="377" t="n">
        <f aca="false">Retention!$F$12</f>
        <v>28</v>
      </c>
      <c r="H14" s="215" t="s">
        <v>1337</v>
      </c>
      <c r="I14" s="217" t="n">
        <f aca="false">IF(OR($D14=1,$E14=1),SUM(INDEX(Model!$J$13:$DE$56,$A14-12,0))+SUM(INDEX(Model!$J$60:$DE$103,$A14-12,0)),0)</f>
        <v>0</v>
      </c>
      <c r="J14" s="371" t="n">
        <v>0</v>
      </c>
      <c r="K14" s="217" t="n">
        <f aca="false">IF(OR($D14=1,$E14=1),J14+IF(AND($D14=1,$O$1=1),0,I14),0)</f>
        <v>0</v>
      </c>
      <c r="L14" s="372" t="n">
        <v>0.5</v>
      </c>
    </row>
    <row r="15" customFormat="false" ht="13.5" hidden="false" customHeight="true" outlineLevel="0" collapsed="false">
      <c r="A15" s="373" t="n">
        <v>24</v>
      </c>
      <c r="B15" s="374" t="s">
        <v>18</v>
      </c>
      <c r="C15" s="374" t="s">
        <v>1338</v>
      </c>
      <c r="D15" s="373" t="n">
        <v>1</v>
      </c>
      <c r="E15" s="373" t="n">
        <v>0</v>
      </c>
      <c r="F15" s="375" t="n">
        <v>0</v>
      </c>
      <c r="G15" s="378" t="n">
        <f aca="false">Retention!$F$13</f>
        <v>42</v>
      </c>
      <c r="H15" s="1" t="s">
        <v>1339</v>
      </c>
      <c r="I15" s="373" t="n">
        <f aca="false">IF(OR($D15=1,$E15=1),SUM(INDEX(Model!$J$13:$DE$56,$A15-12,0))+SUM(INDEX(Model!$J$60:$DE$103,$A15-12,0)),0)</f>
        <v>0</v>
      </c>
      <c r="J15" s="375" t="n">
        <v>0</v>
      </c>
      <c r="K15" s="373" t="n">
        <f aca="false">IF(OR($D15=1,$E15=1),J15+IF(AND($D15=1,$O$1=1),0,I15),0)</f>
        <v>0</v>
      </c>
      <c r="L15" s="376" t="n">
        <v>0</v>
      </c>
    </row>
    <row r="16" customFormat="false" ht="13.5" hidden="false" customHeight="true" outlineLevel="0" collapsed="false">
      <c r="A16" s="217" t="n">
        <v>25</v>
      </c>
      <c r="B16" s="215" t="s">
        <v>19</v>
      </c>
      <c r="C16" s="215" t="s">
        <v>1338</v>
      </c>
      <c r="D16" s="217" t="n">
        <v>1</v>
      </c>
      <c r="E16" s="217" t="n">
        <v>0</v>
      </c>
      <c r="F16" s="371" t="n">
        <v>0</v>
      </c>
      <c r="G16" s="377" t="n">
        <f aca="false">Retention!$F$14</f>
        <v>56</v>
      </c>
      <c r="H16" s="1" t="s">
        <v>1339</v>
      </c>
      <c r="I16" s="217" t="n">
        <f aca="false">IF(OR($D16=1,$E16=1),SUM(INDEX(Model!$J$13:$DE$56,$A16-12,0))+SUM(INDEX(Model!$J$60:$DE$103,$A16-12,0)),0)</f>
        <v>0</v>
      </c>
      <c r="J16" s="371" t="n">
        <v>0</v>
      </c>
      <c r="K16" s="217" t="n">
        <f aca="false">IF(OR($D16=1,$E16=1),J16+IF(AND($D16=1,$O$1=1),0,I16),0)</f>
        <v>0</v>
      </c>
      <c r="L16" s="372" t="n">
        <v>0</v>
      </c>
    </row>
    <row r="17" customFormat="false" ht="13.5" hidden="false" customHeight="true" outlineLevel="0" collapsed="false">
      <c r="A17" s="373" t="n">
        <v>26</v>
      </c>
      <c r="B17" s="374" t="s">
        <v>20</v>
      </c>
      <c r="C17" s="374" t="s">
        <v>1338</v>
      </c>
      <c r="D17" s="373" t="n">
        <v>1</v>
      </c>
      <c r="E17" s="373" t="n">
        <v>0</v>
      </c>
      <c r="F17" s="375" t="n">
        <v>0</v>
      </c>
      <c r="G17" s="378" t="n">
        <f aca="false">Retention!$F$15</f>
        <v>32</v>
      </c>
      <c r="H17" s="1" t="s">
        <v>1339</v>
      </c>
      <c r="I17" s="373" t="n">
        <f aca="false">IF(OR($D17=1,$E17=1),SUM(INDEX(Model!$J$13:$DE$56,$A17-12,0))+SUM(INDEX(Model!$J$60:$DE$103,$A17-12,0)),0)</f>
        <v>0</v>
      </c>
      <c r="J17" s="375" t="n">
        <v>0</v>
      </c>
      <c r="K17" s="373" t="n">
        <f aca="false">IF(OR($D17=1,$E17=1),J17+IF(AND($D17=1,$O$1=1),0,I17),0)</f>
        <v>0</v>
      </c>
      <c r="L17" s="376" t="n">
        <v>0</v>
      </c>
    </row>
    <row r="18" customFormat="false" ht="13.5" hidden="false" customHeight="true" outlineLevel="0" collapsed="false">
      <c r="A18" s="217" t="n">
        <v>27</v>
      </c>
      <c r="B18" s="215" t="s">
        <v>21</v>
      </c>
      <c r="C18" s="215" t="s">
        <v>1338</v>
      </c>
      <c r="D18" s="217" t="n">
        <v>1</v>
      </c>
      <c r="E18" s="217" t="n">
        <v>0</v>
      </c>
      <c r="F18" s="371" t="n">
        <v>0</v>
      </c>
      <c r="G18" s="377" t="n">
        <f aca="false">Retention!$F$16</f>
        <v>33</v>
      </c>
      <c r="H18" s="1" t="s">
        <v>1339</v>
      </c>
      <c r="I18" s="217" t="n">
        <f aca="false">IF(OR($D18=1,$E18=1),SUM(INDEX(Model!$J$13:$DE$56,$A18-12,0))+SUM(INDEX(Model!$J$60:$DE$103,$A18-12,0)),0)</f>
        <v>0</v>
      </c>
      <c r="J18" s="371" t="n">
        <v>0</v>
      </c>
      <c r="K18" s="217" t="n">
        <f aca="false">IF(OR($D18=1,$E18=1),J18+IF(AND($D18=1,$O$1=1),0,I18),0)</f>
        <v>0</v>
      </c>
      <c r="L18" s="372" t="n">
        <v>0</v>
      </c>
    </row>
    <row r="19" customFormat="false" ht="13.5" hidden="false" customHeight="true" outlineLevel="0" collapsed="false">
      <c r="A19" s="373" t="n">
        <v>28</v>
      </c>
      <c r="B19" s="374" t="s">
        <v>22</v>
      </c>
      <c r="C19" s="374" t="s">
        <v>1338</v>
      </c>
      <c r="D19" s="373" t="n">
        <v>1</v>
      </c>
      <c r="E19" s="373" t="n">
        <v>0</v>
      </c>
      <c r="F19" s="375" t="n">
        <v>0</v>
      </c>
      <c r="G19" s="378" t="n">
        <f aca="false">Retention!$F$17</f>
        <v>34</v>
      </c>
      <c r="H19" s="1" t="s">
        <v>1339</v>
      </c>
      <c r="I19" s="373" t="n">
        <f aca="false">IF(OR($D19=1,$E19=1),SUM(INDEX(Model!$J$13:$DE$56,$A19-12,0))+SUM(INDEX(Model!$J$60:$DE$103,$A19-12,0)),0)</f>
        <v>0</v>
      </c>
      <c r="J19" s="375" t="n">
        <v>0</v>
      </c>
      <c r="K19" s="373" t="n">
        <f aca="false">IF(OR($D19=1,$E19=1),J19+IF(AND($D19=1,$O$1=1),0,I19),0)</f>
        <v>0</v>
      </c>
      <c r="L19" s="376" t="n">
        <v>0</v>
      </c>
    </row>
    <row r="20" customFormat="false" ht="13.5" hidden="false" customHeight="true" outlineLevel="0" collapsed="false">
      <c r="A20" s="217" t="n">
        <v>29</v>
      </c>
      <c r="B20" s="215" t="s">
        <v>23</v>
      </c>
      <c r="C20" s="215" t="s">
        <v>1336</v>
      </c>
      <c r="D20" s="217" t="n">
        <v>0</v>
      </c>
      <c r="E20" s="217" t="n">
        <v>1</v>
      </c>
      <c r="F20" s="371" t="n">
        <v>0</v>
      </c>
      <c r="G20" s="377" t="n">
        <f aca="false">Retention!$F$18</f>
        <v>43</v>
      </c>
      <c r="H20" s="215" t="s">
        <v>1337</v>
      </c>
      <c r="I20" s="217" t="n">
        <f aca="false">IF(OR($D20=1,$E20=1),SUM(INDEX(Model!$J$13:$DE$56,$A20-12,0))+SUM(INDEX(Model!$J$60:$DE$103,$A20-12,0)),0)</f>
        <v>0</v>
      </c>
      <c r="J20" s="371" t="n">
        <v>0</v>
      </c>
      <c r="K20" s="217" t="n">
        <f aca="false">IF(OR($D20=1,$E20=1),J20+IF(AND($D20=1,$O$1=1),0,I20),0)</f>
        <v>0</v>
      </c>
      <c r="L20" s="372" t="n">
        <v>0.5</v>
      </c>
    </row>
    <row r="21" customFormat="false" ht="13.5" hidden="false" customHeight="true" outlineLevel="0" collapsed="false">
      <c r="A21" s="373" t="n">
        <v>30</v>
      </c>
      <c r="B21" s="374" t="s">
        <v>24</v>
      </c>
      <c r="C21" s="374" t="s">
        <v>1336</v>
      </c>
      <c r="D21" s="373" t="n">
        <v>0</v>
      </c>
      <c r="E21" s="373" t="n">
        <v>1</v>
      </c>
      <c r="F21" s="375" t="n">
        <v>0</v>
      </c>
      <c r="G21" s="378" t="n">
        <f aca="false">Retention!$F$19</f>
        <v>28</v>
      </c>
      <c r="H21" s="374" t="s">
        <v>1337</v>
      </c>
      <c r="I21" s="373" t="n">
        <f aca="false">IF(OR($D21=1,$E21=1),SUM(INDEX(Model!$J$13:$DE$56,$A21-12,0))+SUM(INDEX(Model!$J$60:$DE$103,$A21-12,0)),0)</f>
        <v>0</v>
      </c>
      <c r="J21" s="375" t="n">
        <v>0</v>
      </c>
      <c r="K21" s="373" t="n">
        <f aca="false">IF(OR($D21=1,$E21=1),J21+IF(AND($D21=1,$O$1=1),0,I21),0)</f>
        <v>0</v>
      </c>
      <c r="L21" s="376" t="n">
        <v>0.5</v>
      </c>
    </row>
    <row r="22" customFormat="false" ht="13.5" hidden="false" customHeight="true" outlineLevel="0" collapsed="false">
      <c r="A22" s="217" t="n">
        <v>31</v>
      </c>
      <c r="B22" s="215" t="s">
        <v>25</v>
      </c>
      <c r="C22" s="215" t="s">
        <v>1338</v>
      </c>
      <c r="D22" s="217" t="n">
        <v>1</v>
      </c>
      <c r="E22" s="217" t="n">
        <v>0</v>
      </c>
      <c r="F22" s="371" t="n">
        <v>0</v>
      </c>
      <c r="G22" s="377" t="n">
        <f aca="false">Retention!$F$20</f>
        <v>34</v>
      </c>
      <c r="H22" s="215" t="s">
        <v>1339</v>
      </c>
      <c r="I22" s="217" t="n">
        <f aca="false">IF(OR($D22=1,$E22=1),SUM(INDEX(Model!$J$13:$DE$56,$A22-12,0))+SUM(INDEX(Model!$J$60:$DE$103,$A22-12,0)),0)</f>
        <v>0</v>
      </c>
      <c r="J22" s="371" t="n">
        <v>0</v>
      </c>
      <c r="K22" s="217" t="n">
        <f aca="false">IF(OR($D22=1,$E22=1),J22+IF(AND($D22=1,$O$1=1),0,I22),0)</f>
        <v>0</v>
      </c>
      <c r="L22" s="372" t="n">
        <v>0</v>
      </c>
    </row>
    <row r="23" customFormat="false" ht="13.5" hidden="false" customHeight="true" outlineLevel="0" collapsed="false">
      <c r="A23" s="373" t="n">
        <v>32</v>
      </c>
      <c r="B23" s="374" t="s">
        <v>26</v>
      </c>
      <c r="C23" s="374" t="s">
        <v>1338</v>
      </c>
      <c r="D23" s="373" t="n">
        <v>1</v>
      </c>
      <c r="E23" s="373" t="n">
        <v>0</v>
      </c>
      <c r="F23" s="375" t="n">
        <v>0</v>
      </c>
      <c r="G23" s="378" t="n">
        <f aca="false">Retention!$F$21</f>
        <v>35</v>
      </c>
      <c r="H23" s="374" t="s">
        <v>1339</v>
      </c>
      <c r="I23" s="373" t="n">
        <f aca="false">IF(OR($D23=1,$E23=1),SUM(INDEX(Model!$J$13:$DE$56,$A23-12,0))+SUM(INDEX(Model!$J$60:$DE$103,$A23-12,0)),0)</f>
        <v>0</v>
      </c>
      <c r="J23" s="375" t="n">
        <v>0</v>
      </c>
      <c r="K23" s="373" t="n">
        <f aca="false">IF(OR($D23=1,$E23=1),J23+IF(AND($D23=1,$O$1=1),0,I23),0)</f>
        <v>0</v>
      </c>
      <c r="L23" s="376" t="n">
        <v>0</v>
      </c>
    </row>
    <row r="24" customFormat="false" ht="13.5" hidden="false" customHeight="true" outlineLevel="0" collapsed="false">
      <c r="A24" s="217" t="n">
        <v>33</v>
      </c>
      <c r="B24" s="215" t="s">
        <v>27</v>
      </c>
      <c r="C24" s="215" t="s">
        <v>1338</v>
      </c>
      <c r="D24" s="217" t="n">
        <v>1</v>
      </c>
      <c r="E24" s="217" t="n">
        <v>0</v>
      </c>
      <c r="F24" s="371" t="n">
        <v>0</v>
      </c>
      <c r="G24" s="377" t="n">
        <f aca="false">Retention!$F$22</f>
        <v>42</v>
      </c>
      <c r="H24" s="215" t="s">
        <v>1339</v>
      </c>
      <c r="I24" s="217" t="n">
        <f aca="false">IF(OR($D24=1,$E24=1),SUM(INDEX(Model!$J$13:$DE$56,$A24-12,0))+SUM(INDEX(Model!$J$60:$DE$103,$A24-12,0)),0)</f>
        <v>0</v>
      </c>
      <c r="J24" s="371" t="n">
        <v>0</v>
      </c>
      <c r="K24" s="217" t="n">
        <f aca="false">IF(OR($D24=1,$E24=1),J24+IF(AND($D24=1,$O$1=1),0,I24),0)</f>
        <v>0</v>
      </c>
      <c r="L24" s="372" t="n">
        <v>0</v>
      </c>
    </row>
    <row r="25" customFormat="false" ht="13.5" hidden="false" customHeight="true" outlineLevel="0" collapsed="false">
      <c r="A25" s="373" t="n">
        <v>34</v>
      </c>
      <c r="B25" s="374" t="s">
        <v>28</v>
      </c>
      <c r="C25" s="374" t="s">
        <v>1338</v>
      </c>
      <c r="D25" s="373" t="n">
        <v>1</v>
      </c>
      <c r="E25" s="373" t="n">
        <v>0</v>
      </c>
      <c r="F25" s="375" t="n">
        <v>0</v>
      </c>
      <c r="G25" s="378" t="n">
        <f aca="false">Retention!$F$23</f>
        <v>47</v>
      </c>
      <c r="H25" s="374" t="s">
        <v>1339</v>
      </c>
      <c r="I25" s="373" t="n">
        <f aca="false">IF(OR($D25=1,$E25=1),SUM(INDEX(Model!$J$13:$DE$56,$A25-12,0))+SUM(INDEX(Model!$J$60:$DE$103,$A25-12,0)),0)</f>
        <v>0</v>
      </c>
      <c r="J25" s="375" t="n">
        <v>0</v>
      </c>
      <c r="K25" s="373" t="n">
        <f aca="false">IF(OR($D25=1,$E25=1),J25+IF(AND($D25=1,$O$1=1),0,I25),0)</f>
        <v>0</v>
      </c>
      <c r="L25" s="376" t="n">
        <v>0</v>
      </c>
    </row>
    <row r="26" customFormat="false" ht="13.5" hidden="false" customHeight="true" outlineLevel="0" collapsed="false">
      <c r="A26" s="217" t="n">
        <v>35</v>
      </c>
      <c r="B26" s="215" t="s">
        <v>29</v>
      </c>
      <c r="C26" s="215" t="s">
        <v>1338</v>
      </c>
      <c r="D26" s="217" t="n">
        <v>1</v>
      </c>
      <c r="E26" s="217" t="n">
        <v>0</v>
      </c>
      <c r="F26" s="371" t="n">
        <v>0</v>
      </c>
      <c r="G26" s="377" t="n">
        <f aca="false">Retention!$F$24</f>
        <v>48</v>
      </c>
      <c r="H26" s="215" t="s">
        <v>1339</v>
      </c>
      <c r="I26" s="217" t="n">
        <f aca="false">IF(OR($D26=1,$E26=1),SUM(INDEX(Model!$J$13:$DE$56,$A26-12,0))+SUM(INDEX(Model!$J$60:$DE$103,$A26-12,0)),0)</f>
        <v>0</v>
      </c>
      <c r="J26" s="371" t="n">
        <v>0</v>
      </c>
      <c r="K26" s="217" t="n">
        <f aca="false">IF(OR($D26=1,$E26=1),J26+IF(AND($D26=1,$O$1=1),0,I26),0)</f>
        <v>0</v>
      </c>
      <c r="L26" s="372" t="n">
        <v>0</v>
      </c>
    </row>
    <row r="27" customFormat="false" ht="13.5" hidden="false" customHeight="true" outlineLevel="0" collapsed="false">
      <c r="A27" s="373" t="n">
        <v>36</v>
      </c>
      <c r="B27" s="374" t="s">
        <v>30</v>
      </c>
      <c r="C27" s="374" t="s">
        <v>1338</v>
      </c>
      <c r="D27" s="373" t="n">
        <v>1</v>
      </c>
      <c r="E27" s="373" t="n">
        <v>0</v>
      </c>
      <c r="F27" s="375" t="n">
        <v>0</v>
      </c>
      <c r="G27" s="378" t="n">
        <f aca="false">Retention!$F$25</f>
        <v>49</v>
      </c>
      <c r="H27" s="374" t="s">
        <v>1339</v>
      </c>
      <c r="I27" s="373" t="n">
        <f aca="false">IF(OR($D27=1,$E27=1),SUM(INDEX(Model!$J$13:$DE$56,$A27-12,0))+SUM(INDEX(Model!$J$60:$DE$103,$A27-12,0)),0)</f>
        <v>0</v>
      </c>
      <c r="J27" s="375" t="n">
        <v>0</v>
      </c>
      <c r="K27" s="373" t="n">
        <f aca="false">IF(OR($D27=1,$E27=1),J27+IF(AND($D27=1,$O$1=1),0,I27),0)</f>
        <v>0</v>
      </c>
      <c r="L27" s="376" t="n">
        <v>0</v>
      </c>
    </row>
    <row r="28" customFormat="false" ht="13.5" hidden="false" customHeight="true" outlineLevel="0" collapsed="false">
      <c r="A28" s="217" t="n">
        <v>37</v>
      </c>
      <c r="B28" s="215" t="s">
        <v>31</v>
      </c>
      <c r="C28" s="215" t="s">
        <v>1338</v>
      </c>
      <c r="D28" s="217" t="n">
        <v>1</v>
      </c>
      <c r="E28" s="217" t="n">
        <v>0</v>
      </c>
      <c r="F28" s="371" t="n">
        <v>0</v>
      </c>
      <c r="G28" s="377" t="n">
        <f aca="false">Retention!$F$26</f>
        <v>50</v>
      </c>
      <c r="H28" s="215" t="s">
        <v>1339</v>
      </c>
      <c r="I28" s="217" t="n">
        <f aca="false">IF(OR($D28=1,$E28=1),SUM(INDEX(Model!$J$13:$DE$56,$A28-12,0))+SUM(INDEX(Model!$J$60:$DE$103,$A28-12,0)),0)</f>
        <v>0</v>
      </c>
      <c r="J28" s="371" t="n">
        <v>0</v>
      </c>
      <c r="K28" s="217" t="n">
        <f aca="false">IF(OR($D28=1,$E28=1),J28+IF(AND($D28=1,$O$1=1),0,I28),0)</f>
        <v>0</v>
      </c>
      <c r="L28" s="372" t="n">
        <v>0</v>
      </c>
    </row>
    <row r="29" customFormat="false" ht="13.5" hidden="false" customHeight="true" outlineLevel="0" collapsed="false">
      <c r="A29" s="373" t="n">
        <v>38</v>
      </c>
      <c r="B29" s="374" t="s">
        <v>32</v>
      </c>
      <c r="C29" s="374" t="s">
        <v>1338</v>
      </c>
      <c r="D29" s="373" t="n">
        <v>1</v>
      </c>
      <c r="E29" s="373" t="n">
        <v>0</v>
      </c>
      <c r="F29" s="375" t="n">
        <v>0</v>
      </c>
      <c r="G29" s="378" t="n">
        <f aca="false">Retention!$F$27</f>
        <v>51</v>
      </c>
      <c r="H29" s="374" t="s">
        <v>1339</v>
      </c>
      <c r="I29" s="373" t="n">
        <f aca="false">IF(OR($D29=1,$E29=1),SUM(INDEX(Model!$J$13:$DE$56,$A29-12,0))+SUM(INDEX(Model!$J$60:$DE$103,$A29-12,0)),0)</f>
        <v>0</v>
      </c>
      <c r="J29" s="375" t="n">
        <v>0</v>
      </c>
      <c r="K29" s="373" t="n">
        <f aca="false">IF(OR($D29=1,$E29=1),J29+IF(AND($D29=1,$O$1=1),0,I29),0)</f>
        <v>0</v>
      </c>
      <c r="L29" s="376" t="n">
        <v>0</v>
      </c>
    </row>
    <row r="30" customFormat="false" ht="13.5" hidden="false" customHeight="true" outlineLevel="0" collapsed="false">
      <c r="A30" s="217" t="n">
        <v>39</v>
      </c>
      <c r="B30" s="215" t="s">
        <v>33</v>
      </c>
      <c r="C30" s="215" t="s">
        <v>1338</v>
      </c>
      <c r="D30" s="217" t="n">
        <v>1</v>
      </c>
      <c r="E30" s="217" t="n">
        <v>0</v>
      </c>
      <c r="F30" s="371" t="n">
        <v>0</v>
      </c>
      <c r="G30" s="377" t="n">
        <f aca="false">Retention!$F$28</f>
        <v>52</v>
      </c>
      <c r="H30" s="215" t="s">
        <v>1339</v>
      </c>
      <c r="I30" s="217" t="n">
        <f aca="false">IF(OR($D30=1,$E30=1),SUM(INDEX(Model!$J$13:$DE$56,$A30-12,0))+SUM(INDEX(Model!$J$60:$DE$103,$A30-12,0)),0)</f>
        <v>0</v>
      </c>
      <c r="J30" s="371" t="n">
        <v>0</v>
      </c>
      <c r="K30" s="217" t="n">
        <f aca="false">IF(OR($D30=1,$E30=1),J30+IF(AND($D30=1,$O$1=1),0,I30),0)</f>
        <v>0</v>
      </c>
      <c r="L30" s="372" t="n">
        <v>0</v>
      </c>
    </row>
    <row r="31" customFormat="false" ht="13.5" hidden="false" customHeight="true" outlineLevel="0" collapsed="false">
      <c r="A31" s="373" t="n">
        <v>40</v>
      </c>
      <c r="B31" s="374" t="s">
        <v>34</v>
      </c>
      <c r="C31" s="374" t="s">
        <v>1338</v>
      </c>
      <c r="D31" s="373" t="n">
        <v>1</v>
      </c>
      <c r="E31" s="373" t="n">
        <v>0</v>
      </c>
      <c r="F31" s="375" t="n">
        <v>0</v>
      </c>
      <c r="G31" s="378" t="n">
        <f aca="false">Retention!$F$29</f>
        <v>53</v>
      </c>
      <c r="H31" s="374" t="s">
        <v>1339</v>
      </c>
      <c r="I31" s="373" t="n">
        <f aca="false">IF(OR($D31=1,$E31=1),SUM(INDEX(Model!$J$13:$DE$56,$A31-12,0))+SUM(INDEX(Model!$J$60:$DE$103,$A31-12,0)),0)</f>
        <v>0</v>
      </c>
      <c r="J31" s="375" t="n">
        <v>0</v>
      </c>
      <c r="K31" s="373" t="n">
        <f aca="false">IF(OR($D31=1,$E31=1),J31+IF(AND($D31=1,$O$1=1),0,I31),0)</f>
        <v>0</v>
      </c>
      <c r="L31" s="376" t="n">
        <v>0</v>
      </c>
    </row>
    <row r="32" customFormat="false" ht="13.5" hidden="false" customHeight="true" outlineLevel="0" collapsed="false">
      <c r="A32" s="217" t="n">
        <v>41</v>
      </c>
      <c r="B32" s="215" t="s">
        <v>35</v>
      </c>
      <c r="C32" s="215" t="s">
        <v>1338</v>
      </c>
      <c r="D32" s="217" t="n">
        <v>1</v>
      </c>
      <c r="E32" s="217" t="n">
        <v>0</v>
      </c>
      <c r="F32" s="371" t="n">
        <v>0</v>
      </c>
      <c r="G32" s="377" t="n">
        <f aca="false">Retention!$F$30</f>
        <v>54</v>
      </c>
      <c r="H32" s="215" t="s">
        <v>1339</v>
      </c>
      <c r="I32" s="217" t="n">
        <f aca="false">IF(OR($D32=1,$E32=1),SUM(INDEX(Model!$J$13:$DE$56,$A32-12,0))+SUM(INDEX(Model!$J$60:$DE$103,$A32-12,0)),0)</f>
        <v>0</v>
      </c>
      <c r="J32" s="371" t="n">
        <v>0</v>
      </c>
      <c r="K32" s="217" t="n">
        <f aca="false">IF(OR($D32=1,$E32=1),J32+IF(AND($D32=1,$O$1=1),0,I32),0)</f>
        <v>0</v>
      </c>
      <c r="L32" s="372" t="n">
        <v>0</v>
      </c>
    </row>
    <row r="33" customFormat="false" ht="13.5" hidden="false" customHeight="true" outlineLevel="0" collapsed="false">
      <c r="A33" s="373" t="n">
        <v>42</v>
      </c>
      <c r="B33" s="374" t="s">
        <v>36</v>
      </c>
      <c r="C33" s="374" t="s">
        <v>1338</v>
      </c>
      <c r="D33" s="373" t="n">
        <v>1</v>
      </c>
      <c r="E33" s="373" t="n">
        <v>0</v>
      </c>
      <c r="F33" s="375" t="n">
        <v>0</v>
      </c>
      <c r="G33" s="378" t="n">
        <f aca="false">Retention!$F$31</f>
        <v>55</v>
      </c>
      <c r="H33" s="374" t="s">
        <v>1339</v>
      </c>
      <c r="I33" s="373" t="n">
        <f aca="false">IF(OR($D33=1,$E33=1),SUM(INDEX(Model!$J$13:$DE$56,$A33-12,0))+SUM(INDEX(Model!$J$60:$DE$103,$A33-12,0)),0)</f>
        <v>0</v>
      </c>
      <c r="J33" s="375" t="n">
        <v>0</v>
      </c>
      <c r="K33" s="373" t="n">
        <f aca="false">IF(OR($D33=1,$E33=1),J33+IF(AND($D33=1,$O$1=1),0,I33),0)</f>
        <v>0</v>
      </c>
      <c r="L33" s="376" t="n">
        <v>0</v>
      </c>
    </row>
    <row r="34" customFormat="false" ht="13.5" hidden="false" customHeight="true" outlineLevel="0" collapsed="false">
      <c r="A34" s="217" t="n">
        <v>43</v>
      </c>
      <c r="B34" s="215" t="s">
        <v>37</v>
      </c>
      <c r="C34" s="215" t="s">
        <v>1338</v>
      </c>
      <c r="D34" s="217" t="n">
        <v>1</v>
      </c>
      <c r="E34" s="217" t="n">
        <v>0</v>
      </c>
      <c r="F34" s="371" t="n">
        <v>0</v>
      </c>
      <c r="G34" s="377" t="n">
        <f aca="false">Retention!$F$32</f>
        <v>56</v>
      </c>
      <c r="H34" s="215" t="s">
        <v>1339</v>
      </c>
      <c r="I34" s="217" t="n">
        <f aca="false">IF(OR($D34=1,$E34=1),SUM(INDEX(Model!$J$13:$DE$56,$A34-12,0))+SUM(INDEX(Model!$J$60:$DE$103,$A34-12,0)),0)</f>
        <v>0</v>
      </c>
      <c r="J34" s="371" t="n">
        <v>0</v>
      </c>
      <c r="K34" s="217" t="n">
        <f aca="false">IF(OR($D34=1,$E34=1),J34+IF(AND($D34=1,$O$1=1),0,I34),0)</f>
        <v>0</v>
      </c>
      <c r="L34" s="372" t="n">
        <v>0</v>
      </c>
    </row>
    <row r="35" customFormat="false" ht="13.5" hidden="false" customHeight="true" outlineLevel="0" collapsed="false">
      <c r="A35" s="373" t="n">
        <v>44</v>
      </c>
      <c r="B35" s="374" t="s">
        <v>38</v>
      </c>
      <c r="C35" s="374" t="s">
        <v>1338</v>
      </c>
      <c r="D35" s="373" t="n">
        <v>1</v>
      </c>
      <c r="E35" s="373" t="n">
        <v>0</v>
      </c>
      <c r="F35" s="375" t="n">
        <v>0</v>
      </c>
      <c r="G35" s="378" t="n">
        <f aca="false">Retention!$F$33</f>
        <v>57</v>
      </c>
      <c r="H35" s="374" t="s">
        <v>1339</v>
      </c>
      <c r="I35" s="373" t="n">
        <f aca="false">IF(OR($D35=1,$E35=1),SUM(INDEX(Model!$J$13:$DE$56,$A35-12,0))+SUM(INDEX(Model!$J$60:$DE$103,$A35-12,0)),0)</f>
        <v>0</v>
      </c>
      <c r="J35" s="375" t="n">
        <v>0</v>
      </c>
      <c r="K35" s="373" t="n">
        <f aca="false">IF(OR($D35=1,$E35=1),J35+IF(AND($D35=1,$O$1=1),0,I35),0)</f>
        <v>0</v>
      </c>
      <c r="L35" s="376" t="n">
        <v>0</v>
      </c>
    </row>
    <row r="36" customFormat="false" ht="13.5" hidden="false" customHeight="true" outlineLevel="0" collapsed="false">
      <c r="A36" s="217" t="n">
        <v>45</v>
      </c>
      <c r="B36" s="215" t="s">
        <v>39</v>
      </c>
      <c r="C36" s="215" t="s">
        <v>1338</v>
      </c>
      <c r="D36" s="217" t="n">
        <v>1</v>
      </c>
      <c r="E36" s="217" t="n">
        <v>0</v>
      </c>
      <c r="F36" s="371" t="n">
        <v>0</v>
      </c>
      <c r="G36" s="377" t="n">
        <f aca="false">Retention!$F$34</f>
        <v>61</v>
      </c>
      <c r="H36" s="215" t="s">
        <v>1339</v>
      </c>
      <c r="I36" s="217" t="n">
        <f aca="false">IF(OR($D36=1,$E36=1),SUM(INDEX(Model!$J$13:$DE$56,$A36-12,0))+SUM(INDEX(Model!$J$60:$DE$103,$A36-12,0)),0)</f>
        <v>0</v>
      </c>
      <c r="J36" s="371" t="n">
        <v>0</v>
      </c>
      <c r="K36" s="217" t="n">
        <f aca="false">IF(OR($D36=1,$E36=1),J36+IF(AND($D36=1,$O$1=1),0,I36),0)</f>
        <v>0</v>
      </c>
      <c r="L36" s="372" t="n">
        <v>0</v>
      </c>
    </row>
    <row r="37" customFormat="false" ht="13.5" hidden="false" customHeight="true" outlineLevel="0" collapsed="false">
      <c r="A37" s="373" t="n">
        <v>46</v>
      </c>
      <c r="B37" s="374" t="s">
        <v>40</v>
      </c>
      <c r="C37" s="374" t="s">
        <v>1338</v>
      </c>
      <c r="D37" s="373" t="n">
        <v>1</v>
      </c>
      <c r="E37" s="373" t="n">
        <v>0</v>
      </c>
      <c r="F37" s="375" t="n">
        <v>0</v>
      </c>
      <c r="G37" s="378" t="n">
        <f aca="false">Retention!$F$35</f>
        <v>62</v>
      </c>
      <c r="H37" s="374" t="s">
        <v>1339</v>
      </c>
      <c r="I37" s="373" t="n">
        <f aca="false">IF(OR($D37=1,$E37=1),SUM(INDEX(Model!$J$13:$DE$56,$A37-12,0))+SUM(INDEX(Model!$J$60:$DE$103,$A37-12,0)),0)</f>
        <v>0</v>
      </c>
      <c r="J37" s="375" t="n">
        <v>0</v>
      </c>
      <c r="K37" s="373" t="n">
        <f aca="false">IF(OR($D37=1,$E37=1),J37+IF(AND($D37=1,$O$1=1),0,I37),0)</f>
        <v>0</v>
      </c>
      <c r="L37" s="376" t="n">
        <v>0</v>
      </c>
    </row>
    <row r="38" customFormat="false" ht="13.5" hidden="false" customHeight="true" outlineLevel="0" collapsed="false">
      <c r="A38" s="217" t="n">
        <v>47</v>
      </c>
      <c r="B38" s="215" t="s">
        <v>41</v>
      </c>
      <c r="C38" s="215" t="s">
        <v>1338</v>
      </c>
      <c r="D38" s="217" t="n">
        <v>1</v>
      </c>
      <c r="E38" s="217" t="n">
        <v>0</v>
      </c>
      <c r="F38" s="371" t="n">
        <v>0</v>
      </c>
      <c r="G38" s="377" t="n">
        <f aca="false">Retention!$F$36</f>
        <v>66</v>
      </c>
      <c r="H38" s="215" t="s">
        <v>1339</v>
      </c>
      <c r="I38" s="217" t="n">
        <f aca="false">IF(OR($D38=1,$E38=1),SUM(INDEX(Model!$J$13:$DE$56,$A38-12,0))+SUM(INDEX(Model!$J$60:$DE$103,$A38-12,0)),0)</f>
        <v>0</v>
      </c>
      <c r="J38" s="371" t="n">
        <v>0</v>
      </c>
      <c r="K38" s="217" t="n">
        <f aca="false">IF(OR($D38=1,$E38=1),J38+IF(AND($D38=1,$O$1=1),0,I38),0)</f>
        <v>0</v>
      </c>
      <c r="L38" s="372" t="n">
        <v>0</v>
      </c>
    </row>
    <row r="39" customFormat="false" ht="13.5" hidden="false" customHeight="true" outlineLevel="0" collapsed="false">
      <c r="A39" s="373" t="n">
        <v>48</v>
      </c>
      <c r="B39" s="374" t="s">
        <v>42</v>
      </c>
      <c r="C39" s="374" t="s">
        <v>1338</v>
      </c>
      <c r="D39" s="373" t="n">
        <v>1</v>
      </c>
      <c r="E39" s="373" t="n">
        <v>0</v>
      </c>
      <c r="F39" s="375" t="n">
        <v>0</v>
      </c>
      <c r="G39" s="378" t="n">
        <f aca="false">Retention!$F$37</f>
        <v>67</v>
      </c>
      <c r="H39" s="374" t="s">
        <v>1339</v>
      </c>
      <c r="I39" s="373" t="n">
        <f aca="false">IF(OR($D39=1,$E39=1),SUM(INDEX(Model!$J$13:$DE$56,$A39-12,0))+SUM(INDEX(Model!$J$60:$DE$103,$A39-12,0)),0)</f>
        <v>0</v>
      </c>
      <c r="J39" s="375" t="n">
        <v>0</v>
      </c>
      <c r="K39" s="373" t="n">
        <f aca="false">IF(OR($D39=1,$E39=1),J39+IF(AND($D39=1,$O$1=1),0,I39),0)</f>
        <v>0</v>
      </c>
      <c r="L39" s="376" t="n">
        <v>0</v>
      </c>
    </row>
    <row r="40" customFormat="false" ht="13.5" hidden="false" customHeight="true" outlineLevel="0" collapsed="false">
      <c r="A40" s="217" t="n">
        <v>49</v>
      </c>
      <c r="B40" s="215" t="s">
        <v>43</v>
      </c>
      <c r="C40" s="215" t="s">
        <v>1338</v>
      </c>
      <c r="D40" s="217" t="n">
        <v>1</v>
      </c>
      <c r="E40" s="217" t="n">
        <v>0</v>
      </c>
      <c r="F40" s="371" t="n">
        <v>0</v>
      </c>
      <c r="G40" s="377" t="n">
        <f aca="false">Retention!$F$38</f>
        <v>68</v>
      </c>
      <c r="H40" s="215" t="s">
        <v>1339</v>
      </c>
      <c r="I40" s="217" t="n">
        <f aca="false">IF(OR($D40=1,$E40=1),SUM(INDEX(Model!$J$13:$DE$56,$A40-12,0))+SUM(INDEX(Model!$J$60:$DE$103,$A40-12,0)),0)</f>
        <v>0</v>
      </c>
      <c r="J40" s="371" t="n">
        <v>0</v>
      </c>
      <c r="K40" s="217" t="n">
        <f aca="false">IF(OR($D40=1,$E40=1),J40+IF(AND($D40=1,$O$1=1),0,I40),0)</f>
        <v>0</v>
      </c>
      <c r="L40" s="372" t="n">
        <v>0</v>
      </c>
    </row>
    <row r="41" customFormat="false" ht="13.5" hidden="false" customHeight="true" outlineLevel="0" collapsed="false">
      <c r="A41" s="373" t="n">
        <v>50</v>
      </c>
      <c r="B41" s="374" t="s">
        <v>44</v>
      </c>
      <c r="C41" s="374" t="s">
        <v>1338</v>
      </c>
      <c r="D41" s="373" t="n">
        <v>1</v>
      </c>
      <c r="E41" s="373" t="n">
        <v>0</v>
      </c>
      <c r="F41" s="375" t="n">
        <v>0</v>
      </c>
      <c r="G41" s="378" t="n">
        <f aca="false">Retention!$F$39</f>
        <v>69</v>
      </c>
      <c r="H41" s="374" t="s">
        <v>1339</v>
      </c>
      <c r="I41" s="373" t="n">
        <f aca="false">IF(OR($D41=1,$E41=1),SUM(INDEX(Model!$J$13:$DE$56,$A41-12,0))+SUM(INDEX(Model!$J$60:$DE$103,$A41-12,0)),0)</f>
        <v>0</v>
      </c>
      <c r="J41" s="375" t="n">
        <v>0</v>
      </c>
      <c r="K41" s="373" t="n">
        <f aca="false">IF(OR($D41=1,$E41=1),J41+IF(AND($D41=1,$O$1=1),0,I41),0)</f>
        <v>0</v>
      </c>
      <c r="L41" s="376" t="n">
        <v>0</v>
      </c>
    </row>
    <row r="42" customFormat="false" ht="13.5" hidden="false" customHeight="true" outlineLevel="0" collapsed="false">
      <c r="A42" s="217" t="n">
        <v>51</v>
      </c>
      <c r="B42" s="215" t="s">
        <v>45</v>
      </c>
      <c r="C42" s="215" t="s">
        <v>1338</v>
      </c>
      <c r="D42" s="217" t="n">
        <v>1</v>
      </c>
      <c r="E42" s="217" t="n">
        <v>0</v>
      </c>
      <c r="F42" s="371" t="n">
        <v>0</v>
      </c>
      <c r="G42" s="377" t="n">
        <f aca="false">Retention!$F$40</f>
        <v>70</v>
      </c>
      <c r="H42" s="215" t="s">
        <v>1339</v>
      </c>
      <c r="I42" s="217" t="n">
        <f aca="false">IF(OR($D42=1,$E42=1),SUM(INDEX(Model!$J$13:$DE$56,$A42-12,0))+SUM(INDEX(Model!$J$60:$DE$103,$A42-12,0)),0)</f>
        <v>0</v>
      </c>
      <c r="J42" s="371" t="n">
        <v>0</v>
      </c>
      <c r="K42" s="217" t="n">
        <f aca="false">IF(OR($D42=1,$E42=1),J42+IF(AND($D42=1,$O$1=1),0,I42),0)</f>
        <v>0</v>
      </c>
      <c r="L42" s="372" t="n">
        <v>0</v>
      </c>
    </row>
    <row r="43" customFormat="false" ht="13.5" hidden="false" customHeight="true" outlineLevel="0" collapsed="false">
      <c r="A43" s="373" t="n">
        <v>52</v>
      </c>
      <c r="B43" s="374" t="s">
        <v>46</v>
      </c>
      <c r="C43" s="374" t="s">
        <v>1338</v>
      </c>
      <c r="D43" s="373" t="n">
        <v>1</v>
      </c>
      <c r="E43" s="373" t="n">
        <v>0</v>
      </c>
      <c r="F43" s="375" t="n">
        <v>0</v>
      </c>
      <c r="G43" s="378" t="n">
        <f aca="false">Retention!$F$41</f>
        <v>71</v>
      </c>
      <c r="H43" s="374" t="s">
        <v>1339</v>
      </c>
      <c r="I43" s="373" t="n">
        <f aca="false">IF(OR($D43=1,$E43=1),SUM(INDEX(Model!$J$13:$DE$56,$A43-12,0))+SUM(INDEX(Model!$J$60:$DE$103,$A43-12,0)),0)</f>
        <v>0</v>
      </c>
      <c r="J43" s="375" t="n">
        <v>0</v>
      </c>
      <c r="K43" s="373" t="n">
        <f aca="false">IF(OR($D43=1,$E43=1),J43+IF(AND($D43=1,$O$1=1),0,I43),0)</f>
        <v>0</v>
      </c>
      <c r="L43" s="376" t="n">
        <v>0</v>
      </c>
    </row>
    <row r="44" customFormat="false" ht="13.5" hidden="false" customHeight="true" outlineLevel="0" collapsed="false">
      <c r="A44" s="217" t="n">
        <v>53</v>
      </c>
      <c r="B44" s="215" t="s">
        <v>47</v>
      </c>
      <c r="C44" s="215" t="s">
        <v>1338</v>
      </c>
      <c r="D44" s="217" t="n">
        <v>1</v>
      </c>
      <c r="E44" s="217" t="n">
        <v>0</v>
      </c>
      <c r="F44" s="371" t="n">
        <v>0</v>
      </c>
      <c r="G44" s="377" t="n">
        <f aca="false">Retention!$F$42</f>
        <v>72</v>
      </c>
      <c r="H44" s="215" t="s">
        <v>1339</v>
      </c>
      <c r="I44" s="217" t="n">
        <f aca="false">IF(OR($D44=1,$E44=1),SUM(INDEX(Model!$J$13:$DE$56,$A44-12,0))+SUM(INDEX(Model!$J$60:$DE$103,$A44-12,0)),0)</f>
        <v>0</v>
      </c>
      <c r="J44" s="371" t="n">
        <v>0</v>
      </c>
      <c r="K44" s="217" t="n">
        <f aca="false">IF(OR($D44=1,$E44=1),J44+IF(AND($D44=1,$O$1=1),0,I44),0)</f>
        <v>0</v>
      </c>
      <c r="L44" s="372" t="n">
        <v>0</v>
      </c>
    </row>
    <row r="45" customFormat="false" ht="13.5" hidden="false" customHeight="true" outlineLevel="0" collapsed="false">
      <c r="A45" s="373" t="n">
        <v>54</v>
      </c>
      <c r="B45" s="374" t="s">
        <v>48</v>
      </c>
      <c r="C45" s="374" t="s">
        <v>1338</v>
      </c>
      <c r="D45" s="373" t="n">
        <v>1</v>
      </c>
      <c r="E45" s="373" t="n">
        <v>0</v>
      </c>
      <c r="F45" s="375" t="n">
        <v>0</v>
      </c>
      <c r="G45" s="378" t="n">
        <f aca="false">Retention!$F$43</f>
        <v>73</v>
      </c>
      <c r="H45" s="374" t="s">
        <v>1339</v>
      </c>
      <c r="I45" s="373" t="n">
        <f aca="false">IF(OR($D45=1,$E45=1),SUM(INDEX(Model!$J$13:$DE$56,$A45-12,0))+SUM(INDEX(Model!$J$60:$DE$103,$A45-12,0)),0)</f>
        <v>0</v>
      </c>
      <c r="J45" s="375" t="n">
        <v>0</v>
      </c>
      <c r="K45" s="373" t="n">
        <f aca="false">IF(OR($D45=1,$E45=1),J45+IF(AND($D45=1,$O$1=1),0,I45),0)</f>
        <v>0</v>
      </c>
      <c r="L45" s="376" t="n">
        <v>0</v>
      </c>
    </row>
    <row r="46" customFormat="false" ht="13.5" hidden="false" customHeight="true" outlineLevel="0" collapsed="false">
      <c r="A46" s="217" t="n">
        <v>55</v>
      </c>
      <c r="B46" s="215" t="s">
        <v>49</v>
      </c>
      <c r="C46" s="215" t="s">
        <v>1338</v>
      </c>
      <c r="D46" s="217" t="n">
        <v>1</v>
      </c>
      <c r="E46" s="217" t="n">
        <v>0</v>
      </c>
      <c r="F46" s="371" t="n">
        <v>0</v>
      </c>
      <c r="G46" s="377" t="n">
        <f aca="false">Retention!$F$44</f>
        <v>74</v>
      </c>
      <c r="H46" s="215" t="s">
        <v>1339</v>
      </c>
      <c r="I46" s="217" t="n">
        <f aca="false">IF(OR($D46=1,$E46=1),SUM(INDEX(Model!$J$13:$DE$56,$A46-12,0))+SUM(INDEX(Model!$J$60:$DE$103,$A46-12,0)),0)</f>
        <v>0</v>
      </c>
      <c r="J46" s="371" t="n">
        <v>0</v>
      </c>
      <c r="K46" s="217" t="n">
        <f aca="false">IF(OR($D46=1,$E46=1),J46+IF(AND($D46=1,$O$1=1),0,I46),0)</f>
        <v>0</v>
      </c>
      <c r="L46" s="372" t="n">
        <v>0</v>
      </c>
    </row>
    <row r="47" customFormat="false" ht="13.5" hidden="false" customHeight="true" outlineLevel="0" collapsed="false">
      <c r="A47" s="373" t="n">
        <v>56</v>
      </c>
      <c r="B47" s="374" t="s">
        <v>50</v>
      </c>
      <c r="C47" s="374" t="s">
        <v>1340</v>
      </c>
      <c r="D47" s="373" t="n">
        <v>0</v>
      </c>
      <c r="E47" s="373" t="n">
        <v>0</v>
      </c>
      <c r="F47" s="375" t="n">
        <v>0</v>
      </c>
      <c r="G47" s="373" t="n">
        <v>0</v>
      </c>
      <c r="I47" s="373" t="n">
        <f aca="false">IF(OR($D47=1,$E47=1),SUM(INDEX(Model!$J$13:$DE$56,$A47-12,0))+SUM(INDEX(Model!$J$60:$DE$103,$A47-12,0)),0)</f>
        <v>0</v>
      </c>
      <c r="J47" s="375" t="n">
        <v>0</v>
      </c>
      <c r="K47" s="373" t="n">
        <f aca="false">IF(OR($D47=1,$E47=1),J47+IF(AND($D47=1,$O$1=1),0,I47),0)</f>
        <v>0</v>
      </c>
      <c r="L47" s="376" t="n">
        <v>0</v>
      </c>
    </row>
    <row r="58" customFormat="false" ht="13.5" hidden="false" customHeight="true" outlineLevel="0" collapsed="false">
      <c r="A58" s="379" t="s">
        <v>1341</v>
      </c>
    </row>
    <row r="59" customFormat="false" ht="13.5" hidden="false" customHeight="true" outlineLevel="0" collapsed="false">
      <c r="A59" s="1" t="s">
        <v>1342</v>
      </c>
      <c r="B59" s="9" t="n">
        <f aca="false">Model!B$3</f>
        <v>-2</v>
      </c>
      <c r="C59" s="9" t="n">
        <f aca="false">Model!C$3</f>
        <v>-1</v>
      </c>
      <c r="D59" s="9" t="n">
        <f aca="false">Model!D$3</f>
        <v>0</v>
      </c>
      <c r="E59" s="9" t="n">
        <f aca="false">Model!E$3</f>
        <v>1</v>
      </c>
      <c r="F59" s="9" t="n">
        <f aca="false">Model!F$3</f>
        <v>2</v>
      </c>
      <c r="G59" s="9" t="n">
        <f aca="false">Model!G$3</f>
        <v>3</v>
      </c>
      <c r="H59" s="9" t="n">
        <f aca="false">Model!H$3</f>
        <v>4</v>
      </c>
      <c r="I59" s="9" t="n">
        <f aca="false">Model!I$3</f>
        <v>5</v>
      </c>
      <c r="J59" s="9" t="n">
        <f aca="false">Model!J$3</f>
        <v>6</v>
      </c>
      <c r="K59" s="9" t="n">
        <f aca="false">Model!K$3</f>
        <v>7</v>
      </c>
      <c r="L59" s="9" t="n">
        <f aca="false">Model!L$3</f>
        <v>8</v>
      </c>
      <c r="M59" s="9" t="n">
        <f aca="false">Model!M$3</f>
        <v>9</v>
      </c>
      <c r="N59" s="9" t="n">
        <f aca="false">Model!N$3</f>
        <v>10</v>
      </c>
      <c r="O59" s="9" t="n">
        <f aca="false">Model!O$3</f>
        <v>11</v>
      </c>
      <c r="P59" s="9" t="n">
        <f aca="false">Model!P$3</f>
        <v>12</v>
      </c>
      <c r="Q59" s="9" t="n">
        <f aca="false">Model!Q$3</f>
        <v>13</v>
      </c>
      <c r="R59" s="9" t="n">
        <f aca="false">Model!R$3</f>
        <v>14</v>
      </c>
      <c r="S59" s="9" t="n">
        <f aca="false">Model!S$3</f>
        <v>15</v>
      </c>
      <c r="T59" s="9" t="n">
        <f aca="false">Model!T$3</f>
        <v>16</v>
      </c>
      <c r="U59" s="9" t="n">
        <f aca="false">Model!U$3</f>
        <v>17</v>
      </c>
      <c r="V59" s="9" t="n">
        <f aca="false">Model!V$3</f>
        <v>18</v>
      </c>
      <c r="W59" s="9" t="n">
        <f aca="false">Model!W$3</f>
        <v>19</v>
      </c>
      <c r="X59" s="9" t="n">
        <f aca="false">Model!X$3</f>
        <v>20</v>
      </c>
      <c r="Y59" s="9" t="n">
        <f aca="false">Model!Y$3</f>
        <v>21</v>
      </c>
      <c r="Z59" s="9" t="n">
        <f aca="false">Model!Z$3</f>
        <v>22</v>
      </c>
      <c r="AA59" s="9" t="n">
        <f aca="false">Model!AA$3</f>
        <v>23</v>
      </c>
      <c r="AB59" s="9" t="n">
        <f aca="false">Model!AB$3</f>
        <v>24</v>
      </c>
      <c r="AC59" s="9" t="n">
        <f aca="false">Model!AC$3</f>
        <v>25</v>
      </c>
      <c r="AD59" s="9" t="n">
        <f aca="false">Model!AD$3</f>
        <v>26</v>
      </c>
      <c r="AE59" s="9" t="n">
        <f aca="false">Model!AE$3</f>
        <v>27</v>
      </c>
      <c r="AF59" s="9" t="n">
        <f aca="false">Model!AF$3</f>
        <v>28</v>
      </c>
      <c r="AG59" s="9" t="n">
        <f aca="false">Model!AG$3</f>
        <v>29</v>
      </c>
      <c r="AH59" s="9" t="n">
        <f aca="false">Model!AH$3</f>
        <v>30</v>
      </c>
      <c r="AI59" s="9" t="n">
        <f aca="false">Model!AI$3</f>
        <v>31</v>
      </c>
      <c r="AJ59" s="9" t="n">
        <f aca="false">Model!AJ$3</f>
        <v>32</v>
      </c>
      <c r="AK59" s="9" t="n">
        <f aca="false">Model!AK$3</f>
        <v>33</v>
      </c>
      <c r="AL59" s="9" t="n">
        <f aca="false">Model!AL$3</f>
        <v>34</v>
      </c>
      <c r="AM59" s="9" t="n">
        <f aca="false">Model!AM$3</f>
        <v>35</v>
      </c>
      <c r="AN59" s="9" t="n">
        <f aca="false">Model!AN$3</f>
        <v>36</v>
      </c>
      <c r="AO59" s="9" t="n">
        <f aca="false">Model!AO$3</f>
        <v>37</v>
      </c>
      <c r="AP59" s="9" t="n">
        <f aca="false">Model!AP$3</f>
        <v>38</v>
      </c>
      <c r="AQ59" s="9" t="n">
        <f aca="false">Model!AQ$3</f>
        <v>39</v>
      </c>
      <c r="AR59" s="9" t="n">
        <f aca="false">Model!AR$3</f>
        <v>40</v>
      </c>
      <c r="AS59" s="9" t="n">
        <f aca="false">Model!AS$3</f>
        <v>41</v>
      </c>
      <c r="AT59" s="9" t="n">
        <f aca="false">Model!AT$3</f>
        <v>42</v>
      </c>
      <c r="AU59" s="9" t="n">
        <f aca="false">Model!AU$3</f>
        <v>43</v>
      </c>
      <c r="AV59" s="9" t="n">
        <f aca="false">Model!AV$3</f>
        <v>44</v>
      </c>
      <c r="AW59" s="9" t="n">
        <f aca="false">Model!AW$3</f>
        <v>45</v>
      </c>
      <c r="AX59" s="9" t="n">
        <f aca="false">Model!AX$3</f>
        <v>46</v>
      </c>
      <c r="AY59" s="9" t="n">
        <f aca="false">Model!AY$3</f>
        <v>47</v>
      </c>
      <c r="AZ59" s="9" t="n">
        <f aca="false">Model!AZ$3</f>
        <v>48</v>
      </c>
      <c r="BA59" s="9" t="n">
        <f aca="false">Model!BA$3</f>
        <v>49</v>
      </c>
      <c r="BB59" s="9" t="n">
        <f aca="false">Model!BB$3</f>
        <v>50</v>
      </c>
      <c r="BC59" s="9" t="n">
        <f aca="false">Model!BC$3</f>
        <v>51</v>
      </c>
      <c r="BD59" s="9" t="n">
        <f aca="false">Model!BD$3</f>
        <v>52</v>
      </c>
      <c r="BE59" s="9" t="n">
        <f aca="false">Model!BE$3</f>
        <v>53</v>
      </c>
      <c r="BF59" s="9" t="n">
        <f aca="false">Model!BF$3</f>
        <v>54</v>
      </c>
      <c r="BG59" s="9" t="n">
        <f aca="false">Model!BG$3</f>
        <v>55</v>
      </c>
      <c r="BH59" s="9" t="n">
        <f aca="false">Model!BH$3</f>
        <v>56</v>
      </c>
      <c r="BI59" s="9" t="n">
        <f aca="false">Model!BI$3</f>
        <v>57</v>
      </c>
      <c r="BJ59" s="9" t="n">
        <f aca="false">Model!BJ$3</f>
        <v>58</v>
      </c>
      <c r="BK59" s="9" t="n">
        <f aca="false">Model!BK$3</f>
        <v>59</v>
      </c>
      <c r="BL59" s="9" t="n">
        <f aca="false">Model!BL$3</f>
        <v>60</v>
      </c>
      <c r="BM59" s="9" t="n">
        <f aca="false">Model!BM$3</f>
        <v>61</v>
      </c>
      <c r="BN59" s="9" t="n">
        <f aca="false">Model!BN$3</f>
        <v>62</v>
      </c>
      <c r="BO59" s="9" t="n">
        <f aca="false">Model!BO$3</f>
        <v>63</v>
      </c>
      <c r="BP59" s="9" t="n">
        <f aca="false">Model!BP$3</f>
        <v>64</v>
      </c>
      <c r="BQ59" s="9" t="n">
        <f aca="false">Model!BQ$3</f>
        <v>65</v>
      </c>
      <c r="BR59" s="9" t="n">
        <f aca="false">Model!BR$3</f>
        <v>66</v>
      </c>
      <c r="BS59" s="9" t="n">
        <f aca="false">Model!BS$3</f>
        <v>67</v>
      </c>
      <c r="BT59" s="9" t="n">
        <f aca="false">Model!BT$3</f>
        <v>68</v>
      </c>
      <c r="BU59" s="9" t="n">
        <f aca="false">Model!BU$3</f>
        <v>69</v>
      </c>
      <c r="BV59" s="9" t="n">
        <f aca="false">Model!BV$3</f>
        <v>70</v>
      </c>
      <c r="BW59" s="9" t="n">
        <f aca="false">Model!BW$3</f>
        <v>71</v>
      </c>
      <c r="BX59" s="9" t="n">
        <f aca="false">Model!BX$3</f>
        <v>72</v>
      </c>
      <c r="BY59" s="9" t="n">
        <f aca="false">Model!BY$3</f>
        <v>73</v>
      </c>
      <c r="BZ59" s="9" t="n">
        <f aca="false">Model!BZ$3</f>
        <v>74</v>
      </c>
      <c r="CA59" s="9" t="n">
        <f aca="false">Model!CA$3</f>
        <v>75</v>
      </c>
      <c r="CB59" s="9" t="n">
        <f aca="false">Model!CB$3</f>
        <v>76</v>
      </c>
      <c r="CC59" s="9" t="n">
        <f aca="false">Model!CC$3</f>
        <v>77</v>
      </c>
      <c r="CD59" s="9" t="n">
        <f aca="false">Model!CD$3</f>
        <v>78</v>
      </c>
      <c r="CE59" s="9" t="n">
        <f aca="false">Model!CE$3</f>
        <v>79</v>
      </c>
      <c r="CF59" s="9" t="n">
        <f aca="false">Model!CF$3</f>
        <v>80</v>
      </c>
      <c r="CG59" s="9" t="n">
        <f aca="false">Model!CG$3</f>
        <v>81</v>
      </c>
      <c r="CH59" s="9" t="n">
        <f aca="false">Model!CH$3</f>
        <v>82</v>
      </c>
      <c r="CI59" s="9" t="n">
        <f aca="false">Model!CI$3</f>
        <v>83</v>
      </c>
      <c r="CJ59" s="9" t="n">
        <f aca="false">Model!CJ$3</f>
        <v>84</v>
      </c>
      <c r="CK59" s="9" t="n">
        <f aca="false">Model!CK$3</f>
        <v>85</v>
      </c>
      <c r="CL59" s="9" t="n">
        <f aca="false">Model!CL$3</f>
        <v>86</v>
      </c>
      <c r="CM59" s="9" t="n">
        <f aca="false">Model!CM$3</f>
        <v>87</v>
      </c>
      <c r="CN59" s="9" t="n">
        <f aca="false">Model!CN$3</f>
        <v>88</v>
      </c>
      <c r="CO59" s="9" t="n">
        <f aca="false">Model!CO$3</f>
        <v>89</v>
      </c>
      <c r="CP59" s="9" t="n">
        <f aca="false">Model!CP$3</f>
        <v>90</v>
      </c>
      <c r="CQ59" s="9" t="n">
        <f aca="false">Model!CQ$3</f>
        <v>91</v>
      </c>
      <c r="CR59" s="9" t="n">
        <f aca="false">Model!CR$3</f>
        <v>92</v>
      </c>
      <c r="CS59" s="9" t="n">
        <f aca="false">Model!CS$3</f>
        <v>93</v>
      </c>
      <c r="CT59" s="9" t="n">
        <f aca="false">Model!CT$3</f>
        <v>94</v>
      </c>
      <c r="CU59" s="9" t="n">
        <f aca="false">Model!CU$3</f>
        <v>95</v>
      </c>
      <c r="CV59" s="9" t="n">
        <f aca="false">Model!CV$3</f>
        <v>96</v>
      </c>
      <c r="CW59" s="9" t="n">
        <f aca="false">Model!CW$3</f>
        <v>97</v>
      </c>
      <c r="CX59" s="9" t="n">
        <f aca="false">Model!CX$3</f>
        <v>98</v>
      </c>
      <c r="CY59" s="9" t="n">
        <f aca="false">Model!CY$3</f>
        <v>99</v>
      </c>
      <c r="CZ59" s="9" t="n">
        <f aca="false">Model!CZ$3</f>
        <v>100</v>
      </c>
      <c r="DA59" s="9" t="n">
        <f aca="false">Model!DA$3</f>
        <v>101</v>
      </c>
      <c r="DB59" s="9" t="n">
        <f aca="false">Model!DB$3</f>
        <v>102</v>
      </c>
      <c r="DC59" s="9" t="n">
        <f aca="false">Model!DC$3</f>
        <v>103</v>
      </c>
      <c r="DD59" s="9" t="n">
        <f aca="false">Model!DD$3</f>
        <v>104</v>
      </c>
      <c r="DE59" s="9" t="n">
        <f aca="false">Model!DE$3</f>
        <v>105</v>
      </c>
    </row>
    <row r="60" customFormat="false" ht="13.5" hidden="false" customHeight="true" outlineLevel="0" collapsed="false">
      <c r="A60" s="1" t="str">
        <f aca="false">$B$4</f>
        <v>Crenshaw</v>
      </c>
      <c r="B60" s="1" t="n">
        <v>0</v>
      </c>
      <c r="C60" s="1" t="n">
        <v>0</v>
      </c>
      <c r="D60" s="1" t="n">
        <v>0</v>
      </c>
      <c r="E60" s="1" t="n">
        <v>0</v>
      </c>
      <c r="F60" s="1" t="n">
        <v>0</v>
      </c>
      <c r="G60" s="1" t="n">
        <v>0</v>
      </c>
      <c r="H60" s="1" t="n">
        <v>0</v>
      </c>
      <c r="I60" s="1" t="n">
        <v>0</v>
      </c>
      <c r="J60" s="1" t="n">
        <f aca="false">IF($D$4=1,MAX(0,SUM(Model!$J13:J13)+SUM(Model!$J60:J60)),0)</f>
        <v>0</v>
      </c>
      <c r="K60" s="1" t="n">
        <f aca="false">IF($D$4=1,MAX(0,SUM(Model!$J13:K13)+SUM(Model!$J60:K60)),0)</f>
        <v>0</v>
      </c>
      <c r="L60" s="1" t="n">
        <f aca="false">IF($D$4=1,MAX(0,SUM(Model!$J13:L13)+SUM(Model!$J60:L60)),0)</f>
        <v>0</v>
      </c>
      <c r="M60" s="1" t="n">
        <f aca="false">IF($D$4=1,MAX(0,SUM(Model!$J13:M13)+SUM(Model!$J60:M60)),0)</f>
        <v>0</v>
      </c>
      <c r="N60" s="1" t="n">
        <f aca="false">IF($D$4=1,MAX(0,SUM(Model!$J13:N13)+SUM(Model!$J60:N60)),0)</f>
        <v>0</v>
      </c>
      <c r="O60" s="1" t="n">
        <f aca="false">IF($D$4=1,MAX(0,SUM(Model!$J13:O13)+SUM(Model!$J60:O60)),0)</f>
        <v>0</v>
      </c>
      <c r="P60" s="1" t="n">
        <f aca="false">IF($D$4=1,MAX(0,SUM(Model!$J13:P13)+SUM(Model!$J60:P60)),0)</f>
        <v>0</v>
      </c>
      <c r="Q60" s="1" t="n">
        <f aca="false">IF($D$4=1,MAX(0,SUM(Model!$J13:Q13)+SUM(Model!$J60:Q60)),0)</f>
        <v>0</v>
      </c>
      <c r="R60" s="1" t="n">
        <f aca="false">IF($D$4=1,MAX(0,SUM(Model!$J13:R13)+SUM(Model!$J60:R60)),0)</f>
        <v>0</v>
      </c>
      <c r="S60" s="1" t="n">
        <f aca="false">IF($D$4=1,MAX(0,SUM(Model!$J13:S13)+SUM(Model!$J60:S60)),0)</f>
        <v>0</v>
      </c>
      <c r="T60" s="1" t="n">
        <f aca="false">IF($D$4=1,MAX(0,SUM(Model!$J13:T13)+SUM(Model!$J60:T60)),0)</f>
        <v>0</v>
      </c>
      <c r="U60" s="1" t="n">
        <f aca="false">IF($D$4=1,MAX(0,SUM(Model!$J13:U13)+SUM(Model!$J60:U60)),0)</f>
        <v>0</v>
      </c>
      <c r="V60" s="1" t="n">
        <f aca="false">IF($D$4=1,MAX(0,SUM(Model!$J13:V13)+SUM(Model!$J60:V60)),0)</f>
        <v>0</v>
      </c>
      <c r="W60" s="1" t="n">
        <f aca="false">IF($D$4=1,MAX(0,SUM(Model!$J13:W13)+SUM(Model!$J60:W60)),0)</f>
        <v>0</v>
      </c>
      <c r="X60" s="1" t="n">
        <f aca="false">IF($D$4=1,MAX(0,SUM(Model!$J13:X13)+SUM(Model!$J60:X60)),0)</f>
        <v>0</v>
      </c>
      <c r="Y60" s="1" t="n">
        <f aca="false">IF($D$4=1,MAX(0,SUM(Model!$J13:Y13)+SUM(Model!$J60:Y60)),0)</f>
        <v>0</v>
      </c>
      <c r="Z60" s="1" t="n">
        <f aca="false">IF($D$4=1,MAX(0,SUM(Model!$J13:Z13)+SUM(Model!$J60:Z60)),0)</f>
        <v>0</v>
      </c>
      <c r="AA60" s="1" t="n">
        <f aca="false">IF($D$4=1,MAX(0,SUM(Model!$J13:AA13)+SUM(Model!$J60:AA60)),0)</f>
        <v>0</v>
      </c>
      <c r="AB60" s="1" t="n">
        <f aca="false">IF($D$4=1,MAX(0,SUM(Model!$J13:AB13)+SUM(Model!$J60:AB60)),0)</f>
        <v>0</v>
      </c>
      <c r="AC60" s="1" t="n">
        <f aca="false">IF($D$4=1,MAX(0,SUM(Model!$J13:AC13)+SUM(Model!$J60:AC60)),0)</f>
        <v>0</v>
      </c>
      <c r="AD60" s="1" t="n">
        <f aca="false">IF($D$4=1,MAX(0,SUM(Model!$J13:AD13)+SUM(Model!$J60:AD60)),0)</f>
        <v>0</v>
      </c>
      <c r="AE60" s="1" t="n">
        <f aca="false">IF($D$4=1,MAX(0,SUM(Model!$J13:AE13)+SUM(Model!$J60:AE60)),0)</f>
        <v>0</v>
      </c>
      <c r="AF60" s="1" t="n">
        <f aca="false">IF($D$4=1,MAX(0,SUM(Model!$J13:AF13)+SUM(Model!$J60:AF60)),0)</f>
        <v>0</v>
      </c>
      <c r="AG60" s="1" t="n">
        <f aca="false">IF($D$4=1,MAX(0,SUM(Model!$J13:AG13)+SUM(Model!$J60:AG60)),0)</f>
        <v>0</v>
      </c>
      <c r="AH60" s="1" t="n">
        <f aca="false">IF($D$4=1,MAX(0,SUM(Model!$J13:AH13)+SUM(Model!$J60:AH60)),0)</f>
        <v>0</v>
      </c>
      <c r="AI60" s="1" t="n">
        <f aca="false">IF($D$4=1,MAX(0,SUM(Model!$J13:AI13)+SUM(Model!$J60:AI60)),0)</f>
        <v>0</v>
      </c>
      <c r="AJ60" s="1" t="n">
        <f aca="false">IF($D$4=1,MAX(0,SUM(Model!$J13:AJ13)+SUM(Model!$J60:AJ60)),0)</f>
        <v>0</v>
      </c>
      <c r="AK60" s="1" t="n">
        <f aca="false">IF($D$4=1,MAX(0,SUM(Model!$J13:AK13)+SUM(Model!$J60:AK60)),0)</f>
        <v>0</v>
      </c>
      <c r="AL60" s="1" t="n">
        <f aca="false">IF($D$4=1,MAX(0,SUM(Model!$J13:AL13)+SUM(Model!$J60:AL60)),0)</f>
        <v>0</v>
      </c>
      <c r="AM60" s="1" t="n">
        <f aca="false">IF($D$4=1,MAX(0,SUM(Model!$J13:AM13)+SUM(Model!$J60:AM60)),0)</f>
        <v>0</v>
      </c>
      <c r="AN60" s="1" t="n">
        <f aca="false">IF($D$4=1,MAX(0,SUM(Model!$J13:AN13)+SUM(Model!$J60:AN60)),0)</f>
        <v>0</v>
      </c>
      <c r="AO60" s="1" t="n">
        <f aca="false">IF($D$4=1,MAX(0,SUM(Model!$J13:AO13)+SUM(Model!$J60:AO60)),0)</f>
        <v>0</v>
      </c>
      <c r="AP60" s="1" t="n">
        <f aca="false">IF($D$4=1,MAX(0,SUM(Model!$J13:AP13)+SUM(Model!$J60:AP60)),0)</f>
        <v>0</v>
      </c>
      <c r="AQ60" s="1" t="n">
        <f aca="false">IF($D$4=1,MAX(0,SUM(Model!$J13:AQ13)+SUM(Model!$J60:AQ60)),0)</f>
        <v>0</v>
      </c>
      <c r="AR60" s="1" t="n">
        <f aca="false">IF($D$4=1,MAX(0,SUM(Model!$J13:AR13)+SUM(Model!$J60:AR60)),0)</f>
        <v>0</v>
      </c>
      <c r="AS60" s="1" t="n">
        <f aca="false">IF($D$4=1,MAX(0,SUM(Model!$J13:AS13)+SUM(Model!$J60:AS60)),0)</f>
        <v>0</v>
      </c>
      <c r="AT60" s="1" t="n">
        <f aca="false">IF($D$4=1,MAX(0,SUM(Model!$J13:AT13)+SUM(Model!$J60:AT60)),0)</f>
        <v>0</v>
      </c>
      <c r="AU60" s="1" t="n">
        <f aca="false">IF($D$4=1,MAX(0,SUM(Model!$J13:AU13)+SUM(Model!$J60:AU60)),0)</f>
        <v>0</v>
      </c>
      <c r="AV60" s="1" t="n">
        <f aca="false">IF($D$4=1,MAX(0,SUM(Model!$J13:AV13)+SUM(Model!$J60:AV60)),0)</f>
        <v>0</v>
      </c>
      <c r="AW60" s="1" t="n">
        <f aca="false">IF($D$4=1,MAX(0,SUM(Model!$J13:AW13)+SUM(Model!$J60:AW60)),0)</f>
        <v>0</v>
      </c>
      <c r="AX60" s="1" t="n">
        <f aca="false">IF($D$4=1,MAX(0,SUM(Model!$J13:AX13)+SUM(Model!$J60:AX60)),0)</f>
        <v>0</v>
      </c>
      <c r="AY60" s="1" t="n">
        <f aca="false">IF($D$4=1,MAX(0,SUM(Model!$J13:AY13)+SUM(Model!$J60:AY60)),0)</f>
        <v>0</v>
      </c>
      <c r="AZ60" s="1" t="n">
        <f aca="false">IF($D$4=1,MAX(0,SUM(Model!$J13:AZ13)+SUM(Model!$J60:AZ60)),0)</f>
        <v>0</v>
      </c>
      <c r="BA60" s="1" t="n">
        <f aca="false">IF($D$4=1,MAX(0,SUM(Model!$J13:BA13)+SUM(Model!$J60:BA60)),0)</f>
        <v>0</v>
      </c>
      <c r="BB60" s="1" t="n">
        <f aca="false">IF($D$4=1,MAX(0,SUM(Model!$J13:BB13)+SUM(Model!$J60:BB60)),0)</f>
        <v>0</v>
      </c>
      <c r="BC60" s="1" t="n">
        <f aca="false">IF($D$4=1,MAX(0,SUM(Model!$J13:BC13)+SUM(Model!$J60:BC60)),0)</f>
        <v>0</v>
      </c>
      <c r="BD60" s="1" t="n">
        <f aca="false">IF($D$4=1,MAX(0,SUM(Model!$J13:BD13)+SUM(Model!$J60:BD60)),0)</f>
        <v>0</v>
      </c>
      <c r="BE60" s="1" t="n">
        <f aca="false">IF($D$4=1,MAX(0,SUM(Model!$J13:BE13)+SUM(Model!$J60:BE60)),0)</f>
        <v>0</v>
      </c>
      <c r="BF60" s="1" t="n">
        <f aca="false">IF($D$4=1,MAX(0,SUM(Model!$J13:BF13)+SUM(Model!$J60:BF60)),0)</f>
        <v>0</v>
      </c>
      <c r="BG60" s="1" t="n">
        <f aca="false">IF($D$4=1,MAX(0,SUM(Model!$J13:BG13)+SUM(Model!$J60:BG60)),0)</f>
        <v>0</v>
      </c>
      <c r="BH60" s="1" t="n">
        <f aca="false">IF($D$4=1,MAX(0,SUM(Model!$J13:BH13)+SUM(Model!$J60:BH60)),0)</f>
        <v>0</v>
      </c>
      <c r="BI60" s="1" t="n">
        <f aca="false">IF($D$4=1,MAX(0,SUM(Model!$J13:BI13)+SUM(Model!$J60:BI60)),0)</f>
        <v>0</v>
      </c>
      <c r="BJ60" s="1" t="n">
        <f aca="false">IF($D$4=1,MAX(0,SUM(Model!$J13:BJ13)+SUM(Model!$J60:BJ60)),0)</f>
        <v>0</v>
      </c>
      <c r="BK60" s="1" t="n">
        <f aca="false">IF($D$4=1,MAX(0,SUM(Model!$J13:BK13)+SUM(Model!$J60:BK60)),0)</f>
        <v>0</v>
      </c>
      <c r="BL60" s="1" t="n">
        <f aca="false">IF($D$4=1,MAX(0,SUM(Model!$J13:BL13)+SUM(Model!$J60:BL60)),0)</f>
        <v>0</v>
      </c>
      <c r="BM60" s="1" t="n">
        <f aca="false">IF($D$4=1,MAX(0,SUM(Model!$J13:BM13)+SUM(Model!$J60:BM60)),0)</f>
        <v>0</v>
      </c>
      <c r="BN60" s="1" t="n">
        <f aca="false">IF($D$4=1,MAX(0,SUM(Model!$J13:BN13)+SUM(Model!$J60:BN60)),0)</f>
        <v>0</v>
      </c>
      <c r="BO60" s="1" t="n">
        <f aca="false">IF($D$4=1,MAX(0,SUM(Model!$J13:BO13)+SUM(Model!$J60:BO60)),0)</f>
        <v>0</v>
      </c>
      <c r="BP60" s="1" t="n">
        <f aca="false">IF($D$4=1,MAX(0,SUM(Model!$J13:BP13)+SUM(Model!$J60:BP60)),0)</f>
        <v>0</v>
      </c>
      <c r="BQ60" s="1" t="n">
        <f aca="false">IF($D$4=1,MAX(0,SUM(Model!$J13:BQ13)+SUM(Model!$J60:BQ60)),0)</f>
        <v>0</v>
      </c>
      <c r="BR60" s="1" t="n">
        <f aca="false">IF($D$4=1,MAX(0,SUM(Model!$J13:BR13)+SUM(Model!$J60:BR60)),0)</f>
        <v>0</v>
      </c>
      <c r="BS60" s="1" t="n">
        <f aca="false">IF($D$4=1,MAX(0,SUM(Model!$J13:BS13)+SUM(Model!$J60:BS60)),0)</f>
        <v>0</v>
      </c>
      <c r="BT60" s="1" t="n">
        <f aca="false">IF($D$4=1,MAX(0,SUM(Model!$J13:BT13)+SUM(Model!$J60:BT60)),0)</f>
        <v>0</v>
      </c>
      <c r="BU60" s="1" t="n">
        <f aca="false">IF($D$4=1,MAX(0,SUM(Model!$J13:BU13)+SUM(Model!$J60:BU60)),0)</f>
        <v>0</v>
      </c>
      <c r="BV60" s="1" t="n">
        <f aca="false">IF($D$4=1,MAX(0,SUM(Model!$J13:BV13)+SUM(Model!$J60:BV60)),0)</f>
        <v>0</v>
      </c>
      <c r="BW60" s="1" t="n">
        <f aca="false">IF($D$4=1,MAX(0,SUM(Model!$J13:BW13)+SUM(Model!$J60:BW60)),0)</f>
        <v>0</v>
      </c>
      <c r="BX60" s="1" t="n">
        <f aca="false">IF($D$4=1,MAX(0,SUM(Model!$J13:BX13)+SUM(Model!$J60:BX60)),0)</f>
        <v>0</v>
      </c>
      <c r="BY60" s="1" t="n">
        <f aca="false">IF($D$4=1,MAX(0,SUM(Model!$J13:BY13)+SUM(Model!$J60:BY60)),0)</f>
        <v>0</v>
      </c>
      <c r="BZ60" s="1" t="n">
        <f aca="false">IF($D$4=1,MAX(0,SUM(Model!$J13:BZ13)+SUM(Model!$J60:BZ60)),0)</f>
        <v>0</v>
      </c>
      <c r="CA60" s="1" t="n">
        <f aca="false">IF($D$4=1,MAX(0,SUM(Model!$J13:CA13)+SUM(Model!$J60:CA60)),0)</f>
        <v>0</v>
      </c>
      <c r="CB60" s="1" t="n">
        <f aca="false">IF($D$4=1,MAX(0,SUM(Model!$J13:CB13)+SUM(Model!$J60:CB60)),0)</f>
        <v>0</v>
      </c>
      <c r="CC60" s="1" t="n">
        <f aca="false">IF($D$4=1,MAX(0,SUM(Model!$J13:CC13)+SUM(Model!$J60:CC60)),0)</f>
        <v>0</v>
      </c>
      <c r="CD60" s="1" t="n">
        <f aca="false">IF($D$4=1,MAX(0,SUM(Model!$J13:CD13)+SUM(Model!$J60:CD60)),0)</f>
        <v>0</v>
      </c>
      <c r="CE60" s="1" t="n">
        <f aca="false">IF($D$4=1,MAX(0,SUM(Model!$J13:CE13)+SUM(Model!$J60:CE60)),0)</f>
        <v>0</v>
      </c>
      <c r="CF60" s="1" t="n">
        <f aca="false">IF($D$4=1,MAX(0,SUM(Model!$J13:CF13)+SUM(Model!$J60:CF60)),0)</f>
        <v>0</v>
      </c>
      <c r="CG60" s="1" t="n">
        <f aca="false">IF($D$4=1,MAX(0,SUM(Model!$J13:CG13)+SUM(Model!$J60:CG60)),0)</f>
        <v>0</v>
      </c>
      <c r="CH60" s="1" t="n">
        <f aca="false">IF($D$4=1,MAX(0,SUM(Model!$J13:CH13)+SUM(Model!$J60:CH60)),0)</f>
        <v>0</v>
      </c>
      <c r="CI60" s="1" t="n">
        <f aca="false">IF($D$4=1,MAX(0,SUM(Model!$J13:CI13)+SUM(Model!$J60:CI60)),0)</f>
        <v>0</v>
      </c>
      <c r="CJ60" s="1" t="n">
        <f aca="false">IF($D$4=1,MAX(0,SUM(Model!$J13:CJ13)+SUM(Model!$J60:CJ60)),0)</f>
        <v>0</v>
      </c>
      <c r="CK60" s="1" t="n">
        <f aca="false">IF($D$4=1,MAX(0,SUM(Model!$J13:CK13)+SUM(Model!$J60:CK60)),0)</f>
        <v>0</v>
      </c>
      <c r="CL60" s="1" t="n">
        <f aca="false">IF($D$4=1,MAX(0,SUM(Model!$J13:CL13)+SUM(Model!$J60:CL60)),0)</f>
        <v>0</v>
      </c>
      <c r="CM60" s="1" t="n">
        <f aca="false">IF($D$4=1,MAX(0,SUM(Model!$J13:CM13)+SUM(Model!$J60:CM60)),0)</f>
        <v>0</v>
      </c>
      <c r="CN60" s="1" t="n">
        <f aca="false">IF($D$4=1,MAX(0,SUM(Model!$J13:CN13)+SUM(Model!$J60:CN60)),0)</f>
        <v>0</v>
      </c>
      <c r="CO60" s="1" t="n">
        <f aca="false">IF($D$4=1,MAX(0,SUM(Model!$J13:CO13)+SUM(Model!$J60:CO60)),0)</f>
        <v>0</v>
      </c>
      <c r="CP60" s="1" t="n">
        <f aca="false">IF($D$4=1,MAX(0,SUM(Model!$J13:CP13)+SUM(Model!$J60:CP60)),0)</f>
        <v>0</v>
      </c>
      <c r="CQ60" s="1" t="n">
        <f aca="false">IF($D$4=1,MAX(0,SUM(Model!$J13:CQ13)+SUM(Model!$J60:CQ60)),0)</f>
        <v>0</v>
      </c>
      <c r="CR60" s="1" t="n">
        <f aca="false">IF($D$4=1,MAX(0,SUM(Model!$J13:CR13)+SUM(Model!$J60:CR60)),0)</f>
        <v>0</v>
      </c>
      <c r="CS60" s="1" t="n">
        <f aca="false">IF($D$4=1,MAX(0,SUM(Model!$J13:CS13)+SUM(Model!$J60:CS60)),0)</f>
        <v>0</v>
      </c>
      <c r="CT60" s="1" t="n">
        <f aca="false">IF($D$4=1,MAX(0,SUM(Model!$J13:CT13)+SUM(Model!$J60:CT60)),0)</f>
        <v>0</v>
      </c>
      <c r="CU60" s="1" t="n">
        <f aca="false">IF($D$4=1,MAX(0,SUM(Model!$J13:CU13)+SUM(Model!$J60:CU60)),0)</f>
        <v>0</v>
      </c>
      <c r="CV60" s="1" t="n">
        <f aca="false">IF($D$4=1,MAX(0,SUM(Model!$J13:CV13)+SUM(Model!$J60:CV60)),0)</f>
        <v>0</v>
      </c>
      <c r="CW60" s="1" t="n">
        <f aca="false">IF($D$4=1,MAX(0,SUM(Model!$J13:CW13)+SUM(Model!$J60:CW60)),0)</f>
        <v>0</v>
      </c>
      <c r="CX60" s="1" t="n">
        <f aca="false">IF($D$4=1,MAX(0,SUM(Model!$J13:CX13)+SUM(Model!$J60:CX60)),0)</f>
        <v>0</v>
      </c>
      <c r="CY60" s="1" t="n">
        <f aca="false">IF($D$4=1,MAX(0,SUM(Model!$J13:CY13)+SUM(Model!$J60:CY60)),0)</f>
        <v>0</v>
      </c>
      <c r="CZ60" s="1" t="n">
        <f aca="false">IF($D$4=1,MAX(0,SUM(Model!$J13:CZ13)+SUM(Model!$J60:CZ60)),0)</f>
        <v>0</v>
      </c>
      <c r="DA60" s="1" t="n">
        <f aca="false">IF($D$4=1,MAX(0,SUM(Model!$J13:DA13)+SUM(Model!$J60:DA60)),0)</f>
        <v>0</v>
      </c>
      <c r="DB60" s="1" t="n">
        <f aca="false">IF($D$4=1,MAX(0,SUM(Model!$J13:DB13)+SUM(Model!$J60:DB60)),0)</f>
        <v>0</v>
      </c>
      <c r="DC60" s="1" t="n">
        <f aca="false">IF($D$4=1,MAX(0,SUM(Model!$J13:DC13)+SUM(Model!$J60:DC60)),0)</f>
        <v>0</v>
      </c>
      <c r="DD60" s="1" t="n">
        <f aca="false">IF($D$4=1,MAX(0,SUM(Model!$J13:DD13)+SUM(Model!$J60:DD60)),0)</f>
        <v>0</v>
      </c>
      <c r="DE60" s="1" t="n">
        <f aca="false">IF($D$4=1,MAX(0,SUM(Model!$J13:DE13)+SUM(Model!$J60:DE60)),0)</f>
        <v>0</v>
      </c>
    </row>
    <row r="61" customFormat="false" ht="13.5" hidden="false" customHeight="true" outlineLevel="0" collapsed="false">
      <c r="A61" s="1" t="str">
        <f aca="false">$B$5</f>
        <v>Ramsgate</v>
      </c>
      <c r="B61" s="1" t="n">
        <v>0</v>
      </c>
      <c r="C61" s="1" t="n">
        <v>0</v>
      </c>
      <c r="D61" s="1" t="n">
        <v>0</v>
      </c>
      <c r="E61" s="1" t="n">
        <v>0</v>
      </c>
      <c r="F61" s="1" t="n">
        <v>0</v>
      </c>
      <c r="G61" s="1" t="n">
        <v>0</v>
      </c>
      <c r="H61" s="1" t="n">
        <v>0</v>
      </c>
      <c r="I61" s="1" t="n">
        <v>0</v>
      </c>
      <c r="J61" s="1" t="n">
        <f aca="false">IF($D$5=1,MAX(0,SUM(Model!$J14:J14)+SUM(Model!$J61:J61)),0)</f>
        <v>0</v>
      </c>
      <c r="K61" s="1" t="n">
        <f aca="false">IF($D$5=1,MAX(0,SUM(Model!$J14:K14)+SUM(Model!$J61:K61)),0)</f>
        <v>0</v>
      </c>
      <c r="L61" s="1" t="n">
        <f aca="false">IF($D$5=1,MAX(0,SUM(Model!$J14:L14)+SUM(Model!$J61:L61)),0)</f>
        <v>0</v>
      </c>
      <c r="M61" s="1" t="n">
        <f aca="false">IF($D$5=1,MAX(0,SUM(Model!$J14:M14)+SUM(Model!$J61:M61)),0)</f>
        <v>0</v>
      </c>
      <c r="N61" s="1" t="n">
        <f aca="false">IF($D$5=1,MAX(0,SUM(Model!$J14:N14)+SUM(Model!$J61:N61)),0)</f>
        <v>0</v>
      </c>
      <c r="O61" s="1" t="n">
        <f aca="false">IF($D$5=1,MAX(0,SUM(Model!$J14:O14)+SUM(Model!$J61:O61)),0)</f>
        <v>0</v>
      </c>
      <c r="P61" s="1" t="n">
        <f aca="false">IF($D$5=1,MAX(0,SUM(Model!$J14:P14)+SUM(Model!$J61:P61)),0)</f>
        <v>0</v>
      </c>
      <c r="Q61" s="1" t="n">
        <f aca="false">IF($D$5=1,MAX(0,SUM(Model!$J14:Q14)+SUM(Model!$J61:Q61)),0)</f>
        <v>0</v>
      </c>
      <c r="R61" s="1" t="n">
        <f aca="false">IF($D$5=1,MAX(0,SUM(Model!$J14:R14)+SUM(Model!$J61:R61)),0)</f>
        <v>0</v>
      </c>
      <c r="S61" s="1" t="n">
        <f aca="false">IF($D$5=1,MAX(0,SUM(Model!$J14:S14)+SUM(Model!$J61:S61)),0)</f>
        <v>0</v>
      </c>
      <c r="T61" s="1" t="n">
        <f aca="false">IF($D$5=1,MAX(0,SUM(Model!$J14:T14)+SUM(Model!$J61:T61)),0)</f>
        <v>0</v>
      </c>
      <c r="U61" s="1" t="n">
        <f aca="false">IF($D$5=1,MAX(0,SUM(Model!$J14:U14)+SUM(Model!$J61:U61)),0)</f>
        <v>0</v>
      </c>
      <c r="V61" s="1" t="n">
        <f aca="false">IF($D$5=1,MAX(0,SUM(Model!$J14:V14)+SUM(Model!$J61:V61)),0)</f>
        <v>0</v>
      </c>
      <c r="W61" s="1" t="n">
        <f aca="false">IF($D$5=1,MAX(0,SUM(Model!$J14:W14)+SUM(Model!$J61:W61)),0)</f>
        <v>0</v>
      </c>
      <c r="X61" s="1" t="n">
        <f aca="false">IF($D$5=1,MAX(0,SUM(Model!$J14:X14)+SUM(Model!$J61:X61)),0)</f>
        <v>0</v>
      </c>
      <c r="Y61" s="1" t="n">
        <f aca="false">IF($D$5=1,MAX(0,SUM(Model!$J14:Y14)+SUM(Model!$J61:Y61)),0)</f>
        <v>0</v>
      </c>
      <c r="Z61" s="1" t="n">
        <f aca="false">IF($D$5=1,MAX(0,SUM(Model!$J14:Z14)+SUM(Model!$J61:Z61)),0)</f>
        <v>0</v>
      </c>
      <c r="AA61" s="1" t="n">
        <f aca="false">IF($D$5=1,MAX(0,SUM(Model!$J14:AA14)+SUM(Model!$J61:AA61)),0)</f>
        <v>0</v>
      </c>
      <c r="AB61" s="1" t="n">
        <f aca="false">IF($D$5=1,MAX(0,SUM(Model!$J14:AB14)+SUM(Model!$J61:AB61)),0)</f>
        <v>0</v>
      </c>
      <c r="AC61" s="1" t="n">
        <f aca="false">IF($D$5=1,MAX(0,SUM(Model!$J14:AC14)+SUM(Model!$J61:AC61)),0)</f>
        <v>0</v>
      </c>
      <c r="AD61" s="1" t="n">
        <f aca="false">IF($D$5=1,MAX(0,SUM(Model!$J14:AD14)+SUM(Model!$J61:AD61)),0)</f>
        <v>0</v>
      </c>
      <c r="AE61" s="1" t="n">
        <f aca="false">IF($D$5=1,MAX(0,SUM(Model!$J14:AE14)+SUM(Model!$J61:AE61)),0)</f>
        <v>0</v>
      </c>
      <c r="AF61" s="1" t="n">
        <f aca="false">IF($D$5=1,MAX(0,SUM(Model!$J14:AF14)+SUM(Model!$J61:AF61)),0)</f>
        <v>0</v>
      </c>
      <c r="AG61" s="1" t="n">
        <f aca="false">IF($D$5=1,MAX(0,SUM(Model!$J14:AG14)+SUM(Model!$J61:AG61)),0)</f>
        <v>0</v>
      </c>
      <c r="AH61" s="1" t="n">
        <f aca="false">IF($D$5=1,MAX(0,SUM(Model!$J14:AH14)+SUM(Model!$J61:AH61)),0)</f>
        <v>0</v>
      </c>
      <c r="AI61" s="1" t="n">
        <f aca="false">IF($D$5=1,MAX(0,SUM(Model!$J14:AI14)+SUM(Model!$J61:AI61)),0)</f>
        <v>0</v>
      </c>
      <c r="AJ61" s="1" t="n">
        <f aca="false">IF($D$5=1,MAX(0,SUM(Model!$J14:AJ14)+SUM(Model!$J61:AJ61)),0)</f>
        <v>0</v>
      </c>
      <c r="AK61" s="1" t="n">
        <f aca="false">IF($D$5=1,MAX(0,SUM(Model!$J14:AK14)+SUM(Model!$J61:AK61)),0)</f>
        <v>0</v>
      </c>
      <c r="AL61" s="1" t="n">
        <f aca="false">IF($D$5=1,MAX(0,SUM(Model!$J14:AL14)+SUM(Model!$J61:AL61)),0)</f>
        <v>0</v>
      </c>
      <c r="AM61" s="1" t="n">
        <f aca="false">IF($D$5=1,MAX(0,SUM(Model!$J14:AM14)+SUM(Model!$J61:AM61)),0)</f>
        <v>0</v>
      </c>
      <c r="AN61" s="1" t="n">
        <f aca="false">IF($D$5=1,MAX(0,SUM(Model!$J14:AN14)+SUM(Model!$J61:AN61)),0)</f>
        <v>0</v>
      </c>
      <c r="AO61" s="1" t="n">
        <f aca="false">IF($D$5=1,MAX(0,SUM(Model!$J14:AO14)+SUM(Model!$J61:AO61)),0)</f>
        <v>0</v>
      </c>
      <c r="AP61" s="1" t="n">
        <f aca="false">IF($D$5=1,MAX(0,SUM(Model!$J14:AP14)+SUM(Model!$J61:AP61)),0)</f>
        <v>0</v>
      </c>
      <c r="AQ61" s="1" t="n">
        <f aca="false">IF($D$5=1,MAX(0,SUM(Model!$J14:AQ14)+SUM(Model!$J61:AQ61)),0)</f>
        <v>0</v>
      </c>
      <c r="AR61" s="1" t="n">
        <f aca="false">IF($D$5=1,MAX(0,SUM(Model!$J14:AR14)+SUM(Model!$J61:AR61)),0)</f>
        <v>0</v>
      </c>
      <c r="AS61" s="1" t="n">
        <f aca="false">IF($D$5=1,MAX(0,SUM(Model!$J14:AS14)+SUM(Model!$J61:AS61)),0)</f>
        <v>0</v>
      </c>
      <c r="AT61" s="1" t="n">
        <f aca="false">IF($D$5=1,MAX(0,SUM(Model!$J14:AT14)+SUM(Model!$J61:AT61)),0)</f>
        <v>0</v>
      </c>
      <c r="AU61" s="1" t="n">
        <f aca="false">IF($D$5=1,MAX(0,SUM(Model!$J14:AU14)+SUM(Model!$J61:AU61)),0)</f>
        <v>0</v>
      </c>
      <c r="AV61" s="1" t="n">
        <f aca="false">IF($D$5=1,MAX(0,SUM(Model!$J14:AV14)+SUM(Model!$J61:AV61)),0)</f>
        <v>0</v>
      </c>
      <c r="AW61" s="1" t="n">
        <f aca="false">IF($D$5=1,MAX(0,SUM(Model!$J14:AW14)+SUM(Model!$J61:AW61)),0)</f>
        <v>0</v>
      </c>
      <c r="AX61" s="1" t="n">
        <f aca="false">IF($D$5=1,MAX(0,SUM(Model!$J14:AX14)+SUM(Model!$J61:AX61)),0)</f>
        <v>0</v>
      </c>
      <c r="AY61" s="1" t="n">
        <f aca="false">IF($D$5=1,MAX(0,SUM(Model!$J14:AY14)+SUM(Model!$J61:AY61)),0)</f>
        <v>0</v>
      </c>
      <c r="AZ61" s="1" t="n">
        <f aca="false">IF($D$5=1,MAX(0,SUM(Model!$J14:AZ14)+SUM(Model!$J61:AZ61)),0)</f>
        <v>0</v>
      </c>
      <c r="BA61" s="1" t="n">
        <f aca="false">IF($D$5=1,MAX(0,SUM(Model!$J14:BA14)+SUM(Model!$J61:BA61)),0)</f>
        <v>0</v>
      </c>
      <c r="BB61" s="1" t="n">
        <f aca="false">IF($D$5=1,MAX(0,SUM(Model!$J14:BB14)+SUM(Model!$J61:BB61)),0)</f>
        <v>0</v>
      </c>
      <c r="BC61" s="1" t="n">
        <f aca="false">IF($D$5=1,MAX(0,SUM(Model!$J14:BC14)+SUM(Model!$J61:BC61)),0)</f>
        <v>0</v>
      </c>
      <c r="BD61" s="1" t="n">
        <f aca="false">IF($D$5=1,MAX(0,SUM(Model!$J14:BD14)+SUM(Model!$J61:BD61)),0)</f>
        <v>0</v>
      </c>
      <c r="BE61" s="1" t="n">
        <f aca="false">IF($D$5=1,MAX(0,SUM(Model!$J14:BE14)+SUM(Model!$J61:BE61)),0)</f>
        <v>0</v>
      </c>
      <c r="BF61" s="1" t="n">
        <f aca="false">IF($D$5=1,MAX(0,SUM(Model!$J14:BF14)+SUM(Model!$J61:BF61)),0)</f>
        <v>0</v>
      </c>
      <c r="BG61" s="1" t="n">
        <f aca="false">IF($D$5=1,MAX(0,SUM(Model!$J14:BG14)+SUM(Model!$J61:BG61)),0)</f>
        <v>0</v>
      </c>
      <c r="BH61" s="1" t="n">
        <f aca="false">IF($D$5=1,MAX(0,SUM(Model!$J14:BH14)+SUM(Model!$J61:BH61)),0)</f>
        <v>0</v>
      </c>
      <c r="BI61" s="1" t="n">
        <f aca="false">IF($D$5=1,MAX(0,SUM(Model!$J14:BI14)+SUM(Model!$J61:BI61)),0)</f>
        <v>0</v>
      </c>
      <c r="BJ61" s="1" t="n">
        <f aca="false">IF($D$5=1,MAX(0,SUM(Model!$J14:BJ14)+SUM(Model!$J61:BJ61)),0)</f>
        <v>0</v>
      </c>
      <c r="BK61" s="1" t="n">
        <f aca="false">IF($D$5=1,MAX(0,SUM(Model!$J14:BK14)+SUM(Model!$J61:BK61)),0)</f>
        <v>0</v>
      </c>
      <c r="BL61" s="1" t="n">
        <f aca="false">IF($D$5=1,MAX(0,SUM(Model!$J14:BL14)+SUM(Model!$J61:BL61)),0)</f>
        <v>0</v>
      </c>
      <c r="BM61" s="1" t="n">
        <f aca="false">IF($D$5=1,MAX(0,SUM(Model!$J14:BM14)+SUM(Model!$J61:BM61)),0)</f>
        <v>0</v>
      </c>
      <c r="BN61" s="1" t="n">
        <f aca="false">IF($D$5=1,MAX(0,SUM(Model!$J14:BN14)+SUM(Model!$J61:BN61)),0)</f>
        <v>0</v>
      </c>
      <c r="BO61" s="1" t="n">
        <f aca="false">IF($D$5=1,MAX(0,SUM(Model!$J14:BO14)+SUM(Model!$J61:BO61)),0)</f>
        <v>0</v>
      </c>
      <c r="BP61" s="1" t="n">
        <f aca="false">IF($D$5=1,MAX(0,SUM(Model!$J14:BP14)+SUM(Model!$J61:BP61)),0)</f>
        <v>0</v>
      </c>
      <c r="BQ61" s="1" t="n">
        <f aca="false">IF($D$5=1,MAX(0,SUM(Model!$J14:BQ14)+SUM(Model!$J61:BQ61)),0)</f>
        <v>0</v>
      </c>
      <c r="BR61" s="1" t="n">
        <f aca="false">IF($D$5=1,MAX(0,SUM(Model!$J14:BR14)+SUM(Model!$J61:BR61)),0)</f>
        <v>0</v>
      </c>
      <c r="BS61" s="1" t="n">
        <f aca="false">IF($D$5=1,MAX(0,SUM(Model!$J14:BS14)+SUM(Model!$J61:BS61)),0)</f>
        <v>0</v>
      </c>
      <c r="BT61" s="1" t="n">
        <f aca="false">IF($D$5=1,MAX(0,SUM(Model!$J14:BT14)+SUM(Model!$J61:BT61)),0)</f>
        <v>0</v>
      </c>
      <c r="BU61" s="1" t="n">
        <f aca="false">IF($D$5=1,MAX(0,SUM(Model!$J14:BU14)+SUM(Model!$J61:BU61)),0)</f>
        <v>0</v>
      </c>
      <c r="BV61" s="1" t="n">
        <f aca="false">IF($D$5=1,MAX(0,SUM(Model!$J14:BV14)+SUM(Model!$J61:BV61)),0)</f>
        <v>0</v>
      </c>
      <c r="BW61" s="1" t="n">
        <f aca="false">IF($D$5=1,MAX(0,SUM(Model!$J14:BW14)+SUM(Model!$J61:BW61)),0)</f>
        <v>0</v>
      </c>
      <c r="BX61" s="1" t="n">
        <f aca="false">IF($D$5=1,MAX(0,SUM(Model!$J14:BX14)+SUM(Model!$J61:BX61)),0)</f>
        <v>0</v>
      </c>
      <c r="BY61" s="1" t="n">
        <f aca="false">IF($D$5=1,MAX(0,SUM(Model!$J14:BY14)+SUM(Model!$J61:BY61)),0)</f>
        <v>0</v>
      </c>
      <c r="BZ61" s="1" t="n">
        <f aca="false">IF($D$5=1,MAX(0,SUM(Model!$J14:BZ14)+SUM(Model!$J61:BZ61)),0)</f>
        <v>0</v>
      </c>
      <c r="CA61" s="1" t="n">
        <f aca="false">IF($D$5=1,MAX(0,SUM(Model!$J14:CA14)+SUM(Model!$J61:CA61)),0)</f>
        <v>0</v>
      </c>
      <c r="CB61" s="1" t="n">
        <f aca="false">IF($D$5=1,MAX(0,SUM(Model!$J14:CB14)+SUM(Model!$J61:CB61)),0)</f>
        <v>0</v>
      </c>
      <c r="CC61" s="1" t="n">
        <f aca="false">IF($D$5=1,MAX(0,SUM(Model!$J14:CC14)+SUM(Model!$J61:CC61)),0)</f>
        <v>0</v>
      </c>
      <c r="CD61" s="1" t="n">
        <f aca="false">IF($D$5=1,MAX(0,SUM(Model!$J14:CD14)+SUM(Model!$J61:CD61)),0)</f>
        <v>0</v>
      </c>
      <c r="CE61" s="1" t="n">
        <f aca="false">IF($D$5=1,MAX(0,SUM(Model!$J14:CE14)+SUM(Model!$J61:CE61)),0)</f>
        <v>0</v>
      </c>
      <c r="CF61" s="1" t="n">
        <f aca="false">IF($D$5=1,MAX(0,SUM(Model!$J14:CF14)+SUM(Model!$J61:CF61)),0)</f>
        <v>0</v>
      </c>
      <c r="CG61" s="1" t="n">
        <f aca="false">IF($D$5=1,MAX(0,SUM(Model!$J14:CG14)+SUM(Model!$J61:CG61)),0)</f>
        <v>0</v>
      </c>
      <c r="CH61" s="1" t="n">
        <f aca="false">IF($D$5=1,MAX(0,SUM(Model!$J14:CH14)+SUM(Model!$J61:CH61)),0)</f>
        <v>0</v>
      </c>
      <c r="CI61" s="1" t="n">
        <f aca="false">IF($D$5=1,MAX(0,SUM(Model!$J14:CI14)+SUM(Model!$J61:CI61)),0)</f>
        <v>0</v>
      </c>
      <c r="CJ61" s="1" t="n">
        <f aca="false">IF($D$5=1,MAX(0,SUM(Model!$J14:CJ14)+SUM(Model!$J61:CJ61)),0)</f>
        <v>0</v>
      </c>
      <c r="CK61" s="1" t="n">
        <f aca="false">IF($D$5=1,MAX(0,SUM(Model!$J14:CK14)+SUM(Model!$J61:CK61)),0)</f>
        <v>0</v>
      </c>
      <c r="CL61" s="1" t="n">
        <f aca="false">IF($D$5=1,MAX(0,SUM(Model!$J14:CL14)+SUM(Model!$J61:CL61)),0)</f>
        <v>0</v>
      </c>
      <c r="CM61" s="1" t="n">
        <f aca="false">IF($D$5=1,MAX(0,SUM(Model!$J14:CM14)+SUM(Model!$J61:CM61)),0)</f>
        <v>0</v>
      </c>
      <c r="CN61" s="1" t="n">
        <f aca="false">IF($D$5=1,MAX(0,SUM(Model!$J14:CN14)+SUM(Model!$J61:CN61)),0)</f>
        <v>0</v>
      </c>
      <c r="CO61" s="1" t="n">
        <f aca="false">IF($D$5=1,MAX(0,SUM(Model!$J14:CO14)+SUM(Model!$J61:CO61)),0)</f>
        <v>0</v>
      </c>
      <c r="CP61" s="1" t="n">
        <f aca="false">IF($D$5=1,MAX(0,SUM(Model!$J14:CP14)+SUM(Model!$J61:CP61)),0)</f>
        <v>0</v>
      </c>
      <c r="CQ61" s="1" t="n">
        <f aca="false">IF($D$5=1,MAX(0,SUM(Model!$J14:CQ14)+SUM(Model!$J61:CQ61)),0)</f>
        <v>0</v>
      </c>
      <c r="CR61" s="1" t="n">
        <f aca="false">IF($D$5=1,MAX(0,SUM(Model!$J14:CR14)+SUM(Model!$J61:CR61)),0)</f>
        <v>0</v>
      </c>
      <c r="CS61" s="1" t="n">
        <f aca="false">IF($D$5=1,MAX(0,SUM(Model!$J14:CS14)+SUM(Model!$J61:CS61)),0)</f>
        <v>0</v>
      </c>
      <c r="CT61" s="1" t="n">
        <f aca="false">IF($D$5=1,MAX(0,SUM(Model!$J14:CT14)+SUM(Model!$J61:CT61)),0)</f>
        <v>0</v>
      </c>
      <c r="CU61" s="1" t="n">
        <f aca="false">IF($D$5=1,MAX(0,SUM(Model!$J14:CU14)+SUM(Model!$J61:CU61)),0)</f>
        <v>0</v>
      </c>
      <c r="CV61" s="1" t="n">
        <f aca="false">IF($D$5=1,MAX(0,SUM(Model!$J14:CV14)+SUM(Model!$J61:CV61)),0)</f>
        <v>0</v>
      </c>
      <c r="CW61" s="1" t="n">
        <f aca="false">IF($D$5=1,MAX(0,SUM(Model!$J14:CW14)+SUM(Model!$J61:CW61)),0)</f>
        <v>0</v>
      </c>
      <c r="CX61" s="1" t="n">
        <f aca="false">IF($D$5=1,MAX(0,SUM(Model!$J14:CX14)+SUM(Model!$J61:CX61)),0)</f>
        <v>0</v>
      </c>
      <c r="CY61" s="1" t="n">
        <f aca="false">IF($D$5=1,MAX(0,SUM(Model!$J14:CY14)+SUM(Model!$J61:CY61)),0)</f>
        <v>0</v>
      </c>
      <c r="CZ61" s="1" t="n">
        <f aca="false">IF($D$5=1,MAX(0,SUM(Model!$J14:CZ14)+SUM(Model!$J61:CZ61)),0)</f>
        <v>0</v>
      </c>
      <c r="DA61" s="1" t="n">
        <f aca="false">IF($D$5=1,MAX(0,SUM(Model!$J14:DA14)+SUM(Model!$J61:DA61)),0)</f>
        <v>0</v>
      </c>
      <c r="DB61" s="1" t="n">
        <f aca="false">IF($D$5=1,MAX(0,SUM(Model!$J14:DB14)+SUM(Model!$J61:DB61)),0)</f>
        <v>0</v>
      </c>
      <c r="DC61" s="1" t="n">
        <f aca="false">IF($D$5=1,MAX(0,SUM(Model!$J14:DC14)+SUM(Model!$J61:DC61)),0)</f>
        <v>0</v>
      </c>
      <c r="DD61" s="1" t="n">
        <f aca="false">IF($D$5=1,MAX(0,SUM(Model!$J14:DD14)+SUM(Model!$J61:DD61)),0)</f>
        <v>0</v>
      </c>
      <c r="DE61" s="1" t="n">
        <f aca="false">IF($D$5=1,MAX(0,SUM(Model!$J14:DE14)+SUM(Model!$J61:DE61)),0)</f>
        <v>0</v>
      </c>
    </row>
    <row r="62" customFormat="false" ht="13.5" hidden="false" customHeight="true" outlineLevel="0" collapsed="false">
      <c r="A62" s="1" t="str">
        <f aca="false">$B$6</f>
        <v>Califa</v>
      </c>
      <c r="B62" s="1" t="n">
        <v>0</v>
      </c>
      <c r="C62" s="1" t="n">
        <v>0</v>
      </c>
      <c r="D62" s="1" t="n">
        <v>0</v>
      </c>
      <c r="E62" s="1" t="n">
        <v>0</v>
      </c>
      <c r="F62" s="1" t="n">
        <v>0</v>
      </c>
      <c r="G62" s="1" t="n">
        <v>0</v>
      </c>
      <c r="H62" s="1" t="n">
        <v>0</v>
      </c>
      <c r="I62" s="1" t="n">
        <v>0</v>
      </c>
      <c r="J62" s="1" t="n">
        <f aca="false">IF($D$6=1,MAX(0,SUM(Model!$J15:J15)+SUM(Model!$J62:J62)),0)</f>
        <v>21274.6900000001</v>
      </c>
      <c r="K62" s="1" t="n">
        <f aca="false">IF($D$6=1,MAX(0,SUM(Model!$J15:K15)+SUM(Model!$J62:K62)),0)</f>
        <v>48195.3400000001</v>
      </c>
      <c r="L62" s="1" t="n">
        <f aca="false">IF($D$6=1,MAX(0,SUM(Model!$J15:L15)+SUM(Model!$J62:L62)),0)</f>
        <v>65644.1400000001</v>
      </c>
      <c r="M62" s="1" t="n">
        <f aca="false">IF($D$6=1,MAX(0,SUM(Model!$J15:M15)+SUM(Model!$J62:M62)),0)</f>
        <v>66939.7400000002</v>
      </c>
      <c r="N62" s="1" t="n">
        <f aca="false">IF($D$6=1,MAX(0,SUM(Model!$J15:N15)+SUM(Model!$J62:N62)),0)</f>
        <v>61233.2400000002</v>
      </c>
      <c r="O62" s="1" t="n">
        <f aca="false">IF($D$6=1,MAX(0,SUM(Model!$J15:O15)+SUM(Model!$J62:O62)),0)</f>
        <v>65476.3700000001</v>
      </c>
      <c r="P62" s="1" t="n">
        <f aca="false">IF($D$6=1,MAX(0,SUM(Model!$J15:P15)+SUM(Model!$J62:P62)),0)</f>
        <v>62834.7400000002</v>
      </c>
      <c r="Q62" s="1" t="n">
        <f aca="false">IF($D$6=1,MAX(0,SUM(Model!$J15:Q15)+SUM(Model!$J62:Q62)),0)</f>
        <v>70358.6100000003</v>
      </c>
      <c r="R62" s="1" t="n">
        <f aca="false">IF($D$6=1,MAX(0,SUM(Model!$J15:R15)+SUM(Model!$J62:R62)),0)</f>
        <v>87641.6400000006</v>
      </c>
      <c r="S62" s="1" t="n">
        <f aca="false">IF($D$6=1,MAX(0,SUM(Model!$J15:S15)+SUM(Model!$J62:S62)),0)</f>
        <v>108827.47</v>
      </c>
      <c r="T62" s="1" t="n">
        <f aca="false">IF($D$6=1,MAX(0,SUM(Model!$J15:T15)+SUM(Model!$J62:T62)),0)</f>
        <v>129997.439999999</v>
      </c>
      <c r="U62" s="1" t="n">
        <f aca="false">IF($D$6=1,MAX(0,SUM(Model!$J15:U15)+SUM(Model!$J62:U62)),0)</f>
        <v>151039.86</v>
      </c>
      <c r="V62" s="1" t="n">
        <f aca="false">IF($D$6=1,MAX(0,SUM(Model!$J15:V15)+SUM(Model!$J62:V62)),0)</f>
        <v>151039.86</v>
      </c>
      <c r="W62" s="1" t="n">
        <f aca="false">IF($D$6=1,MAX(0,SUM(Model!$J15:W15)+SUM(Model!$J62:W62)),0)</f>
        <v>151039.86</v>
      </c>
      <c r="X62" s="1" t="n">
        <f aca="false">IF($D$6=1,MAX(0,SUM(Model!$J15:X15)+SUM(Model!$J62:X62)),0)</f>
        <v>151039.86</v>
      </c>
      <c r="Y62" s="1" t="n">
        <f aca="false">IF($D$6=1,MAX(0,SUM(Model!$J15:Y15)+SUM(Model!$J62:Y62)),0)</f>
        <v>151039.86</v>
      </c>
      <c r="Z62" s="1" t="n">
        <f aca="false">IF($D$6=1,MAX(0,SUM(Model!$J15:Z15)+SUM(Model!$J62:Z62)),0)</f>
        <v>151039.86</v>
      </c>
      <c r="AA62" s="1" t="n">
        <f aca="false">IF($D$6=1,MAX(0,SUM(Model!$J15:AA15)+SUM(Model!$J62:AA62)),0)</f>
        <v>151039.86</v>
      </c>
      <c r="AB62" s="1" t="n">
        <f aca="false">IF($D$6=1,MAX(0,SUM(Model!$J15:AB15)+SUM(Model!$J62:AB62)),0)</f>
        <v>151039.86</v>
      </c>
      <c r="AC62" s="1" t="n">
        <f aca="false">IF($D$6=1,MAX(0,SUM(Model!$J15:AC15)+SUM(Model!$J62:AC62)),0)</f>
        <v>151039.86</v>
      </c>
      <c r="AD62" s="1" t="n">
        <f aca="false">IF($D$6=1,MAX(0,SUM(Model!$J15:AD15)+SUM(Model!$J62:AD62)),0)</f>
        <v>151039.86</v>
      </c>
      <c r="AE62" s="1" t="n">
        <f aca="false">IF($D$6=1,MAX(0,SUM(Model!$J15:AE15)+SUM(Model!$J62:AE62)),0)</f>
        <v>151039.86</v>
      </c>
      <c r="AF62" s="1" t="n">
        <f aca="false">IF($D$6=1,MAX(0,SUM(Model!$J15:AF15)+SUM(Model!$J62:AF62)),0)</f>
        <v>151039.86</v>
      </c>
      <c r="AG62" s="1" t="n">
        <f aca="false">IF($D$6=1,MAX(0,SUM(Model!$J15:AG15)+SUM(Model!$J62:AG62)),0)</f>
        <v>151039.86</v>
      </c>
      <c r="AH62" s="1" t="n">
        <f aca="false">IF($D$6=1,MAX(0,SUM(Model!$J15:AH15)+SUM(Model!$J62:AH62)),0)</f>
        <v>151039.86</v>
      </c>
      <c r="AI62" s="1" t="n">
        <f aca="false">IF($D$6=1,MAX(0,SUM(Model!$J15:AI15)+SUM(Model!$J62:AI62)),0)</f>
        <v>151039.86</v>
      </c>
      <c r="AJ62" s="1" t="n">
        <f aca="false">IF($D$6=1,MAX(0,SUM(Model!$J15:AJ15)+SUM(Model!$J62:AJ62)),0)</f>
        <v>151039.86</v>
      </c>
      <c r="AK62" s="1" t="n">
        <f aca="false">IF($D$6=1,MAX(0,SUM(Model!$J15:AK15)+SUM(Model!$J62:AK62)),0)</f>
        <v>151039.86</v>
      </c>
      <c r="AL62" s="1" t="n">
        <f aca="false">IF($D$6=1,MAX(0,SUM(Model!$J15:AL15)+SUM(Model!$J62:AL62)),0)</f>
        <v>151039.86</v>
      </c>
      <c r="AM62" s="1" t="n">
        <f aca="false">IF($D$6=1,MAX(0,SUM(Model!$J15:AM15)+SUM(Model!$J62:AM62)),0)</f>
        <v>151039.86</v>
      </c>
      <c r="AN62" s="1" t="n">
        <f aca="false">IF($D$6=1,MAX(0,SUM(Model!$J15:AN15)+SUM(Model!$J62:AN62)),0)</f>
        <v>151039.86</v>
      </c>
      <c r="AO62" s="1" t="n">
        <f aca="false">IF($D$6=1,MAX(0,SUM(Model!$J15:AO15)+SUM(Model!$J62:AO62)),0)</f>
        <v>151039.86</v>
      </c>
      <c r="AP62" s="1" t="n">
        <f aca="false">IF($D$6=1,MAX(0,SUM(Model!$J15:AP15)+SUM(Model!$J62:AP62)),0)</f>
        <v>151039.86</v>
      </c>
      <c r="AQ62" s="1" t="n">
        <f aca="false">IF($D$6=1,MAX(0,SUM(Model!$J15:AQ15)+SUM(Model!$J62:AQ62)),0)</f>
        <v>151039.86</v>
      </c>
      <c r="AR62" s="1" t="n">
        <f aca="false">IF($D$6=1,MAX(0,SUM(Model!$J15:AR15)+SUM(Model!$J62:AR62)),0)</f>
        <v>151039.86</v>
      </c>
      <c r="AS62" s="1" t="n">
        <f aca="false">IF($D$6=1,MAX(0,SUM(Model!$J15:AS15)+SUM(Model!$J62:AS62)),0)</f>
        <v>151039.86</v>
      </c>
      <c r="AT62" s="1" t="n">
        <f aca="false">IF($D$6=1,MAX(0,SUM(Model!$J15:AT15)+SUM(Model!$J62:AT62)),0)</f>
        <v>151039.86</v>
      </c>
      <c r="AU62" s="1" t="n">
        <f aca="false">IF($D$6=1,MAX(0,SUM(Model!$J15:AU15)+SUM(Model!$J62:AU62)),0)</f>
        <v>151039.86</v>
      </c>
      <c r="AV62" s="1" t="n">
        <f aca="false">IF($D$6=1,MAX(0,SUM(Model!$J15:AV15)+SUM(Model!$J62:AV62)),0)</f>
        <v>151039.86</v>
      </c>
      <c r="AW62" s="1" t="n">
        <f aca="false">IF($D$6=1,MAX(0,SUM(Model!$J15:AW15)+SUM(Model!$J62:AW62)),0)</f>
        <v>151039.86</v>
      </c>
      <c r="AX62" s="1" t="n">
        <f aca="false">IF($D$6=1,MAX(0,SUM(Model!$J15:AX15)+SUM(Model!$J62:AX62)),0)</f>
        <v>151039.86</v>
      </c>
      <c r="AY62" s="1" t="n">
        <f aca="false">IF($D$6=1,MAX(0,SUM(Model!$J15:AY15)+SUM(Model!$J62:AY62)),0)</f>
        <v>151039.86</v>
      </c>
      <c r="AZ62" s="1" t="n">
        <f aca="false">IF($D$6=1,MAX(0,SUM(Model!$J15:AZ15)+SUM(Model!$J62:AZ62)),0)</f>
        <v>151039.86</v>
      </c>
      <c r="BA62" s="1" t="n">
        <f aca="false">IF($D$6=1,MAX(0,SUM(Model!$J15:BA15)+SUM(Model!$J62:BA62)),0)</f>
        <v>151039.86</v>
      </c>
      <c r="BB62" s="1" t="n">
        <f aca="false">IF($D$6=1,MAX(0,SUM(Model!$J15:BB15)+SUM(Model!$J62:BB62)),0)</f>
        <v>151039.86</v>
      </c>
      <c r="BC62" s="1" t="n">
        <f aca="false">IF($D$6=1,MAX(0,SUM(Model!$J15:BC15)+SUM(Model!$J62:BC62)),0)</f>
        <v>151039.86</v>
      </c>
      <c r="BD62" s="1" t="n">
        <f aca="false">IF($D$6=1,MAX(0,SUM(Model!$J15:BD15)+SUM(Model!$J62:BD62)),0)</f>
        <v>151039.86</v>
      </c>
      <c r="BE62" s="1" t="n">
        <f aca="false">IF($D$6=1,MAX(0,SUM(Model!$J15:BE15)+SUM(Model!$J62:BE62)),0)</f>
        <v>151039.86</v>
      </c>
      <c r="BF62" s="1" t="n">
        <f aca="false">IF($D$6=1,MAX(0,SUM(Model!$J15:BF15)+SUM(Model!$J62:BF62)),0)</f>
        <v>151039.86</v>
      </c>
      <c r="BG62" s="1" t="n">
        <f aca="false">IF($D$6=1,MAX(0,SUM(Model!$J15:BG15)+SUM(Model!$J62:BG62)),0)</f>
        <v>151039.86</v>
      </c>
      <c r="BH62" s="1" t="n">
        <f aca="false">IF($D$6=1,MAX(0,SUM(Model!$J15:BH15)+SUM(Model!$J62:BH62)),0)</f>
        <v>151039.86</v>
      </c>
      <c r="BI62" s="1" t="n">
        <f aca="false">IF($D$6=1,MAX(0,SUM(Model!$J15:BI15)+SUM(Model!$J62:BI62)),0)</f>
        <v>151039.86</v>
      </c>
      <c r="BJ62" s="1" t="n">
        <f aca="false">IF($D$6=1,MAX(0,SUM(Model!$J15:BJ15)+SUM(Model!$J62:BJ62)),0)</f>
        <v>151039.86</v>
      </c>
      <c r="BK62" s="1" t="n">
        <f aca="false">IF($D$6=1,MAX(0,SUM(Model!$J15:BK15)+SUM(Model!$J62:BK62)),0)</f>
        <v>151039.86</v>
      </c>
      <c r="BL62" s="1" t="n">
        <f aca="false">IF($D$6=1,MAX(0,SUM(Model!$J15:BL15)+SUM(Model!$J62:BL62)),0)</f>
        <v>151039.86</v>
      </c>
      <c r="BM62" s="1" t="n">
        <f aca="false">IF($D$6=1,MAX(0,SUM(Model!$J15:BM15)+SUM(Model!$J62:BM62)),0)</f>
        <v>151039.86</v>
      </c>
      <c r="BN62" s="1" t="n">
        <f aca="false">IF($D$6=1,MAX(0,SUM(Model!$J15:BN15)+SUM(Model!$J62:BN62)),0)</f>
        <v>151039.86</v>
      </c>
      <c r="BO62" s="1" t="n">
        <f aca="false">IF($D$6=1,MAX(0,SUM(Model!$J15:BO15)+SUM(Model!$J62:BO62)),0)</f>
        <v>151039.86</v>
      </c>
      <c r="BP62" s="1" t="n">
        <f aca="false">IF($D$6=1,MAX(0,SUM(Model!$J15:BP15)+SUM(Model!$J62:BP62)),0)</f>
        <v>151039.86</v>
      </c>
      <c r="BQ62" s="1" t="n">
        <f aca="false">IF($D$6=1,MAX(0,SUM(Model!$J15:BQ15)+SUM(Model!$J62:BQ62)),0)</f>
        <v>151039.86</v>
      </c>
      <c r="BR62" s="1" t="n">
        <f aca="false">IF($D$6=1,MAX(0,SUM(Model!$J15:BR15)+SUM(Model!$J62:BR62)),0)</f>
        <v>151039.86</v>
      </c>
      <c r="BS62" s="1" t="n">
        <f aca="false">IF($D$6=1,MAX(0,SUM(Model!$J15:BS15)+SUM(Model!$J62:BS62)),0)</f>
        <v>151039.86</v>
      </c>
      <c r="BT62" s="1" t="n">
        <f aca="false">IF($D$6=1,MAX(0,SUM(Model!$J15:BT15)+SUM(Model!$J62:BT62)),0)</f>
        <v>151039.86</v>
      </c>
      <c r="BU62" s="1" t="n">
        <f aca="false">IF($D$6=1,MAX(0,SUM(Model!$J15:BU15)+SUM(Model!$J62:BU62)),0)</f>
        <v>151039.86</v>
      </c>
      <c r="BV62" s="1" t="n">
        <f aca="false">IF($D$6=1,MAX(0,SUM(Model!$J15:BV15)+SUM(Model!$J62:BV62)),0)</f>
        <v>151039.86</v>
      </c>
      <c r="BW62" s="1" t="n">
        <f aca="false">IF($D$6=1,MAX(0,SUM(Model!$J15:BW15)+SUM(Model!$J62:BW62)),0)</f>
        <v>151039.86</v>
      </c>
      <c r="BX62" s="1" t="n">
        <f aca="false">IF($D$6=1,MAX(0,SUM(Model!$J15:BX15)+SUM(Model!$J62:BX62)),0)</f>
        <v>151039.86</v>
      </c>
      <c r="BY62" s="1" t="n">
        <f aca="false">IF($D$6=1,MAX(0,SUM(Model!$J15:BY15)+SUM(Model!$J62:BY62)),0)</f>
        <v>151039.86</v>
      </c>
      <c r="BZ62" s="1" t="n">
        <f aca="false">IF($D$6=1,MAX(0,SUM(Model!$J15:BZ15)+SUM(Model!$J62:BZ62)),0)</f>
        <v>151039.86</v>
      </c>
      <c r="CA62" s="1" t="n">
        <f aca="false">IF($D$6=1,MAX(0,SUM(Model!$J15:CA15)+SUM(Model!$J62:CA62)),0)</f>
        <v>151039.86</v>
      </c>
      <c r="CB62" s="1" t="n">
        <f aca="false">IF($D$6=1,MAX(0,SUM(Model!$J15:CB15)+SUM(Model!$J62:CB62)),0)</f>
        <v>151039.86</v>
      </c>
      <c r="CC62" s="1" t="n">
        <f aca="false">IF($D$6=1,MAX(0,SUM(Model!$J15:CC15)+SUM(Model!$J62:CC62)),0)</f>
        <v>151039.86</v>
      </c>
      <c r="CD62" s="1" t="n">
        <f aca="false">IF($D$6=1,MAX(0,SUM(Model!$J15:CD15)+SUM(Model!$J62:CD62)),0)</f>
        <v>151039.86</v>
      </c>
      <c r="CE62" s="1" t="n">
        <f aca="false">IF($D$6=1,MAX(0,SUM(Model!$J15:CE15)+SUM(Model!$J62:CE62)),0)</f>
        <v>151039.86</v>
      </c>
      <c r="CF62" s="1" t="n">
        <f aca="false">IF($D$6=1,MAX(0,SUM(Model!$J15:CF15)+SUM(Model!$J62:CF62)),0)</f>
        <v>151039.86</v>
      </c>
      <c r="CG62" s="1" t="n">
        <f aca="false">IF($D$6=1,MAX(0,SUM(Model!$J15:CG15)+SUM(Model!$J62:CG62)),0)</f>
        <v>151039.86</v>
      </c>
      <c r="CH62" s="1" t="n">
        <f aca="false">IF($D$6=1,MAX(0,SUM(Model!$J15:CH15)+SUM(Model!$J62:CH62)),0)</f>
        <v>151039.86</v>
      </c>
      <c r="CI62" s="1" t="n">
        <f aca="false">IF($D$6=1,MAX(0,SUM(Model!$J15:CI15)+SUM(Model!$J62:CI62)),0)</f>
        <v>151039.86</v>
      </c>
      <c r="CJ62" s="1" t="n">
        <f aca="false">IF($D$6=1,MAX(0,SUM(Model!$J15:CJ15)+SUM(Model!$J62:CJ62)),0)</f>
        <v>151039.86</v>
      </c>
      <c r="CK62" s="1" t="n">
        <f aca="false">IF($D$6=1,MAX(0,SUM(Model!$J15:CK15)+SUM(Model!$J62:CK62)),0)</f>
        <v>151039.86</v>
      </c>
      <c r="CL62" s="1" t="n">
        <f aca="false">IF($D$6=1,MAX(0,SUM(Model!$J15:CL15)+SUM(Model!$J62:CL62)),0)</f>
        <v>151039.86</v>
      </c>
      <c r="CM62" s="1" t="n">
        <f aca="false">IF($D$6=1,MAX(0,SUM(Model!$J15:CM15)+SUM(Model!$J62:CM62)),0)</f>
        <v>151039.86</v>
      </c>
      <c r="CN62" s="1" t="n">
        <f aca="false">IF($D$6=1,MAX(0,SUM(Model!$J15:CN15)+SUM(Model!$J62:CN62)),0)</f>
        <v>151039.86</v>
      </c>
      <c r="CO62" s="1" t="n">
        <f aca="false">IF($D$6=1,MAX(0,SUM(Model!$J15:CO15)+SUM(Model!$J62:CO62)),0)</f>
        <v>151039.86</v>
      </c>
      <c r="CP62" s="1" t="n">
        <f aca="false">IF($D$6=1,MAX(0,SUM(Model!$J15:CP15)+SUM(Model!$J62:CP62)),0)</f>
        <v>151039.86</v>
      </c>
      <c r="CQ62" s="1" t="n">
        <f aca="false">IF($D$6=1,MAX(0,SUM(Model!$J15:CQ15)+SUM(Model!$J62:CQ62)),0)</f>
        <v>151039.86</v>
      </c>
      <c r="CR62" s="1" t="n">
        <f aca="false">IF($D$6=1,MAX(0,SUM(Model!$J15:CR15)+SUM(Model!$J62:CR62)),0)</f>
        <v>151039.86</v>
      </c>
      <c r="CS62" s="1" t="n">
        <f aca="false">IF($D$6=1,MAX(0,SUM(Model!$J15:CS15)+SUM(Model!$J62:CS62)),0)</f>
        <v>151039.86</v>
      </c>
      <c r="CT62" s="1" t="n">
        <f aca="false">IF($D$6=1,MAX(0,SUM(Model!$J15:CT15)+SUM(Model!$J62:CT62)),0)</f>
        <v>151039.86</v>
      </c>
      <c r="CU62" s="1" t="n">
        <f aca="false">IF($D$6=1,MAX(0,SUM(Model!$J15:CU15)+SUM(Model!$J62:CU62)),0)</f>
        <v>151039.86</v>
      </c>
      <c r="CV62" s="1" t="n">
        <f aca="false">IF($D$6=1,MAX(0,SUM(Model!$J15:CV15)+SUM(Model!$J62:CV62)),0)</f>
        <v>151039.86</v>
      </c>
      <c r="CW62" s="1" t="n">
        <f aca="false">IF($D$6=1,MAX(0,SUM(Model!$J15:CW15)+SUM(Model!$J62:CW62)),0)</f>
        <v>151039.86</v>
      </c>
      <c r="CX62" s="1" t="n">
        <f aca="false">IF($D$6=1,MAX(0,SUM(Model!$J15:CX15)+SUM(Model!$J62:CX62)),0)</f>
        <v>151039.86</v>
      </c>
      <c r="CY62" s="1" t="n">
        <f aca="false">IF($D$6=1,MAX(0,SUM(Model!$J15:CY15)+SUM(Model!$J62:CY62)),0)</f>
        <v>151039.86</v>
      </c>
      <c r="CZ62" s="1" t="n">
        <f aca="false">IF($D$6=1,MAX(0,SUM(Model!$J15:CZ15)+SUM(Model!$J62:CZ62)),0)</f>
        <v>151039.86</v>
      </c>
      <c r="DA62" s="1" t="n">
        <f aca="false">IF($D$6=1,MAX(0,SUM(Model!$J15:DA15)+SUM(Model!$J62:DA62)),0)</f>
        <v>151039.86</v>
      </c>
      <c r="DB62" s="1" t="n">
        <f aca="false">IF($D$6=1,MAX(0,SUM(Model!$J15:DB15)+SUM(Model!$J62:DB62)),0)</f>
        <v>151039.86</v>
      </c>
      <c r="DC62" s="1" t="n">
        <f aca="false">IF($D$6=1,MAX(0,SUM(Model!$J15:DC15)+SUM(Model!$J62:DC62)),0)</f>
        <v>151039.86</v>
      </c>
      <c r="DD62" s="1" t="n">
        <f aca="false">IF($D$6=1,MAX(0,SUM(Model!$J15:DD15)+SUM(Model!$J62:DD62)),0)</f>
        <v>151039.86</v>
      </c>
      <c r="DE62" s="1" t="n">
        <f aca="false">IF($D$6=1,MAX(0,SUM(Model!$J15:DE15)+SUM(Model!$J62:DE62)),0)</f>
        <v>151039.86</v>
      </c>
    </row>
    <row r="63" customFormat="false" ht="13.5" hidden="false" customHeight="true" outlineLevel="0" collapsed="false">
      <c r="A63" s="1" t="str">
        <f aca="false">$B$7</f>
        <v>Whipple</v>
      </c>
      <c r="B63" s="1" t="n">
        <v>0</v>
      </c>
      <c r="C63" s="1" t="n">
        <v>0</v>
      </c>
      <c r="D63" s="1" t="n">
        <v>0</v>
      </c>
      <c r="E63" s="1" t="n">
        <v>0</v>
      </c>
      <c r="F63" s="1" t="n">
        <v>0</v>
      </c>
      <c r="G63" s="1" t="n">
        <v>0</v>
      </c>
      <c r="H63" s="1" t="n">
        <v>0</v>
      </c>
      <c r="I63" s="1" t="n">
        <v>0</v>
      </c>
      <c r="J63" s="1" t="n">
        <f aca="false">IF($D$7=1,MAX(0,SUM(Model!$J16:J16)+SUM(Model!$J63:J63)),0)</f>
        <v>203997.83</v>
      </c>
      <c r="K63" s="1" t="n">
        <f aca="false">IF($D$7=1,MAX(0,SUM(Model!$J16:K16)+SUM(Model!$J63:K63)),0)</f>
        <v>200435.37</v>
      </c>
      <c r="L63" s="1" t="n">
        <f aca="false">IF($D$7=1,MAX(0,SUM(Model!$J16:L16)+SUM(Model!$J63:L63)),0)</f>
        <v>186091.7</v>
      </c>
      <c r="M63" s="1" t="n">
        <f aca="false">IF($D$7=1,MAX(0,SUM(Model!$J16:M16)+SUM(Model!$J63:M63)),0)</f>
        <v>185678.89</v>
      </c>
      <c r="N63" s="1" t="n">
        <f aca="false">IF($D$7=1,MAX(0,SUM(Model!$J16:N16)+SUM(Model!$J63:N63)),0)</f>
        <v>200007.829999999</v>
      </c>
      <c r="O63" s="1" t="n">
        <f aca="false">IF($D$7=1,MAX(0,SUM(Model!$J16:O16)+SUM(Model!$J63:O63)),0)</f>
        <v>210090.47</v>
      </c>
      <c r="P63" s="1" t="n">
        <f aca="false">IF($D$7=1,MAX(0,SUM(Model!$J16:P16)+SUM(Model!$J63:P63)),0)</f>
        <v>220509.399999999</v>
      </c>
      <c r="Q63" s="1" t="n">
        <f aca="false">IF($D$7=1,MAX(0,SUM(Model!$J16:Q16)+SUM(Model!$J63:Q63)),0)</f>
        <v>226427.25</v>
      </c>
      <c r="R63" s="1" t="n">
        <f aca="false">IF($D$7=1,MAX(0,SUM(Model!$J16:R16)+SUM(Model!$J63:R63)),0)</f>
        <v>192307.71</v>
      </c>
      <c r="S63" s="1" t="n">
        <f aca="false">IF($D$7=1,MAX(0,SUM(Model!$J16:S16)+SUM(Model!$J63:S63)),0)</f>
        <v>109666.07</v>
      </c>
      <c r="T63" s="1" t="n">
        <f aca="false">IF($D$7=1,MAX(0,SUM(Model!$J16:T16)+SUM(Model!$J63:T63)),0)</f>
        <v>67623.4800000005</v>
      </c>
      <c r="U63" s="1" t="n">
        <f aca="false">IF($D$7=1,MAX(0,SUM(Model!$J16:U16)+SUM(Model!$J63:U63)),0)</f>
        <v>43279.0899999989</v>
      </c>
      <c r="V63" s="1" t="n">
        <f aca="false">IF($D$7=1,MAX(0,SUM(Model!$J16:V16)+SUM(Model!$J63:V63)),0)</f>
        <v>46712.0600000005</v>
      </c>
      <c r="W63" s="1" t="n">
        <f aca="false">IF($D$7=1,MAX(0,SUM(Model!$J16:W16)+SUM(Model!$J63:W63)),0)</f>
        <v>52497.3800000008</v>
      </c>
      <c r="X63" s="1" t="n">
        <f aca="false">IF($D$7=1,MAX(0,SUM(Model!$J16:X16)+SUM(Model!$J63:X63)),0)</f>
        <v>52497.3800000008</v>
      </c>
      <c r="Y63" s="1" t="n">
        <f aca="false">IF($D$7=1,MAX(0,SUM(Model!$J16:Y16)+SUM(Model!$J63:Y63)),0)</f>
        <v>52497.3800000008</v>
      </c>
      <c r="Z63" s="1" t="n">
        <f aca="false">IF($D$7=1,MAX(0,SUM(Model!$J16:Z16)+SUM(Model!$J63:Z63)),0)</f>
        <v>52497.3800000008</v>
      </c>
      <c r="AA63" s="1" t="n">
        <f aca="false">IF($D$7=1,MAX(0,SUM(Model!$J16:AA16)+SUM(Model!$J63:AA63)),0)</f>
        <v>52497.3800000008</v>
      </c>
      <c r="AB63" s="1" t="n">
        <f aca="false">IF($D$7=1,MAX(0,SUM(Model!$J16:AB16)+SUM(Model!$J63:AB63)),0)</f>
        <v>52497.3800000008</v>
      </c>
      <c r="AC63" s="1" t="n">
        <f aca="false">IF($D$7=1,MAX(0,SUM(Model!$J16:AC16)+SUM(Model!$J63:AC63)),0)</f>
        <v>52497.3800000008</v>
      </c>
      <c r="AD63" s="1" t="n">
        <f aca="false">IF($D$7=1,MAX(0,SUM(Model!$J16:AD16)+SUM(Model!$J63:AD63)),0)</f>
        <v>52497.3800000008</v>
      </c>
      <c r="AE63" s="1" t="n">
        <f aca="false">IF($D$7=1,MAX(0,SUM(Model!$J16:AE16)+SUM(Model!$J63:AE63)),0)</f>
        <v>52497.3800000008</v>
      </c>
      <c r="AF63" s="1" t="n">
        <f aca="false">IF($D$7=1,MAX(0,SUM(Model!$J16:AF16)+SUM(Model!$J63:AF63)),0)</f>
        <v>52497.3800000008</v>
      </c>
      <c r="AG63" s="1" t="n">
        <f aca="false">IF($D$7=1,MAX(0,SUM(Model!$J16:AG16)+SUM(Model!$J63:AG63)),0)</f>
        <v>52497.3800000008</v>
      </c>
      <c r="AH63" s="1" t="n">
        <f aca="false">IF($D$7=1,MAX(0,SUM(Model!$J16:AH16)+SUM(Model!$J63:AH63)),0)</f>
        <v>52497.3800000008</v>
      </c>
      <c r="AI63" s="1" t="n">
        <f aca="false">IF($D$7=1,MAX(0,SUM(Model!$J16:AI16)+SUM(Model!$J63:AI63)),0)</f>
        <v>52497.3800000008</v>
      </c>
      <c r="AJ63" s="1" t="n">
        <f aca="false">IF($D$7=1,MAX(0,SUM(Model!$J16:AJ16)+SUM(Model!$J63:AJ63)),0)</f>
        <v>52497.3800000008</v>
      </c>
      <c r="AK63" s="1" t="n">
        <f aca="false">IF($D$7=1,MAX(0,SUM(Model!$J16:AK16)+SUM(Model!$J63:AK63)),0)</f>
        <v>52497.3800000008</v>
      </c>
      <c r="AL63" s="1" t="n">
        <f aca="false">IF($D$7=1,MAX(0,SUM(Model!$J16:AL16)+SUM(Model!$J63:AL63)),0)</f>
        <v>52497.3800000008</v>
      </c>
      <c r="AM63" s="1" t="n">
        <f aca="false">IF($D$7=1,MAX(0,SUM(Model!$J16:AM16)+SUM(Model!$J63:AM63)),0)</f>
        <v>52497.3800000008</v>
      </c>
      <c r="AN63" s="1" t="n">
        <f aca="false">IF($D$7=1,MAX(0,SUM(Model!$J16:AN16)+SUM(Model!$J63:AN63)),0)</f>
        <v>52497.3800000008</v>
      </c>
      <c r="AO63" s="1" t="n">
        <f aca="false">IF($D$7=1,MAX(0,SUM(Model!$J16:AO16)+SUM(Model!$J63:AO63)),0)</f>
        <v>52497.3800000008</v>
      </c>
      <c r="AP63" s="1" t="n">
        <f aca="false">IF($D$7=1,MAX(0,SUM(Model!$J16:AP16)+SUM(Model!$J63:AP63)),0)</f>
        <v>52497.3800000008</v>
      </c>
      <c r="AQ63" s="1" t="n">
        <f aca="false">IF($D$7=1,MAX(0,SUM(Model!$J16:AQ16)+SUM(Model!$J63:AQ63)),0)</f>
        <v>52497.3800000008</v>
      </c>
      <c r="AR63" s="1" t="n">
        <f aca="false">IF($D$7=1,MAX(0,SUM(Model!$J16:AR16)+SUM(Model!$J63:AR63)),0)</f>
        <v>52497.3800000008</v>
      </c>
      <c r="AS63" s="1" t="n">
        <f aca="false">IF($D$7=1,MAX(0,SUM(Model!$J16:AS16)+SUM(Model!$J63:AS63)),0)</f>
        <v>52497.3800000008</v>
      </c>
      <c r="AT63" s="1" t="n">
        <f aca="false">IF($D$7=1,MAX(0,SUM(Model!$J16:AT16)+SUM(Model!$J63:AT63)),0)</f>
        <v>52497.3800000008</v>
      </c>
      <c r="AU63" s="1" t="n">
        <f aca="false">IF($D$7=1,MAX(0,SUM(Model!$J16:AU16)+SUM(Model!$J63:AU63)),0)</f>
        <v>52497.3800000008</v>
      </c>
      <c r="AV63" s="1" t="n">
        <f aca="false">IF($D$7=1,MAX(0,SUM(Model!$J16:AV16)+SUM(Model!$J63:AV63)),0)</f>
        <v>52497.3800000008</v>
      </c>
      <c r="AW63" s="1" t="n">
        <f aca="false">IF($D$7=1,MAX(0,SUM(Model!$J16:AW16)+SUM(Model!$J63:AW63)),0)</f>
        <v>52497.3800000008</v>
      </c>
      <c r="AX63" s="1" t="n">
        <f aca="false">IF($D$7=1,MAX(0,SUM(Model!$J16:AX16)+SUM(Model!$J63:AX63)),0)</f>
        <v>52497.3800000008</v>
      </c>
      <c r="AY63" s="1" t="n">
        <f aca="false">IF($D$7=1,MAX(0,SUM(Model!$J16:AY16)+SUM(Model!$J63:AY63)),0)</f>
        <v>52497.3800000008</v>
      </c>
      <c r="AZ63" s="1" t="n">
        <f aca="false">IF($D$7=1,MAX(0,SUM(Model!$J16:AZ16)+SUM(Model!$J63:AZ63)),0)</f>
        <v>52497.3800000008</v>
      </c>
      <c r="BA63" s="1" t="n">
        <f aca="false">IF($D$7=1,MAX(0,SUM(Model!$J16:BA16)+SUM(Model!$J63:BA63)),0)</f>
        <v>52497.3800000008</v>
      </c>
      <c r="BB63" s="1" t="n">
        <f aca="false">IF($D$7=1,MAX(0,SUM(Model!$J16:BB16)+SUM(Model!$J63:BB63)),0)</f>
        <v>52497.3800000008</v>
      </c>
      <c r="BC63" s="1" t="n">
        <f aca="false">IF($D$7=1,MAX(0,SUM(Model!$J16:BC16)+SUM(Model!$J63:BC63)),0)</f>
        <v>52497.3800000008</v>
      </c>
      <c r="BD63" s="1" t="n">
        <f aca="false">IF($D$7=1,MAX(0,SUM(Model!$J16:BD16)+SUM(Model!$J63:BD63)),0)</f>
        <v>52497.3800000008</v>
      </c>
      <c r="BE63" s="1" t="n">
        <f aca="false">IF($D$7=1,MAX(0,SUM(Model!$J16:BE16)+SUM(Model!$J63:BE63)),0)</f>
        <v>52497.3800000008</v>
      </c>
      <c r="BF63" s="1" t="n">
        <f aca="false">IF($D$7=1,MAX(0,SUM(Model!$J16:BF16)+SUM(Model!$J63:BF63)),0)</f>
        <v>52497.3800000008</v>
      </c>
      <c r="BG63" s="1" t="n">
        <f aca="false">IF($D$7=1,MAX(0,SUM(Model!$J16:BG16)+SUM(Model!$J63:BG63)),0)</f>
        <v>52497.3800000008</v>
      </c>
      <c r="BH63" s="1" t="n">
        <f aca="false">IF($D$7=1,MAX(0,SUM(Model!$J16:BH16)+SUM(Model!$J63:BH63)),0)</f>
        <v>52497.3800000008</v>
      </c>
      <c r="BI63" s="1" t="n">
        <f aca="false">IF($D$7=1,MAX(0,SUM(Model!$J16:BI16)+SUM(Model!$J63:BI63)),0)</f>
        <v>52497.3800000008</v>
      </c>
      <c r="BJ63" s="1" t="n">
        <f aca="false">IF($D$7=1,MAX(0,SUM(Model!$J16:BJ16)+SUM(Model!$J63:BJ63)),0)</f>
        <v>52497.3800000008</v>
      </c>
      <c r="BK63" s="1" t="n">
        <f aca="false">IF($D$7=1,MAX(0,SUM(Model!$J16:BK16)+SUM(Model!$J63:BK63)),0)</f>
        <v>52497.3800000008</v>
      </c>
      <c r="BL63" s="1" t="n">
        <f aca="false">IF($D$7=1,MAX(0,SUM(Model!$J16:BL16)+SUM(Model!$J63:BL63)),0)</f>
        <v>52497.3800000008</v>
      </c>
      <c r="BM63" s="1" t="n">
        <f aca="false">IF($D$7=1,MAX(0,SUM(Model!$J16:BM16)+SUM(Model!$J63:BM63)),0)</f>
        <v>52497.3800000008</v>
      </c>
      <c r="BN63" s="1" t="n">
        <f aca="false">IF($D$7=1,MAX(0,SUM(Model!$J16:BN16)+SUM(Model!$J63:BN63)),0)</f>
        <v>52497.3800000008</v>
      </c>
      <c r="BO63" s="1" t="n">
        <f aca="false">IF($D$7=1,MAX(0,SUM(Model!$J16:BO16)+SUM(Model!$J63:BO63)),0)</f>
        <v>52497.3800000008</v>
      </c>
      <c r="BP63" s="1" t="n">
        <f aca="false">IF($D$7=1,MAX(0,SUM(Model!$J16:BP16)+SUM(Model!$J63:BP63)),0)</f>
        <v>52497.3800000008</v>
      </c>
      <c r="BQ63" s="1" t="n">
        <f aca="false">IF($D$7=1,MAX(0,SUM(Model!$J16:BQ16)+SUM(Model!$J63:BQ63)),0)</f>
        <v>52497.3800000008</v>
      </c>
      <c r="BR63" s="1" t="n">
        <f aca="false">IF($D$7=1,MAX(0,SUM(Model!$J16:BR16)+SUM(Model!$J63:BR63)),0)</f>
        <v>52497.3800000008</v>
      </c>
      <c r="BS63" s="1" t="n">
        <f aca="false">IF($D$7=1,MAX(0,SUM(Model!$J16:BS16)+SUM(Model!$J63:BS63)),0)</f>
        <v>52497.3800000008</v>
      </c>
      <c r="BT63" s="1" t="n">
        <f aca="false">IF($D$7=1,MAX(0,SUM(Model!$J16:BT16)+SUM(Model!$J63:BT63)),0)</f>
        <v>52497.3800000008</v>
      </c>
      <c r="BU63" s="1" t="n">
        <f aca="false">IF($D$7=1,MAX(0,SUM(Model!$J16:BU16)+SUM(Model!$J63:BU63)),0)</f>
        <v>52497.3800000008</v>
      </c>
      <c r="BV63" s="1" t="n">
        <f aca="false">IF($D$7=1,MAX(0,SUM(Model!$J16:BV16)+SUM(Model!$J63:BV63)),0)</f>
        <v>52497.3800000008</v>
      </c>
      <c r="BW63" s="1" t="n">
        <f aca="false">IF($D$7=1,MAX(0,SUM(Model!$J16:BW16)+SUM(Model!$J63:BW63)),0)</f>
        <v>52497.3800000008</v>
      </c>
      <c r="BX63" s="1" t="n">
        <f aca="false">IF($D$7=1,MAX(0,SUM(Model!$J16:BX16)+SUM(Model!$J63:BX63)),0)</f>
        <v>52497.3800000008</v>
      </c>
      <c r="BY63" s="1" t="n">
        <f aca="false">IF($D$7=1,MAX(0,SUM(Model!$J16:BY16)+SUM(Model!$J63:BY63)),0)</f>
        <v>52497.3800000008</v>
      </c>
      <c r="BZ63" s="1" t="n">
        <f aca="false">IF($D$7=1,MAX(0,SUM(Model!$J16:BZ16)+SUM(Model!$J63:BZ63)),0)</f>
        <v>52497.3800000008</v>
      </c>
      <c r="CA63" s="1" t="n">
        <f aca="false">IF($D$7=1,MAX(0,SUM(Model!$J16:CA16)+SUM(Model!$J63:CA63)),0)</f>
        <v>52497.3800000008</v>
      </c>
      <c r="CB63" s="1" t="n">
        <f aca="false">IF($D$7=1,MAX(0,SUM(Model!$J16:CB16)+SUM(Model!$J63:CB63)),0)</f>
        <v>52497.3800000008</v>
      </c>
      <c r="CC63" s="1" t="n">
        <f aca="false">IF($D$7=1,MAX(0,SUM(Model!$J16:CC16)+SUM(Model!$J63:CC63)),0)</f>
        <v>52497.3800000008</v>
      </c>
      <c r="CD63" s="1" t="n">
        <f aca="false">IF($D$7=1,MAX(0,SUM(Model!$J16:CD16)+SUM(Model!$J63:CD63)),0)</f>
        <v>52497.3800000008</v>
      </c>
      <c r="CE63" s="1" t="n">
        <f aca="false">IF($D$7=1,MAX(0,SUM(Model!$J16:CE16)+SUM(Model!$J63:CE63)),0)</f>
        <v>52497.3800000008</v>
      </c>
      <c r="CF63" s="1" t="n">
        <f aca="false">IF($D$7=1,MAX(0,SUM(Model!$J16:CF16)+SUM(Model!$J63:CF63)),0)</f>
        <v>52497.3800000008</v>
      </c>
      <c r="CG63" s="1" t="n">
        <f aca="false">IF($D$7=1,MAX(0,SUM(Model!$J16:CG16)+SUM(Model!$J63:CG63)),0)</f>
        <v>52497.3800000008</v>
      </c>
      <c r="CH63" s="1" t="n">
        <f aca="false">IF($D$7=1,MAX(0,SUM(Model!$J16:CH16)+SUM(Model!$J63:CH63)),0)</f>
        <v>52497.3800000008</v>
      </c>
      <c r="CI63" s="1" t="n">
        <f aca="false">IF($D$7=1,MAX(0,SUM(Model!$J16:CI16)+SUM(Model!$J63:CI63)),0)</f>
        <v>52497.3800000008</v>
      </c>
      <c r="CJ63" s="1" t="n">
        <f aca="false">IF($D$7=1,MAX(0,SUM(Model!$J16:CJ16)+SUM(Model!$J63:CJ63)),0)</f>
        <v>52497.3800000008</v>
      </c>
      <c r="CK63" s="1" t="n">
        <f aca="false">IF($D$7=1,MAX(0,SUM(Model!$J16:CK16)+SUM(Model!$J63:CK63)),0)</f>
        <v>52497.3800000008</v>
      </c>
      <c r="CL63" s="1" t="n">
        <f aca="false">IF($D$7=1,MAX(0,SUM(Model!$J16:CL16)+SUM(Model!$J63:CL63)),0)</f>
        <v>52497.3800000008</v>
      </c>
      <c r="CM63" s="1" t="n">
        <f aca="false">IF($D$7=1,MAX(0,SUM(Model!$J16:CM16)+SUM(Model!$J63:CM63)),0)</f>
        <v>52497.3800000008</v>
      </c>
      <c r="CN63" s="1" t="n">
        <f aca="false">IF($D$7=1,MAX(0,SUM(Model!$J16:CN16)+SUM(Model!$J63:CN63)),0)</f>
        <v>52497.3800000008</v>
      </c>
      <c r="CO63" s="1" t="n">
        <f aca="false">IF($D$7=1,MAX(0,SUM(Model!$J16:CO16)+SUM(Model!$J63:CO63)),0)</f>
        <v>52497.3800000008</v>
      </c>
      <c r="CP63" s="1" t="n">
        <f aca="false">IF($D$7=1,MAX(0,SUM(Model!$J16:CP16)+SUM(Model!$J63:CP63)),0)</f>
        <v>52497.3800000008</v>
      </c>
      <c r="CQ63" s="1" t="n">
        <f aca="false">IF($D$7=1,MAX(0,SUM(Model!$J16:CQ16)+SUM(Model!$J63:CQ63)),0)</f>
        <v>52497.3800000008</v>
      </c>
      <c r="CR63" s="1" t="n">
        <f aca="false">IF($D$7=1,MAX(0,SUM(Model!$J16:CR16)+SUM(Model!$J63:CR63)),0)</f>
        <v>52497.3800000008</v>
      </c>
      <c r="CS63" s="1" t="n">
        <f aca="false">IF($D$7=1,MAX(0,SUM(Model!$J16:CS16)+SUM(Model!$J63:CS63)),0)</f>
        <v>52497.3800000008</v>
      </c>
      <c r="CT63" s="1" t="n">
        <f aca="false">IF($D$7=1,MAX(0,SUM(Model!$J16:CT16)+SUM(Model!$J63:CT63)),0)</f>
        <v>52497.3800000008</v>
      </c>
      <c r="CU63" s="1" t="n">
        <f aca="false">IF($D$7=1,MAX(0,SUM(Model!$J16:CU16)+SUM(Model!$J63:CU63)),0)</f>
        <v>52497.3800000008</v>
      </c>
      <c r="CV63" s="1" t="n">
        <f aca="false">IF($D$7=1,MAX(0,SUM(Model!$J16:CV16)+SUM(Model!$J63:CV63)),0)</f>
        <v>52497.3800000008</v>
      </c>
      <c r="CW63" s="1" t="n">
        <f aca="false">IF($D$7=1,MAX(0,SUM(Model!$J16:CW16)+SUM(Model!$J63:CW63)),0)</f>
        <v>52497.3800000008</v>
      </c>
      <c r="CX63" s="1" t="n">
        <f aca="false">IF($D$7=1,MAX(0,SUM(Model!$J16:CX16)+SUM(Model!$J63:CX63)),0)</f>
        <v>52497.3800000008</v>
      </c>
      <c r="CY63" s="1" t="n">
        <f aca="false">IF($D$7=1,MAX(0,SUM(Model!$J16:CY16)+SUM(Model!$J63:CY63)),0)</f>
        <v>52497.3800000008</v>
      </c>
      <c r="CZ63" s="1" t="n">
        <f aca="false">IF($D$7=1,MAX(0,SUM(Model!$J16:CZ16)+SUM(Model!$J63:CZ63)),0)</f>
        <v>52497.3800000008</v>
      </c>
      <c r="DA63" s="1" t="n">
        <f aca="false">IF($D$7=1,MAX(0,SUM(Model!$J16:DA16)+SUM(Model!$J63:DA63)),0)</f>
        <v>52497.3800000008</v>
      </c>
      <c r="DB63" s="1" t="n">
        <f aca="false">IF($D$7=1,MAX(0,SUM(Model!$J16:DB16)+SUM(Model!$J63:DB63)),0)</f>
        <v>52497.3800000008</v>
      </c>
      <c r="DC63" s="1" t="n">
        <f aca="false">IF($D$7=1,MAX(0,SUM(Model!$J16:DC16)+SUM(Model!$J63:DC63)),0)</f>
        <v>52497.3800000008</v>
      </c>
      <c r="DD63" s="1" t="n">
        <f aca="false">IF($D$7=1,MAX(0,SUM(Model!$J16:DD16)+SUM(Model!$J63:DD63)),0)</f>
        <v>52497.3800000008</v>
      </c>
      <c r="DE63" s="1" t="n">
        <f aca="false">IF($D$7=1,MAX(0,SUM(Model!$J16:DE16)+SUM(Model!$J63:DE63)),0)</f>
        <v>52497.3800000008</v>
      </c>
    </row>
    <row r="64" customFormat="false" ht="13.5" hidden="false" customHeight="true" outlineLevel="0" collapsed="false">
      <c r="A64" s="1" t="str">
        <f aca="false">$B$8</f>
        <v>Nelrose</v>
      </c>
      <c r="B64" s="1" t="n">
        <v>0</v>
      </c>
      <c r="C64" s="1" t="n">
        <v>0</v>
      </c>
      <c r="D64" s="1" t="n">
        <v>0</v>
      </c>
      <c r="E64" s="1" t="n">
        <v>0</v>
      </c>
      <c r="F64" s="1" t="n">
        <v>0</v>
      </c>
      <c r="G64" s="1" t="n">
        <v>0</v>
      </c>
      <c r="H64" s="1" t="n">
        <v>0</v>
      </c>
      <c r="I64" s="1" t="n">
        <v>0</v>
      </c>
      <c r="J64" s="1" t="n">
        <f aca="false">IF($D$8=1,MAX(0,SUM(Model!$J17:J17)+SUM(Model!$J64:J64)),0)</f>
        <v>0</v>
      </c>
      <c r="K64" s="1" t="n">
        <f aca="false">IF($D$8=1,MAX(0,SUM(Model!$J17:K17)+SUM(Model!$J64:K64)),0)</f>
        <v>0</v>
      </c>
      <c r="L64" s="1" t="n">
        <f aca="false">IF($D$8=1,MAX(0,SUM(Model!$J17:L17)+SUM(Model!$J64:L64)),0)</f>
        <v>0</v>
      </c>
      <c r="M64" s="1" t="n">
        <f aca="false">IF($D$8=1,MAX(0,SUM(Model!$J17:M17)+SUM(Model!$J64:M64)),0)</f>
        <v>0</v>
      </c>
      <c r="N64" s="1" t="n">
        <f aca="false">IF($D$8=1,MAX(0,SUM(Model!$J17:N17)+SUM(Model!$J64:N64)),0)</f>
        <v>0</v>
      </c>
      <c r="O64" s="1" t="n">
        <f aca="false">IF($D$8=1,MAX(0,SUM(Model!$J17:O17)+SUM(Model!$J64:O64)),0)</f>
        <v>0</v>
      </c>
      <c r="P64" s="1" t="n">
        <f aca="false">IF($D$8=1,MAX(0,SUM(Model!$J17:P17)+SUM(Model!$J64:P64)),0)</f>
        <v>0</v>
      </c>
      <c r="Q64" s="1" t="n">
        <f aca="false">IF($D$8=1,MAX(0,SUM(Model!$J17:Q17)+SUM(Model!$J64:Q64)),0)</f>
        <v>0</v>
      </c>
      <c r="R64" s="1" t="n">
        <f aca="false">IF($D$8=1,MAX(0,SUM(Model!$J17:R17)+SUM(Model!$J64:R64)),0)</f>
        <v>0</v>
      </c>
      <c r="S64" s="1" t="n">
        <f aca="false">IF($D$8=1,MAX(0,SUM(Model!$J17:S17)+SUM(Model!$J64:S64)),0)</f>
        <v>0</v>
      </c>
      <c r="T64" s="1" t="n">
        <f aca="false">IF($D$8=1,MAX(0,SUM(Model!$J17:T17)+SUM(Model!$J64:T64)),0)</f>
        <v>0</v>
      </c>
      <c r="U64" s="1" t="n">
        <f aca="false">IF($D$8=1,MAX(0,SUM(Model!$J17:U17)+SUM(Model!$J64:U64)),0)</f>
        <v>0</v>
      </c>
      <c r="V64" s="1" t="n">
        <f aca="false">IF($D$8=1,MAX(0,SUM(Model!$J17:V17)+SUM(Model!$J64:V64)),0)</f>
        <v>0</v>
      </c>
      <c r="W64" s="1" t="n">
        <f aca="false">IF($D$8=1,MAX(0,SUM(Model!$J17:W17)+SUM(Model!$J64:W64)),0)</f>
        <v>0</v>
      </c>
      <c r="X64" s="1" t="n">
        <f aca="false">IF($D$8=1,MAX(0,SUM(Model!$J17:X17)+SUM(Model!$J64:X64)),0)</f>
        <v>0</v>
      </c>
      <c r="Y64" s="1" t="n">
        <f aca="false">IF($D$8=1,MAX(0,SUM(Model!$J17:Y17)+SUM(Model!$J64:Y64)),0)</f>
        <v>0</v>
      </c>
      <c r="Z64" s="1" t="n">
        <f aca="false">IF($D$8=1,MAX(0,SUM(Model!$J17:Z17)+SUM(Model!$J64:Z64)),0)</f>
        <v>0</v>
      </c>
      <c r="AA64" s="1" t="n">
        <f aca="false">IF($D$8=1,MAX(0,SUM(Model!$J17:AA17)+SUM(Model!$J64:AA64)),0)</f>
        <v>0</v>
      </c>
      <c r="AB64" s="1" t="n">
        <f aca="false">IF($D$8=1,MAX(0,SUM(Model!$J17:AB17)+SUM(Model!$J64:AB64)),0)</f>
        <v>0</v>
      </c>
      <c r="AC64" s="1" t="n">
        <f aca="false">IF($D$8=1,MAX(0,SUM(Model!$J17:AC17)+SUM(Model!$J64:AC64)),0)</f>
        <v>0</v>
      </c>
      <c r="AD64" s="1" t="n">
        <f aca="false">IF($D$8=1,MAX(0,SUM(Model!$J17:AD17)+SUM(Model!$J64:AD64)),0)</f>
        <v>0</v>
      </c>
      <c r="AE64" s="1" t="n">
        <f aca="false">IF($D$8=1,MAX(0,SUM(Model!$J17:AE17)+SUM(Model!$J64:AE64)),0)</f>
        <v>0</v>
      </c>
      <c r="AF64" s="1" t="n">
        <f aca="false">IF($D$8=1,MAX(0,SUM(Model!$J17:AF17)+SUM(Model!$J64:AF64)),0)</f>
        <v>0</v>
      </c>
      <c r="AG64" s="1" t="n">
        <f aca="false">IF($D$8=1,MAX(0,SUM(Model!$J17:AG17)+SUM(Model!$J64:AG64)),0)</f>
        <v>0</v>
      </c>
      <c r="AH64" s="1" t="n">
        <f aca="false">IF($D$8=1,MAX(0,SUM(Model!$J17:AH17)+SUM(Model!$J64:AH64)),0)</f>
        <v>0</v>
      </c>
      <c r="AI64" s="1" t="n">
        <f aca="false">IF($D$8=1,MAX(0,SUM(Model!$J17:AI17)+SUM(Model!$J64:AI64)),0)</f>
        <v>0</v>
      </c>
      <c r="AJ64" s="1" t="n">
        <f aca="false">IF($D$8=1,MAX(0,SUM(Model!$J17:AJ17)+SUM(Model!$J64:AJ64)),0)</f>
        <v>0</v>
      </c>
      <c r="AK64" s="1" t="n">
        <f aca="false">IF($D$8=1,MAX(0,SUM(Model!$J17:AK17)+SUM(Model!$J64:AK64)),0)</f>
        <v>0</v>
      </c>
      <c r="AL64" s="1" t="n">
        <f aca="false">IF($D$8=1,MAX(0,SUM(Model!$J17:AL17)+SUM(Model!$J64:AL64)),0)</f>
        <v>0</v>
      </c>
      <c r="AM64" s="1" t="n">
        <f aca="false">IF($D$8=1,MAX(0,SUM(Model!$J17:AM17)+SUM(Model!$J64:AM64)),0)</f>
        <v>0</v>
      </c>
      <c r="AN64" s="1" t="n">
        <f aca="false">IF($D$8=1,MAX(0,SUM(Model!$J17:AN17)+SUM(Model!$J64:AN64)),0)</f>
        <v>0</v>
      </c>
      <c r="AO64" s="1" t="n">
        <f aca="false">IF($D$8=1,MAX(0,SUM(Model!$J17:AO17)+SUM(Model!$J64:AO64)),0)</f>
        <v>0</v>
      </c>
      <c r="AP64" s="1" t="n">
        <f aca="false">IF($D$8=1,MAX(0,SUM(Model!$J17:AP17)+SUM(Model!$J64:AP64)),0)</f>
        <v>0</v>
      </c>
      <c r="AQ64" s="1" t="n">
        <f aca="false">IF($D$8=1,MAX(0,SUM(Model!$J17:AQ17)+SUM(Model!$J64:AQ64)),0)</f>
        <v>0</v>
      </c>
      <c r="AR64" s="1" t="n">
        <f aca="false">IF($D$8=1,MAX(0,SUM(Model!$J17:AR17)+SUM(Model!$J64:AR64)),0)</f>
        <v>0</v>
      </c>
      <c r="AS64" s="1" t="n">
        <f aca="false">IF($D$8=1,MAX(0,SUM(Model!$J17:AS17)+SUM(Model!$J64:AS64)),0)</f>
        <v>0</v>
      </c>
      <c r="AT64" s="1" t="n">
        <f aca="false">IF($D$8=1,MAX(0,SUM(Model!$J17:AT17)+SUM(Model!$J64:AT64)),0)</f>
        <v>0</v>
      </c>
      <c r="AU64" s="1" t="n">
        <f aca="false">IF($D$8=1,MAX(0,SUM(Model!$J17:AU17)+SUM(Model!$J64:AU64)),0)</f>
        <v>0</v>
      </c>
      <c r="AV64" s="1" t="n">
        <f aca="false">IF($D$8=1,MAX(0,SUM(Model!$J17:AV17)+SUM(Model!$J64:AV64)),0)</f>
        <v>0</v>
      </c>
      <c r="AW64" s="1" t="n">
        <f aca="false">IF($D$8=1,MAX(0,SUM(Model!$J17:AW17)+SUM(Model!$J64:AW64)),0)</f>
        <v>0</v>
      </c>
      <c r="AX64" s="1" t="n">
        <f aca="false">IF($D$8=1,MAX(0,SUM(Model!$J17:AX17)+SUM(Model!$J64:AX64)),0)</f>
        <v>0</v>
      </c>
      <c r="AY64" s="1" t="n">
        <f aca="false">IF($D$8=1,MAX(0,SUM(Model!$J17:AY17)+SUM(Model!$J64:AY64)),0)</f>
        <v>0</v>
      </c>
      <c r="AZ64" s="1" t="n">
        <f aca="false">IF($D$8=1,MAX(0,SUM(Model!$J17:AZ17)+SUM(Model!$J64:AZ64)),0)</f>
        <v>0</v>
      </c>
      <c r="BA64" s="1" t="n">
        <f aca="false">IF($D$8=1,MAX(0,SUM(Model!$J17:BA17)+SUM(Model!$J64:BA64)),0)</f>
        <v>0</v>
      </c>
      <c r="BB64" s="1" t="n">
        <f aca="false">IF($D$8=1,MAX(0,SUM(Model!$J17:BB17)+SUM(Model!$J64:BB64)),0)</f>
        <v>0</v>
      </c>
      <c r="BC64" s="1" t="n">
        <f aca="false">IF($D$8=1,MAX(0,SUM(Model!$J17:BC17)+SUM(Model!$J64:BC64)),0)</f>
        <v>0</v>
      </c>
      <c r="BD64" s="1" t="n">
        <f aca="false">IF($D$8=1,MAX(0,SUM(Model!$J17:BD17)+SUM(Model!$J64:BD64)),0)</f>
        <v>0</v>
      </c>
      <c r="BE64" s="1" t="n">
        <f aca="false">IF($D$8=1,MAX(0,SUM(Model!$J17:BE17)+SUM(Model!$J64:BE64)),0)</f>
        <v>0</v>
      </c>
      <c r="BF64" s="1" t="n">
        <f aca="false">IF($D$8=1,MAX(0,SUM(Model!$J17:BF17)+SUM(Model!$J64:BF64)),0)</f>
        <v>0</v>
      </c>
      <c r="BG64" s="1" t="n">
        <f aca="false">IF($D$8=1,MAX(0,SUM(Model!$J17:BG17)+SUM(Model!$J64:BG64)),0)</f>
        <v>0</v>
      </c>
      <c r="BH64" s="1" t="n">
        <f aca="false">IF($D$8=1,MAX(0,SUM(Model!$J17:BH17)+SUM(Model!$J64:BH64)),0)</f>
        <v>0</v>
      </c>
      <c r="BI64" s="1" t="n">
        <f aca="false">IF($D$8=1,MAX(0,SUM(Model!$J17:BI17)+SUM(Model!$J64:BI64)),0)</f>
        <v>0</v>
      </c>
      <c r="BJ64" s="1" t="n">
        <f aca="false">IF($D$8=1,MAX(0,SUM(Model!$J17:BJ17)+SUM(Model!$J64:BJ64)),0)</f>
        <v>0</v>
      </c>
      <c r="BK64" s="1" t="n">
        <f aca="false">IF($D$8=1,MAX(0,SUM(Model!$J17:BK17)+SUM(Model!$J64:BK64)),0)</f>
        <v>0</v>
      </c>
      <c r="BL64" s="1" t="n">
        <f aca="false">IF($D$8=1,MAX(0,SUM(Model!$J17:BL17)+SUM(Model!$J64:BL64)),0)</f>
        <v>0</v>
      </c>
      <c r="BM64" s="1" t="n">
        <f aca="false">IF($D$8=1,MAX(0,SUM(Model!$J17:BM17)+SUM(Model!$J64:BM64)),0)</f>
        <v>0</v>
      </c>
      <c r="BN64" s="1" t="n">
        <f aca="false">IF($D$8=1,MAX(0,SUM(Model!$J17:BN17)+SUM(Model!$J64:BN64)),0)</f>
        <v>0</v>
      </c>
      <c r="BO64" s="1" t="n">
        <f aca="false">IF($D$8=1,MAX(0,SUM(Model!$J17:BO17)+SUM(Model!$J64:BO64)),0)</f>
        <v>0</v>
      </c>
      <c r="BP64" s="1" t="n">
        <f aca="false">IF($D$8=1,MAX(0,SUM(Model!$J17:BP17)+SUM(Model!$J64:BP64)),0)</f>
        <v>0</v>
      </c>
      <c r="BQ64" s="1" t="n">
        <f aca="false">IF($D$8=1,MAX(0,SUM(Model!$J17:BQ17)+SUM(Model!$J64:BQ64)),0)</f>
        <v>0</v>
      </c>
      <c r="BR64" s="1" t="n">
        <f aca="false">IF($D$8=1,MAX(0,SUM(Model!$J17:BR17)+SUM(Model!$J64:BR64)),0)</f>
        <v>0</v>
      </c>
      <c r="BS64" s="1" t="n">
        <f aca="false">IF($D$8=1,MAX(0,SUM(Model!$J17:BS17)+SUM(Model!$J64:BS64)),0)</f>
        <v>0</v>
      </c>
      <c r="BT64" s="1" t="n">
        <f aca="false">IF($D$8=1,MAX(0,SUM(Model!$J17:BT17)+SUM(Model!$J64:BT64)),0)</f>
        <v>0</v>
      </c>
      <c r="BU64" s="1" t="n">
        <f aca="false">IF($D$8=1,MAX(0,SUM(Model!$J17:BU17)+SUM(Model!$J64:BU64)),0)</f>
        <v>0</v>
      </c>
      <c r="BV64" s="1" t="n">
        <f aca="false">IF($D$8=1,MAX(0,SUM(Model!$J17:BV17)+SUM(Model!$J64:BV64)),0)</f>
        <v>0</v>
      </c>
      <c r="BW64" s="1" t="n">
        <f aca="false">IF($D$8=1,MAX(0,SUM(Model!$J17:BW17)+SUM(Model!$J64:BW64)),0)</f>
        <v>0</v>
      </c>
      <c r="BX64" s="1" t="n">
        <f aca="false">IF($D$8=1,MAX(0,SUM(Model!$J17:BX17)+SUM(Model!$J64:BX64)),0)</f>
        <v>0</v>
      </c>
      <c r="BY64" s="1" t="n">
        <f aca="false">IF($D$8=1,MAX(0,SUM(Model!$J17:BY17)+SUM(Model!$J64:BY64)),0)</f>
        <v>0</v>
      </c>
      <c r="BZ64" s="1" t="n">
        <f aca="false">IF($D$8=1,MAX(0,SUM(Model!$J17:BZ17)+SUM(Model!$J64:BZ64)),0)</f>
        <v>0</v>
      </c>
      <c r="CA64" s="1" t="n">
        <f aca="false">IF($D$8=1,MAX(0,SUM(Model!$J17:CA17)+SUM(Model!$J64:CA64)),0)</f>
        <v>0</v>
      </c>
      <c r="CB64" s="1" t="n">
        <f aca="false">IF($D$8=1,MAX(0,SUM(Model!$J17:CB17)+SUM(Model!$J64:CB64)),0)</f>
        <v>0</v>
      </c>
      <c r="CC64" s="1" t="n">
        <f aca="false">IF($D$8=1,MAX(0,SUM(Model!$J17:CC17)+SUM(Model!$J64:CC64)),0)</f>
        <v>0</v>
      </c>
      <c r="CD64" s="1" t="n">
        <f aca="false">IF($D$8=1,MAX(0,SUM(Model!$J17:CD17)+SUM(Model!$J64:CD64)),0)</f>
        <v>0</v>
      </c>
      <c r="CE64" s="1" t="n">
        <f aca="false">IF($D$8=1,MAX(0,SUM(Model!$J17:CE17)+SUM(Model!$J64:CE64)),0)</f>
        <v>0</v>
      </c>
      <c r="CF64" s="1" t="n">
        <f aca="false">IF($D$8=1,MAX(0,SUM(Model!$J17:CF17)+SUM(Model!$J64:CF64)),0)</f>
        <v>0</v>
      </c>
      <c r="CG64" s="1" t="n">
        <f aca="false">IF($D$8=1,MAX(0,SUM(Model!$J17:CG17)+SUM(Model!$J64:CG64)),0)</f>
        <v>0</v>
      </c>
      <c r="CH64" s="1" t="n">
        <f aca="false">IF($D$8=1,MAX(0,SUM(Model!$J17:CH17)+SUM(Model!$J64:CH64)),0)</f>
        <v>0</v>
      </c>
      <c r="CI64" s="1" t="n">
        <f aca="false">IF($D$8=1,MAX(0,SUM(Model!$J17:CI17)+SUM(Model!$J64:CI64)),0)</f>
        <v>0</v>
      </c>
      <c r="CJ64" s="1" t="n">
        <f aca="false">IF($D$8=1,MAX(0,SUM(Model!$J17:CJ17)+SUM(Model!$J64:CJ64)),0)</f>
        <v>0</v>
      </c>
      <c r="CK64" s="1" t="n">
        <f aca="false">IF($D$8=1,MAX(0,SUM(Model!$J17:CK17)+SUM(Model!$J64:CK64)),0)</f>
        <v>0</v>
      </c>
      <c r="CL64" s="1" t="n">
        <f aca="false">IF($D$8=1,MAX(0,SUM(Model!$J17:CL17)+SUM(Model!$J64:CL64)),0)</f>
        <v>0</v>
      </c>
      <c r="CM64" s="1" t="n">
        <f aca="false">IF($D$8=1,MAX(0,SUM(Model!$J17:CM17)+SUM(Model!$J64:CM64)),0)</f>
        <v>0</v>
      </c>
      <c r="CN64" s="1" t="n">
        <f aca="false">IF($D$8=1,MAX(0,SUM(Model!$J17:CN17)+SUM(Model!$J64:CN64)),0)</f>
        <v>0</v>
      </c>
      <c r="CO64" s="1" t="n">
        <f aca="false">IF($D$8=1,MAX(0,SUM(Model!$J17:CO17)+SUM(Model!$J64:CO64)),0)</f>
        <v>0</v>
      </c>
      <c r="CP64" s="1" t="n">
        <f aca="false">IF($D$8=1,MAX(0,SUM(Model!$J17:CP17)+SUM(Model!$J64:CP64)),0)</f>
        <v>0</v>
      </c>
      <c r="CQ64" s="1" t="n">
        <f aca="false">IF($D$8=1,MAX(0,SUM(Model!$J17:CQ17)+SUM(Model!$J64:CQ64)),0)</f>
        <v>0</v>
      </c>
      <c r="CR64" s="1" t="n">
        <f aca="false">IF($D$8=1,MAX(0,SUM(Model!$J17:CR17)+SUM(Model!$J64:CR64)),0)</f>
        <v>0</v>
      </c>
      <c r="CS64" s="1" t="n">
        <f aca="false">IF($D$8=1,MAX(0,SUM(Model!$J17:CS17)+SUM(Model!$J64:CS64)),0)</f>
        <v>0</v>
      </c>
      <c r="CT64" s="1" t="n">
        <f aca="false">IF($D$8=1,MAX(0,SUM(Model!$J17:CT17)+SUM(Model!$J64:CT64)),0)</f>
        <v>0</v>
      </c>
      <c r="CU64" s="1" t="n">
        <f aca="false">IF($D$8=1,MAX(0,SUM(Model!$J17:CU17)+SUM(Model!$J64:CU64)),0)</f>
        <v>0</v>
      </c>
      <c r="CV64" s="1" t="n">
        <f aca="false">IF($D$8=1,MAX(0,SUM(Model!$J17:CV17)+SUM(Model!$J64:CV64)),0)</f>
        <v>0</v>
      </c>
      <c r="CW64" s="1" t="n">
        <f aca="false">IF($D$8=1,MAX(0,SUM(Model!$J17:CW17)+SUM(Model!$J64:CW64)),0)</f>
        <v>0</v>
      </c>
      <c r="CX64" s="1" t="n">
        <f aca="false">IF($D$8=1,MAX(0,SUM(Model!$J17:CX17)+SUM(Model!$J64:CX64)),0)</f>
        <v>0</v>
      </c>
      <c r="CY64" s="1" t="n">
        <f aca="false">IF($D$8=1,MAX(0,SUM(Model!$J17:CY17)+SUM(Model!$J64:CY64)),0)</f>
        <v>0</v>
      </c>
      <c r="CZ64" s="1" t="n">
        <f aca="false">IF($D$8=1,MAX(0,SUM(Model!$J17:CZ17)+SUM(Model!$J64:CZ64)),0)</f>
        <v>0</v>
      </c>
      <c r="DA64" s="1" t="n">
        <f aca="false">IF($D$8=1,MAX(0,SUM(Model!$J17:DA17)+SUM(Model!$J64:DA64)),0)</f>
        <v>0</v>
      </c>
      <c r="DB64" s="1" t="n">
        <f aca="false">IF($D$8=1,MAX(0,SUM(Model!$J17:DB17)+SUM(Model!$J64:DB64)),0)</f>
        <v>0</v>
      </c>
      <c r="DC64" s="1" t="n">
        <f aca="false">IF($D$8=1,MAX(0,SUM(Model!$J17:DC17)+SUM(Model!$J64:DC64)),0)</f>
        <v>0</v>
      </c>
      <c r="DD64" s="1" t="n">
        <f aca="false">IF($D$8=1,MAX(0,SUM(Model!$J17:DD17)+SUM(Model!$J64:DD64)),0)</f>
        <v>0</v>
      </c>
      <c r="DE64" s="1" t="n">
        <f aca="false">IF($D$8=1,MAX(0,SUM(Model!$J17:DE17)+SUM(Model!$J64:DE64)),0)</f>
        <v>0</v>
      </c>
    </row>
    <row r="65" customFormat="false" ht="13.5" hidden="false" customHeight="true" outlineLevel="0" collapsed="false">
      <c r="A65" s="1" t="str">
        <f aca="false">$B$9</f>
        <v>Francis</v>
      </c>
      <c r="B65" s="1" t="n">
        <v>0</v>
      </c>
      <c r="C65" s="1" t="n">
        <v>0</v>
      </c>
      <c r="D65" s="1" t="n">
        <v>0</v>
      </c>
      <c r="E65" s="1" t="n">
        <v>0</v>
      </c>
      <c r="F65" s="1" t="n">
        <v>0</v>
      </c>
      <c r="G65" s="1" t="n">
        <v>0</v>
      </c>
      <c r="H65" s="1" t="n">
        <v>0</v>
      </c>
      <c r="I65" s="1" t="n">
        <v>0</v>
      </c>
      <c r="J65" s="1" t="n">
        <f aca="false">IF($D$9=1,MAX(0,SUM(Model!$J18:J18)+SUM(Model!$J65:J65)),0)</f>
        <v>0</v>
      </c>
      <c r="K65" s="1" t="n">
        <f aca="false">IF($D$9=1,MAX(0,SUM(Model!$J18:K18)+SUM(Model!$J65:K65)),0)</f>
        <v>0</v>
      </c>
      <c r="L65" s="1" t="n">
        <f aca="false">IF($D$9=1,MAX(0,SUM(Model!$J18:L18)+SUM(Model!$J65:L65)),0)</f>
        <v>0</v>
      </c>
      <c r="M65" s="1" t="n">
        <f aca="false">IF($D$9=1,MAX(0,SUM(Model!$J18:M18)+SUM(Model!$J65:M65)),0)</f>
        <v>0</v>
      </c>
      <c r="N65" s="1" t="n">
        <f aca="false">IF($D$9=1,MAX(0,SUM(Model!$J18:N18)+SUM(Model!$J65:N65)),0)</f>
        <v>0</v>
      </c>
      <c r="O65" s="1" t="n">
        <f aca="false">IF($D$9=1,MAX(0,SUM(Model!$J18:O18)+SUM(Model!$J65:O65)),0)</f>
        <v>0</v>
      </c>
      <c r="P65" s="1" t="n">
        <f aca="false">IF($D$9=1,MAX(0,SUM(Model!$J18:P18)+SUM(Model!$J65:P65)),0)</f>
        <v>0</v>
      </c>
      <c r="Q65" s="1" t="n">
        <f aca="false">IF($D$9=1,MAX(0,SUM(Model!$J18:Q18)+SUM(Model!$J65:Q65)),0)</f>
        <v>0</v>
      </c>
      <c r="R65" s="1" t="n">
        <f aca="false">IF($D$9=1,MAX(0,SUM(Model!$J18:R18)+SUM(Model!$J65:R65)),0)</f>
        <v>0</v>
      </c>
      <c r="S65" s="1" t="n">
        <f aca="false">IF($D$9=1,MAX(0,SUM(Model!$J18:S18)+SUM(Model!$J65:S65)),0)</f>
        <v>0</v>
      </c>
      <c r="T65" s="1" t="n">
        <f aca="false">IF($D$9=1,MAX(0,SUM(Model!$J18:T18)+SUM(Model!$J65:T65)),0)</f>
        <v>0</v>
      </c>
      <c r="U65" s="1" t="n">
        <f aca="false">IF($D$9=1,MAX(0,SUM(Model!$J18:U18)+SUM(Model!$J65:U65)),0)</f>
        <v>0</v>
      </c>
      <c r="V65" s="1" t="n">
        <f aca="false">IF($D$9=1,MAX(0,SUM(Model!$J18:V18)+SUM(Model!$J65:V65)),0)</f>
        <v>0</v>
      </c>
      <c r="W65" s="1" t="n">
        <f aca="false">IF($D$9=1,MAX(0,SUM(Model!$J18:W18)+SUM(Model!$J65:W65)),0)</f>
        <v>0</v>
      </c>
      <c r="X65" s="1" t="n">
        <f aca="false">IF($D$9=1,MAX(0,SUM(Model!$J18:X18)+SUM(Model!$J65:X65)),0)</f>
        <v>0</v>
      </c>
      <c r="Y65" s="1" t="n">
        <f aca="false">IF($D$9=1,MAX(0,SUM(Model!$J18:Y18)+SUM(Model!$J65:Y65)),0)</f>
        <v>0</v>
      </c>
      <c r="Z65" s="1" t="n">
        <f aca="false">IF($D$9=1,MAX(0,SUM(Model!$J18:Z18)+SUM(Model!$J65:Z65)),0)</f>
        <v>0</v>
      </c>
      <c r="AA65" s="1" t="n">
        <f aca="false">IF($D$9=1,MAX(0,SUM(Model!$J18:AA18)+SUM(Model!$J65:AA65)),0)</f>
        <v>0</v>
      </c>
      <c r="AB65" s="1" t="n">
        <f aca="false">IF($D$9=1,MAX(0,SUM(Model!$J18:AB18)+SUM(Model!$J65:AB65)),0)</f>
        <v>0</v>
      </c>
      <c r="AC65" s="1" t="n">
        <f aca="false">IF($D$9=1,MAX(0,SUM(Model!$J18:AC18)+SUM(Model!$J65:AC65)),0)</f>
        <v>0</v>
      </c>
      <c r="AD65" s="1" t="n">
        <f aca="false">IF($D$9=1,MAX(0,SUM(Model!$J18:AD18)+SUM(Model!$J65:AD65)),0)</f>
        <v>0</v>
      </c>
      <c r="AE65" s="1" t="n">
        <f aca="false">IF($D$9=1,MAX(0,SUM(Model!$J18:AE18)+SUM(Model!$J65:AE65)),0)</f>
        <v>0</v>
      </c>
      <c r="AF65" s="1" t="n">
        <f aca="false">IF($D$9=1,MAX(0,SUM(Model!$J18:AF18)+SUM(Model!$J65:AF65)),0)</f>
        <v>0</v>
      </c>
      <c r="AG65" s="1" t="n">
        <f aca="false">IF($D$9=1,MAX(0,SUM(Model!$J18:AG18)+SUM(Model!$J65:AG65)),0)</f>
        <v>0</v>
      </c>
      <c r="AH65" s="1" t="n">
        <f aca="false">IF($D$9=1,MAX(0,SUM(Model!$J18:AH18)+SUM(Model!$J65:AH65)),0)</f>
        <v>0</v>
      </c>
      <c r="AI65" s="1" t="n">
        <f aca="false">IF($D$9=1,MAX(0,SUM(Model!$J18:AI18)+SUM(Model!$J65:AI65)),0)</f>
        <v>0</v>
      </c>
      <c r="AJ65" s="1" t="n">
        <f aca="false">IF($D$9=1,MAX(0,SUM(Model!$J18:AJ18)+SUM(Model!$J65:AJ65)),0)</f>
        <v>0</v>
      </c>
      <c r="AK65" s="1" t="n">
        <f aca="false">IF($D$9=1,MAX(0,SUM(Model!$J18:AK18)+SUM(Model!$J65:AK65)),0)</f>
        <v>0</v>
      </c>
      <c r="AL65" s="1" t="n">
        <f aca="false">IF($D$9=1,MAX(0,SUM(Model!$J18:AL18)+SUM(Model!$J65:AL65)),0)</f>
        <v>0</v>
      </c>
      <c r="AM65" s="1" t="n">
        <f aca="false">IF($D$9=1,MAX(0,SUM(Model!$J18:AM18)+SUM(Model!$J65:AM65)),0)</f>
        <v>0</v>
      </c>
      <c r="AN65" s="1" t="n">
        <f aca="false">IF($D$9=1,MAX(0,SUM(Model!$J18:AN18)+SUM(Model!$J65:AN65)),0)</f>
        <v>0</v>
      </c>
      <c r="AO65" s="1" t="n">
        <f aca="false">IF($D$9=1,MAX(0,SUM(Model!$J18:AO18)+SUM(Model!$J65:AO65)),0)</f>
        <v>0</v>
      </c>
      <c r="AP65" s="1" t="n">
        <f aca="false">IF($D$9=1,MAX(0,SUM(Model!$J18:AP18)+SUM(Model!$J65:AP65)),0)</f>
        <v>0</v>
      </c>
      <c r="AQ65" s="1" t="n">
        <f aca="false">IF($D$9=1,MAX(0,SUM(Model!$J18:AQ18)+SUM(Model!$J65:AQ65)),0)</f>
        <v>0</v>
      </c>
      <c r="AR65" s="1" t="n">
        <f aca="false">IF($D$9=1,MAX(0,SUM(Model!$J18:AR18)+SUM(Model!$J65:AR65)),0)</f>
        <v>0</v>
      </c>
      <c r="AS65" s="1" t="n">
        <f aca="false">IF($D$9=1,MAX(0,SUM(Model!$J18:AS18)+SUM(Model!$J65:AS65)),0)</f>
        <v>0</v>
      </c>
      <c r="AT65" s="1" t="n">
        <f aca="false">IF($D$9=1,MAX(0,SUM(Model!$J18:AT18)+SUM(Model!$J65:AT65)),0)</f>
        <v>0</v>
      </c>
      <c r="AU65" s="1" t="n">
        <f aca="false">IF($D$9=1,MAX(0,SUM(Model!$J18:AU18)+SUM(Model!$J65:AU65)),0)</f>
        <v>0</v>
      </c>
      <c r="AV65" s="1" t="n">
        <f aca="false">IF($D$9=1,MAX(0,SUM(Model!$J18:AV18)+SUM(Model!$J65:AV65)),0)</f>
        <v>0</v>
      </c>
      <c r="AW65" s="1" t="n">
        <f aca="false">IF($D$9=1,MAX(0,SUM(Model!$J18:AW18)+SUM(Model!$J65:AW65)),0)</f>
        <v>0</v>
      </c>
      <c r="AX65" s="1" t="n">
        <f aca="false">IF($D$9=1,MAX(0,SUM(Model!$J18:AX18)+SUM(Model!$J65:AX65)),0)</f>
        <v>0</v>
      </c>
      <c r="AY65" s="1" t="n">
        <f aca="false">IF($D$9=1,MAX(0,SUM(Model!$J18:AY18)+SUM(Model!$J65:AY65)),0)</f>
        <v>0</v>
      </c>
      <c r="AZ65" s="1" t="n">
        <f aca="false">IF($D$9=1,MAX(0,SUM(Model!$J18:AZ18)+SUM(Model!$J65:AZ65)),0)</f>
        <v>0</v>
      </c>
      <c r="BA65" s="1" t="n">
        <f aca="false">IF($D$9=1,MAX(0,SUM(Model!$J18:BA18)+SUM(Model!$J65:BA65)),0)</f>
        <v>0</v>
      </c>
      <c r="BB65" s="1" t="n">
        <f aca="false">IF($D$9=1,MAX(0,SUM(Model!$J18:BB18)+SUM(Model!$J65:BB65)),0)</f>
        <v>0</v>
      </c>
      <c r="BC65" s="1" t="n">
        <f aca="false">IF($D$9=1,MAX(0,SUM(Model!$J18:BC18)+SUM(Model!$J65:BC65)),0)</f>
        <v>0</v>
      </c>
      <c r="BD65" s="1" t="n">
        <f aca="false">IF($D$9=1,MAX(0,SUM(Model!$J18:BD18)+SUM(Model!$J65:BD65)),0)</f>
        <v>0</v>
      </c>
      <c r="BE65" s="1" t="n">
        <f aca="false">IF($D$9=1,MAX(0,SUM(Model!$J18:BE18)+SUM(Model!$J65:BE65)),0)</f>
        <v>0</v>
      </c>
      <c r="BF65" s="1" t="n">
        <f aca="false">IF($D$9=1,MAX(0,SUM(Model!$J18:BF18)+SUM(Model!$J65:BF65)),0)</f>
        <v>0</v>
      </c>
      <c r="BG65" s="1" t="n">
        <f aca="false">IF($D$9=1,MAX(0,SUM(Model!$J18:BG18)+SUM(Model!$J65:BG65)),0)</f>
        <v>0</v>
      </c>
      <c r="BH65" s="1" t="n">
        <f aca="false">IF($D$9=1,MAX(0,SUM(Model!$J18:BH18)+SUM(Model!$J65:BH65)),0)</f>
        <v>0</v>
      </c>
      <c r="BI65" s="1" t="n">
        <f aca="false">IF($D$9=1,MAX(0,SUM(Model!$J18:BI18)+SUM(Model!$J65:BI65)),0)</f>
        <v>0</v>
      </c>
      <c r="BJ65" s="1" t="n">
        <f aca="false">IF($D$9=1,MAX(0,SUM(Model!$J18:BJ18)+SUM(Model!$J65:BJ65)),0)</f>
        <v>0</v>
      </c>
      <c r="BK65" s="1" t="n">
        <f aca="false">IF($D$9=1,MAX(0,SUM(Model!$J18:BK18)+SUM(Model!$J65:BK65)),0)</f>
        <v>0</v>
      </c>
      <c r="BL65" s="1" t="n">
        <f aca="false">IF($D$9=1,MAX(0,SUM(Model!$J18:BL18)+SUM(Model!$J65:BL65)),0)</f>
        <v>0</v>
      </c>
      <c r="BM65" s="1" t="n">
        <f aca="false">IF($D$9=1,MAX(0,SUM(Model!$J18:BM18)+SUM(Model!$J65:BM65)),0)</f>
        <v>0</v>
      </c>
      <c r="BN65" s="1" t="n">
        <f aca="false">IF($D$9=1,MAX(0,SUM(Model!$J18:BN18)+SUM(Model!$J65:BN65)),0)</f>
        <v>0</v>
      </c>
      <c r="BO65" s="1" t="n">
        <f aca="false">IF($D$9=1,MAX(0,SUM(Model!$J18:BO18)+SUM(Model!$J65:BO65)),0)</f>
        <v>0</v>
      </c>
      <c r="BP65" s="1" t="n">
        <f aca="false">IF($D$9=1,MAX(0,SUM(Model!$J18:BP18)+SUM(Model!$J65:BP65)),0)</f>
        <v>0</v>
      </c>
      <c r="BQ65" s="1" t="n">
        <f aca="false">IF($D$9=1,MAX(0,SUM(Model!$J18:BQ18)+SUM(Model!$J65:BQ65)),0)</f>
        <v>0</v>
      </c>
      <c r="BR65" s="1" t="n">
        <f aca="false">IF($D$9=1,MAX(0,SUM(Model!$J18:BR18)+SUM(Model!$J65:BR65)),0)</f>
        <v>0</v>
      </c>
      <c r="BS65" s="1" t="n">
        <f aca="false">IF($D$9=1,MAX(0,SUM(Model!$J18:BS18)+SUM(Model!$J65:BS65)),0)</f>
        <v>0</v>
      </c>
      <c r="BT65" s="1" t="n">
        <f aca="false">IF($D$9=1,MAX(0,SUM(Model!$J18:BT18)+SUM(Model!$J65:BT65)),0)</f>
        <v>0</v>
      </c>
      <c r="BU65" s="1" t="n">
        <f aca="false">IF($D$9=1,MAX(0,SUM(Model!$J18:BU18)+SUM(Model!$J65:BU65)),0)</f>
        <v>0</v>
      </c>
      <c r="BV65" s="1" t="n">
        <f aca="false">IF($D$9=1,MAX(0,SUM(Model!$J18:BV18)+SUM(Model!$J65:BV65)),0)</f>
        <v>0</v>
      </c>
      <c r="BW65" s="1" t="n">
        <f aca="false">IF($D$9=1,MAX(0,SUM(Model!$J18:BW18)+SUM(Model!$J65:BW65)),0)</f>
        <v>0</v>
      </c>
      <c r="BX65" s="1" t="n">
        <f aca="false">IF($D$9=1,MAX(0,SUM(Model!$J18:BX18)+SUM(Model!$J65:BX65)),0)</f>
        <v>0</v>
      </c>
      <c r="BY65" s="1" t="n">
        <f aca="false">IF($D$9=1,MAX(0,SUM(Model!$J18:BY18)+SUM(Model!$J65:BY65)),0)</f>
        <v>0</v>
      </c>
      <c r="BZ65" s="1" t="n">
        <f aca="false">IF($D$9=1,MAX(0,SUM(Model!$J18:BZ18)+SUM(Model!$J65:BZ65)),0)</f>
        <v>0</v>
      </c>
      <c r="CA65" s="1" t="n">
        <f aca="false">IF($D$9=1,MAX(0,SUM(Model!$J18:CA18)+SUM(Model!$J65:CA65)),0)</f>
        <v>0</v>
      </c>
      <c r="CB65" s="1" t="n">
        <f aca="false">IF($D$9=1,MAX(0,SUM(Model!$J18:CB18)+SUM(Model!$J65:CB65)),0)</f>
        <v>0</v>
      </c>
      <c r="CC65" s="1" t="n">
        <f aca="false">IF($D$9=1,MAX(0,SUM(Model!$J18:CC18)+SUM(Model!$J65:CC65)),0)</f>
        <v>0</v>
      </c>
      <c r="CD65" s="1" t="n">
        <f aca="false">IF($D$9=1,MAX(0,SUM(Model!$J18:CD18)+SUM(Model!$J65:CD65)),0)</f>
        <v>0</v>
      </c>
      <c r="CE65" s="1" t="n">
        <f aca="false">IF($D$9=1,MAX(0,SUM(Model!$J18:CE18)+SUM(Model!$J65:CE65)),0)</f>
        <v>0</v>
      </c>
      <c r="CF65" s="1" t="n">
        <f aca="false">IF($D$9=1,MAX(0,SUM(Model!$J18:CF18)+SUM(Model!$J65:CF65)),0)</f>
        <v>0</v>
      </c>
      <c r="CG65" s="1" t="n">
        <f aca="false">IF($D$9=1,MAX(0,SUM(Model!$J18:CG18)+SUM(Model!$J65:CG65)),0)</f>
        <v>0</v>
      </c>
      <c r="CH65" s="1" t="n">
        <f aca="false">IF($D$9=1,MAX(0,SUM(Model!$J18:CH18)+SUM(Model!$J65:CH65)),0)</f>
        <v>0</v>
      </c>
      <c r="CI65" s="1" t="n">
        <f aca="false">IF($D$9=1,MAX(0,SUM(Model!$J18:CI18)+SUM(Model!$J65:CI65)),0)</f>
        <v>0</v>
      </c>
      <c r="CJ65" s="1" t="n">
        <f aca="false">IF($D$9=1,MAX(0,SUM(Model!$J18:CJ18)+SUM(Model!$J65:CJ65)),0)</f>
        <v>0</v>
      </c>
      <c r="CK65" s="1" t="n">
        <f aca="false">IF($D$9=1,MAX(0,SUM(Model!$J18:CK18)+SUM(Model!$J65:CK65)),0)</f>
        <v>0</v>
      </c>
      <c r="CL65" s="1" t="n">
        <f aca="false">IF($D$9=1,MAX(0,SUM(Model!$J18:CL18)+SUM(Model!$J65:CL65)),0)</f>
        <v>0</v>
      </c>
      <c r="CM65" s="1" t="n">
        <f aca="false">IF($D$9=1,MAX(0,SUM(Model!$J18:CM18)+SUM(Model!$J65:CM65)),0)</f>
        <v>0</v>
      </c>
      <c r="CN65" s="1" t="n">
        <f aca="false">IF($D$9=1,MAX(0,SUM(Model!$J18:CN18)+SUM(Model!$J65:CN65)),0)</f>
        <v>0</v>
      </c>
      <c r="CO65" s="1" t="n">
        <f aca="false">IF($D$9=1,MAX(0,SUM(Model!$J18:CO18)+SUM(Model!$J65:CO65)),0)</f>
        <v>0</v>
      </c>
      <c r="CP65" s="1" t="n">
        <f aca="false">IF($D$9=1,MAX(0,SUM(Model!$J18:CP18)+SUM(Model!$J65:CP65)),0)</f>
        <v>0</v>
      </c>
      <c r="CQ65" s="1" t="n">
        <f aca="false">IF($D$9=1,MAX(0,SUM(Model!$J18:CQ18)+SUM(Model!$J65:CQ65)),0)</f>
        <v>0</v>
      </c>
      <c r="CR65" s="1" t="n">
        <f aca="false">IF($D$9=1,MAX(0,SUM(Model!$J18:CR18)+SUM(Model!$J65:CR65)),0)</f>
        <v>0</v>
      </c>
      <c r="CS65" s="1" t="n">
        <f aca="false">IF($D$9=1,MAX(0,SUM(Model!$J18:CS18)+SUM(Model!$J65:CS65)),0)</f>
        <v>0</v>
      </c>
      <c r="CT65" s="1" t="n">
        <f aca="false">IF($D$9=1,MAX(0,SUM(Model!$J18:CT18)+SUM(Model!$J65:CT65)),0)</f>
        <v>0</v>
      </c>
      <c r="CU65" s="1" t="n">
        <f aca="false">IF($D$9=1,MAX(0,SUM(Model!$J18:CU18)+SUM(Model!$J65:CU65)),0)</f>
        <v>0</v>
      </c>
      <c r="CV65" s="1" t="n">
        <f aca="false">IF($D$9=1,MAX(0,SUM(Model!$J18:CV18)+SUM(Model!$J65:CV65)),0)</f>
        <v>0</v>
      </c>
      <c r="CW65" s="1" t="n">
        <f aca="false">IF($D$9=1,MAX(0,SUM(Model!$J18:CW18)+SUM(Model!$J65:CW65)),0)</f>
        <v>0</v>
      </c>
      <c r="CX65" s="1" t="n">
        <f aca="false">IF($D$9=1,MAX(0,SUM(Model!$J18:CX18)+SUM(Model!$J65:CX65)),0)</f>
        <v>0</v>
      </c>
      <c r="CY65" s="1" t="n">
        <f aca="false">IF($D$9=1,MAX(0,SUM(Model!$J18:CY18)+SUM(Model!$J65:CY65)),0)</f>
        <v>0</v>
      </c>
      <c r="CZ65" s="1" t="n">
        <f aca="false">IF($D$9=1,MAX(0,SUM(Model!$J18:CZ18)+SUM(Model!$J65:CZ65)),0)</f>
        <v>0</v>
      </c>
      <c r="DA65" s="1" t="n">
        <f aca="false">IF($D$9=1,MAX(0,SUM(Model!$J18:DA18)+SUM(Model!$J65:DA65)),0)</f>
        <v>0</v>
      </c>
      <c r="DB65" s="1" t="n">
        <f aca="false">IF($D$9=1,MAX(0,SUM(Model!$J18:DB18)+SUM(Model!$J65:DB65)),0)</f>
        <v>0</v>
      </c>
      <c r="DC65" s="1" t="n">
        <f aca="false">IF($D$9=1,MAX(0,SUM(Model!$J18:DC18)+SUM(Model!$J65:DC65)),0)</f>
        <v>0</v>
      </c>
      <c r="DD65" s="1" t="n">
        <f aca="false">IF($D$9=1,MAX(0,SUM(Model!$J18:DD18)+SUM(Model!$J65:DD65)),0)</f>
        <v>0</v>
      </c>
      <c r="DE65" s="1" t="n">
        <f aca="false">IF($D$9=1,MAX(0,SUM(Model!$J18:DE18)+SUM(Model!$J65:DE65)),0)</f>
        <v>0</v>
      </c>
    </row>
    <row r="66" customFormat="false" ht="13.5" hidden="false" customHeight="true" outlineLevel="0" collapsed="false">
      <c r="A66" s="1" t="str">
        <f aca="false">$B$10</f>
        <v>Lexington</v>
      </c>
      <c r="B66" s="1" t="n">
        <v>0</v>
      </c>
      <c r="C66" s="1" t="n">
        <v>0</v>
      </c>
      <c r="D66" s="1" t="n">
        <v>0</v>
      </c>
      <c r="E66" s="1" t="n">
        <v>0</v>
      </c>
      <c r="F66" s="1" t="n">
        <v>0</v>
      </c>
      <c r="G66" s="1" t="n">
        <v>0</v>
      </c>
      <c r="H66" s="1" t="n">
        <v>0</v>
      </c>
      <c r="I66" s="1" t="n">
        <v>0</v>
      </c>
      <c r="J66" s="1" t="n">
        <f aca="false">IF($D$10=1,MAX(0,SUM(Model!$J19:J19)+SUM(Model!$J66:J66)),0)</f>
        <v>0</v>
      </c>
      <c r="K66" s="1" t="n">
        <f aca="false">IF($D$10=1,MAX(0,SUM(Model!$J19:K19)+SUM(Model!$J66:K66)),0)</f>
        <v>0</v>
      </c>
      <c r="L66" s="1" t="n">
        <f aca="false">IF($D$10=1,MAX(0,SUM(Model!$J19:L19)+SUM(Model!$J66:L66)),0)</f>
        <v>0</v>
      </c>
      <c r="M66" s="1" t="n">
        <f aca="false">IF($D$10=1,MAX(0,SUM(Model!$J19:M19)+SUM(Model!$J66:M66)),0)</f>
        <v>0</v>
      </c>
      <c r="N66" s="1" t="n">
        <f aca="false">IF($D$10=1,MAX(0,SUM(Model!$J19:N19)+SUM(Model!$J66:N66)),0)</f>
        <v>0</v>
      </c>
      <c r="O66" s="1" t="n">
        <f aca="false">IF($D$10=1,MAX(0,SUM(Model!$J19:O19)+SUM(Model!$J66:O66)),0)</f>
        <v>0</v>
      </c>
      <c r="P66" s="1" t="n">
        <f aca="false">IF($D$10=1,MAX(0,SUM(Model!$J19:P19)+SUM(Model!$J66:P66)),0)</f>
        <v>0</v>
      </c>
      <c r="Q66" s="1" t="n">
        <f aca="false">IF($D$10=1,MAX(0,SUM(Model!$J19:Q19)+SUM(Model!$J66:Q66)),0)</f>
        <v>0</v>
      </c>
      <c r="R66" s="1" t="n">
        <f aca="false">IF($D$10=1,MAX(0,SUM(Model!$J19:R19)+SUM(Model!$J66:R66)),0)</f>
        <v>0</v>
      </c>
      <c r="S66" s="1" t="n">
        <f aca="false">IF($D$10=1,MAX(0,SUM(Model!$J19:S19)+SUM(Model!$J66:S66)),0)</f>
        <v>0</v>
      </c>
      <c r="T66" s="1" t="n">
        <f aca="false">IF($D$10=1,MAX(0,SUM(Model!$J19:T19)+SUM(Model!$J66:T66)),0)</f>
        <v>0</v>
      </c>
      <c r="U66" s="1" t="n">
        <f aca="false">IF($D$10=1,MAX(0,SUM(Model!$J19:U19)+SUM(Model!$J66:U66)),0)</f>
        <v>0</v>
      </c>
      <c r="V66" s="1" t="n">
        <f aca="false">IF($D$10=1,MAX(0,SUM(Model!$J19:V19)+SUM(Model!$J66:V66)),0)</f>
        <v>0</v>
      </c>
      <c r="W66" s="1" t="n">
        <f aca="false">IF($D$10=1,MAX(0,SUM(Model!$J19:W19)+SUM(Model!$J66:W66)),0)</f>
        <v>0</v>
      </c>
      <c r="X66" s="1" t="n">
        <f aca="false">IF($D$10=1,MAX(0,SUM(Model!$J19:X19)+SUM(Model!$J66:X66)),0)</f>
        <v>0</v>
      </c>
      <c r="Y66" s="1" t="n">
        <f aca="false">IF($D$10=1,MAX(0,SUM(Model!$J19:Y19)+SUM(Model!$J66:Y66)),0)</f>
        <v>0</v>
      </c>
      <c r="Z66" s="1" t="n">
        <f aca="false">IF($D$10=1,MAX(0,SUM(Model!$J19:Z19)+SUM(Model!$J66:Z66)),0)</f>
        <v>0</v>
      </c>
      <c r="AA66" s="1" t="n">
        <f aca="false">IF($D$10=1,MAX(0,SUM(Model!$J19:AA19)+SUM(Model!$J66:AA66)),0)</f>
        <v>0</v>
      </c>
      <c r="AB66" s="1" t="n">
        <f aca="false">IF($D$10=1,MAX(0,SUM(Model!$J19:AB19)+SUM(Model!$J66:AB66)),0)</f>
        <v>0</v>
      </c>
      <c r="AC66" s="1" t="n">
        <f aca="false">IF($D$10=1,MAX(0,SUM(Model!$J19:AC19)+SUM(Model!$J66:AC66)),0)</f>
        <v>0</v>
      </c>
      <c r="AD66" s="1" t="n">
        <f aca="false">IF($D$10=1,MAX(0,SUM(Model!$J19:AD19)+SUM(Model!$J66:AD66)),0)</f>
        <v>0</v>
      </c>
      <c r="AE66" s="1" t="n">
        <f aca="false">IF($D$10=1,MAX(0,SUM(Model!$J19:AE19)+SUM(Model!$J66:AE66)),0)</f>
        <v>0</v>
      </c>
      <c r="AF66" s="1" t="n">
        <f aca="false">IF($D$10=1,MAX(0,SUM(Model!$J19:AF19)+SUM(Model!$J66:AF66)),0)</f>
        <v>0</v>
      </c>
      <c r="AG66" s="1" t="n">
        <f aca="false">IF($D$10=1,MAX(0,SUM(Model!$J19:AG19)+SUM(Model!$J66:AG66)),0)</f>
        <v>0</v>
      </c>
      <c r="AH66" s="1" t="n">
        <f aca="false">IF($D$10=1,MAX(0,SUM(Model!$J19:AH19)+SUM(Model!$J66:AH66)),0)</f>
        <v>0</v>
      </c>
      <c r="AI66" s="1" t="n">
        <f aca="false">IF($D$10=1,MAX(0,SUM(Model!$J19:AI19)+SUM(Model!$J66:AI66)),0)</f>
        <v>0</v>
      </c>
      <c r="AJ66" s="1" t="n">
        <f aca="false">IF($D$10=1,MAX(0,SUM(Model!$J19:AJ19)+SUM(Model!$J66:AJ66)),0)</f>
        <v>0</v>
      </c>
      <c r="AK66" s="1" t="n">
        <f aca="false">IF($D$10=1,MAX(0,SUM(Model!$J19:AK19)+SUM(Model!$J66:AK66)),0)</f>
        <v>0</v>
      </c>
      <c r="AL66" s="1" t="n">
        <f aca="false">IF($D$10=1,MAX(0,SUM(Model!$J19:AL19)+SUM(Model!$J66:AL66)),0)</f>
        <v>0</v>
      </c>
      <c r="AM66" s="1" t="n">
        <f aca="false">IF($D$10=1,MAX(0,SUM(Model!$J19:AM19)+SUM(Model!$J66:AM66)),0)</f>
        <v>0</v>
      </c>
      <c r="AN66" s="1" t="n">
        <f aca="false">IF($D$10=1,MAX(0,SUM(Model!$J19:AN19)+SUM(Model!$J66:AN66)),0)</f>
        <v>0</v>
      </c>
      <c r="AO66" s="1" t="n">
        <f aca="false">IF($D$10=1,MAX(0,SUM(Model!$J19:AO19)+SUM(Model!$J66:AO66)),0)</f>
        <v>0</v>
      </c>
      <c r="AP66" s="1" t="n">
        <f aca="false">IF($D$10=1,MAX(0,SUM(Model!$J19:AP19)+SUM(Model!$J66:AP66)),0)</f>
        <v>0</v>
      </c>
      <c r="AQ66" s="1" t="n">
        <f aca="false">IF($D$10=1,MAX(0,SUM(Model!$J19:AQ19)+SUM(Model!$J66:AQ66)),0)</f>
        <v>0</v>
      </c>
      <c r="AR66" s="1" t="n">
        <f aca="false">IF($D$10=1,MAX(0,SUM(Model!$J19:AR19)+SUM(Model!$J66:AR66)),0)</f>
        <v>0</v>
      </c>
      <c r="AS66" s="1" t="n">
        <f aca="false">IF($D$10=1,MAX(0,SUM(Model!$J19:AS19)+SUM(Model!$J66:AS66)),0)</f>
        <v>0</v>
      </c>
      <c r="AT66" s="1" t="n">
        <f aca="false">IF($D$10=1,MAX(0,SUM(Model!$J19:AT19)+SUM(Model!$J66:AT66)),0)</f>
        <v>0</v>
      </c>
      <c r="AU66" s="1" t="n">
        <f aca="false">IF($D$10=1,MAX(0,SUM(Model!$J19:AU19)+SUM(Model!$J66:AU66)),0)</f>
        <v>0</v>
      </c>
      <c r="AV66" s="1" t="n">
        <f aca="false">IF($D$10=1,MAX(0,SUM(Model!$J19:AV19)+SUM(Model!$J66:AV66)),0)</f>
        <v>0</v>
      </c>
      <c r="AW66" s="1" t="n">
        <f aca="false">IF($D$10=1,MAX(0,SUM(Model!$J19:AW19)+SUM(Model!$J66:AW66)),0)</f>
        <v>0</v>
      </c>
      <c r="AX66" s="1" t="n">
        <f aca="false">IF($D$10=1,MAX(0,SUM(Model!$J19:AX19)+SUM(Model!$J66:AX66)),0)</f>
        <v>0</v>
      </c>
      <c r="AY66" s="1" t="n">
        <f aca="false">IF($D$10=1,MAX(0,SUM(Model!$J19:AY19)+SUM(Model!$J66:AY66)),0)</f>
        <v>0</v>
      </c>
      <c r="AZ66" s="1" t="n">
        <f aca="false">IF($D$10=1,MAX(0,SUM(Model!$J19:AZ19)+SUM(Model!$J66:AZ66)),0)</f>
        <v>0</v>
      </c>
      <c r="BA66" s="1" t="n">
        <f aca="false">IF($D$10=1,MAX(0,SUM(Model!$J19:BA19)+SUM(Model!$J66:BA66)),0)</f>
        <v>0</v>
      </c>
      <c r="BB66" s="1" t="n">
        <f aca="false">IF($D$10=1,MAX(0,SUM(Model!$J19:BB19)+SUM(Model!$J66:BB66)),0)</f>
        <v>0</v>
      </c>
      <c r="BC66" s="1" t="n">
        <f aca="false">IF($D$10=1,MAX(0,SUM(Model!$J19:BC19)+SUM(Model!$J66:BC66)),0)</f>
        <v>0</v>
      </c>
      <c r="BD66" s="1" t="n">
        <f aca="false">IF($D$10=1,MAX(0,SUM(Model!$J19:BD19)+SUM(Model!$J66:BD66)),0)</f>
        <v>0</v>
      </c>
      <c r="BE66" s="1" t="n">
        <f aca="false">IF($D$10=1,MAX(0,SUM(Model!$J19:BE19)+SUM(Model!$J66:BE66)),0)</f>
        <v>0</v>
      </c>
      <c r="BF66" s="1" t="n">
        <f aca="false">IF($D$10=1,MAX(0,SUM(Model!$J19:BF19)+SUM(Model!$J66:BF66)),0)</f>
        <v>0</v>
      </c>
      <c r="BG66" s="1" t="n">
        <f aca="false">IF($D$10=1,MAX(0,SUM(Model!$J19:BG19)+SUM(Model!$J66:BG66)),0)</f>
        <v>0</v>
      </c>
      <c r="BH66" s="1" t="n">
        <f aca="false">IF($D$10=1,MAX(0,SUM(Model!$J19:BH19)+SUM(Model!$J66:BH66)),0)</f>
        <v>0</v>
      </c>
      <c r="BI66" s="1" t="n">
        <f aca="false">IF($D$10=1,MAX(0,SUM(Model!$J19:BI19)+SUM(Model!$J66:BI66)),0)</f>
        <v>0</v>
      </c>
      <c r="BJ66" s="1" t="n">
        <f aca="false">IF($D$10=1,MAX(0,SUM(Model!$J19:BJ19)+SUM(Model!$J66:BJ66)),0)</f>
        <v>0</v>
      </c>
      <c r="BK66" s="1" t="n">
        <f aca="false">IF($D$10=1,MAX(0,SUM(Model!$J19:BK19)+SUM(Model!$J66:BK66)),0)</f>
        <v>0</v>
      </c>
      <c r="BL66" s="1" t="n">
        <f aca="false">IF($D$10=1,MAX(0,SUM(Model!$J19:BL19)+SUM(Model!$J66:BL66)),0)</f>
        <v>0</v>
      </c>
      <c r="BM66" s="1" t="n">
        <f aca="false">IF($D$10=1,MAX(0,SUM(Model!$J19:BM19)+SUM(Model!$J66:BM66)),0)</f>
        <v>0</v>
      </c>
      <c r="BN66" s="1" t="n">
        <f aca="false">IF($D$10=1,MAX(0,SUM(Model!$J19:BN19)+SUM(Model!$J66:BN66)),0)</f>
        <v>0</v>
      </c>
      <c r="BO66" s="1" t="n">
        <f aca="false">IF($D$10=1,MAX(0,SUM(Model!$J19:BO19)+SUM(Model!$J66:BO66)),0)</f>
        <v>0</v>
      </c>
      <c r="BP66" s="1" t="n">
        <f aca="false">IF($D$10=1,MAX(0,SUM(Model!$J19:BP19)+SUM(Model!$J66:BP66)),0)</f>
        <v>0</v>
      </c>
      <c r="BQ66" s="1" t="n">
        <f aca="false">IF($D$10=1,MAX(0,SUM(Model!$J19:BQ19)+SUM(Model!$J66:BQ66)),0)</f>
        <v>0</v>
      </c>
      <c r="BR66" s="1" t="n">
        <f aca="false">IF($D$10=1,MAX(0,SUM(Model!$J19:BR19)+SUM(Model!$J66:BR66)),0)</f>
        <v>0</v>
      </c>
      <c r="BS66" s="1" t="n">
        <f aca="false">IF($D$10=1,MAX(0,SUM(Model!$J19:BS19)+SUM(Model!$J66:BS66)),0)</f>
        <v>0</v>
      </c>
      <c r="BT66" s="1" t="n">
        <f aca="false">IF($D$10=1,MAX(0,SUM(Model!$J19:BT19)+SUM(Model!$J66:BT66)),0)</f>
        <v>0</v>
      </c>
      <c r="BU66" s="1" t="n">
        <f aca="false">IF($D$10=1,MAX(0,SUM(Model!$J19:BU19)+SUM(Model!$J66:BU66)),0)</f>
        <v>0</v>
      </c>
      <c r="BV66" s="1" t="n">
        <f aca="false">IF($D$10=1,MAX(0,SUM(Model!$J19:BV19)+SUM(Model!$J66:BV66)),0)</f>
        <v>0</v>
      </c>
      <c r="BW66" s="1" t="n">
        <f aca="false">IF($D$10=1,MAX(0,SUM(Model!$J19:BW19)+SUM(Model!$J66:BW66)),0)</f>
        <v>0</v>
      </c>
      <c r="BX66" s="1" t="n">
        <f aca="false">IF($D$10=1,MAX(0,SUM(Model!$J19:BX19)+SUM(Model!$J66:BX66)),0)</f>
        <v>0</v>
      </c>
      <c r="BY66" s="1" t="n">
        <f aca="false">IF($D$10=1,MAX(0,SUM(Model!$J19:BY19)+SUM(Model!$J66:BY66)),0)</f>
        <v>0</v>
      </c>
      <c r="BZ66" s="1" t="n">
        <f aca="false">IF($D$10=1,MAX(0,SUM(Model!$J19:BZ19)+SUM(Model!$J66:BZ66)),0)</f>
        <v>0</v>
      </c>
      <c r="CA66" s="1" t="n">
        <f aca="false">IF($D$10=1,MAX(0,SUM(Model!$J19:CA19)+SUM(Model!$J66:CA66)),0)</f>
        <v>0</v>
      </c>
      <c r="CB66" s="1" t="n">
        <f aca="false">IF($D$10=1,MAX(0,SUM(Model!$J19:CB19)+SUM(Model!$J66:CB66)),0)</f>
        <v>0</v>
      </c>
      <c r="CC66" s="1" t="n">
        <f aca="false">IF($D$10=1,MAX(0,SUM(Model!$J19:CC19)+SUM(Model!$J66:CC66)),0)</f>
        <v>0</v>
      </c>
      <c r="CD66" s="1" t="n">
        <f aca="false">IF($D$10=1,MAX(0,SUM(Model!$J19:CD19)+SUM(Model!$J66:CD66)),0)</f>
        <v>0</v>
      </c>
      <c r="CE66" s="1" t="n">
        <f aca="false">IF($D$10=1,MAX(0,SUM(Model!$J19:CE19)+SUM(Model!$J66:CE66)),0)</f>
        <v>0</v>
      </c>
      <c r="CF66" s="1" t="n">
        <f aca="false">IF($D$10=1,MAX(0,SUM(Model!$J19:CF19)+SUM(Model!$J66:CF66)),0)</f>
        <v>0</v>
      </c>
      <c r="CG66" s="1" t="n">
        <f aca="false">IF($D$10=1,MAX(0,SUM(Model!$J19:CG19)+SUM(Model!$J66:CG66)),0)</f>
        <v>0</v>
      </c>
      <c r="CH66" s="1" t="n">
        <f aca="false">IF($D$10=1,MAX(0,SUM(Model!$J19:CH19)+SUM(Model!$J66:CH66)),0)</f>
        <v>0</v>
      </c>
      <c r="CI66" s="1" t="n">
        <f aca="false">IF($D$10=1,MAX(0,SUM(Model!$J19:CI19)+SUM(Model!$J66:CI66)),0)</f>
        <v>0</v>
      </c>
      <c r="CJ66" s="1" t="n">
        <f aca="false">IF($D$10=1,MAX(0,SUM(Model!$J19:CJ19)+SUM(Model!$J66:CJ66)),0)</f>
        <v>0</v>
      </c>
      <c r="CK66" s="1" t="n">
        <f aca="false">IF($D$10=1,MAX(0,SUM(Model!$J19:CK19)+SUM(Model!$J66:CK66)),0)</f>
        <v>0</v>
      </c>
      <c r="CL66" s="1" t="n">
        <f aca="false">IF($D$10=1,MAX(0,SUM(Model!$J19:CL19)+SUM(Model!$J66:CL66)),0)</f>
        <v>0</v>
      </c>
      <c r="CM66" s="1" t="n">
        <f aca="false">IF($D$10=1,MAX(0,SUM(Model!$J19:CM19)+SUM(Model!$J66:CM66)),0)</f>
        <v>0</v>
      </c>
      <c r="CN66" s="1" t="n">
        <f aca="false">IF($D$10=1,MAX(0,SUM(Model!$J19:CN19)+SUM(Model!$J66:CN66)),0)</f>
        <v>0</v>
      </c>
      <c r="CO66" s="1" t="n">
        <f aca="false">IF($D$10=1,MAX(0,SUM(Model!$J19:CO19)+SUM(Model!$J66:CO66)),0)</f>
        <v>0</v>
      </c>
      <c r="CP66" s="1" t="n">
        <f aca="false">IF($D$10=1,MAX(0,SUM(Model!$J19:CP19)+SUM(Model!$J66:CP66)),0)</f>
        <v>0</v>
      </c>
      <c r="CQ66" s="1" t="n">
        <f aca="false">IF($D$10=1,MAX(0,SUM(Model!$J19:CQ19)+SUM(Model!$J66:CQ66)),0)</f>
        <v>0</v>
      </c>
      <c r="CR66" s="1" t="n">
        <f aca="false">IF($D$10=1,MAX(0,SUM(Model!$J19:CR19)+SUM(Model!$J66:CR66)),0)</f>
        <v>0</v>
      </c>
      <c r="CS66" s="1" t="n">
        <f aca="false">IF($D$10=1,MAX(0,SUM(Model!$J19:CS19)+SUM(Model!$J66:CS66)),0)</f>
        <v>0</v>
      </c>
      <c r="CT66" s="1" t="n">
        <f aca="false">IF($D$10=1,MAX(0,SUM(Model!$J19:CT19)+SUM(Model!$J66:CT66)),0)</f>
        <v>0</v>
      </c>
      <c r="CU66" s="1" t="n">
        <f aca="false">IF($D$10=1,MAX(0,SUM(Model!$J19:CU19)+SUM(Model!$J66:CU66)),0)</f>
        <v>0</v>
      </c>
      <c r="CV66" s="1" t="n">
        <f aca="false">IF($D$10=1,MAX(0,SUM(Model!$J19:CV19)+SUM(Model!$J66:CV66)),0)</f>
        <v>0</v>
      </c>
      <c r="CW66" s="1" t="n">
        <f aca="false">IF($D$10=1,MAX(0,SUM(Model!$J19:CW19)+SUM(Model!$J66:CW66)),0)</f>
        <v>0</v>
      </c>
      <c r="CX66" s="1" t="n">
        <f aca="false">IF($D$10=1,MAX(0,SUM(Model!$J19:CX19)+SUM(Model!$J66:CX66)),0)</f>
        <v>0</v>
      </c>
      <c r="CY66" s="1" t="n">
        <f aca="false">IF($D$10=1,MAX(0,SUM(Model!$J19:CY19)+SUM(Model!$J66:CY66)),0)</f>
        <v>0</v>
      </c>
      <c r="CZ66" s="1" t="n">
        <f aca="false">IF($D$10=1,MAX(0,SUM(Model!$J19:CZ19)+SUM(Model!$J66:CZ66)),0)</f>
        <v>0</v>
      </c>
      <c r="DA66" s="1" t="n">
        <f aca="false">IF($D$10=1,MAX(0,SUM(Model!$J19:DA19)+SUM(Model!$J66:DA66)),0)</f>
        <v>0</v>
      </c>
      <c r="DB66" s="1" t="n">
        <f aca="false">IF($D$10=1,MAX(0,SUM(Model!$J19:DB19)+SUM(Model!$J66:DB66)),0)</f>
        <v>0</v>
      </c>
      <c r="DC66" s="1" t="n">
        <f aca="false">IF($D$10=1,MAX(0,SUM(Model!$J19:DC19)+SUM(Model!$J66:DC66)),0)</f>
        <v>0</v>
      </c>
      <c r="DD66" s="1" t="n">
        <f aca="false">IF($D$10=1,MAX(0,SUM(Model!$J19:DD19)+SUM(Model!$J66:DD66)),0)</f>
        <v>0</v>
      </c>
      <c r="DE66" s="1" t="n">
        <f aca="false">IF($D$10=1,MAX(0,SUM(Model!$J19:DE19)+SUM(Model!$J66:DE66)),0)</f>
        <v>0</v>
      </c>
    </row>
    <row r="67" customFormat="false" ht="13.5" hidden="false" customHeight="true" outlineLevel="0" collapsed="false">
      <c r="A67" s="1" t="str">
        <f aca="false">$B$11</f>
        <v>Riverton</v>
      </c>
      <c r="B67" s="1" t="n">
        <v>0</v>
      </c>
      <c r="C67" s="1" t="n">
        <v>0</v>
      </c>
      <c r="D67" s="1" t="n">
        <v>0</v>
      </c>
      <c r="E67" s="1" t="n">
        <v>0</v>
      </c>
      <c r="F67" s="1" t="n">
        <v>0</v>
      </c>
      <c r="G67" s="1" t="n">
        <v>0</v>
      </c>
      <c r="H67" s="1" t="n">
        <v>0</v>
      </c>
      <c r="I67" s="1" t="n">
        <v>0</v>
      </c>
      <c r="J67" s="1" t="n">
        <f aca="false">IF($D$11=1,MAX(0,SUM(Model!$J20:J20)+SUM(Model!$J67:J67)),0)</f>
        <v>0</v>
      </c>
      <c r="K67" s="1" t="n">
        <f aca="false">IF($D$11=1,MAX(0,SUM(Model!$J20:K20)+SUM(Model!$J67:K67)),0)</f>
        <v>0</v>
      </c>
      <c r="L67" s="1" t="n">
        <f aca="false">IF($D$11=1,MAX(0,SUM(Model!$J20:L20)+SUM(Model!$J67:L67)),0)</f>
        <v>0</v>
      </c>
      <c r="M67" s="1" t="n">
        <f aca="false">IF($D$11=1,MAX(0,SUM(Model!$J20:M20)+SUM(Model!$J67:M67)),0)</f>
        <v>0</v>
      </c>
      <c r="N67" s="1" t="n">
        <f aca="false">IF($D$11=1,MAX(0,SUM(Model!$J20:N20)+SUM(Model!$J67:N67)),0)</f>
        <v>0</v>
      </c>
      <c r="O67" s="1" t="n">
        <f aca="false">IF($D$11=1,MAX(0,SUM(Model!$J20:O20)+SUM(Model!$J67:O67)),0)</f>
        <v>0</v>
      </c>
      <c r="P67" s="1" t="n">
        <f aca="false">IF($D$11=1,MAX(0,SUM(Model!$J20:P20)+SUM(Model!$J67:P67)),0)</f>
        <v>0</v>
      </c>
      <c r="Q67" s="1" t="n">
        <f aca="false">IF($D$11=1,MAX(0,SUM(Model!$J20:Q20)+SUM(Model!$J67:Q67)),0)</f>
        <v>0</v>
      </c>
      <c r="R67" s="1" t="n">
        <f aca="false">IF($D$11=1,MAX(0,SUM(Model!$J20:R20)+SUM(Model!$J67:R67)),0)</f>
        <v>0</v>
      </c>
      <c r="S67" s="1" t="n">
        <f aca="false">IF($D$11=1,MAX(0,SUM(Model!$J20:S20)+SUM(Model!$J67:S67)),0)</f>
        <v>0</v>
      </c>
      <c r="T67" s="1" t="n">
        <f aca="false">IF($D$11=1,MAX(0,SUM(Model!$J20:T20)+SUM(Model!$J67:T67)),0)</f>
        <v>0</v>
      </c>
      <c r="U67" s="1" t="n">
        <f aca="false">IF($D$11=1,MAX(0,SUM(Model!$J20:U20)+SUM(Model!$J67:U67)),0)</f>
        <v>0</v>
      </c>
      <c r="V67" s="1" t="n">
        <f aca="false">IF($D$11=1,MAX(0,SUM(Model!$J20:V20)+SUM(Model!$J67:V67)),0)</f>
        <v>0</v>
      </c>
      <c r="W67" s="1" t="n">
        <f aca="false">IF($D$11=1,MAX(0,SUM(Model!$J20:W20)+SUM(Model!$J67:W67)),0)</f>
        <v>0</v>
      </c>
      <c r="X67" s="1" t="n">
        <f aca="false">IF($D$11=1,MAX(0,SUM(Model!$J20:X20)+SUM(Model!$J67:X67)),0)</f>
        <v>0</v>
      </c>
      <c r="Y67" s="1" t="n">
        <f aca="false">IF($D$11=1,MAX(0,SUM(Model!$J20:Y20)+SUM(Model!$J67:Y67)),0)</f>
        <v>0</v>
      </c>
      <c r="Z67" s="1" t="n">
        <f aca="false">IF($D$11=1,MAX(0,SUM(Model!$J20:Z20)+SUM(Model!$J67:Z67)),0)</f>
        <v>0</v>
      </c>
      <c r="AA67" s="1" t="n">
        <f aca="false">IF($D$11=1,MAX(0,SUM(Model!$J20:AA20)+SUM(Model!$J67:AA67)),0)</f>
        <v>0</v>
      </c>
      <c r="AB67" s="1" t="n">
        <f aca="false">IF($D$11=1,MAX(0,SUM(Model!$J20:AB20)+SUM(Model!$J67:AB67)),0)</f>
        <v>0</v>
      </c>
      <c r="AC67" s="1" t="n">
        <f aca="false">IF($D$11=1,MAX(0,SUM(Model!$J20:AC20)+SUM(Model!$J67:AC67)),0)</f>
        <v>0</v>
      </c>
      <c r="AD67" s="1" t="n">
        <f aca="false">IF($D$11=1,MAX(0,SUM(Model!$J20:AD20)+SUM(Model!$J67:AD67)),0)</f>
        <v>0</v>
      </c>
      <c r="AE67" s="1" t="n">
        <f aca="false">IF($D$11=1,MAX(0,SUM(Model!$J20:AE20)+SUM(Model!$J67:AE67)),0)</f>
        <v>0</v>
      </c>
      <c r="AF67" s="1" t="n">
        <f aca="false">IF($D$11=1,MAX(0,SUM(Model!$J20:AF20)+SUM(Model!$J67:AF67)),0)</f>
        <v>0</v>
      </c>
      <c r="AG67" s="1" t="n">
        <f aca="false">IF($D$11=1,MAX(0,SUM(Model!$J20:AG20)+SUM(Model!$J67:AG67)),0)</f>
        <v>0</v>
      </c>
      <c r="AH67" s="1" t="n">
        <f aca="false">IF($D$11=1,MAX(0,SUM(Model!$J20:AH20)+SUM(Model!$J67:AH67)),0)</f>
        <v>0</v>
      </c>
      <c r="AI67" s="1" t="n">
        <f aca="false">IF($D$11=1,MAX(0,SUM(Model!$J20:AI20)+SUM(Model!$J67:AI67)),0)</f>
        <v>0</v>
      </c>
      <c r="AJ67" s="1" t="n">
        <f aca="false">IF($D$11=1,MAX(0,SUM(Model!$J20:AJ20)+SUM(Model!$J67:AJ67)),0)</f>
        <v>0</v>
      </c>
      <c r="AK67" s="1" t="n">
        <f aca="false">IF($D$11=1,MAX(0,SUM(Model!$J20:AK20)+SUM(Model!$J67:AK67)),0)</f>
        <v>0</v>
      </c>
      <c r="AL67" s="1" t="n">
        <f aca="false">IF($D$11=1,MAX(0,SUM(Model!$J20:AL20)+SUM(Model!$J67:AL67)),0)</f>
        <v>0</v>
      </c>
      <c r="AM67" s="1" t="n">
        <f aca="false">IF($D$11=1,MAX(0,SUM(Model!$J20:AM20)+SUM(Model!$J67:AM67)),0)</f>
        <v>0</v>
      </c>
      <c r="AN67" s="1" t="n">
        <f aca="false">IF($D$11=1,MAX(0,SUM(Model!$J20:AN20)+SUM(Model!$J67:AN67)),0)</f>
        <v>0</v>
      </c>
      <c r="AO67" s="1" t="n">
        <f aca="false">IF($D$11=1,MAX(0,SUM(Model!$J20:AO20)+SUM(Model!$J67:AO67)),0)</f>
        <v>0</v>
      </c>
      <c r="AP67" s="1" t="n">
        <f aca="false">IF($D$11=1,MAX(0,SUM(Model!$J20:AP20)+SUM(Model!$J67:AP67)),0)</f>
        <v>0</v>
      </c>
      <c r="AQ67" s="1" t="n">
        <f aca="false">IF($D$11=1,MAX(0,SUM(Model!$J20:AQ20)+SUM(Model!$J67:AQ67)),0)</f>
        <v>0</v>
      </c>
      <c r="AR67" s="1" t="n">
        <f aca="false">IF($D$11=1,MAX(0,SUM(Model!$J20:AR20)+SUM(Model!$J67:AR67)),0)</f>
        <v>0</v>
      </c>
      <c r="AS67" s="1" t="n">
        <f aca="false">IF($D$11=1,MAX(0,SUM(Model!$J20:AS20)+SUM(Model!$J67:AS67)),0)</f>
        <v>0</v>
      </c>
      <c r="AT67" s="1" t="n">
        <f aca="false">IF($D$11=1,MAX(0,SUM(Model!$J20:AT20)+SUM(Model!$J67:AT67)),0)</f>
        <v>0</v>
      </c>
      <c r="AU67" s="1" t="n">
        <f aca="false">IF($D$11=1,MAX(0,SUM(Model!$J20:AU20)+SUM(Model!$J67:AU67)),0)</f>
        <v>0</v>
      </c>
      <c r="AV67" s="1" t="n">
        <f aca="false">IF($D$11=1,MAX(0,SUM(Model!$J20:AV20)+SUM(Model!$J67:AV67)),0)</f>
        <v>0</v>
      </c>
      <c r="AW67" s="1" t="n">
        <f aca="false">IF($D$11=1,MAX(0,SUM(Model!$J20:AW20)+SUM(Model!$J67:AW67)),0)</f>
        <v>0</v>
      </c>
      <c r="AX67" s="1" t="n">
        <f aca="false">IF($D$11=1,MAX(0,SUM(Model!$J20:AX20)+SUM(Model!$J67:AX67)),0)</f>
        <v>0</v>
      </c>
      <c r="AY67" s="1" t="n">
        <f aca="false">IF($D$11=1,MAX(0,SUM(Model!$J20:AY20)+SUM(Model!$J67:AY67)),0)</f>
        <v>0</v>
      </c>
      <c r="AZ67" s="1" t="n">
        <f aca="false">IF($D$11=1,MAX(0,SUM(Model!$J20:AZ20)+SUM(Model!$J67:AZ67)),0)</f>
        <v>0</v>
      </c>
      <c r="BA67" s="1" t="n">
        <f aca="false">IF($D$11=1,MAX(0,SUM(Model!$J20:BA20)+SUM(Model!$J67:BA67)),0)</f>
        <v>0</v>
      </c>
      <c r="BB67" s="1" t="n">
        <f aca="false">IF($D$11=1,MAX(0,SUM(Model!$J20:BB20)+SUM(Model!$J67:BB67)),0)</f>
        <v>0</v>
      </c>
      <c r="BC67" s="1" t="n">
        <f aca="false">IF($D$11=1,MAX(0,SUM(Model!$J20:BC20)+SUM(Model!$J67:BC67)),0)</f>
        <v>0</v>
      </c>
      <c r="BD67" s="1" t="n">
        <f aca="false">IF($D$11=1,MAX(0,SUM(Model!$J20:BD20)+SUM(Model!$J67:BD67)),0)</f>
        <v>0</v>
      </c>
      <c r="BE67" s="1" t="n">
        <f aca="false">IF($D$11=1,MAX(0,SUM(Model!$J20:BE20)+SUM(Model!$J67:BE67)),0)</f>
        <v>0</v>
      </c>
      <c r="BF67" s="1" t="n">
        <f aca="false">IF($D$11=1,MAX(0,SUM(Model!$J20:BF20)+SUM(Model!$J67:BF67)),0)</f>
        <v>0</v>
      </c>
      <c r="BG67" s="1" t="n">
        <f aca="false">IF($D$11=1,MAX(0,SUM(Model!$J20:BG20)+SUM(Model!$J67:BG67)),0)</f>
        <v>0</v>
      </c>
      <c r="BH67" s="1" t="n">
        <f aca="false">IF($D$11=1,MAX(0,SUM(Model!$J20:BH20)+SUM(Model!$J67:BH67)),0)</f>
        <v>0</v>
      </c>
      <c r="BI67" s="1" t="n">
        <f aca="false">IF($D$11=1,MAX(0,SUM(Model!$J20:BI20)+SUM(Model!$J67:BI67)),0)</f>
        <v>0</v>
      </c>
      <c r="BJ67" s="1" t="n">
        <f aca="false">IF($D$11=1,MAX(0,SUM(Model!$J20:BJ20)+SUM(Model!$J67:BJ67)),0)</f>
        <v>0</v>
      </c>
      <c r="BK67" s="1" t="n">
        <f aca="false">IF($D$11=1,MAX(0,SUM(Model!$J20:BK20)+SUM(Model!$J67:BK67)),0)</f>
        <v>0</v>
      </c>
      <c r="BL67" s="1" t="n">
        <f aca="false">IF($D$11=1,MAX(0,SUM(Model!$J20:BL20)+SUM(Model!$J67:BL67)),0)</f>
        <v>0</v>
      </c>
      <c r="BM67" s="1" t="n">
        <f aca="false">IF($D$11=1,MAX(0,SUM(Model!$J20:BM20)+SUM(Model!$J67:BM67)),0)</f>
        <v>0</v>
      </c>
      <c r="BN67" s="1" t="n">
        <f aca="false">IF($D$11=1,MAX(0,SUM(Model!$J20:BN20)+SUM(Model!$J67:BN67)),0)</f>
        <v>0</v>
      </c>
      <c r="BO67" s="1" t="n">
        <f aca="false">IF($D$11=1,MAX(0,SUM(Model!$J20:BO20)+SUM(Model!$J67:BO67)),0)</f>
        <v>0</v>
      </c>
      <c r="BP67" s="1" t="n">
        <f aca="false">IF($D$11=1,MAX(0,SUM(Model!$J20:BP20)+SUM(Model!$J67:BP67)),0)</f>
        <v>0</v>
      </c>
      <c r="BQ67" s="1" t="n">
        <f aca="false">IF($D$11=1,MAX(0,SUM(Model!$J20:BQ20)+SUM(Model!$J67:BQ67)),0)</f>
        <v>0</v>
      </c>
      <c r="BR67" s="1" t="n">
        <f aca="false">IF($D$11=1,MAX(0,SUM(Model!$J20:BR20)+SUM(Model!$J67:BR67)),0)</f>
        <v>0</v>
      </c>
      <c r="BS67" s="1" t="n">
        <f aca="false">IF($D$11=1,MAX(0,SUM(Model!$J20:BS20)+SUM(Model!$J67:BS67)),0)</f>
        <v>0</v>
      </c>
      <c r="BT67" s="1" t="n">
        <f aca="false">IF($D$11=1,MAX(0,SUM(Model!$J20:BT20)+SUM(Model!$J67:BT67)),0)</f>
        <v>0</v>
      </c>
      <c r="BU67" s="1" t="n">
        <f aca="false">IF($D$11=1,MAX(0,SUM(Model!$J20:BU20)+SUM(Model!$J67:BU67)),0)</f>
        <v>0</v>
      </c>
      <c r="BV67" s="1" t="n">
        <f aca="false">IF($D$11=1,MAX(0,SUM(Model!$J20:BV20)+SUM(Model!$J67:BV67)),0)</f>
        <v>0</v>
      </c>
      <c r="BW67" s="1" t="n">
        <f aca="false">IF($D$11=1,MAX(0,SUM(Model!$J20:BW20)+SUM(Model!$J67:BW67)),0)</f>
        <v>0</v>
      </c>
      <c r="BX67" s="1" t="n">
        <f aca="false">IF($D$11=1,MAX(0,SUM(Model!$J20:BX20)+SUM(Model!$J67:BX67)),0)</f>
        <v>0</v>
      </c>
      <c r="BY67" s="1" t="n">
        <f aca="false">IF($D$11=1,MAX(0,SUM(Model!$J20:BY20)+SUM(Model!$J67:BY67)),0)</f>
        <v>0</v>
      </c>
      <c r="BZ67" s="1" t="n">
        <f aca="false">IF($D$11=1,MAX(0,SUM(Model!$J20:BZ20)+SUM(Model!$J67:BZ67)),0)</f>
        <v>0</v>
      </c>
      <c r="CA67" s="1" t="n">
        <f aca="false">IF($D$11=1,MAX(0,SUM(Model!$J20:CA20)+SUM(Model!$J67:CA67)),0)</f>
        <v>0</v>
      </c>
      <c r="CB67" s="1" t="n">
        <f aca="false">IF($D$11=1,MAX(0,SUM(Model!$J20:CB20)+SUM(Model!$J67:CB67)),0)</f>
        <v>0</v>
      </c>
      <c r="CC67" s="1" t="n">
        <f aca="false">IF($D$11=1,MAX(0,SUM(Model!$J20:CC20)+SUM(Model!$J67:CC67)),0)</f>
        <v>0</v>
      </c>
      <c r="CD67" s="1" t="n">
        <f aca="false">IF($D$11=1,MAX(0,SUM(Model!$J20:CD20)+SUM(Model!$J67:CD67)),0)</f>
        <v>0</v>
      </c>
      <c r="CE67" s="1" t="n">
        <f aca="false">IF($D$11=1,MAX(0,SUM(Model!$J20:CE20)+SUM(Model!$J67:CE67)),0)</f>
        <v>0</v>
      </c>
      <c r="CF67" s="1" t="n">
        <f aca="false">IF($D$11=1,MAX(0,SUM(Model!$J20:CF20)+SUM(Model!$J67:CF67)),0)</f>
        <v>0</v>
      </c>
      <c r="CG67" s="1" t="n">
        <f aca="false">IF($D$11=1,MAX(0,SUM(Model!$J20:CG20)+SUM(Model!$J67:CG67)),0)</f>
        <v>0</v>
      </c>
      <c r="CH67" s="1" t="n">
        <f aca="false">IF($D$11=1,MAX(0,SUM(Model!$J20:CH20)+SUM(Model!$J67:CH67)),0)</f>
        <v>0</v>
      </c>
      <c r="CI67" s="1" t="n">
        <f aca="false">IF($D$11=1,MAX(0,SUM(Model!$J20:CI20)+SUM(Model!$J67:CI67)),0)</f>
        <v>0</v>
      </c>
      <c r="CJ67" s="1" t="n">
        <f aca="false">IF($D$11=1,MAX(0,SUM(Model!$J20:CJ20)+SUM(Model!$J67:CJ67)),0)</f>
        <v>0</v>
      </c>
      <c r="CK67" s="1" t="n">
        <f aca="false">IF($D$11=1,MAX(0,SUM(Model!$J20:CK20)+SUM(Model!$J67:CK67)),0)</f>
        <v>0</v>
      </c>
      <c r="CL67" s="1" t="n">
        <f aca="false">IF($D$11=1,MAX(0,SUM(Model!$J20:CL20)+SUM(Model!$J67:CL67)),0)</f>
        <v>0</v>
      </c>
      <c r="CM67" s="1" t="n">
        <f aca="false">IF($D$11=1,MAX(0,SUM(Model!$J20:CM20)+SUM(Model!$J67:CM67)),0)</f>
        <v>0</v>
      </c>
      <c r="CN67" s="1" t="n">
        <f aca="false">IF($D$11=1,MAX(0,SUM(Model!$J20:CN20)+SUM(Model!$J67:CN67)),0)</f>
        <v>0</v>
      </c>
      <c r="CO67" s="1" t="n">
        <f aca="false">IF($D$11=1,MAX(0,SUM(Model!$J20:CO20)+SUM(Model!$J67:CO67)),0)</f>
        <v>0</v>
      </c>
      <c r="CP67" s="1" t="n">
        <f aca="false">IF($D$11=1,MAX(0,SUM(Model!$J20:CP20)+SUM(Model!$J67:CP67)),0)</f>
        <v>0</v>
      </c>
      <c r="CQ67" s="1" t="n">
        <f aca="false">IF($D$11=1,MAX(0,SUM(Model!$J20:CQ20)+SUM(Model!$J67:CQ67)),0)</f>
        <v>0</v>
      </c>
      <c r="CR67" s="1" t="n">
        <f aca="false">IF($D$11=1,MAX(0,SUM(Model!$J20:CR20)+SUM(Model!$J67:CR67)),0)</f>
        <v>0</v>
      </c>
      <c r="CS67" s="1" t="n">
        <f aca="false">IF($D$11=1,MAX(0,SUM(Model!$J20:CS20)+SUM(Model!$J67:CS67)),0)</f>
        <v>0</v>
      </c>
      <c r="CT67" s="1" t="n">
        <f aca="false">IF($D$11=1,MAX(0,SUM(Model!$J20:CT20)+SUM(Model!$J67:CT67)),0)</f>
        <v>0</v>
      </c>
      <c r="CU67" s="1" t="n">
        <f aca="false">IF($D$11=1,MAX(0,SUM(Model!$J20:CU20)+SUM(Model!$J67:CU67)),0)</f>
        <v>0</v>
      </c>
      <c r="CV67" s="1" t="n">
        <f aca="false">IF($D$11=1,MAX(0,SUM(Model!$J20:CV20)+SUM(Model!$J67:CV67)),0)</f>
        <v>0</v>
      </c>
      <c r="CW67" s="1" t="n">
        <f aca="false">IF($D$11=1,MAX(0,SUM(Model!$J20:CW20)+SUM(Model!$J67:CW67)),0)</f>
        <v>0</v>
      </c>
      <c r="CX67" s="1" t="n">
        <f aca="false">IF($D$11=1,MAX(0,SUM(Model!$J20:CX20)+SUM(Model!$J67:CX67)),0)</f>
        <v>0</v>
      </c>
      <c r="CY67" s="1" t="n">
        <f aca="false">IF($D$11=1,MAX(0,SUM(Model!$J20:CY20)+SUM(Model!$J67:CY67)),0)</f>
        <v>0</v>
      </c>
      <c r="CZ67" s="1" t="n">
        <f aca="false">IF($D$11=1,MAX(0,SUM(Model!$J20:CZ20)+SUM(Model!$J67:CZ67)),0)</f>
        <v>0</v>
      </c>
      <c r="DA67" s="1" t="n">
        <f aca="false">IF($D$11=1,MAX(0,SUM(Model!$J20:DA20)+SUM(Model!$J67:DA67)),0)</f>
        <v>0</v>
      </c>
      <c r="DB67" s="1" t="n">
        <f aca="false">IF($D$11=1,MAX(0,SUM(Model!$J20:DB20)+SUM(Model!$J67:DB67)),0)</f>
        <v>0</v>
      </c>
      <c r="DC67" s="1" t="n">
        <f aca="false">IF($D$11=1,MAX(0,SUM(Model!$J20:DC20)+SUM(Model!$J67:DC67)),0)</f>
        <v>0</v>
      </c>
      <c r="DD67" s="1" t="n">
        <f aca="false">IF($D$11=1,MAX(0,SUM(Model!$J20:DD20)+SUM(Model!$J67:DD67)),0)</f>
        <v>0</v>
      </c>
      <c r="DE67" s="1" t="n">
        <f aca="false">IF($D$11=1,MAX(0,SUM(Model!$J20:DE20)+SUM(Model!$J67:DE67)),0)</f>
        <v>0</v>
      </c>
    </row>
    <row r="68" customFormat="false" ht="13.5" hidden="false" customHeight="true" outlineLevel="0" collapsed="false">
      <c r="A68" s="1" t="str">
        <f aca="false">$B$12</f>
        <v>Acama</v>
      </c>
      <c r="B68" s="1" t="n">
        <v>0</v>
      </c>
      <c r="C68" s="1" t="n">
        <v>0</v>
      </c>
      <c r="D68" s="1" t="n">
        <v>0</v>
      </c>
      <c r="E68" s="1" t="n">
        <v>0</v>
      </c>
      <c r="F68" s="1" t="n">
        <v>0</v>
      </c>
      <c r="G68" s="1" t="n">
        <v>0</v>
      </c>
      <c r="H68" s="1" t="n">
        <v>0</v>
      </c>
      <c r="I68" s="1" t="n">
        <v>0</v>
      </c>
      <c r="J68" s="1" t="n">
        <f aca="false">IF($D$12=1,MAX(0,SUM(Model!$J21:J21)+SUM(Model!$J68:J68)),0)</f>
        <v>0</v>
      </c>
      <c r="K68" s="1" t="n">
        <f aca="false">IF($D$12=1,MAX(0,SUM(Model!$J21:K21)+SUM(Model!$J68:K68)),0)</f>
        <v>0</v>
      </c>
      <c r="L68" s="1" t="n">
        <f aca="false">IF($D$12=1,MAX(0,SUM(Model!$J21:L21)+SUM(Model!$J68:L68)),0)</f>
        <v>0</v>
      </c>
      <c r="M68" s="1" t="n">
        <f aca="false">IF($D$12=1,MAX(0,SUM(Model!$J21:M21)+SUM(Model!$J68:M68)),0)</f>
        <v>0</v>
      </c>
      <c r="N68" s="1" t="n">
        <f aca="false">IF($D$12=1,MAX(0,SUM(Model!$J21:N21)+SUM(Model!$J68:N68)),0)</f>
        <v>0</v>
      </c>
      <c r="O68" s="1" t="n">
        <f aca="false">IF($D$12=1,MAX(0,SUM(Model!$J21:O21)+SUM(Model!$J68:O68)),0)</f>
        <v>0</v>
      </c>
      <c r="P68" s="1" t="n">
        <f aca="false">IF($D$12=1,MAX(0,SUM(Model!$J21:P21)+SUM(Model!$J68:P68)),0)</f>
        <v>0</v>
      </c>
      <c r="Q68" s="1" t="n">
        <f aca="false">IF($D$12=1,MAX(0,SUM(Model!$J21:Q21)+SUM(Model!$J68:Q68)),0)</f>
        <v>0</v>
      </c>
      <c r="R68" s="1" t="n">
        <f aca="false">IF($D$12=1,MAX(0,SUM(Model!$J21:R21)+SUM(Model!$J68:R68)),0)</f>
        <v>0</v>
      </c>
      <c r="S68" s="1" t="n">
        <f aca="false">IF($D$12=1,MAX(0,SUM(Model!$J21:S21)+SUM(Model!$J68:S68)),0)</f>
        <v>0</v>
      </c>
      <c r="T68" s="1" t="n">
        <f aca="false">IF($D$12=1,MAX(0,SUM(Model!$J21:T21)+SUM(Model!$J68:T68)),0)</f>
        <v>0</v>
      </c>
      <c r="U68" s="1" t="n">
        <f aca="false">IF($D$12=1,MAX(0,SUM(Model!$J21:U21)+SUM(Model!$J68:U68)),0)</f>
        <v>0</v>
      </c>
      <c r="V68" s="1" t="n">
        <f aca="false">IF($D$12=1,MAX(0,SUM(Model!$J21:V21)+SUM(Model!$J68:V68)),0)</f>
        <v>0</v>
      </c>
      <c r="W68" s="1" t="n">
        <f aca="false">IF($D$12=1,MAX(0,SUM(Model!$J21:W21)+SUM(Model!$J68:W68)),0)</f>
        <v>0</v>
      </c>
      <c r="X68" s="1" t="n">
        <f aca="false">IF($D$12=1,MAX(0,SUM(Model!$J21:X21)+SUM(Model!$J68:X68)),0)</f>
        <v>0</v>
      </c>
      <c r="Y68" s="1" t="n">
        <f aca="false">IF($D$12=1,MAX(0,SUM(Model!$J21:Y21)+SUM(Model!$J68:Y68)),0)</f>
        <v>0</v>
      </c>
      <c r="Z68" s="1" t="n">
        <f aca="false">IF($D$12=1,MAX(0,SUM(Model!$J21:Z21)+SUM(Model!$J68:Z68)),0)</f>
        <v>0</v>
      </c>
      <c r="AA68" s="1" t="n">
        <f aca="false">IF($D$12=1,MAX(0,SUM(Model!$J21:AA21)+SUM(Model!$J68:AA68)),0)</f>
        <v>0</v>
      </c>
      <c r="AB68" s="1" t="n">
        <f aca="false">IF($D$12=1,MAX(0,SUM(Model!$J21:AB21)+SUM(Model!$J68:AB68)),0)</f>
        <v>0</v>
      </c>
      <c r="AC68" s="1" t="n">
        <f aca="false">IF($D$12=1,MAX(0,SUM(Model!$J21:AC21)+SUM(Model!$J68:AC68)),0)</f>
        <v>0</v>
      </c>
      <c r="AD68" s="1" t="n">
        <f aca="false">IF($D$12=1,MAX(0,SUM(Model!$J21:AD21)+SUM(Model!$J68:AD68)),0)</f>
        <v>0</v>
      </c>
      <c r="AE68" s="1" t="n">
        <f aca="false">IF($D$12=1,MAX(0,SUM(Model!$J21:AE21)+SUM(Model!$J68:AE68)),0)</f>
        <v>0</v>
      </c>
      <c r="AF68" s="1" t="n">
        <f aca="false">IF($D$12=1,MAX(0,SUM(Model!$J21:AF21)+SUM(Model!$J68:AF68)),0)</f>
        <v>0</v>
      </c>
      <c r="AG68" s="1" t="n">
        <f aca="false">IF($D$12=1,MAX(0,SUM(Model!$J21:AG21)+SUM(Model!$J68:AG68)),0)</f>
        <v>0</v>
      </c>
      <c r="AH68" s="1" t="n">
        <f aca="false">IF($D$12=1,MAX(0,SUM(Model!$J21:AH21)+SUM(Model!$J68:AH68)),0)</f>
        <v>0</v>
      </c>
      <c r="AI68" s="1" t="n">
        <f aca="false">IF($D$12=1,MAX(0,SUM(Model!$J21:AI21)+SUM(Model!$J68:AI68)),0)</f>
        <v>0</v>
      </c>
      <c r="AJ68" s="1" t="n">
        <f aca="false">IF($D$12=1,MAX(0,SUM(Model!$J21:AJ21)+SUM(Model!$J68:AJ68)),0)</f>
        <v>0</v>
      </c>
      <c r="AK68" s="1" t="n">
        <f aca="false">IF($D$12=1,MAX(0,SUM(Model!$J21:AK21)+SUM(Model!$J68:AK68)),0)</f>
        <v>0</v>
      </c>
      <c r="AL68" s="1" t="n">
        <f aca="false">IF($D$12=1,MAX(0,SUM(Model!$J21:AL21)+SUM(Model!$J68:AL68)),0)</f>
        <v>0</v>
      </c>
      <c r="AM68" s="1" t="n">
        <f aca="false">IF($D$12=1,MAX(0,SUM(Model!$J21:AM21)+SUM(Model!$J68:AM68)),0)</f>
        <v>0</v>
      </c>
      <c r="AN68" s="1" t="n">
        <f aca="false">IF($D$12=1,MAX(0,SUM(Model!$J21:AN21)+SUM(Model!$J68:AN68)),0)</f>
        <v>0</v>
      </c>
      <c r="AO68" s="1" t="n">
        <f aca="false">IF($D$12=1,MAX(0,SUM(Model!$J21:AO21)+SUM(Model!$J68:AO68)),0)</f>
        <v>0</v>
      </c>
      <c r="AP68" s="1" t="n">
        <f aca="false">IF($D$12=1,MAX(0,SUM(Model!$J21:AP21)+SUM(Model!$J68:AP68)),0)</f>
        <v>0</v>
      </c>
      <c r="AQ68" s="1" t="n">
        <f aca="false">IF($D$12=1,MAX(0,SUM(Model!$J21:AQ21)+SUM(Model!$J68:AQ68)),0)</f>
        <v>0</v>
      </c>
      <c r="AR68" s="1" t="n">
        <f aca="false">IF($D$12=1,MAX(0,SUM(Model!$J21:AR21)+SUM(Model!$J68:AR68)),0)</f>
        <v>0</v>
      </c>
      <c r="AS68" s="1" t="n">
        <f aca="false">IF($D$12=1,MAX(0,SUM(Model!$J21:AS21)+SUM(Model!$J68:AS68)),0)</f>
        <v>0</v>
      </c>
      <c r="AT68" s="1" t="n">
        <f aca="false">IF($D$12=1,MAX(0,SUM(Model!$J21:AT21)+SUM(Model!$J68:AT68)),0)</f>
        <v>0</v>
      </c>
      <c r="AU68" s="1" t="n">
        <f aca="false">IF($D$12=1,MAX(0,SUM(Model!$J21:AU21)+SUM(Model!$J68:AU68)),0)</f>
        <v>0</v>
      </c>
      <c r="AV68" s="1" t="n">
        <f aca="false">IF($D$12=1,MAX(0,SUM(Model!$J21:AV21)+SUM(Model!$J68:AV68)),0)</f>
        <v>0</v>
      </c>
      <c r="AW68" s="1" t="n">
        <f aca="false">IF($D$12=1,MAX(0,SUM(Model!$J21:AW21)+SUM(Model!$J68:AW68)),0)</f>
        <v>0</v>
      </c>
      <c r="AX68" s="1" t="n">
        <f aca="false">IF($D$12=1,MAX(0,SUM(Model!$J21:AX21)+SUM(Model!$J68:AX68)),0)</f>
        <v>0</v>
      </c>
      <c r="AY68" s="1" t="n">
        <f aca="false">IF($D$12=1,MAX(0,SUM(Model!$J21:AY21)+SUM(Model!$J68:AY68)),0)</f>
        <v>0</v>
      </c>
      <c r="AZ68" s="1" t="n">
        <f aca="false">IF($D$12=1,MAX(0,SUM(Model!$J21:AZ21)+SUM(Model!$J68:AZ68)),0)</f>
        <v>0</v>
      </c>
      <c r="BA68" s="1" t="n">
        <f aca="false">IF($D$12=1,MAX(0,SUM(Model!$J21:BA21)+SUM(Model!$J68:BA68)),0)</f>
        <v>0</v>
      </c>
      <c r="BB68" s="1" t="n">
        <f aca="false">IF($D$12=1,MAX(0,SUM(Model!$J21:BB21)+SUM(Model!$J68:BB68)),0)</f>
        <v>0</v>
      </c>
      <c r="BC68" s="1" t="n">
        <f aca="false">IF($D$12=1,MAX(0,SUM(Model!$J21:BC21)+SUM(Model!$J68:BC68)),0)</f>
        <v>0</v>
      </c>
      <c r="BD68" s="1" t="n">
        <f aca="false">IF($D$12=1,MAX(0,SUM(Model!$J21:BD21)+SUM(Model!$J68:BD68)),0)</f>
        <v>0</v>
      </c>
      <c r="BE68" s="1" t="n">
        <f aca="false">IF($D$12=1,MAX(0,SUM(Model!$J21:BE21)+SUM(Model!$J68:BE68)),0)</f>
        <v>0</v>
      </c>
      <c r="BF68" s="1" t="n">
        <f aca="false">IF($D$12=1,MAX(0,SUM(Model!$J21:BF21)+SUM(Model!$J68:BF68)),0)</f>
        <v>0</v>
      </c>
      <c r="BG68" s="1" t="n">
        <f aca="false">IF($D$12=1,MAX(0,SUM(Model!$J21:BG21)+SUM(Model!$J68:BG68)),0)</f>
        <v>0</v>
      </c>
      <c r="BH68" s="1" t="n">
        <f aca="false">IF($D$12=1,MAX(0,SUM(Model!$J21:BH21)+SUM(Model!$J68:BH68)),0)</f>
        <v>0</v>
      </c>
      <c r="BI68" s="1" t="n">
        <f aca="false">IF($D$12=1,MAX(0,SUM(Model!$J21:BI21)+SUM(Model!$J68:BI68)),0)</f>
        <v>0</v>
      </c>
      <c r="BJ68" s="1" t="n">
        <f aca="false">IF($D$12=1,MAX(0,SUM(Model!$J21:BJ21)+SUM(Model!$J68:BJ68)),0)</f>
        <v>0</v>
      </c>
      <c r="BK68" s="1" t="n">
        <f aca="false">IF($D$12=1,MAX(0,SUM(Model!$J21:BK21)+SUM(Model!$J68:BK68)),0)</f>
        <v>0</v>
      </c>
      <c r="BL68" s="1" t="n">
        <f aca="false">IF($D$12=1,MAX(0,SUM(Model!$J21:BL21)+SUM(Model!$J68:BL68)),0)</f>
        <v>0</v>
      </c>
      <c r="BM68" s="1" t="n">
        <f aca="false">IF($D$12=1,MAX(0,SUM(Model!$J21:BM21)+SUM(Model!$J68:BM68)),0)</f>
        <v>0</v>
      </c>
      <c r="BN68" s="1" t="n">
        <f aca="false">IF($D$12=1,MAX(0,SUM(Model!$J21:BN21)+SUM(Model!$J68:BN68)),0)</f>
        <v>0</v>
      </c>
      <c r="BO68" s="1" t="n">
        <f aca="false">IF($D$12=1,MAX(0,SUM(Model!$J21:BO21)+SUM(Model!$J68:BO68)),0)</f>
        <v>0</v>
      </c>
      <c r="BP68" s="1" t="n">
        <f aca="false">IF($D$12=1,MAX(0,SUM(Model!$J21:BP21)+SUM(Model!$J68:BP68)),0)</f>
        <v>0</v>
      </c>
      <c r="BQ68" s="1" t="n">
        <f aca="false">IF($D$12=1,MAX(0,SUM(Model!$J21:BQ21)+SUM(Model!$J68:BQ68)),0)</f>
        <v>0</v>
      </c>
      <c r="BR68" s="1" t="n">
        <f aca="false">IF($D$12=1,MAX(0,SUM(Model!$J21:BR21)+SUM(Model!$J68:BR68)),0)</f>
        <v>0</v>
      </c>
      <c r="BS68" s="1" t="n">
        <f aca="false">IF($D$12=1,MAX(0,SUM(Model!$J21:BS21)+SUM(Model!$J68:BS68)),0)</f>
        <v>0</v>
      </c>
      <c r="BT68" s="1" t="n">
        <f aca="false">IF($D$12=1,MAX(0,SUM(Model!$J21:BT21)+SUM(Model!$J68:BT68)),0)</f>
        <v>0</v>
      </c>
      <c r="BU68" s="1" t="n">
        <f aca="false">IF($D$12=1,MAX(0,SUM(Model!$J21:BU21)+SUM(Model!$J68:BU68)),0)</f>
        <v>0</v>
      </c>
      <c r="BV68" s="1" t="n">
        <f aca="false">IF($D$12=1,MAX(0,SUM(Model!$J21:BV21)+SUM(Model!$J68:BV68)),0)</f>
        <v>0</v>
      </c>
      <c r="BW68" s="1" t="n">
        <f aca="false">IF($D$12=1,MAX(0,SUM(Model!$J21:BW21)+SUM(Model!$J68:BW68)),0)</f>
        <v>0</v>
      </c>
      <c r="BX68" s="1" t="n">
        <f aca="false">IF($D$12=1,MAX(0,SUM(Model!$J21:BX21)+SUM(Model!$J68:BX68)),0)</f>
        <v>0</v>
      </c>
      <c r="BY68" s="1" t="n">
        <f aca="false">IF($D$12=1,MAX(0,SUM(Model!$J21:BY21)+SUM(Model!$J68:BY68)),0)</f>
        <v>0</v>
      </c>
      <c r="BZ68" s="1" t="n">
        <f aca="false">IF($D$12=1,MAX(0,SUM(Model!$J21:BZ21)+SUM(Model!$J68:BZ68)),0)</f>
        <v>0</v>
      </c>
      <c r="CA68" s="1" t="n">
        <f aca="false">IF($D$12=1,MAX(0,SUM(Model!$J21:CA21)+SUM(Model!$J68:CA68)),0)</f>
        <v>0</v>
      </c>
      <c r="CB68" s="1" t="n">
        <f aca="false">IF($D$12=1,MAX(0,SUM(Model!$J21:CB21)+SUM(Model!$J68:CB68)),0)</f>
        <v>0</v>
      </c>
      <c r="CC68" s="1" t="n">
        <f aca="false">IF($D$12=1,MAX(0,SUM(Model!$J21:CC21)+SUM(Model!$J68:CC68)),0)</f>
        <v>0</v>
      </c>
      <c r="CD68" s="1" t="n">
        <f aca="false">IF($D$12=1,MAX(0,SUM(Model!$J21:CD21)+SUM(Model!$J68:CD68)),0)</f>
        <v>0</v>
      </c>
      <c r="CE68" s="1" t="n">
        <f aca="false">IF($D$12=1,MAX(0,SUM(Model!$J21:CE21)+SUM(Model!$J68:CE68)),0)</f>
        <v>0</v>
      </c>
      <c r="CF68" s="1" t="n">
        <f aca="false">IF($D$12=1,MAX(0,SUM(Model!$J21:CF21)+SUM(Model!$J68:CF68)),0)</f>
        <v>0</v>
      </c>
      <c r="CG68" s="1" t="n">
        <f aca="false">IF($D$12=1,MAX(0,SUM(Model!$J21:CG21)+SUM(Model!$J68:CG68)),0)</f>
        <v>0</v>
      </c>
      <c r="CH68" s="1" t="n">
        <f aca="false">IF($D$12=1,MAX(0,SUM(Model!$J21:CH21)+SUM(Model!$J68:CH68)),0)</f>
        <v>0</v>
      </c>
      <c r="CI68" s="1" t="n">
        <f aca="false">IF($D$12=1,MAX(0,SUM(Model!$J21:CI21)+SUM(Model!$J68:CI68)),0)</f>
        <v>0</v>
      </c>
      <c r="CJ68" s="1" t="n">
        <f aca="false">IF($D$12=1,MAX(0,SUM(Model!$J21:CJ21)+SUM(Model!$J68:CJ68)),0)</f>
        <v>0</v>
      </c>
      <c r="CK68" s="1" t="n">
        <f aca="false">IF($D$12=1,MAX(0,SUM(Model!$J21:CK21)+SUM(Model!$J68:CK68)),0)</f>
        <v>0</v>
      </c>
      <c r="CL68" s="1" t="n">
        <f aca="false">IF($D$12=1,MAX(0,SUM(Model!$J21:CL21)+SUM(Model!$J68:CL68)),0)</f>
        <v>0</v>
      </c>
      <c r="CM68" s="1" t="n">
        <f aca="false">IF($D$12=1,MAX(0,SUM(Model!$J21:CM21)+SUM(Model!$J68:CM68)),0)</f>
        <v>0</v>
      </c>
      <c r="CN68" s="1" t="n">
        <f aca="false">IF($D$12=1,MAX(0,SUM(Model!$J21:CN21)+SUM(Model!$J68:CN68)),0)</f>
        <v>0</v>
      </c>
      <c r="CO68" s="1" t="n">
        <f aca="false">IF($D$12=1,MAX(0,SUM(Model!$J21:CO21)+SUM(Model!$J68:CO68)),0)</f>
        <v>0</v>
      </c>
      <c r="CP68" s="1" t="n">
        <f aca="false">IF($D$12=1,MAX(0,SUM(Model!$J21:CP21)+SUM(Model!$J68:CP68)),0)</f>
        <v>0</v>
      </c>
      <c r="CQ68" s="1" t="n">
        <f aca="false">IF($D$12=1,MAX(0,SUM(Model!$J21:CQ21)+SUM(Model!$J68:CQ68)),0)</f>
        <v>0</v>
      </c>
      <c r="CR68" s="1" t="n">
        <f aca="false">IF($D$12=1,MAX(0,SUM(Model!$J21:CR21)+SUM(Model!$J68:CR68)),0)</f>
        <v>0</v>
      </c>
      <c r="CS68" s="1" t="n">
        <f aca="false">IF($D$12=1,MAX(0,SUM(Model!$J21:CS21)+SUM(Model!$J68:CS68)),0)</f>
        <v>0</v>
      </c>
      <c r="CT68" s="1" t="n">
        <f aca="false">IF($D$12=1,MAX(0,SUM(Model!$J21:CT21)+SUM(Model!$J68:CT68)),0)</f>
        <v>0</v>
      </c>
      <c r="CU68" s="1" t="n">
        <f aca="false">IF($D$12=1,MAX(0,SUM(Model!$J21:CU21)+SUM(Model!$J68:CU68)),0)</f>
        <v>0</v>
      </c>
      <c r="CV68" s="1" t="n">
        <f aca="false">IF($D$12=1,MAX(0,SUM(Model!$J21:CV21)+SUM(Model!$J68:CV68)),0)</f>
        <v>0</v>
      </c>
      <c r="CW68" s="1" t="n">
        <f aca="false">IF($D$12=1,MAX(0,SUM(Model!$J21:CW21)+SUM(Model!$J68:CW68)),0)</f>
        <v>0</v>
      </c>
      <c r="CX68" s="1" t="n">
        <f aca="false">IF($D$12=1,MAX(0,SUM(Model!$J21:CX21)+SUM(Model!$J68:CX68)),0)</f>
        <v>0</v>
      </c>
      <c r="CY68" s="1" t="n">
        <f aca="false">IF($D$12=1,MAX(0,SUM(Model!$J21:CY21)+SUM(Model!$J68:CY68)),0)</f>
        <v>0</v>
      </c>
      <c r="CZ68" s="1" t="n">
        <f aca="false">IF($D$12=1,MAX(0,SUM(Model!$J21:CZ21)+SUM(Model!$J68:CZ68)),0)</f>
        <v>0</v>
      </c>
      <c r="DA68" s="1" t="n">
        <f aca="false">IF($D$12=1,MAX(0,SUM(Model!$J21:DA21)+SUM(Model!$J68:DA68)),0)</f>
        <v>0</v>
      </c>
      <c r="DB68" s="1" t="n">
        <f aca="false">IF($D$12=1,MAX(0,SUM(Model!$J21:DB21)+SUM(Model!$J68:DB68)),0)</f>
        <v>0</v>
      </c>
      <c r="DC68" s="1" t="n">
        <f aca="false">IF($D$12=1,MAX(0,SUM(Model!$J21:DC21)+SUM(Model!$J68:DC68)),0)</f>
        <v>0</v>
      </c>
      <c r="DD68" s="1" t="n">
        <f aca="false">IF($D$12=1,MAX(0,SUM(Model!$J21:DD21)+SUM(Model!$J68:DD68)),0)</f>
        <v>0</v>
      </c>
      <c r="DE68" s="1" t="n">
        <f aca="false">IF($D$12=1,MAX(0,SUM(Model!$J21:DE21)+SUM(Model!$J68:DE68)),0)</f>
        <v>0</v>
      </c>
    </row>
    <row r="69" customFormat="false" ht="13.5" hidden="false" customHeight="true" outlineLevel="0" collapsed="false">
      <c r="A69" s="1" t="str">
        <f aca="false">$B$13</f>
        <v>Klump</v>
      </c>
      <c r="B69" s="1" t="n">
        <v>0</v>
      </c>
      <c r="C69" s="1" t="n">
        <v>0</v>
      </c>
      <c r="D69" s="1" t="n">
        <v>0</v>
      </c>
      <c r="E69" s="1" t="n">
        <v>0</v>
      </c>
      <c r="F69" s="1" t="n">
        <v>0</v>
      </c>
      <c r="G69" s="1" t="n">
        <v>0</v>
      </c>
      <c r="H69" s="1" t="n">
        <v>0</v>
      </c>
      <c r="I69" s="1" t="n">
        <v>0</v>
      </c>
      <c r="J69" s="1" t="n">
        <f aca="false">IF($D$13=1,MAX(0,SUM(Model!$J22:J22)+SUM(Model!$J69:J69)),0)</f>
        <v>0</v>
      </c>
      <c r="K69" s="1" t="n">
        <f aca="false">IF($D$13=1,MAX(0,SUM(Model!$J22:K22)+SUM(Model!$J69:K69)),0)</f>
        <v>0</v>
      </c>
      <c r="L69" s="1" t="n">
        <f aca="false">IF($D$13=1,MAX(0,SUM(Model!$J22:L22)+SUM(Model!$J69:L69)),0)</f>
        <v>0</v>
      </c>
      <c r="M69" s="1" t="n">
        <f aca="false">IF($D$13=1,MAX(0,SUM(Model!$J22:M22)+SUM(Model!$J69:M69)),0)</f>
        <v>0</v>
      </c>
      <c r="N69" s="1" t="n">
        <f aca="false">IF($D$13=1,MAX(0,SUM(Model!$J22:N22)+SUM(Model!$J69:N69)),0)</f>
        <v>0</v>
      </c>
      <c r="O69" s="1" t="n">
        <f aca="false">IF($D$13=1,MAX(0,SUM(Model!$J22:O22)+SUM(Model!$J69:O69)),0)</f>
        <v>0</v>
      </c>
      <c r="P69" s="1" t="n">
        <f aca="false">IF($D$13=1,MAX(0,SUM(Model!$J22:P22)+SUM(Model!$J69:P69)),0)</f>
        <v>0</v>
      </c>
      <c r="Q69" s="1" t="n">
        <f aca="false">IF($D$13=1,MAX(0,SUM(Model!$J22:Q22)+SUM(Model!$J69:Q69)),0)</f>
        <v>0</v>
      </c>
      <c r="R69" s="1" t="n">
        <f aca="false">IF($D$13=1,MAX(0,SUM(Model!$J22:R22)+SUM(Model!$J69:R69)),0)</f>
        <v>0</v>
      </c>
      <c r="S69" s="1" t="n">
        <f aca="false">IF($D$13=1,MAX(0,SUM(Model!$J22:S22)+SUM(Model!$J69:S69)),0)</f>
        <v>0</v>
      </c>
      <c r="T69" s="1" t="n">
        <f aca="false">IF($D$13=1,MAX(0,SUM(Model!$J22:T22)+SUM(Model!$J69:T69)),0)</f>
        <v>0</v>
      </c>
      <c r="U69" s="1" t="n">
        <f aca="false">IF($D$13=1,MAX(0,SUM(Model!$J22:U22)+SUM(Model!$J69:U69)),0)</f>
        <v>0</v>
      </c>
      <c r="V69" s="1" t="n">
        <f aca="false">IF($D$13=1,MAX(0,SUM(Model!$J22:V22)+SUM(Model!$J69:V69)),0)</f>
        <v>0</v>
      </c>
      <c r="W69" s="1" t="n">
        <f aca="false">IF($D$13=1,MAX(0,SUM(Model!$J22:W22)+SUM(Model!$J69:W69)),0)</f>
        <v>0</v>
      </c>
      <c r="X69" s="1" t="n">
        <f aca="false">IF($D$13=1,MAX(0,SUM(Model!$J22:X22)+SUM(Model!$J69:X69)),0)</f>
        <v>0</v>
      </c>
      <c r="Y69" s="1" t="n">
        <f aca="false">IF($D$13=1,MAX(0,SUM(Model!$J22:Y22)+SUM(Model!$J69:Y69)),0)</f>
        <v>0</v>
      </c>
      <c r="Z69" s="1" t="n">
        <f aca="false">IF($D$13=1,MAX(0,SUM(Model!$J22:Z22)+SUM(Model!$J69:Z69)),0)</f>
        <v>0</v>
      </c>
      <c r="AA69" s="1" t="n">
        <f aca="false">IF($D$13=1,MAX(0,SUM(Model!$J22:AA22)+SUM(Model!$J69:AA69)),0)</f>
        <v>0</v>
      </c>
      <c r="AB69" s="1" t="n">
        <f aca="false">IF($D$13=1,MAX(0,SUM(Model!$J22:AB22)+SUM(Model!$J69:AB69)),0)</f>
        <v>0</v>
      </c>
      <c r="AC69" s="1" t="n">
        <f aca="false">IF($D$13=1,MAX(0,SUM(Model!$J22:AC22)+SUM(Model!$J69:AC69)),0)</f>
        <v>0</v>
      </c>
      <c r="AD69" s="1" t="n">
        <f aca="false">IF($D$13=1,MAX(0,SUM(Model!$J22:AD22)+SUM(Model!$J69:AD69)),0)</f>
        <v>0</v>
      </c>
      <c r="AE69" s="1" t="n">
        <f aca="false">IF($D$13=1,MAX(0,SUM(Model!$J22:AE22)+SUM(Model!$J69:AE69)),0)</f>
        <v>0</v>
      </c>
      <c r="AF69" s="1" t="n">
        <f aca="false">IF($D$13=1,MAX(0,SUM(Model!$J22:AF22)+SUM(Model!$J69:AF69)),0)</f>
        <v>0</v>
      </c>
      <c r="AG69" s="1" t="n">
        <f aca="false">IF($D$13=1,MAX(0,SUM(Model!$J22:AG22)+SUM(Model!$J69:AG69)),0)</f>
        <v>0</v>
      </c>
      <c r="AH69" s="1" t="n">
        <f aca="false">IF($D$13=1,MAX(0,SUM(Model!$J22:AH22)+SUM(Model!$J69:AH69)),0)</f>
        <v>0</v>
      </c>
      <c r="AI69" s="1" t="n">
        <f aca="false">IF($D$13=1,MAX(0,SUM(Model!$J22:AI22)+SUM(Model!$J69:AI69)),0)</f>
        <v>0</v>
      </c>
      <c r="AJ69" s="1" t="n">
        <f aca="false">IF($D$13=1,MAX(0,SUM(Model!$J22:AJ22)+SUM(Model!$J69:AJ69)),0)</f>
        <v>0</v>
      </c>
      <c r="AK69" s="1" t="n">
        <f aca="false">IF($D$13=1,MAX(0,SUM(Model!$J22:AK22)+SUM(Model!$J69:AK69)),0)</f>
        <v>0</v>
      </c>
      <c r="AL69" s="1" t="n">
        <f aca="false">IF($D$13=1,MAX(0,SUM(Model!$J22:AL22)+SUM(Model!$J69:AL69)),0)</f>
        <v>0</v>
      </c>
      <c r="AM69" s="1" t="n">
        <f aca="false">IF($D$13=1,MAX(0,SUM(Model!$J22:AM22)+SUM(Model!$J69:AM69)),0)</f>
        <v>0</v>
      </c>
      <c r="AN69" s="1" t="n">
        <f aca="false">IF($D$13=1,MAX(0,SUM(Model!$J22:AN22)+SUM(Model!$J69:AN69)),0)</f>
        <v>0</v>
      </c>
      <c r="AO69" s="1" t="n">
        <f aca="false">IF($D$13=1,MAX(0,SUM(Model!$J22:AO22)+SUM(Model!$J69:AO69)),0)</f>
        <v>0</v>
      </c>
      <c r="AP69" s="1" t="n">
        <f aca="false">IF($D$13=1,MAX(0,SUM(Model!$J22:AP22)+SUM(Model!$J69:AP69)),0)</f>
        <v>0</v>
      </c>
      <c r="AQ69" s="1" t="n">
        <f aca="false">IF($D$13=1,MAX(0,SUM(Model!$J22:AQ22)+SUM(Model!$J69:AQ69)),0)</f>
        <v>0</v>
      </c>
      <c r="AR69" s="1" t="n">
        <f aca="false">IF($D$13=1,MAX(0,SUM(Model!$J22:AR22)+SUM(Model!$J69:AR69)),0)</f>
        <v>0</v>
      </c>
      <c r="AS69" s="1" t="n">
        <f aca="false">IF($D$13=1,MAX(0,SUM(Model!$J22:AS22)+SUM(Model!$J69:AS69)),0)</f>
        <v>0</v>
      </c>
      <c r="AT69" s="1" t="n">
        <f aca="false">IF($D$13=1,MAX(0,SUM(Model!$J22:AT22)+SUM(Model!$J69:AT69)),0)</f>
        <v>0</v>
      </c>
      <c r="AU69" s="1" t="n">
        <f aca="false">IF($D$13=1,MAX(0,SUM(Model!$J22:AU22)+SUM(Model!$J69:AU69)),0)</f>
        <v>0</v>
      </c>
      <c r="AV69" s="1" t="n">
        <f aca="false">IF($D$13=1,MAX(0,SUM(Model!$J22:AV22)+SUM(Model!$J69:AV69)),0)</f>
        <v>0</v>
      </c>
      <c r="AW69" s="1" t="n">
        <f aca="false">IF($D$13=1,MAX(0,SUM(Model!$J22:AW22)+SUM(Model!$J69:AW69)),0)</f>
        <v>0</v>
      </c>
      <c r="AX69" s="1" t="n">
        <f aca="false">IF($D$13=1,MAX(0,SUM(Model!$J22:AX22)+SUM(Model!$J69:AX69)),0)</f>
        <v>0</v>
      </c>
      <c r="AY69" s="1" t="n">
        <f aca="false">IF($D$13=1,MAX(0,SUM(Model!$J22:AY22)+SUM(Model!$J69:AY69)),0)</f>
        <v>0</v>
      </c>
      <c r="AZ69" s="1" t="n">
        <f aca="false">IF($D$13=1,MAX(0,SUM(Model!$J22:AZ22)+SUM(Model!$J69:AZ69)),0)</f>
        <v>0</v>
      </c>
      <c r="BA69" s="1" t="n">
        <f aca="false">IF($D$13=1,MAX(0,SUM(Model!$J22:BA22)+SUM(Model!$J69:BA69)),0)</f>
        <v>0</v>
      </c>
      <c r="BB69" s="1" t="n">
        <f aca="false">IF($D$13=1,MAX(0,SUM(Model!$J22:BB22)+SUM(Model!$J69:BB69)),0)</f>
        <v>0</v>
      </c>
      <c r="BC69" s="1" t="n">
        <f aca="false">IF($D$13=1,MAX(0,SUM(Model!$J22:BC22)+SUM(Model!$J69:BC69)),0)</f>
        <v>0</v>
      </c>
      <c r="BD69" s="1" t="n">
        <f aca="false">IF($D$13=1,MAX(0,SUM(Model!$J22:BD22)+SUM(Model!$J69:BD69)),0)</f>
        <v>0</v>
      </c>
      <c r="BE69" s="1" t="n">
        <f aca="false">IF($D$13=1,MAX(0,SUM(Model!$J22:BE22)+SUM(Model!$J69:BE69)),0)</f>
        <v>0</v>
      </c>
      <c r="BF69" s="1" t="n">
        <f aca="false">IF($D$13=1,MAX(0,SUM(Model!$J22:BF22)+SUM(Model!$J69:BF69)),0)</f>
        <v>0</v>
      </c>
      <c r="BG69" s="1" t="n">
        <f aca="false">IF($D$13=1,MAX(0,SUM(Model!$J22:BG22)+SUM(Model!$J69:BG69)),0)</f>
        <v>0</v>
      </c>
      <c r="BH69" s="1" t="n">
        <f aca="false">IF($D$13=1,MAX(0,SUM(Model!$J22:BH22)+SUM(Model!$J69:BH69)),0)</f>
        <v>0</v>
      </c>
      <c r="BI69" s="1" t="n">
        <f aca="false">IF($D$13=1,MAX(0,SUM(Model!$J22:BI22)+SUM(Model!$J69:BI69)),0)</f>
        <v>0</v>
      </c>
      <c r="BJ69" s="1" t="n">
        <f aca="false">IF($D$13=1,MAX(0,SUM(Model!$J22:BJ22)+SUM(Model!$J69:BJ69)),0)</f>
        <v>0</v>
      </c>
      <c r="BK69" s="1" t="n">
        <f aca="false">IF($D$13=1,MAX(0,SUM(Model!$J22:BK22)+SUM(Model!$J69:BK69)),0)</f>
        <v>0</v>
      </c>
      <c r="BL69" s="1" t="n">
        <f aca="false">IF($D$13=1,MAX(0,SUM(Model!$J22:BL22)+SUM(Model!$J69:BL69)),0)</f>
        <v>0</v>
      </c>
      <c r="BM69" s="1" t="n">
        <f aca="false">IF($D$13=1,MAX(0,SUM(Model!$J22:BM22)+SUM(Model!$J69:BM69)),0)</f>
        <v>0</v>
      </c>
      <c r="BN69" s="1" t="n">
        <f aca="false">IF($D$13=1,MAX(0,SUM(Model!$J22:BN22)+SUM(Model!$J69:BN69)),0)</f>
        <v>0</v>
      </c>
      <c r="BO69" s="1" t="n">
        <f aca="false">IF($D$13=1,MAX(0,SUM(Model!$J22:BO22)+SUM(Model!$J69:BO69)),0)</f>
        <v>0</v>
      </c>
      <c r="BP69" s="1" t="n">
        <f aca="false">IF($D$13=1,MAX(0,SUM(Model!$J22:BP22)+SUM(Model!$J69:BP69)),0)</f>
        <v>0</v>
      </c>
      <c r="BQ69" s="1" t="n">
        <f aca="false">IF($D$13=1,MAX(0,SUM(Model!$J22:BQ22)+SUM(Model!$J69:BQ69)),0)</f>
        <v>0</v>
      </c>
      <c r="BR69" s="1" t="n">
        <f aca="false">IF($D$13=1,MAX(0,SUM(Model!$J22:BR22)+SUM(Model!$J69:BR69)),0)</f>
        <v>0</v>
      </c>
      <c r="BS69" s="1" t="n">
        <f aca="false">IF($D$13=1,MAX(0,SUM(Model!$J22:BS22)+SUM(Model!$J69:BS69)),0)</f>
        <v>0</v>
      </c>
      <c r="BT69" s="1" t="n">
        <f aca="false">IF($D$13=1,MAX(0,SUM(Model!$J22:BT22)+SUM(Model!$J69:BT69)),0)</f>
        <v>0</v>
      </c>
      <c r="BU69" s="1" t="n">
        <f aca="false">IF($D$13=1,MAX(0,SUM(Model!$J22:BU22)+SUM(Model!$J69:BU69)),0)</f>
        <v>0</v>
      </c>
      <c r="BV69" s="1" t="n">
        <f aca="false">IF($D$13=1,MAX(0,SUM(Model!$J22:BV22)+SUM(Model!$J69:BV69)),0)</f>
        <v>0</v>
      </c>
      <c r="BW69" s="1" t="n">
        <f aca="false">IF($D$13=1,MAX(0,SUM(Model!$J22:BW22)+SUM(Model!$J69:BW69)),0)</f>
        <v>0</v>
      </c>
      <c r="BX69" s="1" t="n">
        <f aca="false">IF($D$13=1,MAX(0,SUM(Model!$J22:BX22)+SUM(Model!$J69:BX69)),0)</f>
        <v>0</v>
      </c>
      <c r="BY69" s="1" t="n">
        <f aca="false">IF($D$13=1,MAX(0,SUM(Model!$J22:BY22)+SUM(Model!$J69:BY69)),0)</f>
        <v>0</v>
      </c>
      <c r="BZ69" s="1" t="n">
        <f aca="false">IF($D$13=1,MAX(0,SUM(Model!$J22:BZ22)+SUM(Model!$J69:BZ69)),0)</f>
        <v>0</v>
      </c>
      <c r="CA69" s="1" t="n">
        <f aca="false">IF($D$13=1,MAX(0,SUM(Model!$J22:CA22)+SUM(Model!$J69:CA69)),0)</f>
        <v>0</v>
      </c>
      <c r="CB69" s="1" t="n">
        <f aca="false">IF($D$13=1,MAX(0,SUM(Model!$J22:CB22)+SUM(Model!$J69:CB69)),0)</f>
        <v>0</v>
      </c>
      <c r="CC69" s="1" t="n">
        <f aca="false">IF($D$13=1,MAX(0,SUM(Model!$J22:CC22)+SUM(Model!$J69:CC69)),0)</f>
        <v>0</v>
      </c>
      <c r="CD69" s="1" t="n">
        <f aca="false">IF($D$13=1,MAX(0,SUM(Model!$J22:CD22)+SUM(Model!$J69:CD69)),0)</f>
        <v>0</v>
      </c>
      <c r="CE69" s="1" t="n">
        <f aca="false">IF($D$13=1,MAX(0,SUM(Model!$J22:CE22)+SUM(Model!$J69:CE69)),0)</f>
        <v>0</v>
      </c>
      <c r="CF69" s="1" t="n">
        <f aca="false">IF($D$13=1,MAX(0,SUM(Model!$J22:CF22)+SUM(Model!$J69:CF69)),0)</f>
        <v>0</v>
      </c>
      <c r="CG69" s="1" t="n">
        <f aca="false">IF($D$13=1,MAX(0,SUM(Model!$J22:CG22)+SUM(Model!$J69:CG69)),0)</f>
        <v>0</v>
      </c>
      <c r="CH69" s="1" t="n">
        <f aca="false">IF($D$13=1,MAX(0,SUM(Model!$J22:CH22)+SUM(Model!$J69:CH69)),0)</f>
        <v>0</v>
      </c>
      <c r="CI69" s="1" t="n">
        <f aca="false">IF($D$13=1,MAX(0,SUM(Model!$J22:CI22)+SUM(Model!$J69:CI69)),0)</f>
        <v>0</v>
      </c>
      <c r="CJ69" s="1" t="n">
        <f aca="false">IF($D$13=1,MAX(0,SUM(Model!$J22:CJ22)+SUM(Model!$J69:CJ69)),0)</f>
        <v>0</v>
      </c>
      <c r="CK69" s="1" t="n">
        <f aca="false">IF($D$13=1,MAX(0,SUM(Model!$J22:CK22)+SUM(Model!$J69:CK69)),0)</f>
        <v>0</v>
      </c>
      <c r="CL69" s="1" t="n">
        <f aca="false">IF($D$13=1,MAX(0,SUM(Model!$J22:CL22)+SUM(Model!$J69:CL69)),0)</f>
        <v>0</v>
      </c>
      <c r="CM69" s="1" t="n">
        <f aca="false">IF($D$13=1,MAX(0,SUM(Model!$J22:CM22)+SUM(Model!$J69:CM69)),0)</f>
        <v>0</v>
      </c>
      <c r="CN69" s="1" t="n">
        <f aca="false">IF($D$13=1,MAX(0,SUM(Model!$J22:CN22)+SUM(Model!$J69:CN69)),0)</f>
        <v>0</v>
      </c>
      <c r="CO69" s="1" t="n">
        <f aca="false">IF($D$13=1,MAX(0,SUM(Model!$J22:CO22)+SUM(Model!$J69:CO69)),0)</f>
        <v>0</v>
      </c>
      <c r="CP69" s="1" t="n">
        <f aca="false">IF($D$13=1,MAX(0,SUM(Model!$J22:CP22)+SUM(Model!$J69:CP69)),0)</f>
        <v>0</v>
      </c>
      <c r="CQ69" s="1" t="n">
        <f aca="false">IF($D$13=1,MAX(0,SUM(Model!$J22:CQ22)+SUM(Model!$J69:CQ69)),0)</f>
        <v>0</v>
      </c>
      <c r="CR69" s="1" t="n">
        <f aca="false">IF($D$13=1,MAX(0,SUM(Model!$J22:CR22)+SUM(Model!$J69:CR69)),0)</f>
        <v>0</v>
      </c>
      <c r="CS69" s="1" t="n">
        <f aca="false">IF($D$13=1,MAX(0,SUM(Model!$J22:CS22)+SUM(Model!$J69:CS69)),0)</f>
        <v>0</v>
      </c>
      <c r="CT69" s="1" t="n">
        <f aca="false">IF($D$13=1,MAX(0,SUM(Model!$J22:CT22)+SUM(Model!$J69:CT69)),0)</f>
        <v>0</v>
      </c>
      <c r="CU69" s="1" t="n">
        <f aca="false">IF($D$13=1,MAX(0,SUM(Model!$J22:CU22)+SUM(Model!$J69:CU69)),0)</f>
        <v>0</v>
      </c>
      <c r="CV69" s="1" t="n">
        <f aca="false">IF($D$13=1,MAX(0,SUM(Model!$J22:CV22)+SUM(Model!$J69:CV69)),0)</f>
        <v>0</v>
      </c>
      <c r="CW69" s="1" t="n">
        <f aca="false">IF($D$13=1,MAX(0,SUM(Model!$J22:CW22)+SUM(Model!$J69:CW69)),0)</f>
        <v>0</v>
      </c>
      <c r="CX69" s="1" t="n">
        <f aca="false">IF($D$13=1,MAX(0,SUM(Model!$J22:CX22)+SUM(Model!$J69:CX69)),0)</f>
        <v>0</v>
      </c>
      <c r="CY69" s="1" t="n">
        <f aca="false">IF($D$13=1,MAX(0,SUM(Model!$J22:CY22)+SUM(Model!$J69:CY69)),0)</f>
        <v>0</v>
      </c>
      <c r="CZ69" s="1" t="n">
        <f aca="false">IF($D$13=1,MAX(0,SUM(Model!$J22:CZ22)+SUM(Model!$J69:CZ69)),0)</f>
        <v>0</v>
      </c>
      <c r="DA69" s="1" t="n">
        <f aca="false">IF($D$13=1,MAX(0,SUM(Model!$J22:DA22)+SUM(Model!$J69:DA69)),0)</f>
        <v>0</v>
      </c>
      <c r="DB69" s="1" t="n">
        <f aca="false">IF($D$13=1,MAX(0,SUM(Model!$J22:DB22)+SUM(Model!$J69:DB69)),0)</f>
        <v>0</v>
      </c>
      <c r="DC69" s="1" t="n">
        <f aca="false">IF($D$13=1,MAX(0,SUM(Model!$J22:DC22)+SUM(Model!$J69:DC69)),0)</f>
        <v>0</v>
      </c>
      <c r="DD69" s="1" t="n">
        <f aca="false">IF($D$13=1,MAX(0,SUM(Model!$J22:DD22)+SUM(Model!$J69:DD69)),0)</f>
        <v>0</v>
      </c>
      <c r="DE69" s="1" t="n">
        <f aca="false">IF($D$13=1,MAX(0,SUM(Model!$J22:DE22)+SUM(Model!$J69:DE69)),0)</f>
        <v>0</v>
      </c>
    </row>
    <row r="70" customFormat="false" ht="13.5" hidden="false" customHeight="true" outlineLevel="0" collapsed="false">
      <c r="A70" s="1" t="str">
        <f aca="false">$B$14</f>
        <v>Scott</v>
      </c>
      <c r="B70" s="1" t="n">
        <v>0</v>
      </c>
      <c r="C70" s="1" t="n">
        <v>0</v>
      </c>
      <c r="D70" s="1" t="n">
        <v>0</v>
      </c>
      <c r="E70" s="1" t="n">
        <v>0</v>
      </c>
      <c r="F70" s="1" t="n">
        <v>0</v>
      </c>
      <c r="G70" s="1" t="n">
        <v>0</v>
      </c>
      <c r="H70" s="1" t="n">
        <v>0</v>
      </c>
      <c r="I70" s="1" t="n">
        <v>0</v>
      </c>
      <c r="J70" s="1" t="n">
        <f aca="false">IF($D$14=1,MAX(0,SUM(Model!$J23:J23)+SUM(Model!$J70:J70)),0)</f>
        <v>0</v>
      </c>
      <c r="K70" s="1" t="n">
        <f aca="false">IF($D$14=1,MAX(0,SUM(Model!$J23:K23)+SUM(Model!$J70:K70)),0)</f>
        <v>0</v>
      </c>
      <c r="L70" s="1" t="n">
        <f aca="false">IF($D$14=1,MAX(0,SUM(Model!$J23:L23)+SUM(Model!$J70:L70)),0)</f>
        <v>0</v>
      </c>
      <c r="M70" s="1" t="n">
        <f aca="false">IF($D$14=1,MAX(0,SUM(Model!$J23:M23)+SUM(Model!$J70:M70)),0)</f>
        <v>0</v>
      </c>
      <c r="N70" s="1" t="n">
        <f aca="false">IF($D$14=1,MAX(0,SUM(Model!$J23:N23)+SUM(Model!$J70:N70)),0)</f>
        <v>0</v>
      </c>
      <c r="O70" s="1" t="n">
        <f aca="false">IF($D$14=1,MAX(0,SUM(Model!$J23:O23)+SUM(Model!$J70:O70)),0)</f>
        <v>0</v>
      </c>
      <c r="P70" s="1" t="n">
        <f aca="false">IF($D$14=1,MAX(0,SUM(Model!$J23:P23)+SUM(Model!$J70:P70)),0)</f>
        <v>0</v>
      </c>
      <c r="Q70" s="1" t="n">
        <f aca="false">IF($D$14=1,MAX(0,SUM(Model!$J23:Q23)+SUM(Model!$J70:Q70)),0)</f>
        <v>0</v>
      </c>
      <c r="R70" s="1" t="n">
        <f aca="false">IF($D$14=1,MAX(0,SUM(Model!$J23:R23)+SUM(Model!$J70:R70)),0)</f>
        <v>0</v>
      </c>
      <c r="S70" s="1" t="n">
        <f aca="false">IF($D$14=1,MAX(0,SUM(Model!$J23:S23)+SUM(Model!$J70:S70)),0)</f>
        <v>0</v>
      </c>
      <c r="T70" s="1" t="n">
        <f aca="false">IF($D$14=1,MAX(0,SUM(Model!$J23:T23)+SUM(Model!$J70:T70)),0)</f>
        <v>0</v>
      </c>
      <c r="U70" s="1" t="n">
        <f aca="false">IF($D$14=1,MAX(0,SUM(Model!$J23:U23)+SUM(Model!$J70:U70)),0)</f>
        <v>0</v>
      </c>
      <c r="V70" s="1" t="n">
        <f aca="false">IF($D$14=1,MAX(0,SUM(Model!$J23:V23)+SUM(Model!$J70:V70)),0)</f>
        <v>0</v>
      </c>
      <c r="W70" s="1" t="n">
        <f aca="false">IF($D$14=1,MAX(0,SUM(Model!$J23:W23)+SUM(Model!$J70:W70)),0)</f>
        <v>0</v>
      </c>
      <c r="X70" s="1" t="n">
        <f aca="false">IF($D$14=1,MAX(0,SUM(Model!$J23:X23)+SUM(Model!$J70:X70)),0)</f>
        <v>0</v>
      </c>
      <c r="Y70" s="1" t="n">
        <f aca="false">IF($D$14=1,MAX(0,SUM(Model!$J23:Y23)+SUM(Model!$J70:Y70)),0)</f>
        <v>0</v>
      </c>
      <c r="Z70" s="1" t="n">
        <f aca="false">IF($D$14=1,MAX(0,SUM(Model!$J23:Z23)+SUM(Model!$J70:Z70)),0)</f>
        <v>0</v>
      </c>
      <c r="AA70" s="1" t="n">
        <f aca="false">IF($D$14=1,MAX(0,SUM(Model!$J23:AA23)+SUM(Model!$J70:AA70)),0)</f>
        <v>0</v>
      </c>
      <c r="AB70" s="1" t="n">
        <f aca="false">IF($D$14=1,MAX(0,SUM(Model!$J23:AB23)+SUM(Model!$J70:AB70)),0)</f>
        <v>0</v>
      </c>
      <c r="AC70" s="1" t="n">
        <f aca="false">IF($D$14=1,MAX(0,SUM(Model!$J23:AC23)+SUM(Model!$J70:AC70)),0)</f>
        <v>0</v>
      </c>
      <c r="AD70" s="1" t="n">
        <f aca="false">IF($D$14=1,MAX(0,SUM(Model!$J23:AD23)+SUM(Model!$J70:AD70)),0)</f>
        <v>0</v>
      </c>
      <c r="AE70" s="1" t="n">
        <f aca="false">IF($D$14=1,MAX(0,SUM(Model!$J23:AE23)+SUM(Model!$J70:AE70)),0)</f>
        <v>0</v>
      </c>
      <c r="AF70" s="1" t="n">
        <f aca="false">IF($D$14=1,MAX(0,SUM(Model!$J23:AF23)+SUM(Model!$J70:AF70)),0)</f>
        <v>0</v>
      </c>
      <c r="AG70" s="1" t="n">
        <f aca="false">IF($D$14=1,MAX(0,SUM(Model!$J23:AG23)+SUM(Model!$J70:AG70)),0)</f>
        <v>0</v>
      </c>
      <c r="AH70" s="1" t="n">
        <f aca="false">IF($D$14=1,MAX(0,SUM(Model!$J23:AH23)+SUM(Model!$J70:AH70)),0)</f>
        <v>0</v>
      </c>
      <c r="AI70" s="1" t="n">
        <f aca="false">IF($D$14=1,MAX(0,SUM(Model!$J23:AI23)+SUM(Model!$J70:AI70)),0)</f>
        <v>0</v>
      </c>
      <c r="AJ70" s="1" t="n">
        <f aca="false">IF($D$14=1,MAX(0,SUM(Model!$J23:AJ23)+SUM(Model!$J70:AJ70)),0)</f>
        <v>0</v>
      </c>
      <c r="AK70" s="1" t="n">
        <f aca="false">IF($D$14=1,MAX(0,SUM(Model!$J23:AK23)+SUM(Model!$J70:AK70)),0)</f>
        <v>0</v>
      </c>
      <c r="AL70" s="1" t="n">
        <f aca="false">IF($D$14=1,MAX(0,SUM(Model!$J23:AL23)+SUM(Model!$J70:AL70)),0)</f>
        <v>0</v>
      </c>
      <c r="AM70" s="1" t="n">
        <f aca="false">IF($D$14=1,MAX(0,SUM(Model!$J23:AM23)+SUM(Model!$J70:AM70)),0)</f>
        <v>0</v>
      </c>
      <c r="AN70" s="1" t="n">
        <f aca="false">IF($D$14=1,MAX(0,SUM(Model!$J23:AN23)+SUM(Model!$J70:AN70)),0)</f>
        <v>0</v>
      </c>
      <c r="AO70" s="1" t="n">
        <f aca="false">IF($D$14=1,MAX(0,SUM(Model!$J23:AO23)+SUM(Model!$J70:AO70)),0)</f>
        <v>0</v>
      </c>
      <c r="AP70" s="1" t="n">
        <f aca="false">IF($D$14=1,MAX(0,SUM(Model!$J23:AP23)+SUM(Model!$J70:AP70)),0)</f>
        <v>0</v>
      </c>
      <c r="AQ70" s="1" t="n">
        <f aca="false">IF($D$14=1,MAX(0,SUM(Model!$J23:AQ23)+SUM(Model!$J70:AQ70)),0)</f>
        <v>0</v>
      </c>
      <c r="AR70" s="1" t="n">
        <f aca="false">IF($D$14=1,MAX(0,SUM(Model!$J23:AR23)+SUM(Model!$J70:AR70)),0)</f>
        <v>0</v>
      </c>
      <c r="AS70" s="1" t="n">
        <f aca="false">IF($D$14=1,MAX(0,SUM(Model!$J23:AS23)+SUM(Model!$J70:AS70)),0)</f>
        <v>0</v>
      </c>
      <c r="AT70" s="1" t="n">
        <f aca="false">IF($D$14=1,MAX(0,SUM(Model!$J23:AT23)+SUM(Model!$J70:AT70)),0)</f>
        <v>0</v>
      </c>
      <c r="AU70" s="1" t="n">
        <f aca="false">IF($D$14=1,MAX(0,SUM(Model!$J23:AU23)+SUM(Model!$J70:AU70)),0)</f>
        <v>0</v>
      </c>
      <c r="AV70" s="1" t="n">
        <f aca="false">IF($D$14=1,MAX(0,SUM(Model!$J23:AV23)+SUM(Model!$J70:AV70)),0)</f>
        <v>0</v>
      </c>
      <c r="AW70" s="1" t="n">
        <f aca="false">IF($D$14=1,MAX(0,SUM(Model!$J23:AW23)+SUM(Model!$J70:AW70)),0)</f>
        <v>0</v>
      </c>
      <c r="AX70" s="1" t="n">
        <f aca="false">IF($D$14=1,MAX(0,SUM(Model!$J23:AX23)+SUM(Model!$J70:AX70)),0)</f>
        <v>0</v>
      </c>
      <c r="AY70" s="1" t="n">
        <f aca="false">IF($D$14=1,MAX(0,SUM(Model!$J23:AY23)+SUM(Model!$J70:AY70)),0)</f>
        <v>0</v>
      </c>
      <c r="AZ70" s="1" t="n">
        <f aca="false">IF($D$14=1,MAX(0,SUM(Model!$J23:AZ23)+SUM(Model!$J70:AZ70)),0)</f>
        <v>0</v>
      </c>
      <c r="BA70" s="1" t="n">
        <f aca="false">IF($D$14=1,MAX(0,SUM(Model!$J23:BA23)+SUM(Model!$J70:BA70)),0)</f>
        <v>0</v>
      </c>
      <c r="BB70" s="1" t="n">
        <f aca="false">IF($D$14=1,MAX(0,SUM(Model!$J23:BB23)+SUM(Model!$J70:BB70)),0)</f>
        <v>0</v>
      </c>
      <c r="BC70" s="1" t="n">
        <f aca="false">IF($D$14=1,MAX(0,SUM(Model!$J23:BC23)+SUM(Model!$J70:BC70)),0)</f>
        <v>0</v>
      </c>
      <c r="BD70" s="1" t="n">
        <f aca="false">IF($D$14=1,MAX(0,SUM(Model!$J23:BD23)+SUM(Model!$J70:BD70)),0)</f>
        <v>0</v>
      </c>
      <c r="BE70" s="1" t="n">
        <f aca="false">IF($D$14=1,MAX(0,SUM(Model!$J23:BE23)+SUM(Model!$J70:BE70)),0)</f>
        <v>0</v>
      </c>
      <c r="BF70" s="1" t="n">
        <f aca="false">IF($D$14=1,MAX(0,SUM(Model!$J23:BF23)+SUM(Model!$J70:BF70)),0)</f>
        <v>0</v>
      </c>
      <c r="BG70" s="1" t="n">
        <f aca="false">IF($D$14=1,MAX(0,SUM(Model!$J23:BG23)+SUM(Model!$J70:BG70)),0)</f>
        <v>0</v>
      </c>
      <c r="BH70" s="1" t="n">
        <f aca="false">IF($D$14=1,MAX(0,SUM(Model!$J23:BH23)+SUM(Model!$J70:BH70)),0)</f>
        <v>0</v>
      </c>
      <c r="BI70" s="1" t="n">
        <f aca="false">IF($D$14=1,MAX(0,SUM(Model!$J23:BI23)+SUM(Model!$J70:BI70)),0)</f>
        <v>0</v>
      </c>
      <c r="BJ70" s="1" t="n">
        <f aca="false">IF($D$14=1,MAX(0,SUM(Model!$J23:BJ23)+SUM(Model!$J70:BJ70)),0)</f>
        <v>0</v>
      </c>
      <c r="BK70" s="1" t="n">
        <f aca="false">IF($D$14=1,MAX(0,SUM(Model!$J23:BK23)+SUM(Model!$J70:BK70)),0)</f>
        <v>0</v>
      </c>
      <c r="BL70" s="1" t="n">
        <f aca="false">IF($D$14=1,MAX(0,SUM(Model!$J23:BL23)+SUM(Model!$J70:BL70)),0)</f>
        <v>0</v>
      </c>
      <c r="BM70" s="1" t="n">
        <f aca="false">IF($D$14=1,MAX(0,SUM(Model!$J23:BM23)+SUM(Model!$J70:BM70)),0)</f>
        <v>0</v>
      </c>
      <c r="BN70" s="1" t="n">
        <f aca="false">IF($D$14=1,MAX(0,SUM(Model!$J23:BN23)+SUM(Model!$J70:BN70)),0)</f>
        <v>0</v>
      </c>
      <c r="BO70" s="1" t="n">
        <f aca="false">IF($D$14=1,MAX(0,SUM(Model!$J23:BO23)+SUM(Model!$J70:BO70)),0)</f>
        <v>0</v>
      </c>
      <c r="BP70" s="1" t="n">
        <f aca="false">IF($D$14=1,MAX(0,SUM(Model!$J23:BP23)+SUM(Model!$J70:BP70)),0)</f>
        <v>0</v>
      </c>
      <c r="BQ70" s="1" t="n">
        <f aca="false">IF($D$14=1,MAX(0,SUM(Model!$J23:BQ23)+SUM(Model!$J70:BQ70)),0)</f>
        <v>0</v>
      </c>
      <c r="BR70" s="1" t="n">
        <f aca="false">IF($D$14=1,MAX(0,SUM(Model!$J23:BR23)+SUM(Model!$J70:BR70)),0)</f>
        <v>0</v>
      </c>
      <c r="BS70" s="1" t="n">
        <f aca="false">IF($D$14=1,MAX(0,SUM(Model!$J23:BS23)+SUM(Model!$J70:BS70)),0)</f>
        <v>0</v>
      </c>
      <c r="BT70" s="1" t="n">
        <f aca="false">IF($D$14=1,MAX(0,SUM(Model!$J23:BT23)+SUM(Model!$J70:BT70)),0)</f>
        <v>0</v>
      </c>
      <c r="BU70" s="1" t="n">
        <f aca="false">IF($D$14=1,MAX(0,SUM(Model!$J23:BU23)+SUM(Model!$J70:BU70)),0)</f>
        <v>0</v>
      </c>
      <c r="BV70" s="1" t="n">
        <f aca="false">IF($D$14=1,MAX(0,SUM(Model!$J23:BV23)+SUM(Model!$J70:BV70)),0)</f>
        <v>0</v>
      </c>
      <c r="BW70" s="1" t="n">
        <f aca="false">IF($D$14=1,MAX(0,SUM(Model!$J23:BW23)+SUM(Model!$J70:BW70)),0)</f>
        <v>0</v>
      </c>
      <c r="BX70" s="1" t="n">
        <f aca="false">IF($D$14=1,MAX(0,SUM(Model!$J23:BX23)+SUM(Model!$J70:BX70)),0)</f>
        <v>0</v>
      </c>
      <c r="BY70" s="1" t="n">
        <f aca="false">IF($D$14=1,MAX(0,SUM(Model!$J23:BY23)+SUM(Model!$J70:BY70)),0)</f>
        <v>0</v>
      </c>
      <c r="BZ70" s="1" t="n">
        <f aca="false">IF($D$14=1,MAX(0,SUM(Model!$J23:BZ23)+SUM(Model!$J70:BZ70)),0)</f>
        <v>0</v>
      </c>
      <c r="CA70" s="1" t="n">
        <f aca="false">IF($D$14=1,MAX(0,SUM(Model!$J23:CA23)+SUM(Model!$J70:CA70)),0)</f>
        <v>0</v>
      </c>
      <c r="CB70" s="1" t="n">
        <f aca="false">IF($D$14=1,MAX(0,SUM(Model!$J23:CB23)+SUM(Model!$J70:CB70)),0)</f>
        <v>0</v>
      </c>
      <c r="CC70" s="1" t="n">
        <f aca="false">IF($D$14=1,MAX(0,SUM(Model!$J23:CC23)+SUM(Model!$J70:CC70)),0)</f>
        <v>0</v>
      </c>
      <c r="CD70" s="1" t="n">
        <f aca="false">IF($D$14=1,MAX(0,SUM(Model!$J23:CD23)+SUM(Model!$J70:CD70)),0)</f>
        <v>0</v>
      </c>
      <c r="CE70" s="1" t="n">
        <f aca="false">IF($D$14=1,MAX(0,SUM(Model!$J23:CE23)+SUM(Model!$J70:CE70)),0)</f>
        <v>0</v>
      </c>
      <c r="CF70" s="1" t="n">
        <f aca="false">IF($D$14=1,MAX(0,SUM(Model!$J23:CF23)+SUM(Model!$J70:CF70)),0)</f>
        <v>0</v>
      </c>
      <c r="CG70" s="1" t="n">
        <f aca="false">IF($D$14=1,MAX(0,SUM(Model!$J23:CG23)+SUM(Model!$J70:CG70)),0)</f>
        <v>0</v>
      </c>
      <c r="CH70" s="1" t="n">
        <f aca="false">IF($D$14=1,MAX(0,SUM(Model!$J23:CH23)+SUM(Model!$J70:CH70)),0)</f>
        <v>0</v>
      </c>
      <c r="CI70" s="1" t="n">
        <f aca="false">IF($D$14=1,MAX(0,SUM(Model!$J23:CI23)+SUM(Model!$J70:CI70)),0)</f>
        <v>0</v>
      </c>
      <c r="CJ70" s="1" t="n">
        <f aca="false">IF($D$14=1,MAX(0,SUM(Model!$J23:CJ23)+SUM(Model!$J70:CJ70)),0)</f>
        <v>0</v>
      </c>
      <c r="CK70" s="1" t="n">
        <f aca="false">IF($D$14=1,MAX(0,SUM(Model!$J23:CK23)+SUM(Model!$J70:CK70)),0)</f>
        <v>0</v>
      </c>
      <c r="CL70" s="1" t="n">
        <f aca="false">IF($D$14=1,MAX(0,SUM(Model!$J23:CL23)+SUM(Model!$J70:CL70)),0)</f>
        <v>0</v>
      </c>
      <c r="CM70" s="1" t="n">
        <f aca="false">IF($D$14=1,MAX(0,SUM(Model!$J23:CM23)+SUM(Model!$J70:CM70)),0)</f>
        <v>0</v>
      </c>
      <c r="CN70" s="1" t="n">
        <f aca="false">IF($D$14=1,MAX(0,SUM(Model!$J23:CN23)+SUM(Model!$J70:CN70)),0)</f>
        <v>0</v>
      </c>
      <c r="CO70" s="1" t="n">
        <f aca="false">IF($D$14=1,MAX(0,SUM(Model!$J23:CO23)+SUM(Model!$J70:CO70)),0)</f>
        <v>0</v>
      </c>
      <c r="CP70" s="1" t="n">
        <f aca="false">IF($D$14=1,MAX(0,SUM(Model!$J23:CP23)+SUM(Model!$J70:CP70)),0)</f>
        <v>0</v>
      </c>
      <c r="CQ70" s="1" t="n">
        <f aca="false">IF($D$14=1,MAX(0,SUM(Model!$J23:CQ23)+SUM(Model!$J70:CQ70)),0)</f>
        <v>0</v>
      </c>
      <c r="CR70" s="1" t="n">
        <f aca="false">IF($D$14=1,MAX(0,SUM(Model!$J23:CR23)+SUM(Model!$J70:CR70)),0)</f>
        <v>0</v>
      </c>
      <c r="CS70" s="1" t="n">
        <f aca="false">IF($D$14=1,MAX(0,SUM(Model!$J23:CS23)+SUM(Model!$J70:CS70)),0)</f>
        <v>0</v>
      </c>
      <c r="CT70" s="1" t="n">
        <f aca="false">IF($D$14=1,MAX(0,SUM(Model!$J23:CT23)+SUM(Model!$J70:CT70)),0)</f>
        <v>0</v>
      </c>
      <c r="CU70" s="1" t="n">
        <f aca="false">IF($D$14=1,MAX(0,SUM(Model!$J23:CU23)+SUM(Model!$J70:CU70)),0)</f>
        <v>0</v>
      </c>
      <c r="CV70" s="1" t="n">
        <f aca="false">IF($D$14=1,MAX(0,SUM(Model!$J23:CV23)+SUM(Model!$J70:CV70)),0)</f>
        <v>0</v>
      </c>
      <c r="CW70" s="1" t="n">
        <f aca="false">IF($D$14=1,MAX(0,SUM(Model!$J23:CW23)+SUM(Model!$J70:CW70)),0)</f>
        <v>0</v>
      </c>
      <c r="CX70" s="1" t="n">
        <f aca="false">IF($D$14=1,MAX(0,SUM(Model!$J23:CX23)+SUM(Model!$J70:CX70)),0)</f>
        <v>0</v>
      </c>
      <c r="CY70" s="1" t="n">
        <f aca="false">IF($D$14=1,MAX(0,SUM(Model!$J23:CY23)+SUM(Model!$J70:CY70)),0)</f>
        <v>0</v>
      </c>
      <c r="CZ70" s="1" t="n">
        <f aca="false">IF($D$14=1,MAX(0,SUM(Model!$J23:CZ23)+SUM(Model!$J70:CZ70)),0)</f>
        <v>0</v>
      </c>
      <c r="DA70" s="1" t="n">
        <f aca="false">IF($D$14=1,MAX(0,SUM(Model!$J23:DA23)+SUM(Model!$J70:DA70)),0)</f>
        <v>0</v>
      </c>
      <c r="DB70" s="1" t="n">
        <f aca="false">IF($D$14=1,MAX(0,SUM(Model!$J23:DB23)+SUM(Model!$J70:DB70)),0)</f>
        <v>0</v>
      </c>
      <c r="DC70" s="1" t="n">
        <f aca="false">IF($D$14=1,MAX(0,SUM(Model!$J23:DC23)+SUM(Model!$J70:DC70)),0)</f>
        <v>0</v>
      </c>
      <c r="DD70" s="1" t="n">
        <f aca="false">IF($D$14=1,MAX(0,SUM(Model!$J23:DD23)+SUM(Model!$J70:DD70)),0)</f>
        <v>0</v>
      </c>
      <c r="DE70" s="1" t="n">
        <f aca="false">IF($D$14=1,MAX(0,SUM(Model!$J23:DE23)+SUM(Model!$J70:DE70)),0)</f>
        <v>0</v>
      </c>
    </row>
    <row r="71" customFormat="false" ht="13.5" hidden="false" customHeight="true" outlineLevel="0" collapsed="false">
      <c r="A71" s="1" t="str">
        <f aca="false">$B$15</f>
        <v>Reseda</v>
      </c>
      <c r="B71" s="1" t="n">
        <v>0</v>
      </c>
      <c r="C71" s="1" t="n">
        <v>0</v>
      </c>
      <c r="D71" s="1" t="n">
        <v>0</v>
      </c>
      <c r="E71" s="1" t="n">
        <v>0</v>
      </c>
      <c r="F71" s="1" t="n">
        <v>0</v>
      </c>
      <c r="G71" s="1" t="n">
        <v>0</v>
      </c>
      <c r="H71" s="1" t="n">
        <v>0</v>
      </c>
      <c r="I71" s="1" t="n">
        <v>0</v>
      </c>
      <c r="J71" s="1" t="n">
        <f aca="false">IF($D$15=1,MAX(0,SUM(Model!$J24:J24)+SUM(Model!$J71:J71)),0)</f>
        <v>0</v>
      </c>
      <c r="K71" s="1" t="n">
        <f aca="false">IF($D$15=1,MAX(0,SUM(Model!$J24:K24)+SUM(Model!$J71:K71)),0)</f>
        <v>0</v>
      </c>
      <c r="L71" s="1" t="n">
        <f aca="false">IF($D$15=1,MAX(0,SUM(Model!$J24:L24)+SUM(Model!$J71:L71)),0)</f>
        <v>0</v>
      </c>
      <c r="M71" s="1" t="n">
        <f aca="false">IF($D$15=1,MAX(0,SUM(Model!$J24:M24)+SUM(Model!$J71:M71)),0)</f>
        <v>0</v>
      </c>
      <c r="N71" s="1" t="n">
        <f aca="false">IF($D$15=1,MAX(0,SUM(Model!$J24:N24)+SUM(Model!$J71:N71)),0)</f>
        <v>0</v>
      </c>
      <c r="O71" s="1" t="n">
        <f aca="false">IF($D$15=1,MAX(0,SUM(Model!$J24:O24)+SUM(Model!$J71:O71)),0)</f>
        <v>0</v>
      </c>
      <c r="P71" s="1" t="n">
        <f aca="false">IF($D$15=1,MAX(0,SUM(Model!$J24:P24)+SUM(Model!$J71:P71)),0)</f>
        <v>0</v>
      </c>
      <c r="Q71" s="1" t="n">
        <f aca="false">IF($D$15=1,MAX(0,SUM(Model!$J24:Q24)+SUM(Model!$J71:Q71)),0)</f>
        <v>0</v>
      </c>
      <c r="R71" s="1" t="n">
        <f aca="false">IF($D$15=1,MAX(0,SUM(Model!$J24:R24)+SUM(Model!$J71:R71)),0)</f>
        <v>0</v>
      </c>
      <c r="S71" s="1" t="n">
        <f aca="false">IF($D$15=1,MAX(0,SUM(Model!$J24:S24)+SUM(Model!$J71:S71)),0)</f>
        <v>0</v>
      </c>
      <c r="T71" s="1" t="n">
        <f aca="false">IF($D$15=1,MAX(0,SUM(Model!$J24:T24)+SUM(Model!$J71:T71)),0)</f>
        <v>0</v>
      </c>
      <c r="U71" s="1" t="n">
        <f aca="false">IF($D$15=1,MAX(0,SUM(Model!$J24:U24)+SUM(Model!$J71:U71)),0)</f>
        <v>0</v>
      </c>
      <c r="V71" s="1" t="n">
        <f aca="false">IF($D$15=1,MAX(0,SUM(Model!$J24:V24)+SUM(Model!$J71:V71)),0)</f>
        <v>0</v>
      </c>
      <c r="W71" s="1" t="n">
        <f aca="false">IF($D$15=1,MAX(0,SUM(Model!$J24:W24)+SUM(Model!$J71:W71)),0)</f>
        <v>0</v>
      </c>
      <c r="X71" s="1" t="n">
        <f aca="false">IF($D$15=1,MAX(0,SUM(Model!$J24:X24)+SUM(Model!$J71:X71)),0)</f>
        <v>0</v>
      </c>
      <c r="Y71" s="1" t="n">
        <f aca="false">IF($D$15=1,MAX(0,SUM(Model!$J24:Y24)+SUM(Model!$J71:Y71)),0)</f>
        <v>0</v>
      </c>
      <c r="Z71" s="1" t="n">
        <f aca="false">IF($D$15=1,MAX(0,SUM(Model!$J24:Z24)+SUM(Model!$J71:Z71)),0)</f>
        <v>0</v>
      </c>
      <c r="AA71" s="1" t="n">
        <f aca="false">IF($D$15=1,MAX(0,SUM(Model!$J24:AA24)+SUM(Model!$J71:AA71)),0)</f>
        <v>0</v>
      </c>
      <c r="AB71" s="1" t="n">
        <f aca="false">IF($D$15=1,MAX(0,SUM(Model!$J24:AB24)+SUM(Model!$J71:AB71)),0)</f>
        <v>0</v>
      </c>
      <c r="AC71" s="1" t="n">
        <f aca="false">IF($D$15=1,MAX(0,SUM(Model!$J24:AC24)+SUM(Model!$J71:AC71)),0)</f>
        <v>0</v>
      </c>
      <c r="AD71" s="1" t="n">
        <f aca="false">IF($D$15=1,MAX(0,SUM(Model!$J24:AD24)+SUM(Model!$J71:AD71)),0)</f>
        <v>0</v>
      </c>
      <c r="AE71" s="1" t="n">
        <f aca="false">IF($D$15=1,MAX(0,SUM(Model!$J24:AE24)+SUM(Model!$J71:AE71)),0)</f>
        <v>0</v>
      </c>
      <c r="AF71" s="1" t="n">
        <f aca="false">IF($D$15=1,MAX(0,SUM(Model!$J24:AF24)+SUM(Model!$J71:AF71)),0)</f>
        <v>0</v>
      </c>
      <c r="AG71" s="1" t="n">
        <f aca="false">IF($D$15=1,MAX(0,SUM(Model!$J24:AG24)+SUM(Model!$J71:AG71)),0)</f>
        <v>0</v>
      </c>
      <c r="AH71" s="1" t="n">
        <f aca="false">IF($D$15=1,MAX(0,SUM(Model!$J24:AH24)+SUM(Model!$J71:AH71)),0)</f>
        <v>0</v>
      </c>
      <c r="AI71" s="1" t="n">
        <f aca="false">IF($D$15=1,MAX(0,SUM(Model!$J24:AI24)+SUM(Model!$J71:AI71)),0)</f>
        <v>0</v>
      </c>
      <c r="AJ71" s="1" t="n">
        <f aca="false">IF($D$15=1,MAX(0,SUM(Model!$J24:AJ24)+SUM(Model!$J71:AJ71)),0)</f>
        <v>0</v>
      </c>
      <c r="AK71" s="1" t="n">
        <f aca="false">IF($D$15=1,MAX(0,SUM(Model!$J24:AK24)+SUM(Model!$J71:AK71)),0)</f>
        <v>0</v>
      </c>
      <c r="AL71" s="1" t="n">
        <f aca="false">IF($D$15=1,MAX(0,SUM(Model!$J24:AL24)+SUM(Model!$J71:AL71)),0)</f>
        <v>0</v>
      </c>
      <c r="AM71" s="1" t="n">
        <f aca="false">IF($D$15=1,MAX(0,SUM(Model!$J24:AM24)+SUM(Model!$J71:AM71)),0)</f>
        <v>0</v>
      </c>
      <c r="AN71" s="1" t="n">
        <f aca="false">IF($D$15=1,MAX(0,SUM(Model!$J24:AN24)+SUM(Model!$J71:AN71)),0)</f>
        <v>0</v>
      </c>
      <c r="AO71" s="1" t="n">
        <f aca="false">IF($D$15=1,MAX(0,SUM(Model!$J24:AO24)+SUM(Model!$J71:AO71)),0)</f>
        <v>0</v>
      </c>
      <c r="AP71" s="1" t="n">
        <f aca="false">IF($D$15=1,MAX(0,SUM(Model!$J24:AP24)+SUM(Model!$J71:AP71)),0)</f>
        <v>0</v>
      </c>
      <c r="AQ71" s="1" t="n">
        <f aca="false">IF($D$15=1,MAX(0,SUM(Model!$J24:AQ24)+SUM(Model!$J71:AQ71)),0)</f>
        <v>0</v>
      </c>
      <c r="AR71" s="1" t="n">
        <f aca="false">IF($D$15=1,MAX(0,SUM(Model!$J24:AR24)+SUM(Model!$J71:AR71)),0)</f>
        <v>0</v>
      </c>
      <c r="AS71" s="1" t="n">
        <f aca="false">IF($D$15=1,MAX(0,SUM(Model!$J24:AS24)+SUM(Model!$J71:AS71)),0)</f>
        <v>0</v>
      </c>
      <c r="AT71" s="1" t="n">
        <f aca="false">IF($D$15=1,MAX(0,SUM(Model!$J24:AT24)+SUM(Model!$J71:AT71)),0)</f>
        <v>0</v>
      </c>
      <c r="AU71" s="1" t="n">
        <f aca="false">IF($D$15=1,MAX(0,SUM(Model!$J24:AU24)+SUM(Model!$J71:AU71)),0)</f>
        <v>0</v>
      </c>
      <c r="AV71" s="1" t="n">
        <f aca="false">IF($D$15=1,MAX(0,SUM(Model!$J24:AV24)+SUM(Model!$J71:AV71)),0)</f>
        <v>0</v>
      </c>
      <c r="AW71" s="1" t="n">
        <f aca="false">IF($D$15=1,MAX(0,SUM(Model!$J24:AW24)+SUM(Model!$J71:AW71)),0)</f>
        <v>0</v>
      </c>
      <c r="AX71" s="1" t="n">
        <f aca="false">IF($D$15=1,MAX(0,SUM(Model!$J24:AX24)+SUM(Model!$J71:AX71)),0)</f>
        <v>0</v>
      </c>
      <c r="AY71" s="1" t="n">
        <f aca="false">IF($D$15=1,MAX(0,SUM(Model!$J24:AY24)+SUM(Model!$J71:AY71)),0)</f>
        <v>0</v>
      </c>
      <c r="AZ71" s="1" t="n">
        <f aca="false">IF($D$15=1,MAX(0,SUM(Model!$J24:AZ24)+SUM(Model!$J71:AZ71)),0)</f>
        <v>0</v>
      </c>
      <c r="BA71" s="1" t="n">
        <f aca="false">IF($D$15=1,MAX(0,SUM(Model!$J24:BA24)+SUM(Model!$J71:BA71)),0)</f>
        <v>0</v>
      </c>
      <c r="BB71" s="1" t="n">
        <f aca="false">IF($D$15=1,MAX(0,SUM(Model!$J24:BB24)+SUM(Model!$J71:BB71)),0)</f>
        <v>0</v>
      </c>
      <c r="BC71" s="1" t="n">
        <f aca="false">IF($D$15=1,MAX(0,SUM(Model!$J24:BC24)+SUM(Model!$J71:BC71)),0)</f>
        <v>0</v>
      </c>
      <c r="BD71" s="1" t="n">
        <f aca="false">IF($D$15=1,MAX(0,SUM(Model!$J24:BD24)+SUM(Model!$J71:BD71)),0)</f>
        <v>0</v>
      </c>
      <c r="BE71" s="1" t="n">
        <f aca="false">IF($D$15=1,MAX(0,SUM(Model!$J24:BE24)+SUM(Model!$J71:BE71)),0)</f>
        <v>0</v>
      </c>
      <c r="BF71" s="1" t="n">
        <f aca="false">IF($D$15=1,MAX(0,SUM(Model!$J24:BF24)+SUM(Model!$J71:BF71)),0)</f>
        <v>0</v>
      </c>
      <c r="BG71" s="1" t="n">
        <f aca="false">IF($D$15=1,MAX(0,SUM(Model!$J24:BG24)+SUM(Model!$J71:BG71)),0)</f>
        <v>0</v>
      </c>
      <c r="BH71" s="1" t="n">
        <f aca="false">IF($D$15=1,MAX(0,SUM(Model!$J24:BH24)+SUM(Model!$J71:BH71)),0)</f>
        <v>0</v>
      </c>
      <c r="BI71" s="1" t="n">
        <f aca="false">IF($D$15=1,MAX(0,SUM(Model!$J24:BI24)+SUM(Model!$J71:BI71)),0)</f>
        <v>0</v>
      </c>
      <c r="BJ71" s="1" t="n">
        <f aca="false">IF($D$15=1,MAX(0,SUM(Model!$J24:BJ24)+SUM(Model!$J71:BJ71)),0)</f>
        <v>0</v>
      </c>
      <c r="BK71" s="1" t="n">
        <f aca="false">IF($D$15=1,MAX(0,SUM(Model!$J24:BK24)+SUM(Model!$J71:BK71)),0)</f>
        <v>0</v>
      </c>
      <c r="BL71" s="1" t="n">
        <f aca="false">IF($D$15=1,MAX(0,SUM(Model!$J24:BL24)+SUM(Model!$J71:BL71)),0)</f>
        <v>0</v>
      </c>
      <c r="BM71" s="1" t="n">
        <f aca="false">IF($D$15=1,MAX(0,SUM(Model!$J24:BM24)+SUM(Model!$J71:BM71)),0)</f>
        <v>0</v>
      </c>
      <c r="BN71" s="1" t="n">
        <f aca="false">IF($D$15=1,MAX(0,SUM(Model!$J24:BN24)+SUM(Model!$J71:BN71)),0)</f>
        <v>0</v>
      </c>
      <c r="BO71" s="1" t="n">
        <f aca="false">IF($D$15=1,MAX(0,SUM(Model!$J24:BO24)+SUM(Model!$J71:BO71)),0)</f>
        <v>0</v>
      </c>
      <c r="BP71" s="1" t="n">
        <f aca="false">IF($D$15=1,MAX(0,SUM(Model!$J24:BP24)+SUM(Model!$J71:BP71)),0)</f>
        <v>0</v>
      </c>
      <c r="BQ71" s="1" t="n">
        <f aca="false">IF($D$15=1,MAX(0,SUM(Model!$J24:BQ24)+SUM(Model!$J71:BQ71)),0)</f>
        <v>0</v>
      </c>
      <c r="BR71" s="1" t="n">
        <f aca="false">IF($D$15=1,MAX(0,SUM(Model!$J24:BR24)+SUM(Model!$J71:BR71)),0)</f>
        <v>0</v>
      </c>
      <c r="BS71" s="1" t="n">
        <f aca="false">IF($D$15=1,MAX(0,SUM(Model!$J24:BS24)+SUM(Model!$J71:BS71)),0)</f>
        <v>0</v>
      </c>
      <c r="BT71" s="1" t="n">
        <f aca="false">IF($D$15=1,MAX(0,SUM(Model!$J24:BT24)+SUM(Model!$J71:BT71)),0)</f>
        <v>0</v>
      </c>
      <c r="BU71" s="1" t="n">
        <f aca="false">IF($D$15=1,MAX(0,SUM(Model!$J24:BU24)+SUM(Model!$J71:BU71)),0)</f>
        <v>0</v>
      </c>
      <c r="BV71" s="1" t="n">
        <f aca="false">IF($D$15=1,MAX(0,SUM(Model!$J24:BV24)+SUM(Model!$J71:BV71)),0)</f>
        <v>0</v>
      </c>
      <c r="BW71" s="1" t="n">
        <f aca="false">IF($D$15=1,MAX(0,SUM(Model!$J24:BW24)+SUM(Model!$J71:BW71)),0)</f>
        <v>0</v>
      </c>
      <c r="BX71" s="1" t="n">
        <f aca="false">IF($D$15=1,MAX(0,SUM(Model!$J24:BX24)+SUM(Model!$J71:BX71)),0)</f>
        <v>0</v>
      </c>
      <c r="BY71" s="1" t="n">
        <f aca="false">IF($D$15=1,MAX(0,SUM(Model!$J24:BY24)+SUM(Model!$J71:BY71)),0)</f>
        <v>0</v>
      </c>
      <c r="BZ71" s="1" t="n">
        <f aca="false">IF($D$15=1,MAX(0,SUM(Model!$J24:BZ24)+SUM(Model!$J71:BZ71)),0)</f>
        <v>0</v>
      </c>
      <c r="CA71" s="1" t="n">
        <f aca="false">IF($D$15=1,MAX(0,SUM(Model!$J24:CA24)+SUM(Model!$J71:CA71)),0)</f>
        <v>0</v>
      </c>
      <c r="CB71" s="1" t="n">
        <f aca="false">IF($D$15=1,MAX(0,SUM(Model!$J24:CB24)+SUM(Model!$J71:CB71)),0)</f>
        <v>0</v>
      </c>
      <c r="CC71" s="1" t="n">
        <f aca="false">IF($D$15=1,MAX(0,SUM(Model!$J24:CC24)+SUM(Model!$J71:CC71)),0)</f>
        <v>0</v>
      </c>
      <c r="CD71" s="1" t="n">
        <f aca="false">IF($D$15=1,MAX(0,SUM(Model!$J24:CD24)+SUM(Model!$J71:CD71)),0)</f>
        <v>0</v>
      </c>
      <c r="CE71" s="1" t="n">
        <f aca="false">IF($D$15=1,MAX(0,SUM(Model!$J24:CE24)+SUM(Model!$J71:CE71)),0)</f>
        <v>0</v>
      </c>
      <c r="CF71" s="1" t="n">
        <f aca="false">IF($D$15=1,MAX(0,SUM(Model!$J24:CF24)+SUM(Model!$J71:CF71)),0)</f>
        <v>0</v>
      </c>
      <c r="CG71" s="1" t="n">
        <f aca="false">IF($D$15=1,MAX(0,SUM(Model!$J24:CG24)+SUM(Model!$J71:CG71)),0)</f>
        <v>0</v>
      </c>
      <c r="CH71" s="1" t="n">
        <f aca="false">IF($D$15=1,MAX(0,SUM(Model!$J24:CH24)+SUM(Model!$J71:CH71)),0)</f>
        <v>0</v>
      </c>
      <c r="CI71" s="1" t="n">
        <f aca="false">IF($D$15=1,MAX(0,SUM(Model!$J24:CI24)+SUM(Model!$J71:CI71)),0)</f>
        <v>0</v>
      </c>
      <c r="CJ71" s="1" t="n">
        <f aca="false">IF($D$15=1,MAX(0,SUM(Model!$J24:CJ24)+SUM(Model!$J71:CJ71)),0)</f>
        <v>0</v>
      </c>
      <c r="CK71" s="1" t="n">
        <f aca="false">IF($D$15=1,MAX(0,SUM(Model!$J24:CK24)+SUM(Model!$J71:CK71)),0)</f>
        <v>0</v>
      </c>
      <c r="CL71" s="1" t="n">
        <f aca="false">IF($D$15=1,MAX(0,SUM(Model!$J24:CL24)+SUM(Model!$J71:CL71)),0)</f>
        <v>0</v>
      </c>
      <c r="CM71" s="1" t="n">
        <f aca="false">IF($D$15=1,MAX(0,SUM(Model!$J24:CM24)+SUM(Model!$J71:CM71)),0)</f>
        <v>0</v>
      </c>
      <c r="CN71" s="1" t="n">
        <f aca="false">IF($D$15=1,MAX(0,SUM(Model!$J24:CN24)+SUM(Model!$J71:CN71)),0)</f>
        <v>0</v>
      </c>
      <c r="CO71" s="1" t="n">
        <f aca="false">IF($D$15=1,MAX(0,SUM(Model!$J24:CO24)+SUM(Model!$J71:CO71)),0)</f>
        <v>0</v>
      </c>
      <c r="CP71" s="1" t="n">
        <f aca="false">IF($D$15=1,MAX(0,SUM(Model!$J24:CP24)+SUM(Model!$J71:CP71)),0)</f>
        <v>0</v>
      </c>
      <c r="CQ71" s="1" t="n">
        <f aca="false">IF($D$15=1,MAX(0,SUM(Model!$J24:CQ24)+SUM(Model!$J71:CQ71)),0)</f>
        <v>0</v>
      </c>
      <c r="CR71" s="1" t="n">
        <f aca="false">IF($D$15=1,MAX(0,SUM(Model!$J24:CR24)+SUM(Model!$J71:CR71)),0)</f>
        <v>0</v>
      </c>
      <c r="CS71" s="1" t="n">
        <f aca="false">IF($D$15=1,MAX(0,SUM(Model!$J24:CS24)+SUM(Model!$J71:CS71)),0)</f>
        <v>0</v>
      </c>
      <c r="CT71" s="1" t="n">
        <f aca="false">IF($D$15=1,MAX(0,SUM(Model!$J24:CT24)+SUM(Model!$J71:CT71)),0)</f>
        <v>0</v>
      </c>
      <c r="CU71" s="1" t="n">
        <f aca="false">IF($D$15=1,MAX(0,SUM(Model!$J24:CU24)+SUM(Model!$J71:CU71)),0)</f>
        <v>0</v>
      </c>
      <c r="CV71" s="1" t="n">
        <f aca="false">IF($D$15=1,MAX(0,SUM(Model!$J24:CV24)+SUM(Model!$J71:CV71)),0)</f>
        <v>0</v>
      </c>
      <c r="CW71" s="1" t="n">
        <f aca="false">IF($D$15=1,MAX(0,SUM(Model!$J24:CW24)+SUM(Model!$J71:CW71)),0)</f>
        <v>0</v>
      </c>
      <c r="CX71" s="1" t="n">
        <f aca="false">IF($D$15=1,MAX(0,SUM(Model!$J24:CX24)+SUM(Model!$J71:CX71)),0)</f>
        <v>0</v>
      </c>
      <c r="CY71" s="1" t="n">
        <f aca="false">IF($D$15=1,MAX(0,SUM(Model!$J24:CY24)+SUM(Model!$J71:CY71)),0)</f>
        <v>0</v>
      </c>
      <c r="CZ71" s="1" t="n">
        <f aca="false">IF($D$15=1,MAX(0,SUM(Model!$J24:CZ24)+SUM(Model!$J71:CZ71)),0)</f>
        <v>0</v>
      </c>
      <c r="DA71" s="1" t="n">
        <f aca="false">IF($D$15=1,MAX(0,SUM(Model!$J24:DA24)+SUM(Model!$J71:DA71)),0)</f>
        <v>0</v>
      </c>
      <c r="DB71" s="1" t="n">
        <f aca="false">IF($D$15=1,MAX(0,SUM(Model!$J24:DB24)+SUM(Model!$J71:DB71)),0)</f>
        <v>0</v>
      </c>
      <c r="DC71" s="1" t="n">
        <f aca="false">IF($D$15=1,MAX(0,SUM(Model!$J24:DC24)+SUM(Model!$J71:DC71)),0)</f>
        <v>0</v>
      </c>
      <c r="DD71" s="1" t="n">
        <f aca="false">IF($D$15=1,MAX(0,SUM(Model!$J24:DD24)+SUM(Model!$J71:DD71)),0)</f>
        <v>0</v>
      </c>
      <c r="DE71" s="1" t="n">
        <f aca="false">IF($D$15=1,MAX(0,SUM(Model!$J24:DE24)+SUM(Model!$J71:DE71)),0)</f>
        <v>0</v>
      </c>
    </row>
    <row r="72" customFormat="false" ht="13.5" hidden="false" customHeight="true" outlineLevel="0" collapsed="false">
      <c r="A72" s="1" t="str">
        <f aca="false">$B$16</f>
        <v>3rd St</v>
      </c>
      <c r="B72" s="1" t="n">
        <v>0</v>
      </c>
      <c r="C72" s="1" t="n">
        <v>0</v>
      </c>
      <c r="D72" s="1" t="n">
        <v>0</v>
      </c>
      <c r="E72" s="1" t="n">
        <v>0</v>
      </c>
      <c r="F72" s="1" t="n">
        <v>0</v>
      </c>
      <c r="G72" s="1" t="n">
        <v>0</v>
      </c>
      <c r="H72" s="1" t="n">
        <v>0</v>
      </c>
      <c r="I72" s="1" t="n">
        <v>0</v>
      </c>
      <c r="J72" s="1" t="n">
        <f aca="false">IF($D$16=1,MAX(0,SUM(Model!$J25:J25)+SUM(Model!$J72:J72)),0)</f>
        <v>0</v>
      </c>
      <c r="K72" s="1" t="n">
        <f aca="false">IF($D$16=1,MAX(0,SUM(Model!$J25:K25)+SUM(Model!$J72:K72)),0)</f>
        <v>0</v>
      </c>
      <c r="L72" s="1" t="n">
        <f aca="false">IF($D$16=1,MAX(0,SUM(Model!$J25:L25)+SUM(Model!$J72:L72)),0)</f>
        <v>0</v>
      </c>
      <c r="M72" s="1" t="n">
        <f aca="false">IF($D$16=1,MAX(0,SUM(Model!$J25:M25)+SUM(Model!$J72:M72)),0)</f>
        <v>0</v>
      </c>
      <c r="N72" s="1" t="n">
        <f aca="false">IF($D$16=1,MAX(0,SUM(Model!$J25:N25)+SUM(Model!$J72:N72)),0)</f>
        <v>0</v>
      </c>
      <c r="O72" s="1" t="n">
        <f aca="false">IF($D$16=1,MAX(0,SUM(Model!$J25:O25)+SUM(Model!$J72:O72)),0)</f>
        <v>0</v>
      </c>
      <c r="P72" s="1" t="n">
        <f aca="false">IF($D$16=1,MAX(0,SUM(Model!$J25:P25)+SUM(Model!$J72:P72)),0)</f>
        <v>0</v>
      </c>
      <c r="Q72" s="1" t="n">
        <f aca="false">IF($D$16=1,MAX(0,SUM(Model!$J25:Q25)+SUM(Model!$J72:Q72)),0)</f>
        <v>0</v>
      </c>
      <c r="R72" s="1" t="n">
        <f aca="false">IF($D$16=1,MAX(0,SUM(Model!$J25:R25)+SUM(Model!$J72:R72)),0)</f>
        <v>0</v>
      </c>
      <c r="S72" s="1" t="n">
        <f aca="false">IF($D$16=1,MAX(0,SUM(Model!$J25:S25)+SUM(Model!$J72:S72)),0)</f>
        <v>0</v>
      </c>
      <c r="T72" s="1" t="n">
        <f aca="false">IF($D$16=1,MAX(0,SUM(Model!$J25:T25)+SUM(Model!$J72:T72)),0)</f>
        <v>0</v>
      </c>
      <c r="U72" s="1" t="n">
        <f aca="false">IF($D$16=1,MAX(0,SUM(Model!$J25:U25)+SUM(Model!$J72:U72)),0)</f>
        <v>0</v>
      </c>
      <c r="V72" s="1" t="n">
        <f aca="false">IF($D$16=1,MAX(0,SUM(Model!$J25:V25)+SUM(Model!$J72:V72)),0)</f>
        <v>0</v>
      </c>
      <c r="W72" s="1" t="n">
        <f aca="false">IF($D$16=1,MAX(0,SUM(Model!$J25:W25)+SUM(Model!$J72:W72)),0)</f>
        <v>0</v>
      </c>
      <c r="X72" s="1" t="n">
        <f aca="false">IF($D$16=1,MAX(0,SUM(Model!$J25:X25)+SUM(Model!$J72:X72)),0)</f>
        <v>0</v>
      </c>
      <c r="Y72" s="1" t="n">
        <f aca="false">IF($D$16=1,MAX(0,SUM(Model!$J25:Y25)+SUM(Model!$J72:Y72)),0)</f>
        <v>0</v>
      </c>
      <c r="Z72" s="1" t="n">
        <f aca="false">IF($D$16=1,MAX(0,SUM(Model!$J25:Z25)+SUM(Model!$J72:Z72)),0)</f>
        <v>0</v>
      </c>
      <c r="AA72" s="1" t="n">
        <f aca="false">IF($D$16=1,MAX(0,SUM(Model!$J25:AA25)+SUM(Model!$J72:AA72)),0)</f>
        <v>0</v>
      </c>
      <c r="AB72" s="1" t="n">
        <f aca="false">IF($D$16=1,MAX(0,SUM(Model!$J25:AB25)+SUM(Model!$J72:AB72)),0)</f>
        <v>0</v>
      </c>
      <c r="AC72" s="1" t="n">
        <f aca="false">IF($D$16=1,MAX(0,SUM(Model!$J25:AC25)+SUM(Model!$J72:AC72)),0)</f>
        <v>0</v>
      </c>
      <c r="AD72" s="1" t="n">
        <f aca="false">IF($D$16=1,MAX(0,SUM(Model!$J25:AD25)+SUM(Model!$J72:AD72)),0)</f>
        <v>0</v>
      </c>
      <c r="AE72" s="1" t="n">
        <f aca="false">IF($D$16=1,MAX(0,SUM(Model!$J25:AE25)+SUM(Model!$J72:AE72)),0)</f>
        <v>0</v>
      </c>
      <c r="AF72" s="1" t="n">
        <f aca="false">IF($D$16=1,MAX(0,SUM(Model!$J25:AF25)+SUM(Model!$J72:AF72)),0)</f>
        <v>0</v>
      </c>
      <c r="AG72" s="1" t="n">
        <f aca="false">IF($D$16=1,MAX(0,SUM(Model!$J25:AG25)+SUM(Model!$J72:AG72)),0)</f>
        <v>0</v>
      </c>
      <c r="AH72" s="1" t="n">
        <f aca="false">IF($D$16=1,MAX(0,SUM(Model!$J25:AH25)+SUM(Model!$J72:AH72)),0)</f>
        <v>0</v>
      </c>
      <c r="AI72" s="1" t="n">
        <f aca="false">IF($D$16=1,MAX(0,SUM(Model!$J25:AI25)+SUM(Model!$J72:AI72)),0)</f>
        <v>0</v>
      </c>
      <c r="AJ72" s="1" t="n">
        <f aca="false">IF($D$16=1,MAX(0,SUM(Model!$J25:AJ25)+SUM(Model!$J72:AJ72)),0)</f>
        <v>0</v>
      </c>
      <c r="AK72" s="1" t="n">
        <f aca="false">IF($D$16=1,MAX(0,SUM(Model!$J25:AK25)+SUM(Model!$J72:AK72)),0)</f>
        <v>0</v>
      </c>
      <c r="AL72" s="1" t="n">
        <f aca="false">IF($D$16=1,MAX(0,SUM(Model!$J25:AL25)+SUM(Model!$J72:AL72)),0)</f>
        <v>0</v>
      </c>
      <c r="AM72" s="1" t="n">
        <f aca="false">IF($D$16=1,MAX(0,SUM(Model!$J25:AM25)+SUM(Model!$J72:AM72)),0)</f>
        <v>0</v>
      </c>
      <c r="AN72" s="1" t="n">
        <f aca="false">IF($D$16=1,MAX(0,SUM(Model!$J25:AN25)+SUM(Model!$J72:AN72)),0)</f>
        <v>0</v>
      </c>
      <c r="AO72" s="1" t="n">
        <f aca="false">IF($D$16=1,MAX(0,SUM(Model!$J25:AO25)+SUM(Model!$J72:AO72)),0)</f>
        <v>0</v>
      </c>
      <c r="AP72" s="1" t="n">
        <f aca="false">IF($D$16=1,MAX(0,SUM(Model!$J25:AP25)+SUM(Model!$J72:AP72)),0)</f>
        <v>0</v>
      </c>
      <c r="AQ72" s="1" t="n">
        <f aca="false">IF($D$16=1,MAX(0,SUM(Model!$J25:AQ25)+SUM(Model!$J72:AQ72)),0)</f>
        <v>0</v>
      </c>
      <c r="AR72" s="1" t="n">
        <f aca="false">IF($D$16=1,MAX(0,SUM(Model!$J25:AR25)+SUM(Model!$J72:AR72)),0)</f>
        <v>0</v>
      </c>
      <c r="AS72" s="1" t="n">
        <f aca="false">IF($D$16=1,MAX(0,SUM(Model!$J25:AS25)+SUM(Model!$J72:AS72)),0)</f>
        <v>0</v>
      </c>
      <c r="AT72" s="1" t="n">
        <f aca="false">IF($D$16=1,MAX(0,SUM(Model!$J25:AT25)+SUM(Model!$J72:AT72)),0)</f>
        <v>0</v>
      </c>
      <c r="AU72" s="1" t="n">
        <f aca="false">IF($D$16=1,MAX(0,SUM(Model!$J25:AU25)+SUM(Model!$J72:AU72)),0)</f>
        <v>0</v>
      </c>
      <c r="AV72" s="1" t="n">
        <f aca="false">IF($D$16=1,MAX(0,SUM(Model!$J25:AV25)+SUM(Model!$J72:AV72)),0)</f>
        <v>0</v>
      </c>
      <c r="AW72" s="1" t="n">
        <f aca="false">IF($D$16=1,MAX(0,SUM(Model!$J25:AW25)+SUM(Model!$J72:AW72)),0)</f>
        <v>0</v>
      </c>
      <c r="AX72" s="1" t="n">
        <f aca="false">IF($D$16=1,MAX(0,SUM(Model!$J25:AX25)+SUM(Model!$J72:AX72)),0)</f>
        <v>0</v>
      </c>
      <c r="AY72" s="1" t="n">
        <f aca="false">IF($D$16=1,MAX(0,SUM(Model!$J25:AY25)+SUM(Model!$J72:AY72)),0)</f>
        <v>0</v>
      </c>
      <c r="AZ72" s="1" t="n">
        <f aca="false">IF($D$16=1,MAX(0,SUM(Model!$J25:AZ25)+SUM(Model!$J72:AZ72)),0)</f>
        <v>0</v>
      </c>
      <c r="BA72" s="1" t="n">
        <f aca="false">IF($D$16=1,MAX(0,SUM(Model!$J25:BA25)+SUM(Model!$J72:BA72)),0)</f>
        <v>0</v>
      </c>
      <c r="BB72" s="1" t="n">
        <f aca="false">IF($D$16=1,MAX(0,SUM(Model!$J25:BB25)+SUM(Model!$J72:BB72)),0)</f>
        <v>0</v>
      </c>
      <c r="BC72" s="1" t="n">
        <f aca="false">IF($D$16=1,MAX(0,SUM(Model!$J25:BC25)+SUM(Model!$J72:BC72)),0)</f>
        <v>0</v>
      </c>
      <c r="BD72" s="1" t="n">
        <f aca="false">IF($D$16=1,MAX(0,SUM(Model!$J25:BD25)+SUM(Model!$J72:BD72)),0)</f>
        <v>0</v>
      </c>
      <c r="BE72" s="1" t="n">
        <f aca="false">IF($D$16=1,MAX(0,SUM(Model!$J25:BE25)+SUM(Model!$J72:BE72)),0)</f>
        <v>0</v>
      </c>
      <c r="BF72" s="1" t="n">
        <f aca="false">IF($D$16=1,MAX(0,SUM(Model!$J25:BF25)+SUM(Model!$J72:BF72)),0)</f>
        <v>0</v>
      </c>
      <c r="BG72" s="1" t="n">
        <f aca="false">IF($D$16=1,MAX(0,SUM(Model!$J25:BG25)+SUM(Model!$J72:BG72)),0)</f>
        <v>0</v>
      </c>
      <c r="BH72" s="1" t="n">
        <f aca="false">IF($D$16=1,MAX(0,SUM(Model!$J25:BH25)+SUM(Model!$J72:BH72)),0)</f>
        <v>0</v>
      </c>
      <c r="BI72" s="1" t="n">
        <f aca="false">IF($D$16=1,MAX(0,SUM(Model!$J25:BI25)+SUM(Model!$J72:BI72)),0)</f>
        <v>0</v>
      </c>
      <c r="BJ72" s="1" t="n">
        <f aca="false">IF($D$16=1,MAX(0,SUM(Model!$J25:BJ25)+SUM(Model!$J72:BJ72)),0)</f>
        <v>0</v>
      </c>
      <c r="BK72" s="1" t="n">
        <f aca="false">IF($D$16=1,MAX(0,SUM(Model!$J25:BK25)+SUM(Model!$J72:BK72)),0)</f>
        <v>0</v>
      </c>
      <c r="BL72" s="1" t="n">
        <f aca="false">IF($D$16=1,MAX(0,SUM(Model!$J25:BL25)+SUM(Model!$J72:BL72)),0)</f>
        <v>0</v>
      </c>
      <c r="BM72" s="1" t="n">
        <f aca="false">IF($D$16=1,MAX(0,SUM(Model!$J25:BM25)+SUM(Model!$J72:BM72)),0)</f>
        <v>0</v>
      </c>
      <c r="BN72" s="1" t="n">
        <f aca="false">IF($D$16=1,MAX(0,SUM(Model!$J25:BN25)+SUM(Model!$J72:BN72)),0)</f>
        <v>0</v>
      </c>
      <c r="BO72" s="1" t="n">
        <f aca="false">IF($D$16=1,MAX(0,SUM(Model!$J25:BO25)+SUM(Model!$J72:BO72)),0)</f>
        <v>0</v>
      </c>
      <c r="BP72" s="1" t="n">
        <f aca="false">IF($D$16=1,MAX(0,SUM(Model!$J25:BP25)+SUM(Model!$J72:BP72)),0)</f>
        <v>0</v>
      </c>
      <c r="BQ72" s="1" t="n">
        <f aca="false">IF($D$16=1,MAX(0,SUM(Model!$J25:BQ25)+SUM(Model!$J72:BQ72)),0)</f>
        <v>0</v>
      </c>
      <c r="BR72" s="1" t="n">
        <f aca="false">IF($D$16=1,MAX(0,SUM(Model!$J25:BR25)+SUM(Model!$J72:BR72)),0)</f>
        <v>0</v>
      </c>
      <c r="BS72" s="1" t="n">
        <f aca="false">IF($D$16=1,MAX(0,SUM(Model!$J25:BS25)+SUM(Model!$J72:BS72)),0)</f>
        <v>0</v>
      </c>
      <c r="BT72" s="1" t="n">
        <f aca="false">IF($D$16=1,MAX(0,SUM(Model!$J25:BT25)+SUM(Model!$J72:BT72)),0)</f>
        <v>0</v>
      </c>
      <c r="BU72" s="1" t="n">
        <f aca="false">IF($D$16=1,MAX(0,SUM(Model!$J25:BU25)+SUM(Model!$J72:BU72)),0)</f>
        <v>0</v>
      </c>
      <c r="BV72" s="1" t="n">
        <f aca="false">IF($D$16=1,MAX(0,SUM(Model!$J25:BV25)+SUM(Model!$J72:BV72)),0)</f>
        <v>0</v>
      </c>
      <c r="BW72" s="1" t="n">
        <f aca="false">IF($D$16=1,MAX(0,SUM(Model!$J25:BW25)+SUM(Model!$J72:BW72)),0)</f>
        <v>0</v>
      </c>
      <c r="BX72" s="1" t="n">
        <f aca="false">IF($D$16=1,MAX(0,SUM(Model!$J25:BX25)+SUM(Model!$J72:BX72)),0)</f>
        <v>0</v>
      </c>
      <c r="BY72" s="1" t="n">
        <f aca="false">IF($D$16=1,MAX(0,SUM(Model!$J25:BY25)+SUM(Model!$J72:BY72)),0)</f>
        <v>0</v>
      </c>
      <c r="BZ72" s="1" t="n">
        <f aca="false">IF($D$16=1,MAX(0,SUM(Model!$J25:BZ25)+SUM(Model!$J72:BZ72)),0)</f>
        <v>0</v>
      </c>
      <c r="CA72" s="1" t="n">
        <f aca="false">IF($D$16=1,MAX(0,SUM(Model!$J25:CA25)+SUM(Model!$J72:CA72)),0)</f>
        <v>0</v>
      </c>
      <c r="CB72" s="1" t="n">
        <f aca="false">IF($D$16=1,MAX(0,SUM(Model!$J25:CB25)+SUM(Model!$J72:CB72)),0)</f>
        <v>0</v>
      </c>
      <c r="CC72" s="1" t="n">
        <f aca="false">IF($D$16=1,MAX(0,SUM(Model!$J25:CC25)+SUM(Model!$J72:CC72)),0)</f>
        <v>0</v>
      </c>
      <c r="CD72" s="1" t="n">
        <f aca="false">IF($D$16=1,MAX(0,SUM(Model!$J25:CD25)+SUM(Model!$J72:CD72)),0)</f>
        <v>0</v>
      </c>
      <c r="CE72" s="1" t="n">
        <f aca="false">IF($D$16=1,MAX(0,SUM(Model!$J25:CE25)+SUM(Model!$J72:CE72)),0)</f>
        <v>0</v>
      </c>
      <c r="CF72" s="1" t="n">
        <f aca="false">IF($D$16=1,MAX(0,SUM(Model!$J25:CF25)+SUM(Model!$J72:CF72)),0)</f>
        <v>0</v>
      </c>
      <c r="CG72" s="1" t="n">
        <f aca="false">IF($D$16=1,MAX(0,SUM(Model!$J25:CG25)+SUM(Model!$J72:CG72)),0)</f>
        <v>0</v>
      </c>
      <c r="CH72" s="1" t="n">
        <f aca="false">IF($D$16=1,MAX(0,SUM(Model!$J25:CH25)+SUM(Model!$J72:CH72)),0)</f>
        <v>0</v>
      </c>
      <c r="CI72" s="1" t="n">
        <f aca="false">IF($D$16=1,MAX(0,SUM(Model!$J25:CI25)+SUM(Model!$J72:CI72)),0)</f>
        <v>0</v>
      </c>
      <c r="CJ72" s="1" t="n">
        <f aca="false">IF($D$16=1,MAX(0,SUM(Model!$J25:CJ25)+SUM(Model!$J72:CJ72)),0)</f>
        <v>0</v>
      </c>
      <c r="CK72" s="1" t="n">
        <f aca="false">IF($D$16=1,MAX(0,SUM(Model!$J25:CK25)+SUM(Model!$J72:CK72)),0)</f>
        <v>0</v>
      </c>
      <c r="CL72" s="1" t="n">
        <f aca="false">IF($D$16=1,MAX(0,SUM(Model!$J25:CL25)+SUM(Model!$J72:CL72)),0)</f>
        <v>0</v>
      </c>
      <c r="CM72" s="1" t="n">
        <f aca="false">IF($D$16=1,MAX(0,SUM(Model!$J25:CM25)+SUM(Model!$J72:CM72)),0)</f>
        <v>0</v>
      </c>
      <c r="CN72" s="1" t="n">
        <f aca="false">IF($D$16=1,MAX(0,SUM(Model!$J25:CN25)+SUM(Model!$J72:CN72)),0)</f>
        <v>0</v>
      </c>
      <c r="CO72" s="1" t="n">
        <f aca="false">IF($D$16=1,MAX(0,SUM(Model!$J25:CO25)+SUM(Model!$J72:CO72)),0)</f>
        <v>0</v>
      </c>
      <c r="CP72" s="1" t="n">
        <f aca="false">IF($D$16=1,MAX(0,SUM(Model!$J25:CP25)+SUM(Model!$J72:CP72)),0)</f>
        <v>0</v>
      </c>
      <c r="CQ72" s="1" t="n">
        <f aca="false">IF($D$16=1,MAX(0,SUM(Model!$J25:CQ25)+SUM(Model!$J72:CQ72)),0)</f>
        <v>0</v>
      </c>
      <c r="CR72" s="1" t="n">
        <f aca="false">IF($D$16=1,MAX(0,SUM(Model!$J25:CR25)+SUM(Model!$J72:CR72)),0)</f>
        <v>0</v>
      </c>
      <c r="CS72" s="1" t="n">
        <f aca="false">IF($D$16=1,MAX(0,SUM(Model!$J25:CS25)+SUM(Model!$J72:CS72)),0)</f>
        <v>0</v>
      </c>
      <c r="CT72" s="1" t="n">
        <f aca="false">IF($D$16=1,MAX(0,SUM(Model!$J25:CT25)+SUM(Model!$J72:CT72)),0)</f>
        <v>0</v>
      </c>
      <c r="CU72" s="1" t="n">
        <f aca="false">IF($D$16=1,MAX(0,SUM(Model!$J25:CU25)+SUM(Model!$J72:CU72)),0)</f>
        <v>0</v>
      </c>
      <c r="CV72" s="1" t="n">
        <f aca="false">IF($D$16=1,MAX(0,SUM(Model!$J25:CV25)+SUM(Model!$J72:CV72)),0)</f>
        <v>0</v>
      </c>
      <c r="CW72" s="1" t="n">
        <f aca="false">IF($D$16=1,MAX(0,SUM(Model!$J25:CW25)+SUM(Model!$J72:CW72)),0)</f>
        <v>0</v>
      </c>
      <c r="CX72" s="1" t="n">
        <f aca="false">IF($D$16=1,MAX(0,SUM(Model!$J25:CX25)+SUM(Model!$J72:CX72)),0)</f>
        <v>0</v>
      </c>
      <c r="CY72" s="1" t="n">
        <f aca="false">IF($D$16=1,MAX(0,SUM(Model!$J25:CY25)+SUM(Model!$J72:CY72)),0)</f>
        <v>0</v>
      </c>
      <c r="CZ72" s="1" t="n">
        <f aca="false">IF($D$16=1,MAX(0,SUM(Model!$J25:CZ25)+SUM(Model!$J72:CZ72)),0)</f>
        <v>0</v>
      </c>
      <c r="DA72" s="1" t="n">
        <f aca="false">IF($D$16=1,MAX(0,SUM(Model!$J25:DA25)+SUM(Model!$J72:DA72)),0)</f>
        <v>0</v>
      </c>
      <c r="DB72" s="1" t="n">
        <f aca="false">IF($D$16=1,MAX(0,SUM(Model!$J25:DB25)+SUM(Model!$J72:DB72)),0)</f>
        <v>0</v>
      </c>
      <c r="DC72" s="1" t="n">
        <f aca="false">IF($D$16=1,MAX(0,SUM(Model!$J25:DC25)+SUM(Model!$J72:DC72)),0)</f>
        <v>0</v>
      </c>
      <c r="DD72" s="1" t="n">
        <f aca="false">IF($D$16=1,MAX(0,SUM(Model!$J25:DD25)+SUM(Model!$J72:DD72)),0)</f>
        <v>0</v>
      </c>
      <c r="DE72" s="1" t="n">
        <f aca="false">IF($D$16=1,MAX(0,SUM(Model!$J25:DE25)+SUM(Model!$J72:DE72)),0)</f>
        <v>0</v>
      </c>
    </row>
    <row r="73" customFormat="false" ht="13.5" hidden="false" customHeight="true" outlineLevel="0" collapsed="false">
      <c r="A73" s="1" t="str">
        <f aca="false">$B$17</f>
        <v>Dickens</v>
      </c>
      <c r="B73" s="1" t="n">
        <v>0</v>
      </c>
      <c r="C73" s="1" t="n">
        <v>0</v>
      </c>
      <c r="D73" s="1" t="n">
        <v>0</v>
      </c>
      <c r="E73" s="1" t="n">
        <v>0</v>
      </c>
      <c r="F73" s="1" t="n">
        <v>0</v>
      </c>
      <c r="G73" s="1" t="n">
        <v>0</v>
      </c>
      <c r="H73" s="1" t="n">
        <v>0</v>
      </c>
      <c r="I73" s="1" t="n">
        <v>0</v>
      </c>
      <c r="J73" s="1" t="n">
        <f aca="false">IF($D$17=1,MAX(0,SUM(Model!$J26:J26)+SUM(Model!$J73:J73)),0)</f>
        <v>0</v>
      </c>
      <c r="K73" s="1" t="n">
        <f aca="false">IF($D$17=1,MAX(0,SUM(Model!$J26:K26)+SUM(Model!$J73:K73)),0)</f>
        <v>0</v>
      </c>
      <c r="L73" s="1" t="n">
        <f aca="false">IF($D$17=1,MAX(0,SUM(Model!$J26:L26)+SUM(Model!$J73:L73)),0)</f>
        <v>0</v>
      </c>
      <c r="M73" s="1" t="n">
        <f aca="false">IF($D$17=1,MAX(0,SUM(Model!$J26:M26)+SUM(Model!$J73:M73)),0)</f>
        <v>0</v>
      </c>
      <c r="N73" s="1" t="n">
        <f aca="false">IF($D$17=1,MAX(0,SUM(Model!$J26:N26)+SUM(Model!$J73:N73)),0)</f>
        <v>0</v>
      </c>
      <c r="O73" s="1" t="n">
        <f aca="false">IF($D$17=1,MAX(0,SUM(Model!$J26:O26)+SUM(Model!$J73:O73)),0)</f>
        <v>0</v>
      </c>
      <c r="P73" s="1" t="n">
        <f aca="false">IF($D$17=1,MAX(0,SUM(Model!$J26:P26)+SUM(Model!$J73:P73)),0)</f>
        <v>0</v>
      </c>
      <c r="Q73" s="1" t="n">
        <f aca="false">IF($D$17=1,MAX(0,SUM(Model!$J26:Q26)+SUM(Model!$J73:Q73)),0)</f>
        <v>0</v>
      </c>
      <c r="R73" s="1" t="n">
        <f aca="false">IF($D$17=1,MAX(0,SUM(Model!$J26:R26)+SUM(Model!$J73:R73)),0)</f>
        <v>0</v>
      </c>
      <c r="S73" s="1" t="n">
        <f aca="false">IF($D$17=1,MAX(0,SUM(Model!$J26:S26)+SUM(Model!$J73:S73)),0)</f>
        <v>0</v>
      </c>
      <c r="T73" s="1" t="n">
        <f aca="false">IF($D$17=1,MAX(0,SUM(Model!$J26:T26)+SUM(Model!$J73:T73)),0)</f>
        <v>0</v>
      </c>
      <c r="U73" s="1" t="n">
        <f aca="false">IF($D$17=1,MAX(0,SUM(Model!$J26:U26)+SUM(Model!$J73:U73)),0)</f>
        <v>0</v>
      </c>
      <c r="V73" s="1" t="n">
        <f aca="false">IF($D$17=1,MAX(0,SUM(Model!$J26:V26)+SUM(Model!$J73:V73)),0)</f>
        <v>0</v>
      </c>
      <c r="W73" s="1" t="n">
        <f aca="false">IF($D$17=1,MAX(0,SUM(Model!$J26:W26)+SUM(Model!$J73:W73)),0)</f>
        <v>0</v>
      </c>
      <c r="X73" s="1" t="n">
        <f aca="false">IF($D$17=1,MAX(0,SUM(Model!$J26:X26)+SUM(Model!$J73:X73)),0)</f>
        <v>0</v>
      </c>
      <c r="Y73" s="1" t="n">
        <f aca="false">IF($D$17=1,MAX(0,SUM(Model!$J26:Y26)+SUM(Model!$J73:Y73)),0)</f>
        <v>0</v>
      </c>
      <c r="Z73" s="1" t="n">
        <f aca="false">IF($D$17=1,MAX(0,SUM(Model!$J26:Z26)+SUM(Model!$J73:Z73)),0)</f>
        <v>0</v>
      </c>
      <c r="AA73" s="1" t="n">
        <f aca="false">IF($D$17=1,MAX(0,SUM(Model!$J26:AA26)+SUM(Model!$J73:AA73)),0)</f>
        <v>0</v>
      </c>
      <c r="AB73" s="1" t="n">
        <f aca="false">IF($D$17=1,MAX(0,SUM(Model!$J26:AB26)+SUM(Model!$J73:AB73)),0)</f>
        <v>0</v>
      </c>
      <c r="AC73" s="1" t="n">
        <f aca="false">IF($D$17=1,MAX(0,SUM(Model!$J26:AC26)+SUM(Model!$J73:AC73)),0)</f>
        <v>0</v>
      </c>
      <c r="AD73" s="1" t="n">
        <f aca="false">IF($D$17=1,MAX(0,SUM(Model!$J26:AD26)+SUM(Model!$J73:AD73)),0)</f>
        <v>0</v>
      </c>
      <c r="AE73" s="1" t="n">
        <f aca="false">IF($D$17=1,MAX(0,SUM(Model!$J26:AE26)+SUM(Model!$J73:AE73)),0)</f>
        <v>0</v>
      </c>
      <c r="AF73" s="1" t="n">
        <f aca="false">IF($D$17=1,MAX(0,SUM(Model!$J26:AF26)+SUM(Model!$J73:AF73)),0)</f>
        <v>0</v>
      </c>
      <c r="AG73" s="1" t="n">
        <f aca="false">IF($D$17=1,MAX(0,SUM(Model!$J26:AG26)+SUM(Model!$J73:AG73)),0)</f>
        <v>0</v>
      </c>
      <c r="AH73" s="1" t="n">
        <f aca="false">IF($D$17=1,MAX(0,SUM(Model!$J26:AH26)+SUM(Model!$J73:AH73)),0)</f>
        <v>0</v>
      </c>
      <c r="AI73" s="1" t="n">
        <f aca="false">IF($D$17=1,MAX(0,SUM(Model!$J26:AI26)+SUM(Model!$J73:AI73)),0)</f>
        <v>0</v>
      </c>
      <c r="AJ73" s="1" t="n">
        <f aca="false">IF($D$17=1,MAX(0,SUM(Model!$J26:AJ26)+SUM(Model!$J73:AJ73)),0)</f>
        <v>0</v>
      </c>
      <c r="AK73" s="1" t="n">
        <f aca="false">IF($D$17=1,MAX(0,SUM(Model!$J26:AK26)+SUM(Model!$J73:AK73)),0)</f>
        <v>0</v>
      </c>
      <c r="AL73" s="1" t="n">
        <f aca="false">IF($D$17=1,MAX(0,SUM(Model!$J26:AL26)+SUM(Model!$J73:AL73)),0)</f>
        <v>0</v>
      </c>
      <c r="AM73" s="1" t="n">
        <f aca="false">IF($D$17=1,MAX(0,SUM(Model!$J26:AM26)+SUM(Model!$J73:AM73)),0)</f>
        <v>0</v>
      </c>
      <c r="AN73" s="1" t="n">
        <f aca="false">IF($D$17=1,MAX(0,SUM(Model!$J26:AN26)+SUM(Model!$J73:AN73)),0)</f>
        <v>0</v>
      </c>
      <c r="AO73" s="1" t="n">
        <f aca="false">IF($D$17=1,MAX(0,SUM(Model!$J26:AO26)+SUM(Model!$J73:AO73)),0)</f>
        <v>0</v>
      </c>
      <c r="AP73" s="1" t="n">
        <f aca="false">IF($D$17=1,MAX(0,SUM(Model!$J26:AP26)+SUM(Model!$J73:AP73)),0)</f>
        <v>0</v>
      </c>
      <c r="AQ73" s="1" t="n">
        <f aca="false">IF($D$17=1,MAX(0,SUM(Model!$J26:AQ26)+SUM(Model!$J73:AQ73)),0)</f>
        <v>0</v>
      </c>
      <c r="AR73" s="1" t="n">
        <f aca="false">IF($D$17=1,MAX(0,SUM(Model!$J26:AR26)+SUM(Model!$J73:AR73)),0)</f>
        <v>0</v>
      </c>
      <c r="AS73" s="1" t="n">
        <f aca="false">IF($D$17=1,MAX(0,SUM(Model!$J26:AS26)+SUM(Model!$J73:AS73)),0)</f>
        <v>0</v>
      </c>
      <c r="AT73" s="1" t="n">
        <f aca="false">IF($D$17=1,MAX(0,SUM(Model!$J26:AT26)+SUM(Model!$J73:AT73)),0)</f>
        <v>0</v>
      </c>
      <c r="AU73" s="1" t="n">
        <f aca="false">IF($D$17=1,MAX(0,SUM(Model!$J26:AU26)+SUM(Model!$J73:AU73)),0)</f>
        <v>0</v>
      </c>
      <c r="AV73" s="1" t="n">
        <f aca="false">IF($D$17=1,MAX(0,SUM(Model!$J26:AV26)+SUM(Model!$J73:AV73)),0)</f>
        <v>0</v>
      </c>
      <c r="AW73" s="1" t="n">
        <f aca="false">IF($D$17=1,MAX(0,SUM(Model!$J26:AW26)+SUM(Model!$J73:AW73)),0)</f>
        <v>0</v>
      </c>
      <c r="AX73" s="1" t="n">
        <f aca="false">IF($D$17=1,MAX(0,SUM(Model!$J26:AX26)+SUM(Model!$J73:AX73)),0)</f>
        <v>0</v>
      </c>
      <c r="AY73" s="1" t="n">
        <f aca="false">IF($D$17=1,MAX(0,SUM(Model!$J26:AY26)+SUM(Model!$J73:AY73)),0)</f>
        <v>0</v>
      </c>
      <c r="AZ73" s="1" t="n">
        <f aca="false">IF($D$17=1,MAX(0,SUM(Model!$J26:AZ26)+SUM(Model!$J73:AZ73)),0)</f>
        <v>0</v>
      </c>
      <c r="BA73" s="1" t="n">
        <f aca="false">IF($D$17=1,MAX(0,SUM(Model!$J26:BA26)+SUM(Model!$J73:BA73)),0)</f>
        <v>0</v>
      </c>
      <c r="BB73" s="1" t="n">
        <f aca="false">IF($D$17=1,MAX(0,SUM(Model!$J26:BB26)+SUM(Model!$J73:BB73)),0)</f>
        <v>0</v>
      </c>
      <c r="BC73" s="1" t="n">
        <f aca="false">IF($D$17=1,MAX(0,SUM(Model!$J26:BC26)+SUM(Model!$J73:BC73)),0)</f>
        <v>0</v>
      </c>
      <c r="BD73" s="1" t="n">
        <f aca="false">IF($D$17=1,MAX(0,SUM(Model!$J26:BD26)+SUM(Model!$J73:BD73)),0)</f>
        <v>0</v>
      </c>
      <c r="BE73" s="1" t="n">
        <f aca="false">IF($D$17=1,MAX(0,SUM(Model!$J26:BE26)+SUM(Model!$J73:BE73)),0)</f>
        <v>0</v>
      </c>
      <c r="BF73" s="1" t="n">
        <f aca="false">IF($D$17=1,MAX(0,SUM(Model!$J26:BF26)+SUM(Model!$J73:BF73)),0)</f>
        <v>0</v>
      </c>
      <c r="BG73" s="1" t="n">
        <f aca="false">IF($D$17=1,MAX(0,SUM(Model!$J26:BG26)+SUM(Model!$J73:BG73)),0)</f>
        <v>0</v>
      </c>
      <c r="BH73" s="1" t="n">
        <f aca="false">IF($D$17=1,MAX(0,SUM(Model!$J26:BH26)+SUM(Model!$J73:BH73)),0)</f>
        <v>0</v>
      </c>
      <c r="BI73" s="1" t="n">
        <f aca="false">IF($D$17=1,MAX(0,SUM(Model!$J26:BI26)+SUM(Model!$J73:BI73)),0)</f>
        <v>0</v>
      </c>
      <c r="BJ73" s="1" t="n">
        <f aca="false">IF($D$17=1,MAX(0,SUM(Model!$J26:BJ26)+SUM(Model!$J73:BJ73)),0)</f>
        <v>0</v>
      </c>
      <c r="BK73" s="1" t="n">
        <f aca="false">IF($D$17=1,MAX(0,SUM(Model!$J26:BK26)+SUM(Model!$J73:BK73)),0)</f>
        <v>0</v>
      </c>
      <c r="BL73" s="1" t="n">
        <f aca="false">IF($D$17=1,MAX(0,SUM(Model!$J26:BL26)+SUM(Model!$J73:BL73)),0)</f>
        <v>0</v>
      </c>
      <c r="BM73" s="1" t="n">
        <f aca="false">IF($D$17=1,MAX(0,SUM(Model!$J26:BM26)+SUM(Model!$J73:BM73)),0)</f>
        <v>0</v>
      </c>
      <c r="BN73" s="1" t="n">
        <f aca="false">IF($D$17=1,MAX(0,SUM(Model!$J26:BN26)+SUM(Model!$J73:BN73)),0)</f>
        <v>0</v>
      </c>
      <c r="BO73" s="1" t="n">
        <f aca="false">IF($D$17=1,MAX(0,SUM(Model!$J26:BO26)+SUM(Model!$J73:BO73)),0)</f>
        <v>0</v>
      </c>
      <c r="BP73" s="1" t="n">
        <f aca="false">IF($D$17=1,MAX(0,SUM(Model!$J26:BP26)+SUM(Model!$J73:BP73)),0)</f>
        <v>0</v>
      </c>
      <c r="BQ73" s="1" t="n">
        <f aca="false">IF($D$17=1,MAX(0,SUM(Model!$J26:BQ26)+SUM(Model!$J73:BQ73)),0)</f>
        <v>0</v>
      </c>
      <c r="BR73" s="1" t="n">
        <f aca="false">IF($D$17=1,MAX(0,SUM(Model!$J26:BR26)+SUM(Model!$J73:BR73)),0)</f>
        <v>0</v>
      </c>
      <c r="BS73" s="1" t="n">
        <f aca="false">IF($D$17=1,MAX(0,SUM(Model!$J26:BS26)+SUM(Model!$J73:BS73)),0)</f>
        <v>0</v>
      </c>
      <c r="BT73" s="1" t="n">
        <f aca="false">IF($D$17=1,MAX(0,SUM(Model!$J26:BT26)+SUM(Model!$J73:BT73)),0)</f>
        <v>0</v>
      </c>
      <c r="BU73" s="1" t="n">
        <f aca="false">IF($D$17=1,MAX(0,SUM(Model!$J26:BU26)+SUM(Model!$J73:BU73)),0)</f>
        <v>0</v>
      </c>
      <c r="BV73" s="1" t="n">
        <f aca="false">IF($D$17=1,MAX(0,SUM(Model!$J26:BV26)+SUM(Model!$J73:BV73)),0)</f>
        <v>0</v>
      </c>
      <c r="BW73" s="1" t="n">
        <f aca="false">IF($D$17=1,MAX(0,SUM(Model!$J26:BW26)+SUM(Model!$J73:BW73)),0)</f>
        <v>0</v>
      </c>
      <c r="BX73" s="1" t="n">
        <f aca="false">IF($D$17=1,MAX(0,SUM(Model!$J26:BX26)+SUM(Model!$J73:BX73)),0)</f>
        <v>0</v>
      </c>
      <c r="BY73" s="1" t="n">
        <f aca="false">IF($D$17=1,MAX(0,SUM(Model!$J26:BY26)+SUM(Model!$J73:BY73)),0)</f>
        <v>0</v>
      </c>
      <c r="BZ73" s="1" t="n">
        <f aca="false">IF($D$17=1,MAX(0,SUM(Model!$J26:BZ26)+SUM(Model!$J73:BZ73)),0)</f>
        <v>0</v>
      </c>
      <c r="CA73" s="1" t="n">
        <f aca="false">IF($D$17=1,MAX(0,SUM(Model!$J26:CA26)+SUM(Model!$J73:CA73)),0)</f>
        <v>0</v>
      </c>
      <c r="CB73" s="1" t="n">
        <f aca="false">IF($D$17=1,MAX(0,SUM(Model!$J26:CB26)+SUM(Model!$J73:CB73)),0)</f>
        <v>0</v>
      </c>
      <c r="CC73" s="1" t="n">
        <f aca="false">IF($D$17=1,MAX(0,SUM(Model!$J26:CC26)+SUM(Model!$J73:CC73)),0)</f>
        <v>0</v>
      </c>
      <c r="CD73" s="1" t="n">
        <f aca="false">IF($D$17=1,MAX(0,SUM(Model!$J26:CD26)+SUM(Model!$J73:CD73)),0)</f>
        <v>0</v>
      </c>
      <c r="CE73" s="1" t="n">
        <f aca="false">IF($D$17=1,MAX(0,SUM(Model!$J26:CE26)+SUM(Model!$J73:CE73)),0)</f>
        <v>0</v>
      </c>
      <c r="CF73" s="1" t="n">
        <f aca="false">IF($D$17=1,MAX(0,SUM(Model!$J26:CF26)+SUM(Model!$J73:CF73)),0)</f>
        <v>0</v>
      </c>
      <c r="CG73" s="1" t="n">
        <f aca="false">IF($D$17=1,MAX(0,SUM(Model!$J26:CG26)+SUM(Model!$J73:CG73)),0)</f>
        <v>0</v>
      </c>
      <c r="CH73" s="1" t="n">
        <f aca="false">IF($D$17=1,MAX(0,SUM(Model!$J26:CH26)+SUM(Model!$J73:CH73)),0)</f>
        <v>0</v>
      </c>
      <c r="CI73" s="1" t="n">
        <f aca="false">IF($D$17=1,MAX(0,SUM(Model!$J26:CI26)+SUM(Model!$J73:CI73)),0)</f>
        <v>0</v>
      </c>
      <c r="CJ73" s="1" t="n">
        <f aca="false">IF($D$17=1,MAX(0,SUM(Model!$J26:CJ26)+SUM(Model!$J73:CJ73)),0)</f>
        <v>0</v>
      </c>
      <c r="CK73" s="1" t="n">
        <f aca="false">IF($D$17=1,MAX(0,SUM(Model!$J26:CK26)+SUM(Model!$J73:CK73)),0)</f>
        <v>0</v>
      </c>
      <c r="CL73" s="1" t="n">
        <f aca="false">IF($D$17=1,MAX(0,SUM(Model!$J26:CL26)+SUM(Model!$J73:CL73)),0)</f>
        <v>0</v>
      </c>
      <c r="CM73" s="1" t="n">
        <f aca="false">IF($D$17=1,MAX(0,SUM(Model!$J26:CM26)+SUM(Model!$J73:CM73)),0)</f>
        <v>0</v>
      </c>
      <c r="CN73" s="1" t="n">
        <f aca="false">IF($D$17=1,MAX(0,SUM(Model!$J26:CN26)+SUM(Model!$J73:CN73)),0)</f>
        <v>0</v>
      </c>
      <c r="CO73" s="1" t="n">
        <f aca="false">IF($D$17=1,MAX(0,SUM(Model!$J26:CO26)+SUM(Model!$J73:CO73)),0)</f>
        <v>0</v>
      </c>
      <c r="CP73" s="1" t="n">
        <f aca="false">IF($D$17=1,MAX(0,SUM(Model!$J26:CP26)+SUM(Model!$J73:CP73)),0)</f>
        <v>0</v>
      </c>
      <c r="CQ73" s="1" t="n">
        <f aca="false">IF($D$17=1,MAX(0,SUM(Model!$J26:CQ26)+SUM(Model!$J73:CQ73)),0)</f>
        <v>0</v>
      </c>
      <c r="CR73" s="1" t="n">
        <f aca="false">IF($D$17=1,MAX(0,SUM(Model!$J26:CR26)+SUM(Model!$J73:CR73)),0)</f>
        <v>0</v>
      </c>
      <c r="CS73" s="1" t="n">
        <f aca="false">IF($D$17=1,MAX(0,SUM(Model!$J26:CS26)+SUM(Model!$J73:CS73)),0)</f>
        <v>0</v>
      </c>
      <c r="CT73" s="1" t="n">
        <f aca="false">IF($D$17=1,MAX(0,SUM(Model!$J26:CT26)+SUM(Model!$J73:CT73)),0)</f>
        <v>0</v>
      </c>
      <c r="CU73" s="1" t="n">
        <f aca="false">IF($D$17=1,MAX(0,SUM(Model!$J26:CU26)+SUM(Model!$J73:CU73)),0)</f>
        <v>0</v>
      </c>
      <c r="CV73" s="1" t="n">
        <f aca="false">IF($D$17=1,MAX(0,SUM(Model!$J26:CV26)+SUM(Model!$J73:CV73)),0)</f>
        <v>0</v>
      </c>
      <c r="CW73" s="1" t="n">
        <f aca="false">IF($D$17=1,MAX(0,SUM(Model!$J26:CW26)+SUM(Model!$J73:CW73)),0)</f>
        <v>0</v>
      </c>
      <c r="CX73" s="1" t="n">
        <f aca="false">IF($D$17=1,MAX(0,SUM(Model!$J26:CX26)+SUM(Model!$J73:CX73)),0)</f>
        <v>0</v>
      </c>
      <c r="CY73" s="1" t="n">
        <f aca="false">IF($D$17=1,MAX(0,SUM(Model!$J26:CY26)+SUM(Model!$J73:CY73)),0)</f>
        <v>0</v>
      </c>
      <c r="CZ73" s="1" t="n">
        <f aca="false">IF($D$17=1,MAX(0,SUM(Model!$J26:CZ26)+SUM(Model!$J73:CZ73)),0)</f>
        <v>0</v>
      </c>
      <c r="DA73" s="1" t="n">
        <f aca="false">IF($D$17=1,MAX(0,SUM(Model!$J26:DA26)+SUM(Model!$J73:DA73)),0)</f>
        <v>0</v>
      </c>
      <c r="DB73" s="1" t="n">
        <f aca="false">IF($D$17=1,MAX(0,SUM(Model!$J26:DB26)+SUM(Model!$J73:DB73)),0)</f>
        <v>0</v>
      </c>
      <c r="DC73" s="1" t="n">
        <f aca="false">IF($D$17=1,MAX(0,SUM(Model!$J26:DC26)+SUM(Model!$J73:DC73)),0)</f>
        <v>0</v>
      </c>
      <c r="DD73" s="1" t="n">
        <f aca="false">IF($D$17=1,MAX(0,SUM(Model!$J26:DD26)+SUM(Model!$J73:DD73)),0)</f>
        <v>0</v>
      </c>
      <c r="DE73" s="1" t="n">
        <f aca="false">IF($D$17=1,MAX(0,SUM(Model!$J26:DE26)+SUM(Model!$J73:DE73)),0)</f>
        <v>0</v>
      </c>
    </row>
    <row r="74" customFormat="false" ht="13.5" hidden="false" customHeight="true" outlineLevel="0" collapsed="false">
      <c r="A74" s="1" t="str">
        <f aca="false">$B$18</f>
        <v>Riverton 75</v>
      </c>
      <c r="B74" s="1" t="n">
        <v>0</v>
      </c>
      <c r="C74" s="1" t="n">
        <v>0</v>
      </c>
      <c r="D74" s="1" t="n">
        <v>0</v>
      </c>
      <c r="E74" s="1" t="n">
        <v>0</v>
      </c>
      <c r="F74" s="1" t="n">
        <v>0</v>
      </c>
      <c r="G74" s="1" t="n">
        <v>0</v>
      </c>
      <c r="H74" s="1" t="n">
        <v>0</v>
      </c>
      <c r="I74" s="1" t="n">
        <v>0</v>
      </c>
      <c r="J74" s="1" t="n">
        <f aca="false">IF($D$18=1,MAX(0,SUM(Model!$J27:J27)+SUM(Model!$J74:J74)),0)</f>
        <v>0</v>
      </c>
      <c r="K74" s="1" t="n">
        <f aca="false">IF($D$18=1,MAX(0,SUM(Model!$J27:K27)+SUM(Model!$J74:K74)),0)</f>
        <v>0</v>
      </c>
      <c r="L74" s="1" t="n">
        <f aca="false">IF($D$18=1,MAX(0,SUM(Model!$J27:L27)+SUM(Model!$J74:L74)),0)</f>
        <v>0</v>
      </c>
      <c r="M74" s="1" t="n">
        <f aca="false">IF($D$18=1,MAX(0,SUM(Model!$J27:M27)+SUM(Model!$J74:M74)),0)</f>
        <v>0</v>
      </c>
      <c r="N74" s="1" t="n">
        <f aca="false">IF($D$18=1,MAX(0,SUM(Model!$J27:N27)+SUM(Model!$J74:N74)),0)</f>
        <v>0</v>
      </c>
      <c r="O74" s="1" t="n">
        <f aca="false">IF($D$18=1,MAX(0,SUM(Model!$J27:O27)+SUM(Model!$J74:O74)),0)</f>
        <v>0</v>
      </c>
      <c r="P74" s="1" t="n">
        <f aca="false">IF($D$18=1,MAX(0,SUM(Model!$J27:P27)+SUM(Model!$J74:P74)),0)</f>
        <v>0</v>
      </c>
      <c r="Q74" s="1" t="n">
        <f aca="false">IF($D$18=1,MAX(0,SUM(Model!$J27:Q27)+SUM(Model!$J74:Q74)),0)</f>
        <v>0</v>
      </c>
      <c r="R74" s="1" t="n">
        <f aca="false">IF($D$18=1,MAX(0,SUM(Model!$J27:R27)+SUM(Model!$J74:R74)),0)</f>
        <v>0</v>
      </c>
      <c r="S74" s="1" t="n">
        <f aca="false">IF($D$18=1,MAX(0,SUM(Model!$J27:S27)+SUM(Model!$J74:S74)),0)</f>
        <v>0</v>
      </c>
      <c r="T74" s="1" t="n">
        <f aca="false">IF($D$18=1,MAX(0,SUM(Model!$J27:T27)+SUM(Model!$J74:T74)),0)</f>
        <v>0</v>
      </c>
      <c r="U74" s="1" t="n">
        <f aca="false">IF($D$18=1,MAX(0,SUM(Model!$J27:U27)+SUM(Model!$J74:U74)),0)</f>
        <v>0</v>
      </c>
      <c r="V74" s="1" t="n">
        <f aca="false">IF($D$18=1,MAX(0,SUM(Model!$J27:V27)+SUM(Model!$J74:V74)),0)</f>
        <v>0</v>
      </c>
      <c r="W74" s="1" t="n">
        <f aca="false">IF($D$18=1,MAX(0,SUM(Model!$J27:W27)+SUM(Model!$J74:W74)),0)</f>
        <v>0</v>
      </c>
      <c r="X74" s="1" t="n">
        <f aca="false">IF($D$18=1,MAX(0,SUM(Model!$J27:X27)+SUM(Model!$J74:X74)),0)</f>
        <v>0</v>
      </c>
      <c r="Y74" s="1" t="n">
        <f aca="false">IF($D$18=1,MAX(0,SUM(Model!$J27:Y27)+SUM(Model!$J74:Y74)),0)</f>
        <v>0</v>
      </c>
      <c r="Z74" s="1" t="n">
        <f aca="false">IF($D$18=1,MAX(0,SUM(Model!$J27:Z27)+SUM(Model!$J74:Z74)),0)</f>
        <v>0</v>
      </c>
      <c r="AA74" s="1" t="n">
        <f aca="false">IF($D$18=1,MAX(0,SUM(Model!$J27:AA27)+SUM(Model!$J74:AA74)),0)</f>
        <v>0</v>
      </c>
      <c r="AB74" s="1" t="n">
        <f aca="false">IF($D$18=1,MAX(0,SUM(Model!$J27:AB27)+SUM(Model!$J74:AB74)),0)</f>
        <v>0</v>
      </c>
      <c r="AC74" s="1" t="n">
        <f aca="false">IF($D$18=1,MAX(0,SUM(Model!$J27:AC27)+SUM(Model!$J74:AC74)),0)</f>
        <v>0</v>
      </c>
      <c r="AD74" s="1" t="n">
        <f aca="false">IF($D$18=1,MAX(0,SUM(Model!$J27:AD27)+SUM(Model!$J74:AD74)),0)</f>
        <v>0</v>
      </c>
      <c r="AE74" s="1" t="n">
        <f aca="false">IF($D$18=1,MAX(0,SUM(Model!$J27:AE27)+SUM(Model!$J74:AE74)),0)</f>
        <v>0</v>
      </c>
      <c r="AF74" s="1" t="n">
        <f aca="false">IF($D$18=1,MAX(0,SUM(Model!$J27:AF27)+SUM(Model!$J74:AF74)),0)</f>
        <v>0</v>
      </c>
      <c r="AG74" s="1" t="n">
        <f aca="false">IF($D$18=1,MAX(0,SUM(Model!$J27:AG27)+SUM(Model!$J74:AG74)),0)</f>
        <v>0</v>
      </c>
      <c r="AH74" s="1" t="n">
        <f aca="false">IF($D$18=1,MAX(0,SUM(Model!$J27:AH27)+SUM(Model!$J74:AH74)),0)</f>
        <v>0</v>
      </c>
      <c r="AI74" s="1" t="n">
        <f aca="false">IF($D$18=1,MAX(0,SUM(Model!$J27:AI27)+SUM(Model!$J74:AI74)),0)</f>
        <v>0</v>
      </c>
      <c r="AJ74" s="1" t="n">
        <f aca="false">IF($D$18=1,MAX(0,SUM(Model!$J27:AJ27)+SUM(Model!$J74:AJ74)),0)</f>
        <v>0</v>
      </c>
      <c r="AK74" s="1" t="n">
        <f aca="false">IF($D$18=1,MAX(0,SUM(Model!$J27:AK27)+SUM(Model!$J74:AK74)),0)</f>
        <v>0</v>
      </c>
      <c r="AL74" s="1" t="n">
        <f aca="false">IF($D$18=1,MAX(0,SUM(Model!$J27:AL27)+SUM(Model!$J74:AL74)),0)</f>
        <v>0</v>
      </c>
      <c r="AM74" s="1" t="n">
        <f aca="false">IF($D$18=1,MAX(0,SUM(Model!$J27:AM27)+SUM(Model!$J74:AM74)),0)</f>
        <v>0</v>
      </c>
      <c r="AN74" s="1" t="n">
        <f aca="false">IF($D$18=1,MAX(0,SUM(Model!$J27:AN27)+SUM(Model!$J74:AN74)),0)</f>
        <v>0</v>
      </c>
      <c r="AO74" s="1" t="n">
        <f aca="false">IF($D$18=1,MAX(0,SUM(Model!$J27:AO27)+SUM(Model!$J74:AO74)),0)</f>
        <v>0</v>
      </c>
      <c r="AP74" s="1" t="n">
        <f aca="false">IF($D$18=1,MAX(0,SUM(Model!$J27:AP27)+SUM(Model!$J74:AP74)),0)</f>
        <v>0</v>
      </c>
      <c r="AQ74" s="1" t="n">
        <f aca="false">IF($D$18=1,MAX(0,SUM(Model!$J27:AQ27)+SUM(Model!$J74:AQ74)),0)</f>
        <v>0</v>
      </c>
      <c r="AR74" s="1" t="n">
        <f aca="false">IF($D$18=1,MAX(0,SUM(Model!$J27:AR27)+SUM(Model!$J74:AR74)),0)</f>
        <v>0</v>
      </c>
      <c r="AS74" s="1" t="n">
        <f aca="false">IF($D$18=1,MAX(0,SUM(Model!$J27:AS27)+SUM(Model!$J74:AS74)),0)</f>
        <v>0</v>
      </c>
      <c r="AT74" s="1" t="n">
        <f aca="false">IF($D$18=1,MAX(0,SUM(Model!$J27:AT27)+SUM(Model!$J74:AT74)),0)</f>
        <v>0</v>
      </c>
      <c r="AU74" s="1" t="n">
        <f aca="false">IF($D$18=1,MAX(0,SUM(Model!$J27:AU27)+SUM(Model!$J74:AU74)),0)</f>
        <v>0</v>
      </c>
      <c r="AV74" s="1" t="n">
        <f aca="false">IF($D$18=1,MAX(0,SUM(Model!$J27:AV27)+SUM(Model!$J74:AV74)),0)</f>
        <v>0</v>
      </c>
      <c r="AW74" s="1" t="n">
        <f aca="false">IF($D$18=1,MAX(0,SUM(Model!$J27:AW27)+SUM(Model!$J74:AW74)),0)</f>
        <v>0</v>
      </c>
      <c r="AX74" s="1" t="n">
        <f aca="false">IF($D$18=1,MAX(0,SUM(Model!$J27:AX27)+SUM(Model!$J74:AX74)),0)</f>
        <v>0</v>
      </c>
      <c r="AY74" s="1" t="n">
        <f aca="false">IF($D$18=1,MAX(0,SUM(Model!$J27:AY27)+SUM(Model!$J74:AY74)),0)</f>
        <v>0</v>
      </c>
      <c r="AZ74" s="1" t="n">
        <f aca="false">IF($D$18=1,MAX(0,SUM(Model!$J27:AZ27)+SUM(Model!$J74:AZ74)),0)</f>
        <v>0</v>
      </c>
      <c r="BA74" s="1" t="n">
        <f aca="false">IF($D$18=1,MAX(0,SUM(Model!$J27:BA27)+SUM(Model!$J74:BA74)),0)</f>
        <v>0</v>
      </c>
      <c r="BB74" s="1" t="n">
        <f aca="false">IF($D$18=1,MAX(0,SUM(Model!$J27:BB27)+SUM(Model!$J74:BB74)),0)</f>
        <v>0</v>
      </c>
      <c r="BC74" s="1" t="n">
        <f aca="false">IF($D$18=1,MAX(0,SUM(Model!$J27:BC27)+SUM(Model!$J74:BC74)),0)</f>
        <v>0</v>
      </c>
      <c r="BD74" s="1" t="n">
        <f aca="false">IF($D$18=1,MAX(0,SUM(Model!$J27:BD27)+SUM(Model!$J74:BD74)),0)</f>
        <v>0</v>
      </c>
      <c r="BE74" s="1" t="n">
        <f aca="false">IF($D$18=1,MAX(0,SUM(Model!$J27:BE27)+SUM(Model!$J74:BE74)),0)</f>
        <v>0</v>
      </c>
      <c r="BF74" s="1" t="n">
        <f aca="false">IF($D$18=1,MAX(0,SUM(Model!$J27:BF27)+SUM(Model!$J74:BF74)),0)</f>
        <v>0</v>
      </c>
      <c r="BG74" s="1" t="n">
        <f aca="false">IF($D$18=1,MAX(0,SUM(Model!$J27:BG27)+SUM(Model!$J74:BG74)),0)</f>
        <v>0</v>
      </c>
      <c r="BH74" s="1" t="n">
        <f aca="false">IF($D$18=1,MAX(0,SUM(Model!$J27:BH27)+SUM(Model!$J74:BH74)),0)</f>
        <v>0</v>
      </c>
      <c r="BI74" s="1" t="n">
        <f aca="false">IF($D$18=1,MAX(0,SUM(Model!$J27:BI27)+SUM(Model!$J74:BI74)),0)</f>
        <v>0</v>
      </c>
      <c r="BJ74" s="1" t="n">
        <f aca="false">IF($D$18=1,MAX(0,SUM(Model!$J27:BJ27)+SUM(Model!$J74:BJ74)),0)</f>
        <v>0</v>
      </c>
      <c r="BK74" s="1" t="n">
        <f aca="false">IF($D$18=1,MAX(0,SUM(Model!$J27:BK27)+SUM(Model!$J74:BK74)),0)</f>
        <v>0</v>
      </c>
      <c r="BL74" s="1" t="n">
        <f aca="false">IF($D$18=1,MAX(0,SUM(Model!$J27:BL27)+SUM(Model!$J74:BL74)),0)</f>
        <v>0</v>
      </c>
      <c r="BM74" s="1" t="n">
        <f aca="false">IF($D$18=1,MAX(0,SUM(Model!$J27:BM27)+SUM(Model!$J74:BM74)),0)</f>
        <v>0</v>
      </c>
      <c r="BN74" s="1" t="n">
        <f aca="false">IF($D$18=1,MAX(0,SUM(Model!$J27:BN27)+SUM(Model!$J74:BN74)),0)</f>
        <v>0</v>
      </c>
      <c r="BO74" s="1" t="n">
        <f aca="false">IF($D$18=1,MAX(0,SUM(Model!$J27:BO27)+SUM(Model!$J74:BO74)),0)</f>
        <v>0</v>
      </c>
      <c r="BP74" s="1" t="n">
        <f aca="false">IF($D$18=1,MAX(0,SUM(Model!$J27:BP27)+SUM(Model!$J74:BP74)),0)</f>
        <v>0</v>
      </c>
      <c r="BQ74" s="1" t="n">
        <f aca="false">IF($D$18=1,MAX(0,SUM(Model!$J27:BQ27)+SUM(Model!$J74:BQ74)),0)</f>
        <v>0</v>
      </c>
      <c r="BR74" s="1" t="n">
        <f aca="false">IF($D$18=1,MAX(0,SUM(Model!$J27:BR27)+SUM(Model!$J74:BR74)),0)</f>
        <v>0</v>
      </c>
      <c r="BS74" s="1" t="n">
        <f aca="false">IF($D$18=1,MAX(0,SUM(Model!$J27:BS27)+SUM(Model!$J74:BS74)),0)</f>
        <v>0</v>
      </c>
      <c r="BT74" s="1" t="n">
        <f aca="false">IF($D$18=1,MAX(0,SUM(Model!$J27:BT27)+SUM(Model!$J74:BT74)),0)</f>
        <v>0</v>
      </c>
      <c r="BU74" s="1" t="n">
        <f aca="false">IF($D$18=1,MAX(0,SUM(Model!$J27:BU27)+SUM(Model!$J74:BU74)),0)</f>
        <v>0</v>
      </c>
      <c r="BV74" s="1" t="n">
        <f aca="false">IF($D$18=1,MAX(0,SUM(Model!$J27:BV27)+SUM(Model!$J74:BV74)),0)</f>
        <v>0</v>
      </c>
      <c r="BW74" s="1" t="n">
        <f aca="false">IF($D$18=1,MAX(0,SUM(Model!$J27:BW27)+SUM(Model!$J74:BW74)),0)</f>
        <v>0</v>
      </c>
      <c r="BX74" s="1" t="n">
        <f aca="false">IF($D$18=1,MAX(0,SUM(Model!$J27:BX27)+SUM(Model!$J74:BX74)),0)</f>
        <v>0</v>
      </c>
      <c r="BY74" s="1" t="n">
        <f aca="false">IF($D$18=1,MAX(0,SUM(Model!$J27:BY27)+SUM(Model!$J74:BY74)),0)</f>
        <v>0</v>
      </c>
      <c r="BZ74" s="1" t="n">
        <f aca="false">IF($D$18=1,MAX(0,SUM(Model!$J27:BZ27)+SUM(Model!$J74:BZ74)),0)</f>
        <v>0</v>
      </c>
      <c r="CA74" s="1" t="n">
        <f aca="false">IF($D$18=1,MAX(0,SUM(Model!$J27:CA27)+SUM(Model!$J74:CA74)),0)</f>
        <v>0</v>
      </c>
      <c r="CB74" s="1" t="n">
        <f aca="false">IF($D$18=1,MAX(0,SUM(Model!$J27:CB27)+SUM(Model!$J74:CB74)),0)</f>
        <v>0</v>
      </c>
      <c r="CC74" s="1" t="n">
        <f aca="false">IF($D$18=1,MAX(0,SUM(Model!$J27:CC27)+SUM(Model!$J74:CC74)),0)</f>
        <v>0</v>
      </c>
      <c r="CD74" s="1" t="n">
        <f aca="false">IF($D$18=1,MAX(0,SUM(Model!$J27:CD27)+SUM(Model!$J74:CD74)),0)</f>
        <v>0</v>
      </c>
      <c r="CE74" s="1" t="n">
        <f aca="false">IF($D$18=1,MAX(0,SUM(Model!$J27:CE27)+SUM(Model!$J74:CE74)),0)</f>
        <v>0</v>
      </c>
      <c r="CF74" s="1" t="n">
        <f aca="false">IF($D$18=1,MAX(0,SUM(Model!$J27:CF27)+SUM(Model!$J74:CF74)),0)</f>
        <v>0</v>
      </c>
      <c r="CG74" s="1" t="n">
        <f aca="false">IF($D$18=1,MAX(0,SUM(Model!$J27:CG27)+SUM(Model!$J74:CG74)),0)</f>
        <v>0</v>
      </c>
      <c r="CH74" s="1" t="n">
        <f aca="false">IF($D$18=1,MAX(0,SUM(Model!$J27:CH27)+SUM(Model!$J74:CH74)),0)</f>
        <v>0</v>
      </c>
      <c r="CI74" s="1" t="n">
        <f aca="false">IF($D$18=1,MAX(0,SUM(Model!$J27:CI27)+SUM(Model!$J74:CI74)),0)</f>
        <v>0</v>
      </c>
      <c r="CJ74" s="1" t="n">
        <f aca="false">IF($D$18=1,MAX(0,SUM(Model!$J27:CJ27)+SUM(Model!$J74:CJ74)),0)</f>
        <v>0</v>
      </c>
      <c r="CK74" s="1" t="n">
        <f aca="false">IF($D$18=1,MAX(0,SUM(Model!$J27:CK27)+SUM(Model!$J74:CK74)),0)</f>
        <v>0</v>
      </c>
      <c r="CL74" s="1" t="n">
        <f aca="false">IF($D$18=1,MAX(0,SUM(Model!$J27:CL27)+SUM(Model!$J74:CL74)),0)</f>
        <v>0</v>
      </c>
      <c r="CM74" s="1" t="n">
        <f aca="false">IF($D$18=1,MAX(0,SUM(Model!$J27:CM27)+SUM(Model!$J74:CM74)),0)</f>
        <v>0</v>
      </c>
      <c r="CN74" s="1" t="n">
        <f aca="false">IF($D$18=1,MAX(0,SUM(Model!$J27:CN27)+SUM(Model!$J74:CN74)),0)</f>
        <v>0</v>
      </c>
      <c r="CO74" s="1" t="n">
        <f aca="false">IF($D$18=1,MAX(0,SUM(Model!$J27:CO27)+SUM(Model!$J74:CO74)),0)</f>
        <v>0</v>
      </c>
      <c r="CP74" s="1" t="n">
        <f aca="false">IF($D$18=1,MAX(0,SUM(Model!$J27:CP27)+SUM(Model!$J74:CP74)),0)</f>
        <v>0</v>
      </c>
      <c r="CQ74" s="1" t="n">
        <f aca="false">IF($D$18=1,MAX(0,SUM(Model!$J27:CQ27)+SUM(Model!$J74:CQ74)),0)</f>
        <v>0</v>
      </c>
      <c r="CR74" s="1" t="n">
        <f aca="false">IF($D$18=1,MAX(0,SUM(Model!$J27:CR27)+SUM(Model!$J74:CR74)),0)</f>
        <v>0</v>
      </c>
      <c r="CS74" s="1" t="n">
        <f aca="false">IF($D$18=1,MAX(0,SUM(Model!$J27:CS27)+SUM(Model!$J74:CS74)),0)</f>
        <v>0</v>
      </c>
      <c r="CT74" s="1" t="n">
        <f aca="false">IF($D$18=1,MAX(0,SUM(Model!$J27:CT27)+SUM(Model!$J74:CT74)),0)</f>
        <v>0</v>
      </c>
      <c r="CU74" s="1" t="n">
        <f aca="false">IF($D$18=1,MAX(0,SUM(Model!$J27:CU27)+SUM(Model!$J74:CU74)),0)</f>
        <v>0</v>
      </c>
      <c r="CV74" s="1" t="n">
        <f aca="false">IF($D$18=1,MAX(0,SUM(Model!$J27:CV27)+SUM(Model!$J74:CV74)),0)</f>
        <v>0</v>
      </c>
      <c r="CW74" s="1" t="n">
        <f aca="false">IF($D$18=1,MAX(0,SUM(Model!$J27:CW27)+SUM(Model!$J74:CW74)),0)</f>
        <v>0</v>
      </c>
      <c r="CX74" s="1" t="n">
        <f aca="false">IF($D$18=1,MAX(0,SUM(Model!$J27:CX27)+SUM(Model!$J74:CX74)),0)</f>
        <v>0</v>
      </c>
      <c r="CY74" s="1" t="n">
        <f aca="false">IF($D$18=1,MAX(0,SUM(Model!$J27:CY27)+SUM(Model!$J74:CY74)),0)</f>
        <v>0</v>
      </c>
      <c r="CZ74" s="1" t="n">
        <f aca="false">IF($D$18=1,MAX(0,SUM(Model!$J27:CZ27)+SUM(Model!$J74:CZ74)),0)</f>
        <v>0</v>
      </c>
      <c r="DA74" s="1" t="n">
        <f aca="false">IF($D$18=1,MAX(0,SUM(Model!$J27:DA27)+SUM(Model!$J74:DA74)),0)</f>
        <v>0</v>
      </c>
      <c r="DB74" s="1" t="n">
        <f aca="false">IF($D$18=1,MAX(0,SUM(Model!$J27:DB27)+SUM(Model!$J74:DB74)),0)</f>
        <v>0</v>
      </c>
      <c r="DC74" s="1" t="n">
        <f aca="false">IF($D$18=1,MAX(0,SUM(Model!$J27:DC27)+SUM(Model!$J74:DC74)),0)</f>
        <v>0</v>
      </c>
      <c r="DD74" s="1" t="n">
        <f aca="false">IF($D$18=1,MAX(0,SUM(Model!$J27:DD27)+SUM(Model!$J74:DD74)),0)</f>
        <v>0</v>
      </c>
      <c r="DE74" s="1" t="n">
        <f aca="false">IF($D$18=1,MAX(0,SUM(Model!$J27:DE27)+SUM(Model!$J74:DE74)),0)</f>
        <v>0</v>
      </c>
    </row>
    <row r="75" customFormat="false" ht="13.5" hidden="false" customHeight="true" outlineLevel="0" collapsed="false">
      <c r="A75" s="1" t="str">
        <f aca="false">$B$19</f>
        <v>Moorpark</v>
      </c>
      <c r="B75" s="1" t="n">
        <v>0</v>
      </c>
      <c r="C75" s="1" t="n">
        <v>0</v>
      </c>
      <c r="D75" s="1" t="n">
        <v>0</v>
      </c>
      <c r="E75" s="1" t="n">
        <v>0</v>
      </c>
      <c r="F75" s="1" t="n">
        <v>0</v>
      </c>
      <c r="G75" s="1" t="n">
        <v>0</v>
      </c>
      <c r="H75" s="1" t="n">
        <v>0</v>
      </c>
      <c r="I75" s="1" t="n">
        <v>0</v>
      </c>
      <c r="J75" s="1" t="n">
        <f aca="false">IF($D$19=1,MAX(0,SUM(Model!$J28:J28)+SUM(Model!$J75:J75)),0)</f>
        <v>0</v>
      </c>
      <c r="K75" s="1" t="n">
        <f aca="false">IF($D$19=1,MAX(0,SUM(Model!$J28:K28)+SUM(Model!$J75:K75)),0)</f>
        <v>0</v>
      </c>
      <c r="L75" s="1" t="n">
        <f aca="false">IF($D$19=1,MAX(0,SUM(Model!$J28:L28)+SUM(Model!$J75:L75)),0)</f>
        <v>0</v>
      </c>
      <c r="M75" s="1" t="n">
        <f aca="false">IF($D$19=1,MAX(0,SUM(Model!$J28:M28)+SUM(Model!$J75:M75)),0)</f>
        <v>0</v>
      </c>
      <c r="N75" s="1" t="n">
        <f aca="false">IF($D$19=1,MAX(0,SUM(Model!$J28:N28)+SUM(Model!$J75:N75)),0)</f>
        <v>0</v>
      </c>
      <c r="O75" s="1" t="n">
        <f aca="false">IF($D$19=1,MAX(0,SUM(Model!$J28:O28)+SUM(Model!$J75:O75)),0)</f>
        <v>0</v>
      </c>
      <c r="P75" s="1" t="n">
        <f aca="false">IF($D$19=1,MAX(0,SUM(Model!$J28:P28)+SUM(Model!$J75:P75)),0)</f>
        <v>0</v>
      </c>
      <c r="Q75" s="1" t="n">
        <f aca="false">IF($D$19=1,MAX(0,SUM(Model!$J28:Q28)+SUM(Model!$J75:Q75)),0)</f>
        <v>0</v>
      </c>
      <c r="R75" s="1" t="n">
        <f aca="false">IF($D$19=1,MAX(0,SUM(Model!$J28:R28)+SUM(Model!$J75:R75)),0)</f>
        <v>0</v>
      </c>
      <c r="S75" s="1" t="n">
        <f aca="false">IF($D$19=1,MAX(0,SUM(Model!$J28:S28)+SUM(Model!$J75:S75)),0)</f>
        <v>0</v>
      </c>
      <c r="T75" s="1" t="n">
        <f aca="false">IF($D$19=1,MAX(0,SUM(Model!$J28:T28)+SUM(Model!$J75:T75)),0)</f>
        <v>0</v>
      </c>
      <c r="U75" s="1" t="n">
        <f aca="false">IF($D$19=1,MAX(0,SUM(Model!$J28:U28)+SUM(Model!$J75:U75)),0)</f>
        <v>0</v>
      </c>
      <c r="V75" s="1" t="n">
        <f aca="false">IF($D$19=1,MAX(0,SUM(Model!$J28:V28)+SUM(Model!$J75:V75)),0)</f>
        <v>0</v>
      </c>
      <c r="W75" s="1" t="n">
        <f aca="false">IF($D$19=1,MAX(0,SUM(Model!$J28:W28)+SUM(Model!$J75:W75)),0)</f>
        <v>0</v>
      </c>
      <c r="X75" s="1" t="n">
        <f aca="false">IF($D$19=1,MAX(0,SUM(Model!$J28:X28)+SUM(Model!$J75:X75)),0)</f>
        <v>0</v>
      </c>
      <c r="Y75" s="1" t="n">
        <f aca="false">IF($D$19=1,MAX(0,SUM(Model!$J28:Y28)+SUM(Model!$J75:Y75)),0)</f>
        <v>0</v>
      </c>
      <c r="Z75" s="1" t="n">
        <f aca="false">IF($D$19=1,MAX(0,SUM(Model!$J28:Z28)+SUM(Model!$J75:Z75)),0)</f>
        <v>0</v>
      </c>
      <c r="AA75" s="1" t="n">
        <f aca="false">IF($D$19=1,MAX(0,SUM(Model!$J28:AA28)+SUM(Model!$J75:AA75)),0)</f>
        <v>0</v>
      </c>
      <c r="AB75" s="1" t="n">
        <f aca="false">IF($D$19=1,MAX(0,SUM(Model!$J28:AB28)+SUM(Model!$J75:AB75)),0)</f>
        <v>0</v>
      </c>
      <c r="AC75" s="1" t="n">
        <f aca="false">IF($D$19=1,MAX(0,SUM(Model!$J28:AC28)+SUM(Model!$J75:AC75)),0)</f>
        <v>0</v>
      </c>
      <c r="AD75" s="1" t="n">
        <f aca="false">IF($D$19=1,MAX(0,SUM(Model!$J28:AD28)+SUM(Model!$J75:AD75)),0)</f>
        <v>0</v>
      </c>
      <c r="AE75" s="1" t="n">
        <f aca="false">IF($D$19=1,MAX(0,SUM(Model!$J28:AE28)+SUM(Model!$J75:AE75)),0)</f>
        <v>0</v>
      </c>
      <c r="AF75" s="1" t="n">
        <f aca="false">IF($D$19=1,MAX(0,SUM(Model!$J28:AF28)+SUM(Model!$J75:AF75)),0)</f>
        <v>0</v>
      </c>
      <c r="AG75" s="1" t="n">
        <f aca="false">IF($D$19=1,MAX(0,SUM(Model!$J28:AG28)+SUM(Model!$J75:AG75)),0)</f>
        <v>0</v>
      </c>
      <c r="AH75" s="1" t="n">
        <f aca="false">IF($D$19=1,MAX(0,SUM(Model!$J28:AH28)+SUM(Model!$J75:AH75)),0)</f>
        <v>0</v>
      </c>
      <c r="AI75" s="1" t="n">
        <f aca="false">IF($D$19=1,MAX(0,SUM(Model!$J28:AI28)+SUM(Model!$J75:AI75)),0)</f>
        <v>0</v>
      </c>
      <c r="AJ75" s="1" t="n">
        <f aca="false">IF($D$19=1,MAX(0,SUM(Model!$J28:AJ28)+SUM(Model!$J75:AJ75)),0)</f>
        <v>0</v>
      </c>
      <c r="AK75" s="1" t="n">
        <f aca="false">IF($D$19=1,MAX(0,SUM(Model!$J28:AK28)+SUM(Model!$J75:AK75)),0)</f>
        <v>0</v>
      </c>
      <c r="AL75" s="1" t="n">
        <f aca="false">IF($D$19=1,MAX(0,SUM(Model!$J28:AL28)+SUM(Model!$J75:AL75)),0)</f>
        <v>0</v>
      </c>
      <c r="AM75" s="1" t="n">
        <f aca="false">IF($D$19=1,MAX(0,SUM(Model!$J28:AM28)+SUM(Model!$J75:AM75)),0)</f>
        <v>0</v>
      </c>
      <c r="AN75" s="1" t="n">
        <f aca="false">IF($D$19=1,MAX(0,SUM(Model!$J28:AN28)+SUM(Model!$J75:AN75)),0)</f>
        <v>0</v>
      </c>
      <c r="AO75" s="1" t="n">
        <f aca="false">IF($D$19=1,MAX(0,SUM(Model!$J28:AO28)+SUM(Model!$J75:AO75)),0)</f>
        <v>0</v>
      </c>
      <c r="AP75" s="1" t="n">
        <f aca="false">IF($D$19=1,MAX(0,SUM(Model!$J28:AP28)+SUM(Model!$J75:AP75)),0)</f>
        <v>0</v>
      </c>
      <c r="AQ75" s="1" t="n">
        <f aca="false">IF($D$19=1,MAX(0,SUM(Model!$J28:AQ28)+SUM(Model!$J75:AQ75)),0)</f>
        <v>0</v>
      </c>
      <c r="AR75" s="1" t="n">
        <f aca="false">IF($D$19=1,MAX(0,SUM(Model!$J28:AR28)+SUM(Model!$J75:AR75)),0)</f>
        <v>0</v>
      </c>
      <c r="AS75" s="1" t="n">
        <f aca="false">IF($D$19=1,MAX(0,SUM(Model!$J28:AS28)+SUM(Model!$J75:AS75)),0)</f>
        <v>0</v>
      </c>
      <c r="AT75" s="1" t="n">
        <f aca="false">IF($D$19=1,MAX(0,SUM(Model!$J28:AT28)+SUM(Model!$J75:AT75)),0)</f>
        <v>0</v>
      </c>
      <c r="AU75" s="1" t="n">
        <f aca="false">IF($D$19=1,MAX(0,SUM(Model!$J28:AU28)+SUM(Model!$J75:AU75)),0)</f>
        <v>0</v>
      </c>
      <c r="AV75" s="1" t="n">
        <f aca="false">IF($D$19=1,MAX(0,SUM(Model!$J28:AV28)+SUM(Model!$J75:AV75)),0)</f>
        <v>0</v>
      </c>
      <c r="AW75" s="1" t="n">
        <f aca="false">IF($D$19=1,MAX(0,SUM(Model!$J28:AW28)+SUM(Model!$J75:AW75)),0)</f>
        <v>0</v>
      </c>
      <c r="AX75" s="1" t="n">
        <f aca="false">IF($D$19=1,MAX(0,SUM(Model!$J28:AX28)+SUM(Model!$J75:AX75)),0)</f>
        <v>0</v>
      </c>
      <c r="AY75" s="1" t="n">
        <f aca="false">IF($D$19=1,MAX(0,SUM(Model!$J28:AY28)+SUM(Model!$J75:AY75)),0)</f>
        <v>0</v>
      </c>
      <c r="AZ75" s="1" t="n">
        <f aca="false">IF($D$19=1,MAX(0,SUM(Model!$J28:AZ28)+SUM(Model!$J75:AZ75)),0)</f>
        <v>0</v>
      </c>
      <c r="BA75" s="1" t="n">
        <f aca="false">IF($D$19=1,MAX(0,SUM(Model!$J28:BA28)+SUM(Model!$J75:BA75)),0)</f>
        <v>0</v>
      </c>
      <c r="BB75" s="1" t="n">
        <f aca="false">IF($D$19=1,MAX(0,SUM(Model!$J28:BB28)+SUM(Model!$J75:BB75)),0)</f>
        <v>0</v>
      </c>
      <c r="BC75" s="1" t="n">
        <f aca="false">IF($D$19=1,MAX(0,SUM(Model!$J28:BC28)+SUM(Model!$J75:BC75)),0)</f>
        <v>0</v>
      </c>
      <c r="BD75" s="1" t="n">
        <f aca="false">IF($D$19=1,MAX(0,SUM(Model!$J28:BD28)+SUM(Model!$J75:BD75)),0)</f>
        <v>0</v>
      </c>
      <c r="BE75" s="1" t="n">
        <f aca="false">IF($D$19=1,MAX(0,SUM(Model!$J28:BE28)+SUM(Model!$J75:BE75)),0)</f>
        <v>0</v>
      </c>
      <c r="BF75" s="1" t="n">
        <f aca="false">IF($D$19=1,MAX(0,SUM(Model!$J28:BF28)+SUM(Model!$J75:BF75)),0)</f>
        <v>0</v>
      </c>
      <c r="BG75" s="1" t="n">
        <f aca="false">IF($D$19=1,MAX(0,SUM(Model!$J28:BG28)+SUM(Model!$J75:BG75)),0)</f>
        <v>0</v>
      </c>
      <c r="BH75" s="1" t="n">
        <f aca="false">IF($D$19=1,MAX(0,SUM(Model!$J28:BH28)+SUM(Model!$J75:BH75)),0)</f>
        <v>0</v>
      </c>
      <c r="BI75" s="1" t="n">
        <f aca="false">IF($D$19=1,MAX(0,SUM(Model!$J28:BI28)+SUM(Model!$J75:BI75)),0)</f>
        <v>0</v>
      </c>
      <c r="BJ75" s="1" t="n">
        <f aca="false">IF($D$19=1,MAX(0,SUM(Model!$J28:BJ28)+SUM(Model!$J75:BJ75)),0)</f>
        <v>0</v>
      </c>
      <c r="BK75" s="1" t="n">
        <f aca="false">IF($D$19=1,MAX(0,SUM(Model!$J28:BK28)+SUM(Model!$J75:BK75)),0)</f>
        <v>0</v>
      </c>
      <c r="BL75" s="1" t="n">
        <f aca="false">IF($D$19=1,MAX(0,SUM(Model!$J28:BL28)+SUM(Model!$J75:BL75)),0)</f>
        <v>0</v>
      </c>
      <c r="BM75" s="1" t="n">
        <f aca="false">IF($D$19=1,MAX(0,SUM(Model!$J28:BM28)+SUM(Model!$J75:BM75)),0)</f>
        <v>0</v>
      </c>
      <c r="BN75" s="1" t="n">
        <f aca="false">IF($D$19=1,MAX(0,SUM(Model!$J28:BN28)+SUM(Model!$J75:BN75)),0)</f>
        <v>0</v>
      </c>
      <c r="BO75" s="1" t="n">
        <f aca="false">IF($D$19=1,MAX(0,SUM(Model!$J28:BO28)+SUM(Model!$J75:BO75)),0)</f>
        <v>0</v>
      </c>
      <c r="BP75" s="1" t="n">
        <f aca="false">IF($D$19=1,MAX(0,SUM(Model!$J28:BP28)+SUM(Model!$J75:BP75)),0)</f>
        <v>0</v>
      </c>
      <c r="BQ75" s="1" t="n">
        <f aca="false">IF($D$19=1,MAX(0,SUM(Model!$J28:BQ28)+SUM(Model!$J75:BQ75)),0)</f>
        <v>0</v>
      </c>
      <c r="BR75" s="1" t="n">
        <f aca="false">IF($D$19=1,MAX(0,SUM(Model!$J28:BR28)+SUM(Model!$J75:BR75)),0)</f>
        <v>0</v>
      </c>
      <c r="BS75" s="1" t="n">
        <f aca="false">IF($D$19=1,MAX(0,SUM(Model!$J28:BS28)+SUM(Model!$J75:BS75)),0)</f>
        <v>0</v>
      </c>
      <c r="BT75" s="1" t="n">
        <f aca="false">IF($D$19=1,MAX(0,SUM(Model!$J28:BT28)+SUM(Model!$J75:BT75)),0)</f>
        <v>0</v>
      </c>
      <c r="BU75" s="1" t="n">
        <f aca="false">IF($D$19=1,MAX(0,SUM(Model!$J28:BU28)+SUM(Model!$J75:BU75)),0)</f>
        <v>0</v>
      </c>
      <c r="BV75" s="1" t="n">
        <f aca="false">IF($D$19=1,MAX(0,SUM(Model!$J28:BV28)+SUM(Model!$J75:BV75)),0)</f>
        <v>0</v>
      </c>
      <c r="BW75" s="1" t="n">
        <f aca="false">IF($D$19=1,MAX(0,SUM(Model!$J28:BW28)+SUM(Model!$J75:BW75)),0)</f>
        <v>0</v>
      </c>
      <c r="BX75" s="1" t="n">
        <f aca="false">IF($D$19=1,MAX(0,SUM(Model!$J28:BX28)+SUM(Model!$J75:BX75)),0)</f>
        <v>0</v>
      </c>
      <c r="BY75" s="1" t="n">
        <f aca="false">IF($D$19=1,MAX(0,SUM(Model!$J28:BY28)+SUM(Model!$J75:BY75)),0)</f>
        <v>0</v>
      </c>
      <c r="BZ75" s="1" t="n">
        <f aca="false">IF($D$19=1,MAX(0,SUM(Model!$J28:BZ28)+SUM(Model!$J75:BZ75)),0)</f>
        <v>0</v>
      </c>
      <c r="CA75" s="1" t="n">
        <f aca="false">IF($D$19=1,MAX(0,SUM(Model!$J28:CA28)+SUM(Model!$J75:CA75)),0)</f>
        <v>0</v>
      </c>
      <c r="CB75" s="1" t="n">
        <f aca="false">IF($D$19=1,MAX(0,SUM(Model!$J28:CB28)+SUM(Model!$J75:CB75)),0)</f>
        <v>0</v>
      </c>
      <c r="CC75" s="1" t="n">
        <f aca="false">IF($D$19=1,MAX(0,SUM(Model!$J28:CC28)+SUM(Model!$J75:CC75)),0)</f>
        <v>0</v>
      </c>
      <c r="CD75" s="1" t="n">
        <f aca="false">IF($D$19=1,MAX(0,SUM(Model!$J28:CD28)+SUM(Model!$J75:CD75)),0)</f>
        <v>0</v>
      </c>
      <c r="CE75" s="1" t="n">
        <f aca="false">IF($D$19=1,MAX(0,SUM(Model!$J28:CE28)+SUM(Model!$J75:CE75)),0)</f>
        <v>0</v>
      </c>
      <c r="CF75" s="1" t="n">
        <f aca="false">IF($D$19=1,MAX(0,SUM(Model!$J28:CF28)+SUM(Model!$J75:CF75)),0)</f>
        <v>0</v>
      </c>
      <c r="CG75" s="1" t="n">
        <f aca="false">IF($D$19=1,MAX(0,SUM(Model!$J28:CG28)+SUM(Model!$J75:CG75)),0)</f>
        <v>0</v>
      </c>
      <c r="CH75" s="1" t="n">
        <f aca="false">IF($D$19=1,MAX(0,SUM(Model!$J28:CH28)+SUM(Model!$J75:CH75)),0)</f>
        <v>0</v>
      </c>
      <c r="CI75" s="1" t="n">
        <f aca="false">IF($D$19=1,MAX(0,SUM(Model!$J28:CI28)+SUM(Model!$J75:CI75)),0)</f>
        <v>0</v>
      </c>
      <c r="CJ75" s="1" t="n">
        <f aca="false">IF($D$19=1,MAX(0,SUM(Model!$J28:CJ28)+SUM(Model!$J75:CJ75)),0)</f>
        <v>0</v>
      </c>
      <c r="CK75" s="1" t="n">
        <f aca="false">IF($D$19=1,MAX(0,SUM(Model!$J28:CK28)+SUM(Model!$J75:CK75)),0)</f>
        <v>0</v>
      </c>
      <c r="CL75" s="1" t="n">
        <f aca="false">IF($D$19=1,MAX(0,SUM(Model!$J28:CL28)+SUM(Model!$J75:CL75)),0)</f>
        <v>0</v>
      </c>
      <c r="CM75" s="1" t="n">
        <f aca="false">IF($D$19=1,MAX(0,SUM(Model!$J28:CM28)+SUM(Model!$J75:CM75)),0)</f>
        <v>0</v>
      </c>
      <c r="CN75" s="1" t="n">
        <f aca="false">IF($D$19=1,MAX(0,SUM(Model!$J28:CN28)+SUM(Model!$J75:CN75)),0)</f>
        <v>0</v>
      </c>
      <c r="CO75" s="1" t="n">
        <f aca="false">IF($D$19=1,MAX(0,SUM(Model!$J28:CO28)+SUM(Model!$J75:CO75)),0)</f>
        <v>0</v>
      </c>
      <c r="CP75" s="1" t="n">
        <f aca="false">IF($D$19=1,MAX(0,SUM(Model!$J28:CP28)+SUM(Model!$J75:CP75)),0)</f>
        <v>0</v>
      </c>
      <c r="CQ75" s="1" t="n">
        <f aca="false">IF($D$19=1,MAX(0,SUM(Model!$J28:CQ28)+SUM(Model!$J75:CQ75)),0)</f>
        <v>0</v>
      </c>
      <c r="CR75" s="1" t="n">
        <f aca="false">IF($D$19=1,MAX(0,SUM(Model!$J28:CR28)+SUM(Model!$J75:CR75)),0)</f>
        <v>0</v>
      </c>
      <c r="CS75" s="1" t="n">
        <f aca="false">IF($D$19=1,MAX(0,SUM(Model!$J28:CS28)+SUM(Model!$J75:CS75)),0)</f>
        <v>0</v>
      </c>
      <c r="CT75" s="1" t="n">
        <f aca="false">IF($D$19=1,MAX(0,SUM(Model!$J28:CT28)+SUM(Model!$J75:CT75)),0)</f>
        <v>0</v>
      </c>
      <c r="CU75" s="1" t="n">
        <f aca="false">IF($D$19=1,MAX(0,SUM(Model!$J28:CU28)+SUM(Model!$J75:CU75)),0)</f>
        <v>0</v>
      </c>
      <c r="CV75" s="1" t="n">
        <f aca="false">IF($D$19=1,MAX(0,SUM(Model!$J28:CV28)+SUM(Model!$J75:CV75)),0)</f>
        <v>0</v>
      </c>
      <c r="CW75" s="1" t="n">
        <f aca="false">IF($D$19=1,MAX(0,SUM(Model!$J28:CW28)+SUM(Model!$J75:CW75)),0)</f>
        <v>0</v>
      </c>
      <c r="CX75" s="1" t="n">
        <f aca="false">IF($D$19=1,MAX(0,SUM(Model!$J28:CX28)+SUM(Model!$J75:CX75)),0)</f>
        <v>0</v>
      </c>
      <c r="CY75" s="1" t="n">
        <f aca="false">IF($D$19=1,MAX(0,SUM(Model!$J28:CY28)+SUM(Model!$J75:CY75)),0)</f>
        <v>0</v>
      </c>
      <c r="CZ75" s="1" t="n">
        <f aca="false">IF($D$19=1,MAX(0,SUM(Model!$J28:CZ28)+SUM(Model!$J75:CZ75)),0)</f>
        <v>0</v>
      </c>
      <c r="DA75" s="1" t="n">
        <f aca="false">IF($D$19=1,MAX(0,SUM(Model!$J28:DA28)+SUM(Model!$J75:DA75)),0)</f>
        <v>0</v>
      </c>
      <c r="DB75" s="1" t="n">
        <f aca="false">IF($D$19=1,MAX(0,SUM(Model!$J28:DB28)+SUM(Model!$J75:DB75)),0)</f>
        <v>0</v>
      </c>
      <c r="DC75" s="1" t="n">
        <f aca="false">IF($D$19=1,MAX(0,SUM(Model!$J28:DC28)+SUM(Model!$J75:DC75)),0)</f>
        <v>0</v>
      </c>
      <c r="DD75" s="1" t="n">
        <f aca="false">IF($D$19=1,MAX(0,SUM(Model!$J28:DD28)+SUM(Model!$J75:DD75)),0)</f>
        <v>0</v>
      </c>
      <c r="DE75" s="1" t="n">
        <f aca="false">IF($D$19=1,MAX(0,SUM(Model!$J28:DE28)+SUM(Model!$J75:DE75)),0)</f>
        <v>0</v>
      </c>
    </row>
    <row r="76" customFormat="false" ht="13.5" hidden="false" customHeight="true" outlineLevel="0" collapsed="false">
      <c r="A76" s="1" t="str">
        <f aca="false">$B$20</f>
        <v>Beverly (BD-04)</v>
      </c>
      <c r="B76" s="1" t="n">
        <v>0</v>
      </c>
      <c r="C76" s="1" t="n">
        <v>0</v>
      </c>
      <c r="D76" s="1" t="n">
        <v>0</v>
      </c>
      <c r="E76" s="1" t="n">
        <v>0</v>
      </c>
      <c r="F76" s="1" t="n">
        <v>0</v>
      </c>
      <c r="G76" s="1" t="n">
        <v>0</v>
      </c>
      <c r="H76" s="1" t="n">
        <v>0</v>
      </c>
      <c r="I76" s="1" t="n">
        <v>0</v>
      </c>
      <c r="J76" s="1" t="n">
        <f aca="false">IF($D$20=1,MAX(0,SUM(Model!$J29:J29)+SUM(Model!$J76:J76)),0)</f>
        <v>0</v>
      </c>
      <c r="K76" s="1" t="n">
        <f aca="false">IF($D$20=1,MAX(0,SUM(Model!$J29:K29)+SUM(Model!$J76:K76)),0)</f>
        <v>0</v>
      </c>
      <c r="L76" s="1" t="n">
        <f aca="false">IF($D$20=1,MAX(0,SUM(Model!$J29:L29)+SUM(Model!$J76:L76)),0)</f>
        <v>0</v>
      </c>
      <c r="M76" s="1" t="n">
        <f aca="false">IF($D$20=1,MAX(0,SUM(Model!$J29:M29)+SUM(Model!$J76:M76)),0)</f>
        <v>0</v>
      </c>
      <c r="N76" s="1" t="n">
        <f aca="false">IF($D$20=1,MAX(0,SUM(Model!$J29:N29)+SUM(Model!$J76:N76)),0)</f>
        <v>0</v>
      </c>
      <c r="O76" s="1" t="n">
        <f aca="false">IF($D$20=1,MAX(0,SUM(Model!$J29:O29)+SUM(Model!$J76:O76)),0)</f>
        <v>0</v>
      </c>
      <c r="P76" s="1" t="n">
        <f aca="false">IF($D$20=1,MAX(0,SUM(Model!$J29:P29)+SUM(Model!$J76:P76)),0)</f>
        <v>0</v>
      </c>
      <c r="Q76" s="1" t="n">
        <f aca="false">IF($D$20=1,MAX(0,SUM(Model!$J29:Q29)+SUM(Model!$J76:Q76)),0)</f>
        <v>0</v>
      </c>
      <c r="R76" s="1" t="n">
        <f aca="false">IF($D$20=1,MAX(0,SUM(Model!$J29:R29)+SUM(Model!$J76:R76)),0)</f>
        <v>0</v>
      </c>
      <c r="S76" s="1" t="n">
        <f aca="false">IF($D$20=1,MAX(0,SUM(Model!$J29:S29)+SUM(Model!$J76:S76)),0)</f>
        <v>0</v>
      </c>
      <c r="T76" s="1" t="n">
        <f aca="false">IF($D$20=1,MAX(0,SUM(Model!$J29:T29)+SUM(Model!$J76:T76)),0)</f>
        <v>0</v>
      </c>
      <c r="U76" s="1" t="n">
        <f aca="false">IF($D$20=1,MAX(0,SUM(Model!$J29:U29)+SUM(Model!$J76:U76)),0)</f>
        <v>0</v>
      </c>
      <c r="V76" s="1" t="n">
        <f aca="false">IF($D$20=1,MAX(0,SUM(Model!$J29:V29)+SUM(Model!$J76:V76)),0)</f>
        <v>0</v>
      </c>
      <c r="W76" s="1" t="n">
        <f aca="false">IF($D$20=1,MAX(0,SUM(Model!$J29:W29)+SUM(Model!$J76:W76)),0)</f>
        <v>0</v>
      </c>
      <c r="X76" s="1" t="n">
        <f aca="false">IF($D$20=1,MAX(0,SUM(Model!$J29:X29)+SUM(Model!$J76:X76)),0)</f>
        <v>0</v>
      </c>
      <c r="Y76" s="1" t="n">
        <f aca="false">IF($D$20=1,MAX(0,SUM(Model!$J29:Y29)+SUM(Model!$J76:Y76)),0)</f>
        <v>0</v>
      </c>
      <c r="Z76" s="1" t="n">
        <f aca="false">IF($D$20=1,MAX(0,SUM(Model!$J29:Z29)+SUM(Model!$J76:Z76)),0)</f>
        <v>0</v>
      </c>
      <c r="AA76" s="1" t="n">
        <f aca="false">IF($D$20=1,MAX(0,SUM(Model!$J29:AA29)+SUM(Model!$J76:AA76)),0)</f>
        <v>0</v>
      </c>
      <c r="AB76" s="1" t="n">
        <f aca="false">IF($D$20=1,MAX(0,SUM(Model!$J29:AB29)+SUM(Model!$J76:AB76)),0)</f>
        <v>0</v>
      </c>
      <c r="AC76" s="1" t="n">
        <f aca="false">IF($D$20=1,MAX(0,SUM(Model!$J29:AC29)+SUM(Model!$J76:AC76)),0)</f>
        <v>0</v>
      </c>
      <c r="AD76" s="1" t="n">
        <f aca="false">IF($D$20=1,MAX(0,SUM(Model!$J29:AD29)+SUM(Model!$J76:AD76)),0)</f>
        <v>0</v>
      </c>
      <c r="AE76" s="1" t="n">
        <f aca="false">IF($D$20=1,MAX(0,SUM(Model!$J29:AE29)+SUM(Model!$J76:AE76)),0)</f>
        <v>0</v>
      </c>
      <c r="AF76" s="1" t="n">
        <f aca="false">IF($D$20=1,MAX(0,SUM(Model!$J29:AF29)+SUM(Model!$J76:AF76)),0)</f>
        <v>0</v>
      </c>
      <c r="AG76" s="1" t="n">
        <f aca="false">IF($D$20=1,MAX(0,SUM(Model!$J29:AG29)+SUM(Model!$J76:AG76)),0)</f>
        <v>0</v>
      </c>
      <c r="AH76" s="1" t="n">
        <f aca="false">IF($D$20=1,MAX(0,SUM(Model!$J29:AH29)+SUM(Model!$J76:AH76)),0)</f>
        <v>0</v>
      </c>
      <c r="AI76" s="1" t="n">
        <f aca="false">IF($D$20=1,MAX(0,SUM(Model!$J29:AI29)+SUM(Model!$J76:AI76)),0)</f>
        <v>0</v>
      </c>
      <c r="AJ76" s="1" t="n">
        <f aca="false">IF($D$20=1,MAX(0,SUM(Model!$J29:AJ29)+SUM(Model!$J76:AJ76)),0)</f>
        <v>0</v>
      </c>
      <c r="AK76" s="1" t="n">
        <f aca="false">IF($D$20=1,MAX(0,SUM(Model!$J29:AK29)+SUM(Model!$J76:AK76)),0)</f>
        <v>0</v>
      </c>
      <c r="AL76" s="1" t="n">
        <f aca="false">IF($D$20=1,MAX(0,SUM(Model!$J29:AL29)+SUM(Model!$J76:AL76)),0)</f>
        <v>0</v>
      </c>
      <c r="AM76" s="1" t="n">
        <f aca="false">IF($D$20=1,MAX(0,SUM(Model!$J29:AM29)+SUM(Model!$J76:AM76)),0)</f>
        <v>0</v>
      </c>
      <c r="AN76" s="1" t="n">
        <f aca="false">IF($D$20=1,MAX(0,SUM(Model!$J29:AN29)+SUM(Model!$J76:AN76)),0)</f>
        <v>0</v>
      </c>
      <c r="AO76" s="1" t="n">
        <f aca="false">IF($D$20=1,MAX(0,SUM(Model!$J29:AO29)+SUM(Model!$J76:AO76)),0)</f>
        <v>0</v>
      </c>
      <c r="AP76" s="1" t="n">
        <f aca="false">IF($D$20=1,MAX(0,SUM(Model!$J29:AP29)+SUM(Model!$J76:AP76)),0)</f>
        <v>0</v>
      </c>
      <c r="AQ76" s="1" t="n">
        <f aca="false">IF($D$20=1,MAX(0,SUM(Model!$J29:AQ29)+SUM(Model!$J76:AQ76)),0)</f>
        <v>0</v>
      </c>
      <c r="AR76" s="1" t="n">
        <f aca="false">IF($D$20=1,MAX(0,SUM(Model!$J29:AR29)+SUM(Model!$J76:AR76)),0)</f>
        <v>0</v>
      </c>
      <c r="AS76" s="1" t="n">
        <f aca="false">IF($D$20=1,MAX(0,SUM(Model!$J29:AS29)+SUM(Model!$J76:AS76)),0)</f>
        <v>0</v>
      </c>
      <c r="AT76" s="1" t="n">
        <f aca="false">IF($D$20=1,MAX(0,SUM(Model!$J29:AT29)+SUM(Model!$J76:AT76)),0)</f>
        <v>0</v>
      </c>
      <c r="AU76" s="1" t="n">
        <f aca="false">IF($D$20=1,MAX(0,SUM(Model!$J29:AU29)+SUM(Model!$J76:AU76)),0)</f>
        <v>0</v>
      </c>
      <c r="AV76" s="1" t="n">
        <f aca="false">IF($D$20=1,MAX(0,SUM(Model!$J29:AV29)+SUM(Model!$J76:AV76)),0)</f>
        <v>0</v>
      </c>
      <c r="AW76" s="1" t="n">
        <f aca="false">IF($D$20=1,MAX(0,SUM(Model!$J29:AW29)+SUM(Model!$J76:AW76)),0)</f>
        <v>0</v>
      </c>
      <c r="AX76" s="1" t="n">
        <f aca="false">IF($D$20=1,MAX(0,SUM(Model!$J29:AX29)+SUM(Model!$J76:AX76)),0)</f>
        <v>0</v>
      </c>
      <c r="AY76" s="1" t="n">
        <f aca="false">IF($D$20=1,MAX(0,SUM(Model!$J29:AY29)+SUM(Model!$J76:AY76)),0)</f>
        <v>0</v>
      </c>
      <c r="AZ76" s="1" t="n">
        <f aca="false">IF($D$20=1,MAX(0,SUM(Model!$J29:AZ29)+SUM(Model!$J76:AZ76)),0)</f>
        <v>0</v>
      </c>
      <c r="BA76" s="1" t="n">
        <f aca="false">IF($D$20=1,MAX(0,SUM(Model!$J29:BA29)+SUM(Model!$J76:BA76)),0)</f>
        <v>0</v>
      </c>
      <c r="BB76" s="1" t="n">
        <f aca="false">IF($D$20=1,MAX(0,SUM(Model!$J29:BB29)+SUM(Model!$J76:BB76)),0)</f>
        <v>0</v>
      </c>
      <c r="BC76" s="1" t="n">
        <f aca="false">IF($D$20=1,MAX(0,SUM(Model!$J29:BC29)+SUM(Model!$J76:BC76)),0)</f>
        <v>0</v>
      </c>
      <c r="BD76" s="1" t="n">
        <f aca="false">IF($D$20=1,MAX(0,SUM(Model!$J29:BD29)+SUM(Model!$J76:BD76)),0)</f>
        <v>0</v>
      </c>
      <c r="BE76" s="1" t="n">
        <f aca="false">IF($D$20=1,MAX(0,SUM(Model!$J29:BE29)+SUM(Model!$J76:BE76)),0)</f>
        <v>0</v>
      </c>
      <c r="BF76" s="1" t="n">
        <f aca="false">IF($D$20=1,MAX(0,SUM(Model!$J29:BF29)+SUM(Model!$J76:BF76)),0)</f>
        <v>0</v>
      </c>
      <c r="BG76" s="1" t="n">
        <f aca="false">IF($D$20=1,MAX(0,SUM(Model!$J29:BG29)+SUM(Model!$J76:BG76)),0)</f>
        <v>0</v>
      </c>
      <c r="BH76" s="1" t="n">
        <f aca="false">IF($D$20=1,MAX(0,SUM(Model!$J29:BH29)+SUM(Model!$J76:BH76)),0)</f>
        <v>0</v>
      </c>
      <c r="BI76" s="1" t="n">
        <f aca="false">IF($D$20=1,MAX(0,SUM(Model!$J29:BI29)+SUM(Model!$J76:BI76)),0)</f>
        <v>0</v>
      </c>
      <c r="BJ76" s="1" t="n">
        <f aca="false">IF($D$20=1,MAX(0,SUM(Model!$J29:BJ29)+SUM(Model!$J76:BJ76)),0)</f>
        <v>0</v>
      </c>
      <c r="BK76" s="1" t="n">
        <f aca="false">IF($D$20=1,MAX(0,SUM(Model!$J29:BK29)+SUM(Model!$J76:BK76)),0)</f>
        <v>0</v>
      </c>
      <c r="BL76" s="1" t="n">
        <f aca="false">IF($D$20=1,MAX(0,SUM(Model!$J29:BL29)+SUM(Model!$J76:BL76)),0)</f>
        <v>0</v>
      </c>
      <c r="BM76" s="1" t="n">
        <f aca="false">IF($D$20=1,MAX(0,SUM(Model!$J29:BM29)+SUM(Model!$J76:BM76)),0)</f>
        <v>0</v>
      </c>
      <c r="BN76" s="1" t="n">
        <f aca="false">IF($D$20=1,MAX(0,SUM(Model!$J29:BN29)+SUM(Model!$J76:BN76)),0)</f>
        <v>0</v>
      </c>
      <c r="BO76" s="1" t="n">
        <f aca="false">IF($D$20=1,MAX(0,SUM(Model!$J29:BO29)+SUM(Model!$J76:BO76)),0)</f>
        <v>0</v>
      </c>
      <c r="BP76" s="1" t="n">
        <f aca="false">IF($D$20=1,MAX(0,SUM(Model!$J29:BP29)+SUM(Model!$J76:BP76)),0)</f>
        <v>0</v>
      </c>
      <c r="BQ76" s="1" t="n">
        <f aca="false">IF($D$20=1,MAX(0,SUM(Model!$J29:BQ29)+SUM(Model!$J76:BQ76)),0)</f>
        <v>0</v>
      </c>
      <c r="BR76" s="1" t="n">
        <f aca="false">IF($D$20=1,MAX(0,SUM(Model!$J29:BR29)+SUM(Model!$J76:BR76)),0)</f>
        <v>0</v>
      </c>
      <c r="BS76" s="1" t="n">
        <f aca="false">IF($D$20=1,MAX(0,SUM(Model!$J29:BS29)+SUM(Model!$J76:BS76)),0)</f>
        <v>0</v>
      </c>
      <c r="BT76" s="1" t="n">
        <f aca="false">IF($D$20=1,MAX(0,SUM(Model!$J29:BT29)+SUM(Model!$J76:BT76)),0)</f>
        <v>0</v>
      </c>
      <c r="BU76" s="1" t="n">
        <f aca="false">IF($D$20=1,MAX(0,SUM(Model!$J29:BU29)+SUM(Model!$J76:BU76)),0)</f>
        <v>0</v>
      </c>
      <c r="BV76" s="1" t="n">
        <f aca="false">IF($D$20=1,MAX(0,SUM(Model!$J29:BV29)+SUM(Model!$J76:BV76)),0)</f>
        <v>0</v>
      </c>
      <c r="BW76" s="1" t="n">
        <f aca="false">IF($D$20=1,MAX(0,SUM(Model!$J29:BW29)+SUM(Model!$J76:BW76)),0)</f>
        <v>0</v>
      </c>
      <c r="BX76" s="1" t="n">
        <f aca="false">IF($D$20=1,MAX(0,SUM(Model!$J29:BX29)+SUM(Model!$J76:BX76)),0)</f>
        <v>0</v>
      </c>
      <c r="BY76" s="1" t="n">
        <f aca="false">IF($D$20=1,MAX(0,SUM(Model!$J29:BY29)+SUM(Model!$J76:BY76)),0)</f>
        <v>0</v>
      </c>
      <c r="BZ76" s="1" t="n">
        <f aca="false">IF($D$20=1,MAX(0,SUM(Model!$J29:BZ29)+SUM(Model!$J76:BZ76)),0)</f>
        <v>0</v>
      </c>
      <c r="CA76" s="1" t="n">
        <f aca="false">IF($D$20=1,MAX(0,SUM(Model!$J29:CA29)+SUM(Model!$J76:CA76)),0)</f>
        <v>0</v>
      </c>
      <c r="CB76" s="1" t="n">
        <f aca="false">IF($D$20=1,MAX(0,SUM(Model!$J29:CB29)+SUM(Model!$J76:CB76)),0)</f>
        <v>0</v>
      </c>
      <c r="CC76" s="1" t="n">
        <f aca="false">IF($D$20=1,MAX(0,SUM(Model!$J29:CC29)+SUM(Model!$J76:CC76)),0)</f>
        <v>0</v>
      </c>
      <c r="CD76" s="1" t="n">
        <f aca="false">IF($D$20=1,MAX(0,SUM(Model!$J29:CD29)+SUM(Model!$J76:CD76)),0)</f>
        <v>0</v>
      </c>
      <c r="CE76" s="1" t="n">
        <f aca="false">IF($D$20=1,MAX(0,SUM(Model!$J29:CE29)+SUM(Model!$J76:CE76)),0)</f>
        <v>0</v>
      </c>
      <c r="CF76" s="1" t="n">
        <f aca="false">IF($D$20=1,MAX(0,SUM(Model!$J29:CF29)+SUM(Model!$J76:CF76)),0)</f>
        <v>0</v>
      </c>
      <c r="CG76" s="1" t="n">
        <f aca="false">IF($D$20=1,MAX(0,SUM(Model!$J29:CG29)+SUM(Model!$J76:CG76)),0)</f>
        <v>0</v>
      </c>
      <c r="CH76" s="1" t="n">
        <f aca="false">IF($D$20=1,MAX(0,SUM(Model!$J29:CH29)+SUM(Model!$J76:CH76)),0)</f>
        <v>0</v>
      </c>
      <c r="CI76" s="1" t="n">
        <f aca="false">IF($D$20=1,MAX(0,SUM(Model!$J29:CI29)+SUM(Model!$J76:CI76)),0)</f>
        <v>0</v>
      </c>
      <c r="CJ76" s="1" t="n">
        <f aca="false">IF($D$20=1,MAX(0,SUM(Model!$J29:CJ29)+SUM(Model!$J76:CJ76)),0)</f>
        <v>0</v>
      </c>
      <c r="CK76" s="1" t="n">
        <f aca="false">IF($D$20=1,MAX(0,SUM(Model!$J29:CK29)+SUM(Model!$J76:CK76)),0)</f>
        <v>0</v>
      </c>
      <c r="CL76" s="1" t="n">
        <f aca="false">IF($D$20=1,MAX(0,SUM(Model!$J29:CL29)+SUM(Model!$J76:CL76)),0)</f>
        <v>0</v>
      </c>
      <c r="CM76" s="1" t="n">
        <f aca="false">IF($D$20=1,MAX(0,SUM(Model!$J29:CM29)+SUM(Model!$J76:CM76)),0)</f>
        <v>0</v>
      </c>
      <c r="CN76" s="1" t="n">
        <f aca="false">IF($D$20=1,MAX(0,SUM(Model!$J29:CN29)+SUM(Model!$J76:CN76)),0)</f>
        <v>0</v>
      </c>
      <c r="CO76" s="1" t="n">
        <f aca="false">IF($D$20=1,MAX(0,SUM(Model!$J29:CO29)+SUM(Model!$J76:CO76)),0)</f>
        <v>0</v>
      </c>
      <c r="CP76" s="1" t="n">
        <f aca="false">IF($D$20=1,MAX(0,SUM(Model!$J29:CP29)+SUM(Model!$J76:CP76)),0)</f>
        <v>0</v>
      </c>
      <c r="CQ76" s="1" t="n">
        <f aca="false">IF($D$20=1,MAX(0,SUM(Model!$J29:CQ29)+SUM(Model!$J76:CQ76)),0)</f>
        <v>0</v>
      </c>
      <c r="CR76" s="1" t="n">
        <f aca="false">IF($D$20=1,MAX(0,SUM(Model!$J29:CR29)+SUM(Model!$J76:CR76)),0)</f>
        <v>0</v>
      </c>
      <c r="CS76" s="1" t="n">
        <f aca="false">IF($D$20=1,MAX(0,SUM(Model!$J29:CS29)+SUM(Model!$J76:CS76)),0)</f>
        <v>0</v>
      </c>
      <c r="CT76" s="1" t="n">
        <f aca="false">IF($D$20=1,MAX(0,SUM(Model!$J29:CT29)+SUM(Model!$J76:CT76)),0)</f>
        <v>0</v>
      </c>
      <c r="CU76" s="1" t="n">
        <f aca="false">IF($D$20=1,MAX(0,SUM(Model!$J29:CU29)+SUM(Model!$J76:CU76)),0)</f>
        <v>0</v>
      </c>
      <c r="CV76" s="1" t="n">
        <f aca="false">IF($D$20=1,MAX(0,SUM(Model!$J29:CV29)+SUM(Model!$J76:CV76)),0)</f>
        <v>0</v>
      </c>
      <c r="CW76" s="1" t="n">
        <f aca="false">IF($D$20=1,MAX(0,SUM(Model!$J29:CW29)+SUM(Model!$J76:CW76)),0)</f>
        <v>0</v>
      </c>
      <c r="CX76" s="1" t="n">
        <f aca="false">IF($D$20=1,MAX(0,SUM(Model!$J29:CX29)+SUM(Model!$J76:CX76)),0)</f>
        <v>0</v>
      </c>
      <c r="CY76" s="1" t="n">
        <f aca="false">IF($D$20=1,MAX(0,SUM(Model!$J29:CY29)+SUM(Model!$J76:CY76)),0)</f>
        <v>0</v>
      </c>
      <c r="CZ76" s="1" t="n">
        <f aca="false">IF($D$20=1,MAX(0,SUM(Model!$J29:CZ29)+SUM(Model!$J76:CZ76)),0)</f>
        <v>0</v>
      </c>
      <c r="DA76" s="1" t="n">
        <f aca="false">IF($D$20=1,MAX(0,SUM(Model!$J29:DA29)+SUM(Model!$J76:DA76)),0)</f>
        <v>0</v>
      </c>
      <c r="DB76" s="1" t="n">
        <f aca="false">IF($D$20=1,MAX(0,SUM(Model!$J29:DB29)+SUM(Model!$J76:DB76)),0)</f>
        <v>0</v>
      </c>
      <c r="DC76" s="1" t="n">
        <f aca="false">IF($D$20=1,MAX(0,SUM(Model!$J29:DC29)+SUM(Model!$J76:DC76)),0)</f>
        <v>0</v>
      </c>
      <c r="DD76" s="1" t="n">
        <f aca="false">IF($D$20=1,MAX(0,SUM(Model!$J29:DD29)+SUM(Model!$J76:DD76)),0)</f>
        <v>0</v>
      </c>
      <c r="DE76" s="1" t="n">
        <f aca="false">IF($D$20=1,MAX(0,SUM(Model!$J29:DE29)+SUM(Model!$J76:DE76)),0)</f>
        <v>0</v>
      </c>
    </row>
    <row r="77" customFormat="false" ht="13.5" hidden="false" customHeight="true" outlineLevel="0" collapsed="false">
      <c r="A77" s="1" t="str">
        <f aca="false">$B$21</f>
        <v>Troost</v>
      </c>
      <c r="B77" s="1" t="n">
        <v>0</v>
      </c>
      <c r="C77" s="1" t="n">
        <v>0</v>
      </c>
      <c r="D77" s="1" t="n">
        <v>0</v>
      </c>
      <c r="E77" s="1" t="n">
        <v>0</v>
      </c>
      <c r="F77" s="1" t="n">
        <v>0</v>
      </c>
      <c r="G77" s="1" t="n">
        <v>0</v>
      </c>
      <c r="H77" s="1" t="n">
        <v>0</v>
      </c>
      <c r="I77" s="1" t="n">
        <v>0</v>
      </c>
      <c r="J77" s="1" t="n">
        <f aca="false">IF($D$21=1,MAX(0,SUM(Model!$J30:J30)+SUM(Model!$J77:J77)),0)</f>
        <v>0</v>
      </c>
      <c r="K77" s="1" t="n">
        <f aca="false">IF($D$21=1,MAX(0,SUM(Model!$J30:K30)+SUM(Model!$J77:K77)),0)</f>
        <v>0</v>
      </c>
      <c r="L77" s="1" t="n">
        <f aca="false">IF($D$21=1,MAX(0,SUM(Model!$J30:L30)+SUM(Model!$J77:L77)),0)</f>
        <v>0</v>
      </c>
      <c r="M77" s="1" t="n">
        <f aca="false">IF($D$21=1,MAX(0,SUM(Model!$J30:M30)+SUM(Model!$J77:M77)),0)</f>
        <v>0</v>
      </c>
      <c r="N77" s="1" t="n">
        <f aca="false">IF($D$21=1,MAX(0,SUM(Model!$J30:N30)+SUM(Model!$J77:N77)),0)</f>
        <v>0</v>
      </c>
      <c r="O77" s="1" t="n">
        <f aca="false">IF($D$21=1,MAX(0,SUM(Model!$J30:O30)+SUM(Model!$J77:O77)),0)</f>
        <v>0</v>
      </c>
      <c r="P77" s="1" t="n">
        <f aca="false">IF($D$21=1,MAX(0,SUM(Model!$J30:P30)+SUM(Model!$J77:P77)),0)</f>
        <v>0</v>
      </c>
      <c r="Q77" s="1" t="n">
        <f aca="false">IF($D$21=1,MAX(0,SUM(Model!$J30:Q30)+SUM(Model!$J77:Q77)),0)</f>
        <v>0</v>
      </c>
      <c r="R77" s="1" t="n">
        <f aca="false">IF($D$21=1,MAX(0,SUM(Model!$J30:R30)+SUM(Model!$J77:R77)),0)</f>
        <v>0</v>
      </c>
      <c r="S77" s="1" t="n">
        <f aca="false">IF($D$21=1,MAX(0,SUM(Model!$J30:S30)+SUM(Model!$J77:S77)),0)</f>
        <v>0</v>
      </c>
      <c r="T77" s="1" t="n">
        <f aca="false">IF($D$21=1,MAX(0,SUM(Model!$J30:T30)+SUM(Model!$J77:T77)),0)</f>
        <v>0</v>
      </c>
      <c r="U77" s="1" t="n">
        <f aca="false">IF($D$21=1,MAX(0,SUM(Model!$J30:U30)+SUM(Model!$J77:U77)),0)</f>
        <v>0</v>
      </c>
      <c r="V77" s="1" t="n">
        <f aca="false">IF($D$21=1,MAX(0,SUM(Model!$J30:V30)+SUM(Model!$J77:V77)),0)</f>
        <v>0</v>
      </c>
      <c r="W77" s="1" t="n">
        <f aca="false">IF($D$21=1,MAX(0,SUM(Model!$J30:W30)+SUM(Model!$J77:W77)),0)</f>
        <v>0</v>
      </c>
      <c r="X77" s="1" t="n">
        <f aca="false">IF($D$21=1,MAX(0,SUM(Model!$J30:X30)+SUM(Model!$J77:X77)),0)</f>
        <v>0</v>
      </c>
      <c r="Y77" s="1" t="n">
        <f aca="false">IF($D$21=1,MAX(0,SUM(Model!$J30:Y30)+SUM(Model!$J77:Y77)),0)</f>
        <v>0</v>
      </c>
      <c r="Z77" s="1" t="n">
        <f aca="false">IF($D$21=1,MAX(0,SUM(Model!$J30:Z30)+SUM(Model!$J77:Z77)),0)</f>
        <v>0</v>
      </c>
      <c r="AA77" s="1" t="n">
        <f aca="false">IF($D$21=1,MAX(0,SUM(Model!$J30:AA30)+SUM(Model!$J77:AA77)),0)</f>
        <v>0</v>
      </c>
      <c r="AB77" s="1" t="n">
        <f aca="false">IF($D$21=1,MAX(0,SUM(Model!$J30:AB30)+SUM(Model!$J77:AB77)),0)</f>
        <v>0</v>
      </c>
      <c r="AC77" s="1" t="n">
        <f aca="false">IF($D$21=1,MAX(0,SUM(Model!$J30:AC30)+SUM(Model!$J77:AC77)),0)</f>
        <v>0</v>
      </c>
      <c r="AD77" s="1" t="n">
        <f aca="false">IF($D$21=1,MAX(0,SUM(Model!$J30:AD30)+SUM(Model!$J77:AD77)),0)</f>
        <v>0</v>
      </c>
      <c r="AE77" s="1" t="n">
        <f aca="false">IF($D$21=1,MAX(0,SUM(Model!$J30:AE30)+SUM(Model!$J77:AE77)),0)</f>
        <v>0</v>
      </c>
      <c r="AF77" s="1" t="n">
        <f aca="false">IF($D$21=1,MAX(0,SUM(Model!$J30:AF30)+SUM(Model!$J77:AF77)),0)</f>
        <v>0</v>
      </c>
      <c r="AG77" s="1" t="n">
        <f aca="false">IF($D$21=1,MAX(0,SUM(Model!$J30:AG30)+SUM(Model!$J77:AG77)),0)</f>
        <v>0</v>
      </c>
      <c r="AH77" s="1" t="n">
        <f aca="false">IF($D$21=1,MAX(0,SUM(Model!$J30:AH30)+SUM(Model!$J77:AH77)),0)</f>
        <v>0</v>
      </c>
      <c r="AI77" s="1" t="n">
        <f aca="false">IF($D$21=1,MAX(0,SUM(Model!$J30:AI30)+SUM(Model!$J77:AI77)),0)</f>
        <v>0</v>
      </c>
      <c r="AJ77" s="1" t="n">
        <f aca="false">IF($D$21=1,MAX(0,SUM(Model!$J30:AJ30)+SUM(Model!$J77:AJ77)),0)</f>
        <v>0</v>
      </c>
      <c r="AK77" s="1" t="n">
        <f aca="false">IF($D$21=1,MAX(0,SUM(Model!$J30:AK30)+SUM(Model!$J77:AK77)),0)</f>
        <v>0</v>
      </c>
      <c r="AL77" s="1" t="n">
        <f aca="false">IF($D$21=1,MAX(0,SUM(Model!$J30:AL30)+SUM(Model!$J77:AL77)),0)</f>
        <v>0</v>
      </c>
      <c r="AM77" s="1" t="n">
        <f aca="false">IF($D$21=1,MAX(0,SUM(Model!$J30:AM30)+SUM(Model!$J77:AM77)),0)</f>
        <v>0</v>
      </c>
      <c r="AN77" s="1" t="n">
        <f aca="false">IF($D$21=1,MAX(0,SUM(Model!$J30:AN30)+SUM(Model!$J77:AN77)),0)</f>
        <v>0</v>
      </c>
      <c r="AO77" s="1" t="n">
        <f aca="false">IF($D$21=1,MAX(0,SUM(Model!$J30:AO30)+SUM(Model!$J77:AO77)),0)</f>
        <v>0</v>
      </c>
      <c r="AP77" s="1" t="n">
        <f aca="false">IF($D$21=1,MAX(0,SUM(Model!$J30:AP30)+SUM(Model!$J77:AP77)),0)</f>
        <v>0</v>
      </c>
      <c r="AQ77" s="1" t="n">
        <f aca="false">IF($D$21=1,MAX(0,SUM(Model!$J30:AQ30)+SUM(Model!$J77:AQ77)),0)</f>
        <v>0</v>
      </c>
      <c r="AR77" s="1" t="n">
        <f aca="false">IF($D$21=1,MAX(0,SUM(Model!$J30:AR30)+SUM(Model!$J77:AR77)),0)</f>
        <v>0</v>
      </c>
      <c r="AS77" s="1" t="n">
        <f aca="false">IF($D$21=1,MAX(0,SUM(Model!$J30:AS30)+SUM(Model!$J77:AS77)),0)</f>
        <v>0</v>
      </c>
      <c r="AT77" s="1" t="n">
        <f aca="false">IF($D$21=1,MAX(0,SUM(Model!$J30:AT30)+SUM(Model!$J77:AT77)),0)</f>
        <v>0</v>
      </c>
      <c r="AU77" s="1" t="n">
        <f aca="false">IF($D$21=1,MAX(0,SUM(Model!$J30:AU30)+SUM(Model!$J77:AU77)),0)</f>
        <v>0</v>
      </c>
      <c r="AV77" s="1" t="n">
        <f aca="false">IF($D$21=1,MAX(0,SUM(Model!$J30:AV30)+SUM(Model!$J77:AV77)),0)</f>
        <v>0</v>
      </c>
      <c r="AW77" s="1" t="n">
        <f aca="false">IF($D$21=1,MAX(0,SUM(Model!$J30:AW30)+SUM(Model!$J77:AW77)),0)</f>
        <v>0</v>
      </c>
      <c r="AX77" s="1" t="n">
        <f aca="false">IF($D$21=1,MAX(0,SUM(Model!$J30:AX30)+SUM(Model!$J77:AX77)),0)</f>
        <v>0</v>
      </c>
      <c r="AY77" s="1" t="n">
        <f aca="false">IF($D$21=1,MAX(0,SUM(Model!$J30:AY30)+SUM(Model!$J77:AY77)),0)</f>
        <v>0</v>
      </c>
      <c r="AZ77" s="1" t="n">
        <f aca="false">IF($D$21=1,MAX(0,SUM(Model!$J30:AZ30)+SUM(Model!$J77:AZ77)),0)</f>
        <v>0</v>
      </c>
      <c r="BA77" s="1" t="n">
        <f aca="false">IF($D$21=1,MAX(0,SUM(Model!$J30:BA30)+SUM(Model!$J77:BA77)),0)</f>
        <v>0</v>
      </c>
      <c r="BB77" s="1" t="n">
        <f aca="false">IF($D$21=1,MAX(0,SUM(Model!$J30:BB30)+SUM(Model!$J77:BB77)),0)</f>
        <v>0</v>
      </c>
      <c r="BC77" s="1" t="n">
        <f aca="false">IF($D$21=1,MAX(0,SUM(Model!$J30:BC30)+SUM(Model!$J77:BC77)),0)</f>
        <v>0</v>
      </c>
      <c r="BD77" s="1" t="n">
        <f aca="false">IF($D$21=1,MAX(0,SUM(Model!$J30:BD30)+SUM(Model!$J77:BD77)),0)</f>
        <v>0</v>
      </c>
      <c r="BE77" s="1" t="n">
        <f aca="false">IF($D$21=1,MAX(0,SUM(Model!$J30:BE30)+SUM(Model!$J77:BE77)),0)</f>
        <v>0</v>
      </c>
      <c r="BF77" s="1" t="n">
        <f aca="false">IF($D$21=1,MAX(0,SUM(Model!$J30:BF30)+SUM(Model!$J77:BF77)),0)</f>
        <v>0</v>
      </c>
      <c r="BG77" s="1" t="n">
        <f aca="false">IF($D$21=1,MAX(0,SUM(Model!$J30:BG30)+SUM(Model!$J77:BG77)),0)</f>
        <v>0</v>
      </c>
      <c r="BH77" s="1" t="n">
        <f aca="false">IF($D$21=1,MAX(0,SUM(Model!$J30:BH30)+SUM(Model!$J77:BH77)),0)</f>
        <v>0</v>
      </c>
      <c r="BI77" s="1" t="n">
        <f aca="false">IF($D$21=1,MAX(0,SUM(Model!$J30:BI30)+SUM(Model!$J77:BI77)),0)</f>
        <v>0</v>
      </c>
      <c r="BJ77" s="1" t="n">
        <f aca="false">IF($D$21=1,MAX(0,SUM(Model!$J30:BJ30)+SUM(Model!$J77:BJ77)),0)</f>
        <v>0</v>
      </c>
      <c r="BK77" s="1" t="n">
        <f aca="false">IF($D$21=1,MAX(0,SUM(Model!$J30:BK30)+SUM(Model!$J77:BK77)),0)</f>
        <v>0</v>
      </c>
      <c r="BL77" s="1" t="n">
        <f aca="false">IF($D$21=1,MAX(0,SUM(Model!$J30:BL30)+SUM(Model!$J77:BL77)),0)</f>
        <v>0</v>
      </c>
      <c r="BM77" s="1" t="n">
        <f aca="false">IF($D$21=1,MAX(0,SUM(Model!$J30:BM30)+SUM(Model!$J77:BM77)),0)</f>
        <v>0</v>
      </c>
      <c r="BN77" s="1" t="n">
        <f aca="false">IF($D$21=1,MAX(0,SUM(Model!$J30:BN30)+SUM(Model!$J77:BN77)),0)</f>
        <v>0</v>
      </c>
      <c r="BO77" s="1" t="n">
        <f aca="false">IF($D$21=1,MAX(0,SUM(Model!$J30:BO30)+SUM(Model!$J77:BO77)),0)</f>
        <v>0</v>
      </c>
      <c r="BP77" s="1" t="n">
        <f aca="false">IF($D$21=1,MAX(0,SUM(Model!$J30:BP30)+SUM(Model!$J77:BP77)),0)</f>
        <v>0</v>
      </c>
      <c r="BQ77" s="1" t="n">
        <f aca="false">IF($D$21=1,MAX(0,SUM(Model!$J30:BQ30)+SUM(Model!$J77:BQ77)),0)</f>
        <v>0</v>
      </c>
      <c r="BR77" s="1" t="n">
        <f aca="false">IF($D$21=1,MAX(0,SUM(Model!$J30:BR30)+SUM(Model!$J77:BR77)),0)</f>
        <v>0</v>
      </c>
      <c r="BS77" s="1" t="n">
        <f aca="false">IF($D$21=1,MAX(0,SUM(Model!$J30:BS30)+SUM(Model!$J77:BS77)),0)</f>
        <v>0</v>
      </c>
      <c r="BT77" s="1" t="n">
        <f aca="false">IF($D$21=1,MAX(0,SUM(Model!$J30:BT30)+SUM(Model!$J77:BT77)),0)</f>
        <v>0</v>
      </c>
      <c r="BU77" s="1" t="n">
        <f aca="false">IF($D$21=1,MAX(0,SUM(Model!$J30:BU30)+SUM(Model!$J77:BU77)),0)</f>
        <v>0</v>
      </c>
      <c r="BV77" s="1" t="n">
        <f aca="false">IF($D$21=1,MAX(0,SUM(Model!$J30:BV30)+SUM(Model!$J77:BV77)),0)</f>
        <v>0</v>
      </c>
      <c r="BW77" s="1" t="n">
        <f aca="false">IF($D$21=1,MAX(0,SUM(Model!$J30:BW30)+SUM(Model!$J77:BW77)),0)</f>
        <v>0</v>
      </c>
      <c r="BX77" s="1" t="n">
        <f aca="false">IF($D$21=1,MAX(0,SUM(Model!$J30:BX30)+SUM(Model!$J77:BX77)),0)</f>
        <v>0</v>
      </c>
      <c r="BY77" s="1" t="n">
        <f aca="false">IF($D$21=1,MAX(0,SUM(Model!$J30:BY30)+SUM(Model!$J77:BY77)),0)</f>
        <v>0</v>
      </c>
      <c r="BZ77" s="1" t="n">
        <f aca="false">IF($D$21=1,MAX(0,SUM(Model!$J30:BZ30)+SUM(Model!$J77:BZ77)),0)</f>
        <v>0</v>
      </c>
      <c r="CA77" s="1" t="n">
        <f aca="false">IF($D$21=1,MAX(0,SUM(Model!$J30:CA30)+SUM(Model!$J77:CA77)),0)</f>
        <v>0</v>
      </c>
      <c r="CB77" s="1" t="n">
        <f aca="false">IF($D$21=1,MAX(0,SUM(Model!$J30:CB30)+SUM(Model!$J77:CB77)),0)</f>
        <v>0</v>
      </c>
      <c r="CC77" s="1" t="n">
        <f aca="false">IF($D$21=1,MAX(0,SUM(Model!$J30:CC30)+SUM(Model!$J77:CC77)),0)</f>
        <v>0</v>
      </c>
      <c r="CD77" s="1" t="n">
        <f aca="false">IF($D$21=1,MAX(0,SUM(Model!$J30:CD30)+SUM(Model!$J77:CD77)),0)</f>
        <v>0</v>
      </c>
      <c r="CE77" s="1" t="n">
        <f aca="false">IF($D$21=1,MAX(0,SUM(Model!$J30:CE30)+SUM(Model!$J77:CE77)),0)</f>
        <v>0</v>
      </c>
      <c r="CF77" s="1" t="n">
        <f aca="false">IF($D$21=1,MAX(0,SUM(Model!$J30:CF30)+SUM(Model!$J77:CF77)),0)</f>
        <v>0</v>
      </c>
      <c r="CG77" s="1" t="n">
        <f aca="false">IF($D$21=1,MAX(0,SUM(Model!$J30:CG30)+SUM(Model!$J77:CG77)),0)</f>
        <v>0</v>
      </c>
      <c r="CH77" s="1" t="n">
        <f aca="false">IF($D$21=1,MAX(0,SUM(Model!$J30:CH30)+SUM(Model!$J77:CH77)),0)</f>
        <v>0</v>
      </c>
      <c r="CI77" s="1" t="n">
        <f aca="false">IF($D$21=1,MAX(0,SUM(Model!$J30:CI30)+SUM(Model!$J77:CI77)),0)</f>
        <v>0</v>
      </c>
      <c r="CJ77" s="1" t="n">
        <f aca="false">IF($D$21=1,MAX(0,SUM(Model!$J30:CJ30)+SUM(Model!$J77:CJ77)),0)</f>
        <v>0</v>
      </c>
      <c r="CK77" s="1" t="n">
        <f aca="false">IF($D$21=1,MAX(0,SUM(Model!$J30:CK30)+SUM(Model!$J77:CK77)),0)</f>
        <v>0</v>
      </c>
      <c r="CL77" s="1" t="n">
        <f aca="false">IF($D$21=1,MAX(0,SUM(Model!$J30:CL30)+SUM(Model!$J77:CL77)),0)</f>
        <v>0</v>
      </c>
      <c r="CM77" s="1" t="n">
        <f aca="false">IF($D$21=1,MAX(0,SUM(Model!$J30:CM30)+SUM(Model!$J77:CM77)),0)</f>
        <v>0</v>
      </c>
      <c r="CN77" s="1" t="n">
        <f aca="false">IF($D$21=1,MAX(0,SUM(Model!$J30:CN30)+SUM(Model!$J77:CN77)),0)</f>
        <v>0</v>
      </c>
      <c r="CO77" s="1" t="n">
        <f aca="false">IF($D$21=1,MAX(0,SUM(Model!$J30:CO30)+SUM(Model!$J77:CO77)),0)</f>
        <v>0</v>
      </c>
      <c r="CP77" s="1" t="n">
        <f aca="false">IF($D$21=1,MAX(0,SUM(Model!$J30:CP30)+SUM(Model!$J77:CP77)),0)</f>
        <v>0</v>
      </c>
      <c r="CQ77" s="1" t="n">
        <f aca="false">IF($D$21=1,MAX(0,SUM(Model!$J30:CQ30)+SUM(Model!$J77:CQ77)),0)</f>
        <v>0</v>
      </c>
      <c r="CR77" s="1" t="n">
        <f aca="false">IF($D$21=1,MAX(0,SUM(Model!$J30:CR30)+SUM(Model!$J77:CR77)),0)</f>
        <v>0</v>
      </c>
      <c r="CS77" s="1" t="n">
        <f aca="false">IF($D$21=1,MAX(0,SUM(Model!$J30:CS30)+SUM(Model!$J77:CS77)),0)</f>
        <v>0</v>
      </c>
      <c r="CT77" s="1" t="n">
        <f aca="false">IF($D$21=1,MAX(0,SUM(Model!$J30:CT30)+SUM(Model!$J77:CT77)),0)</f>
        <v>0</v>
      </c>
      <c r="CU77" s="1" t="n">
        <f aca="false">IF($D$21=1,MAX(0,SUM(Model!$J30:CU30)+SUM(Model!$J77:CU77)),0)</f>
        <v>0</v>
      </c>
      <c r="CV77" s="1" t="n">
        <f aca="false">IF($D$21=1,MAX(0,SUM(Model!$J30:CV30)+SUM(Model!$J77:CV77)),0)</f>
        <v>0</v>
      </c>
      <c r="CW77" s="1" t="n">
        <f aca="false">IF($D$21=1,MAX(0,SUM(Model!$J30:CW30)+SUM(Model!$J77:CW77)),0)</f>
        <v>0</v>
      </c>
      <c r="CX77" s="1" t="n">
        <f aca="false">IF($D$21=1,MAX(0,SUM(Model!$J30:CX30)+SUM(Model!$J77:CX77)),0)</f>
        <v>0</v>
      </c>
      <c r="CY77" s="1" t="n">
        <f aca="false">IF($D$21=1,MAX(0,SUM(Model!$J30:CY30)+SUM(Model!$J77:CY77)),0)</f>
        <v>0</v>
      </c>
      <c r="CZ77" s="1" t="n">
        <f aca="false">IF($D$21=1,MAX(0,SUM(Model!$J30:CZ30)+SUM(Model!$J77:CZ77)),0)</f>
        <v>0</v>
      </c>
      <c r="DA77" s="1" t="n">
        <f aca="false">IF($D$21=1,MAX(0,SUM(Model!$J30:DA30)+SUM(Model!$J77:DA77)),0)</f>
        <v>0</v>
      </c>
      <c r="DB77" s="1" t="n">
        <f aca="false">IF($D$21=1,MAX(0,SUM(Model!$J30:DB30)+SUM(Model!$J77:DB77)),0)</f>
        <v>0</v>
      </c>
      <c r="DC77" s="1" t="n">
        <f aca="false">IF($D$21=1,MAX(0,SUM(Model!$J30:DC30)+SUM(Model!$J77:DC77)),0)</f>
        <v>0</v>
      </c>
      <c r="DD77" s="1" t="n">
        <f aca="false">IF($D$21=1,MAX(0,SUM(Model!$J30:DD30)+SUM(Model!$J77:DD77)),0)</f>
        <v>0</v>
      </c>
      <c r="DE77" s="1" t="n">
        <f aca="false">IF($D$21=1,MAX(0,SUM(Model!$J30:DE30)+SUM(Model!$J77:DE77)),0)</f>
        <v>0</v>
      </c>
    </row>
    <row r="78" customFormat="false" ht="13.5" hidden="false" customHeight="true" outlineLevel="0" collapsed="false">
      <c r="A78" s="1" t="str">
        <f aca="false">$B$22</f>
        <v>BD-06</v>
      </c>
      <c r="B78" s="1" t="n">
        <v>0</v>
      </c>
      <c r="C78" s="1" t="n">
        <v>0</v>
      </c>
      <c r="D78" s="1" t="n">
        <v>0</v>
      </c>
      <c r="E78" s="1" t="n">
        <v>0</v>
      </c>
      <c r="F78" s="1" t="n">
        <v>0</v>
      </c>
      <c r="G78" s="1" t="n">
        <v>0</v>
      </c>
      <c r="H78" s="1" t="n">
        <v>0</v>
      </c>
      <c r="I78" s="1" t="n">
        <v>0</v>
      </c>
      <c r="J78" s="1" t="n">
        <f aca="false">IF($D$22=1,MAX(0,SUM(Model!$J31:J31)+SUM(Model!$J78:J78)),0)</f>
        <v>0</v>
      </c>
      <c r="K78" s="1" t="n">
        <f aca="false">IF($D$22=1,MAX(0,SUM(Model!$J31:K31)+SUM(Model!$J78:K78)),0)</f>
        <v>0</v>
      </c>
      <c r="L78" s="1" t="n">
        <f aca="false">IF($D$22=1,MAX(0,SUM(Model!$J31:L31)+SUM(Model!$J78:L78)),0)</f>
        <v>0</v>
      </c>
      <c r="M78" s="1" t="n">
        <f aca="false">IF($D$22=1,MAX(0,SUM(Model!$J31:M31)+SUM(Model!$J78:M78)),0)</f>
        <v>0</v>
      </c>
      <c r="N78" s="1" t="n">
        <f aca="false">IF($D$22=1,MAX(0,SUM(Model!$J31:N31)+SUM(Model!$J78:N78)),0)</f>
        <v>0</v>
      </c>
      <c r="O78" s="1" t="n">
        <f aca="false">IF($D$22=1,MAX(0,SUM(Model!$J31:O31)+SUM(Model!$J78:O78)),0)</f>
        <v>0</v>
      </c>
      <c r="P78" s="1" t="n">
        <f aca="false">IF($D$22=1,MAX(0,SUM(Model!$J31:P31)+SUM(Model!$J78:P78)),0)</f>
        <v>0</v>
      </c>
      <c r="Q78" s="1" t="n">
        <f aca="false">IF($D$22=1,MAX(0,SUM(Model!$J31:Q31)+SUM(Model!$J78:Q78)),0)</f>
        <v>0</v>
      </c>
      <c r="R78" s="1" t="n">
        <f aca="false">IF($D$22=1,MAX(0,SUM(Model!$J31:R31)+SUM(Model!$J78:R78)),0)</f>
        <v>0</v>
      </c>
      <c r="S78" s="1" t="n">
        <f aca="false">IF($D$22=1,MAX(0,SUM(Model!$J31:S31)+SUM(Model!$J78:S78)),0)</f>
        <v>0</v>
      </c>
      <c r="T78" s="1" t="n">
        <f aca="false">IF($D$22=1,MAX(0,SUM(Model!$J31:T31)+SUM(Model!$J78:T78)),0)</f>
        <v>0</v>
      </c>
      <c r="U78" s="1" t="n">
        <f aca="false">IF($D$22=1,MAX(0,SUM(Model!$J31:U31)+SUM(Model!$J78:U78)),0)</f>
        <v>0</v>
      </c>
      <c r="V78" s="1" t="n">
        <f aca="false">IF($D$22=1,MAX(0,SUM(Model!$J31:V31)+SUM(Model!$J78:V78)),0)</f>
        <v>0</v>
      </c>
      <c r="W78" s="1" t="n">
        <f aca="false">IF($D$22=1,MAX(0,SUM(Model!$J31:W31)+SUM(Model!$J78:W78)),0)</f>
        <v>0</v>
      </c>
      <c r="X78" s="1" t="n">
        <f aca="false">IF($D$22=1,MAX(0,SUM(Model!$J31:X31)+SUM(Model!$J78:X78)),0)</f>
        <v>0</v>
      </c>
      <c r="Y78" s="1" t="n">
        <f aca="false">IF($D$22=1,MAX(0,SUM(Model!$J31:Y31)+SUM(Model!$J78:Y78)),0)</f>
        <v>0</v>
      </c>
      <c r="Z78" s="1" t="n">
        <f aca="false">IF($D$22=1,MAX(0,SUM(Model!$J31:Z31)+SUM(Model!$J78:Z78)),0)</f>
        <v>0</v>
      </c>
      <c r="AA78" s="1" t="n">
        <f aca="false">IF($D$22=1,MAX(0,SUM(Model!$J31:AA31)+SUM(Model!$J78:AA78)),0)</f>
        <v>0</v>
      </c>
      <c r="AB78" s="1" t="n">
        <f aca="false">IF($D$22=1,MAX(0,SUM(Model!$J31:AB31)+SUM(Model!$J78:AB78)),0)</f>
        <v>0</v>
      </c>
      <c r="AC78" s="1" t="n">
        <f aca="false">IF($D$22=1,MAX(0,SUM(Model!$J31:AC31)+SUM(Model!$J78:AC78)),0)</f>
        <v>0</v>
      </c>
      <c r="AD78" s="1" t="n">
        <f aca="false">IF($D$22=1,MAX(0,SUM(Model!$J31:AD31)+SUM(Model!$J78:AD78)),0)</f>
        <v>0</v>
      </c>
      <c r="AE78" s="1" t="n">
        <f aca="false">IF($D$22=1,MAX(0,SUM(Model!$J31:AE31)+SUM(Model!$J78:AE78)),0)</f>
        <v>0</v>
      </c>
      <c r="AF78" s="1" t="n">
        <f aca="false">IF($D$22=1,MAX(0,SUM(Model!$J31:AF31)+SUM(Model!$J78:AF78)),0)</f>
        <v>0</v>
      </c>
      <c r="AG78" s="1" t="n">
        <f aca="false">IF($D$22=1,MAX(0,SUM(Model!$J31:AG31)+SUM(Model!$J78:AG78)),0)</f>
        <v>0</v>
      </c>
      <c r="AH78" s="1" t="n">
        <f aca="false">IF($D$22=1,MAX(0,SUM(Model!$J31:AH31)+SUM(Model!$J78:AH78)),0)</f>
        <v>0</v>
      </c>
      <c r="AI78" s="1" t="n">
        <f aca="false">IF($D$22=1,MAX(0,SUM(Model!$J31:AI31)+SUM(Model!$J78:AI78)),0)</f>
        <v>0</v>
      </c>
      <c r="AJ78" s="1" t="n">
        <f aca="false">IF($D$22=1,MAX(0,SUM(Model!$J31:AJ31)+SUM(Model!$J78:AJ78)),0)</f>
        <v>0</v>
      </c>
      <c r="AK78" s="1" t="n">
        <f aca="false">IF($D$22=1,MAX(0,SUM(Model!$J31:AK31)+SUM(Model!$J78:AK78)),0)</f>
        <v>0</v>
      </c>
      <c r="AL78" s="1" t="n">
        <f aca="false">IF($D$22=1,MAX(0,SUM(Model!$J31:AL31)+SUM(Model!$J78:AL78)),0)</f>
        <v>0</v>
      </c>
      <c r="AM78" s="1" t="n">
        <f aca="false">IF($D$22=1,MAX(0,SUM(Model!$J31:AM31)+SUM(Model!$J78:AM78)),0)</f>
        <v>0</v>
      </c>
      <c r="AN78" s="1" t="n">
        <f aca="false">IF($D$22=1,MAX(0,SUM(Model!$J31:AN31)+SUM(Model!$J78:AN78)),0)</f>
        <v>0</v>
      </c>
      <c r="AO78" s="1" t="n">
        <f aca="false">IF($D$22=1,MAX(0,SUM(Model!$J31:AO31)+SUM(Model!$J78:AO78)),0)</f>
        <v>0</v>
      </c>
      <c r="AP78" s="1" t="n">
        <f aca="false">IF($D$22=1,MAX(0,SUM(Model!$J31:AP31)+SUM(Model!$J78:AP78)),0)</f>
        <v>0</v>
      </c>
      <c r="AQ78" s="1" t="n">
        <f aca="false">IF($D$22=1,MAX(0,SUM(Model!$J31:AQ31)+SUM(Model!$J78:AQ78)),0)</f>
        <v>0</v>
      </c>
      <c r="AR78" s="1" t="n">
        <f aca="false">IF($D$22=1,MAX(0,SUM(Model!$J31:AR31)+SUM(Model!$J78:AR78)),0)</f>
        <v>0</v>
      </c>
      <c r="AS78" s="1" t="n">
        <f aca="false">IF($D$22=1,MAX(0,SUM(Model!$J31:AS31)+SUM(Model!$J78:AS78)),0)</f>
        <v>0</v>
      </c>
      <c r="AT78" s="1" t="n">
        <f aca="false">IF($D$22=1,MAX(0,SUM(Model!$J31:AT31)+SUM(Model!$J78:AT78)),0)</f>
        <v>0</v>
      </c>
      <c r="AU78" s="1" t="n">
        <f aca="false">IF($D$22=1,MAX(0,SUM(Model!$J31:AU31)+SUM(Model!$J78:AU78)),0)</f>
        <v>0</v>
      </c>
      <c r="AV78" s="1" t="n">
        <f aca="false">IF($D$22=1,MAX(0,SUM(Model!$J31:AV31)+SUM(Model!$J78:AV78)),0)</f>
        <v>0</v>
      </c>
      <c r="AW78" s="1" t="n">
        <f aca="false">IF($D$22=1,MAX(0,SUM(Model!$J31:AW31)+SUM(Model!$J78:AW78)),0)</f>
        <v>0</v>
      </c>
      <c r="AX78" s="1" t="n">
        <f aca="false">IF($D$22=1,MAX(0,SUM(Model!$J31:AX31)+SUM(Model!$J78:AX78)),0)</f>
        <v>0</v>
      </c>
      <c r="AY78" s="1" t="n">
        <f aca="false">IF($D$22=1,MAX(0,SUM(Model!$J31:AY31)+SUM(Model!$J78:AY78)),0)</f>
        <v>0</v>
      </c>
      <c r="AZ78" s="1" t="n">
        <f aca="false">IF($D$22=1,MAX(0,SUM(Model!$J31:AZ31)+SUM(Model!$J78:AZ78)),0)</f>
        <v>0</v>
      </c>
      <c r="BA78" s="1" t="n">
        <f aca="false">IF($D$22=1,MAX(0,SUM(Model!$J31:BA31)+SUM(Model!$J78:BA78)),0)</f>
        <v>0</v>
      </c>
      <c r="BB78" s="1" t="n">
        <f aca="false">IF($D$22=1,MAX(0,SUM(Model!$J31:BB31)+SUM(Model!$J78:BB78)),0)</f>
        <v>0</v>
      </c>
      <c r="BC78" s="1" t="n">
        <f aca="false">IF($D$22=1,MAX(0,SUM(Model!$J31:BC31)+SUM(Model!$J78:BC78)),0)</f>
        <v>0</v>
      </c>
      <c r="BD78" s="1" t="n">
        <f aca="false">IF($D$22=1,MAX(0,SUM(Model!$J31:BD31)+SUM(Model!$J78:BD78)),0)</f>
        <v>0</v>
      </c>
      <c r="BE78" s="1" t="n">
        <f aca="false">IF($D$22=1,MAX(0,SUM(Model!$J31:BE31)+SUM(Model!$J78:BE78)),0)</f>
        <v>0</v>
      </c>
      <c r="BF78" s="1" t="n">
        <f aca="false">IF($D$22=1,MAX(0,SUM(Model!$J31:BF31)+SUM(Model!$J78:BF78)),0)</f>
        <v>0</v>
      </c>
      <c r="BG78" s="1" t="n">
        <f aca="false">IF($D$22=1,MAX(0,SUM(Model!$J31:BG31)+SUM(Model!$J78:BG78)),0)</f>
        <v>0</v>
      </c>
      <c r="BH78" s="1" t="n">
        <f aca="false">IF($D$22=1,MAX(0,SUM(Model!$J31:BH31)+SUM(Model!$J78:BH78)),0)</f>
        <v>0</v>
      </c>
      <c r="BI78" s="1" t="n">
        <f aca="false">IF($D$22=1,MAX(0,SUM(Model!$J31:BI31)+SUM(Model!$J78:BI78)),0)</f>
        <v>0</v>
      </c>
      <c r="BJ78" s="1" t="n">
        <f aca="false">IF($D$22=1,MAX(0,SUM(Model!$J31:BJ31)+SUM(Model!$J78:BJ78)),0)</f>
        <v>0</v>
      </c>
      <c r="BK78" s="1" t="n">
        <f aca="false">IF($D$22=1,MAX(0,SUM(Model!$J31:BK31)+SUM(Model!$J78:BK78)),0)</f>
        <v>0</v>
      </c>
      <c r="BL78" s="1" t="n">
        <f aca="false">IF($D$22=1,MAX(0,SUM(Model!$J31:BL31)+SUM(Model!$J78:BL78)),0)</f>
        <v>0</v>
      </c>
      <c r="BM78" s="1" t="n">
        <f aca="false">IF($D$22=1,MAX(0,SUM(Model!$J31:BM31)+SUM(Model!$J78:BM78)),0)</f>
        <v>0</v>
      </c>
      <c r="BN78" s="1" t="n">
        <f aca="false">IF($D$22=1,MAX(0,SUM(Model!$J31:BN31)+SUM(Model!$J78:BN78)),0)</f>
        <v>0</v>
      </c>
      <c r="BO78" s="1" t="n">
        <f aca="false">IF($D$22=1,MAX(0,SUM(Model!$J31:BO31)+SUM(Model!$J78:BO78)),0)</f>
        <v>0</v>
      </c>
      <c r="BP78" s="1" t="n">
        <f aca="false">IF($D$22=1,MAX(0,SUM(Model!$J31:BP31)+SUM(Model!$J78:BP78)),0)</f>
        <v>0</v>
      </c>
      <c r="BQ78" s="1" t="n">
        <f aca="false">IF($D$22=1,MAX(0,SUM(Model!$J31:BQ31)+SUM(Model!$J78:BQ78)),0)</f>
        <v>0</v>
      </c>
      <c r="BR78" s="1" t="n">
        <f aca="false">IF($D$22=1,MAX(0,SUM(Model!$J31:BR31)+SUM(Model!$J78:BR78)),0)</f>
        <v>0</v>
      </c>
      <c r="BS78" s="1" t="n">
        <f aca="false">IF($D$22=1,MAX(0,SUM(Model!$J31:BS31)+SUM(Model!$J78:BS78)),0)</f>
        <v>0</v>
      </c>
      <c r="BT78" s="1" t="n">
        <f aca="false">IF($D$22=1,MAX(0,SUM(Model!$J31:BT31)+SUM(Model!$J78:BT78)),0)</f>
        <v>0</v>
      </c>
      <c r="BU78" s="1" t="n">
        <f aca="false">IF($D$22=1,MAX(0,SUM(Model!$J31:BU31)+SUM(Model!$J78:BU78)),0)</f>
        <v>0</v>
      </c>
      <c r="BV78" s="1" t="n">
        <f aca="false">IF($D$22=1,MAX(0,SUM(Model!$J31:BV31)+SUM(Model!$J78:BV78)),0)</f>
        <v>0</v>
      </c>
      <c r="BW78" s="1" t="n">
        <f aca="false">IF($D$22=1,MAX(0,SUM(Model!$J31:BW31)+SUM(Model!$J78:BW78)),0)</f>
        <v>0</v>
      </c>
      <c r="BX78" s="1" t="n">
        <f aca="false">IF($D$22=1,MAX(0,SUM(Model!$J31:BX31)+SUM(Model!$J78:BX78)),0)</f>
        <v>0</v>
      </c>
      <c r="BY78" s="1" t="n">
        <f aca="false">IF($D$22=1,MAX(0,SUM(Model!$J31:BY31)+SUM(Model!$J78:BY78)),0)</f>
        <v>0</v>
      </c>
      <c r="BZ78" s="1" t="n">
        <f aca="false">IF($D$22=1,MAX(0,SUM(Model!$J31:BZ31)+SUM(Model!$J78:BZ78)),0)</f>
        <v>0</v>
      </c>
      <c r="CA78" s="1" t="n">
        <f aca="false">IF($D$22=1,MAX(0,SUM(Model!$J31:CA31)+SUM(Model!$J78:CA78)),0)</f>
        <v>0</v>
      </c>
      <c r="CB78" s="1" t="n">
        <f aca="false">IF($D$22=1,MAX(0,SUM(Model!$J31:CB31)+SUM(Model!$J78:CB78)),0)</f>
        <v>0</v>
      </c>
      <c r="CC78" s="1" t="n">
        <f aca="false">IF($D$22=1,MAX(0,SUM(Model!$J31:CC31)+SUM(Model!$J78:CC78)),0)</f>
        <v>0</v>
      </c>
      <c r="CD78" s="1" t="n">
        <f aca="false">IF($D$22=1,MAX(0,SUM(Model!$J31:CD31)+SUM(Model!$J78:CD78)),0)</f>
        <v>0</v>
      </c>
      <c r="CE78" s="1" t="n">
        <f aca="false">IF($D$22=1,MAX(0,SUM(Model!$J31:CE31)+SUM(Model!$J78:CE78)),0)</f>
        <v>0</v>
      </c>
      <c r="CF78" s="1" t="n">
        <f aca="false">IF($D$22=1,MAX(0,SUM(Model!$J31:CF31)+SUM(Model!$J78:CF78)),0)</f>
        <v>0</v>
      </c>
      <c r="CG78" s="1" t="n">
        <f aca="false">IF($D$22=1,MAX(0,SUM(Model!$J31:CG31)+SUM(Model!$J78:CG78)),0)</f>
        <v>0</v>
      </c>
      <c r="CH78" s="1" t="n">
        <f aca="false">IF($D$22=1,MAX(0,SUM(Model!$J31:CH31)+SUM(Model!$J78:CH78)),0)</f>
        <v>0</v>
      </c>
      <c r="CI78" s="1" t="n">
        <f aca="false">IF($D$22=1,MAX(0,SUM(Model!$J31:CI31)+SUM(Model!$J78:CI78)),0)</f>
        <v>0</v>
      </c>
      <c r="CJ78" s="1" t="n">
        <f aca="false">IF($D$22=1,MAX(0,SUM(Model!$J31:CJ31)+SUM(Model!$J78:CJ78)),0)</f>
        <v>0</v>
      </c>
      <c r="CK78" s="1" t="n">
        <f aca="false">IF($D$22=1,MAX(0,SUM(Model!$J31:CK31)+SUM(Model!$J78:CK78)),0)</f>
        <v>0</v>
      </c>
      <c r="CL78" s="1" t="n">
        <f aca="false">IF($D$22=1,MAX(0,SUM(Model!$J31:CL31)+SUM(Model!$J78:CL78)),0)</f>
        <v>0</v>
      </c>
      <c r="CM78" s="1" t="n">
        <f aca="false">IF($D$22=1,MAX(0,SUM(Model!$J31:CM31)+SUM(Model!$J78:CM78)),0)</f>
        <v>0</v>
      </c>
      <c r="CN78" s="1" t="n">
        <f aca="false">IF($D$22=1,MAX(0,SUM(Model!$J31:CN31)+SUM(Model!$J78:CN78)),0)</f>
        <v>0</v>
      </c>
      <c r="CO78" s="1" t="n">
        <f aca="false">IF($D$22=1,MAX(0,SUM(Model!$J31:CO31)+SUM(Model!$J78:CO78)),0)</f>
        <v>0</v>
      </c>
      <c r="CP78" s="1" t="n">
        <f aca="false">IF($D$22=1,MAX(0,SUM(Model!$J31:CP31)+SUM(Model!$J78:CP78)),0)</f>
        <v>0</v>
      </c>
      <c r="CQ78" s="1" t="n">
        <f aca="false">IF($D$22=1,MAX(0,SUM(Model!$J31:CQ31)+SUM(Model!$J78:CQ78)),0)</f>
        <v>0</v>
      </c>
      <c r="CR78" s="1" t="n">
        <f aca="false">IF($D$22=1,MAX(0,SUM(Model!$J31:CR31)+SUM(Model!$J78:CR78)),0)</f>
        <v>0</v>
      </c>
      <c r="CS78" s="1" t="n">
        <f aca="false">IF($D$22=1,MAX(0,SUM(Model!$J31:CS31)+SUM(Model!$J78:CS78)),0)</f>
        <v>0</v>
      </c>
      <c r="CT78" s="1" t="n">
        <f aca="false">IF($D$22=1,MAX(0,SUM(Model!$J31:CT31)+SUM(Model!$J78:CT78)),0)</f>
        <v>0</v>
      </c>
      <c r="CU78" s="1" t="n">
        <f aca="false">IF($D$22=1,MAX(0,SUM(Model!$J31:CU31)+SUM(Model!$J78:CU78)),0)</f>
        <v>0</v>
      </c>
      <c r="CV78" s="1" t="n">
        <f aca="false">IF($D$22=1,MAX(0,SUM(Model!$J31:CV31)+SUM(Model!$J78:CV78)),0)</f>
        <v>0</v>
      </c>
      <c r="CW78" s="1" t="n">
        <f aca="false">IF($D$22=1,MAX(0,SUM(Model!$J31:CW31)+SUM(Model!$J78:CW78)),0)</f>
        <v>0</v>
      </c>
      <c r="CX78" s="1" t="n">
        <f aca="false">IF($D$22=1,MAX(0,SUM(Model!$J31:CX31)+SUM(Model!$J78:CX78)),0)</f>
        <v>0</v>
      </c>
      <c r="CY78" s="1" t="n">
        <f aca="false">IF($D$22=1,MAX(0,SUM(Model!$J31:CY31)+SUM(Model!$J78:CY78)),0)</f>
        <v>0</v>
      </c>
      <c r="CZ78" s="1" t="n">
        <f aca="false">IF($D$22=1,MAX(0,SUM(Model!$J31:CZ31)+SUM(Model!$J78:CZ78)),0)</f>
        <v>0</v>
      </c>
      <c r="DA78" s="1" t="n">
        <f aca="false">IF($D$22=1,MAX(0,SUM(Model!$J31:DA31)+SUM(Model!$J78:DA78)),0)</f>
        <v>0</v>
      </c>
      <c r="DB78" s="1" t="n">
        <f aca="false">IF($D$22=1,MAX(0,SUM(Model!$J31:DB31)+SUM(Model!$J78:DB78)),0)</f>
        <v>0</v>
      </c>
      <c r="DC78" s="1" t="n">
        <f aca="false">IF($D$22=1,MAX(0,SUM(Model!$J31:DC31)+SUM(Model!$J78:DC78)),0)</f>
        <v>0</v>
      </c>
      <c r="DD78" s="1" t="n">
        <f aca="false">IF($D$22=1,MAX(0,SUM(Model!$J31:DD31)+SUM(Model!$J78:DD78)),0)</f>
        <v>0</v>
      </c>
      <c r="DE78" s="1" t="n">
        <f aca="false">IF($D$22=1,MAX(0,SUM(Model!$J31:DE31)+SUM(Model!$J78:DE78)),0)</f>
        <v>0</v>
      </c>
    </row>
    <row r="79" customFormat="false" ht="13.5" hidden="false" customHeight="true" outlineLevel="0" collapsed="false">
      <c r="A79" s="1" t="str">
        <f aca="false">$B$23</f>
        <v>BD-07</v>
      </c>
      <c r="B79" s="1" t="n">
        <v>0</v>
      </c>
      <c r="C79" s="1" t="n">
        <v>0</v>
      </c>
      <c r="D79" s="1" t="n">
        <v>0</v>
      </c>
      <c r="E79" s="1" t="n">
        <v>0</v>
      </c>
      <c r="F79" s="1" t="n">
        <v>0</v>
      </c>
      <c r="G79" s="1" t="n">
        <v>0</v>
      </c>
      <c r="H79" s="1" t="n">
        <v>0</v>
      </c>
      <c r="I79" s="1" t="n">
        <v>0</v>
      </c>
      <c r="J79" s="1" t="n">
        <f aca="false">IF($D$23=1,MAX(0,SUM(Model!$J32:J32)+SUM(Model!$J79:J79)),0)</f>
        <v>0</v>
      </c>
      <c r="K79" s="1" t="n">
        <f aca="false">IF($D$23=1,MAX(0,SUM(Model!$J32:K32)+SUM(Model!$J79:K79)),0)</f>
        <v>0</v>
      </c>
      <c r="L79" s="1" t="n">
        <f aca="false">IF($D$23=1,MAX(0,SUM(Model!$J32:L32)+SUM(Model!$J79:L79)),0)</f>
        <v>0</v>
      </c>
      <c r="M79" s="1" t="n">
        <f aca="false">IF($D$23=1,MAX(0,SUM(Model!$J32:M32)+SUM(Model!$J79:M79)),0)</f>
        <v>0</v>
      </c>
      <c r="N79" s="1" t="n">
        <f aca="false">IF($D$23=1,MAX(0,SUM(Model!$J32:N32)+SUM(Model!$J79:N79)),0)</f>
        <v>0</v>
      </c>
      <c r="O79" s="1" t="n">
        <f aca="false">IF($D$23=1,MAX(0,SUM(Model!$J32:O32)+SUM(Model!$J79:O79)),0)</f>
        <v>0</v>
      </c>
      <c r="P79" s="1" t="n">
        <f aca="false">IF($D$23=1,MAX(0,SUM(Model!$J32:P32)+SUM(Model!$J79:P79)),0)</f>
        <v>0</v>
      </c>
      <c r="Q79" s="1" t="n">
        <f aca="false">IF($D$23=1,MAX(0,SUM(Model!$J32:Q32)+SUM(Model!$J79:Q79)),0)</f>
        <v>0</v>
      </c>
      <c r="R79" s="1" t="n">
        <f aca="false">IF($D$23=1,MAX(0,SUM(Model!$J32:R32)+SUM(Model!$J79:R79)),0)</f>
        <v>0</v>
      </c>
      <c r="S79" s="1" t="n">
        <f aca="false">IF($D$23=1,MAX(0,SUM(Model!$J32:S32)+SUM(Model!$J79:S79)),0)</f>
        <v>0</v>
      </c>
      <c r="T79" s="1" t="n">
        <f aca="false">IF($D$23=1,MAX(0,SUM(Model!$J32:T32)+SUM(Model!$J79:T79)),0)</f>
        <v>0</v>
      </c>
      <c r="U79" s="1" t="n">
        <f aca="false">IF($D$23=1,MAX(0,SUM(Model!$J32:U32)+SUM(Model!$J79:U79)),0)</f>
        <v>0</v>
      </c>
      <c r="V79" s="1" t="n">
        <f aca="false">IF($D$23=1,MAX(0,SUM(Model!$J32:V32)+SUM(Model!$J79:V79)),0)</f>
        <v>0</v>
      </c>
      <c r="W79" s="1" t="n">
        <f aca="false">IF($D$23=1,MAX(0,SUM(Model!$J32:W32)+SUM(Model!$J79:W79)),0)</f>
        <v>0</v>
      </c>
      <c r="X79" s="1" t="n">
        <f aca="false">IF($D$23=1,MAX(0,SUM(Model!$J32:X32)+SUM(Model!$J79:X79)),0)</f>
        <v>0</v>
      </c>
      <c r="Y79" s="1" t="n">
        <f aca="false">IF($D$23=1,MAX(0,SUM(Model!$J32:Y32)+SUM(Model!$J79:Y79)),0)</f>
        <v>0</v>
      </c>
      <c r="Z79" s="1" t="n">
        <f aca="false">IF($D$23=1,MAX(0,SUM(Model!$J32:Z32)+SUM(Model!$J79:Z79)),0)</f>
        <v>0</v>
      </c>
      <c r="AA79" s="1" t="n">
        <f aca="false">IF($D$23=1,MAX(0,SUM(Model!$J32:AA32)+SUM(Model!$J79:AA79)),0)</f>
        <v>0</v>
      </c>
      <c r="AB79" s="1" t="n">
        <f aca="false">IF($D$23=1,MAX(0,SUM(Model!$J32:AB32)+SUM(Model!$J79:AB79)),0)</f>
        <v>0</v>
      </c>
      <c r="AC79" s="1" t="n">
        <f aca="false">IF($D$23=1,MAX(0,SUM(Model!$J32:AC32)+SUM(Model!$J79:AC79)),0)</f>
        <v>0</v>
      </c>
      <c r="AD79" s="1" t="n">
        <f aca="false">IF($D$23=1,MAX(0,SUM(Model!$J32:AD32)+SUM(Model!$J79:AD79)),0)</f>
        <v>0</v>
      </c>
      <c r="AE79" s="1" t="n">
        <f aca="false">IF($D$23=1,MAX(0,SUM(Model!$J32:AE32)+SUM(Model!$J79:AE79)),0)</f>
        <v>0</v>
      </c>
      <c r="AF79" s="1" t="n">
        <f aca="false">IF($D$23=1,MAX(0,SUM(Model!$J32:AF32)+SUM(Model!$J79:AF79)),0)</f>
        <v>0</v>
      </c>
      <c r="AG79" s="1" t="n">
        <f aca="false">IF($D$23=1,MAX(0,SUM(Model!$J32:AG32)+SUM(Model!$J79:AG79)),0)</f>
        <v>0</v>
      </c>
      <c r="AH79" s="1" t="n">
        <f aca="false">IF($D$23=1,MAX(0,SUM(Model!$J32:AH32)+SUM(Model!$J79:AH79)),0)</f>
        <v>0</v>
      </c>
      <c r="AI79" s="1" t="n">
        <f aca="false">IF($D$23=1,MAX(0,SUM(Model!$J32:AI32)+SUM(Model!$J79:AI79)),0)</f>
        <v>0</v>
      </c>
      <c r="AJ79" s="1" t="n">
        <f aca="false">IF($D$23=1,MAX(0,SUM(Model!$J32:AJ32)+SUM(Model!$J79:AJ79)),0)</f>
        <v>0</v>
      </c>
      <c r="AK79" s="1" t="n">
        <f aca="false">IF($D$23=1,MAX(0,SUM(Model!$J32:AK32)+SUM(Model!$J79:AK79)),0)</f>
        <v>0</v>
      </c>
      <c r="AL79" s="1" t="n">
        <f aca="false">IF($D$23=1,MAX(0,SUM(Model!$J32:AL32)+SUM(Model!$J79:AL79)),0)</f>
        <v>0</v>
      </c>
      <c r="AM79" s="1" t="n">
        <f aca="false">IF($D$23=1,MAX(0,SUM(Model!$J32:AM32)+SUM(Model!$J79:AM79)),0)</f>
        <v>0</v>
      </c>
      <c r="AN79" s="1" t="n">
        <f aca="false">IF($D$23=1,MAX(0,SUM(Model!$J32:AN32)+SUM(Model!$J79:AN79)),0)</f>
        <v>0</v>
      </c>
      <c r="AO79" s="1" t="n">
        <f aca="false">IF($D$23=1,MAX(0,SUM(Model!$J32:AO32)+SUM(Model!$J79:AO79)),0)</f>
        <v>0</v>
      </c>
      <c r="AP79" s="1" t="n">
        <f aca="false">IF($D$23=1,MAX(0,SUM(Model!$J32:AP32)+SUM(Model!$J79:AP79)),0)</f>
        <v>0</v>
      </c>
      <c r="AQ79" s="1" t="n">
        <f aca="false">IF($D$23=1,MAX(0,SUM(Model!$J32:AQ32)+SUM(Model!$J79:AQ79)),0)</f>
        <v>0</v>
      </c>
      <c r="AR79" s="1" t="n">
        <f aca="false">IF($D$23=1,MAX(0,SUM(Model!$J32:AR32)+SUM(Model!$J79:AR79)),0)</f>
        <v>0</v>
      </c>
      <c r="AS79" s="1" t="n">
        <f aca="false">IF($D$23=1,MAX(0,SUM(Model!$J32:AS32)+SUM(Model!$J79:AS79)),0)</f>
        <v>0</v>
      </c>
      <c r="AT79" s="1" t="n">
        <f aca="false">IF($D$23=1,MAX(0,SUM(Model!$J32:AT32)+SUM(Model!$J79:AT79)),0)</f>
        <v>0</v>
      </c>
      <c r="AU79" s="1" t="n">
        <f aca="false">IF($D$23=1,MAX(0,SUM(Model!$J32:AU32)+SUM(Model!$J79:AU79)),0)</f>
        <v>0</v>
      </c>
      <c r="AV79" s="1" t="n">
        <f aca="false">IF($D$23=1,MAX(0,SUM(Model!$J32:AV32)+SUM(Model!$J79:AV79)),0)</f>
        <v>0</v>
      </c>
      <c r="AW79" s="1" t="n">
        <f aca="false">IF($D$23=1,MAX(0,SUM(Model!$J32:AW32)+SUM(Model!$J79:AW79)),0)</f>
        <v>0</v>
      </c>
      <c r="AX79" s="1" t="n">
        <f aca="false">IF($D$23=1,MAX(0,SUM(Model!$J32:AX32)+SUM(Model!$J79:AX79)),0)</f>
        <v>0</v>
      </c>
      <c r="AY79" s="1" t="n">
        <f aca="false">IF($D$23=1,MAX(0,SUM(Model!$J32:AY32)+SUM(Model!$J79:AY79)),0)</f>
        <v>0</v>
      </c>
      <c r="AZ79" s="1" t="n">
        <f aca="false">IF($D$23=1,MAX(0,SUM(Model!$J32:AZ32)+SUM(Model!$J79:AZ79)),0)</f>
        <v>0</v>
      </c>
      <c r="BA79" s="1" t="n">
        <f aca="false">IF($D$23=1,MAX(0,SUM(Model!$J32:BA32)+SUM(Model!$J79:BA79)),0)</f>
        <v>0</v>
      </c>
      <c r="BB79" s="1" t="n">
        <f aca="false">IF($D$23=1,MAX(0,SUM(Model!$J32:BB32)+SUM(Model!$J79:BB79)),0)</f>
        <v>0</v>
      </c>
      <c r="BC79" s="1" t="n">
        <f aca="false">IF($D$23=1,MAX(0,SUM(Model!$J32:BC32)+SUM(Model!$J79:BC79)),0)</f>
        <v>0</v>
      </c>
      <c r="BD79" s="1" t="n">
        <f aca="false">IF($D$23=1,MAX(0,SUM(Model!$J32:BD32)+SUM(Model!$J79:BD79)),0)</f>
        <v>0</v>
      </c>
      <c r="BE79" s="1" t="n">
        <f aca="false">IF($D$23=1,MAX(0,SUM(Model!$J32:BE32)+SUM(Model!$J79:BE79)),0)</f>
        <v>0</v>
      </c>
      <c r="BF79" s="1" t="n">
        <f aca="false">IF($D$23=1,MAX(0,SUM(Model!$J32:BF32)+SUM(Model!$J79:BF79)),0)</f>
        <v>0</v>
      </c>
      <c r="BG79" s="1" t="n">
        <f aca="false">IF($D$23=1,MAX(0,SUM(Model!$J32:BG32)+SUM(Model!$J79:BG79)),0)</f>
        <v>0</v>
      </c>
      <c r="BH79" s="1" t="n">
        <f aca="false">IF($D$23=1,MAX(0,SUM(Model!$J32:BH32)+SUM(Model!$J79:BH79)),0)</f>
        <v>0</v>
      </c>
      <c r="BI79" s="1" t="n">
        <f aca="false">IF($D$23=1,MAX(0,SUM(Model!$J32:BI32)+SUM(Model!$J79:BI79)),0)</f>
        <v>0</v>
      </c>
      <c r="BJ79" s="1" t="n">
        <f aca="false">IF($D$23=1,MAX(0,SUM(Model!$J32:BJ32)+SUM(Model!$J79:BJ79)),0)</f>
        <v>0</v>
      </c>
      <c r="BK79" s="1" t="n">
        <f aca="false">IF($D$23=1,MAX(0,SUM(Model!$J32:BK32)+SUM(Model!$J79:BK79)),0)</f>
        <v>0</v>
      </c>
      <c r="BL79" s="1" t="n">
        <f aca="false">IF($D$23=1,MAX(0,SUM(Model!$J32:BL32)+SUM(Model!$J79:BL79)),0)</f>
        <v>0</v>
      </c>
      <c r="BM79" s="1" t="n">
        <f aca="false">IF($D$23=1,MAX(0,SUM(Model!$J32:BM32)+SUM(Model!$J79:BM79)),0)</f>
        <v>0</v>
      </c>
      <c r="BN79" s="1" t="n">
        <f aca="false">IF($D$23=1,MAX(0,SUM(Model!$J32:BN32)+SUM(Model!$J79:BN79)),0)</f>
        <v>0</v>
      </c>
      <c r="BO79" s="1" t="n">
        <f aca="false">IF($D$23=1,MAX(0,SUM(Model!$J32:BO32)+SUM(Model!$J79:BO79)),0)</f>
        <v>0</v>
      </c>
      <c r="BP79" s="1" t="n">
        <f aca="false">IF($D$23=1,MAX(0,SUM(Model!$J32:BP32)+SUM(Model!$J79:BP79)),0)</f>
        <v>0</v>
      </c>
      <c r="BQ79" s="1" t="n">
        <f aca="false">IF($D$23=1,MAX(0,SUM(Model!$J32:BQ32)+SUM(Model!$J79:BQ79)),0)</f>
        <v>0</v>
      </c>
      <c r="BR79" s="1" t="n">
        <f aca="false">IF($D$23=1,MAX(0,SUM(Model!$J32:BR32)+SUM(Model!$J79:BR79)),0)</f>
        <v>0</v>
      </c>
      <c r="BS79" s="1" t="n">
        <f aca="false">IF($D$23=1,MAX(0,SUM(Model!$J32:BS32)+SUM(Model!$J79:BS79)),0)</f>
        <v>0</v>
      </c>
      <c r="BT79" s="1" t="n">
        <f aca="false">IF($D$23=1,MAX(0,SUM(Model!$J32:BT32)+SUM(Model!$J79:BT79)),0)</f>
        <v>0</v>
      </c>
      <c r="BU79" s="1" t="n">
        <f aca="false">IF($D$23=1,MAX(0,SUM(Model!$J32:BU32)+SUM(Model!$J79:BU79)),0)</f>
        <v>0</v>
      </c>
      <c r="BV79" s="1" t="n">
        <f aca="false">IF($D$23=1,MAX(0,SUM(Model!$J32:BV32)+SUM(Model!$J79:BV79)),0)</f>
        <v>0</v>
      </c>
      <c r="BW79" s="1" t="n">
        <f aca="false">IF($D$23=1,MAX(0,SUM(Model!$J32:BW32)+SUM(Model!$J79:BW79)),0)</f>
        <v>0</v>
      </c>
      <c r="BX79" s="1" t="n">
        <f aca="false">IF($D$23=1,MAX(0,SUM(Model!$J32:BX32)+SUM(Model!$J79:BX79)),0)</f>
        <v>0</v>
      </c>
      <c r="BY79" s="1" t="n">
        <f aca="false">IF($D$23=1,MAX(0,SUM(Model!$J32:BY32)+SUM(Model!$J79:BY79)),0)</f>
        <v>0</v>
      </c>
      <c r="BZ79" s="1" t="n">
        <f aca="false">IF($D$23=1,MAX(0,SUM(Model!$J32:BZ32)+SUM(Model!$J79:BZ79)),0)</f>
        <v>0</v>
      </c>
      <c r="CA79" s="1" t="n">
        <f aca="false">IF($D$23=1,MAX(0,SUM(Model!$J32:CA32)+SUM(Model!$J79:CA79)),0)</f>
        <v>0</v>
      </c>
      <c r="CB79" s="1" t="n">
        <f aca="false">IF($D$23=1,MAX(0,SUM(Model!$J32:CB32)+SUM(Model!$J79:CB79)),0)</f>
        <v>0</v>
      </c>
      <c r="CC79" s="1" t="n">
        <f aca="false">IF($D$23=1,MAX(0,SUM(Model!$J32:CC32)+SUM(Model!$J79:CC79)),0)</f>
        <v>0</v>
      </c>
      <c r="CD79" s="1" t="n">
        <f aca="false">IF($D$23=1,MAX(0,SUM(Model!$J32:CD32)+SUM(Model!$J79:CD79)),0)</f>
        <v>0</v>
      </c>
      <c r="CE79" s="1" t="n">
        <f aca="false">IF($D$23=1,MAX(0,SUM(Model!$J32:CE32)+SUM(Model!$J79:CE79)),0)</f>
        <v>0</v>
      </c>
      <c r="CF79" s="1" t="n">
        <f aca="false">IF($D$23=1,MAX(0,SUM(Model!$J32:CF32)+SUM(Model!$J79:CF79)),0)</f>
        <v>0</v>
      </c>
      <c r="CG79" s="1" t="n">
        <f aca="false">IF($D$23=1,MAX(0,SUM(Model!$J32:CG32)+SUM(Model!$J79:CG79)),0)</f>
        <v>0</v>
      </c>
      <c r="CH79" s="1" t="n">
        <f aca="false">IF($D$23=1,MAX(0,SUM(Model!$J32:CH32)+SUM(Model!$J79:CH79)),0)</f>
        <v>0</v>
      </c>
      <c r="CI79" s="1" t="n">
        <f aca="false">IF($D$23=1,MAX(0,SUM(Model!$J32:CI32)+SUM(Model!$J79:CI79)),0)</f>
        <v>0</v>
      </c>
      <c r="CJ79" s="1" t="n">
        <f aca="false">IF($D$23=1,MAX(0,SUM(Model!$J32:CJ32)+SUM(Model!$J79:CJ79)),0)</f>
        <v>0</v>
      </c>
      <c r="CK79" s="1" t="n">
        <f aca="false">IF($D$23=1,MAX(0,SUM(Model!$J32:CK32)+SUM(Model!$J79:CK79)),0)</f>
        <v>0</v>
      </c>
      <c r="CL79" s="1" t="n">
        <f aca="false">IF($D$23=1,MAX(0,SUM(Model!$J32:CL32)+SUM(Model!$J79:CL79)),0)</f>
        <v>0</v>
      </c>
      <c r="CM79" s="1" t="n">
        <f aca="false">IF($D$23=1,MAX(0,SUM(Model!$J32:CM32)+SUM(Model!$J79:CM79)),0)</f>
        <v>0</v>
      </c>
      <c r="CN79" s="1" t="n">
        <f aca="false">IF($D$23=1,MAX(0,SUM(Model!$J32:CN32)+SUM(Model!$J79:CN79)),0)</f>
        <v>0</v>
      </c>
      <c r="CO79" s="1" t="n">
        <f aca="false">IF($D$23=1,MAX(0,SUM(Model!$J32:CO32)+SUM(Model!$J79:CO79)),0)</f>
        <v>0</v>
      </c>
      <c r="CP79" s="1" t="n">
        <f aca="false">IF($D$23=1,MAX(0,SUM(Model!$J32:CP32)+SUM(Model!$J79:CP79)),0)</f>
        <v>0</v>
      </c>
      <c r="CQ79" s="1" t="n">
        <f aca="false">IF($D$23=1,MAX(0,SUM(Model!$J32:CQ32)+SUM(Model!$J79:CQ79)),0)</f>
        <v>0</v>
      </c>
      <c r="CR79" s="1" t="n">
        <f aca="false">IF($D$23=1,MAX(0,SUM(Model!$J32:CR32)+SUM(Model!$J79:CR79)),0)</f>
        <v>0</v>
      </c>
      <c r="CS79" s="1" t="n">
        <f aca="false">IF($D$23=1,MAX(0,SUM(Model!$J32:CS32)+SUM(Model!$J79:CS79)),0)</f>
        <v>0</v>
      </c>
      <c r="CT79" s="1" t="n">
        <f aca="false">IF($D$23=1,MAX(0,SUM(Model!$J32:CT32)+SUM(Model!$J79:CT79)),0)</f>
        <v>0</v>
      </c>
      <c r="CU79" s="1" t="n">
        <f aca="false">IF($D$23=1,MAX(0,SUM(Model!$J32:CU32)+SUM(Model!$J79:CU79)),0)</f>
        <v>0</v>
      </c>
      <c r="CV79" s="1" t="n">
        <f aca="false">IF($D$23=1,MAX(0,SUM(Model!$J32:CV32)+SUM(Model!$J79:CV79)),0)</f>
        <v>0</v>
      </c>
      <c r="CW79" s="1" t="n">
        <f aca="false">IF($D$23=1,MAX(0,SUM(Model!$J32:CW32)+SUM(Model!$J79:CW79)),0)</f>
        <v>0</v>
      </c>
      <c r="CX79" s="1" t="n">
        <f aca="false">IF($D$23=1,MAX(0,SUM(Model!$J32:CX32)+SUM(Model!$J79:CX79)),0)</f>
        <v>0</v>
      </c>
      <c r="CY79" s="1" t="n">
        <f aca="false">IF($D$23=1,MAX(0,SUM(Model!$J32:CY32)+SUM(Model!$J79:CY79)),0)</f>
        <v>0</v>
      </c>
      <c r="CZ79" s="1" t="n">
        <f aca="false">IF($D$23=1,MAX(0,SUM(Model!$J32:CZ32)+SUM(Model!$J79:CZ79)),0)</f>
        <v>0</v>
      </c>
      <c r="DA79" s="1" t="n">
        <f aca="false">IF($D$23=1,MAX(0,SUM(Model!$J32:DA32)+SUM(Model!$J79:DA79)),0)</f>
        <v>0</v>
      </c>
      <c r="DB79" s="1" t="n">
        <f aca="false">IF($D$23=1,MAX(0,SUM(Model!$J32:DB32)+SUM(Model!$J79:DB79)),0)</f>
        <v>0</v>
      </c>
      <c r="DC79" s="1" t="n">
        <f aca="false">IF($D$23=1,MAX(0,SUM(Model!$J32:DC32)+SUM(Model!$J79:DC79)),0)</f>
        <v>0</v>
      </c>
      <c r="DD79" s="1" t="n">
        <f aca="false">IF($D$23=1,MAX(0,SUM(Model!$J32:DD32)+SUM(Model!$J79:DD79)),0)</f>
        <v>0</v>
      </c>
      <c r="DE79" s="1" t="n">
        <f aca="false">IF($D$23=1,MAX(0,SUM(Model!$J32:DE32)+SUM(Model!$J79:DE79)),0)</f>
        <v>0</v>
      </c>
    </row>
    <row r="80" customFormat="false" ht="13.5" hidden="false" customHeight="true" outlineLevel="0" collapsed="false">
      <c r="A80" s="1" t="str">
        <f aca="false">$B$24</f>
        <v>BD-08</v>
      </c>
      <c r="B80" s="1" t="n">
        <v>0</v>
      </c>
      <c r="C80" s="1" t="n">
        <v>0</v>
      </c>
      <c r="D80" s="1" t="n">
        <v>0</v>
      </c>
      <c r="E80" s="1" t="n">
        <v>0</v>
      </c>
      <c r="F80" s="1" t="n">
        <v>0</v>
      </c>
      <c r="G80" s="1" t="n">
        <v>0</v>
      </c>
      <c r="H80" s="1" t="n">
        <v>0</v>
      </c>
      <c r="I80" s="1" t="n">
        <v>0</v>
      </c>
      <c r="J80" s="1" t="n">
        <f aca="false">IF($D$24=1,MAX(0,SUM(Model!$J33:J33)+SUM(Model!$J80:J80)),0)</f>
        <v>0</v>
      </c>
      <c r="K80" s="1" t="n">
        <f aca="false">IF($D$24=1,MAX(0,SUM(Model!$J33:K33)+SUM(Model!$J80:K80)),0)</f>
        <v>0</v>
      </c>
      <c r="L80" s="1" t="n">
        <f aca="false">IF($D$24=1,MAX(0,SUM(Model!$J33:L33)+SUM(Model!$J80:L80)),0)</f>
        <v>0</v>
      </c>
      <c r="M80" s="1" t="n">
        <f aca="false">IF($D$24=1,MAX(0,SUM(Model!$J33:M33)+SUM(Model!$J80:M80)),0)</f>
        <v>0</v>
      </c>
      <c r="N80" s="1" t="n">
        <f aca="false">IF($D$24=1,MAX(0,SUM(Model!$J33:N33)+SUM(Model!$J80:N80)),0)</f>
        <v>0</v>
      </c>
      <c r="O80" s="1" t="n">
        <f aca="false">IF($D$24=1,MAX(0,SUM(Model!$J33:O33)+SUM(Model!$J80:O80)),0)</f>
        <v>0</v>
      </c>
      <c r="P80" s="1" t="n">
        <f aca="false">IF($D$24=1,MAX(0,SUM(Model!$J33:P33)+SUM(Model!$J80:P80)),0)</f>
        <v>0</v>
      </c>
      <c r="Q80" s="1" t="n">
        <f aca="false">IF($D$24=1,MAX(0,SUM(Model!$J33:Q33)+SUM(Model!$J80:Q80)),0)</f>
        <v>0</v>
      </c>
      <c r="R80" s="1" t="n">
        <f aca="false">IF($D$24=1,MAX(0,SUM(Model!$J33:R33)+SUM(Model!$J80:R80)),0)</f>
        <v>0</v>
      </c>
      <c r="S80" s="1" t="n">
        <f aca="false">IF($D$24=1,MAX(0,SUM(Model!$J33:S33)+SUM(Model!$J80:S80)),0)</f>
        <v>0</v>
      </c>
      <c r="T80" s="1" t="n">
        <f aca="false">IF($D$24=1,MAX(0,SUM(Model!$J33:T33)+SUM(Model!$J80:T80)),0)</f>
        <v>0</v>
      </c>
      <c r="U80" s="1" t="n">
        <f aca="false">IF($D$24=1,MAX(0,SUM(Model!$J33:U33)+SUM(Model!$J80:U80)),0)</f>
        <v>0</v>
      </c>
      <c r="V80" s="1" t="n">
        <f aca="false">IF($D$24=1,MAX(0,SUM(Model!$J33:V33)+SUM(Model!$J80:V80)),0)</f>
        <v>0</v>
      </c>
      <c r="W80" s="1" t="n">
        <f aca="false">IF($D$24=1,MAX(0,SUM(Model!$J33:W33)+SUM(Model!$J80:W80)),0)</f>
        <v>0</v>
      </c>
      <c r="X80" s="1" t="n">
        <f aca="false">IF($D$24=1,MAX(0,SUM(Model!$J33:X33)+SUM(Model!$J80:X80)),0)</f>
        <v>0</v>
      </c>
      <c r="Y80" s="1" t="n">
        <f aca="false">IF($D$24=1,MAX(0,SUM(Model!$J33:Y33)+SUM(Model!$J80:Y80)),0)</f>
        <v>0</v>
      </c>
      <c r="Z80" s="1" t="n">
        <f aca="false">IF($D$24=1,MAX(0,SUM(Model!$J33:Z33)+SUM(Model!$J80:Z80)),0)</f>
        <v>0</v>
      </c>
      <c r="AA80" s="1" t="n">
        <f aca="false">IF($D$24=1,MAX(0,SUM(Model!$J33:AA33)+SUM(Model!$J80:AA80)),0)</f>
        <v>0</v>
      </c>
      <c r="AB80" s="1" t="n">
        <f aca="false">IF($D$24=1,MAX(0,SUM(Model!$J33:AB33)+SUM(Model!$J80:AB80)),0)</f>
        <v>0</v>
      </c>
      <c r="AC80" s="1" t="n">
        <f aca="false">IF($D$24=1,MAX(0,SUM(Model!$J33:AC33)+SUM(Model!$J80:AC80)),0)</f>
        <v>0</v>
      </c>
      <c r="AD80" s="1" t="n">
        <f aca="false">IF($D$24=1,MAX(0,SUM(Model!$J33:AD33)+SUM(Model!$J80:AD80)),0)</f>
        <v>0</v>
      </c>
      <c r="AE80" s="1" t="n">
        <f aca="false">IF($D$24=1,MAX(0,SUM(Model!$J33:AE33)+SUM(Model!$J80:AE80)),0)</f>
        <v>0</v>
      </c>
      <c r="AF80" s="1" t="n">
        <f aca="false">IF($D$24=1,MAX(0,SUM(Model!$J33:AF33)+SUM(Model!$J80:AF80)),0)</f>
        <v>0</v>
      </c>
      <c r="AG80" s="1" t="n">
        <f aca="false">IF($D$24=1,MAX(0,SUM(Model!$J33:AG33)+SUM(Model!$J80:AG80)),0)</f>
        <v>0</v>
      </c>
      <c r="AH80" s="1" t="n">
        <f aca="false">IF($D$24=1,MAX(0,SUM(Model!$J33:AH33)+SUM(Model!$J80:AH80)),0)</f>
        <v>0</v>
      </c>
      <c r="AI80" s="1" t="n">
        <f aca="false">IF($D$24=1,MAX(0,SUM(Model!$J33:AI33)+SUM(Model!$J80:AI80)),0)</f>
        <v>0</v>
      </c>
      <c r="AJ80" s="1" t="n">
        <f aca="false">IF($D$24=1,MAX(0,SUM(Model!$J33:AJ33)+SUM(Model!$J80:AJ80)),0)</f>
        <v>0</v>
      </c>
      <c r="AK80" s="1" t="n">
        <f aca="false">IF($D$24=1,MAX(0,SUM(Model!$J33:AK33)+SUM(Model!$J80:AK80)),0)</f>
        <v>0</v>
      </c>
      <c r="AL80" s="1" t="n">
        <f aca="false">IF($D$24=1,MAX(0,SUM(Model!$J33:AL33)+SUM(Model!$J80:AL80)),0)</f>
        <v>0</v>
      </c>
      <c r="AM80" s="1" t="n">
        <f aca="false">IF($D$24=1,MAX(0,SUM(Model!$J33:AM33)+SUM(Model!$J80:AM80)),0)</f>
        <v>0</v>
      </c>
      <c r="AN80" s="1" t="n">
        <f aca="false">IF($D$24=1,MAX(0,SUM(Model!$J33:AN33)+SUM(Model!$J80:AN80)),0)</f>
        <v>0</v>
      </c>
      <c r="AO80" s="1" t="n">
        <f aca="false">IF($D$24=1,MAX(0,SUM(Model!$J33:AO33)+SUM(Model!$J80:AO80)),0)</f>
        <v>0</v>
      </c>
      <c r="AP80" s="1" t="n">
        <f aca="false">IF($D$24=1,MAX(0,SUM(Model!$J33:AP33)+SUM(Model!$J80:AP80)),0)</f>
        <v>0</v>
      </c>
      <c r="AQ80" s="1" t="n">
        <f aca="false">IF($D$24=1,MAX(0,SUM(Model!$J33:AQ33)+SUM(Model!$J80:AQ80)),0)</f>
        <v>0</v>
      </c>
      <c r="AR80" s="1" t="n">
        <f aca="false">IF($D$24=1,MAX(0,SUM(Model!$J33:AR33)+SUM(Model!$J80:AR80)),0)</f>
        <v>0</v>
      </c>
      <c r="AS80" s="1" t="n">
        <f aca="false">IF($D$24=1,MAX(0,SUM(Model!$J33:AS33)+SUM(Model!$J80:AS80)),0)</f>
        <v>0</v>
      </c>
      <c r="AT80" s="1" t="n">
        <f aca="false">IF($D$24=1,MAX(0,SUM(Model!$J33:AT33)+SUM(Model!$J80:AT80)),0)</f>
        <v>0</v>
      </c>
      <c r="AU80" s="1" t="n">
        <f aca="false">IF($D$24=1,MAX(0,SUM(Model!$J33:AU33)+SUM(Model!$J80:AU80)),0)</f>
        <v>0</v>
      </c>
      <c r="AV80" s="1" t="n">
        <f aca="false">IF($D$24=1,MAX(0,SUM(Model!$J33:AV33)+SUM(Model!$J80:AV80)),0)</f>
        <v>0</v>
      </c>
      <c r="AW80" s="1" t="n">
        <f aca="false">IF($D$24=1,MAX(0,SUM(Model!$J33:AW33)+SUM(Model!$J80:AW80)),0)</f>
        <v>0</v>
      </c>
      <c r="AX80" s="1" t="n">
        <f aca="false">IF($D$24=1,MAX(0,SUM(Model!$J33:AX33)+SUM(Model!$J80:AX80)),0)</f>
        <v>0</v>
      </c>
      <c r="AY80" s="1" t="n">
        <f aca="false">IF($D$24=1,MAX(0,SUM(Model!$J33:AY33)+SUM(Model!$J80:AY80)),0)</f>
        <v>0</v>
      </c>
      <c r="AZ80" s="1" t="n">
        <f aca="false">IF($D$24=1,MAX(0,SUM(Model!$J33:AZ33)+SUM(Model!$J80:AZ80)),0)</f>
        <v>0</v>
      </c>
      <c r="BA80" s="1" t="n">
        <f aca="false">IF($D$24=1,MAX(0,SUM(Model!$J33:BA33)+SUM(Model!$J80:BA80)),0)</f>
        <v>0</v>
      </c>
      <c r="BB80" s="1" t="n">
        <f aca="false">IF($D$24=1,MAX(0,SUM(Model!$J33:BB33)+SUM(Model!$J80:BB80)),0)</f>
        <v>0</v>
      </c>
      <c r="BC80" s="1" t="n">
        <f aca="false">IF($D$24=1,MAX(0,SUM(Model!$J33:BC33)+SUM(Model!$J80:BC80)),0)</f>
        <v>0</v>
      </c>
      <c r="BD80" s="1" t="n">
        <f aca="false">IF($D$24=1,MAX(0,SUM(Model!$J33:BD33)+SUM(Model!$J80:BD80)),0)</f>
        <v>0</v>
      </c>
      <c r="BE80" s="1" t="n">
        <f aca="false">IF($D$24=1,MAX(0,SUM(Model!$J33:BE33)+SUM(Model!$J80:BE80)),0)</f>
        <v>0</v>
      </c>
      <c r="BF80" s="1" t="n">
        <f aca="false">IF($D$24=1,MAX(0,SUM(Model!$J33:BF33)+SUM(Model!$J80:BF80)),0)</f>
        <v>0</v>
      </c>
      <c r="BG80" s="1" t="n">
        <f aca="false">IF($D$24=1,MAX(0,SUM(Model!$J33:BG33)+SUM(Model!$J80:BG80)),0)</f>
        <v>0</v>
      </c>
      <c r="BH80" s="1" t="n">
        <f aca="false">IF($D$24=1,MAX(0,SUM(Model!$J33:BH33)+SUM(Model!$J80:BH80)),0)</f>
        <v>0</v>
      </c>
      <c r="BI80" s="1" t="n">
        <f aca="false">IF($D$24=1,MAX(0,SUM(Model!$J33:BI33)+SUM(Model!$J80:BI80)),0)</f>
        <v>0</v>
      </c>
      <c r="BJ80" s="1" t="n">
        <f aca="false">IF($D$24=1,MAX(0,SUM(Model!$J33:BJ33)+SUM(Model!$J80:BJ80)),0)</f>
        <v>0</v>
      </c>
      <c r="BK80" s="1" t="n">
        <f aca="false">IF($D$24=1,MAX(0,SUM(Model!$J33:BK33)+SUM(Model!$J80:BK80)),0)</f>
        <v>0</v>
      </c>
      <c r="BL80" s="1" t="n">
        <f aca="false">IF($D$24=1,MAX(0,SUM(Model!$J33:BL33)+SUM(Model!$J80:BL80)),0)</f>
        <v>0</v>
      </c>
      <c r="BM80" s="1" t="n">
        <f aca="false">IF($D$24=1,MAX(0,SUM(Model!$J33:BM33)+SUM(Model!$J80:BM80)),0)</f>
        <v>0</v>
      </c>
      <c r="BN80" s="1" t="n">
        <f aca="false">IF($D$24=1,MAX(0,SUM(Model!$J33:BN33)+SUM(Model!$J80:BN80)),0)</f>
        <v>0</v>
      </c>
      <c r="BO80" s="1" t="n">
        <f aca="false">IF($D$24=1,MAX(0,SUM(Model!$J33:BO33)+SUM(Model!$J80:BO80)),0)</f>
        <v>0</v>
      </c>
      <c r="BP80" s="1" t="n">
        <f aca="false">IF($D$24=1,MAX(0,SUM(Model!$J33:BP33)+SUM(Model!$J80:BP80)),0)</f>
        <v>0</v>
      </c>
      <c r="BQ80" s="1" t="n">
        <f aca="false">IF($D$24=1,MAX(0,SUM(Model!$J33:BQ33)+SUM(Model!$J80:BQ80)),0)</f>
        <v>0</v>
      </c>
      <c r="BR80" s="1" t="n">
        <f aca="false">IF($D$24=1,MAX(0,SUM(Model!$J33:BR33)+SUM(Model!$J80:BR80)),0)</f>
        <v>0</v>
      </c>
      <c r="BS80" s="1" t="n">
        <f aca="false">IF($D$24=1,MAX(0,SUM(Model!$J33:BS33)+SUM(Model!$J80:BS80)),0)</f>
        <v>0</v>
      </c>
      <c r="BT80" s="1" t="n">
        <f aca="false">IF($D$24=1,MAX(0,SUM(Model!$J33:BT33)+SUM(Model!$J80:BT80)),0)</f>
        <v>0</v>
      </c>
      <c r="BU80" s="1" t="n">
        <f aca="false">IF($D$24=1,MAX(0,SUM(Model!$J33:BU33)+SUM(Model!$J80:BU80)),0)</f>
        <v>0</v>
      </c>
      <c r="BV80" s="1" t="n">
        <f aca="false">IF($D$24=1,MAX(0,SUM(Model!$J33:BV33)+SUM(Model!$J80:BV80)),0)</f>
        <v>0</v>
      </c>
      <c r="BW80" s="1" t="n">
        <f aca="false">IF($D$24=1,MAX(0,SUM(Model!$J33:BW33)+SUM(Model!$J80:BW80)),0)</f>
        <v>0</v>
      </c>
      <c r="BX80" s="1" t="n">
        <f aca="false">IF($D$24=1,MAX(0,SUM(Model!$J33:BX33)+SUM(Model!$J80:BX80)),0)</f>
        <v>0</v>
      </c>
      <c r="BY80" s="1" t="n">
        <f aca="false">IF($D$24=1,MAX(0,SUM(Model!$J33:BY33)+SUM(Model!$J80:BY80)),0)</f>
        <v>0</v>
      </c>
      <c r="BZ80" s="1" t="n">
        <f aca="false">IF($D$24=1,MAX(0,SUM(Model!$J33:BZ33)+SUM(Model!$J80:BZ80)),0)</f>
        <v>0</v>
      </c>
      <c r="CA80" s="1" t="n">
        <f aca="false">IF($D$24=1,MAX(0,SUM(Model!$J33:CA33)+SUM(Model!$J80:CA80)),0)</f>
        <v>0</v>
      </c>
      <c r="CB80" s="1" t="n">
        <f aca="false">IF($D$24=1,MAX(0,SUM(Model!$J33:CB33)+SUM(Model!$J80:CB80)),0)</f>
        <v>0</v>
      </c>
      <c r="CC80" s="1" t="n">
        <f aca="false">IF($D$24=1,MAX(0,SUM(Model!$J33:CC33)+SUM(Model!$J80:CC80)),0)</f>
        <v>0</v>
      </c>
      <c r="CD80" s="1" t="n">
        <f aca="false">IF($D$24=1,MAX(0,SUM(Model!$J33:CD33)+SUM(Model!$J80:CD80)),0)</f>
        <v>0</v>
      </c>
      <c r="CE80" s="1" t="n">
        <f aca="false">IF($D$24=1,MAX(0,SUM(Model!$J33:CE33)+SUM(Model!$J80:CE80)),0)</f>
        <v>0</v>
      </c>
      <c r="CF80" s="1" t="n">
        <f aca="false">IF($D$24=1,MAX(0,SUM(Model!$J33:CF33)+SUM(Model!$J80:CF80)),0)</f>
        <v>0</v>
      </c>
      <c r="CG80" s="1" t="n">
        <f aca="false">IF($D$24=1,MAX(0,SUM(Model!$J33:CG33)+SUM(Model!$J80:CG80)),0)</f>
        <v>0</v>
      </c>
      <c r="CH80" s="1" t="n">
        <f aca="false">IF($D$24=1,MAX(0,SUM(Model!$J33:CH33)+SUM(Model!$J80:CH80)),0)</f>
        <v>0</v>
      </c>
      <c r="CI80" s="1" t="n">
        <f aca="false">IF($D$24=1,MAX(0,SUM(Model!$J33:CI33)+SUM(Model!$J80:CI80)),0)</f>
        <v>0</v>
      </c>
      <c r="CJ80" s="1" t="n">
        <f aca="false">IF($D$24=1,MAX(0,SUM(Model!$J33:CJ33)+SUM(Model!$J80:CJ80)),0)</f>
        <v>0</v>
      </c>
      <c r="CK80" s="1" t="n">
        <f aca="false">IF($D$24=1,MAX(0,SUM(Model!$J33:CK33)+SUM(Model!$J80:CK80)),0)</f>
        <v>0</v>
      </c>
      <c r="CL80" s="1" t="n">
        <f aca="false">IF($D$24=1,MAX(0,SUM(Model!$J33:CL33)+SUM(Model!$J80:CL80)),0)</f>
        <v>0</v>
      </c>
      <c r="CM80" s="1" t="n">
        <f aca="false">IF($D$24=1,MAX(0,SUM(Model!$J33:CM33)+SUM(Model!$J80:CM80)),0)</f>
        <v>0</v>
      </c>
      <c r="CN80" s="1" t="n">
        <f aca="false">IF($D$24=1,MAX(0,SUM(Model!$J33:CN33)+SUM(Model!$J80:CN80)),0)</f>
        <v>0</v>
      </c>
      <c r="CO80" s="1" t="n">
        <f aca="false">IF($D$24=1,MAX(0,SUM(Model!$J33:CO33)+SUM(Model!$J80:CO80)),0)</f>
        <v>0</v>
      </c>
      <c r="CP80" s="1" t="n">
        <f aca="false">IF($D$24=1,MAX(0,SUM(Model!$J33:CP33)+SUM(Model!$J80:CP80)),0)</f>
        <v>0</v>
      </c>
      <c r="CQ80" s="1" t="n">
        <f aca="false">IF($D$24=1,MAX(0,SUM(Model!$J33:CQ33)+SUM(Model!$J80:CQ80)),0)</f>
        <v>0</v>
      </c>
      <c r="CR80" s="1" t="n">
        <f aca="false">IF($D$24=1,MAX(0,SUM(Model!$J33:CR33)+SUM(Model!$J80:CR80)),0)</f>
        <v>0</v>
      </c>
      <c r="CS80" s="1" t="n">
        <f aca="false">IF($D$24=1,MAX(0,SUM(Model!$J33:CS33)+SUM(Model!$J80:CS80)),0)</f>
        <v>0</v>
      </c>
      <c r="CT80" s="1" t="n">
        <f aca="false">IF($D$24=1,MAX(0,SUM(Model!$J33:CT33)+SUM(Model!$J80:CT80)),0)</f>
        <v>0</v>
      </c>
      <c r="CU80" s="1" t="n">
        <f aca="false">IF($D$24=1,MAX(0,SUM(Model!$J33:CU33)+SUM(Model!$J80:CU80)),0)</f>
        <v>0</v>
      </c>
      <c r="CV80" s="1" t="n">
        <f aca="false">IF($D$24=1,MAX(0,SUM(Model!$J33:CV33)+SUM(Model!$J80:CV80)),0)</f>
        <v>0</v>
      </c>
      <c r="CW80" s="1" t="n">
        <f aca="false">IF($D$24=1,MAX(0,SUM(Model!$J33:CW33)+SUM(Model!$J80:CW80)),0)</f>
        <v>0</v>
      </c>
      <c r="CX80" s="1" t="n">
        <f aca="false">IF($D$24=1,MAX(0,SUM(Model!$J33:CX33)+SUM(Model!$J80:CX80)),0)</f>
        <v>0</v>
      </c>
      <c r="CY80" s="1" t="n">
        <f aca="false">IF($D$24=1,MAX(0,SUM(Model!$J33:CY33)+SUM(Model!$J80:CY80)),0)</f>
        <v>0</v>
      </c>
      <c r="CZ80" s="1" t="n">
        <f aca="false">IF($D$24=1,MAX(0,SUM(Model!$J33:CZ33)+SUM(Model!$J80:CZ80)),0)</f>
        <v>0</v>
      </c>
      <c r="DA80" s="1" t="n">
        <f aca="false">IF($D$24=1,MAX(0,SUM(Model!$J33:DA33)+SUM(Model!$J80:DA80)),0)</f>
        <v>0</v>
      </c>
      <c r="DB80" s="1" t="n">
        <f aca="false">IF($D$24=1,MAX(0,SUM(Model!$J33:DB33)+SUM(Model!$J80:DB80)),0)</f>
        <v>0</v>
      </c>
      <c r="DC80" s="1" t="n">
        <f aca="false">IF($D$24=1,MAX(0,SUM(Model!$J33:DC33)+SUM(Model!$J80:DC80)),0)</f>
        <v>0</v>
      </c>
      <c r="DD80" s="1" t="n">
        <f aca="false">IF($D$24=1,MAX(0,SUM(Model!$J33:DD33)+SUM(Model!$J80:DD80)),0)</f>
        <v>0</v>
      </c>
      <c r="DE80" s="1" t="n">
        <f aca="false">IF($D$24=1,MAX(0,SUM(Model!$J33:DE33)+SUM(Model!$J80:DE80)),0)</f>
        <v>0</v>
      </c>
    </row>
    <row r="81" customFormat="false" ht="13.5" hidden="false" customHeight="true" outlineLevel="0" collapsed="false">
      <c r="A81" s="1" t="str">
        <f aca="false">$B$25</f>
        <v>BD-09</v>
      </c>
      <c r="B81" s="1" t="n">
        <v>0</v>
      </c>
      <c r="C81" s="1" t="n">
        <v>0</v>
      </c>
      <c r="D81" s="1" t="n">
        <v>0</v>
      </c>
      <c r="E81" s="1" t="n">
        <v>0</v>
      </c>
      <c r="F81" s="1" t="n">
        <v>0</v>
      </c>
      <c r="G81" s="1" t="n">
        <v>0</v>
      </c>
      <c r="H81" s="1" t="n">
        <v>0</v>
      </c>
      <c r="I81" s="1" t="n">
        <v>0</v>
      </c>
      <c r="J81" s="1" t="n">
        <f aca="false">IF($D$25=1,MAX(0,SUM(Model!$J34:J34)+SUM(Model!$J81:J81)),0)</f>
        <v>0</v>
      </c>
      <c r="K81" s="1" t="n">
        <f aca="false">IF($D$25=1,MAX(0,SUM(Model!$J34:K34)+SUM(Model!$J81:K81)),0)</f>
        <v>0</v>
      </c>
      <c r="L81" s="1" t="n">
        <f aca="false">IF($D$25=1,MAX(0,SUM(Model!$J34:L34)+SUM(Model!$J81:L81)),0)</f>
        <v>0</v>
      </c>
      <c r="M81" s="1" t="n">
        <f aca="false">IF($D$25=1,MAX(0,SUM(Model!$J34:M34)+SUM(Model!$J81:M81)),0)</f>
        <v>0</v>
      </c>
      <c r="N81" s="1" t="n">
        <f aca="false">IF($D$25=1,MAX(0,SUM(Model!$J34:N34)+SUM(Model!$J81:N81)),0)</f>
        <v>0</v>
      </c>
      <c r="O81" s="1" t="n">
        <f aca="false">IF($D$25=1,MAX(0,SUM(Model!$J34:O34)+SUM(Model!$J81:O81)),0)</f>
        <v>0</v>
      </c>
      <c r="P81" s="1" t="n">
        <f aca="false">IF($D$25=1,MAX(0,SUM(Model!$J34:P34)+SUM(Model!$J81:P81)),0)</f>
        <v>0</v>
      </c>
      <c r="Q81" s="1" t="n">
        <f aca="false">IF($D$25=1,MAX(0,SUM(Model!$J34:Q34)+SUM(Model!$J81:Q81)),0)</f>
        <v>0</v>
      </c>
      <c r="R81" s="1" t="n">
        <f aca="false">IF($D$25=1,MAX(0,SUM(Model!$J34:R34)+SUM(Model!$J81:R81)),0)</f>
        <v>0</v>
      </c>
      <c r="S81" s="1" t="n">
        <f aca="false">IF($D$25=1,MAX(0,SUM(Model!$J34:S34)+SUM(Model!$J81:S81)),0)</f>
        <v>0</v>
      </c>
      <c r="T81" s="1" t="n">
        <f aca="false">IF($D$25=1,MAX(0,SUM(Model!$J34:T34)+SUM(Model!$J81:T81)),0)</f>
        <v>0</v>
      </c>
      <c r="U81" s="1" t="n">
        <f aca="false">IF($D$25=1,MAX(0,SUM(Model!$J34:U34)+SUM(Model!$J81:U81)),0)</f>
        <v>0</v>
      </c>
      <c r="V81" s="1" t="n">
        <f aca="false">IF($D$25=1,MAX(0,SUM(Model!$J34:V34)+SUM(Model!$J81:V81)),0)</f>
        <v>0</v>
      </c>
      <c r="W81" s="1" t="n">
        <f aca="false">IF($D$25=1,MAX(0,SUM(Model!$J34:W34)+SUM(Model!$J81:W81)),0)</f>
        <v>0</v>
      </c>
      <c r="X81" s="1" t="n">
        <f aca="false">IF($D$25=1,MAX(0,SUM(Model!$J34:X34)+SUM(Model!$J81:X81)),0)</f>
        <v>0</v>
      </c>
      <c r="Y81" s="1" t="n">
        <f aca="false">IF($D$25=1,MAX(0,SUM(Model!$J34:Y34)+SUM(Model!$J81:Y81)),0)</f>
        <v>0</v>
      </c>
      <c r="Z81" s="1" t="n">
        <f aca="false">IF($D$25=1,MAX(0,SUM(Model!$J34:Z34)+SUM(Model!$J81:Z81)),0)</f>
        <v>0</v>
      </c>
      <c r="AA81" s="1" t="n">
        <f aca="false">IF($D$25=1,MAX(0,SUM(Model!$J34:AA34)+SUM(Model!$J81:AA81)),0)</f>
        <v>0</v>
      </c>
      <c r="AB81" s="1" t="n">
        <f aca="false">IF($D$25=1,MAX(0,SUM(Model!$J34:AB34)+SUM(Model!$J81:AB81)),0)</f>
        <v>0</v>
      </c>
      <c r="AC81" s="1" t="n">
        <f aca="false">IF($D$25=1,MAX(0,SUM(Model!$J34:AC34)+SUM(Model!$J81:AC81)),0)</f>
        <v>0</v>
      </c>
      <c r="AD81" s="1" t="n">
        <f aca="false">IF($D$25=1,MAX(0,SUM(Model!$J34:AD34)+SUM(Model!$J81:AD81)),0)</f>
        <v>0</v>
      </c>
      <c r="AE81" s="1" t="n">
        <f aca="false">IF($D$25=1,MAX(0,SUM(Model!$J34:AE34)+SUM(Model!$J81:AE81)),0)</f>
        <v>0</v>
      </c>
      <c r="AF81" s="1" t="n">
        <f aca="false">IF($D$25=1,MAX(0,SUM(Model!$J34:AF34)+SUM(Model!$J81:AF81)),0)</f>
        <v>0</v>
      </c>
      <c r="AG81" s="1" t="n">
        <f aca="false">IF($D$25=1,MAX(0,SUM(Model!$J34:AG34)+SUM(Model!$J81:AG81)),0)</f>
        <v>0</v>
      </c>
      <c r="AH81" s="1" t="n">
        <f aca="false">IF($D$25=1,MAX(0,SUM(Model!$J34:AH34)+SUM(Model!$J81:AH81)),0)</f>
        <v>0</v>
      </c>
      <c r="AI81" s="1" t="n">
        <f aca="false">IF($D$25=1,MAX(0,SUM(Model!$J34:AI34)+SUM(Model!$J81:AI81)),0)</f>
        <v>0</v>
      </c>
      <c r="AJ81" s="1" t="n">
        <f aca="false">IF($D$25=1,MAX(0,SUM(Model!$J34:AJ34)+SUM(Model!$J81:AJ81)),0)</f>
        <v>0</v>
      </c>
      <c r="AK81" s="1" t="n">
        <f aca="false">IF($D$25=1,MAX(0,SUM(Model!$J34:AK34)+SUM(Model!$J81:AK81)),0)</f>
        <v>0</v>
      </c>
      <c r="AL81" s="1" t="n">
        <f aca="false">IF($D$25=1,MAX(0,SUM(Model!$J34:AL34)+SUM(Model!$J81:AL81)),0)</f>
        <v>0</v>
      </c>
      <c r="AM81" s="1" t="n">
        <f aca="false">IF($D$25=1,MAX(0,SUM(Model!$J34:AM34)+SUM(Model!$J81:AM81)),0)</f>
        <v>0</v>
      </c>
      <c r="AN81" s="1" t="n">
        <f aca="false">IF($D$25=1,MAX(0,SUM(Model!$J34:AN34)+SUM(Model!$J81:AN81)),0)</f>
        <v>0</v>
      </c>
      <c r="AO81" s="1" t="n">
        <f aca="false">IF($D$25=1,MAX(0,SUM(Model!$J34:AO34)+SUM(Model!$J81:AO81)),0)</f>
        <v>0</v>
      </c>
      <c r="AP81" s="1" t="n">
        <f aca="false">IF($D$25=1,MAX(0,SUM(Model!$J34:AP34)+SUM(Model!$J81:AP81)),0)</f>
        <v>0</v>
      </c>
      <c r="AQ81" s="1" t="n">
        <f aca="false">IF($D$25=1,MAX(0,SUM(Model!$J34:AQ34)+SUM(Model!$J81:AQ81)),0)</f>
        <v>0</v>
      </c>
      <c r="AR81" s="1" t="n">
        <f aca="false">IF($D$25=1,MAX(0,SUM(Model!$J34:AR34)+SUM(Model!$J81:AR81)),0)</f>
        <v>0</v>
      </c>
      <c r="AS81" s="1" t="n">
        <f aca="false">IF($D$25=1,MAX(0,SUM(Model!$J34:AS34)+SUM(Model!$J81:AS81)),0)</f>
        <v>0</v>
      </c>
      <c r="AT81" s="1" t="n">
        <f aca="false">IF($D$25=1,MAX(0,SUM(Model!$J34:AT34)+SUM(Model!$J81:AT81)),0)</f>
        <v>0</v>
      </c>
      <c r="AU81" s="1" t="n">
        <f aca="false">IF($D$25=1,MAX(0,SUM(Model!$J34:AU34)+SUM(Model!$J81:AU81)),0)</f>
        <v>0</v>
      </c>
      <c r="AV81" s="1" t="n">
        <f aca="false">IF($D$25=1,MAX(0,SUM(Model!$J34:AV34)+SUM(Model!$J81:AV81)),0)</f>
        <v>0</v>
      </c>
      <c r="AW81" s="1" t="n">
        <f aca="false">IF($D$25=1,MAX(0,SUM(Model!$J34:AW34)+SUM(Model!$J81:AW81)),0)</f>
        <v>0</v>
      </c>
      <c r="AX81" s="1" t="n">
        <f aca="false">IF($D$25=1,MAX(0,SUM(Model!$J34:AX34)+SUM(Model!$J81:AX81)),0)</f>
        <v>0</v>
      </c>
      <c r="AY81" s="1" t="n">
        <f aca="false">IF($D$25=1,MAX(0,SUM(Model!$J34:AY34)+SUM(Model!$J81:AY81)),0)</f>
        <v>0</v>
      </c>
      <c r="AZ81" s="1" t="n">
        <f aca="false">IF($D$25=1,MAX(0,SUM(Model!$J34:AZ34)+SUM(Model!$J81:AZ81)),0)</f>
        <v>0</v>
      </c>
      <c r="BA81" s="1" t="n">
        <f aca="false">IF($D$25=1,MAX(0,SUM(Model!$J34:BA34)+SUM(Model!$J81:BA81)),0)</f>
        <v>0</v>
      </c>
      <c r="BB81" s="1" t="n">
        <f aca="false">IF($D$25=1,MAX(0,SUM(Model!$J34:BB34)+SUM(Model!$J81:BB81)),0)</f>
        <v>0</v>
      </c>
      <c r="BC81" s="1" t="n">
        <f aca="false">IF($D$25=1,MAX(0,SUM(Model!$J34:BC34)+SUM(Model!$J81:BC81)),0)</f>
        <v>0</v>
      </c>
      <c r="BD81" s="1" t="n">
        <f aca="false">IF($D$25=1,MAX(0,SUM(Model!$J34:BD34)+SUM(Model!$J81:BD81)),0)</f>
        <v>0</v>
      </c>
      <c r="BE81" s="1" t="n">
        <f aca="false">IF($D$25=1,MAX(0,SUM(Model!$J34:BE34)+SUM(Model!$J81:BE81)),0)</f>
        <v>0</v>
      </c>
      <c r="BF81" s="1" t="n">
        <f aca="false">IF($D$25=1,MAX(0,SUM(Model!$J34:BF34)+SUM(Model!$J81:BF81)),0)</f>
        <v>0</v>
      </c>
      <c r="BG81" s="1" t="n">
        <f aca="false">IF($D$25=1,MAX(0,SUM(Model!$J34:BG34)+SUM(Model!$J81:BG81)),0)</f>
        <v>0</v>
      </c>
      <c r="BH81" s="1" t="n">
        <f aca="false">IF($D$25=1,MAX(0,SUM(Model!$J34:BH34)+SUM(Model!$J81:BH81)),0)</f>
        <v>0</v>
      </c>
      <c r="BI81" s="1" t="n">
        <f aca="false">IF($D$25=1,MAX(0,SUM(Model!$J34:BI34)+SUM(Model!$J81:BI81)),0)</f>
        <v>0</v>
      </c>
      <c r="BJ81" s="1" t="n">
        <f aca="false">IF($D$25=1,MAX(0,SUM(Model!$J34:BJ34)+SUM(Model!$J81:BJ81)),0)</f>
        <v>0</v>
      </c>
      <c r="BK81" s="1" t="n">
        <f aca="false">IF($D$25=1,MAX(0,SUM(Model!$J34:BK34)+SUM(Model!$J81:BK81)),0)</f>
        <v>0</v>
      </c>
      <c r="BL81" s="1" t="n">
        <f aca="false">IF($D$25=1,MAX(0,SUM(Model!$J34:BL34)+SUM(Model!$J81:BL81)),0)</f>
        <v>0</v>
      </c>
      <c r="BM81" s="1" t="n">
        <f aca="false">IF($D$25=1,MAX(0,SUM(Model!$J34:BM34)+SUM(Model!$J81:BM81)),0)</f>
        <v>0</v>
      </c>
      <c r="BN81" s="1" t="n">
        <f aca="false">IF($D$25=1,MAX(0,SUM(Model!$J34:BN34)+SUM(Model!$J81:BN81)),0)</f>
        <v>0</v>
      </c>
      <c r="BO81" s="1" t="n">
        <f aca="false">IF($D$25=1,MAX(0,SUM(Model!$J34:BO34)+SUM(Model!$J81:BO81)),0)</f>
        <v>0</v>
      </c>
      <c r="BP81" s="1" t="n">
        <f aca="false">IF($D$25=1,MAX(0,SUM(Model!$J34:BP34)+SUM(Model!$J81:BP81)),0)</f>
        <v>0</v>
      </c>
      <c r="BQ81" s="1" t="n">
        <f aca="false">IF($D$25=1,MAX(0,SUM(Model!$J34:BQ34)+SUM(Model!$J81:BQ81)),0)</f>
        <v>0</v>
      </c>
      <c r="BR81" s="1" t="n">
        <f aca="false">IF($D$25=1,MAX(0,SUM(Model!$J34:BR34)+SUM(Model!$J81:BR81)),0)</f>
        <v>0</v>
      </c>
      <c r="BS81" s="1" t="n">
        <f aca="false">IF($D$25=1,MAX(0,SUM(Model!$J34:BS34)+SUM(Model!$J81:BS81)),0)</f>
        <v>0</v>
      </c>
      <c r="BT81" s="1" t="n">
        <f aca="false">IF($D$25=1,MAX(0,SUM(Model!$J34:BT34)+SUM(Model!$J81:BT81)),0)</f>
        <v>0</v>
      </c>
      <c r="BU81" s="1" t="n">
        <f aca="false">IF($D$25=1,MAX(0,SUM(Model!$J34:BU34)+SUM(Model!$J81:BU81)),0)</f>
        <v>0</v>
      </c>
      <c r="BV81" s="1" t="n">
        <f aca="false">IF($D$25=1,MAX(0,SUM(Model!$J34:BV34)+SUM(Model!$J81:BV81)),0)</f>
        <v>0</v>
      </c>
      <c r="BW81" s="1" t="n">
        <f aca="false">IF($D$25=1,MAX(0,SUM(Model!$J34:BW34)+SUM(Model!$J81:BW81)),0)</f>
        <v>0</v>
      </c>
      <c r="BX81" s="1" t="n">
        <f aca="false">IF($D$25=1,MAX(0,SUM(Model!$J34:BX34)+SUM(Model!$J81:BX81)),0)</f>
        <v>0</v>
      </c>
      <c r="BY81" s="1" t="n">
        <f aca="false">IF($D$25=1,MAX(0,SUM(Model!$J34:BY34)+SUM(Model!$J81:BY81)),0)</f>
        <v>0</v>
      </c>
      <c r="BZ81" s="1" t="n">
        <f aca="false">IF($D$25=1,MAX(0,SUM(Model!$J34:BZ34)+SUM(Model!$J81:BZ81)),0)</f>
        <v>0</v>
      </c>
      <c r="CA81" s="1" t="n">
        <f aca="false">IF($D$25=1,MAX(0,SUM(Model!$J34:CA34)+SUM(Model!$J81:CA81)),0)</f>
        <v>0</v>
      </c>
      <c r="CB81" s="1" t="n">
        <f aca="false">IF($D$25=1,MAX(0,SUM(Model!$J34:CB34)+SUM(Model!$J81:CB81)),0)</f>
        <v>0</v>
      </c>
      <c r="CC81" s="1" t="n">
        <f aca="false">IF($D$25=1,MAX(0,SUM(Model!$J34:CC34)+SUM(Model!$J81:CC81)),0)</f>
        <v>0</v>
      </c>
      <c r="CD81" s="1" t="n">
        <f aca="false">IF($D$25=1,MAX(0,SUM(Model!$J34:CD34)+SUM(Model!$J81:CD81)),0)</f>
        <v>0</v>
      </c>
      <c r="CE81" s="1" t="n">
        <f aca="false">IF($D$25=1,MAX(0,SUM(Model!$J34:CE34)+SUM(Model!$J81:CE81)),0)</f>
        <v>0</v>
      </c>
      <c r="CF81" s="1" t="n">
        <f aca="false">IF($D$25=1,MAX(0,SUM(Model!$J34:CF34)+SUM(Model!$J81:CF81)),0)</f>
        <v>0</v>
      </c>
      <c r="CG81" s="1" t="n">
        <f aca="false">IF($D$25=1,MAX(0,SUM(Model!$J34:CG34)+SUM(Model!$J81:CG81)),0)</f>
        <v>0</v>
      </c>
      <c r="CH81" s="1" t="n">
        <f aca="false">IF($D$25=1,MAX(0,SUM(Model!$J34:CH34)+SUM(Model!$J81:CH81)),0)</f>
        <v>0</v>
      </c>
      <c r="CI81" s="1" t="n">
        <f aca="false">IF($D$25=1,MAX(0,SUM(Model!$J34:CI34)+SUM(Model!$J81:CI81)),0)</f>
        <v>0</v>
      </c>
      <c r="CJ81" s="1" t="n">
        <f aca="false">IF($D$25=1,MAX(0,SUM(Model!$J34:CJ34)+SUM(Model!$J81:CJ81)),0)</f>
        <v>0</v>
      </c>
      <c r="CK81" s="1" t="n">
        <f aca="false">IF($D$25=1,MAX(0,SUM(Model!$J34:CK34)+SUM(Model!$J81:CK81)),0)</f>
        <v>0</v>
      </c>
      <c r="CL81" s="1" t="n">
        <f aca="false">IF($D$25=1,MAX(0,SUM(Model!$J34:CL34)+SUM(Model!$J81:CL81)),0)</f>
        <v>0</v>
      </c>
      <c r="CM81" s="1" t="n">
        <f aca="false">IF($D$25=1,MAX(0,SUM(Model!$J34:CM34)+SUM(Model!$J81:CM81)),0)</f>
        <v>0</v>
      </c>
      <c r="CN81" s="1" t="n">
        <f aca="false">IF($D$25=1,MAX(0,SUM(Model!$J34:CN34)+SUM(Model!$J81:CN81)),0)</f>
        <v>0</v>
      </c>
      <c r="CO81" s="1" t="n">
        <f aca="false">IF($D$25=1,MAX(0,SUM(Model!$J34:CO34)+SUM(Model!$J81:CO81)),0)</f>
        <v>0</v>
      </c>
      <c r="CP81" s="1" t="n">
        <f aca="false">IF($D$25=1,MAX(0,SUM(Model!$J34:CP34)+SUM(Model!$J81:CP81)),0)</f>
        <v>0</v>
      </c>
      <c r="CQ81" s="1" t="n">
        <f aca="false">IF($D$25=1,MAX(0,SUM(Model!$J34:CQ34)+SUM(Model!$J81:CQ81)),0)</f>
        <v>0</v>
      </c>
      <c r="CR81" s="1" t="n">
        <f aca="false">IF($D$25=1,MAX(0,SUM(Model!$J34:CR34)+SUM(Model!$J81:CR81)),0)</f>
        <v>0</v>
      </c>
      <c r="CS81" s="1" t="n">
        <f aca="false">IF($D$25=1,MAX(0,SUM(Model!$J34:CS34)+SUM(Model!$J81:CS81)),0)</f>
        <v>0</v>
      </c>
      <c r="CT81" s="1" t="n">
        <f aca="false">IF($D$25=1,MAX(0,SUM(Model!$J34:CT34)+SUM(Model!$J81:CT81)),0)</f>
        <v>0</v>
      </c>
      <c r="CU81" s="1" t="n">
        <f aca="false">IF($D$25=1,MAX(0,SUM(Model!$J34:CU34)+SUM(Model!$J81:CU81)),0)</f>
        <v>0</v>
      </c>
      <c r="CV81" s="1" t="n">
        <f aca="false">IF($D$25=1,MAX(0,SUM(Model!$J34:CV34)+SUM(Model!$J81:CV81)),0)</f>
        <v>0</v>
      </c>
      <c r="CW81" s="1" t="n">
        <f aca="false">IF($D$25=1,MAX(0,SUM(Model!$J34:CW34)+SUM(Model!$J81:CW81)),0)</f>
        <v>0</v>
      </c>
      <c r="CX81" s="1" t="n">
        <f aca="false">IF($D$25=1,MAX(0,SUM(Model!$J34:CX34)+SUM(Model!$J81:CX81)),0)</f>
        <v>0</v>
      </c>
      <c r="CY81" s="1" t="n">
        <f aca="false">IF($D$25=1,MAX(0,SUM(Model!$J34:CY34)+SUM(Model!$J81:CY81)),0)</f>
        <v>0</v>
      </c>
      <c r="CZ81" s="1" t="n">
        <f aca="false">IF($D$25=1,MAX(0,SUM(Model!$J34:CZ34)+SUM(Model!$J81:CZ81)),0)</f>
        <v>0</v>
      </c>
      <c r="DA81" s="1" t="n">
        <f aca="false">IF($D$25=1,MAX(0,SUM(Model!$J34:DA34)+SUM(Model!$J81:DA81)),0)</f>
        <v>0</v>
      </c>
      <c r="DB81" s="1" t="n">
        <f aca="false">IF($D$25=1,MAX(0,SUM(Model!$J34:DB34)+SUM(Model!$J81:DB81)),0)</f>
        <v>0</v>
      </c>
      <c r="DC81" s="1" t="n">
        <f aca="false">IF($D$25=1,MAX(0,SUM(Model!$J34:DC34)+SUM(Model!$J81:DC81)),0)</f>
        <v>0</v>
      </c>
      <c r="DD81" s="1" t="n">
        <f aca="false">IF($D$25=1,MAX(0,SUM(Model!$J34:DD34)+SUM(Model!$J81:DD81)),0)</f>
        <v>0</v>
      </c>
      <c r="DE81" s="1" t="n">
        <f aca="false">IF($D$25=1,MAX(0,SUM(Model!$J34:DE34)+SUM(Model!$J81:DE81)),0)</f>
        <v>0</v>
      </c>
    </row>
    <row r="82" customFormat="false" ht="13.5" hidden="false" customHeight="true" outlineLevel="0" collapsed="false">
      <c r="A82" s="1" t="str">
        <f aca="false">$B$26</f>
        <v>BD-10</v>
      </c>
      <c r="B82" s="1" t="n">
        <v>0</v>
      </c>
      <c r="C82" s="1" t="n">
        <v>0</v>
      </c>
      <c r="D82" s="1" t="n">
        <v>0</v>
      </c>
      <c r="E82" s="1" t="n">
        <v>0</v>
      </c>
      <c r="F82" s="1" t="n">
        <v>0</v>
      </c>
      <c r="G82" s="1" t="n">
        <v>0</v>
      </c>
      <c r="H82" s="1" t="n">
        <v>0</v>
      </c>
      <c r="I82" s="1" t="n">
        <v>0</v>
      </c>
      <c r="J82" s="1" t="n">
        <f aca="false">IF($D$26=1,MAX(0,SUM(Model!$J35:J35)+SUM(Model!$J82:J82)),0)</f>
        <v>0</v>
      </c>
      <c r="K82" s="1" t="n">
        <f aca="false">IF($D$26=1,MAX(0,SUM(Model!$J35:K35)+SUM(Model!$J82:K82)),0)</f>
        <v>0</v>
      </c>
      <c r="L82" s="1" t="n">
        <f aca="false">IF($D$26=1,MAX(0,SUM(Model!$J35:L35)+SUM(Model!$J82:L82)),0)</f>
        <v>0</v>
      </c>
      <c r="M82" s="1" t="n">
        <f aca="false">IF($D$26=1,MAX(0,SUM(Model!$J35:M35)+SUM(Model!$J82:M82)),0)</f>
        <v>0</v>
      </c>
      <c r="N82" s="1" t="n">
        <f aca="false">IF($D$26=1,MAX(0,SUM(Model!$J35:N35)+SUM(Model!$J82:N82)),0)</f>
        <v>0</v>
      </c>
      <c r="O82" s="1" t="n">
        <f aca="false">IF($D$26=1,MAX(0,SUM(Model!$J35:O35)+SUM(Model!$J82:O82)),0)</f>
        <v>0</v>
      </c>
      <c r="P82" s="1" t="n">
        <f aca="false">IF($D$26=1,MAX(0,SUM(Model!$J35:P35)+SUM(Model!$J82:P82)),0)</f>
        <v>0</v>
      </c>
      <c r="Q82" s="1" t="n">
        <f aca="false">IF($D$26=1,MAX(0,SUM(Model!$J35:Q35)+SUM(Model!$J82:Q82)),0)</f>
        <v>0</v>
      </c>
      <c r="R82" s="1" t="n">
        <f aca="false">IF($D$26=1,MAX(0,SUM(Model!$J35:R35)+SUM(Model!$J82:R82)),0)</f>
        <v>0</v>
      </c>
      <c r="S82" s="1" t="n">
        <f aca="false">IF($D$26=1,MAX(0,SUM(Model!$J35:S35)+SUM(Model!$J82:S82)),0)</f>
        <v>0</v>
      </c>
      <c r="T82" s="1" t="n">
        <f aca="false">IF($D$26=1,MAX(0,SUM(Model!$J35:T35)+SUM(Model!$J82:T82)),0)</f>
        <v>0</v>
      </c>
      <c r="U82" s="1" t="n">
        <f aca="false">IF($D$26=1,MAX(0,SUM(Model!$J35:U35)+SUM(Model!$J82:U82)),0)</f>
        <v>0</v>
      </c>
      <c r="V82" s="1" t="n">
        <f aca="false">IF($D$26=1,MAX(0,SUM(Model!$J35:V35)+SUM(Model!$J82:V82)),0)</f>
        <v>0</v>
      </c>
      <c r="W82" s="1" t="n">
        <f aca="false">IF($D$26=1,MAX(0,SUM(Model!$J35:W35)+SUM(Model!$J82:W82)),0)</f>
        <v>0</v>
      </c>
      <c r="X82" s="1" t="n">
        <f aca="false">IF($D$26=1,MAX(0,SUM(Model!$J35:X35)+SUM(Model!$J82:X82)),0)</f>
        <v>0</v>
      </c>
      <c r="Y82" s="1" t="n">
        <f aca="false">IF($D$26=1,MAX(0,SUM(Model!$J35:Y35)+SUM(Model!$J82:Y82)),0)</f>
        <v>0</v>
      </c>
      <c r="Z82" s="1" t="n">
        <f aca="false">IF($D$26=1,MAX(0,SUM(Model!$J35:Z35)+SUM(Model!$J82:Z82)),0)</f>
        <v>0</v>
      </c>
      <c r="AA82" s="1" t="n">
        <f aca="false">IF($D$26=1,MAX(0,SUM(Model!$J35:AA35)+SUM(Model!$J82:AA82)),0)</f>
        <v>0</v>
      </c>
      <c r="AB82" s="1" t="n">
        <f aca="false">IF($D$26=1,MAX(0,SUM(Model!$J35:AB35)+SUM(Model!$J82:AB82)),0)</f>
        <v>0</v>
      </c>
      <c r="AC82" s="1" t="n">
        <f aca="false">IF($D$26=1,MAX(0,SUM(Model!$J35:AC35)+SUM(Model!$J82:AC82)),0)</f>
        <v>0</v>
      </c>
      <c r="AD82" s="1" t="n">
        <f aca="false">IF($D$26=1,MAX(0,SUM(Model!$J35:AD35)+SUM(Model!$J82:AD82)),0)</f>
        <v>0</v>
      </c>
      <c r="AE82" s="1" t="n">
        <f aca="false">IF($D$26=1,MAX(0,SUM(Model!$J35:AE35)+SUM(Model!$J82:AE82)),0)</f>
        <v>0</v>
      </c>
      <c r="AF82" s="1" t="n">
        <f aca="false">IF($D$26=1,MAX(0,SUM(Model!$J35:AF35)+SUM(Model!$J82:AF82)),0)</f>
        <v>0</v>
      </c>
      <c r="AG82" s="1" t="n">
        <f aca="false">IF($D$26=1,MAX(0,SUM(Model!$J35:AG35)+SUM(Model!$J82:AG82)),0)</f>
        <v>0</v>
      </c>
      <c r="AH82" s="1" t="n">
        <f aca="false">IF($D$26=1,MAX(0,SUM(Model!$J35:AH35)+SUM(Model!$J82:AH82)),0)</f>
        <v>0</v>
      </c>
      <c r="AI82" s="1" t="n">
        <f aca="false">IF($D$26=1,MAX(0,SUM(Model!$J35:AI35)+SUM(Model!$J82:AI82)),0)</f>
        <v>0</v>
      </c>
      <c r="AJ82" s="1" t="n">
        <f aca="false">IF($D$26=1,MAX(0,SUM(Model!$J35:AJ35)+SUM(Model!$J82:AJ82)),0)</f>
        <v>0</v>
      </c>
      <c r="AK82" s="1" t="n">
        <f aca="false">IF($D$26=1,MAX(0,SUM(Model!$J35:AK35)+SUM(Model!$J82:AK82)),0)</f>
        <v>0</v>
      </c>
      <c r="AL82" s="1" t="n">
        <f aca="false">IF($D$26=1,MAX(0,SUM(Model!$J35:AL35)+SUM(Model!$J82:AL82)),0)</f>
        <v>0</v>
      </c>
      <c r="AM82" s="1" t="n">
        <f aca="false">IF($D$26=1,MAX(0,SUM(Model!$J35:AM35)+SUM(Model!$J82:AM82)),0)</f>
        <v>0</v>
      </c>
      <c r="AN82" s="1" t="n">
        <f aca="false">IF($D$26=1,MAX(0,SUM(Model!$J35:AN35)+SUM(Model!$J82:AN82)),0)</f>
        <v>0</v>
      </c>
      <c r="AO82" s="1" t="n">
        <f aca="false">IF($D$26=1,MAX(0,SUM(Model!$J35:AO35)+SUM(Model!$J82:AO82)),0)</f>
        <v>0</v>
      </c>
      <c r="AP82" s="1" t="n">
        <f aca="false">IF($D$26=1,MAX(0,SUM(Model!$J35:AP35)+SUM(Model!$J82:AP82)),0)</f>
        <v>0</v>
      </c>
      <c r="AQ82" s="1" t="n">
        <f aca="false">IF($D$26=1,MAX(0,SUM(Model!$J35:AQ35)+SUM(Model!$J82:AQ82)),0)</f>
        <v>0</v>
      </c>
      <c r="AR82" s="1" t="n">
        <f aca="false">IF($D$26=1,MAX(0,SUM(Model!$J35:AR35)+SUM(Model!$J82:AR82)),0)</f>
        <v>0</v>
      </c>
      <c r="AS82" s="1" t="n">
        <f aca="false">IF($D$26=1,MAX(0,SUM(Model!$J35:AS35)+SUM(Model!$J82:AS82)),0)</f>
        <v>0</v>
      </c>
      <c r="AT82" s="1" t="n">
        <f aca="false">IF($D$26=1,MAX(0,SUM(Model!$J35:AT35)+SUM(Model!$J82:AT82)),0)</f>
        <v>0</v>
      </c>
      <c r="AU82" s="1" t="n">
        <f aca="false">IF($D$26=1,MAX(0,SUM(Model!$J35:AU35)+SUM(Model!$J82:AU82)),0)</f>
        <v>0</v>
      </c>
      <c r="AV82" s="1" t="n">
        <f aca="false">IF($D$26=1,MAX(0,SUM(Model!$J35:AV35)+SUM(Model!$J82:AV82)),0)</f>
        <v>0</v>
      </c>
      <c r="AW82" s="1" t="n">
        <f aca="false">IF($D$26=1,MAX(0,SUM(Model!$J35:AW35)+SUM(Model!$J82:AW82)),0)</f>
        <v>0</v>
      </c>
      <c r="AX82" s="1" t="n">
        <f aca="false">IF($D$26=1,MAX(0,SUM(Model!$J35:AX35)+SUM(Model!$J82:AX82)),0)</f>
        <v>0</v>
      </c>
      <c r="AY82" s="1" t="n">
        <f aca="false">IF($D$26=1,MAX(0,SUM(Model!$J35:AY35)+SUM(Model!$J82:AY82)),0)</f>
        <v>0</v>
      </c>
      <c r="AZ82" s="1" t="n">
        <f aca="false">IF($D$26=1,MAX(0,SUM(Model!$J35:AZ35)+SUM(Model!$J82:AZ82)),0)</f>
        <v>0</v>
      </c>
      <c r="BA82" s="1" t="n">
        <f aca="false">IF($D$26=1,MAX(0,SUM(Model!$J35:BA35)+SUM(Model!$J82:BA82)),0)</f>
        <v>0</v>
      </c>
      <c r="BB82" s="1" t="n">
        <f aca="false">IF($D$26=1,MAX(0,SUM(Model!$J35:BB35)+SUM(Model!$J82:BB82)),0)</f>
        <v>0</v>
      </c>
      <c r="BC82" s="1" t="n">
        <f aca="false">IF($D$26=1,MAX(0,SUM(Model!$J35:BC35)+SUM(Model!$J82:BC82)),0)</f>
        <v>0</v>
      </c>
      <c r="BD82" s="1" t="n">
        <f aca="false">IF($D$26=1,MAX(0,SUM(Model!$J35:BD35)+SUM(Model!$J82:BD82)),0)</f>
        <v>0</v>
      </c>
      <c r="BE82" s="1" t="n">
        <f aca="false">IF($D$26=1,MAX(0,SUM(Model!$J35:BE35)+SUM(Model!$J82:BE82)),0)</f>
        <v>0</v>
      </c>
      <c r="BF82" s="1" t="n">
        <f aca="false">IF($D$26=1,MAX(0,SUM(Model!$J35:BF35)+SUM(Model!$J82:BF82)),0)</f>
        <v>0</v>
      </c>
      <c r="BG82" s="1" t="n">
        <f aca="false">IF($D$26=1,MAX(0,SUM(Model!$J35:BG35)+SUM(Model!$J82:BG82)),0)</f>
        <v>0</v>
      </c>
      <c r="BH82" s="1" t="n">
        <f aca="false">IF($D$26=1,MAX(0,SUM(Model!$J35:BH35)+SUM(Model!$J82:BH82)),0)</f>
        <v>0</v>
      </c>
      <c r="BI82" s="1" t="n">
        <f aca="false">IF($D$26=1,MAX(0,SUM(Model!$J35:BI35)+SUM(Model!$J82:BI82)),0)</f>
        <v>0</v>
      </c>
      <c r="BJ82" s="1" t="n">
        <f aca="false">IF($D$26=1,MAX(0,SUM(Model!$J35:BJ35)+SUM(Model!$J82:BJ82)),0)</f>
        <v>0</v>
      </c>
      <c r="BK82" s="1" t="n">
        <f aca="false">IF($D$26=1,MAX(0,SUM(Model!$J35:BK35)+SUM(Model!$J82:BK82)),0)</f>
        <v>0</v>
      </c>
      <c r="BL82" s="1" t="n">
        <f aca="false">IF($D$26=1,MAX(0,SUM(Model!$J35:BL35)+SUM(Model!$J82:BL82)),0)</f>
        <v>0</v>
      </c>
      <c r="BM82" s="1" t="n">
        <f aca="false">IF($D$26=1,MAX(0,SUM(Model!$J35:BM35)+SUM(Model!$J82:BM82)),0)</f>
        <v>0</v>
      </c>
      <c r="BN82" s="1" t="n">
        <f aca="false">IF($D$26=1,MAX(0,SUM(Model!$J35:BN35)+SUM(Model!$J82:BN82)),0)</f>
        <v>0</v>
      </c>
      <c r="BO82" s="1" t="n">
        <f aca="false">IF($D$26=1,MAX(0,SUM(Model!$J35:BO35)+SUM(Model!$J82:BO82)),0)</f>
        <v>0</v>
      </c>
      <c r="BP82" s="1" t="n">
        <f aca="false">IF($D$26=1,MAX(0,SUM(Model!$J35:BP35)+SUM(Model!$J82:BP82)),0)</f>
        <v>0</v>
      </c>
      <c r="BQ82" s="1" t="n">
        <f aca="false">IF($D$26=1,MAX(0,SUM(Model!$J35:BQ35)+SUM(Model!$J82:BQ82)),0)</f>
        <v>0</v>
      </c>
      <c r="BR82" s="1" t="n">
        <f aca="false">IF($D$26=1,MAX(0,SUM(Model!$J35:BR35)+SUM(Model!$J82:BR82)),0)</f>
        <v>0</v>
      </c>
      <c r="BS82" s="1" t="n">
        <f aca="false">IF($D$26=1,MAX(0,SUM(Model!$J35:BS35)+SUM(Model!$J82:BS82)),0)</f>
        <v>0</v>
      </c>
      <c r="BT82" s="1" t="n">
        <f aca="false">IF($D$26=1,MAX(0,SUM(Model!$J35:BT35)+SUM(Model!$J82:BT82)),0)</f>
        <v>0</v>
      </c>
      <c r="BU82" s="1" t="n">
        <f aca="false">IF($D$26=1,MAX(0,SUM(Model!$J35:BU35)+SUM(Model!$J82:BU82)),0)</f>
        <v>0</v>
      </c>
      <c r="BV82" s="1" t="n">
        <f aca="false">IF($D$26=1,MAX(0,SUM(Model!$J35:BV35)+SUM(Model!$J82:BV82)),0)</f>
        <v>0</v>
      </c>
      <c r="BW82" s="1" t="n">
        <f aca="false">IF($D$26=1,MAX(0,SUM(Model!$J35:BW35)+SUM(Model!$J82:BW82)),0)</f>
        <v>0</v>
      </c>
      <c r="BX82" s="1" t="n">
        <f aca="false">IF($D$26=1,MAX(0,SUM(Model!$J35:BX35)+SUM(Model!$J82:BX82)),0)</f>
        <v>0</v>
      </c>
      <c r="BY82" s="1" t="n">
        <f aca="false">IF($D$26=1,MAX(0,SUM(Model!$J35:BY35)+SUM(Model!$J82:BY82)),0)</f>
        <v>0</v>
      </c>
      <c r="BZ82" s="1" t="n">
        <f aca="false">IF($D$26=1,MAX(0,SUM(Model!$J35:BZ35)+SUM(Model!$J82:BZ82)),0)</f>
        <v>0</v>
      </c>
      <c r="CA82" s="1" t="n">
        <f aca="false">IF($D$26=1,MAX(0,SUM(Model!$J35:CA35)+SUM(Model!$J82:CA82)),0)</f>
        <v>0</v>
      </c>
      <c r="CB82" s="1" t="n">
        <f aca="false">IF($D$26=1,MAX(0,SUM(Model!$J35:CB35)+SUM(Model!$J82:CB82)),0)</f>
        <v>0</v>
      </c>
      <c r="CC82" s="1" t="n">
        <f aca="false">IF($D$26=1,MAX(0,SUM(Model!$J35:CC35)+SUM(Model!$J82:CC82)),0)</f>
        <v>0</v>
      </c>
      <c r="CD82" s="1" t="n">
        <f aca="false">IF($D$26=1,MAX(0,SUM(Model!$J35:CD35)+SUM(Model!$J82:CD82)),0)</f>
        <v>0</v>
      </c>
      <c r="CE82" s="1" t="n">
        <f aca="false">IF($D$26=1,MAX(0,SUM(Model!$J35:CE35)+SUM(Model!$J82:CE82)),0)</f>
        <v>0</v>
      </c>
      <c r="CF82" s="1" t="n">
        <f aca="false">IF($D$26=1,MAX(0,SUM(Model!$J35:CF35)+SUM(Model!$J82:CF82)),0)</f>
        <v>0</v>
      </c>
      <c r="CG82" s="1" t="n">
        <f aca="false">IF($D$26=1,MAX(0,SUM(Model!$J35:CG35)+SUM(Model!$J82:CG82)),0)</f>
        <v>0</v>
      </c>
      <c r="CH82" s="1" t="n">
        <f aca="false">IF($D$26=1,MAX(0,SUM(Model!$J35:CH35)+SUM(Model!$J82:CH82)),0)</f>
        <v>0</v>
      </c>
      <c r="CI82" s="1" t="n">
        <f aca="false">IF($D$26=1,MAX(0,SUM(Model!$J35:CI35)+SUM(Model!$J82:CI82)),0)</f>
        <v>0</v>
      </c>
      <c r="CJ82" s="1" t="n">
        <f aca="false">IF($D$26=1,MAX(0,SUM(Model!$J35:CJ35)+SUM(Model!$J82:CJ82)),0)</f>
        <v>0</v>
      </c>
      <c r="CK82" s="1" t="n">
        <f aca="false">IF($D$26=1,MAX(0,SUM(Model!$J35:CK35)+SUM(Model!$J82:CK82)),0)</f>
        <v>0</v>
      </c>
      <c r="CL82" s="1" t="n">
        <f aca="false">IF($D$26=1,MAX(0,SUM(Model!$J35:CL35)+SUM(Model!$J82:CL82)),0)</f>
        <v>0</v>
      </c>
      <c r="CM82" s="1" t="n">
        <f aca="false">IF($D$26=1,MAX(0,SUM(Model!$J35:CM35)+SUM(Model!$J82:CM82)),0)</f>
        <v>0</v>
      </c>
      <c r="CN82" s="1" t="n">
        <f aca="false">IF($D$26=1,MAX(0,SUM(Model!$J35:CN35)+SUM(Model!$J82:CN82)),0)</f>
        <v>0</v>
      </c>
      <c r="CO82" s="1" t="n">
        <f aca="false">IF($D$26=1,MAX(0,SUM(Model!$J35:CO35)+SUM(Model!$J82:CO82)),0)</f>
        <v>0</v>
      </c>
      <c r="CP82" s="1" t="n">
        <f aca="false">IF($D$26=1,MAX(0,SUM(Model!$J35:CP35)+SUM(Model!$J82:CP82)),0)</f>
        <v>0</v>
      </c>
      <c r="CQ82" s="1" t="n">
        <f aca="false">IF($D$26=1,MAX(0,SUM(Model!$J35:CQ35)+SUM(Model!$J82:CQ82)),0)</f>
        <v>0</v>
      </c>
      <c r="CR82" s="1" t="n">
        <f aca="false">IF($D$26=1,MAX(0,SUM(Model!$J35:CR35)+SUM(Model!$J82:CR82)),0)</f>
        <v>0</v>
      </c>
      <c r="CS82" s="1" t="n">
        <f aca="false">IF($D$26=1,MAX(0,SUM(Model!$J35:CS35)+SUM(Model!$J82:CS82)),0)</f>
        <v>0</v>
      </c>
      <c r="CT82" s="1" t="n">
        <f aca="false">IF($D$26=1,MAX(0,SUM(Model!$J35:CT35)+SUM(Model!$J82:CT82)),0)</f>
        <v>0</v>
      </c>
      <c r="CU82" s="1" t="n">
        <f aca="false">IF($D$26=1,MAX(0,SUM(Model!$J35:CU35)+SUM(Model!$J82:CU82)),0)</f>
        <v>0</v>
      </c>
      <c r="CV82" s="1" t="n">
        <f aca="false">IF($D$26=1,MAX(0,SUM(Model!$J35:CV35)+SUM(Model!$J82:CV82)),0)</f>
        <v>0</v>
      </c>
      <c r="CW82" s="1" t="n">
        <f aca="false">IF($D$26=1,MAX(0,SUM(Model!$J35:CW35)+SUM(Model!$J82:CW82)),0)</f>
        <v>0</v>
      </c>
      <c r="CX82" s="1" t="n">
        <f aca="false">IF($D$26=1,MAX(0,SUM(Model!$J35:CX35)+SUM(Model!$J82:CX82)),0)</f>
        <v>0</v>
      </c>
      <c r="CY82" s="1" t="n">
        <f aca="false">IF($D$26=1,MAX(0,SUM(Model!$J35:CY35)+SUM(Model!$J82:CY82)),0)</f>
        <v>0</v>
      </c>
      <c r="CZ82" s="1" t="n">
        <f aca="false">IF($D$26=1,MAX(0,SUM(Model!$J35:CZ35)+SUM(Model!$J82:CZ82)),0)</f>
        <v>0</v>
      </c>
      <c r="DA82" s="1" t="n">
        <f aca="false">IF($D$26=1,MAX(0,SUM(Model!$J35:DA35)+SUM(Model!$J82:DA82)),0)</f>
        <v>0</v>
      </c>
      <c r="DB82" s="1" t="n">
        <f aca="false">IF($D$26=1,MAX(0,SUM(Model!$J35:DB35)+SUM(Model!$J82:DB82)),0)</f>
        <v>0</v>
      </c>
      <c r="DC82" s="1" t="n">
        <f aca="false">IF($D$26=1,MAX(0,SUM(Model!$J35:DC35)+SUM(Model!$J82:DC82)),0)</f>
        <v>0</v>
      </c>
      <c r="DD82" s="1" t="n">
        <f aca="false">IF($D$26=1,MAX(0,SUM(Model!$J35:DD35)+SUM(Model!$J82:DD82)),0)</f>
        <v>0</v>
      </c>
      <c r="DE82" s="1" t="n">
        <f aca="false">IF($D$26=1,MAX(0,SUM(Model!$J35:DE35)+SUM(Model!$J82:DE82)),0)</f>
        <v>0</v>
      </c>
    </row>
    <row r="83" customFormat="false" ht="13.5" hidden="false" customHeight="true" outlineLevel="0" collapsed="false">
      <c r="A83" s="1" t="str">
        <f aca="false">$B$27</f>
        <v>BD-11</v>
      </c>
      <c r="B83" s="1" t="n">
        <v>0</v>
      </c>
      <c r="C83" s="1" t="n">
        <v>0</v>
      </c>
      <c r="D83" s="1" t="n">
        <v>0</v>
      </c>
      <c r="E83" s="1" t="n">
        <v>0</v>
      </c>
      <c r="F83" s="1" t="n">
        <v>0</v>
      </c>
      <c r="G83" s="1" t="n">
        <v>0</v>
      </c>
      <c r="H83" s="1" t="n">
        <v>0</v>
      </c>
      <c r="I83" s="1" t="n">
        <v>0</v>
      </c>
      <c r="J83" s="1" t="n">
        <f aca="false">IF($D$27=1,MAX(0,SUM(Model!$J36:J36)+SUM(Model!$J83:J83)),0)</f>
        <v>0</v>
      </c>
      <c r="K83" s="1" t="n">
        <f aca="false">IF($D$27=1,MAX(0,SUM(Model!$J36:K36)+SUM(Model!$J83:K83)),0)</f>
        <v>0</v>
      </c>
      <c r="L83" s="1" t="n">
        <f aca="false">IF($D$27=1,MAX(0,SUM(Model!$J36:L36)+SUM(Model!$J83:L83)),0)</f>
        <v>0</v>
      </c>
      <c r="M83" s="1" t="n">
        <f aca="false">IF($D$27=1,MAX(0,SUM(Model!$J36:M36)+SUM(Model!$J83:M83)),0)</f>
        <v>0</v>
      </c>
      <c r="N83" s="1" t="n">
        <f aca="false">IF($D$27=1,MAX(0,SUM(Model!$J36:N36)+SUM(Model!$J83:N83)),0)</f>
        <v>0</v>
      </c>
      <c r="O83" s="1" t="n">
        <f aca="false">IF($D$27=1,MAX(0,SUM(Model!$J36:O36)+SUM(Model!$J83:O83)),0)</f>
        <v>0</v>
      </c>
      <c r="P83" s="1" t="n">
        <f aca="false">IF($D$27=1,MAX(0,SUM(Model!$J36:P36)+SUM(Model!$J83:P83)),0)</f>
        <v>0</v>
      </c>
      <c r="Q83" s="1" t="n">
        <f aca="false">IF($D$27=1,MAX(0,SUM(Model!$J36:Q36)+SUM(Model!$J83:Q83)),0)</f>
        <v>0</v>
      </c>
      <c r="R83" s="1" t="n">
        <f aca="false">IF($D$27=1,MAX(0,SUM(Model!$J36:R36)+SUM(Model!$J83:R83)),0)</f>
        <v>0</v>
      </c>
      <c r="S83" s="1" t="n">
        <f aca="false">IF($D$27=1,MAX(0,SUM(Model!$J36:S36)+SUM(Model!$J83:S83)),0)</f>
        <v>0</v>
      </c>
      <c r="T83" s="1" t="n">
        <f aca="false">IF($D$27=1,MAX(0,SUM(Model!$J36:T36)+SUM(Model!$J83:T83)),0)</f>
        <v>0</v>
      </c>
      <c r="U83" s="1" t="n">
        <f aca="false">IF($D$27=1,MAX(0,SUM(Model!$J36:U36)+SUM(Model!$J83:U83)),0)</f>
        <v>0</v>
      </c>
      <c r="V83" s="1" t="n">
        <f aca="false">IF($D$27=1,MAX(0,SUM(Model!$J36:V36)+SUM(Model!$J83:V83)),0)</f>
        <v>0</v>
      </c>
      <c r="W83" s="1" t="n">
        <f aca="false">IF($D$27=1,MAX(0,SUM(Model!$J36:W36)+SUM(Model!$J83:W83)),0)</f>
        <v>0</v>
      </c>
      <c r="X83" s="1" t="n">
        <f aca="false">IF($D$27=1,MAX(0,SUM(Model!$J36:X36)+SUM(Model!$J83:X83)),0)</f>
        <v>0</v>
      </c>
      <c r="Y83" s="1" t="n">
        <f aca="false">IF($D$27=1,MAX(0,SUM(Model!$J36:Y36)+SUM(Model!$J83:Y83)),0)</f>
        <v>0</v>
      </c>
      <c r="Z83" s="1" t="n">
        <f aca="false">IF($D$27=1,MAX(0,SUM(Model!$J36:Z36)+SUM(Model!$J83:Z83)),0)</f>
        <v>0</v>
      </c>
      <c r="AA83" s="1" t="n">
        <f aca="false">IF($D$27=1,MAX(0,SUM(Model!$J36:AA36)+SUM(Model!$J83:AA83)),0)</f>
        <v>0</v>
      </c>
      <c r="AB83" s="1" t="n">
        <f aca="false">IF($D$27=1,MAX(0,SUM(Model!$J36:AB36)+SUM(Model!$J83:AB83)),0)</f>
        <v>0</v>
      </c>
      <c r="AC83" s="1" t="n">
        <f aca="false">IF($D$27=1,MAX(0,SUM(Model!$J36:AC36)+SUM(Model!$J83:AC83)),0)</f>
        <v>0</v>
      </c>
      <c r="AD83" s="1" t="n">
        <f aca="false">IF($D$27=1,MAX(0,SUM(Model!$J36:AD36)+SUM(Model!$J83:AD83)),0)</f>
        <v>0</v>
      </c>
      <c r="AE83" s="1" t="n">
        <f aca="false">IF($D$27=1,MAX(0,SUM(Model!$J36:AE36)+SUM(Model!$J83:AE83)),0)</f>
        <v>0</v>
      </c>
      <c r="AF83" s="1" t="n">
        <f aca="false">IF($D$27=1,MAX(0,SUM(Model!$J36:AF36)+SUM(Model!$J83:AF83)),0)</f>
        <v>0</v>
      </c>
      <c r="AG83" s="1" t="n">
        <f aca="false">IF($D$27=1,MAX(0,SUM(Model!$J36:AG36)+SUM(Model!$J83:AG83)),0)</f>
        <v>0</v>
      </c>
      <c r="AH83" s="1" t="n">
        <f aca="false">IF($D$27=1,MAX(0,SUM(Model!$J36:AH36)+SUM(Model!$J83:AH83)),0)</f>
        <v>0</v>
      </c>
      <c r="AI83" s="1" t="n">
        <f aca="false">IF($D$27=1,MAX(0,SUM(Model!$J36:AI36)+SUM(Model!$J83:AI83)),0)</f>
        <v>0</v>
      </c>
      <c r="AJ83" s="1" t="n">
        <f aca="false">IF($D$27=1,MAX(0,SUM(Model!$J36:AJ36)+SUM(Model!$J83:AJ83)),0)</f>
        <v>0</v>
      </c>
      <c r="AK83" s="1" t="n">
        <f aca="false">IF($D$27=1,MAX(0,SUM(Model!$J36:AK36)+SUM(Model!$J83:AK83)),0)</f>
        <v>0</v>
      </c>
      <c r="AL83" s="1" t="n">
        <f aca="false">IF($D$27=1,MAX(0,SUM(Model!$J36:AL36)+SUM(Model!$J83:AL83)),0)</f>
        <v>0</v>
      </c>
      <c r="AM83" s="1" t="n">
        <f aca="false">IF($D$27=1,MAX(0,SUM(Model!$J36:AM36)+SUM(Model!$J83:AM83)),0)</f>
        <v>0</v>
      </c>
      <c r="AN83" s="1" t="n">
        <f aca="false">IF($D$27=1,MAX(0,SUM(Model!$J36:AN36)+SUM(Model!$J83:AN83)),0)</f>
        <v>0</v>
      </c>
      <c r="AO83" s="1" t="n">
        <f aca="false">IF($D$27=1,MAX(0,SUM(Model!$J36:AO36)+SUM(Model!$J83:AO83)),0)</f>
        <v>0</v>
      </c>
      <c r="AP83" s="1" t="n">
        <f aca="false">IF($D$27=1,MAX(0,SUM(Model!$J36:AP36)+SUM(Model!$J83:AP83)),0)</f>
        <v>0</v>
      </c>
      <c r="AQ83" s="1" t="n">
        <f aca="false">IF($D$27=1,MAX(0,SUM(Model!$J36:AQ36)+SUM(Model!$J83:AQ83)),0)</f>
        <v>0</v>
      </c>
      <c r="AR83" s="1" t="n">
        <f aca="false">IF($D$27=1,MAX(0,SUM(Model!$J36:AR36)+SUM(Model!$J83:AR83)),0)</f>
        <v>0</v>
      </c>
      <c r="AS83" s="1" t="n">
        <f aca="false">IF($D$27=1,MAX(0,SUM(Model!$J36:AS36)+SUM(Model!$J83:AS83)),0)</f>
        <v>0</v>
      </c>
      <c r="AT83" s="1" t="n">
        <f aca="false">IF($D$27=1,MAX(0,SUM(Model!$J36:AT36)+SUM(Model!$J83:AT83)),0)</f>
        <v>0</v>
      </c>
      <c r="AU83" s="1" t="n">
        <f aca="false">IF($D$27=1,MAX(0,SUM(Model!$J36:AU36)+SUM(Model!$J83:AU83)),0)</f>
        <v>0</v>
      </c>
      <c r="AV83" s="1" t="n">
        <f aca="false">IF($D$27=1,MAX(0,SUM(Model!$J36:AV36)+SUM(Model!$J83:AV83)),0)</f>
        <v>0</v>
      </c>
      <c r="AW83" s="1" t="n">
        <f aca="false">IF($D$27=1,MAX(0,SUM(Model!$J36:AW36)+SUM(Model!$J83:AW83)),0)</f>
        <v>0</v>
      </c>
      <c r="AX83" s="1" t="n">
        <f aca="false">IF($D$27=1,MAX(0,SUM(Model!$J36:AX36)+SUM(Model!$J83:AX83)),0)</f>
        <v>0</v>
      </c>
      <c r="AY83" s="1" t="n">
        <f aca="false">IF($D$27=1,MAX(0,SUM(Model!$J36:AY36)+SUM(Model!$J83:AY83)),0)</f>
        <v>0</v>
      </c>
      <c r="AZ83" s="1" t="n">
        <f aca="false">IF($D$27=1,MAX(0,SUM(Model!$J36:AZ36)+SUM(Model!$J83:AZ83)),0)</f>
        <v>0</v>
      </c>
      <c r="BA83" s="1" t="n">
        <f aca="false">IF($D$27=1,MAX(0,SUM(Model!$J36:BA36)+SUM(Model!$J83:BA83)),0)</f>
        <v>0</v>
      </c>
      <c r="BB83" s="1" t="n">
        <f aca="false">IF($D$27=1,MAX(0,SUM(Model!$J36:BB36)+SUM(Model!$J83:BB83)),0)</f>
        <v>0</v>
      </c>
      <c r="BC83" s="1" t="n">
        <f aca="false">IF($D$27=1,MAX(0,SUM(Model!$J36:BC36)+SUM(Model!$J83:BC83)),0)</f>
        <v>0</v>
      </c>
      <c r="BD83" s="1" t="n">
        <f aca="false">IF($D$27=1,MAX(0,SUM(Model!$J36:BD36)+SUM(Model!$J83:BD83)),0)</f>
        <v>0</v>
      </c>
      <c r="BE83" s="1" t="n">
        <f aca="false">IF($D$27=1,MAX(0,SUM(Model!$J36:BE36)+SUM(Model!$J83:BE83)),0)</f>
        <v>0</v>
      </c>
      <c r="BF83" s="1" t="n">
        <f aca="false">IF($D$27=1,MAX(0,SUM(Model!$J36:BF36)+SUM(Model!$J83:BF83)),0)</f>
        <v>0</v>
      </c>
      <c r="BG83" s="1" t="n">
        <f aca="false">IF($D$27=1,MAX(0,SUM(Model!$J36:BG36)+SUM(Model!$J83:BG83)),0)</f>
        <v>0</v>
      </c>
      <c r="BH83" s="1" t="n">
        <f aca="false">IF($D$27=1,MAX(0,SUM(Model!$J36:BH36)+SUM(Model!$J83:BH83)),0)</f>
        <v>0</v>
      </c>
      <c r="BI83" s="1" t="n">
        <f aca="false">IF($D$27=1,MAX(0,SUM(Model!$J36:BI36)+SUM(Model!$J83:BI83)),0)</f>
        <v>0</v>
      </c>
      <c r="BJ83" s="1" t="n">
        <f aca="false">IF($D$27=1,MAX(0,SUM(Model!$J36:BJ36)+SUM(Model!$J83:BJ83)),0)</f>
        <v>0</v>
      </c>
      <c r="BK83" s="1" t="n">
        <f aca="false">IF($D$27=1,MAX(0,SUM(Model!$J36:BK36)+SUM(Model!$J83:BK83)),0)</f>
        <v>0</v>
      </c>
      <c r="BL83" s="1" t="n">
        <f aca="false">IF($D$27=1,MAX(0,SUM(Model!$J36:BL36)+SUM(Model!$J83:BL83)),0)</f>
        <v>0</v>
      </c>
      <c r="BM83" s="1" t="n">
        <f aca="false">IF($D$27=1,MAX(0,SUM(Model!$J36:BM36)+SUM(Model!$J83:BM83)),0)</f>
        <v>0</v>
      </c>
      <c r="BN83" s="1" t="n">
        <f aca="false">IF($D$27=1,MAX(0,SUM(Model!$J36:BN36)+SUM(Model!$J83:BN83)),0)</f>
        <v>0</v>
      </c>
      <c r="BO83" s="1" t="n">
        <f aca="false">IF($D$27=1,MAX(0,SUM(Model!$J36:BO36)+SUM(Model!$J83:BO83)),0)</f>
        <v>0</v>
      </c>
      <c r="BP83" s="1" t="n">
        <f aca="false">IF($D$27=1,MAX(0,SUM(Model!$J36:BP36)+SUM(Model!$J83:BP83)),0)</f>
        <v>0</v>
      </c>
      <c r="BQ83" s="1" t="n">
        <f aca="false">IF($D$27=1,MAX(0,SUM(Model!$J36:BQ36)+SUM(Model!$J83:BQ83)),0)</f>
        <v>0</v>
      </c>
      <c r="BR83" s="1" t="n">
        <f aca="false">IF($D$27=1,MAX(0,SUM(Model!$J36:BR36)+SUM(Model!$J83:BR83)),0)</f>
        <v>0</v>
      </c>
      <c r="BS83" s="1" t="n">
        <f aca="false">IF($D$27=1,MAX(0,SUM(Model!$J36:BS36)+SUM(Model!$J83:BS83)),0)</f>
        <v>0</v>
      </c>
      <c r="BT83" s="1" t="n">
        <f aca="false">IF($D$27=1,MAX(0,SUM(Model!$J36:BT36)+SUM(Model!$J83:BT83)),0)</f>
        <v>0</v>
      </c>
      <c r="BU83" s="1" t="n">
        <f aca="false">IF($D$27=1,MAX(0,SUM(Model!$J36:BU36)+SUM(Model!$J83:BU83)),0)</f>
        <v>0</v>
      </c>
      <c r="BV83" s="1" t="n">
        <f aca="false">IF($D$27=1,MAX(0,SUM(Model!$J36:BV36)+SUM(Model!$J83:BV83)),0)</f>
        <v>0</v>
      </c>
      <c r="BW83" s="1" t="n">
        <f aca="false">IF($D$27=1,MAX(0,SUM(Model!$J36:BW36)+SUM(Model!$J83:BW83)),0)</f>
        <v>0</v>
      </c>
      <c r="BX83" s="1" t="n">
        <f aca="false">IF($D$27=1,MAX(0,SUM(Model!$J36:BX36)+SUM(Model!$J83:BX83)),0)</f>
        <v>0</v>
      </c>
      <c r="BY83" s="1" t="n">
        <f aca="false">IF($D$27=1,MAX(0,SUM(Model!$J36:BY36)+SUM(Model!$J83:BY83)),0)</f>
        <v>0</v>
      </c>
      <c r="BZ83" s="1" t="n">
        <f aca="false">IF($D$27=1,MAX(0,SUM(Model!$J36:BZ36)+SUM(Model!$J83:BZ83)),0)</f>
        <v>0</v>
      </c>
      <c r="CA83" s="1" t="n">
        <f aca="false">IF($D$27=1,MAX(0,SUM(Model!$J36:CA36)+SUM(Model!$J83:CA83)),0)</f>
        <v>0</v>
      </c>
      <c r="CB83" s="1" t="n">
        <f aca="false">IF($D$27=1,MAX(0,SUM(Model!$J36:CB36)+SUM(Model!$J83:CB83)),0)</f>
        <v>0</v>
      </c>
      <c r="CC83" s="1" t="n">
        <f aca="false">IF($D$27=1,MAX(0,SUM(Model!$J36:CC36)+SUM(Model!$J83:CC83)),0)</f>
        <v>0</v>
      </c>
      <c r="CD83" s="1" t="n">
        <f aca="false">IF($D$27=1,MAX(0,SUM(Model!$J36:CD36)+SUM(Model!$J83:CD83)),0)</f>
        <v>0</v>
      </c>
      <c r="CE83" s="1" t="n">
        <f aca="false">IF($D$27=1,MAX(0,SUM(Model!$J36:CE36)+SUM(Model!$J83:CE83)),0)</f>
        <v>0</v>
      </c>
      <c r="CF83" s="1" t="n">
        <f aca="false">IF($D$27=1,MAX(0,SUM(Model!$J36:CF36)+SUM(Model!$J83:CF83)),0)</f>
        <v>0</v>
      </c>
      <c r="CG83" s="1" t="n">
        <f aca="false">IF($D$27=1,MAX(0,SUM(Model!$J36:CG36)+SUM(Model!$J83:CG83)),0)</f>
        <v>0</v>
      </c>
      <c r="CH83" s="1" t="n">
        <f aca="false">IF($D$27=1,MAX(0,SUM(Model!$J36:CH36)+SUM(Model!$J83:CH83)),0)</f>
        <v>0</v>
      </c>
      <c r="CI83" s="1" t="n">
        <f aca="false">IF($D$27=1,MAX(0,SUM(Model!$J36:CI36)+SUM(Model!$J83:CI83)),0)</f>
        <v>0</v>
      </c>
      <c r="CJ83" s="1" t="n">
        <f aca="false">IF($D$27=1,MAX(0,SUM(Model!$J36:CJ36)+SUM(Model!$J83:CJ83)),0)</f>
        <v>0</v>
      </c>
      <c r="CK83" s="1" t="n">
        <f aca="false">IF($D$27=1,MAX(0,SUM(Model!$J36:CK36)+SUM(Model!$J83:CK83)),0)</f>
        <v>0</v>
      </c>
      <c r="CL83" s="1" t="n">
        <f aca="false">IF($D$27=1,MAX(0,SUM(Model!$J36:CL36)+SUM(Model!$J83:CL83)),0)</f>
        <v>0</v>
      </c>
      <c r="CM83" s="1" t="n">
        <f aca="false">IF($D$27=1,MAX(0,SUM(Model!$J36:CM36)+SUM(Model!$J83:CM83)),0)</f>
        <v>0</v>
      </c>
      <c r="CN83" s="1" t="n">
        <f aca="false">IF($D$27=1,MAX(0,SUM(Model!$J36:CN36)+SUM(Model!$J83:CN83)),0)</f>
        <v>0</v>
      </c>
      <c r="CO83" s="1" t="n">
        <f aca="false">IF($D$27=1,MAX(0,SUM(Model!$J36:CO36)+SUM(Model!$J83:CO83)),0)</f>
        <v>0</v>
      </c>
      <c r="CP83" s="1" t="n">
        <f aca="false">IF($D$27=1,MAX(0,SUM(Model!$J36:CP36)+SUM(Model!$J83:CP83)),0)</f>
        <v>0</v>
      </c>
      <c r="CQ83" s="1" t="n">
        <f aca="false">IF($D$27=1,MAX(0,SUM(Model!$J36:CQ36)+SUM(Model!$J83:CQ83)),0)</f>
        <v>0</v>
      </c>
      <c r="CR83" s="1" t="n">
        <f aca="false">IF($D$27=1,MAX(0,SUM(Model!$J36:CR36)+SUM(Model!$J83:CR83)),0)</f>
        <v>0</v>
      </c>
      <c r="CS83" s="1" t="n">
        <f aca="false">IF($D$27=1,MAX(0,SUM(Model!$J36:CS36)+SUM(Model!$J83:CS83)),0)</f>
        <v>0</v>
      </c>
      <c r="CT83" s="1" t="n">
        <f aca="false">IF($D$27=1,MAX(0,SUM(Model!$J36:CT36)+SUM(Model!$J83:CT83)),0)</f>
        <v>0</v>
      </c>
      <c r="CU83" s="1" t="n">
        <f aca="false">IF($D$27=1,MAX(0,SUM(Model!$J36:CU36)+SUM(Model!$J83:CU83)),0)</f>
        <v>0</v>
      </c>
      <c r="CV83" s="1" t="n">
        <f aca="false">IF($D$27=1,MAX(0,SUM(Model!$J36:CV36)+SUM(Model!$J83:CV83)),0)</f>
        <v>0</v>
      </c>
      <c r="CW83" s="1" t="n">
        <f aca="false">IF($D$27=1,MAX(0,SUM(Model!$J36:CW36)+SUM(Model!$J83:CW83)),0)</f>
        <v>0</v>
      </c>
      <c r="CX83" s="1" t="n">
        <f aca="false">IF($D$27=1,MAX(0,SUM(Model!$J36:CX36)+SUM(Model!$J83:CX83)),0)</f>
        <v>0</v>
      </c>
      <c r="CY83" s="1" t="n">
        <f aca="false">IF($D$27=1,MAX(0,SUM(Model!$J36:CY36)+SUM(Model!$J83:CY83)),0)</f>
        <v>0</v>
      </c>
      <c r="CZ83" s="1" t="n">
        <f aca="false">IF($D$27=1,MAX(0,SUM(Model!$J36:CZ36)+SUM(Model!$J83:CZ83)),0)</f>
        <v>0</v>
      </c>
      <c r="DA83" s="1" t="n">
        <f aca="false">IF($D$27=1,MAX(0,SUM(Model!$J36:DA36)+SUM(Model!$J83:DA83)),0)</f>
        <v>0</v>
      </c>
      <c r="DB83" s="1" t="n">
        <f aca="false">IF($D$27=1,MAX(0,SUM(Model!$J36:DB36)+SUM(Model!$J83:DB83)),0)</f>
        <v>0</v>
      </c>
      <c r="DC83" s="1" t="n">
        <f aca="false">IF($D$27=1,MAX(0,SUM(Model!$J36:DC36)+SUM(Model!$J83:DC83)),0)</f>
        <v>0</v>
      </c>
      <c r="DD83" s="1" t="n">
        <f aca="false">IF($D$27=1,MAX(0,SUM(Model!$J36:DD36)+SUM(Model!$J83:DD83)),0)</f>
        <v>0</v>
      </c>
      <c r="DE83" s="1" t="n">
        <f aca="false">IF($D$27=1,MAX(0,SUM(Model!$J36:DE36)+SUM(Model!$J83:DE83)),0)</f>
        <v>0</v>
      </c>
    </row>
    <row r="84" customFormat="false" ht="13.5" hidden="false" customHeight="true" outlineLevel="0" collapsed="false">
      <c r="A84" s="1" t="str">
        <f aca="false">$B$28</f>
        <v>BD-12</v>
      </c>
      <c r="B84" s="1" t="n">
        <v>0</v>
      </c>
      <c r="C84" s="1" t="n">
        <v>0</v>
      </c>
      <c r="D84" s="1" t="n">
        <v>0</v>
      </c>
      <c r="E84" s="1" t="n">
        <v>0</v>
      </c>
      <c r="F84" s="1" t="n">
        <v>0</v>
      </c>
      <c r="G84" s="1" t="n">
        <v>0</v>
      </c>
      <c r="H84" s="1" t="n">
        <v>0</v>
      </c>
      <c r="I84" s="1" t="n">
        <v>0</v>
      </c>
      <c r="J84" s="1" t="n">
        <f aca="false">IF($D$28=1,MAX(0,SUM(Model!$J37:J37)+SUM(Model!$J84:J84)),0)</f>
        <v>0</v>
      </c>
      <c r="K84" s="1" t="n">
        <f aca="false">IF($D$28=1,MAX(0,SUM(Model!$J37:K37)+SUM(Model!$J84:K84)),0)</f>
        <v>0</v>
      </c>
      <c r="L84" s="1" t="n">
        <f aca="false">IF($D$28=1,MAX(0,SUM(Model!$J37:L37)+SUM(Model!$J84:L84)),0)</f>
        <v>0</v>
      </c>
      <c r="M84" s="1" t="n">
        <f aca="false">IF($D$28=1,MAX(0,SUM(Model!$J37:M37)+SUM(Model!$J84:M84)),0)</f>
        <v>0</v>
      </c>
      <c r="N84" s="1" t="n">
        <f aca="false">IF($D$28=1,MAX(0,SUM(Model!$J37:N37)+SUM(Model!$J84:N84)),0)</f>
        <v>0</v>
      </c>
      <c r="O84" s="1" t="n">
        <f aca="false">IF($D$28=1,MAX(0,SUM(Model!$J37:O37)+SUM(Model!$J84:O84)),0)</f>
        <v>0</v>
      </c>
      <c r="P84" s="1" t="n">
        <f aca="false">IF($D$28=1,MAX(0,SUM(Model!$J37:P37)+SUM(Model!$J84:P84)),0)</f>
        <v>0</v>
      </c>
      <c r="Q84" s="1" t="n">
        <f aca="false">IF($D$28=1,MAX(0,SUM(Model!$J37:Q37)+SUM(Model!$J84:Q84)),0)</f>
        <v>0</v>
      </c>
      <c r="R84" s="1" t="n">
        <f aca="false">IF($D$28=1,MAX(0,SUM(Model!$J37:R37)+SUM(Model!$J84:R84)),0)</f>
        <v>0</v>
      </c>
      <c r="S84" s="1" t="n">
        <f aca="false">IF($D$28=1,MAX(0,SUM(Model!$J37:S37)+SUM(Model!$J84:S84)),0)</f>
        <v>0</v>
      </c>
      <c r="T84" s="1" t="n">
        <f aca="false">IF($D$28=1,MAX(0,SUM(Model!$J37:T37)+SUM(Model!$J84:T84)),0)</f>
        <v>0</v>
      </c>
      <c r="U84" s="1" t="n">
        <f aca="false">IF($D$28=1,MAX(0,SUM(Model!$J37:U37)+SUM(Model!$J84:U84)),0)</f>
        <v>0</v>
      </c>
      <c r="V84" s="1" t="n">
        <f aca="false">IF($D$28=1,MAX(0,SUM(Model!$J37:V37)+SUM(Model!$J84:V84)),0)</f>
        <v>0</v>
      </c>
      <c r="W84" s="1" t="n">
        <f aca="false">IF($D$28=1,MAX(0,SUM(Model!$J37:W37)+SUM(Model!$J84:W84)),0)</f>
        <v>0</v>
      </c>
      <c r="X84" s="1" t="n">
        <f aca="false">IF($D$28=1,MAX(0,SUM(Model!$J37:X37)+SUM(Model!$J84:X84)),0)</f>
        <v>0</v>
      </c>
      <c r="Y84" s="1" t="n">
        <f aca="false">IF($D$28=1,MAX(0,SUM(Model!$J37:Y37)+SUM(Model!$J84:Y84)),0)</f>
        <v>0</v>
      </c>
      <c r="Z84" s="1" t="n">
        <f aca="false">IF($D$28=1,MAX(0,SUM(Model!$J37:Z37)+SUM(Model!$J84:Z84)),0)</f>
        <v>0</v>
      </c>
      <c r="AA84" s="1" t="n">
        <f aca="false">IF($D$28=1,MAX(0,SUM(Model!$J37:AA37)+SUM(Model!$J84:AA84)),0)</f>
        <v>0</v>
      </c>
      <c r="AB84" s="1" t="n">
        <f aca="false">IF($D$28=1,MAX(0,SUM(Model!$J37:AB37)+SUM(Model!$J84:AB84)),0)</f>
        <v>0</v>
      </c>
      <c r="AC84" s="1" t="n">
        <f aca="false">IF($D$28=1,MAX(0,SUM(Model!$J37:AC37)+SUM(Model!$J84:AC84)),0)</f>
        <v>0</v>
      </c>
      <c r="AD84" s="1" t="n">
        <f aca="false">IF($D$28=1,MAX(0,SUM(Model!$J37:AD37)+SUM(Model!$J84:AD84)),0)</f>
        <v>0</v>
      </c>
      <c r="AE84" s="1" t="n">
        <f aca="false">IF($D$28=1,MAX(0,SUM(Model!$J37:AE37)+SUM(Model!$J84:AE84)),0)</f>
        <v>0</v>
      </c>
      <c r="AF84" s="1" t="n">
        <f aca="false">IF($D$28=1,MAX(0,SUM(Model!$J37:AF37)+SUM(Model!$J84:AF84)),0)</f>
        <v>0</v>
      </c>
      <c r="AG84" s="1" t="n">
        <f aca="false">IF($D$28=1,MAX(0,SUM(Model!$J37:AG37)+SUM(Model!$J84:AG84)),0)</f>
        <v>0</v>
      </c>
      <c r="AH84" s="1" t="n">
        <f aca="false">IF($D$28=1,MAX(0,SUM(Model!$J37:AH37)+SUM(Model!$J84:AH84)),0)</f>
        <v>0</v>
      </c>
      <c r="AI84" s="1" t="n">
        <f aca="false">IF($D$28=1,MAX(0,SUM(Model!$J37:AI37)+SUM(Model!$J84:AI84)),0)</f>
        <v>0</v>
      </c>
      <c r="AJ84" s="1" t="n">
        <f aca="false">IF($D$28=1,MAX(0,SUM(Model!$J37:AJ37)+SUM(Model!$J84:AJ84)),0)</f>
        <v>0</v>
      </c>
      <c r="AK84" s="1" t="n">
        <f aca="false">IF($D$28=1,MAX(0,SUM(Model!$J37:AK37)+SUM(Model!$J84:AK84)),0)</f>
        <v>0</v>
      </c>
      <c r="AL84" s="1" t="n">
        <f aca="false">IF($D$28=1,MAX(0,SUM(Model!$J37:AL37)+SUM(Model!$J84:AL84)),0)</f>
        <v>0</v>
      </c>
      <c r="AM84" s="1" t="n">
        <f aca="false">IF($D$28=1,MAX(0,SUM(Model!$J37:AM37)+SUM(Model!$J84:AM84)),0)</f>
        <v>0</v>
      </c>
      <c r="AN84" s="1" t="n">
        <f aca="false">IF($D$28=1,MAX(0,SUM(Model!$J37:AN37)+SUM(Model!$J84:AN84)),0)</f>
        <v>0</v>
      </c>
      <c r="AO84" s="1" t="n">
        <f aca="false">IF($D$28=1,MAX(0,SUM(Model!$J37:AO37)+SUM(Model!$J84:AO84)),0)</f>
        <v>0</v>
      </c>
      <c r="AP84" s="1" t="n">
        <f aca="false">IF($D$28=1,MAX(0,SUM(Model!$J37:AP37)+SUM(Model!$J84:AP84)),0)</f>
        <v>0</v>
      </c>
      <c r="AQ84" s="1" t="n">
        <f aca="false">IF($D$28=1,MAX(0,SUM(Model!$J37:AQ37)+SUM(Model!$J84:AQ84)),0)</f>
        <v>0</v>
      </c>
      <c r="AR84" s="1" t="n">
        <f aca="false">IF($D$28=1,MAX(0,SUM(Model!$J37:AR37)+SUM(Model!$J84:AR84)),0)</f>
        <v>0</v>
      </c>
      <c r="AS84" s="1" t="n">
        <f aca="false">IF($D$28=1,MAX(0,SUM(Model!$J37:AS37)+SUM(Model!$J84:AS84)),0)</f>
        <v>0</v>
      </c>
      <c r="AT84" s="1" t="n">
        <f aca="false">IF($D$28=1,MAX(0,SUM(Model!$J37:AT37)+SUM(Model!$J84:AT84)),0)</f>
        <v>0</v>
      </c>
      <c r="AU84" s="1" t="n">
        <f aca="false">IF($D$28=1,MAX(0,SUM(Model!$J37:AU37)+SUM(Model!$J84:AU84)),0)</f>
        <v>0</v>
      </c>
      <c r="AV84" s="1" t="n">
        <f aca="false">IF($D$28=1,MAX(0,SUM(Model!$J37:AV37)+SUM(Model!$J84:AV84)),0)</f>
        <v>0</v>
      </c>
      <c r="AW84" s="1" t="n">
        <f aca="false">IF($D$28=1,MAX(0,SUM(Model!$J37:AW37)+SUM(Model!$J84:AW84)),0)</f>
        <v>0</v>
      </c>
      <c r="AX84" s="1" t="n">
        <f aca="false">IF($D$28=1,MAX(0,SUM(Model!$J37:AX37)+SUM(Model!$J84:AX84)),0)</f>
        <v>0</v>
      </c>
      <c r="AY84" s="1" t="n">
        <f aca="false">IF($D$28=1,MAX(0,SUM(Model!$J37:AY37)+SUM(Model!$J84:AY84)),0)</f>
        <v>0</v>
      </c>
      <c r="AZ84" s="1" t="n">
        <f aca="false">IF($D$28=1,MAX(0,SUM(Model!$J37:AZ37)+SUM(Model!$J84:AZ84)),0)</f>
        <v>0</v>
      </c>
      <c r="BA84" s="1" t="n">
        <f aca="false">IF($D$28=1,MAX(0,SUM(Model!$J37:BA37)+SUM(Model!$J84:BA84)),0)</f>
        <v>0</v>
      </c>
      <c r="BB84" s="1" t="n">
        <f aca="false">IF($D$28=1,MAX(0,SUM(Model!$J37:BB37)+SUM(Model!$J84:BB84)),0)</f>
        <v>0</v>
      </c>
      <c r="BC84" s="1" t="n">
        <f aca="false">IF($D$28=1,MAX(0,SUM(Model!$J37:BC37)+SUM(Model!$J84:BC84)),0)</f>
        <v>0</v>
      </c>
      <c r="BD84" s="1" t="n">
        <f aca="false">IF($D$28=1,MAX(0,SUM(Model!$J37:BD37)+SUM(Model!$J84:BD84)),0)</f>
        <v>0</v>
      </c>
      <c r="BE84" s="1" t="n">
        <f aca="false">IF($D$28=1,MAX(0,SUM(Model!$J37:BE37)+SUM(Model!$J84:BE84)),0)</f>
        <v>0</v>
      </c>
      <c r="BF84" s="1" t="n">
        <f aca="false">IF($D$28=1,MAX(0,SUM(Model!$J37:BF37)+SUM(Model!$J84:BF84)),0)</f>
        <v>0</v>
      </c>
      <c r="BG84" s="1" t="n">
        <f aca="false">IF($D$28=1,MAX(0,SUM(Model!$J37:BG37)+SUM(Model!$J84:BG84)),0)</f>
        <v>0</v>
      </c>
      <c r="BH84" s="1" t="n">
        <f aca="false">IF($D$28=1,MAX(0,SUM(Model!$J37:BH37)+SUM(Model!$J84:BH84)),0)</f>
        <v>0</v>
      </c>
      <c r="BI84" s="1" t="n">
        <f aca="false">IF($D$28=1,MAX(0,SUM(Model!$J37:BI37)+SUM(Model!$J84:BI84)),0)</f>
        <v>0</v>
      </c>
      <c r="BJ84" s="1" t="n">
        <f aca="false">IF($D$28=1,MAX(0,SUM(Model!$J37:BJ37)+SUM(Model!$J84:BJ84)),0)</f>
        <v>0</v>
      </c>
      <c r="BK84" s="1" t="n">
        <f aca="false">IF($D$28=1,MAX(0,SUM(Model!$J37:BK37)+SUM(Model!$J84:BK84)),0)</f>
        <v>0</v>
      </c>
      <c r="BL84" s="1" t="n">
        <f aca="false">IF($D$28=1,MAX(0,SUM(Model!$J37:BL37)+SUM(Model!$J84:BL84)),0)</f>
        <v>0</v>
      </c>
      <c r="BM84" s="1" t="n">
        <f aca="false">IF($D$28=1,MAX(0,SUM(Model!$J37:BM37)+SUM(Model!$J84:BM84)),0)</f>
        <v>0</v>
      </c>
      <c r="BN84" s="1" t="n">
        <f aca="false">IF($D$28=1,MAX(0,SUM(Model!$J37:BN37)+SUM(Model!$J84:BN84)),0)</f>
        <v>0</v>
      </c>
      <c r="BO84" s="1" t="n">
        <f aca="false">IF($D$28=1,MAX(0,SUM(Model!$J37:BO37)+SUM(Model!$J84:BO84)),0)</f>
        <v>0</v>
      </c>
      <c r="BP84" s="1" t="n">
        <f aca="false">IF($D$28=1,MAX(0,SUM(Model!$J37:BP37)+SUM(Model!$J84:BP84)),0)</f>
        <v>0</v>
      </c>
      <c r="BQ84" s="1" t="n">
        <f aca="false">IF($D$28=1,MAX(0,SUM(Model!$J37:BQ37)+SUM(Model!$J84:BQ84)),0)</f>
        <v>0</v>
      </c>
      <c r="BR84" s="1" t="n">
        <f aca="false">IF($D$28=1,MAX(0,SUM(Model!$J37:BR37)+SUM(Model!$J84:BR84)),0)</f>
        <v>0</v>
      </c>
      <c r="BS84" s="1" t="n">
        <f aca="false">IF($D$28=1,MAX(0,SUM(Model!$J37:BS37)+SUM(Model!$J84:BS84)),0)</f>
        <v>0</v>
      </c>
      <c r="BT84" s="1" t="n">
        <f aca="false">IF($D$28=1,MAX(0,SUM(Model!$J37:BT37)+SUM(Model!$J84:BT84)),0)</f>
        <v>0</v>
      </c>
      <c r="BU84" s="1" t="n">
        <f aca="false">IF($D$28=1,MAX(0,SUM(Model!$J37:BU37)+SUM(Model!$J84:BU84)),0)</f>
        <v>0</v>
      </c>
      <c r="BV84" s="1" t="n">
        <f aca="false">IF($D$28=1,MAX(0,SUM(Model!$J37:BV37)+SUM(Model!$J84:BV84)),0)</f>
        <v>0</v>
      </c>
      <c r="BW84" s="1" t="n">
        <f aca="false">IF($D$28=1,MAX(0,SUM(Model!$J37:BW37)+SUM(Model!$J84:BW84)),0)</f>
        <v>0</v>
      </c>
      <c r="BX84" s="1" t="n">
        <f aca="false">IF($D$28=1,MAX(0,SUM(Model!$J37:BX37)+SUM(Model!$J84:BX84)),0)</f>
        <v>0</v>
      </c>
      <c r="BY84" s="1" t="n">
        <f aca="false">IF($D$28=1,MAX(0,SUM(Model!$J37:BY37)+SUM(Model!$J84:BY84)),0)</f>
        <v>0</v>
      </c>
      <c r="BZ84" s="1" t="n">
        <f aca="false">IF($D$28=1,MAX(0,SUM(Model!$J37:BZ37)+SUM(Model!$J84:BZ84)),0)</f>
        <v>0</v>
      </c>
      <c r="CA84" s="1" t="n">
        <f aca="false">IF($D$28=1,MAX(0,SUM(Model!$J37:CA37)+SUM(Model!$J84:CA84)),0)</f>
        <v>0</v>
      </c>
      <c r="CB84" s="1" t="n">
        <f aca="false">IF($D$28=1,MAX(0,SUM(Model!$J37:CB37)+SUM(Model!$J84:CB84)),0)</f>
        <v>0</v>
      </c>
      <c r="CC84" s="1" t="n">
        <f aca="false">IF($D$28=1,MAX(0,SUM(Model!$J37:CC37)+SUM(Model!$J84:CC84)),0)</f>
        <v>0</v>
      </c>
      <c r="CD84" s="1" t="n">
        <f aca="false">IF($D$28=1,MAX(0,SUM(Model!$J37:CD37)+SUM(Model!$J84:CD84)),0)</f>
        <v>0</v>
      </c>
      <c r="CE84" s="1" t="n">
        <f aca="false">IF($D$28=1,MAX(0,SUM(Model!$J37:CE37)+SUM(Model!$J84:CE84)),0)</f>
        <v>0</v>
      </c>
      <c r="CF84" s="1" t="n">
        <f aca="false">IF($D$28=1,MAX(0,SUM(Model!$J37:CF37)+SUM(Model!$J84:CF84)),0)</f>
        <v>0</v>
      </c>
      <c r="CG84" s="1" t="n">
        <f aca="false">IF($D$28=1,MAX(0,SUM(Model!$J37:CG37)+SUM(Model!$J84:CG84)),0)</f>
        <v>0</v>
      </c>
      <c r="CH84" s="1" t="n">
        <f aca="false">IF($D$28=1,MAX(0,SUM(Model!$J37:CH37)+SUM(Model!$J84:CH84)),0)</f>
        <v>0</v>
      </c>
      <c r="CI84" s="1" t="n">
        <f aca="false">IF($D$28=1,MAX(0,SUM(Model!$J37:CI37)+SUM(Model!$J84:CI84)),0)</f>
        <v>0</v>
      </c>
      <c r="CJ84" s="1" t="n">
        <f aca="false">IF($D$28=1,MAX(0,SUM(Model!$J37:CJ37)+SUM(Model!$J84:CJ84)),0)</f>
        <v>0</v>
      </c>
      <c r="CK84" s="1" t="n">
        <f aca="false">IF($D$28=1,MAX(0,SUM(Model!$J37:CK37)+SUM(Model!$J84:CK84)),0)</f>
        <v>0</v>
      </c>
      <c r="CL84" s="1" t="n">
        <f aca="false">IF($D$28=1,MAX(0,SUM(Model!$J37:CL37)+SUM(Model!$J84:CL84)),0)</f>
        <v>0</v>
      </c>
      <c r="CM84" s="1" t="n">
        <f aca="false">IF($D$28=1,MAX(0,SUM(Model!$J37:CM37)+SUM(Model!$J84:CM84)),0)</f>
        <v>0</v>
      </c>
      <c r="CN84" s="1" t="n">
        <f aca="false">IF($D$28=1,MAX(0,SUM(Model!$J37:CN37)+SUM(Model!$J84:CN84)),0)</f>
        <v>0</v>
      </c>
      <c r="CO84" s="1" t="n">
        <f aca="false">IF($D$28=1,MAX(0,SUM(Model!$J37:CO37)+SUM(Model!$J84:CO84)),0)</f>
        <v>0</v>
      </c>
      <c r="CP84" s="1" t="n">
        <f aca="false">IF($D$28=1,MAX(0,SUM(Model!$J37:CP37)+SUM(Model!$J84:CP84)),0)</f>
        <v>0</v>
      </c>
      <c r="CQ84" s="1" t="n">
        <f aca="false">IF($D$28=1,MAX(0,SUM(Model!$J37:CQ37)+SUM(Model!$J84:CQ84)),0)</f>
        <v>0</v>
      </c>
      <c r="CR84" s="1" t="n">
        <f aca="false">IF($D$28=1,MAX(0,SUM(Model!$J37:CR37)+SUM(Model!$J84:CR84)),0)</f>
        <v>0</v>
      </c>
      <c r="CS84" s="1" t="n">
        <f aca="false">IF($D$28=1,MAX(0,SUM(Model!$J37:CS37)+SUM(Model!$J84:CS84)),0)</f>
        <v>0</v>
      </c>
      <c r="CT84" s="1" t="n">
        <f aca="false">IF($D$28=1,MAX(0,SUM(Model!$J37:CT37)+SUM(Model!$J84:CT84)),0)</f>
        <v>0</v>
      </c>
      <c r="CU84" s="1" t="n">
        <f aca="false">IF($D$28=1,MAX(0,SUM(Model!$J37:CU37)+SUM(Model!$J84:CU84)),0)</f>
        <v>0</v>
      </c>
      <c r="CV84" s="1" t="n">
        <f aca="false">IF($D$28=1,MAX(0,SUM(Model!$J37:CV37)+SUM(Model!$J84:CV84)),0)</f>
        <v>0</v>
      </c>
      <c r="CW84" s="1" t="n">
        <f aca="false">IF($D$28=1,MAX(0,SUM(Model!$J37:CW37)+SUM(Model!$J84:CW84)),0)</f>
        <v>0</v>
      </c>
      <c r="CX84" s="1" t="n">
        <f aca="false">IF($D$28=1,MAX(0,SUM(Model!$J37:CX37)+SUM(Model!$J84:CX84)),0)</f>
        <v>0</v>
      </c>
      <c r="CY84" s="1" t="n">
        <f aca="false">IF($D$28=1,MAX(0,SUM(Model!$J37:CY37)+SUM(Model!$J84:CY84)),0)</f>
        <v>0</v>
      </c>
      <c r="CZ84" s="1" t="n">
        <f aca="false">IF($D$28=1,MAX(0,SUM(Model!$J37:CZ37)+SUM(Model!$J84:CZ84)),0)</f>
        <v>0</v>
      </c>
      <c r="DA84" s="1" t="n">
        <f aca="false">IF($D$28=1,MAX(0,SUM(Model!$J37:DA37)+SUM(Model!$J84:DA84)),0)</f>
        <v>0</v>
      </c>
      <c r="DB84" s="1" t="n">
        <f aca="false">IF($D$28=1,MAX(0,SUM(Model!$J37:DB37)+SUM(Model!$J84:DB84)),0)</f>
        <v>0</v>
      </c>
      <c r="DC84" s="1" t="n">
        <f aca="false">IF($D$28=1,MAX(0,SUM(Model!$J37:DC37)+SUM(Model!$J84:DC84)),0)</f>
        <v>0</v>
      </c>
      <c r="DD84" s="1" t="n">
        <f aca="false">IF($D$28=1,MAX(0,SUM(Model!$J37:DD37)+SUM(Model!$J84:DD84)),0)</f>
        <v>0</v>
      </c>
      <c r="DE84" s="1" t="n">
        <f aca="false">IF($D$28=1,MAX(0,SUM(Model!$J37:DE37)+SUM(Model!$J84:DE84)),0)</f>
        <v>0</v>
      </c>
    </row>
    <row r="85" customFormat="false" ht="13.5" hidden="false" customHeight="true" outlineLevel="0" collapsed="false">
      <c r="A85" s="1" t="str">
        <f aca="false">$B$29</f>
        <v>BD-13</v>
      </c>
      <c r="B85" s="1" t="n">
        <v>0</v>
      </c>
      <c r="C85" s="1" t="n">
        <v>0</v>
      </c>
      <c r="D85" s="1" t="n">
        <v>0</v>
      </c>
      <c r="E85" s="1" t="n">
        <v>0</v>
      </c>
      <c r="F85" s="1" t="n">
        <v>0</v>
      </c>
      <c r="G85" s="1" t="n">
        <v>0</v>
      </c>
      <c r="H85" s="1" t="n">
        <v>0</v>
      </c>
      <c r="I85" s="1" t="n">
        <v>0</v>
      </c>
      <c r="J85" s="1" t="n">
        <f aca="false">IF($D$29=1,MAX(0,SUM(Model!$J38:J38)+SUM(Model!$J85:J85)),0)</f>
        <v>0</v>
      </c>
      <c r="K85" s="1" t="n">
        <f aca="false">IF($D$29=1,MAX(0,SUM(Model!$J38:K38)+SUM(Model!$J85:K85)),0)</f>
        <v>0</v>
      </c>
      <c r="L85" s="1" t="n">
        <f aca="false">IF($D$29=1,MAX(0,SUM(Model!$J38:L38)+SUM(Model!$J85:L85)),0)</f>
        <v>0</v>
      </c>
      <c r="M85" s="1" t="n">
        <f aca="false">IF($D$29=1,MAX(0,SUM(Model!$J38:M38)+SUM(Model!$J85:M85)),0)</f>
        <v>0</v>
      </c>
      <c r="N85" s="1" t="n">
        <f aca="false">IF($D$29=1,MAX(0,SUM(Model!$J38:N38)+SUM(Model!$J85:N85)),0)</f>
        <v>0</v>
      </c>
      <c r="O85" s="1" t="n">
        <f aca="false">IF($D$29=1,MAX(0,SUM(Model!$J38:O38)+SUM(Model!$J85:O85)),0)</f>
        <v>0</v>
      </c>
      <c r="P85" s="1" t="n">
        <f aca="false">IF($D$29=1,MAX(0,SUM(Model!$J38:P38)+SUM(Model!$J85:P85)),0)</f>
        <v>0</v>
      </c>
      <c r="Q85" s="1" t="n">
        <f aca="false">IF($D$29=1,MAX(0,SUM(Model!$J38:Q38)+SUM(Model!$J85:Q85)),0)</f>
        <v>0</v>
      </c>
      <c r="R85" s="1" t="n">
        <f aca="false">IF($D$29=1,MAX(0,SUM(Model!$J38:R38)+SUM(Model!$J85:R85)),0)</f>
        <v>0</v>
      </c>
      <c r="S85" s="1" t="n">
        <f aca="false">IF($D$29=1,MAX(0,SUM(Model!$J38:S38)+SUM(Model!$J85:S85)),0)</f>
        <v>0</v>
      </c>
      <c r="T85" s="1" t="n">
        <f aca="false">IF($D$29=1,MAX(0,SUM(Model!$J38:T38)+SUM(Model!$J85:T85)),0)</f>
        <v>0</v>
      </c>
      <c r="U85" s="1" t="n">
        <f aca="false">IF($D$29=1,MAX(0,SUM(Model!$J38:U38)+SUM(Model!$J85:U85)),0)</f>
        <v>0</v>
      </c>
      <c r="V85" s="1" t="n">
        <f aca="false">IF($D$29=1,MAX(0,SUM(Model!$J38:V38)+SUM(Model!$J85:V85)),0)</f>
        <v>0</v>
      </c>
      <c r="W85" s="1" t="n">
        <f aca="false">IF($D$29=1,MAX(0,SUM(Model!$J38:W38)+SUM(Model!$J85:W85)),0)</f>
        <v>0</v>
      </c>
      <c r="X85" s="1" t="n">
        <f aca="false">IF($D$29=1,MAX(0,SUM(Model!$J38:X38)+SUM(Model!$J85:X85)),0)</f>
        <v>0</v>
      </c>
      <c r="Y85" s="1" t="n">
        <f aca="false">IF($D$29=1,MAX(0,SUM(Model!$J38:Y38)+SUM(Model!$J85:Y85)),0)</f>
        <v>0</v>
      </c>
      <c r="Z85" s="1" t="n">
        <f aca="false">IF($D$29=1,MAX(0,SUM(Model!$J38:Z38)+SUM(Model!$J85:Z85)),0)</f>
        <v>0</v>
      </c>
      <c r="AA85" s="1" t="n">
        <f aca="false">IF($D$29=1,MAX(0,SUM(Model!$J38:AA38)+SUM(Model!$J85:AA85)),0)</f>
        <v>0</v>
      </c>
      <c r="AB85" s="1" t="n">
        <f aca="false">IF($D$29=1,MAX(0,SUM(Model!$J38:AB38)+SUM(Model!$J85:AB85)),0)</f>
        <v>0</v>
      </c>
      <c r="AC85" s="1" t="n">
        <f aca="false">IF($D$29=1,MAX(0,SUM(Model!$J38:AC38)+SUM(Model!$J85:AC85)),0)</f>
        <v>0</v>
      </c>
      <c r="AD85" s="1" t="n">
        <f aca="false">IF($D$29=1,MAX(0,SUM(Model!$J38:AD38)+SUM(Model!$J85:AD85)),0)</f>
        <v>0</v>
      </c>
      <c r="AE85" s="1" t="n">
        <f aca="false">IF($D$29=1,MAX(0,SUM(Model!$J38:AE38)+SUM(Model!$J85:AE85)),0)</f>
        <v>0</v>
      </c>
      <c r="AF85" s="1" t="n">
        <f aca="false">IF($D$29=1,MAX(0,SUM(Model!$J38:AF38)+SUM(Model!$J85:AF85)),0)</f>
        <v>0</v>
      </c>
      <c r="AG85" s="1" t="n">
        <f aca="false">IF($D$29=1,MAX(0,SUM(Model!$J38:AG38)+SUM(Model!$J85:AG85)),0)</f>
        <v>0</v>
      </c>
      <c r="AH85" s="1" t="n">
        <f aca="false">IF($D$29=1,MAX(0,SUM(Model!$J38:AH38)+SUM(Model!$J85:AH85)),0)</f>
        <v>0</v>
      </c>
      <c r="AI85" s="1" t="n">
        <f aca="false">IF($D$29=1,MAX(0,SUM(Model!$J38:AI38)+SUM(Model!$J85:AI85)),0)</f>
        <v>0</v>
      </c>
      <c r="AJ85" s="1" t="n">
        <f aca="false">IF($D$29=1,MAX(0,SUM(Model!$J38:AJ38)+SUM(Model!$J85:AJ85)),0)</f>
        <v>0</v>
      </c>
      <c r="AK85" s="1" t="n">
        <f aca="false">IF($D$29=1,MAX(0,SUM(Model!$J38:AK38)+SUM(Model!$J85:AK85)),0)</f>
        <v>0</v>
      </c>
      <c r="AL85" s="1" t="n">
        <f aca="false">IF($D$29=1,MAX(0,SUM(Model!$J38:AL38)+SUM(Model!$J85:AL85)),0)</f>
        <v>0</v>
      </c>
      <c r="AM85" s="1" t="n">
        <f aca="false">IF($D$29=1,MAX(0,SUM(Model!$J38:AM38)+SUM(Model!$J85:AM85)),0)</f>
        <v>0</v>
      </c>
      <c r="AN85" s="1" t="n">
        <f aca="false">IF($D$29=1,MAX(0,SUM(Model!$J38:AN38)+SUM(Model!$J85:AN85)),0)</f>
        <v>0</v>
      </c>
      <c r="AO85" s="1" t="n">
        <f aca="false">IF($D$29=1,MAX(0,SUM(Model!$J38:AO38)+SUM(Model!$J85:AO85)),0)</f>
        <v>0</v>
      </c>
      <c r="AP85" s="1" t="n">
        <f aca="false">IF($D$29=1,MAX(0,SUM(Model!$J38:AP38)+SUM(Model!$J85:AP85)),0)</f>
        <v>0</v>
      </c>
      <c r="AQ85" s="1" t="n">
        <f aca="false">IF($D$29=1,MAX(0,SUM(Model!$J38:AQ38)+SUM(Model!$J85:AQ85)),0)</f>
        <v>0</v>
      </c>
      <c r="AR85" s="1" t="n">
        <f aca="false">IF($D$29=1,MAX(0,SUM(Model!$J38:AR38)+SUM(Model!$J85:AR85)),0)</f>
        <v>0</v>
      </c>
      <c r="AS85" s="1" t="n">
        <f aca="false">IF($D$29=1,MAX(0,SUM(Model!$J38:AS38)+SUM(Model!$J85:AS85)),0)</f>
        <v>0</v>
      </c>
      <c r="AT85" s="1" t="n">
        <f aca="false">IF($D$29=1,MAX(0,SUM(Model!$J38:AT38)+SUM(Model!$J85:AT85)),0)</f>
        <v>0</v>
      </c>
      <c r="AU85" s="1" t="n">
        <f aca="false">IF($D$29=1,MAX(0,SUM(Model!$J38:AU38)+SUM(Model!$J85:AU85)),0)</f>
        <v>0</v>
      </c>
      <c r="AV85" s="1" t="n">
        <f aca="false">IF($D$29=1,MAX(0,SUM(Model!$J38:AV38)+SUM(Model!$J85:AV85)),0)</f>
        <v>0</v>
      </c>
      <c r="AW85" s="1" t="n">
        <f aca="false">IF($D$29=1,MAX(0,SUM(Model!$J38:AW38)+SUM(Model!$J85:AW85)),0)</f>
        <v>0</v>
      </c>
      <c r="AX85" s="1" t="n">
        <f aca="false">IF($D$29=1,MAX(0,SUM(Model!$J38:AX38)+SUM(Model!$J85:AX85)),0)</f>
        <v>0</v>
      </c>
      <c r="AY85" s="1" t="n">
        <f aca="false">IF($D$29=1,MAX(0,SUM(Model!$J38:AY38)+SUM(Model!$J85:AY85)),0)</f>
        <v>0</v>
      </c>
      <c r="AZ85" s="1" t="n">
        <f aca="false">IF($D$29=1,MAX(0,SUM(Model!$J38:AZ38)+SUM(Model!$J85:AZ85)),0)</f>
        <v>0</v>
      </c>
      <c r="BA85" s="1" t="n">
        <f aca="false">IF($D$29=1,MAX(0,SUM(Model!$J38:BA38)+SUM(Model!$J85:BA85)),0)</f>
        <v>0</v>
      </c>
      <c r="BB85" s="1" t="n">
        <f aca="false">IF($D$29=1,MAX(0,SUM(Model!$J38:BB38)+SUM(Model!$J85:BB85)),0)</f>
        <v>0</v>
      </c>
      <c r="BC85" s="1" t="n">
        <f aca="false">IF($D$29=1,MAX(0,SUM(Model!$J38:BC38)+SUM(Model!$J85:BC85)),0)</f>
        <v>0</v>
      </c>
      <c r="BD85" s="1" t="n">
        <f aca="false">IF($D$29=1,MAX(0,SUM(Model!$J38:BD38)+SUM(Model!$J85:BD85)),0)</f>
        <v>0</v>
      </c>
      <c r="BE85" s="1" t="n">
        <f aca="false">IF($D$29=1,MAX(0,SUM(Model!$J38:BE38)+SUM(Model!$J85:BE85)),0)</f>
        <v>0</v>
      </c>
      <c r="BF85" s="1" t="n">
        <f aca="false">IF($D$29=1,MAX(0,SUM(Model!$J38:BF38)+SUM(Model!$J85:BF85)),0)</f>
        <v>0</v>
      </c>
      <c r="BG85" s="1" t="n">
        <f aca="false">IF($D$29=1,MAX(0,SUM(Model!$J38:BG38)+SUM(Model!$J85:BG85)),0)</f>
        <v>0</v>
      </c>
      <c r="BH85" s="1" t="n">
        <f aca="false">IF($D$29=1,MAX(0,SUM(Model!$J38:BH38)+SUM(Model!$J85:BH85)),0)</f>
        <v>0</v>
      </c>
      <c r="BI85" s="1" t="n">
        <f aca="false">IF($D$29=1,MAX(0,SUM(Model!$J38:BI38)+SUM(Model!$J85:BI85)),0)</f>
        <v>0</v>
      </c>
      <c r="BJ85" s="1" t="n">
        <f aca="false">IF($D$29=1,MAX(0,SUM(Model!$J38:BJ38)+SUM(Model!$J85:BJ85)),0)</f>
        <v>0</v>
      </c>
      <c r="BK85" s="1" t="n">
        <f aca="false">IF($D$29=1,MAX(0,SUM(Model!$J38:BK38)+SUM(Model!$J85:BK85)),0)</f>
        <v>0</v>
      </c>
      <c r="BL85" s="1" t="n">
        <f aca="false">IF($D$29=1,MAX(0,SUM(Model!$J38:BL38)+SUM(Model!$J85:BL85)),0)</f>
        <v>0</v>
      </c>
      <c r="BM85" s="1" t="n">
        <f aca="false">IF($D$29=1,MAX(0,SUM(Model!$J38:BM38)+SUM(Model!$J85:BM85)),0)</f>
        <v>0</v>
      </c>
      <c r="BN85" s="1" t="n">
        <f aca="false">IF($D$29=1,MAX(0,SUM(Model!$J38:BN38)+SUM(Model!$J85:BN85)),0)</f>
        <v>0</v>
      </c>
      <c r="BO85" s="1" t="n">
        <f aca="false">IF($D$29=1,MAX(0,SUM(Model!$J38:BO38)+SUM(Model!$J85:BO85)),0)</f>
        <v>0</v>
      </c>
      <c r="BP85" s="1" t="n">
        <f aca="false">IF($D$29=1,MAX(0,SUM(Model!$J38:BP38)+SUM(Model!$J85:BP85)),0)</f>
        <v>0</v>
      </c>
      <c r="BQ85" s="1" t="n">
        <f aca="false">IF($D$29=1,MAX(0,SUM(Model!$J38:BQ38)+SUM(Model!$J85:BQ85)),0)</f>
        <v>0</v>
      </c>
      <c r="BR85" s="1" t="n">
        <f aca="false">IF($D$29=1,MAX(0,SUM(Model!$J38:BR38)+SUM(Model!$J85:BR85)),0)</f>
        <v>0</v>
      </c>
      <c r="BS85" s="1" t="n">
        <f aca="false">IF($D$29=1,MAX(0,SUM(Model!$J38:BS38)+SUM(Model!$J85:BS85)),0)</f>
        <v>0</v>
      </c>
      <c r="BT85" s="1" t="n">
        <f aca="false">IF($D$29=1,MAX(0,SUM(Model!$J38:BT38)+SUM(Model!$J85:BT85)),0)</f>
        <v>0</v>
      </c>
      <c r="BU85" s="1" t="n">
        <f aca="false">IF($D$29=1,MAX(0,SUM(Model!$J38:BU38)+SUM(Model!$J85:BU85)),0)</f>
        <v>0</v>
      </c>
      <c r="BV85" s="1" t="n">
        <f aca="false">IF($D$29=1,MAX(0,SUM(Model!$J38:BV38)+SUM(Model!$J85:BV85)),0)</f>
        <v>0</v>
      </c>
      <c r="BW85" s="1" t="n">
        <f aca="false">IF($D$29=1,MAX(0,SUM(Model!$J38:BW38)+SUM(Model!$J85:BW85)),0)</f>
        <v>0</v>
      </c>
      <c r="BX85" s="1" t="n">
        <f aca="false">IF($D$29=1,MAX(0,SUM(Model!$J38:BX38)+SUM(Model!$J85:BX85)),0)</f>
        <v>0</v>
      </c>
      <c r="BY85" s="1" t="n">
        <f aca="false">IF($D$29=1,MAX(0,SUM(Model!$J38:BY38)+SUM(Model!$J85:BY85)),0)</f>
        <v>0</v>
      </c>
      <c r="BZ85" s="1" t="n">
        <f aca="false">IF($D$29=1,MAX(0,SUM(Model!$J38:BZ38)+SUM(Model!$J85:BZ85)),0)</f>
        <v>0</v>
      </c>
      <c r="CA85" s="1" t="n">
        <f aca="false">IF($D$29=1,MAX(0,SUM(Model!$J38:CA38)+SUM(Model!$J85:CA85)),0)</f>
        <v>0</v>
      </c>
      <c r="CB85" s="1" t="n">
        <f aca="false">IF($D$29=1,MAX(0,SUM(Model!$J38:CB38)+SUM(Model!$J85:CB85)),0)</f>
        <v>0</v>
      </c>
      <c r="CC85" s="1" t="n">
        <f aca="false">IF($D$29=1,MAX(0,SUM(Model!$J38:CC38)+SUM(Model!$J85:CC85)),0)</f>
        <v>0</v>
      </c>
      <c r="CD85" s="1" t="n">
        <f aca="false">IF($D$29=1,MAX(0,SUM(Model!$J38:CD38)+SUM(Model!$J85:CD85)),0)</f>
        <v>0</v>
      </c>
      <c r="CE85" s="1" t="n">
        <f aca="false">IF($D$29=1,MAX(0,SUM(Model!$J38:CE38)+SUM(Model!$J85:CE85)),0)</f>
        <v>0</v>
      </c>
      <c r="CF85" s="1" t="n">
        <f aca="false">IF($D$29=1,MAX(0,SUM(Model!$J38:CF38)+SUM(Model!$J85:CF85)),0)</f>
        <v>0</v>
      </c>
      <c r="CG85" s="1" t="n">
        <f aca="false">IF($D$29=1,MAX(0,SUM(Model!$J38:CG38)+SUM(Model!$J85:CG85)),0)</f>
        <v>0</v>
      </c>
      <c r="CH85" s="1" t="n">
        <f aca="false">IF($D$29=1,MAX(0,SUM(Model!$J38:CH38)+SUM(Model!$J85:CH85)),0)</f>
        <v>0</v>
      </c>
      <c r="CI85" s="1" t="n">
        <f aca="false">IF($D$29=1,MAX(0,SUM(Model!$J38:CI38)+SUM(Model!$J85:CI85)),0)</f>
        <v>0</v>
      </c>
      <c r="CJ85" s="1" t="n">
        <f aca="false">IF($D$29=1,MAX(0,SUM(Model!$J38:CJ38)+SUM(Model!$J85:CJ85)),0)</f>
        <v>0</v>
      </c>
      <c r="CK85" s="1" t="n">
        <f aca="false">IF($D$29=1,MAX(0,SUM(Model!$J38:CK38)+SUM(Model!$J85:CK85)),0)</f>
        <v>0</v>
      </c>
      <c r="CL85" s="1" t="n">
        <f aca="false">IF($D$29=1,MAX(0,SUM(Model!$J38:CL38)+SUM(Model!$J85:CL85)),0)</f>
        <v>0</v>
      </c>
      <c r="CM85" s="1" t="n">
        <f aca="false">IF($D$29=1,MAX(0,SUM(Model!$J38:CM38)+SUM(Model!$J85:CM85)),0)</f>
        <v>0</v>
      </c>
      <c r="CN85" s="1" t="n">
        <f aca="false">IF($D$29=1,MAX(0,SUM(Model!$J38:CN38)+SUM(Model!$J85:CN85)),0)</f>
        <v>0</v>
      </c>
      <c r="CO85" s="1" t="n">
        <f aca="false">IF($D$29=1,MAX(0,SUM(Model!$J38:CO38)+SUM(Model!$J85:CO85)),0)</f>
        <v>0</v>
      </c>
      <c r="CP85" s="1" t="n">
        <f aca="false">IF($D$29=1,MAX(0,SUM(Model!$J38:CP38)+SUM(Model!$J85:CP85)),0)</f>
        <v>0</v>
      </c>
      <c r="CQ85" s="1" t="n">
        <f aca="false">IF($D$29=1,MAX(0,SUM(Model!$J38:CQ38)+SUM(Model!$J85:CQ85)),0)</f>
        <v>0</v>
      </c>
      <c r="CR85" s="1" t="n">
        <f aca="false">IF($D$29=1,MAX(0,SUM(Model!$J38:CR38)+SUM(Model!$J85:CR85)),0)</f>
        <v>0</v>
      </c>
      <c r="CS85" s="1" t="n">
        <f aca="false">IF($D$29=1,MAX(0,SUM(Model!$J38:CS38)+SUM(Model!$J85:CS85)),0)</f>
        <v>0</v>
      </c>
      <c r="CT85" s="1" t="n">
        <f aca="false">IF($D$29=1,MAX(0,SUM(Model!$J38:CT38)+SUM(Model!$J85:CT85)),0)</f>
        <v>0</v>
      </c>
      <c r="CU85" s="1" t="n">
        <f aca="false">IF($D$29=1,MAX(0,SUM(Model!$J38:CU38)+SUM(Model!$J85:CU85)),0)</f>
        <v>0</v>
      </c>
      <c r="CV85" s="1" t="n">
        <f aca="false">IF($D$29=1,MAX(0,SUM(Model!$J38:CV38)+SUM(Model!$J85:CV85)),0)</f>
        <v>0</v>
      </c>
      <c r="CW85" s="1" t="n">
        <f aca="false">IF($D$29=1,MAX(0,SUM(Model!$J38:CW38)+SUM(Model!$J85:CW85)),0)</f>
        <v>0</v>
      </c>
      <c r="CX85" s="1" t="n">
        <f aca="false">IF($D$29=1,MAX(0,SUM(Model!$J38:CX38)+SUM(Model!$J85:CX85)),0)</f>
        <v>0</v>
      </c>
      <c r="CY85" s="1" t="n">
        <f aca="false">IF($D$29=1,MAX(0,SUM(Model!$J38:CY38)+SUM(Model!$J85:CY85)),0)</f>
        <v>0</v>
      </c>
      <c r="CZ85" s="1" t="n">
        <f aca="false">IF($D$29=1,MAX(0,SUM(Model!$J38:CZ38)+SUM(Model!$J85:CZ85)),0)</f>
        <v>0</v>
      </c>
      <c r="DA85" s="1" t="n">
        <f aca="false">IF($D$29=1,MAX(0,SUM(Model!$J38:DA38)+SUM(Model!$J85:DA85)),0)</f>
        <v>0</v>
      </c>
      <c r="DB85" s="1" t="n">
        <f aca="false">IF($D$29=1,MAX(0,SUM(Model!$J38:DB38)+SUM(Model!$J85:DB85)),0)</f>
        <v>0</v>
      </c>
      <c r="DC85" s="1" t="n">
        <f aca="false">IF($D$29=1,MAX(0,SUM(Model!$J38:DC38)+SUM(Model!$J85:DC85)),0)</f>
        <v>0</v>
      </c>
      <c r="DD85" s="1" t="n">
        <f aca="false">IF($D$29=1,MAX(0,SUM(Model!$J38:DD38)+SUM(Model!$J85:DD85)),0)</f>
        <v>0</v>
      </c>
      <c r="DE85" s="1" t="n">
        <f aca="false">IF($D$29=1,MAX(0,SUM(Model!$J38:DE38)+SUM(Model!$J85:DE85)),0)</f>
        <v>0</v>
      </c>
    </row>
    <row r="86" customFormat="false" ht="13.5" hidden="false" customHeight="true" outlineLevel="0" collapsed="false">
      <c r="A86" s="1" t="str">
        <f aca="false">$B$30</f>
        <v>BD-14</v>
      </c>
      <c r="B86" s="1" t="n">
        <v>0</v>
      </c>
      <c r="C86" s="1" t="n">
        <v>0</v>
      </c>
      <c r="D86" s="1" t="n">
        <v>0</v>
      </c>
      <c r="E86" s="1" t="n">
        <v>0</v>
      </c>
      <c r="F86" s="1" t="n">
        <v>0</v>
      </c>
      <c r="G86" s="1" t="n">
        <v>0</v>
      </c>
      <c r="H86" s="1" t="n">
        <v>0</v>
      </c>
      <c r="I86" s="1" t="n">
        <v>0</v>
      </c>
      <c r="J86" s="1" t="n">
        <f aca="false">IF($D$30=1,MAX(0,SUM(Model!$J39:J39)+SUM(Model!$J86:J86)),0)</f>
        <v>0</v>
      </c>
      <c r="K86" s="1" t="n">
        <f aca="false">IF($D$30=1,MAX(0,SUM(Model!$J39:K39)+SUM(Model!$J86:K86)),0)</f>
        <v>0</v>
      </c>
      <c r="L86" s="1" t="n">
        <f aca="false">IF($D$30=1,MAX(0,SUM(Model!$J39:L39)+SUM(Model!$J86:L86)),0)</f>
        <v>0</v>
      </c>
      <c r="M86" s="1" t="n">
        <f aca="false">IF($D$30=1,MAX(0,SUM(Model!$J39:M39)+SUM(Model!$J86:M86)),0)</f>
        <v>0</v>
      </c>
      <c r="N86" s="1" t="n">
        <f aca="false">IF($D$30=1,MAX(0,SUM(Model!$J39:N39)+SUM(Model!$J86:N86)),0)</f>
        <v>0</v>
      </c>
      <c r="O86" s="1" t="n">
        <f aca="false">IF($D$30=1,MAX(0,SUM(Model!$J39:O39)+SUM(Model!$J86:O86)),0)</f>
        <v>0</v>
      </c>
      <c r="P86" s="1" t="n">
        <f aca="false">IF($D$30=1,MAX(0,SUM(Model!$J39:P39)+SUM(Model!$J86:P86)),0)</f>
        <v>0</v>
      </c>
      <c r="Q86" s="1" t="n">
        <f aca="false">IF($D$30=1,MAX(0,SUM(Model!$J39:Q39)+SUM(Model!$J86:Q86)),0)</f>
        <v>0</v>
      </c>
      <c r="R86" s="1" t="n">
        <f aca="false">IF($D$30=1,MAX(0,SUM(Model!$J39:R39)+SUM(Model!$J86:R86)),0)</f>
        <v>0</v>
      </c>
      <c r="S86" s="1" t="n">
        <f aca="false">IF($D$30=1,MAX(0,SUM(Model!$J39:S39)+SUM(Model!$J86:S86)),0)</f>
        <v>0</v>
      </c>
      <c r="T86" s="1" t="n">
        <f aca="false">IF($D$30=1,MAX(0,SUM(Model!$J39:T39)+SUM(Model!$J86:T86)),0)</f>
        <v>0</v>
      </c>
      <c r="U86" s="1" t="n">
        <f aca="false">IF($D$30=1,MAX(0,SUM(Model!$J39:U39)+SUM(Model!$J86:U86)),0)</f>
        <v>0</v>
      </c>
      <c r="V86" s="1" t="n">
        <f aca="false">IF($D$30=1,MAX(0,SUM(Model!$J39:V39)+SUM(Model!$J86:V86)),0)</f>
        <v>0</v>
      </c>
      <c r="W86" s="1" t="n">
        <f aca="false">IF($D$30=1,MAX(0,SUM(Model!$J39:W39)+SUM(Model!$J86:W86)),0)</f>
        <v>0</v>
      </c>
      <c r="X86" s="1" t="n">
        <f aca="false">IF($D$30=1,MAX(0,SUM(Model!$J39:X39)+SUM(Model!$J86:X86)),0)</f>
        <v>0</v>
      </c>
      <c r="Y86" s="1" t="n">
        <f aca="false">IF($D$30=1,MAX(0,SUM(Model!$J39:Y39)+SUM(Model!$J86:Y86)),0)</f>
        <v>0</v>
      </c>
      <c r="Z86" s="1" t="n">
        <f aca="false">IF($D$30=1,MAX(0,SUM(Model!$J39:Z39)+SUM(Model!$J86:Z86)),0)</f>
        <v>0</v>
      </c>
      <c r="AA86" s="1" t="n">
        <f aca="false">IF($D$30=1,MAX(0,SUM(Model!$J39:AA39)+SUM(Model!$J86:AA86)),0)</f>
        <v>0</v>
      </c>
      <c r="AB86" s="1" t="n">
        <f aca="false">IF($D$30=1,MAX(0,SUM(Model!$J39:AB39)+SUM(Model!$J86:AB86)),0)</f>
        <v>0</v>
      </c>
      <c r="AC86" s="1" t="n">
        <f aca="false">IF($D$30=1,MAX(0,SUM(Model!$J39:AC39)+SUM(Model!$J86:AC86)),0)</f>
        <v>0</v>
      </c>
      <c r="AD86" s="1" t="n">
        <f aca="false">IF($D$30=1,MAX(0,SUM(Model!$J39:AD39)+SUM(Model!$J86:AD86)),0)</f>
        <v>0</v>
      </c>
      <c r="AE86" s="1" t="n">
        <f aca="false">IF($D$30=1,MAX(0,SUM(Model!$J39:AE39)+SUM(Model!$J86:AE86)),0)</f>
        <v>0</v>
      </c>
      <c r="AF86" s="1" t="n">
        <f aca="false">IF($D$30=1,MAX(0,SUM(Model!$J39:AF39)+SUM(Model!$J86:AF86)),0)</f>
        <v>0</v>
      </c>
      <c r="AG86" s="1" t="n">
        <f aca="false">IF($D$30=1,MAX(0,SUM(Model!$J39:AG39)+SUM(Model!$J86:AG86)),0)</f>
        <v>0</v>
      </c>
      <c r="AH86" s="1" t="n">
        <f aca="false">IF($D$30=1,MAX(0,SUM(Model!$J39:AH39)+SUM(Model!$J86:AH86)),0)</f>
        <v>0</v>
      </c>
      <c r="AI86" s="1" t="n">
        <f aca="false">IF($D$30=1,MAX(0,SUM(Model!$J39:AI39)+SUM(Model!$J86:AI86)),0)</f>
        <v>0</v>
      </c>
      <c r="AJ86" s="1" t="n">
        <f aca="false">IF($D$30=1,MAX(0,SUM(Model!$J39:AJ39)+SUM(Model!$J86:AJ86)),0)</f>
        <v>0</v>
      </c>
      <c r="AK86" s="1" t="n">
        <f aca="false">IF($D$30=1,MAX(0,SUM(Model!$J39:AK39)+SUM(Model!$J86:AK86)),0)</f>
        <v>0</v>
      </c>
      <c r="AL86" s="1" t="n">
        <f aca="false">IF($D$30=1,MAX(0,SUM(Model!$J39:AL39)+SUM(Model!$J86:AL86)),0)</f>
        <v>0</v>
      </c>
      <c r="AM86" s="1" t="n">
        <f aca="false">IF($D$30=1,MAX(0,SUM(Model!$J39:AM39)+SUM(Model!$J86:AM86)),0)</f>
        <v>0</v>
      </c>
      <c r="AN86" s="1" t="n">
        <f aca="false">IF($D$30=1,MAX(0,SUM(Model!$J39:AN39)+SUM(Model!$J86:AN86)),0)</f>
        <v>0</v>
      </c>
      <c r="AO86" s="1" t="n">
        <f aca="false">IF($D$30=1,MAX(0,SUM(Model!$J39:AO39)+SUM(Model!$J86:AO86)),0)</f>
        <v>0</v>
      </c>
      <c r="AP86" s="1" t="n">
        <f aca="false">IF($D$30=1,MAX(0,SUM(Model!$J39:AP39)+SUM(Model!$J86:AP86)),0)</f>
        <v>0</v>
      </c>
      <c r="AQ86" s="1" t="n">
        <f aca="false">IF($D$30=1,MAX(0,SUM(Model!$J39:AQ39)+SUM(Model!$J86:AQ86)),0)</f>
        <v>0</v>
      </c>
      <c r="AR86" s="1" t="n">
        <f aca="false">IF($D$30=1,MAX(0,SUM(Model!$J39:AR39)+SUM(Model!$J86:AR86)),0)</f>
        <v>0</v>
      </c>
      <c r="AS86" s="1" t="n">
        <f aca="false">IF($D$30=1,MAX(0,SUM(Model!$J39:AS39)+SUM(Model!$J86:AS86)),0)</f>
        <v>0</v>
      </c>
      <c r="AT86" s="1" t="n">
        <f aca="false">IF($D$30=1,MAX(0,SUM(Model!$J39:AT39)+SUM(Model!$J86:AT86)),0)</f>
        <v>0</v>
      </c>
      <c r="AU86" s="1" t="n">
        <f aca="false">IF($D$30=1,MAX(0,SUM(Model!$J39:AU39)+SUM(Model!$J86:AU86)),0)</f>
        <v>0</v>
      </c>
      <c r="AV86" s="1" t="n">
        <f aca="false">IF($D$30=1,MAX(0,SUM(Model!$J39:AV39)+SUM(Model!$J86:AV86)),0)</f>
        <v>0</v>
      </c>
      <c r="AW86" s="1" t="n">
        <f aca="false">IF($D$30=1,MAX(0,SUM(Model!$J39:AW39)+SUM(Model!$J86:AW86)),0)</f>
        <v>0</v>
      </c>
      <c r="AX86" s="1" t="n">
        <f aca="false">IF($D$30=1,MAX(0,SUM(Model!$J39:AX39)+SUM(Model!$J86:AX86)),0)</f>
        <v>0</v>
      </c>
      <c r="AY86" s="1" t="n">
        <f aca="false">IF($D$30=1,MAX(0,SUM(Model!$J39:AY39)+SUM(Model!$J86:AY86)),0)</f>
        <v>0</v>
      </c>
      <c r="AZ86" s="1" t="n">
        <f aca="false">IF($D$30=1,MAX(0,SUM(Model!$J39:AZ39)+SUM(Model!$J86:AZ86)),0)</f>
        <v>0</v>
      </c>
      <c r="BA86" s="1" t="n">
        <f aca="false">IF($D$30=1,MAX(0,SUM(Model!$J39:BA39)+SUM(Model!$J86:BA86)),0)</f>
        <v>0</v>
      </c>
      <c r="BB86" s="1" t="n">
        <f aca="false">IF($D$30=1,MAX(0,SUM(Model!$J39:BB39)+SUM(Model!$J86:BB86)),0)</f>
        <v>0</v>
      </c>
      <c r="BC86" s="1" t="n">
        <f aca="false">IF($D$30=1,MAX(0,SUM(Model!$J39:BC39)+SUM(Model!$J86:BC86)),0)</f>
        <v>0</v>
      </c>
      <c r="BD86" s="1" t="n">
        <f aca="false">IF($D$30=1,MAX(0,SUM(Model!$J39:BD39)+SUM(Model!$J86:BD86)),0)</f>
        <v>0</v>
      </c>
      <c r="BE86" s="1" t="n">
        <f aca="false">IF($D$30=1,MAX(0,SUM(Model!$J39:BE39)+SUM(Model!$J86:BE86)),0)</f>
        <v>0</v>
      </c>
      <c r="BF86" s="1" t="n">
        <f aca="false">IF($D$30=1,MAX(0,SUM(Model!$J39:BF39)+SUM(Model!$J86:BF86)),0)</f>
        <v>0</v>
      </c>
      <c r="BG86" s="1" t="n">
        <f aca="false">IF($D$30=1,MAX(0,SUM(Model!$J39:BG39)+SUM(Model!$J86:BG86)),0)</f>
        <v>0</v>
      </c>
      <c r="BH86" s="1" t="n">
        <f aca="false">IF($D$30=1,MAX(0,SUM(Model!$J39:BH39)+SUM(Model!$J86:BH86)),0)</f>
        <v>0</v>
      </c>
      <c r="BI86" s="1" t="n">
        <f aca="false">IF($D$30=1,MAX(0,SUM(Model!$J39:BI39)+SUM(Model!$J86:BI86)),0)</f>
        <v>0</v>
      </c>
      <c r="BJ86" s="1" t="n">
        <f aca="false">IF($D$30=1,MAX(0,SUM(Model!$J39:BJ39)+SUM(Model!$J86:BJ86)),0)</f>
        <v>0</v>
      </c>
      <c r="BK86" s="1" t="n">
        <f aca="false">IF($D$30=1,MAX(0,SUM(Model!$J39:BK39)+SUM(Model!$J86:BK86)),0)</f>
        <v>0</v>
      </c>
      <c r="BL86" s="1" t="n">
        <f aca="false">IF($D$30=1,MAX(0,SUM(Model!$J39:BL39)+SUM(Model!$J86:BL86)),0)</f>
        <v>0</v>
      </c>
      <c r="BM86" s="1" t="n">
        <f aca="false">IF($D$30=1,MAX(0,SUM(Model!$J39:BM39)+SUM(Model!$J86:BM86)),0)</f>
        <v>0</v>
      </c>
      <c r="BN86" s="1" t="n">
        <f aca="false">IF($D$30=1,MAX(0,SUM(Model!$J39:BN39)+SUM(Model!$J86:BN86)),0)</f>
        <v>0</v>
      </c>
      <c r="BO86" s="1" t="n">
        <f aca="false">IF($D$30=1,MAX(0,SUM(Model!$J39:BO39)+SUM(Model!$J86:BO86)),0)</f>
        <v>0</v>
      </c>
      <c r="BP86" s="1" t="n">
        <f aca="false">IF($D$30=1,MAX(0,SUM(Model!$J39:BP39)+SUM(Model!$J86:BP86)),0)</f>
        <v>0</v>
      </c>
      <c r="BQ86" s="1" t="n">
        <f aca="false">IF($D$30=1,MAX(0,SUM(Model!$J39:BQ39)+SUM(Model!$J86:BQ86)),0)</f>
        <v>0</v>
      </c>
      <c r="BR86" s="1" t="n">
        <f aca="false">IF($D$30=1,MAX(0,SUM(Model!$J39:BR39)+SUM(Model!$J86:BR86)),0)</f>
        <v>0</v>
      </c>
      <c r="BS86" s="1" t="n">
        <f aca="false">IF($D$30=1,MAX(0,SUM(Model!$J39:BS39)+SUM(Model!$J86:BS86)),0)</f>
        <v>0</v>
      </c>
      <c r="BT86" s="1" t="n">
        <f aca="false">IF($D$30=1,MAX(0,SUM(Model!$J39:BT39)+SUM(Model!$J86:BT86)),0)</f>
        <v>0</v>
      </c>
      <c r="BU86" s="1" t="n">
        <f aca="false">IF($D$30=1,MAX(0,SUM(Model!$J39:BU39)+SUM(Model!$J86:BU86)),0)</f>
        <v>0</v>
      </c>
      <c r="BV86" s="1" t="n">
        <f aca="false">IF($D$30=1,MAX(0,SUM(Model!$J39:BV39)+SUM(Model!$J86:BV86)),0)</f>
        <v>0</v>
      </c>
      <c r="BW86" s="1" t="n">
        <f aca="false">IF($D$30=1,MAX(0,SUM(Model!$J39:BW39)+SUM(Model!$J86:BW86)),0)</f>
        <v>0</v>
      </c>
      <c r="BX86" s="1" t="n">
        <f aca="false">IF($D$30=1,MAX(0,SUM(Model!$J39:BX39)+SUM(Model!$J86:BX86)),0)</f>
        <v>0</v>
      </c>
      <c r="BY86" s="1" t="n">
        <f aca="false">IF($D$30=1,MAX(0,SUM(Model!$J39:BY39)+SUM(Model!$J86:BY86)),0)</f>
        <v>0</v>
      </c>
      <c r="BZ86" s="1" t="n">
        <f aca="false">IF($D$30=1,MAX(0,SUM(Model!$J39:BZ39)+SUM(Model!$J86:BZ86)),0)</f>
        <v>0</v>
      </c>
      <c r="CA86" s="1" t="n">
        <f aca="false">IF($D$30=1,MAX(0,SUM(Model!$J39:CA39)+SUM(Model!$J86:CA86)),0)</f>
        <v>0</v>
      </c>
      <c r="CB86" s="1" t="n">
        <f aca="false">IF($D$30=1,MAX(0,SUM(Model!$J39:CB39)+SUM(Model!$J86:CB86)),0)</f>
        <v>0</v>
      </c>
      <c r="CC86" s="1" t="n">
        <f aca="false">IF($D$30=1,MAX(0,SUM(Model!$J39:CC39)+SUM(Model!$J86:CC86)),0)</f>
        <v>0</v>
      </c>
      <c r="CD86" s="1" t="n">
        <f aca="false">IF($D$30=1,MAX(0,SUM(Model!$J39:CD39)+SUM(Model!$J86:CD86)),0)</f>
        <v>0</v>
      </c>
      <c r="CE86" s="1" t="n">
        <f aca="false">IF($D$30=1,MAX(0,SUM(Model!$J39:CE39)+SUM(Model!$J86:CE86)),0)</f>
        <v>0</v>
      </c>
      <c r="CF86" s="1" t="n">
        <f aca="false">IF($D$30=1,MAX(0,SUM(Model!$J39:CF39)+SUM(Model!$J86:CF86)),0)</f>
        <v>0</v>
      </c>
      <c r="CG86" s="1" t="n">
        <f aca="false">IF($D$30=1,MAX(0,SUM(Model!$J39:CG39)+SUM(Model!$J86:CG86)),0)</f>
        <v>0</v>
      </c>
      <c r="CH86" s="1" t="n">
        <f aca="false">IF($D$30=1,MAX(0,SUM(Model!$J39:CH39)+SUM(Model!$J86:CH86)),0)</f>
        <v>0</v>
      </c>
      <c r="CI86" s="1" t="n">
        <f aca="false">IF($D$30=1,MAX(0,SUM(Model!$J39:CI39)+SUM(Model!$J86:CI86)),0)</f>
        <v>0</v>
      </c>
      <c r="CJ86" s="1" t="n">
        <f aca="false">IF($D$30=1,MAX(0,SUM(Model!$J39:CJ39)+SUM(Model!$J86:CJ86)),0)</f>
        <v>0</v>
      </c>
      <c r="CK86" s="1" t="n">
        <f aca="false">IF($D$30=1,MAX(0,SUM(Model!$J39:CK39)+SUM(Model!$J86:CK86)),0)</f>
        <v>0</v>
      </c>
      <c r="CL86" s="1" t="n">
        <f aca="false">IF($D$30=1,MAX(0,SUM(Model!$J39:CL39)+SUM(Model!$J86:CL86)),0)</f>
        <v>0</v>
      </c>
      <c r="CM86" s="1" t="n">
        <f aca="false">IF($D$30=1,MAX(0,SUM(Model!$J39:CM39)+SUM(Model!$J86:CM86)),0)</f>
        <v>0</v>
      </c>
      <c r="CN86" s="1" t="n">
        <f aca="false">IF($D$30=1,MAX(0,SUM(Model!$J39:CN39)+SUM(Model!$J86:CN86)),0)</f>
        <v>0</v>
      </c>
      <c r="CO86" s="1" t="n">
        <f aca="false">IF($D$30=1,MAX(0,SUM(Model!$J39:CO39)+SUM(Model!$J86:CO86)),0)</f>
        <v>0</v>
      </c>
      <c r="CP86" s="1" t="n">
        <f aca="false">IF($D$30=1,MAX(0,SUM(Model!$J39:CP39)+SUM(Model!$J86:CP86)),0)</f>
        <v>0</v>
      </c>
      <c r="CQ86" s="1" t="n">
        <f aca="false">IF($D$30=1,MAX(0,SUM(Model!$J39:CQ39)+SUM(Model!$J86:CQ86)),0)</f>
        <v>0</v>
      </c>
      <c r="CR86" s="1" t="n">
        <f aca="false">IF($D$30=1,MAX(0,SUM(Model!$J39:CR39)+SUM(Model!$J86:CR86)),0)</f>
        <v>0</v>
      </c>
      <c r="CS86" s="1" t="n">
        <f aca="false">IF($D$30=1,MAX(0,SUM(Model!$J39:CS39)+SUM(Model!$J86:CS86)),0)</f>
        <v>0</v>
      </c>
      <c r="CT86" s="1" t="n">
        <f aca="false">IF($D$30=1,MAX(0,SUM(Model!$J39:CT39)+SUM(Model!$J86:CT86)),0)</f>
        <v>0</v>
      </c>
      <c r="CU86" s="1" t="n">
        <f aca="false">IF($D$30=1,MAX(0,SUM(Model!$J39:CU39)+SUM(Model!$J86:CU86)),0)</f>
        <v>0</v>
      </c>
      <c r="CV86" s="1" t="n">
        <f aca="false">IF($D$30=1,MAX(0,SUM(Model!$J39:CV39)+SUM(Model!$J86:CV86)),0)</f>
        <v>0</v>
      </c>
      <c r="CW86" s="1" t="n">
        <f aca="false">IF($D$30=1,MAX(0,SUM(Model!$J39:CW39)+SUM(Model!$J86:CW86)),0)</f>
        <v>0</v>
      </c>
      <c r="CX86" s="1" t="n">
        <f aca="false">IF($D$30=1,MAX(0,SUM(Model!$J39:CX39)+SUM(Model!$J86:CX86)),0)</f>
        <v>0</v>
      </c>
      <c r="CY86" s="1" t="n">
        <f aca="false">IF($D$30=1,MAX(0,SUM(Model!$J39:CY39)+SUM(Model!$J86:CY86)),0)</f>
        <v>0</v>
      </c>
      <c r="CZ86" s="1" t="n">
        <f aca="false">IF($D$30=1,MAX(0,SUM(Model!$J39:CZ39)+SUM(Model!$J86:CZ86)),0)</f>
        <v>0</v>
      </c>
      <c r="DA86" s="1" t="n">
        <f aca="false">IF($D$30=1,MAX(0,SUM(Model!$J39:DA39)+SUM(Model!$J86:DA86)),0)</f>
        <v>0</v>
      </c>
      <c r="DB86" s="1" t="n">
        <f aca="false">IF($D$30=1,MAX(0,SUM(Model!$J39:DB39)+SUM(Model!$J86:DB86)),0)</f>
        <v>0</v>
      </c>
      <c r="DC86" s="1" t="n">
        <f aca="false">IF($D$30=1,MAX(0,SUM(Model!$J39:DC39)+SUM(Model!$J86:DC86)),0)</f>
        <v>0</v>
      </c>
      <c r="DD86" s="1" t="n">
        <f aca="false">IF($D$30=1,MAX(0,SUM(Model!$J39:DD39)+SUM(Model!$J86:DD86)),0)</f>
        <v>0</v>
      </c>
      <c r="DE86" s="1" t="n">
        <f aca="false">IF($D$30=1,MAX(0,SUM(Model!$J39:DE39)+SUM(Model!$J86:DE86)),0)</f>
        <v>0</v>
      </c>
    </row>
    <row r="87" customFormat="false" ht="13.5" hidden="false" customHeight="true" outlineLevel="0" collapsed="false">
      <c r="A87" s="1" t="str">
        <f aca="false">$B$31</f>
        <v>BD-15</v>
      </c>
      <c r="B87" s="1" t="n">
        <v>0</v>
      </c>
      <c r="C87" s="1" t="n">
        <v>0</v>
      </c>
      <c r="D87" s="1" t="n">
        <v>0</v>
      </c>
      <c r="E87" s="1" t="n">
        <v>0</v>
      </c>
      <c r="F87" s="1" t="n">
        <v>0</v>
      </c>
      <c r="G87" s="1" t="n">
        <v>0</v>
      </c>
      <c r="H87" s="1" t="n">
        <v>0</v>
      </c>
      <c r="I87" s="1" t="n">
        <v>0</v>
      </c>
      <c r="J87" s="1" t="n">
        <f aca="false">IF($D$31=1,MAX(0,SUM(Model!$J40:J40)+SUM(Model!$J87:J87)),0)</f>
        <v>0</v>
      </c>
      <c r="K87" s="1" t="n">
        <f aca="false">IF($D$31=1,MAX(0,SUM(Model!$J40:K40)+SUM(Model!$J87:K87)),0)</f>
        <v>0</v>
      </c>
      <c r="L87" s="1" t="n">
        <f aca="false">IF($D$31=1,MAX(0,SUM(Model!$J40:L40)+SUM(Model!$J87:L87)),0)</f>
        <v>0</v>
      </c>
      <c r="M87" s="1" t="n">
        <f aca="false">IF($D$31=1,MAX(0,SUM(Model!$J40:M40)+SUM(Model!$J87:M87)),0)</f>
        <v>0</v>
      </c>
      <c r="N87" s="1" t="n">
        <f aca="false">IF($D$31=1,MAX(0,SUM(Model!$J40:N40)+SUM(Model!$J87:N87)),0)</f>
        <v>0</v>
      </c>
      <c r="O87" s="1" t="n">
        <f aca="false">IF($D$31=1,MAX(0,SUM(Model!$J40:O40)+SUM(Model!$J87:O87)),0)</f>
        <v>0</v>
      </c>
      <c r="P87" s="1" t="n">
        <f aca="false">IF($D$31=1,MAX(0,SUM(Model!$J40:P40)+SUM(Model!$J87:P87)),0)</f>
        <v>0</v>
      </c>
      <c r="Q87" s="1" t="n">
        <f aca="false">IF($D$31=1,MAX(0,SUM(Model!$J40:Q40)+SUM(Model!$J87:Q87)),0)</f>
        <v>0</v>
      </c>
      <c r="R87" s="1" t="n">
        <f aca="false">IF($D$31=1,MAX(0,SUM(Model!$J40:R40)+SUM(Model!$J87:R87)),0)</f>
        <v>0</v>
      </c>
      <c r="S87" s="1" t="n">
        <f aca="false">IF($D$31=1,MAX(0,SUM(Model!$J40:S40)+SUM(Model!$J87:S87)),0)</f>
        <v>0</v>
      </c>
      <c r="T87" s="1" t="n">
        <f aca="false">IF($D$31=1,MAX(0,SUM(Model!$J40:T40)+SUM(Model!$J87:T87)),0)</f>
        <v>0</v>
      </c>
      <c r="U87" s="1" t="n">
        <f aca="false">IF($D$31=1,MAX(0,SUM(Model!$J40:U40)+SUM(Model!$J87:U87)),0)</f>
        <v>0</v>
      </c>
      <c r="V87" s="1" t="n">
        <f aca="false">IF($D$31=1,MAX(0,SUM(Model!$J40:V40)+SUM(Model!$J87:V87)),0)</f>
        <v>0</v>
      </c>
      <c r="W87" s="1" t="n">
        <f aca="false">IF($D$31=1,MAX(0,SUM(Model!$J40:W40)+SUM(Model!$J87:W87)),0)</f>
        <v>0</v>
      </c>
      <c r="X87" s="1" t="n">
        <f aca="false">IF($D$31=1,MAX(0,SUM(Model!$J40:X40)+SUM(Model!$J87:X87)),0)</f>
        <v>0</v>
      </c>
      <c r="Y87" s="1" t="n">
        <f aca="false">IF($D$31=1,MAX(0,SUM(Model!$J40:Y40)+SUM(Model!$J87:Y87)),0)</f>
        <v>0</v>
      </c>
      <c r="Z87" s="1" t="n">
        <f aca="false">IF($D$31=1,MAX(0,SUM(Model!$J40:Z40)+SUM(Model!$J87:Z87)),0)</f>
        <v>0</v>
      </c>
      <c r="AA87" s="1" t="n">
        <f aca="false">IF($D$31=1,MAX(0,SUM(Model!$J40:AA40)+SUM(Model!$J87:AA87)),0)</f>
        <v>0</v>
      </c>
      <c r="AB87" s="1" t="n">
        <f aca="false">IF($D$31=1,MAX(0,SUM(Model!$J40:AB40)+SUM(Model!$J87:AB87)),0)</f>
        <v>0</v>
      </c>
      <c r="AC87" s="1" t="n">
        <f aca="false">IF($D$31=1,MAX(0,SUM(Model!$J40:AC40)+SUM(Model!$J87:AC87)),0)</f>
        <v>0</v>
      </c>
      <c r="AD87" s="1" t="n">
        <f aca="false">IF($D$31=1,MAX(0,SUM(Model!$J40:AD40)+SUM(Model!$J87:AD87)),0)</f>
        <v>0</v>
      </c>
      <c r="AE87" s="1" t="n">
        <f aca="false">IF($D$31=1,MAX(0,SUM(Model!$J40:AE40)+SUM(Model!$J87:AE87)),0)</f>
        <v>0</v>
      </c>
      <c r="AF87" s="1" t="n">
        <f aca="false">IF($D$31=1,MAX(0,SUM(Model!$J40:AF40)+SUM(Model!$J87:AF87)),0)</f>
        <v>0</v>
      </c>
      <c r="AG87" s="1" t="n">
        <f aca="false">IF($D$31=1,MAX(0,SUM(Model!$J40:AG40)+SUM(Model!$J87:AG87)),0)</f>
        <v>0</v>
      </c>
      <c r="AH87" s="1" t="n">
        <f aca="false">IF($D$31=1,MAX(0,SUM(Model!$J40:AH40)+SUM(Model!$J87:AH87)),0)</f>
        <v>0</v>
      </c>
      <c r="AI87" s="1" t="n">
        <f aca="false">IF($D$31=1,MAX(0,SUM(Model!$J40:AI40)+SUM(Model!$J87:AI87)),0)</f>
        <v>0</v>
      </c>
      <c r="AJ87" s="1" t="n">
        <f aca="false">IF($D$31=1,MAX(0,SUM(Model!$J40:AJ40)+SUM(Model!$J87:AJ87)),0)</f>
        <v>0</v>
      </c>
      <c r="AK87" s="1" t="n">
        <f aca="false">IF($D$31=1,MAX(0,SUM(Model!$J40:AK40)+SUM(Model!$J87:AK87)),0)</f>
        <v>0</v>
      </c>
      <c r="AL87" s="1" t="n">
        <f aca="false">IF($D$31=1,MAX(0,SUM(Model!$J40:AL40)+SUM(Model!$J87:AL87)),0)</f>
        <v>0</v>
      </c>
      <c r="AM87" s="1" t="n">
        <f aca="false">IF($D$31=1,MAX(0,SUM(Model!$J40:AM40)+SUM(Model!$J87:AM87)),0)</f>
        <v>0</v>
      </c>
      <c r="AN87" s="1" t="n">
        <f aca="false">IF($D$31=1,MAX(0,SUM(Model!$J40:AN40)+SUM(Model!$J87:AN87)),0)</f>
        <v>0</v>
      </c>
      <c r="AO87" s="1" t="n">
        <f aca="false">IF($D$31=1,MAX(0,SUM(Model!$J40:AO40)+SUM(Model!$J87:AO87)),0)</f>
        <v>0</v>
      </c>
      <c r="AP87" s="1" t="n">
        <f aca="false">IF($D$31=1,MAX(0,SUM(Model!$J40:AP40)+SUM(Model!$J87:AP87)),0)</f>
        <v>0</v>
      </c>
      <c r="AQ87" s="1" t="n">
        <f aca="false">IF($D$31=1,MAX(0,SUM(Model!$J40:AQ40)+SUM(Model!$J87:AQ87)),0)</f>
        <v>0</v>
      </c>
      <c r="AR87" s="1" t="n">
        <f aca="false">IF($D$31=1,MAX(0,SUM(Model!$J40:AR40)+SUM(Model!$J87:AR87)),0)</f>
        <v>0</v>
      </c>
      <c r="AS87" s="1" t="n">
        <f aca="false">IF($D$31=1,MAX(0,SUM(Model!$J40:AS40)+SUM(Model!$J87:AS87)),0)</f>
        <v>0</v>
      </c>
      <c r="AT87" s="1" t="n">
        <f aca="false">IF($D$31=1,MAX(0,SUM(Model!$J40:AT40)+SUM(Model!$J87:AT87)),0)</f>
        <v>0</v>
      </c>
      <c r="AU87" s="1" t="n">
        <f aca="false">IF($D$31=1,MAX(0,SUM(Model!$J40:AU40)+SUM(Model!$J87:AU87)),0)</f>
        <v>0</v>
      </c>
      <c r="AV87" s="1" t="n">
        <f aca="false">IF($D$31=1,MAX(0,SUM(Model!$J40:AV40)+SUM(Model!$J87:AV87)),0)</f>
        <v>0</v>
      </c>
      <c r="AW87" s="1" t="n">
        <f aca="false">IF($D$31=1,MAX(0,SUM(Model!$J40:AW40)+SUM(Model!$J87:AW87)),0)</f>
        <v>0</v>
      </c>
      <c r="AX87" s="1" t="n">
        <f aca="false">IF($D$31=1,MAX(0,SUM(Model!$J40:AX40)+SUM(Model!$J87:AX87)),0)</f>
        <v>0</v>
      </c>
      <c r="AY87" s="1" t="n">
        <f aca="false">IF($D$31=1,MAX(0,SUM(Model!$J40:AY40)+SUM(Model!$J87:AY87)),0)</f>
        <v>0</v>
      </c>
      <c r="AZ87" s="1" t="n">
        <f aca="false">IF($D$31=1,MAX(0,SUM(Model!$J40:AZ40)+SUM(Model!$J87:AZ87)),0)</f>
        <v>0</v>
      </c>
      <c r="BA87" s="1" t="n">
        <f aca="false">IF($D$31=1,MAX(0,SUM(Model!$J40:BA40)+SUM(Model!$J87:BA87)),0)</f>
        <v>0</v>
      </c>
      <c r="BB87" s="1" t="n">
        <f aca="false">IF($D$31=1,MAX(0,SUM(Model!$J40:BB40)+SUM(Model!$J87:BB87)),0)</f>
        <v>0</v>
      </c>
      <c r="BC87" s="1" t="n">
        <f aca="false">IF($D$31=1,MAX(0,SUM(Model!$J40:BC40)+SUM(Model!$J87:BC87)),0)</f>
        <v>0</v>
      </c>
      <c r="BD87" s="1" t="n">
        <f aca="false">IF($D$31=1,MAX(0,SUM(Model!$J40:BD40)+SUM(Model!$J87:BD87)),0)</f>
        <v>0</v>
      </c>
      <c r="BE87" s="1" t="n">
        <f aca="false">IF($D$31=1,MAX(0,SUM(Model!$J40:BE40)+SUM(Model!$J87:BE87)),0)</f>
        <v>0</v>
      </c>
      <c r="BF87" s="1" t="n">
        <f aca="false">IF($D$31=1,MAX(0,SUM(Model!$J40:BF40)+SUM(Model!$J87:BF87)),0)</f>
        <v>0</v>
      </c>
      <c r="BG87" s="1" t="n">
        <f aca="false">IF($D$31=1,MAX(0,SUM(Model!$J40:BG40)+SUM(Model!$J87:BG87)),0)</f>
        <v>0</v>
      </c>
      <c r="BH87" s="1" t="n">
        <f aca="false">IF($D$31=1,MAX(0,SUM(Model!$J40:BH40)+SUM(Model!$J87:BH87)),0)</f>
        <v>0</v>
      </c>
      <c r="BI87" s="1" t="n">
        <f aca="false">IF($D$31=1,MAX(0,SUM(Model!$J40:BI40)+SUM(Model!$J87:BI87)),0)</f>
        <v>0</v>
      </c>
      <c r="BJ87" s="1" t="n">
        <f aca="false">IF($D$31=1,MAX(0,SUM(Model!$J40:BJ40)+SUM(Model!$J87:BJ87)),0)</f>
        <v>0</v>
      </c>
      <c r="BK87" s="1" t="n">
        <f aca="false">IF($D$31=1,MAX(0,SUM(Model!$J40:BK40)+SUM(Model!$J87:BK87)),0)</f>
        <v>0</v>
      </c>
      <c r="BL87" s="1" t="n">
        <f aca="false">IF($D$31=1,MAX(0,SUM(Model!$J40:BL40)+SUM(Model!$J87:BL87)),0)</f>
        <v>0</v>
      </c>
      <c r="BM87" s="1" t="n">
        <f aca="false">IF($D$31=1,MAX(0,SUM(Model!$J40:BM40)+SUM(Model!$J87:BM87)),0)</f>
        <v>0</v>
      </c>
      <c r="BN87" s="1" t="n">
        <f aca="false">IF($D$31=1,MAX(0,SUM(Model!$J40:BN40)+SUM(Model!$J87:BN87)),0)</f>
        <v>0</v>
      </c>
      <c r="BO87" s="1" t="n">
        <f aca="false">IF($D$31=1,MAX(0,SUM(Model!$J40:BO40)+SUM(Model!$J87:BO87)),0)</f>
        <v>0</v>
      </c>
      <c r="BP87" s="1" t="n">
        <f aca="false">IF($D$31=1,MAX(0,SUM(Model!$J40:BP40)+SUM(Model!$J87:BP87)),0)</f>
        <v>0</v>
      </c>
      <c r="BQ87" s="1" t="n">
        <f aca="false">IF($D$31=1,MAX(0,SUM(Model!$J40:BQ40)+SUM(Model!$J87:BQ87)),0)</f>
        <v>0</v>
      </c>
      <c r="BR87" s="1" t="n">
        <f aca="false">IF($D$31=1,MAX(0,SUM(Model!$J40:BR40)+SUM(Model!$J87:BR87)),0)</f>
        <v>0</v>
      </c>
      <c r="BS87" s="1" t="n">
        <f aca="false">IF($D$31=1,MAX(0,SUM(Model!$J40:BS40)+SUM(Model!$J87:BS87)),0)</f>
        <v>0</v>
      </c>
      <c r="BT87" s="1" t="n">
        <f aca="false">IF($D$31=1,MAX(0,SUM(Model!$J40:BT40)+SUM(Model!$J87:BT87)),0)</f>
        <v>0</v>
      </c>
      <c r="BU87" s="1" t="n">
        <f aca="false">IF($D$31=1,MAX(0,SUM(Model!$J40:BU40)+SUM(Model!$J87:BU87)),0)</f>
        <v>0</v>
      </c>
      <c r="BV87" s="1" t="n">
        <f aca="false">IF($D$31=1,MAX(0,SUM(Model!$J40:BV40)+SUM(Model!$J87:BV87)),0)</f>
        <v>0</v>
      </c>
      <c r="BW87" s="1" t="n">
        <f aca="false">IF($D$31=1,MAX(0,SUM(Model!$J40:BW40)+SUM(Model!$J87:BW87)),0)</f>
        <v>0</v>
      </c>
      <c r="BX87" s="1" t="n">
        <f aca="false">IF($D$31=1,MAX(0,SUM(Model!$J40:BX40)+SUM(Model!$J87:BX87)),0)</f>
        <v>0</v>
      </c>
      <c r="BY87" s="1" t="n">
        <f aca="false">IF($D$31=1,MAX(0,SUM(Model!$J40:BY40)+SUM(Model!$J87:BY87)),0)</f>
        <v>0</v>
      </c>
      <c r="BZ87" s="1" t="n">
        <f aca="false">IF($D$31=1,MAX(0,SUM(Model!$J40:BZ40)+SUM(Model!$J87:BZ87)),0)</f>
        <v>0</v>
      </c>
      <c r="CA87" s="1" t="n">
        <f aca="false">IF($D$31=1,MAX(0,SUM(Model!$J40:CA40)+SUM(Model!$J87:CA87)),0)</f>
        <v>0</v>
      </c>
      <c r="CB87" s="1" t="n">
        <f aca="false">IF($D$31=1,MAX(0,SUM(Model!$J40:CB40)+SUM(Model!$J87:CB87)),0)</f>
        <v>0</v>
      </c>
      <c r="CC87" s="1" t="n">
        <f aca="false">IF($D$31=1,MAX(0,SUM(Model!$J40:CC40)+SUM(Model!$J87:CC87)),0)</f>
        <v>0</v>
      </c>
      <c r="CD87" s="1" t="n">
        <f aca="false">IF($D$31=1,MAX(0,SUM(Model!$J40:CD40)+SUM(Model!$J87:CD87)),0)</f>
        <v>0</v>
      </c>
      <c r="CE87" s="1" t="n">
        <f aca="false">IF($D$31=1,MAX(0,SUM(Model!$J40:CE40)+SUM(Model!$J87:CE87)),0)</f>
        <v>0</v>
      </c>
      <c r="CF87" s="1" t="n">
        <f aca="false">IF($D$31=1,MAX(0,SUM(Model!$J40:CF40)+SUM(Model!$J87:CF87)),0)</f>
        <v>0</v>
      </c>
      <c r="CG87" s="1" t="n">
        <f aca="false">IF($D$31=1,MAX(0,SUM(Model!$J40:CG40)+SUM(Model!$J87:CG87)),0)</f>
        <v>0</v>
      </c>
      <c r="CH87" s="1" t="n">
        <f aca="false">IF($D$31=1,MAX(0,SUM(Model!$J40:CH40)+SUM(Model!$J87:CH87)),0)</f>
        <v>0</v>
      </c>
      <c r="CI87" s="1" t="n">
        <f aca="false">IF($D$31=1,MAX(0,SUM(Model!$J40:CI40)+SUM(Model!$J87:CI87)),0)</f>
        <v>0</v>
      </c>
      <c r="CJ87" s="1" t="n">
        <f aca="false">IF($D$31=1,MAX(0,SUM(Model!$J40:CJ40)+SUM(Model!$J87:CJ87)),0)</f>
        <v>0</v>
      </c>
      <c r="CK87" s="1" t="n">
        <f aca="false">IF($D$31=1,MAX(0,SUM(Model!$J40:CK40)+SUM(Model!$J87:CK87)),0)</f>
        <v>0</v>
      </c>
      <c r="CL87" s="1" t="n">
        <f aca="false">IF($D$31=1,MAX(0,SUM(Model!$J40:CL40)+SUM(Model!$J87:CL87)),0)</f>
        <v>0</v>
      </c>
      <c r="CM87" s="1" t="n">
        <f aca="false">IF($D$31=1,MAX(0,SUM(Model!$J40:CM40)+SUM(Model!$J87:CM87)),0)</f>
        <v>0</v>
      </c>
      <c r="CN87" s="1" t="n">
        <f aca="false">IF($D$31=1,MAX(0,SUM(Model!$J40:CN40)+SUM(Model!$J87:CN87)),0)</f>
        <v>0</v>
      </c>
      <c r="CO87" s="1" t="n">
        <f aca="false">IF($D$31=1,MAX(0,SUM(Model!$J40:CO40)+SUM(Model!$J87:CO87)),0)</f>
        <v>0</v>
      </c>
      <c r="CP87" s="1" t="n">
        <f aca="false">IF($D$31=1,MAX(0,SUM(Model!$J40:CP40)+SUM(Model!$J87:CP87)),0)</f>
        <v>0</v>
      </c>
      <c r="CQ87" s="1" t="n">
        <f aca="false">IF($D$31=1,MAX(0,SUM(Model!$J40:CQ40)+SUM(Model!$J87:CQ87)),0)</f>
        <v>0</v>
      </c>
      <c r="CR87" s="1" t="n">
        <f aca="false">IF($D$31=1,MAX(0,SUM(Model!$J40:CR40)+SUM(Model!$J87:CR87)),0)</f>
        <v>0</v>
      </c>
      <c r="CS87" s="1" t="n">
        <f aca="false">IF($D$31=1,MAX(0,SUM(Model!$J40:CS40)+SUM(Model!$J87:CS87)),0)</f>
        <v>0</v>
      </c>
      <c r="CT87" s="1" t="n">
        <f aca="false">IF($D$31=1,MAX(0,SUM(Model!$J40:CT40)+SUM(Model!$J87:CT87)),0)</f>
        <v>0</v>
      </c>
      <c r="CU87" s="1" t="n">
        <f aca="false">IF($D$31=1,MAX(0,SUM(Model!$J40:CU40)+SUM(Model!$J87:CU87)),0)</f>
        <v>0</v>
      </c>
      <c r="CV87" s="1" t="n">
        <f aca="false">IF($D$31=1,MAX(0,SUM(Model!$J40:CV40)+SUM(Model!$J87:CV87)),0)</f>
        <v>0</v>
      </c>
      <c r="CW87" s="1" t="n">
        <f aca="false">IF($D$31=1,MAX(0,SUM(Model!$J40:CW40)+SUM(Model!$J87:CW87)),0)</f>
        <v>0</v>
      </c>
      <c r="CX87" s="1" t="n">
        <f aca="false">IF($D$31=1,MAX(0,SUM(Model!$J40:CX40)+SUM(Model!$J87:CX87)),0)</f>
        <v>0</v>
      </c>
      <c r="CY87" s="1" t="n">
        <f aca="false">IF($D$31=1,MAX(0,SUM(Model!$J40:CY40)+SUM(Model!$J87:CY87)),0)</f>
        <v>0</v>
      </c>
      <c r="CZ87" s="1" t="n">
        <f aca="false">IF($D$31=1,MAX(0,SUM(Model!$J40:CZ40)+SUM(Model!$J87:CZ87)),0)</f>
        <v>0</v>
      </c>
      <c r="DA87" s="1" t="n">
        <f aca="false">IF($D$31=1,MAX(0,SUM(Model!$J40:DA40)+SUM(Model!$J87:DA87)),0)</f>
        <v>0</v>
      </c>
      <c r="DB87" s="1" t="n">
        <f aca="false">IF($D$31=1,MAX(0,SUM(Model!$J40:DB40)+SUM(Model!$J87:DB87)),0)</f>
        <v>0</v>
      </c>
      <c r="DC87" s="1" t="n">
        <f aca="false">IF($D$31=1,MAX(0,SUM(Model!$J40:DC40)+SUM(Model!$J87:DC87)),0)</f>
        <v>0</v>
      </c>
      <c r="DD87" s="1" t="n">
        <f aca="false">IF($D$31=1,MAX(0,SUM(Model!$J40:DD40)+SUM(Model!$J87:DD87)),0)</f>
        <v>0</v>
      </c>
      <c r="DE87" s="1" t="n">
        <f aca="false">IF($D$31=1,MAX(0,SUM(Model!$J40:DE40)+SUM(Model!$J87:DE87)),0)</f>
        <v>0</v>
      </c>
    </row>
    <row r="88" customFormat="false" ht="13.5" hidden="false" customHeight="true" outlineLevel="0" collapsed="false">
      <c r="A88" s="1" t="str">
        <f aca="false">$B$32</f>
        <v>BD-16</v>
      </c>
      <c r="B88" s="1" t="n">
        <v>0</v>
      </c>
      <c r="C88" s="1" t="n">
        <v>0</v>
      </c>
      <c r="D88" s="1" t="n">
        <v>0</v>
      </c>
      <c r="E88" s="1" t="n">
        <v>0</v>
      </c>
      <c r="F88" s="1" t="n">
        <v>0</v>
      </c>
      <c r="G88" s="1" t="n">
        <v>0</v>
      </c>
      <c r="H88" s="1" t="n">
        <v>0</v>
      </c>
      <c r="I88" s="1" t="n">
        <v>0</v>
      </c>
      <c r="J88" s="1" t="n">
        <f aca="false">IF($D$32=1,MAX(0,SUM(Model!$J41:J41)+SUM(Model!$J88:J88)),0)</f>
        <v>0</v>
      </c>
      <c r="K88" s="1" t="n">
        <f aca="false">IF($D$32=1,MAX(0,SUM(Model!$J41:K41)+SUM(Model!$J88:K88)),0)</f>
        <v>0</v>
      </c>
      <c r="L88" s="1" t="n">
        <f aca="false">IF($D$32=1,MAX(0,SUM(Model!$J41:L41)+SUM(Model!$J88:L88)),0)</f>
        <v>0</v>
      </c>
      <c r="M88" s="1" t="n">
        <f aca="false">IF($D$32=1,MAX(0,SUM(Model!$J41:M41)+SUM(Model!$J88:M88)),0)</f>
        <v>0</v>
      </c>
      <c r="N88" s="1" t="n">
        <f aca="false">IF($D$32=1,MAX(0,SUM(Model!$J41:N41)+SUM(Model!$J88:N88)),0)</f>
        <v>0</v>
      </c>
      <c r="O88" s="1" t="n">
        <f aca="false">IF($D$32=1,MAX(0,SUM(Model!$J41:O41)+SUM(Model!$J88:O88)),0)</f>
        <v>0</v>
      </c>
      <c r="P88" s="1" t="n">
        <f aca="false">IF($D$32=1,MAX(0,SUM(Model!$J41:P41)+SUM(Model!$J88:P88)),0)</f>
        <v>0</v>
      </c>
      <c r="Q88" s="1" t="n">
        <f aca="false">IF($D$32=1,MAX(0,SUM(Model!$J41:Q41)+SUM(Model!$J88:Q88)),0)</f>
        <v>0</v>
      </c>
      <c r="R88" s="1" t="n">
        <f aca="false">IF($D$32=1,MAX(0,SUM(Model!$J41:R41)+SUM(Model!$J88:R88)),0)</f>
        <v>0</v>
      </c>
      <c r="S88" s="1" t="n">
        <f aca="false">IF($D$32=1,MAX(0,SUM(Model!$J41:S41)+SUM(Model!$J88:S88)),0)</f>
        <v>0</v>
      </c>
      <c r="T88" s="1" t="n">
        <f aca="false">IF($D$32=1,MAX(0,SUM(Model!$J41:T41)+SUM(Model!$J88:T88)),0)</f>
        <v>0</v>
      </c>
      <c r="U88" s="1" t="n">
        <f aca="false">IF($D$32=1,MAX(0,SUM(Model!$J41:U41)+SUM(Model!$J88:U88)),0)</f>
        <v>0</v>
      </c>
      <c r="V88" s="1" t="n">
        <f aca="false">IF($D$32=1,MAX(0,SUM(Model!$J41:V41)+SUM(Model!$J88:V88)),0)</f>
        <v>0</v>
      </c>
      <c r="W88" s="1" t="n">
        <f aca="false">IF($D$32=1,MAX(0,SUM(Model!$J41:W41)+SUM(Model!$J88:W88)),0)</f>
        <v>0</v>
      </c>
      <c r="X88" s="1" t="n">
        <f aca="false">IF($D$32=1,MAX(0,SUM(Model!$J41:X41)+SUM(Model!$J88:X88)),0)</f>
        <v>0</v>
      </c>
      <c r="Y88" s="1" t="n">
        <f aca="false">IF($D$32=1,MAX(0,SUM(Model!$J41:Y41)+SUM(Model!$J88:Y88)),0)</f>
        <v>0</v>
      </c>
      <c r="Z88" s="1" t="n">
        <f aca="false">IF($D$32=1,MAX(0,SUM(Model!$J41:Z41)+SUM(Model!$J88:Z88)),0)</f>
        <v>0</v>
      </c>
      <c r="AA88" s="1" t="n">
        <f aca="false">IF($D$32=1,MAX(0,SUM(Model!$J41:AA41)+SUM(Model!$J88:AA88)),0)</f>
        <v>0</v>
      </c>
      <c r="AB88" s="1" t="n">
        <f aca="false">IF($D$32=1,MAX(0,SUM(Model!$J41:AB41)+SUM(Model!$J88:AB88)),0)</f>
        <v>0</v>
      </c>
      <c r="AC88" s="1" t="n">
        <f aca="false">IF($D$32=1,MAX(0,SUM(Model!$J41:AC41)+SUM(Model!$J88:AC88)),0)</f>
        <v>0</v>
      </c>
      <c r="AD88" s="1" t="n">
        <f aca="false">IF($D$32=1,MAX(0,SUM(Model!$J41:AD41)+SUM(Model!$J88:AD88)),0)</f>
        <v>0</v>
      </c>
      <c r="AE88" s="1" t="n">
        <f aca="false">IF($D$32=1,MAX(0,SUM(Model!$J41:AE41)+SUM(Model!$J88:AE88)),0)</f>
        <v>0</v>
      </c>
      <c r="AF88" s="1" t="n">
        <f aca="false">IF($D$32=1,MAX(0,SUM(Model!$J41:AF41)+SUM(Model!$J88:AF88)),0)</f>
        <v>0</v>
      </c>
      <c r="AG88" s="1" t="n">
        <f aca="false">IF($D$32=1,MAX(0,SUM(Model!$J41:AG41)+SUM(Model!$J88:AG88)),0)</f>
        <v>0</v>
      </c>
      <c r="AH88" s="1" t="n">
        <f aca="false">IF($D$32=1,MAX(0,SUM(Model!$J41:AH41)+SUM(Model!$J88:AH88)),0)</f>
        <v>0</v>
      </c>
      <c r="AI88" s="1" t="n">
        <f aca="false">IF($D$32=1,MAX(0,SUM(Model!$J41:AI41)+SUM(Model!$J88:AI88)),0)</f>
        <v>0</v>
      </c>
      <c r="AJ88" s="1" t="n">
        <f aca="false">IF($D$32=1,MAX(0,SUM(Model!$J41:AJ41)+SUM(Model!$J88:AJ88)),0)</f>
        <v>0</v>
      </c>
      <c r="AK88" s="1" t="n">
        <f aca="false">IF($D$32=1,MAX(0,SUM(Model!$J41:AK41)+SUM(Model!$J88:AK88)),0)</f>
        <v>0</v>
      </c>
      <c r="AL88" s="1" t="n">
        <f aca="false">IF($D$32=1,MAX(0,SUM(Model!$J41:AL41)+SUM(Model!$J88:AL88)),0)</f>
        <v>0</v>
      </c>
      <c r="AM88" s="1" t="n">
        <f aca="false">IF($D$32=1,MAX(0,SUM(Model!$J41:AM41)+SUM(Model!$J88:AM88)),0)</f>
        <v>0</v>
      </c>
      <c r="AN88" s="1" t="n">
        <f aca="false">IF($D$32=1,MAX(0,SUM(Model!$J41:AN41)+SUM(Model!$J88:AN88)),0)</f>
        <v>0</v>
      </c>
      <c r="AO88" s="1" t="n">
        <f aca="false">IF($D$32=1,MAX(0,SUM(Model!$J41:AO41)+SUM(Model!$J88:AO88)),0)</f>
        <v>0</v>
      </c>
      <c r="AP88" s="1" t="n">
        <f aca="false">IF($D$32=1,MAX(0,SUM(Model!$J41:AP41)+SUM(Model!$J88:AP88)),0)</f>
        <v>0</v>
      </c>
      <c r="AQ88" s="1" t="n">
        <f aca="false">IF($D$32=1,MAX(0,SUM(Model!$J41:AQ41)+SUM(Model!$J88:AQ88)),0)</f>
        <v>0</v>
      </c>
      <c r="AR88" s="1" t="n">
        <f aca="false">IF($D$32=1,MAX(0,SUM(Model!$J41:AR41)+SUM(Model!$J88:AR88)),0)</f>
        <v>0</v>
      </c>
      <c r="AS88" s="1" t="n">
        <f aca="false">IF($D$32=1,MAX(0,SUM(Model!$J41:AS41)+SUM(Model!$J88:AS88)),0)</f>
        <v>0</v>
      </c>
      <c r="AT88" s="1" t="n">
        <f aca="false">IF($D$32=1,MAX(0,SUM(Model!$J41:AT41)+SUM(Model!$J88:AT88)),0)</f>
        <v>0</v>
      </c>
      <c r="AU88" s="1" t="n">
        <f aca="false">IF($D$32=1,MAX(0,SUM(Model!$J41:AU41)+SUM(Model!$J88:AU88)),0)</f>
        <v>0</v>
      </c>
      <c r="AV88" s="1" t="n">
        <f aca="false">IF($D$32=1,MAX(0,SUM(Model!$J41:AV41)+SUM(Model!$J88:AV88)),0)</f>
        <v>0</v>
      </c>
      <c r="AW88" s="1" t="n">
        <f aca="false">IF($D$32=1,MAX(0,SUM(Model!$J41:AW41)+SUM(Model!$J88:AW88)),0)</f>
        <v>0</v>
      </c>
      <c r="AX88" s="1" t="n">
        <f aca="false">IF($D$32=1,MAX(0,SUM(Model!$J41:AX41)+SUM(Model!$J88:AX88)),0)</f>
        <v>0</v>
      </c>
      <c r="AY88" s="1" t="n">
        <f aca="false">IF($D$32=1,MAX(0,SUM(Model!$J41:AY41)+SUM(Model!$J88:AY88)),0)</f>
        <v>0</v>
      </c>
      <c r="AZ88" s="1" t="n">
        <f aca="false">IF($D$32=1,MAX(0,SUM(Model!$J41:AZ41)+SUM(Model!$J88:AZ88)),0)</f>
        <v>0</v>
      </c>
      <c r="BA88" s="1" t="n">
        <f aca="false">IF($D$32=1,MAX(0,SUM(Model!$J41:BA41)+SUM(Model!$J88:BA88)),0)</f>
        <v>0</v>
      </c>
      <c r="BB88" s="1" t="n">
        <f aca="false">IF($D$32=1,MAX(0,SUM(Model!$J41:BB41)+SUM(Model!$J88:BB88)),0)</f>
        <v>0</v>
      </c>
      <c r="BC88" s="1" t="n">
        <f aca="false">IF($D$32=1,MAX(0,SUM(Model!$J41:BC41)+SUM(Model!$J88:BC88)),0)</f>
        <v>0</v>
      </c>
      <c r="BD88" s="1" t="n">
        <f aca="false">IF($D$32=1,MAX(0,SUM(Model!$J41:BD41)+SUM(Model!$J88:BD88)),0)</f>
        <v>0</v>
      </c>
      <c r="BE88" s="1" t="n">
        <f aca="false">IF($D$32=1,MAX(0,SUM(Model!$J41:BE41)+SUM(Model!$J88:BE88)),0)</f>
        <v>0</v>
      </c>
      <c r="BF88" s="1" t="n">
        <f aca="false">IF($D$32=1,MAX(0,SUM(Model!$J41:BF41)+SUM(Model!$J88:BF88)),0)</f>
        <v>0</v>
      </c>
      <c r="BG88" s="1" t="n">
        <f aca="false">IF($D$32=1,MAX(0,SUM(Model!$J41:BG41)+SUM(Model!$J88:BG88)),0)</f>
        <v>0</v>
      </c>
      <c r="BH88" s="1" t="n">
        <f aca="false">IF($D$32=1,MAX(0,SUM(Model!$J41:BH41)+SUM(Model!$J88:BH88)),0)</f>
        <v>0</v>
      </c>
      <c r="BI88" s="1" t="n">
        <f aca="false">IF($D$32=1,MAX(0,SUM(Model!$J41:BI41)+SUM(Model!$J88:BI88)),0)</f>
        <v>0</v>
      </c>
      <c r="BJ88" s="1" t="n">
        <f aca="false">IF($D$32=1,MAX(0,SUM(Model!$J41:BJ41)+SUM(Model!$J88:BJ88)),0)</f>
        <v>0</v>
      </c>
      <c r="BK88" s="1" t="n">
        <f aca="false">IF($D$32=1,MAX(0,SUM(Model!$J41:BK41)+SUM(Model!$J88:BK88)),0)</f>
        <v>0</v>
      </c>
      <c r="BL88" s="1" t="n">
        <f aca="false">IF($D$32=1,MAX(0,SUM(Model!$J41:BL41)+SUM(Model!$J88:BL88)),0)</f>
        <v>0</v>
      </c>
      <c r="BM88" s="1" t="n">
        <f aca="false">IF($D$32=1,MAX(0,SUM(Model!$J41:BM41)+SUM(Model!$J88:BM88)),0)</f>
        <v>0</v>
      </c>
      <c r="BN88" s="1" t="n">
        <f aca="false">IF($D$32=1,MAX(0,SUM(Model!$J41:BN41)+SUM(Model!$J88:BN88)),0)</f>
        <v>0</v>
      </c>
      <c r="BO88" s="1" t="n">
        <f aca="false">IF($D$32=1,MAX(0,SUM(Model!$J41:BO41)+SUM(Model!$J88:BO88)),0)</f>
        <v>0</v>
      </c>
      <c r="BP88" s="1" t="n">
        <f aca="false">IF($D$32=1,MAX(0,SUM(Model!$J41:BP41)+SUM(Model!$J88:BP88)),0)</f>
        <v>0</v>
      </c>
      <c r="BQ88" s="1" t="n">
        <f aca="false">IF($D$32=1,MAX(0,SUM(Model!$J41:BQ41)+SUM(Model!$J88:BQ88)),0)</f>
        <v>0</v>
      </c>
      <c r="BR88" s="1" t="n">
        <f aca="false">IF($D$32=1,MAX(0,SUM(Model!$J41:BR41)+SUM(Model!$J88:BR88)),0)</f>
        <v>0</v>
      </c>
      <c r="BS88" s="1" t="n">
        <f aca="false">IF($D$32=1,MAX(0,SUM(Model!$J41:BS41)+SUM(Model!$J88:BS88)),0)</f>
        <v>0</v>
      </c>
      <c r="BT88" s="1" t="n">
        <f aca="false">IF($D$32=1,MAX(0,SUM(Model!$J41:BT41)+SUM(Model!$J88:BT88)),0)</f>
        <v>0</v>
      </c>
      <c r="BU88" s="1" t="n">
        <f aca="false">IF($D$32=1,MAX(0,SUM(Model!$J41:BU41)+SUM(Model!$J88:BU88)),0)</f>
        <v>0</v>
      </c>
      <c r="BV88" s="1" t="n">
        <f aca="false">IF($D$32=1,MAX(0,SUM(Model!$J41:BV41)+SUM(Model!$J88:BV88)),0)</f>
        <v>0</v>
      </c>
      <c r="BW88" s="1" t="n">
        <f aca="false">IF($D$32=1,MAX(0,SUM(Model!$J41:BW41)+SUM(Model!$J88:BW88)),0)</f>
        <v>0</v>
      </c>
      <c r="BX88" s="1" t="n">
        <f aca="false">IF($D$32=1,MAX(0,SUM(Model!$J41:BX41)+SUM(Model!$J88:BX88)),0)</f>
        <v>0</v>
      </c>
      <c r="BY88" s="1" t="n">
        <f aca="false">IF($D$32=1,MAX(0,SUM(Model!$J41:BY41)+SUM(Model!$J88:BY88)),0)</f>
        <v>0</v>
      </c>
      <c r="BZ88" s="1" t="n">
        <f aca="false">IF($D$32=1,MAX(0,SUM(Model!$J41:BZ41)+SUM(Model!$J88:BZ88)),0)</f>
        <v>0</v>
      </c>
      <c r="CA88" s="1" t="n">
        <f aca="false">IF($D$32=1,MAX(0,SUM(Model!$J41:CA41)+SUM(Model!$J88:CA88)),0)</f>
        <v>0</v>
      </c>
      <c r="CB88" s="1" t="n">
        <f aca="false">IF($D$32=1,MAX(0,SUM(Model!$J41:CB41)+SUM(Model!$J88:CB88)),0)</f>
        <v>0</v>
      </c>
      <c r="CC88" s="1" t="n">
        <f aca="false">IF($D$32=1,MAX(0,SUM(Model!$J41:CC41)+SUM(Model!$J88:CC88)),0)</f>
        <v>0</v>
      </c>
      <c r="CD88" s="1" t="n">
        <f aca="false">IF($D$32=1,MAX(0,SUM(Model!$J41:CD41)+SUM(Model!$J88:CD88)),0)</f>
        <v>0</v>
      </c>
      <c r="CE88" s="1" t="n">
        <f aca="false">IF($D$32=1,MAX(0,SUM(Model!$J41:CE41)+SUM(Model!$J88:CE88)),0)</f>
        <v>0</v>
      </c>
      <c r="CF88" s="1" t="n">
        <f aca="false">IF($D$32=1,MAX(0,SUM(Model!$J41:CF41)+SUM(Model!$J88:CF88)),0)</f>
        <v>0</v>
      </c>
      <c r="CG88" s="1" t="n">
        <f aca="false">IF($D$32=1,MAX(0,SUM(Model!$J41:CG41)+SUM(Model!$J88:CG88)),0)</f>
        <v>0</v>
      </c>
      <c r="CH88" s="1" t="n">
        <f aca="false">IF($D$32=1,MAX(0,SUM(Model!$J41:CH41)+SUM(Model!$J88:CH88)),0)</f>
        <v>0</v>
      </c>
      <c r="CI88" s="1" t="n">
        <f aca="false">IF($D$32=1,MAX(0,SUM(Model!$J41:CI41)+SUM(Model!$J88:CI88)),0)</f>
        <v>0</v>
      </c>
      <c r="CJ88" s="1" t="n">
        <f aca="false">IF($D$32=1,MAX(0,SUM(Model!$J41:CJ41)+SUM(Model!$J88:CJ88)),0)</f>
        <v>0</v>
      </c>
      <c r="CK88" s="1" t="n">
        <f aca="false">IF($D$32=1,MAX(0,SUM(Model!$J41:CK41)+SUM(Model!$J88:CK88)),0)</f>
        <v>0</v>
      </c>
      <c r="CL88" s="1" t="n">
        <f aca="false">IF($D$32=1,MAX(0,SUM(Model!$J41:CL41)+SUM(Model!$J88:CL88)),0)</f>
        <v>0</v>
      </c>
      <c r="CM88" s="1" t="n">
        <f aca="false">IF($D$32=1,MAX(0,SUM(Model!$J41:CM41)+SUM(Model!$J88:CM88)),0)</f>
        <v>0</v>
      </c>
      <c r="CN88" s="1" t="n">
        <f aca="false">IF($D$32=1,MAX(0,SUM(Model!$J41:CN41)+SUM(Model!$J88:CN88)),0)</f>
        <v>0</v>
      </c>
      <c r="CO88" s="1" t="n">
        <f aca="false">IF($D$32=1,MAX(0,SUM(Model!$J41:CO41)+SUM(Model!$J88:CO88)),0)</f>
        <v>0</v>
      </c>
      <c r="CP88" s="1" t="n">
        <f aca="false">IF($D$32=1,MAX(0,SUM(Model!$J41:CP41)+SUM(Model!$J88:CP88)),0)</f>
        <v>0</v>
      </c>
      <c r="CQ88" s="1" t="n">
        <f aca="false">IF($D$32=1,MAX(0,SUM(Model!$J41:CQ41)+SUM(Model!$J88:CQ88)),0)</f>
        <v>0</v>
      </c>
      <c r="CR88" s="1" t="n">
        <f aca="false">IF($D$32=1,MAX(0,SUM(Model!$J41:CR41)+SUM(Model!$J88:CR88)),0)</f>
        <v>0</v>
      </c>
      <c r="CS88" s="1" t="n">
        <f aca="false">IF($D$32=1,MAX(0,SUM(Model!$J41:CS41)+SUM(Model!$J88:CS88)),0)</f>
        <v>0</v>
      </c>
      <c r="CT88" s="1" t="n">
        <f aca="false">IF($D$32=1,MAX(0,SUM(Model!$J41:CT41)+SUM(Model!$J88:CT88)),0)</f>
        <v>0</v>
      </c>
      <c r="CU88" s="1" t="n">
        <f aca="false">IF($D$32=1,MAX(0,SUM(Model!$J41:CU41)+SUM(Model!$J88:CU88)),0)</f>
        <v>0</v>
      </c>
      <c r="CV88" s="1" t="n">
        <f aca="false">IF($D$32=1,MAX(0,SUM(Model!$J41:CV41)+SUM(Model!$J88:CV88)),0)</f>
        <v>0</v>
      </c>
      <c r="CW88" s="1" t="n">
        <f aca="false">IF($D$32=1,MAX(0,SUM(Model!$J41:CW41)+SUM(Model!$J88:CW88)),0)</f>
        <v>0</v>
      </c>
      <c r="CX88" s="1" t="n">
        <f aca="false">IF($D$32=1,MAX(0,SUM(Model!$J41:CX41)+SUM(Model!$J88:CX88)),0)</f>
        <v>0</v>
      </c>
      <c r="CY88" s="1" t="n">
        <f aca="false">IF($D$32=1,MAX(0,SUM(Model!$J41:CY41)+SUM(Model!$J88:CY88)),0)</f>
        <v>0</v>
      </c>
      <c r="CZ88" s="1" t="n">
        <f aca="false">IF($D$32=1,MAX(0,SUM(Model!$J41:CZ41)+SUM(Model!$J88:CZ88)),0)</f>
        <v>0</v>
      </c>
      <c r="DA88" s="1" t="n">
        <f aca="false">IF($D$32=1,MAX(0,SUM(Model!$J41:DA41)+SUM(Model!$J88:DA88)),0)</f>
        <v>0</v>
      </c>
      <c r="DB88" s="1" t="n">
        <f aca="false">IF($D$32=1,MAX(0,SUM(Model!$J41:DB41)+SUM(Model!$J88:DB88)),0)</f>
        <v>0</v>
      </c>
      <c r="DC88" s="1" t="n">
        <f aca="false">IF($D$32=1,MAX(0,SUM(Model!$J41:DC41)+SUM(Model!$J88:DC88)),0)</f>
        <v>0</v>
      </c>
      <c r="DD88" s="1" t="n">
        <f aca="false">IF($D$32=1,MAX(0,SUM(Model!$J41:DD41)+SUM(Model!$J88:DD88)),0)</f>
        <v>0</v>
      </c>
      <c r="DE88" s="1" t="n">
        <f aca="false">IF($D$32=1,MAX(0,SUM(Model!$J41:DE41)+SUM(Model!$J88:DE88)),0)</f>
        <v>0</v>
      </c>
    </row>
    <row r="89" customFormat="false" ht="13.5" hidden="false" customHeight="true" outlineLevel="0" collapsed="false">
      <c r="A89" s="1" t="str">
        <f aca="false">$B$33</f>
        <v>BD-17</v>
      </c>
      <c r="B89" s="1" t="n">
        <v>0</v>
      </c>
      <c r="C89" s="1" t="n">
        <v>0</v>
      </c>
      <c r="D89" s="1" t="n">
        <v>0</v>
      </c>
      <c r="E89" s="1" t="n">
        <v>0</v>
      </c>
      <c r="F89" s="1" t="n">
        <v>0</v>
      </c>
      <c r="G89" s="1" t="n">
        <v>0</v>
      </c>
      <c r="H89" s="1" t="n">
        <v>0</v>
      </c>
      <c r="I89" s="1" t="n">
        <v>0</v>
      </c>
      <c r="J89" s="1" t="n">
        <f aca="false">IF($D$33=1,MAX(0,SUM(Model!$J42:J42)+SUM(Model!$J89:J89)),0)</f>
        <v>0</v>
      </c>
      <c r="K89" s="1" t="n">
        <f aca="false">IF($D$33=1,MAX(0,SUM(Model!$J42:K42)+SUM(Model!$J89:K89)),0)</f>
        <v>0</v>
      </c>
      <c r="L89" s="1" t="n">
        <f aca="false">IF($D$33=1,MAX(0,SUM(Model!$J42:L42)+SUM(Model!$J89:L89)),0)</f>
        <v>0</v>
      </c>
      <c r="M89" s="1" t="n">
        <f aca="false">IF($D$33=1,MAX(0,SUM(Model!$J42:M42)+SUM(Model!$J89:M89)),0)</f>
        <v>0</v>
      </c>
      <c r="N89" s="1" t="n">
        <f aca="false">IF($D$33=1,MAX(0,SUM(Model!$J42:N42)+SUM(Model!$J89:N89)),0)</f>
        <v>0</v>
      </c>
      <c r="O89" s="1" t="n">
        <f aca="false">IF($D$33=1,MAX(0,SUM(Model!$J42:O42)+SUM(Model!$J89:O89)),0)</f>
        <v>0</v>
      </c>
      <c r="P89" s="1" t="n">
        <f aca="false">IF($D$33=1,MAX(0,SUM(Model!$J42:P42)+SUM(Model!$J89:P89)),0)</f>
        <v>0</v>
      </c>
      <c r="Q89" s="1" t="n">
        <f aca="false">IF($D$33=1,MAX(0,SUM(Model!$J42:Q42)+SUM(Model!$J89:Q89)),0)</f>
        <v>0</v>
      </c>
      <c r="R89" s="1" t="n">
        <f aca="false">IF($D$33=1,MAX(0,SUM(Model!$J42:R42)+SUM(Model!$J89:R89)),0)</f>
        <v>0</v>
      </c>
      <c r="S89" s="1" t="n">
        <f aca="false">IF($D$33=1,MAX(0,SUM(Model!$J42:S42)+SUM(Model!$J89:S89)),0)</f>
        <v>0</v>
      </c>
      <c r="T89" s="1" t="n">
        <f aca="false">IF($D$33=1,MAX(0,SUM(Model!$J42:T42)+SUM(Model!$J89:T89)),0)</f>
        <v>0</v>
      </c>
      <c r="U89" s="1" t="n">
        <f aca="false">IF($D$33=1,MAX(0,SUM(Model!$J42:U42)+SUM(Model!$J89:U89)),0)</f>
        <v>0</v>
      </c>
      <c r="V89" s="1" t="n">
        <f aca="false">IF($D$33=1,MAX(0,SUM(Model!$J42:V42)+SUM(Model!$J89:V89)),0)</f>
        <v>0</v>
      </c>
      <c r="W89" s="1" t="n">
        <f aca="false">IF($D$33=1,MAX(0,SUM(Model!$J42:W42)+SUM(Model!$J89:W89)),0)</f>
        <v>0</v>
      </c>
      <c r="X89" s="1" t="n">
        <f aca="false">IF($D$33=1,MAX(0,SUM(Model!$J42:X42)+SUM(Model!$J89:X89)),0)</f>
        <v>0</v>
      </c>
      <c r="Y89" s="1" t="n">
        <f aca="false">IF($D$33=1,MAX(0,SUM(Model!$J42:Y42)+SUM(Model!$J89:Y89)),0)</f>
        <v>0</v>
      </c>
      <c r="Z89" s="1" t="n">
        <f aca="false">IF($D$33=1,MAX(0,SUM(Model!$J42:Z42)+SUM(Model!$J89:Z89)),0)</f>
        <v>0</v>
      </c>
      <c r="AA89" s="1" t="n">
        <f aca="false">IF($D$33=1,MAX(0,SUM(Model!$J42:AA42)+SUM(Model!$J89:AA89)),0)</f>
        <v>0</v>
      </c>
      <c r="AB89" s="1" t="n">
        <f aca="false">IF($D$33=1,MAX(0,SUM(Model!$J42:AB42)+SUM(Model!$J89:AB89)),0)</f>
        <v>0</v>
      </c>
      <c r="AC89" s="1" t="n">
        <f aca="false">IF($D$33=1,MAX(0,SUM(Model!$J42:AC42)+SUM(Model!$J89:AC89)),0)</f>
        <v>0</v>
      </c>
      <c r="AD89" s="1" t="n">
        <f aca="false">IF($D$33=1,MAX(0,SUM(Model!$J42:AD42)+SUM(Model!$J89:AD89)),0)</f>
        <v>0</v>
      </c>
      <c r="AE89" s="1" t="n">
        <f aca="false">IF($D$33=1,MAX(0,SUM(Model!$J42:AE42)+SUM(Model!$J89:AE89)),0)</f>
        <v>0</v>
      </c>
      <c r="AF89" s="1" t="n">
        <f aca="false">IF($D$33=1,MAX(0,SUM(Model!$J42:AF42)+SUM(Model!$J89:AF89)),0)</f>
        <v>0</v>
      </c>
      <c r="AG89" s="1" t="n">
        <f aca="false">IF($D$33=1,MAX(0,SUM(Model!$J42:AG42)+SUM(Model!$J89:AG89)),0)</f>
        <v>0</v>
      </c>
      <c r="AH89" s="1" t="n">
        <f aca="false">IF($D$33=1,MAX(0,SUM(Model!$J42:AH42)+SUM(Model!$J89:AH89)),0)</f>
        <v>0</v>
      </c>
      <c r="AI89" s="1" t="n">
        <f aca="false">IF($D$33=1,MAX(0,SUM(Model!$J42:AI42)+SUM(Model!$J89:AI89)),0)</f>
        <v>0</v>
      </c>
      <c r="AJ89" s="1" t="n">
        <f aca="false">IF($D$33=1,MAX(0,SUM(Model!$J42:AJ42)+SUM(Model!$J89:AJ89)),0)</f>
        <v>0</v>
      </c>
      <c r="AK89" s="1" t="n">
        <f aca="false">IF($D$33=1,MAX(0,SUM(Model!$J42:AK42)+SUM(Model!$J89:AK89)),0)</f>
        <v>0</v>
      </c>
      <c r="AL89" s="1" t="n">
        <f aca="false">IF($D$33=1,MAX(0,SUM(Model!$J42:AL42)+SUM(Model!$J89:AL89)),0)</f>
        <v>0</v>
      </c>
      <c r="AM89" s="1" t="n">
        <f aca="false">IF($D$33=1,MAX(0,SUM(Model!$J42:AM42)+SUM(Model!$J89:AM89)),0)</f>
        <v>0</v>
      </c>
      <c r="AN89" s="1" t="n">
        <f aca="false">IF($D$33=1,MAX(0,SUM(Model!$J42:AN42)+SUM(Model!$J89:AN89)),0)</f>
        <v>0</v>
      </c>
      <c r="AO89" s="1" t="n">
        <f aca="false">IF($D$33=1,MAX(0,SUM(Model!$J42:AO42)+SUM(Model!$J89:AO89)),0)</f>
        <v>0</v>
      </c>
      <c r="AP89" s="1" t="n">
        <f aca="false">IF($D$33=1,MAX(0,SUM(Model!$J42:AP42)+SUM(Model!$J89:AP89)),0)</f>
        <v>0</v>
      </c>
      <c r="AQ89" s="1" t="n">
        <f aca="false">IF($D$33=1,MAX(0,SUM(Model!$J42:AQ42)+SUM(Model!$J89:AQ89)),0)</f>
        <v>0</v>
      </c>
      <c r="AR89" s="1" t="n">
        <f aca="false">IF($D$33=1,MAX(0,SUM(Model!$J42:AR42)+SUM(Model!$J89:AR89)),0)</f>
        <v>0</v>
      </c>
      <c r="AS89" s="1" t="n">
        <f aca="false">IF($D$33=1,MAX(0,SUM(Model!$J42:AS42)+SUM(Model!$J89:AS89)),0)</f>
        <v>0</v>
      </c>
      <c r="AT89" s="1" t="n">
        <f aca="false">IF($D$33=1,MAX(0,SUM(Model!$J42:AT42)+SUM(Model!$J89:AT89)),0)</f>
        <v>0</v>
      </c>
      <c r="AU89" s="1" t="n">
        <f aca="false">IF($D$33=1,MAX(0,SUM(Model!$J42:AU42)+SUM(Model!$J89:AU89)),0)</f>
        <v>0</v>
      </c>
      <c r="AV89" s="1" t="n">
        <f aca="false">IF($D$33=1,MAX(0,SUM(Model!$J42:AV42)+SUM(Model!$J89:AV89)),0)</f>
        <v>0</v>
      </c>
      <c r="AW89" s="1" t="n">
        <f aca="false">IF($D$33=1,MAX(0,SUM(Model!$J42:AW42)+SUM(Model!$J89:AW89)),0)</f>
        <v>0</v>
      </c>
      <c r="AX89" s="1" t="n">
        <f aca="false">IF($D$33=1,MAX(0,SUM(Model!$J42:AX42)+SUM(Model!$J89:AX89)),0)</f>
        <v>0</v>
      </c>
      <c r="AY89" s="1" t="n">
        <f aca="false">IF($D$33=1,MAX(0,SUM(Model!$J42:AY42)+SUM(Model!$J89:AY89)),0)</f>
        <v>0</v>
      </c>
      <c r="AZ89" s="1" t="n">
        <f aca="false">IF($D$33=1,MAX(0,SUM(Model!$J42:AZ42)+SUM(Model!$J89:AZ89)),0)</f>
        <v>0</v>
      </c>
      <c r="BA89" s="1" t="n">
        <f aca="false">IF($D$33=1,MAX(0,SUM(Model!$J42:BA42)+SUM(Model!$J89:BA89)),0)</f>
        <v>0</v>
      </c>
      <c r="BB89" s="1" t="n">
        <f aca="false">IF($D$33=1,MAX(0,SUM(Model!$J42:BB42)+SUM(Model!$J89:BB89)),0)</f>
        <v>0</v>
      </c>
      <c r="BC89" s="1" t="n">
        <f aca="false">IF($D$33=1,MAX(0,SUM(Model!$J42:BC42)+SUM(Model!$J89:BC89)),0)</f>
        <v>0</v>
      </c>
      <c r="BD89" s="1" t="n">
        <f aca="false">IF($D$33=1,MAX(0,SUM(Model!$J42:BD42)+SUM(Model!$J89:BD89)),0)</f>
        <v>0</v>
      </c>
      <c r="BE89" s="1" t="n">
        <f aca="false">IF($D$33=1,MAX(0,SUM(Model!$J42:BE42)+SUM(Model!$J89:BE89)),0)</f>
        <v>0</v>
      </c>
      <c r="BF89" s="1" t="n">
        <f aca="false">IF($D$33=1,MAX(0,SUM(Model!$J42:BF42)+SUM(Model!$J89:BF89)),0)</f>
        <v>0</v>
      </c>
      <c r="BG89" s="1" t="n">
        <f aca="false">IF($D$33=1,MAX(0,SUM(Model!$J42:BG42)+SUM(Model!$J89:BG89)),0)</f>
        <v>0</v>
      </c>
      <c r="BH89" s="1" t="n">
        <f aca="false">IF($D$33=1,MAX(0,SUM(Model!$J42:BH42)+SUM(Model!$J89:BH89)),0)</f>
        <v>0</v>
      </c>
      <c r="BI89" s="1" t="n">
        <f aca="false">IF($D$33=1,MAX(0,SUM(Model!$J42:BI42)+SUM(Model!$J89:BI89)),0)</f>
        <v>0</v>
      </c>
      <c r="BJ89" s="1" t="n">
        <f aca="false">IF($D$33=1,MAX(0,SUM(Model!$J42:BJ42)+SUM(Model!$J89:BJ89)),0)</f>
        <v>0</v>
      </c>
      <c r="BK89" s="1" t="n">
        <f aca="false">IF($D$33=1,MAX(0,SUM(Model!$J42:BK42)+SUM(Model!$J89:BK89)),0)</f>
        <v>0</v>
      </c>
      <c r="BL89" s="1" t="n">
        <f aca="false">IF($D$33=1,MAX(0,SUM(Model!$J42:BL42)+SUM(Model!$J89:BL89)),0)</f>
        <v>0</v>
      </c>
      <c r="BM89" s="1" t="n">
        <f aca="false">IF($D$33=1,MAX(0,SUM(Model!$J42:BM42)+SUM(Model!$J89:BM89)),0)</f>
        <v>0</v>
      </c>
      <c r="BN89" s="1" t="n">
        <f aca="false">IF($D$33=1,MAX(0,SUM(Model!$J42:BN42)+SUM(Model!$J89:BN89)),0)</f>
        <v>0</v>
      </c>
      <c r="BO89" s="1" t="n">
        <f aca="false">IF($D$33=1,MAX(0,SUM(Model!$J42:BO42)+SUM(Model!$J89:BO89)),0)</f>
        <v>0</v>
      </c>
      <c r="BP89" s="1" t="n">
        <f aca="false">IF($D$33=1,MAX(0,SUM(Model!$J42:BP42)+SUM(Model!$J89:BP89)),0)</f>
        <v>0</v>
      </c>
      <c r="BQ89" s="1" t="n">
        <f aca="false">IF($D$33=1,MAX(0,SUM(Model!$J42:BQ42)+SUM(Model!$J89:BQ89)),0)</f>
        <v>0</v>
      </c>
      <c r="BR89" s="1" t="n">
        <f aca="false">IF($D$33=1,MAX(0,SUM(Model!$J42:BR42)+SUM(Model!$J89:BR89)),0)</f>
        <v>0</v>
      </c>
      <c r="BS89" s="1" t="n">
        <f aca="false">IF($D$33=1,MAX(0,SUM(Model!$J42:BS42)+SUM(Model!$J89:BS89)),0)</f>
        <v>0</v>
      </c>
      <c r="BT89" s="1" t="n">
        <f aca="false">IF($D$33=1,MAX(0,SUM(Model!$J42:BT42)+SUM(Model!$J89:BT89)),0)</f>
        <v>0</v>
      </c>
      <c r="BU89" s="1" t="n">
        <f aca="false">IF($D$33=1,MAX(0,SUM(Model!$J42:BU42)+SUM(Model!$J89:BU89)),0)</f>
        <v>0</v>
      </c>
      <c r="BV89" s="1" t="n">
        <f aca="false">IF($D$33=1,MAX(0,SUM(Model!$J42:BV42)+SUM(Model!$J89:BV89)),0)</f>
        <v>0</v>
      </c>
      <c r="BW89" s="1" t="n">
        <f aca="false">IF($D$33=1,MAX(0,SUM(Model!$J42:BW42)+SUM(Model!$J89:BW89)),0)</f>
        <v>0</v>
      </c>
      <c r="BX89" s="1" t="n">
        <f aca="false">IF($D$33=1,MAX(0,SUM(Model!$J42:BX42)+SUM(Model!$J89:BX89)),0)</f>
        <v>0</v>
      </c>
      <c r="BY89" s="1" t="n">
        <f aca="false">IF($D$33=1,MAX(0,SUM(Model!$J42:BY42)+SUM(Model!$J89:BY89)),0)</f>
        <v>0</v>
      </c>
      <c r="BZ89" s="1" t="n">
        <f aca="false">IF($D$33=1,MAX(0,SUM(Model!$J42:BZ42)+SUM(Model!$J89:BZ89)),0)</f>
        <v>0</v>
      </c>
      <c r="CA89" s="1" t="n">
        <f aca="false">IF($D$33=1,MAX(0,SUM(Model!$J42:CA42)+SUM(Model!$J89:CA89)),0)</f>
        <v>0</v>
      </c>
      <c r="CB89" s="1" t="n">
        <f aca="false">IF($D$33=1,MAX(0,SUM(Model!$J42:CB42)+SUM(Model!$J89:CB89)),0)</f>
        <v>0</v>
      </c>
      <c r="CC89" s="1" t="n">
        <f aca="false">IF($D$33=1,MAX(0,SUM(Model!$J42:CC42)+SUM(Model!$J89:CC89)),0)</f>
        <v>0</v>
      </c>
      <c r="CD89" s="1" t="n">
        <f aca="false">IF($D$33=1,MAX(0,SUM(Model!$J42:CD42)+SUM(Model!$J89:CD89)),0)</f>
        <v>0</v>
      </c>
      <c r="CE89" s="1" t="n">
        <f aca="false">IF($D$33=1,MAX(0,SUM(Model!$J42:CE42)+SUM(Model!$J89:CE89)),0)</f>
        <v>0</v>
      </c>
      <c r="CF89" s="1" t="n">
        <f aca="false">IF($D$33=1,MAX(0,SUM(Model!$J42:CF42)+SUM(Model!$J89:CF89)),0)</f>
        <v>0</v>
      </c>
      <c r="CG89" s="1" t="n">
        <f aca="false">IF($D$33=1,MAX(0,SUM(Model!$J42:CG42)+SUM(Model!$J89:CG89)),0)</f>
        <v>0</v>
      </c>
      <c r="CH89" s="1" t="n">
        <f aca="false">IF($D$33=1,MAX(0,SUM(Model!$J42:CH42)+SUM(Model!$J89:CH89)),0)</f>
        <v>0</v>
      </c>
      <c r="CI89" s="1" t="n">
        <f aca="false">IF($D$33=1,MAX(0,SUM(Model!$J42:CI42)+SUM(Model!$J89:CI89)),0)</f>
        <v>0</v>
      </c>
      <c r="CJ89" s="1" t="n">
        <f aca="false">IF($D$33=1,MAX(0,SUM(Model!$J42:CJ42)+SUM(Model!$J89:CJ89)),0)</f>
        <v>0</v>
      </c>
      <c r="CK89" s="1" t="n">
        <f aca="false">IF($D$33=1,MAX(0,SUM(Model!$J42:CK42)+SUM(Model!$J89:CK89)),0)</f>
        <v>0</v>
      </c>
      <c r="CL89" s="1" t="n">
        <f aca="false">IF($D$33=1,MAX(0,SUM(Model!$J42:CL42)+SUM(Model!$J89:CL89)),0)</f>
        <v>0</v>
      </c>
      <c r="CM89" s="1" t="n">
        <f aca="false">IF($D$33=1,MAX(0,SUM(Model!$J42:CM42)+SUM(Model!$J89:CM89)),0)</f>
        <v>0</v>
      </c>
      <c r="CN89" s="1" t="n">
        <f aca="false">IF($D$33=1,MAX(0,SUM(Model!$J42:CN42)+SUM(Model!$J89:CN89)),0)</f>
        <v>0</v>
      </c>
      <c r="CO89" s="1" t="n">
        <f aca="false">IF($D$33=1,MAX(0,SUM(Model!$J42:CO42)+SUM(Model!$J89:CO89)),0)</f>
        <v>0</v>
      </c>
      <c r="CP89" s="1" t="n">
        <f aca="false">IF($D$33=1,MAX(0,SUM(Model!$J42:CP42)+SUM(Model!$J89:CP89)),0)</f>
        <v>0</v>
      </c>
      <c r="CQ89" s="1" t="n">
        <f aca="false">IF($D$33=1,MAX(0,SUM(Model!$J42:CQ42)+SUM(Model!$J89:CQ89)),0)</f>
        <v>0</v>
      </c>
      <c r="CR89" s="1" t="n">
        <f aca="false">IF($D$33=1,MAX(0,SUM(Model!$J42:CR42)+SUM(Model!$J89:CR89)),0)</f>
        <v>0</v>
      </c>
      <c r="CS89" s="1" t="n">
        <f aca="false">IF($D$33=1,MAX(0,SUM(Model!$J42:CS42)+SUM(Model!$J89:CS89)),0)</f>
        <v>0</v>
      </c>
      <c r="CT89" s="1" t="n">
        <f aca="false">IF($D$33=1,MAX(0,SUM(Model!$J42:CT42)+SUM(Model!$J89:CT89)),0)</f>
        <v>0</v>
      </c>
      <c r="CU89" s="1" t="n">
        <f aca="false">IF($D$33=1,MAX(0,SUM(Model!$J42:CU42)+SUM(Model!$J89:CU89)),0)</f>
        <v>0</v>
      </c>
      <c r="CV89" s="1" t="n">
        <f aca="false">IF($D$33=1,MAX(0,SUM(Model!$J42:CV42)+SUM(Model!$J89:CV89)),0)</f>
        <v>0</v>
      </c>
      <c r="CW89" s="1" t="n">
        <f aca="false">IF($D$33=1,MAX(0,SUM(Model!$J42:CW42)+SUM(Model!$J89:CW89)),0)</f>
        <v>0</v>
      </c>
      <c r="CX89" s="1" t="n">
        <f aca="false">IF($D$33=1,MAX(0,SUM(Model!$J42:CX42)+SUM(Model!$J89:CX89)),0)</f>
        <v>0</v>
      </c>
      <c r="CY89" s="1" t="n">
        <f aca="false">IF($D$33=1,MAX(0,SUM(Model!$J42:CY42)+SUM(Model!$J89:CY89)),0)</f>
        <v>0</v>
      </c>
      <c r="CZ89" s="1" t="n">
        <f aca="false">IF($D$33=1,MAX(0,SUM(Model!$J42:CZ42)+SUM(Model!$J89:CZ89)),0)</f>
        <v>0</v>
      </c>
      <c r="DA89" s="1" t="n">
        <f aca="false">IF($D$33=1,MAX(0,SUM(Model!$J42:DA42)+SUM(Model!$J89:DA89)),0)</f>
        <v>0</v>
      </c>
      <c r="DB89" s="1" t="n">
        <f aca="false">IF($D$33=1,MAX(0,SUM(Model!$J42:DB42)+SUM(Model!$J89:DB89)),0)</f>
        <v>0</v>
      </c>
      <c r="DC89" s="1" t="n">
        <f aca="false">IF($D$33=1,MAX(0,SUM(Model!$J42:DC42)+SUM(Model!$J89:DC89)),0)</f>
        <v>0</v>
      </c>
      <c r="DD89" s="1" t="n">
        <f aca="false">IF($D$33=1,MAX(0,SUM(Model!$J42:DD42)+SUM(Model!$J89:DD89)),0)</f>
        <v>0</v>
      </c>
      <c r="DE89" s="1" t="n">
        <f aca="false">IF($D$33=1,MAX(0,SUM(Model!$J42:DE42)+SUM(Model!$J89:DE89)),0)</f>
        <v>0</v>
      </c>
    </row>
    <row r="90" customFormat="false" ht="13.5" hidden="false" customHeight="true" outlineLevel="0" collapsed="false">
      <c r="A90" s="1" t="str">
        <f aca="false">$B$34</f>
        <v>BD-18</v>
      </c>
      <c r="B90" s="1" t="n">
        <v>0</v>
      </c>
      <c r="C90" s="1" t="n">
        <v>0</v>
      </c>
      <c r="D90" s="1" t="n">
        <v>0</v>
      </c>
      <c r="E90" s="1" t="n">
        <v>0</v>
      </c>
      <c r="F90" s="1" t="n">
        <v>0</v>
      </c>
      <c r="G90" s="1" t="n">
        <v>0</v>
      </c>
      <c r="H90" s="1" t="n">
        <v>0</v>
      </c>
      <c r="I90" s="1" t="n">
        <v>0</v>
      </c>
      <c r="J90" s="1" t="n">
        <f aca="false">IF($D$34=1,MAX(0,SUM(Model!$J43:J43)+SUM(Model!$J90:J90)),0)</f>
        <v>0</v>
      </c>
      <c r="K90" s="1" t="n">
        <f aca="false">IF($D$34=1,MAX(0,SUM(Model!$J43:K43)+SUM(Model!$J90:K90)),0)</f>
        <v>0</v>
      </c>
      <c r="L90" s="1" t="n">
        <f aca="false">IF($D$34=1,MAX(0,SUM(Model!$J43:L43)+SUM(Model!$J90:L90)),0)</f>
        <v>0</v>
      </c>
      <c r="M90" s="1" t="n">
        <f aca="false">IF($D$34=1,MAX(0,SUM(Model!$J43:M43)+SUM(Model!$J90:M90)),0)</f>
        <v>0</v>
      </c>
      <c r="N90" s="1" t="n">
        <f aca="false">IF($D$34=1,MAX(0,SUM(Model!$J43:N43)+SUM(Model!$J90:N90)),0)</f>
        <v>0</v>
      </c>
      <c r="O90" s="1" t="n">
        <f aca="false">IF($D$34=1,MAX(0,SUM(Model!$J43:O43)+SUM(Model!$J90:O90)),0)</f>
        <v>0</v>
      </c>
      <c r="P90" s="1" t="n">
        <f aca="false">IF($D$34=1,MAX(0,SUM(Model!$J43:P43)+SUM(Model!$J90:P90)),0)</f>
        <v>0</v>
      </c>
      <c r="Q90" s="1" t="n">
        <f aca="false">IF($D$34=1,MAX(0,SUM(Model!$J43:Q43)+SUM(Model!$J90:Q90)),0)</f>
        <v>0</v>
      </c>
      <c r="R90" s="1" t="n">
        <f aca="false">IF($D$34=1,MAX(0,SUM(Model!$J43:R43)+SUM(Model!$J90:R90)),0)</f>
        <v>0</v>
      </c>
      <c r="S90" s="1" t="n">
        <f aca="false">IF($D$34=1,MAX(0,SUM(Model!$J43:S43)+SUM(Model!$J90:S90)),0)</f>
        <v>0</v>
      </c>
      <c r="T90" s="1" t="n">
        <f aca="false">IF($D$34=1,MAX(0,SUM(Model!$J43:T43)+SUM(Model!$J90:T90)),0)</f>
        <v>0</v>
      </c>
      <c r="U90" s="1" t="n">
        <f aca="false">IF($D$34=1,MAX(0,SUM(Model!$J43:U43)+SUM(Model!$J90:U90)),0)</f>
        <v>0</v>
      </c>
      <c r="V90" s="1" t="n">
        <f aca="false">IF($D$34=1,MAX(0,SUM(Model!$J43:V43)+SUM(Model!$J90:V90)),0)</f>
        <v>0</v>
      </c>
      <c r="W90" s="1" t="n">
        <f aca="false">IF($D$34=1,MAX(0,SUM(Model!$J43:W43)+SUM(Model!$J90:W90)),0)</f>
        <v>0</v>
      </c>
      <c r="X90" s="1" t="n">
        <f aca="false">IF($D$34=1,MAX(0,SUM(Model!$J43:X43)+SUM(Model!$J90:X90)),0)</f>
        <v>0</v>
      </c>
      <c r="Y90" s="1" t="n">
        <f aca="false">IF($D$34=1,MAX(0,SUM(Model!$J43:Y43)+SUM(Model!$J90:Y90)),0)</f>
        <v>0</v>
      </c>
      <c r="Z90" s="1" t="n">
        <f aca="false">IF($D$34=1,MAX(0,SUM(Model!$J43:Z43)+SUM(Model!$J90:Z90)),0)</f>
        <v>0</v>
      </c>
      <c r="AA90" s="1" t="n">
        <f aca="false">IF($D$34=1,MAX(0,SUM(Model!$J43:AA43)+SUM(Model!$J90:AA90)),0)</f>
        <v>0</v>
      </c>
      <c r="AB90" s="1" t="n">
        <f aca="false">IF($D$34=1,MAX(0,SUM(Model!$J43:AB43)+SUM(Model!$J90:AB90)),0)</f>
        <v>0</v>
      </c>
      <c r="AC90" s="1" t="n">
        <f aca="false">IF($D$34=1,MAX(0,SUM(Model!$J43:AC43)+SUM(Model!$J90:AC90)),0)</f>
        <v>0</v>
      </c>
      <c r="AD90" s="1" t="n">
        <f aca="false">IF($D$34=1,MAX(0,SUM(Model!$J43:AD43)+SUM(Model!$J90:AD90)),0)</f>
        <v>0</v>
      </c>
      <c r="AE90" s="1" t="n">
        <f aca="false">IF($D$34=1,MAX(0,SUM(Model!$J43:AE43)+SUM(Model!$J90:AE90)),0)</f>
        <v>0</v>
      </c>
      <c r="AF90" s="1" t="n">
        <f aca="false">IF($D$34=1,MAX(0,SUM(Model!$J43:AF43)+SUM(Model!$J90:AF90)),0)</f>
        <v>0</v>
      </c>
      <c r="AG90" s="1" t="n">
        <f aca="false">IF($D$34=1,MAX(0,SUM(Model!$J43:AG43)+SUM(Model!$J90:AG90)),0)</f>
        <v>0</v>
      </c>
      <c r="AH90" s="1" t="n">
        <f aca="false">IF($D$34=1,MAX(0,SUM(Model!$J43:AH43)+SUM(Model!$J90:AH90)),0)</f>
        <v>0</v>
      </c>
      <c r="AI90" s="1" t="n">
        <f aca="false">IF($D$34=1,MAX(0,SUM(Model!$J43:AI43)+SUM(Model!$J90:AI90)),0)</f>
        <v>0</v>
      </c>
      <c r="AJ90" s="1" t="n">
        <f aca="false">IF($D$34=1,MAX(0,SUM(Model!$J43:AJ43)+SUM(Model!$J90:AJ90)),0)</f>
        <v>0</v>
      </c>
      <c r="AK90" s="1" t="n">
        <f aca="false">IF($D$34=1,MAX(0,SUM(Model!$J43:AK43)+SUM(Model!$J90:AK90)),0)</f>
        <v>0</v>
      </c>
      <c r="AL90" s="1" t="n">
        <f aca="false">IF($D$34=1,MAX(0,SUM(Model!$J43:AL43)+SUM(Model!$J90:AL90)),0)</f>
        <v>0</v>
      </c>
      <c r="AM90" s="1" t="n">
        <f aca="false">IF($D$34=1,MAX(0,SUM(Model!$J43:AM43)+SUM(Model!$J90:AM90)),0)</f>
        <v>0</v>
      </c>
      <c r="AN90" s="1" t="n">
        <f aca="false">IF($D$34=1,MAX(0,SUM(Model!$J43:AN43)+SUM(Model!$J90:AN90)),0)</f>
        <v>0</v>
      </c>
      <c r="AO90" s="1" t="n">
        <f aca="false">IF($D$34=1,MAX(0,SUM(Model!$J43:AO43)+SUM(Model!$J90:AO90)),0)</f>
        <v>0</v>
      </c>
      <c r="AP90" s="1" t="n">
        <f aca="false">IF($D$34=1,MAX(0,SUM(Model!$J43:AP43)+SUM(Model!$J90:AP90)),0)</f>
        <v>0</v>
      </c>
      <c r="AQ90" s="1" t="n">
        <f aca="false">IF($D$34=1,MAX(0,SUM(Model!$J43:AQ43)+SUM(Model!$J90:AQ90)),0)</f>
        <v>0</v>
      </c>
      <c r="AR90" s="1" t="n">
        <f aca="false">IF($D$34=1,MAX(0,SUM(Model!$J43:AR43)+SUM(Model!$J90:AR90)),0)</f>
        <v>0</v>
      </c>
      <c r="AS90" s="1" t="n">
        <f aca="false">IF($D$34=1,MAX(0,SUM(Model!$J43:AS43)+SUM(Model!$J90:AS90)),0)</f>
        <v>0</v>
      </c>
      <c r="AT90" s="1" t="n">
        <f aca="false">IF($D$34=1,MAX(0,SUM(Model!$J43:AT43)+SUM(Model!$J90:AT90)),0)</f>
        <v>0</v>
      </c>
      <c r="AU90" s="1" t="n">
        <f aca="false">IF($D$34=1,MAX(0,SUM(Model!$J43:AU43)+SUM(Model!$J90:AU90)),0)</f>
        <v>0</v>
      </c>
      <c r="AV90" s="1" t="n">
        <f aca="false">IF($D$34=1,MAX(0,SUM(Model!$J43:AV43)+SUM(Model!$J90:AV90)),0)</f>
        <v>0</v>
      </c>
      <c r="AW90" s="1" t="n">
        <f aca="false">IF($D$34=1,MAX(0,SUM(Model!$J43:AW43)+SUM(Model!$J90:AW90)),0)</f>
        <v>0</v>
      </c>
      <c r="AX90" s="1" t="n">
        <f aca="false">IF($D$34=1,MAX(0,SUM(Model!$J43:AX43)+SUM(Model!$J90:AX90)),0)</f>
        <v>0</v>
      </c>
      <c r="AY90" s="1" t="n">
        <f aca="false">IF($D$34=1,MAX(0,SUM(Model!$J43:AY43)+SUM(Model!$J90:AY90)),0)</f>
        <v>0</v>
      </c>
      <c r="AZ90" s="1" t="n">
        <f aca="false">IF($D$34=1,MAX(0,SUM(Model!$J43:AZ43)+SUM(Model!$J90:AZ90)),0)</f>
        <v>0</v>
      </c>
      <c r="BA90" s="1" t="n">
        <f aca="false">IF($D$34=1,MAX(0,SUM(Model!$J43:BA43)+SUM(Model!$J90:BA90)),0)</f>
        <v>0</v>
      </c>
      <c r="BB90" s="1" t="n">
        <f aca="false">IF($D$34=1,MAX(0,SUM(Model!$J43:BB43)+SUM(Model!$J90:BB90)),0)</f>
        <v>0</v>
      </c>
      <c r="BC90" s="1" t="n">
        <f aca="false">IF($D$34=1,MAX(0,SUM(Model!$J43:BC43)+SUM(Model!$J90:BC90)),0)</f>
        <v>0</v>
      </c>
      <c r="BD90" s="1" t="n">
        <f aca="false">IF($D$34=1,MAX(0,SUM(Model!$J43:BD43)+SUM(Model!$J90:BD90)),0)</f>
        <v>0</v>
      </c>
      <c r="BE90" s="1" t="n">
        <f aca="false">IF($D$34=1,MAX(0,SUM(Model!$J43:BE43)+SUM(Model!$J90:BE90)),0)</f>
        <v>0</v>
      </c>
      <c r="BF90" s="1" t="n">
        <f aca="false">IF($D$34=1,MAX(0,SUM(Model!$J43:BF43)+SUM(Model!$J90:BF90)),0)</f>
        <v>0</v>
      </c>
      <c r="BG90" s="1" t="n">
        <f aca="false">IF($D$34=1,MAX(0,SUM(Model!$J43:BG43)+SUM(Model!$J90:BG90)),0)</f>
        <v>0</v>
      </c>
      <c r="BH90" s="1" t="n">
        <f aca="false">IF($D$34=1,MAX(0,SUM(Model!$J43:BH43)+SUM(Model!$J90:BH90)),0)</f>
        <v>0</v>
      </c>
      <c r="BI90" s="1" t="n">
        <f aca="false">IF($D$34=1,MAX(0,SUM(Model!$J43:BI43)+SUM(Model!$J90:BI90)),0)</f>
        <v>0</v>
      </c>
      <c r="BJ90" s="1" t="n">
        <f aca="false">IF($D$34=1,MAX(0,SUM(Model!$J43:BJ43)+SUM(Model!$J90:BJ90)),0)</f>
        <v>0</v>
      </c>
      <c r="BK90" s="1" t="n">
        <f aca="false">IF($D$34=1,MAX(0,SUM(Model!$J43:BK43)+SUM(Model!$J90:BK90)),0)</f>
        <v>0</v>
      </c>
      <c r="BL90" s="1" t="n">
        <f aca="false">IF($D$34=1,MAX(0,SUM(Model!$J43:BL43)+SUM(Model!$J90:BL90)),0)</f>
        <v>0</v>
      </c>
      <c r="BM90" s="1" t="n">
        <f aca="false">IF($D$34=1,MAX(0,SUM(Model!$J43:BM43)+SUM(Model!$J90:BM90)),0)</f>
        <v>0</v>
      </c>
      <c r="BN90" s="1" t="n">
        <f aca="false">IF($D$34=1,MAX(0,SUM(Model!$J43:BN43)+SUM(Model!$J90:BN90)),0)</f>
        <v>0</v>
      </c>
      <c r="BO90" s="1" t="n">
        <f aca="false">IF($D$34=1,MAX(0,SUM(Model!$J43:BO43)+SUM(Model!$J90:BO90)),0)</f>
        <v>0</v>
      </c>
      <c r="BP90" s="1" t="n">
        <f aca="false">IF($D$34=1,MAX(0,SUM(Model!$J43:BP43)+SUM(Model!$J90:BP90)),0)</f>
        <v>0</v>
      </c>
      <c r="BQ90" s="1" t="n">
        <f aca="false">IF($D$34=1,MAX(0,SUM(Model!$J43:BQ43)+SUM(Model!$J90:BQ90)),0)</f>
        <v>0</v>
      </c>
      <c r="BR90" s="1" t="n">
        <f aca="false">IF($D$34=1,MAX(0,SUM(Model!$J43:BR43)+SUM(Model!$J90:BR90)),0)</f>
        <v>0</v>
      </c>
      <c r="BS90" s="1" t="n">
        <f aca="false">IF($D$34=1,MAX(0,SUM(Model!$J43:BS43)+SUM(Model!$J90:BS90)),0)</f>
        <v>0</v>
      </c>
      <c r="BT90" s="1" t="n">
        <f aca="false">IF($D$34=1,MAX(0,SUM(Model!$J43:BT43)+SUM(Model!$J90:BT90)),0)</f>
        <v>0</v>
      </c>
      <c r="BU90" s="1" t="n">
        <f aca="false">IF($D$34=1,MAX(0,SUM(Model!$J43:BU43)+SUM(Model!$J90:BU90)),0)</f>
        <v>0</v>
      </c>
      <c r="BV90" s="1" t="n">
        <f aca="false">IF($D$34=1,MAX(0,SUM(Model!$J43:BV43)+SUM(Model!$J90:BV90)),0)</f>
        <v>0</v>
      </c>
      <c r="BW90" s="1" t="n">
        <f aca="false">IF($D$34=1,MAX(0,SUM(Model!$J43:BW43)+SUM(Model!$J90:BW90)),0)</f>
        <v>0</v>
      </c>
      <c r="BX90" s="1" t="n">
        <f aca="false">IF($D$34=1,MAX(0,SUM(Model!$J43:BX43)+SUM(Model!$J90:BX90)),0)</f>
        <v>0</v>
      </c>
      <c r="BY90" s="1" t="n">
        <f aca="false">IF($D$34=1,MAX(0,SUM(Model!$J43:BY43)+SUM(Model!$J90:BY90)),0)</f>
        <v>0</v>
      </c>
      <c r="BZ90" s="1" t="n">
        <f aca="false">IF($D$34=1,MAX(0,SUM(Model!$J43:BZ43)+SUM(Model!$J90:BZ90)),0)</f>
        <v>0</v>
      </c>
      <c r="CA90" s="1" t="n">
        <f aca="false">IF($D$34=1,MAX(0,SUM(Model!$J43:CA43)+SUM(Model!$J90:CA90)),0)</f>
        <v>0</v>
      </c>
      <c r="CB90" s="1" t="n">
        <f aca="false">IF($D$34=1,MAX(0,SUM(Model!$J43:CB43)+SUM(Model!$J90:CB90)),0)</f>
        <v>0</v>
      </c>
      <c r="CC90" s="1" t="n">
        <f aca="false">IF($D$34=1,MAX(0,SUM(Model!$J43:CC43)+SUM(Model!$J90:CC90)),0)</f>
        <v>0</v>
      </c>
      <c r="CD90" s="1" t="n">
        <f aca="false">IF($D$34=1,MAX(0,SUM(Model!$J43:CD43)+SUM(Model!$J90:CD90)),0)</f>
        <v>0</v>
      </c>
      <c r="CE90" s="1" t="n">
        <f aca="false">IF($D$34=1,MAX(0,SUM(Model!$J43:CE43)+SUM(Model!$J90:CE90)),0)</f>
        <v>0</v>
      </c>
      <c r="CF90" s="1" t="n">
        <f aca="false">IF($D$34=1,MAX(0,SUM(Model!$J43:CF43)+SUM(Model!$J90:CF90)),0)</f>
        <v>0</v>
      </c>
      <c r="CG90" s="1" t="n">
        <f aca="false">IF($D$34=1,MAX(0,SUM(Model!$J43:CG43)+SUM(Model!$J90:CG90)),0)</f>
        <v>0</v>
      </c>
      <c r="CH90" s="1" t="n">
        <f aca="false">IF($D$34=1,MAX(0,SUM(Model!$J43:CH43)+SUM(Model!$J90:CH90)),0)</f>
        <v>0</v>
      </c>
      <c r="CI90" s="1" t="n">
        <f aca="false">IF($D$34=1,MAX(0,SUM(Model!$J43:CI43)+SUM(Model!$J90:CI90)),0)</f>
        <v>0</v>
      </c>
      <c r="CJ90" s="1" t="n">
        <f aca="false">IF($D$34=1,MAX(0,SUM(Model!$J43:CJ43)+SUM(Model!$J90:CJ90)),0)</f>
        <v>0</v>
      </c>
      <c r="CK90" s="1" t="n">
        <f aca="false">IF($D$34=1,MAX(0,SUM(Model!$J43:CK43)+SUM(Model!$J90:CK90)),0)</f>
        <v>0</v>
      </c>
      <c r="CL90" s="1" t="n">
        <f aca="false">IF($D$34=1,MAX(0,SUM(Model!$J43:CL43)+SUM(Model!$J90:CL90)),0)</f>
        <v>0</v>
      </c>
      <c r="CM90" s="1" t="n">
        <f aca="false">IF($D$34=1,MAX(0,SUM(Model!$J43:CM43)+SUM(Model!$J90:CM90)),0)</f>
        <v>0</v>
      </c>
      <c r="CN90" s="1" t="n">
        <f aca="false">IF($D$34=1,MAX(0,SUM(Model!$J43:CN43)+SUM(Model!$J90:CN90)),0)</f>
        <v>0</v>
      </c>
      <c r="CO90" s="1" t="n">
        <f aca="false">IF($D$34=1,MAX(0,SUM(Model!$J43:CO43)+SUM(Model!$J90:CO90)),0)</f>
        <v>0</v>
      </c>
      <c r="CP90" s="1" t="n">
        <f aca="false">IF($D$34=1,MAX(0,SUM(Model!$J43:CP43)+SUM(Model!$J90:CP90)),0)</f>
        <v>0</v>
      </c>
      <c r="CQ90" s="1" t="n">
        <f aca="false">IF($D$34=1,MAX(0,SUM(Model!$J43:CQ43)+SUM(Model!$J90:CQ90)),0)</f>
        <v>0</v>
      </c>
      <c r="CR90" s="1" t="n">
        <f aca="false">IF($D$34=1,MAX(0,SUM(Model!$J43:CR43)+SUM(Model!$J90:CR90)),0)</f>
        <v>0</v>
      </c>
      <c r="CS90" s="1" t="n">
        <f aca="false">IF($D$34=1,MAX(0,SUM(Model!$J43:CS43)+SUM(Model!$J90:CS90)),0)</f>
        <v>0</v>
      </c>
      <c r="CT90" s="1" t="n">
        <f aca="false">IF($D$34=1,MAX(0,SUM(Model!$J43:CT43)+SUM(Model!$J90:CT90)),0)</f>
        <v>0</v>
      </c>
      <c r="CU90" s="1" t="n">
        <f aca="false">IF($D$34=1,MAX(0,SUM(Model!$J43:CU43)+SUM(Model!$J90:CU90)),0)</f>
        <v>0</v>
      </c>
      <c r="CV90" s="1" t="n">
        <f aca="false">IF($D$34=1,MAX(0,SUM(Model!$J43:CV43)+SUM(Model!$J90:CV90)),0)</f>
        <v>0</v>
      </c>
      <c r="CW90" s="1" t="n">
        <f aca="false">IF($D$34=1,MAX(0,SUM(Model!$J43:CW43)+SUM(Model!$J90:CW90)),0)</f>
        <v>0</v>
      </c>
      <c r="CX90" s="1" t="n">
        <f aca="false">IF($D$34=1,MAX(0,SUM(Model!$J43:CX43)+SUM(Model!$J90:CX90)),0)</f>
        <v>0</v>
      </c>
      <c r="CY90" s="1" t="n">
        <f aca="false">IF($D$34=1,MAX(0,SUM(Model!$J43:CY43)+SUM(Model!$J90:CY90)),0)</f>
        <v>0</v>
      </c>
      <c r="CZ90" s="1" t="n">
        <f aca="false">IF($D$34=1,MAX(0,SUM(Model!$J43:CZ43)+SUM(Model!$J90:CZ90)),0)</f>
        <v>0</v>
      </c>
      <c r="DA90" s="1" t="n">
        <f aca="false">IF($D$34=1,MAX(0,SUM(Model!$J43:DA43)+SUM(Model!$J90:DA90)),0)</f>
        <v>0</v>
      </c>
      <c r="DB90" s="1" t="n">
        <f aca="false">IF($D$34=1,MAX(0,SUM(Model!$J43:DB43)+SUM(Model!$J90:DB90)),0)</f>
        <v>0</v>
      </c>
      <c r="DC90" s="1" t="n">
        <f aca="false">IF($D$34=1,MAX(0,SUM(Model!$J43:DC43)+SUM(Model!$J90:DC90)),0)</f>
        <v>0</v>
      </c>
      <c r="DD90" s="1" t="n">
        <f aca="false">IF($D$34=1,MAX(0,SUM(Model!$J43:DD43)+SUM(Model!$J90:DD90)),0)</f>
        <v>0</v>
      </c>
      <c r="DE90" s="1" t="n">
        <f aca="false">IF($D$34=1,MAX(0,SUM(Model!$J43:DE43)+SUM(Model!$J90:DE90)),0)</f>
        <v>0</v>
      </c>
    </row>
    <row r="91" customFormat="false" ht="13.5" hidden="false" customHeight="true" outlineLevel="0" collapsed="false">
      <c r="A91" s="1" t="str">
        <f aca="false">$B$35</f>
        <v>BD-19</v>
      </c>
      <c r="B91" s="1" t="n">
        <v>0</v>
      </c>
      <c r="C91" s="1" t="n">
        <v>0</v>
      </c>
      <c r="D91" s="1" t="n">
        <v>0</v>
      </c>
      <c r="E91" s="1" t="n">
        <v>0</v>
      </c>
      <c r="F91" s="1" t="n">
        <v>0</v>
      </c>
      <c r="G91" s="1" t="n">
        <v>0</v>
      </c>
      <c r="H91" s="1" t="n">
        <v>0</v>
      </c>
      <c r="I91" s="1" t="n">
        <v>0</v>
      </c>
      <c r="J91" s="1" t="n">
        <f aca="false">IF($D$35=1,MAX(0,SUM(Model!$J44:J44)+SUM(Model!$J91:J91)),0)</f>
        <v>0</v>
      </c>
      <c r="K91" s="1" t="n">
        <f aca="false">IF($D$35=1,MAX(0,SUM(Model!$J44:K44)+SUM(Model!$J91:K91)),0)</f>
        <v>0</v>
      </c>
      <c r="L91" s="1" t="n">
        <f aca="false">IF($D$35=1,MAX(0,SUM(Model!$J44:L44)+SUM(Model!$J91:L91)),0)</f>
        <v>0</v>
      </c>
      <c r="M91" s="1" t="n">
        <f aca="false">IF($D$35=1,MAX(0,SUM(Model!$J44:M44)+SUM(Model!$J91:M91)),0)</f>
        <v>0</v>
      </c>
      <c r="N91" s="1" t="n">
        <f aca="false">IF($D$35=1,MAX(0,SUM(Model!$J44:N44)+SUM(Model!$J91:N91)),0)</f>
        <v>0</v>
      </c>
      <c r="O91" s="1" t="n">
        <f aca="false">IF($D$35=1,MAX(0,SUM(Model!$J44:O44)+SUM(Model!$J91:O91)),0)</f>
        <v>0</v>
      </c>
      <c r="P91" s="1" t="n">
        <f aca="false">IF($D$35=1,MAX(0,SUM(Model!$J44:P44)+SUM(Model!$J91:P91)),0)</f>
        <v>0</v>
      </c>
      <c r="Q91" s="1" t="n">
        <f aca="false">IF($D$35=1,MAX(0,SUM(Model!$J44:Q44)+SUM(Model!$J91:Q91)),0)</f>
        <v>0</v>
      </c>
      <c r="R91" s="1" t="n">
        <f aca="false">IF($D$35=1,MAX(0,SUM(Model!$J44:R44)+SUM(Model!$J91:R91)),0)</f>
        <v>0</v>
      </c>
      <c r="S91" s="1" t="n">
        <f aca="false">IF($D$35=1,MAX(0,SUM(Model!$J44:S44)+SUM(Model!$J91:S91)),0)</f>
        <v>0</v>
      </c>
      <c r="T91" s="1" t="n">
        <f aca="false">IF($D$35=1,MAX(0,SUM(Model!$J44:T44)+SUM(Model!$J91:T91)),0)</f>
        <v>0</v>
      </c>
      <c r="U91" s="1" t="n">
        <f aca="false">IF($D$35=1,MAX(0,SUM(Model!$J44:U44)+SUM(Model!$J91:U91)),0)</f>
        <v>0</v>
      </c>
      <c r="V91" s="1" t="n">
        <f aca="false">IF($D$35=1,MAX(0,SUM(Model!$J44:V44)+SUM(Model!$J91:V91)),0)</f>
        <v>0</v>
      </c>
      <c r="W91" s="1" t="n">
        <f aca="false">IF($D$35=1,MAX(0,SUM(Model!$J44:W44)+SUM(Model!$J91:W91)),0)</f>
        <v>0</v>
      </c>
      <c r="X91" s="1" t="n">
        <f aca="false">IF($D$35=1,MAX(0,SUM(Model!$J44:X44)+SUM(Model!$J91:X91)),0)</f>
        <v>0</v>
      </c>
      <c r="Y91" s="1" t="n">
        <f aca="false">IF($D$35=1,MAX(0,SUM(Model!$J44:Y44)+SUM(Model!$J91:Y91)),0)</f>
        <v>0</v>
      </c>
      <c r="Z91" s="1" t="n">
        <f aca="false">IF($D$35=1,MAX(0,SUM(Model!$J44:Z44)+SUM(Model!$J91:Z91)),0)</f>
        <v>0</v>
      </c>
      <c r="AA91" s="1" t="n">
        <f aca="false">IF($D$35=1,MAX(0,SUM(Model!$J44:AA44)+SUM(Model!$J91:AA91)),0)</f>
        <v>0</v>
      </c>
      <c r="AB91" s="1" t="n">
        <f aca="false">IF($D$35=1,MAX(0,SUM(Model!$J44:AB44)+SUM(Model!$J91:AB91)),0)</f>
        <v>0</v>
      </c>
      <c r="AC91" s="1" t="n">
        <f aca="false">IF($D$35=1,MAX(0,SUM(Model!$J44:AC44)+SUM(Model!$J91:AC91)),0)</f>
        <v>0</v>
      </c>
      <c r="AD91" s="1" t="n">
        <f aca="false">IF($D$35=1,MAX(0,SUM(Model!$J44:AD44)+SUM(Model!$J91:AD91)),0)</f>
        <v>0</v>
      </c>
      <c r="AE91" s="1" t="n">
        <f aca="false">IF($D$35=1,MAX(0,SUM(Model!$J44:AE44)+SUM(Model!$J91:AE91)),0)</f>
        <v>0</v>
      </c>
      <c r="AF91" s="1" t="n">
        <f aca="false">IF($D$35=1,MAX(0,SUM(Model!$J44:AF44)+SUM(Model!$J91:AF91)),0)</f>
        <v>0</v>
      </c>
      <c r="AG91" s="1" t="n">
        <f aca="false">IF($D$35=1,MAX(0,SUM(Model!$J44:AG44)+SUM(Model!$J91:AG91)),0)</f>
        <v>0</v>
      </c>
      <c r="AH91" s="1" t="n">
        <f aca="false">IF($D$35=1,MAX(0,SUM(Model!$J44:AH44)+SUM(Model!$J91:AH91)),0)</f>
        <v>0</v>
      </c>
      <c r="AI91" s="1" t="n">
        <f aca="false">IF($D$35=1,MAX(0,SUM(Model!$J44:AI44)+SUM(Model!$J91:AI91)),0)</f>
        <v>0</v>
      </c>
      <c r="AJ91" s="1" t="n">
        <f aca="false">IF($D$35=1,MAX(0,SUM(Model!$J44:AJ44)+SUM(Model!$J91:AJ91)),0)</f>
        <v>0</v>
      </c>
      <c r="AK91" s="1" t="n">
        <f aca="false">IF($D$35=1,MAX(0,SUM(Model!$J44:AK44)+SUM(Model!$J91:AK91)),0)</f>
        <v>0</v>
      </c>
      <c r="AL91" s="1" t="n">
        <f aca="false">IF($D$35=1,MAX(0,SUM(Model!$J44:AL44)+SUM(Model!$J91:AL91)),0)</f>
        <v>0</v>
      </c>
      <c r="AM91" s="1" t="n">
        <f aca="false">IF($D$35=1,MAX(0,SUM(Model!$J44:AM44)+SUM(Model!$J91:AM91)),0)</f>
        <v>0</v>
      </c>
      <c r="AN91" s="1" t="n">
        <f aca="false">IF($D$35=1,MAX(0,SUM(Model!$J44:AN44)+SUM(Model!$J91:AN91)),0)</f>
        <v>0</v>
      </c>
      <c r="AO91" s="1" t="n">
        <f aca="false">IF($D$35=1,MAX(0,SUM(Model!$J44:AO44)+SUM(Model!$J91:AO91)),0)</f>
        <v>0</v>
      </c>
      <c r="AP91" s="1" t="n">
        <f aca="false">IF($D$35=1,MAX(0,SUM(Model!$J44:AP44)+SUM(Model!$J91:AP91)),0)</f>
        <v>0</v>
      </c>
      <c r="AQ91" s="1" t="n">
        <f aca="false">IF($D$35=1,MAX(0,SUM(Model!$J44:AQ44)+SUM(Model!$J91:AQ91)),0)</f>
        <v>0</v>
      </c>
      <c r="AR91" s="1" t="n">
        <f aca="false">IF($D$35=1,MAX(0,SUM(Model!$J44:AR44)+SUM(Model!$J91:AR91)),0)</f>
        <v>0</v>
      </c>
      <c r="AS91" s="1" t="n">
        <f aca="false">IF($D$35=1,MAX(0,SUM(Model!$J44:AS44)+SUM(Model!$J91:AS91)),0)</f>
        <v>0</v>
      </c>
      <c r="AT91" s="1" t="n">
        <f aca="false">IF($D$35=1,MAX(0,SUM(Model!$J44:AT44)+SUM(Model!$J91:AT91)),0)</f>
        <v>0</v>
      </c>
      <c r="AU91" s="1" t="n">
        <f aca="false">IF($D$35=1,MAX(0,SUM(Model!$J44:AU44)+SUM(Model!$J91:AU91)),0)</f>
        <v>0</v>
      </c>
      <c r="AV91" s="1" t="n">
        <f aca="false">IF($D$35=1,MAX(0,SUM(Model!$J44:AV44)+SUM(Model!$J91:AV91)),0)</f>
        <v>0</v>
      </c>
      <c r="AW91" s="1" t="n">
        <f aca="false">IF($D$35=1,MAX(0,SUM(Model!$J44:AW44)+SUM(Model!$J91:AW91)),0)</f>
        <v>0</v>
      </c>
      <c r="AX91" s="1" t="n">
        <f aca="false">IF($D$35=1,MAX(0,SUM(Model!$J44:AX44)+SUM(Model!$J91:AX91)),0)</f>
        <v>0</v>
      </c>
      <c r="AY91" s="1" t="n">
        <f aca="false">IF($D$35=1,MAX(0,SUM(Model!$J44:AY44)+SUM(Model!$J91:AY91)),0)</f>
        <v>0</v>
      </c>
      <c r="AZ91" s="1" t="n">
        <f aca="false">IF($D$35=1,MAX(0,SUM(Model!$J44:AZ44)+SUM(Model!$J91:AZ91)),0)</f>
        <v>0</v>
      </c>
      <c r="BA91" s="1" t="n">
        <f aca="false">IF($D$35=1,MAX(0,SUM(Model!$J44:BA44)+SUM(Model!$J91:BA91)),0)</f>
        <v>0</v>
      </c>
      <c r="BB91" s="1" t="n">
        <f aca="false">IF($D$35=1,MAX(0,SUM(Model!$J44:BB44)+SUM(Model!$J91:BB91)),0)</f>
        <v>0</v>
      </c>
      <c r="BC91" s="1" t="n">
        <f aca="false">IF($D$35=1,MAX(0,SUM(Model!$J44:BC44)+SUM(Model!$J91:BC91)),0)</f>
        <v>0</v>
      </c>
      <c r="BD91" s="1" t="n">
        <f aca="false">IF($D$35=1,MAX(0,SUM(Model!$J44:BD44)+SUM(Model!$J91:BD91)),0)</f>
        <v>0</v>
      </c>
      <c r="BE91" s="1" t="n">
        <f aca="false">IF($D$35=1,MAX(0,SUM(Model!$J44:BE44)+SUM(Model!$J91:BE91)),0)</f>
        <v>0</v>
      </c>
      <c r="BF91" s="1" t="n">
        <f aca="false">IF($D$35=1,MAX(0,SUM(Model!$J44:BF44)+SUM(Model!$J91:BF91)),0)</f>
        <v>0</v>
      </c>
      <c r="BG91" s="1" t="n">
        <f aca="false">IF($D$35=1,MAX(0,SUM(Model!$J44:BG44)+SUM(Model!$J91:BG91)),0)</f>
        <v>0</v>
      </c>
      <c r="BH91" s="1" t="n">
        <f aca="false">IF($D$35=1,MAX(0,SUM(Model!$J44:BH44)+SUM(Model!$J91:BH91)),0)</f>
        <v>0</v>
      </c>
      <c r="BI91" s="1" t="n">
        <f aca="false">IF($D$35=1,MAX(0,SUM(Model!$J44:BI44)+SUM(Model!$J91:BI91)),0)</f>
        <v>0</v>
      </c>
      <c r="BJ91" s="1" t="n">
        <f aca="false">IF($D$35=1,MAX(0,SUM(Model!$J44:BJ44)+SUM(Model!$J91:BJ91)),0)</f>
        <v>0</v>
      </c>
      <c r="BK91" s="1" t="n">
        <f aca="false">IF($D$35=1,MAX(0,SUM(Model!$J44:BK44)+SUM(Model!$J91:BK91)),0)</f>
        <v>0</v>
      </c>
      <c r="BL91" s="1" t="n">
        <f aca="false">IF($D$35=1,MAX(0,SUM(Model!$J44:BL44)+SUM(Model!$J91:BL91)),0)</f>
        <v>0</v>
      </c>
      <c r="BM91" s="1" t="n">
        <f aca="false">IF($D$35=1,MAX(0,SUM(Model!$J44:BM44)+SUM(Model!$J91:BM91)),0)</f>
        <v>0</v>
      </c>
      <c r="BN91" s="1" t="n">
        <f aca="false">IF($D$35=1,MAX(0,SUM(Model!$J44:BN44)+SUM(Model!$J91:BN91)),0)</f>
        <v>0</v>
      </c>
      <c r="BO91" s="1" t="n">
        <f aca="false">IF($D$35=1,MAX(0,SUM(Model!$J44:BO44)+SUM(Model!$J91:BO91)),0)</f>
        <v>0</v>
      </c>
      <c r="BP91" s="1" t="n">
        <f aca="false">IF($D$35=1,MAX(0,SUM(Model!$J44:BP44)+SUM(Model!$J91:BP91)),0)</f>
        <v>0</v>
      </c>
      <c r="BQ91" s="1" t="n">
        <f aca="false">IF($D$35=1,MAX(0,SUM(Model!$J44:BQ44)+SUM(Model!$J91:BQ91)),0)</f>
        <v>0</v>
      </c>
      <c r="BR91" s="1" t="n">
        <f aca="false">IF($D$35=1,MAX(0,SUM(Model!$J44:BR44)+SUM(Model!$J91:BR91)),0)</f>
        <v>0</v>
      </c>
      <c r="BS91" s="1" t="n">
        <f aca="false">IF($D$35=1,MAX(0,SUM(Model!$J44:BS44)+SUM(Model!$J91:BS91)),0)</f>
        <v>0</v>
      </c>
      <c r="BT91" s="1" t="n">
        <f aca="false">IF($D$35=1,MAX(0,SUM(Model!$J44:BT44)+SUM(Model!$J91:BT91)),0)</f>
        <v>0</v>
      </c>
      <c r="BU91" s="1" t="n">
        <f aca="false">IF($D$35=1,MAX(0,SUM(Model!$J44:BU44)+SUM(Model!$J91:BU91)),0)</f>
        <v>0</v>
      </c>
      <c r="BV91" s="1" t="n">
        <f aca="false">IF($D$35=1,MAX(0,SUM(Model!$J44:BV44)+SUM(Model!$J91:BV91)),0)</f>
        <v>0</v>
      </c>
      <c r="BW91" s="1" t="n">
        <f aca="false">IF($D$35=1,MAX(0,SUM(Model!$J44:BW44)+SUM(Model!$J91:BW91)),0)</f>
        <v>0</v>
      </c>
      <c r="BX91" s="1" t="n">
        <f aca="false">IF($D$35=1,MAX(0,SUM(Model!$J44:BX44)+SUM(Model!$J91:BX91)),0)</f>
        <v>0</v>
      </c>
      <c r="BY91" s="1" t="n">
        <f aca="false">IF($D$35=1,MAX(0,SUM(Model!$J44:BY44)+SUM(Model!$J91:BY91)),0)</f>
        <v>0</v>
      </c>
      <c r="BZ91" s="1" t="n">
        <f aca="false">IF($D$35=1,MAX(0,SUM(Model!$J44:BZ44)+SUM(Model!$J91:BZ91)),0)</f>
        <v>0</v>
      </c>
      <c r="CA91" s="1" t="n">
        <f aca="false">IF($D$35=1,MAX(0,SUM(Model!$J44:CA44)+SUM(Model!$J91:CA91)),0)</f>
        <v>0</v>
      </c>
      <c r="CB91" s="1" t="n">
        <f aca="false">IF($D$35=1,MAX(0,SUM(Model!$J44:CB44)+SUM(Model!$J91:CB91)),0)</f>
        <v>0</v>
      </c>
      <c r="CC91" s="1" t="n">
        <f aca="false">IF($D$35=1,MAX(0,SUM(Model!$J44:CC44)+SUM(Model!$J91:CC91)),0)</f>
        <v>0</v>
      </c>
      <c r="CD91" s="1" t="n">
        <f aca="false">IF($D$35=1,MAX(0,SUM(Model!$J44:CD44)+SUM(Model!$J91:CD91)),0)</f>
        <v>0</v>
      </c>
      <c r="CE91" s="1" t="n">
        <f aca="false">IF($D$35=1,MAX(0,SUM(Model!$J44:CE44)+SUM(Model!$J91:CE91)),0)</f>
        <v>0</v>
      </c>
      <c r="CF91" s="1" t="n">
        <f aca="false">IF($D$35=1,MAX(0,SUM(Model!$J44:CF44)+SUM(Model!$J91:CF91)),0)</f>
        <v>0</v>
      </c>
      <c r="CG91" s="1" t="n">
        <f aca="false">IF($D$35=1,MAX(0,SUM(Model!$J44:CG44)+SUM(Model!$J91:CG91)),0)</f>
        <v>0</v>
      </c>
      <c r="CH91" s="1" t="n">
        <f aca="false">IF($D$35=1,MAX(0,SUM(Model!$J44:CH44)+SUM(Model!$J91:CH91)),0)</f>
        <v>0</v>
      </c>
      <c r="CI91" s="1" t="n">
        <f aca="false">IF($D$35=1,MAX(0,SUM(Model!$J44:CI44)+SUM(Model!$J91:CI91)),0)</f>
        <v>0</v>
      </c>
      <c r="CJ91" s="1" t="n">
        <f aca="false">IF($D$35=1,MAX(0,SUM(Model!$J44:CJ44)+SUM(Model!$J91:CJ91)),0)</f>
        <v>0</v>
      </c>
      <c r="CK91" s="1" t="n">
        <f aca="false">IF($D$35=1,MAX(0,SUM(Model!$J44:CK44)+SUM(Model!$J91:CK91)),0)</f>
        <v>0</v>
      </c>
      <c r="CL91" s="1" t="n">
        <f aca="false">IF($D$35=1,MAX(0,SUM(Model!$J44:CL44)+SUM(Model!$J91:CL91)),0)</f>
        <v>0</v>
      </c>
      <c r="CM91" s="1" t="n">
        <f aca="false">IF($D$35=1,MAX(0,SUM(Model!$J44:CM44)+SUM(Model!$J91:CM91)),0)</f>
        <v>0</v>
      </c>
      <c r="CN91" s="1" t="n">
        <f aca="false">IF($D$35=1,MAX(0,SUM(Model!$J44:CN44)+SUM(Model!$J91:CN91)),0)</f>
        <v>0</v>
      </c>
      <c r="CO91" s="1" t="n">
        <f aca="false">IF($D$35=1,MAX(0,SUM(Model!$J44:CO44)+SUM(Model!$J91:CO91)),0)</f>
        <v>0</v>
      </c>
      <c r="CP91" s="1" t="n">
        <f aca="false">IF($D$35=1,MAX(0,SUM(Model!$J44:CP44)+SUM(Model!$J91:CP91)),0)</f>
        <v>0</v>
      </c>
      <c r="CQ91" s="1" t="n">
        <f aca="false">IF($D$35=1,MAX(0,SUM(Model!$J44:CQ44)+SUM(Model!$J91:CQ91)),0)</f>
        <v>0</v>
      </c>
      <c r="CR91" s="1" t="n">
        <f aca="false">IF($D$35=1,MAX(0,SUM(Model!$J44:CR44)+SUM(Model!$J91:CR91)),0)</f>
        <v>0</v>
      </c>
      <c r="CS91" s="1" t="n">
        <f aca="false">IF($D$35=1,MAX(0,SUM(Model!$J44:CS44)+SUM(Model!$J91:CS91)),0)</f>
        <v>0</v>
      </c>
      <c r="CT91" s="1" t="n">
        <f aca="false">IF($D$35=1,MAX(0,SUM(Model!$J44:CT44)+SUM(Model!$J91:CT91)),0)</f>
        <v>0</v>
      </c>
      <c r="CU91" s="1" t="n">
        <f aca="false">IF($D$35=1,MAX(0,SUM(Model!$J44:CU44)+SUM(Model!$J91:CU91)),0)</f>
        <v>0</v>
      </c>
      <c r="CV91" s="1" t="n">
        <f aca="false">IF($D$35=1,MAX(0,SUM(Model!$J44:CV44)+SUM(Model!$J91:CV91)),0)</f>
        <v>0</v>
      </c>
      <c r="CW91" s="1" t="n">
        <f aca="false">IF($D$35=1,MAX(0,SUM(Model!$J44:CW44)+SUM(Model!$J91:CW91)),0)</f>
        <v>0</v>
      </c>
      <c r="CX91" s="1" t="n">
        <f aca="false">IF($D$35=1,MAX(0,SUM(Model!$J44:CX44)+SUM(Model!$J91:CX91)),0)</f>
        <v>0</v>
      </c>
      <c r="CY91" s="1" t="n">
        <f aca="false">IF($D$35=1,MAX(0,SUM(Model!$J44:CY44)+SUM(Model!$J91:CY91)),0)</f>
        <v>0</v>
      </c>
      <c r="CZ91" s="1" t="n">
        <f aca="false">IF($D$35=1,MAX(0,SUM(Model!$J44:CZ44)+SUM(Model!$J91:CZ91)),0)</f>
        <v>0</v>
      </c>
      <c r="DA91" s="1" t="n">
        <f aca="false">IF($D$35=1,MAX(0,SUM(Model!$J44:DA44)+SUM(Model!$J91:DA91)),0)</f>
        <v>0</v>
      </c>
      <c r="DB91" s="1" t="n">
        <f aca="false">IF($D$35=1,MAX(0,SUM(Model!$J44:DB44)+SUM(Model!$J91:DB91)),0)</f>
        <v>0</v>
      </c>
      <c r="DC91" s="1" t="n">
        <f aca="false">IF($D$35=1,MAX(0,SUM(Model!$J44:DC44)+SUM(Model!$J91:DC91)),0)</f>
        <v>0</v>
      </c>
      <c r="DD91" s="1" t="n">
        <f aca="false">IF($D$35=1,MAX(0,SUM(Model!$J44:DD44)+SUM(Model!$J91:DD91)),0)</f>
        <v>0</v>
      </c>
      <c r="DE91" s="1" t="n">
        <f aca="false">IF($D$35=1,MAX(0,SUM(Model!$J44:DE44)+SUM(Model!$J91:DE91)),0)</f>
        <v>0</v>
      </c>
    </row>
    <row r="92" customFormat="false" ht="13.5" hidden="false" customHeight="true" outlineLevel="0" collapsed="false">
      <c r="A92" s="1" t="str">
        <f aca="false">$B$36</f>
        <v>BD-20</v>
      </c>
      <c r="B92" s="1" t="n">
        <v>0</v>
      </c>
      <c r="C92" s="1" t="n">
        <v>0</v>
      </c>
      <c r="D92" s="1" t="n">
        <v>0</v>
      </c>
      <c r="E92" s="1" t="n">
        <v>0</v>
      </c>
      <c r="F92" s="1" t="n">
        <v>0</v>
      </c>
      <c r="G92" s="1" t="n">
        <v>0</v>
      </c>
      <c r="H92" s="1" t="n">
        <v>0</v>
      </c>
      <c r="I92" s="1" t="n">
        <v>0</v>
      </c>
      <c r="J92" s="1" t="n">
        <f aca="false">IF($D$36=1,MAX(0,SUM(Model!$J45:J45)+SUM(Model!$J92:J92)),0)</f>
        <v>0</v>
      </c>
      <c r="K92" s="1" t="n">
        <f aca="false">IF($D$36=1,MAX(0,SUM(Model!$J45:K45)+SUM(Model!$J92:K92)),0)</f>
        <v>0</v>
      </c>
      <c r="L92" s="1" t="n">
        <f aca="false">IF($D$36=1,MAX(0,SUM(Model!$J45:L45)+SUM(Model!$J92:L92)),0)</f>
        <v>0</v>
      </c>
      <c r="M92" s="1" t="n">
        <f aca="false">IF($D$36=1,MAX(0,SUM(Model!$J45:M45)+SUM(Model!$J92:M92)),0)</f>
        <v>0</v>
      </c>
      <c r="N92" s="1" t="n">
        <f aca="false">IF($D$36=1,MAX(0,SUM(Model!$J45:N45)+SUM(Model!$J92:N92)),0)</f>
        <v>0</v>
      </c>
      <c r="O92" s="1" t="n">
        <f aca="false">IF($D$36=1,MAX(0,SUM(Model!$J45:O45)+SUM(Model!$J92:O92)),0)</f>
        <v>0</v>
      </c>
      <c r="P92" s="1" t="n">
        <f aca="false">IF($D$36=1,MAX(0,SUM(Model!$J45:P45)+SUM(Model!$J92:P92)),0)</f>
        <v>0</v>
      </c>
      <c r="Q92" s="1" t="n">
        <f aca="false">IF($D$36=1,MAX(0,SUM(Model!$J45:Q45)+SUM(Model!$J92:Q92)),0)</f>
        <v>0</v>
      </c>
      <c r="R92" s="1" t="n">
        <f aca="false">IF($D$36=1,MAX(0,SUM(Model!$J45:R45)+SUM(Model!$J92:R92)),0)</f>
        <v>0</v>
      </c>
      <c r="S92" s="1" t="n">
        <f aca="false">IF($D$36=1,MAX(0,SUM(Model!$J45:S45)+SUM(Model!$J92:S92)),0)</f>
        <v>0</v>
      </c>
      <c r="T92" s="1" t="n">
        <f aca="false">IF($D$36=1,MAX(0,SUM(Model!$J45:T45)+SUM(Model!$J92:T92)),0)</f>
        <v>0</v>
      </c>
      <c r="U92" s="1" t="n">
        <f aca="false">IF($D$36=1,MAX(0,SUM(Model!$J45:U45)+SUM(Model!$J92:U92)),0)</f>
        <v>0</v>
      </c>
      <c r="V92" s="1" t="n">
        <f aca="false">IF($D$36=1,MAX(0,SUM(Model!$J45:V45)+SUM(Model!$J92:V92)),0)</f>
        <v>0</v>
      </c>
      <c r="W92" s="1" t="n">
        <f aca="false">IF($D$36=1,MAX(0,SUM(Model!$J45:W45)+SUM(Model!$J92:W92)),0)</f>
        <v>0</v>
      </c>
      <c r="X92" s="1" t="n">
        <f aca="false">IF($D$36=1,MAX(0,SUM(Model!$J45:X45)+SUM(Model!$J92:X92)),0)</f>
        <v>0</v>
      </c>
      <c r="Y92" s="1" t="n">
        <f aca="false">IF($D$36=1,MAX(0,SUM(Model!$J45:Y45)+SUM(Model!$J92:Y92)),0)</f>
        <v>0</v>
      </c>
      <c r="Z92" s="1" t="n">
        <f aca="false">IF($D$36=1,MAX(0,SUM(Model!$J45:Z45)+SUM(Model!$J92:Z92)),0)</f>
        <v>0</v>
      </c>
      <c r="AA92" s="1" t="n">
        <f aca="false">IF($D$36=1,MAX(0,SUM(Model!$J45:AA45)+SUM(Model!$J92:AA92)),0)</f>
        <v>0</v>
      </c>
      <c r="AB92" s="1" t="n">
        <f aca="false">IF($D$36=1,MAX(0,SUM(Model!$J45:AB45)+SUM(Model!$J92:AB92)),0)</f>
        <v>0</v>
      </c>
      <c r="AC92" s="1" t="n">
        <f aca="false">IF($D$36=1,MAX(0,SUM(Model!$J45:AC45)+SUM(Model!$J92:AC92)),0)</f>
        <v>0</v>
      </c>
      <c r="AD92" s="1" t="n">
        <f aca="false">IF($D$36=1,MAX(0,SUM(Model!$J45:AD45)+SUM(Model!$J92:AD92)),0)</f>
        <v>0</v>
      </c>
      <c r="AE92" s="1" t="n">
        <f aca="false">IF($D$36=1,MAX(0,SUM(Model!$J45:AE45)+SUM(Model!$J92:AE92)),0)</f>
        <v>0</v>
      </c>
      <c r="AF92" s="1" t="n">
        <f aca="false">IF($D$36=1,MAX(0,SUM(Model!$J45:AF45)+SUM(Model!$J92:AF92)),0)</f>
        <v>0</v>
      </c>
      <c r="AG92" s="1" t="n">
        <f aca="false">IF($D$36=1,MAX(0,SUM(Model!$J45:AG45)+SUM(Model!$J92:AG92)),0)</f>
        <v>0</v>
      </c>
      <c r="AH92" s="1" t="n">
        <f aca="false">IF($D$36=1,MAX(0,SUM(Model!$J45:AH45)+SUM(Model!$J92:AH92)),0)</f>
        <v>0</v>
      </c>
      <c r="AI92" s="1" t="n">
        <f aca="false">IF($D$36=1,MAX(0,SUM(Model!$J45:AI45)+SUM(Model!$J92:AI92)),0)</f>
        <v>0</v>
      </c>
      <c r="AJ92" s="1" t="n">
        <f aca="false">IF($D$36=1,MAX(0,SUM(Model!$J45:AJ45)+SUM(Model!$J92:AJ92)),0)</f>
        <v>0</v>
      </c>
      <c r="AK92" s="1" t="n">
        <f aca="false">IF($D$36=1,MAX(0,SUM(Model!$J45:AK45)+SUM(Model!$J92:AK92)),0)</f>
        <v>0</v>
      </c>
      <c r="AL92" s="1" t="n">
        <f aca="false">IF($D$36=1,MAX(0,SUM(Model!$J45:AL45)+SUM(Model!$J92:AL92)),0)</f>
        <v>0</v>
      </c>
      <c r="AM92" s="1" t="n">
        <f aca="false">IF($D$36=1,MAX(0,SUM(Model!$J45:AM45)+SUM(Model!$J92:AM92)),0)</f>
        <v>0</v>
      </c>
      <c r="AN92" s="1" t="n">
        <f aca="false">IF($D$36=1,MAX(0,SUM(Model!$J45:AN45)+SUM(Model!$J92:AN92)),0)</f>
        <v>0</v>
      </c>
      <c r="AO92" s="1" t="n">
        <f aca="false">IF($D$36=1,MAX(0,SUM(Model!$J45:AO45)+SUM(Model!$J92:AO92)),0)</f>
        <v>0</v>
      </c>
      <c r="AP92" s="1" t="n">
        <f aca="false">IF($D$36=1,MAX(0,SUM(Model!$J45:AP45)+SUM(Model!$J92:AP92)),0)</f>
        <v>0</v>
      </c>
      <c r="AQ92" s="1" t="n">
        <f aca="false">IF($D$36=1,MAX(0,SUM(Model!$J45:AQ45)+SUM(Model!$J92:AQ92)),0)</f>
        <v>0</v>
      </c>
      <c r="AR92" s="1" t="n">
        <f aca="false">IF($D$36=1,MAX(0,SUM(Model!$J45:AR45)+SUM(Model!$J92:AR92)),0)</f>
        <v>0</v>
      </c>
      <c r="AS92" s="1" t="n">
        <f aca="false">IF($D$36=1,MAX(0,SUM(Model!$J45:AS45)+SUM(Model!$J92:AS92)),0)</f>
        <v>0</v>
      </c>
      <c r="AT92" s="1" t="n">
        <f aca="false">IF($D$36=1,MAX(0,SUM(Model!$J45:AT45)+SUM(Model!$J92:AT92)),0)</f>
        <v>0</v>
      </c>
      <c r="AU92" s="1" t="n">
        <f aca="false">IF($D$36=1,MAX(0,SUM(Model!$J45:AU45)+SUM(Model!$J92:AU92)),0)</f>
        <v>0</v>
      </c>
      <c r="AV92" s="1" t="n">
        <f aca="false">IF($D$36=1,MAX(0,SUM(Model!$J45:AV45)+SUM(Model!$J92:AV92)),0)</f>
        <v>0</v>
      </c>
      <c r="AW92" s="1" t="n">
        <f aca="false">IF($D$36=1,MAX(0,SUM(Model!$J45:AW45)+SUM(Model!$J92:AW92)),0)</f>
        <v>0</v>
      </c>
      <c r="AX92" s="1" t="n">
        <f aca="false">IF($D$36=1,MAX(0,SUM(Model!$J45:AX45)+SUM(Model!$J92:AX92)),0)</f>
        <v>0</v>
      </c>
      <c r="AY92" s="1" t="n">
        <f aca="false">IF($D$36=1,MAX(0,SUM(Model!$J45:AY45)+SUM(Model!$J92:AY92)),0)</f>
        <v>0</v>
      </c>
      <c r="AZ92" s="1" t="n">
        <f aca="false">IF($D$36=1,MAX(0,SUM(Model!$J45:AZ45)+SUM(Model!$J92:AZ92)),0)</f>
        <v>0</v>
      </c>
      <c r="BA92" s="1" t="n">
        <f aca="false">IF($D$36=1,MAX(0,SUM(Model!$J45:BA45)+SUM(Model!$J92:BA92)),0)</f>
        <v>0</v>
      </c>
      <c r="BB92" s="1" t="n">
        <f aca="false">IF($D$36=1,MAX(0,SUM(Model!$J45:BB45)+SUM(Model!$J92:BB92)),0)</f>
        <v>0</v>
      </c>
      <c r="BC92" s="1" t="n">
        <f aca="false">IF($D$36=1,MAX(0,SUM(Model!$J45:BC45)+SUM(Model!$J92:BC92)),0)</f>
        <v>0</v>
      </c>
      <c r="BD92" s="1" t="n">
        <f aca="false">IF($D$36=1,MAX(0,SUM(Model!$J45:BD45)+SUM(Model!$J92:BD92)),0)</f>
        <v>0</v>
      </c>
      <c r="BE92" s="1" t="n">
        <f aca="false">IF($D$36=1,MAX(0,SUM(Model!$J45:BE45)+SUM(Model!$J92:BE92)),0)</f>
        <v>0</v>
      </c>
      <c r="BF92" s="1" t="n">
        <f aca="false">IF($D$36=1,MAX(0,SUM(Model!$J45:BF45)+SUM(Model!$J92:BF92)),0)</f>
        <v>0</v>
      </c>
      <c r="BG92" s="1" t="n">
        <f aca="false">IF($D$36=1,MAX(0,SUM(Model!$J45:BG45)+SUM(Model!$J92:BG92)),0)</f>
        <v>0</v>
      </c>
      <c r="BH92" s="1" t="n">
        <f aca="false">IF($D$36=1,MAX(0,SUM(Model!$J45:BH45)+SUM(Model!$J92:BH92)),0)</f>
        <v>0</v>
      </c>
      <c r="BI92" s="1" t="n">
        <f aca="false">IF($D$36=1,MAX(0,SUM(Model!$J45:BI45)+SUM(Model!$J92:BI92)),0)</f>
        <v>0</v>
      </c>
      <c r="BJ92" s="1" t="n">
        <f aca="false">IF($D$36=1,MAX(0,SUM(Model!$J45:BJ45)+SUM(Model!$J92:BJ92)),0)</f>
        <v>0</v>
      </c>
      <c r="BK92" s="1" t="n">
        <f aca="false">IF($D$36=1,MAX(0,SUM(Model!$J45:BK45)+SUM(Model!$J92:BK92)),0)</f>
        <v>0</v>
      </c>
      <c r="BL92" s="1" t="n">
        <f aca="false">IF($D$36=1,MAX(0,SUM(Model!$J45:BL45)+SUM(Model!$J92:BL92)),0)</f>
        <v>0</v>
      </c>
      <c r="BM92" s="1" t="n">
        <f aca="false">IF($D$36=1,MAX(0,SUM(Model!$J45:BM45)+SUM(Model!$J92:BM92)),0)</f>
        <v>0</v>
      </c>
      <c r="BN92" s="1" t="n">
        <f aca="false">IF($D$36=1,MAX(0,SUM(Model!$J45:BN45)+SUM(Model!$J92:BN92)),0)</f>
        <v>0</v>
      </c>
      <c r="BO92" s="1" t="n">
        <f aca="false">IF($D$36=1,MAX(0,SUM(Model!$J45:BO45)+SUM(Model!$J92:BO92)),0)</f>
        <v>0</v>
      </c>
      <c r="BP92" s="1" t="n">
        <f aca="false">IF($D$36=1,MAX(0,SUM(Model!$J45:BP45)+SUM(Model!$J92:BP92)),0)</f>
        <v>0</v>
      </c>
      <c r="BQ92" s="1" t="n">
        <f aca="false">IF($D$36=1,MAX(0,SUM(Model!$J45:BQ45)+SUM(Model!$J92:BQ92)),0)</f>
        <v>0</v>
      </c>
      <c r="BR92" s="1" t="n">
        <f aca="false">IF($D$36=1,MAX(0,SUM(Model!$J45:BR45)+SUM(Model!$J92:BR92)),0)</f>
        <v>0</v>
      </c>
      <c r="BS92" s="1" t="n">
        <f aca="false">IF($D$36=1,MAX(0,SUM(Model!$J45:BS45)+SUM(Model!$J92:BS92)),0)</f>
        <v>0</v>
      </c>
      <c r="BT92" s="1" t="n">
        <f aca="false">IF($D$36=1,MAX(0,SUM(Model!$J45:BT45)+SUM(Model!$J92:BT92)),0)</f>
        <v>0</v>
      </c>
      <c r="BU92" s="1" t="n">
        <f aca="false">IF($D$36=1,MAX(0,SUM(Model!$J45:BU45)+SUM(Model!$J92:BU92)),0)</f>
        <v>0</v>
      </c>
      <c r="BV92" s="1" t="n">
        <f aca="false">IF($D$36=1,MAX(0,SUM(Model!$J45:BV45)+SUM(Model!$J92:BV92)),0)</f>
        <v>0</v>
      </c>
      <c r="BW92" s="1" t="n">
        <f aca="false">IF($D$36=1,MAX(0,SUM(Model!$J45:BW45)+SUM(Model!$J92:BW92)),0)</f>
        <v>0</v>
      </c>
      <c r="BX92" s="1" t="n">
        <f aca="false">IF($D$36=1,MAX(0,SUM(Model!$J45:BX45)+SUM(Model!$J92:BX92)),0)</f>
        <v>0</v>
      </c>
      <c r="BY92" s="1" t="n">
        <f aca="false">IF($D$36=1,MAX(0,SUM(Model!$J45:BY45)+SUM(Model!$J92:BY92)),0)</f>
        <v>0</v>
      </c>
      <c r="BZ92" s="1" t="n">
        <f aca="false">IF($D$36=1,MAX(0,SUM(Model!$J45:BZ45)+SUM(Model!$J92:BZ92)),0)</f>
        <v>0</v>
      </c>
      <c r="CA92" s="1" t="n">
        <f aca="false">IF($D$36=1,MAX(0,SUM(Model!$J45:CA45)+SUM(Model!$J92:CA92)),0)</f>
        <v>0</v>
      </c>
      <c r="CB92" s="1" t="n">
        <f aca="false">IF($D$36=1,MAX(0,SUM(Model!$J45:CB45)+SUM(Model!$J92:CB92)),0)</f>
        <v>0</v>
      </c>
      <c r="CC92" s="1" t="n">
        <f aca="false">IF($D$36=1,MAX(0,SUM(Model!$J45:CC45)+SUM(Model!$J92:CC92)),0)</f>
        <v>0</v>
      </c>
      <c r="CD92" s="1" t="n">
        <f aca="false">IF($D$36=1,MAX(0,SUM(Model!$J45:CD45)+SUM(Model!$J92:CD92)),0)</f>
        <v>0</v>
      </c>
      <c r="CE92" s="1" t="n">
        <f aca="false">IF($D$36=1,MAX(0,SUM(Model!$J45:CE45)+SUM(Model!$J92:CE92)),0)</f>
        <v>0</v>
      </c>
      <c r="CF92" s="1" t="n">
        <f aca="false">IF($D$36=1,MAX(0,SUM(Model!$J45:CF45)+SUM(Model!$J92:CF92)),0)</f>
        <v>0</v>
      </c>
      <c r="CG92" s="1" t="n">
        <f aca="false">IF($D$36=1,MAX(0,SUM(Model!$J45:CG45)+SUM(Model!$J92:CG92)),0)</f>
        <v>0</v>
      </c>
      <c r="CH92" s="1" t="n">
        <f aca="false">IF($D$36=1,MAX(0,SUM(Model!$J45:CH45)+SUM(Model!$J92:CH92)),0)</f>
        <v>0</v>
      </c>
      <c r="CI92" s="1" t="n">
        <f aca="false">IF($D$36=1,MAX(0,SUM(Model!$J45:CI45)+SUM(Model!$J92:CI92)),0)</f>
        <v>0</v>
      </c>
      <c r="CJ92" s="1" t="n">
        <f aca="false">IF($D$36=1,MAX(0,SUM(Model!$J45:CJ45)+SUM(Model!$J92:CJ92)),0)</f>
        <v>0</v>
      </c>
      <c r="CK92" s="1" t="n">
        <f aca="false">IF($D$36=1,MAX(0,SUM(Model!$J45:CK45)+SUM(Model!$J92:CK92)),0)</f>
        <v>0</v>
      </c>
      <c r="CL92" s="1" t="n">
        <f aca="false">IF($D$36=1,MAX(0,SUM(Model!$J45:CL45)+SUM(Model!$J92:CL92)),0)</f>
        <v>0</v>
      </c>
      <c r="CM92" s="1" t="n">
        <f aca="false">IF($D$36=1,MAX(0,SUM(Model!$J45:CM45)+SUM(Model!$J92:CM92)),0)</f>
        <v>0</v>
      </c>
      <c r="CN92" s="1" t="n">
        <f aca="false">IF($D$36=1,MAX(0,SUM(Model!$J45:CN45)+SUM(Model!$J92:CN92)),0)</f>
        <v>0</v>
      </c>
      <c r="CO92" s="1" t="n">
        <f aca="false">IF($D$36=1,MAX(0,SUM(Model!$J45:CO45)+SUM(Model!$J92:CO92)),0)</f>
        <v>0</v>
      </c>
      <c r="CP92" s="1" t="n">
        <f aca="false">IF($D$36=1,MAX(0,SUM(Model!$J45:CP45)+SUM(Model!$J92:CP92)),0)</f>
        <v>0</v>
      </c>
      <c r="CQ92" s="1" t="n">
        <f aca="false">IF($D$36=1,MAX(0,SUM(Model!$J45:CQ45)+SUM(Model!$J92:CQ92)),0)</f>
        <v>0</v>
      </c>
      <c r="CR92" s="1" t="n">
        <f aca="false">IF($D$36=1,MAX(0,SUM(Model!$J45:CR45)+SUM(Model!$J92:CR92)),0)</f>
        <v>0</v>
      </c>
      <c r="CS92" s="1" t="n">
        <f aca="false">IF($D$36=1,MAX(0,SUM(Model!$J45:CS45)+SUM(Model!$J92:CS92)),0)</f>
        <v>0</v>
      </c>
      <c r="CT92" s="1" t="n">
        <f aca="false">IF($D$36=1,MAX(0,SUM(Model!$J45:CT45)+SUM(Model!$J92:CT92)),0)</f>
        <v>0</v>
      </c>
      <c r="CU92" s="1" t="n">
        <f aca="false">IF($D$36=1,MAX(0,SUM(Model!$J45:CU45)+SUM(Model!$J92:CU92)),0)</f>
        <v>0</v>
      </c>
      <c r="CV92" s="1" t="n">
        <f aca="false">IF($D$36=1,MAX(0,SUM(Model!$J45:CV45)+SUM(Model!$J92:CV92)),0)</f>
        <v>0</v>
      </c>
      <c r="CW92" s="1" t="n">
        <f aca="false">IF($D$36=1,MAX(0,SUM(Model!$J45:CW45)+SUM(Model!$J92:CW92)),0)</f>
        <v>0</v>
      </c>
      <c r="CX92" s="1" t="n">
        <f aca="false">IF($D$36=1,MAX(0,SUM(Model!$J45:CX45)+SUM(Model!$J92:CX92)),0)</f>
        <v>0</v>
      </c>
      <c r="CY92" s="1" t="n">
        <f aca="false">IF($D$36=1,MAX(0,SUM(Model!$J45:CY45)+SUM(Model!$J92:CY92)),0)</f>
        <v>0</v>
      </c>
      <c r="CZ92" s="1" t="n">
        <f aca="false">IF($D$36=1,MAX(0,SUM(Model!$J45:CZ45)+SUM(Model!$J92:CZ92)),0)</f>
        <v>0</v>
      </c>
      <c r="DA92" s="1" t="n">
        <f aca="false">IF($D$36=1,MAX(0,SUM(Model!$J45:DA45)+SUM(Model!$J92:DA92)),0)</f>
        <v>0</v>
      </c>
      <c r="DB92" s="1" t="n">
        <f aca="false">IF($D$36=1,MAX(0,SUM(Model!$J45:DB45)+SUM(Model!$J92:DB92)),0)</f>
        <v>0</v>
      </c>
      <c r="DC92" s="1" t="n">
        <f aca="false">IF($D$36=1,MAX(0,SUM(Model!$J45:DC45)+SUM(Model!$J92:DC92)),0)</f>
        <v>0</v>
      </c>
      <c r="DD92" s="1" t="n">
        <f aca="false">IF($D$36=1,MAX(0,SUM(Model!$J45:DD45)+SUM(Model!$J92:DD92)),0)</f>
        <v>0</v>
      </c>
      <c r="DE92" s="1" t="n">
        <f aca="false">IF($D$36=1,MAX(0,SUM(Model!$J45:DE45)+SUM(Model!$J92:DE92)),0)</f>
        <v>0</v>
      </c>
    </row>
    <row r="93" customFormat="false" ht="13.5" hidden="false" customHeight="true" outlineLevel="0" collapsed="false">
      <c r="A93" s="1" t="str">
        <f aca="false">$B$37</f>
        <v>BD-21</v>
      </c>
      <c r="B93" s="1" t="n">
        <v>0</v>
      </c>
      <c r="C93" s="1" t="n">
        <v>0</v>
      </c>
      <c r="D93" s="1" t="n">
        <v>0</v>
      </c>
      <c r="E93" s="1" t="n">
        <v>0</v>
      </c>
      <c r="F93" s="1" t="n">
        <v>0</v>
      </c>
      <c r="G93" s="1" t="n">
        <v>0</v>
      </c>
      <c r="H93" s="1" t="n">
        <v>0</v>
      </c>
      <c r="I93" s="1" t="n">
        <v>0</v>
      </c>
      <c r="J93" s="1" t="n">
        <f aca="false">IF($D$37=1,MAX(0,SUM(Model!$J46:J46)+SUM(Model!$J93:J93)),0)</f>
        <v>0</v>
      </c>
      <c r="K93" s="1" t="n">
        <f aca="false">IF($D$37=1,MAX(0,SUM(Model!$J46:K46)+SUM(Model!$J93:K93)),0)</f>
        <v>0</v>
      </c>
      <c r="L93" s="1" t="n">
        <f aca="false">IF($D$37=1,MAX(0,SUM(Model!$J46:L46)+SUM(Model!$J93:L93)),0)</f>
        <v>0</v>
      </c>
      <c r="M93" s="1" t="n">
        <f aca="false">IF($D$37=1,MAX(0,SUM(Model!$J46:M46)+SUM(Model!$J93:M93)),0)</f>
        <v>0</v>
      </c>
      <c r="N93" s="1" t="n">
        <f aca="false">IF($D$37=1,MAX(0,SUM(Model!$J46:N46)+SUM(Model!$J93:N93)),0)</f>
        <v>0</v>
      </c>
      <c r="O93" s="1" t="n">
        <f aca="false">IF($D$37=1,MAX(0,SUM(Model!$J46:O46)+SUM(Model!$J93:O93)),0)</f>
        <v>0</v>
      </c>
      <c r="P93" s="1" t="n">
        <f aca="false">IF($D$37=1,MAX(0,SUM(Model!$J46:P46)+SUM(Model!$J93:P93)),0)</f>
        <v>0</v>
      </c>
      <c r="Q93" s="1" t="n">
        <f aca="false">IF($D$37=1,MAX(0,SUM(Model!$J46:Q46)+SUM(Model!$J93:Q93)),0)</f>
        <v>0</v>
      </c>
      <c r="R93" s="1" t="n">
        <f aca="false">IF($D$37=1,MAX(0,SUM(Model!$J46:R46)+SUM(Model!$J93:R93)),0)</f>
        <v>0</v>
      </c>
      <c r="S93" s="1" t="n">
        <f aca="false">IF($D$37=1,MAX(0,SUM(Model!$J46:S46)+SUM(Model!$J93:S93)),0)</f>
        <v>0</v>
      </c>
      <c r="T93" s="1" t="n">
        <f aca="false">IF($D$37=1,MAX(0,SUM(Model!$J46:T46)+SUM(Model!$J93:T93)),0)</f>
        <v>0</v>
      </c>
      <c r="U93" s="1" t="n">
        <f aca="false">IF($D$37=1,MAX(0,SUM(Model!$J46:U46)+SUM(Model!$J93:U93)),0)</f>
        <v>0</v>
      </c>
      <c r="V93" s="1" t="n">
        <f aca="false">IF($D$37=1,MAX(0,SUM(Model!$J46:V46)+SUM(Model!$J93:V93)),0)</f>
        <v>0</v>
      </c>
      <c r="W93" s="1" t="n">
        <f aca="false">IF($D$37=1,MAX(0,SUM(Model!$J46:W46)+SUM(Model!$J93:W93)),0)</f>
        <v>0</v>
      </c>
      <c r="X93" s="1" t="n">
        <f aca="false">IF($D$37=1,MAX(0,SUM(Model!$J46:X46)+SUM(Model!$J93:X93)),0)</f>
        <v>0</v>
      </c>
      <c r="Y93" s="1" t="n">
        <f aca="false">IF($D$37=1,MAX(0,SUM(Model!$J46:Y46)+SUM(Model!$J93:Y93)),0)</f>
        <v>0</v>
      </c>
      <c r="Z93" s="1" t="n">
        <f aca="false">IF($D$37=1,MAX(0,SUM(Model!$J46:Z46)+SUM(Model!$J93:Z93)),0)</f>
        <v>0</v>
      </c>
      <c r="AA93" s="1" t="n">
        <f aca="false">IF($D$37=1,MAX(0,SUM(Model!$J46:AA46)+SUM(Model!$J93:AA93)),0)</f>
        <v>0</v>
      </c>
      <c r="AB93" s="1" t="n">
        <f aca="false">IF($D$37=1,MAX(0,SUM(Model!$J46:AB46)+SUM(Model!$J93:AB93)),0)</f>
        <v>0</v>
      </c>
      <c r="AC93" s="1" t="n">
        <f aca="false">IF($D$37=1,MAX(0,SUM(Model!$J46:AC46)+SUM(Model!$J93:AC93)),0)</f>
        <v>0</v>
      </c>
      <c r="AD93" s="1" t="n">
        <f aca="false">IF($D$37=1,MAX(0,SUM(Model!$J46:AD46)+SUM(Model!$J93:AD93)),0)</f>
        <v>0</v>
      </c>
      <c r="AE93" s="1" t="n">
        <f aca="false">IF($D$37=1,MAX(0,SUM(Model!$J46:AE46)+SUM(Model!$J93:AE93)),0)</f>
        <v>0</v>
      </c>
      <c r="AF93" s="1" t="n">
        <f aca="false">IF($D$37=1,MAX(0,SUM(Model!$J46:AF46)+SUM(Model!$J93:AF93)),0)</f>
        <v>0</v>
      </c>
      <c r="AG93" s="1" t="n">
        <f aca="false">IF($D$37=1,MAX(0,SUM(Model!$J46:AG46)+SUM(Model!$J93:AG93)),0)</f>
        <v>0</v>
      </c>
      <c r="AH93" s="1" t="n">
        <f aca="false">IF($D$37=1,MAX(0,SUM(Model!$J46:AH46)+SUM(Model!$J93:AH93)),0)</f>
        <v>0</v>
      </c>
      <c r="AI93" s="1" t="n">
        <f aca="false">IF($D$37=1,MAX(0,SUM(Model!$J46:AI46)+SUM(Model!$J93:AI93)),0)</f>
        <v>0</v>
      </c>
      <c r="AJ93" s="1" t="n">
        <f aca="false">IF($D$37=1,MAX(0,SUM(Model!$J46:AJ46)+SUM(Model!$J93:AJ93)),0)</f>
        <v>0</v>
      </c>
      <c r="AK93" s="1" t="n">
        <f aca="false">IF($D$37=1,MAX(0,SUM(Model!$J46:AK46)+SUM(Model!$J93:AK93)),0)</f>
        <v>0</v>
      </c>
      <c r="AL93" s="1" t="n">
        <f aca="false">IF($D$37=1,MAX(0,SUM(Model!$J46:AL46)+SUM(Model!$J93:AL93)),0)</f>
        <v>0</v>
      </c>
      <c r="AM93" s="1" t="n">
        <f aca="false">IF($D$37=1,MAX(0,SUM(Model!$J46:AM46)+SUM(Model!$J93:AM93)),0)</f>
        <v>0</v>
      </c>
      <c r="AN93" s="1" t="n">
        <f aca="false">IF($D$37=1,MAX(0,SUM(Model!$J46:AN46)+SUM(Model!$J93:AN93)),0)</f>
        <v>0</v>
      </c>
      <c r="AO93" s="1" t="n">
        <f aca="false">IF($D$37=1,MAX(0,SUM(Model!$J46:AO46)+SUM(Model!$J93:AO93)),0)</f>
        <v>0</v>
      </c>
      <c r="AP93" s="1" t="n">
        <f aca="false">IF($D$37=1,MAX(0,SUM(Model!$J46:AP46)+SUM(Model!$J93:AP93)),0)</f>
        <v>0</v>
      </c>
      <c r="AQ93" s="1" t="n">
        <f aca="false">IF($D$37=1,MAX(0,SUM(Model!$J46:AQ46)+SUM(Model!$J93:AQ93)),0)</f>
        <v>0</v>
      </c>
      <c r="AR93" s="1" t="n">
        <f aca="false">IF($D$37=1,MAX(0,SUM(Model!$J46:AR46)+SUM(Model!$J93:AR93)),0)</f>
        <v>0</v>
      </c>
      <c r="AS93" s="1" t="n">
        <f aca="false">IF($D$37=1,MAX(0,SUM(Model!$J46:AS46)+SUM(Model!$J93:AS93)),0)</f>
        <v>0</v>
      </c>
      <c r="AT93" s="1" t="n">
        <f aca="false">IF($D$37=1,MAX(0,SUM(Model!$J46:AT46)+SUM(Model!$J93:AT93)),0)</f>
        <v>0</v>
      </c>
      <c r="AU93" s="1" t="n">
        <f aca="false">IF($D$37=1,MAX(0,SUM(Model!$J46:AU46)+SUM(Model!$J93:AU93)),0)</f>
        <v>0</v>
      </c>
      <c r="AV93" s="1" t="n">
        <f aca="false">IF($D$37=1,MAX(0,SUM(Model!$J46:AV46)+SUM(Model!$J93:AV93)),0)</f>
        <v>0</v>
      </c>
      <c r="AW93" s="1" t="n">
        <f aca="false">IF($D$37=1,MAX(0,SUM(Model!$J46:AW46)+SUM(Model!$J93:AW93)),0)</f>
        <v>0</v>
      </c>
      <c r="AX93" s="1" t="n">
        <f aca="false">IF($D$37=1,MAX(0,SUM(Model!$J46:AX46)+SUM(Model!$J93:AX93)),0)</f>
        <v>0</v>
      </c>
      <c r="AY93" s="1" t="n">
        <f aca="false">IF($D$37=1,MAX(0,SUM(Model!$J46:AY46)+SUM(Model!$J93:AY93)),0)</f>
        <v>0</v>
      </c>
      <c r="AZ93" s="1" t="n">
        <f aca="false">IF($D$37=1,MAX(0,SUM(Model!$J46:AZ46)+SUM(Model!$J93:AZ93)),0)</f>
        <v>0</v>
      </c>
      <c r="BA93" s="1" t="n">
        <f aca="false">IF($D$37=1,MAX(0,SUM(Model!$J46:BA46)+SUM(Model!$J93:BA93)),0)</f>
        <v>0</v>
      </c>
      <c r="BB93" s="1" t="n">
        <f aca="false">IF($D$37=1,MAX(0,SUM(Model!$J46:BB46)+SUM(Model!$J93:BB93)),0)</f>
        <v>0</v>
      </c>
      <c r="BC93" s="1" t="n">
        <f aca="false">IF($D$37=1,MAX(0,SUM(Model!$J46:BC46)+SUM(Model!$J93:BC93)),0)</f>
        <v>0</v>
      </c>
      <c r="BD93" s="1" t="n">
        <f aca="false">IF($D$37=1,MAX(0,SUM(Model!$J46:BD46)+SUM(Model!$J93:BD93)),0)</f>
        <v>0</v>
      </c>
      <c r="BE93" s="1" t="n">
        <f aca="false">IF($D$37=1,MAX(0,SUM(Model!$J46:BE46)+SUM(Model!$J93:BE93)),0)</f>
        <v>0</v>
      </c>
      <c r="BF93" s="1" t="n">
        <f aca="false">IF($D$37=1,MAX(0,SUM(Model!$J46:BF46)+SUM(Model!$J93:BF93)),0)</f>
        <v>0</v>
      </c>
      <c r="BG93" s="1" t="n">
        <f aca="false">IF($D$37=1,MAX(0,SUM(Model!$J46:BG46)+SUM(Model!$J93:BG93)),0)</f>
        <v>0</v>
      </c>
      <c r="BH93" s="1" t="n">
        <f aca="false">IF($D$37=1,MAX(0,SUM(Model!$J46:BH46)+SUM(Model!$J93:BH93)),0)</f>
        <v>0</v>
      </c>
      <c r="BI93" s="1" t="n">
        <f aca="false">IF($D$37=1,MAX(0,SUM(Model!$J46:BI46)+SUM(Model!$J93:BI93)),0)</f>
        <v>0</v>
      </c>
      <c r="BJ93" s="1" t="n">
        <f aca="false">IF($D$37=1,MAX(0,SUM(Model!$J46:BJ46)+SUM(Model!$J93:BJ93)),0)</f>
        <v>0</v>
      </c>
      <c r="BK93" s="1" t="n">
        <f aca="false">IF($D$37=1,MAX(0,SUM(Model!$J46:BK46)+SUM(Model!$J93:BK93)),0)</f>
        <v>0</v>
      </c>
      <c r="BL93" s="1" t="n">
        <f aca="false">IF($D$37=1,MAX(0,SUM(Model!$J46:BL46)+SUM(Model!$J93:BL93)),0)</f>
        <v>0</v>
      </c>
      <c r="BM93" s="1" t="n">
        <f aca="false">IF($D$37=1,MAX(0,SUM(Model!$J46:BM46)+SUM(Model!$J93:BM93)),0)</f>
        <v>0</v>
      </c>
      <c r="BN93" s="1" t="n">
        <f aca="false">IF($D$37=1,MAX(0,SUM(Model!$J46:BN46)+SUM(Model!$J93:BN93)),0)</f>
        <v>0</v>
      </c>
      <c r="BO93" s="1" t="n">
        <f aca="false">IF($D$37=1,MAX(0,SUM(Model!$J46:BO46)+SUM(Model!$J93:BO93)),0)</f>
        <v>0</v>
      </c>
      <c r="BP93" s="1" t="n">
        <f aca="false">IF($D$37=1,MAX(0,SUM(Model!$J46:BP46)+SUM(Model!$J93:BP93)),0)</f>
        <v>0</v>
      </c>
      <c r="BQ93" s="1" t="n">
        <f aca="false">IF($D$37=1,MAX(0,SUM(Model!$J46:BQ46)+SUM(Model!$J93:BQ93)),0)</f>
        <v>0</v>
      </c>
      <c r="BR93" s="1" t="n">
        <f aca="false">IF($D$37=1,MAX(0,SUM(Model!$J46:BR46)+SUM(Model!$J93:BR93)),0)</f>
        <v>0</v>
      </c>
      <c r="BS93" s="1" t="n">
        <f aca="false">IF($D$37=1,MAX(0,SUM(Model!$J46:BS46)+SUM(Model!$J93:BS93)),0)</f>
        <v>0</v>
      </c>
      <c r="BT93" s="1" t="n">
        <f aca="false">IF($D$37=1,MAX(0,SUM(Model!$J46:BT46)+SUM(Model!$J93:BT93)),0)</f>
        <v>0</v>
      </c>
      <c r="BU93" s="1" t="n">
        <f aca="false">IF($D$37=1,MAX(0,SUM(Model!$J46:BU46)+SUM(Model!$J93:BU93)),0)</f>
        <v>0</v>
      </c>
      <c r="BV93" s="1" t="n">
        <f aca="false">IF($D$37=1,MAX(0,SUM(Model!$J46:BV46)+SUM(Model!$J93:BV93)),0)</f>
        <v>0</v>
      </c>
      <c r="BW93" s="1" t="n">
        <f aca="false">IF($D$37=1,MAX(0,SUM(Model!$J46:BW46)+SUM(Model!$J93:BW93)),0)</f>
        <v>0</v>
      </c>
      <c r="BX93" s="1" t="n">
        <f aca="false">IF($D$37=1,MAX(0,SUM(Model!$J46:BX46)+SUM(Model!$J93:BX93)),0)</f>
        <v>0</v>
      </c>
      <c r="BY93" s="1" t="n">
        <f aca="false">IF($D$37=1,MAX(0,SUM(Model!$J46:BY46)+SUM(Model!$J93:BY93)),0)</f>
        <v>0</v>
      </c>
      <c r="BZ93" s="1" t="n">
        <f aca="false">IF($D$37=1,MAX(0,SUM(Model!$J46:BZ46)+SUM(Model!$J93:BZ93)),0)</f>
        <v>0</v>
      </c>
      <c r="CA93" s="1" t="n">
        <f aca="false">IF($D$37=1,MAX(0,SUM(Model!$J46:CA46)+SUM(Model!$J93:CA93)),0)</f>
        <v>0</v>
      </c>
      <c r="CB93" s="1" t="n">
        <f aca="false">IF($D$37=1,MAX(0,SUM(Model!$J46:CB46)+SUM(Model!$J93:CB93)),0)</f>
        <v>0</v>
      </c>
      <c r="CC93" s="1" t="n">
        <f aca="false">IF($D$37=1,MAX(0,SUM(Model!$J46:CC46)+SUM(Model!$J93:CC93)),0)</f>
        <v>0</v>
      </c>
      <c r="CD93" s="1" t="n">
        <f aca="false">IF($D$37=1,MAX(0,SUM(Model!$J46:CD46)+SUM(Model!$J93:CD93)),0)</f>
        <v>0</v>
      </c>
      <c r="CE93" s="1" t="n">
        <f aca="false">IF($D$37=1,MAX(0,SUM(Model!$J46:CE46)+SUM(Model!$J93:CE93)),0)</f>
        <v>0</v>
      </c>
      <c r="CF93" s="1" t="n">
        <f aca="false">IF($D$37=1,MAX(0,SUM(Model!$J46:CF46)+SUM(Model!$J93:CF93)),0)</f>
        <v>0</v>
      </c>
      <c r="CG93" s="1" t="n">
        <f aca="false">IF($D$37=1,MAX(0,SUM(Model!$J46:CG46)+SUM(Model!$J93:CG93)),0)</f>
        <v>0</v>
      </c>
      <c r="CH93" s="1" t="n">
        <f aca="false">IF($D$37=1,MAX(0,SUM(Model!$J46:CH46)+SUM(Model!$J93:CH93)),0)</f>
        <v>0</v>
      </c>
      <c r="CI93" s="1" t="n">
        <f aca="false">IF($D$37=1,MAX(0,SUM(Model!$J46:CI46)+SUM(Model!$J93:CI93)),0)</f>
        <v>0</v>
      </c>
      <c r="CJ93" s="1" t="n">
        <f aca="false">IF($D$37=1,MAX(0,SUM(Model!$J46:CJ46)+SUM(Model!$J93:CJ93)),0)</f>
        <v>0</v>
      </c>
      <c r="CK93" s="1" t="n">
        <f aca="false">IF($D$37=1,MAX(0,SUM(Model!$J46:CK46)+SUM(Model!$J93:CK93)),0)</f>
        <v>0</v>
      </c>
      <c r="CL93" s="1" t="n">
        <f aca="false">IF($D$37=1,MAX(0,SUM(Model!$J46:CL46)+SUM(Model!$J93:CL93)),0)</f>
        <v>0</v>
      </c>
      <c r="CM93" s="1" t="n">
        <f aca="false">IF($D$37=1,MAX(0,SUM(Model!$J46:CM46)+SUM(Model!$J93:CM93)),0)</f>
        <v>0</v>
      </c>
      <c r="CN93" s="1" t="n">
        <f aca="false">IF($D$37=1,MAX(0,SUM(Model!$J46:CN46)+SUM(Model!$J93:CN93)),0)</f>
        <v>0</v>
      </c>
      <c r="CO93" s="1" t="n">
        <f aca="false">IF($D$37=1,MAX(0,SUM(Model!$J46:CO46)+SUM(Model!$J93:CO93)),0)</f>
        <v>0</v>
      </c>
      <c r="CP93" s="1" t="n">
        <f aca="false">IF($D$37=1,MAX(0,SUM(Model!$J46:CP46)+SUM(Model!$J93:CP93)),0)</f>
        <v>0</v>
      </c>
      <c r="CQ93" s="1" t="n">
        <f aca="false">IF($D$37=1,MAX(0,SUM(Model!$J46:CQ46)+SUM(Model!$J93:CQ93)),0)</f>
        <v>0</v>
      </c>
      <c r="CR93" s="1" t="n">
        <f aca="false">IF($D$37=1,MAX(0,SUM(Model!$J46:CR46)+SUM(Model!$J93:CR93)),0)</f>
        <v>0</v>
      </c>
      <c r="CS93" s="1" t="n">
        <f aca="false">IF($D$37=1,MAX(0,SUM(Model!$J46:CS46)+SUM(Model!$J93:CS93)),0)</f>
        <v>0</v>
      </c>
      <c r="CT93" s="1" t="n">
        <f aca="false">IF($D$37=1,MAX(0,SUM(Model!$J46:CT46)+SUM(Model!$J93:CT93)),0)</f>
        <v>0</v>
      </c>
      <c r="CU93" s="1" t="n">
        <f aca="false">IF($D$37=1,MAX(0,SUM(Model!$J46:CU46)+SUM(Model!$J93:CU93)),0)</f>
        <v>0</v>
      </c>
      <c r="CV93" s="1" t="n">
        <f aca="false">IF($D$37=1,MAX(0,SUM(Model!$J46:CV46)+SUM(Model!$J93:CV93)),0)</f>
        <v>0</v>
      </c>
      <c r="CW93" s="1" t="n">
        <f aca="false">IF($D$37=1,MAX(0,SUM(Model!$J46:CW46)+SUM(Model!$J93:CW93)),0)</f>
        <v>0</v>
      </c>
      <c r="CX93" s="1" t="n">
        <f aca="false">IF($D$37=1,MAX(0,SUM(Model!$J46:CX46)+SUM(Model!$J93:CX93)),0)</f>
        <v>0</v>
      </c>
      <c r="CY93" s="1" t="n">
        <f aca="false">IF($D$37=1,MAX(0,SUM(Model!$J46:CY46)+SUM(Model!$J93:CY93)),0)</f>
        <v>0</v>
      </c>
      <c r="CZ93" s="1" t="n">
        <f aca="false">IF($D$37=1,MAX(0,SUM(Model!$J46:CZ46)+SUM(Model!$J93:CZ93)),0)</f>
        <v>0</v>
      </c>
      <c r="DA93" s="1" t="n">
        <f aca="false">IF($D$37=1,MAX(0,SUM(Model!$J46:DA46)+SUM(Model!$J93:DA93)),0)</f>
        <v>0</v>
      </c>
      <c r="DB93" s="1" t="n">
        <f aca="false">IF($D$37=1,MAX(0,SUM(Model!$J46:DB46)+SUM(Model!$J93:DB93)),0)</f>
        <v>0</v>
      </c>
      <c r="DC93" s="1" t="n">
        <f aca="false">IF($D$37=1,MAX(0,SUM(Model!$J46:DC46)+SUM(Model!$J93:DC93)),0)</f>
        <v>0</v>
      </c>
      <c r="DD93" s="1" t="n">
        <f aca="false">IF($D$37=1,MAX(0,SUM(Model!$J46:DD46)+SUM(Model!$J93:DD93)),0)</f>
        <v>0</v>
      </c>
      <c r="DE93" s="1" t="n">
        <f aca="false">IF($D$37=1,MAX(0,SUM(Model!$J46:DE46)+SUM(Model!$J93:DE93)),0)</f>
        <v>0</v>
      </c>
    </row>
    <row r="94" customFormat="false" ht="13.5" hidden="false" customHeight="true" outlineLevel="0" collapsed="false">
      <c r="A94" s="1" t="str">
        <f aca="false">$B$38</f>
        <v>BD-22</v>
      </c>
      <c r="B94" s="1" t="n">
        <v>0</v>
      </c>
      <c r="C94" s="1" t="n">
        <v>0</v>
      </c>
      <c r="D94" s="1" t="n">
        <v>0</v>
      </c>
      <c r="E94" s="1" t="n">
        <v>0</v>
      </c>
      <c r="F94" s="1" t="n">
        <v>0</v>
      </c>
      <c r="G94" s="1" t="n">
        <v>0</v>
      </c>
      <c r="H94" s="1" t="n">
        <v>0</v>
      </c>
      <c r="I94" s="1" t="n">
        <v>0</v>
      </c>
      <c r="J94" s="1" t="n">
        <f aca="false">IF($D$38=1,MAX(0,SUM(Model!$J47:J47)+SUM(Model!$J94:J94)),0)</f>
        <v>0</v>
      </c>
      <c r="K94" s="1" t="n">
        <f aca="false">IF($D$38=1,MAX(0,SUM(Model!$J47:K47)+SUM(Model!$J94:K94)),0)</f>
        <v>0</v>
      </c>
      <c r="L94" s="1" t="n">
        <f aca="false">IF($D$38=1,MAX(0,SUM(Model!$J47:L47)+SUM(Model!$J94:L94)),0)</f>
        <v>0</v>
      </c>
      <c r="M94" s="1" t="n">
        <f aca="false">IF($D$38=1,MAX(0,SUM(Model!$J47:M47)+SUM(Model!$J94:M94)),0)</f>
        <v>0</v>
      </c>
      <c r="N94" s="1" t="n">
        <f aca="false">IF($D$38=1,MAX(0,SUM(Model!$J47:N47)+SUM(Model!$J94:N94)),0)</f>
        <v>0</v>
      </c>
      <c r="O94" s="1" t="n">
        <f aca="false">IF($D$38=1,MAX(0,SUM(Model!$J47:O47)+SUM(Model!$J94:O94)),0)</f>
        <v>0</v>
      </c>
      <c r="P94" s="1" t="n">
        <f aca="false">IF($D$38=1,MAX(0,SUM(Model!$J47:P47)+SUM(Model!$J94:P94)),0)</f>
        <v>0</v>
      </c>
      <c r="Q94" s="1" t="n">
        <f aca="false">IF($D$38=1,MAX(0,SUM(Model!$J47:Q47)+SUM(Model!$J94:Q94)),0)</f>
        <v>0</v>
      </c>
      <c r="R94" s="1" t="n">
        <f aca="false">IF($D$38=1,MAX(0,SUM(Model!$J47:R47)+SUM(Model!$J94:R94)),0)</f>
        <v>0</v>
      </c>
      <c r="S94" s="1" t="n">
        <f aca="false">IF($D$38=1,MAX(0,SUM(Model!$J47:S47)+SUM(Model!$J94:S94)),0)</f>
        <v>0</v>
      </c>
      <c r="T94" s="1" t="n">
        <f aca="false">IF($D$38=1,MAX(0,SUM(Model!$J47:T47)+SUM(Model!$J94:T94)),0)</f>
        <v>0</v>
      </c>
      <c r="U94" s="1" t="n">
        <f aca="false">IF($D$38=1,MAX(0,SUM(Model!$J47:U47)+SUM(Model!$J94:U94)),0)</f>
        <v>0</v>
      </c>
      <c r="V94" s="1" t="n">
        <f aca="false">IF($D$38=1,MAX(0,SUM(Model!$J47:V47)+SUM(Model!$J94:V94)),0)</f>
        <v>0</v>
      </c>
      <c r="W94" s="1" t="n">
        <f aca="false">IF($D$38=1,MAX(0,SUM(Model!$J47:W47)+SUM(Model!$J94:W94)),0)</f>
        <v>0</v>
      </c>
      <c r="X94" s="1" t="n">
        <f aca="false">IF($D$38=1,MAX(0,SUM(Model!$J47:X47)+SUM(Model!$J94:X94)),0)</f>
        <v>0</v>
      </c>
      <c r="Y94" s="1" t="n">
        <f aca="false">IF($D$38=1,MAX(0,SUM(Model!$J47:Y47)+SUM(Model!$J94:Y94)),0)</f>
        <v>0</v>
      </c>
      <c r="Z94" s="1" t="n">
        <f aca="false">IF($D$38=1,MAX(0,SUM(Model!$J47:Z47)+SUM(Model!$J94:Z94)),0)</f>
        <v>0</v>
      </c>
      <c r="AA94" s="1" t="n">
        <f aca="false">IF($D$38=1,MAX(0,SUM(Model!$J47:AA47)+SUM(Model!$J94:AA94)),0)</f>
        <v>0</v>
      </c>
      <c r="AB94" s="1" t="n">
        <f aca="false">IF($D$38=1,MAX(0,SUM(Model!$J47:AB47)+SUM(Model!$J94:AB94)),0)</f>
        <v>0</v>
      </c>
      <c r="AC94" s="1" t="n">
        <f aca="false">IF($D$38=1,MAX(0,SUM(Model!$J47:AC47)+SUM(Model!$J94:AC94)),0)</f>
        <v>0</v>
      </c>
      <c r="AD94" s="1" t="n">
        <f aca="false">IF($D$38=1,MAX(0,SUM(Model!$J47:AD47)+SUM(Model!$J94:AD94)),0)</f>
        <v>0</v>
      </c>
      <c r="AE94" s="1" t="n">
        <f aca="false">IF($D$38=1,MAX(0,SUM(Model!$J47:AE47)+SUM(Model!$J94:AE94)),0)</f>
        <v>0</v>
      </c>
      <c r="AF94" s="1" t="n">
        <f aca="false">IF($D$38=1,MAX(0,SUM(Model!$J47:AF47)+SUM(Model!$J94:AF94)),0)</f>
        <v>0</v>
      </c>
      <c r="AG94" s="1" t="n">
        <f aca="false">IF($D$38=1,MAX(0,SUM(Model!$J47:AG47)+SUM(Model!$J94:AG94)),0)</f>
        <v>0</v>
      </c>
      <c r="AH94" s="1" t="n">
        <f aca="false">IF($D$38=1,MAX(0,SUM(Model!$J47:AH47)+SUM(Model!$J94:AH94)),0)</f>
        <v>0</v>
      </c>
      <c r="AI94" s="1" t="n">
        <f aca="false">IF($D$38=1,MAX(0,SUM(Model!$J47:AI47)+SUM(Model!$J94:AI94)),0)</f>
        <v>0</v>
      </c>
      <c r="AJ94" s="1" t="n">
        <f aca="false">IF($D$38=1,MAX(0,SUM(Model!$J47:AJ47)+SUM(Model!$J94:AJ94)),0)</f>
        <v>0</v>
      </c>
      <c r="AK94" s="1" t="n">
        <f aca="false">IF($D$38=1,MAX(0,SUM(Model!$J47:AK47)+SUM(Model!$J94:AK94)),0)</f>
        <v>0</v>
      </c>
      <c r="AL94" s="1" t="n">
        <f aca="false">IF($D$38=1,MAX(0,SUM(Model!$J47:AL47)+SUM(Model!$J94:AL94)),0)</f>
        <v>0</v>
      </c>
      <c r="AM94" s="1" t="n">
        <f aca="false">IF($D$38=1,MAX(0,SUM(Model!$J47:AM47)+SUM(Model!$J94:AM94)),0)</f>
        <v>0</v>
      </c>
      <c r="AN94" s="1" t="n">
        <f aca="false">IF($D$38=1,MAX(0,SUM(Model!$J47:AN47)+SUM(Model!$J94:AN94)),0)</f>
        <v>0</v>
      </c>
      <c r="AO94" s="1" t="n">
        <f aca="false">IF($D$38=1,MAX(0,SUM(Model!$J47:AO47)+SUM(Model!$J94:AO94)),0)</f>
        <v>0</v>
      </c>
      <c r="AP94" s="1" t="n">
        <f aca="false">IF($D$38=1,MAX(0,SUM(Model!$J47:AP47)+SUM(Model!$J94:AP94)),0)</f>
        <v>0</v>
      </c>
      <c r="AQ94" s="1" t="n">
        <f aca="false">IF($D$38=1,MAX(0,SUM(Model!$J47:AQ47)+SUM(Model!$J94:AQ94)),0)</f>
        <v>0</v>
      </c>
      <c r="AR94" s="1" t="n">
        <f aca="false">IF($D$38=1,MAX(0,SUM(Model!$J47:AR47)+SUM(Model!$J94:AR94)),0)</f>
        <v>0</v>
      </c>
      <c r="AS94" s="1" t="n">
        <f aca="false">IF($D$38=1,MAX(0,SUM(Model!$J47:AS47)+SUM(Model!$J94:AS94)),0)</f>
        <v>0</v>
      </c>
      <c r="AT94" s="1" t="n">
        <f aca="false">IF($D$38=1,MAX(0,SUM(Model!$J47:AT47)+SUM(Model!$J94:AT94)),0)</f>
        <v>0</v>
      </c>
      <c r="AU94" s="1" t="n">
        <f aca="false">IF($D$38=1,MAX(0,SUM(Model!$J47:AU47)+SUM(Model!$J94:AU94)),0)</f>
        <v>0</v>
      </c>
      <c r="AV94" s="1" t="n">
        <f aca="false">IF($D$38=1,MAX(0,SUM(Model!$J47:AV47)+SUM(Model!$J94:AV94)),0)</f>
        <v>0</v>
      </c>
      <c r="AW94" s="1" t="n">
        <f aca="false">IF($D$38=1,MAX(0,SUM(Model!$J47:AW47)+SUM(Model!$J94:AW94)),0)</f>
        <v>0</v>
      </c>
      <c r="AX94" s="1" t="n">
        <f aca="false">IF($D$38=1,MAX(0,SUM(Model!$J47:AX47)+SUM(Model!$J94:AX94)),0)</f>
        <v>0</v>
      </c>
      <c r="AY94" s="1" t="n">
        <f aca="false">IF($D$38=1,MAX(0,SUM(Model!$J47:AY47)+SUM(Model!$J94:AY94)),0)</f>
        <v>0</v>
      </c>
      <c r="AZ94" s="1" t="n">
        <f aca="false">IF($D$38=1,MAX(0,SUM(Model!$J47:AZ47)+SUM(Model!$J94:AZ94)),0)</f>
        <v>0</v>
      </c>
      <c r="BA94" s="1" t="n">
        <f aca="false">IF($D$38=1,MAX(0,SUM(Model!$J47:BA47)+SUM(Model!$J94:BA94)),0)</f>
        <v>0</v>
      </c>
      <c r="BB94" s="1" t="n">
        <f aca="false">IF($D$38=1,MAX(0,SUM(Model!$J47:BB47)+SUM(Model!$J94:BB94)),0)</f>
        <v>0</v>
      </c>
      <c r="BC94" s="1" t="n">
        <f aca="false">IF($D$38=1,MAX(0,SUM(Model!$J47:BC47)+SUM(Model!$J94:BC94)),0)</f>
        <v>0</v>
      </c>
      <c r="BD94" s="1" t="n">
        <f aca="false">IF($D$38=1,MAX(0,SUM(Model!$J47:BD47)+SUM(Model!$J94:BD94)),0)</f>
        <v>0</v>
      </c>
      <c r="BE94" s="1" t="n">
        <f aca="false">IF($D$38=1,MAX(0,SUM(Model!$J47:BE47)+SUM(Model!$J94:BE94)),0)</f>
        <v>0</v>
      </c>
      <c r="BF94" s="1" t="n">
        <f aca="false">IF($D$38=1,MAX(0,SUM(Model!$J47:BF47)+SUM(Model!$J94:BF94)),0)</f>
        <v>0</v>
      </c>
      <c r="BG94" s="1" t="n">
        <f aca="false">IF($D$38=1,MAX(0,SUM(Model!$J47:BG47)+SUM(Model!$J94:BG94)),0)</f>
        <v>0</v>
      </c>
      <c r="BH94" s="1" t="n">
        <f aca="false">IF($D$38=1,MAX(0,SUM(Model!$J47:BH47)+SUM(Model!$J94:BH94)),0)</f>
        <v>0</v>
      </c>
      <c r="BI94" s="1" t="n">
        <f aca="false">IF($D$38=1,MAX(0,SUM(Model!$J47:BI47)+SUM(Model!$J94:BI94)),0)</f>
        <v>0</v>
      </c>
      <c r="BJ94" s="1" t="n">
        <f aca="false">IF($D$38=1,MAX(0,SUM(Model!$J47:BJ47)+SUM(Model!$J94:BJ94)),0)</f>
        <v>0</v>
      </c>
      <c r="BK94" s="1" t="n">
        <f aca="false">IF($D$38=1,MAX(0,SUM(Model!$J47:BK47)+SUM(Model!$J94:BK94)),0)</f>
        <v>0</v>
      </c>
      <c r="BL94" s="1" t="n">
        <f aca="false">IF($D$38=1,MAX(0,SUM(Model!$J47:BL47)+SUM(Model!$J94:BL94)),0)</f>
        <v>0</v>
      </c>
      <c r="BM94" s="1" t="n">
        <f aca="false">IF($D$38=1,MAX(0,SUM(Model!$J47:BM47)+SUM(Model!$J94:BM94)),0)</f>
        <v>0</v>
      </c>
      <c r="BN94" s="1" t="n">
        <f aca="false">IF($D$38=1,MAX(0,SUM(Model!$J47:BN47)+SUM(Model!$J94:BN94)),0)</f>
        <v>0</v>
      </c>
      <c r="BO94" s="1" t="n">
        <f aca="false">IF($D$38=1,MAX(0,SUM(Model!$J47:BO47)+SUM(Model!$J94:BO94)),0)</f>
        <v>0</v>
      </c>
      <c r="BP94" s="1" t="n">
        <f aca="false">IF($D$38=1,MAX(0,SUM(Model!$J47:BP47)+SUM(Model!$J94:BP94)),0)</f>
        <v>0</v>
      </c>
      <c r="BQ94" s="1" t="n">
        <f aca="false">IF($D$38=1,MAX(0,SUM(Model!$J47:BQ47)+SUM(Model!$J94:BQ94)),0)</f>
        <v>0</v>
      </c>
      <c r="BR94" s="1" t="n">
        <f aca="false">IF($D$38=1,MAX(0,SUM(Model!$J47:BR47)+SUM(Model!$J94:BR94)),0)</f>
        <v>0</v>
      </c>
      <c r="BS94" s="1" t="n">
        <f aca="false">IF($D$38=1,MAX(0,SUM(Model!$J47:BS47)+SUM(Model!$J94:BS94)),0)</f>
        <v>0</v>
      </c>
      <c r="BT94" s="1" t="n">
        <f aca="false">IF($D$38=1,MAX(0,SUM(Model!$J47:BT47)+SUM(Model!$J94:BT94)),0)</f>
        <v>0</v>
      </c>
      <c r="BU94" s="1" t="n">
        <f aca="false">IF($D$38=1,MAX(0,SUM(Model!$J47:BU47)+SUM(Model!$J94:BU94)),0)</f>
        <v>0</v>
      </c>
      <c r="BV94" s="1" t="n">
        <f aca="false">IF($D$38=1,MAX(0,SUM(Model!$J47:BV47)+SUM(Model!$J94:BV94)),0)</f>
        <v>0</v>
      </c>
      <c r="BW94" s="1" t="n">
        <f aca="false">IF($D$38=1,MAX(0,SUM(Model!$J47:BW47)+SUM(Model!$J94:BW94)),0)</f>
        <v>0</v>
      </c>
      <c r="BX94" s="1" t="n">
        <f aca="false">IF($D$38=1,MAX(0,SUM(Model!$J47:BX47)+SUM(Model!$J94:BX94)),0)</f>
        <v>0</v>
      </c>
      <c r="BY94" s="1" t="n">
        <f aca="false">IF($D$38=1,MAX(0,SUM(Model!$J47:BY47)+SUM(Model!$J94:BY94)),0)</f>
        <v>0</v>
      </c>
      <c r="BZ94" s="1" t="n">
        <f aca="false">IF($D$38=1,MAX(0,SUM(Model!$J47:BZ47)+SUM(Model!$J94:BZ94)),0)</f>
        <v>0</v>
      </c>
      <c r="CA94" s="1" t="n">
        <f aca="false">IF($D$38=1,MAX(0,SUM(Model!$J47:CA47)+SUM(Model!$J94:CA94)),0)</f>
        <v>0</v>
      </c>
      <c r="CB94" s="1" t="n">
        <f aca="false">IF($D$38=1,MAX(0,SUM(Model!$J47:CB47)+SUM(Model!$J94:CB94)),0)</f>
        <v>0</v>
      </c>
      <c r="CC94" s="1" t="n">
        <f aca="false">IF($D$38=1,MAX(0,SUM(Model!$J47:CC47)+SUM(Model!$J94:CC94)),0)</f>
        <v>0</v>
      </c>
      <c r="CD94" s="1" t="n">
        <f aca="false">IF($D$38=1,MAX(0,SUM(Model!$J47:CD47)+SUM(Model!$J94:CD94)),0)</f>
        <v>0</v>
      </c>
      <c r="CE94" s="1" t="n">
        <f aca="false">IF($D$38=1,MAX(0,SUM(Model!$J47:CE47)+SUM(Model!$J94:CE94)),0)</f>
        <v>0</v>
      </c>
      <c r="CF94" s="1" t="n">
        <f aca="false">IF($D$38=1,MAX(0,SUM(Model!$J47:CF47)+SUM(Model!$J94:CF94)),0)</f>
        <v>0</v>
      </c>
      <c r="CG94" s="1" t="n">
        <f aca="false">IF($D$38=1,MAX(0,SUM(Model!$J47:CG47)+SUM(Model!$J94:CG94)),0)</f>
        <v>0</v>
      </c>
      <c r="CH94" s="1" t="n">
        <f aca="false">IF($D$38=1,MAX(0,SUM(Model!$J47:CH47)+SUM(Model!$J94:CH94)),0)</f>
        <v>0</v>
      </c>
      <c r="CI94" s="1" t="n">
        <f aca="false">IF($D$38=1,MAX(0,SUM(Model!$J47:CI47)+SUM(Model!$J94:CI94)),0)</f>
        <v>0</v>
      </c>
      <c r="CJ94" s="1" t="n">
        <f aca="false">IF($D$38=1,MAX(0,SUM(Model!$J47:CJ47)+SUM(Model!$J94:CJ94)),0)</f>
        <v>0</v>
      </c>
      <c r="CK94" s="1" t="n">
        <f aca="false">IF($D$38=1,MAX(0,SUM(Model!$J47:CK47)+SUM(Model!$J94:CK94)),0)</f>
        <v>0</v>
      </c>
      <c r="CL94" s="1" t="n">
        <f aca="false">IF($D$38=1,MAX(0,SUM(Model!$J47:CL47)+SUM(Model!$J94:CL94)),0)</f>
        <v>0</v>
      </c>
      <c r="CM94" s="1" t="n">
        <f aca="false">IF($D$38=1,MAX(0,SUM(Model!$J47:CM47)+SUM(Model!$J94:CM94)),0)</f>
        <v>0</v>
      </c>
      <c r="CN94" s="1" t="n">
        <f aca="false">IF($D$38=1,MAX(0,SUM(Model!$J47:CN47)+SUM(Model!$J94:CN94)),0)</f>
        <v>0</v>
      </c>
      <c r="CO94" s="1" t="n">
        <f aca="false">IF($D$38=1,MAX(0,SUM(Model!$J47:CO47)+SUM(Model!$J94:CO94)),0)</f>
        <v>0</v>
      </c>
      <c r="CP94" s="1" t="n">
        <f aca="false">IF($D$38=1,MAX(0,SUM(Model!$J47:CP47)+SUM(Model!$J94:CP94)),0)</f>
        <v>0</v>
      </c>
      <c r="CQ94" s="1" t="n">
        <f aca="false">IF($D$38=1,MAX(0,SUM(Model!$J47:CQ47)+SUM(Model!$J94:CQ94)),0)</f>
        <v>0</v>
      </c>
      <c r="CR94" s="1" t="n">
        <f aca="false">IF($D$38=1,MAX(0,SUM(Model!$J47:CR47)+SUM(Model!$J94:CR94)),0)</f>
        <v>0</v>
      </c>
      <c r="CS94" s="1" t="n">
        <f aca="false">IF($D$38=1,MAX(0,SUM(Model!$J47:CS47)+SUM(Model!$J94:CS94)),0)</f>
        <v>0</v>
      </c>
      <c r="CT94" s="1" t="n">
        <f aca="false">IF($D$38=1,MAX(0,SUM(Model!$J47:CT47)+SUM(Model!$J94:CT94)),0)</f>
        <v>0</v>
      </c>
      <c r="CU94" s="1" t="n">
        <f aca="false">IF($D$38=1,MAX(0,SUM(Model!$J47:CU47)+SUM(Model!$J94:CU94)),0)</f>
        <v>0</v>
      </c>
      <c r="CV94" s="1" t="n">
        <f aca="false">IF($D$38=1,MAX(0,SUM(Model!$J47:CV47)+SUM(Model!$J94:CV94)),0)</f>
        <v>0</v>
      </c>
      <c r="CW94" s="1" t="n">
        <f aca="false">IF($D$38=1,MAX(0,SUM(Model!$J47:CW47)+SUM(Model!$J94:CW94)),0)</f>
        <v>0</v>
      </c>
      <c r="CX94" s="1" t="n">
        <f aca="false">IF($D$38=1,MAX(0,SUM(Model!$J47:CX47)+SUM(Model!$J94:CX94)),0)</f>
        <v>0</v>
      </c>
      <c r="CY94" s="1" t="n">
        <f aca="false">IF($D$38=1,MAX(0,SUM(Model!$J47:CY47)+SUM(Model!$J94:CY94)),0)</f>
        <v>0</v>
      </c>
      <c r="CZ94" s="1" t="n">
        <f aca="false">IF($D$38=1,MAX(0,SUM(Model!$J47:CZ47)+SUM(Model!$J94:CZ94)),0)</f>
        <v>0</v>
      </c>
      <c r="DA94" s="1" t="n">
        <f aca="false">IF($D$38=1,MAX(0,SUM(Model!$J47:DA47)+SUM(Model!$J94:DA94)),0)</f>
        <v>0</v>
      </c>
      <c r="DB94" s="1" t="n">
        <f aca="false">IF($D$38=1,MAX(0,SUM(Model!$J47:DB47)+SUM(Model!$J94:DB94)),0)</f>
        <v>0</v>
      </c>
      <c r="DC94" s="1" t="n">
        <f aca="false">IF($D$38=1,MAX(0,SUM(Model!$J47:DC47)+SUM(Model!$J94:DC94)),0)</f>
        <v>0</v>
      </c>
      <c r="DD94" s="1" t="n">
        <f aca="false">IF($D$38=1,MAX(0,SUM(Model!$J47:DD47)+SUM(Model!$J94:DD94)),0)</f>
        <v>0</v>
      </c>
      <c r="DE94" s="1" t="n">
        <f aca="false">IF($D$38=1,MAX(0,SUM(Model!$J47:DE47)+SUM(Model!$J94:DE94)),0)</f>
        <v>0</v>
      </c>
    </row>
    <row r="95" customFormat="false" ht="13.5" hidden="false" customHeight="true" outlineLevel="0" collapsed="false">
      <c r="A95" s="1" t="str">
        <f aca="false">$B$39</f>
        <v>BD-23</v>
      </c>
      <c r="B95" s="1" t="n">
        <v>0</v>
      </c>
      <c r="C95" s="1" t="n">
        <v>0</v>
      </c>
      <c r="D95" s="1" t="n">
        <v>0</v>
      </c>
      <c r="E95" s="1" t="n">
        <v>0</v>
      </c>
      <c r="F95" s="1" t="n">
        <v>0</v>
      </c>
      <c r="G95" s="1" t="n">
        <v>0</v>
      </c>
      <c r="H95" s="1" t="n">
        <v>0</v>
      </c>
      <c r="I95" s="1" t="n">
        <v>0</v>
      </c>
      <c r="J95" s="1" t="n">
        <f aca="false">IF($D$39=1,MAX(0,SUM(Model!$J48:J48)+SUM(Model!$J95:J95)),0)</f>
        <v>0</v>
      </c>
      <c r="K95" s="1" t="n">
        <f aca="false">IF($D$39=1,MAX(0,SUM(Model!$J48:K48)+SUM(Model!$J95:K95)),0)</f>
        <v>0</v>
      </c>
      <c r="L95" s="1" t="n">
        <f aca="false">IF($D$39=1,MAX(0,SUM(Model!$J48:L48)+SUM(Model!$J95:L95)),0)</f>
        <v>0</v>
      </c>
      <c r="M95" s="1" t="n">
        <f aca="false">IF($D$39=1,MAX(0,SUM(Model!$J48:M48)+SUM(Model!$J95:M95)),0)</f>
        <v>0</v>
      </c>
      <c r="N95" s="1" t="n">
        <f aca="false">IF($D$39=1,MAX(0,SUM(Model!$J48:N48)+SUM(Model!$J95:N95)),0)</f>
        <v>0</v>
      </c>
      <c r="O95" s="1" t="n">
        <f aca="false">IF($D$39=1,MAX(0,SUM(Model!$J48:O48)+SUM(Model!$J95:O95)),0)</f>
        <v>0</v>
      </c>
      <c r="P95" s="1" t="n">
        <f aca="false">IF($D$39=1,MAX(0,SUM(Model!$J48:P48)+SUM(Model!$J95:P95)),0)</f>
        <v>0</v>
      </c>
      <c r="Q95" s="1" t="n">
        <f aca="false">IF($D$39=1,MAX(0,SUM(Model!$J48:Q48)+SUM(Model!$J95:Q95)),0)</f>
        <v>0</v>
      </c>
      <c r="R95" s="1" t="n">
        <f aca="false">IF($D$39=1,MAX(0,SUM(Model!$J48:R48)+SUM(Model!$J95:R95)),0)</f>
        <v>0</v>
      </c>
      <c r="S95" s="1" t="n">
        <f aca="false">IF($D$39=1,MAX(0,SUM(Model!$J48:S48)+SUM(Model!$J95:S95)),0)</f>
        <v>0</v>
      </c>
      <c r="T95" s="1" t="n">
        <f aca="false">IF($D$39=1,MAX(0,SUM(Model!$J48:T48)+SUM(Model!$J95:T95)),0)</f>
        <v>0</v>
      </c>
      <c r="U95" s="1" t="n">
        <f aca="false">IF($D$39=1,MAX(0,SUM(Model!$J48:U48)+SUM(Model!$J95:U95)),0)</f>
        <v>0</v>
      </c>
      <c r="V95" s="1" t="n">
        <f aca="false">IF($D$39=1,MAX(0,SUM(Model!$J48:V48)+SUM(Model!$J95:V95)),0)</f>
        <v>0</v>
      </c>
      <c r="W95" s="1" t="n">
        <f aca="false">IF($D$39=1,MAX(0,SUM(Model!$J48:W48)+SUM(Model!$J95:W95)),0)</f>
        <v>0</v>
      </c>
      <c r="X95" s="1" t="n">
        <f aca="false">IF($D$39=1,MAX(0,SUM(Model!$J48:X48)+SUM(Model!$J95:X95)),0)</f>
        <v>0</v>
      </c>
      <c r="Y95" s="1" t="n">
        <f aca="false">IF($D$39=1,MAX(0,SUM(Model!$J48:Y48)+SUM(Model!$J95:Y95)),0)</f>
        <v>0</v>
      </c>
      <c r="Z95" s="1" t="n">
        <f aca="false">IF($D$39=1,MAX(0,SUM(Model!$J48:Z48)+SUM(Model!$J95:Z95)),0)</f>
        <v>0</v>
      </c>
      <c r="AA95" s="1" t="n">
        <f aca="false">IF($D$39=1,MAX(0,SUM(Model!$J48:AA48)+SUM(Model!$J95:AA95)),0)</f>
        <v>0</v>
      </c>
      <c r="AB95" s="1" t="n">
        <f aca="false">IF($D$39=1,MAX(0,SUM(Model!$J48:AB48)+SUM(Model!$J95:AB95)),0)</f>
        <v>0</v>
      </c>
      <c r="AC95" s="1" t="n">
        <f aca="false">IF($D$39=1,MAX(0,SUM(Model!$J48:AC48)+SUM(Model!$J95:AC95)),0)</f>
        <v>0</v>
      </c>
      <c r="AD95" s="1" t="n">
        <f aca="false">IF($D$39=1,MAX(0,SUM(Model!$J48:AD48)+SUM(Model!$J95:AD95)),0)</f>
        <v>0</v>
      </c>
      <c r="AE95" s="1" t="n">
        <f aca="false">IF($D$39=1,MAX(0,SUM(Model!$J48:AE48)+SUM(Model!$J95:AE95)),0)</f>
        <v>0</v>
      </c>
      <c r="AF95" s="1" t="n">
        <f aca="false">IF($D$39=1,MAX(0,SUM(Model!$J48:AF48)+SUM(Model!$J95:AF95)),0)</f>
        <v>0</v>
      </c>
      <c r="AG95" s="1" t="n">
        <f aca="false">IF($D$39=1,MAX(0,SUM(Model!$J48:AG48)+SUM(Model!$J95:AG95)),0)</f>
        <v>0</v>
      </c>
      <c r="AH95" s="1" t="n">
        <f aca="false">IF($D$39=1,MAX(0,SUM(Model!$J48:AH48)+SUM(Model!$J95:AH95)),0)</f>
        <v>0</v>
      </c>
      <c r="AI95" s="1" t="n">
        <f aca="false">IF($D$39=1,MAX(0,SUM(Model!$J48:AI48)+SUM(Model!$J95:AI95)),0)</f>
        <v>0</v>
      </c>
      <c r="AJ95" s="1" t="n">
        <f aca="false">IF($D$39=1,MAX(0,SUM(Model!$J48:AJ48)+SUM(Model!$J95:AJ95)),0)</f>
        <v>0</v>
      </c>
      <c r="AK95" s="1" t="n">
        <f aca="false">IF($D$39=1,MAX(0,SUM(Model!$J48:AK48)+SUM(Model!$J95:AK95)),0)</f>
        <v>0</v>
      </c>
      <c r="AL95" s="1" t="n">
        <f aca="false">IF($D$39=1,MAX(0,SUM(Model!$J48:AL48)+SUM(Model!$J95:AL95)),0)</f>
        <v>0</v>
      </c>
      <c r="AM95" s="1" t="n">
        <f aca="false">IF($D$39=1,MAX(0,SUM(Model!$J48:AM48)+SUM(Model!$J95:AM95)),0)</f>
        <v>0</v>
      </c>
      <c r="AN95" s="1" t="n">
        <f aca="false">IF($D$39=1,MAX(0,SUM(Model!$J48:AN48)+SUM(Model!$J95:AN95)),0)</f>
        <v>0</v>
      </c>
      <c r="AO95" s="1" t="n">
        <f aca="false">IF($D$39=1,MAX(0,SUM(Model!$J48:AO48)+SUM(Model!$J95:AO95)),0)</f>
        <v>0</v>
      </c>
      <c r="AP95" s="1" t="n">
        <f aca="false">IF($D$39=1,MAX(0,SUM(Model!$J48:AP48)+SUM(Model!$J95:AP95)),0)</f>
        <v>0</v>
      </c>
      <c r="AQ95" s="1" t="n">
        <f aca="false">IF($D$39=1,MAX(0,SUM(Model!$J48:AQ48)+SUM(Model!$J95:AQ95)),0)</f>
        <v>0</v>
      </c>
      <c r="AR95" s="1" t="n">
        <f aca="false">IF($D$39=1,MAX(0,SUM(Model!$J48:AR48)+SUM(Model!$J95:AR95)),0)</f>
        <v>0</v>
      </c>
      <c r="AS95" s="1" t="n">
        <f aca="false">IF($D$39=1,MAX(0,SUM(Model!$J48:AS48)+SUM(Model!$J95:AS95)),0)</f>
        <v>0</v>
      </c>
      <c r="AT95" s="1" t="n">
        <f aca="false">IF($D$39=1,MAX(0,SUM(Model!$J48:AT48)+SUM(Model!$J95:AT95)),0)</f>
        <v>0</v>
      </c>
      <c r="AU95" s="1" t="n">
        <f aca="false">IF($D$39=1,MAX(0,SUM(Model!$J48:AU48)+SUM(Model!$J95:AU95)),0)</f>
        <v>0</v>
      </c>
      <c r="AV95" s="1" t="n">
        <f aca="false">IF($D$39=1,MAX(0,SUM(Model!$J48:AV48)+SUM(Model!$J95:AV95)),0)</f>
        <v>0</v>
      </c>
      <c r="AW95" s="1" t="n">
        <f aca="false">IF($D$39=1,MAX(0,SUM(Model!$J48:AW48)+SUM(Model!$J95:AW95)),0)</f>
        <v>0</v>
      </c>
      <c r="AX95" s="1" t="n">
        <f aca="false">IF($D$39=1,MAX(0,SUM(Model!$J48:AX48)+SUM(Model!$J95:AX95)),0)</f>
        <v>0</v>
      </c>
      <c r="AY95" s="1" t="n">
        <f aca="false">IF($D$39=1,MAX(0,SUM(Model!$J48:AY48)+SUM(Model!$J95:AY95)),0)</f>
        <v>0</v>
      </c>
      <c r="AZ95" s="1" t="n">
        <f aca="false">IF($D$39=1,MAX(0,SUM(Model!$J48:AZ48)+SUM(Model!$J95:AZ95)),0)</f>
        <v>0</v>
      </c>
      <c r="BA95" s="1" t="n">
        <f aca="false">IF($D$39=1,MAX(0,SUM(Model!$J48:BA48)+SUM(Model!$J95:BA95)),0)</f>
        <v>0</v>
      </c>
      <c r="BB95" s="1" t="n">
        <f aca="false">IF($D$39=1,MAX(0,SUM(Model!$J48:BB48)+SUM(Model!$J95:BB95)),0)</f>
        <v>0</v>
      </c>
      <c r="BC95" s="1" t="n">
        <f aca="false">IF($D$39=1,MAX(0,SUM(Model!$J48:BC48)+SUM(Model!$J95:BC95)),0)</f>
        <v>0</v>
      </c>
      <c r="BD95" s="1" t="n">
        <f aca="false">IF($D$39=1,MAX(0,SUM(Model!$J48:BD48)+SUM(Model!$J95:BD95)),0)</f>
        <v>0</v>
      </c>
      <c r="BE95" s="1" t="n">
        <f aca="false">IF($D$39=1,MAX(0,SUM(Model!$J48:BE48)+SUM(Model!$J95:BE95)),0)</f>
        <v>0</v>
      </c>
      <c r="BF95" s="1" t="n">
        <f aca="false">IF($D$39=1,MAX(0,SUM(Model!$J48:BF48)+SUM(Model!$J95:BF95)),0)</f>
        <v>0</v>
      </c>
      <c r="BG95" s="1" t="n">
        <f aca="false">IF($D$39=1,MAX(0,SUM(Model!$J48:BG48)+SUM(Model!$J95:BG95)),0)</f>
        <v>0</v>
      </c>
      <c r="BH95" s="1" t="n">
        <f aca="false">IF($D$39=1,MAX(0,SUM(Model!$J48:BH48)+SUM(Model!$J95:BH95)),0)</f>
        <v>0</v>
      </c>
      <c r="BI95" s="1" t="n">
        <f aca="false">IF($D$39=1,MAX(0,SUM(Model!$J48:BI48)+SUM(Model!$J95:BI95)),0)</f>
        <v>0</v>
      </c>
      <c r="BJ95" s="1" t="n">
        <f aca="false">IF($D$39=1,MAX(0,SUM(Model!$J48:BJ48)+SUM(Model!$J95:BJ95)),0)</f>
        <v>0</v>
      </c>
      <c r="BK95" s="1" t="n">
        <f aca="false">IF($D$39=1,MAX(0,SUM(Model!$J48:BK48)+SUM(Model!$J95:BK95)),0)</f>
        <v>0</v>
      </c>
      <c r="BL95" s="1" t="n">
        <f aca="false">IF($D$39=1,MAX(0,SUM(Model!$J48:BL48)+SUM(Model!$J95:BL95)),0)</f>
        <v>0</v>
      </c>
      <c r="BM95" s="1" t="n">
        <f aca="false">IF($D$39=1,MAX(0,SUM(Model!$J48:BM48)+SUM(Model!$J95:BM95)),0)</f>
        <v>0</v>
      </c>
      <c r="BN95" s="1" t="n">
        <f aca="false">IF($D$39=1,MAX(0,SUM(Model!$J48:BN48)+SUM(Model!$J95:BN95)),0)</f>
        <v>0</v>
      </c>
      <c r="BO95" s="1" t="n">
        <f aca="false">IF($D$39=1,MAX(0,SUM(Model!$J48:BO48)+SUM(Model!$J95:BO95)),0)</f>
        <v>0</v>
      </c>
      <c r="BP95" s="1" t="n">
        <f aca="false">IF($D$39=1,MAX(0,SUM(Model!$J48:BP48)+SUM(Model!$J95:BP95)),0)</f>
        <v>0</v>
      </c>
      <c r="BQ95" s="1" t="n">
        <f aca="false">IF($D$39=1,MAX(0,SUM(Model!$J48:BQ48)+SUM(Model!$J95:BQ95)),0)</f>
        <v>0</v>
      </c>
      <c r="BR95" s="1" t="n">
        <f aca="false">IF($D$39=1,MAX(0,SUM(Model!$J48:BR48)+SUM(Model!$J95:BR95)),0)</f>
        <v>0</v>
      </c>
      <c r="BS95" s="1" t="n">
        <f aca="false">IF($D$39=1,MAX(0,SUM(Model!$J48:BS48)+SUM(Model!$J95:BS95)),0)</f>
        <v>0</v>
      </c>
      <c r="BT95" s="1" t="n">
        <f aca="false">IF($D$39=1,MAX(0,SUM(Model!$J48:BT48)+SUM(Model!$J95:BT95)),0)</f>
        <v>0</v>
      </c>
      <c r="BU95" s="1" t="n">
        <f aca="false">IF($D$39=1,MAX(0,SUM(Model!$J48:BU48)+SUM(Model!$J95:BU95)),0)</f>
        <v>0</v>
      </c>
      <c r="BV95" s="1" t="n">
        <f aca="false">IF($D$39=1,MAX(0,SUM(Model!$J48:BV48)+SUM(Model!$J95:BV95)),0)</f>
        <v>0</v>
      </c>
      <c r="BW95" s="1" t="n">
        <f aca="false">IF($D$39=1,MAX(0,SUM(Model!$J48:BW48)+SUM(Model!$J95:BW95)),0)</f>
        <v>0</v>
      </c>
      <c r="BX95" s="1" t="n">
        <f aca="false">IF($D$39=1,MAX(0,SUM(Model!$J48:BX48)+SUM(Model!$J95:BX95)),0)</f>
        <v>0</v>
      </c>
      <c r="BY95" s="1" t="n">
        <f aca="false">IF($D$39=1,MAX(0,SUM(Model!$J48:BY48)+SUM(Model!$J95:BY95)),0)</f>
        <v>0</v>
      </c>
      <c r="BZ95" s="1" t="n">
        <f aca="false">IF($D$39=1,MAX(0,SUM(Model!$J48:BZ48)+SUM(Model!$J95:BZ95)),0)</f>
        <v>0</v>
      </c>
      <c r="CA95" s="1" t="n">
        <f aca="false">IF($D$39=1,MAX(0,SUM(Model!$J48:CA48)+SUM(Model!$J95:CA95)),0)</f>
        <v>0</v>
      </c>
      <c r="CB95" s="1" t="n">
        <f aca="false">IF($D$39=1,MAX(0,SUM(Model!$J48:CB48)+SUM(Model!$J95:CB95)),0)</f>
        <v>0</v>
      </c>
      <c r="CC95" s="1" t="n">
        <f aca="false">IF($D$39=1,MAX(0,SUM(Model!$J48:CC48)+SUM(Model!$J95:CC95)),0)</f>
        <v>0</v>
      </c>
      <c r="CD95" s="1" t="n">
        <f aca="false">IF($D$39=1,MAX(0,SUM(Model!$J48:CD48)+SUM(Model!$J95:CD95)),0)</f>
        <v>0</v>
      </c>
      <c r="CE95" s="1" t="n">
        <f aca="false">IF($D$39=1,MAX(0,SUM(Model!$J48:CE48)+SUM(Model!$J95:CE95)),0)</f>
        <v>0</v>
      </c>
      <c r="CF95" s="1" t="n">
        <f aca="false">IF($D$39=1,MAX(0,SUM(Model!$J48:CF48)+SUM(Model!$J95:CF95)),0)</f>
        <v>0</v>
      </c>
      <c r="CG95" s="1" t="n">
        <f aca="false">IF($D$39=1,MAX(0,SUM(Model!$J48:CG48)+SUM(Model!$J95:CG95)),0)</f>
        <v>0</v>
      </c>
      <c r="CH95" s="1" t="n">
        <f aca="false">IF($D$39=1,MAX(0,SUM(Model!$J48:CH48)+SUM(Model!$J95:CH95)),0)</f>
        <v>0</v>
      </c>
      <c r="CI95" s="1" t="n">
        <f aca="false">IF($D$39=1,MAX(0,SUM(Model!$J48:CI48)+SUM(Model!$J95:CI95)),0)</f>
        <v>0</v>
      </c>
      <c r="CJ95" s="1" t="n">
        <f aca="false">IF($D$39=1,MAX(0,SUM(Model!$J48:CJ48)+SUM(Model!$J95:CJ95)),0)</f>
        <v>0</v>
      </c>
      <c r="CK95" s="1" t="n">
        <f aca="false">IF($D$39=1,MAX(0,SUM(Model!$J48:CK48)+SUM(Model!$J95:CK95)),0)</f>
        <v>0</v>
      </c>
      <c r="CL95" s="1" t="n">
        <f aca="false">IF($D$39=1,MAX(0,SUM(Model!$J48:CL48)+SUM(Model!$J95:CL95)),0)</f>
        <v>0</v>
      </c>
      <c r="CM95" s="1" t="n">
        <f aca="false">IF($D$39=1,MAX(0,SUM(Model!$J48:CM48)+SUM(Model!$J95:CM95)),0)</f>
        <v>0</v>
      </c>
      <c r="CN95" s="1" t="n">
        <f aca="false">IF($D$39=1,MAX(0,SUM(Model!$J48:CN48)+SUM(Model!$J95:CN95)),0)</f>
        <v>0</v>
      </c>
      <c r="CO95" s="1" t="n">
        <f aca="false">IF($D$39=1,MAX(0,SUM(Model!$J48:CO48)+SUM(Model!$J95:CO95)),0)</f>
        <v>0</v>
      </c>
      <c r="CP95" s="1" t="n">
        <f aca="false">IF($D$39=1,MAX(0,SUM(Model!$J48:CP48)+SUM(Model!$J95:CP95)),0)</f>
        <v>0</v>
      </c>
      <c r="CQ95" s="1" t="n">
        <f aca="false">IF($D$39=1,MAX(0,SUM(Model!$J48:CQ48)+SUM(Model!$J95:CQ95)),0)</f>
        <v>0</v>
      </c>
      <c r="CR95" s="1" t="n">
        <f aca="false">IF($D$39=1,MAX(0,SUM(Model!$J48:CR48)+SUM(Model!$J95:CR95)),0)</f>
        <v>0</v>
      </c>
      <c r="CS95" s="1" t="n">
        <f aca="false">IF($D$39=1,MAX(0,SUM(Model!$J48:CS48)+SUM(Model!$J95:CS95)),0)</f>
        <v>0</v>
      </c>
      <c r="CT95" s="1" t="n">
        <f aca="false">IF($D$39=1,MAX(0,SUM(Model!$J48:CT48)+SUM(Model!$J95:CT95)),0)</f>
        <v>0</v>
      </c>
      <c r="CU95" s="1" t="n">
        <f aca="false">IF($D$39=1,MAX(0,SUM(Model!$J48:CU48)+SUM(Model!$J95:CU95)),0)</f>
        <v>0</v>
      </c>
      <c r="CV95" s="1" t="n">
        <f aca="false">IF($D$39=1,MAX(0,SUM(Model!$J48:CV48)+SUM(Model!$J95:CV95)),0)</f>
        <v>0</v>
      </c>
      <c r="CW95" s="1" t="n">
        <f aca="false">IF($D$39=1,MAX(0,SUM(Model!$J48:CW48)+SUM(Model!$J95:CW95)),0)</f>
        <v>0</v>
      </c>
      <c r="CX95" s="1" t="n">
        <f aca="false">IF($D$39=1,MAX(0,SUM(Model!$J48:CX48)+SUM(Model!$J95:CX95)),0)</f>
        <v>0</v>
      </c>
      <c r="CY95" s="1" t="n">
        <f aca="false">IF($D$39=1,MAX(0,SUM(Model!$J48:CY48)+SUM(Model!$J95:CY95)),0)</f>
        <v>0</v>
      </c>
      <c r="CZ95" s="1" t="n">
        <f aca="false">IF($D$39=1,MAX(0,SUM(Model!$J48:CZ48)+SUM(Model!$J95:CZ95)),0)</f>
        <v>0</v>
      </c>
      <c r="DA95" s="1" t="n">
        <f aca="false">IF($D$39=1,MAX(0,SUM(Model!$J48:DA48)+SUM(Model!$J95:DA95)),0)</f>
        <v>0</v>
      </c>
      <c r="DB95" s="1" t="n">
        <f aca="false">IF($D$39=1,MAX(0,SUM(Model!$J48:DB48)+SUM(Model!$J95:DB95)),0)</f>
        <v>0</v>
      </c>
      <c r="DC95" s="1" t="n">
        <f aca="false">IF($D$39=1,MAX(0,SUM(Model!$J48:DC48)+SUM(Model!$J95:DC95)),0)</f>
        <v>0</v>
      </c>
      <c r="DD95" s="1" t="n">
        <f aca="false">IF($D$39=1,MAX(0,SUM(Model!$J48:DD48)+SUM(Model!$J95:DD95)),0)</f>
        <v>0</v>
      </c>
      <c r="DE95" s="1" t="n">
        <f aca="false">IF($D$39=1,MAX(0,SUM(Model!$J48:DE48)+SUM(Model!$J95:DE95)),0)</f>
        <v>0</v>
      </c>
    </row>
    <row r="96" customFormat="false" ht="13.5" hidden="false" customHeight="true" outlineLevel="0" collapsed="false">
      <c r="A96" s="1" t="str">
        <f aca="false">$B$40</f>
        <v>BD-24</v>
      </c>
      <c r="B96" s="1" t="n">
        <v>0</v>
      </c>
      <c r="C96" s="1" t="n">
        <v>0</v>
      </c>
      <c r="D96" s="1" t="n">
        <v>0</v>
      </c>
      <c r="E96" s="1" t="n">
        <v>0</v>
      </c>
      <c r="F96" s="1" t="n">
        <v>0</v>
      </c>
      <c r="G96" s="1" t="n">
        <v>0</v>
      </c>
      <c r="H96" s="1" t="n">
        <v>0</v>
      </c>
      <c r="I96" s="1" t="n">
        <v>0</v>
      </c>
      <c r="J96" s="1" t="n">
        <f aca="false">IF($D$40=1,MAX(0,SUM(Model!$J49:J49)+SUM(Model!$J96:J96)),0)</f>
        <v>0</v>
      </c>
      <c r="K96" s="1" t="n">
        <f aca="false">IF($D$40=1,MAX(0,SUM(Model!$J49:K49)+SUM(Model!$J96:K96)),0)</f>
        <v>0</v>
      </c>
      <c r="L96" s="1" t="n">
        <f aca="false">IF($D$40=1,MAX(0,SUM(Model!$J49:L49)+SUM(Model!$J96:L96)),0)</f>
        <v>0</v>
      </c>
      <c r="M96" s="1" t="n">
        <f aca="false">IF($D$40=1,MAX(0,SUM(Model!$J49:M49)+SUM(Model!$J96:M96)),0)</f>
        <v>0</v>
      </c>
      <c r="N96" s="1" t="n">
        <f aca="false">IF($D$40=1,MAX(0,SUM(Model!$J49:N49)+SUM(Model!$J96:N96)),0)</f>
        <v>0</v>
      </c>
      <c r="O96" s="1" t="n">
        <f aca="false">IF($D$40=1,MAX(0,SUM(Model!$J49:O49)+SUM(Model!$J96:O96)),0)</f>
        <v>0</v>
      </c>
      <c r="P96" s="1" t="n">
        <f aca="false">IF($D$40=1,MAX(0,SUM(Model!$J49:P49)+SUM(Model!$J96:P96)),0)</f>
        <v>0</v>
      </c>
      <c r="Q96" s="1" t="n">
        <f aca="false">IF($D$40=1,MAX(0,SUM(Model!$J49:Q49)+SUM(Model!$J96:Q96)),0)</f>
        <v>0</v>
      </c>
      <c r="R96" s="1" t="n">
        <f aca="false">IF($D$40=1,MAX(0,SUM(Model!$J49:R49)+SUM(Model!$J96:R96)),0)</f>
        <v>0</v>
      </c>
      <c r="S96" s="1" t="n">
        <f aca="false">IF($D$40=1,MAX(0,SUM(Model!$J49:S49)+SUM(Model!$J96:S96)),0)</f>
        <v>0</v>
      </c>
      <c r="T96" s="1" t="n">
        <f aca="false">IF($D$40=1,MAX(0,SUM(Model!$J49:T49)+SUM(Model!$J96:T96)),0)</f>
        <v>0</v>
      </c>
      <c r="U96" s="1" t="n">
        <f aca="false">IF($D$40=1,MAX(0,SUM(Model!$J49:U49)+SUM(Model!$J96:U96)),0)</f>
        <v>0</v>
      </c>
      <c r="V96" s="1" t="n">
        <f aca="false">IF($D$40=1,MAX(0,SUM(Model!$J49:V49)+SUM(Model!$J96:V96)),0)</f>
        <v>0</v>
      </c>
      <c r="W96" s="1" t="n">
        <f aca="false">IF($D$40=1,MAX(0,SUM(Model!$J49:W49)+SUM(Model!$J96:W96)),0)</f>
        <v>0</v>
      </c>
      <c r="X96" s="1" t="n">
        <f aca="false">IF($D$40=1,MAX(0,SUM(Model!$J49:X49)+SUM(Model!$J96:X96)),0)</f>
        <v>0</v>
      </c>
      <c r="Y96" s="1" t="n">
        <f aca="false">IF($D$40=1,MAX(0,SUM(Model!$J49:Y49)+SUM(Model!$J96:Y96)),0)</f>
        <v>0</v>
      </c>
      <c r="Z96" s="1" t="n">
        <f aca="false">IF($D$40=1,MAX(0,SUM(Model!$J49:Z49)+SUM(Model!$J96:Z96)),0)</f>
        <v>0</v>
      </c>
      <c r="AA96" s="1" t="n">
        <f aca="false">IF($D$40=1,MAX(0,SUM(Model!$J49:AA49)+SUM(Model!$J96:AA96)),0)</f>
        <v>0</v>
      </c>
      <c r="AB96" s="1" t="n">
        <f aca="false">IF($D$40=1,MAX(0,SUM(Model!$J49:AB49)+SUM(Model!$J96:AB96)),0)</f>
        <v>0</v>
      </c>
      <c r="AC96" s="1" t="n">
        <f aca="false">IF($D$40=1,MAX(0,SUM(Model!$J49:AC49)+SUM(Model!$J96:AC96)),0)</f>
        <v>0</v>
      </c>
      <c r="AD96" s="1" t="n">
        <f aca="false">IF($D$40=1,MAX(0,SUM(Model!$J49:AD49)+SUM(Model!$J96:AD96)),0)</f>
        <v>0</v>
      </c>
      <c r="AE96" s="1" t="n">
        <f aca="false">IF($D$40=1,MAX(0,SUM(Model!$J49:AE49)+SUM(Model!$J96:AE96)),0)</f>
        <v>0</v>
      </c>
      <c r="AF96" s="1" t="n">
        <f aca="false">IF($D$40=1,MAX(0,SUM(Model!$J49:AF49)+SUM(Model!$J96:AF96)),0)</f>
        <v>0</v>
      </c>
      <c r="AG96" s="1" t="n">
        <f aca="false">IF($D$40=1,MAX(0,SUM(Model!$J49:AG49)+SUM(Model!$J96:AG96)),0)</f>
        <v>0</v>
      </c>
      <c r="AH96" s="1" t="n">
        <f aca="false">IF($D$40=1,MAX(0,SUM(Model!$J49:AH49)+SUM(Model!$J96:AH96)),0)</f>
        <v>0</v>
      </c>
      <c r="AI96" s="1" t="n">
        <f aca="false">IF($D$40=1,MAX(0,SUM(Model!$J49:AI49)+SUM(Model!$J96:AI96)),0)</f>
        <v>0</v>
      </c>
      <c r="AJ96" s="1" t="n">
        <f aca="false">IF($D$40=1,MAX(0,SUM(Model!$J49:AJ49)+SUM(Model!$J96:AJ96)),0)</f>
        <v>0</v>
      </c>
      <c r="AK96" s="1" t="n">
        <f aca="false">IF($D$40=1,MAX(0,SUM(Model!$J49:AK49)+SUM(Model!$J96:AK96)),0)</f>
        <v>0</v>
      </c>
      <c r="AL96" s="1" t="n">
        <f aca="false">IF($D$40=1,MAX(0,SUM(Model!$J49:AL49)+SUM(Model!$J96:AL96)),0)</f>
        <v>0</v>
      </c>
      <c r="AM96" s="1" t="n">
        <f aca="false">IF($D$40=1,MAX(0,SUM(Model!$J49:AM49)+SUM(Model!$J96:AM96)),0)</f>
        <v>0</v>
      </c>
      <c r="AN96" s="1" t="n">
        <f aca="false">IF($D$40=1,MAX(0,SUM(Model!$J49:AN49)+SUM(Model!$J96:AN96)),0)</f>
        <v>0</v>
      </c>
      <c r="AO96" s="1" t="n">
        <f aca="false">IF($D$40=1,MAX(0,SUM(Model!$J49:AO49)+SUM(Model!$J96:AO96)),0)</f>
        <v>0</v>
      </c>
      <c r="AP96" s="1" t="n">
        <f aca="false">IF($D$40=1,MAX(0,SUM(Model!$J49:AP49)+SUM(Model!$J96:AP96)),0)</f>
        <v>0</v>
      </c>
      <c r="AQ96" s="1" t="n">
        <f aca="false">IF($D$40=1,MAX(0,SUM(Model!$J49:AQ49)+SUM(Model!$J96:AQ96)),0)</f>
        <v>0</v>
      </c>
      <c r="AR96" s="1" t="n">
        <f aca="false">IF($D$40=1,MAX(0,SUM(Model!$J49:AR49)+SUM(Model!$J96:AR96)),0)</f>
        <v>0</v>
      </c>
      <c r="AS96" s="1" t="n">
        <f aca="false">IF($D$40=1,MAX(0,SUM(Model!$J49:AS49)+SUM(Model!$J96:AS96)),0)</f>
        <v>0</v>
      </c>
      <c r="AT96" s="1" t="n">
        <f aca="false">IF($D$40=1,MAX(0,SUM(Model!$J49:AT49)+SUM(Model!$J96:AT96)),0)</f>
        <v>0</v>
      </c>
      <c r="AU96" s="1" t="n">
        <f aca="false">IF($D$40=1,MAX(0,SUM(Model!$J49:AU49)+SUM(Model!$J96:AU96)),0)</f>
        <v>0</v>
      </c>
      <c r="AV96" s="1" t="n">
        <f aca="false">IF($D$40=1,MAX(0,SUM(Model!$J49:AV49)+SUM(Model!$J96:AV96)),0)</f>
        <v>0</v>
      </c>
      <c r="AW96" s="1" t="n">
        <f aca="false">IF($D$40=1,MAX(0,SUM(Model!$J49:AW49)+SUM(Model!$J96:AW96)),0)</f>
        <v>0</v>
      </c>
      <c r="AX96" s="1" t="n">
        <f aca="false">IF($D$40=1,MAX(0,SUM(Model!$J49:AX49)+SUM(Model!$J96:AX96)),0)</f>
        <v>0</v>
      </c>
      <c r="AY96" s="1" t="n">
        <f aca="false">IF($D$40=1,MAX(0,SUM(Model!$J49:AY49)+SUM(Model!$J96:AY96)),0)</f>
        <v>0</v>
      </c>
      <c r="AZ96" s="1" t="n">
        <f aca="false">IF($D$40=1,MAX(0,SUM(Model!$J49:AZ49)+SUM(Model!$J96:AZ96)),0)</f>
        <v>0</v>
      </c>
      <c r="BA96" s="1" t="n">
        <f aca="false">IF($D$40=1,MAX(0,SUM(Model!$J49:BA49)+SUM(Model!$J96:BA96)),0)</f>
        <v>0</v>
      </c>
      <c r="BB96" s="1" t="n">
        <f aca="false">IF($D$40=1,MAX(0,SUM(Model!$J49:BB49)+SUM(Model!$J96:BB96)),0)</f>
        <v>0</v>
      </c>
      <c r="BC96" s="1" t="n">
        <f aca="false">IF($D$40=1,MAX(0,SUM(Model!$J49:BC49)+SUM(Model!$J96:BC96)),0)</f>
        <v>0</v>
      </c>
      <c r="BD96" s="1" t="n">
        <f aca="false">IF($D$40=1,MAX(0,SUM(Model!$J49:BD49)+SUM(Model!$J96:BD96)),0)</f>
        <v>0</v>
      </c>
      <c r="BE96" s="1" t="n">
        <f aca="false">IF($D$40=1,MAX(0,SUM(Model!$J49:BE49)+SUM(Model!$J96:BE96)),0)</f>
        <v>0</v>
      </c>
      <c r="BF96" s="1" t="n">
        <f aca="false">IF($D$40=1,MAX(0,SUM(Model!$J49:BF49)+SUM(Model!$J96:BF96)),0)</f>
        <v>0</v>
      </c>
      <c r="BG96" s="1" t="n">
        <f aca="false">IF($D$40=1,MAX(0,SUM(Model!$J49:BG49)+SUM(Model!$J96:BG96)),0)</f>
        <v>0</v>
      </c>
      <c r="BH96" s="1" t="n">
        <f aca="false">IF($D$40=1,MAX(0,SUM(Model!$J49:BH49)+SUM(Model!$J96:BH96)),0)</f>
        <v>0</v>
      </c>
      <c r="BI96" s="1" t="n">
        <f aca="false">IF($D$40=1,MAX(0,SUM(Model!$J49:BI49)+SUM(Model!$J96:BI96)),0)</f>
        <v>0</v>
      </c>
      <c r="BJ96" s="1" t="n">
        <f aca="false">IF($D$40=1,MAX(0,SUM(Model!$J49:BJ49)+SUM(Model!$J96:BJ96)),0)</f>
        <v>0</v>
      </c>
      <c r="BK96" s="1" t="n">
        <f aca="false">IF($D$40=1,MAX(0,SUM(Model!$J49:BK49)+SUM(Model!$J96:BK96)),0)</f>
        <v>0</v>
      </c>
      <c r="BL96" s="1" t="n">
        <f aca="false">IF($D$40=1,MAX(0,SUM(Model!$J49:BL49)+SUM(Model!$J96:BL96)),0)</f>
        <v>0</v>
      </c>
      <c r="BM96" s="1" t="n">
        <f aca="false">IF($D$40=1,MAX(0,SUM(Model!$J49:BM49)+SUM(Model!$J96:BM96)),0)</f>
        <v>0</v>
      </c>
      <c r="BN96" s="1" t="n">
        <f aca="false">IF($D$40=1,MAX(0,SUM(Model!$J49:BN49)+SUM(Model!$J96:BN96)),0)</f>
        <v>0</v>
      </c>
      <c r="BO96" s="1" t="n">
        <f aca="false">IF($D$40=1,MAX(0,SUM(Model!$J49:BO49)+SUM(Model!$J96:BO96)),0)</f>
        <v>0</v>
      </c>
      <c r="BP96" s="1" t="n">
        <f aca="false">IF($D$40=1,MAX(0,SUM(Model!$J49:BP49)+SUM(Model!$J96:BP96)),0)</f>
        <v>0</v>
      </c>
      <c r="BQ96" s="1" t="n">
        <f aca="false">IF($D$40=1,MAX(0,SUM(Model!$J49:BQ49)+SUM(Model!$J96:BQ96)),0)</f>
        <v>0</v>
      </c>
      <c r="BR96" s="1" t="n">
        <f aca="false">IF($D$40=1,MAX(0,SUM(Model!$J49:BR49)+SUM(Model!$J96:BR96)),0)</f>
        <v>0</v>
      </c>
      <c r="BS96" s="1" t="n">
        <f aca="false">IF($D$40=1,MAX(0,SUM(Model!$J49:BS49)+SUM(Model!$J96:BS96)),0)</f>
        <v>0</v>
      </c>
      <c r="BT96" s="1" t="n">
        <f aca="false">IF($D$40=1,MAX(0,SUM(Model!$J49:BT49)+SUM(Model!$J96:BT96)),0)</f>
        <v>0</v>
      </c>
      <c r="BU96" s="1" t="n">
        <f aca="false">IF($D$40=1,MAX(0,SUM(Model!$J49:BU49)+SUM(Model!$J96:BU96)),0)</f>
        <v>0</v>
      </c>
      <c r="BV96" s="1" t="n">
        <f aca="false">IF($D$40=1,MAX(0,SUM(Model!$J49:BV49)+SUM(Model!$J96:BV96)),0)</f>
        <v>0</v>
      </c>
      <c r="BW96" s="1" t="n">
        <f aca="false">IF($D$40=1,MAX(0,SUM(Model!$J49:BW49)+SUM(Model!$J96:BW96)),0)</f>
        <v>0</v>
      </c>
      <c r="BX96" s="1" t="n">
        <f aca="false">IF($D$40=1,MAX(0,SUM(Model!$J49:BX49)+SUM(Model!$J96:BX96)),0)</f>
        <v>0</v>
      </c>
      <c r="BY96" s="1" t="n">
        <f aca="false">IF($D$40=1,MAX(0,SUM(Model!$J49:BY49)+SUM(Model!$J96:BY96)),0)</f>
        <v>0</v>
      </c>
      <c r="BZ96" s="1" t="n">
        <f aca="false">IF($D$40=1,MAX(0,SUM(Model!$J49:BZ49)+SUM(Model!$J96:BZ96)),0)</f>
        <v>0</v>
      </c>
      <c r="CA96" s="1" t="n">
        <f aca="false">IF($D$40=1,MAX(0,SUM(Model!$J49:CA49)+SUM(Model!$J96:CA96)),0)</f>
        <v>0</v>
      </c>
      <c r="CB96" s="1" t="n">
        <f aca="false">IF($D$40=1,MAX(0,SUM(Model!$J49:CB49)+SUM(Model!$J96:CB96)),0)</f>
        <v>0</v>
      </c>
      <c r="CC96" s="1" t="n">
        <f aca="false">IF($D$40=1,MAX(0,SUM(Model!$J49:CC49)+SUM(Model!$J96:CC96)),0)</f>
        <v>0</v>
      </c>
      <c r="CD96" s="1" t="n">
        <f aca="false">IF($D$40=1,MAX(0,SUM(Model!$J49:CD49)+SUM(Model!$J96:CD96)),0)</f>
        <v>0</v>
      </c>
      <c r="CE96" s="1" t="n">
        <f aca="false">IF($D$40=1,MAX(0,SUM(Model!$J49:CE49)+SUM(Model!$J96:CE96)),0)</f>
        <v>0</v>
      </c>
      <c r="CF96" s="1" t="n">
        <f aca="false">IF($D$40=1,MAX(0,SUM(Model!$J49:CF49)+SUM(Model!$J96:CF96)),0)</f>
        <v>0</v>
      </c>
      <c r="CG96" s="1" t="n">
        <f aca="false">IF($D$40=1,MAX(0,SUM(Model!$J49:CG49)+SUM(Model!$J96:CG96)),0)</f>
        <v>0</v>
      </c>
      <c r="CH96" s="1" t="n">
        <f aca="false">IF($D$40=1,MAX(0,SUM(Model!$J49:CH49)+SUM(Model!$J96:CH96)),0)</f>
        <v>0</v>
      </c>
      <c r="CI96" s="1" t="n">
        <f aca="false">IF($D$40=1,MAX(0,SUM(Model!$J49:CI49)+SUM(Model!$J96:CI96)),0)</f>
        <v>0</v>
      </c>
      <c r="CJ96" s="1" t="n">
        <f aca="false">IF($D$40=1,MAX(0,SUM(Model!$J49:CJ49)+SUM(Model!$J96:CJ96)),0)</f>
        <v>0</v>
      </c>
      <c r="CK96" s="1" t="n">
        <f aca="false">IF($D$40=1,MAX(0,SUM(Model!$J49:CK49)+SUM(Model!$J96:CK96)),0)</f>
        <v>0</v>
      </c>
      <c r="CL96" s="1" t="n">
        <f aca="false">IF($D$40=1,MAX(0,SUM(Model!$J49:CL49)+SUM(Model!$J96:CL96)),0)</f>
        <v>0</v>
      </c>
      <c r="CM96" s="1" t="n">
        <f aca="false">IF($D$40=1,MAX(0,SUM(Model!$J49:CM49)+SUM(Model!$J96:CM96)),0)</f>
        <v>0</v>
      </c>
      <c r="CN96" s="1" t="n">
        <f aca="false">IF($D$40=1,MAX(0,SUM(Model!$J49:CN49)+SUM(Model!$J96:CN96)),0)</f>
        <v>0</v>
      </c>
      <c r="CO96" s="1" t="n">
        <f aca="false">IF($D$40=1,MAX(0,SUM(Model!$J49:CO49)+SUM(Model!$J96:CO96)),0)</f>
        <v>0</v>
      </c>
      <c r="CP96" s="1" t="n">
        <f aca="false">IF($D$40=1,MAX(0,SUM(Model!$J49:CP49)+SUM(Model!$J96:CP96)),0)</f>
        <v>0</v>
      </c>
      <c r="CQ96" s="1" t="n">
        <f aca="false">IF($D$40=1,MAX(0,SUM(Model!$J49:CQ49)+SUM(Model!$J96:CQ96)),0)</f>
        <v>0</v>
      </c>
      <c r="CR96" s="1" t="n">
        <f aca="false">IF($D$40=1,MAX(0,SUM(Model!$J49:CR49)+SUM(Model!$J96:CR96)),0)</f>
        <v>0</v>
      </c>
      <c r="CS96" s="1" t="n">
        <f aca="false">IF($D$40=1,MAX(0,SUM(Model!$J49:CS49)+SUM(Model!$J96:CS96)),0)</f>
        <v>0</v>
      </c>
      <c r="CT96" s="1" t="n">
        <f aca="false">IF($D$40=1,MAX(0,SUM(Model!$J49:CT49)+SUM(Model!$J96:CT96)),0)</f>
        <v>0</v>
      </c>
      <c r="CU96" s="1" t="n">
        <f aca="false">IF($D$40=1,MAX(0,SUM(Model!$J49:CU49)+SUM(Model!$J96:CU96)),0)</f>
        <v>0</v>
      </c>
      <c r="CV96" s="1" t="n">
        <f aca="false">IF($D$40=1,MAX(0,SUM(Model!$J49:CV49)+SUM(Model!$J96:CV96)),0)</f>
        <v>0</v>
      </c>
      <c r="CW96" s="1" t="n">
        <f aca="false">IF($D$40=1,MAX(0,SUM(Model!$J49:CW49)+SUM(Model!$J96:CW96)),0)</f>
        <v>0</v>
      </c>
      <c r="CX96" s="1" t="n">
        <f aca="false">IF($D$40=1,MAX(0,SUM(Model!$J49:CX49)+SUM(Model!$J96:CX96)),0)</f>
        <v>0</v>
      </c>
      <c r="CY96" s="1" t="n">
        <f aca="false">IF($D$40=1,MAX(0,SUM(Model!$J49:CY49)+SUM(Model!$J96:CY96)),0)</f>
        <v>0</v>
      </c>
      <c r="CZ96" s="1" t="n">
        <f aca="false">IF($D$40=1,MAX(0,SUM(Model!$J49:CZ49)+SUM(Model!$J96:CZ96)),0)</f>
        <v>0</v>
      </c>
      <c r="DA96" s="1" t="n">
        <f aca="false">IF($D$40=1,MAX(0,SUM(Model!$J49:DA49)+SUM(Model!$J96:DA96)),0)</f>
        <v>0</v>
      </c>
      <c r="DB96" s="1" t="n">
        <f aca="false">IF($D$40=1,MAX(0,SUM(Model!$J49:DB49)+SUM(Model!$J96:DB96)),0)</f>
        <v>0</v>
      </c>
      <c r="DC96" s="1" t="n">
        <f aca="false">IF($D$40=1,MAX(0,SUM(Model!$J49:DC49)+SUM(Model!$J96:DC96)),0)</f>
        <v>0</v>
      </c>
      <c r="DD96" s="1" t="n">
        <f aca="false">IF($D$40=1,MAX(0,SUM(Model!$J49:DD49)+SUM(Model!$J96:DD96)),0)</f>
        <v>0</v>
      </c>
      <c r="DE96" s="1" t="n">
        <f aca="false">IF($D$40=1,MAX(0,SUM(Model!$J49:DE49)+SUM(Model!$J96:DE96)),0)</f>
        <v>0</v>
      </c>
    </row>
    <row r="97" customFormat="false" ht="13.5" hidden="false" customHeight="true" outlineLevel="0" collapsed="false">
      <c r="A97" s="1" t="str">
        <f aca="false">$B$41</f>
        <v>BD-25</v>
      </c>
      <c r="B97" s="1" t="n">
        <v>0</v>
      </c>
      <c r="C97" s="1" t="n">
        <v>0</v>
      </c>
      <c r="D97" s="1" t="n">
        <v>0</v>
      </c>
      <c r="E97" s="1" t="n">
        <v>0</v>
      </c>
      <c r="F97" s="1" t="n">
        <v>0</v>
      </c>
      <c r="G97" s="1" t="n">
        <v>0</v>
      </c>
      <c r="H97" s="1" t="n">
        <v>0</v>
      </c>
      <c r="I97" s="1" t="n">
        <v>0</v>
      </c>
      <c r="J97" s="1" t="n">
        <f aca="false">IF($D$41=1,MAX(0,SUM(Model!$J50:J50)+SUM(Model!$J97:J97)),0)</f>
        <v>0</v>
      </c>
      <c r="K97" s="1" t="n">
        <f aca="false">IF($D$41=1,MAX(0,SUM(Model!$J50:K50)+SUM(Model!$J97:K97)),0)</f>
        <v>0</v>
      </c>
      <c r="L97" s="1" t="n">
        <f aca="false">IF($D$41=1,MAX(0,SUM(Model!$J50:L50)+SUM(Model!$J97:L97)),0)</f>
        <v>0</v>
      </c>
      <c r="M97" s="1" t="n">
        <f aca="false">IF($D$41=1,MAX(0,SUM(Model!$J50:M50)+SUM(Model!$J97:M97)),0)</f>
        <v>0</v>
      </c>
      <c r="N97" s="1" t="n">
        <f aca="false">IF($D$41=1,MAX(0,SUM(Model!$J50:N50)+SUM(Model!$J97:N97)),0)</f>
        <v>0</v>
      </c>
      <c r="O97" s="1" t="n">
        <f aca="false">IF($D$41=1,MAX(0,SUM(Model!$J50:O50)+SUM(Model!$J97:O97)),0)</f>
        <v>0</v>
      </c>
      <c r="P97" s="1" t="n">
        <f aca="false">IF($D$41=1,MAX(0,SUM(Model!$J50:P50)+SUM(Model!$J97:P97)),0)</f>
        <v>0</v>
      </c>
      <c r="Q97" s="1" t="n">
        <f aca="false">IF($D$41=1,MAX(0,SUM(Model!$J50:Q50)+SUM(Model!$J97:Q97)),0)</f>
        <v>0</v>
      </c>
      <c r="R97" s="1" t="n">
        <f aca="false">IF($D$41=1,MAX(0,SUM(Model!$J50:R50)+SUM(Model!$J97:R97)),0)</f>
        <v>0</v>
      </c>
      <c r="S97" s="1" t="n">
        <f aca="false">IF($D$41=1,MAX(0,SUM(Model!$J50:S50)+SUM(Model!$J97:S97)),0)</f>
        <v>0</v>
      </c>
      <c r="T97" s="1" t="n">
        <f aca="false">IF($D$41=1,MAX(0,SUM(Model!$J50:T50)+SUM(Model!$J97:T97)),0)</f>
        <v>0</v>
      </c>
      <c r="U97" s="1" t="n">
        <f aca="false">IF($D$41=1,MAX(0,SUM(Model!$J50:U50)+SUM(Model!$J97:U97)),0)</f>
        <v>0</v>
      </c>
      <c r="V97" s="1" t="n">
        <f aca="false">IF($D$41=1,MAX(0,SUM(Model!$J50:V50)+SUM(Model!$J97:V97)),0)</f>
        <v>0</v>
      </c>
      <c r="W97" s="1" t="n">
        <f aca="false">IF($D$41=1,MAX(0,SUM(Model!$J50:W50)+SUM(Model!$J97:W97)),0)</f>
        <v>0</v>
      </c>
      <c r="X97" s="1" t="n">
        <f aca="false">IF($D$41=1,MAX(0,SUM(Model!$J50:X50)+SUM(Model!$J97:X97)),0)</f>
        <v>0</v>
      </c>
      <c r="Y97" s="1" t="n">
        <f aca="false">IF($D$41=1,MAX(0,SUM(Model!$J50:Y50)+SUM(Model!$J97:Y97)),0)</f>
        <v>0</v>
      </c>
      <c r="Z97" s="1" t="n">
        <f aca="false">IF($D$41=1,MAX(0,SUM(Model!$J50:Z50)+SUM(Model!$J97:Z97)),0)</f>
        <v>0</v>
      </c>
      <c r="AA97" s="1" t="n">
        <f aca="false">IF($D$41=1,MAX(0,SUM(Model!$J50:AA50)+SUM(Model!$J97:AA97)),0)</f>
        <v>0</v>
      </c>
      <c r="AB97" s="1" t="n">
        <f aca="false">IF($D$41=1,MAX(0,SUM(Model!$J50:AB50)+SUM(Model!$J97:AB97)),0)</f>
        <v>0</v>
      </c>
      <c r="AC97" s="1" t="n">
        <f aca="false">IF($D$41=1,MAX(0,SUM(Model!$J50:AC50)+SUM(Model!$J97:AC97)),0)</f>
        <v>0</v>
      </c>
      <c r="AD97" s="1" t="n">
        <f aca="false">IF($D$41=1,MAX(0,SUM(Model!$J50:AD50)+SUM(Model!$J97:AD97)),0)</f>
        <v>0</v>
      </c>
      <c r="AE97" s="1" t="n">
        <f aca="false">IF($D$41=1,MAX(0,SUM(Model!$J50:AE50)+SUM(Model!$J97:AE97)),0)</f>
        <v>0</v>
      </c>
      <c r="AF97" s="1" t="n">
        <f aca="false">IF($D$41=1,MAX(0,SUM(Model!$J50:AF50)+SUM(Model!$J97:AF97)),0)</f>
        <v>0</v>
      </c>
      <c r="AG97" s="1" t="n">
        <f aca="false">IF($D$41=1,MAX(0,SUM(Model!$J50:AG50)+SUM(Model!$J97:AG97)),0)</f>
        <v>0</v>
      </c>
      <c r="AH97" s="1" t="n">
        <f aca="false">IF($D$41=1,MAX(0,SUM(Model!$J50:AH50)+SUM(Model!$J97:AH97)),0)</f>
        <v>0</v>
      </c>
      <c r="AI97" s="1" t="n">
        <f aca="false">IF($D$41=1,MAX(0,SUM(Model!$J50:AI50)+SUM(Model!$J97:AI97)),0)</f>
        <v>0</v>
      </c>
      <c r="AJ97" s="1" t="n">
        <f aca="false">IF($D$41=1,MAX(0,SUM(Model!$J50:AJ50)+SUM(Model!$J97:AJ97)),0)</f>
        <v>0</v>
      </c>
      <c r="AK97" s="1" t="n">
        <f aca="false">IF($D$41=1,MAX(0,SUM(Model!$J50:AK50)+SUM(Model!$J97:AK97)),0)</f>
        <v>0</v>
      </c>
      <c r="AL97" s="1" t="n">
        <f aca="false">IF($D$41=1,MAX(0,SUM(Model!$J50:AL50)+SUM(Model!$J97:AL97)),0)</f>
        <v>0</v>
      </c>
      <c r="AM97" s="1" t="n">
        <f aca="false">IF($D$41=1,MAX(0,SUM(Model!$J50:AM50)+SUM(Model!$J97:AM97)),0)</f>
        <v>0</v>
      </c>
      <c r="AN97" s="1" t="n">
        <f aca="false">IF($D$41=1,MAX(0,SUM(Model!$J50:AN50)+SUM(Model!$J97:AN97)),0)</f>
        <v>0</v>
      </c>
      <c r="AO97" s="1" t="n">
        <f aca="false">IF($D$41=1,MAX(0,SUM(Model!$J50:AO50)+SUM(Model!$J97:AO97)),0)</f>
        <v>0</v>
      </c>
      <c r="AP97" s="1" t="n">
        <f aca="false">IF($D$41=1,MAX(0,SUM(Model!$J50:AP50)+SUM(Model!$J97:AP97)),0)</f>
        <v>0</v>
      </c>
      <c r="AQ97" s="1" t="n">
        <f aca="false">IF($D$41=1,MAX(0,SUM(Model!$J50:AQ50)+SUM(Model!$J97:AQ97)),0)</f>
        <v>0</v>
      </c>
      <c r="AR97" s="1" t="n">
        <f aca="false">IF($D$41=1,MAX(0,SUM(Model!$J50:AR50)+SUM(Model!$J97:AR97)),0)</f>
        <v>0</v>
      </c>
      <c r="AS97" s="1" t="n">
        <f aca="false">IF($D$41=1,MAX(0,SUM(Model!$J50:AS50)+SUM(Model!$J97:AS97)),0)</f>
        <v>0</v>
      </c>
      <c r="AT97" s="1" t="n">
        <f aca="false">IF($D$41=1,MAX(0,SUM(Model!$J50:AT50)+SUM(Model!$J97:AT97)),0)</f>
        <v>0</v>
      </c>
      <c r="AU97" s="1" t="n">
        <f aca="false">IF($D$41=1,MAX(0,SUM(Model!$J50:AU50)+SUM(Model!$J97:AU97)),0)</f>
        <v>0</v>
      </c>
      <c r="AV97" s="1" t="n">
        <f aca="false">IF($D$41=1,MAX(0,SUM(Model!$J50:AV50)+SUM(Model!$J97:AV97)),0)</f>
        <v>0</v>
      </c>
      <c r="AW97" s="1" t="n">
        <f aca="false">IF($D$41=1,MAX(0,SUM(Model!$J50:AW50)+SUM(Model!$J97:AW97)),0)</f>
        <v>0</v>
      </c>
      <c r="AX97" s="1" t="n">
        <f aca="false">IF($D$41=1,MAX(0,SUM(Model!$J50:AX50)+SUM(Model!$J97:AX97)),0)</f>
        <v>0</v>
      </c>
      <c r="AY97" s="1" t="n">
        <f aca="false">IF($D$41=1,MAX(0,SUM(Model!$J50:AY50)+SUM(Model!$J97:AY97)),0)</f>
        <v>0</v>
      </c>
      <c r="AZ97" s="1" t="n">
        <f aca="false">IF($D$41=1,MAX(0,SUM(Model!$J50:AZ50)+SUM(Model!$J97:AZ97)),0)</f>
        <v>0</v>
      </c>
      <c r="BA97" s="1" t="n">
        <f aca="false">IF($D$41=1,MAX(0,SUM(Model!$J50:BA50)+SUM(Model!$J97:BA97)),0)</f>
        <v>0</v>
      </c>
      <c r="BB97" s="1" t="n">
        <f aca="false">IF($D$41=1,MAX(0,SUM(Model!$J50:BB50)+SUM(Model!$J97:BB97)),0)</f>
        <v>0</v>
      </c>
      <c r="BC97" s="1" t="n">
        <f aca="false">IF($D$41=1,MAX(0,SUM(Model!$J50:BC50)+SUM(Model!$J97:BC97)),0)</f>
        <v>0</v>
      </c>
      <c r="BD97" s="1" t="n">
        <f aca="false">IF($D$41=1,MAX(0,SUM(Model!$J50:BD50)+SUM(Model!$J97:BD97)),0)</f>
        <v>0</v>
      </c>
      <c r="BE97" s="1" t="n">
        <f aca="false">IF($D$41=1,MAX(0,SUM(Model!$J50:BE50)+SUM(Model!$J97:BE97)),0)</f>
        <v>0</v>
      </c>
      <c r="BF97" s="1" t="n">
        <f aca="false">IF($D$41=1,MAX(0,SUM(Model!$J50:BF50)+SUM(Model!$J97:BF97)),0)</f>
        <v>0</v>
      </c>
      <c r="BG97" s="1" t="n">
        <f aca="false">IF($D$41=1,MAX(0,SUM(Model!$J50:BG50)+SUM(Model!$J97:BG97)),0)</f>
        <v>0</v>
      </c>
      <c r="BH97" s="1" t="n">
        <f aca="false">IF($D$41=1,MAX(0,SUM(Model!$J50:BH50)+SUM(Model!$J97:BH97)),0)</f>
        <v>0</v>
      </c>
      <c r="BI97" s="1" t="n">
        <f aca="false">IF($D$41=1,MAX(0,SUM(Model!$J50:BI50)+SUM(Model!$J97:BI97)),0)</f>
        <v>0</v>
      </c>
      <c r="BJ97" s="1" t="n">
        <f aca="false">IF($D$41=1,MAX(0,SUM(Model!$J50:BJ50)+SUM(Model!$J97:BJ97)),0)</f>
        <v>0</v>
      </c>
      <c r="BK97" s="1" t="n">
        <f aca="false">IF($D$41=1,MAX(0,SUM(Model!$J50:BK50)+SUM(Model!$J97:BK97)),0)</f>
        <v>0</v>
      </c>
      <c r="BL97" s="1" t="n">
        <f aca="false">IF($D$41=1,MAX(0,SUM(Model!$J50:BL50)+SUM(Model!$J97:BL97)),0)</f>
        <v>0</v>
      </c>
      <c r="BM97" s="1" t="n">
        <f aca="false">IF($D$41=1,MAX(0,SUM(Model!$J50:BM50)+SUM(Model!$J97:BM97)),0)</f>
        <v>0</v>
      </c>
      <c r="BN97" s="1" t="n">
        <f aca="false">IF($D$41=1,MAX(0,SUM(Model!$J50:BN50)+SUM(Model!$J97:BN97)),0)</f>
        <v>0</v>
      </c>
      <c r="BO97" s="1" t="n">
        <f aca="false">IF($D$41=1,MAX(0,SUM(Model!$J50:BO50)+SUM(Model!$J97:BO97)),0)</f>
        <v>0</v>
      </c>
      <c r="BP97" s="1" t="n">
        <f aca="false">IF($D$41=1,MAX(0,SUM(Model!$J50:BP50)+SUM(Model!$J97:BP97)),0)</f>
        <v>0</v>
      </c>
      <c r="BQ97" s="1" t="n">
        <f aca="false">IF($D$41=1,MAX(0,SUM(Model!$J50:BQ50)+SUM(Model!$J97:BQ97)),0)</f>
        <v>0</v>
      </c>
      <c r="BR97" s="1" t="n">
        <f aca="false">IF($D$41=1,MAX(0,SUM(Model!$J50:BR50)+SUM(Model!$J97:BR97)),0)</f>
        <v>0</v>
      </c>
      <c r="BS97" s="1" t="n">
        <f aca="false">IF($D$41=1,MAX(0,SUM(Model!$J50:BS50)+SUM(Model!$J97:BS97)),0)</f>
        <v>0</v>
      </c>
      <c r="BT97" s="1" t="n">
        <f aca="false">IF($D$41=1,MAX(0,SUM(Model!$J50:BT50)+SUM(Model!$J97:BT97)),0)</f>
        <v>0</v>
      </c>
      <c r="BU97" s="1" t="n">
        <f aca="false">IF($D$41=1,MAX(0,SUM(Model!$J50:BU50)+SUM(Model!$J97:BU97)),0)</f>
        <v>0</v>
      </c>
      <c r="BV97" s="1" t="n">
        <f aca="false">IF($D$41=1,MAX(0,SUM(Model!$J50:BV50)+SUM(Model!$J97:BV97)),0)</f>
        <v>0</v>
      </c>
      <c r="BW97" s="1" t="n">
        <f aca="false">IF($D$41=1,MAX(0,SUM(Model!$J50:BW50)+SUM(Model!$J97:BW97)),0)</f>
        <v>0</v>
      </c>
      <c r="BX97" s="1" t="n">
        <f aca="false">IF($D$41=1,MAX(0,SUM(Model!$J50:BX50)+SUM(Model!$J97:BX97)),0)</f>
        <v>0</v>
      </c>
      <c r="BY97" s="1" t="n">
        <f aca="false">IF($D$41=1,MAX(0,SUM(Model!$J50:BY50)+SUM(Model!$J97:BY97)),0)</f>
        <v>0</v>
      </c>
      <c r="BZ97" s="1" t="n">
        <f aca="false">IF($D$41=1,MAX(0,SUM(Model!$J50:BZ50)+SUM(Model!$J97:BZ97)),0)</f>
        <v>0</v>
      </c>
      <c r="CA97" s="1" t="n">
        <f aca="false">IF($D$41=1,MAX(0,SUM(Model!$J50:CA50)+SUM(Model!$J97:CA97)),0)</f>
        <v>0</v>
      </c>
      <c r="CB97" s="1" t="n">
        <f aca="false">IF($D$41=1,MAX(0,SUM(Model!$J50:CB50)+SUM(Model!$J97:CB97)),0)</f>
        <v>0</v>
      </c>
      <c r="CC97" s="1" t="n">
        <f aca="false">IF($D$41=1,MAX(0,SUM(Model!$J50:CC50)+SUM(Model!$J97:CC97)),0)</f>
        <v>0</v>
      </c>
      <c r="CD97" s="1" t="n">
        <f aca="false">IF($D$41=1,MAX(0,SUM(Model!$J50:CD50)+SUM(Model!$J97:CD97)),0)</f>
        <v>0</v>
      </c>
      <c r="CE97" s="1" t="n">
        <f aca="false">IF($D$41=1,MAX(0,SUM(Model!$J50:CE50)+SUM(Model!$J97:CE97)),0)</f>
        <v>0</v>
      </c>
      <c r="CF97" s="1" t="n">
        <f aca="false">IF($D$41=1,MAX(0,SUM(Model!$J50:CF50)+SUM(Model!$J97:CF97)),0)</f>
        <v>0</v>
      </c>
      <c r="CG97" s="1" t="n">
        <f aca="false">IF($D$41=1,MAX(0,SUM(Model!$J50:CG50)+SUM(Model!$J97:CG97)),0)</f>
        <v>0</v>
      </c>
      <c r="CH97" s="1" t="n">
        <f aca="false">IF($D$41=1,MAX(0,SUM(Model!$J50:CH50)+SUM(Model!$J97:CH97)),0)</f>
        <v>0</v>
      </c>
      <c r="CI97" s="1" t="n">
        <f aca="false">IF($D$41=1,MAX(0,SUM(Model!$J50:CI50)+SUM(Model!$J97:CI97)),0)</f>
        <v>0</v>
      </c>
      <c r="CJ97" s="1" t="n">
        <f aca="false">IF($D$41=1,MAX(0,SUM(Model!$J50:CJ50)+SUM(Model!$J97:CJ97)),0)</f>
        <v>0</v>
      </c>
      <c r="CK97" s="1" t="n">
        <f aca="false">IF($D$41=1,MAX(0,SUM(Model!$J50:CK50)+SUM(Model!$J97:CK97)),0)</f>
        <v>0</v>
      </c>
      <c r="CL97" s="1" t="n">
        <f aca="false">IF($D$41=1,MAX(0,SUM(Model!$J50:CL50)+SUM(Model!$J97:CL97)),0)</f>
        <v>0</v>
      </c>
      <c r="CM97" s="1" t="n">
        <f aca="false">IF($D$41=1,MAX(0,SUM(Model!$J50:CM50)+SUM(Model!$J97:CM97)),0)</f>
        <v>0</v>
      </c>
      <c r="CN97" s="1" t="n">
        <f aca="false">IF($D$41=1,MAX(0,SUM(Model!$J50:CN50)+SUM(Model!$J97:CN97)),0)</f>
        <v>0</v>
      </c>
      <c r="CO97" s="1" t="n">
        <f aca="false">IF($D$41=1,MAX(0,SUM(Model!$J50:CO50)+SUM(Model!$J97:CO97)),0)</f>
        <v>0</v>
      </c>
      <c r="CP97" s="1" t="n">
        <f aca="false">IF($D$41=1,MAX(0,SUM(Model!$J50:CP50)+SUM(Model!$J97:CP97)),0)</f>
        <v>0</v>
      </c>
      <c r="CQ97" s="1" t="n">
        <f aca="false">IF($D$41=1,MAX(0,SUM(Model!$J50:CQ50)+SUM(Model!$J97:CQ97)),0)</f>
        <v>0</v>
      </c>
      <c r="CR97" s="1" t="n">
        <f aca="false">IF($D$41=1,MAX(0,SUM(Model!$J50:CR50)+SUM(Model!$J97:CR97)),0)</f>
        <v>0</v>
      </c>
      <c r="CS97" s="1" t="n">
        <f aca="false">IF($D$41=1,MAX(0,SUM(Model!$J50:CS50)+SUM(Model!$J97:CS97)),0)</f>
        <v>0</v>
      </c>
      <c r="CT97" s="1" t="n">
        <f aca="false">IF($D$41=1,MAX(0,SUM(Model!$J50:CT50)+SUM(Model!$J97:CT97)),0)</f>
        <v>0</v>
      </c>
      <c r="CU97" s="1" t="n">
        <f aca="false">IF($D$41=1,MAX(0,SUM(Model!$J50:CU50)+SUM(Model!$J97:CU97)),0)</f>
        <v>0</v>
      </c>
      <c r="CV97" s="1" t="n">
        <f aca="false">IF($D$41=1,MAX(0,SUM(Model!$J50:CV50)+SUM(Model!$J97:CV97)),0)</f>
        <v>0</v>
      </c>
      <c r="CW97" s="1" t="n">
        <f aca="false">IF($D$41=1,MAX(0,SUM(Model!$J50:CW50)+SUM(Model!$J97:CW97)),0)</f>
        <v>0</v>
      </c>
      <c r="CX97" s="1" t="n">
        <f aca="false">IF($D$41=1,MAX(0,SUM(Model!$J50:CX50)+SUM(Model!$J97:CX97)),0)</f>
        <v>0</v>
      </c>
      <c r="CY97" s="1" t="n">
        <f aca="false">IF($D$41=1,MAX(0,SUM(Model!$J50:CY50)+SUM(Model!$J97:CY97)),0)</f>
        <v>0</v>
      </c>
      <c r="CZ97" s="1" t="n">
        <f aca="false">IF($D$41=1,MAX(0,SUM(Model!$J50:CZ50)+SUM(Model!$J97:CZ97)),0)</f>
        <v>0</v>
      </c>
      <c r="DA97" s="1" t="n">
        <f aca="false">IF($D$41=1,MAX(0,SUM(Model!$J50:DA50)+SUM(Model!$J97:DA97)),0)</f>
        <v>0</v>
      </c>
      <c r="DB97" s="1" t="n">
        <f aca="false">IF($D$41=1,MAX(0,SUM(Model!$J50:DB50)+SUM(Model!$J97:DB97)),0)</f>
        <v>0</v>
      </c>
      <c r="DC97" s="1" t="n">
        <f aca="false">IF($D$41=1,MAX(0,SUM(Model!$J50:DC50)+SUM(Model!$J97:DC97)),0)</f>
        <v>0</v>
      </c>
      <c r="DD97" s="1" t="n">
        <f aca="false">IF($D$41=1,MAX(0,SUM(Model!$J50:DD50)+SUM(Model!$J97:DD97)),0)</f>
        <v>0</v>
      </c>
      <c r="DE97" s="1" t="n">
        <f aca="false">IF($D$41=1,MAX(0,SUM(Model!$J50:DE50)+SUM(Model!$J97:DE97)),0)</f>
        <v>0</v>
      </c>
    </row>
    <row r="98" customFormat="false" ht="13.5" hidden="false" customHeight="true" outlineLevel="0" collapsed="false">
      <c r="A98" s="1" t="str">
        <f aca="false">$B$42</f>
        <v>BD-26</v>
      </c>
      <c r="B98" s="1" t="n">
        <v>0</v>
      </c>
      <c r="C98" s="1" t="n">
        <v>0</v>
      </c>
      <c r="D98" s="1" t="n">
        <v>0</v>
      </c>
      <c r="E98" s="1" t="n">
        <v>0</v>
      </c>
      <c r="F98" s="1" t="n">
        <v>0</v>
      </c>
      <c r="G98" s="1" t="n">
        <v>0</v>
      </c>
      <c r="H98" s="1" t="n">
        <v>0</v>
      </c>
      <c r="I98" s="1" t="n">
        <v>0</v>
      </c>
      <c r="J98" s="1" t="n">
        <f aca="false">IF($D$42=1,MAX(0,SUM(Model!$J51:J51)+SUM(Model!$J98:J98)),0)</f>
        <v>0</v>
      </c>
      <c r="K98" s="1" t="n">
        <f aca="false">IF($D$42=1,MAX(0,SUM(Model!$J51:K51)+SUM(Model!$J98:K98)),0)</f>
        <v>0</v>
      </c>
      <c r="L98" s="1" t="n">
        <f aca="false">IF($D$42=1,MAX(0,SUM(Model!$J51:L51)+SUM(Model!$J98:L98)),0)</f>
        <v>0</v>
      </c>
      <c r="M98" s="1" t="n">
        <f aca="false">IF($D$42=1,MAX(0,SUM(Model!$J51:M51)+SUM(Model!$J98:M98)),0)</f>
        <v>0</v>
      </c>
      <c r="N98" s="1" t="n">
        <f aca="false">IF($D$42=1,MAX(0,SUM(Model!$J51:N51)+SUM(Model!$J98:N98)),0)</f>
        <v>0</v>
      </c>
      <c r="O98" s="1" t="n">
        <f aca="false">IF($D$42=1,MAX(0,SUM(Model!$J51:O51)+SUM(Model!$J98:O98)),0)</f>
        <v>0</v>
      </c>
      <c r="P98" s="1" t="n">
        <f aca="false">IF($D$42=1,MAX(0,SUM(Model!$J51:P51)+SUM(Model!$J98:P98)),0)</f>
        <v>0</v>
      </c>
      <c r="Q98" s="1" t="n">
        <f aca="false">IF($D$42=1,MAX(0,SUM(Model!$J51:Q51)+SUM(Model!$J98:Q98)),0)</f>
        <v>0</v>
      </c>
      <c r="R98" s="1" t="n">
        <f aca="false">IF($D$42=1,MAX(0,SUM(Model!$J51:R51)+SUM(Model!$J98:R98)),0)</f>
        <v>0</v>
      </c>
      <c r="S98" s="1" t="n">
        <f aca="false">IF($D$42=1,MAX(0,SUM(Model!$J51:S51)+SUM(Model!$J98:S98)),0)</f>
        <v>0</v>
      </c>
      <c r="T98" s="1" t="n">
        <f aca="false">IF($D$42=1,MAX(0,SUM(Model!$J51:T51)+SUM(Model!$J98:T98)),0)</f>
        <v>0</v>
      </c>
      <c r="U98" s="1" t="n">
        <f aca="false">IF($D$42=1,MAX(0,SUM(Model!$J51:U51)+SUM(Model!$J98:U98)),0)</f>
        <v>0</v>
      </c>
      <c r="V98" s="1" t="n">
        <f aca="false">IF($D$42=1,MAX(0,SUM(Model!$J51:V51)+SUM(Model!$J98:V98)),0)</f>
        <v>0</v>
      </c>
      <c r="W98" s="1" t="n">
        <f aca="false">IF($D$42=1,MAX(0,SUM(Model!$J51:W51)+SUM(Model!$J98:W98)),0)</f>
        <v>0</v>
      </c>
      <c r="X98" s="1" t="n">
        <f aca="false">IF($D$42=1,MAX(0,SUM(Model!$J51:X51)+SUM(Model!$J98:X98)),0)</f>
        <v>0</v>
      </c>
      <c r="Y98" s="1" t="n">
        <f aca="false">IF($D$42=1,MAX(0,SUM(Model!$J51:Y51)+SUM(Model!$J98:Y98)),0)</f>
        <v>0</v>
      </c>
      <c r="Z98" s="1" t="n">
        <f aca="false">IF($D$42=1,MAX(0,SUM(Model!$J51:Z51)+SUM(Model!$J98:Z98)),0)</f>
        <v>0</v>
      </c>
      <c r="AA98" s="1" t="n">
        <f aca="false">IF($D$42=1,MAX(0,SUM(Model!$J51:AA51)+SUM(Model!$J98:AA98)),0)</f>
        <v>0</v>
      </c>
      <c r="AB98" s="1" t="n">
        <f aca="false">IF($D$42=1,MAX(0,SUM(Model!$J51:AB51)+SUM(Model!$J98:AB98)),0)</f>
        <v>0</v>
      </c>
      <c r="AC98" s="1" t="n">
        <f aca="false">IF($D$42=1,MAX(0,SUM(Model!$J51:AC51)+SUM(Model!$J98:AC98)),0)</f>
        <v>0</v>
      </c>
      <c r="AD98" s="1" t="n">
        <f aca="false">IF($D$42=1,MAX(0,SUM(Model!$J51:AD51)+SUM(Model!$J98:AD98)),0)</f>
        <v>0</v>
      </c>
      <c r="AE98" s="1" t="n">
        <f aca="false">IF($D$42=1,MAX(0,SUM(Model!$J51:AE51)+SUM(Model!$J98:AE98)),0)</f>
        <v>0</v>
      </c>
      <c r="AF98" s="1" t="n">
        <f aca="false">IF($D$42=1,MAX(0,SUM(Model!$J51:AF51)+SUM(Model!$J98:AF98)),0)</f>
        <v>0</v>
      </c>
      <c r="AG98" s="1" t="n">
        <f aca="false">IF($D$42=1,MAX(0,SUM(Model!$J51:AG51)+SUM(Model!$J98:AG98)),0)</f>
        <v>0</v>
      </c>
      <c r="AH98" s="1" t="n">
        <f aca="false">IF($D$42=1,MAX(0,SUM(Model!$J51:AH51)+SUM(Model!$J98:AH98)),0)</f>
        <v>0</v>
      </c>
      <c r="AI98" s="1" t="n">
        <f aca="false">IF($D$42=1,MAX(0,SUM(Model!$J51:AI51)+SUM(Model!$J98:AI98)),0)</f>
        <v>0</v>
      </c>
      <c r="AJ98" s="1" t="n">
        <f aca="false">IF($D$42=1,MAX(0,SUM(Model!$J51:AJ51)+SUM(Model!$J98:AJ98)),0)</f>
        <v>0</v>
      </c>
      <c r="AK98" s="1" t="n">
        <f aca="false">IF($D$42=1,MAX(0,SUM(Model!$J51:AK51)+SUM(Model!$J98:AK98)),0)</f>
        <v>0</v>
      </c>
      <c r="AL98" s="1" t="n">
        <f aca="false">IF($D$42=1,MAX(0,SUM(Model!$J51:AL51)+SUM(Model!$J98:AL98)),0)</f>
        <v>0</v>
      </c>
      <c r="AM98" s="1" t="n">
        <f aca="false">IF($D$42=1,MAX(0,SUM(Model!$J51:AM51)+SUM(Model!$J98:AM98)),0)</f>
        <v>0</v>
      </c>
      <c r="AN98" s="1" t="n">
        <f aca="false">IF($D$42=1,MAX(0,SUM(Model!$J51:AN51)+SUM(Model!$J98:AN98)),0)</f>
        <v>0</v>
      </c>
      <c r="AO98" s="1" t="n">
        <f aca="false">IF($D$42=1,MAX(0,SUM(Model!$J51:AO51)+SUM(Model!$J98:AO98)),0)</f>
        <v>0</v>
      </c>
      <c r="AP98" s="1" t="n">
        <f aca="false">IF($D$42=1,MAX(0,SUM(Model!$J51:AP51)+SUM(Model!$J98:AP98)),0)</f>
        <v>0</v>
      </c>
      <c r="AQ98" s="1" t="n">
        <f aca="false">IF($D$42=1,MAX(0,SUM(Model!$J51:AQ51)+SUM(Model!$J98:AQ98)),0)</f>
        <v>0</v>
      </c>
      <c r="AR98" s="1" t="n">
        <f aca="false">IF($D$42=1,MAX(0,SUM(Model!$J51:AR51)+SUM(Model!$J98:AR98)),0)</f>
        <v>0</v>
      </c>
      <c r="AS98" s="1" t="n">
        <f aca="false">IF($D$42=1,MAX(0,SUM(Model!$J51:AS51)+SUM(Model!$J98:AS98)),0)</f>
        <v>0</v>
      </c>
      <c r="AT98" s="1" t="n">
        <f aca="false">IF($D$42=1,MAX(0,SUM(Model!$J51:AT51)+SUM(Model!$J98:AT98)),0)</f>
        <v>0</v>
      </c>
      <c r="AU98" s="1" t="n">
        <f aca="false">IF($D$42=1,MAX(0,SUM(Model!$J51:AU51)+SUM(Model!$J98:AU98)),0)</f>
        <v>0</v>
      </c>
      <c r="AV98" s="1" t="n">
        <f aca="false">IF($D$42=1,MAX(0,SUM(Model!$J51:AV51)+SUM(Model!$J98:AV98)),0)</f>
        <v>0</v>
      </c>
      <c r="AW98" s="1" t="n">
        <f aca="false">IF($D$42=1,MAX(0,SUM(Model!$J51:AW51)+SUM(Model!$J98:AW98)),0)</f>
        <v>0</v>
      </c>
      <c r="AX98" s="1" t="n">
        <f aca="false">IF($D$42=1,MAX(0,SUM(Model!$J51:AX51)+SUM(Model!$J98:AX98)),0)</f>
        <v>0</v>
      </c>
      <c r="AY98" s="1" t="n">
        <f aca="false">IF($D$42=1,MAX(0,SUM(Model!$J51:AY51)+SUM(Model!$J98:AY98)),0)</f>
        <v>0</v>
      </c>
      <c r="AZ98" s="1" t="n">
        <f aca="false">IF($D$42=1,MAX(0,SUM(Model!$J51:AZ51)+SUM(Model!$J98:AZ98)),0)</f>
        <v>0</v>
      </c>
      <c r="BA98" s="1" t="n">
        <f aca="false">IF($D$42=1,MAX(0,SUM(Model!$J51:BA51)+SUM(Model!$J98:BA98)),0)</f>
        <v>0</v>
      </c>
      <c r="BB98" s="1" t="n">
        <f aca="false">IF($D$42=1,MAX(0,SUM(Model!$J51:BB51)+SUM(Model!$J98:BB98)),0)</f>
        <v>0</v>
      </c>
      <c r="BC98" s="1" t="n">
        <f aca="false">IF($D$42=1,MAX(0,SUM(Model!$J51:BC51)+SUM(Model!$J98:BC98)),0)</f>
        <v>0</v>
      </c>
      <c r="BD98" s="1" t="n">
        <f aca="false">IF($D$42=1,MAX(0,SUM(Model!$J51:BD51)+SUM(Model!$J98:BD98)),0)</f>
        <v>0</v>
      </c>
      <c r="BE98" s="1" t="n">
        <f aca="false">IF($D$42=1,MAX(0,SUM(Model!$J51:BE51)+SUM(Model!$J98:BE98)),0)</f>
        <v>0</v>
      </c>
      <c r="BF98" s="1" t="n">
        <f aca="false">IF($D$42=1,MAX(0,SUM(Model!$J51:BF51)+SUM(Model!$J98:BF98)),0)</f>
        <v>0</v>
      </c>
      <c r="BG98" s="1" t="n">
        <f aca="false">IF($D$42=1,MAX(0,SUM(Model!$J51:BG51)+SUM(Model!$J98:BG98)),0)</f>
        <v>0</v>
      </c>
      <c r="BH98" s="1" t="n">
        <f aca="false">IF($D$42=1,MAX(0,SUM(Model!$J51:BH51)+SUM(Model!$J98:BH98)),0)</f>
        <v>0</v>
      </c>
      <c r="BI98" s="1" t="n">
        <f aca="false">IF($D$42=1,MAX(0,SUM(Model!$J51:BI51)+SUM(Model!$J98:BI98)),0)</f>
        <v>0</v>
      </c>
      <c r="BJ98" s="1" t="n">
        <f aca="false">IF($D$42=1,MAX(0,SUM(Model!$J51:BJ51)+SUM(Model!$J98:BJ98)),0)</f>
        <v>0</v>
      </c>
      <c r="BK98" s="1" t="n">
        <f aca="false">IF($D$42=1,MAX(0,SUM(Model!$J51:BK51)+SUM(Model!$J98:BK98)),0)</f>
        <v>0</v>
      </c>
      <c r="BL98" s="1" t="n">
        <f aca="false">IF($D$42=1,MAX(0,SUM(Model!$J51:BL51)+SUM(Model!$J98:BL98)),0)</f>
        <v>0</v>
      </c>
      <c r="BM98" s="1" t="n">
        <f aca="false">IF($D$42=1,MAX(0,SUM(Model!$J51:BM51)+SUM(Model!$J98:BM98)),0)</f>
        <v>0</v>
      </c>
      <c r="BN98" s="1" t="n">
        <f aca="false">IF($D$42=1,MAX(0,SUM(Model!$J51:BN51)+SUM(Model!$J98:BN98)),0)</f>
        <v>0</v>
      </c>
      <c r="BO98" s="1" t="n">
        <f aca="false">IF($D$42=1,MAX(0,SUM(Model!$J51:BO51)+SUM(Model!$J98:BO98)),0)</f>
        <v>0</v>
      </c>
      <c r="BP98" s="1" t="n">
        <f aca="false">IF($D$42=1,MAX(0,SUM(Model!$J51:BP51)+SUM(Model!$J98:BP98)),0)</f>
        <v>0</v>
      </c>
      <c r="BQ98" s="1" t="n">
        <f aca="false">IF($D$42=1,MAX(0,SUM(Model!$J51:BQ51)+SUM(Model!$J98:BQ98)),0)</f>
        <v>0</v>
      </c>
      <c r="BR98" s="1" t="n">
        <f aca="false">IF($D$42=1,MAX(0,SUM(Model!$J51:BR51)+SUM(Model!$J98:BR98)),0)</f>
        <v>0</v>
      </c>
      <c r="BS98" s="1" t="n">
        <f aca="false">IF($D$42=1,MAX(0,SUM(Model!$J51:BS51)+SUM(Model!$J98:BS98)),0)</f>
        <v>0</v>
      </c>
      <c r="BT98" s="1" t="n">
        <f aca="false">IF($D$42=1,MAX(0,SUM(Model!$J51:BT51)+SUM(Model!$J98:BT98)),0)</f>
        <v>0</v>
      </c>
      <c r="BU98" s="1" t="n">
        <f aca="false">IF($D$42=1,MAX(0,SUM(Model!$J51:BU51)+SUM(Model!$J98:BU98)),0)</f>
        <v>0</v>
      </c>
      <c r="BV98" s="1" t="n">
        <f aca="false">IF($D$42=1,MAX(0,SUM(Model!$J51:BV51)+SUM(Model!$J98:BV98)),0)</f>
        <v>0</v>
      </c>
      <c r="BW98" s="1" t="n">
        <f aca="false">IF($D$42=1,MAX(0,SUM(Model!$J51:BW51)+SUM(Model!$J98:BW98)),0)</f>
        <v>0</v>
      </c>
      <c r="BX98" s="1" t="n">
        <f aca="false">IF($D$42=1,MAX(0,SUM(Model!$J51:BX51)+SUM(Model!$J98:BX98)),0)</f>
        <v>0</v>
      </c>
      <c r="BY98" s="1" t="n">
        <f aca="false">IF($D$42=1,MAX(0,SUM(Model!$J51:BY51)+SUM(Model!$J98:BY98)),0)</f>
        <v>0</v>
      </c>
      <c r="BZ98" s="1" t="n">
        <f aca="false">IF($D$42=1,MAX(0,SUM(Model!$J51:BZ51)+SUM(Model!$J98:BZ98)),0)</f>
        <v>0</v>
      </c>
      <c r="CA98" s="1" t="n">
        <f aca="false">IF($D$42=1,MAX(0,SUM(Model!$J51:CA51)+SUM(Model!$J98:CA98)),0)</f>
        <v>0</v>
      </c>
      <c r="CB98" s="1" t="n">
        <f aca="false">IF($D$42=1,MAX(0,SUM(Model!$J51:CB51)+SUM(Model!$J98:CB98)),0)</f>
        <v>0</v>
      </c>
      <c r="CC98" s="1" t="n">
        <f aca="false">IF($D$42=1,MAX(0,SUM(Model!$J51:CC51)+SUM(Model!$J98:CC98)),0)</f>
        <v>0</v>
      </c>
      <c r="CD98" s="1" t="n">
        <f aca="false">IF($D$42=1,MAX(0,SUM(Model!$J51:CD51)+SUM(Model!$J98:CD98)),0)</f>
        <v>0</v>
      </c>
      <c r="CE98" s="1" t="n">
        <f aca="false">IF($D$42=1,MAX(0,SUM(Model!$J51:CE51)+SUM(Model!$J98:CE98)),0)</f>
        <v>0</v>
      </c>
      <c r="CF98" s="1" t="n">
        <f aca="false">IF($D$42=1,MAX(0,SUM(Model!$J51:CF51)+SUM(Model!$J98:CF98)),0)</f>
        <v>0</v>
      </c>
      <c r="CG98" s="1" t="n">
        <f aca="false">IF($D$42=1,MAX(0,SUM(Model!$J51:CG51)+SUM(Model!$J98:CG98)),0)</f>
        <v>0</v>
      </c>
      <c r="CH98" s="1" t="n">
        <f aca="false">IF($D$42=1,MAX(0,SUM(Model!$J51:CH51)+SUM(Model!$J98:CH98)),0)</f>
        <v>0</v>
      </c>
      <c r="CI98" s="1" t="n">
        <f aca="false">IF($D$42=1,MAX(0,SUM(Model!$J51:CI51)+SUM(Model!$J98:CI98)),0)</f>
        <v>0</v>
      </c>
      <c r="CJ98" s="1" t="n">
        <f aca="false">IF($D$42=1,MAX(0,SUM(Model!$J51:CJ51)+SUM(Model!$J98:CJ98)),0)</f>
        <v>0</v>
      </c>
      <c r="CK98" s="1" t="n">
        <f aca="false">IF($D$42=1,MAX(0,SUM(Model!$J51:CK51)+SUM(Model!$J98:CK98)),0)</f>
        <v>0</v>
      </c>
      <c r="CL98" s="1" t="n">
        <f aca="false">IF($D$42=1,MAX(0,SUM(Model!$J51:CL51)+SUM(Model!$J98:CL98)),0)</f>
        <v>0</v>
      </c>
      <c r="CM98" s="1" t="n">
        <f aca="false">IF($D$42=1,MAX(0,SUM(Model!$J51:CM51)+SUM(Model!$J98:CM98)),0)</f>
        <v>0</v>
      </c>
      <c r="CN98" s="1" t="n">
        <f aca="false">IF($D$42=1,MAX(0,SUM(Model!$J51:CN51)+SUM(Model!$J98:CN98)),0)</f>
        <v>0</v>
      </c>
      <c r="CO98" s="1" t="n">
        <f aca="false">IF($D$42=1,MAX(0,SUM(Model!$J51:CO51)+SUM(Model!$J98:CO98)),0)</f>
        <v>0</v>
      </c>
      <c r="CP98" s="1" t="n">
        <f aca="false">IF($D$42=1,MAX(0,SUM(Model!$J51:CP51)+SUM(Model!$J98:CP98)),0)</f>
        <v>0</v>
      </c>
      <c r="CQ98" s="1" t="n">
        <f aca="false">IF($D$42=1,MAX(0,SUM(Model!$J51:CQ51)+SUM(Model!$J98:CQ98)),0)</f>
        <v>0</v>
      </c>
      <c r="CR98" s="1" t="n">
        <f aca="false">IF($D$42=1,MAX(0,SUM(Model!$J51:CR51)+SUM(Model!$J98:CR98)),0)</f>
        <v>0</v>
      </c>
      <c r="CS98" s="1" t="n">
        <f aca="false">IF($D$42=1,MAX(0,SUM(Model!$J51:CS51)+SUM(Model!$J98:CS98)),0)</f>
        <v>0</v>
      </c>
      <c r="CT98" s="1" t="n">
        <f aca="false">IF($D$42=1,MAX(0,SUM(Model!$J51:CT51)+SUM(Model!$J98:CT98)),0)</f>
        <v>0</v>
      </c>
      <c r="CU98" s="1" t="n">
        <f aca="false">IF($D$42=1,MAX(0,SUM(Model!$J51:CU51)+SUM(Model!$J98:CU98)),0)</f>
        <v>0</v>
      </c>
      <c r="CV98" s="1" t="n">
        <f aca="false">IF($D$42=1,MAX(0,SUM(Model!$J51:CV51)+SUM(Model!$J98:CV98)),0)</f>
        <v>0</v>
      </c>
      <c r="CW98" s="1" t="n">
        <f aca="false">IF($D$42=1,MAX(0,SUM(Model!$J51:CW51)+SUM(Model!$J98:CW98)),0)</f>
        <v>0</v>
      </c>
      <c r="CX98" s="1" t="n">
        <f aca="false">IF($D$42=1,MAX(0,SUM(Model!$J51:CX51)+SUM(Model!$J98:CX98)),0)</f>
        <v>0</v>
      </c>
      <c r="CY98" s="1" t="n">
        <f aca="false">IF($D$42=1,MAX(0,SUM(Model!$J51:CY51)+SUM(Model!$J98:CY98)),0)</f>
        <v>0</v>
      </c>
      <c r="CZ98" s="1" t="n">
        <f aca="false">IF($D$42=1,MAX(0,SUM(Model!$J51:CZ51)+SUM(Model!$J98:CZ98)),0)</f>
        <v>0</v>
      </c>
      <c r="DA98" s="1" t="n">
        <f aca="false">IF($D$42=1,MAX(0,SUM(Model!$J51:DA51)+SUM(Model!$J98:DA98)),0)</f>
        <v>0</v>
      </c>
      <c r="DB98" s="1" t="n">
        <f aca="false">IF($D$42=1,MAX(0,SUM(Model!$J51:DB51)+SUM(Model!$J98:DB98)),0)</f>
        <v>0</v>
      </c>
      <c r="DC98" s="1" t="n">
        <f aca="false">IF($D$42=1,MAX(0,SUM(Model!$J51:DC51)+SUM(Model!$J98:DC98)),0)</f>
        <v>0</v>
      </c>
      <c r="DD98" s="1" t="n">
        <f aca="false">IF($D$42=1,MAX(0,SUM(Model!$J51:DD51)+SUM(Model!$J98:DD98)),0)</f>
        <v>0</v>
      </c>
      <c r="DE98" s="1" t="n">
        <f aca="false">IF($D$42=1,MAX(0,SUM(Model!$J51:DE51)+SUM(Model!$J98:DE98)),0)</f>
        <v>0</v>
      </c>
    </row>
    <row r="99" customFormat="false" ht="13.5" hidden="false" customHeight="true" outlineLevel="0" collapsed="false">
      <c r="A99" s="1" t="str">
        <f aca="false">$B$43</f>
        <v>BD-27</v>
      </c>
      <c r="B99" s="1" t="n">
        <v>0</v>
      </c>
      <c r="C99" s="1" t="n">
        <v>0</v>
      </c>
      <c r="D99" s="1" t="n">
        <v>0</v>
      </c>
      <c r="E99" s="1" t="n">
        <v>0</v>
      </c>
      <c r="F99" s="1" t="n">
        <v>0</v>
      </c>
      <c r="G99" s="1" t="n">
        <v>0</v>
      </c>
      <c r="H99" s="1" t="n">
        <v>0</v>
      </c>
      <c r="I99" s="1" t="n">
        <v>0</v>
      </c>
      <c r="J99" s="1" t="n">
        <f aca="false">IF($D$43=1,MAX(0,SUM(Model!$J52:J52)+SUM(Model!$J99:J99)),0)</f>
        <v>0</v>
      </c>
      <c r="K99" s="1" t="n">
        <f aca="false">IF($D$43=1,MAX(0,SUM(Model!$J52:K52)+SUM(Model!$J99:K99)),0)</f>
        <v>0</v>
      </c>
      <c r="L99" s="1" t="n">
        <f aca="false">IF($D$43=1,MAX(0,SUM(Model!$J52:L52)+SUM(Model!$J99:L99)),0)</f>
        <v>0</v>
      </c>
      <c r="M99" s="1" t="n">
        <f aca="false">IF($D$43=1,MAX(0,SUM(Model!$J52:M52)+SUM(Model!$J99:M99)),0)</f>
        <v>0</v>
      </c>
      <c r="N99" s="1" t="n">
        <f aca="false">IF($D$43=1,MAX(0,SUM(Model!$J52:N52)+SUM(Model!$J99:N99)),0)</f>
        <v>0</v>
      </c>
      <c r="O99" s="1" t="n">
        <f aca="false">IF($D$43=1,MAX(0,SUM(Model!$J52:O52)+SUM(Model!$J99:O99)),0)</f>
        <v>0</v>
      </c>
      <c r="P99" s="1" t="n">
        <f aca="false">IF($D$43=1,MAX(0,SUM(Model!$J52:P52)+SUM(Model!$J99:P99)),0)</f>
        <v>0</v>
      </c>
      <c r="Q99" s="1" t="n">
        <f aca="false">IF($D$43=1,MAX(0,SUM(Model!$J52:Q52)+SUM(Model!$J99:Q99)),0)</f>
        <v>0</v>
      </c>
      <c r="R99" s="1" t="n">
        <f aca="false">IF($D$43=1,MAX(0,SUM(Model!$J52:R52)+SUM(Model!$J99:R99)),0)</f>
        <v>0</v>
      </c>
      <c r="S99" s="1" t="n">
        <f aca="false">IF($D$43=1,MAX(0,SUM(Model!$J52:S52)+SUM(Model!$J99:S99)),0)</f>
        <v>0</v>
      </c>
      <c r="T99" s="1" t="n">
        <f aca="false">IF($D$43=1,MAX(0,SUM(Model!$J52:T52)+SUM(Model!$J99:T99)),0)</f>
        <v>0</v>
      </c>
      <c r="U99" s="1" t="n">
        <f aca="false">IF($D$43=1,MAX(0,SUM(Model!$J52:U52)+SUM(Model!$J99:U99)),0)</f>
        <v>0</v>
      </c>
      <c r="V99" s="1" t="n">
        <f aca="false">IF($D$43=1,MAX(0,SUM(Model!$J52:V52)+SUM(Model!$J99:V99)),0)</f>
        <v>0</v>
      </c>
      <c r="W99" s="1" t="n">
        <f aca="false">IF($D$43=1,MAX(0,SUM(Model!$J52:W52)+SUM(Model!$J99:W99)),0)</f>
        <v>0</v>
      </c>
      <c r="X99" s="1" t="n">
        <f aca="false">IF($D$43=1,MAX(0,SUM(Model!$J52:X52)+SUM(Model!$J99:X99)),0)</f>
        <v>0</v>
      </c>
      <c r="Y99" s="1" t="n">
        <f aca="false">IF($D$43=1,MAX(0,SUM(Model!$J52:Y52)+SUM(Model!$J99:Y99)),0)</f>
        <v>0</v>
      </c>
      <c r="Z99" s="1" t="n">
        <f aca="false">IF($D$43=1,MAX(0,SUM(Model!$J52:Z52)+SUM(Model!$J99:Z99)),0)</f>
        <v>0</v>
      </c>
      <c r="AA99" s="1" t="n">
        <f aca="false">IF($D$43=1,MAX(0,SUM(Model!$J52:AA52)+SUM(Model!$J99:AA99)),0)</f>
        <v>0</v>
      </c>
      <c r="AB99" s="1" t="n">
        <f aca="false">IF($D$43=1,MAX(0,SUM(Model!$J52:AB52)+SUM(Model!$J99:AB99)),0)</f>
        <v>0</v>
      </c>
      <c r="AC99" s="1" t="n">
        <f aca="false">IF($D$43=1,MAX(0,SUM(Model!$J52:AC52)+SUM(Model!$J99:AC99)),0)</f>
        <v>0</v>
      </c>
      <c r="AD99" s="1" t="n">
        <f aca="false">IF($D$43=1,MAX(0,SUM(Model!$J52:AD52)+SUM(Model!$J99:AD99)),0)</f>
        <v>0</v>
      </c>
      <c r="AE99" s="1" t="n">
        <f aca="false">IF($D$43=1,MAX(0,SUM(Model!$J52:AE52)+SUM(Model!$J99:AE99)),0)</f>
        <v>0</v>
      </c>
      <c r="AF99" s="1" t="n">
        <f aca="false">IF($D$43=1,MAX(0,SUM(Model!$J52:AF52)+SUM(Model!$J99:AF99)),0)</f>
        <v>0</v>
      </c>
      <c r="AG99" s="1" t="n">
        <f aca="false">IF($D$43=1,MAX(0,SUM(Model!$J52:AG52)+SUM(Model!$J99:AG99)),0)</f>
        <v>0</v>
      </c>
      <c r="AH99" s="1" t="n">
        <f aca="false">IF($D$43=1,MAX(0,SUM(Model!$J52:AH52)+SUM(Model!$J99:AH99)),0)</f>
        <v>0</v>
      </c>
      <c r="AI99" s="1" t="n">
        <f aca="false">IF($D$43=1,MAX(0,SUM(Model!$J52:AI52)+SUM(Model!$J99:AI99)),0)</f>
        <v>0</v>
      </c>
      <c r="AJ99" s="1" t="n">
        <f aca="false">IF($D$43=1,MAX(0,SUM(Model!$J52:AJ52)+SUM(Model!$J99:AJ99)),0)</f>
        <v>0</v>
      </c>
      <c r="AK99" s="1" t="n">
        <f aca="false">IF($D$43=1,MAX(0,SUM(Model!$J52:AK52)+SUM(Model!$J99:AK99)),0)</f>
        <v>0</v>
      </c>
      <c r="AL99" s="1" t="n">
        <f aca="false">IF($D$43=1,MAX(0,SUM(Model!$J52:AL52)+SUM(Model!$J99:AL99)),0)</f>
        <v>0</v>
      </c>
      <c r="AM99" s="1" t="n">
        <f aca="false">IF($D$43=1,MAX(0,SUM(Model!$J52:AM52)+SUM(Model!$J99:AM99)),0)</f>
        <v>0</v>
      </c>
      <c r="AN99" s="1" t="n">
        <f aca="false">IF($D$43=1,MAX(0,SUM(Model!$J52:AN52)+SUM(Model!$J99:AN99)),0)</f>
        <v>0</v>
      </c>
      <c r="AO99" s="1" t="n">
        <f aca="false">IF($D$43=1,MAX(0,SUM(Model!$J52:AO52)+SUM(Model!$J99:AO99)),0)</f>
        <v>0</v>
      </c>
      <c r="AP99" s="1" t="n">
        <f aca="false">IF($D$43=1,MAX(0,SUM(Model!$J52:AP52)+SUM(Model!$J99:AP99)),0)</f>
        <v>0</v>
      </c>
      <c r="AQ99" s="1" t="n">
        <f aca="false">IF($D$43=1,MAX(0,SUM(Model!$J52:AQ52)+SUM(Model!$J99:AQ99)),0)</f>
        <v>0</v>
      </c>
      <c r="AR99" s="1" t="n">
        <f aca="false">IF($D$43=1,MAX(0,SUM(Model!$J52:AR52)+SUM(Model!$J99:AR99)),0)</f>
        <v>0</v>
      </c>
      <c r="AS99" s="1" t="n">
        <f aca="false">IF($D$43=1,MAX(0,SUM(Model!$J52:AS52)+SUM(Model!$J99:AS99)),0)</f>
        <v>0</v>
      </c>
      <c r="AT99" s="1" t="n">
        <f aca="false">IF($D$43=1,MAX(0,SUM(Model!$J52:AT52)+SUM(Model!$J99:AT99)),0)</f>
        <v>0</v>
      </c>
      <c r="AU99" s="1" t="n">
        <f aca="false">IF($D$43=1,MAX(0,SUM(Model!$J52:AU52)+SUM(Model!$J99:AU99)),0)</f>
        <v>0</v>
      </c>
      <c r="AV99" s="1" t="n">
        <f aca="false">IF($D$43=1,MAX(0,SUM(Model!$J52:AV52)+SUM(Model!$J99:AV99)),0)</f>
        <v>0</v>
      </c>
      <c r="AW99" s="1" t="n">
        <f aca="false">IF($D$43=1,MAX(0,SUM(Model!$J52:AW52)+SUM(Model!$J99:AW99)),0)</f>
        <v>0</v>
      </c>
      <c r="AX99" s="1" t="n">
        <f aca="false">IF($D$43=1,MAX(0,SUM(Model!$J52:AX52)+SUM(Model!$J99:AX99)),0)</f>
        <v>0</v>
      </c>
      <c r="AY99" s="1" t="n">
        <f aca="false">IF($D$43=1,MAX(0,SUM(Model!$J52:AY52)+SUM(Model!$J99:AY99)),0)</f>
        <v>0</v>
      </c>
      <c r="AZ99" s="1" t="n">
        <f aca="false">IF($D$43=1,MAX(0,SUM(Model!$J52:AZ52)+SUM(Model!$J99:AZ99)),0)</f>
        <v>0</v>
      </c>
      <c r="BA99" s="1" t="n">
        <f aca="false">IF($D$43=1,MAX(0,SUM(Model!$J52:BA52)+SUM(Model!$J99:BA99)),0)</f>
        <v>0</v>
      </c>
      <c r="BB99" s="1" t="n">
        <f aca="false">IF($D$43=1,MAX(0,SUM(Model!$J52:BB52)+SUM(Model!$J99:BB99)),0)</f>
        <v>0</v>
      </c>
      <c r="BC99" s="1" t="n">
        <f aca="false">IF($D$43=1,MAX(0,SUM(Model!$J52:BC52)+SUM(Model!$J99:BC99)),0)</f>
        <v>0</v>
      </c>
      <c r="BD99" s="1" t="n">
        <f aca="false">IF($D$43=1,MAX(0,SUM(Model!$J52:BD52)+SUM(Model!$J99:BD99)),0)</f>
        <v>0</v>
      </c>
      <c r="BE99" s="1" t="n">
        <f aca="false">IF($D$43=1,MAX(0,SUM(Model!$J52:BE52)+SUM(Model!$J99:BE99)),0)</f>
        <v>0</v>
      </c>
      <c r="BF99" s="1" t="n">
        <f aca="false">IF($D$43=1,MAX(0,SUM(Model!$J52:BF52)+SUM(Model!$J99:BF99)),0)</f>
        <v>0</v>
      </c>
      <c r="BG99" s="1" t="n">
        <f aca="false">IF($D$43=1,MAX(0,SUM(Model!$J52:BG52)+SUM(Model!$J99:BG99)),0)</f>
        <v>0</v>
      </c>
      <c r="BH99" s="1" t="n">
        <f aca="false">IF($D$43=1,MAX(0,SUM(Model!$J52:BH52)+SUM(Model!$J99:BH99)),0)</f>
        <v>0</v>
      </c>
      <c r="BI99" s="1" t="n">
        <f aca="false">IF($D$43=1,MAX(0,SUM(Model!$J52:BI52)+SUM(Model!$J99:BI99)),0)</f>
        <v>0</v>
      </c>
      <c r="BJ99" s="1" t="n">
        <f aca="false">IF($D$43=1,MAX(0,SUM(Model!$J52:BJ52)+SUM(Model!$J99:BJ99)),0)</f>
        <v>0</v>
      </c>
      <c r="BK99" s="1" t="n">
        <f aca="false">IF($D$43=1,MAX(0,SUM(Model!$J52:BK52)+SUM(Model!$J99:BK99)),0)</f>
        <v>0</v>
      </c>
      <c r="BL99" s="1" t="n">
        <f aca="false">IF($D$43=1,MAX(0,SUM(Model!$J52:BL52)+SUM(Model!$J99:BL99)),0)</f>
        <v>0</v>
      </c>
      <c r="BM99" s="1" t="n">
        <f aca="false">IF($D$43=1,MAX(0,SUM(Model!$J52:BM52)+SUM(Model!$J99:BM99)),0)</f>
        <v>0</v>
      </c>
      <c r="BN99" s="1" t="n">
        <f aca="false">IF($D$43=1,MAX(0,SUM(Model!$J52:BN52)+SUM(Model!$J99:BN99)),0)</f>
        <v>0</v>
      </c>
      <c r="BO99" s="1" t="n">
        <f aca="false">IF($D$43=1,MAX(0,SUM(Model!$J52:BO52)+SUM(Model!$J99:BO99)),0)</f>
        <v>0</v>
      </c>
      <c r="BP99" s="1" t="n">
        <f aca="false">IF($D$43=1,MAX(0,SUM(Model!$J52:BP52)+SUM(Model!$J99:BP99)),0)</f>
        <v>0</v>
      </c>
      <c r="BQ99" s="1" t="n">
        <f aca="false">IF($D$43=1,MAX(0,SUM(Model!$J52:BQ52)+SUM(Model!$J99:BQ99)),0)</f>
        <v>0</v>
      </c>
      <c r="BR99" s="1" t="n">
        <f aca="false">IF($D$43=1,MAX(0,SUM(Model!$J52:BR52)+SUM(Model!$J99:BR99)),0)</f>
        <v>0</v>
      </c>
      <c r="BS99" s="1" t="n">
        <f aca="false">IF($D$43=1,MAX(0,SUM(Model!$J52:BS52)+SUM(Model!$J99:BS99)),0)</f>
        <v>0</v>
      </c>
      <c r="BT99" s="1" t="n">
        <f aca="false">IF($D$43=1,MAX(0,SUM(Model!$J52:BT52)+SUM(Model!$J99:BT99)),0)</f>
        <v>0</v>
      </c>
      <c r="BU99" s="1" t="n">
        <f aca="false">IF($D$43=1,MAX(0,SUM(Model!$J52:BU52)+SUM(Model!$J99:BU99)),0)</f>
        <v>0</v>
      </c>
      <c r="BV99" s="1" t="n">
        <f aca="false">IF($D$43=1,MAX(0,SUM(Model!$J52:BV52)+SUM(Model!$J99:BV99)),0)</f>
        <v>0</v>
      </c>
      <c r="BW99" s="1" t="n">
        <f aca="false">IF($D$43=1,MAX(0,SUM(Model!$J52:BW52)+SUM(Model!$J99:BW99)),0)</f>
        <v>0</v>
      </c>
      <c r="BX99" s="1" t="n">
        <f aca="false">IF($D$43=1,MAX(0,SUM(Model!$J52:BX52)+SUM(Model!$J99:BX99)),0)</f>
        <v>0</v>
      </c>
      <c r="BY99" s="1" t="n">
        <f aca="false">IF($D$43=1,MAX(0,SUM(Model!$J52:BY52)+SUM(Model!$J99:BY99)),0)</f>
        <v>0</v>
      </c>
      <c r="BZ99" s="1" t="n">
        <f aca="false">IF($D$43=1,MAX(0,SUM(Model!$J52:BZ52)+SUM(Model!$J99:BZ99)),0)</f>
        <v>0</v>
      </c>
      <c r="CA99" s="1" t="n">
        <f aca="false">IF($D$43=1,MAX(0,SUM(Model!$J52:CA52)+SUM(Model!$J99:CA99)),0)</f>
        <v>0</v>
      </c>
      <c r="CB99" s="1" t="n">
        <f aca="false">IF($D$43=1,MAX(0,SUM(Model!$J52:CB52)+SUM(Model!$J99:CB99)),0)</f>
        <v>0</v>
      </c>
      <c r="CC99" s="1" t="n">
        <f aca="false">IF($D$43=1,MAX(0,SUM(Model!$J52:CC52)+SUM(Model!$J99:CC99)),0)</f>
        <v>0</v>
      </c>
      <c r="CD99" s="1" t="n">
        <f aca="false">IF($D$43=1,MAX(0,SUM(Model!$J52:CD52)+SUM(Model!$J99:CD99)),0)</f>
        <v>0</v>
      </c>
      <c r="CE99" s="1" t="n">
        <f aca="false">IF($D$43=1,MAX(0,SUM(Model!$J52:CE52)+SUM(Model!$J99:CE99)),0)</f>
        <v>0</v>
      </c>
      <c r="CF99" s="1" t="n">
        <f aca="false">IF($D$43=1,MAX(0,SUM(Model!$J52:CF52)+SUM(Model!$J99:CF99)),0)</f>
        <v>0</v>
      </c>
      <c r="CG99" s="1" t="n">
        <f aca="false">IF($D$43=1,MAX(0,SUM(Model!$J52:CG52)+SUM(Model!$J99:CG99)),0)</f>
        <v>0</v>
      </c>
      <c r="CH99" s="1" t="n">
        <f aca="false">IF($D$43=1,MAX(0,SUM(Model!$J52:CH52)+SUM(Model!$J99:CH99)),0)</f>
        <v>0</v>
      </c>
      <c r="CI99" s="1" t="n">
        <f aca="false">IF($D$43=1,MAX(0,SUM(Model!$J52:CI52)+SUM(Model!$J99:CI99)),0)</f>
        <v>0</v>
      </c>
      <c r="CJ99" s="1" t="n">
        <f aca="false">IF($D$43=1,MAX(0,SUM(Model!$J52:CJ52)+SUM(Model!$J99:CJ99)),0)</f>
        <v>0</v>
      </c>
      <c r="CK99" s="1" t="n">
        <f aca="false">IF($D$43=1,MAX(0,SUM(Model!$J52:CK52)+SUM(Model!$J99:CK99)),0)</f>
        <v>0</v>
      </c>
      <c r="CL99" s="1" t="n">
        <f aca="false">IF($D$43=1,MAX(0,SUM(Model!$J52:CL52)+SUM(Model!$J99:CL99)),0)</f>
        <v>0</v>
      </c>
      <c r="CM99" s="1" t="n">
        <f aca="false">IF($D$43=1,MAX(0,SUM(Model!$J52:CM52)+SUM(Model!$J99:CM99)),0)</f>
        <v>0</v>
      </c>
      <c r="CN99" s="1" t="n">
        <f aca="false">IF($D$43=1,MAX(0,SUM(Model!$J52:CN52)+SUM(Model!$J99:CN99)),0)</f>
        <v>0</v>
      </c>
      <c r="CO99" s="1" t="n">
        <f aca="false">IF($D$43=1,MAX(0,SUM(Model!$J52:CO52)+SUM(Model!$J99:CO99)),0)</f>
        <v>0</v>
      </c>
      <c r="CP99" s="1" t="n">
        <f aca="false">IF($D$43=1,MAX(0,SUM(Model!$J52:CP52)+SUM(Model!$J99:CP99)),0)</f>
        <v>0</v>
      </c>
      <c r="CQ99" s="1" t="n">
        <f aca="false">IF($D$43=1,MAX(0,SUM(Model!$J52:CQ52)+SUM(Model!$J99:CQ99)),0)</f>
        <v>0</v>
      </c>
      <c r="CR99" s="1" t="n">
        <f aca="false">IF($D$43=1,MAX(0,SUM(Model!$J52:CR52)+SUM(Model!$J99:CR99)),0)</f>
        <v>0</v>
      </c>
      <c r="CS99" s="1" t="n">
        <f aca="false">IF($D$43=1,MAX(0,SUM(Model!$J52:CS52)+SUM(Model!$J99:CS99)),0)</f>
        <v>0</v>
      </c>
      <c r="CT99" s="1" t="n">
        <f aca="false">IF($D$43=1,MAX(0,SUM(Model!$J52:CT52)+SUM(Model!$J99:CT99)),0)</f>
        <v>0</v>
      </c>
      <c r="CU99" s="1" t="n">
        <f aca="false">IF($D$43=1,MAX(0,SUM(Model!$J52:CU52)+SUM(Model!$J99:CU99)),0)</f>
        <v>0</v>
      </c>
      <c r="CV99" s="1" t="n">
        <f aca="false">IF($D$43=1,MAX(0,SUM(Model!$J52:CV52)+SUM(Model!$J99:CV99)),0)</f>
        <v>0</v>
      </c>
      <c r="CW99" s="1" t="n">
        <f aca="false">IF($D$43=1,MAX(0,SUM(Model!$J52:CW52)+SUM(Model!$J99:CW99)),0)</f>
        <v>0</v>
      </c>
      <c r="CX99" s="1" t="n">
        <f aca="false">IF($D$43=1,MAX(0,SUM(Model!$J52:CX52)+SUM(Model!$J99:CX99)),0)</f>
        <v>0</v>
      </c>
      <c r="CY99" s="1" t="n">
        <f aca="false">IF($D$43=1,MAX(0,SUM(Model!$J52:CY52)+SUM(Model!$J99:CY99)),0)</f>
        <v>0</v>
      </c>
      <c r="CZ99" s="1" t="n">
        <f aca="false">IF($D$43=1,MAX(0,SUM(Model!$J52:CZ52)+SUM(Model!$J99:CZ99)),0)</f>
        <v>0</v>
      </c>
      <c r="DA99" s="1" t="n">
        <f aca="false">IF($D$43=1,MAX(0,SUM(Model!$J52:DA52)+SUM(Model!$J99:DA99)),0)</f>
        <v>0</v>
      </c>
      <c r="DB99" s="1" t="n">
        <f aca="false">IF($D$43=1,MAX(0,SUM(Model!$J52:DB52)+SUM(Model!$J99:DB99)),0)</f>
        <v>0</v>
      </c>
      <c r="DC99" s="1" t="n">
        <f aca="false">IF($D$43=1,MAX(0,SUM(Model!$J52:DC52)+SUM(Model!$J99:DC99)),0)</f>
        <v>0</v>
      </c>
      <c r="DD99" s="1" t="n">
        <f aca="false">IF($D$43=1,MAX(0,SUM(Model!$J52:DD52)+SUM(Model!$J99:DD99)),0)</f>
        <v>0</v>
      </c>
      <c r="DE99" s="1" t="n">
        <f aca="false">IF($D$43=1,MAX(0,SUM(Model!$J52:DE52)+SUM(Model!$J99:DE99)),0)</f>
        <v>0</v>
      </c>
    </row>
    <row r="100" customFormat="false" ht="13.5" hidden="false" customHeight="true" outlineLevel="0" collapsed="false">
      <c r="A100" s="1" t="str">
        <f aca="false">$B$44</f>
        <v>BD-28</v>
      </c>
      <c r="B100" s="1" t="n">
        <v>0</v>
      </c>
      <c r="C100" s="1" t="n">
        <v>0</v>
      </c>
      <c r="D100" s="1" t="n">
        <v>0</v>
      </c>
      <c r="E100" s="1" t="n">
        <v>0</v>
      </c>
      <c r="F100" s="1" t="n">
        <v>0</v>
      </c>
      <c r="G100" s="1" t="n">
        <v>0</v>
      </c>
      <c r="H100" s="1" t="n">
        <v>0</v>
      </c>
      <c r="I100" s="1" t="n">
        <v>0</v>
      </c>
      <c r="J100" s="1" t="n">
        <f aca="false">IF($D$44=1,MAX(0,SUM(Model!$J53:J53)+SUM(Model!$J100:J100)),0)</f>
        <v>0</v>
      </c>
      <c r="K100" s="1" t="n">
        <f aca="false">IF($D$44=1,MAX(0,SUM(Model!$J53:K53)+SUM(Model!$J100:K100)),0)</f>
        <v>0</v>
      </c>
      <c r="L100" s="1" t="n">
        <f aca="false">IF($D$44=1,MAX(0,SUM(Model!$J53:L53)+SUM(Model!$J100:L100)),0)</f>
        <v>0</v>
      </c>
      <c r="M100" s="1" t="n">
        <f aca="false">IF($D$44=1,MAX(0,SUM(Model!$J53:M53)+SUM(Model!$J100:M100)),0)</f>
        <v>0</v>
      </c>
      <c r="N100" s="1" t="n">
        <f aca="false">IF($D$44=1,MAX(0,SUM(Model!$J53:N53)+SUM(Model!$J100:N100)),0)</f>
        <v>0</v>
      </c>
      <c r="O100" s="1" t="n">
        <f aca="false">IF($D$44=1,MAX(0,SUM(Model!$J53:O53)+SUM(Model!$J100:O100)),0)</f>
        <v>0</v>
      </c>
      <c r="P100" s="1" t="n">
        <f aca="false">IF($D$44=1,MAX(0,SUM(Model!$J53:P53)+SUM(Model!$J100:P100)),0)</f>
        <v>0</v>
      </c>
      <c r="Q100" s="1" t="n">
        <f aca="false">IF($D$44=1,MAX(0,SUM(Model!$J53:Q53)+SUM(Model!$J100:Q100)),0)</f>
        <v>0</v>
      </c>
      <c r="R100" s="1" t="n">
        <f aca="false">IF($D$44=1,MAX(0,SUM(Model!$J53:R53)+SUM(Model!$J100:R100)),0)</f>
        <v>0</v>
      </c>
      <c r="S100" s="1" t="n">
        <f aca="false">IF($D$44=1,MAX(0,SUM(Model!$J53:S53)+SUM(Model!$J100:S100)),0)</f>
        <v>0</v>
      </c>
      <c r="T100" s="1" t="n">
        <f aca="false">IF($D$44=1,MAX(0,SUM(Model!$J53:T53)+SUM(Model!$J100:T100)),0)</f>
        <v>0</v>
      </c>
      <c r="U100" s="1" t="n">
        <f aca="false">IF($D$44=1,MAX(0,SUM(Model!$J53:U53)+SUM(Model!$J100:U100)),0)</f>
        <v>0</v>
      </c>
      <c r="V100" s="1" t="n">
        <f aca="false">IF($D$44=1,MAX(0,SUM(Model!$J53:V53)+SUM(Model!$J100:V100)),0)</f>
        <v>0</v>
      </c>
      <c r="W100" s="1" t="n">
        <f aca="false">IF($D$44=1,MAX(0,SUM(Model!$J53:W53)+SUM(Model!$J100:W100)),0)</f>
        <v>0</v>
      </c>
      <c r="X100" s="1" t="n">
        <f aca="false">IF($D$44=1,MAX(0,SUM(Model!$J53:X53)+SUM(Model!$J100:X100)),0)</f>
        <v>0</v>
      </c>
      <c r="Y100" s="1" t="n">
        <f aca="false">IF($D$44=1,MAX(0,SUM(Model!$J53:Y53)+SUM(Model!$J100:Y100)),0)</f>
        <v>0</v>
      </c>
      <c r="Z100" s="1" t="n">
        <f aca="false">IF($D$44=1,MAX(0,SUM(Model!$J53:Z53)+SUM(Model!$J100:Z100)),0)</f>
        <v>0</v>
      </c>
      <c r="AA100" s="1" t="n">
        <f aca="false">IF($D$44=1,MAX(0,SUM(Model!$J53:AA53)+SUM(Model!$J100:AA100)),0)</f>
        <v>0</v>
      </c>
      <c r="AB100" s="1" t="n">
        <f aca="false">IF($D$44=1,MAX(0,SUM(Model!$J53:AB53)+SUM(Model!$J100:AB100)),0)</f>
        <v>0</v>
      </c>
      <c r="AC100" s="1" t="n">
        <f aca="false">IF($D$44=1,MAX(0,SUM(Model!$J53:AC53)+SUM(Model!$J100:AC100)),0)</f>
        <v>0</v>
      </c>
      <c r="AD100" s="1" t="n">
        <f aca="false">IF($D$44=1,MAX(0,SUM(Model!$J53:AD53)+SUM(Model!$J100:AD100)),0)</f>
        <v>0</v>
      </c>
      <c r="AE100" s="1" t="n">
        <f aca="false">IF($D$44=1,MAX(0,SUM(Model!$J53:AE53)+SUM(Model!$J100:AE100)),0)</f>
        <v>0</v>
      </c>
      <c r="AF100" s="1" t="n">
        <f aca="false">IF($D$44=1,MAX(0,SUM(Model!$J53:AF53)+SUM(Model!$J100:AF100)),0)</f>
        <v>0</v>
      </c>
      <c r="AG100" s="1" t="n">
        <f aca="false">IF($D$44=1,MAX(0,SUM(Model!$J53:AG53)+SUM(Model!$J100:AG100)),0)</f>
        <v>0</v>
      </c>
      <c r="AH100" s="1" t="n">
        <f aca="false">IF($D$44=1,MAX(0,SUM(Model!$J53:AH53)+SUM(Model!$J100:AH100)),0)</f>
        <v>0</v>
      </c>
      <c r="AI100" s="1" t="n">
        <f aca="false">IF($D$44=1,MAX(0,SUM(Model!$J53:AI53)+SUM(Model!$J100:AI100)),0)</f>
        <v>0</v>
      </c>
      <c r="AJ100" s="1" t="n">
        <f aca="false">IF($D$44=1,MAX(0,SUM(Model!$J53:AJ53)+SUM(Model!$J100:AJ100)),0)</f>
        <v>0</v>
      </c>
      <c r="AK100" s="1" t="n">
        <f aca="false">IF($D$44=1,MAX(0,SUM(Model!$J53:AK53)+SUM(Model!$J100:AK100)),0)</f>
        <v>0</v>
      </c>
      <c r="AL100" s="1" t="n">
        <f aca="false">IF($D$44=1,MAX(0,SUM(Model!$J53:AL53)+SUM(Model!$J100:AL100)),0)</f>
        <v>0</v>
      </c>
      <c r="AM100" s="1" t="n">
        <f aca="false">IF($D$44=1,MAX(0,SUM(Model!$J53:AM53)+SUM(Model!$J100:AM100)),0)</f>
        <v>0</v>
      </c>
      <c r="AN100" s="1" t="n">
        <f aca="false">IF($D$44=1,MAX(0,SUM(Model!$J53:AN53)+SUM(Model!$J100:AN100)),0)</f>
        <v>0</v>
      </c>
      <c r="AO100" s="1" t="n">
        <f aca="false">IF($D$44=1,MAX(0,SUM(Model!$J53:AO53)+SUM(Model!$J100:AO100)),0)</f>
        <v>0</v>
      </c>
      <c r="AP100" s="1" t="n">
        <f aca="false">IF($D$44=1,MAX(0,SUM(Model!$J53:AP53)+SUM(Model!$J100:AP100)),0)</f>
        <v>0</v>
      </c>
      <c r="AQ100" s="1" t="n">
        <f aca="false">IF($D$44=1,MAX(0,SUM(Model!$J53:AQ53)+SUM(Model!$J100:AQ100)),0)</f>
        <v>0</v>
      </c>
      <c r="AR100" s="1" t="n">
        <f aca="false">IF($D$44=1,MAX(0,SUM(Model!$J53:AR53)+SUM(Model!$J100:AR100)),0)</f>
        <v>0</v>
      </c>
      <c r="AS100" s="1" t="n">
        <f aca="false">IF($D$44=1,MAX(0,SUM(Model!$J53:AS53)+SUM(Model!$J100:AS100)),0)</f>
        <v>0</v>
      </c>
      <c r="AT100" s="1" t="n">
        <f aca="false">IF($D$44=1,MAX(0,SUM(Model!$J53:AT53)+SUM(Model!$J100:AT100)),0)</f>
        <v>0</v>
      </c>
      <c r="AU100" s="1" t="n">
        <f aca="false">IF($D$44=1,MAX(0,SUM(Model!$J53:AU53)+SUM(Model!$J100:AU100)),0)</f>
        <v>0</v>
      </c>
      <c r="AV100" s="1" t="n">
        <f aca="false">IF($D$44=1,MAX(0,SUM(Model!$J53:AV53)+SUM(Model!$J100:AV100)),0)</f>
        <v>0</v>
      </c>
      <c r="AW100" s="1" t="n">
        <f aca="false">IF($D$44=1,MAX(0,SUM(Model!$J53:AW53)+SUM(Model!$J100:AW100)),0)</f>
        <v>0</v>
      </c>
      <c r="AX100" s="1" t="n">
        <f aca="false">IF($D$44=1,MAX(0,SUM(Model!$J53:AX53)+SUM(Model!$J100:AX100)),0)</f>
        <v>0</v>
      </c>
      <c r="AY100" s="1" t="n">
        <f aca="false">IF($D$44=1,MAX(0,SUM(Model!$J53:AY53)+SUM(Model!$J100:AY100)),0)</f>
        <v>0</v>
      </c>
      <c r="AZ100" s="1" t="n">
        <f aca="false">IF($D$44=1,MAX(0,SUM(Model!$J53:AZ53)+SUM(Model!$J100:AZ100)),0)</f>
        <v>0</v>
      </c>
      <c r="BA100" s="1" t="n">
        <f aca="false">IF($D$44=1,MAX(0,SUM(Model!$J53:BA53)+SUM(Model!$J100:BA100)),0)</f>
        <v>0</v>
      </c>
      <c r="BB100" s="1" t="n">
        <f aca="false">IF($D$44=1,MAX(0,SUM(Model!$J53:BB53)+SUM(Model!$J100:BB100)),0)</f>
        <v>0</v>
      </c>
      <c r="BC100" s="1" t="n">
        <f aca="false">IF($D$44=1,MAX(0,SUM(Model!$J53:BC53)+SUM(Model!$J100:BC100)),0)</f>
        <v>0</v>
      </c>
      <c r="BD100" s="1" t="n">
        <f aca="false">IF($D$44=1,MAX(0,SUM(Model!$J53:BD53)+SUM(Model!$J100:BD100)),0)</f>
        <v>0</v>
      </c>
      <c r="BE100" s="1" t="n">
        <f aca="false">IF($D$44=1,MAX(0,SUM(Model!$J53:BE53)+SUM(Model!$J100:BE100)),0)</f>
        <v>0</v>
      </c>
      <c r="BF100" s="1" t="n">
        <f aca="false">IF($D$44=1,MAX(0,SUM(Model!$J53:BF53)+SUM(Model!$J100:BF100)),0)</f>
        <v>0</v>
      </c>
      <c r="BG100" s="1" t="n">
        <f aca="false">IF($D$44=1,MAX(0,SUM(Model!$J53:BG53)+SUM(Model!$J100:BG100)),0)</f>
        <v>0</v>
      </c>
      <c r="BH100" s="1" t="n">
        <f aca="false">IF($D$44=1,MAX(0,SUM(Model!$J53:BH53)+SUM(Model!$J100:BH100)),0)</f>
        <v>0</v>
      </c>
      <c r="BI100" s="1" t="n">
        <f aca="false">IF($D$44=1,MAX(0,SUM(Model!$J53:BI53)+SUM(Model!$J100:BI100)),0)</f>
        <v>0</v>
      </c>
      <c r="BJ100" s="1" t="n">
        <f aca="false">IF($D$44=1,MAX(0,SUM(Model!$J53:BJ53)+SUM(Model!$J100:BJ100)),0)</f>
        <v>0</v>
      </c>
      <c r="BK100" s="1" t="n">
        <f aca="false">IF($D$44=1,MAX(0,SUM(Model!$J53:BK53)+SUM(Model!$J100:BK100)),0)</f>
        <v>0</v>
      </c>
      <c r="BL100" s="1" t="n">
        <f aca="false">IF($D$44=1,MAX(0,SUM(Model!$J53:BL53)+SUM(Model!$J100:BL100)),0)</f>
        <v>0</v>
      </c>
      <c r="BM100" s="1" t="n">
        <f aca="false">IF($D$44=1,MAX(0,SUM(Model!$J53:BM53)+SUM(Model!$J100:BM100)),0)</f>
        <v>0</v>
      </c>
      <c r="BN100" s="1" t="n">
        <f aca="false">IF($D$44=1,MAX(0,SUM(Model!$J53:BN53)+SUM(Model!$J100:BN100)),0)</f>
        <v>0</v>
      </c>
      <c r="BO100" s="1" t="n">
        <f aca="false">IF($D$44=1,MAX(0,SUM(Model!$J53:BO53)+SUM(Model!$J100:BO100)),0)</f>
        <v>0</v>
      </c>
      <c r="BP100" s="1" t="n">
        <f aca="false">IF($D$44=1,MAX(0,SUM(Model!$J53:BP53)+SUM(Model!$J100:BP100)),0)</f>
        <v>0</v>
      </c>
      <c r="BQ100" s="1" t="n">
        <f aca="false">IF($D$44=1,MAX(0,SUM(Model!$J53:BQ53)+SUM(Model!$J100:BQ100)),0)</f>
        <v>0</v>
      </c>
      <c r="BR100" s="1" t="n">
        <f aca="false">IF($D$44=1,MAX(0,SUM(Model!$J53:BR53)+SUM(Model!$J100:BR100)),0)</f>
        <v>0</v>
      </c>
      <c r="BS100" s="1" t="n">
        <f aca="false">IF($D$44=1,MAX(0,SUM(Model!$J53:BS53)+SUM(Model!$J100:BS100)),0)</f>
        <v>0</v>
      </c>
      <c r="BT100" s="1" t="n">
        <f aca="false">IF($D$44=1,MAX(0,SUM(Model!$J53:BT53)+SUM(Model!$J100:BT100)),0)</f>
        <v>0</v>
      </c>
      <c r="BU100" s="1" t="n">
        <f aca="false">IF($D$44=1,MAX(0,SUM(Model!$J53:BU53)+SUM(Model!$J100:BU100)),0)</f>
        <v>0</v>
      </c>
      <c r="BV100" s="1" t="n">
        <f aca="false">IF($D$44=1,MAX(0,SUM(Model!$J53:BV53)+SUM(Model!$J100:BV100)),0)</f>
        <v>0</v>
      </c>
      <c r="BW100" s="1" t="n">
        <f aca="false">IF($D$44=1,MAX(0,SUM(Model!$J53:BW53)+SUM(Model!$J100:BW100)),0)</f>
        <v>0</v>
      </c>
      <c r="BX100" s="1" t="n">
        <f aca="false">IF($D$44=1,MAX(0,SUM(Model!$J53:BX53)+SUM(Model!$J100:BX100)),0)</f>
        <v>0</v>
      </c>
      <c r="BY100" s="1" t="n">
        <f aca="false">IF($D$44=1,MAX(0,SUM(Model!$J53:BY53)+SUM(Model!$J100:BY100)),0)</f>
        <v>0</v>
      </c>
      <c r="BZ100" s="1" t="n">
        <f aca="false">IF($D$44=1,MAX(0,SUM(Model!$J53:BZ53)+SUM(Model!$J100:BZ100)),0)</f>
        <v>0</v>
      </c>
      <c r="CA100" s="1" t="n">
        <f aca="false">IF($D$44=1,MAX(0,SUM(Model!$J53:CA53)+SUM(Model!$J100:CA100)),0)</f>
        <v>0</v>
      </c>
      <c r="CB100" s="1" t="n">
        <f aca="false">IF($D$44=1,MAX(0,SUM(Model!$J53:CB53)+SUM(Model!$J100:CB100)),0)</f>
        <v>0</v>
      </c>
      <c r="CC100" s="1" t="n">
        <f aca="false">IF($D$44=1,MAX(0,SUM(Model!$J53:CC53)+SUM(Model!$J100:CC100)),0)</f>
        <v>0</v>
      </c>
      <c r="CD100" s="1" t="n">
        <f aca="false">IF($D$44=1,MAX(0,SUM(Model!$J53:CD53)+SUM(Model!$J100:CD100)),0)</f>
        <v>0</v>
      </c>
      <c r="CE100" s="1" t="n">
        <f aca="false">IF($D$44=1,MAX(0,SUM(Model!$J53:CE53)+SUM(Model!$J100:CE100)),0)</f>
        <v>0</v>
      </c>
      <c r="CF100" s="1" t="n">
        <f aca="false">IF($D$44=1,MAX(0,SUM(Model!$J53:CF53)+SUM(Model!$J100:CF100)),0)</f>
        <v>0</v>
      </c>
      <c r="CG100" s="1" t="n">
        <f aca="false">IF($D$44=1,MAX(0,SUM(Model!$J53:CG53)+SUM(Model!$J100:CG100)),0)</f>
        <v>0</v>
      </c>
      <c r="CH100" s="1" t="n">
        <f aca="false">IF($D$44=1,MAX(0,SUM(Model!$J53:CH53)+SUM(Model!$J100:CH100)),0)</f>
        <v>0</v>
      </c>
      <c r="CI100" s="1" t="n">
        <f aca="false">IF($D$44=1,MAX(0,SUM(Model!$J53:CI53)+SUM(Model!$J100:CI100)),0)</f>
        <v>0</v>
      </c>
      <c r="CJ100" s="1" t="n">
        <f aca="false">IF($D$44=1,MAX(0,SUM(Model!$J53:CJ53)+SUM(Model!$J100:CJ100)),0)</f>
        <v>0</v>
      </c>
      <c r="CK100" s="1" t="n">
        <f aca="false">IF($D$44=1,MAX(0,SUM(Model!$J53:CK53)+SUM(Model!$J100:CK100)),0)</f>
        <v>0</v>
      </c>
      <c r="CL100" s="1" t="n">
        <f aca="false">IF($D$44=1,MAX(0,SUM(Model!$J53:CL53)+SUM(Model!$J100:CL100)),0)</f>
        <v>0</v>
      </c>
      <c r="CM100" s="1" t="n">
        <f aca="false">IF($D$44=1,MAX(0,SUM(Model!$J53:CM53)+SUM(Model!$J100:CM100)),0)</f>
        <v>0</v>
      </c>
      <c r="CN100" s="1" t="n">
        <f aca="false">IF($D$44=1,MAX(0,SUM(Model!$J53:CN53)+SUM(Model!$J100:CN100)),0)</f>
        <v>0</v>
      </c>
      <c r="CO100" s="1" t="n">
        <f aca="false">IF($D$44=1,MAX(0,SUM(Model!$J53:CO53)+SUM(Model!$J100:CO100)),0)</f>
        <v>0</v>
      </c>
      <c r="CP100" s="1" t="n">
        <f aca="false">IF($D$44=1,MAX(0,SUM(Model!$J53:CP53)+SUM(Model!$J100:CP100)),0)</f>
        <v>0</v>
      </c>
      <c r="CQ100" s="1" t="n">
        <f aca="false">IF($D$44=1,MAX(0,SUM(Model!$J53:CQ53)+SUM(Model!$J100:CQ100)),0)</f>
        <v>0</v>
      </c>
      <c r="CR100" s="1" t="n">
        <f aca="false">IF($D$44=1,MAX(0,SUM(Model!$J53:CR53)+SUM(Model!$J100:CR100)),0)</f>
        <v>0</v>
      </c>
      <c r="CS100" s="1" t="n">
        <f aca="false">IF($D$44=1,MAX(0,SUM(Model!$J53:CS53)+SUM(Model!$J100:CS100)),0)</f>
        <v>0</v>
      </c>
      <c r="CT100" s="1" t="n">
        <f aca="false">IF($D$44=1,MAX(0,SUM(Model!$J53:CT53)+SUM(Model!$J100:CT100)),0)</f>
        <v>0</v>
      </c>
      <c r="CU100" s="1" t="n">
        <f aca="false">IF($D$44=1,MAX(0,SUM(Model!$J53:CU53)+SUM(Model!$J100:CU100)),0)</f>
        <v>0</v>
      </c>
      <c r="CV100" s="1" t="n">
        <f aca="false">IF($D$44=1,MAX(0,SUM(Model!$J53:CV53)+SUM(Model!$J100:CV100)),0)</f>
        <v>0</v>
      </c>
      <c r="CW100" s="1" t="n">
        <f aca="false">IF($D$44=1,MAX(0,SUM(Model!$J53:CW53)+SUM(Model!$J100:CW100)),0)</f>
        <v>0</v>
      </c>
      <c r="CX100" s="1" t="n">
        <f aca="false">IF($D$44=1,MAX(0,SUM(Model!$J53:CX53)+SUM(Model!$J100:CX100)),0)</f>
        <v>0</v>
      </c>
      <c r="CY100" s="1" t="n">
        <f aca="false">IF($D$44=1,MAX(0,SUM(Model!$J53:CY53)+SUM(Model!$J100:CY100)),0)</f>
        <v>0</v>
      </c>
      <c r="CZ100" s="1" t="n">
        <f aca="false">IF($D$44=1,MAX(0,SUM(Model!$J53:CZ53)+SUM(Model!$J100:CZ100)),0)</f>
        <v>0</v>
      </c>
      <c r="DA100" s="1" t="n">
        <f aca="false">IF($D$44=1,MAX(0,SUM(Model!$J53:DA53)+SUM(Model!$J100:DA100)),0)</f>
        <v>0</v>
      </c>
      <c r="DB100" s="1" t="n">
        <f aca="false">IF($D$44=1,MAX(0,SUM(Model!$J53:DB53)+SUM(Model!$J100:DB100)),0)</f>
        <v>0</v>
      </c>
      <c r="DC100" s="1" t="n">
        <f aca="false">IF($D$44=1,MAX(0,SUM(Model!$J53:DC53)+SUM(Model!$J100:DC100)),0)</f>
        <v>0</v>
      </c>
      <c r="DD100" s="1" t="n">
        <f aca="false">IF($D$44=1,MAX(0,SUM(Model!$J53:DD53)+SUM(Model!$J100:DD100)),0)</f>
        <v>0</v>
      </c>
      <c r="DE100" s="1" t="n">
        <f aca="false">IF($D$44=1,MAX(0,SUM(Model!$J53:DE53)+SUM(Model!$J100:DE100)),0)</f>
        <v>0</v>
      </c>
    </row>
    <row r="101" customFormat="false" ht="13.5" hidden="false" customHeight="true" outlineLevel="0" collapsed="false">
      <c r="A101" s="1" t="str">
        <f aca="false">$B$45</f>
        <v>BD-29</v>
      </c>
      <c r="B101" s="1" t="n">
        <v>0</v>
      </c>
      <c r="C101" s="1" t="n">
        <v>0</v>
      </c>
      <c r="D101" s="1" t="n">
        <v>0</v>
      </c>
      <c r="E101" s="1" t="n">
        <v>0</v>
      </c>
      <c r="F101" s="1" t="n">
        <v>0</v>
      </c>
      <c r="G101" s="1" t="n">
        <v>0</v>
      </c>
      <c r="H101" s="1" t="n">
        <v>0</v>
      </c>
      <c r="I101" s="1" t="n">
        <v>0</v>
      </c>
      <c r="J101" s="1" t="n">
        <f aca="false">IF($D$45=1,MAX(0,SUM(Model!$J54:J54)+SUM(Model!$J101:J101)),0)</f>
        <v>0</v>
      </c>
      <c r="K101" s="1" t="n">
        <f aca="false">IF($D$45=1,MAX(0,SUM(Model!$J54:K54)+SUM(Model!$J101:K101)),0)</f>
        <v>0</v>
      </c>
      <c r="L101" s="1" t="n">
        <f aca="false">IF($D$45=1,MAX(0,SUM(Model!$J54:L54)+SUM(Model!$J101:L101)),0)</f>
        <v>0</v>
      </c>
      <c r="M101" s="1" t="n">
        <f aca="false">IF($D$45=1,MAX(0,SUM(Model!$J54:M54)+SUM(Model!$J101:M101)),0)</f>
        <v>0</v>
      </c>
      <c r="N101" s="1" t="n">
        <f aca="false">IF($D$45=1,MAX(0,SUM(Model!$J54:N54)+SUM(Model!$J101:N101)),0)</f>
        <v>0</v>
      </c>
      <c r="O101" s="1" t="n">
        <f aca="false">IF($D$45=1,MAX(0,SUM(Model!$J54:O54)+SUM(Model!$J101:O101)),0)</f>
        <v>0</v>
      </c>
      <c r="P101" s="1" t="n">
        <f aca="false">IF($D$45=1,MAX(0,SUM(Model!$J54:P54)+SUM(Model!$J101:P101)),0)</f>
        <v>0</v>
      </c>
      <c r="Q101" s="1" t="n">
        <f aca="false">IF($D$45=1,MAX(0,SUM(Model!$J54:Q54)+SUM(Model!$J101:Q101)),0)</f>
        <v>0</v>
      </c>
      <c r="R101" s="1" t="n">
        <f aca="false">IF($D$45=1,MAX(0,SUM(Model!$J54:R54)+SUM(Model!$J101:R101)),0)</f>
        <v>0</v>
      </c>
      <c r="S101" s="1" t="n">
        <f aca="false">IF($D$45=1,MAX(0,SUM(Model!$J54:S54)+SUM(Model!$J101:S101)),0)</f>
        <v>0</v>
      </c>
      <c r="T101" s="1" t="n">
        <f aca="false">IF($D$45=1,MAX(0,SUM(Model!$J54:T54)+SUM(Model!$J101:T101)),0)</f>
        <v>0</v>
      </c>
      <c r="U101" s="1" t="n">
        <f aca="false">IF($D$45=1,MAX(0,SUM(Model!$J54:U54)+SUM(Model!$J101:U101)),0)</f>
        <v>0</v>
      </c>
      <c r="V101" s="1" t="n">
        <f aca="false">IF($D$45=1,MAX(0,SUM(Model!$J54:V54)+SUM(Model!$J101:V101)),0)</f>
        <v>0</v>
      </c>
      <c r="W101" s="1" t="n">
        <f aca="false">IF($D$45=1,MAX(0,SUM(Model!$J54:W54)+SUM(Model!$J101:W101)),0)</f>
        <v>0</v>
      </c>
      <c r="X101" s="1" t="n">
        <f aca="false">IF($D$45=1,MAX(0,SUM(Model!$J54:X54)+SUM(Model!$J101:X101)),0)</f>
        <v>0</v>
      </c>
      <c r="Y101" s="1" t="n">
        <f aca="false">IF($D$45=1,MAX(0,SUM(Model!$J54:Y54)+SUM(Model!$J101:Y101)),0)</f>
        <v>0</v>
      </c>
      <c r="Z101" s="1" t="n">
        <f aca="false">IF($D$45=1,MAX(0,SUM(Model!$J54:Z54)+SUM(Model!$J101:Z101)),0)</f>
        <v>0</v>
      </c>
      <c r="AA101" s="1" t="n">
        <f aca="false">IF($D$45=1,MAX(0,SUM(Model!$J54:AA54)+SUM(Model!$J101:AA101)),0)</f>
        <v>0</v>
      </c>
      <c r="AB101" s="1" t="n">
        <f aca="false">IF($D$45=1,MAX(0,SUM(Model!$J54:AB54)+SUM(Model!$J101:AB101)),0)</f>
        <v>0</v>
      </c>
      <c r="AC101" s="1" t="n">
        <f aca="false">IF($D$45=1,MAX(0,SUM(Model!$J54:AC54)+SUM(Model!$J101:AC101)),0)</f>
        <v>0</v>
      </c>
      <c r="AD101" s="1" t="n">
        <f aca="false">IF($D$45=1,MAX(0,SUM(Model!$J54:AD54)+SUM(Model!$J101:AD101)),0)</f>
        <v>0</v>
      </c>
      <c r="AE101" s="1" t="n">
        <f aca="false">IF($D$45=1,MAX(0,SUM(Model!$J54:AE54)+SUM(Model!$J101:AE101)),0)</f>
        <v>0</v>
      </c>
      <c r="AF101" s="1" t="n">
        <f aca="false">IF($D$45=1,MAX(0,SUM(Model!$J54:AF54)+SUM(Model!$J101:AF101)),0)</f>
        <v>0</v>
      </c>
      <c r="AG101" s="1" t="n">
        <f aca="false">IF($D$45=1,MAX(0,SUM(Model!$J54:AG54)+SUM(Model!$J101:AG101)),0)</f>
        <v>0</v>
      </c>
      <c r="AH101" s="1" t="n">
        <f aca="false">IF($D$45=1,MAX(0,SUM(Model!$J54:AH54)+SUM(Model!$J101:AH101)),0)</f>
        <v>0</v>
      </c>
      <c r="AI101" s="1" t="n">
        <f aca="false">IF($D$45=1,MAX(0,SUM(Model!$J54:AI54)+SUM(Model!$J101:AI101)),0)</f>
        <v>0</v>
      </c>
      <c r="AJ101" s="1" t="n">
        <f aca="false">IF($D$45=1,MAX(0,SUM(Model!$J54:AJ54)+SUM(Model!$J101:AJ101)),0)</f>
        <v>0</v>
      </c>
      <c r="AK101" s="1" t="n">
        <f aca="false">IF($D$45=1,MAX(0,SUM(Model!$J54:AK54)+SUM(Model!$J101:AK101)),0)</f>
        <v>0</v>
      </c>
      <c r="AL101" s="1" t="n">
        <f aca="false">IF($D$45=1,MAX(0,SUM(Model!$J54:AL54)+SUM(Model!$J101:AL101)),0)</f>
        <v>0</v>
      </c>
      <c r="AM101" s="1" t="n">
        <f aca="false">IF($D$45=1,MAX(0,SUM(Model!$J54:AM54)+SUM(Model!$J101:AM101)),0)</f>
        <v>0</v>
      </c>
      <c r="AN101" s="1" t="n">
        <f aca="false">IF($D$45=1,MAX(0,SUM(Model!$J54:AN54)+SUM(Model!$J101:AN101)),0)</f>
        <v>0</v>
      </c>
      <c r="AO101" s="1" t="n">
        <f aca="false">IF($D$45=1,MAX(0,SUM(Model!$J54:AO54)+SUM(Model!$J101:AO101)),0)</f>
        <v>0</v>
      </c>
      <c r="AP101" s="1" t="n">
        <f aca="false">IF($D$45=1,MAX(0,SUM(Model!$J54:AP54)+SUM(Model!$J101:AP101)),0)</f>
        <v>0</v>
      </c>
      <c r="AQ101" s="1" t="n">
        <f aca="false">IF($D$45=1,MAX(0,SUM(Model!$J54:AQ54)+SUM(Model!$J101:AQ101)),0)</f>
        <v>0</v>
      </c>
      <c r="AR101" s="1" t="n">
        <f aca="false">IF($D$45=1,MAX(0,SUM(Model!$J54:AR54)+SUM(Model!$J101:AR101)),0)</f>
        <v>0</v>
      </c>
      <c r="AS101" s="1" t="n">
        <f aca="false">IF($D$45=1,MAX(0,SUM(Model!$J54:AS54)+SUM(Model!$J101:AS101)),0)</f>
        <v>0</v>
      </c>
      <c r="AT101" s="1" t="n">
        <f aca="false">IF($D$45=1,MAX(0,SUM(Model!$J54:AT54)+SUM(Model!$J101:AT101)),0)</f>
        <v>0</v>
      </c>
      <c r="AU101" s="1" t="n">
        <f aca="false">IF($D$45=1,MAX(0,SUM(Model!$J54:AU54)+SUM(Model!$J101:AU101)),0)</f>
        <v>0</v>
      </c>
      <c r="AV101" s="1" t="n">
        <f aca="false">IF($D$45=1,MAX(0,SUM(Model!$J54:AV54)+SUM(Model!$J101:AV101)),0)</f>
        <v>0</v>
      </c>
      <c r="AW101" s="1" t="n">
        <f aca="false">IF($D$45=1,MAX(0,SUM(Model!$J54:AW54)+SUM(Model!$J101:AW101)),0)</f>
        <v>0</v>
      </c>
      <c r="AX101" s="1" t="n">
        <f aca="false">IF($D$45=1,MAX(0,SUM(Model!$J54:AX54)+SUM(Model!$J101:AX101)),0)</f>
        <v>0</v>
      </c>
      <c r="AY101" s="1" t="n">
        <f aca="false">IF($D$45=1,MAX(0,SUM(Model!$J54:AY54)+SUM(Model!$J101:AY101)),0)</f>
        <v>0</v>
      </c>
      <c r="AZ101" s="1" t="n">
        <f aca="false">IF($D$45=1,MAX(0,SUM(Model!$J54:AZ54)+SUM(Model!$J101:AZ101)),0)</f>
        <v>0</v>
      </c>
      <c r="BA101" s="1" t="n">
        <f aca="false">IF($D$45=1,MAX(0,SUM(Model!$J54:BA54)+SUM(Model!$J101:BA101)),0)</f>
        <v>0</v>
      </c>
      <c r="BB101" s="1" t="n">
        <f aca="false">IF($D$45=1,MAX(0,SUM(Model!$J54:BB54)+SUM(Model!$J101:BB101)),0)</f>
        <v>0</v>
      </c>
      <c r="BC101" s="1" t="n">
        <f aca="false">IF($D$45=1,MAX(0,SUM(Model!$J54:BC54)+SUM(Model!$J101:BC101)),0)</f>
        <v>0</v>
      </c>
      <c r="BD101" s="1" t="n">
        <f aca="false">IF($D$45=1,MAX(0,SUM(Model!$J54:BD54)+SUM(Model!$J101:BD101)),0)</f>
        <v>0</v>
      </c>
      <c r="BE101" s="1" t="n">
        <f aca="false">IF($D$45=1,MAX(0,SUM(Model!$J54:BE54)+SUM(Model!$J101:BE101)),0)</f>
        <v>0</v>
      </c>
      <c r="BF101" s="1" t="n">
        <f aca="false">IF($D$45=1,MAX(0,SUM(Model!$J54:BF54)+SUM(Model!$J101:BF101)),0)</f>
        <v>0</v>
      </c>
      <c r="BG101" s="1" t="n">
        <f aca="false">IF($D$45=1,MAX(0,SUM(Model!$J54:BG54)+SUM(Model!$J101:BG101)),0)</f>
        <v>0</v>
      </c>
      <c r="BH101" s="1" t="n">
        <f aca="false">IF($D$45=1,MAX(0,SUM(Model!$J54:BH54)+SUM(Model!$J101:BH101)),0)</f>
        <v>0</v>
      </c>
      <c r="BI101" s="1" t="n">
        <f aca="false">IF($D$45=1,MAX(0,SUM(Model!$J54:BI54)+SUM(Model!$J101:BI101)),0)</f>
        <v>0</v>
      </c>
      <c r="BJ101" s="1" t="n">
        <f aca="false">IF($D$45=1,MAX(0,SUM(Model!$J54:BJ54)+SUM(Model!$J101:BJ101)),0)</f>
        <v>0</v>
      </c>
      <c r="BK101" s="1" t="n">
        <f aca="false">IF($D$45=1,MAX(0,SUM(Model!$J54:BK54)+SUM(Model!$J101:BK101)),0)</f>
        <v>0</v>
      </c>
      <c r="BL101" s="1" t="n">
        <f aca="false">IF($D$45=1,MAX(0,SUM(Model!$J54:BL54)+SUM(Model!$J101:BL101)),0)</f>
        <v>0</v>
      </c>
      <c r="BM101" s="1" t="n">
        <f aca="false">IF($D$45=1,MAX(0,SUM(Model!$J54:BM54)+SUM(Model!$J101:BM101)),0)</f>
        <v>0</v>
      </c>
      <c r="BN101" s="1" t="n">
        <f aca="false">IF($D$45=1,MAX(0,SUM(Model!$J54:BN54)+SUM(Model!$J101:BN101)),0)</f>
        <v>0</v>
      </c>
      <c r="BO101" s="1" t="n">
        <f aca="false">IF($D$45=1,MAX(0,SUM(Model!$J54:BO54)+SUM(Model!$J101:BO101)),0)</f>
        <v>0</v>
      </c>
      <c r="BP101" s="1" t="n">
        <f aca="false">IF($D$45=1,MAX(0,SUM(Model!$J54:BP54)+SUM(Model!$J101:BP101)),0)</f>
        <v>0</v>
      </c>
      <c r="BQ101" s="1" t="n">
        <f aca="false">IF($D$45=1,MAX(0,SUM(Model!$J54:BQ54)+SUM(Model!$J101:BQ101)),0)</f>
        <v>0</v>
      </c>
      <c r="BR101" s="1" t="n">
        <f aca="false">IF($D$45=1,MAX(0,SUM(Model!$J54:BR54)+SUM(Model!$J101:BR101)),0)</f>
        <v>0</v>
      </c>
      <c r="BS101" s="1" t="n">
        <f aca="false">IF($D$45=1,MAX(0,SUM(Model!$J54:BS54)+SUM(Model!$J101:BS101)),0)</f>
        <v>0</v>
      </c>
      <c r="BT101" s="1" t="n">
        <f aca="false">IF($D$45=1,MAX(0,SUM(Model!$J54:BT54)+SUM(Model!$J101:BT101)),0)</f>
        <v>0</v>
      </c>
      <c r="BU101" s="1" t="n">
        <f aca="false">IF($D$45=1,MAX(0,SUM(Model!$J54:BU54)+SUM(Model!$J101:BU101)),0)</f>
        <v>0</v>
      </c>
      <c r="BV101" s="1" t="n">
        <f aca="false">IF($D$45=1,MAX(0,SUM(Model!$J54:BV54)+SUM(Model!$J101:BV101)),0)</f>
        <v>0</v>
      </c>
      <c r="BW101" s="1" t="n">
        <f aca="false">IF($D$45=1,MAX(0,SUM(Model!$J54:BW54)+SUM(Model!$J101:BW101)),0)</f>
        <v>0</v>
      </c>
      <c r="BX101" s="1" t="n">
        <f aca="false">IF($D$45=1,MAX(0,SUM(Model!$J54:BX54)+SUM(Model!$J101:BX101)),0)</f>
        <v>0</v>
      </c>
      <c r="BY101" s="1" t="n">
        <f aca="false">IF($D$45=1,MAX(0,SUM(Model!$J54:BY54)+SUM(Model!$J101:BY101)),0)</f>
        <v>0</v>
      </c>
      <c r="BZ101" s="1" t="n">
        <f aca="false">IF($D$45=1,MAX(0,SUM(Model!$J54:BZ54)+SUM(Model!$J101:BZ101)),0)</f>
        <v>0</v>
      </c>
      <c r="CA101" s="1" t="n">
        <f aca="false">IF($D$45=1,MAX(0,SUM(Model!$J54:CA54)+SUM(Model!$J101:CA101)),0)</f>
        <v>0</v>
      </c>
      <c r="CB101" s="1" t="n">
        <f aca="false">IF($D$45=1,MAX(0,SUM(Model!$J54:CB54)+SUM(Model!$J101:CB101)),0)</f>
        <v>0</v>
      </c>
      <c r="CC101" s="1" t="n">
        <f aca="false">IF($D$45=1,MAX(0,SUM(Model!$J54:CC54)+SUM(Model!$J101:CC101)),0)</f>
        <v>0</v>
      </c>
      <c r="CD101" s="1" t="n">
        <f aca="false">IF($D$45=1,MAX(0,SUM(Model!$J54:CD54)+SUM(Model!$J101:CD101)),0)</f>
        <v>0</v>
      </c>
      <c r="CE101" s="1" t="n">
        <f aca="false">IF($D$45=1,MAX(0,SUM(Model!$J54:CE54)+SUM(Model!$J101:CE101)),0)</f>
        <v>0</v>
      </c>
      <c r="CF101" s="1" t="n">
        <f aca="false">IF($D$45=1,MAX(0,SUM(Model!$J54:CF54)+SUM(Model!$J101:CF101)),0)</f>
        <v>0</v>
      </c>
      <c r="CG101" s="1" t="n">
        <f aca="false">IF($D$45=1,MAX(0,SUM(Model!$J54:CG54)+SUM(Model!$J101:CG101)),0)</f>
        <v>0</v>
      </c>
      <c r="CH101" s="1" t="n">
        <f aca="false">IF($D$45=1,MAX(0,SUM(Model!$J54:CH54)+SUM(Model!$J101:CH101)),0)</f>
        <v>0</v>
      </c>
      <c r="CI101" s="1" t="n">
        <f aca="false">IF($D$45=1,MAX(0,SUM(Model!$J54:CI54)+SUM(Model!$J101:CI101)),0)</f>
        <v>0</v>
      </c>
      <c r="CJ101" s="1" t="n">
        <f aca="false">IF($D$45=1,MAX(0,SUM(Model!$J54:CJ54)+SUM(Model!$J101:CJ101)),0)</f>
        <v>0</v>
      </c>
      <c r="CK101" s="1" t="n">
        <f aca="false">IF($D$45=1,MAX(0,SUM(Model!$J54:CK54)+SUM(Model!$J101:CK101)),0)</f>
        <v>0</v>
      </c>
      <c r="CL101" s="1" t="n">
        <f aca="false">IF($D$45=1,MAX(0,SUM(Model!$J54:CL54)+SUM(Model!$J101:CL101)),0)</f>
        <v>0</v>
      </c>
      <c r="CM101" s="1" t="n">
        <f aca="false">IF($D$45=1,MAX(0,SUM(Model!$J54:CM54)+SUM(Model!$J101:CM101)),0)</f>
        <v>0</v>
      </c>
      <c r="CN101" s="1" t="n">
        <f aca="false">IF($D$45=1,MAX(0,SUM(Model!$J54:CN54)+SUM(Model!$J101:CN101)),0)</f>
        <v>0</v>
      </c>
      <c r="CO101" s="1" t="n">
        <f aca="false">IF($D$45=1,MAX(0,SUM(Model!$J54:CO54)+SUM(Model!$J101:CO101)),0)</f>
        <v>0</v>
      </c>
      <c r="CP101" s="1" t="n">
        <f aca="false">IF($D$45=1,MAX(0,SUM(Model!$J54:CP54)+SUM(Model!$J101:CP101)),0)</f>
        <v>0</v>
      </c>
      <c r="CQ101" s="1" t="n">
        <f aca="false">IF($D$45=1,MAX(0,SUM(Model!$J54:CQ54)+SUM(Model!$J101:CQ101)),0)</f>
        <v>0</v>
      </c>
      <c r="CR101" s="1" t="n">
        <f aca="false">IF($D$45=1,MAX(0,SUM(Model!$J54:CR54)+SUM(Model!$J101:CR101)),0)</f>
        <v>0</v>
      </c>
      <c r="CS101" s="1" t="n">
        <f aca="false">IF($D$45=1,MAX(0,SUM(Model!$J54:CS54)+SUM(Model!$J101:CS101)),0)</f>
        <v>0</v>
      </c>
      <c r="CT101" s="1" t="n">
        <f aca="false">IF($D$45=1,MAX(0,SUM(Model!$J54:CT54)+SUM(Model!$J101:CT101)),0)</f>
        <v>0</v>
      </c>
      <c r="CU101" s="1" t="n">
        <f aca="false">IF($D$45=1,MAX(0,SUM(Model!$J54:CU54)+SUM(Model!$J101:CU101)),0)</f>
        <v>0</v>
      </c>
      <c r="CV101" s="1" t="n">
        <f aca="false">IF($D$45=1,MAX(0,SUM(Model!$J54:CV54)+SUM(Model!$J101:CV101)),0)</f>
        <v>0</v>
      </c>
      <c r="CW101" s="1" t="n">
        <f aca="false">IF($D$45=1,MAX(0,SUM(Model!$J54:CW54)+SUM(Model!$J101:CW101)),0)</f>
        <v>0</v>
      </c>
      <c r="CX101" s="1" t="n">
        <f aca="false">IF($D$45=1,MAX(0,SUM(Model!$J54:CX54)+SUM(Model!$J101:CX101)),0)</f>
        <v>0</v>
      </c>
      <c r="CY101" s="1" t="n">
        <f aca="false">IF($D$45=1,MAX(0,SUM(Model!$J54:CY54)+SUM(Model!$J101:CY101)),0)</f>
        <v>0</v>
      </c>
      <c r="CZ101" s="1" t="n">
        <f aca="false">IF($D$45=1,MAX(0,SUM(Model!$J54:CZ54)+SUM(Model!$J101:CZ101)),0)</f>
        <v>0</v>
      </c>
      <c r="DA101" s="1" t="n">
        <f aca="false">IF($D$45=1,MAX(0,SUM(Model!$J54:DA54)+SUM(Model!$J101:DA101)),0)</f>
        <v>0</v>
      </c>
      <c r="DB101" s="1" t="n">
        <f aca="false">IF($D$45=1,MAX(0,SUM(Model!$J54:DB54)+SUM(Model!$J101:DB101)),0)</f>
        <v>0</v>
      </c>
      <c r="DC101" s="1" t="n">
        <f aca="false">IF($D$45=1,MAX(0,SUM(Model!$J54:DC54)+SUM(Model!$J101:DC101)),0)</f>
        <v>0</v>
      </c>
      <c r="DD101" s="1" t="n">
        <f aca="false">IF($D$45=1,MAX(0,SUM(Model!$J54:DD54)+SUM(Model!$J101:DD101)),0)</f>
        <v>0</v>
      </c>
      <c r="DE101" s="1" t="n">
        <f aca="false">IF($D$45=1,MAX(0,SUM(Model!$J54:DE54)+SUM(Model!$J101:DE101)),0)</f>
        <v>0</v>
      </c>
    </row>
    <row r="102" customFormat="false" ht="13.5" hidden="false" customHeight="true" outlineLevel="0" collapsed="false">
      <c r="A102" s="1" t="str">
        <f aca="false">$B$46</f>
        <v>BD-30</v>
      </c>
      <c r="B102" s="1" t="n">
        <v>0</v>
      </c>
      <c r="C102" s="1" t="n">
        <v>0</v>
      </c>
      <c r="D102" s="1" t="n">
        <v>0</v>
      </c>
      <c r="E102" s="1" t="n">
        <v>0</v>
      </c>
      <c r="F102" s="1" t="n">
        <v>0</v>
      </c>
      <c r="G102" s="1" t="n">
        <v>0</v>
      </c>
      <c r="H102" s="1" t="n">
        <v>0</v>
      </c>
      <c r="I102" s="1" t="n">
        <v>0</v>
      </c>
      <c r="J102" s="1" t="n">
        <f aca="false">IF($D$46=1,MAX(0,SUM(Model!$J55:J55)+SUM(Model!$J102:J102)),0)</f>
        <v>0</v>
      </c>
      <c r="K102" s="1" t="n">
        <f aca="false">IF($D$46=1,MAX(0,SUM(Model!$J55:K55)+SUM(Model!$J102:K102)),0)</f>
        <v>0</v>
      </c>
      <c r="L102" s="1" t="n">
        <f aca="false">IF($D$46=1,MAX(0,SUM(Model!$J55:L55)+SUM(Model!$J102:L102)),0)</f>
        <v>0</v>
      </c>
      <c r="M102" s="1" t="n">
        <f aca="false">IF($D$46=1,MAX(0,SUM(Model!$J55:M55)+SUM(Model!$J102:M102)),0)</f>
        <v>0</v>
      </c>
      <c r="N102" s="1" t="n">
        <f aca="false">IF($D$46=1,MAX(0,SUM(Model!$J55:N55)+SUM(Model!$J102:N102)),0)</f>
        <v>0</v>
      </c>
      <c r="O102" s="1" t="n">
        <f aca="false">IF($D$46=1,MAX(0,SUM(Model!$J55:O55)+SUM(Model!$J102:O102)),0)</f>
        <v>0</v>
      </c>
      <c r="P102" s="1" t="n">
        <f aca="false">IF($D$46=1,MAX(0,SUM(Model!$J55:P55)+SUM(Model!$J102:P102)),0)</f>
        <v>0</v>
      </c>
      <c r="Q102" s="1" t="n">
        <f aca="false">IF($D$46=1,MAX(0,SUM(Model!$J55:Q55)+SUM(Model!$J102:Q102)),0)</f>
        <v>0</v>
      </c>
      <c r="R102" s="1" t="n">
        <f aca="false">IF($D$46=1,MAX(0,SUM(Model!$J55:R55)+SUM(Model!$J102:R102)),0)</f>
        <v>0</v>
      </c>
      <c r="S102" s="1" t="n">
        <f aca="false">IF($D$46=1,MAX(0,SUM(Model!$J55:S55)+SUM(Model!$J102:S102)),0)</f>
        <v>0</v>
      </c>
      <c r="T102" s="1" t="n">
        <f aca="false">IF($D$46=1,MAX(0,SUM(Model!$J55:T55)+SUM(Model!$J102:T102)),0)</f>
        <v>0</v>
      </c>
      <c r="U102" s="1" t="n">
        <f aca="false">IF($D$46=1,MAX(0,SUM(Model!$J55:U55)+SUM(Model!$J102:U102)),0)</f>
        <v>0</v>
      </c>
      <c r="V102" s="1" t="n">
        <f aca="false">IF($D$46=1,MAX(0,SUM(Model!$J55:V55)+SUM(Model!$J102:V102)),0)</f>
        <v>0</v>
      </c>
      <c r="W102" s="1" t="n">
        <f aca="false">IF($D$46=1,MAX(0,SUM(Model!$J55:W55)+SUM(Model!$J102:W102)),0)</f>
        <v>0</v>
      </c>
      <c r="X102" s="1" t="n">
        <f aca="false">IF($D$46=1,MAX(0,SUM(Model!$J55:X55)+SUM(Model!$J102:X102)),0)</f>
        <v>0</v>
      </c>
      <c r="Y102" s="1" t="n">
        <f aca="false">IF($D$46=1,MAX(0,SUM(Model!$J55:Y55)+SUM(Model!$J102:Y102)),0)</f>
        <v>0</v>
      </c>
      <c r="Z102" s="1" t="n">
        <f aca="false">IF($D$46=1,MAX(0,SUM(Model!$J55:Z55)+SUM(Model!$J102:Z102)),0)</f>
        <v>0</v>
      </c>
      <c r="AA102" s="1" t="n">
        <f aca="false">IF($D$46=1,MAX(0,SUM(Model!$J55:AA55)+SUM(Model!$J102:AA102)),0)</f>
        <v>0</v>
      </c>
      <c r="AB102" s="1" t="n">
        <f aca="false">IF($D$46=1,MAX(0,SUM(Model!$J55:AB55)+SUM(Model!$J102:AB102)),0)</f>
        <v>0</v>
      </c>
      <c r="AC102" s="1" t="n">
        <f aca="false">IF($D$46=1,MAX(0,SUM(Model!$J55:AC55)+SUM(Model!$J102:AC102)),0)</f>
        <v>0</v>
      </c>
      <c r="AD102" s="1" t="n">
        <f aca="false">IF($D$46=1,MAX(0,SUM(Model!$J55:AD55)+SUM(Model!$J102:AD102)),0)</f>
        <v>0</v>
      </c>
      <c r="AE102" s="1" t="n">
        <f aca="false">IF($D$46=1,MAX(0,SUM(Model!$J55:AE55)+SUM(Model!$J102:AE102)),0)</f>
        <v>0</v>
      </c>
      <c r="AF102" s="1" t="n">
        <f aca="false">IF($D$46=1,MAX(0,SUM(Model!$J55:AF55)+SUM(Model!$J102:AF102)),0)</f>
        <v>0</v>
      </c>
      <c r="AG102" s="1" t="n">
        <f aca="false">IF($D$46=1,MAX(0,SUM(Model!$J55:AG55)+SUM(Model!$J102:AG102)),0)</f>
        <v>0</v>
      </c>
      <c r="AH102" s="1" t="n">
        <f aca="false">IF($D$46=1,MAX(0,SUM(Model!$J55:AH55)+SUM(Model!$J102:AH102)),0)</f>
        <v>0</v>
      </c>
      <c r="AI102" s="1" t="n">
        <f aca="false">IF($D$46=1,MAX(0,SUM(Model!$J55:AI55)+SUM(Model!$J102:AI102)),0)</f>
        <v>0</v>
      </c>
      <c r="AJ102" s="1" t="n">
        <f aca="false">IF($D$46=1,MAX(0,SUM(Model!$J55:AJ55)+SUM(Model!$J102:AJ102)),0)</f>
        <v>0</v>
      </c>
      <c r="AK102" s="1" t="n">
        <f aca="false">IF($D$46=1,MAX(0,SUM(Model!$J55:AK55)+SUM(Model!$J102:AK102)),0)</f>
        <v>0</v>
      </c>
      <c r="AL102" s="1" t="n">
        <f aca="false">IF($D$46=1,MAX(0,SUM(Model!$J55:AL55)+SUM(Model!$J102:AL102)),0)</f>
        <v>0</v>
      </c>
      <c r="AM102" s="1" t="n">
        <f aca="false">IF($D$46=1,MAX(0,SUM(Model!$J55:AM55)+SUM(Model!$J102:AM102)),0)</f>
        <v>0</v>
      </c>
      <c r="AN102" s="1" t="n">
        <f aca="false">IF($D$46=1,MAX(0,SUM(Model!$J55:AN55)+SUM(Model!$J102:AN102)),0)</f>
        <v>0</v>
      </c>
      <c r="AO102" s="1" t="n">
        <f aca="false">IF($D$46=1,MAX(0,SUM(Model!$J55:AO55)+SUM(Model!$J102:AO102)),0)</f>
        <v>0</v>
      </c>
      <c r="AP102" s="1" t="n">
        <f aca="false">IF($D$46=1,MAX(0,SUM(Model!$J55:AP55)+SUM(Model!$J102:AP102)),0)</f>
        <v>0</v>
      </c>
      <c r="AQ102" s="1" t="n">
        <f aca="false">IF($D$46=1,MAX(0,SUM(Model!$J55:AQ55)+SUM(Model!$J102:AQ102)),0)</f>
        <v>0</v>
      </c>
      <c r="AR102" s="1" t="n">
        <f aca="false">IF($D$46=1,MAX(0,SUM(Model!$J55:AR55)+SUM(Model!$J102:AR102)),0)</f>
        <v>0</v>
      </c>
      <c r="AS102" s="1" t="n">
        <f aca="false">IF($D$46=1,MAX(0,SUM(Model!$J55:AS55)+SUM(Model!$J102:AS102)),0)</f>
        <v>0</v>
      </c>
      <c r="AT102" s="1" t="n">
        <f aca="false">IF($D$46=1,MAX(0,SUM(Model!$J55:AT55)+SUM(Model!$J102:AT102)),0)</f>
        <v>0</v>
      </c>
      <c r="AU102" s="1" t="n">
        <f aca="false">IF($D$46=1,MAX(0,SUM(Model!$J55:AU55)+SUM(Model!$J102:AU102)),0)</f>
        <v>0</v>
      </c>
      <c r="AV102" s="1" t="n">
        <f aca="false">IF($D$46=1,MAX(0,SUM(Model!$J55:AV55)+SUM(Model!$J102:AV102)),0)</f>
        <v>0</v>
      </c>
      <c r="AW102" s="1" t="n">
        <f aca="false">IF($D$46=1,MAX(0,SUM(Model!$J55:AW55)+SUM(Model!$J102:AW102)),0)</f>
        <v>0</v>
      </c>
      <c r="AX102" s="1" t="n">
        <f aca="false">IF($D$46=1,MAX(0,SUM(Model!$J55:AX55)+SUM(Model!$J102:AX102)),0)</f>
        <v>0</v>
      </c>
      <c r="AY102" s="1" t="n">
        <f aca="false">IF($D$46=1,MAX(0,SUM(Model!$J55:AY55)+SUM(Model!$J102:AY102)),0)</f>
        <v>0</v>
      </c>
      <c r="AZ102" s="1" t="n">
        <f aca="false">IF($D$46=1,MAX(0,SUM(Model!$J55:AZ55)+SUM(Model!$J102:AZ102)),0)</f>
        <v>0</v>
      </c>
      <c r="BA102" s="1" t="n">
        <f aca="false">IF($D$46=1,MAX(0,SUM(Model!$J55:BA55)+SUM(Model!$J102:BA102)),0)</f>
        <v>0</v>
      </c>
      <c r="BB102" s="1" t="n">
        <f aca="false">IF($D$46=1,MAX(0,SUM(Model!$J55:BB55)+SUM(Model!$J102:BB102)),0)</f>
        <v>0</v>
      </c>
      <c r="BC102" s="1" t="n">
        <f aca="false">IF($D$46=1,MAX(0,SUM(Model!$J55:BC55)+SUM(Model!$J102:BC102)),0)</f>
        <v>0</v>
      </c>
      <c r="BD102" s="1" t="n">
        <f aca="false">IF($D$46=1,MAX(0,SUM(Model!$J55:BD55)+SUM(Model!$J102:BD102)),0)</f>
        <v>0</v>
      </c>
      <c r="BE102" s="1" t="n">
        <f aca="false">IF($D$46=1,MAX(0,SUM(Model!$J55:BE55)+SUM(Model!$J102:BE102)),0)</f>
        <v>0</v>
      </c>
      <c r="BF102" s="1" t="n">
        <f aca="false">IF($D$46=1,MAX(0,SUM(Model!$J55:BF55)+SUM(Model!$J102:BF102)),0)</f>
        <v>0</v>
      </c>
      <c r="BG102" s="1" t="n">
        <f aca="false">IF($D$46=1,MAX(0,SUM(Model!$J55:BG55)+SUM(Model!$J102:BG102)),0)</f>
        <v>0</v>
      </c>
      <c r="BH102" s="1" t="n">
        <f aca="false">IF($D$46=1,MAX(0,SUM(Model!$J55:BH55)+SUM(Model!$J102:BH102)),0)</f>
        <v>0</v>
      </c>
      <c r="BI102" s="1" t="n">
        <f aca="false">IF($D$46=1,MAX(0,SUM(Model!$J55:BI55)+SUM(Model!$J102:BI102)),0)</f>
        <v>0</v>
      </c>
      <c r="BJ102" s="1" t="n">
        <f aca="false">IF($D$46=1,MAX(0,SUM(Model!$J55:BJ55)+SUM(Model!$J102:BJ102)),0)</f>
        <v>0</v>
      </c>
      <c r="BK102" s="1" t="n">
        <f aca="false">IF($D$46=1,MAX(0,SUM(Model!$J55:BK55)+SUM(Model!$J102:BK102)),0)</f>
        <v>0</v>
      </c>
      <c r="BL102" s="1" t="n">
        <f aca="false">IF($D$46=1,MAX(0,SUM(Model!$J55:BL55)+SUM(Model!$J102:BL102)),0)</f>
        <v>0</v>
      </c>
      <c r="BM102" s="1" t="n">
        <f aca="false">IF($D$46=1,MAX(0,SUM(Model!$J55:BM55)+SUM(Model!$J102:BM102)),0)</f>
        <v>0</v>
      </c>
      <c r="BN102" s="1" t="n">
        <f aca="false">IF($D$46=1,MAX(0,SUM(Model!$J55:BN55)+SUM(Model!$J102:BN102)),0)</f>
        <v>0</v>
      </c>
      <c r="BO102" s="1" t="n">
        <f aca="false">IF($D$46=1,MAX(0,SUM(Model!$J55:BO55)+SUM(Model!$J102:BO102)),0)</f>
        <v>0</v>
      </c>
      <c r="BP102" s="1" t="n">
        <f aca="false">IF($D$46=1,MAX(0,SUM(Model!$J55:BP55)+SUM(Model!$J102:BP102)),0)</f>
        <v>0</v>
      </c>
      <c r="BQ102" s="1" t="n">
        <f aca="false">IF($D$46=1,MAX(0,SUM(Model!$J55:BQ55)+SUM(Model!$J102:BQ102)),0)</f>
        <v>0</v>
      </c>
      <c r="BR102" s="1" t="n">
        <f aca="false">IF($D$46=1,MAX(0,SUM(Model!$J55:BR55)+SUM(Model!$J102:BR102)),0)</f>
        <v>0</v>
      </c>
      <c r="BS102" s="1" t="n">
        <f aca="false">IF($D$46=1,MAX(0,SUM(Model!$J55:BS55)+SUM(Model!$J102:BS102)),0)</f>
        <v>0</v>
      </c>
      <c r="BT102" s="1" t="n">
        <f aca="false">IF($D$46=1,MAX(0,SUM(Model!$J55:BT55)+SUM(Model!$J102:BT102)),0)</f>
        <v>0</v>
      </c>
      <c r="BU102" s="1" t="n">
        <f aca="false">IF($D$46=1,MAX(0,SUM(Model!$J55:BU55)+SUM(Model!$J102:BU102)),0)</f>
        <v>0</v>
      </c>
      <c r="BV102" s="1" t="n">
        <f aca="false">IF($D$46=1,MAX(0,SUM(Model!$J55:BV55)+SUM(Model!$J102:BV102)),0)</f>
        <v>0</v>
      </c>
      <c r="BW102" s="1" t="n">
        <f aca="false">IF($D$46=1,MAX(0,SUM(Model!$J55:BW55)+SUM(Model!$J102:BW102)),0)</f>
        <v>0</v>
      </c>
      <c r="BX102" s="1" t="n">
        <f aca="false">IF($D$46=1,MAX(0,SUM(Model!$J55:BX55)+SUM(Model!$J102:BX102)),0)</f>
        <v>0</v>
      </c>
      <c r="BY102" s="1" t="n">
        <f aca="false">IF($D$46=1,MAX(0,SUM(Model!$J55:BY55)+SUM(Model!$J102:BY102)),0)</f>
        <v>0</v>
      </c>
      <c r="BZ102" s="1" t="n">
        <f aca="false">IF($D$46=1,MAX(0,SUM(Model!$J55:BZ55)+SUM(Model!$J102:BZ102)),0)</f>
        <v>0</v>
      </c>
      <c r="CA102" s="1" t="n">
        <f aca="false">IF($D$46=1,MAX(0,SUM(Model!$J55:CA55)+SUM(Model!$J102:CA102)),0)</f>
        <v>0</v>
      </c>
      <c r="CB102" s="1" t="n">
        <f aca="false">IF($D$46=1,MAX(0,SUM(Model!$J55:CB55)+SUM(Model!$J102:CB102)),0)</f>
        <v>0</v>
      </c>
      <c r="CC102" s="1" t="n">
        <f aca="false">IF($D$46=1,MAX(0,SUM(Model!$J55:CC55)+SUM(Model!$J102:CC102)),0)</f>
        <v>0</v>
      </c>
      <c r="CD102" s="1" t="n">
        <f aca="false">IF($D$46=1,MAX(0,SUM(Model!$J55:CD55)+SUM(Model!$J102:CD102)),0)</f>
        <v>0</v>
      </c>
      <c r="CE102" s="1" t="n">
        <f aca="false">IF($D$46=1,MAX(0,SUM(Model!$J55:CE55)+SUM(Model!$J102:CE102)),0)</f>
        <v>0</v>
      </c>
      <c r="CF102" s="1" t="n">
        <f aca="false">IF($D$46=1,MAX(0,SUM(Model!$J55:CF55)+SUM(Model!$J102:CF102)),0)</f>
        <v>0</v>
      </c>
      <c r="CG102" s="1" t="n">
        <f aca="false">IF($D$46=1,MAX(0,SUM(Model!$J55:CG55)+SUM(Model!$J102:CG102)),0)</f>
        <v>0</v>
      </c>
      <c r="CH102" s="1" t="n">
        <f aca="false">IF($D$46=1,MAX(0,SUM(Model!$J55:CH55)+SUM(Model!$J102:CH102)),0)</f>
        <v>0</v>
      </c>
      <c r="CI102" s="1" t="n">
        <f aca="false">IF($D$46=1,MAX(0,SUM(Model!$J55:CI55)+SUM(Model!$J102:CI102)),0)</f>
        <v>0</v>
      </c>
      <c r="CJ102" s="1" t="n">
        <f aca="false">IF($D$46=1,MAX(0,SUM(Model!$J55:CJ55)+SUM(Model!$J102:CJ102)),0)</f>
        <v>0</v>
      </c>
      <c r="CK102" s="1" t="n">
        <f aca="false">IF($D$46=1,MAX(0,SUM(Model!$J55:CK55)+SUM(Model!$J102:CK102)),0)</f>
        <v>0</v>
      </c>
      <c r="CL102" s="1" t="n">
        <f aca="false">IF($D$46=1,MAX(0,SUM(Model!$J55:CL55)+SUM(Model!$J102:CL102)),0)</f>
        <v>0</v>
      </c>
      <c r="CM102" s="1" t="n">
        <f aca="false">IF($D$46=1,MAX(0,SUM(Model!$J55:CM55)+SUM(Model!$J102:CM102)),0)</f>
        <v>0</v>
      </c>
      <c r="CN102" s="1" t="n">
        <f aca="false">IF($D$46=1,MAX(0,SUM(Model!$J55:CN55)+SUM(Model!$J102:CN102)),0)</f>
        <v>0</v>
      </c>
      <c r="CO102" s="1" t="n">
        <f aca="false">IF($D$46=1,MAX(0,SUM(Model!$J55:CO55)+SUM(Model!$J102:CO102)),0)</f>
        <v>0</v>
      </c>
      <c r="CP102" s="1" t="n">
        <f aca="false">IF($D$46=1,MAX(0,SUM(Model!$J55:CP55)+SUM(Model!$J102:CP102)),0)</f>
        <v>0</v>
      </c>
      <c r="CQ102" s="1" t="n">
        <f aca="false">IF($D$46=1,MAX(0,SUM(Model!$J55:CQ55)+SUM(Model!$J102:CQ102)),0)</f>
        <v>0</v>
      </c>
      <c r="CR102" s="1" t="n">
        <f aca="false">IF($D$46=1,MAX(0,SUM(Model!$J55:CR55)+SUM(Model!$J102:CR102)),0)</f>
        <v>0</v>
      </c>
      <c r="CS102" s="1" t="n">
        <f aca="false">IF($D$46=1,MAX(0,SUM(Model!$J55:CS55)+SUM(Model!$J102:CS102)),0)</f>
        <v>0</v>
      </c>
      <c r="CT102" s="1" t="n">
        <f aca="false">IF($D$46=1,MAX(0,SUM(Model!$J55:CT55)+SUM(Model!$J102:CT102)),0)</f>
        <v>0</v>
      </c>
      <c r="CU102" s="1" t="n">
        <f aca="false">IF($D$46=1,MAX(0,SUM(Model!$J55:CU55)+SUM(Model!$J102:CU102)),0)</f>
        <v>0</v>
      </c>
      <c r="CV102" s="1" t="n">
        <f aca="false">IF($D$46=1,MAX(0,SUM(Model!$J55:CV55)+SUM(Model!$J102:CV102)),0)</f>
        <v>0</v>
      </c>
      <c r="CW102" s="1" t="n">
        <f aca="false">IF($D$46=1,MAX(0,SUM(Model!$J55:CW55)+SUM(Model!$J102:CW102)),0)</f>
        <v>0</v>
      </c>
      <c r="CX102" s="1" t="n">
        <f aca="false">IF($D$46=1,MAX(0,SUM(Model!$J55:CX55)+SUM(Model!$J102:CX102)),0)</f>
        <v>0</v>
      </c>
      <c r="CY102" s="1" t="n">
        <f aca="false">IF($D$46=1,MAX(0,SUM(Model!$J55:CY55)+SUM(Model!$J102:CY102)),0)</f>
        <v>0</v>
      </c>
      <c r="CZ102" s="1" t="n">
        <f aca="false">IF($D$46=1,MAX(0,SUM(Model!$J55:CZ55)+SUM(Model!$J102:CZ102)),0)</f>
        <v>0</v>
      </c>
      <c r="DA102" s="1" t="n">
        <f aca="false">IF($D$46=1,MAX(0,SUM(Model!$J55:DA55)+SUM(Model!$J102:DA102)),0)</f>
        <v>0</v>
      </c>
      <c r="DB102" s="1" t="n">
        <f aca="false">IF($D$46=1,MAX(0,SUM(Model!$J55:DB55)+SUM(Model!$J102:DB102)),0)</f>
        <v>0</v>
      </c>
      <c r="DC102" s="1" t="n">
        <f aca="false">IF($D$46=1,MAX(0,SUM(Model!$J55:DC55)+SUM(Model!$J102:DC102)),0)</f>
        <v>0</v>
      </c>
      <c r="DD102" s="1" t="n">
        <f aca="false">IF($D$46=1,MAX(0,SUM(Model!$J55:DD55)+SUM(Model!$J102:DD102)),0)</f>
        <v>0</v>
      </c>
      <c r="DE102" s="1" t="n">
        <f aca="false">IF($D$46=1,MAX(0,SUM(Model!$J55:DE55)+SUM(Model!$J102:DE102)),0)</f>
        <v>0</v>
      </c>
    </row>
    <row r="103" customFormat="false" ht="13.5" hidden="false" customHeight="true" outlineLevel="0" collapsed="false">
      <c r="A103" s="1" t="str">
        <f aca="false">$B$47</f>
        <v>Other (non-project)</v>
      </c>
      <c r="B103" s="1" t="n">
        <v>0</v>
      </c>
      <c r="C103" s="1" t="n">
        <v>0</v>
      </c>
      <c r="D103" s="1" t="n">
        <v>0</v>
      </c>
      <c r="E103" s="1" t="n">
        <v>0</v>
      </c>
      <c r="F103" s="1" t="n">
        <v>0</v>
      </c>
      <c r="G103" s="1" t="n">
        <v>0</v>
      </c>
      <c r="H103" s="1" t="n">
        <v>0</v>
      </c>
      <c r="I103" s="1" t="n">
        <v>0</v>
      </c>
      <c r="J103" s="1" t="n">
        <f aca="false">IF($D$47=1,MAX(0,SUM(Model!$J56:J56)+SUM(Model!$J103:J103)),0)</f>
        <v>0</v>
      </c>
      <c r="K103" s="1" t="n">
        <f aca="false">IF($D$47=1,MAX(0,SUM(Model!$J56:K56)+SUM(Model!$J103:K103)),0)</f>
        <v>0</v>
      </c>
      <c r="L103" s="1" t="n">
        <f aca="false">IF($D$47=1,MAX(0,SUM(Model!$J56:L56)+SUM(Model!$J103:L103)),0)</f>
        <v>0</v>
      </c>
      <c r="M103" s="1" t="n">
        <f aca="false">IF($D$47=1,MAX(0,SUM(Model!$J56:M56)+SUM(Model!$J103:M103)),0)</f>
        <v>0</v>
      </c>
      <c r="N103" s="1" t="n">
        <f aca="false">IF($D$47=1,MAX(0,SUM(Model!$J56:N56)+SUM(Model!$J103:N103)),0)</f>
        <v>0</v>
      </c>
      <c r="O103" s="1" t="n">
        <f aca="false">IF($D$47=1,MAX(0,SUM(Model!$J56:O56)+SUM(Model!$J103:O103)),0)</f>
        <v>0</v>
      </c>
      <c r="P103" s="1" t="n">
        <f aca="false">IF($D$47=1,MAX(0,SUM(Model!$J56:P56)+SUM(Model!$J103:P103)),0)</f>
        <v>0</v>
      </c>
      <c r="Q103" s="1" t="n">
        <f aca="false">IF($D$47=1,MAX(0,SUM(Model!$J56:Q56)+SUM(Model!$J103:Q103)),0)</f>
        <v>0</v>
      </c>
      <c r="R103" s="1" t="n">
        <f aca="false">IF($D$47=1,MAX(0,SUM(Model!$J56:R56)+SUM(Model!$J103:R103)),0)</f>
        <v>0</v>
      </c>
      <c r="S103" s="1" t="n">
        <f aca="false">IF($D$47=1,MAX(0,SUM(Model!$J56:S56)+SUM(Model!$J103:S103)),0)</f>
        <v>0</v>
      </c>
      <c r="T103" s="1" t="n">
        <f aca="false">IF($D$47=1,MAX(0,SUM(Model!$J56:T56)+SUM(Model!$J103:T103)),0)</f>
        <v>0</v>
      </c>
      <c r="U103" s="1" t="n">
        <f aca="false">IF($D$47=1,MAX(0,SUM(Model!$J56:U56)+SUM(Model!$J103:U103)),0)</f>
        <v>0</v>
      </c>
      <c r="V103" s="1" t="n">
        <f aca="false">IF($D$47=1,MAX(0,SUM(Model!$J56:V56)+SUM(Model!$J103:V103)),0)</f>
        <v>0</v>
      </c>
      <c r="W103" s="1" t="n">
        <f aca="false">IF($D$47=1,MAX(0,SUM(Model!$J56:W56)+SUM(Model!$J103:W103)),0)</f>
        <v>0</v>
      </c>
      <c r="X103" s="1" t="n">
        <f aca="false">IF($D$47=1,MAX(0,SUM(Model!$J56:X56)+SUM(Model!$J103:X103)),0)</f>
        <v>0</v>
      </c>
      <c r="Y103" s="1" t="n">
        <f aca="false">IF($D$47=1,MAX(0,SUM(Model!$J56:Y56)+SUM(Model!$J103:Y103)),0)</f>
        <v>0</v>
      </c>
      <c r="Z103" s="1" t="n">
        <f aca="false">IF($D$47=1,MAX(0,SUM(Model!$J56:Z56)+SUM(Model!$J103:Z103)),0)</f>
        <v>0</v>
      </c>
      <c r="AA103" s="1" t="n">
        <f aca="false">IF($D$47=1,MAX(0,SUM(Model!$J56:AA56)+SUM(Model!$J103:AA103)),0)</f>
        <v>0</v>
      </c>
      <c r="AB103" s="1" t="n">
        <f aca="false">IF($D$47=1,MAX(0,SUM(Model!$J56:AB56)+SUM(Model!$J103:AB103)),0)</f>
        <v>0</v>
      </c>
      <c r="AC103" s="1" t="n">
        <f aca="false">IF($D$47=1,MAX(0,SUM(Model!$J56:AC56)+SUM(Model!$J103:AC103)),0)</f>
        <v>0</v>
      </c>
      <c r="AD103" s="1" t="n">
        <f aca="false">IF($D$47=1,MAX(0,SUM(Model!$J56:AD56)+SUM(Model!$J103:AD103)),0)</f>
        <v>0</v>
      </c>
      <c r="AE103" s="1" t="n">
        <f aca="false">IF($D$47=1,MAX(0,SUM(Model!$J56:AE56)+SUM(Model!$J103:AE103)),0)</f>
        <v>0</v>
      </c>
      <c r="AF103" s="1" t="n">
        <f aca="false">IF($D$47=1,MAX(0,SUM(Model!$J56:AF56)+SUM(Model!$J103:AF103)),0)</f>
        <v>0</v>
      </c>
      <c r="AG103" s="1" t="n">
        <f aca="false">IF($D$47=1,MAX(0,SUM(Model!$J56:AG56)+SUM(Model!$J103:AG103)),0)</f>
        <v>0</v>
      </c>
      <c r="AH103" s="1" t="n">
        <f aca="false">IF($D$47=1,MAX(0,SUM(Model!$J56:AH56)+SUM(Model!$J103:AH103)),0)</f>
        <v>0</v>
      </c>
      <c r="AI103" s="1" t="n">
        <f aca="false">IF($D$47=1,MAX(0,SUM(Model!$J56:AI56)+SUM(Model!$J103:AI103)),0)</f>
        <v>0</v>
      </c>
      <c r="AJ103" s="1" t="n">
        <f aca="false">IF($D$47=1,MAX(0,SUM(Model!$J56:AJ56)+SUM(Model!$J103:AJ103)),0)</f>
        <v>0</v>
      </c>
      <c r="AK103" s="1" t="n">
        <f aca="false">IF($D$47=1,MAX(0,SUM(Model!$J56:AK56)+SUM(Model!$J103:AK103)),0)</f>
        <v>0</v>
      </c>
      <c r="AL103" s="1" t="n">
        <f aca="false">IF($D$47=1,MAX(0,SUM(Model!$J56:AL56)+SUM(Model!$J103:AL103)),0)</f>
        <v>0</v>
      </c>
      <c r="AM103" s="1" t="n">
        <f aca="false">IF($D$47=1,MAX(0,SUM(Model!$J56:AM56)+SUM(Model!$J103:AM103)),0)</f>
        <v>0</v>
      </c>
      <c r="AN103" s="1" t="n">
        <f aca="false">IF($D$47=1,MAX(0,SUM(Model!$J56:AN56)+SUM(Model!$J103:AN103)),0)</f>
        <v>0</v>
      </c>
      <c r="AO103" s="1" t="n">
        <f aca="false">IF($D$47=1,MAX(0,SUM(Model!$J56:AO56)+SUM(Model!$J103:AO103)),0)</f>
        <v>0</v>
      </c>
      <c r="AP103" s="1" t="n">
        <f aca="false">IF($D$47=1,MAX(0,SUM(Model!$J56:AP56)+SUM(Model!$J103:AP103)),0)</f>
        <v>0</v>
      </c>
      <c r="AQ103" s="1" t="n">
        <f aca="false">IF($D$47=1,MAX(0,SUM(Model!$J56:AQ56)+SUM(Model!$J103:AQ103)),0)</f>
        <v>0</v>
      </c>
      <c r="AR103" s="1" t="n">
        <f aca="false">IF($D$47=1,MAX(0,SUM(Model!$J56:AR56)+SUM(Model!$J103:AR103)),0)</f>
        <v>0</v>
      </c>
      <c r="AS103" s="1" t="n">
        <f aca="false">IF($D$47=1,MAX(0,SUM(Model!$J56:AS56)+SUM(Model!$J103:AS103)),0)</f>
        <v>0</v>
      </c>
      <c r="AT103" s="1" t="n">
        <f aca="false">IF($D$47=1,MAX(0,SUM(Model!$J56:AT56)+SUM(Model!$J103:AT103)),0)</f>
        <v>0</v>
      </c>
      <c r="AU103" s="1" t="n">
        <f aca="false">IF($D$47=1,MAX(0,SUM(Model!$J56:AU56)+SUM(Model!$J103:AU103)),0)</f>
        <v>0</v>
      </c>
      <c r="AV103" s="1" t="n">
        <f aca="false">IF($D$47=1,MAX(0,SUM(Model!$J56:AV56)+SUM(Model!$J103:AV103)),0)</f>
        <v>0</v>
      </c>
      <c r="AW103" s="1" t="n">
        <f aca="false">IF($D$47=1,MAX(0,SUM(Model!$J56:AW56)+SUM(Model!$J103:AW103)),0)</f>
        <v>0</v>
      </c>
      <c r="AX103" s="1" t="n">
        <f aca="false">IF($D$47=1,MAX(0,SUM(Model!$J56:AX56)+SUM(Model!$J103:AX103)),0)</f>
        <v>0</v>
      </c>
      <c r="AY103" s="1" t="n">
        <f aca="false">IF($D$47=1,MAX(0,SUM(Model!$J56:AY56)+SUM(Model!$J103:AY103)),0)</f>
        <v>0</v>
      </c>
      <c r="AZ103" s="1" t="n">
        <f aca="false">IF($D$47=1,MAX(0,SUM(Model!$J56:AZ56)+SUM(Model!$J103:AZ103)),0)</f>
        <v>0</v>
      </c>
      <c r="BA103" s="1" t="n">
        <f aca="false">IF($D$47=1,MAX(0,SUM(Model!$J56:BA56)+SUM(Model!$J103:BA103)),0)</f>
        <v>0</v>
      </c>
      <c r="BB103" s="1" t="n">
        <f aca="false">IF($D$47=1,MAX(0,SUM(Model!$J56:BB56)+SUM(Model!$J103:BB103)),0)</f>
        <v>0</v>
      </c>
      <c r="BC103" s="1" t="n">
        <f aca="false">IF($D$47=1,MAX(0,SUM(Model!$J56:BC56)+SUM(Model!$J103:BC103)),0)</f>
        <v>0</v>
      </c>
      <c r="BD103" s="1" t="n">
        <f aca="false">IF($D$47=1,MAX(0,SUM(Model!$J56:BD56)+SUM(Model!$J103:BD103)),0)</f>
        <v>0</v>
      </c>
      <c r="BE103" s="1" t="n">
        <f aca="false">IF($D$47=1,MAX(0,SUM(Model!$J56:BE56)+SUM(Model!$J103:BE103)),0)</f>
        <v>0</v>
      </c>
      <c r="BF103" s="1" t="n">
        <f aca="false">IF($D$47=1,MAX(0,SUM(Model!$J56:BF56)+SUM(Model!$J103:BF103)),0)</f>
        <v>0</v>
      </c>
      <c r="BG103" s="1" t="n">
        <f aca="false">IF($D$47=1,MAX(0,SUM(Model!$J56:BG56)+SUM(Model!$J103:BG103)),0)</f>
        <v>0</v>
      </c>
      <c r="BH103" s="1" t="n">
        <f aca="false">IF($D$47=1,MAX(0,SUM(Model!$J56:BH56)+SUM(Model!$J103:BH103)),0)</f>
        <v>0</v>
      </c>
      <c r="BI103" s="1" t="n">
        <f aca="false">IF($D$47=1,MAX(0,SUM(Model!$J56:BI56)+SUM(Model!$J103:BI103)),0)</f>
        <v>0</v>
      </c>
      <c r="BJ103" s="1" t="n">
        <f aca="false">IF($D$47=1,MAX(0,SUM(Model!$J56:BJ56)+SUM(Model!$J103:BJ103)),0)</f>
        <v>0</v>
      </c>
      <c r="BK103" s="1" t="n">
        <f aca="false">IF($D$47=1,MAX(0,SUM(Model!$J56:BK56)+SUM(Model!$J103:BK103)),0)</f>
        <v>0</v>
      </c>
      <c r="BL103" s="1" t="n">
        <f aca="false">IF($D$47=1,MAX(0,SUM(Model!$J56:BL56)+SUM(Model!$J103:BL103)),0)</f>
        <v>0</v>
      </c>
      <c r="BM103" s="1" t="n">
        <f aca="false">IF($D$47=1,MAX(0,SUM(Model!$J56:BM56)+SUM(Model!$J103:BM103)),0)</f>
        <v>0</v>
      </c>
      <c r="BN103" s="1" t="n">
        <f aca="false">IF($D$47=1,MAX(0,SUM(Model!$J56:BN56)+SUM(Model!$J103:BN103)),0)</f>
        <v>0</v>
      </c>
      <c r="BO103" s="1" t="n">
        <f aca="false">IF($D$47=1,MAX(0,SUM(Model!$J56:BO56)+SUM(Model!$J103:BO103)),0)</f>
        <v>0</v>
      </c>
      <c r="BP103" s="1" t="n">
        <f aca="false">IF($D$47=1,MAX(0,SUM(Model!$J56:BP56)+SUM(Model!$J103:BP103)),0)</f>
        <v>0</v>
      </c>
      <c r="BQ103" s="1" t="n">
        <f aca="false">IF($D$47=1,MAX(0,SUM(Model!$J56:BQ56)+SUM(Model!$J103:BQ103)),0)</f>
        <v>0</v>
      </c>
      <c r="BR103" s="1" t="n">
        <f aca="false">IF($D$47=1,MAX(0,SUM(Model!$J56:BR56)+SUM(Model!$J103:BR103)),0)</f>
        <v>0</v>
      </c>
      <c r="BS103" s="1" t="n">
        <f aca="false">IF($D$47=1,MAX(0,SUM(Model!$J56:BS56)+SUM(Model!$J103:BS103)),0)</f>
        <v>0</v>
      </c>
      <c r="BT103" s="1" t="n">
        <f aca="false">IF($D$47=1,MAX(0,SUM(Model!$J56:BT56)+SUM(Model!$J103:BT103)),0)</f>
        <v>0</v>
      </c>
      <c r="BU103" s="1" t="n">
        <f aca="false">IF($D$47=1,MAX(0,SUM(Model!$J56:BU56)+SUM(Model!$J103:BU103)),0)</f>
        <v>0</v>
      </c>
      <c r="BV103" s="1" t="n">
        <f aca="false">IF($D$47=1,MAX(0,SUM(Model!$J56:BV56)+SUM(Model!$J103:BV103)),0)</f>
        <v>0</v>
      </c>
      <c r="BW103" s="1" t="n">
        <f aca="false">IF($D$47=1,MAX(0,SUM(Model!$J56:BW56)+SUM(Model!$J103:BW103)),0)</f>
        <v>0</v>
      </c>
      <c r="BX103" s="1" t="n">
        <f aca="false">IF($D$47=1,MAX(0,SUM(Model!$J56:BX56)+SUM(Model!$J103:BX103)),0)</f>
        <v>0</v>
      </c>
      <c r="BY103" s="1" t="n">
        <f aca="false">IF($D$47=1,MAX(0,SUM(Model!$J56:BY56)+SUM(Model!$J103:BY103)),0)</f>
        <v>0</v>
      </c>
      <c r="BZ103" s="1" t="n">
        <f aca="false">IF($D$47=1,MAX(0,SUM(Model!$J56:BZ56)+SUM(Model!$J103:BZ103)),0)</f>
        <v>0</v>
      </c>
      <c r="CA103" s="1" t="n">
        <f aca="false">IF($D$47=1,MAX(0,SUM(Model!$J56:CA56)+SUM(Model!$J103:CA103)),0)</f>
        <v>0</v>
      </c>
      <c r="CB103" s="1" t="n">
        <f aca="false">IF($D$47=1,MAX(0,SUM(Model!$J56:CB56)+SUM(Model!$J103:CB103)),0)</f>
        <v>0</v>
      </c>
      <c r="CC103" s="1" t="n">
        <f aca="false">IF($D$47=1,MAX(0,SUM(Model!$J56:CC56)+SUM(Model!$J103:CC103)),0)</f>
        <v>0</v>
      </c>
      <c r="CD103" s="1" t="n">
        <f aca="false">IF($D$47=1,MAX(0,SUM(Model!$J56:CD56)+SUM(Model!$J103:CD103)),0)</f>
        <v>0</v>
      </c>
      <c r="CE103" s="1" t="n">
        <f aca="false">IF($D$47=1,MAX(0,SUM(Model!$J56:CE56)+SUM(Model!$J103:CE103)),0)</f>
        <v>0</v>
      </c>
      <c r="CF103" s="1" t="n">
        <f aca="false">IF($D$47=1,MAX(0,SUM(Model!$J56:CF56)+SUM(Model!$J103:CF103)),0)</f>
        <v>0</v>
      </c>
      <c r="CG103" s="1" t="n">
        <f aca="false">IF($D$47=1,MAX(0,SUM(Model!$J56:CG56)+SUM(Model!$J103:CG103)),0)</f>
        <v>0</v>
      </c>
      <c r="CH103" s="1" t="n">
        <f aca="false">IF($D$47=1,MAX(0,SUM(Model!$J56:CH56)+SUM(Model!$J103:CH103)),0)</f>
        <v>0</v>
      </c>
      <c r="CI103" s="1" t="n">
        <f aca="false">IF($D$47=1,MAX(0,SUM(Model!$J56:CI56)+SUM(Model!$J103:CI103)),0)</f>
        <v>0</v>
      </c>
      <c r="CJ103" s="1" t="n">
        <f aca="false">IF($D$47=1,MAX(0,SUM(Model!$J56:CJ56)+SUM(Model!$J103:CJ103)),0)</f>
        <v>0</v>
      </c>
      <c r="CK103" s="1" t="n">
        <f aca="false">IF($D$47=1,MAX(0,SUM(Model!$J56:CK56)+SUM(Model!$J103:CK103)),0)</f>
        <v>0</v>
      </c>
      <c r="CL103" s="1" t="n">
        <f aca="false">IF($D$47=1,MAX(0,SUM(Model!$J56:CL56)+SUM(Model!$J103:CL103)),0)</f>
        <v>0</v>
      </c>
      <c r="CM103" s="1" t="n">
        <f aca="false">IF($D$47=1,MAX(0,SUM(Model!$J56:CM56)+SUM(Model!$J103:CM103)),0)</f>
        <v>0</v>
      </c>
      <c r="CN103" s="1" t="n">
        <f aca="false">IF($D$47=1,MAX(0,SUM(Model!$J56:CN56)+SUM(Model!$J103:CN103)),0)</f>
        <v>0</v>
      </c>
      <c r="CO103" s="1" t="n">
        <f aca="false">IF($D$47=1,MAX(0,SUM(Model!$J56:CO56)+SUM(Model!$J103:CO103)),0)</f>
        <v>0</v>
      </c>
      <c r="CP103" s="1" t="n">
        <f aca="false">IF($D$47=1,MAX(0,SUM(Model!$J56:CP56)+SUM(Model!$J103:CP103)),0)</f>
        <v>0</v>
      </c>
      <c r="CQ103" s="1" t="n">
        <f aca="false">IF($D$47=1,MAX(0,SUM(Model!$J56:CQ56)+SUM(Model!$J103:CQ103)),0)</f>
        <v>0</v>
      </c>
      <c r="CR103" s="1" t="n">
        <f aca="false">IF($D$47=1,MAX(0,SUM(Model!$J56:CR56)+SUM(Model!$J103:CR103)),0)</f>
        <v>0</v>
      </c>
      <c r="CS103" s="1" t="n">
        <f aca="false">IF($D$47=1,MAX(0,SUM(Model!$J56:CS56)+SUM(Model!$J103:CS103)),0)</f>
        <v>0</v>
      </c>
      <c r="CT103" s="1" t="n">
        <f aca="false">IF($D$47=1,MAX(0,SUM(Model!$J56:CT56)+SUM(Model!$J103:CT103)),0)</f>
        <v>0</v>
      </c>
      <c r="CU103" s="1" t="n">
        <f aca="false">IF($D$47=1,MAX(0,SUM(Model!$J56:CU56)+SUM(Model!$J103:CU103)),0)</f>
        <v>0</v>
      </c>
      <c r="CV103" s="1" t="n">
        <f aca="false">IF($D$47=1,MAX(0,SUM(Model!$J56:CV56)+SUM(Model!$J103:CV103)),0)</f>
        <v>0</v>
      </c>
      <c r="CW103" s="1" t="n">
        <f aca="false">IF($D$47=1,MAX(0,SUM(Model!$J56:CW56)+SUM(Model!$J103:CW103)),0)</f>
        <v>0</v>
      </c>
      <c r="CX103" s="1" t="n">
        <f aca="false">IF($D$47=1,MAX(0,SUM(Model!$J56:CX56)+SUM(Model!$J103:CX103)),0)</f>
        <v>0</v>
      </c>
      <c r="CY103" s="1" t="n">
        <f aca="false">IF($D$47=1,MAX(0,SUM(Model!$J56:CY56)+SUM(Model!$J103:CY103)),0)</f>
        <v>0</v>
      </c>
      <c r="CZ103" s="1" t="n">
        <f aca="false">IF($D$47=1,MAX(0,SUM(Model!$J56:CZ56)+SUM(Model!$J103:CZ103)),0)</f>
        <v>0</v>
      </c>
      <c r="DA103" s="1" t="n">
        <f aca="false">IF($D$47=1,MAX(0,SUM(Model!$J56:DA56)+SUM(Model!$J103:DA103)),0)</f>
        <v>0</v>
      </c>
      <c r="DB103" s="1" t="n">
        <f aca="false">IF($D$47=1,MAX(0,SUM(Model!$J56:DB56)+SUM(Model!$J103:DB103)),0)</f>
        <v>0</v>
      </c>
      <c r="DC103" s="1" t="n">
        <f aca="false">IF($D$47=1,MAX(0,SUM(Model!$J56:DC56)+SUM(Model!$J103:DC103)),0)</f>
        <v>0</v>
      </c>
      <c r="DD103" s="1" t="n">
        <f aca="false">IF($D$47=1,MAX(0,SUM(Model!$J56:DD56)+SUM(Model!$J103:DD103)),0)</f>
        <v>0</v>
      </c>
      <c r="DE103" s="1" t="n">
        <f aca="false">IF($D$47=1,MAX(0,SUM(Model!$J56:DE56)+SUM(Model!$J103:DE103)),0)</f>
        <v>0</v>
      </c>
    </row>
    <row r="104" customFormat="false" ht="13.5" hidden="false" customHeight="true" outlineLevel="0" collapsed="false">
      <c r="A104" s="379" t="s">
        <v>472</v>
      </c>
      <c r="B104" s="379" t="n">
        <f aca="false">SUM(B60:B103)</f>
        <v>0</v>
      </c>
      <c r="C104" s="379" t="n">
        <f aca="false">SUM(C60:C103)</f>
        <v>0</v>
      </c>
      <c r="D104" s="379" t="n">
        <f aca="false">SUM(D60:D103)</f>
        <v>0</v>
      </c>
      <c r="E104" s="379" t="n">
        <f aca="false">SUM(E60:E103)</f>
        <v>0</v>
      </c>
      <c r="F104" s="379" t="n">
        <f aca="false">SUM(F60:F103)</f>
        <v>0</v>
      </c>
      <c r="G104" s="379" t="n">
        <f aca="false">SUM(G60:G103)</f>
        <v>0</v>
      </c>
      <c r="H104" s="379" t="n">
        <f aca="false">SUM(H60:H103)</f>
        <v>0</v>
      </c>
      <c r="I104" s="379" t="n">
        <f aca="false">SUM(I60:I103)</f>
        <v>0</v>
      </c>
      <c r="J104" s="379" t="n">
        <f aca="false">SUM(J60:J103)</f>
        <v>225272.52</v>
      </c>
      <c r="K104" s="379" t="n">
        <f aca="false">SUM(K60:K103)</f>
        <v>248630.71</v>
      </c>
      <c r="L104" s="379" t="n">
        <f aca="false">SUM(L60:L103)</f>
        <v>251735.84</v>
      </c>
      <c r="M104" s="379" t="n">
        <f aca="false">SUM(M60:M103)</f>
        <v>252618.63</v>
      </c>
      <c r="N104" s="379" t="n">
        <f aca="false">SUM(N60:N103)</f>
        <v>261241.069999999</v>
      </c>
      <c r="O104" s="379" t="n">
        <f aca="false">SUM(O60:O103)</f>
        <v>275566.84</v>
      </c>
      <c r="P104" s="379" t="n">
        <f aca="false">SUM(P60:P103)</f>
        <v>283344.14</v>
      </c>
      <c r="Q104" s="379" t="n">
        <f aca="false">SUM(Q60:Q103)</f>
        <v>296785.86</v>
      </c>
      <c r="R104" s="379" t="n">
        <f aca="false">SUM(R60:R103)</f>
        <v>279949.350000001</v>
      </c>
      <c r="S104" s="379" t="n">
        <f aca="false">SUM(S60:S103)</f>
        <v>218493.54</v>
      </c>
      <c r="T104" s="379" t="n">
        <f aca="false">SUM(T60:T103)</f>
        <v>197620.92</v>
      </c>
      <c r="U104" s="379" t="n">
        <f aca="false">SUM(U60:U103)</f>
        <v>194318.949999999</v>
      </c>
      <c r="V104" s="379" t="n">
        <f aca="false">SUM(V60:V103)</f>
        <v>197751.920000001</v>
      </c>
      <c r="W104" s="379" t="n">
        <f aca="false">SUM(W60:W103)</f>
        <v>203537.240000001</v>
      </c>
      <c r="X104" s="379" t="n">
        <f aca="false">SUM(X60:X103)</f>
        <v>203537.240000001</v>
      </c>
      <c r="Y104" s="379" t="n">
        <f aca="false">SUM(Y60:Y103)</f>
        <v>203537.240000001</v>
      </c>
      <c r="Z104" s="379" t="n">
        <f aca="false">SUM(Z60:Z103)</f>
        <v>203537.240000001</v>
      </c>
      <c r="AA104" s="379" t="n">
        <f aca="false">SUM(AA60:AA103)</f>
        <v>203537.240000001</v>
      </c>
      <c r="AB104" s="379" t="n">
        <f aca="false">SUM(AB60:AB103)</f>
        <v>203537.240000001</v>
      </c>
      <c r="AC104" s="379" t="n">
        <f aca="false">SUM(AC60:AC103)</f>
        <v>203537.240000001</v>
      </c>
      <c r="AD104" s="379" t="n">
        <f aca="false">SUM(AD60:AD103)</f>
        <v>203537.240000001</v>
      </c>
      <c r="AE104" s="379" t="n">
        <f aca="false">SUM(AE60:AE103)</f>
        <v>203537.240000001</v>
      </c>
      <c r="AF104" s="379" t="n">
        <f aca="false">SUM(AF60:AF103)</f>
        <v>203537.240000001</v>
      </c>
      <c r="AG104" s="379" t="n">
        <f aca="false">SUM(AG60:AG103)</f>
        <v>203537.240000001</v>
      </c>
      <c r="AH104" s="379" t="n">
        <f aca="false">SUM(AH60:AH103)</f>
        <v>203537.240000001</v>
      </c>
      <c r="AI104" s="379" t="n">
        <f aca="false">SUM(AI60:AI103)</f>
        <v>203537.240000001</v>
      </c>
      <c r="AJ104" s="379" t="n">
        <f aca="false">SUM(AJ60:AJ103)</f>
        <v>203537.240000001</v>
      </c>
      <c r="AK104" s="379" t="n">
        <f aca="false">SUM(AK60:AK103)</f>
        <v>203537.240000001</v>
      </c>
      <c r="AL104" s="379" t="n">
        <f aca="false">SUM(AL60:AL103)</f>
        <v>203537.240000001</v>
      </c>
      <c r="AM104" s="379" t="n">
        <f aca="false">SUM(AM60:AM103)</f>
        <v>203537.240000001</v>
      </c>
      <c r="AN104" s="379" t="n">
        <f aca="false">SUM(AN60:AN103)</f>
        <v>203537.240000001</v>
      </c>
      <c r="AO104" s="379" t="n">
        <f aca="false">SUM(AO60:AO103)</f>
        <v>203537.240000001</v>
      </c>
      <c r="AP104" s="379" t="n">
        <f aca="false">SUM(AP60:AP103)</f>
        <v>203537.240000001</v>
      </c>
      <c r="AQ104" s="379" t="n">
        <f aca="false">SUM(AQ60:AQ103)</f>
        <v>203537.240000001</v>
      </c>
      <c r="AR104" s="379" t="n">
        <f aca="false">SUM(AR60:AR103)</f>
        <v>203537.240000001</v>
      </c>
      <c r="AS104" s="379" t="n">
        <f aca="false">SUM(AS60:AS103)</f>
        <v>203537.240000001</v>
      </c>
      <c r="AT104" s="379" t="n">
        <f aca="false">SUM(AT60:AT103)</f>
        <v>203537.240000001</v>
      </c>
      <c r="AU104" s="379" t="n">
        <f aca="false">SUM(AU60:AU103)</f>
        <v>203537.240000001</v>
      </c>
      <c r="AV104" s="379" t="n">
        <f aca="false">SUM(AV60:AV103)</f>
        <v>203537.240000001</v>
      </c>
      <c r="AW104" s="379" t="n">
        <f aca="false">SUM(AW60:AW103)</f>
        <v>203537.240000001</v>
      </c>
      <c r="AX104" s="379" t="n">
        <f aca="false">SUM(AX60:AX103)</f>
        <v>203537.240000001</v>
      </c>
      <c r="AY104" s="379" t="n">
        <f aca="false">SUM(AY60:AY103)</f>
        <v>203537.240000001</v>
      </c>
      <c r="AZ104" s="379" t="n">
        <f aca="false">SUM(AZ60:AZ103)</f>
        <v>203537.240000001</v>
      </c>
      <c r="BA104" s="379" t="n">
        <f aca="false">SUM(BA60:BA103)</f>
        <v>203537.240000001</v>
      </c>
      <c r="BB104" s="379" t="n">
        <f aca="false">SUM(BB60:BB103)</f>
        <v>203537.240000001</v>
      </c>
      <c r="BC104" s="379" t="n">
        <f aca="false">SUM(BC60:BC103)</f>
        <v>203537.240000001</v>
      </c>
      <c r="BD104" s="379" t="n">
        <f aca="false">SUM(BD60:BD103)</f>
        <v>203537.240000001</v>
      </c>
      <c r="BE104" s="379" t="n">
        <f aca="false">SUM(BE60:BE103)</f>
        <v>203537.240000001</v>
      </c>
      <c r="BF104" s="379" t="n">
        <f aca="false">SUM(BF60:BF103)</f>
        <v>203537.240000001</v>
      </c>
      <c r="BG104" s="379" t="n">
        <f aca="false">SUM(BG60:BG103)</f>
        <v>203537.240000001</v>
      </c>
      <c r="BH104" s="379" t="n">
        <f aca="false">SUM(BH60:BH103)</f>
        <v>203537.240000001</v>
      </c>
      <c r="BI104" s="379" t="n">
        <f aca="false">SUM(BI60:BI103)</f>
        <v>203537.240000001</v>
      </c>
      <c r="BJ104" s="379" t="n">
        <f aca="false">SUM(BJ60:BJ103)</f>
        <v>203537.240000001</v>
      </c>
      <c r="BK104" s="379" t="n">
        <f aca="false">SUM(BK60:BK103)</f>
        <v>203537.240000001</v>
      </c>
      <c r="BL104" s="379" t="n">
        <f aca="false">SUM(BL60:BL103)</f>
        <v>203537.240000001</v>
      </c>
      <c r="BM104" s="379" t="n">
        <f aca="false">SUM(BM60:BM103)</f>
        <v>203537.240000001</v>
      </c>
      <c r="BN104" s="379" t="n">
        <f aca="false">SUM(BN60:BN103)</f>
        <v>203537.240000001</v>
      </c>
      <c r="BO104" s="379" t="n">
        <f aca="false">SUM(BO60:BO103)</f>
        <v>203537.240000001</v>
      </c>
      <c r="BP104" s="379" t="n">
        <f aca="false">SUM(BP60:BP103)</f>
        <v>203537.240000001</v>
      </c>
      <c r="BQ104" s="379" t="n">
        <f aca="false">SUM(BQ60:BQ103)</f>
        <v>203537.240000001</v>
      </c>
      <c r="BR104" s="379" t="n">
        <f aca="false">SUM(BR60:BR103)</f>
        <v>203537.240000001</v>
      </c>
      <c r="BS104" s="379" t="n">
        <f aca="false">SUM(BS60:BS103)</f>
        <v>203537.240000001</v>
      </c>
      <c r="BT104" s="379" t="n">
        <f aca="false">SUM(BT60:BT103)</f>
        <v>203537.240000001</v>
      </c>
      <c r="BU104" s="379" t="n">
        <f aca="false">SUM(BU60:BU103)</f>
        <v>203537.240000001</v>
      </c>
      <c r="BV104" s="379" t="n">
        <f aca="false">SUM(BV60:BV103)</f>
        <v>203537.240000001</v>
      </c>
      <c r="BW104" s="379" t="n">
        <f aca="false">SUM(BW60:BW103)</f>
        <v>203537.240000001</v>
      </c>
      <c r="BX104" s="379" t="n">
        <f aca="false">SUM(BX60:BX103)</f>
        <v>203537.240000001</v>
      </c>
      <c r="BY104" s="379" t="n">
        <f aca="false">SUM(BY60:BY103)</f>
        <v>203537.240000001</v>
      </c>
      <c r="BZ104" s="379" t="n">
        <f aca="false">SUM(BZ60:BZ103)</f>
        <v>203537.240000001</v>
      </c>
      <c r="CA104" s="379" t="n">
        <f aca="false">SUM(CA60:CA103)</f>
        <v>203537.240000001</v>
      </c>
      <c r="CB104" s="379" t="n">
        <f aca="false">SUM(CB60:CB103)</f>
        <v>203537.240000001</v>
      </c>
      <c r="CC104" s="379" t="n">
        <f aca="false">SUM(CC60:CC103)</f>
        <v>203537.240000001</v>
      </c>
      <c r="CD104" s="379" t="n">
        <f aca="false">SUM(CD60:CD103)</f>
        <v>203537.240000001</v>
      </c>
      <c r="CE104" s="379" t="n">
        <f aca="false">SUM(CE60:CE103)</f>
        <v>203537.240000001</v>
      </c>
      <c r="CF104" s="379" t="n">
        <f aca="false">SUM(CF60:CF103)</f>
        <v>203537.240000001</v>
      </c>
      <c r="CG104" s="379" t="n">
        <f aca="false">SUM(CG60:CG103)</f>
        <v>203537.240000001</v>
      </c>
      <c r="CH104" s="379" t="n">
        <f aca="false">SUM(CH60:CH103)</f>
        <v>203537.240000001</v>
      </c>
      <c r="CI104" s="379" t="n">
        <f aca="false">SUM(CI60:CI103)</f>
        <v>203537.240000001</v>
      </c>
      <c r="CJ104" s="379" t="n">
        <f aca="false">SUM(CJ60:CJ103)</f>
        <v>203537.240000001</v>
      </c>
      <c r="CK104" s="379" t="n">
        <f aca="false">SUM(CK60:CK103)</f>
        <v>203537.240000001</v>
      </c>
      <c r="CL104" s="379" t="n">
        <f aca="false">SUM(CL60:CL103)</f>
        <v>203537.240000001</v>
      </c>
      <c r="CM104" s="379" t="n">
        <f aca="false">SUM(CM60:CM103)</f>
        <v>203537.240000001</v>
      </c>
      <c r="CN104" s="379" t="n">
        <f aca="false">SUM(CN60:CN103)</f>
        <v>203537.240000001</v>
      </c>
      <c r="CO104" s="379" t="n">
        <f aca="false">SUM(CO60:CO103)</f>
        <v>203537.240000001</v>
      </c>
      <c r="CP104" s="379" t="n">
        <f aca="false">SUM(CP60:CP103)</f>
        <v>203537.240000001</v>
      </c>
      <c r="CQ104" s="379" t="n">
        <f aca="false">SUM(CQ60:CQ103)</f>
        <v>203537.240000001</v>
      </c>
      <c r="CR104" s="379" t="n">
        <f aca="false">SUM(CR60:CR103)</f>
        <v>203537.240000001</v>
      </c>
      <c r="CS104" s="379" t="n">
        <f aca="false">SUM(CS60:CS103)</f>
        <v>203537.240000001</v>
      </c>
      <c r="CT104" s="379" t="n">
        <f aca="false">SUM(CT60:CT103)</f>
        <v>203537.240000001</v>
      </c>
      <c r="CU104" s="379" t="n">
        <f aca="false">SUM(CU60:CU103)</f>
        <v>203537.240000001</v>
      </c>
      <c r="CV104" s="379" t="n">
        <f aca="false">SUM(CV60:CV103)</f>
        <v>203537.240000001</v>
      </c>
      <c r="CW104" s="379" t="n">
        <f aca="false">SUM(CW60:CW103)</f>
        <v>203537.240000001</v>
      </c>
      <c r="CX104" s="379" t="n">
        <f aca="false">SUM(CX60:CX103)</f>
        <v>203537.240000001</v>
      </c>
      <c r="CY104" s="379" t="n">
        <f aca="false">SUM(CY60:CY103)</f>
        <v>203537.240000001</v>
      </c>
      <c r="CZ104" s="379" t="n">
        <f aca="false">SUM(CZ60:CZ103)</f>
        <v>203537.240000001</v>
      </c>
      <c r="DA104" s="379" t="n">
        <f aca="false">SUM(DA60:DA103)</f>
        <v>203537.240000001</v>
      </c>
      <c r="DB104" s="379" t="n">
        <f aca="false">SUM(DB60:DB103)</f>
        <v>203537.240000001</v>
      </c>
      <c r="DC104" s="379" t="n">
        <f aca="false">SUM(DC60:DC103)</f>
        <v>203537.240000001</v>
      </c>
      <c r="DD104" s="379" t="n">
        <f aca="false">SUM(DD60:DD103)</f>
        <v>203537.240000001</v>
      </c>
      <c r="DE104" s="379" t="n">
        <f aca="false">SUM(DE60:DE103)</f>
        <v>203537.240000001</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4581A"/>
    <pageSetUpPr fitToPage="false"/>
  </sheetPr>
  <dimension ref="A1:DE108"/>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4" ySplit="34" topLeftCell="E35" activePane="bottomRight" state="frozen"/>
      <selection pane="topLeft" activeCell="A1" activeCellId="0" sqref="A1"/>
      <selection pane="topRight" activeCell="E1" activeCellId="0" sqref="E1"/>
      <selection pane="bottomLeft" activeCell="A35" activeCellId="0" sqref="A35"/>
      <selection pane="bottomRight" activeCell="A1" activeCellId="0" sqref="A1"/>
    </sheetView>
  </sheetViews>
  <sheetFormatPr defaultColWidth="8.59375" defaultRowHeight="13.5" zeroHeight="false" outlineLevelRow="0" outlineLevelCol="0"/>
  <cols>
    <col collapsed="false" customWidth="true" hidden="false" outlineLevel="0" max="1" min="1" style="1" width="44"/>
    <col collapsed="false" customWidth="true" hidden="false" outlineLevel="0" max="2" min="2" style="1" width="15"/>
    <col collapsed="false" customWidth="true" hidden="false" outlineLevel="0" max="109" min="5" style="1" width="11"/>
  </cols>
  <sheetData>
    <row r="1" customFormat="false" ht="15.75" hidden="false" customHeight="true" outlineLevel="0" collapsed="false">
      <c r="A1" s="206" t="s">
        <v>1343</v>
      </c>
    </row>
    <row r="2" customFormat="false" ht="13.5" hidden="false" customHeight="true" outlineLevel="0" collapsed="false">
      <c r="A2" s="207" t="s">
        <v>1344</v>
      </c>
    </row>
    <row r="4" customFormat="false" ht="13.5" hidden="false" customHeight="true" outlineLevel="0" collapsed="false">
      <c r="A4" s="211" t="s">
        <v>1345</v>
      </c>
      <c r="B4" s="212"/>
      <c r="C4" s="212"/>
      <c r="D4" s="212"/>
      <c r="E4" s="212"/>
      <c r="F4" s="212"/>
    </row>
    <row r="5" customFormat="false" ht="13.5" hidden="false" customHeight="true" outlineLevel="0" collapsed="false">
      <c r="A5" s="110" t="s">
        <v>1346</v>
      </c>
      <c r="B5" s="380" t="n">
        <v>0.875</v>
      </c>
    </row>
    <row r="6" customFormat="false" ht="13.5" hidden="false" customHeight="true" outlineLevel="0" collapsed="false">
      <c r="A6" s="110" t="s">
        <v>1347</v>
      </c>
      <c r="B6" s="380" t="n">
        <v>0.5</v>
      </c>
    </row>
    <row r="7" customFormat="false" ht="13.5" hidden="false" customHeight="true" outlineLevel="0" collapsed="false">
      <c r="A7" s="110" t="s">
        <v>1348</v>
      </c>
      <c r="B7" s="380" t="n">
        <v>0.25</v>
      </c>
    </row>
    <row r="8" customFormat="false" ht="13.5" hidden="false" customHeight="true" outlineLevel="0" collapsed="false">
      <c r="A8" s="110" t="s">
        <v>1349</v>
      </c>
      <c r="B8" s="380" t="n">
        <v>0.165</v>
      </c>
    </row>
    <row r="9" customFormat="false" ht="13.5" hidden="false" customHeight="true" outlineLevel="0" collapsed="false">
      <c r="A9" s="110" t="s">
        <v>1350</v>
      </c>
      <c r="B9" s="380" t="n">
        <v>0.5</v>
      </c>
    </row>
    <row r="10" customFormat="false" ht="13.5" hidden="false" customHeight="true" outlineLevel="0" collapsed="false">
      <c r="A10" s="110" t="s">
        <v>1351</v>
      </c>
      <c r="B10" s="380" t="n">
        <v>0.2</v>
      </c>
    </row>
    <row r="11" customFormat="false" ht="13.5" hidden="false" customHeight="true" outlineLevel="0" collapsed="false">
      <c r="A11" s="110" t="s">
        <v>1352</v>
      </c>
      <c r="B11" s="380" t="n">
        <v>0.5</v>
      </c>
    </row>
    <row r="12" customFormat="false" ht="13.5" hidden="false" customHeight="true" outlineLevel="0" collapsed="false">
      <c r="A12" s="110" t="s">
        <v>1353</v>
      </c>
      <c r="B12" s="381" t="n">
        <v>25000000</v>
      </c>
    </row>
    <row r="13" customFormat="false" ht="13.5" hidden="false" customHeight="true" outlineLevel="0" collapsed="false">
      <c r="A13" s="110" t="s">
        <v>1354</v>
      </c>
      <c r="B13" s="381" t="n">
        <v>10000000</v>
      </c>
    </row>
    <row r="14" customFormat="false" ht="13.5" hidden="false" customHeight="true" outlineLevel="0" collapsed="false">
      <c r="A14" s="110" t="s">
        <v>1355</v>
      </c>
      <c r="B14" s="380" t="n">
        <v>0</v>
      </c>
      <c r="C14" s="210" t="s">
        <v>1356</v>
      </c>
    </row>
    <row r="15" customFormat="false" ht="13.5" hidden="false" customHeight="true" outlineLevel="0" collapsed="false">
      <c r="A15" s="110" t="s">
        <v>1357</v>
      </c>
      <c r="B15" s="380" t="n">
        <v>0</v>
      </c>
    </row>
    <row r="16" customFormat="false" ht="13.5" hidden="false" customHeight="true" outlineLevel="0" collapsed="false">
      <c r="A16" s="110" t="s">
        <v>1358</v>
      </c>
      <c r="B16" s="380" t="n">
        <v>0</v>
      </c>
    </row>
    <row r="17" customFormat="false" ht="13.5" hidden="false" customHeight="true" outlineLevel="0" collapsed="false">
      <c r="A17" s="110" t="s">
        <v>1359</v>
      </c>
      <c r="B17" s="380" t="n">
        <v>1</v>
      </c>
    </row>
    <row r="18" customFormat="false" ht="13.5" hidden="false" customHeight="true" outlineLevel="0" collapsed="false">
      <c r="A18" s="110" t="s">
        <v>1360</v>
      </c>
      <c r="B18" s="380" t="n">
        <v>0.25</v>
      </c>
    </row>
    <row r="19" customFormat="false" ht="13.5" hidden="false" customHeight="true" outlineLevel="0" collapsed="false">
      <c r="A19" s="110" t="s">
        <v>1361</v>
      </c>
      <c r="B19" s="380" t="n">
        <v>6</v>
      </c>
      <c r="C19" s="210" t="s">
        <v>1362</v>
      </c>
    </row>
    <row r="20" customFormat="false" ht="13.5" hidden="false" customHeight="true" outlineLevel="0" collapsed="false">
      <c r="A20" s="110" t="s">
        <v>1363</v>
      </c>
      <c r="B20" s="380" t="n">
        <v>4</v>
      </c>
    </row>
    <row r="21" customFormat="false" ht="13.5" hidden="false" customHeight="true" outlineLevel="0" collapsed="false">
      <c r="A21" s="110" t="s">
        <v>1364</v>
      </c>
      <c r="B21" s="382" t="n">
        <v>0.15</v>
      </c>
    </row>
    <row r="22" customFormat="false" ht="13.5" hidden="false" customHeight="true" outlineLevel="0" collapsed="false">
      <c r="A22" s="110" t="s">
        <v>1365</v>
      </c>
      <c r="B22" s="380" t="n">
        <v>11</v>
      </c>
    </row>
    <row r="23" customFormat="false" ht="13.5" hidden="false" customHeight="true" outlineLevel="0" collapsed="false">
      <c r="A23" s="110" t="s">
        <v>1366</v>
      </c>
      <c r="B23" s="380" t="n">
        <v>13</v>
      </c>
    </row>
    <row r="25" customFormat="false" ht="13.5" hidden="false" customHeight="true" outlineLevel="0" collapsed="false">
      <c r="A25" s="211" t="s">
        <v>1367</v>
      </c>
      <c r="B25" s="212"/>
      <c r="C25" s="212"/>
      <c r="D25" s="212"/>
      <c r="E25" s="212"/>
      <c r="F25" s="212"/>
    </row>
    <row r="26" customFormat="false" ht="13.5" hidden="false" customHeight="true" outlineLevel="0" collapsed="false">
      <c r="A26" s="110" t="s">
        <v>704</v>
      </c>
      <c r="B26" s="381" t="n">
        <v>160000</v>
      </c>
    </row>
    <row r="27" customFormat="false" ht="13.5" hidden="false" customHeight="true" outlineLevel="0" collapsed="false">
      <c r="A27" s="110" t="s">
        <v>1368</v>
      </c>
      <c r="B27" s="381" t="n">
        <v>125000</v>
      </c>
    </row>
    <row r="28" customFormat="false" ht="13.5" hidden="false" customHeight="true" outlineLevel="0" collapsed="false">
      <c r="A28" s="110" t="s">
        <v>700</v>
      </c>
      <c r="B28" s="381" t="n">
        <v>130000</v>
      </c>
    </row>
    <row r="29" customFormat="false" ht="13.5" hidden="false" customHeight="true" outlineLevel="0" collapsed="false">
      <c r="A29" s="110" t="s">
        <v>644</v>
      </c>
      <c r="B29" s="381" t="n">
        <v>180000</v>
      </c>
    </row>
    <row r="30" customFormat="false" ht="13.5" hidden="false" customHeight="true" outlineLevel="0" collapsed="false">
      <c r="A30" s="110" t="s">
        <v>1369</v>
      </c>
      <c r="B30" s="381" t="n">
        <v>80000</v>
      </c>
    </row>
    <row r="32" customFormat="false" ht="13.5" hidden="false" customHeight="true" outlineLevel="0" collapsed="false">
      <c r="A32" s="211" t="s">
        <v>1370</v>
      </c>
      <c r="B32" s="212"/>
      <c r="C32" s="212"/>
      <c r="D32" s="212"/>
      <c r="E32" s="212"/>
      <c r="F32" s="212"/>
    </row>
    <row r="33" customFormat="false" ht="13.5" hidden="false" customHeight="true" outlineLevel="0" collapsed="false">
      <c r="E33" s="383" t="n">
        <f aca="false">Model!E2</f>
        <v>46113</v>
      </c>
      <c r="F33" s="383" t="n">
        <f aca="false">Model!F2</f>
        <v>46143</v>
      </c>
      <c r="G33" s="383" t="n">
        <f aca="false">Model!G2</f>
        <v>46174</v>
      </c>
      <c r="H33" s="383" t="n">
        <f aca="false">Model!H2</f>
        <v>46204</v>
      </c>
      <c r="I33" s="383" t="n">
        <f aca="false">Model!I2</f>
        <v>46235</v>
      </c>
      <c r="J33" s="383" t="n">
        <f aca="false">Model!J2</f>
        <v>46266</v>
      </c>
      <c r="K33" s="383" t="n">
        <f aca="false">Model!K2</f>
        <v>46296</v>
      </c>
      <c r="L33" s="383" t="n">
        <f aca="false">Model!L2</f>
        <v>46327</v>
      </c>
      <c r="M33" s="383" t="n">
        <f aca="false">Model!M2</f>
        <v>46357</v>
      </c>
      <c r="N33" s="383" t="n">
        <f aca="false">Model!N2</f>
        <v>46388</v>
      </c>
      <c r="O33" s="383" t="n">
        <f aca="false">Model!O2</f>
        <v>46419</v>
      </c>
      <c r="P33" s="383" t="n">
        <f aca="false">Model!P2</f>
        <v>46447</v>
      </c>
      <c r="Q33" s="383" t="n">
        <f aca="false">Model!Q2</f>
        <v>46478</v>
      </c>
      <c r="R33" s="383" t="n">
        <f aca="false">Model!R2</f>
        <v>46508</v>
      </c>
      <c r="S33" s="383" t="n">
        <f aca="false">Model!S2</f>
        <v>46539</v>
      </c>
      <c r="T33" s="383" t="n">
        <f aca="false">Model!T2</f>
        <v>46569</v>
      </c>
      <c r="U33" s="383" t="n">
        <f aca="false">Model!U2</f>
        <v>46600</v>
      </c>
      <c r="V33" s="383" t="n">
        <f aca="false">Model!V2</f>
        <v>46631</v>
      </c>
      <c r="W33" s="383" t="n">
        <f aca="false">Model!W2</f>
        <v>46661</v>
      </c>
      <c r="X33" s="383" t="n">
        <f aca="false">Model!X2</f>
        <v>46692</v>
      </c>
      <c r="Y33" s="383" t="n">
        <f aca="false">Model!Y2</f>
        <v>46722</v>
      </c>
      <c r="Z33" s="383" t="n">
        <f aca="false">Model!Z2</f>
        <v>46753</v>
      </c>
      <c r="AA33" s="383" t="n">
        <f aca="false">Model!AA2</f>
        <v>46784</v>
      </c>
      <c r="AB33" s="383" t="n">
        <f aca="false">Model!AB2</f>
        <v>46813</v>
      </c>
      <c r="AC33" s="383" t="n">
        <f aca="false">Model!AC2</f>
        <v>46844</v>
      </c>
      <c r="AD33" s="383" t="n">
        <f aca="false">Model!AD2</f>
        <v>46874</v>
      </c>
      <c r="AE33" s="383" t="n">
        <f aca="false">Model!AE2</f>
        <v>46905</v>
      </c>
      <c r="AF33" s="383" t="n">
        <f aca="false">Model!AF2</f>
        <v>46935</v>
      </c>
      <c r="AG33" s="383" t="n">
        <f aca="false">Model!AG2</f>
        <v>46966</v>
      </c>
      <c r="AH33" s="383" t="n">
        <f aca="false">Model!AH2</f>
        <v>46997</v>
      </c>
      <c r="AI33" s="383" t="n">
        <f aca="false">Model!AI2</f>
        <v>47027</v>
      </c>
      <c r="AJ33" s="383" t="n">
        <f aca="false">Model!AJ2</f>
        <v>47058</v>
      </c>
      <c r="AK33" s="383" t="n">
        <f aca="false">Model!AK2</f>
        <v>47088</v>
      </c>
      <c r="AL33" s="383" t="n">
        <f aca="false">Model!AL2</f>
        <v>47119</v>
      </c>
      <c r="AM33" s="383" t="n">
        <f aca="false">Model!AM2</f>
        <v>47150</v>
      </c>
      <c r="AN33" s="383" t="n">
        <f aca="false">Model!AN2</f>
        <v>47178</v>
      </c>
      <c r="AO33" s="383" t="n">
        <f aca="false">Model!AO2</f>
        <v>47209</v>
      </c>
      <c r="AP33" s="383" t="n">
        <f aca="false">Model!AP2</f>
        <v>47239</v>
      </c>
      <c r="AQ33" s="383" t="n">
        <f aca="false">Model!AQ2</f>
        <v>47270</v>
      </c>
      <c r="AR33" s="383" t="n">
        <f aca="false">Model!AR2</f>
        <v>47300</v>
      </c>
      <c r="AS33" s="383" t="n">
        <f aca="false">Model!AS2</f>
        <v>47331</v>
      </c>
      <c r="AT33" s="383" t="n">
        <f aca="false">Model!AT2</f>
        <v>47362</v>
      </c>
      <c r="AU33" s="383" t="n">
        <f aca="false">Model!AU2</f>
        <v>47392</v>
      </c>
      <c r="AV33" s="383" t="n">
        <f aca="false">Model!AV2</f>
        <v>47423</v>
      </c>
      <c r="AW33" s="383" t="n">
        <f aca="false">Model!AW2</f>
        <v>47453</v>
      </c>
      <c r="AX33" s="383" t="n">
        <f aca="false">Model!AX2</f>
        <v>47484</v>
      </c>
      <c r="AY33" s="383" t="n">
        <f aca="false">Model!AY2</f>
        <v>47515</v>
      </c>
      <c r="AZ33" s="383" t="n">
        <f aca="false">Model!AZ2</f>
        <v>47543</v>
      </c>
      <c r="BA33" s="383" t="n">
        <f aca="false">Model!BA2</f>
        <v>47574</v>
      </c>
      <c r="BB33" s="383" t="n">
        <f aca="false">Model!BB2</f>
        <v>47604</v>
      </c>
      <c r="BC33" s="383" t="n">
        <f aca="false">Model!BC2</f>
        <v>47635</v>
      </c>
      <c r="BD33" s="383" t="n">
        <f aca="false">Model!BD2</f>
        <v>47665</v>
      </c>
      <c r="BE33" s="383" t="n">
        <f aca="false">Model!BE2</f>
        <v>47696</v>
      </c>
      <c r="BF33" s="383" t="n">
        <f aca="false">Model!BF2</f>
        <v>47727</v>
      </c>
      <c r="BG33" s="383" t="n">
        <f aca="false">Model!BG2</f>
        <v>47757</v>
      </c>
      <c r="BH33" s="383" t="n">
        <f aca="false">Model!BH2</f>
        <v>47788</v>
      </c>
      <c r="BI33" s="383" t="n">
        <f aca="false">Model!BI2</f>
        <v>47818</v>
      </c>
      <c r="BJ33" s="383" t="n">
        <f aca="false">Model!BJ2</f>
        <v>47849</v>
      </c>
      <c r="BK33" s="383" t="n">
        <f aca="false">Model!BK2</f>
        <v>47880</v>
      </c>
      <c r="BL33" s="383" t="n">
        <f aca="false">Model!BL2</f>
        <v>47908</v>
      </c>
      <c r="BM33" s="383" t="n">
        <f aca="false">Model!BM2</f>
        <v>47939</v>
      </c>
      <c r="BN33" s="383" t="n">
        <f aca="false">Model!BN2</f>
        <v>47969</v>
      </c>
      <c r="BO33" s="383" t="n">
        <f aca="false">Model!BO2</f>
        <v>48000</v>
      </c>
      <c r="BP33" s="383" t="n">
        <f aca="false">Model!BP2</f>
        <v>48030</v>
      </c>
      <c r="BQ33" s="383" t="n">
        <f aca="false">Model!BQ2</f>
        <v>48061</v>
      </c>
      <c r="BR33" s="383" t="n">
        <f aca="false">Model!BR2</f>
        <v>48092</v>
      </c>
      <c r="BS33" s="383" t="n">
        <f aca="false">Model!BS2</f>
        <v>48122</v>
      </c>
      <c r="BT33" s="383" t="n">
        <f aca="false">Model!BT2</f>
        <v>48153</v>
      </c>
      <c r="BU33" s="383" t="n">
        <f aca="false">Model!BU2</f>
        <v>48183</v>
      </c>
      <c r="BV33" s="383" t="n">
        <f aca="false">Model!BV2</f>
        <v>48214</v>
      </c>
      <c r="BW33" s="383" t="n">
        <f aca="false">Model!BW2</f>
        <v>48245</v>
      </c>
      <c r="BX33" s="383" t="n">
        <f aca="false">Model!BX2</f>
        <v>48274</v>
      </c>
      <c r="BY33" s="383" t="n">
        <f aca="false">Model!BY2</f>
        <v>48305</v>
      </c>
      <c r="BZ33" s="383" t="n">
        <f aca="false">Model!BZ2</f>
        <v>48335</v>
      </c>
      <c r="CA33" s="383" t="n">
        <f aca="false">Model!CA2</f>
        <v>48366</v>
      </c>
      <c r="CB33" s="383" t="n">
        <f aca="false">Model!CB2</f>
        <v>48396</v>
      </c>
      <c r="CC33" s="383" t="n">
        <f aca="false">Model!CC2</f>
        <v>48427</v>
      </c>
      <c r="CD33" s="383" t="n">
        <f aca="false">Model!CD2</f>
        <v>48458</v>
      </c>
      <c r="CE33" s="383" t="n">
        <f aca="false">Model!CE2</f>
        <v>48488</v>
      </c>
      <c r="CF33" s="383" t="n">
        <f aca="false">Model!CF2</f>
        <v>48519</v>
      </c>
      <c r="CG33" s="383" t="n">
        <f aca="false">Model!CG2</f>
        <v>48549</v>
      </c>
      <c r="CH33" s="383" t="n">
        <f aca="false">Model!CH2</f>
        <v>48580</v>
      </c>
      <c r="CI33" s="383" t="n">
        <f aca="false">Model!CI2</f>
        <v>48611</v>
      </c>
      <c r="CJ33" s="383" t="n">
        <f aca="false">Model!CJ2</f>
        <v>48639</v>
      </c>
      <c r="CK33" s="383" t="n">
        <f aca="false">Model!CK2</f>
        <v>48670</v>
      </c>
      <c r="CL33" s="383" t="n">
        <f aca="false">Model!CL2</f>
        <v>48700</v>
      </c>
      <c r="CM33" s="383" t="n">
        <f aca="false">Model!CM2</f>
        <v>48731</v>
      </c>
      <c r="CN33" s="383" t="n">
        <f aca="false">Model!CN2</f>
        <v>48761</v>
      </c>
      <c r="CO33" s="383" t="n">
        <f aca="false">Model!CO2</f>
        <v>48792</v>
      </c>
      <c r="CP33" s="383" t="n">
        <f aca="false">Model!CP2</f>
        <v>48823</v>
      </c>
      <c r="CQ33" s="383" t="n">
        <f aca="false">Model!CQ2</f>
        <v>48853</v>
      </c>
      <c r="CR33" s="383" t="n">
        <f aca="false">Model!CR2</f>
        <v>48884</v>
      </c>
      <c r="CS33" s="383" t="n">
        <f aca="false">Model!CS2</f>
        <v>48914</v>
      </c>
      <c r="CT33" s="383" t="n">
        <f aca="false">Model!CT2</f>
        <v>48945</v>
      </c>
      <c r="CU33" s="383" t="n">
        <f aca="false">Model!CU2</f>
        <v>48976</v>
      </c>
      <c r="CV33" s="383" t="n">
        <f aca="false">Model!CV2</f>
        <v>49004</v>
      </c>
      <c r="CW33" s="383" t="n">
        <f aca="false">Model!CW2</f>
        <v>49035</v>
      </c>
      <c r="CX33" s="383" t="n">
        <f aca="false">Model!CX2</f>
        <v>49065</v>
      </c>
      <c r="CY33" s="383" t="n">
        <f aca="false">Model!CY2</f>
        <v>49096</v>
      </c>
      <c r="CZ33" s="383" t="n">
        <f aca="false">Model!CZ2</f>
        <v>49126</v>
      </c>
      <c r="DA33" s="383" t="n">
        <f aca="false">Model!DA2</f>
        <v>49157</v>
      </c>
      <c r="DB33" s="383" t="n">
        <f aca="false">Model!DB2</f>
        <v>49188</v>
      </c>
      <c r="DC33" s="383" t="n">
        <f aca="false">Model!DC2</f>
        <v>49218</v>
      </c>
      <c r="DD33" s="383" t="n">
        <f aca="false">Model!DD2</f>
        <v>49249</v>
      </c>
      <c r="DE33" s="383" t="n">
        <f aca="false">Model!DE2</f>
        <v>49279</v>
      </c>
    </row>
    <row r="34" customFormat="false" ht="13.5" hidden="false" customHeight="true" outlineLevel="0" collapsed="false">
      <c r="E34" s="125" t="n">
        <v>1</v>
      </c>
      <c r="F34" s="125" t="n">
        <v>2</v>
      </c>
      <c r="G34" s="125" t="n">
        <v>3</v>
      </c>
      <c r="H34" s="125" t="n">
        <v>4</v>
      </c>
      <c r="I34" s="125" t="n">
        <v>5</v>
      </c>
      <c r="J34" s="125" t="n">
        <v>6</v>
      </c>
      <c r="K34" s="125" t="n">
        <v>7</v>
      </c>
      <c r="L34" s="125" t="n">
        <v>8</v>
      </c>
      <c r="M34" s="125" t="n">
        <v>9</v>
      </c>
      <c r="N34" s="125" t="n">
        <v>10</v>
      </c>
      <c r="O34" s="125" t="n">
        <v>11</v>
      </c>
      <c r="P34" s="125" t="n">
        <v>12</v>
      </c>
      <c r="Q34" s="125" t="n">
        <v>13</v>
      </c>
      <c r="R34" s="125" t="n">
        <v>14</v>
      </c>
      <c r="S34" s="125" t="n">
        <v>15</v>
      </c>
      <c r="T34" s="125" t="n">
        <v>16</v>
      </c>
      <c r="U34" s="125" t="n">
        <v>17</v>
      </c>
      <c r="V34" s="125" t="n">
        <v>18</v>
      </c>
      <c r="W34" s="125" t="n">
        <v>19</v>
      </c>
      <c r="X34" s="125" t="n">
        <v>20</v>
      </c>
      <c r="Y34" s="125" t="n">
        <v>21</v>
      </c>
      <c r="Z34" s="125" t="n">
        <v>22</v>
      </c>
      <c r="AA34" s="125" t="n">
        <v>23</v>
      </c>
      <c r="AB34" s="125" t="n">
        <v>24</v>
      </c>
      <c r="AC34" s="125" t="n">
        <v>25</v>
      </c>
      <c r="AD34" s="125" t="n">
        <v>26</v>
      </c>
      <c r="AE34" s="125" t="n">
        <v>27</v>
      </c>
      <c r="AF34" s="125" t="n">
        <v>28</v>
      </c>
      <c r="AG34" s="125" t="n">
        <v>29</v>
      </c>
      <c r="AH34" s="125" t="n">
        <v>30</v>
      </c>
      <c r="AI34" s="125" t="n">
        <v>31</v>
      </c>
      <c r="AJ34" s="125" t="n">
        <v>32</v>
      </c>
      <c r="AK34" s="125" t="n">
        <v>33</v>
      </c>
      <c r="AL34" s="125" t="n">
        <v>34</v>
      </c>
      <c r="AM34" s="125" t="n">
        <v>35</v>
      </c>
      <c r="AN34" s="125" t="n">
        <v>36</v>
      </c>
      <c r="AO34" s="125" t="n">
        <v>37</v>
      </c>
      <c r="AP34" s="125" t="n">
        <v>38</v>
      </c>
      <c r="AQ34" s="125" t="n">
        <v>39</v>
      </c>
      <c r="AR34" s="125" t="n">
        <v>40</v>
      </c>
      <c r="AS34" s="125" t="n">
        <v>41</v>
      </c>
      <c r="AT34" s="125" t="n">
        <v>42</v>
      </c>
      <c r="AU34" s="125" t="n">
        <v>43</v>
      </c>
      <c r="AV34" s="125" t="n">
        <v>44</v>
      </c>
      <c r="AW34" s="125" t="n">
        <v>45</v>
      </c>
      <c r="AX34" s="125" t="n">
        <v>46</v>
      </c>
      <c r="AY34" s="125" t="n">
        <v>47</v>
      </c>
      <c r="AZ34" s="125" t="n">
        <v>48</v>
      </c>
      <c r="BA34" s="125" t="n">
        <v>49</v>
      </c>
      <c r="BB34" s="125" t="n">
        <v>50</v>
      </c>
      <c r="BC34" s="125" t="n">
        <v>51</v>
      </c>
      <c r="BD34" s="125" t="n">
        <v>52</v>
      </c>
      <c r="BE34" s="125" t="n">
        <v>53</v>
      </c>
      <c r="BF34" s="125" t="n">
        <v>54</v>
      </c>
      <c r="BG34" s="125" t="n">
        <v>55</v>
      </c>
      <c r="BH34" s="125" t="n">
        <v>56</v>
      </c>
      <c r="BI34" s="125" t="n">
        <v>57</v>
      </c>
      <c r="BJ34" s="125" t="n">
        <v>58</v>
      </c>
      <c r="BK34" s="125" t="n">
        <v>59</v>
      </c>
      <c r="BL34" s="125" t="n">
        <v>60</v>
      </c>
      <c r="BM34" s="125" t="n">
        <v>61</v>
      </c>
      <c r="BN34" s="125" t="n">
        <v>62</v>
      </c>
      <c r="BO34" s="125" t="n">
        <v>63</v>
      </c>
      <c r="BP34" s="125" t="n">
        <v>64</v>
      </c>
      <c r="BQ34" s="125" t="n">
        <v>65</v>
      </c>
      <c r="BR34" s="125" t="n">
        <v>66</v>
      </c>
      <c r="BS34" s="125" t="n">
        <v>67</v>
      </c>
      <c r="BT34" s="125" t="n">
        <v>68</v>
      </c>
      <c r="BU34" s="125" t="n">
        <v>69</v>
      </c>
      <c r="BV34" s="125" t="n">
        <v>70</v>
      </c>
      <c r="BW34" s="125" t="n">
        <v>71</v>
      </c>
      <c r="BX34" s="125" t="n">
        <v>72</v>
      </c>
      <c r="BY34" s="125" t="n">
        <v>73</v>
      </c>
      <c r="BZ34" s="125" t="n">
        <v>74</v>
      </c>
      <c r="CA34" s="125" t="n">
        <v>75</v>
      </c>
      <c r="CB34" s="125" t="n">
        <v>76</v>
      </c>
      <c r="CC34" s="125" t="n">
        <v>77</v>
      </c>
      <c r="CD34" s="125" t="n">
        <v>78</v>
      </c>
      <c r="CE34" s="125" t="n">
        <v>79</v>
      </c>
      <c r="CF34" s="125" t="n">
        <v>80</v>
      </c>
      <c r="CG34" s="125" t="n">
        <v>81</v>
      </c>
      <c r="CH34" s="125" t="n">
        <v>82</v>
      </c>
      <c r="CI34" s="125" t="n">
        <v>83</v>
      </c>
      <c r="CJ34" s="125" t="n">
        <v>84</v>
      </c>
      <c r="CK34" s="125" t="n">
        <v>85</v>
      </c>
      <c r="CL34" s="125" t="n">
        <v>86</v>
      </c>
      <c r="CM34" s="125" t="n">
        <v>87</v>
      </c>
      <c r="CN34" s="125" t="n">
        <v>88</v>
      </c>
      <c r="CO34" s="125" t="n">
        <v>89</v>
      </c>
      <c r="CP34" s="125" t="n">
        <v>90</v>
      </c>
      <c r="CQ34" s="125" t="n">
        <v>91</v>
      </c>
      <c r="CR34" s="125" t="n">
        <v>92</v>
      </c>
      <c r="CS34" s="125" t="n">
        <v>93</v>
      </c>
      <c r="CT34" s="125" t="n">
        <v>94</v>
      </c>
      <c r="CU34" s="125" t="n">
        <v>95</v>
      </c>
      <c r="CV34" s="125" t="n">
        <v>96</v>
      </c>
      <c r="CW34" s="125" t="n">
        <v>97</v>
      </c>
      <c r="CX34" s="125" t="n">
        <v>98</v>
      </c>
      <c r="CY34" s="125" t="n">
        <v>99</v>
      </c>
      <c r="CZ34" s="125" t="n">
        <v>100</v>
      </c>
      <c r="DA34" s="125" t="n">
        <v>101</v>
      </c>
      <c r="DB34" s="125" t="n">
        <v>102</v>
      </c>
      <c r="DC34" s="125" t="n">
        <v>103</v>
      </c>
      <c r="DD34" s="125" t="n">
        <v>104</v>
      </c>
      <c r="DE34" s="125" t="n">
        <v>105</v>
      </c>
    </row>
    <row r="36" customFormat="false" ht="13.5" hidden="false" customHeight="true" outlineLevel="0" collapsed="false">
      <c r="A36" s="211" t="s">
        <v>1371</v>
      </c>
      <c r="B36" s="212"/>
      <c r="C36" s="212"/>
      <c r="D36" s="212"/>
      <c r="E36" s="212"/>
      <c r="F36" s="212"/>
    </row>
    <row r="37" customFormat="false" ht="13.5" hidden="false" customHeight="true" outlineLevel="0" collapsed="false">
      <c r="A37" s="110" t="s">
        <v>1372</v>
      </c>
      <c r="E37" s="384" t="n">
        <f aca="false">SUMPRODUCT((Projects!$G$2:$G$45="Yes")*(1&gt;=Projects!$C$2:$C$45)*(1&lt;=Projects!$W$2:$W$45))</f>
        <v>5</v>
      </c>
      <c r="F37" s="384" t="n">
        <f aca="false">SUMPRODUCT((Projects!$G$2:$G$45="Yes")*(2&gt;=Projects!$C$2:$C$45)*(2&lt;=Projects!$W$2:$W$45))</f>
        <v>5</v>
      </c>
      <c r="G37" s="384" t="n">
        <f aca="false">SUMPRODUCT((Projects!$G$2:$G$45="Yes")*(3&gt;=Projects!$C$2:$C$45)*(3&lt;=Projects!$W$2:$W$45))</f>
        <v>5</v>
      </c>
      <c r="H37" s="384" t="n">
        <f aca="false">SUMPRODUCT((Projects!$G$2:$G$45="Yes")*(4&gt;=Projects!$C$2:$C$45)*(4&lt;=Projects!$W$2:$W$45))</f>
        <v>5</v>
      </c>
      <c r="I37" s="384" t="n">
        <f aca="false">SUMPRODUCT((Projects!$G$2:$G$45="Yes")*(5&gt;=Projects!$C$2:$C$45)*(5&lt;=Projects!$W$2:$W$45))</f>
        <v>7</v>
      </c>
      <c r="J37" s="384" t="n">
        <f aca="false">SUMPRODUCT((Projects!$G$2:$G$45="Yes")*(6&gt;=Projects!$C$2:$C$45)*(6&lt;=Projects!$W$2:$W$45))</f>
        <v>8</v>
      </c>
      <c r="K37" s="384" t="n">
        <f aca="false">SUMPRODUCT((Projects!$G$2:$G$45="Yes")*(7&gt;=Projects!$C$2:$C$45)*(7&lt;=Projects!$W$2:$W$45))</f>
        <v>8</v>
      </c>
      <c r="L37" s="384" t="n">
        <f aca="false">SUMPRODUCT((Projects!$G$2:$G$45="Yes")*(8&gt;=Projects!$C$2:$C$45)*(8&lt;=Projects!$W$2:$W$45))</f>
        <v>8</v>
      </c>
      <c r="M37" s="384" t="n">
        <f aca="false">SUMPRODUCT((Projects!$G$2:$G$45="Yes")*(9&gt;=Projects!$C$2:$C$45)*(9&lt;=Projects!$W$2:$W$45))</f>
        <v>8</v>
      </c>
      <c r="N37" s="384" t="n">
        <f aca="false">SUMPRODUCT((Projects!$G$2:$G$45="Yes")*(10&gt;=Projects!$C$2:$C$45)*(10&lt;=Projects!$W$2:$W$45))</f>
        <v>10</v>
      </c>
      <c r="O37" s="384" t="n">
        <f aca="false">SUMPRODUCT((Projects!$G$2:$G$45="Yes")*(11&gt;=Projects!$C$2:$C$45)*(11&lt;=Projects!$W$2:$W$45))</f>
        <v>11</v>
      </c>
      <c r="P37" s="384" t="n">
        <f aca="false">SUMPRODUCT((Projects!$G$2:$G$45="Yes")*(12&gt;=Projects!$C$2:$C$45)*(12&lt;=Projects!$W$2:$W$45))</f>
        <v>11</v>
      </c>
      <c r="Q37" s="384" t="n">
        <f aca="false">SUMPRODUCT((Projects!$G$2:$G$45="Yes")*(13&gt;=Projects!$C$2:$C$45)*(13&lt;=Projects!$W$2:$W$45))</f>
        <v>12</v>
      </c>
      <c r="R37" s="384" t="n">
        <f aca="false">SUMPRODUCT((Projects!$G$2:$G$45="Yes")*(14&gt;=Projects!$C$2:$C$45)*(14&lt;=Projects!$W$2:$W$45))</f>
        <v>13</v>
      </c>
      <c r="S37" s="384" t="n">
        <f aca="false">SUMPRODUCT((Projects!$G$2:$G$45="Yes")*(15&gt;=Projects!$C$2:$C$45)*(15&lt;=Projects!$W$2:$W$45))</f>
        <v>14</v>
      </c>
      <c r="T37" s="384" t="n">
        <f aca="false">SUMPRODUCT((Projects!$G$2:$G$45="Yes")*(16&gt;=Projects!$C$2:$C$45)*(16&lt;=Projects!$W$2:$W$45))</f>
        <v>14</v>
      </c>
      <c r="U37" s="384" t="n">
        <f aca="false">SUMPRODUCT((Projects!$G$2:$G$45="Yes")*(17&gt;=Projects!$C$2:$C$45)*(17&lt;=Projects!$W$2:$W$45))</f>
        <v>14</v>
      </c>
      <c r="V37" s="384" t="n">
        <f aca="false">SUMPRODUCT((Projects!$G$2:$G$45="Yes")*(18&gt;=Projects!$C$2:$C$45)*(18&lt;=Projects!$W$2:$W$45))</f>
        <v>13</v>
      </c>
      <c r="W37" s="384" t="n">
        <f aca="false">SUMPRODUCT((Projects!$G$2:$G$45="Yes")*(19&gt;=Projects!$C$2:$C$45)*(19&lt;=Projects!$W$2:$W$45))</f>
        <v>12</v>
      </c>
      <c r="X37" s="384" t="n">
        <f aca="false">SUMPRODUCT((Projects!$G$2:$G$45="Yes")*(20&gt;=Projects!$C$2:$C$45)*(20&lt;=Projects!$W$2:$W$45))</f>
        <v>12</v>
      </c>
      <c r="Y37" s="384" t="n">
        <f aca="false">SUMPRODUCT((Projects!$G$2:$G$45="Yes")*(21&gt;=Projects!$C$2:$C$45)*(21&lt;=Projects!$W$2:$W$45))</f>
        <v>12</v>
      </c>
      <c r="Z37" s="384" t="n">
        <f aca="false">SUMPRODUCT((Projects!$G$2:$G$45="Yes")*(22&gt;=Projects!$C$2:$C$45)*(22&lt;=Projects!$W$2:$W$45))</f>
        <v>12</v>
      </c>
      <c r="AA37" s="384" t="n">
        <f aca="false">SUMPRODUCT((Projects!$G$2:$G$45="Yes")*(23&gt;=Projects!$C$2:$C$45)*(23&lt;=Projects!$W$2:$W$45))</f>
        <v>12</v>
      </c>
      <c r="AB37" s="384" t="n">
        <f aca="false">SUMPRODUCT((Projects!$G$2:$G$45="Yes")*(24&gt;=Projects!$C$2:$C$45)*(24&lt;=Projects!$W$2:$W$45))</f>
        <v>12</v>
      </c>
      <c r="AC37" s="384" t="n">
        <f aca="false">SUMPRODUCT((Projects!$G$2:$G$45="Yes")*(25&gt;=Projects!$C$2:$C$45)*(25&lt;=Projects!$W$2:$W$45))</f>
        <v>11</v>
      </c>
      <c r="AD37" s="384" t="n">
        <f aca="false">SUMPRODUCT((Projects!$G$2:$G$45="Yes")*(26&gt;=Projects!$C$2:$C$45)*(26&lt;=Projects!$W$2:$W$45))</f>
        <v>11</v>
      </c>
      <c r="AE37" s="384" t="n">
        <f aca="false">SUMPRODUCT((Projects!$G$2:$G$45="Yes")*(27&gt;=Projects!$C$2:$C$45)*(27&lt;=Projects!$W$2:$W$45))</f>
        <v>12</v>
      </c>
      <c r="AF37" s="384" t="n">
        <f aca="false">SUMPRODUCT((Projects!$G$2:$G$45="Yes")*(28&gt;=Projects!$C$2:$C$45)*(28&lt;=Projects!$W$2:$W$45))</f>
        <v>12</v>
      </c>
      <c r="AG37" s="384" t="n">
        <f aca="false">SUMPRODUCT((Projects!$G$2:$G$45="Yes")*(29&gt;=Projects!$C$2:$C$45)*(29&lt;=Projects!$W$2:$W$45))</f>
        <v>11</v>
      </c>
      <c r="AH37" s="384" t="n">
        <f aca="false">SUMPRODUCT((Projects!$G$2:$G$45="Yes")*(30&gt;=Projects!$C$2:$C$45)*(30&lt;=Projects!$W$2:$W$45))</f>
        <v>11</v>
      </c>
      <c r="AI37" s="384" t="n">
        <f aca="false">SUMPRODUCT((Projects!$G$2:$G$45="Yes")*(31&gt;=Projects!$C$2:$C$45)*(31&lt;=Projects!$W$2:$W$45))</f>
        <v>12</v>
      </c>
      <c r="AJ37" s="384" t="n">
        <f aca="false">SUMPRODUCT((Projects!$G$2:$G$45="Yes")*(32&gt;=Projects!$C$2:$C$45)*(32&lt;=Projects!$W$2:$W$45))</f>
        <v>13</v>
      </c>
      <c r="AK37" s="384" t="n">
        <f aca="false">SUMPRODUCT((Projects!$G$2:$G$45="Yes")*(33&gt;=Projects!$C$2:$C$45)*(33&lt;=Projects!$W$2:$W$45))</f>
        <v>12</v>
      </c>
      <c r="AL37" s="384" t="n">
        <f aca="false">SUMPRODUCT((Projects!$G$2:$G$45="Yes")*(34&gt;=Projects!$C$2:$C$45)*(34&lt;=Projects!$W$2:$W$45))</f>
        <v>12</v>
      </c>
      <c r="AM37" s="384" t="n">
        <f aca="false">SUMPRODUCT((Projects!$G$2:$G$45="Yes")*(35&gt;=Projects!$C$2:$C$45)*(35&lt;=Projects!$W$2:$W$45))</f>
        <v>12</v>
      </c>
      <c r="AN37" s="384" t="n">
        <f aca="false">SUMPRODUCT((Projects!$G$2:$G$45="Yes")*(36&gt;=Projects!$C$2:$C$45)*(36&lt;=Projects!$W$2:$W$45))</f>
        <v>13</v>
      </c>
      <c r="AO37" s="384" t="n">
        <f aca="false">SUMPRODUCT((Projects!$G$2:$G$45="Yes")*(37&gt;=Projects!$C$2:$C$45)*(37&lt;=Projects!$W$2:$W$45))</f>
        <v>13</v>
      </c>
      <c r="AP37" s="384" t="n">
        <f aca="false">SUMPRODUCT((Projects!$G$2:$G$45="Yes")*(38&gt;=Projects!$C$2:$C$45)*(38&lt;=Projects!$W$2:$W$45))</f>
        <v>14</v>
      </c>
      <c r="AQ37" s="384" t="n">
        <f aca="false">SUMPRODUCT((Projects!$G$2:$G$45="Yes")*(39&gt;=Projects!$C$2:$C$45)*(39&lt;=Projects!$W$2:$W$45))</f>
        <v>15</v>
      </c>
      <c r="AR37" s="384" t="n">
        <f aca="false">SUMPRODUCT((Projects!$G$2:$G$45="Yes")*(40&gt;=Projects!$C$2:$C$45)*(40&lt;=Projects!$W$2:$W$45))</f>
        <v>15</v>
      </c>
      <c r="AS37" s="384" t="n">
        <f aca="false">SUMPRODUCT((Projects!$G$2:$G$45="Yes")*(41&gt;=Projects!$C$2:$C$45)*(41&lt;=Projects!$W$2:$W$45))</f>
        <v>15</v>
      </c>
      <c r="AT37" s="384" t="n">
        <f aca="false">SUMPRODUCT((Projects!$G$2:$G$45="Yes")*(42&gt;=Projects!$C$2:$C$45)*(42&lt;=Projects!$W$2:$W$45))</f>
        <v>15</v>
      </c>
      <c r="AU37" s="384" t="n">
        <f aca="false">SUMPRODUCT((Projects!$G$2:$G$45="Yes")*(43&gt;=Projects!$C$2:$C$45)*(43&lt;=Projects!$W$2:$W$45))</f>
        <v>14</v>
      </c>
      <c r="AV37" s="384" t="n">
        <f aca="false">SUMPRODUCT((Projects!$G$2:$G$45="Yes")*(44&gt;=Projects!$C$2:$C$45)*(44&lt;=Projects!$W$2:$W$45))</f>
        <v>14</v>
      </c>
      <c r="AW37" s="384" t="n">
        <f aca="false">SUMPRODUCT((Projects!$G$2:$G$45="Yes")*(45&gt;=Projects!$C$2:$C$45)*(45&lt;=Projects!$W$2:$W$45))</f>
        <v>14</v>
      </c>
      <c r="AX37" s="384" t="n">
        <f aca="false">SUMPRODUCT((Projects!$G$2:$G$45="Yes")*(46&gt;=Projects!$C$2:$C$45)*(46&lt;=Projects!$W$2:$W$45))</f>
        <v>14</v>
      </c>
      <c r="AY37" s="384" t="n">
        <f aca="false">SUMPRODUCT((Projects!$G$2:$G$45="Yes")*(47&gt;=Projects!$C$2:$C$45)*(47&lt;=Projects!$W$2:$W$45))</f>
        <v>14</v>
      </c>
      <c r="AZ37" s="384" t="n">
        <f aca="false">SUMPRODUCT((Projects!$G$2:$G$45="Yes")*(48&gt;=Projects!$C$2:$C$45)*(48&lt;=Projects!$W$2:$W$45))</f>
        <v>14</v>
      </c>
      <c r="BA37" s="384" t="n">
        <f aca="false">SUMPRODUCT((Projects!$G$2:$G$45="Yes")*(49&gt;=Projects!$C$2:$C$45)*(49&lt;=Projects!$W$2:$W$45))</f>
        <v>14</v>
      </c>
      <c r="BB37" s="384" t="n">
        <f aca="false">SUMPRODUCT((Projects!$G$2:$G$45="Yes")*(50&gt;=Projects!$C$2:$C$45)*(50&lt;=Projects!$W$2:$W$45))</f>
        <v>14</v>
      </c>
      <c r="BC37" s="384" t="n">
        <f aca="false">SUMPRODUCT((Projects!$G$2:$G$45="Yes")*(51&gt;=Projects!$C$2:$C$45)*(51&lt;=Projects!$W$2:$W$45))</f>
        <v>14</v>
      </c>
      <c r="BD37" s="384" t="n">
        <f aca="false">SUMPRODUCT((Projects!$G$2:$G$45="Yes")*(52&gt;=Projects!$C$2:$C$45)*(52&lt;=Projects!$W$2:$W$45))</f>
        <v>14</v>
      </c>
      <c r="BE37" s="384" t="n">
        <f aca="false">SUMPRODUCT((Projects!$G$2:$G$45="Yes")*(53&gt;=Projects!$C$2:$C$45)*(53&lt;=Projects!$W$2:$W$45))</f>
        <v>14</v>
      </c>
      <c r="BF37" s="384" t="n">
        <f aca="false">SUMPRODUCT((Projects!$G$2:$G$45="Yes")*(54&gt;=Projects!$C$2:$C$45)*(54&lt;=Projects!$W$2:$W$45))</f>
        <v>14</v>
      </c>
      <c r="BG37" s="384" t="n">
        <f aca="false">SUMPRODUCT((Projects!$G$2:$G$45="Yes")*(55&gt;=Projects!$C$2:$C$45)*(55&lt;=Projects!$W$2:$W$45))</f>
        <v>14</v>
      </c>
      <c r="BH37" s="384" t="n">
        <f aca="false">SUMPRODUCT((Projects!$G$2:$G$45="Yes")*(56&gt;=Projects!$C$2:$C$45)*(56&lt;=Projects!$W$2:$W$45))</f>
        <v>13</v>
      </c>
      <c r="BI37" s="384" t="n">
        <f aca="false">SUMPRODUCT((Projects!$G$2:$G$45="Yes")*(57&gt;=Projects!$C$2:$C$45)*(57&lt;=Projects!$W$2:$W$45))</f>
        <v>11</v>
      </c>
      <c r="BJ37" s="384" t="n">
        <f aca="false">SUMPRODUCT((Projects!$G$2:$G$45="Yes")*(58&gt;=Projects!$C$2:$C$45)*(58&lt;=Projects!$W$2:$W$45))</f>
        <v>10</v>
      </c>
      <c r="BK37" s="384" t="n">
        <f aca="false">SUMPRODUCT((Projects!$G$2:$G$45="Yes")*(59&gt;=Projects!$C$2:$C$45)*(59&lt;=Projects!$W$2:$W$45))</f>
        <v>10</v>
      </c>
      <c r="BL37" s="384" t="n">
        <f aca="false">SUMPRODUCT((Projects!$G$2:$G$45="Yes")*(60&gt;=Projects!$C$2:$C$45)*(60&lt;=Projects!$W$2:$W$45))</f>
        <v>10</v>
      </c>
      <c r="BM37" s="384" t="n">
        <f aca="false">SUMPRODUCT((Projects!$G$2:$G$45="Yes")*(61&gt;=Projects!$C$2:$C$45)*(61&lt;=Projects!$W$2:$W$45))</f>
        <v>10</v>
      </c>
      <c r="BN37" s="384" t="n">
        <f aca="false">SUMPRODUCT((Projects!$G$2:$G$45="Yes")*(62&gt;=Projects!$C$2:$C$45)*(62&lt;=Projects!$W$2:$W$45))</f>
        <v>9</v>
      </c>
      <c r="BO37" s="384" t="n">
        <f aca="false">SUMPRODUCT((Projects!$G$2:$G$45="Yes")*(63&gt;=Projects!$C$2:$C$45)*(63&lt;=Projects!$W$2:$W$45))</f>
        <v>8</v>
      </c>
      <c r="BP37" s="384" t="n">
        <f aca="false">SUMPRODUCT((Projects!$G$2:$G$45="Yes")*(64&gt;=Projects!$C$2:$C$45)*(64&lt;=Projects!$W$2:$W$45))</f>
        <v>8</v>
      </c>
      <c r="BQ37" s="384" t="n">
        <f aca="false">SUMPRODUCT((Projects!$G$2:$G$45="Yes")*(65&gt;=Projects!$C$2:$C$45)*(65&lt;=Projects!$W$2:$W$45))</f>
        <v>8</v>
      </c>
      <c r="BR37" s="384" t="n">
        <f aca="false">SUMPRODUCT((Projects!$G$2:$G$45="Yes")*(66&gt;=Projects!$C$2:$C$45)*(66&lt;=Projects!$W$2:$W$45))</f>
        <v>8</v>
      </c>
      <c r="BS37" s="384" t="n">
        <f aca="false">SUMPRODUCT((Projects!$G$2:$G$45="Yes")*(67&gt;=Projects!$C$2:$C$45)*(67&lt;=Projects!$W$2:$W$45))</f>
        <v>7</v>
      </c>
      <c r="BT37" s="384" t="n">
        <f aca="false">SUMPRODUCT((Projects!$G$2:$G$45="Yes")*(68&gt;=Projects!$C$2:$C$45)*(68&lt;=Projects!$W$2:$W$45))</f>
        <v>6</v>
      </c>
      <c r="BU37" s="384" t="n">
        <f aca="false">SUMPRODUCT((Projects!$G$2:$G$45="Yes")*(69&gt;=Projects!$C$2:$C$45)*(69&lt;=Projects!$W$2:$W$45))</f>
        <v>5</v>
      </c>
      <c r="BV37" s="384" t="n">
        <f aca="false">SUMPRODUCT((Projects!$G$2:$G$45="Yes")*(70&gt;=Projects!$C$2:$C$45)*(70&lt;=Projects!$W$2:$W$45))</f>
        <v>4</v>
      </c>
      <c r="BW37" s="384" t="n">
        <f aca="false">SUMPRODUCT((Projects!$G$2:$G$45="Yes")*(71&gt;=Projects!$C$2:$C$45)*(71&lt;=Projects!$W$2:$W$45))</f>
        <v>3</v>
      </c>
      <c r="BX37" s="384" t="n">
        <f aca="false">SUMPRODUCT((Projects!$G$2:$G$45="Yes")*(72&gt;=Projects!$C$2:$C$45)*(72&lt;=Projects!$W$2:$W$45))</f>
        <v>2</v>
      </c>
      <c r="BY37" s="384" t="n">
        <f aca="false">SUMPRODUCT((Projects!$G$2:$G$45="Yes")*(73&gt;=Projects!$C$2:$C$45)*(73&lt;=Projects!$W$2:$W$45))</f>
        <v>1</v>
      </c>
      <c r="BZ37" s="384" t="n">
        <f aca="false">SUMPRODUCT((Projects!$G$2:$G$45="Yes")*(74&gt;=Projects!$C$2:$C$45)*(74&lt;=Projects!$W$2:$W$45))</f>
        <v>0</v>
      </c>
      <c r="CA37" s="384" t="n">
        <f aca="false">SUMPRODUCT((Projects!$G$2:$G$45="Yes")*(75&gt;=Projects!$C$2:$C$45)*(75&lt;=Projects!$W$2:$W$45))</f>
        <v>0</v>
      </c>
      <c r="CB37" s="384" t="n">
        <f aca="false">SUMPRODUCT((Projects!$G$2:$G$45="Yes")*(76&gt;=Projects!$C$2:$C$45)*(76&lt;=Projects!$W$2:$W$45))</f>
        <v>0</v>
      </c>
      <c r="CC37" s="384" t="n">
        <f aca="false">SUMPRODUCT((Projects!$G$2:$G$45="Yes")*(77&gt;=Projects!$C$2:$C$45)*(77&lt;=Projects!$W$2:$W$45))</f>
        <v>0</v>
      </c>
      <c r="CD37" s="384" t="n">
        <f aca="false">SUMPRODUCT((Projects!$G$2:$G$45="Yes")*(78&gt;=Projects!$C$2:$C$45)*(78&lt;=Projects!$W$2:$W$45))</f>
        <v>0</v>
      </c>
      <c r="CE37" s="384" t="n">
        <f aca="false">SUMPRODUCT((Projects!$G$2:$G$45="Yes")*(79&gt;=Projects!$C$2:$C$45)*(79&lt;=Projects!$W$2:$W$45))</f>
        <v>0</v>
      </c>
      <c r="CF37" s="384" t="n">
        <f aca="false">SUMPRODUCT((Projects!$G$2:$G$45="Yes")*(80&gt;=Projects!$C$2:$C$45)*(80&lt;=Projects!$W$2:$W$45))</f>
        <v>0</v>
      </c>
      <c r="CG37" s="384" t="n">
        <f aca="false">SUMPRODUCT((Projects!$G$2:$G$45="Yes")*(81&gt;=Projects!$C$2:$C$45)*(81&lt;=Projects!$W$2:$W$45))</f>
        <v>0</v>
      </c>
      <c r="CH37" s="384" t="n">
        <f aca="false">SUMPRODUCT((Projects!$G$2:$G$45="Yes")*(82&gt;=Projects!$C$2:$C$45)*(82&lt;=Projects!$W$2:$W$45))</f>
        <v>0</v>
      </c>
      <c r="CI37" s="384" t="n">
        <f aca="false">SUMPRODUCT((Projects!$G$2:$G$45="Yes")*(83&gt;=Projects!$C$2:$C$45)*(83&lt;=Projects!$W$2:$W$45))</f>
        <v>0</v>
      </c>
      <c r="CJ37" s="384" t="n">
        <f aca="false">SUMPRODUCT((Projects!$G$2:$G$45="Yes")*(84&gt;=Projects!$C$2:$C$45)*(84&lt;=Projects!$W$2:$W$45))</f>
        <v>0</v>
      </c>
      <c r="CK37" s="384" t="n">
        <f aca="false">SUMPRODUCT((Projects!$G$2:$G$45="Yes")*(85&gt;=Projects!$C$2:$C$45)*(85&lt;=Projects!$W$2:$W$45))</f>
        <v>0</v>
      </c>
      <c r="CL37" s="384" t="n">
        <f aca="false">SUMPRODUCT((Projects!$G$2:$G$45="Yes")*(86&gt;=Projects!$C$2:$C$45)*(86&lt;=Projects!$W$2:$W$45))</f>
        <v>0</v>
      </c>
      <c r="CM37" s="384" t="n">
        <f aca="false">SUMPRODUCT((Projects!$G$2:$G$45="Yes")*(87&gt;=Projects!$C$2:$C$45)*(87&lt;=Projects!$W$2:$W$45))</f>
        <v>0</v>
      </c>
      <c r="CN37" s="384" t="n">
        <f aca="false">SUMPRODUCT((Projects!$G$2:$G$45="Yes")*(88&gt;=Projects!$C$2:$C$45)*(88&lt;=Projects!$W$2:$W$45))</f>
        <v>0</v>
      </c>
      <c r="CO37" s="384" t="n">
        <f aca="false">SUMPRODUCT((Projects!$G$2:$G$45="Yes")*(89&gt;=Projects!$C$2:$C$45)*(89&lt;=Projects!$W$2:$W$45))</f>
        <v>0</v>
      </c>
      <c r="CP37" s="384" t="n">
        <f aca="false">SUMPRODUCT((Projects!$G$2:$G$45="Yes")*(90&gt;=Projects!$C$2:$C$45)*(90&lt;=Projects!$W$2:$W$45))</f>
        <v>0</v>
      </c>
      <c r="CQ37" s="384" t="n">
        <f aca="false">SUMPRODUCT((Projects!$G$2:$G$45="Yes")*(91&gt;=Projects!$C$2:$C$45)*(91&lt;=Projects!$W$2:$W$45))</f>
        <v>0</v>
      </c>
      <c r="CR37" s="384" t="n">
        <f aca="false">SUMPRODUCT((Projects!$G$2:$G$45="Yes")*(92&gt;=Projects!$C$2:$C$45)*(92&lt;=Projects!$W$2:$W$45))</f>
        <v>0</v>
      </c>
      <c r="CS37" s="384" t="n">
        <f aca="false">SUMPRODUCT((Projects!$G$2:$G$45="Yes")*(93&gt;=Projects!$C$2:$C$45)*(93&lt;=Projects!$W$2:$W$45))</f>
        <v>0</v>
      </c>
      <c r="CT37" s="384" t="n">
        <f aca="false">SUMPRODUCT((Projects!$G$2:$G$45="Yes")*(94&gt;=Projects!$C$2:$C$45)*(94&lt;=Projects!$W$2:$W$45))</f>
        <v>0</v>
      </c>
      <c r="CU37" s="384" t="n">
        <f aca="false">SUMPRODUCT((Projects!$G$2:$G$45="Yes")*(95&gt;=Projects!$C$2:$C$45)*(95&lt;=Projects!$W$2:$W$45))</f>
        <v>0</v>
      </c>
      <c r="CV37" s="384" t="n">
        <f aca="false">SUMPRODUCT((Projects!$G$2:$G$45="Yes")*(96&gt;=Projects!$C$2:$C$45)*(96&lt;=Projects!$W$2:$W$45))</f>
        <v>0</v>
      </c>
      <c r="CW37" s="384" t="n">
        <f aca="false">SUMPRODUCT((Projects!$G$2:$G$45="Yes")*(97&gt;=Projects!$C$2:$C$45)*(97&lt;=Projects!$W$2:$W$45))</f>
        <v>0</v>
      </c>
      <c r="CX37" s="384" t="n">
        <f aca="false">SUMPRODUCT((Projects!$G$2:$G$45="Yes")*(98&gt;=Projects!$C$2:$C$45)*(98&lt;=Projects!$W$2:$W$45))</f>
        <v>0</v>
      </c>
      <c r="CY37" s="384" t="n">
        <f aca="false">SUMPRODUCT((Projects!$G$2:$G$45="Yes")*(99&gt;=Projects!$C$2:$C$45)*(99&lt;=Projects!$W$2:$W$45))</f>
        <v>0</v>
      </c>
      <c r="CZ37" s="384" t="n">
        <f aca="false">SUMPRODUCT((Projects!$G$2:$G$45="Yes")*(100&gt;=Projects!$C$2:$C$45)*(100&lt;=Projects!$W$2:$W$45))</f>
        <v>0</v>
      </c>
      <c r="DA37" s="384" t="n">
        <f aca="false">SUMPRODUCT((Projects!$G$2:$G$45="Yes")*(101&gt;=Projects!$C$2:$C$45)*(101&lt;=Projects!$W$2:$W$45))</f>
        <v>0</v>
      </c>
      <c r="DB37" s="384" t="n">
        <f aca="false">SUMPRODUCT((Projects!$G$2:$G$45="Yes")*(102&gt;=Projects!$C$2:$C$45)*(102&lt;=Projects!$W$2:$W$45))</f>
        <v>0</v>
      </c>
      <c r="DC37" s="384" t="n">
        <f aca="false">SUMPRODUCT((Projects!$G$2:$G$45="Yes")*(103&gt;=Projects!$C$2:$C$45)*(103&lt;=Projects!$W$2:$W$45))</f>
        <v>0</v>
      </c>
      <c r="DD37" s="384" t="n">
        <f aca="false">SUMPRODUCT((Projects!$G$2:$G$45="Yes")*(104&gt;=Projects!$C$2:$C$45)*(104&lt;=Projects!$W$2:$W$45))</f>
        <v>0</v>
      </c>
      <c r="DE37" s="384" t="n">
        <f aca="false">SUMPRODUCT((Projects!$G$2:$G$45="Yes")*(105&gt;=Projects!$C$2:$C$45)*(105&lt;=Projects!$W$2:$W$45))</f>
        <v>0</v>
      </c>
    </row>
    <row r="38" customFormat="false" ht="13.5" hidden="false" customHeight="true" outlineLevel="0" collapsed="false">
      <c r="A38" s="110" t="s">
        <v>1373</v>
      </c>
      <c r="E38" s="384" t="n">
        <f aca="false">SUMPRODUCT((Projects!$G$2:$G$45="Yes")*(1&gt;=Projects!$C$2:$C$45-$B$14)*(1&lt;=Projects!$W$2:$W$45+$B$17))*$B$5</f>
        <v>4.375</v>
      </c>
      <c r="F38" s="384" t="n">
        <f aca="false">SUMPRODUCT((Projects!$G$2:$G$45="Yes")*(2&gt;=Projects!$C$2:$C$45-$B$14)*(2&lt;=Projects!$W$2:$W$45+$B$17))*$B$5</f>
        <v>4.375</v>
      </c>
      <c r="G38" s="384" t="n">
        <f aca="false">SUMPRODUCT((Projects!$G$2:$G$45="Yes")*(3&gt;=Projects!$C$2:$C$45-$B$14)*(3&lt;=Projects!$W$2:$W$45+$B$17))*$B$5</f>
        <v>4.375</v>
      </c>
      <c r="H38" s="384" t="n">
        <f aca="false">SUMPRODUCT((Projects!$G$2:$G$45="Yes")*(4&gt;=Projects!$C$2:$C$45-$B$14)*(4&lt;=Projects!$W$2:$W$45+$B$17))*$B$5</f>
        <v>4.375</v>
      </c>
      <c r="I38" s="384" t="n">
        <f aca="false">SUMPRODUCT((Projects!$G$2:$G$45="Yes")*(5&gt;=Projects!$C$2:$C$45-$B$14)*(5&lt;=Projects!$W$2:$W$45+$B$17))*$B$5</f>
        <v>6.125</v>
      </c>
      <c r="J38" s="384" t="n">
        <f aca="false">SUMPRODUCT((Projects!$G$2:$G$45="Yes")*(6&gt;=Projects!$C$2:$C$45-$B$14)*(6&lt;=Projects!$W$2:$W$45+$B$17))*$B$5</f>
        <v>7</v>
      </c>
      <c r="K38" s="384" t="n">
        <f aca="false">SUMPRODUCT((Projects!$G$2:$G$45="Yes")*(7&gt;=Projects!$C$2:$C$45-$B$14)*(7&lt;=Projects!$W$2:$W$45+$B$17))*$B$5</f>
        <v>7</v>
      </c>
      <c r="L38" s="384" t="n">
        <f aca="false">SUMPRODUCT((Projects!$G$2:$G$45="Yes")*(8&gt;=Projects!$C$2:$C$45-$B$14)*(8&lt;=Projects!$W$2:$W$45+$B$17))*$B$5</f>
        <v>7</v>
      </c>
      <c r="M38" s="384" t="n">
        <f aca="false">SUMPRODUCT((Projects!$G$2:$G$45="Yes")*(9&gt;=Projects!$C$2:$C$45-$B$14)*(9&lt;=Projects!$W$2:$W$45+$B$17))*$B$5</f>
        <v>7.875</v>
      </c>
      <c r="N38" s="384" t="n">
        <f aca="false">SUMPRODUCT((Projects!$G$2:$G$45="Yes")*(10&gt;=Projects!$C$2:$C$45-$B$14)*(10&lt;=Projects!$W$2:$W$45+$B$17))*$B$5</f>
        <v>8.75</v>
      </c>
      <c r="O38" s="384" t="n">
        <f aca="false">SUMPRODUCT((Projects!$G$2:$G$45="Yes")*(11&gt;=Projects!$C$2:$C$45-$B$14)*(11&lt;=Projects!$W$2:$W$45+$B$17))*$B$5</f>
        <v>9.625</v>
      </c>
      <c r="P38" s="384" t="n">
        <f aca="false">SUMPRODUCT((Projects!$G$2:$G$45="Yes")*(12&gt;=Projects!$C$2:$C$45-$B$14)*(12&lt;=Projects!$W$2:$W$45+$B$17))*$B$5</f>
        <v>9.625</v>
      </c>
      <c r="Q38" s="384" t="n">
        <f aca="false">SUMPRODUCT((Projects!$G$2:$G$45="Yes")*(13&gt;=Projects!$C$2:$C$45-$B$14)*(13&lt;=Projects!$W$2:$W$45+$B$17))*$B$5</f>
        <v>10.5</v>
      </c>
      <c r="R38" s="384" t="n">
        <f aca="false">SUMPRODUCT((Projects!$G$2:$G$45="Yes")*(14&gt;=Projects!$C$2:$C$45-$B$14)*(14&lt;=Projects!$W$2:$W$45+$B$17))*$B$5</f>
        <v>11.375</v>
      </c>
      <c r="S38" s="384" t="n">
        <f aca="false">SUMPRODUCT((Projects!$G$2:$G$45="Yes")*(15&gt;=Projects!$C$2:$C$45-$B$14)*(15&lt;=Projects!$W$2:$W$45+$B$17))*$B$5</f>
        <v>12.25</v>
      </c>
      <c r="T38" s="384" t="n">
        <f aca="false">SUMPRODUCT((Projects!$G$2:$G$45="Yes")*(16&gt;=Projects!$C$2:$C$45-$B$14)*(16&lt;=Projects!$W$2:$W$45+$B$17))*$B$5</f>
        <v>13.125</v>
      </c>
      <c r="U38" s="384" t="n">
        <f aca="false">SUMPRODUCT((Projects!$G$2:$G$45="Yes")*(17&gt;=Projects!$C$2:$C$45-$B$14)*(17&lt;=Projects!$W$2:$W$45+$B$17))*$B$5</f>
        <v>12.25</v>
      </c>
      <c r="V38" s="384" t="n">
        <f aca="false">SUMPRODUCT((Projects!$G$2:$G$45="Yes")*(18&gt;=Projects!$C$2:$C$45-$B$14)*(18&lt;=Projects!$W$2:$W$45+$B$17))*$B$5</f>
        <v>12.25</v>
      </c>
      <c r="W38" s="384" t="n">
        <f aca="false">SUMPRODUCT((Projects!$G$2:$G$45="Yes")*(19&gt;=Projects!$C$2:$C$45-$B$14)*(19&lt;=Projects!$W$2:$W$45+$B$17))*$B$5</f>
        <v>11.375</v>
      </c>
      <c r="X38" s="384" t="n">
        <f aca="false">SUMPRODUCT((Projects!$G$2:$G$45="Yes")*(20&gt;=Projects!$C$2:$C$45-$B$14)*(20&lt;=Projects!$W$2:$W$45+$B$17))*$B$5</f>
        <v>11.375</v>
      </c>
      <c r="Y38" s="384" t="n">
        <f aca="false">SUMPRODUCT((Projects!$G$2:$G$45="Yes")*(21&gt;=Projects!$C$2:$C$45-$B$14)*(21&lt;=Projects!$W$2:$W$45+$B$17))*$B$5</f>
        <v>10.5</v>
      </c>
      <c r="Z38" s="384" t="n">
        <f aca="false">SUMPRODUCT((Projects!$G$2:$G$45="Yes")*(22&gt;=Projects!$C$2:$C$45-$B$14)*(22&lt;=Projects!$W$2:$W$45+$B$17))*$B$5</f>
        <v>10.5</v>
      </c>
      <c r="AA38" s="384" t="n">
        <f aca="false">SUMPRODUCT((Projects!$G$2:$G$45="Yes")*(23&gt;=Projects!$C$2:$C$45-$B$14)*(23&lt;=Projects!$W$2:$W$45+$B$17))*$B$5</f>
        <v>10.5</v>
      </c>
      <c r="AB38" s="384" t="n">
        <f aca="false">SUMPRODUCT((Projects!$G$2:$G$45="Yes")*(24&gt;=Projects!$C$2:$C$45-$B$14)*(24&lt;=Projects!$W$2:$W$45+$B$17))*$B$5</f>
        <v>11.375</v>
      </c>
      <c r="AC38" s="384" t="n">
        <f aca="false">SUMPRODUCT((Projects!$G$2:$G$45="Yes")*(25&gt;=Projects!$C$2:$C$45-$B$14)*(25&lt;=Projects!$W$2:$W$45+$B$17))*$B$5</f>
        <v>10.5</v>
      </c>
      <c r="AD38" s="384" t="n">
        <f aca="false">SUMPRODUCT((Projects!$G$2:$G$45="Yes")*(26&gt;=Projects!$C$2:$C$45-$B$14)*(26&lt;=Projects!$W$2:$W$45+$B$17))*$B$5</f>
        <v>9.625</v>
      </c>
      <c r="AE38" s="384" t="n">
        <f aca="false">SUMPRODUCT((Projects!$G$2:$G$45="Yes")*(27&gt;=Projects!$C$2:$C$45-$B$14)*(27&lt;=Projects!$W$2:$W$45+$B$17))*$B$5</f>
        <v>10.5</v>
      </c>
      <c r="AF38" s="384" t="n">
        <f aca="false">SUMPRODUCT((Projects!$G$2:$G$45="Yes")*(28&gt;=Projects!$C$2:$C$45-$B$14)*(28&lt;=Projects!$W$2:$W$45+$B$17))*$B$5</f>
        <v>10.5</v>
      </c>
      <c r="AG38" s="384" t="n">
        <f aca="false">SUMPRODUCT((Projects!$G$2:$G$45="Yes")*(29&gt;=Projects!$C$2:$C$45-$B$14)*(29&lt;=Projects!$W$2:$W$45+$B$17))*$B$5</f>
        <v>11.375</v>
      </c>
      <c r="AH38" s="384" t="n">
        <f aca="false">SUMPRODUCT((Projects!$G$2:$G$45="Yes")*(30&gt;=Projects!$C$2:$C$45-$B$14)*(30&lt;=Projects!$W$2:$W$45+$B$17))*$B$5</f>
        <v>10.5</v>
      </c>
      <c r="AI38" s="384" t="n">
        <f aca="false">SUMPRODUCT((Projects!$G$2:$G$45="Yes")*(31&gt;=Projects!$C$2:$C$45-$B$14)*(31&lt;=Projects!$W$2:$W$45+$B$17))*$B$5</f>
        <v>10.5</v>
      </c>
      <c r="AJ38" s="384" t="n">
        <f aca="false">SUMPRODUCT((Projects!$G$2:$G$45="Yes")*(32&gt;=Projects!$C$2:$C$45-$B$14)*(32&lt;=Projects!$W$2:$W$45+$B$17))*$B$5</f>
        <v>11.375</v>
      </c>
      <c r="AK38" s="384" t="n">
        <f aca="false">SUMPRODUCT((Projects!$G$2:$G$45="Yes")*(33&gt;=Projects!$C$2:$C$45-$B$14)*(33&lt;=Projects!$W$2:$W$45+$B$17))*$B$5</f>
        <v>12.25</v>
      </c>
      <c r="AL38" s="384" t="n">
        <f aca="false">SUMPRODUCT((Projects!$G$2:$G$45="Yes")*(34&gt;=Projects!$C$2:$C$45-$B$14)*(34&lt;=Projects!$W$2:$W$45+$B$17))*$B$5</f>
        <v>11.375</v>
      </c>
      <c r="AM38" s="384" t="n">
        <f aca="false">SUMPRODUCT((Projects!$G$2:$G$45="Yes")*(35&gt;=Projects!$C$2:$C$45-$B$14)*(35&lt;=Projects!$W$2:$W$45+$B$17))*$B$5</f>
        <v>11.375</v>
      </c>
      <c r="AN38" s="384" t="n">
        <f aca="false">SUMPRODUCT((Projects!$G$2:$G$45="Yes")*(36&gt;=Projects!$C$2:$C$45-$B$14)*(36&lt;=Projects!$W$2:$W$45+$B$17))*$B$5</f>
        <v>11.375</v>
      </c>
      <c r="AO38" s="384" t="n">
        <f aca="false">SUMPRODUCT((Projects!$G$2:$G$45="Yes")*(37&gt;=Projects!$C$2:$C$45-$B$14)*(37&lt;=Projects!$W$2:$W$45+$B$17))*$B$5</f>
        <v>12.25</v>
      </c>
      <c r="AP38" s="384" t="n">
        <f aca="false">SUMPRODUCT((Projects!$G$2:$G$45="Yes")*(38&gt;=Projects!$C$2:$C$45-$B$14)*(38&lt;=Projects!$W$2:$W$45+$B$17))*$B$5</f>
        <v>12.25</v>
      </c>
      <c r="AQ38" s="384" t="n">
        <f aca="false">SUMPRODUCT((Projects!$G$2:$G$45="Yes")*(39&gt;=Projects!$C$2:$C$45-$B$14)*(39&lt;=Projects!$W$2:$W$45+$B$17))*$B$5</f>
        <v>13.125</v>
      </c>
      <c r="AR38" s="384" t="n">
        <f aca="false">SUMPRODUCT((Projects!$G$2:$G$45="Yes")*(40&gt;=Projects!$C$2:$C$45-$B$14)*(40&lt;=Projects!$W$2:$W$45+$B$17))*$B$5</f>
        <v>13.125</v>
      </c>
      <c r="AS38" s="384" t="n">
        <f aca="false">SUMPRODUCT((Projects!$G$2:$G$45="Yes")*(41&gt;=Projects!$C$2:$C$45-$B$14)*(41&lt;=Projects!$W$2:$W$45+$B$17))*$B$5</f>
        <v>13.125</v>
      </c>
      <c r="AT38" s="384" t="n">
        <f aca="false">SUMPRODUCT((Projects!$G$2:$G$45="Yes")*(42&gt;=Projects!$C$2:$C$45-$B$14)*(42&lt;=Projects!$W$2:$W$45+$B$17))*$B$5</f>
        <v>13.125</v>
      </c>
      <c r="AU38" s="384" t="n">
        <f aca="false">SUMPRODUCT((Projects!$G$2:$G$45="Yes")*(43&gt;=Projects!$C$2:$C$45-$B$14)*(43&lt;=Projects!$W$2:$W$45+$B$17))*$B$5</f>
        <v>14</v>
      </c>
      <c r="AV38" s="384" t="n">
        <f aca="false">SUMPRODUCT((Projects!$G$2:$G$45="Yes")*(44&gt;=Projects!$C$2:$C$45-$B$14)*(44&lt;=Projects!$W$2:$W$45+$B$17))*$B$5</f>
        <v>13.125</v>
      </c>
      <c r="AW38" s="384" t="n">
        <f aca="false">SUMPRODUCT((Projects!$G$2:$G$45="Yes")*(45&gt;=Projects!$C$2:$C$45-$B$14)*(45&lt;=Projects!$W$2:$W$45+$B$17))*$B$5</f>
        <v>12.25</v>
      </c>
      <c r="AX38" s="384" t="n">
        <f aca="false">SUMPRODUCT((Projects!$G$2:$G$45="Yes")*(46&gt;=Projects!$C$2:$C$45-$B$14)*(46&lt;=Projects!$W$2:$W$45+$B$17))*$B$5</f>
        <v>12.25</v>
      </c>
      <c r="AY38" s="384" t="n">
        <f aca="false">SUMPRODUCT((Projects!$G$2:$G$45="Yes")*(47&gt;=Projects!$C$2:$C$45-$B$14)*(47&lt;=Projects!$W$2:$W$45+$B$17))*$B$5</f>
        <v>12.25</v>
      </c>
      <c r="AZ38" s="384" t="n">
        <f aca="false">SUMPRODUCT((Projects!$G$2:$G$45="Yes")*(48&gt;=Projects!$C$2:$C$45-$B$14)*(48&lt;=Projects!$W$2:$W$45+$B$17))*$B$5</f>
        <v>13.125</v>
      </c>
      <c r="BA38" s="384" t="n">
        <f aca="false">SUMPRODUCT((Projects!$G$2:$G$45="Yes")*(49&gt;=Projects!$C$2:$C$45-$B$14)*(49&lt;=Projects!$W$2:$W$45+$B$17))*$B$5</f>
        <v>13.125</v>
      </c>
      <c r="BB38" s="384" t="n">
        <f aca="false">SUMPRODUCT((Projects!$G$2:$G$45="Yes")*(50&gt;=Projects!$C$2:$C$45-$B$14)*(50&lt;=Projects!$W$2:$W$45+$B$17))*$B$5</f>
        <v>13.125</v>
      </c>
      <c r="BC38" s="384" t="n">
        <f aca="false">SUMPRODUCT((Projects!$G$2:$G$45="Yes")*(51&gt;=Projects!$C$2:$C$45-$B$14)*(51&lt;=Projects!$W$2:$W$45+$B$17))*$B$5</f>
        <v>13.125</v>
      </c>
      <c r="BD38" s="384" t="n">
        <f aca="false">SUMPRODUCT((Projects!$G$2:$G$45="Yes")*(52&gt;=Projects!$C$2:$C$45-$B$14)*(52&lt;=Projects!$W$2:$W$45+$B$17))*$B$5</f>
        <v>13.125</v>
      </c>
      <c r="BE38" s="384" t="n">
        <f aca="false">SUMPRODUCT((Projects!$G$2:$G$45="Yes")*(53&gt;=Projects!$C$2:$C$45-$B$14)*(53&lt;=Projects!$W$2:$W$45+$B$17))*$B$5</f>
        <v>13.125</v>
      </c>
      <c r="BF38" s="384" t="n">
        <f aca="false">SUMPRODUCT((Projects!$G$2:$G$45="Yes")*(54&gt;=Projects!$C$2:$C$45-$B$14)*(54&lt;=Projects!$W$2:$W$45+$B$17))*$B$5</f>
        <v>13.125</v>
      </c>
      <c r="BG38" s="384" t="n">
        <f aca="false">SUMPRODUCT((Projects!$G$2:$G$45="Yes")*(55&gt;=Projects!$C$2:$C$45-$B$14)*(55&lt;=Projects!$W$2:$W$45+$B$17))*$B$5</f>
        <v>13.125</v>
      </c>
      <c r="BH38" s="384" t="n">
        <f aca="false">SUMPRODUCT((Projects!$G$2:$G$45="Yes")*(56&gt;=Projects!$C$2:$C$45-$B$14)*(56&lt;=Projects!$W$2:$W$45+$B$17))*$B$5</f>
        <v>12.25</v>
      </c>
      <c r="BI38" s="384" t="n">
        <f aca="false">SUMPRODUCT((Projects!$G$2:$G$45="Yes")*(57&gt;=Projects!$C$2:$C$45-$B$14)*(57&lt;=Projects!$W$2:$W$45+$B$17))*$B$5</f>
        <v>11.375</v>
      </c>
      <c r="BJ38" s="384" t="n">
        <f aca="false">SUMPRODUCT((Projects!$G$2:$G$45="Yes")*(58&gt;=Projects!$C$2:$C$45-$B$14)*(58&lt;=Projects!$W$2:$W$45+$B$17))*$B$5</f>
        <v>9.625</v>
      </c>
      <c r="BK38" s="384" t="n">
        <f aca="false">SUMPRODUCT((Projects!$G$2:$G$45="Yes")*(59&gt;=Projects!$C$2:$C$45-$B$14)*(59&lt;=Projects!$W$2:$W$45+$B$17))*$B$5</f>
        <v>8.75</v>
      </c>
      <c r="BL38" s="384" t="n">
        <f aca="false">SUMPRODUCT((Projects!$G$2:$G$45="Yes")*(60&gt;=Projects!$C$2:$C$45-$B$14)*(60&lt;=Projects!$W$2:$W$45+$B$17))*$B$5</f>
        <v>8.75</v>
      </c>
      <c r="BM38" s="384" t="n">
        <f aca="false">SUMPRODUCT((Projects!$G$2:$G$45="Yes")*(61&gt;=Projects!$C$2:$C$45-$B$14)*(61&lt;=Projects!$W$2:$W$45+$B$17))*$B$5</f>
        <v>8.75</v>
      </c>
      <c r="BN38" s="384" t="n">
        <f aca="false">SUMPRODUCT((Projects!$G$2:$G$45="Yes")*(62&gt;=Projects!$C$2:$C$45-$B$14)*(62&lt;=Projects!$W$2:$W$45+$B$17))*$B$5</f>
        <v>8.75</v>
      </c>
      <c r="BO38" s="384" t="n">
        <f aca="false">SUMPRODUCT((Projects!$G$2:$G$45="Yes")*(63&gt;=Projects!$C$2:$C$45-$B$14)*(63&lt;=Projects!$W$2:$W$45+$B$17))*$B$5</f>
        <v>7.875</v>
      </c>
      <c r="BP38" s="384" t="n">
        <f aca="false">SUMPRODUCT((Projects!$G$2:$G$45="Yes")*(64&gt;=Projects!$C$2:$C$45-$B$14)*(64&lt;=Projects!$W$2:$W$45+$B$17))*$B$5</f>
        <v>7</v>
      </c>
      <c r="BQ38" s="384" t="n">
        <f aca="false">SUMPRODUCT((Projects!$G$2:$G$45="Yes")*(65&gt;=Projects!$C$2:$C$45-$B$14)*(65&lt;=Projects!$W$2:$W$45+$B$17))*$B$5</f>
        <v>7</v>
      </c>
      <c r="BR38" s="384" t="n">
        <f aca="false">SUMPRODUCT((Projects!$G$2:$G$45="Yes")*(66&gt;=Projects!$C$2:$C$45-$B$14)*(66&lt;=Projects!$W$2:$W$45+$B$17))*$B$5</f>
        <v>7</v>
      </c>
      <c r="BS38" s="384" t="n">
        <f aca="false">SUMPRODUCT((Projects!$G$2:$G$45="Yes")*(67&gt;=Projects!$C$2:$C$45-$B$14)*(67&lt;=Projects!$W$2:$W$45+$B$17))*$B$5</f>
        <v>7</v>
      </c>
      <c r="BT38" s="384" t="n">
        <f aca="false">SUMPRODUCT((Projects!$G$2:$G$45="Yes")*(68&gt;=Projects!$C$2:$C$45-$B$14)*(68&lt;=Projects!$W$2:$W$45+$B$17))*$B$5</f>
        <v>6.125</v>
      </c>
      <c r="BU38" s="384" t="n">
        <f aca="false">SUMPRODUCT((Projects!$G$2:$G$45="Yes")*(69&gt;=Projects!$C$2:$C$45-$B$14)*(69&lt;=Projects!$W$2:$W$45+$B$17))*$B$5</f>
        <v>5.25</v>
      </c>
      <c r="BV38" s="384" t="n">
        <f aca="false">SUMPRODUCT((Projects!$G$2:$G$45="Yes")*(70&gt;=Projects!$C$2:$C$45-$B$14)*(70&lt;=Projects!$W$2:$W$45+$B$17))*$B$5</f>
        <v>4.375</v>
      </c>
      <c r="BW38" s="384" t="n">
        <f aca="false">SUMPRODUCT((Projects!$G$2:$G$45="Yes")*(71&gt;=Projects!$C$2:$C$45-$B$14)*(71&lt;=Projects!$W$2:$W$45+$B$17))*$B$5</f>
        <v>3.5</v>
      </c>
      <c r="BX38" s="384" t="n">
        <f aca="false">SUMPRODUCT((Projects!$G$2:$G$45="Yes")*(72&gt;=Projects!$C$2:$C$45-$B$14)*(72&lt;=Projects!$W$2:$W$45+$B$17))*$B$5</f>
        <v>2.625</v>
      </c>
      <c r="BY38" s="384" t="n">
        <f aca="false">SUMPRODUCT((Projects!$G$2:$G$45="Yes")*(73&gt;=Projects!$C$2:$C$45-$B$14)*(73&lt;=Projects!$W$2:$W$45+$B$17))*$B$5</f>
        <v>1.75</v>
      </c>
      <c r="BZ38" s="384" t="n">
        <f aca="false">SUMPRODUCT((Projects!$G$2:$G$45="Yes")*(74&gt;=Projects!$C$2:$C$45-$B$14)*(74&lt;=Projects!$W$2:$W$45+$B$17))*$B$5</f>
        <v>0.875</v>
      </c>
      <c r="CA38" s="384" t="n">
        <f aca="false">SUMPRODUCT((Projects!$G$2:$G$45="Yes")*(75&gt;=Projects!$C$2:$C$45-$B$14)*(75&lt;=Projects!$W$2:$W$45+$B$17))*$B$5</f>
        <v>0</v>
      </c>
      <c r="CB38" s="384" t="n">
        <f aca="false">SUMPRODUCT((Projects!$G$2:$G$45="Yes")*(76&gt;=Projects!$C$2:$C$45-$B$14)*(76&lt;=Projects!$W$2:$W$45+$B$17))*$B$5</f>
        <v>0</v>
      </c>
      <c r="CC38" s="384" t="n">
        <f aca="false">SUMPRODUCT((Projects!$G$2:$G$45="Yes")*(77&gt;=Projects!$C$2:$C$45-$B$14)*(77&lt;=Projects!$W$2:$W$45+$B$17))*$B$5</f>
        <v>0</v>
      </c>
      <c r="CD38" s="384" t="n">
        <f aca="false">SUMPRODUCT((Projects!$G$2:$G$45="Yes")*(78&gt;=Projects!$C$2:$C$45-$B$14)*(78&lt;=Projects!$W$2:$W$45+$B$17))*$B$5</f>
        <v>0</v>
      </c>
      <c r="CE38" s="384" t="n">
        <f aca="false">SUMPRODUCT((Projects!$G$2:$G$45="Yes")*(79&gt;=Projects!$C$2:$C$45-$B$14)*(79&lt;=Projects!$W$2:$W$45+$B$17))*$B$5</f>
        <v>0</v>
      </c>
      <c r="CF38" s="384" t="n">
        <f aca="false">SUMPRODUCT((Projects!$G$2:$G$45="Yes")*(80&gt;=Projects!$C$2:$C$45-$B$14)*(80&lt;=Projects!$W$2:$W$45+$B$17))*$B$5</f>
        <v>0</v>
      </c>
      <c r="CG38" s="384" t="n">
        <f aca="false">SUMPRODUCT((Projects!$G$2:$G$45="Yes")*(81&gt;=Projects!$C$2:$C$45-$B$14)*(81&lt;=Projects!$W$2:$W$45+$B$17))*$B$5</f>
        <v>0</v>
      </c>
      <c r="CH38" s="384" t="n">
        <f aca="false">SUMPRODUCT((Projects!$G$2:$G$45="Yes")*(82&gt;=Projects!$C$2:$C$45-$B$14)*(82&lt;=Projects!$W$2:$W$45+$B$17))*$B$5</f>
        <v>0</v>
      </c>
      <c r="CI38" s="384" t="n">
        <f aca="false">SUMPRODUCT((Projects!$G$2:$G$45="Yes")*(83&gt;=Projects!$C$2:$C$45-$B$14)*(83&lt;=Projects!$W$2:$W$45+$B$17))*$B$5</f>
        <v>0</v>
      </c>
      <c r="CJ38" s="384" t="n">
        <f aca="false">SUMPRODUCT((Projects!$G$2:$G$45="Yes")*(84&gt;=Projects!$C$2:$C$45-$B$14)*(84&lt;=Projects!$W$2:$W$45+$B$17))*$B$5</f>
        <v>0</v>
      </c>
      <c r="CK38" s="384" t="n">
        <f aca="false">SUMPRODUCT((Projects!$G$2:$G$45="Yes")*(85&gt;=Projects!$C$2:$C$45-$B$14)*(85&lt;=Projects!$W$2:$W$45+$B$17))*$B$5</f>
        <v>0</v>
      </c>
      <c r="CL38" s="384" t="n">
        <f aca="false">SUMPRODUCT((Projects!$G$2:$G$45="Yes")*(86&gt;=Projects!$C$2:$C$45-$B$14)*(86&lt;=Projects!$W$2:$W$45+$B$17))*$B$5</f>
        <v>0</v>
      </c>
      <c r="CM38" s="384" t="n">
        <f aca="false">SUMPRODUCT((Projects!$G$2:$G$45="Yes")*(87&gt;=Projects!$C$2:$C$45-$B$14)*(87&lt;=Projects!$W$2:$W$45+$B$17))*$B$5</f>
        <v>0</v>
      </c>
      <c r="CN38" s="384" t="n">
        <f aca="false">SUMPRODUCT((Projects!$G$2:$G$45="Yes")*(88&gt;=Projects!$C$2:$C$45-$B$14)*(88&lt;=Projects!$W$2:$W$45+$B$17))*$B$5</f>
        <v>0</v>
      </c>
      <c r="CO38" s="384" t="n">
        <f aca="false">SUMPRODUCT((Projects!$G$2:$G$45="Yes")*(89&gt;=Projects!$C$2:$C$45-$B$14)*(89&lt;=Projects!$W$2:$W$45+$B$17))*$B$5</f>
        <v>0</v>
      </c>
      <c r="CP38" s="384" t="n">
        <f aca="false">SUMPRODUCT((Projects!$G$2:$G$45="Yes")*(90&gt;=Projects!$C$2:$C$45-$B$14)*(90&lt;=Projects!$W$2:$W$45+$B$17))*$B$5</f>
        <v>0</v>
      </c>
      <c r="CQ38" s="384" t="n">
        <f aca="false">SUMPRODUCT((Projects!$G$2:$G$45="Yes")*(91&gt;=Projects!$C$2:$C$45-$B$14)*(91&lt;=Projects!$W$2:$W$45+$B$17))*$B$5</f>
        <v>0</v>
      </c>
      <c r="CR38" s="384" t="n">
        <f aca="false">SUMPRODUCT((Projects!$G$2:$G$45="Yes")*(92&gt;=Projects!$C$2:$C$45-$B$14)*(92&lt;=Projects!$W$2:$W$45+$B$17))*$B$5</f>
        <v>0</v>
      </c>
      <c r="CS38" s="384" t="n">
        <f aca="false">SUMPRODUCT((Projects!$G$2:$G$45="Yes")*(93&gt;=Projects!$C$2:$C$45-$B$14)*(93&lt;=Projects!$W$2:$W$45+$B$17))*$B$5</f>
        <v>0</v>
      </c>
      <c r="CT38" s="384" t="n">
        <f aca="false">SUMPRODUCT((Projects!$G$2:$G$45="Yes")*(94&gt;=Projects!$C$2:$C$45-$B$14)*(94&lt;=Projects!$W$2:$W$45+$B$17))*$B$5</f>
        <v>0</v>
      </c>
      <c r="CU38" s="384" t="n">
        <f aca="false">SUMPRODUCT((Projects!$G$2:$G$45="Yes")*(95&gt;=Projects!$C$2:$C$45-$B$14)*(95&lt;=Projects!$W$2:$W$45+$B$17))*$B$5</f>
        <v>0</v>
      </c>
      <c r="CV38" s="384" t="n">
        <f aca="false">SUMPRODUCT((Projects!$G$2:$G$45="Yes")*(96&gt;=Projects!$C$2:$C$45-$B$14)*(96&lt;=Projects!$W$2:$W$45+$B$17))*$B$5</f>
        <v>0</v>
      </c>
      <c r="CW38" s="384" t="n">
        <f aca="false">SUMPRODUCT((Projects!$G$2:$G$45="Yes")*(97&gt;=Projects!$C$2:$C$45-$B$14)*(97&lt;=Projects!$W$2:$W$45+$B$17))*$B$5</f>
        <v>0</v>
      </c>
      <c r="CX38" s="384" t="n">
        <f aca="false">SUMPRODUCT((Projects!$G$2:$G$45="Yes")*(98&gt;=Projects!$C$2:$C$45-$B$14)*(98&lt;=Projects!$W$2:$W$45+$B$17))*$B$5</f>
        <v>0</v>
      </c>
      <c r="CY38" s="384" t="n">
        <f aca="false">SUMPRODUCT((Projects!$G$2:$G$45="Yes")*(99&gt;=Projects!$C$2:$C$45-$B$14)*(99&lt;=Projects!$W$2:$W$45+$B$17))*$B$5</f>
        <v>0</v>
      </c>
      <c r="CZ38" s="384" t="n">
        <f aca="false">SUMPRODUCT((Projects!$G$2:$G$45="Yes")*(100&gt;=Projects!$C$2:$C$45-$B$14)*(100&lt;=Projects!$W$2:$W$45+$B$17))*$B$5</f>
        <v>0</v>
      </c>
      <c r="DA38" s="384" t="n">
        <f aca="false">SUMPRODUCT((Projects!$G$2:$G$45="Yes")*(101&gt;=Projects!$C$2:$C$45-$B$14)*(101&lt;=Projects!$W$2:$W$45+$B$17))*$B$5</f>
        <v>0</v>
      </c>
      <c r="DB38" s="384" t="n">
        <f aca="false">SUMPRODUCT((Projects!$G$2:$G$45="Yes")*(102&gt;=Projects!$C$2:$C$45-$B$14)*(102&lt;=Projects!$W$2:$W$45+$B$17))*$B$5</f>
        <v>0</v>
      </c>
      <c r="DC38" s="384" t="n">
        <f aca="false">SUMPRODUCT((Projects!$G$2:$G$45="Yes")*(103&gt;=Projects!$C$2:$C$45-$B$14)*(103&lt;=Projects!$W$2:$W$45+$B$17))*$B$5</f>
        <v>0</v>
      </c>
      <c r="DD38" s="384" t="n">
        <f aca="false">SUMPRODUCT((Projects!$G$2:$G$45="Yes")*(104&gt;=Projects!$C$2:$C$45-$B$14)*(104&lt;=Projects!$W$2:$W$45+$B$17))*$B$5</f>
        <v>0</v>
      </c>
      <c r="DE38" s="384" t="n">
        <f aca="false">SUMPRODUCT((Projects!$G$2:$G$45="Yes")*(105&gt;=Projects!$C$2:$C$45-$B$14)*(105&lt;=Projects!$W$2:$W$45+$B$17))*$B$5</f>
        <v>0</v>
      </c>
    </row>
    <row r="39" customFormat="false" ht="13.5" hidden="false" customHeight="true" outlineLevel="0" collapsed="false">
      <c r="A39" s="110" t="s">
        <v>1374</v>
      </c>
      <c r="E39" s="384" t="n">
        <f aca="false">SUMPRODUCT((Projects!$G$2:$G$45="Yes")*(1&gt;=Projects!$C$2:$C$45-$B$15)*((1&lt;=Projects!$W$2:$W$45-$B$106)*1+(1&gt;Projects!$W$2:$W$45-$B$106)*(1&lt;=Projects!$W$2:$W$45+$B$17)*$B$107)*((Projects!$B$2:$B$45&gt;=$B$12)*$B$6+(Projects!$B$2:$B$45&lt;$B$12)*(Projects!$B$2:$B$45&gt;=$B$13)*$B$7+(Projects!$B$2:$B$45&lt;$B$13)*$B$8))</f>
        <v>1.08</v>
      </c>
      <c r="F39" s="384" t="n">
        <f aca="false">SUMPRODUCT((Projects!$G$2:$G$45="Yes")*(2&gt;=Projects!$C$2:$C$45-$B$15)*((2&lt;=Projects!$W$2:$W$45-$B$106)*1+(2&gt;Projects!$W$2:$W$45-$B$106)*(2&lt;=Projects!$W$2:$W$45+$B$17)*$B$107)*((Projects!$B$2:$B$45&gt;=$B$12)*$B$6+(Projects!$B$2:$B$45&lt;$B$12)*(Projects!$B$2:$B$45&gt;=$B$13)*$B$7+(Projects!$B$2:$B$45&lt;$B$13)*$B$8))</f>
        <v>1.08</v>
      </c>
      <c r="G39" s="384" t="n">
        <f aca="false">SUMPRODUCT((Projects!$G$2:$G$45="Yes")*(3&gt;=Projects!$C$2:$C$45-$B$15)*((3&lt;=Projects!$W$2:$W$45-$B$106)*1+(3&gt;Projects!$W$2:$W$45-$B$106)*(3&lt;=Projects!$W$2:$W$45+$B$17)*$B$107)*((Projects!$B$2:$B$45&gt;=$B$12)*$B$6+(Projects!$B$2:$B$45&lt;$B$12)*(Projects!$B$2:$B$45&gt;=$B$13)*$B$7+(Projects!$B$2:$B$45&lt;$B$13)*$B$8))</f>
        <v>1.08</v>
      </c>
      <c r="H39" s="384" t="n">
        <f aca="false">SUMPRODUCT((Projects!$G$2:$G$45="Yes")*(4&gt;=Projects!$C$2:$C$45-$B$15)*((4&lt;=Projects!$W$2:$W$45-$B$106)*1+(4&gt;Projects!$W$2:$W$45-$B$106)*(4&lt;=Projects!$W$2:$W$45+$B$17)*$B$107)*((Projects!$B$2:$B$45&gt;=$B$12)*$B$6+(Projects!$B$2:$B$45&lt;$B$12)*(Projects!$B$2:$B$45&gt;=$B$13)*$B$7+(Projects!$B$2:$B$45&lt;$B$13)*$B$8))</f>
        <v>1.08</v>
      </c>
      <c r="I39" s="384" t="n">
        <f aca="false">SUMPRODUCT((Projects!$G$2:$G$45="Yes")*(5&gt;=Projects!$C$2:$C$45-$B$15)*((5&lt;=Projects!$W$2:$W$45-$B$106)*1+(5&gt;Projects!$W$2:$W$45-$B$106)*(5&lt;=Projects!$W$2:$W$45+$B$17)*$B$107)*((Projects!$B$2:$B$45&gt;=$B$12)*$B$6+(Projects!$B$2:$B$45&lt;$B$12)*(Projects!$B$2:$B$45&gt;=$B$13)*$B$7+(Projects!$B$2:$B$45&lt;$B$13)*$B$8))</f>
        <v>1.83</v>
      </c>
      <c r="J39" s="384" t="n">
        <f aca="false">SUMPRODUCT((Projects!$G$2:$G$45="Yes")*(6&gt;=Projects!$C$2:$C$45-$B$15)*((6&lt;=Projects!$W$2:$W$45-$B$106)*1+(6&gt;Projects!$W$2:$W$45-$B$106)*(6&lt;=Projects!$W$2:$W$45+$B$17)*$B$107)*((Projects!$B$2:$B$45&gt;=$B$12)*$B$6+(Projects!$B$2:$B$45&lt;$B$12)*(Projects!$B$2:$B$45&gt;=$B$13)*$B$7+(Projects!$B$2:$B$45&lt;$B$13)*$B$8))</f>
        <v>1.9975</v>
      </c>
      <c r="K39" s="384" t="n">
        <f aca="false">SUMPRODUCT((Projects!$G$2:$G$45="Yes")*(7&gt;=Projects!$C$2:$C$45-$B$15)*((7&lt;=Projects!$W$2:$W$45-$B$106)*1+(7&gt;Projects!$W$2:$W$45-$B$106)*(7&lt;=Projects!$W$2:$W$45+$B$17)*$B$107)*((Projects!$B$2:$B$45&gt;=$B$12)*$B$6+(Projects!$B$2:$B$45&lt;$B$12)*(Projects!$B$2:$B$45&gt;=$B$13)*$B$7+(Projects!$B$2:$B$45&lt;$B$13)*$B$8))</f>
        <v>1.9975</v>
      </c>
      <c r="L39" s="384" t="n">
        <f aca="false">SUMPRODUCT((Projects!$G$2:$G$45="Yes")*(8&gt;=Projects!$C$2:$C$45-$B$15)*((8&lt;=Projects!$W$2:$W$45-$B$106)*1+(8&gt;Projects!$W$2:$W$45-$B$106)*(8&lt;=Projects!$W$2:$W$45+$B$17)*$B$107)*((Projects!$B$2:$B$45&gt;=$B$12)*$B$6+(Projects!$B$2:$B$45&lt;$B$12)*(Projects!$B$2:$B$45&gt;=$B$13)*$B$7+(Projects!$B$2:$B$45&lt;$B$13)*$B$8))</f>
        <v>1.9975</v>
      </c>
      <c r="M39" s="384" t="n">
        <f aca="false">SUMPRODUCT((Projects!$G$2:$G$45="Yes")*(9&gt;=Projects!$C$2:$C$45-$B$15)*((9&lt;=Projects!$W$2:$W$45-$B$106)*1+(9&gt;Projects!$W$2:$W$45-$B$106)*(9&lt;=Projects!$W$2:$W$45+$B$17)*$B$107)*((Projects!$B$2:$B$45&gt;=$B$12)*$B$6+(Projects!$B$2:$B$45&lt;$B$12)*(Projects!$B$2:$B$45&gt;=$B$13)*$B$7+(Projects!$B$2:$B$45&lt;$B$13)*$B$8))</f>
        <v>2.2475</v>
      </c>
      <c r="N39" s="384" t="n">
        <f aca="false">SUMPRODUCT((Projects!$G$2:$G$45="Yes")*(10&gt;=Projects!$C$2:$C$45-$B$15)*((10&lt;=Projects!$W$2:$W$45-$B$106)*1+(10&gt;Projects!$W$2:$W$45-$B$106)*(10&lt;=Projects!$W$2:$W$45+$B$17)*$B$107)*((Projects!$B$2:$B$45&gt;=$B$12)*$B$6+(Projects!$B$2:$B$45&lt;$B$12)*(Projects!$B$2:$B$45&gt;=$B$13)*$B$7+(Projects!$B$2:$B$45&lt;$B$13)*$B$8))</f>
        <v>2.58</v>
      </c>
      <c r="O39" s="384" t="n">
        <f aca="false">SUMPRODUCT((Projects!$G$2:$G$45="Yes")*(11&gt;=Projects!$C$2:$C$45-$B$15)*((11&lt;=Projects!$W$2:$W$45-$B$106)*1+(11&gt;Projects!$W$2:$W$45-$B$106)*(11&lt;=Projects!$W$2:$W$45+$B$17)*$B$107)*((Projects!$B$2:$B$45&gt;=$B$12)*$B$6+(Projects!$B$2:$B$45&lt;$B$12)*(Projects!$B$2:$B$45&gt;=$B$13)*$B$7+(Projects!$B$2:$B$45&lt;$B$13)*$B$8))</f>
        <v>2.745</v>
      </c>
      <c r="P39" s="384" t="n">
        <f aca="false">SUMPRODUCT((Projects!$G$2:$G$45="Yes")*(12&gt;=Projects!$C$2:$C$45-$B$15)*((12&lt;=Projects!$W$2:$W$45-$B$106)*1+(12&gt;Projects!$W$2:$W$45-$B$106)*(12&lt;=Projects!$W$2:$W$45+$B$17)*$B$107)*((Projects!$B$2:$B$45&gt;=$B$12)*$B$6+(Projects!$B$2:$B$45&lt;$B$12)*(Projects!$B$2:$B$45&gt;=$B$13)*$B$7+(Projects!$B$2:$B$45&lt;$B$13)*$B$8))</f>
        <v>2.745</v>
      </c>
      <c r="Q39" s="384" t="n">
        <f aca="false">SUMPRODUCT((Projects!$G$2:$G$45="Yes")*(13&gt;=Projects!$C$2:$C$45-$B$15)*((13&lt;=Projects!$W$2:$W$45-$B$106)*1+(13&gt;Projects!$W$2:$W$45-$B$106)*(13&lt;=Projects!$W$2:$W$45+$B$17)*$B$107)*((Projects!$B$2:$B$45&gt;=$B$12)*$B$6+(Projects!$B$2:$B$45&lt;$B$12)*(Projects!$B$2:$B$45&gt;=$B$13)*$B$7+(Projects!$B$2:$B$45&lt;$B$13)*$B$8))</f>
        <v>3.1625</v>
      </c>
      <c r="R39" s="384" t="n">
        <f aca="false">SUMPRODUCT((Projects!$G$2:$G$45="Yes")*(14&gt;=Projects!$C$2:$C$45-$B$15)*((14&lt;=Projects!$W$2:$W$45-$B$106)*1+(14&gt;Projects!$W$2:$W$45-$B$106)*(14&lt;=Projects!$W$2:$W$45+$B$17)*$B$107)*((Projects!$B$2:$B$45&gt;=$B$12)*$B$6+(Projects!$B$2:$B$45&lt;$B$12)*(Projects!$B$2:$B$45&gt;=$B$13)*$B$7+(Projects!$B$2:$B$45&lt;$B$13)*$B$8))</f>
        <v>3.4125</v>
      </c>
      <c r="S39" s="384" t="n">
        <f aca="false">SUMPRODUCT((Projects!$G$2:$G$45="Yes")*(15&gt;=Projects!$C$2:$C$45-$B$15)*((15&lt;=Projects!$W$2:$W$45-$B$106)*1+(15&gt;Projects!$W$2:$W$45-$B$106)*(15&lt;=Projects!$W$2:$W$45+$B$17)*$B$107)*((Projects!$B$2:$B$45&gt;=$B$12)*$B$6+(Projects!$B$2:$B$45&lt;$B$12)*(Projects!$B$2:$B$45&gt;=$B$13)*$B$7+(Projects!$B$2:$B$45&lt;$B$13)*$B$8))</f>
        <v>3.5375</v>
      </c>
      <c r="T39" s="384" t="n">
        <f aca="false">SUMPRODUCT((Projects!$G$2:$G$45="Yes")*(16&gt;=Projects!$C$2:$C$45-$B$15)*((16&lt;=Projects!$W$2:$W$45-$B$106)*1+(16&gt;Projects!$W$2:$W$45-$B$106)*(16&lt;=Projects!$W$2:$W$45+$B$17)*$B$107)*((Projects!$B$2:$B$45&gt;=$B$12)*$B$6+(Projects!$B$2:$B$45&lt;$B$12)*(Projects!$B$2:$B$45&gt;=$B$13)*$B$7+(Projects!$B$2:$B$45&lt;$B$13)*$B$8))</f>
        <v>3.6625</v>
      </c>
      <c r="U39" s="384" t="n">
        <f aca="false">SUMPRODUCT((Projects!$G$2:$G$45="Yes")*(17&gt;=Projects!$C$2:$C$45-$B$15)*((17&lt;=Projects!$W$2:$W$45-$B$106)*1+(17&gt;Projects!$W$2:$W$45-$B$106)*(17&lt;=Projects!$W$2:$W$45+$B$17)*$B$107)*((Projects!$B$2:$B$45&gt;=$B$12)*$B$6+(Projects!$B$2:$B$45&lt;$B$12)*(Projects!$B$2:$B$45&gt;=$B$13)*$B$7+(Projects!$B$2:$B$45&lt;$B$13)*$B$8))</f>
        <v>3.455</v>
      </c>
      <c r="V39" s="384" t="n">
        <f aca="false">SUMPRODUCT((Projects!$G$2:$G$45="Yes")*(18&gt;=Projects!$C$2:$C$45-$B$15)*((18&lt;=Projects!$W$2:$W$45-$B$106)*1+(18&gt;Projects!$W$2:$W$45-$B$106)*(18&lt;=Projects!$W$2:$W$45+$B$17)*$B$107)*((Projects!$B$2:$B$45&gt;=$B$12)*$B$6+(Projects!$B$2:$B$45&lt;$B$12)*(Projects!$B$2:$B$45&gt;=$B$13)*$B$7+(Projects!$B$2:$B$45&lt;$B$13)*$B$8))</f>
        <v>3.455</v>
      </c>
      <c r="W39" s="384" t="n">
        <f aca="false">SUMPRODUCT((Projects!$G$2:$G$45="Yes")*(19&gt;=Projects!$C$2:$C$45-$B$15)*((19&lt;=Projects!$W$2:$W$45-$B$106)*1+(19&gt;Projects!$W$2:$W$45-$B$106)*(19&lt;=Projects!$W$2:$W$45+$B$17)*$B$107)*((Projects!$B$2:$B$45&gt;=$B$12)*$B$6+(Projects!$B$2:$B$45&lt;$B$12)*(Projects!$B$2:$B$45&gt;=$B$13)*$B$7+(Projects!$B$2:$B$45&lt;$B$13)*$B$8))</f>
        <v>3.33</v>
      </c>
      <c r="X39" s="384" t="n">
        <f aca="false">SUMPRODUCT((Projects!$G$2:$G$45="Yes")*(20&gt;=Projects!$C$2:$C$45-$B$15)*((20&lt;=Projects!$W$2:$W$45-$B$106)*1+(20&gt;Projects!$W$2:$W$45-$B$106)*(20&lt;=Projects!$W$2:$W$45+$B$17)*$B$107)*((Projects!$B$2:$B$45&gt;=$B$12)*$B$6+(Projects!$B$2:$B$45&lt;$B$12)*(Projects!$B$2:$B$45&gt;=$B$13)*$B$7+(Projects!$B$2:$B$45&lt;$B$13)*$B$8))</f>
        <v>3.705</v>
      </c>
      <c r="Y39" s="384" t="n">
        <f aca="false">SUMPRODUCT((Projects!$G$2:$G$45="Yes")*(21&gt;=Projects!$C$2:$C$45-$B$15)*((21&lt;=Projects!$W$2:$W$45-$B$106)*1+(21&gt;Projects!$W$2:$W$45-$B$106)*(21&lt;=Projects!$W$2:$W$45+$B$17)*$B$107)*((Projects!$B$2:$B$45&gt;=$B$12)*$B$6+(Projects!$B$2:$B$45&lt;$B$12)*(Projects!$B$2:$B$45&gt;=$B$13)*$B$7+(Projects!$B$2:$B$45&lt;$B$13)*$B$8))</f>
        <v>3.455</v>
      </c>
      <c r="Z39" s="384" t="n">
        <f aca="false">SUMPRODUCT((Projects!$G$2:$G$45="Yes")*(22&gt;=Projects!$C$2:$C$45-$B$15)*((22&lt;=Projects!$W$2:$W$45-$B$106)*1+(22&gt;Projects!$W$2:$W$45-$B$106)*(22&lt;=Projects!$W$2:$W$45+$B$17)*$B$107)*((Projects!$B$2:$B$45&gt;=$B$12)*$B$6+(Projects!$B$2:$B$45&lt;$B$12)*(Projects!$B$2:$B$45&gt;=$B$13)*$B$7+(Projects!$B$2:$B$45&lt;$B$13)*$B$8))</f>
        <v>3.33</v>
      </c>
      <c r="AA39" s="384" t="n">
        <f aca="false">SUMPRODUCT((Projects!$G$2:$G$45="Yes")*(23&gt;=Projects!$C$2:$C$45-$B$15)*((23&lt;=Projects!$W$2:$W$45-$B$106)*1+(23&gt;Projects!$W$2:$W$45-$B$106)*(23&lt;=Projects!$W$2:$W$45+$B$17)*$B$107)*((Projects!$B$2:$B$45&gt;=$B$12)*$B$6+(Projects!$B$2:$B$45&lt;$B$12)*(Projects!$B$2:$B$45&gt;=$B$13)*$B$7+(Projects!$B$2:$B$45&lt;$B$13)*$B$8))</f>
        <v>3.33</v>
      </c>
      <c r="AB39" s="384" t="n">
        <f aca="false">SUMPRODUCT((Projects!$G$2:$G$45="Yes")*(24&gt;=Projects!$C$2:$C$45-$B$15)*((24&lt;=Projects!$W$2:$W$45-$B$106)*1+(24&gt;Projects!$W$2:$W$45-$B$106)*(24&lt;=Projects!$W$2:$W$45+$B$17)*$B$107)*((Projects!$B$2:$B$45&gt;=$B$12)*$B$6+(Projects!$B$2:$B$45&lt;$B$12)*(Projects!$B$2:$B$45&gt;=$B$13)*$B$7+(Projects!$B$2:$B$45&lt;$B$13)*$B$8))</f>
        <v>3.58</v>
      </c>
      <c r="AC39" s="384" t="n">
        <f aca="false">SUMPRODUCT((Projects!$G$2:$G$45="Yes")*(25&gt;=Projects!$C$2:$C$45-$B$15)*((25&lt;=Projects!$W$2:$W$45-$B$106)*1+(25&gt;Projects!$W$2:$W$45-$B$106)*(25&lt;=Projects!$W$2:$W$45+$B$17)*$B$107)*((Projects!$B$2:$B$45&gt;=$B$12)*$B$6+(Projects!$B$2:$B$45&lt;$B$12)*(Projects!$B$2:$B$45&gt;=$B$13)*$B$7+(Projects!$B$2:$B$45&lt;$B$13)*$B$8))</f>
        <v>3.455</v>
      </c>
      <c r="AD39" s="384" t="n">
        <f aca="false">SUMPRODUCT((Projects!$G$2:$G$45="Yes")*(26&gt;=Projects!$C$2:$C$45-$B$15)*((26&lt;=Projects!$W$2:$W$45-$B$106)*1+(26&gt;Projects!$W$2:$W$45-$B$106)*(26&lt;=Projects!$W$2:$W$45+$B$17)*$B$107)*((Projects!$B$2:$B$45&gt;=$B$12)*$B$6+(Projects!$B$2:$B$45&lt;$B$12)*(Projects!$B$2:$B$45&gt;=$B$13)*$B$7+(Projects!$B$2:$B$45&lt;$B$13)*$B$8))</f>
        <v>3.1225</v>
      </c>
      <c r="AE39" s="384" t="n">
        <f aca="false">SUMPRODUCT((Projects!$G$2:$G$45="Yes")*(27&gt;=Projects!$C$2:$C$45-$B$15)*((27&lt;=Projects!$W$2:$W$45-$B$106)*1+(27&gt;Projects!$W$2:$W$45-$B$106)*(27&lt;=Projects!$W$2:$W$45+$B$17)*$B$107)*((Projects!$B$2:$B$45&gt;=$B$12)*$B$6+(Projects!$B$2:$B$45&lt;$B$12)*(Projects!$B$2:$B$45&gt;=$B$13)*$B$7+(Projects!$B$2:$B$45&lt;$B$13)*$B$8))</f>
        <v>3.54</v>
      </c>
      <c r="AF39" s="384" t="n">
        <f aca="false">SUMPRODUCT((Projects!$G$2:$G$45="Yes")*(28&gt;=Projects!$C$2:$C$45-$B$15)*((28&lt;=Projects!$W$2:$W$45-$B$106)*1+(28&gt;Projects!$W$2:$W$45-$B$106)*(28&lt;=Projects!$W$2:$W$45+$B$17)*$B$107)*((Projects!$B$2:$B$45&gt;=$B$12)*$B$6+(Projects!$B$2:$B$45&lt;$B$12)*(Projects!$B$2:$B$45&gt;=$B$13)*$B$7+(Projects!$B$2:$B$45&lt;$B$13)*$B$8))</f>
        <v>3.54</v>
      </c>
      <c r="AG39" s="384" t="n">
        <f aca="false">SUMPRODUCT((Projects!$G$2:$G$45="Yes")*(29&gt;=Projects!$C$2:$C$45-$B$15)*((29&lt;=Projects!$W$2:$W$45-$B$106)*1+(29&gt;Projects!$W$2:$W$45-$B$106)*(29&lt;=Projects!$W$2:$W$45+$B$17)*$B$107)*((Projects!$B$2:$B$45&gt;=$B$12)*$B$6+(Projects!$B$2:$B$45&lt;$B$12)*(Projects!$B$2:$B$45&gt;=$B$13)*$B$7+(Projects!$B$2:$B$45&lt;$B$13)*$B$8))</f>
        <v>3.79</v>
      </c>
      <c r="AH39" s="384" t="n">
        <f aca="false">SUMPRODUCT((Projects!$G$2:$G$45="Yes")*(30&gt;=Projects!$C$2:$C$45-$B$15)*((30&lt;=Projects!$W$2:$W$45-$B$106)*1+(30&gt;Projects!$W$2:$W$45-$B$106)*(30&lt;=Projects!$W$2:$W$45+$B$17)*$B$107)*((Projects!$B$2:$B$45&gt;=$B$12)*$B$6+(Projects!$B$2:$B$45&lt;$B$12)*(Projects!$B$2:$B$45&gt;=$B$13)*$B$7+(Projects!$B$2:$B$45&lt;$B$13)*$B$8))</f>
        <v>3.5825</v>
      </c>
      <c r="AI39" s="384" t="n">
        <f aca="false">SUMPRODUCT((Projects!$G$2:$G$45="Yes")*(31&gt;=Projects!$C$2:$C$45-$B$15)*((31&lt;=Projects!$W$2:$W$45-$B$106)*1+(31&gt;Projects!$W$2:$W$45-$B$106)*(31&lt;=Projects!$W$2:$W$45+$B$17)*$B$107)*((Projects!$B$2:$B$45&gt;=$B$12)*$B$6+(Projects!$B$2:$B$45&lt;$B$12)*(Projects!$B$2:$B$45&gt;=$B$13)*$B$7+(Projects!$B$2:$B$45&lt;$B$13)*$B$8))</f>
        <v>3.625</v>
      </c>
      <c r="AJ39" s="384" t="n">
        <f aca="false">SUMPRODUCT((Projects!$G$2:$G$45="Yes")*(32&gt;=Projects!$C$2:$C$45-$B$15)*((32&lt;=Projects!$W$2:$W$45-$B$106)*1+(32&gt;Projects!$W$2:$W$45-$B$106)*(32&lt;=Projects!$W$2:$W$45+$B$17)*$B$107)*((Projects!$B$2:$B$45&gt;=$B$12)*$B$6+(Projects!$B$2:$B$45&lt;$B$12)*(Projects!$B$2:$B$45&gt;=$B$13)*$B$7+(Projects!$B$2:$B$45&lt;$B$13)*$B$8))</f>
        <v>3.75</v>
      </c>
      <c r="AK39" s="384" t="n">
        <f aca="false">SUMPRODUCT((Projects!$G$2:$G$45="Yes")*(33&gt;=Projects!$C$2:$C$45-$B$15)*((33&lt;=Projects!$W$2:$W$45-$B$106)*1+(33&gt;Projects!$W$2:$W$45-$B$106)*(33&lt;=Projects!$W$2:$W$45+$B$17)*$B$107)*((Projects!$B$2:$B$45&gt;=$B$12)*$B$6+(Projects!$B$2:$B$45&lt;$B$12)*(Projects!$B$2:$B$45&gt;=$B$13)*$B$7+(Projects!$B$2:$B$45&lt;$B$13)*$B$8))</f>
        <v>4</v>
      </c>
      <c r="AL39" s="384" t="n">
        <f aca="false">SUMPRODUCT((Projects!$G$2:$G$45="Yes")*(34&gt;=Projects!$C$2:$C$45-$B$15)*((34&lt;=Projects!$W$2:$W$45-$B$106)*1+(34&gt;Projects!$W$2:$W$45-$B$106)*(34&lt;=Projects!$W$2:$W$45+$B$17)*$B$107)*((Projects!$B$2:$B$45&gt;=$B$12)*$B$6+(Projects!$B$2:$B$45&lt;$B$12)*(Projects!$B$2:$B$45&gt;=$B$13)*$B$7+(Projects!$B$2:$B$45&lt;$B$13)*$B$8))</f>
        <v>3.75</v>
      </c>
      <c r="AM39" s="384" t="n">
        <f aca="false">SUMPRODUCT((Projects!$G$2:$G$45="Yes")*(35&gt;=Projects!$C$2:$C$45-$B$15)*((35&lt;=Projects!$W$2:$W$45-$B$106)*1+(35&gt;Projects!$W$2:$W$45-$B$106)*(35&lt;=Projects!$W$2:$W$45+$B$17)*$B$107)*((Projects!$B$2:$B$45&gt;=$B$12)*$B$6+(Projects!$B$2:$B$45&lt;$B$12)*(Projects!$B$2:$B$45&gt;=$B$13)*$B$7+(Projects!$B$2:$B$45&lt;$B$13)*$B$8))</f>
        <v>3.875</v>
      </c>
      <c r="AN39" s="384" t="n">
        <f aca="false">SUMPRODUCT((Projects!$G$2:$G$45="Yes")*(36&gt;=Projects!$C$2:$C$45-$B$15)*((36&lt;=Projects!$W$2:$W$45-$B$106)*1+(36&gt;Projects!$W$2:$W$45-$B$106)*(36&lt;=Projects!$W$2:$W$45+$B$17)*$B$107)*((Projects!$B$2:$B$45&gt;=$B$12)*$B$6+(Projects!$B$2:$B$45&lt;$B$12)*(Projects!$B$2:$B$45&gt;=$B$13)*$B$7+(Projects!$B$2:$B$45&lt;$B$13)*$B$8))</f>
        <v>4</v>
      </c>
      <c r="AO39" s="384" t="n">
        <f aca="false">SUMPRODUCT((Projects!$G$2:$G$45="Yes")*(37&gt;=Projects!$C$2:$C$45-$B$15)*((37&lt;=Projects!$W$2:$W$45-$B$106)*1+(37&gt;Projects!$W$2:$W$45-$B$106)*(37&lt;=Projects!$W$2:$W$45+$B$17)*$B$107)*((Projects!$B$2:$B$45&gt;=$B$12)*$B$6+(Projects!$B$2:$B$45&lt;$B$12)*(Projects!$B$2:$B$45&gt;=$B$13)*$B$7+(Projects!$B$2:$B$45&lt;$B$13)*$B$8))</f>
        <v>4.25</v>
      </c>
      <c r="AP39" s="384" t="n">
        <f aca="false">SUMPRODUCT((Projects!$G$2:$G$45="Yes")*(38&gt;=Projects!$C$2:$C$45-$B$15)*((38&lt;=Projects!$W$2:$W$45-$B$106)*1+(38&gt;Projects!$W$2:$W$45-$B$106)*(38&lt;=Projects!$W$2:$W$45+$B$17)*$B$107)*((Projects!$B$2:$B$45&gt;=$B$12)*$B$6+(Projects!$B$2:$B$45&lt;$B$12)*(Projects!$B$2:$B$45&gt;=$B$13)*$B$7+(Projects!$B$2:$B$45&lt;$B$13)*$B$8))</f>
        <v>4.25</v>
      </c>
      <c r="AQ39" s="384" t="n">
        <f aca="false">SUMPRODUCT((Projects!$G$2:$G$45="Yes")*(39&gt;=Projects!$C$2:$C$45-$B$15)*((39&lt;=Projects!$W$2:$W$45-$B$106)*1+(39&gt;Projects!$W$2:$W$45-$B$106)*(39&lt;=Projects!$W$2:$W$45+$B$17)*$B$107)*((Projects!$B$2:$B$45&gt;=$B$12)*$B$6+(Projects!$B$2:$B$45&lt;$B$12)*(Projects!$B$2:$B$45&gt;=$B$13)*$B$7+(Projects!$B$2:$B$45&lt;$B$13)*$B$8))</f>
        <v>4.5</v>
      </c>
      <c r="AR39" s="384" t="n">
        <f aca="false">SUMPRODUCT((Projects!$G$2:$G$45="Yes")*(40&gt;=Projects!$C$2:$C$45-$B$15)*((40&lt;=Projects!$W$2:$W$45-$B$106)*1+(40&gt;Projects!$W$2:$W$45-$B$106)*(40&lt;=Projects!$W$2:$W$45+$B$17)*$B$107)*((Projects!$B$2:$B$45&gt;=$B$12)*$B$6+(Projects!$B$2:$B$45&lt;$B$12)*(Projects!$B$2:$B$45&gt;=$B$13)*$B$7+(Projects!$B$2:$B$45&lt;$B$13)*$B$8))</f>
        <v>4.125</v>
      </c>
      <c r="AS39" s="384" t="n">
        <f aca="false">SUMPRODUCT((Projects!$G$2:$G$45="Yes")*(41&gt;=Projects!$C$2:$C$45-$B$15)*((41&lt;=Projects!$W$2:$W$45-$B$106)*1+(41&gt;Projects!$W$2:$W$45-$B$106)*(41&lt;=Projects!$W$2:$W$45+$B$17)*$B$107)*((Projects!$B$2:$B$45&gt;=$B$12)*$B$6+(Projects!$B$2:$B$45&lt;$B$12)*(Projects!$B$2:$B$45&gt;=$B$13)*$B$7+(Projects!$B$2:$B$45&lt;$B$13)*$B$8))</f>
        <v>3.875</v>
      </c>
      <c r="AT39" s="384" t="n">
        <f aca="false">SUMPRODUCT((Projects!$G$2:$G$45="Yes")*(42&gt;=Projects!$C$2:$C$45-$B$15)*((42&lt;=Projects!$W$2:$W$45-$B$106)*1+(42&gt;Projects!$W$2:$W$45-$B$106)*(42&lt;=Projects!$W$2:$W$45+$B$17)*$B$107)*((Projects!$B$2:$B$45&gt;=$B$12)*$B$6+(Projects!$B$2:$B$45&lt;$B$12)*(Projects!$B$2:$B$45&gt;=$B$13)*$B$7+(Projects!$B$2:$B$45&lt;$B$13)*$B$8))</f>
        <v>3.875</v>
      </c>
      <c r="AU39" s="384" t="n">
        <f aca="false">SUMPRODUCT((Projects!$G$2:$G$45="Yes")*(43&gt;=Projects!$C$2:$C$45-$B$15)*((43&lt;=Projects!$W$2:$W$45-$B$106)*1+(43&gt;Projects!$W$2:$W$45-$B$106)*(43&lt;=Projects!$W$2:$W$45+$B$17)*$B$107)*((Projects!$B$2:$B$45&gt;=$B$12)*$B$6+(Projects!$B$2:$B$45&lt;$B$12)*(Projects!$B$2:$B$45&gt;=$B$13)*$B$7+(Projects!$B$2:$B$45&lt;$B$13)*$B$8))</f>
        <v>4.125</v>
      </c>
      <c r="AV39" s="384" t="n">
        <f aca="false">SUMPRODUCT((Projects!$G$2:$G$45="Yes")*(44&gt;=Projects!$C$2:$C$45-$B$15)*((44&lt;=Projects!$W$2:$W$45-$B$106)*1+(44&gt;Projects!$W$2:$W$45-$B$106)*(44&lt;=Projects!$W$2:$W$45+$B$17)*$B$107)*((Projects!$B$2:$B$45&gt;=$B$12)*$B$6+(Projects!$B$2:$B$45&lt;$B$12)*(Projects!$B$2:$B$45&gt;=$B$13)*$B$7+(Projects!$B$2:$B$45&lt;$B$13)*$B$8))</f>
        <v>4</v>
      </c>
      <c r="AW39" s="384" t="n">
        <f aca="false">SUMPRODUCT((Projects!$G$2:$G$45="Yes")*(45&gt;=Projects!$C$2:$C$45-$B$15)*((45&lt;=Projects!$W$2:$W$45-$B$106)*1+(45&gt;Projects!$W$2:$W$45-$B$106)*(45&lt;=Projects!$W$2:$W$45+$B$17)*$B$107)*((Projects!$B$2:$B$45&gt;=$B$12)*$B$6+(Projects!$B$2:$B$45&lt;$B$12)*(Projects!$B$2:$B$45&gt;=$B$13)*$B$7+(Projects!$B$2:$B$45&lt;$B$13)*$B$8))</f>
        <v>3.625</v>
      </c>
      <c r="AX39" s="384" t="n">
        <f aca="false">SUMPRODUCT((Projects!$G$2:$G$45="Yes")*(46&gt;=Projects!$C$2:$C$45-$B$15)*((46&lt;=Projects!$W$2:$W$45-$B$106)*1+(46&gt;Projects!$W$2:$W$45-$B$106)*(46&lt;=Projects!$W$2:$W$45+$B$17)*$B$107)*((Projects!$B$2:$B$45&gt;=$B$12)*$B$6+(Projects!$B$2:$B$45&lt;$B$12)*(Projects!$B$2:$B$45&gt;=$B$13)*$B$7+(Projects!$B$2:$B$45&lt;$B$13)*$B$8))</f>
        <v>3.5</v>
      </c>
      <c r="AY39" s="384" t="n">
        <f aca="false">SUMPRODUCT((Projects!$G$2:$G$45="Yes")*(47&gt;=Projects!$C$2:$C$45-$B$15)*((47&lt;=Projects!$W$2:$W$45-$B$106)*1+(47&gt;Projects!$W$2:$W$45-$B$106)*(47&lt;=Projects!$W$2:$W$45+$B$17)*$B$107)*((Projects!$B$2:$B$45&gt;=$B$12)*$B$6+(Projects!$B$2:$B$45&lt;$B$12)*(Projects!$B$2:$B$45&gt;=$B$13)*$B$7+(Projects!$B$2:$B$45&lt;$B$13)*$B$8))</f>
        <v>3.375</v>
      </c>
      <c r="AZ39" s="384" t="n">
        <f aca="false">SUMPRODUCT((Projects!$G$2:$G$45="Yes")*(48&gt;=Projects!$C$2:$C$45-$B$15)*((48&lt;=Projects!$W$2:$W$45-$B$106)*1+(48&gt;Projects!$W$2:$W$45-$B$106)*(48&lt;=Projects!$W$2:$W$45+$B$17)*$B$107)*((Projects!$B$2:$B$45&gt;=$B$12)*$B$6+(Projects!$B$2:$B$45&lt;$B$12)*(Projects!$B$2:$B$45&gt;=$B$13)*$B$7+(Projects!$B$2:$B$45&lt;$B$13)*$B$8))</f>
        <v>3.5</v>
      </c>
      <c r="BA39" s="384" t="n">
        <f aca="false">SUMPRODUCT((Projects!$G$2:$G$45="Yes")*(49&gt;=Projects!$C$2:$C$45-$B$15)*((49&lt;=Projects!$W$2:$W$45-$B$106)*1+(49&gt;Projects!$W$2:$W$45-$B$106)*(49&lt;=Projects!$W$2:$W$45+$B$17)*$B$107)*((Projects!$B$2:$B$45&gt;=$B$12)*$B$6+(Projects!$B$2:$B$45&lt;$B$12)*(Projects!$B$2:$B$45&gt;=$B$13)*$B$7+(Projects!$B$2:$B$45&lt;$B$13)*$B$8))</f>
        <v>3.5</v>
      </c>
      <c r="BB39" s="384" t="n">
        <f aca="false">SUMPRODUCT((Projects!$G$2:$G$45="Yes")*(50&gt;=Projects!$C$2:$C$45-$B$15)*((50&lt;=Projects!$W$2:$W$45-$B$106)*1+(50&gt;Projects!$W$2:$W$45-$B$106)*(50&lt;=Projects!$W$2:$W$45+$B$17)*$B$107)*((Projects!$B$2:$B$45&gt;=$B$12)*$B$6+(Projects!$B$2:$B$45&lt;$B$12)*(Projects!$B$2:$B$45&gt;=$B$13)*$B$7+(Projects!$B$2:$B$45&lt;$B$13)*$B$8))</f>
        <v>3.5</v>
      </c>
      <c r="BC39" s="384" t="n">
        <f aca="false">SUMPRODUCT((Projects!$G$2:$G$45="Yes")*(51&gt;=Projects!$C$2:$C$45-$B$15)*((51&lt;=Projects!$W$2:$W$45-$B$106)*1+(51&gt;Projects!$W$2:$W$45-$B$106)*(51&lt;=Projects!$W$2:$W$45+$B$17)*$B$107)*((Projects!$B$2:$B$45&gt;=$B$12)*$B$6+(Projects!$B$2:$B$45&lt;$B$12)*(Projects!$B$2:$B$45&gt;=$B$13)*$B$7+(Projects!$B$2:$B$45&lt;$B$13)*$B$8))</f>
        <v>3.5</v>
      </c>
      <c r="BD39" s="384" t="n">
        <f aca="false">SUMPRODUCT((Projects!$G$2:$G$45="Yes")*(52&gt;=Projects!$C$2:$C$45-$B$15)*((52&lt;=Projects!$W$2:$W$45-$B$106)*1+(52&gt;Projects!$W$2:$W$45-$B$106)*(52&lt;=Projects!$W$2:$W$45+$B$17)*$B$107)*((Projects!$B$2:$B$45&gt;=$B$12)*$B$6+(Projects!$B$2:$B$45&lt;$B$12)*(Projects!$B$2:$B$45&gt;=$B$13)*$B$7+(Projects!$B$2:$B$45&lt;$B$13)*$B$8))</f>
        <v>3.5</v>
      </c>
      <c r="BE39" s="384" t="n">
        <f aca="false">SUMPRODUCT((Projects!$G$2:$G$45="Yes")*(53&gt;=Projects!$C$2:$C$45-$B$15)*((53&lt;=Projects!$W$2:$W$45-$B$106)*1+(53&gt;Projects!$W$2:$W$45-$B$106)*(53&lt;=Projects!$W$2:$W$45+$B$17)*$B$107)*((Projects!$B$2:$B$45&gt;=$B$12)*$B$6+(Projects!$B$2:$B$45&lt;$B$12)*(Projects!$B$2:$B$45&gt;=$B$13)*$B$7+(Projects!$B$2:$B$45&lt;$B$13)*$B$8))</f>
        <v>3.5</v>
      </c>
      <c r="BF39" s="384" t="n">
        <f aca="false">SUMPRODUCT((Projects!$G$2:$G$45="Yes")*(54&gt;=Projects!$C$2:$C$45-$B$15)*((54&lt;=Projects!$W$2:$W$45-$B$106)*1+(54&gt;Projects!$W$2:$W$45-$B$106)*(54&lt;=Projects!$W$2:$W$45+$B$17)*$B$107)*((Projects!$B$2:$B$45&gt;=$B$12)*$B$6+(Projects!$B$2:$B$45&lt;$B$12)*(Projects!$B$2:$B$45&gt;=$B$13)*$B$7+(Projects!$B$2:$B$45&lt;$B$13)*$B$8))</f>
        <v>3.25</v>
      </c>
      <c r="BG39" s="384" t="n">
        <f aca="false">SUMPRODUCT((Projects!$G$2:$G$45="Yes")*(55&gt;=Projects!$C$2:$C$45-$B$15)*((55&lt;=Projects!$W$2:$W$45-$B$106)*1+(55&gt;Projects!$W$2:$W$45-$B$106)*(55&lt;=Projects!$W$2:$W$45+$B$17)*$B$107)*((Projects!$B$2:$B$45&gt;=$B$12)*$B$6+(Projects!$B$2:$B$45&lt;$B$12)*(Projects!$B$2:$B$45&gt;=$B$13)*$B$7+(Projects!$B$2:$B$45&lt;$B$13)*$B$8))</f>
        <v>3.25</v>
      </c>
      <c r="BH39" s="384" t="n">
        <f aca="false">SUMPRODUCT((Projects!$G$2:$G$45="Yes")*(56&gt;=Projects!$C$2:$C$45-$B$15)*((56&lt;=Projects!$W$2:$W$45-$B$106)*1+(56&gt;Projects!$W$2:$W$45-$B$106)*(56&lt;=Projects!$W$2:$W$45+$B$17)*$B$107)*((Projects!$B$2:$B$45&gt;=$B$12)*$B$6+(Projects!$B$2:$B$45&lt;$B$12)*(Projects!$B$2:$B$45&gt;=$B$13)*$B$7+(Projects!$B$2:$B$45&lt;$B$13)*$B$8))</f>
        <v>3.125</v>
      </c>
      <c r="BI39" s="384" t="n">
        <f aca="false">SUMPRODUCT((Projects!$G$2:$G$45="Yes")*(57&gt;=Projects!$C$2:$C$45-$B$15)*((57&lt;=Projects!$W$2:$W$45-$B$106)*1+(57&gt;Projects!$W$2:$W$45-$B$106)*(57&lt;=Projects!$W$2:$W$45+$B$17)*$B$107)*((Projects!$B$2:$B$45&gt;=$B$12)*$B$6+(Projects!$B$2:$B$45&lt;$B$12)*(Projects!$B$2:$B$45&gt;=$B$13)*$B$7+(Projects!$B$2:$B$45&lt;$B$13)*$B$8))</f>
        <v>3</v>
      </c>
      <c r="BJ39" s="384" t="n">
        <f aca="false">SUMPRODUCT((Projects!$G$2:$G$45="Yes")*(58&gt;=Projects!$C$2:$C$45-$B$15)*((58&lt;=Projects!$W$2:$W$45-$B$106)*1+(58&gt;Projects!$W$2:$W$45-$B$106)*(58&lt;=Projects!$W$2:$W$45+$B$17)*$B$107)*((Projects!$B$2:$B$45&gt;=$B$12)*$B$6+(Projects!$B$2:$B$45&lt;$B$12)*(Projects!$B$2:$B$45&gt;=$B$13)*$B$7+(Projects!$B$2:$B$45&lt;$B$13)*$B$8))</f>
        <v>2.625</v>
      </c>
      <c r="BK39" s="384" t="n">
        <f aca="false">SUMPRODUCT((Projects!$G$2:$G$45="Yes")*(59&gt;=Projects!$C$2:$C$45-$B$15)*((59&lt;=Projects!$W$2:$W$45-$B$106)*1+(59&gt;Projects!$W$2:$W$45-$B$106)*(59&lt;=Projects!$W$2:$W$45+$B$17)*$B$107)*((Projects!$B$2:$B$45&gt;=$B$12)*$B$6+(Projects!$B$2:$B$45&lt;$B$12)*(Projects!$B$2:$B$45&gt;=$B$13)*$B$7+(Projects!$B$2:$B$45&lt;$B$13)*$B$8))</f>
        <v>2.375</v>
      </c>
      <c r="BL39" s="384" t="n">
        <f aca="false">SUMPRODUCT((Projects!$G$2:$G$45="Yes")*(60&gt;=Projects!$C$2:$C$45-$B$15)*((60&lt;=Projects!$W$2:$W$45-$B$106)*1+(60&gt;Projects!$W$2:$W$45-$B$106)*(60&lt;=Projects!$W$2:$W$45+$B$17)*$B$107)*((Projects!$B$2:$B$45&gt;=$B$12)*$B$6+(Projects!$B$2:$B$45&lt;$B$12)*(Projects!$B$2:$B$45&gt;=$B$13)*$B$7+(Projects!$B$2:$B$45&lt;$B$13)*$B$8))</f>
        <v>2.25</v>
      </c>
      <c r="BM39" s="384" t="n">
        <f aca="false">SUMPRODUCT((Projects!$G$2:$G$45="Yes")*(61&gt;=Projects!$C$2:$C$45-$B$15)*((61&lt;=Projects!$W$2:$W$45-$B$106)*1+(61&gt;Projects!$W$2:$W$45-$B$106)*(61&lt;=Projects!$W$2:$W$45+$B$17)*$B$107)*((Projects!$B$2:$B$45&gt;=$B$12)*$B$6+(Projects!$B$2:$B$45&lt;$B$12)*(Projects!$B$2:$B$45&gt;=$B$13)*$B$7+(Projects!$B$2:$B$45&lt;$B$13)*$B$8))</f>
        <v>2.25</v>
      </c>
      <c r="BN39" s="384" t="n">
        <f aca="false">SUMPRODUCT((Projects!$G$2:$G$45="Yes")*(62&gt;=Projects!$C$2:$C$45-$B$15)*((62&lt;=Projects!$W$2:$W$45-$B$106)*1+(62&gt;Projects!$W$2:$W$45-$B$106)*(62&lt;=Projects!$W$2:$W$45+$B$17)*$B$107)*((Projects!$B$2:$B$45&gt;=$B$12)*$B$6+(Projects!$B$2:$B$45&lt;$B$12)*(Projects!$B$2:$B$45&gt;=$B$13)*$B$7+(Projects!$B$2:$B$45&lt;$B$13)*$B$8))</f>
        <v>2.25</v>
      </c>
      <c r="BO39" s="384" t="n">
        <f aca="false">SUMPRODUCT((Projects!$G$2:$G$45="Yes")*(63&gt;=Projects!$C$2:$C$45-$B$15)*((63&lt;=Projects!$W$2:$W$45-$B$106)*1+(63&gt;Projects!$W$2:$W$45-$B$106)*(63&lt;=Projects!$W$2:$W$45+$B$17)*$B$107)*((Projects!$B$2:$B$45&gt;=$B$12)*$B$6+(Projects!$B$2:$B$45&lt;$B$12)*(Projects!$B$2:$B$45&gt;=$B$13)*$B$7+(Projects!$B$2:$B$45&lt;$B$13)*$B$8))</f>
        <v>2.125</v>
      </c>
      <c r="BP39" s="384" t="n">
        <f aca="false">SUMPRODUCT((Projects!$G$2:$G$45="Yes")*(64&gt;=Projects!$C$2:$C$45-$B$15)*((64&lt;=Projects!$W$2:$W$45-$B$106)*1+(64&gt;Projects!$W$2:$W$45-$B$106)*(64&lt;=Projects!$W$2:$W$45+$B$17)*$B$107)*((Projects!$B$2:$B$45&gt;=$B$12)*$B$6+(Projects!$B$2:$B$45&lt;$B$12)*(Projects!$B$2:$B$45&gt;=$B$13)*$B$7+(Projects!$B$2:$B$45&lt;$B$13)*$B$8))</f>
        <v>1.875</v>
      </c>
      <c r="BQ39" s="384" t="n">
        <f aca="false">SUMPRODUCT((Projects!$G$2:$G$45="Yes")*(65&gt;=Projects!$C$2:$C$45-$B$15)*((65&lt;=Projects!$W$2:$W$45-$B$106)*1+(65&gt;Projects!$W$2:$W$45-$B$106)*(65&lt;=Projects!$W$2:$W$45+$B$17)*$B$107)*((Projects!$B$2:$B$45&gt;=$B$12)*$B$6+(Projects!$B$2:$B$45&lt;$B$12)*(Projects!$B$2:$B$45&gt;=$B$13)*$B$7+(Projects!$B$2:$B$45&lt;$B$13)*$B$8))</f>
        <v>1.75</v>
      </c>
      <c r="BR39" s="384" t="n">
        <f aca="false">SUMPRODUCT((Projects!$G$2:$G$45="Yes")*(66&gt;=Projects!$C$2:$C$45-$B$15)*((66&lt;=Projects!$W$2:$W$45-$B$106)*1+(66&gt;Projects!$W$2:$W$45-$B$106)*(66&lt;=Projects!$W$2:$W$45+$B$17)*$B$107)*((Projects!$B$2:$B$45&gt;=$B$12)*$B$6+(Projects!$B$2:$B$45&lt;$B$12)*(Projects!$B$2:$B$45&gt;=$B$13)*$B$7+(Projects!$B$2:$B$45&lt;$B$13)*$B$8))</f>
        <v>1.625</v>
      </c>
      <c r="BS39" s="384" t="n">
        <f aca="false">SUMPRODUCT((Projects!$G$2:$G$45="Yes")*(67&gt;=Projects!$C$2:$C$45-$B$15)*((67&lt;=Projects!$W$2:$W$45-$B$106)*1+(67&gt;Projects!$W$2:$W$45-$B$106)*(67&lt;=Projects!$W$2:$W$45+$B$17)*$B$107)*((Projects!$B$2:$B$45&gt;=$B$12)*$B$6+(Projects!$B$2:$B$45&lt;$B$12)*(Projects!$B$2:$B$45&gt;=$B$13)*$B$7+(Projects!$B$2:$B$45&lt;$B$13)*$B$8))</f>
        <v>1.5</v>
      </c>
      <c r="BT39" s="384" t="n">
        <f aca="false">SUMPRODUCT((Projects!$G$2:$G$45="Yes")*(68&gt;=Projects!$C$2:$C$45-$B$15)*((68&lt;=Projects!$W$2:$W$45-$B$106)*1+(68&gt;Projects!$W$2:$W$45-$B$106)*(68&lt;=Projects!$W$2:$W$45+$B$17)*$B$107)*((Projects!$B$2:$B$45&gt;=$B$12)*$B$6+(Projects!$B$2:$B$45&lt;$B$12)*(Projects!$B$2:$B$45&gt;=$B$13)*$B$7+(Projects!$B$2:$B$45&lt;$B$13)*$B$8))</f>
        <v>1.25</v>
      </c>
      <c r="BU39" s="384" t="n">
        <f aca="false">SUMPRODUCT((Projects!$G$2:$G$45="Yes")*(69&gt;=Projects!$C$2:$C$45-$B$15)*((69&lt;=Projects!$W$2:$W$45-$B$106)*1+(69&gt;Projects!$W$2:$W$45-$B$106)*(69&lt;=Projects!$W$2:$W$45+$B$17)*$B$107)*((Projects!$B$2:$B$45&gt;=$B$12)*$B$6+(Projects!$B$2:$B$45&lt;$B$12)*(Projects!$B$2:$B$45&gt;=$B$13)*$B$7+(Projects!$B$2:$B$45&lt;$B$13)*$B$8))</f>
        <v>1</v>
      </c>
      <c r="BV39" s="384" t="n">
        <f aca="false">SUMPRODUCT((Projects!$G$2:$G$45="Yes")*(70&gt;=Projects!$C$2:$C$45-$B$15)*((70&lt;=Projects!$W$2:$W$45-$B$106)*1+(70&gt;Projects!$W$2:$W$45-$B$106)*(70&lt;=Projects!$W$2:$W$45+$B$17)*$B$107)*((Projects!$B$2:$B$45&gt;=$B$12)*$B$6+(Projects!$B$2:$B$45&lt;$B$12)*(Projects!$B$2:$B$45&gt;=$B$13)*$B$7+(Projects!$B$2:$B$45&lt;$B$13)*$B$8))</f>
        <v>0.75</v>
      </c>
      <c r="BW39" s="384" t="n">
        <f aca="false">SUMPRODUCT((Projects!$G$2:$G$45="Yes")*(71&gt;=Projects!$C$2:$C$45-$B$15)*((71&lt;=Projects!$W$2:$W$45-$B$106)*1+(71&gt;Projects!$W$2:$W$45-$B$106)*(71&lt;=Projects!$W$2:$W$45+$B$17)*$B$107)*((Projects!$B$2:$B$45&gt;=$B$12)*$B$6+(Projects!$B$2:$B$45&lt;$B$12)*(Projects!$B$2:$B$45&gt;=$B$13)*$B$7+(Projects!$B$2:$B$45&lt;$B$13)*$B$8))</f>
        <v>0.5</v>
      </c>
      <c r="BX39" s="384" t="n">
        <f aca="false">SUMPRODUCT((Projects!$G$2:$G$45="Yes")*(72&gt;=Projects!$C$2:$C$45-$B$15)*((72&lt;=Projects!$W$2:$W$45-$B$106)*1+(72&gt;Projects!$W$2:$W$45-$B$106)*(72&lt;=Projects!$W$2:$W$45+$B$17)*$B$107)*((Projects!$B$2:$B$45&gt;=$B$12)*$B$6+(Projects!$B$2:$B$45&lt;$B$12)*(Projects!$B$2:$B$45&gt;=$B$13)*$B$7+(Projects!$B$2:$B$45&lt;$B$13)*$B$8))</f>
        <v>0.375</v>
      </c>
      <c r="BY39" s="384" t="n">
        <f aca="false">SUMPRODUCT((Projects!$G$2:$G$45="Yes")*(73&gt;=Projects!$C$2:$C$45-$B$15)*((73&lt;=Projects!$W$2:$W$45-$B$106)*1+(73&gt;Projects!$W$2:$W$45-$B$106)*(73&lt;=Projects!$W$2:$W$45+$B$17)*$B$107)*((Projects!$B$2:$B$45&gt;=$B$12)*$B$6+(Projects!$B$2:$B$45&lt;$B$12)*(Projects!$B$2:$B$45&gt;=$B$13)*$B$7+(Projects!$B$2:$B$45&lt;$B$13)*$B$8))</f>
        <v>0.25</v>
      </c>
      <c r="BZ39" s="384" t="n">
        <f aca="false">SUMPRODUCT((Projects!$G$2:$G$45="Yes")*(74&gt;=Projects!$C$2:$C$45-$B$15)*((74&lt;=Projects!$W$2:$W$45-$B$106)*1+(74&gt;Projects!$W$2:$W$45-$B$106)*(74&lt;=Projects!$W$2:$W$45+$B$17)*$B$107)*((Projects!$B$2:$B$45&gt;=$B$12)*$B$6+(Projects!$B$2:$B$45&lt;$B$12)*(Projects!$B$2:$B$45&gt;=$B$13)*$B$7+(Projects!$B$2:$B$45&lt;$B$13)*$B$8))</f>
        <v>0.125</v>
      </c>
      <c r="CA39" s="384" t="n">
        <f aca="false">SUMPRODUCT((Projects!$G$2:$G$45="Yes")*(75&gt;=Projects!$C$2:$C$45-$B$15)*((75&lt;=Projects!$W$2:$W$45-$B$106)*1+(75&gt;Projects!$W$2:$W$45-$B$106)*(75&lt;=Projects!$W$2:$W$45+$B$17)*$B$107)*((Projects!$B$2:$B$45&gt;=$B$12)*$B$6+(Projects!$B$2:$B$45&lt;$B$12)*(Projects!$B$2:$B$45&gt;=$B$13)*$B$7+(Projects!$B$2:$B$45&lt;$B$13)*$B$8))</f>
        <v>0</v>
      </c>
      <c r="CB39" s="384" t="n">
        <f aca="false">SUMPRODUCT((Projects!$G$2:$G$45="Yes")*(76&gt;=Projects!$C$2:$C$45-$B$15)*((76&lt;=Projects!$W$2:$W$45-$B$106)*1+(76&gt;Projects!$W$2:$W$45-$B$106)*(76&lt;=Projects!$W$2:$W$45+$B$17)*$B$107)*((Projects!$B$2:$B$45&gt;=$B$12)*$B$6+(Projects!$B$2:$B$45&lt;$B$12)*(Projects!$B$2:$B$45&gt;=$B$13)*$B$7+(Projects!$B$2:$B$45&lt;$B$13)*$B$8))</f>
        <v>0</v>
      </c>
      <c r="CC39" s="384" t="n">
        <f aca="false">SUMPRODUCT((Projects!$G$2:$G$45="Yes")*(77&gt;=Projects!$C$2:$C$45-$B$15)*((77&lt;=Projects!$W$2:$W$45-$B$106)*1+(77&gt;Projects!$W$2:$W$45-$B$106)*(77&lt;=Projects!$W$2:$W$45+$B$17)*$B$107)*((Projects!$B$2:$B$45&gt;=$B$12)*$B$6+(Projects!$B$2:$B$45&lt;$B$12)*(Projects!$B$2:$B$45&gt;=$B$13)*$B$7+(Projects!$B$2:$B$45&lt;$B$13)*$B$8))</f>
        <v>0</v>
      </c>
      <c r="CD39" s="384" t="n">
        <f aca="false">SUMPRODUCT((Projects!$G$2:$G$45="Yes")*(78&gt;=Projects!$C$2:$C$45-$B$15)*((78&lt;=Projects!$W$2:$W$45-$B$106)*1+(78&gt;Projects!$W$2:$W$45-$B$106)*(78&lt;=Projects!$W$2:$W$45+$B$17)*$B$107)*((Projects!$B$2:$B$45&gt;=$B$12)*$B$6+(Projects!$B$2:$B$45&lt;$B$12)*(Projects!$B$2:$B$45&gt;=$B$13)*$B$7+(Projects!$B$2:$B$45&lt;$B$13)*$B$8))</f>
        <v>0</v>
      </c>
      <c r="CE39" s="384" t="n">
        <f aca="false">SUMPRODUCT((Projects!$G$2:$G$45="Yes")*(79&gt;=Projects!$C$2:$C$45-$B$15)*((79&lt;=Projects!$W$2:$W$45-$B$106)*1+(79&gt;Projects!$W$2:$W$45-$B$106)*(79&lt;=Projects!$W$2:$W$45+$B$17)*$B$107)*((Projects!$B$2:$B$45&gt;=$B$12)*$B$6+(Projects!$B$2:$B$45&lt;$B$12)*(Projects!$B$2:$B$45&gt;=$B$13)*$B$7+(Projects!$B$2:$B$45&lt;$B$13)*$B$8))</f>
        <v>0</v>
      </c>
      <c r="CF39" s="384" t="n">
        <f aca="false">SUMPRODUCT((Projects!$G$2:$G$45="Yes")*(80&gt;=Projects!$C$2:$C$45-$B$15)*((80&lt;=Projects!$W$2:$W$45-$B$106)*1+(80&gt;Projects!$W$2:$W$45-$B$106)*(80&lt;=Projects!$W$2:$W$45+$B$17)*$B$107)*((Projects!$B$2:$B$45&gt;=$B$12)*$B$6+(Projects!$B$2:$B$45&lt;$B$12)*(Projects!$B$2:$B$45&gt;=$B$13)*$B$7+(Projects!$B$2:$B$45&lt;$B$13)*$B$8))</f>
        <v>0</v>
      </c>
      <c r="CG39" s="384" t="n">
        <f aca="false">SUMPRODUCT((Projects!$G$2:$G$45="Yes")*(81&gt;=Projects!$C$2:$C$45-$B$15)*((81&lt;=Projects!$W$2:$W$45-$B$106)*1+(81&gt;Projects!$W$2:$W$45-$B$106)*(81&lt;=Projects!$W$2:$W$45+$B$17)*$B$107)*((Projects!$B$2:$B$45&gt;=$B$12)*$B$6+(Projects!$B$2:$B$45&lt;$B$12)*(Projects!$B$2:$B$45&gt;=$B$13)*$B$7+(Projects!$B$2:$B$45&lt;$B$13)*$B$8))</f>
        <v>0</v>
      </c>
      <c r="CH39" s="384" t="n">
        <f aca="false">SUMPRODUCT((Projects!$G$2:$G$45="Yes")*(82&gt;=Projects!$C$2:$C$45-$B$15)*((82&lt;=Projects!$W$2:$W$45-$B$106)*1+(82&gt;Projects!$W$2:$W$45-$B$106)*(82&lt;=Projects!$W$2:$W$45+$B$17)*$B$107)*((Projects!$B$2:$B$45&gt;=$B$12)*$B$6+(Projects!$B$2:$B$45&lt;$B$12)*(Projects!$B$2:$B$45&gt;=$B$13)*$B$7+(Projects!$B$2:$B$45&lt;$B$13)*$B$8))</f>
        <v>0</v>
      </c>
      <c r="CI39" s="384" t="n">
        <f aca="false">SUMPRODUCT((Projects!$G$2:$G$45="Yes")*(83&gt;=Projects!$C$2:$C$45-$B$15)*((83&lt;=Projects!$W$2:$W$45-$B$106)*1+(83&gt;Projects!$W$2:$W$45-$B$106)*(83&lt;=Projects!$W$2:$W$45+$B$17)*$B$107)*((Projects!$B$2:$B$45&gt;=$B$12)*$B$6+(Projects!$B$2:$B$45&lt;$B$12)*(Projects!$B$2:$B$45&gt;=$B$13)*$B$7+(Projects!$B$2:$B$45&lt;$B$13)*$B$8))</f>
        <v>0</v>
      </c>
      <c r="CJ39" s="384" t="n">
        <f aca="false">SUMPRODUCT((Projects!$G$2:$G$45="Yes")*(84&gt;=Projects!$C$2:$C$45-$B$15)*((84&lt;=Projects!$W$2:$W$45-$B$106)*1+(84&gt;Projects!$W$2:$W$45-$B$106)*(84&lt;=Projects!$W$2:$W$45+$B$17)*$B$107)*((Projects!$B$2:$B$45&gt;=$B$12)*$B$6+(Projects!$B$2:$B$45&lt;$B$12)*(Projects!$B$2:$B$45&gt;=$B$13)*$B$7+(Projects!$B$2:$B$45&lt;$B$13)*$B$8))</f>
        <v>0</v>
      </c>
      <c r="CK39" s="384" t="n">
        <f aca="false">SUMPRODUCT((Projects!$G$2:$G$45="Yes")*(85&gt;=Projects!$C$2:$C$45-$B$15)*((85&lt;=Projects!$W$2:$W$45-$B$106)*1+(85&gt;Projects!$W$2:$W$45-$B$106)*(85&lt;=Projects!$W$2:$W$45+$B$17)*$B$107)*((Projects!$B$2:$B$45&gt;=$B$12)*$B$6+(Projects!$B$2:$B$45&lt;$B$12)*(Projects!$B$2:$B$45&gt;=$B$13)*$B$7+(Projects!$B$2:$B$45&lt;$B$13)*$B$8))</f>
        <v>0</v>
      </c>
      <c r="CL39" s="384" t="n">
        <f aca="false">SUMPRODUCT((Projects!$G$2:$G$45="Yes")*(86&gt;=Projects!$C$2:$C$45-$B$15)*((86&lt;=Projects!$W$2:$W$45-$B$106)*1+(86&gt;Projects!$W$2:$W$45-$B$106)*(86&lt;=Projects!$W$2:$W$45+$B$17)*$B$107)*((Projects!$B$2:$B$45&gt;=$B$12)*$B$6+(Projects!$B$2:$B$45&lt;$B$12)*(Projects!$B$2:$B$45&gt;=$B$13)*$B$7+(Projects!$B$2:$B$45&lt;$B$13)*$B$8))</f>
        <v>0</v>
      </c>
      <c r="CM39" s="384" t="n">
        <f aca="false">SUMPRODUCT((Projects!$G$2:$G$45="Yes")*(87&gt;=Projects!$C$2:$C$45-$B$15)*((87&lt;=Projects!$W$2:$W$45-$B$106)*1+(87&gt;Projects!$W$2:$W$45-$B$106)*(87&lt;=Projects!$W$2:$W$45+$B$17)*$B$107)*((Projects!$B$2:$B$45&gt;=$B$12)*$B$6+(Projects!$B$2:$B$45&lt;$B$12)*(Projects!$B$2:$B$45&gt;=$B$13)*$B$7+(Projects!$B$2:$B$45&lt;$B$13)*$B$8))</f>
        <v>0</v>
      </c>
      <c r="CN39" s="384" t="n">
        <f aca="false">SUMPRODUCT((Projects!$G$2:$G$45="Yes")*(88&gt;=Projects!$C$2:$C$45-$B$15)*((88&lt;=Projects!$W$2:$W$45-$B$106)*1+(88&gt;Projects!$W$2:$W$45-$B$106)*(88&lt;=Projects!$W$2:$W$45+$B$17)*$B$107)*((Projects!$B$2:$B$45&gt;=$B$12)*$B$6+(Projects!$B$2:$B$45&lt;$B$12)*(Projects!$B$2:$B$45&gt;=$B$13)*$B$7+(Projects!$B$2:$B$45&lt;$B$13)*$B$8))</f>
        <v>0</v>
      </c>
      <c r="CO39" s="384" t="n">
        <f aca="false">SUMPRODUCT((Projects!$G$2:$G$45="Yes")*(89&gt;=Projects!$C$2:$C$45-$B$15)*((89&lt;=Projects!$W$2:$W$45-$B$106)*1+(89&gt;Projects!$W$2:$W$45-$B$106)*(89&lt;=Projects!$W$2:$W$45+$B$17)*$B$107)*((Projects!$B$2:$B$45&gt;=$B$12)*$B$6+(Projects!$B$2:$B$45&lt;$B$12)*(Projects!$B$2:$B$45&gt;=$B$13)*$B$7+(Projects!$B$2:$B$45&lt;$B$13)*$B$8))</f>
        <v>0</v>
      </c>
      <c r="CP39" s="384" t="n">
        <f aca="false">SUMPRODUCT((Projects!$G$2:$G$45="Yes")*(90&gt;=Projects!$C$2:$C$45-$B$15)*((90&lt;=Projects!$W$2:$W$45-$B$106)*1+(90&gt;Projects!$W$2:$W$45-$B$106)*(90&lt;=Projects!$W$2:$W$45+$B$17)*$B$107)*((Projects!$B$2:$B$45&gt;=$B$12)*$B$6+(Projects!$B$2:$B$45&lt;$B$12)*(Projects!$B$2:$B$45&gt;=$B$13)*$B$7+(Projects!$B$2:$B$45&lt;$B$13)*$B$8))</f>
        <v>0</v>
      </c>
      <c r="CQ39" s="384" t="n">
        <f aca="false">SUMPRODUCT((Projects!$G$2:$G$45="Yes")*(91&gt;=Projects!$C$2:$C$45-$B$15)*((91&lt;=Projects!$W$2:$W$45-$B$106)*1+(91&gt;Projects!$W$2:$W$45-$B$106)*(91&lt;=Projects!$W$2:$W$45+$B$17)*$B$107)*((Projects!$B$2:$B$45&gt;=$B$12)*$B$6+(Projects!$B$2:$B$45&lt;$B$12)*(Projects!$B$2:$B$45&gt;=$B$13)*$B$7+(Projects!$B$2:$B$45&lt;$B$13)*$B$8))</f>
        <v>0</v>
      </c>
      <c r="CR39" s="384" t="n">
        <f aca="false">SUMPRODUCT((Projects!$G$2:$G$45="Yes")*(92&gt;=Projects!$C$2:$C$45-$B$15)*((92&lt;=Projects!$W$2:$W$45-$B$106)*1+(92&gt;Projects!$W$2:$W$45-$B$106)*(92&lt;=Projects!$W$2:$W$45+$B$17)*$B$107)*((Projects!$B$2:$B$45&gt;=$B$12)*$B$6+(Projects!$B$2:$B$45&lt;$B$12)*(Projects!$B$2:$B$45&gt;=$B$13)*$B$7+(Projects!$B$2:$B$45&lt;$B$13)*$B$8))</f>
        <v>0</v>
      </c>
      <c r="CS39" s="384" t="n">
        <f aca="false">SUMPRODUCT((Projects!$G$2:$G$45="Yes")*(93&gt;=Projects!$C$2:$C$45-$B$15)*((93&lt;=Projects!$W$2:$W$45-$B$106)*1+(93&gt;Projects!$W$2:$W$45-$B$106)*(93&lt;=Projects!$W$2:$W$45+$B$17)*$B$107)*((Projects!$B$2:$B$45&gt;=$B$12)*$B$6+(Projects!$B$2:$B$45&lt;$B$12)*(Projects!$B$2:$B$45&gt;=$B$13)*$B$7+(Projects!$B$2:$B$45&lt;$B$13)*$B$8))</f>
        <v>0</v>
      </c>
      <c r="CT39" s="384" t="n">
        <f aca="false">SUMPRODUCT((Projects!$G$2:$G$45="Yes")*(94&gt;=Projects!$C$2:$C$45-$B$15)*((94&lt;=Projects!$W$2:$W$45-$B$106)*1+(94&gt;Projects!$W$2:$W$45-$B$106)*(94&lt;=Projects!$W$2:$W$45+$B$17)*$B$107)*((Projects!$B$2:$B$45&gt;=$B$12)*$B$6+(Projects!$B$2:$B$45&lt;$B$12)*(Projects!$B$2:$B$45&gt;=$B$13)*$B$7+(Projects!$B$2:$B$45&lt;$B$13)*$B$8))</f>
        <v>0</v>
      </c>
      <c r="CU39" s="384" t="n">
        <f aca="false">SUMPRODUCT((Projects!$G$2:$G$45="Yes")*(95&gt;=Projects!$C$2:$C$45-$B$15)*((95&lt;=Projects!$W$2:$W$45-$B$106)*1+(95&gt;Projects!$W$2:$W$45-$B$106)*(95&lt;=Projects!$W$2:$W$45+$B$17)*$B$107)*((Projects!$B$2:$B$45&gt;=$B$12)*$B$6+(Projects!$B$2:$B$45&lt;$B$12)*(Projects!$B$2:$B$45&gt;=$B$13)*$B$7+(Projects!$B$2:$B$45&lt;$B$13)*$B$8))</f>
        <v>0</v>
      </c>
      <c r="CV39" s="384" t="n">
        <f aca="false">SUMPRODUCT((Projects!$G$2:$G$45="Yes")*(96&gt;=Projects!$C$2:$C$45-$B$15)*((96&lt;=Projects!$W$2:$W$45-$B$106)*1+(96&gt;Projects!$W$2:$W$45-$B$106)*(96&lt;=Projects!$W$2:$W$45+$B$17)*$B$107)*((Projects!$B$2:$B$45&gt;=$B$12)*$B$6+(Projects!$B$2:$B$45&lt;$B$12)*(Projects!$B$2:$B$45&gt;=$B$13)*$B$7+(Projects!$B$2:$B$45&lt;$B$13)*$B$8))</f>
        <v>0</v>
      </c>
      <c r="CW39" s="384" t="n">
        <f aca="false">SUMPRODUCT((Projects!$G$2:$G$45="Yes")*(97&gt;=Projects!$C$2:$C$45-$B$15)*((97&lt;=Projects!$W$2:$W$45-$B$106)*1+(97&gt;Projects!$W$2:$W$45-$B$106)*(97&lt;=Projects!$W$2:$W$45+$B$17)*$B$107)*((Projects!$B$2:$B$45&gt;=$B$12)*$B$6+(Projects!$B$2:$B$45&lt;$B$12)*(Projects!$B$2:$B$45&gt;=$B$13)*$B$7+(Projects!$B$2:$B$45&lt;$B$13)*$B$8))</f>
        <v>0</v>
      </c>
      <c r="CX39" s="384" t="n">
        <f aca="false">SUMPRODUCT((Projects!$G$2:$G$45="Yes")*(98&gt;=Projects!$C$2:$C$45-$B$15)*((98&lt;=Projects!$W$2:$W$45-$B$106)*1+(98&gt;Projects!$W$2:$W$45-$B$106)*(98&lt;=Projects!$W$2:$W$45+$B$17)*$B$107)*((Projects!$B$2:$B$45&gt;=$B$12)*$B$6+(Projects!$B$2:$B$45&lt;$B$12)*(Projects!$B$2:$B$45&gt;=$B$13)*$B$7+(Projects!$B$2:$B$45&lt;$B$13)*$B$8))</f>
        <v>0</v>
      </c>
      <c r="CY39" s="384" t="n">
        <f aca="false">SUMPRODUCT((Projects!$G$2:$G$45="Yes")*(99&gt;=Projects!$C$2:$C$45-$B$15)*((99&lt;=Projects!$W$2:$W$45-$B$106)*1+(99&gt;Projects!$W$2:$W$45-$B$106)*(99&lt;=Projects!$W$2:$W$45+$B$17)*$B$107)*((Projects!$B$2:$B$45&gt;=$B$12)*$B$6+(Projects!$B$2:$B$45&lt;$B$12)*(Projects!$B$2:$B$45&gt;=$B$13)*$B$7+(Projects!$B$2:$B$45&lt;$B$13)*$B$8))</f>
        <v>0</v>
      </c>
      <c r="CZ39" s="384" t="n">
        <f aca="false">SUMPRODUCT((Projects!$G$2:$G$45="Yes")*(100&gt;=Projects!$C$2:$C$45-$B$15)*((100&lt;=Projects!$W$2:$W$45-$B$106)*1+(100&gt;Projects!$W$2:$W$45-$B$106)*(100&lt;=Projects!$W$2:$W$45+$B$17)*$B$107)*((Projects!$B$2:$B$45&gt;=$B$12)*$B$6+(Projects!$B$2:$B$45&lt;$B$12)*(Projects!$B$2:$B$45&gt;=$B$13)*$B$7+(Projects!$B$2:$B$45&lt;$B$13)*$B$8))</f>
        <v>0</v>
      </c>
      <c r="DA39" s="384" t="n">
        <f aca="false">SUMPRODUCT((Projects!$G$2:$G$45="Yes")*(101&gt;=Projects!$C$2:$C$45-$B$15)*((101&lt;=Projects!$W$2:$W$45-$B$106)*1+(101&gt;Projects!$W$2:$W$45-$B$106)*(101&lt;=Projects!$W$2:$W$45+$B$17)*$B$107)*((Projects!$B$2:$B$45&gt;=$B$12)*$B$6+(Projects!$B$2:$B$45&lt;$B$12)*(Projects!$B$2:$B$45&gt;=$B$13)*$B$7+(Projects!$B$2:$B$45&lt;$B$13)*$B$8))</f>
        <v>0</v>
      </c>
      <c r="DB39" s="384" t="n">
        <f aca="false">SUMPRODUCT((Projects!$G$2:$G$45="Yes")*(102&gt;=Projects!$C$2:$C$45-$B$15)*((102&lt;=Projects!$W$2:$W$45-$B$106)*1+(102&gt;Projects!$W$2:$W$45-$B$106)*(102&lt;=Projects!$W$2:$W$45+$B$17)*$B$107)*((Projects!$B$2:$B$45&gt;=$B$12)*$B$6+(Projects!$B$2:$B$45&lt;$B$12)*(Projects!$B$2:$B$45&gt;=$B$13)*$B$7+(Projects!$B$2:$B$45&lt;$B$13)*$B$8))</f>
        <v>0</v>
      </c>
      <c r="DC39" s="384" t="n">
        <f aca="false">SUMPRODUCT((Projects!$G$2:$G$45="Yes")*(103&gt;=Projects!$C$2:$C$45-$B$15)*((103&lt;=Projects!$W$2:$W$45-$B$106)*1+(103&gt;Projects!$W$2:$W$45-$B$106)*(103&lt;=Projects!$W$2:$W$45+$B$17)*$B$107)*((Projects!$B$2:$B$45&gt;=$B$12)*$B$6+(Projects!$B$2:$B$45&lt;$B$12)*(Projects!$B$2:$B$45&gt;=$B$13)*$B$7+(Projects!$B$2:$B$45&lt;$B$13)*$B$8))</f>
        <v>0</v>
      </c>
      <c r="DD39" s="384" t="n">
        <f aca="false">SUMPRODUCT((Projects!$G$2:$G$45="Yes")*(104&gt;=Projects!$C$2:$C$45-$B$15)*((104&lt;=Projects!$W$2:$W$45-$B$106)*1+(104&gt;Projects!$W$2:$W$45-$B$106)*(104&lt;=Projects!$W$2:$W$45+$B$17)*$B$107)*((Projects!$B$2:$B$45&gt;=$B$12)*$B$6+(Projects!$B$2:$B$45&lt;$B$12)*(Projects!$B$2:$B$45&gt;=$B$13)*$B$7+(Projects!$B$2:$B$45&lt;$B$13)*$B$8))</f>
        <v>0</v>
      </c>
      <c r="DE39" s="384" t="n">
        <f aca="false">SUMPRODUCT((Projects!$G$2:$G$45="Yes")*(105&gt;=Projects!$C$2:$C$45-$B$15)*((105&lt;=Projects!$W$2:$W$45-$B$106)*1+(105&gt;Projects!$W$2:$W$45-$B$106)*(105&lt;=Projects!$W$2:$W$45+$B$17)*$B$107)*((Projects!$B$2:$B$45&gt;=$B$12)*$B$6+(Projects!$B$2:$B$45&lt;$B$12)*(Projects!$B$2:$B$45&gt;=$B$13)*$B$7+(Projects!$B$2:$B$45&lt;$B$13)*$B$8))</f>
        <v>0</v>
      </c>
    </row>
    <row r="40" customFormat="false" ht="13.5" hidden="false" customHeight="true" outlineLevel="0" collapsed="false">
      <c r="A40" s="110" t="s">
        <v>1375</v>
      </c>
      <c r="E40" s="384" t="n">
        <f aca="false">SUMPRODUCT((Projects!$G$2:$G$45="Yes")*(1&gt;=Projects!$C$2:$C$45-$B$16)*((1&lt;=Projects!$W$2:$W$45-$B$106)*1+(1&gt;Projects!$W$2:$W$45-$B$106)*(1&lt;=Projects!$W$2:$W$45+$B$17)*$B$107)*((Projects!$B$2:$B$45&gt;=$B$12)*$B$9+(Projects!$B$2:$B$45&lt;$B$12)*(Projects!$B$2:$B$45&gt;=$B$13)*$B$10+(Projects!$B$2:$B$45&lt;$B$13)*$B$11))</f>
        <v>1.6</v>
      </c>
      <c r="F40" s="384" t="n">
        <f aca="false">SUMPRODUCT((Projects!$G$2:$G$45="Yes")*(2&gt;=Projects!$C$2:$C$45-$B$16)*((2&lt;=Projects!$W$2:$W$45-$B$106)*1+(2&gt;Projects!$W$2:$W$45-$B$106)*(2&lt;=Projects!$W$2:$W$45+$B$17)*$B$107)*((Projects!$B$2:$B$45&gt;=$B$12)*$B$9+(Projects!$B$2:$B$45&lt;$B$12)*(Projects!$B$2:$B$45&gt;=$B$13)*$B$10+(Projects!$B$2:$B$45&lt;$B$13)*$B$11))</f>
        <v>1.6</v>
      </c>
      <c r="G40" s="384" t="n">
        <f aca="false">SUMPRODUCT((Projects!$G$2:$G$45="Yes")*(3&gt;=Projects!$C$2:$C$45-$B$16)*((3&lt;=Projects!$W$2:$W$45-$B$106)*1+(3&gt;Projects!$W$2:$W$45-$B$106)*(3&lt;=Projects!$W$2:$W$45+$B$17)*$B$107)*((Projects!$B$2:$B$45&gt;=$B$12)*$B$9+(Projects!$B$2:$B$45&lt;$B$12)*(Projects!$B$2:$B$45&gt;=$B$13)*$B$10+(Projects!$B$2:$B$45&lt;$B$13)*$B$11))</f>
        <v>1.6</v>
      </c>
      <c r="H40" s="384" t="n">
        <f aca="false">SUMPRODUCT((Projects!$G$2:$G$45="Yes")*(4&gt;=Projects!$C$2:$C$45-$B$16)*((4&lt;=Projects!$W$2:$W$45-$B$106)*1+(4&gt;Projects!$W$2:$W$45-$B$106)*(4&lt;=Projects!$W$2:$W$45+$B$17)*$B$107)*((Projects!$B$2:$B$45&gt;=$B$12)*$B$9+(Projects!$B$2:$B$45&lt;$B$12)*(Projects!$B$2:$B$45&gt;=$B$13)*$B$10+(Projects!$B$2:$B$45&lt;$B$13)*$B$11))</f>
        <v>1.6</v>
      </c>
      <c r="I40" s="384" t="n">
        <f aca="false">SUMPRODUCT((Projects!$G$2:$G$45="Yes")*(5&gt;=Projects!$C$2:$C$45-$B$16)*((5&lt;=Projects!$W$2:$W$45-$B$106)*1+(5&gt;Projects!$W$2:$W$45-$B$106)*(5&lt;=Projects!$W$2:$W$45+$B$17)*$B$107)*((Projects!$B$2:$B$45&gt;=$B$12)*$B$9+(Projects!$B$2:$B$45&lt;$B$12)*(Projects!$B$2:$B$45&gt;=$B$13)*$B$10+(Projects!$B$2:$B$45&lt;$B$13)*$B$11))</f>
        <v>2.3</v>
      </c>
      <c r="J40" s="384" t="n">
        <f aca="false">SUMPRODUCT((Projects!$G$2:$G$45="Yes")*(6&gt;=Projects!$C$2:$C$45-$B$16)*((6&lt;=Projects!$W$2:$W$45-$B$106)*1+(6&gt;Projects!$W$2:$W$45-$B$106)*(6&lt;=Projects!$W$2:$W$45+$B$17)*$B$107)*((Projects!$B$2:$B$45&gt;=$B$12)*$B$9+(Projects!$B$2:$B$45&lt;$B$12)*(Projects!$B$2:$B$45&gt;=$B$13)*$B$10+(Projects!$B$2:$B$45&lt;$B$13)*$B$11))</f>
        <v>2.25</v>
      </c>
      <c r="K40" s="384" t="n">
        <f aca="false">SUMPRODUCT((Projects!$G$2:$G$45="Yes")*(7&gt;=Projects!$C$2:$C$45-$B$16)*((7&lt;=Projects!$W$2:$W$45-$B$106)*1+(7&gt;Projects!$W$2:$W$45-$B$106)*(7&lt;=Projects!$W$2:$W$45+$B$17)*$B$107)*((Projects!$B$2:$B$45&gt;=$B$12)*$B$9+(Projects!$B$2:$B$45&lt;$B$12)*(Projects!$B$2:$B$45&gt;=$B$13)*$B$10+(Projects!$B$2:$B$45&lt;$B$13)*$B$11))</f>
        <v>2.25</v>
      </c>
      <c r="L40" s="384" t="n">
        <f aca="false">SUMPRODUCT((Projects!$G$2:$G$45="Yes")*(8&gt;=Projects!$C$2:$C$45-$B$16)*((8&lt;=Projects!$W$2:$W$45-$B$106)*1+(8&gt;Projects!$W$2:$W$45-$B$106)*(8&lt;=Projects!$W$2:$W$45+$B$17)*$B$107)*((Projects!$B$2:$B$45&gt;=$B$12)*$B$9+(Projects!$B$2:$B$45&lt;$B$12)*(Projects!$B$2:$B$45&gt;=$B$13)*$B$10+(Projects!$B$2:$B$45&lt;$B$13)*$B$11))</f>
        <v>2.25</v>
      </c>
      <c r="M40" s="384" t="n">
        <f aca="false">SUMPRODUCT((Projects!$G$2:$G$45="Yes")*(9&gt;=Projects!$C$2:$C$45-$B$16)*((9&lt;=Projects!$W$2:$W$45-$B$106)*1+(9&gt;Projects!$W$2:$W$45-$B$106)*(9&lt;=Projects!$W$2:$W$45+$B$17)*$B$107)*((Projects!$B$2:$B$45&gt;=$B$12)*$B$9+(Projects!$B$2:$B$45&lt;$B$12)*(Projects!$B$2:$B$45&gt;=$B$13)*$B$10+(Projects!$B$2:$B$45&lt;$B$13)*$B$11))</f>
        <v>2.45</v>
      </c>
      <c r="N40" s="384" t="n">
        <f aca="false">SUMPRODUCT((Projects!$G$2:$G$45="Yes")*(10&gt;=Projects!$C$2:$C$45-$B$16)*((10&lt;=Projects!$W$2:$W$45-$B$106)*1+(10&gt;Projects!$W$2:$W$45-$B$106)*(10&lt;=Projects!$W$2:$W$45+$B$17)*$B$107)*((Projects!$B$2:$B$45&gt;=$B$12)*$B$9+(Projects!$B$2:$B$45&lt;$B$12)*(Projects!$B$2:$B$45&gt;=$B$13)*$B$10+(Projects!$B$2:$B$45&lt;$B$13)*$B$11))</f>
        <v>2.9</v>
      </c>
      <c r="O40" s="384" t="n">
        <f aca="false">SUMPRODUCT((Projects!$G$2:$G$45="Yes")*(11&gt;=Projects!$C$2:$C$45-$B$16)*((11&lt;=Projects!$W$2:$W$45-$B$106)*1+(11&gt;Projects!$W$2:$W$45-$B$106)*(11&lt;=Projects!$W$2:$W$45+$B$17)*$B$107)*((Projects!$B$2:$B$45&gt;=$B$12)*$B$9+(Projects!$B$2:$B$45&lt;$B$12)*(Projects!$B$2:$B$45&gt;=$B$13)*$B$10+(Projects!$B$2:$B$45&lt;$B$13)*$B$11))</f>
        <v>3.4</v>
      </c>
      <c r="P40" s="384" t="n">
        <f aca="false">SUMPRODUCT((Projects!$G$2:$G$45="Yes")*(12&gt;=Projects!$C$2:$C$45-$B$16)*((12&lt;=Projects!$W$2:$W$45-$B$106)*1+(12&gt;Projects!$W$2:$W$45-$B$106)*(12&lt;=Projects!$W$2:$W$45+$B$17)*$B$107)*((Projects!$B$2:$B$45&gt;=$B$12)*$B$9+(Projects!$B$2:$B$45&lt;$B$12)*(Projects!$B$2:$B$45&gt;=$B$13)*$B$10+(Projects!$B$2:$B$45&lt;$B$13)*$B$11))</f>
        <v>3.4</v>
      </c>
      <c r="Q40" s="384" t="n">
        <f aca="false">SUMPRODUCT((Projects!$G$2:$G$45="Yes")*(13&gt;=Projects!$C$2:$C$45-$B$16)*((13&lt;=Projects!$W$2:$W$45-$B$106)*1+(13&gt;Projects!$W$2:$W$45-$B$106)*(13&lt;=Projects!$W$2:$W$45+$B$17)*$B$107)*((Projects!$B$2:$B$45&gt;=$B$12)*$B$9+(Projects!$B$2:$B$45&lt;$B$12)*(Projects!$B$2:$B$45&gt;=$B$13)*$B$10+(Projects!$B$2:$B$45&lt;$B$13)*$B$11))</f>
        <v>3.65</v>
      </c>
      <c r="R40" s="384" t="n">
        <f aca="false">SUMPRODUCT((Projects!$G$2:$G$45="Yes")*(14&gt;=Projects!$C$2:$C$45-$B$16)*((14&lt;=Projects!$W$2:$W$45-$B$106)*1+(14&gt;Projects!$W$2:$W$45-$B$106)*(14&lt;=Projects!$W$2:$W$45+$B$17)*$B$107)*((Projects!$B$2:$B$45&gt;=$B$12)*$B$9+(Projects!$B$2:$B$45&lt;$B$12)*(Projects!$B$2:$B$45&gt;=$B$13)*$B$10+(Projects!$B$2:$B$45&lt;$B$13)*$B$11))</f>
        <v>3.85</v>
      </c>
      <c r="S40" s="384" t="n">
        <f aca="false">SUMPRODUCT((Projects!$G$2:$G$45="Yes")*(15&gt;=Projects!$C$2:$C$45-$B$16)*((15&lt;=Projects!$W$2:$W$45-$B$106)*1+(15&gt;Projects!$W$2:$W$45-$B$106)*(15&lt;=Projects!$W$2:$W$45+$B$17)*$B$107)*((Projects!$B$2:$B$45&gt;=$B$12)*$B$9+(Projects!$B$2:$B$45&lt;$B$12)*(Projects!$B$2:$B$45&gt;=$B$13)*$B$10+(Projects!$B$2:$B$45&lt;$B$13)*$B$11))</f>
        <v>3.95</v>
      </c>
      <c r="T40" s="384" t="n">
        <f aca="false">SUMPRODUCT((Projects!$G$2:$G$45="Yes")*(16&gt;=Projects!$C$2:$C$45-$B$16)*((16&lt;=Projects!$W$2:$W$45-$B$106)*1+(16&gt;Projects!$W$2:$W$45-$B$106)*(16&lt;=Projects!$W$2:$W$45+$B$17)*$B$107)*((Projects!$B$2:$B$45&gt;=$B$12)*$B$9+(Projects!$B$2:$B$45&lt;$B$12)*(Projects!$B$2:$B$45&gt;=$B$13)*$B$10+(Projects!$B$2:$B$45&lt;$B$13)*$B$11))</f>
        <v>4.05</v>
      </c>
      <c r="U40" s="384" t="n">
        <f aca="false">SUMPRODUCT((Projects!$G$2:$G$45="Yes")*(17&gt;=Projects!$C$2:$C$45-$B$16)*((17&lt;=Projects!$W$2:$W$45-$B$106)*1+(17&gt;Projects!$W$2:$W$45-$B$106)*(17&lt;=Projects!$W$2:$W$45+$B$17)*$B$107)*((Projects!$B$2:$B$45&gt;=$B$12)*$B$9+(Projects!$B$2:$B$45&lt;$B$12)*(Projects!$B$2:$B$45&gt;=$B$13)*$B$10+(Projects!$B$2:$B$45&lt;$B$13)*$B$11))</f>
        <v>3.7</v>
      </c>
      <c r="V40" s="384" t="n">
        <f aca="false">SUMPRODUCT((Projects!$G$2:$G$45="Yes")*(18&gt;=Projects!$C$2:$C$45-$B$16)*((18&lt;=Projects!$W$2:$W$45-$B$106)*1+(18&gt;Projects!$W$2:$W$45-$B$106)*(18&lt;=Projects!$W$2:$W$45+$B$17)*$B$107)*((Projects!$B$2:$B$45&gt;=$B$12)*$B$9+(Projects!$B$2:$B$45&lt;$B$12)*(Projects!$B$2:$B$45&gt;=$B$13)*$B$10+(Projects!$B$2:$B$45&lt;$B$13)*$B$11))</f>
        <v>3.7</v>
      </c>
      <c r="W40" s="384" t="n">
        <f aca="false">SUMPRODUCT((Projects!$G$2:$G$45="Yes")*(19&gt;=Projects!$C$2:$C$45-$B$16)*((19&lt;=Projects!$W$2:$W$45-$B$106)*1+(19&gt;Projects!$W$2:$W$45-$B$106)*(19&lt;=Projects!$W$2:$W$45+$B$17)*$B$107)*((Projects!$B$2:$B$45&gt;=$B$12)*$B$9+(Projects!$B$2:$B$45&lt;$B$12)*(Projects!$B$2:$B$45&gt;=$B$13)*$B$10+(Projects!$B$2:$B$45&lt;$B$13)*$B$11))</f>
        <v>3.6</v>
      </c>
      <c r="X40" s="384" t="n">
        <f aca="false">SUMPRODUCT((Projects!$G$2:$G$45="Yes")*(20&gt;=Projects!$C$2:$C$45-$B$16)*((20&lt;=Projects!$W$2:$W$45-$B$106)*1+(20&gt;Projects!$W$2:$W$45-$B$106)*(20&lt;=Projects!$W$2:$W$45+$B$17)*$B$107)*((Projects!$B$2:$B$45&gt;=$B$12)*$B$9+(Projects!$B$2:$B$45&lt;$B$12)*(Projects!$B$2:$B$45&gt;=$B$13)*$B$10+(Projects!$B$2:$B$45&lt;$B$13)*$B$11))</f>
        <v>4</v>
      </c>
      <c r="Y40" s="384" t="n">
        <f aca="false">SUMPRODUCT((Projects!$G$2:$G$45="Yes")*(21&gt;=Projects!$C$2:$C$45-$B$16)*((21&lt;=Projects!$W$2:$W$45-$B$106)*1+(21&gt;Projects!$W$2:$W$45-$B$106)*(21&lt;=Projects!$W$2:$W$45+$B$17)*$B$107)*((Projects!$B$2:$B$45&gt;=$B$12)*$B$9+(Projects!$B$2:$B$45&lt;$B$12)*(Projects!$B$2:$B$45&gt;=$B$13)*$B$10+(Projects!$B$2:$B$45&lt;$B$13)*$B$11))</f>
        <v>3.8</v>
      </c>
      <c r="Z40" s="384" t="n">
        <f aca="false">SUMPRODUCT((Projects!$G$2:$G$45="Yes")*(22&gt;=Projects!$C$2:$C$45-$B$16)*((22&lt;=Projects!$W$2:$W$45-$B$106)*1+(22&gt;Projects!$W$2:$W$45-$B$106)*(22&lt;=Projects!$W$2:$W$45+$B$17)*$B$107)*((Projects!$B$2:$B$45&gt;=$B$12)*$B$9+(Projects!$B$2:$B$45&lt;$B$12)*(Projects!$B$2:$B$45&gt;=$B$13)*$B$10+(Projects!$B$2:$B$45&lt;$B$13)*$B$11))</f>
        <v>3.7</v>
      </c>
      <c r="AA40" s="384" t="n">
        <f aca="false">SUMPRODUCT((Projects!$G$2:$G$45="Yes")*(23&gt;=Projects!$C$2:$C$45-$B$16)*((23&lt;=Projects!$W$2:$W$45-$B$106)*1+(23&gt;Projects!$W$2:$W$45-$B$106)*(23&lt;=Projects!$W$2:$W$45+$B$17)*$B$107)*((Projects!$B$2:$B$45&gt;=$B$12)*$B$9+(Projects!$B$2:$B$45&lt;$B$12)*(Projects!$B$2:$B$45&gt;=$B$13)*$B$10+(Projects!$B$2:$B$45&lt;$B$13)*$B$11))</f>
        <v>3.7</v>
      </c>
      <c r="AB40" s="384" t="n">
        <f aca="false">SUMPRODUCT((Projects!$G$2:$G$45="Yes")*(24&gt;=Projects!$C$2:$C$45-$B$16)*((24&lt;=Projects!$W$2:$W$45-$B$106)*1+(24&gt;Projects!$W$2:$W$45-$B$106)*(24&lt;=Projects!$W$2:$W$45+$B$17)*$B$107)*((Projects!$B$2:$B$45&gt;=$B$12)*$B$9+(Projects!$B$2:$B$45&lt;$B$12)*(Projects!$B$2:$B$45&gt;=$B$13)*$B$10+(Projects!$B$2:$B$45&lt;$B$13)*$B$11))</f>
        <v>3.9</v>
      </c>
      <c r="AC40" s="384" t="n">
        <f aca="false">SUMPRODUCT((Projects!$G$2:$G$45="Yes")*(25&gt;=Projects!$C$2:$C$45-$B$16)*((25&lt;=Projects!$W$2:$W$45-$B$106)*1+(25&gt;Projects!$W$2:$W$45-$B$106)*(25&lt;=Projects!$W$2:$W$45+$B$17)*$B$107)*((Projects!$B$2:$B$45&gt;=$B$12)*$B$9+(Projects!$B$2:$B$45&lt;$B$12)*(Projects!$B$2:$B$45&gt;=$B$13)*$B$10+(Projects!$B$2:$B$45&lt;$B$13)*$B$11))</f>
        <v>3.8</v>
      </c>
      <c r="AD40" s="384" t="n">
        <f aca="false">SUMPRODUCT((Projects!$G$2:$G$45="Yes")*(26&gt;=Projects!$C$2:$C$45-$B$16)*((26&lt;=Projects!$W$2:$W$45-$B$106)*1+(26&gt;Projects!$W$2:$W$45-$B$106)*(26&lt;=Projects!$W$2:$W$45+$B$17)*$B$107)*((Projects!$B$2:$B$45&gt;=$B$12)*$B$9+(Projects!$B$2:$B$45&lt;$B$12)*(Projects!$B$2:$B$45&gt;=$B$13)*$B$10+(Projects!$B$2:$B$45&lt;$B$13)*$B$11))</f>
        <v>3.35</v>
      </c>
      <c r="AE40" s="384" t="n">
        <f aca="false">SUMPRODUCT((Projects!$G$2:$G$45="Yes")*(27&gt;=Projects!$C$2:$C$45-$B$16)*((27&lt;=Projects!$W$2:$W$45-$B$106)*1+(27&gt;Projects!$W$2:$W$45-$B$106)*(27&lt;=Projects!$W$2:$W$45+$B$17)*$B$107)*((Projects!$B$2:$B$45&gt;=$B$12)*$B$9+(Projects!$B$2:$B$45&lt;$B$12)*(Projects!$B$2:$B$45&gt;=$B$13)*$B$10+(Projects!$B$2:$B$45&lt;$B$13)*$B$11))</f>
        <v>3.6</v>
      </c>
      <c r="AF40" s="384" t="n">
        <f aca="false">SUMPRODUCT((Projects!$G$2:$G$45="Yes")*(28&gt;=Projects!$C$2:$C$45-$B$16)*((28&lt;=Projects!$W$2:$W$45-$B$106)*1+(28&gt;Projects!$W$2:$W$45-$B$106)*(28&lt;=Projects!$W$2:$W$45+$B$17)*$B$107)*((Projects!$B$2:$B$45&gt;=$B$12)*$B$9+(Projects!$B$2:$B$45&lt;$B$12)*(Projects!$B$2:$B$45&gt;=$B$13)*$B$10+(Projects!$B$2:$B$45&lt;$B$13)*$B$11))</f>
        <v>3.6</v>
      </c>
      <c r="AG40" s="384" t="n">
        <f aca="false">SUMPRODUCT((Projects!$G$2:$G$45="Yes")*(29&gt;=Projects!$C$2:$C$45-$B$16)*((29&lt;=Projects!$W$2:$W$45-$B$106)*1+(29&gt;Projects!$W$2:$W$45-$B$106)*(29&lt;=Projects!$W$2:$W$45+$B$17)*$B$107)*((Projects!$B$2:$B$45&gt;=$B$12)*$B$9+(Projects!$B$2:$B$45&lt;$B$12)*(Projects!$B$2:$B$45&gt;=$B$13)*$B$10+(Projects!$B$2:$B$45&lt;$B$13)*$B$11))</f>
        <v>3.8</v>
      </c>
      <c r="AH40" s="384" t="n">
        <f aca="false">SUMPRODUCT((Projects!$G$2:$G$45="Yes")*(30&gt;=Projects!$C$2:$C$45-$B$16)*((30&lt;=Projects!$W$2:$W$45-$B$106)*1+(30&gt;Projects!$W$2:$W$45-$B$106)*(30&lt;=Projects!$W$2:$W$45+$B$17)*$B$107)*((Projects!$B$2:$B$45&gt;=$B$12)*$B$9+(Projects!$B$2:$B$45&lt;$B$12)*(Projects!$B$2:$B$45&gt;=$B$13)*$B$10+(Projects!$B$2:$B$45&lt;$B$13)*$B$11))</f>
        <v>3.45</v>
      </c>
      <c r="AI40" s="384" t="n">
        <f aca="false">SUMPRODUCT((Projects!$G$2:$G$45="Yes")*(31&gt;=Projects!$C$2:$C$45-$B$16)*((31&lt;=Projects!$W$2:$W$45-$B$106)*1+(31&gt;Projects!$W$2:$W$45-$B$106)*(31&lt;=Projects!$W$2:$W$45+$B$17)*$B$107)*((Projects!$B$2:$B$45&gt;=$B$12)*$B$9+(Projects!$B$2:$B$45&lt;$B$12)*(Projects!$B$2:$B$45&gt;=$B$13)*$B$10+(Projects!$B$2:$B$45&lt;$B$13)*$B$11))</f>
        <v>3.3</v>
      </c>
      <c r="AJ40" s="384" t="n">
        <f aca="false">SUMPRODUCT((Projects!$G$2:$G$45="Yes")*(32&gt;=Projects!$C$2:$C$45-$B$16)*((32&lt;=Projects!$W$2:$W$45-$B$106)*1+(32&gt;Projects!$W$2:$W$45-$B$106)*(32&lt;=Projects!$W$2:$W$45+$B$17)*$B$107)*((Projects!$B$2:$B$45&gt;=$B$12)*$B$9+(Projects!$B$2:$B$45&lt;$B$12)*(Projects!$B$2:$B$45&gt;=$B$13)*$B$10+(Projects!$B$2:$B$45&lt;$B$13)*$B$11))</f>
        <v>3.4</v>
      </c>
      <c r="AK40" s="384" t="n">
        <f aca="false">SUMPRODUCT((Projects!$G$2:$G$45="Yes")*(33&gt;=Projects!$C$2:$C$45-$B$16)*((33&lt;=Projects!$W$2:$W$45-$B$106)*1+(33&gt;Projects!$W$2:$W$45-$B$106)*(33&lt;=Projects!$W$2:$W$45+$B$17)*$B$107)*((Projects!$B$2:$B$45&gt;=$B$12)*$B$9+(Projects!$B$2:$B$45&lt;$B$12)*(Projects!$B$2:$B$45&gt;=$B$13)*$B$10+(Projects!$B$2:$B$45&lt;$B$13)*$B$11))</f>
        <v>3.6</v>
      </c>
      <c r="AL40" s="384" t="n">
        <f aca="false">SUMPRODUCT((Projects!$G$2:$G$45="Yes")*(34&gt;=Projects!$C$2:$C$45-$B$16)*((34&lt;=Projects!$W$2:$W$45-$B$106)*1+(34&gt;Projects!$W$2:$W$45-$B$106)*(34&lt;=Projects!$W$2:$W$45+$B$17)*$B$107)*((Projects!$B$2:$B$45&gt;=$B$12)*$B$9+(Projects!$B$2:$B$45&lt;$B$12)*(Projects!$B$2:$B$45&gt;=$B$13)*$B$10+(Projects!$B$2:$B$45&lt;$B$13)*$B$11))</f>
        <v>3.35</v>
      </c>
      <c r="AM40" s="384" t="n">
        <f aca="false">SUMPRODUCT((Projects!$G$2:$G$45="Yes")*(35&gt;=Projects!$C$2:$C$45-$B$16)*((35&lt;=Projects!$W$2:$W$45-$B$106)*1+(35&gt;Projects!$W$2:$W$45-$B$106)*(35&lt;=Projects!$W$2:$W$45+$B$17)*$B$107)*((Projects!$B$2:$B$45&gt;=$B$12)*$B$9+(Projects!$B$2:$B$45&lt;$B$12)*(Projects!$B$2:$B$45&gt;=$B$13)*$B$10+(Projects!$B$2:$B$45&lt;$B$13)*$B$11))</f>
        <v>3.45</v>
      </c>
      <c r="AN40" s="384" t="n">
        <f aca="false">SUMPRODUCT((Projects!$G$2:$G$45="Yes")*(36&gt;=Projects!$C$2:$C$45-$B$16)*((36&lt;=Projects!$W$2:$W$45-$B$106)*1+(36&gt;Projects!$W$2:$W$45-$B$106)*(36&lt;=Projects!$W$2:$W$45+$B$17)*$B$107)*((Projects!$B$2:$B$45&gt;=$B$12)*$B$9+(Projects!$B$2:$B$45&lt;$B$12)*(Projects!$B$2:$B$45&gt;=$B$13)*$B$10+(Projects!$B$2:$B$45&lt;$B$13)*$B$11))</f>
        <v>3.55</v>
      </c>
      <c r="AO40" s="384" t="n">
        <f aca="false">SUMPRODUCT((Projects!$G$2:$G$45="Yes")*(37&gt;=Projects!$C$2:$C$45-$B$16)*((37&lt;=Projects!$W$2:$W$45-$B$106)*1+(37&gt;Projects!$W$2:$W$45-$B$106)*(37&lt;=Projects!$W$2:$W$45+$B$17)*$B$107)*((Projects!$B$2:$B$45&gt;=$B$12)*$B$9+(Projects!$B$2:$B$45&lt;$B$12)*(Projects!$B$2:$B$45&gt;=$B$13)*$B$10+(Projects!$B$2:$B$45&lt;$B$13)*$B$11))</f>
        <v>3.75</v>
      </c>
      <c r="AP40" s="384" t="n">
        <f aca="false">SUMPRODUCT((Projects!$G$2:$G$45="Yes")*(38&gt;=Projects!$C$2:$C$45-$B$16)*((38&lt;=Projects!$W$2:$W$45-$B$106)*1+(38&gt;Projects!$W$2:$W$45-$B$106)*(38&lt;=Projects!$W$2:$W$45+$B$17)*$B$107)*((Projects!$B$2:$B$45&gt;=$B$12)*$B$9+(Projects!$B$2:$B$45&lt;$B$12)*(Projects!$B$2:$B$45&gt;=$B$13)*$B$10+(Projects!$B$2:$B$45&lt;$B$13)*$B$11))</f>
        <v>3.7</v>
      </c>
      <c r="AQ40" s="384" t="n">
        <f aca="false">SUMPRODUCT((Projects!$G$2:$G$45="Yes")*(39&gt;=Projects!$C$2:$C$45-$B$16)*((39&lt;=Projects!$W$2:$W$45-$B$106)*1+(39&gt;Projects!$W$2:$W$45-$B$106)*(39&lt;=Projects!$W$2:$W$45+$B$17)*$B$107)*((Projects!$B$2:$B$45&gt;=$B$12)*$B$9+(Projects!$B$2:$B$45&lt;$B$12)*(Projects!$B$2:$B$45&gt;=$B$13)*$B$10+(Projects!$B$2:$B$45&lt;$B$13)*$B$11))</f>
        <v>3.9</v>
      </c>
      <c r="AR40" s="384" t="n">
        <f aca="false">SUMPRODUCT((Projects!$G$2:$G$45="Yes")*(40&gt;=Projects!$C$2:$C$45-$B$16)*((40&lt;=Projects!$W$2:$W$45-$B$106)*1+(40&gt;Projects!$W$2:$W$45-$B$106)*(40&lt;=Projects!$W$2:$W$45+$B$17)*$B$107)*((Projects!$B$2:$B$45&gt;=$B$12)*$B$9+(Projects!$B$2:$B$45&lt;$B$12)*(Projects!$B$2:$B$45&gt;=$B$13)*$B$10+(Projects!$B$2:$B$45&lt;$B$13)*$B$11))</f>
        <v>3.55</v>
      </c>
      <c r="AS40" s="384" t="n">
        <f aca="false">SUMPRODUCT((Projects!$G$2:$G$45="Yes")*(41&gt;=Projects!$C$2:$C$45-$B$16)*((41&lt;=Projects!$W$2:$W$45-$B$106)*1+(41&gt;Projects!$W$2:$W$45-$B$106)*(41&lt;=Projects!$W$2:$W$45+$B$17)*$B$107)*((Projects!$B$2:$B$45&gt;=$B$12)*$B$9+(Projects!$B$2:$B$45&lt;$B$12)*(Projects!$B$2:$B$45&gt;=$B$13)*$B$10+(Projects!$B$2:$B$45&lt;$B$13)*$B$11))</f>
        <v>3.3</v>
      </c>
      <c r="AT40" s="384" t="n">
        <f aca="false">SUMPRODUCT((Projects!$G$2:$G$45="Yes")*(42&gt;=Projects!$C$2:$C$45-$B$16)*((42&lt;=Projects!$W$2:$W$45-$B$106)*1+(42&gt;Projects!$W$2:$W$45-$B$106)*(42&lt;=Projects!$W$2:$W$45+$B$17)*$B$107)*((Projects!$B$2:$B$45&gt;=$B$12)*$B$9+(Projects!$B$2:$B$45&lt;$B$12)*(Projects!$B$2:$B$45&gt;=$B$13)*$B$10+(Projects!$B$2:$B$45&lt;$B$13)*$B$11))</f>
        <v>3.3</v>
      </c>
      <c r="AU40" s="384" t="n">
        <f aca="false">SUMPRODUCT((Projects!$G$2:$G$45="Yes")*(43&gt;=Projects!$C$2:$C$45-$B$16)*((43&lt;=Projects!$W$2:$W$45-$B$106)*1+(43&gt;Projects!$W$2:$W$45-$B$106)*(43&lt;=Projects!$W$2:$W$45+$B$17)*$B$107)*((Projects!$B$2:$B$45&gt;=$B$12)*$B$9+(Projects!$B$2:$B$45&lt;$B$12)*(Projects!$B$2:$B$45&gt;=$B$13)*$B$10+(Projects!$B$2:$B$45&lt;$B$13)*$B$11))</f>
        <v>3.5</v>
      </c>
      <c r="AV40" s="384" t="n">
        <f aca="false">SUMPRODUCT((Projects!$G$2:$G$45="Yes")*(44&gt;=Projects!$C$2:$C$45-$B$16)*((44&lt;=Projects!$W$2:$W$45-$B$106)*1+(44&gt;Projects!$W$2:$W$45-$B$106)*(44&lt;=Projects!$W$2:$W$45+$B$17)*$B$107)*((Projects!$B$2:$B$45&gt;=$B$12)*$B$9+(Projects!$B$2:$B$45&lt;$B$12)*(Projects!$B$2:$B$45&gt;=$B$13)*$B$10+(Projects!$B$2:$B$45&lt;$B$13)*$B$11))</f>
        <v>3.35</v>
      </c>
      <c r="AW40" s="384" t="n">
        <f aca="false">SUMPRODUCT((Projects!$G$2:$G$45="Yes")*(45&gt;=Projects!$C$2:$C$45-$B$16)*((45&lt;=Projects!$W$2:$W$45-$B$106)*1+(45&gt;Projects!$W$2:$W$45-$B$106)*(45&lt;=Projects!$W$2:$W$45+$B$17)*$B$107)*((Projects!$B$2:$B$45&gt;=$B$12)*$B$9+(Projects!$B$2:$B$45&lt;$B$12)*(Projects!$B$2:$B$45&gt;=$B$13)*$B$10+(Projects!$B$2:$B$45&lt;$B$13)*$B$11))</f>
        <v>3</v>
      </c>
      <c r="AX40" s="384" t="n">
        <f aca="false">SUMPRODUCT((Projects!$G$2:$G$45="Yes")*(46&gt;=Projects!$C$2:$C$45-$B$16)*((46&lt;=Projects!$W$2:$W$45-$B$106)*1+(46&gt;Projects!$W$2:$W$45-$B$106)*(46&lt;=Projects!$W$2:$W$45+$B$17)*$B$107)*((Projects!$B$2:$B$45&gt;=$B$12)*$B$9+(Projects!$B$2:$B$45&lt;$B$12)*(Projects!$B$2:$B$45&gt;=$B$13)*$B$10+(Projects!$B$2:$B$45&lt;$B$13)*$B$11))</f>
        <v>2.9</v>
      </c>
      <c r="AY40" s="384" t="n">
        <f aca="false">SUMPRODUCT((Projects!$G$2:$G$45="Yes")*(47&gt;=Projects!$C$2:$C$45-$B$16)*((47&lt;=Projects!$W$2:$W$45-$B$106)*1+(47&gt;Projects!$W$2:$W$45-$B$106)*(47&lt;=Projects!$W$2:$W$45+$B$17)*$B$107)*((Projects!$B$2:$B$45&gt;=$B$12)*$B$9+(Projects!$B$2:$B$45&lt;$B$12)*(Projects!$B$2:$B$45&gt;=$B$13)*$B$10+(Projects!$B$2:$B$45&lt;$B$13)*$B$11))</f>
        <v>2.8</v>
      </c>
      <c r="AZ40" s="384" t="n">
        <f aca="false">SUMPRODUCT((Projects!$G$2:$G$45="Yes")*(48&gt;=Projects!$C$2:$C$45-$B$16)*((48&lt;=Projects!$W$2:$W$45-$B$106)*1+(48&gt;Projects!$W$2:$W$45-$B$106)*(48&lt;=Projects!$W$2:$W$45+$B$17)*$B$107)*((Projects!$B$2:$B$45&gt;=$B$12)*$B$9+(Projects!$B$2:$B$45&lt;$B$12)*(Projects!$B$2:$B$45&gt;=$B$13)*$B$10+(Projects!$B$2:$B$45&lt;$B$13)*$B$11))</f>
        <v>2.9</v>
      </c>
      <c r="BA40" s="384" t="n">
        <f aca="false">SUMPRODUCT((Projects!$G$2:$G$45="Yes")*(49&gt;=Projects!$C$2:$C$45-$B$16)*((49&lt;=Projects!$W$2:$W$45-$B$106)*1+(49&gt;Projects!$W$2:$W$45-$B$106)*(49&lt;=Projects!$W$2:$W$45+$B$17)*$B$107)*((Projects!$B$2:$B$45&gt;=$B$12)*$B$9+(Projects!$B$2:$B$45&lt;$B$12)*(Projects!$B$2:$B$45&gt;=$B$13)*$B$10+(Projects!$B$2:$B$45&lt;$B$13)*$B$11))</f>
        <v>2.9</v>
      </c>
      <c r="BB40" s="384" t="n">
        <f aca="false">SUMPRODUCT((Projects!$G$2:$G$45="Yes")*(50&gt;=Projects!$C$2:$C$45-$B$16)*((50&lt;=Projects!$W$2:$W$45-$B$106)*1+(50&gt;Projects!$W$2:$W$45-$B$106)*(50&lt;=Projects!$W$2:$W$45+$B$17)*$B$107)*((Projects!$B$2:$B$45&gt;=$B$12)*$B$9+(Projects!$B$2:$B$45&lt;$B$12)*(Projects!$B$2:$B$45&gt;=$B$13)*$B$10+(Projects!$B$2:$B$45&lt;$B$13)*$B$11))</f>
        <v>2.9</v>
      </c>
      <c r="BC40" s="384" t="n">
        <f aca="false">SUMPRODUCT((Projects!$G$2:$G$45="Yes")*(51&gt;=Projects!$C$2:$C$45-$B$16)*((51&lt;=Projects!$W$2:$W$45-$B$106)*1+(51&gt;Projects!$W$2:$W$45-$B$106)*(51&lt;=Projects!$W$2:$W$45+$B$17)*$B$107)*((Projects!$B$2:$B$45&gt;=$B$12)*$B$9+(Projects!$B$2:$B$45&lt;$B$12)*(Projects!$B$2:$B$45&gt;=$B$13)*$B$10+(Projects!$B$2:$B$45&lt;$B$13)*$B$11))</f>
        <v>2.9</v>
      </c>
      <c r="BD40" s="384" t="n">
        <f aca="false">SUMPRODUCT((Projects!$G$2:$G$45="Yes")*(52&gt;=Projects!$C$2:$C$45-$B$16)*((52&lt;=Projects!$W$2:$W$45-$B$106)*1+(52&gt;Projects!$W$2:$W$45-$B$106)*(52&lt;=Projects!$W$2:$W$45+$B$17)*$B$107)*((Projects!$B$2:$B$45&gt;=$B$12)*$B$9+(Projects!$B$2:$B$45&lt;$B$12)*(Projects!$B$2:$B$45&gt;=$B$13)*$B$10+(Projects!$B$2:$B$45&lt;$B$13)*$B$11))</f>
        <v>2.9</v>
      </c>
      <c r="BE40" s="384" t="n">
        <f aca="false">SUMPRODUCT((Projects!$G$2:$G$45="Yes")*(53&gt;=Projects!$C$2:$C$45-$B$16)*((53&lt;=Projects!$W$2:$W$45-$B$106)*1+(53&gt;Projects!$W$2:$W$45-$B$106)*(53&lt;=Projects!$W$2:$W$45+$B$17)*$B$107)*((Projects!$B$2:$B$45&gt;=$B$12)*$B$9+(Projects!$B$2:$B$45&lt;$B$12)*(Projects!$B$2:$B$45&gt;=$B$13)*$B$10+(Projects!$B$2:$B$45&lt;$B$13)*$B$11))</f>
        <v>2.9</v>
      </c>
      <c r="BF40" s="384" t="n">
        <f aca="false">SUMPRODUCT((Projects!$G$2:$G$45="Yes")*(54&gt;=Projects!$C$2:$C$45-$B$16)*((54&lt;=Projects!$W$2:$W$45-$B$106)*1+(54&gt;Projects!$W$2:$W$45-$B$106)*(54&lt;=Projects!$W$2:$W$45+$B$17)*$B$107)*((Projects!$B$2:$B$45&gt;=$B$12)*$B$9+(Projects!$B$2:$B$45&lt;$B$12)*(Projects!$B$2:$B$45&gt;=$B$13)*$B$10+(Projects!$B$2:$B$45&lt;$B$13)*$B$11))</f>
        <v>2.65</v>
      </c>
      <c r="BG40" s="384" t="n">
        <f aca="false">SUMPRODUCT((Projects!$G$2:$G$45="Yes")*(55&gt;=Projects!$C$2:$C$45-$B$16)*((55&lt;=Projects!$W$2:$W$45-$B$106)*1+(55&gt;Projects!$W$2:$W$45-$B$106)*(55&lt;=Projects!$W$2:$W$45+$B$17)*$B$107)*((Projects!$B$2:$B$45&gt;=$B$12)*$B$9+(Projects!$B$2:$B$45&lt;$B$12)*(Projects!$B$2:$B$45&gt;=$B$13)*$B$10+(Projects!$B$2:$B$45&lt;$B$13)*$B$11))</f>
        <v>2.65</v>
      </c>
      <c r="BH40" s="384" t="n">
        <f aca="false">SUMPRODUCT((Projects!$G$2:$G$45="Yes")*(56&gt;=Projects!$C$2:$C$45-$B$16)*((56&lt;=Projects!$W$2:$W$45-$B$106)*1+(56&gt;Projects!$W$2:$W$45-$B$106)*(56&lt;=Projects!$W$2:$W$45+$B$17)*$B$107)*((Projects!$B$2:$B$45&gt;=$B$12)*$B$9+(Projects!$B$2:$B$45&lt;$B$12)*(Projects!$B$2:$B$45&gt;=$B$13)*$B$10+(Projects!$B$2:$B$45&lt;$B$13)*$B$11))</f>
        <v>2.55</v>
      </c>
      <c r="BI40" s="384" t="n">
        <f aca="false">SUMPRODUCT((Projects!$G$2:$G$45="Yes")*(57&gt;=Projects!$C$2:$C$45-$B$16)*((57&lt;=Projects!$W$2:$W$45-$B$106)*1+(57&gt;Projects!$W$2:$W$45-$B$106)*(57&lt;=Projects!$W$2:$W$45+$B$17)*$B$107)*((Projects!$B$2:$B$45&gt;=$B$12)*$B$9+(Projects!$B$2:$B$45&lt;$B$12)*(Projects!$B$2:$B$45&gt;=$B$13)*$B$10+(Projects!$B$2:$B$45&lt;$B$13)*$B$11))</f>
        <v>2.45</v>
      </c>
      <c r="BJ40" s="384" t="n">
        <f aca="false">SUMPRODUCT((Projects!$G$2:$G$45="Yes")*(58&gt;=Projects!$C$2:$C$45-$B$16)*((58&lt;=Projects!$W$2:$W$45-$B$106)*1+(58&gt;Projects!$W$2:$W$45-$B$106)*(58&lt;=Projects!$W$2:$W$45+$B$17)*$B$107)*((Projects!$B$2:$B$45&gt;=$B$12)*$B$9+(Projects!$B$2:$B$45&lt;$B$12)*(Projects!$B$2:$B$45&gt;=$B$13)*$B$10+(Projects!$B$2:$B$45&lt;$B$13)*$B$11))</f>
        <v>2.1</v>
      </c>
      <c r="BK40" s="384" t="n">
        <f aca="false">SUMPRODUCT((Projects!$G$2:$G$45="Yes")*(59&gt;=Projects!$C$2:$C$45-$B$16)*((59&lt;=Projects!$W$2:$W$45-$B$106)*1+(59&gt;Projects!$W$2:$W$45-$B$106)*(59&lt;=Projects!$W$2:$W$45+$B$17)*$B$107)*((Projects!$B$2:$B$45&gt;=$B$12)*$B$9+(Projects!$B$2:$B$45&lt;$B$12)*(Projects!$B$2:$B$45&gt;=$B$13)*$B$10+(Projects!$B$2:$B$45&lt;$B$13)*$B$11))</f>
        <v>1.9</v>
      </c>
      <c r="BL40" s="384" t="n">
        <f aca="false">SUMPRODUCT((Projects!$G$2:$G$45="Yes")*(60&gt;=Projects!$C$2:$C$45-$B$16)*((60&lt;=Projects!$W$2:$W$45-$B$106)*1+(60&gt;Projects!$W$2:$W$45-$B$106)*(60&lt;=Projects!$W$2:$W$45+$B$17)*$B$107)*((Projects!$B$2:$B$45&gt;=$B$12)*$B$9+(Projects!$B$2:$B$45&lt;$B$12)*(Projects!$B$2:$B$45&gt;=$B$13)*$B$10+(Projects!$B$2:$B$45&lt;$B$13)*$B$11))</f>
        <v>1.8</v>
      </c>
      <c r="BM40" s="384" t="n">
        <f aca="false">SUMPRODUCT((Projects!$G$2:$G$45="Yes")*(61&gt;=Projects!$C$2:$C$45-$B$16)*((61&lt;=Projects!$W$2:$W$45-$B$106)*1+(61&gt;Projects!$W$2:$W$45-$B$106)*(61&lt;=Projects!$W$2:$W$45+$B$17)*$B$107)*((Projects!$B$2:$B$45&gt;=$B$12)*$B$9+(Projects!$B$2:$B$45&lt;$B$12)*(Projects!$B$2:$B$45&gt;=$B$13)*$B$10+(Projects!$B$2:$B$45&lt;$B$13)*$B$11))</f>
        <v>1.8</v>
      </c>
      <c r="BN40" s="384" t="n">
        <f aca="false">SUMPRODUCT((Projects!$G$2:$G$45="Yes")*(62&gt;=Projects!$C$2:$C$45-$B$16)*((62&lt;=Projects!$W$2:$W$45-$B$106)*1+(62&gt;Projects!$W$2:$W$45-$B$106)*(62&lt;=Projects!$W$2:$W$45+$B$17)*$B$107)*((Projects!$B$2:$B$45&gt;=$B$12)*$B$9+(Projects!$B$2:$B$45&lt;$B$12)*(Projects!$B$2:$B$45&gt;=$B$13)*$B$10+(Projects!$B$2:$B$45&lt;$B$13)*$B$11))</f>
        <v>1.8</v>
      </c>
      <c r="BO40" s="384" t="n">
        <f aca="false">SUMPRODUCT((Projects!$G$2:$G$45="Yes")*(63&gt;=Projects!$C$2:$C$45-$B$16)*((63&lt;=Projects!$W$2:$W$45-$B$106)*1+(63&gt;Projects!$W$2:$W$45-$B$106)*(63&lt;=Projects!$W$2:$W$45+$B$17)*$B$107)*((Projects!$B$2:$B$45&gt;=$B$12)*$B$9+(Projects!$B$2:$B$45&lt;$B$12)*(Projects!$B$2:$B$45&gt;=$B$13)*$B$10+(Projects!$B$2:$B$45&lt;$B$13)*$B$11))</f>
        <v>1.7</v>
      </c>
      <c r="BP40" s="384" t="n">
        <f aca="false">SUMPRODUCT((Projects!$G$2:$G$45="Yes")*(64&gt;=Projects!$C$2:$C$45-$B$16)*((64&lt;=Projects!$W$2:$W$45-$B$106)*1+(64&gt;Projects!$W$2:$W$45-$B$106)*(64&lt;=Projects!$W$2:$W$45+$B$17)*$B$107)*((Projects!$B$2:$B$45&gt;=$B$12)*$B$9+(Projects!$B$2:$B$45&lt;$B$12)*(Projects!$B$2:$B$45&gt;=$B$13)*$B$10+(Projects!$B$2:$B$45&lt;$B$13)*$B$11))</f>
        <v>1.5</v>
      </c>
      <c r="BQ40" s="384" t="n">
        <f aca="false">SUMPRODUCT((Projects!$G$2:$G$45="Yes")*(65&gt;=Projects!$C$2:$C$45-$B$16)*((65&lt;=Projects!$W$2:$W$45-$B$106)*1+(65&gt;Projects!$W$2:$W$45-$B$106)*(65&lt;=Projects!$W$2:$W$45+$B$17)*$B$107)*((Projects!$B$2:$B$45&gt;=$B$12)*$B$9+(Projects!$B$2:$B$45&lt;$B$12)*(Projects!$B$2:$B$45&gt;=$B$13)*$B$10+(Projects!$B$2:$B$45&lt;$B$13)*$B$11))</f>
        <v>1.4</v>
      </c>
      <c r="BR40" s="384" t="n">
        <f aca="false">SUMPRODUCT((Projects!$G$2:$G$45="Yes")*(66&gt;=Projects!$C$2:$C$45-$B$16)*((66&lt;=Projects!$W$2:$W$45-$B$106)*1+(66&gt;Projects!$W$2:$W$45-$B$106)*(66&lt;=Projects!$W$2:$W$45+$B$17)*$B$107)*((Projects!$B$2:$B$45&gt;=$B$12)*$B$9+(Projects!$B$2:$B$45&lt;$B$12)*(Projects!$B$2:$B$45&gt;=$B$13)*$B$10+(Projects!$B$2:$B$45&lt;$B$13)*$B$11))</f>
        <v>1.3</v>
      </c>
      <c r="BS40" s="384" t="n">
        <f aca="false">SUMPRODUCT((Projects!$G$2:$G$45="Yes")*(67&gt;=Projects!$C$2:$C$45-$B$16)*((67&lt;=Projects!$W$2:$W$45-$B$106)*1+(67&gt;Projects!$W$2:$W$45-$B$106)*(67&lt;=Projects!$W$2:$W$45+$B$17)*$B$107)*((Projects!$B$2:$B$45&gt;=$B$12)*$B$9+(Projects!$B$2:$B$45&lt;$B$12)*(Projects!$B$2:$B$45&gt;=$B$13)*$B$10+(Projects!$B$2:$B$45&lt;$B$13)*$B$11))</f>
        <v>1.2</v>
      </c>
      <c r="BT40" s="384" t="n">
        <f aca="false">SUMPRODUCT((Projects!$G$2:$G$45="Yes")*(68&gt;=Projects!$C$2:$C$45-$B$16)*((68&lt;=Projects!$W$2:$W$45-$B$106)*1+(68&gt;Projects!$W$2:$W$45-$B$106)*(68&lt;=Projects!$W$2:$W$45+$B$17)*$B$107)*((Projects!$B$2:$B$45&gt;=$B$12)*$B$9+(Projects!$B$2:$B$45&lt;$B$12)*(Projects!$B$2:$B$45&gt;=$B$13)*$B$10+(Projects!$B$2:$B$45&lt;$B$13)*$B$11))</f>
        <v>1</v>
      </c>
      <c r="BU40" s="384" t="n">
        <f aca="false">SUMPRODUCT((Projects!$G$2:$G$45="Yes")*(69&gt;=Projects!$C$2:$C$45-$B$16)*((69&lt;=Projects!$W$2:$W$45-$B$106)*1+(69&gt;Projects!$W$2:$W$45-$B$106)*(69&lt;=Projects!$W$2:$W$45+$B$17)*$B$107)*((Projects!$B$2:$B$45&gt;=$B$12)*$B$9+(Projects!$B$2:$B$45&lt;$B$12)*(Projects!$B$2:$B$45&gt;=$B$13)*$B$10+(Projects!$B$2:$B$45&lt;$B$13)*$B$11))</f>
        <v>0.8</v>
      </c>
      <c r="BV40" s="384" t="n">
        <f aca="false">SUMPRODUCT((Projects!$G$2:$G$45="Yes")*(70&gt;=Projects!$C$2:$C$45-$B$16)*((70&lt;=Projects!$W$2:$W$45-$B$106)*1+(70&gt;Projects!$W$2:$W$45-$B$106)*(70&lt;=Projects!$W$2:$W$45+$B$17)*$B$107)*((Projects!$B$2:$B$45&gt;=$B$12)*$B$9+(Projects!$B$2:$B$45&lt;$B$12)*(Projects!$B$2:$B$45&gt;=$B$13)*$B$10+(Projects!$B$2:$B$45&lt;$B$13)*$B$11))</f>
        <v>0.6</v>
      </c>
      <c r="BW40" s="384" t="n">
        <f aca="false">SUMPRODUCT((Projects!$G$2:$G$45="Yes")*(71&gt;=Projects!$C$2:$C$45-$B$16)*((71&lt;=Projects!$W$2:$W$45-$B$106)*1+(71&gt;Projects!$W$2:$W$45-$B$106)*(71&lt;=Projects!$W$2:$W$45+$B$17)*$B$107)*((Projects!$B$2:$B$45&gt;=$B$12)*$B$9+(Projects!$B$2:$B$45&lt;$B$12)*(Projects!$B$2:$B$45&gt;=$B$13)*$B$10+(Projects!$B$2:$B$45&lt;$B$13)*$B$11))</f>
        <v>0.4</v>
      </c>
      <c r="BX40" s="384" t="n">
        <f aca="false">SUMPRODUCT((Projects!$G$2:$G$45="Yes")*(72&gt;=Projects!$C$2:$C$45-$B$16)*((72&lt;=Projects!$W$2:$W$45-$B$106)*1+(72&gt;Projects!$W$2:$W$45-$B$106)*(72&lt;=Projects!$W$2:$W$45+$B$17)*$B$107)*((Projects!$B$2:$B$45&gt;=$B$12)*$B$9+(Projects!$B$2:$B$45&lt;$B$12)*(Projects!$B$2:$B$45&gt;=$B$13)*$B$10+(Projects!$B$2:$B$45&lt;$B$13)*$B$11))</f>
        <v>0.3</v>
      </c>
      <c r="BY40" s="384" t="n">
        <f aca="false">SUMPRODUCT((Projects!$G$2:$G$45="Yes")*(73&gt;=Projects!$C$2:$C$45-$B$16)*((73&lt;=Projects!$W$2:$W$45-$B$106)*1+(73&gt;Projects!$W$2:$W$45-$B$106)*(73&lt;=Projects!$W$2:$W$45+$B$17)*$B$107)*((Projects!$B$2:$B$45&gt;=$B$12)*$B$9+(Projects!$B$2:$B$45&lt;$B$12)*(Projects!$B$2:$B$45&gt;=$B$13)*$B$10+(Projects!$B$2:$B$45&lt;$B$13)*$B$11))</f>
        <v>0.2</v>
      </c>
      <c r="BZ40" s="384" t="n">
        <f aca="false">SUMPRODUCT((Projects!$G$2:$G$45="Yes")*(74&gt;=Projects!$C$2:$C$45-$B$16)*((74&lt;=Projects!$W$2:$W$45-$B$106)*1+(74&gt;Projects!$W$2:$W$45-$B$106)*(74&lt;=Projects!$W$2:$W$45+$B$17)*$B$107)*((Projects!$B$2:$B$45&gt;=$B$12)*$B$9+(Projects!$B$2:$B$45&lt;$B$12)*(Projects!$B$2:$B$45&gt;=$B$13)*$B$10+(Projects!$B$2:$B$45&lt;$B$13)*$B$11))</f>
        <v>0.1</v>
      </c>
      <c r="CA40" s="384" t="n">
        <f aca="false">SUMPRODUCT((Projects!$G$2:$G$45="Yes")*(75&gt;=Projects!$C$2:$C$45-$B$16)*((75&lt;=Projects!$W$2:$W$45-$B$106)*1+(75&gt;Projects!$W$2:$W$45-$B$106)*(75&lt;=Projects!$W$2:$W$45+$B$17)*$B$107)*((Projects!$B$2:$B$45&gt;=$B$12)*$B$9+(Projects!$B$2:$B$45&lt;$B$12)*(Projects!$B$2:$B$45&gt;=$B$13)*$B$10+(Projects!$B$2:$B$45&lt;$B$13)*$B$11))</f>
        <v>0</v>
      </c>
      <c r="CB40" s="384" t="n">
        <f aca="false">SUMPRODUCT((Projects!$G$2:$G$45="Yes")*(76&gt;=Projects!$C$2:$C$45-$B$16)*((76&lt;=Projects!$W$2:$W$45-$B$106)*1+(76&gt;Projects!$W$2:$W$45-$B$106)*(76&lt;=Projects!$W$2:$W$45+$B$17)*$B$107)*((Projects!$B$2:$B$45&gt;=$B$12)*$B$9+(Projects!$B$2:$B$45&lt;$B$12)*(Projects!$B$2:$B$45&gt;=$B$13)*$B$10+(Projects!$B$2:$B$45&lt;$B$13)*$B$11))</f>
        <v>0</v>
      </c>
      <c r="CC40" s="384" t="n">
        <f aca="false">SUMPRODUCT((Projects!$G$2:$G$45="Yes")*(77&gt;=Projects!$C$2:$C$45-$B$16)*((77&lt;=Projects!$W$2:$W$45-$B$106)*1+(77&gt;Projects!$W$2:$W$45-$B$106)*(77&lt;=Projects!$W$2:$W$45+$B$17)*$B$107)*((Projects!$B$2:$B$45&gt;=$B$12)*$B$9+(Projects!$B$2:$B$45&lt;$B$12)*(Projects!$B$2:$B$45&gt;=$B$13)*$B$10+(Projects!$B$2:$B$45&lt;$B$13)*$B$11))</f>
        <v>0</v>
      </c>
      <c r="CD40" s="384" t="n">
        <f aca="false">SUMPRODUCT((Projects!$G$2:$G$45="Yes")*(78&gt;=Projects!$C$2:$C$45-$B$16)*((78&lt;=Projects!$W$2:$W$45-$B$106)*1+(78&gt;Projects!$W$2:$W$45-$B$106)*(78&lt;=Projects!$W$2:$W$45+$B$17)*$B$107)*((Projects!$B$2:$B$45&gt;=$B$12)*$B$9+(Projects!$B$2:$B$45&lt;$B$12)*(Projects!$B$2:$B$45&gt;=$B$13)*$B$10+(Projects!$B$2:$B$45&lt;$B$13)*$B$11))</f>
        <v>0</v>
      </c>
      <c r="CE40" s="384" t="n">
        <f aca="false">SUMPRODUCT((Projects!$G$2:$G$45="Yes")*(79&gt;=Projects!$C$2:$C$45-$B$16)*((79&lt;=Projects!$W$2:$W$45-$B$106)*1+(79&gt;Projects!$W$2:$W$45-$B$106)*(79&lt;=Projects!$W$2:$W$45+$B$17)*$B$107)*((Projects!$B$2:$B$45&gt;=$B$12)*$B$9+(Projects!$B$2:$B$45&lt;$B$12)*(Projects!$B$2:$B$45&gt;=$B$13)*$B$10+(Projects!$B$2:$B$45&lt;$B$13)*$B$11))</f>
        <v>0</v>
      </c>
      <c r="CF40" s="384" t="n">
        <f aca="false">SUMPRODUCT((Projects!$G$2:$G$45="Yes")*(80&gt;=Projects!$C$2:$C$45-$B$16)*((80&lt;=Projects!$W$2:$W$45-$B$106)*1+(80&gt;Projects!$W$2:$W$45-$B$106)*(80&lt;=Projects!$W$2:$W$45+$B$17)*$B$107)*((Projects!$B$2:$B$45&gt;=$B$12)*$B$9+(Projects!$B$2:$B$45&lt;$B$12)*(Projects!$B$2:$B$45&gt;=$B$13)*$B$10+(Projects!$B$2:$B$45&lt;$B$13)*$B$11))</f>
        <v>0</v>
      </c>
      <c r="CG40" s="384" t="n">
        <f aca="false">SUMPRODUCT((Projects!$G$2:$G$45="Yes")*(81&gt;=Projects!$C$2:$C$45-$B$16)*((81&lt;=Projects!$W$2:$W$45-$B$106)*1+(81&gt;Projects!$W$2:$W$45-$B$106)*(81&lt;=Projects!$W$2:$W$45+$B$17)*$B$107)*((Projects!$B$2:$B$45&gt;=$B$12)*$B$9+(Projects!$B$2:$B$45&lt;$B$12)*(Projects!$B$2:$B$45&gt;=$B$13)*$B$10+(Projects!$B$2:$B$45&lt;$B$13)*$B$11))</f>
        <v>0</v>
      </c>
      <c r="CH40" s="384" t="n">
        <f aca="false">SUMPRODUCT((Projects!$G$2:$G$45="Yes")*(82&gt;=Projects!$C$2:$C$45-$B$16)*((82&lt;=Projects!$W$2:$W$45-$B$106)*1+(82&gt;Projects!$W$2:$W$45-$B$106)*(82&lt;=Projects!$W$2:$W$45+$B$17)*$B$107)*((Projects!$B$2:$B$45&gt;=$B$12)*$B$9+(Projects!$B$2:$B$45&lt;$B$12)*(Projects!$B$2:$B$45&gt;=$B$13)*$B$10+(Projects!$B$2:$B$45&lt;$B$13)*$B$11))</f>
        <v>0</v>
      </c>
      <c r="CI40" s="384" t="n">
        <f aca="false">SUMPRODUCT((Projects!$G$2:$G$45="Yes")*(83&gt;=Projects!$C$2:$C$45-$B$16)*((83&lt;=Projects!$W$2:$W$45-$B$106)*1+(83&gt;Projects!$W$2:$W$45-$B$106)*(83&lt;=Projects!$W$2:$W$45+$B$17)*$B$107)*((Projects!$B$2:$B$45&gt;=$B$12)*$B$9+(Projects!$B$2:$B$45&lt;$B$12)*(Projects!$B$2:$B$45&gt;=$B$13)*$B$10+(Projects!$B$2:$B$45&lt;$B$13)*$B$11))</f>
        <v>0</v>
      </c>
      <c r="CJ40" s="384" t="n">
        <f aca="false">SUMPRODUCT((Projects!$G$2:$G$45="Yes")*(84&gt;=Projects!$C$2:$C$45-$B$16)*((84&lt;=Projects!$W$2:$W$45-$B$106)*1+(84&gt;Projects!$W$2:$W$45-$B$106)*(84&lt;=Projects!$W$2:$W$45+$B$17)*$B$107)*((Projects!$B$2:$B$45&gt;=$B$12)*$B$9+(Projects!$B$2:$B$45&lt;$B$12)*(Projects!$B$2:$B$45&gt;=$B$13)*$B$10+(Projects!$B$2:$B$45&lt;$B$13)*$B$11))</f>
        <v>0</v>
      </c>
      <c r="CK40" s="384" t="n">
        <f aca="false">SUMPRODUCT((Projects!$G$2:$G$45="Yes")*(85&gt;=Projects!$C$2:$C$45-$B$16)*((85&lt;=Projects!$W$2:$W$45-$B$106)*1+(85&gt;Projects!$W$2:$W$45-$B$106)*(85&lt;=Projects!$W$2:$W$45+$B$17)*$B$107)*((Projects!$B$2:$B$45&gt;=$B$12)*$B$9+(Projects!$B$2:$B$45&lt;$B$12)*(Projects!$B$2:$B$45&gt;=$B$13)*$B$10+(Projects!$B$2:$B$45&lt;$B$13)*$B$11))</f>
        <v>0</v>
      </c>
      <c r="CL40" s="384" t="n">
        <f aca="false">SUMPRODUCT((Projects!$G$2:$G$45="Yes")*(86&gt;=Projects!$C$2:$C$45-$B$16)*((86&lt;=Projects!$W$2:$W$45-$B$106)*1+(86&gt;Projects!$W$2:$W$45-$B$106)*(86&lt;=Projects!$W$2:$W$45+$B$17)*$B$107)*((Projects!$B$2:$B$45&gt;=$B$12)*$B$9+(Projects!$B$2:$B$45&lt;$B$12)*(Projects!$B$2:$B$45&gt;=$B$13)*$B$10+(Projects!$B$2:$B$45&lt;$B$13)*$B$11))</f>
        <v>0</v>
      </c>
      <c r="CM40" s="384" t="n">
        <f aca="false">SUMPRODUCT((Projects!$G$2:$G$45="Yes")*(87&gt;=Projects!$C$2:$C$45-$B$16)*((87&lt;=Projects!$W$2:$W$45-$B$106)*1+(87&gt;Projects!$W$2:$W$45-$B$106)*(87&lt;=Projects!$W$2:$W$45+$B$17)*$B$107)*((Projects!$B$2:$B$45&gt;=$B$12)*$B$9+(Projects!$B$2:$B$45&lt;$B$12)*(Projects!$B$2:$B$45&gt;=$B$13)*$B$10+(Projects!$B$2:$B$45&lt;$B$13)*$B$11))</f>
        <v>0</v>
      </c>
      <c r="CN40" s="384" t="n">
        <f aca="false">SUMPRODUCT((Projects!$G$2:$G$45="Yes")*(88&gt;=Projects!$C$2:$C$45-$B$16)*((88&lt;=Projects!$W$2:$W$45-$B$106)*1+(88&gt;Projects!$W$2:$W$45-$B$106)*(88&lt;=Projects!$W$2:$W$45+$B$17)*$B$107)*((Projects!$B$2:$B$45&gt;=$B$12)*$B$9+(Projects!$B$2:$B$45&lt;$B$12)*(Projects!$B$2:$B$45&gt;=$B$13)*$B$10+(Projects!$B$2:$B$45&lt;$B$13)*$B$11))</f>
        <v>0</v>
      </c>
      <c r="CO40" s="384" t="n">
        <f aca="false">SUMPRODUCT((Projects!$G$2:$G$45="Yes")*(89&gt;=Projects!$C$2:$C$45-$B$16)*((89&lt;=Projects!$W$2:$W$45-$B$106)*1+(89&gt;Projects!$W$2:$W$45-$B$106)*(89&lt;=Projects!$W$2:$W$45+$B$17)*$B$107)*((Projects!$B$2:$B$45&gt;=$B$12)*$B$9+(Projects!$B$2:$B$45&lt;$B$12)*(Projects!$B$2:$B$45&gt;=$B$13)*$B$10+(Projects!$B$2:$B$45&lt;$B$13)*$B$11))</f>
        <v>0</v>
      </c>
      <c r="CP40" s="384" t="n">
        <f aca="false">SUMPRODUCT((Projects!$G$2:$G$45="Yes")*(90&gt;=Projects!$C$2:$C$45-$B$16)*((90&lt;=Projects!$W$2:$W$45-$B$106)*1+(90&gt;Projects!$W$2:$W$45-$B$106)*(90&lt;=Projects!$W$2:$W$45+$B$17)*$B$107)*((Projects!$B$2:$B$45&gt;=$B$12)*$B$9+(Projects!$B$2:$B$45&lt;$B$12)*(Projects!$B$2:$B$45&gt;=$B$13)*$B$10+(Projects!$B$2:$B$45&lt;$B$13)*$B$11))</f>
        <v>0</v>
      </c>
      <c r="CQ40" s="384" t="n">
        <f aca="false">SUMPRODUCT((Projects!$G$2:$G$45="Yes")*(91&gt;=Projects!$C$2:$C$45-$B$16)*((91&lt;=Projects!$W$2:$W$45-$B$106)*1+(91&gt;Projects!$W$2:$W$45-$B$106)*(91&lt;=Projects!$W$2:$W$45+$B$17)*$B$107)*((Projects!$B$2:$B$45&gt;=$B$12)*$B$9+(Projects!$B$2:$B$45&lt;$B$12)*(Projects!$B$2:$B$45&gt;=$B$13)*$B$10+(Projects!$B$2:$B$45&lt;$B$13)*$B$11))</f>
        <v>0</v>
      </c>
      <c r="CR40" s="384" t="n">
        <f aca="false">SUMPRODUCT((Projects!$G$2:$G$45="Yes")*(92&gt;=Projects!$C$2:$C$45-$B$16)*((92&lt;=Projects!$W$2:$W$45-$B$106)*1+(92&gt;Projects!$W$2:$W$45-$B$106)*(92&lt;=Projects!$W$2:$W$45+$B$17)*$B$107)*((Projects!$B$2:$B$45&gt;=$B$12)*$B$9+(Projects!$B$2:$B$45&lt;$B$12)*(Projects!$B$2:$B$45&gt;=$B$13)*$B$10+(Projects!$B$2:$B$45&lt;$B$13)*$B$11))</f>
        <v>0</v>
      </c>
      <c r="CS40" s="384" t="n">
        <f aca="false">SUMPRODUCT((Projects!$G$2:$G$45="Yes")*(93&gt;=Projects!$C$2:$C$45-$B$16)*((93&lt;=Projects!$W$2:$W$45-$B$106)*1+(93&gt;Projects!$W$2:$W$45-$B$106)*(93&lt;=Projects!$W$2:$W$45+$B$17)*$B$107)*((Projects!$B$2:$B$45&gt;=$B$12)*$B$9+(Projects!$B$2:$B$45&lt;$B$12)*(Projects!$B$2:$B$45&gt;=$B$13)*$B$10+(Projects!$B$2:$B$45&lt;$B$13)*$B$11))</f>
        <v>0</v>
      </c>
      <c r="CT40" s="384" t="n">
        <f aca="false">SUMPRODUCT((Projects!$G$2:$G$45="Yes")*(94&gt;=Projects!$C$2:$C$45-$B$16)*((94&lt;=Projects!$W$2:$W$45-$B$106)*1+(94&gt;Projects!$W$2:$W$45-$B$106)*(94&lt;=Projects!$W$2:$W$45+$B$17)*$B$107)*((Projects!$B$2:$B$45&gt;=$B$12)*$B$9+(Projects!$B$2:$B$45&lt;$B$12)*(Projects!$B$2:$B$45&gt;=$B$13)*$B$10+(Projects!$B$2:$B$45&lt;$B$13)*$B$11))</f>
        <v>0</v>
      </c>
      <c r="CU40" s="384" t="n">
        <f aca="false">SUMPRODUCT((Projects!$G$2:$G$45="Yes")*(95&gt;=Projects!$C$2:$C$45-$B$16)*((95&lt;=Projects!$W$2:$W$45-$B$106)*1+(95&gt;Projects!$W$2:$W$45-$B$106)*(95&lt;=Projects!$W$2:$W$45+$B$17)*$B$107)*((Projects!$B$2:$B$45&gt;=$B$12)*$B$9+(Projects!$B$2:$B$45&lt;$B$12)*(Projects!$B$2:$B$45&gt;=$B$13)*$B$10+(Projects!$B$2:$B$45&lt;$B$13)*$B$11))</f>
        <v>0</v>
      </c>
      <c r="CV40" s="384" t="n">
        <f aca="false">SUMPRODUCT((Projects!$G$2:$G$45="Yes")*(96&gt;=Projects!$C$2:$C$45-$B$16)*((96&lt;=Projects!$W$2:$W$45-$B$106)*1+(96&gt;Projects!$W$2:$W$45-$B$106)*(96&lt;=Projects!$W$2:$W$45+$B$17)*$B$107)*((Projects!$B$2:$B$45&gt;=$B$12)*$B$9+(Projects!$B$2:$B$45&lt;$B$12)*(Projects!$B$2:$B$45&gt;=$B$13)*$B$10+(Projects!$B$2:$B$45&lt;$B$13)*$B$11))</f>
        <v>0</v>
      </c>
      <c r="CW40" s="384" t="n">
        <f aca="false">SUMPRODUCT((Projects!$G$2:$G$45="Yes")*(97&gt;=Projects!$C$2:$C$45-$B$16)*((97&lt;=Projects!$W$2:$W$45-$B$106)*1+(97&gt;Projects!$W$2:$W$45-$B$106)*(97&lt;=Projects!$W$2:$W$45+$B$17)*$B$107)*((Projects!$B$2:$B$45&gt;=$B$12)*$B$9+(Projects!$B$2:$B$45&lt;$B$12)*(Projects!$B$2:$B$45&gt;=$B$13)*$B$10+(Projects!$B$2:$B$45&lt;$B$13)*$B$11))</f>
        <v>0</v>
      </c>
      <c r="CX40" s="384" t="n">
        <f aca="false">SUMPRODUCT((Projects!$G$2:$G$45="Yes")*(98&gt;=Projects!$C$2:$C$45-$B$16)*((98&lt;=Projects!$W$2:$W$45-$B$106)*1+(98&gt;Projects!$W$2:$W$45-$B$106)*(98&lt;=Projects!$W$2:$W$45+$B$17)*$B$107)*((Projects!$B$2:$B$45&gt;=$B$12)*$B$9+(Projects!$B$2:$B$45&lt;$B$12)*(Projects!$B$2:$B$45&gt;=$B$13)*$B$10+(Projects!$B$2:$B$45&lt;$B$13)*$B$11))</f>
        <v>0</v>
      </c>
      <c r="CY40" s="384" t="n">
        <f aca="false">SUMPRODUCT((Projects!$G$2:$G$45="Yes")*(99&gt;=Projects!$C$2:$C$45-$B$16)*((99&lt;=Projects!$W$2:$W$45-$B$106)*1+(99&gt;Projects!$W$2:$W$45-$B$106)*(99&lt;=Projects!$W$2:$W$45+$B$17)*$B$107)*((Projects!$B$2:$B$45&gt;=$B$12)*$B$9+(Projects!$B$2:$B$45&lt;$B$12)*(Projects!$B$2:$B$45&gt;=$B$13)*$B$10+(Projects!$B$2:$B$45&lt;$B$13)*$B$11))</f>
        <v>0</v>
      </c>
      <c r="CZ40" s="384" t="n">
        <f aca="false">SUMPRODUCT((Projects!$G$2:$G$45="Yes")*(100&gt;=Projects!$C$2:$C$45-$B$16)*((100&lt;=Projects!$W$2:$W$45-$B$106)*1+(100&gt;Projects!$W$2:$W$45-$B$106)*(100&lt;=Projects!$W$2:$W$45+$B$17)*$B$107)*((Projects!$B$2:$B$45&gt;=$B$12)*$B$9+(Projects!$B$2:$B$45&lt;$B$12)*(Projects!$B$2:$B$45&gt;=$B$13)*$B$10+(Projects!$B$2:$B$45&lt;$B$13)*$B$11))</f>
        <v>0</v>
      </c>
      <c r="DA40" s="384" t="n">
        <f aca="false">SUMPRODUCT((Projects!$G$2:$G$45="Yes")*(101&gt;=Projects!$C$2:$C$45-$B$16)*((101&lt;=Projects!$W$2:$W$45-$B$106)*1+(101&gt;Projects!$W$2:$W$45-$B$106)*(101&lt;=Projects!$W$2:$W$45+$B$17)*$B$107)*((Projects!$B$2:$B$45&gt;=$B$12)*$B$9+(Projects!$B$2:$B$45&lt;$B$12)*(Projects!$B$2:$B$45&gt;=$B$13)*$B$10+(Projects!$B$2:$B$45&lt;$B$13)*$B$11))</f>
        <v>0</v>
      </c>
      <c r="DB40" s="384" t="n">
        <f aca="false">SUMPRODUCT((Projects!$G$2:$G$45="Yes")*(102&gt;=Projects!$C$2:$C$45-$B$16)*((102&lt;=Projects!$W$2:$W$45-$B$106)*1+(102&gt;Projects!$W$2:$W$45-$B$106)*(102&lt;=Projects!$W$2:$W$45+$B$17)*$B$107)*((Projects!$B$2:$B$45&gt;=$B$12)*$B$9+(Projects!$B$2:$B$45&lt;$B$12)*(Projects!$B$2:$B$45&gt;=$B$13)*$B$10+(Projects!$B$2:$B$45&lt;$B$13)*$B$11))</f>
        <v>0</v>
      </c>
      <c r="DC40" s="384" t="n">
        <f aca="false">SUMPRODUCT((Projects!$G$2:$G$45="Yes")*(103&gt;=Projects!$C$2:$C$45-$B$16)*((103&lt;=Projects!$W$2:$W$45-$B$106)*1+(103&gt;Projects!$W$2:$W$45-$B$106)*(103&lt;=Projects!$W$2:$W$45+$B$17)*$B$107)*((Projects!$B$2:$B$45&gt;=$B$12)*$B$9+(Projects!$B$2:$B$45&lt;$B$12)*(Projects!$B$2:$B$45&gt;=$B$13)*$B$10+(Projects!$B$2:$B$45&lt;$B$13)*$B$11))</f>
        <v>0</v>
      </c>
      <c r="DD40" s="384" t="n">
        <f aca="false">SUMPRODUCT((Projects!$G$2:$G$45="Yes")*(104&gt;=Projects!$C$2:$C$45-$B$16)*((104&lt;=Projects!$W$2:$W$45-$B$106)*1+(104&gt;Projects!$W$2:$W$45-$B$106)*(104&lt;=Projects!$W$2:$W$45+$B$17)*$B$107)*((Projects!$B$2:$B$45&gt;=$B$12)*$B$9+(Projects!$B$2:$B$45&lt;$B$12)*(Projects!$B$2:$B$45&gt;=$B$13)*$B$10+(Projects!$B$2:$B$45&lt;$B$13)*$B$11))</f>
        <v>0</v>
      </c>
      <c r="DE40" s="384" t="n">
        <f aca="false">SUMPRODUCT((Projects!$G$2:$G$45="Yes")*(105&gt;=Projects!$C$2:$C$45-$B$16)*((105&lt;=Projects!$W$2:$W$45-$B$106)*1+(105&gt;Projects!$W$2:$W$45-$B$106)*(105&lt;=Projects!$W$2:$W$45+$B$17)*$B$107)*((Projects!$B$2:$B$45&gt;=$B$12)*$B$9+(Projects!$B$2:$B$45&lt;$B$12)*(Projects!$B$2:$B$45&gt;=$B$13)*$B$10+(Projects!$B$2:$B$45&lt;$B$13)*$B$11))</f>
        <v>0</v>
      </c>
    </row>
    <row r="42" customFormat="false" ht="13.5" hidden="false" customHeight="true" outlineLevel="0" collapsed="false">
      <c r="A42" s="211" t="s">
        <v>1376</v>
      </c>
      <c r="B42" s="212"/>
      <c r="C42" s="212"/>
      <c r="D42" s="212"/>
      <c r="E42" s="212"/>
      <c r="F42" s="212"/>
    </row>
    <row r="43" customFormat="false" ht="13.5" hidden="false" customHeight="true" outlineLevel="0" collapsed="false">
      <c r="A43" s="110" t="s">
        <v>1377</v>
      </c>
      <c r="E43" s="384" t="n">
        <f aca="false">SUMPRODUCT((Personnel!$P$9:$P$100="SUPER")*(Personnel!$G$9:$G$100="Yes")*(1&gt;=Personnel!$E$9:$E$100)*((Personnel!$K$9:$K$100="")+(1&lt;=Personnel!$K$9:$K$100)&gt;0))</f>
        <v>4</v>
      </c>
      <c r="F43" s="384" t="n">
        <f aca="false">SUMPRODUCT((Personnel!$P$9:$P$100="SUPER")*(Personnel!$G$9:$G$100="Yes")*(2&gt;=Personnel!$E$9:$E$100)*((Personnel!$K$9:$K$100="")+(2&lt;=Personnel!$K$9:$K$100)&gt;0))</f>
        <v>5</v>
      </c>
      <c r="G43" s="384" t="n">
        <f aca="false">SUMPRODUCT((Personnel!$P$9:$P$100="SUPER")*(Personnel!$G$9:$G$100="Yes")*(3&gt;=Personnel!$E$9:$E$100)*((Personnel!$K$9:$K$100="")+(3&lt;=Personnel!$K$9:$K$100)&gt;0))</f>
        <v>5</v>
      </c>
      <c r="H43" s="384" t="n">
        <f aca="false">SUMPRODUCT((Personnel!$P$9:$P$100="SUPER")*(Personnel!$G$9:$G$100="Yes")*(4&gt;=Personnel!$E$9:$E$100)*((Personnel!$K$9:$K$100="")+(4&lt;=Personnel!$K$9:$K$100)&gt;0))</f>
        <v>6</v>
      </c>
      <c r="I43" s="384" t="n">
        <f aca="false">SUMPRODUCT((Personnel!$P$9:$P$100="SUPER")*(Personnel!$G$9:$G$100="Yes")*(5&gt;=Personnel!$E$9:$E$100)*((Personnel!$K$9:$K$100="")+(5&lt;=Personnel!$K$9:$K$100)&gt;0))</f>
        <v>6</v>
      </c>
      <c r="J43" s="384" t="n">
        <f aca="false">SUMPRODUCT((Personnel!$P$9:$P$100="SUPER")*(Personnel!$G$9:$G$100="Yes")*(6&gt;=Personnel!$E$9:$E$100)*((Personnel!$K$9:$K$100="")+(6&lt;=Personnel!$K$9:$K$100)&gt;0))</f>
        <v>7</v>
      </c>
      <c r="K43" s="384" t="n">
        <f aca="false">SUMPRODUCT((Personnel!$P$9:$P$100="SUPER")*(Personnel!$G$9:$G$100="Yes")*(7&gt;=Personnel!$E$9:$E$100)*((Personnel!$K$9:$K$100="")+(7&lt;=Personnel!$K$9:$K$100)&gt;0))</f>
        <v>7</v>
      </c>
      <c r="L43" s="384" t="n">
        <f aca="false">SUMPRODUCT((Personnel!$P$9:$P$100="SUPER")*(Personnel!$G$9:$G$100="Yes")*(8&gt;=Personnel!$E$9:$E$100)*((Personnel!$K$9:$K$100="")+(8&lt;=Personnel!$K$9:$K$100)&gt;0))</f>
        <v>7</v>
      </c>
      <c r="M43" s="384" t="n">
        <f aca="false">SUMPRODUCT((Personnel!$P$9:$P$100="SUPER")*(Personnel!$G$9:$G$100="Yes")*(9&gt;=Personnel!$E$9:$E$100)*((Personnel!$K$9:$K$100="")+(9&lt;=Personnel!$K$9:$K$100)&gt;0))</f>
        <v>7</v>
      </c>
      <c r="N43" s="384" t="n">
        <f aca="false">SUMPRODUCT((Personnel!$P$9:$P$100="SUPER")*(Personnel!$G$9:$G$100="Yes")*(10&gt;=Personnel!$E$9:$E$100)*((Personnel!$K$9:$K$100="")+(10&lt;=Personnel!$K$9:$K$100)&gt;0))</f>
        <v>7</v>
      </c>
      <c r="O43" s="384" t="n">
        <f aca="false">SUMPRODUCT((Personnel!$P$9:$P$100="SUPER")*(Personnel!$G$9:$G$100="Yes")*(11&gt;=Personnel!$E$9:$E$100)*((Personnel!$K$9:$K$100="")+(11&lt;=Personnel!$K$9:$K$100)&gt;0))</f>
        <v>7</v>
      </c>
      <c r="P43" s="384" t="n">
        <f aca="false">SUMPRODUCT((Personnel!$P$9:$P$100="SUPER")*(Personnel!$G$9:$G$100="Yes")*(12&gt;=Personnel!$E$9:$E$100)*((Personnel!$K$9:$K$100="")+(12&lt;=Personnel!$K$9:$K$100)&gt;0))</f>
        <v>7</v>
      </c>
      <c r="Q43" s="384" t="n">
        <f aca="false">SUMPRODUCT((Personnel!$P$9:$P$100="SUPER")*(Personnel!$G$9:$G$100="Yes")*(13&gt;=Personnel!$E$9:$E$100)*((Personnel!$K$9:$K$100="")+(13&lt;=Personnel!$K$9:$K$100)&gt;0))</f>
        <v>7</v>
      </c>
      <c r="R43" s="384" t="n">
        <f aca="false">SUMPRODUCT((Personnel!$P$9:$P$100="SUPER")*(Personnel!$G$9:$G$100="Yes")*(14&gt;=Personnel!$E$9:$E$100)*((Personnel!$K$9:$K$100="")+(14&lt;=Personnel!$K$9:$K$100)&gt;0))</f>
        <v>7</v>
      </c>
      <c r="S43" s="384" t="n">
        <f aca="false">SUMPRODUCT((Personnel!$P$9:$P$100="SUPER")*(Personnel!$G$9:$G$100="Yes")*(15&gt;=Personnel!$E$9:$E$100)*((Personnel!$K$9:$K$100="")+(15&lt;=Personnel!$K$9:$K$100)&gt;0))</f>
        <v>7</v>
      </c>
      <c r="T43" s="384" t="n">
        <f aca="false">SUMPRODUCT((Personnel!$P$9:$P$100="SUPER")*(Personnel!$G$9:$G$100="Yes")*(16&gt;=Personnel!$E$9:$E$100)*((Personnel!$K$9:$K$100="")+(16&lt;=Personnel!$K$9:$K$100)&gt;0))</f>
        <v>7</v>
      </c>
      <c r="U43" s="384" t="n">
        <f aca="false">SUMPRODUCT((Personnel!$P$9:$P$100="SUPER")*(Personnel!$G$9:$G$100="Yes")*(17&gt;=Personnel!$E$9:$E$100)*((Personnel!$K$9:$K$100="")+(17&lt;=Personnel!$K$9:$K$100)&gt;0))</f>
        <v>7</v>
      </c>
      <c r="V43" s="384" t="n">
        <f aca="false">SUMPRODUCT((Personnel!$P$9:$P$100="SUPER")*(Personnel!$G$9:$G$100="Yes")*(18&gt;=Personnel!$E$9:$E$100)*((Personnel!$K$9:$K$100="")+(18&lt;=Personnel!$K$9:$K$100)&gt;0))</f>
        <v>7</v>
      </c>
      <c r="W43" s="384" t="n">
        <f aca="false">SUMPRODUCT((Personnel!$P$9:$P$100="SUPER")*(Personnel!$G$9:$G$100="Yes")*(19&gt;=Personnel!$E$9:$E$100)*((Personnel!$K$9:$K$100="")+(19&lt;=Personnel!$K$9:$K$100)&gt;0))</f>
        <v>7</v>
      </c>
      <c r="X43" s="384" t="n">
        <f aca="false">SUMPRODUCT((Personnel!$P$9:$P$100="SUPER")*(Personnel!$G$9:$G$100="Yes")*(20&gt;=Personnel!$E$9:$E$100)*((Personnel!$K$9:$K$100="")+(20&lt;=Personnel!$K$9:$K$100)&gt;0))</f>
        <v>7</v>
      </c>
      <c r="Y43" s="384" t="n">
        <f aca="false">SUMPRODUCT((Personnel!$P$9:$P$100="SUPER")*(Personnel!$G$9:$G$100="Yes")*(21&gt;=Personnel!$E$9:$E$100)*((Personnel!$K$9:$K$100="")+(21&lt;=Personnel!$K$9:$K$100)&gt;0))</f>
        <v>7</v>
      </c>
      <c r="Z43" s="384" t="n">
        <f aca="false">SUMPRODUCT((Personnel!$P$9:$P$100="SUPER")*(Personnel!$G$9:$G$100="Yes")*(22&gt;=Personnel!$E$9:$E$100)*((Personnel!$K$9:$K$100="")+(22&lt;=Personnel!$K$9:$K$100)&gt;0))</f>
        <v>7</v>
      </c>
      <c r="AA43" s="384" t="n">
        <f aca="false">SUMPRODUCT((Personnel!$P$9:$P$100="SUPER")*(Personnel!$G$9:$G$100="Yes")*(23&gt;=Personnel!$E$9:$E$100)*((Personnel!$K$9:$K$100="")+(23&lt;=Personnel!$K$9:$K$100)&gt;0))</f>
        <v>7</v>
      </c>
      <c r="AB43" s="384" t="n">
        <f aca="false">SUMPRODUCT((Personnel!$P$9:$P$100="SUPER")*(Personnel!$G$9:$G$100="Yes")*(24&gt;=Personnel!$E$9:$E$100)*((Personnel!$K$9:$K$100="")+(24&lt;=Personnel!$K$9:$K$100)&gt;0))</f>
        <v>7</v>
      </c>
      <c r="AC43" s="384" t="n">
        <f aca="false">SUMPRODUCT((Personnel!$P$9:$P$100="SUPER")*(Personnel!$G$9:$G$100="Yes")*(25&gt;=Personnel!$E$9:$E$100)*((Personnel!$K$9:$K$100="")+(25&lt;=Personnel!$K$9:$K$100)&gt;0))</f>
        <v>7</v>
      </c>
      <c r="AD43" s="384" t="n">
        <f aca="false">SUMPRODUCT((Personnel!$P$9:$P$100="SUPER")*(Personnel!$G$9:$G$100="Yes")*(26&gt;=Personnel!$E$9:$E$100)*((Personnel!$K$9:$K$100="")+(26&lt;=Personnel!$K$9:$K$100)&gt;0))</f>
        <v>7</v>
      </c>
      <c r="AE43" s="384" t="n">
        <f aca="false">SUMPRODUCT((Personnel!$P$9:$P$100="SUPER")*(Personnel!$G$9:$G$100="Yes")*(27&gt;=Personnel!$E$9:$E$100)*((Personnel!$K$9:$K$100="")+(27&lt;=Personnel!$K$9:$K$100)&gt;0))</f>
        <v>7</v>
      </c>
      <c r="AF43" s="384" t="n">
        <f aca="false">SUMPRODUCT((Personnel!$P$9:$P$100="SUPER")*(Personnel!$G$9:$G$100="Yes")*(28&gt;=Personnel!$E$9:$E$100)*((Personnel!$K$9:$K$100="")+(28&lt;=Personnel!$K$9:$K$100)&gt;0))</f>
        <v>7</v>
      </c>
      <c r="AG43" s="384" t="n">
        <f aca="false">SUMPRODUCT((Personnel!$P$9:$P$100="SUPER")*(Personnel!$G$9:$G$100="Yes")*(29&gt;=Personnel!$E$9:$E$100)*((Personnel!$K$9:$K$100="")+(29&lt;=Personnel!$K$9:$K$100)&gt;0))</f>
        <v>7</v>
      </c>
      <c r="AH43" s="384" t="n">
        <f aca="false">SUMPRODUCT((Personnel!$P$9:$P$100="SUPER")*(Personnel!$G$9:$G$100="Yes")*(30&gt;=Personnel!$E$9:$E$100)*((Personnel!$K$9:$K$100="")+(30&lt;=Personnel!$K$9:$K$100)&gt;0))</f>
        <v>7</v>
      </c>
      <c r="AI43" s="384" t="n">
        <f aca="false">SUMPRODUCT((Personnel!$P$9:$P$100="SUPER")*(Personnel!$G$9:$G$100="Yes")*(31&gt;=Personnel!$E$9:$E$100)*((Personnel!$K$9:$K$100="")+(31&lt;=Personnel!$K$9:$K$100)&gt;0))</f>
        <v>7</v>
      </c>
      <c r="AJ43" s="384" t="n">
        <f aca="false">SUMPRODUCT((Personnel!$P$9:$P$100="SUPER")*(Personnel!$G$9:$G$100="Yes")*(32&gt;=Personnel!$E$9:$E$100)*((Personnel!$K$9:$K$100="")+(32&lt;=Personnel!$K$9:$K$100)&gt;0))</f>
        <v>7</v>
      </c>
      <c r="AK43" s="384" t="n">
        <f aca="false">SUMPRODUCT((Personnel!$P$9:$P$100="SUPER")*(Personnel!$G$9:$G$100="Yes")*(33&gt;=Personnel!$E$9:$E$100)*((Personnel!$K$9:$K$100="")+(33&lt;=Personnel!$K$9:$K$100)&gt;0))</f>
        <v>7</v>
      </c>
      <c r="AL43" s="384" t="n">
        <f aca="false">SUMPRODUCT((Personnel!$P$9:$P$100="SUPER")*(Personnel!$G$9:$G$100="Yes")*(34&gt;=Personnel!$E$9:$E$100)*((Personnel!$K$9:$K$100="")+(34&lt;=Personnel!$K$9:$K$100)&gt;0))</f>
        <v>7</v>
      </c>
      <c r="AM43" s="384" t="n">
        <f aca="false">SUMPRODUCT((Personnel!$P$9:$P$100="SUPER")*(Personnel!$G$9:$G$100="Yes")*(35&gt;=Personnel!$E$9:$E$100)*((Personnel!$K$9:$K$100="")+(35&lt;=Personnel!$K$9:$K$100)&gt;0))</f>
        <v>7</v>
      </c>
      <c r="AN43" s="384" t="n">
        <f aca="false">SUMPRODUCT((Personnel!$P$9:$P$100="SUPER")*(Personnel!$G$9:$G$100="Yes")*(36&gt;=Personnel!$E$9:$E$100)*((Personnel!$K$9:$K$100="")+(36&lt;=Personnel!$K$9:$K$100)&gt;0))</f>
        <v>7</v>
      </c>
      <c r="AO43" s="384" t="n">
        <f aca="false">SUMPRODUCT((Personnel!$P$9:$P$100="SUPER")*(Personnel!$G$9:$G$100="Yes")*(37&gt;=Personnel!$E$9:$E$100)*((Personnel!$K$9:$K$100="")+(37&lt;=Personnel!$K$9:$K$100)&gt;0))</f>
        <v>7</v>
      </c>
      <c r="AP43" s="384" t="n">
        <f aca="false">SUMPRODUCT((Personnel!$P$9:$P$100="SUPER")*(Personnel!$G$9:$G$100="Yes")*(38&gt;=Personnel!$E$9:$E$100)*((Personnel!$K$9:$K$100="")+(38&lt;=Personnel!$K$9:$K$100)&gt;0))</f>
        <v>7</v>
      </c>
      <c r="AQ43" s="384" t="n">
        <f aca="false">SUMPRODUCT((Personnel!$P$9:$P$100="SUPER")*(Personnel!$G$9:$G$100="Yes")*(39&gt;=Personnel!$E$9:$E$100)*((Personnel!$K$9:$K$100="")+(39&lt;=Personnel!$K$9:$K$100)&gt;0))</f>
        <v>7</v>
      </c>
      <c r="AR43" s="384" t="n">
        <f aca="false">SUMPRODUCT((Personnel!$P$9:$P$100="SUPER")*(Personnel!$G$9:$G$100="Yes")*(40&gt;=Personnel!$E$9:$E$100)*((Personnel!$K$9:$K$100="")+(40&lt;=Personnel!$K$9:$K$100)&gt;0))</f>
        <v>7</v>
      </c>
      <c r="AS43" s="384" t="n">
        <f aca="false">SUMPRODUCT((Personnel!$P$9:$P$100="SUPER")*(Personnel!$G$9:$G$100="Yes")*(41&gt;=Personnel!$E$9:$E$100)*((Personnel!$K$9:$K$100="")+(41&lt;=Personnel!$K$9:$K$100)&gt;0))</f>
        <v>7</v>
      </c>
      <c r="AT43" s="384" t="n">
        <f aca="false">SUMPRODUCT((Personnel!$P$9:$P$100="SUPER")*(Personnel!$G$9:$G$100="Yes")*(42&gt;=Personnel!$E$9:$E$100)*((Personnel!$K$9:$K$100="")+(42&lt;=Personnel!$K$9:$K$100)&gt;0))</f>
        <v>7</v>
      </c>
      <c r="AU43" s="384" t="n">
        <f aca="false">SUMPRODUCT((Personnel!$P$9:$P$100="SUPER")*(Personnel!$G$9:$G$100="Yes")*(43&gt;=Personnel!$E$9:$E$100)*((Personnel!$K$9:$K$100="")+(43&lt;=Personnel!$K$9:$K$100)&gt;0))</f>
        <v>7</v>
      </c>
      <c r="AV43" s="384" t="n">
        <f aca="false">SUMPRODUCT((Personnel!$P$9:$P$100="SUPER")*(Personnel!$G$9:$G$100="Yes")*(44&gt;=Personnel!$E$9:$E$100)*((Personnel!$K$9:$K$100="")+(44&lt;=Personnel!$K$9:$K$100)&gt;0))</f>
        <v>7</v>
      </c>
      <c r="AW43" s="384" t="n">
        <f aca="false">SUMPRODUCT((Personnel!$P$9:$P$100="SUPER")*(Personnel!$G$9:$G$100="Yes")*(45&gt;=Personnel!$E$9:$E$100)*((Personnel!$K$9:$K$100="")+(45&lt;=Personnel!$K$9:$K$100)&gt;0))</f>
        <v>7</v>
      </c>
      <c r="AX43" s="384" t="n">
        <f aca="false">SUMPRODUCT((Personnel!$P$9:$P$100="SUPER")*(Personnel!$G$9:$G$100="Yes")*(46&gt;=Personnel!$E$9:$E$100)*((Personnel!$K$9:$K$100="")+(46&lt;=Personnel!$K$9:$K$100)&gt;0))</f>
        <v>7</v>
      </c>
      <c r="AY43" s="384" t="n">
        <f aca="false">SUMPRODUCT((Personnel!$P$9:$P$100="SUPER")*(Personnel!$G$9:$G$100="Yes")*(47&gt;=Personnel!$E$9:$E$100)*((Personnel!$K$9:$K$100="")+(47&lt;=Personnel!$K$9:$K$100)&gt;0))</f>
        <v>7</v>
      </c>
      <c r="AZ43" s="384" t="n">
        <f aca="false">SUMPRODUCT((Personnel!$P$9:$P$100="SUPER")*(Personnel!$G$9:$G$100="Yes")*(48&gt;=Personnel!$E$9:$E$100)*((Personnel!$K$9:$K$100="")+(48&lt;=Personnel!$K$9:$K$100)&gt;0))</f>
        <v>7</v>
      </c>
      <c r="BA43" s="384" t="n">
        <f aca="false">SUMPRODUCT((Personnel!$P$9:$P$100="SUPER")*(Personnel!$G$9:$G$100="Yes")*(49&gt;=Personnel!$E$9:$E$100)*((Personnel!$K$9:$K$100="")+(49&lt;=Personnel!$K$9:$K$100)&gt;0))</f>
        <v>7</v>
      </c>
      <c r="BB43" s="384" t="n">
        <f aca="false">SUMPRODUCT((Personnel!$P$9:$P$100="SUPER")*(Personnel!$G$9:$G$100="Yes")*(50&gt;=Personnel!$E$9:$E$100)*((Personnel!$K$9:$K$100="")+(50&lt;=Personnel!$K$9:$K$100)&gt;0))</f>
        <v>7</v>
      </c>
      <c r="BC43" s="384" t="n">
        <f aca="false">SUMPRODUCT((Personnel!$P$9:$P$100="SUPER")*(Personnel!$G$9:$G$100="Yes")*(51&gt;=Personnel!$E$9:$E$100)*((Personnel!$K$9:$K$100="")+(51&lt;=Personnel!$K$9:$K$100)&gt;0))</f>
        <v>7</v>
      </c>
      <c r="BD43" s="384" t="n">
        <f aca="false">SUMPRODUCT((Personnel!$P$9:$P$100="SUPER")*(Personnel!$G$9:$G$100="Yes")*(52&gt;=Personnel!$E$9:$E$100)*((Personnel!$K$9:$K$100="")+(52&lt;=Personnel!$K$9:$K$100)&gt;0))</f>
        <v>7</v>
      </c>
      <c r="BE43" s="384" t="n">
        <f aca="false">SUMPRODUCT((Personnel!$P$9:$P$100="SUPER")*(Personnel!$G$9:$G$100="Yes")*(53&gt;=Personnel!$E$9:$E$100)*((Personnel!$K$9:$K$100="")+(53&lt;=Personnel!$K$9:$K$100)&gt;0))</f>
        <v>7</v>
      </c>
      <c r="BF43" s="384" t="n">
        <f aca="false">SUMPRODUCT((Personnel!$P$9:$P$100="SUPER")*(Personnel!$G$9:$G$100="Yes")*(54&gt;=Personnel!$E$9:$E$100)*((Personnel!$K$9:$K$100="")+(54&lt;=Personnel!$K$9:$K$100)&gt;0))</f>
        <v>7</v>
      </c>
      <c r="BG43" s="384" t="n">
        <f aca="false">SUMPRODUCT((Personnel!$P$9:$P$100="SUPER")*(Personnel!$G$9:$G$100="Yes")*(55&gt;=Personnel!$E$9:$E$100)*((Personnel!$K$9:$K$100="")+(55&lt;=Personnel!$K$9:$K$100)&gt;0))</f>
        <v>7</v>
      </c>
      <c r="BH43" s="384" t="n">
        <f aca="false">SUMPRODUCT((Personnel!$P$9:$P$100="SUPER")*(Personnel!$G$9:$G$100="Yes")*(56&gt;=Personnel!$E$9:$E$100)*((Personnel!$K$9:$K$100="")+(56&lt;=Personnel!$K$9:$K$100)&gt;0))</f>
        <v>7</v>
      </c>
      <c r="BI43" s="384" t="n">
        <f aca="false">SUMPRODUCT((Personnel!$P$9:$P$100="SUPER")*(Personnel!$G$9:$G$100="Yes")*(57&gt;=Personnel!$E$9:$E$100)*((Personnel!$K$9:$K$100="")+(57&lt;=Personnel!$K$9:$K$100)&gt;0))</f>
        <v>7</v>
      </c>
      <c r="BJ43" s="384" t="n">
        <f aca="false">SUMPRODUCT((Personnel!$P$9:$P$100="SUPER")*(Personnel!$G$9:$G$100="Yes")*(58&gt;=Personnel!$E$9:$E$100)*((Personnel!$K$9:$K$100="")+(58&lt;=Personnel!$K$9:$K$100)&gt;0))</f>
        <v>7</v>
      </c>
      <c r="BK43" s="384" t="n">
        <f aca="false">SUMPRODUCT((Personnel!$P$9:$P$100="SUPER")*(Personnel!$G$9:$G$100="Yes")*(59&gt;=Personnel!$E$9:$E$100)*((Personnel!$K$9:$K$100="")+(59&lt;=Personnel!$K$9:$K$100)&gt;0))</f>
        <v>7</v>
      </c>
      <c r="BL43" s="384" t="n">
        <f aca="false">SUMPRODUCT((Personnel!$P$9:$P$100="SUPER")*(Personnel!$G$9:$G$100="Yes")*(60&gt;=Personnel!$E$9:$E$100)*((Personnel!$K$9:$K$100="")+(60&lt;=Personnel!$K$9:$K$100)&gt;0))</f>
        <v>7</v>
      </c>
      <c r="BM43" s="384" t="n">
        <f aca="false">SUMPRODUCT((Personnel!$P$9:$P$100="SUPER")*(Personnel!$G$9:$G$100="Yes")*(61&gt;=Personnel!$E$9:$E$100)*((Personnel!$K$9:$K$100="")+(61&lt;=Personnel!$K$9:$K$100)&gt;0))</f>
        <v>7</v>
      </c>
      <c r="BN43" s="384" t="n">
        <f aca="false">SUMPRODUCT((Personnel!$P$9:$P$100="SUPER")*(Personnel!$G$9:$G$100="Yes")*(62&gt;=Personnel!$E$9:$E$100)*((Personnel!$K$9:$K$100="")+(62&lt;=Personnel!$K$9:$K$100)&gt;0))</f>
        <v>7</v>
      </c>
      <c r="BO43" s="384" t="n">
        <f aca="false">SUMPRODUCT((Personnel!$P$9:$P$100="SUPER")*(Personnel!$G$9:$G$100="Yes")*(63&gt;=Personnel!$E$9:$E$100)*((Personnel!$K$9:$K$100="")+(63&lt;=Personnel!$K$9:$K$100)&gt;0))</f>
        <v>7</v>
      </c>
      <c r="BP43" s="384" t="n">
        <f aca="false">SUMPRODUCT((Personnel!$P$9:$P$100="SUPER")*(Personnel!$G$9:$G$100="Yes")*(64&gt;=Personnel!$E$9:$E$100)*((Personnel!$K$9:$K$100="")+(64&lt;=Personnel!$K$9:$K$100)&gt;0))</f>
        <v>7</v>
      </c>
      <c r="BQ43" s="384" t="n">
        <f aca="false">SUMPRODUCT((Personnel!$P$9:$P$100="SUPER")*(Personnel!$G$9:$G$100="Yes")*(65&gt;=Personnel!$E$9:$E$100)*((Personnel!$K$9:$K$100="")+(65&lt;=Personnel!$K$9:$K$100)&gt;0))</f>
        <v>7</v>
      </c>
      <c r="BR43" s="384" t="n">
        <f aca="false">SUMPRODUCT((Personnel!$P$9:$P$100="SUPER")*(Personnel!$G$9:$G$100="Yes")*(66&gt;=Personnel!$E$9:$E$100)*((Personnel!$K$9:$K$100="")+(66&lt;=Personnel!$K$9:$K$100)&gt;0))</f>
        <v>7</v>
      </c>
      <c r="BS43" s="384" t="n">
        <f aca="false">SUMPRODUCT((Personnel!$P$9:$P$100="SUPER")*(Personnel!$G$9:$G$100="Yes")*(67&gt;=Personnel!$E$9:$E$100)*((Personnel!$K$9:$K$100="")+(67&lt;=Personnel!$K$9:$K$100)&gt;0))</f>
        <v>7</v>
      </c>
      <c r="BT43" s="384" t="n">
        <f aca="false">SUMPRODUCT((Personnel!$P$9:$P$100="SUPER")*(Personnel!$G$9:$G$100="Yes")*(68&gt;=Personnel!$E$9:$E$100)*((Personnel!$K$9:$K$100="")+(68&lt;=Personnel!$K$9:$K$100)&gt;0))</f>
        <v>7</v>
      </c>
      <c r="BU43" s="384" t="n">
        <f aca="false">SUMPRODUCT((Personnel!$P$9:$P$100="SUPER")*(Personnel!$G$9:$G$100="Yes")*(69&gt;=Personnel!$E$9:$E$100)*((Personnel!$K$9:$K$100="")+(69&lt;=Personnel!$K$9:$K$100)&gt;0))</f>
        <v>7</v>
      </c>
      <c r="BV43" s="384" t="n">
        <f aca="false">SUMPRODUCT((Personnel!$P$9:$P$100="SUPER")*(Personnel!$G$9:$G$100="Yes")*(70&gt;=Personnel!$E$9:$E$100)*((Personnel!$K$9:$K$100="")+(70&lt;=Personnel!$K$9:$K$100)&gt;0))</f>
        <v>7</v>
      </c>
      <c r="BW43" s="384" t="n">
        <f aca="false">SUMPRODUCT((Personnel!$P$9:$P$100="SUPER")*(Personnel!$G$9:$G$100="Yes")*(71&gt;=Personnel!$E$9:$E$100)*((Personnel!$K$9:$K$100="")+(71&lt;=Personnel!$K$9:$K$100)&gt;0))</f>
        <v>7</v>
      </c>
      <c r="BX43" s="384" t="n">
        <f aca="false">SUMPRODUCT((Personnel!$P$9:$P$100="SUPER")*(Personnel!$G$9:$G$100="Yes")*(72&gt;=Personnel!$E$9:$E$100)*((Personnel!$K$9:$K$100="")+(72&lt;=Personnel!$K$9:$K$100)&gt;0))</f>
        <v>7</v>
      </c>
      <c r="BY43" s="384" t="n">
        <f aca="false">SUMPRODUCT((Personnel!$P$9:$P$100="SUPER")*(Personnel!$G$9:$G$100="Yes")*(73&gt;=Personnel!$E$9:$E$100)*((Personnel!$K$9:$K$100="")+(73&lt;=Personnel!$K$9:$K$100)&gt;0))</f>
        <v>7</v>
      </c>
      <c r="BZ43" s="384" t="n">
        <f aca="false">SUMPRODUCT((Personnel!$P$9:$P$100="SUPER")*(Personnel!$G$9:$G$100="Yes")*(74&gt;=Personnel!$E$9:$E$100)*((Personnel!$K$9:$K$100="")+(74&lt;=Personnel!$K$9:$K$100)&gt;0))</f>
        <v>7</v>
      </c>
      <c r="CA43" s="384" t="n">
        <f aca="false">SUMPRODUCT((Personnel!$P$9:$P$100="SUPER")*(Personnel!$G$9:$G$100="Yes")*(75&gt;=Personnel!$E$9:$E$100)*((Personnel!$K$9:$K$100="")+(75&lt;=Personnel!$K$9:$K$100)&gt;0))</f>
        <v>7</v>
      </c>
      <c r="CB43" s="384" t="n">
        <f aca="false">SUMPRODUCT((Personnel!$P$9:$P$100="SUPER")*(Personnel!$G$9:$G$100="Yes")*(76&gt;=Personnel!$E$9:$E$100)*((Personnel!$K$9:$K$100="")+(76&lt;=Personnel!$K$9:$K$100)&gt;0))</f>
        <v>7</v>
      </c>
      <c r="CC43" s="384" t="n">
        <f aca="false">SUMPRODUCT((Personnel!$P$9:$P$100="SUPER")*(Personnel!$G$9:$G$100="Yes")*(77&gt;=Personnel!$E$9:$E$100)*((Personnel!$K$9:$K$100="")+(77&lt;=Personnel!$K$9:$K$100)&gt;0))</f>
        <v>7</v>
      </c>
      <c r="CD43" s="384" t="n">
        <f aca="false">SUMPRODUCT((Personnel!$P$9:$P$100="SUPER")*(Personnel!$G$9:$G$100="Yes")*(78&gt;=Personnel!$E$9:$E$100)*((Personnel!$K$9:$K$100="")+(78&lt;=Personnel!$K$9:$K$100)&gt;0))</f>
        <v>7</v>
      </c>
      <c r="CE43" s="384" t="n">
        <f aca="false">SUMPRODUCT((Personnel!$P$9:$P$100="SUPER")*(Personnel!$G$9:$G$100="Yes")*(79&gt;=Personnel!$E$9:$E$100)*((Personnel!$K$9:$K$100="")+(79&lt;=Personnel!$K$9:$K$100)&gt;0))</f>
        <v>7</v>
      </c>
      <c r="CF43" s="384" t="n">
        <f aca="false">SUMPRODUCT((Personnel!$P$9:$P$100="SUPER")*(Personnel!$G$9:$G$100="Yes")*(80&gt;=Personnel!$E$9:$E$100)*((Personnel!$K$9:$K$100="")+(80&lt;=Personnel!$K$9:$K$100)&gt;0))</f>
        <v>7</v>
      </c>
      <c r="CG43" s="384" t="n">
        <f aca="false">SUMPRODUCT((Personnel!$P$9:$P$100="SUPER")*(Personnel!$G$9:$G$100="Yes")*(81&gt;=Personnel!$E$9:$E$100)*((Personnel!$K$9:$K$100="")+(81&lt;=Personnel!$K$9:$K$100)&gt;0))</f>
        <v>7</v>
      </c>
      <c r="CH43" s="384" t="n">
        <f aca="false">SUMPRODUCT((Personnel!$P$9:$P$100="SUPER")*(Personnel!$G$9:$G$100="Yes")*(82&gt;=Personnel!$E$9:$E$100)*((Personnel!$K$9:$K$100="")+(82&lt;=Personnel!$K$9:$K$100)&gt;0))</f>
        <v>7</v>
      </c>
      <c r="CI43" s="384" t="n">
        <f aca="false">SUMPRODUCT((Personnel!$P$9:$P$100="SUPER")*(Personnel!$G$9:$G$100="Yes")*(83&gt;=Personnel!$E$9:$E$100)*((Personnel!$K$9:$K$100="")+(83&lt;=Personnel!$K$9:$K$100)&gt;0))</f>
        <v>7</v>
      </c>
      <c r="CJ43" s="384" t="n">
        <f aca="false">SUMPRODUCT((Personnel!$P$9:$P$100="SUPER")*(Personnel!$G$9:$G$100="Yes")*(84&gt;=Personnel!$E$9:$E$100)*((Personnel!$K$9:$K$100="")+(84&lt;=Personnel!$K$9:$K$100)&gt;0))</f>
        <v>7</v>
      </c>
      <c r="CK43" s="384" t="n">
        <f aca="false">SUMPRODUCT((Personnel!$P$9:$P$100="SUPER")*(Personnel!$G$9:$G$100="Yes")*(85&gt;=Personnel!$E$9:$E$100)*((Personnel!$K$9:$K$100="")+(85&lt;=Personnel!$K$9:$K$100)&gt;0))</f>
        <v>7</v>
      </c>
      <c r="CL43" s="384" t="n">
        <f aca="false">SUMPRODUCT((Personnel!$P$9:$P$100="SUPER")*(Personnel!$G$9:$G$100="Yes")*(86&gt;=Personnel!$E$9:$E$100)*((Personnel!$K$9:$K$100="")+(86&lt;=Personnel!$K$9:$K$100)&gt;0))</f>
        <v>7</v>
      </c>
      <c r="CM43" s="384" t="n">
        <f aca="false">SUMPRODUCT((Personnel!$P$9:$P$100="SUPER")*(Personnel!$G$9:$G$100="Yes")*(87&gt;=Personnel!$E$9:$E$100)*((Personnel!$K$9:$K$100="")+(87&lt;=Personnel!$K$9:$K$100)&gt;0))</f>
        <v>7</v>
      </c>
      <c r="CN43" s="384" t="n">
        <f aca="false">SUMPRODUCT((Personnel!$P$9:$P$100="SUPER")*(Personnel!$G$9:$G$100="Yes")*(88&gt;=Personnel!$E$9:$E$100)*((Personnel!$K$9:$K$100="")+(88&lt;=Personnel!$K$9:$K$100)&gt;0))</f>
        <v>7</v>
      </c>
      <c r="CO43" s="384" t="n">
        <f aca="false">SUMPRODUCT((Personnel!$P$9:$P$100="SUPER")*(Personnel!$G$9:$G$100="Yes")*(89&gt;=Personnel!$E$9:$E$100)*((Personnel!$K$9:$K$100="")+(89&lt;=Personnel!$K$9:$K$100)&gt;0))</f>
        <v>7</v>
      </c>
      <c r="CP43" s="384" t="n">
        <f aca="false">SUMPRODUCT((Personnel!$P$9:$P$100="SUPER")*(Personnel!$G$9:$G$100="Yes")*(90&gt;=Personnel!$E$9:$E$100)*((Personnel!$K$9:$K$100="")+(90&lt;=Personnel!$K$9:$K$100)&gt;0))</f>
        <v>7</v>
      </c>
      <c r="CQ43" s="384" t="n">
        <f aca="false">SUMPRODUCT((Personnel!$P$9:$P$100="SUPER")*(Personnel!$G$9:$G$100="Yes")*(91&gt;=Personnel!$E$9:$E$100)*((Personnel!$K$9:$K$100="")+(91&lt;=Personnel!$K$9:$K$100)&gt;0))</f>
        <v>7</v>
      </c>
      <c r="CR43" s="384" t="n">
        <f aca="false">SUMPRODUCT((Personnel!$P$9:$P$100="SUPER")*(Personnel!$G$9:$G$100="Yes")*(92&gt;=Personnel!$E$9:$E$100)*((Personnel!$K$9:$K$100="")+(92&lt;=Personnel!$K$9:$K$100)&gt;0))</f>
        <v>7</v>
      </c>
      <c r="CS43" s="384" t="n">
        <f aca="false">SUMPRODUCT((Personnel!$P$9:$P$100="SUPER")*(Personnel!$G$9:$G$100="Yes")*(93&gt;=Personnel!$E$9:$E$100)*((Personnel!$K$9:$K$100="")+(93&lt;=Personnel!$K$9:$K$100)&gt;0))</f>
        <v>7</v>
      </c>
      <c r="CT43" s="384" t="n">
        <f aca="false">SUMPRODUCT((Personnel!$P$9:$P$100="SUPER")*(Personnel!$G$9:$G$100="Yes")*(94&gt;=Personnel!$E$9:$E$100)*((Personnel!$K$9:$K$100="")+(94&lt;=Personnel!$K$9:$K$100)&gt;0))</f>
        <v>7</v>
      </c>
      <c r="CU43" s="384" t="n">
        <f aca="false">SUMPRODUCT((Personnel!$P$9:$P$100="SUPER")*(Personnel!$G$9:$G$100="Yes")*(95&gt;=Personnel!$E$9:$E$100)*((Personnel!$K$9:$K$100="")+(95&lt;=Personnel!$K$9:$K$100)&gt;0))</f>
        <v>7</v>
      </c>
      <c r="CV43" s="384" t="n">
        <f aca="false">SUMPRODUCT((Personnel!$P$9:$P$100="SUPER")*(Personnel!$G$9:$G$100="Yes")*(96&gt;=Personnel!$E$9:$E$100)*((Personnel!$K$9:$K$100="")+(96&lt;=Personnel!$K$9:$K$100)&gt;0))</f>
        <v>7</v>
      </c>
      <c r="CW43" s="384" t="n">
        <f aca="false">SUMPRODUCT((Personnel!$P$9:$P$100="SUPER")*(Personnel!$G$9:$G$100="Yes")*(97&gt;=Personnel!$E$9:$E$100)*((Personnel!$K$9:$K$100="")+(97&lt;=Personnel!$K$9:$K$100)&gt;0))</f>
        <v>7</v>
      </c>
      <c r="CX43" s="384" t="n">
        <f aca="false">SUMPRODUCT((Personnel!$P$9:$P$100="SUPER")*(Personnel!$G$9:$G$100="Yes")*(98&gt;=Personnel!$E$9:$E$100)*((Personnel!$K$9:$K$100="")+(98&lt;=Personnel!$K$9:$K$100)&gt;0))</f>
        <v>7</v>
      </c>
      <c r="CY43" s="384" t="n">
        <f aca="false">SUMPRODUCT((Personnel!$P$9:$P$100="SUPER")*(Personnel!$G$9:$G$100="Yes")*(99&gt;=Personnel!$E$9:$E$100)*((Personnel!$K$9:$K$100="")+(99&lt;=Personnel!$K$9:$K$100)&gt;0))</f>
        <v>7</v>
      </c>
      <c r="CZ43" s="384" t="n">
        <f aca="false">SUMPRODUCT((Personnel!$P$9:$P$100="SUPER")*(Personnel!$G$9:$G$100="Yes")*(100&gt;=Personnel!$E$9:$E$100)*((Personnel!$K$9:$K$100="")+(100&lt;=Personnel!$K$9:$K$100)&gt;0))</f>
        <v>7</v>
      </c>
      <c r="DA43" s="384" t="n">
        <f aca="false">SUMPRODUCT((Personnel!$P$9:$P$100="SUPER")*(Personnel!$G$9:$G$100="Yes")*(101&gt;=Personnel!$E$9:$E$100)*((Personnel!$K$9:$K$100="")+(101&lt;=Personnel!$K$9:$K$100)&gt;0))</f>
        <v>7</v>
      </c>
      <c r="DB43" s="384" t="n">
        <f aca="false">SUMPRODUCT((Personnel!$P$9:$P$100="SUPER")*(Personnel!$G$9:$G$100="Yes")*(102&gt;=Personnel!$E$9:$E$100)*((Personnel!$K$9:$K$100="")+(102&lt;=Personnel!$K$9:$K$100)&gt;0))</f>
        <v>7</v>
      </c>
      <c r="DC43" s="384" t="n">
        <f aca="false">SUMPRODUCT((Personnel!$P$9:$P$100="SUPER")*(Personnel!$G$9:$G$100="Yes")*(103&gt;=Personnel!$E$9:$E$100)*((Personnel!$K$9:$K$100="")+(103&lt;=Personnel!$K$9:$K$100)&gt;0))</f>
        <v>7</v>
      </c>
      <c r="DD43" s="384" t="n">
        <f aca="false">SUMPRODUCT((Personnel!$P$9:$P$100="SUPER")*(Personnel!$G$9:$G$100="Yes")*(104&gt;=Personnel!$E$9:$E$100)*((Personnel!$K$9:$K$100="")+(104&lt;=Personnel!$K$9:$K$100)&gt;0))</f>
        <v>7</v>
      </c>
      <c r="DE43" s="384" t="n">
        <f aca="false">SUMPRODUCT((Personnel!$P$9:$P$100="SUPER")*(Personnel!$G$9:$G$100="Yes")*(105&gt;=Personnel!$E$9:$E$100)*((Personnel!$K$9:$K$100="")+(105&lt;=Personnel!$K$9:$K$100)&gt;0))</f>
        <v>7</v>
      </c>
    </row>
    <row r="44" customFormat="false" ht="13.5" hidden="false" customHeight="true" outlineLevel="0" collapsed="false">
      <c r="A44" s="110" t="s">
        <v>1378</v>
      </c>
      <c r="E44" s="384" t="n">
        <f aca="false">SUMPRODUCT((Personnel!$P$9:$P$100="APM")*(Personnel!$G$9:$G$100="Yes")*(1&gt;=Personnel!$E$9:$E$100)*((Personnel!$K$9:$K$100="")+(1&lt;=Personnel!$K$9:$K$100)&gt;0))</f>
        <v>1</v>
      </c>
      <c r="F44" s="384" t="n">
        <f aca="false">SUMPRODUCT((Personnel!$P$9:$P$100="APM")*(Personnel!$G$9:$G$100="Yes")*(2&gt;=Personnel!$E$9:$E$100)*((Personnel!$K$9:$K$100="")+(2&lt;=Personnel!$K$9:$K$100)&gt;0))</f>
        <v>2</v>
      </c>
      <c r="G44" s="384" t="n">
        <f aca="false">SUMPRODUCT((Personnel!$P$9:$P$100="APM")*(Personnel!$G$9:$G$100="Yes")*(3&gt;=Personnel!$E$9:$E$100)*((Personnel!$K$9:$K$100="")+(3&lt;=Personnel!$K$9:$K$100)&gt;0))</f>
        <v>2</v>
      </c>
      <c r="H44" s="384" t="n">
        <f aca="false">SUMPRODUCT((Personnel!$P$9:$P$100="APM")*(Personnel!$G$9:$G$100="Yes")*(4&gt;=Personnel!$E$9:$E$100)*((Personnel!$K$9:$K$100="")+(4&lt;=Personnel!$K$9:$K$100)&gt;0))</f>
        <v>2</v>
      </c>
      <c r="I44" s="384" t="n">
        <f aca="false">SUMPRODUCT((Personnel!$P$9:$P$100="APM")*(Personnel!$G$9:$G$100="Yes")*(5&gt;=Personnel!$E$9:$E$100)*((Personnel!$K$9:$K$100="")+(5&lt;=Personnel!$K$9:$K$100)&gt;0))</f>
        <v>1</v>
      </c>
      <c r="J44" s="384" t="n">
        <f aca="false">SUMPRODUCT((Personnel!$P$9:$P$100="APM")*(Personnel!$G$9:$G$100="Yes")*(6&gt;=Personnel!$E$9:$E$100)*((Personnel!$K$9:$K$100="")+(6&lt;=Personnel!$K$9:$K$100)&gt;0))</f>
        <v>2</v>
      </c>
      <c r="K44" s="384" t="n">
        <f aca="false">SUMPRODUCT((Personnel!$P$9:$P$100="APM")*(Personnel!$G$9:$G$100="Yes")*(7&gt;=Personnel!$E$9:$E$100)*((Personnel!$K$9:$K$100="")+(7&lt;=Personnel!$K$9:$K$100)&gt;0))</f>
        <v>2</v>
      </c>
      <c r="L44" s="384" t="n">
        <f aca="false">SUMPRODUCT((Personnel!$P$9:$P$100="APM")*(Personnel!$G$9:$G$100="Yes")*(8&gt;=Personnel!$E$9:$E$100)*((Personnel!$K$9:$K$100="")+(8&lt;=Personnel!$K$9:$K$100)&gt;0))</f>
        <v>2</v>
      </c>
      <c r="M44" s="384" t="n">
        <f aca="false">SUMPRODUCT((Personnel!$P$9:$P$100="APM")*(Personnel!$G$9:$G$100="Yes")*(9&gt;=Personnel!$E$9:$E$100)*((Personnel!$K$9:$K$100="")+(9&lt;=Personnel!$K$9:$K$100)&gt;0))</f>
        <v>2</v>
      </c>
      <c r="N44" s="384" t="n">
        <f aca="false">SUMPRODUCT((Personnel!$P$9:$P$100="APM")*(Personnel!$G$9:$G$100="Yes")*(10&gt;=Personnel!$E$9:$E$100)*((Personnel!$K$9:$K$100="")+(10&lt;=Personnel!$K$9:$K$100)&gt;0))</f>
        <v>2</v>
      </c>
      <c r="O44" s="384" t="n">
        <f aca="false">SUMPRODUCT((Personnel!$P$9:$P$100="APM")*(Personnel!$G$9:$G$100="Yes")*(11&gt;=Personnel!$E$9:$E$100)*((Personnel!$K$9:$K$100="")+(11&lt;=Personnel!$K$9:$K$100)&gt;0))</f>
        <v>2</v>
      </c>
      <c r="P44" s="384" t="n">
        <f aca="false">SUMPRODUCT((Personnel!$P$9:$P$100="APM")*(Personnel!$G$9:$G$100="Yes")*(12&gt;=Personnel!$E$9:$E$100)*((Personnel!$K$9:$K$100="")+(12&lt;=Personnel!$K$9:$K$100)&gt;0))</f>
        <v>2</v>
      </c>
      <c r="Q44" s="384" t="n">
        <f aca="false">SUMPRODUCT((Personnel!$P$9:$P$100="APM")*(Personnel!$G$9:$G$100="Yes")*(13&gt;=Personnel!$E$9:$E$100)*((Personnel!$K$9:$K$100="")+(13&lt;=Personnel!$K$9:$K$100)&gt;0))</f>
        <v>2</v>
      </c>
      <c r="R44" s="384" t="n">
        <f aca="false">SUMPRODUCT((Personnel!$P$9:$P$100="APM")*(Personnel!$G$9:$G$100="Yes")*(14&gt;=Personnel!$E$9:$E$100)*((Personnel!$K$9:$K$100="")+(14&lt;=Personnel!$K$9:$K$100)&gt;0))</f>
        <v>2</v>
      </c>
      <c r="S44" s="384" t="n">
        <f aca="false">SUMPRODUCT((Personnel!$P$9:$P$100="APM")*(Personnel!$G$9:$G$100="Yes")*(15&gt;=Personnel!$E$9:$E$100)*((Personnel!$K$9:$K$100="")+(15&lt;=Personnel!$K$9:$K$100)&gt;0))</f>
        <v>2</v>
      </c>
      <c r="T44" s="384" t="n">
        <f aca="false">SUMPRODUCT((Personnel!$P$9:$P$100="APM")*(Personnel!$G$9:$G$100="Yes")*(16&gt;=Personnel!$E$9:$E$100)*((Personnel!$K$9:$K$100="")+(16&lt;=Personnel!$K$9:$K$100)&gt;0))</f>
        <v>2</v>
      </c>
      <c r="U44" s="384" t="n">
        <f aca="false">SUMPRODUCT((Personnel!$P$9:$P$100="APM")*(Personnel!$G$9:$G$100="Yes")*(17&gt;=Personnel!$E$9:$E$100)*((Personnel!$K$9:$K$100="")+(17&lt;=Personnel!$K$9:$K$100)&gt;0))</f>
        <v>2</v>
      </c>
      <c r="V44" s="384" t="n">
        <f aca="false">SUMPRODUCT((Personnel!$P$9:$P$100="APM")*(Personnel!$G$9:$G$100="Yes")*(18&gt;=Personnel!$E$9:$E$100)*((Personnel!$K$9:$K$100="")+(18&lt;=Personnel!$K$9:$K$100)&gt;0))</f>
        <v>2</v>
      </c>
      <c r="W44" s="384" t="n">
        <f aca="false">SUMPRODUCT((Personnel!$P$9:$P$100="APM")*(Personnel!$G$9:$G$100="Yes")*(19&gt;=Personnel!$E$9:$E$100)*((Personnel!$K$9:$K$100="")+(19&lt;=Personnel!$K$9:$K$100)&gt;0))</f>
        <v>2</v>
      </c>
      <c r="X44" s="384" t="n">
        <f aca="false">SUMPRODUCT((Personnel!$P$9:$P$100="APM")*(Personnel!$G$9:$G$100="Yes")*(20&gt;=Personnel!$E$9:$E$100)*((Personnel!$K$9:$K$100="")+(20&lt;=Personnel!$K$9:$K$100)&gt;0))</f>
        <v>2</v>
      </c>
      <c r="Y44" s="384" t="n">
        <f aca="false">SUMPRODUCT((Personnel!$P$9:$P$100="APM")*(Personnel!$G$9:$G$100="Yes")*(21&gt;=Personnel!$E$9:$E$100)*((Personnel!$K$9:$K$100="")+(21&lt;=Personnel!$K$9:$K$100)&gt;0))</f>
        <v>2</v>
      </c>
      <c r="Z44" s="384" t="n">
        <f aca="false">SUMPRODUCT((Personnel!$P$9:$P$100="APM")*(Personnel!$G$9:$G$100="Yes")*(22&gt;=Personnel!$E$9:$E$100)*((Personnel!$K$9:$K$100="")+(22&lt;=Personnel!$K$9:$K$100)&gt;0))</f>
        <v>2</v>
      </c>
      <c r="AA44" s="384" t="n">
        <f aca="false">SUMPRODUCT((Personnel!$P$9:$P$100="APM")*(Personnel!$G$9:$G$100="Yes")*(23&gt;=Personnel!$E$9:$E$100)*((Personnel!$K$9:$K$100="")+(23&lt;=Personnel!$K$9:$K$100)&gt;0))</f>
        <v>2</v>
      </c>
      <c r="AB44" s="384" t="n">
        <f aca="false">SUMPRODUCT((Personnel!$P$9:$P$100="APM")*(Personnel!$G$9:$G$100="Yes")*(24&gt;=Personnel!$E$9:$E$100)*((Personnel!$K$9:$K$100="")+(24&lt;=Personnel!$K$9:$K$100)&gt;0))</f>
        <v>2</v>
      </c>
      <c r="AC44" s="384" t="n">
        <f aca="false">SUMPRODUCT((Personnel!$P$9:$P$100="APM")*(Personnel!$G$9:$G$100="Yes")*(25&gt;=Personnel!$E$9:$E$100)*((Personnel!$K$9:$K$100="")+(25&lt;=Personnel!$K$9:$K$100)&gt;0))</f>
        <v>2</v>
      </c>
      <c r="AD44" s="384" t="n">
        <f aca="false">SUMPRODUCT((Personnel!$P$9:$P$100="APM")*(Personnel!$G$9:$G$100="Yes")*(26&gt;=Personnel!$E$9:$E$100)*((Personnel!$K$9:$K$100="")+(26&lt;=Personnel!$K$9:$K$100)&gt;0))</f>
        <v>2</v>
      </c>
      <c r="AE44" s="384" t="n">
        <f aca="false">SUMPRODUCT((Personnel!$P$9:$P$100="APM")*(Personnel!$G$9:$G$100="Yes")*(27&gt;=Personnel!$E$9:$E$100)*((Personnel!$K$9:$K$100="")+(27&lt;=Personnel!$K$9:$K$100)&gt;0))</f>
        <v>2</v>
      </c>
      <c r="AF44" s="384" t="n">
        <f aca="false">SUMPRODUCT((Personnel!$P$9:$P$100="APM")*(Personnel!$G$9:$G$100="Yes")*(28&gt;=Personnel!$E$9:$E$100)*((Personnel!$K$9:$K$100="")+(28&lt;=Personnel!$K$9:$K$100)&gt;0))</f>
        <v>2</v>
      </c>
      <c r="AG44" s="384" t="n">
        <f aca="false">SUMPRODUCT((Personnel!$P$9:$P$100="APM")*(Personnel!$G$9:$G$100="Yes")*(29&gt;=Personnel!$E$9:$E$100)*((Personnel!$K$9:$K$100="")+(29&lt;=Personnel!$K$9:$K$100)&gt;0))</f>
        <v>2</v>
      </c>
      <c r="AH44" s="384" t="n">
        <f aca="false">SUMPRODUCT((Personnel!$P$9:$P$100="APM")*(Personnel!$G$9:$G$100="Yes")*(30&gt;=Personnel!$E$9:$E$100)*((Personnel!$K$9:$K$100="")+(30&lt;=Personnel!$K$9:$K$100)&gt;0))</f>
        <v>2</v>
      </c>
      <c r="AI44" s="384" t="n">
        <f aca="false">SUMPRODUCT((Personnel!$P$9:$P$100="APM")*(Personnel!$G$9:$G$100="Yes")*(31&gt;=Personnel!$E$9:$E$100)*((Personnel!$K$9:$K$100="")+(31&lt;=Personnel!$K$9:$K$100)&gt;0))</f>
        <v>2</v>
      </c>
      <c r="AJ44" s="384" t="n">
        <f aca="false">SUMPRODUCT((Personnel!$P$9:$P$100="APM")*(Personnel!$G$9:$G$100="Yes")*(32&gt;=Personnel!$E$9:$E$100)*((Personnel!$K$9:$K$100="")+(32&lt;=Personnel!$K$9:$K$100)&gt;0))</f>
        <v>2</v>
      </c>
      <c r="AK44" s="384" t="n">
        <f aca="false">SUMPRODUCT((Personnel!$P$9:$P$100="APM")*(Personnel!$G$9:$G$100="Yes")*(33&gt;=Personnel!$E$9:$E$100)*((Personnel!$K$9:$K$100="")+(33&lt;=Personnel!$K$9:$K$100)&gt;0))</f>
        <v>2</v>
      </c>
      <c r="AL44" s="384" t="n">
        <f aca="false">SUMPRODUCT((Personnel!$P$9:$P$100="APM")*(Personnel!$G$9:$G$100="Yes")*(34&gt;=Personnel!$E$9:$E$100)*((Personnel!$K$9:$K$100="")+(34&lt;=Personnel!$K$9:$K$100)&gt;0))</f>
        <v>2</v>
      </c>
      <c r="AM44" s="384" t="n">
        <f aca="false">SUMPRODUCT((Personnel!$P$9:$P$100="APM")*(Personnel!$G$9:$G$100="Yes")*(35&gt;=Personnel!$E$9:$E$100)*((Personnel!$K$9:$K$100="")+(35&lt;=Personnel!$K$9:$K$100)&gt;0))</f>
        <v>2</v>
      </c>
      <c r="AN44" s="384" t="n">
        <f aca="false">SUMPRODUCT((Personnel!$P$9:$P$100="APM")*(Personnel!$G$9:$G$100="Yes")*(36&gt;=Personnel!$E$9:$E$100)*((Personnel!$K$9:$K$100="")+(36&lt;=Personnel!$K$9:$K$100)&gt;0))</f>
        <v>2</v>
      </c>
      <c r="AO44" s="384" t="n">
        <f aca="false">SUMPRODUCT((Personnel!$P$9:$P$100="APM")*(Personnel!$G$9:$G$100="Yes")*(37&gt;=Personnel!$E$9:$E$100)*((Personnel!$K$9:$K$100="")+(37&lt;=Personnel!$K$9:$K$100)&gt;0))</f>
        <v>2</v>
      </c>
      <c r="AP44" s="384" t="n">
        <f aca="false">SUMPRODUCT((Personnel!$P$9:$P$100="APM")*(Personnel!$G$9:$G$100="Yes")*(38&gt;=Personnel!$E$9:$E$100)*((Personnel!$K$9:$K$100="")+(38&lt;=Personnel!$K$9:$K$100)&gt;0))</f>
        <v>2</v>
      </c>
      <c r="AQ44" s="384" t="n">
        <f aca="false">SUMPRODUCT((Personnel!$P$9:$P$100="APM")*(Personnel!$G$9:$G$100="Yes")*(39&gt;=Personnel!$E$9:$E$100)*((Personnel!$K$9:$K$100="")+(39&lt;=Personnel!$K$9:$K$100)&gt;0))</f>
        <v>2</v>
      </c>
      <c r="AR44" s="384" t="n">
        <f aca="false">SUMPRODUCT((Personnel!$P$9:$P$100="APM")*(Personnel!$G$9:$G$100="Yes")*(40&gt;=Personnel!$E$9:$E$100)*((Personnel!$K$9:$K$100="")+(40&lt;=Personnel!$K$9:$K$100)&gt;0))</f>
        <v>2</v>
      </c>
      <c r="AS44" s="384" t="n">
        <f aca="false">SUMPRODUCT((Personnel!$P$9:$P$100="APM")*(Personnel!$G$9:$G$100="Yes")*(41&gt;=Personnel!$E$9:$E$100)*((Personnel!$K$9:$K$100="")+(41&lt;=Personnel!$K$9:$K$100)&gt;0))</f>
        <v>2</v>
      </c>
      <c r="AT44" s="384" t="n">
        <f aca="false">SUMPRODUCT((Personnel!$P$9:$P$100="APM")*(Personnel!$G$9:$G$100="Yes")*(42&gt;=Personnel!$E$9:$E$100)*((Personnel!$K$9:$K$100="")+(42&lt;=Personnel!$K$9:$K$100)&gt;0))</f>
        <v>2</v>
      </c>
      <c r="AU44" s="384" t="n">
        <f aca="false">SUMPRODUCT((Personnel!$P$9:$P$100="APM")*(Personnel!$G$9:$G$100="Yes")*(43&gt;=Personnel!$E$9:$E$100)*((Personnel!$K$9:$K$100="")+(43&lt;=Personnel!$K$9:$K$100)&gt;0))</f>
        <v>2</v>
      </c>
      <c r="AV44" s="384" t="n">
        <f aca="false">SUMPRODUCT((Personnel!$P$9:$P$100="APM")*(Personnel!$G$9:$G$100="Yes")*(44&gt;=Personnel!$E$9:$E$100)*((Personnel!$K$9:$K$100="")+(44&lt;=Personnel!$K$9:$K$100)&gt;0))</f>
        <v>2</v>
      </c>
      <c r="AW44" s="384" t="n">
        <f aca="false">SUMPRODUCT((Personnel!$P$9:$P$100="APM")*(Personnel!$G$9:$G$100="Yes")*(45&gt;=Personnel!$E$9:$E$100)*((Personnel!$K$9:$K$100="")+(45&lt;=Personnel!$K$9:$K$100)&gt;0))</f>
        <v>2</v>
      </c>
      <c r="AX44" s="384" t="n">
        <f aca="false">SUMPRODUCT((Personnel!$P$9:$P$100="APM")*(Personnel!$G$9:$G$100="Yes")*(46&gt;=Personnel!$E$9:$E$100)*((Personnel!$K$9:$K$100="")+(46&lt;=Personnel!$K$9:$K$100)&gt;0))</f>
        <v>2</v>
      </c>
      <c r="AY44" s="384" t="n">
        <f aca="false">SUMPRODUCT((Personnel!$P$9:$P$100="APM")*(Personnel!$G$9:$G$100="Yes")*(47&gt;=Personnel!$E$9:$E$100)*((Personnel!$K$9:$K$100="")+(47&lt;=Personnel!$K$9:$K$100)&gt;0))</f>
        <v>2</v>
      </c>
      <c r="AZ44" s="384" t="n">
        <f aca="false">SUMPRODUCT((Personnel!$P$9:$P$100="APM")*(Personnel!$G$9:$G$100="Yes")*(48&gt;=Personnel!$E$9:$E$100)*((Personnel!$K$9:$K$100="")+(48&lt;=Personnel!$K$9:$K$100)&gt;0))</f>
        <v>2</v>
      </c>
      <c r="BA44" s="384" t="n">
        <f aca="false">SUMPRODUCT((Personnel!$P$9:$P$100="APM")*(Personnel!$G$9:$G$100="Yes")*(49&gt;=Personnel!$E$9:$E$100)*((Personnel!$K$9:$K$100="")+(49&lt;=Personnel!$K$9:$K$100)&gt;0))</f>
        <v>2</v>
      </c>
      <c r="BB44" s="384" t="n">
        <f aca="false">SUMPRODUCT((Personnel!$P$9:$P$100="APM")*(Personnel!$G$9:$G$100="Yes")*(50&gt;=Personnel!$E$9:$E$100)*((Personnel!$K$9:$K$100="")+(50&lt;=Personnel!$K$9:$K$100)&gt;0))</f>
        <v>2</v>
      </c>
      <c r="BC44" s="384" t="n">
        <f aca="false">SUMPRODUCT((Personnel!$P$9:$P$100="APM")*(Personnel!$G$9:$G$100="Yes")*(51&gt;=Personnel!$E$9:$E$100)*((Personnel!$K$9:$K$100="")+(51&lt;=Personnel!$K$9:$K$100)&gt;0))</f>
        <v>2</v>
      </c>
      <c r="BD44" s="384" t="n">
        <f aca="false">SUMPRODUCT((Personnel!$P$9:$P$100="APM")*(Personnel!$G$9:$G$100="Yes")*(52&gt;=Personnel!$E$9:$E$100)*((Personnel!$K$9:$K$100="")+(52&lt;=Personnel!$K$9:$K$100)&gt;0))</f>
        <v>2</v>
      </c>
      <c r="BE44" s="384" t="n">
        <f aca="false">SUMPRODUCT((Personnel!$P$9:$P$100="APM")*(Personnel!$G$9:$G$100="Yes")*(53&gt;=Personnel!$E$9:$E$100)*((Personnel!$K$9:$K$100="")+(53&lt;=Personnel!$K$9:$K$100)&gt;0))</f>
        <v>2</v>
      </c>
      <c r="BF44" s="384" t="n">
        <f aca="false">SUMPRODUCT((Personnel!$P$9:$P$100="APM")*(Personnel!$G$9:$G$100="Yes")*(54&gt;=Personnel!$E$9:$E$100)*((Personnel!$K$9:$K$100="")+(54&lt;=Personnel!$K$9:$K$100)&gt;0))</f>
        <v>2</v>
      </c>
      <c r="BG44" s="384" t="n">
        <f aca="false">SUMPRODUCT((Personnel!$P$9:$P$100="APM")*(Personnel!$G$9:$G$100="Yes")*(55&gt;=Personnel!$E$9:$E$100)*((Personnel!$K$9:$K$100="")+(55&lt;=Personnel!$K$9:$K$100)&gt;0))</f>
        <v>2</v>
      </c>
      <c r="BH44" s="384" t="n">
        <f aca="false">SUMPRODUCT((Personnel!$P$9:$P$100="APM")*(Personnel!$G$9:$G$100="Yes")*(56&gt;=Personnel!$E$9:$E$100)*((Personnel!$K$9:$K$100="")+(56&lt;=Personnel!$K$9:$K$100)&gt;0))</f>
        <v>2</v>
      </c>
      <c r="BI44" s="384" t="n">
        <f aca="false">SUMPRODUCT((Personnel!$P$9:$P$100="APM")*(Personnel!$G$9:$G$100="Yes")*(57&gt;=Personnel!$E$9:$E$100)*((Personnel!$K$9:$K$100="")+(57&lt;=Personnel!$K$9:$K$100)&gt;0))</f>
        <v>2</v>
      </c>
      <c r="BJ44" s="384" t="n">
        <f aca="false">SUMPRODUCT((Personnel!$P$9:$P$100="APM")*(Personnel!$G$9:$G$100="Yes")*(58&gt;=Personnel!$E$9:$E$100)*((Personnel!$K$9:$K$100="")+(58&lt;=Personnel!$K$9:$K$100)&gt;0))</f>
        <v>2</v>
      </c>
      <c r="BK44" s="384" t="n">
        <f aca="false">SUMPRODUCT((Personnel!$P$9:$P$100="APM")*(Personnel!$G$9:$G$100="Yes")*(59&gt;=Personnel!$E$9:$E$100)*((Personnel!$K$9:$K$100="")+(59&lt;=Personnel!$K$9:$K$100)&gt;0))</f>
        <v>2</v>
      </c>
      <c r="BL44" s="384" t="n">
        <f aca="false">SUMPRODUCT((Personnel!$P$9:$P$100="APM")*(Personnel!$G$9:$G$100="Yes")*(60&gt;=Personnel!$E$9:$E$100)*((Personnel!$K$9:$K$100="")+(60&lt;=Personnel!$K$9:$K$100)&gt;0))</f>
        <v>2</v>
      </c>
      <c r="BM44" s="384" t="n">
        <f aca="false">SUMPRODUCT((Personnel!$P$9:$P$100="APM")*(Personnel!$G$9:$G$100="Yes")*(61&gt;=Personnel!$E$9:$E$100)*((Personnel!$K$9:$K$100="")+(61&lt;=Personnel!$K$9:$K$100)&gt;0))</f>
        <v>2</v>
      </c>
      <c r="BN44" s="384" t="n">
        <f aca="false">SUMPRODUCT((Personnel!$P$9:$P$100="APM")*(Personnel!$G$9:$G$100="Yes")*(62&gt;=Personnel!$E$9:$E$100)*((Personnel!$K$9:$K$100="")+(62&lt;=Personnel!$K$9:$K$100)&gt;0))</f>
        <v>2</v>
      </c>
      <c r="BO44" s="384" t="n">
        <f aca="false">SUMPRODUCT((Personnel!$P$9:$P$100="APM")*(Personnel!$G$9:$G$100="Yes")*(63&gt;=Personnel!$E$9:$E$100)*((Personnel!$K$9:$K$100="")+(63&lt;=Personnel!$K$9:$K$100)&gt;0))</f>
        <v>2</v>
      </c>
      <c r="BP44" s="384" t="n">
        <f aca="false">SUMPRODUCT((Personnel!$P$9:$P$100="APM")*(Personnel!$G$9:$G$100="Yes")*(64&gt;=Personnel!$E$9:$E$100)*((Personnel!$K$9:$K$100="")+(64&lt;=Personnel!$K$9:$K$100)&gt;0))</f>
        <v>2</v>
      </c>
      <c r="BQ44" s="384" t="n">
        <f aca="false">SUMPRODUCT((Personnel!$P$9:$P$100="APM")*(Personnel!$G$9:$G$100="Yes")*(65&gt;=Personnel!$E$9:$E$100)*((Personnel!$K$9:$K$100="")+(65&lt;=Personnel!$K$9:$K$100)&gt;0))</f>
        <v>2</v>
      </c>
      <c r="BR44" s="384" t="n">
        <f aca="false">SUMPRODUCT((Personnel!$P$9:$P$100="APM")*(Personnel!$G$9:$G$100="Yes")*(66&gt;=Personnel!$E$9:$E$100)*((Personnel!$K$9:$K$100="")+(66&lt;=Personnel!$K$9:$K$100)&gt;0))</f>
        <v>2</v>
      </c>
      <c r="BS44" s="384" t="n">
        <f aca="false">SUMPRODUCT((Personnel!$P$9:$P$100="APM")*(Personnel!$G$9:$G$100="Yes")*(67&gt;=Personnel!$E$9:$E$100)*((Personnel!$K$9:$K$100="")+(67&lt;=Personnel!$K$9:$K$100)&gt;0))</f>
        <v>2</v>
      </c>
      <c r="BT44" s="384" t="n">
        <f aca="false">SUMPRODUCT((Personnel!$P$9:$P$100="APM")*(Personnel!$G$9:$G$100="Yes")*(68&gt;=Personnel!$E$9:$E$100)*((Personnel!$K$9:$K$100="")+(68&lt;=Personnel!$K$9:$K$100)&gt;0))</f>
        <v>2</v>
      </c>
      <c r="BU44" s="384" t="n">
        <f aca="false">SUMPRODUCT((Personnel!$P$9:$P$100="APM")*(Personnel!$G$9:$G$100="Yes")*(69&gt;=Personnel!$E$9:$E$100)*((Personnel!$K$9:$K$100="")+(69&lt;=Personnel!$K$9:$K$100)&gt;0))</f>
        <v>2</v>
      </c>
      <c r="BV44" s="384" t="n">
        <f aca="false">SUMPRODUCT((Personnel!$P$9:$P$100="APM")*(Personnel!$G$9:$G$100="Yes")*(70&gt;=Personnel!$E$9:$E$100)*((Personnel!$K$9:$K$100="")+(70&lt;=Personnel!$K$9:$K$100)&gt;0))</f>
        <v>2</v>
      </c>
      <c r="BW44" s="384" t="n">
        <f aca="false">SUMPRODUCT((Personnel!$P$9:$P$100="APM")*(Personnel!$G$9:$G$100="Yes")*(71&gt;=Personnel!$E$9:$E$100)*((Personnel!$K$9:$K$100="")+(71&lt;=Personnel!$K$9:$K$100)&gt;0))</f>
        <v>2</v>
      </c>
      <c r="BX44" s="384" t="n">
        <f aca="false">SUMPRODUCT((Personnel!$P$9:$P$100="APM")*(Personnel!$G$9:$G$100="Yes")*(72&gt;=Personnel!$E$9:$E$100)*((Personnel!$K$9:$K$100="")+(72&lt;=Personnel!$K$9:$K$100)&gt;0))</f>
        <v>2</v>
      </c>
      <c r="BY44" s="384" t="n">
        <f aca="false">SUMPRODUCT((Personnel!$P$9:$P$100="APM")*(Personnel!$G$9:$G$100="Yes")*(73&gt;=Personnel!$E$9:$E$100)*((Personnel!$K$9:$K$100="")+(73&lt;=Personnel!$K$9:$K$100)&gt;0))</f>
        <v>2</v>
      </c>
      <c r="BZ44" s="384" t="n">
        <f aca="false">SUMPRODUCT((Personnel!$P$9:$P$100="APM")*(Personnel!$G$9:$G$100="Yes")*(74&gt;=Personnel!$E$9:$E$100)*((Personnel!$K$9:$K$100="")+(74&lt;=Personnel!$K$9:$K$100)&gt;0))</f>
        <v>2</v>
      </c>
      <c r="CA44" s="384" t="n">
        <f aca="false">SUMPRODUCT((Personnel!$P$9:$P$100="APM")*(Personnel!$G$9:$G$100="Yes")*(75&gt;=Personnel!$E$9:$E$100)*((Personnel!$K$9:$K$100="")+(75&lt;=Personnel!$K$9:$K$100)&gt;0))</f>
        <v>2</v>
      </c>
      <c r="CB44" s="384" t="n">
        <f aca="false">SUMPRODUCT((Personnel!$P$9:$P$100="APM")*(Personnel!$G$9:$G$100="Yes")*(76&gt;=Personnel!$E$9:$E$100)*((Personnel!$K$9:$K$100="")+(76&lt;=Personnel!$K$9:$K$100)&gt;0))</f>
        <v>2</v>
      </c>
      <c r="CC44" s="384" t="n">
        <f aca="false">SUMPRODUCT((Personnel!$P$9:$P$100="APM")*(Personnel!$G$9:$G$100="Yes")*(77&gt;=Personnel!$E$9:$E$100)*((Personnel!$K$9:$K$100="")+(77&lt;=Personnel!$K$9:$K$100)&gt;0))</f>
        <v>2</v>
      </c>
      <c r="CD44" s="384" t="n">
        <f aca="false">SUMPRODUCT((Personnel!$P$9:$P$100="APM")*(Personnel!$G$9:$G$100="Yes")*(78&gt;=Personnel!$E$9:$E$100)*((Personnel!$K$9:$K$100="")+(78&lt;=Personnel!$K$9:$K$100)&gt;0))</f>
        <v>2</v>
      </c>
      <c r="CE44" s="384" t="n">
        <f aca="false">SUMPRODUCT((Personnel!$P$9:$P$100="APM")*(Personnel!$G$9:$G$100="Yes")*(79&gt;=Personnel!$E$9:$E$100)*((Personnel!$K$9:$K$100="")+(79&lt;=Personnel!$K$9:$K$100)&gt;0))</f>
        <v>2</v>
      </c>
      <c r="CF44" s="384" t="n">
        <f aca="false">SUMPRODUCT((Personnel!$P$9:$P$100="APM")*(Personnel!$G$9:$G$100="Yes")*(80&gt;=Personnel!$E$9:$E$100)*((Personnel!$K$9:$K$100="")+(80&lt;=Personnel!$K$9:$K$100)&gt;0))</f>
        <v>2</v>
      </c>
      <c r="CG44" s="384" t="n">
        <f aca="false">SUMPRODUCT((Personnel!$P$9:$P$100="APM")*(Personnel!$G$9:$G$100="Yes")*(81&gt;=Personnel!$E$9:$E$100)*((Personnel!$K$9:$K$100="")+(81&lt;=Personnel!$K$9:$K$100)&gt;0))</f>
        <v>2</v>
      </c>
      <c r="CH44" s="384" t="n">
        <f aca="false">SUMPRODUCT((Personnel!$P$9:$P$100="APM")*(Personnel!$G$9:$G$100="Yes")*(82&gt;=Personnel!$E$9:$E$100)*((Personnel!$K$9:$K$100="")+(82&lt;=Personnel!$K$9:$K$100)&gt;0))</f>
        <v>2</v>
      </c>
      <c r="CI44" s="384" t="n">
        <f aca="false">SUMPRODUCT((Personnel!$P$9:$P$100="APM")*(Personnel!$G$9:$G$100="Yes")*(83&gt;=Personnel!$E$9:$E$100)*((Personnel!$K$9:$K$100="")+(83&lt;=Personnel!$K$9:$K$100)&gt;0))</f>
        <v>2</v>
      </c>
      <c r="CJ44" s="384" t="n">
        <f aca="false">SUMPRODUCT((Personnel!$P$9:$P$100="APM")*(Personnel!$G$9:$G$100="Yes")*(84&gt;=Personnel!$E$9:$E$100)*((Personnel!$K$9:$K$100="")+(84&lt;=Personnel!$K$9:$K$100)&gt;0))</f>
        <v>2</v>
      </c>
      <c r="CK44" s="384" t="n">
        <f aca="false">SUMPRODUCT((Personnel!$P$9:$P$100="APM")*(Personnel!$G$9:$G$100="Yes")*(85&gt;=Personnel!$E$9:$E$100)*((Personnel!$K$9:$K$100="")+(85&lt;=Personnel!$K$9:$K$100)&gt;0))</f>
        <v>2</v>
      </c>
      <c r="CL44" s="384" t="n">
        <f aca="false">SUMPRODUCT((Personnel!$P$9:$P$100="APM")*(Personnel!$G$9:$G$100="Yes")*(86&gt;=Personnel!$E$9:$E$100)*((Personnel!$K$9:$K$100="")+(86&lt;=Personnel!$K$9:$K$100)&gt;0))</f>
        <v>2</v>
      </c>
      <c r="CM44" s="384" t="n">
        <f aca="false">SUMPRODUCT((Personnel!$P$9:$P$100="APM")*(Personnel!$G$9:$G$100="Yes")*(87&gt;=Personnel!$E$9:$E$100)*((Personnel!$K$9:$K$100="")+(87&lt;=Personnel!$K$9:$K$100)&gt;0))</f>
        <v>2</v>
      </c>
      <c r="CN44" s="384" t="n">
        <f aca="false">SUMPRODUCT((Personnel!$P$9:$P$100="APM")*(Personnel!$G$9:$G$100="Yes")*(88&gt;=Personnel!$E$9:$E$100)*((Personnel!$K$9:$K$100="")+(88&lt;=Personnel!$K$9:$K$100)&gt;0))</f>
        <v>2</v>
      </c>
      <c r="CO44" s="384" t="n">
        <f aca="false">SUMPRODUCT((Personnel!$P$9:$P$100="APM")*(Personnel!$G$9:$G$100="Yes")*(89&gt;=Personnel!$E$9:$E$100)*((Personnel!$K$9:$K$100="")+(89&lt;=Personnel!$K$9:$K$100)&gt;0))</f>
        <v>2</v>
      </c>
      <c r="CP44" s="384" t="n">
        <f aca="false">SUMPRODUCT((Personnel!$P$9:$P$100="APM")*(Personnel!$G$9:$G$100="Yes")*(90&gt;=Personnel!$E$9:$E$100)*((Personnel!$K$9:$K$100="")+(90&lt;=Personnel!$K$9:$K$100)&gt;0))</f>
        <v>2</v>
      </c>
      <c r="CQ44" s="384" t="n">
        <f aca="false">SUMPRODUCT((Personnel!$P$9:$P$100="APM")*(Personnel!$G$9:$G$100="Yes")*(91&gt;=Personnel!$E$9:$E$100)*((Personnel!$K$9:$K$100="")+(91&lt;=Personnel!$K$9:$K$100)&gt;0))</f>
        <v>2</v>
      </c>
      <c r="CR44" s="384" t="n">
        <f aca="false">SUMPRODUCT((Personnel!$P$9:$P$100="APM")*(Personnel!$G$9:$G$100="Yes")*(92&gt;=Personnel!$E$9:$E$100)*((Personnel!$K$9:$K$100="")+(92&lt;=Personnel!$K$9:$K$100)&gt;0))</f>
        <v>2</v>
      </c>
      <c r="CS44" s="384" t="n">
        <f aca="false">SUMPRODUCT((Personnel!$P$9:$P$100="APM")*(Personnel!$G$9:$G$100="Yes")*(93&gt;=Personnel!$E$9:$E$100)*((Personnel!$K$9:$K$100="")+(93&lt;=Personnel!$K$9:$K$100)&gt;0))</f>
        <v>2</v>
      </c>
      <c r="CT44" s="384" t="n">
        <f aca="false">SUMPRODUCT((Personnel!$P$9:$P$100="APM")*(Personnel!$G$9:$G$100="Yes")*(94&gt;=Personnel!$E$9:$E$100)*((Personnel!$K$9:$K$100="")+(94&lt;=Personnel!$K$9:$K$100)&gt;0))</f>
        <v>2</v>
      </c>
      <c r="CU44" s="384" t="n">
        <f aca="false">SUMPRODUCT((Personnel!$P$9:$P$100="APM")*(Personnel!$G$9:$G$100="Yes")*(95&gt;=Personnel!$E$9:$E$100)*((Personnel!$K$9:$K$100="")+(95&lt;=Personnel!$K$9:$K$100)&gt;0))</f>
        <v>2</v>
      </c>
      <c r="CV44" s="384" t="n">
        <f aca="false">SUMPRODUCT((Personnel!$P$9:$P$100="APM")*(Personnel!$G$9:$G$100="Yes")*(96&gt;=Personnel!$E$9:$E$100)*((Personnel!$K$9:$K$100="")+(96&lt;=Personnel!$K$9:$K$100)&gt;0))</f>
        <v>2</v>
      </c>
      <c r="CW44" s="384" t="n">
        <f aca="false">SUMPRODUCT((Personnel!$P$9:$P$100="APM")*(Personnel!$G$9:$G$100="Yes")*(97&gt;=Personnel!$E$9:$E$100)*((Personnel!$K$9:$K$100="")+(97&lt;=Personnel!$K$9:$K$100)&gt;0))</f>
        <v>2</v>
      </c>
      <c r="CX44" s="384" t="n">
        <f aca="false">SUMPRODUCT((Personnel!$P$9:$P$100="APM")*(Personnel!$G$9:$G$100="Yes")*(98&gt;=Personnel!$E$9:$E$100)*((Personnel!$K$9:$K$100="")+(98&lt;=Personnel!$K$9:$K$100)&gt;0))</f>
        <v>2</v>
      </c>
      <c r="CY44" s="384" t="n">
        <f aca="false">SUMPRODUCT((Personnel!$P$9:$P$100="APM")*(Personnel!$G$9:$G$100="Yes")*(99&gt;=Personnel!$E$9:$E$100)*((Personnel!$K$9:$K$100="")+(99&lt;=Personnel!$K$9:$K$100)&gt;0))</f>
        <v>2</v>
      </c>
      <c r="CZ44" s="384" t="n">
        <f aca="false">SUMPRODUCT((Personnel!$P$9:$P$100="APM")*(Personnel!$G$9:$G$100="Yes")*(100&gt;=Personnel!$E$9:$E$100)*((Personnel!$K$9:$K$100="")+(100&lt;=Personnel!$K$9:$K$100)&gt;0))</f>
        <v>2</v>
      </c>
      <c r="DA44" s="384" t="n">
        <f aca="false">SUMPRODUCT((Personnel!$P$9:$P$100="APM")*(Personnel!$G$9:$G$100="Yes")*(101&gt;=Personnel!$E$9:$E$100)*((Personnel!$K$9:$K$100="")+(101&lt;=Personnel!$K$9:$K$100)&gt;0))</f>
        <v>2</v>
      </c>
      <c r="DB44" s="384" t="n">
        <f aca="false">SUMPRODUCT((Personnel!$P$9:$P$100="APM")*(Personnel!$G$9:$G$100="Yes")*(102&gt;=Personnel!$E$9:$E$100)*((Personnel!$K$9:$K$100="")+(102&lt;=Personnel!$K$9:$K$100)&gt;0))</f>
        <v>2</v>
      </c>
      <c r="DC44" s="384" t="n">
        <f aca="false">SUMPRODUCT((Personnel!$P$9:$P$100="APM")*(Personnel!$G$9:$G$100="Yes")*(103&gt;=Personnel!$E$9:$E$100)*((Personnel!$K$9:$K$100="")+(103&lt;=Personnel!$K$9:$K$100)&gt;0))</f>
        <v>2</v>
      </c>
      <c r="DD44" s="384" t="n">
        <f aca="false">SUMPRODUCT((Personnel!$P$9:$P$100="APM")*(Personnel!$G$9:$G$100="Yes")*(104&gt;=Personnel!$E$9:$E$100)*((Personnel!$K$9:$K$100="")+(104&lt;=Personnel!$K$9:$K$100)&gt;0))</f>
        <v>2</v>
      </c>
      <c r="DE44" s="384" t="n">
        <f aca="false">SUMPRODUCT((Personnel!$P$9:$P$100="APM")*(Personnel!$G$9:$G$100="Yes")*(105&gt;=Personnel!$E$9:$E$100)*((Personnel!$K$9:$K$100="")+(105&lt;=Personnel!$K$9:$K$100)&gt;0))</f>
        <v>2</v>
      </c>
    </row>
    <row r="45" customFormat="false" ht="13.5" hidden="false" customHeight="true" outlineLevel="0" collapsed="false">
      <c r="A45" s="110" t="s">
        <v>1379</v>
      </c>
      <c r="E45" s="384" t="n">
        <f aca="false">SUMPRODUCT((Personnel!$P$9:$P$100="PM")*(Personnel!$G$9:$G$100="Yes")*(1&gt;=Personnel!$E$9:$E$100)*((Personnel!$K$9:$K$100="")+(1&lt;=Personnel!$K$9:$K$100)&gt;0))</f>
        <v>3</v>
      </c>
      <c r="F45" s="384" t="n">
        <f aca="false">SUMPRODUCT((Personnel!$P$9:$P$100="PM")*(Personnel!$G$9:$G$100="Yes")*(2&gt;=Personnel!$E$9:$E$100)*((Personnel!$K$9:$K$100="")+(2&lt;=Personnel!$K$9:$K$100)&gt;0))</f>
        <v>3</v>
      </c>
      <c r="G45" s="384" t="n">
        <f aca="false">SUMPRODUCT((Personnel!$P$9:$P$100="PM")*(Personnel!$G$9:$G$100="Yes")*(3&gt;=Personnel!$E$9:$E$100)*((Personnel!$K$9:$K$100="")+(3&lt;=Personnel!$K$9:$K$100)&gt;0))</f>
        <v>3</v>
      </c>
      <c r="H45" s="384" t="n">
        <f aca="false">SUMPRODUCT((Personnel!$P$9:$P$100="PM")*(Personnel!$G$9:$G$100="Yes")*(4&gt;=Personnel!$E$9:$E$100)*((Personnel!$K$9:$K$100="")+(4&lt;=Personnel!$K$9:$K$100)&gt;0))</f>
        <v>3</v>
      </c>
      <c r="I45" s="384" t="n">
        <f aca="false">SUMPRODUCT((Personnel!$P$9:$P$100="PM")*(Personnel!$G$9:$G$100="Yes")*(5&gt;=Personnel!$E$9:$E$100)*((Personnel!$K$9:$K$100="")+(5&lt;=Personnel!$K$9:$K$100)&gt;0))</f>
        <v>3</v>
      </c>
      <c r="J45" s="384" t="n">
        <f aca="false">SUMPRODUCT((Personnel!$P$9:$P$100="PM")*(Personnel!$G$9:$G$100="Yes")*(6&gt;=Personnel!$E$9:$E$100)*((Personnel!$K$9:$K$100="")+(6&lt;=Personnel!$K$9:$K$100)&gt;0))</f>
        <v>3</v>
      </c>
      <c r="K45" s="384" t="n">
        <f aca="false">SUMPRODUCT((Personnel!$P$9:$P$100="PM")*(Personnel!$G$9:$G$100="Yes")*(7&gt;=Personnel!$E$9:$E$100)*((Personnel!$K$9:$K$100="")+(7&lt;=Personnel!$K$9:$K$100)&gt;0))</f>
        <v>3</v>
      </c>
      <c r="L45" s="384" t="n">
        <f aca="false">SUMPRODUCT((Personnel!$P$9:$P$100="PM")*(Personnel!$G$9:$G$100="Yes")*(8&gt;=Personnel!$E$9:$E$100)*((Personnel!$K$9:$K$100="")+(8&lt;=Personnel!$K$9:$K$100)&gt;0))</f>
        <v>3</v>
      </c>
      <c r="M45" s="384" t="n">
        <f aca="false">SUMPRODUCT((Personnel!$P$9:$P$100="PM")*(Personnel!$G$9:$G$100="Yes")*(9&gt;=Personnel!$E$9:$E$100)*((Personnel!$K$9:$K$100="")+(9&lt;=Personnel!$K$9:$K$100)&gt;0))</f>
        <v>3</v>
      </c>
      <c r="N45" s="384" t="n">
        <f aca="false">SUMPRODUCT((Personnel!$P$9:$P$100="PM")*(Personnel!$G$9:$G$100="Yes")*(10&gt;=Personnel!$E$9:$E$100)*((Personnel!$K$9:$K$100="")+(10&lt;=Personnel!$K$9:$K$100)&gt;0))</f>
        <v>3</v>
      </c>
      <c r="O45" s="384" t="n">
        <f aca="false">SUMPRODUCT((Personnel!$P$9:$P$100="PM")*(Personnel!$G$9:$G$100="Yes")*(11&gt;=Personnel!$E$9:$E$100)*((Personnel!$K$9:$K$100="")+(11&lt;=Personnel!$K$9:$K$100)&gt;0))</f>
        <v>3</v>
      </c>
      <c r="P45" s="384" t="n">
        <f aca="false">SUMPRODUCT((Personnel!$P$9:$P$100="PM")*(Personnel!$G$9:$G$100="Yes")*(12&gt;=Personnel!$E$9:$E$100)*((Personnel!$K$9:$K$100="")+(12&lt;=Personnel!$K$9:$K$100)&gt;0))</f>
        <v>3</v>
      </c>
      <c r="Q45" s="384" t="n">
        <f aca="false">SUMPRODUCT((Personnel!$P$9:$P$100="PM")*(Personnel!$G$9:$G$100="Yes")*(13&gt;=Personnel!$E$9:$E$100)*((Personnel!$K$9:$K$100="")+(13&lt;=Personnel!$K$9:$K$100)&gt;0))</f>
        <v>3</v>
      </c>
      <c r="R45" s="384" t="n">
        <f aca="false">SUMPRODUCT((Personnel!$P$9:$P$100="PM")*(Personnel!$G$9:$G$100="Yes")*(14&gt;=Personnel!$E$9:$E$100)*((Personnel!$K$9:$K$100="")+(14&lt;=Personnel!$K$9:$K$100)&gt;0))</f>
        <v>3</v>
      </c>
      <c r="S45" s="384" t="n">
        <f aca="false">SUMPRODUCT((Personnel!$P$9:$P$100="PM")*(Personnel!$G$9:$G$100="Yes")*(15&gt;=Personnel!$E$9:$E$100)*((Personnel!$K$9:$K$100="")+(15&lt;=Personnel!$K$9:$K$100)&gt;0))</f>
        <v>3</v>
      </c>
      <c r="T45" s="384" t="n">
        <f aca="false">SUMPRODUCT((Personnel!$P$9:$P$100="PM")*(Personnel!$G$9:$G$100="Yes")*(16&gt;=Personnel!$E$9:$E$100)*((Personnel!$K$9:$K$100="")+(16&lt;=Personnel!$K$9:$K$100)&gt;0))</f>
        <v>3</v>
      </c>
      <c r="U45" s="384" t="n">
        <f aca="false">SUMPRODUCT((Personnel!$P$9:$P$100="PM")*(Personnel!$G$9:$G$100="Yes")*(17&gt;=Personnel!$E$9:$E$100)*((Personnel!$K$9:$K$100="")+(17&lt;=Personnel!$K$9:$K$100)&gt;0))</f>
        <v>3</v>
      </c>
      <c r="V45" s="384" t="n">
        <f aca="false">SUMPRODUCT((Personnel!$P$9:$P$100="PM")*(Personnel!$G$9:$G$100="Yes")*(18&gt;=Personnel!$E$9:$E$100)*((Personnel!$K$9:$K$100="")+(18&lt;=Personnel!$K$9:$K$100)&gt;0))</f>
        <v>3</v>
      </c>
      <c r="W45" s="384" t="n">
        <f aca="false">SUMPRODUCT((Personnel!$P$9:$P$100="PM")*(Personnel!$G$9:$G$100="Yes")*(19&gt;=Personnel!$E$9:$E$100)*((Personnel!$K$9:$K$100="")+(19&lt;=Personnel!$K$9:$K$100)&gt;0))</f>
        <v>3</v>
      </c>
      <c r="X45" s="384" t="n">
        <f aca="false">SUMPRODUCT((Personnel!$P$9:$P$100="PM")*(Personnel!$G$9:$G$100="Yes")*(20&gt;=Personnel!$E$9:$E$100)*((Personnel!$K$9:$K$100="")+(20&lt;=Personnel!$K$9:$K$100)&gt;0))</f>
        <v>3</v>
      </c>
      <c r="Y45" s="384" t="n">
        <f aca="false">SUMPRODUCT((Personnel!$P$9:$P$100="PM")*(Personnel!$G$9:$G$100="Yes")*(21&gt;=Personnel!$E$9:$E$100)*((Personnel!$K$9:$K$100="")+(21&lt;=Personnel!$K$9:$K$100)&gt;0))</f>
        <v>3</v>
      </c>
      <c r="Z45" s="384" t="n">
        <f aca="false">SUMPRODUCT((Personnel!$P$9:$P$100="PM")*(Personnel!$G$9:$G$100="Yes")*(22&gt;=Personnel!$E$9:$E$100)*((Personnel!$K$9:$K$100="")+(22&lt;=Personnel!$K$9:$K$100)&gt;0))</f>
        <v>3</v>
      </c>
      <c r="AA45" s="384" t="n">
        <f aca="false">SUMPRODUCT((Personnel!$P$9:$P$100="PM")*(Personnel!$G$9:$G$100="Yes")*(23&gt;=Personnel!$E$9:$E$100)*((Personnel!$K$9:$K$100="")+(23&lt;=Personnel!$K$9:$K$100)&gt;0))</f>
        <v>3</v>
      </c>
      <c r="AB45" s="384" t="n">
        <f aca="false">SUMPRODUCT((Personnel!$P$9:$P$100="PM")*(Personnel!$G$9:$G$100="Yes")*(24&gt;=Personnel!$E$9:$E$100)*((Personnel!$K$9:$K$100="")+(24&lt;=Personnel!$K$9:$K$100)&gt;0))</f>
        <v>3</v>
      </c>
      <c r="AC45" s="384" t="n">
        <f aca="false">SUMPRODUCT((Personnel!$P$9:$P$100="PM")*(Personnel!$G$9:$G$100="Yes")*(25&gt;=Personnel!$E$9:$E$100)*((Personnel!$K$9:$K$100="")+(25&lt;=Personnel!$K$9:$K$100)&gt;0))</f>
        <v>3</v>
      </c>
      <c r="AD45" s="384" t="n">
        <f aca="false">SUMPRODUCT((Personnel!$P$9:$P$100="PM")*(Personnel!$G$9:$G$100="Yes")*(26&gt;=Personnel!$E$9:$E$100)*((Personnel!$K$9:$K$100="")+(26&lt;=Personnel!$K$9:$K$100)&gt;0))</f>
        <v>3</v>
      </c>
      <c r="AE45" s="384" t="n">
        <f aca="false">SUMPRODUCT((Personnel!$P$9:$P$100="PM")*(Personnel!$G$9:$G$100="Yes")*(27&gt;=Personnel!$E$9:$E$100)*((Personnel!$K$9:$K$100="")+(27&lt;=Personnel!$K$9:$K$100)&gt;0))</f>
        <v>3</v>
      </c>
      <c r="AF45" s="384" t="n">
        <f aca="false">SUMPRODUCT((Personnel!$P$9:$P$100="PM")*(Personnel!$G$9:$G$100="Yes")*(28&gt;=Personnel!$E$9:$E$100)*((Personnel!$K$9:$K$100="")+(28&lt;=Personnel!$K$9:$K$100)&gt;0))</f>
        <v>3</v>
      </c>
      <c r="AG45" s="384" t="n">
        <f aca="false">SUMPRODUCT((Personnel!$P$9:$P$100="PM")*(Personnel!$G$9:$G$100="Yes")*(29&gt;=Personnel!$E$9:$E$100)*((Personnel!$K$9:$K$100="")+(29&lt;=Personnel!$K$9:$K$100)&gt;0))</f>
        <v>3</v>
      </c>
      <c r="AH45" s="384" t="n">
        <f aca="false">SUMPRODUCT((Personnel!$P$9:$P$100="PM")*(Personnel!$G$9:$G$100="Yes")*(30&gt;=Personnel!$E$9:$E$100)*((Personnel!$K$9:$K$100="")+(30&lt;=Personnel!$K$9:$K$100)&gt;0))</f>
        <v>3</v>
      </c>
      <c r="AI45" s="384" t="n">
        <f aca="false">SUMPRODUCT((Personnel!$P$9:$P$100="PM")*(Personnel!$G$9:$G$100="Yes")*(31&gt;=Personnel!$E$9:$E$100)*((Personnel!$K$9:$K$100="")+(31&lt;=Personnel!$K$9:$K$100)&gt;0))</f>
        <v>3</v>
      </c>
      <c r="AJ45" s="384" t="n">
        <f aca="false">SUMPRODUCT((Personnel!$P$9:$P$100="PM")*(Personnel!$G$9:$G$100="Yes")*(32&gt;=Personnel!$E$9:$E$100)*((Personnel!$K$9:$K$100="")+(32&lt;=Personnel!$K$9:$K$100)&gt;0))</f>
        <v>3</v>
      </c>
      <c r="AK45" s="384" t="n">
        <f aca="false">SUMPRODUCT((Personnel!$P$9:$P$100="PM")*(Personnel!$G$9:$G$100="Yes")*(33&gt;=Personnel!$E$9:$E$100)*((Personnel!$K$9:$K$100="")+(33&lt;=Personnel!$K$9:$K$100)&gt;0))</f>
        <v>3</v>
      </c>
      <c r="AL45" s="384" t="n">
        <f aca="false">SUMPRODUCT((Personnel!$P$9:$P$100="PM")*(Personnel!$G$9:$G$100="Yes")*(34&gt;=Personnel!$E$9:$E$100)*((Personnel!$K$9:$K$100="")+(34&lt;=Personnel!$K$9:$K$100)&gt;0))</f>
        <v>3</v>
      </c>
      <c r="AM45" s="384" t="n">
        <f aca="false">SUMPRODUCT((Personnel!$P$9:$P$100="PM")*(Personnel!$G$9:$G$100="Yes")*(35&gt;=Personnel!$E$9:$E$100)*((Personnel!$K$9:$K$100="")+(35&lt;=Personnel!$K$9:$K$100)&gt;0))</f>
        <v>3</v>
      </c>
      <c r="AN45" s="384" t="n">
        <f aca="false">SUMPRODUCT((Personnel!$P$9:$P$100="PM")*(Personnel!$G$9:$G$100="Yes")*(36&gt;=Personnel!$E$9:$E$100)*((Personnel!$K$9:$K$100="")+(36&lt;=Personnel!$K$9:$K$100)&gt;0))</f>
        <v>3</v>
      </c>
      <c r="AO45" s="384" t="n">
        <f aca="false">SUMPRODUCT((Personnel!$P$9:$P$100="PM")*(Personnel!$G$9:$G$100="Yes")*(37&gt;=Personnel!$E$9:$E$100)*((Personnel!$K$9:$K$100="")+(37&lt;=Personnel!$K$9:$K$100)&gt;0))</f>
        <v>3</v>
      </c>
      <c r="AP45" s="384" t="n">
        <f aca="false">SUMPRODUCT((Personnel!$P$9:$P$100="PM")*(Personnel!$G$9:$G$100="Yes")*(38&gt;=Personnel!$E$9:$E$100)*((Personnel!$K$9:$K$100="")+(38&lt;=Personnel!$K$9:$K$100)&gt;0))</f>
        <v>3</v>
      </c>
      <c r="AQ45" s="384" t="n">
        <f aca="false">SUMPRODUCT((Personnel!$P$9:$P$100="PM")*(Personnel!$G$9:$G$100="Yes")*(39&gt;=Personnel!$E$9:$E$100)*((Personnel!$K$9:$K$100="")+(39&lt;=Personnel!$K$9:$K$100)&gt;0))</f>
        <v>3</v>
      </c>
      <c r="AR45" s="384" t="n">
        <f aca="false">SUMPRODUCT((Personnel!$P$9:$P$100="PM")*(Personnel!$G$9:$G$100="Yes")*(40&gt;=Personnel!$E$9:$E$100)*((Personnel!$K$9:$K$100="")+(40&lt;=Personnel!$K$9:$K$100)&gt;0))</f>
        <v>3</v>
      </c>
      <c r="AS45" s="384" t="n">
        <f aca="false">SUMPRODUCT((Personnel!$P$9:$P$100="PM")*(Personnel!$G$9:$G$100="Yes")*(41&gt;=Personnel!$E$9:$E$100)*((Personnel!$K$9:$K$100="")+(41&lt;=Personnel!$K$9:$K$100)&gt;0))</f>
        <v>3</v>
      </c>
      <c r="AT45" s="384" t="n">
        <f aca="false">SUMPRODUCT((Personnel!$P$9:$P$100="PM")*(Personnel!$G$9:$G$100="Yes")*(42&gt;=Personnel!$E$9:$E$100)*((Personnel!$K$9:$K$100="")+(42&lt;=Personnel!$K$9:$K$100)&gt;0))</f>
        <v>3</v>
      </c>
      <c r="AU45" s="384" t="n">
        <f aca="false">SUMPRODUCT((Personnel!$P$9:$P$100="PM")*(Personnel!$G$9:$G$100="Yes")*(43&gt;=Personnel!$E$9:$E$100)*((Personnel!$K$9:$K$100="")+(43&lt;=Personnel!$K$9:$K$100)&gt;0))</f>
        <v>3</v>
      </c>
      <c r="AV45" s="384" t="n">
        <f aca="false">SUMPRODUCT((Personnel!$P$9:$P$100="PM")*(Personnel!$G$9:$G$100="Yes")*(44&gt;=Personnel!$E$9:$E$100)*((Personnel!$K$9:$K$100="")+(44&lt;=Personnel!$K$9:$K$100)&gt;0))</f>
        <v>3</v>
      </c>
      <c r="AW45" s="384" t="n">
        <f aca="false">SUMPRODUCT((Personnel!$P$9:$P$100="PM")*(Personnel!$G$9:$G$100="Yes")*(45&gt;=Personnel!$E$9:$E$100)*((Personnel!$K$9:$K$100="")+(45&lt;=Personnel!$K$9:$K$100)&gt;0))</f>
        <v>3</v>
      </c>
      <c r="AX45" s="384" t="n">
        <f aca="false">SUMPRODUCT((Personnel!$P$9:$P$100="PM")*(Personnel!$G$9:$G$100="Yes")*(46&gt;=Personnel!$E$9:$E$100)*((Personnel!$K$9:$K$100="")+(46&lt;=Personnel!$K$9:$K$100)&gt;0))</f>
        <v>3</v>
      </c>
      <c r="AY45" s="384" t="n">
        <f aca="false">SUMPRODUCT((Personnel!$P$9:$P$100="PM")*(Personnel!$G$9:$G$100="Yes")*(47&gt;=Personnel!$E$9:$E$100)*((Personnel!$K$9:$K$100="")+(47&lt;=Personnel!$K$9:$K$100)&gt;0))</f>
        <v>3</v>
      </c>
      <c r="AZ45" s="384" t="n">
        <f aca="false">SUMPRODUCT((Personnel!$P$9:$P$100="PM")*(Personnel!$G$9:$G$100="Yes")*(48&gt;=Personnel!$E$9:$E$100)*((Personnel!$K$9:$K$100="")+(48&lt;=Personnel!$K$9:$K$100)&gt;0))</f>
        <v>3</v>
      </c>
      <c r="BA45" s="384" t="n">
        <f aca="false">SUMPRODUCT((Personnel!$P$9:$P$100="PM")*(Personnel!$G$9:$G$100="Yes")*(49&gt;=Personnel!$E$9:$E$100)*((Personnel!$K$9:$K$100="")+(49&lt;=Personnel!$K$9:$K$100)&gt;0))</f>
        <v>3</v>
      </c>
      <c r="BB45" s="384" t="n">
        <f aca="false">SUMPRODUCT((Personnel!$P$9:$P$100="PM")*(Personnel!$G$9:$G$100="Yes")*(50&gt;=Personnel!$E$9:$E$100)*((Personnel!$K$9:$K$100="")+(50&lt;=Personnel!$K$9:$K$100)&gt;0))</f>
        <v>3</v>
      </c>
      <c r="BC45" s="384" t="n">
        <f aca="false">SUMPRODUCT((Personnel!$P$9:$P$100="PM")*(Personnel!$G$9:$G$100="Yes")*(51&gt;=Personnel!$E$9:$E$100)*((Personnel!$K$9:$K$100="")+(51&lt;=Personnel!$K$9:$K$100)&gt;0))</f>
        <v>3</v>
      </c>
      <c r="BD45" s="384" t="n">
        <f aca="false">SUMPRODUCT((Personnel!$P$9:$P$100="PM")*(Personnel!$G$9:$G$100="Yes")*(52&gt;=Personnel!$E$9:$E$100)*((Personnel!$K$9:$K$100="")+(52&lt;=Personnel!$K$9:$K$100)&gt;0))</f>
        <v>3</v>
      </c>
      <c r="BE45" s="384" t="n">
        <f aca="false">SUMPRODUCT((Personnel!$P$9:$P$100="PM")*(Personnel!$G$9:$G$100="Yes")*(53&gt;=Personnel!$E$9:$E$100)*((Personnel!$K$9:$K$100="")+(53&lt;=Personnel!$K$9:$K$100)&gt;0))</f>
        <v>3</v>
      </c>
      <c r="BF45" s="384" t="n">
        <f aca="false">SUMPRODUCT((Personnel!$P$9:$P$100="PM")*(Personnel!$G$9:$G$100="Yes")*(54&gt;=Personnel!$E$9:$E$100)*((Personnel!$K$9:$K$100="")+(54&lt;=Personnel!$K$9:$K$100)&gt;0))</f>
        <v>3</v>
      </c>
      <c r="BG45" s="384" t="n">
        <f aca="false">SUMPRODUCT((Personnel!$P$9:$P$100="PM")*(Personnel!$G$9:$G$100="Yes")*(55&gt;=Personnel!$E$9:$E$100)*((Personnel!$K$9:$K$100="")+(55&lt;=Personnel!$K$9:$K$100)&gt;0))</f>
        <v>3</v>
      </c>
      <c r="BH45" s="384" t="n">
        <f aca="false">SUMPRODUCT((Personnel!$P$9:$P$100="PM")*(Personnel!$G$9:$G$100="Yes")*(56&gt;=Personnel!$E$9:$E$100)*((Personnel!$K$9:$K$100="")+(56&lt;=Personnel!$K$9:$K$100)&gt;0))</f>
        <v>3</v>
      </c>
      <c r="BI45" s="384" t="n">
        <f aca="false">SUMPRODUCT((Personnel!$P$9:$P$100="PM")*(Personnel!$G$9:$G$100="Yes")*(57&gt;=Personnel!$E$9:$E$100)*((Personnel!$K$9:$K$100="")+(57&lt;=Personnel!$K$9:$K$100)&gt;0))</f>
        <v>3</v>
      </c>
      <c r="BJ45" s="384" t="n">
        <f aca="false">SUMPRODUCT((Personnel!$P$9:$P$100="PM")*(Personnel!$G$9:$G$100="Yes")*(58&gt;=Personnel!$E$9:$E$100)*((Personnel!$K$9:$K$100="")+(58&lt;=Personnel!$K$9:$K$100)&gt;0))</f>
        <v>3</v>
      </c>
      <c r="BK45" s="384" t="n">
        <f aca="false">SUMPRODUCT((Personnel!$P$9:$P$100="PM")*(Personnel!$G$9:$G$100="Yes")*(59&gt;=Personnel!$E$9:$E$100)*((Personnel!$K$9:$K$100="")+(59&lt;=Personnel!$K$9:$K$100)&gt;0))</f>
        <v>3</v>
      </c>
      <c r="BL45" s="384" t="n">
        <f aca="false">SUMPRODUCT((Personnel!$P$9:$P$100="PM")*(Personnel!$G$9:$G$100="Yes")*(60&gt;=Personnel!$E$9:$E$100)*((Personnel!$K$9:$K$100="")+(60&lt;=Personnel!$K$9:$K$100)&gt;0))</f>
        <v>3</v>
      </c>
      <c r="BM45" s="384" t="n">
        <f aca="false">SUMPRODUCT((Personnel!$P$9:$P$100="PM")*(Personnel!$G$9:$G$100="Yes")*(61&gt;=Personnel!$E$9:$E$100)*((Personnel!$K$9:$K$100="")+(61&lt;=Personnel!$K$9:$K$100)&gt;0))</f>
        <v>3</v>
      </c>
      <c r="BN45" s="384" t="n">
        <f aca="false">SUMPRODUCT((Personnel!$P$9:$P$100="PM")*(Personnel!$G$9:$G$100="Yes")*(62&gt;=Personnel!$E$9:$E$100)*((Personnel!$K$9:$K$100="")+(62&lt;=Personnel!$K$9:$K$100)&gt;0))</f>
        <v>3</v>
      </c>
      <c r="BO45" s="384" t="n">
        <f aca="false">SUMPRODUCT((Personnel!$P$9:$P$100="PM")*(Personnel!$G$9:$G$100="Yes")*(63&gt;=Personnel!$E$9:$E$100)*((Personnel!$K$9:$K$100="")+(63&lt;=Personnel!$K$9:$K$100)&gt;0))</f>
        <v>3</v>
      </c>
      <c r="BP45" s="384" t="n">
        <f aca="false">SUMPRODUCT((Personnel!$P$9:$P$100="PM")*(Personnel!$G$9:$G$100="Yes")*(64&gt;=Personnel!$E$9:$E$100)*((Personnel!$K$9:$K$100="")+(64&lt;=Personnel!$K$9:$K$100)&gt;0))</f>
        <v>3</v>
      </c>
      <c r="BQ45" s="384" t="n">
        <f aca="false">SUMPRODUCT((Personnel!$P$9:$P$100="PM")*(Personnel!$G$9:$G$100="Yes")*(65&gt;=Personnel!$E$9:$E$100)*((Personnel!$K$9:$K$100="")+(65&lt;=Personnel!$K$9:$K$100)&gt;0))</f>
        <v>3</v>
      </c>
      <c r="BR45" s="384" t="n">
        <f aca="false">SUMPRODUCT((Personnel!$P$9:$P$100="PM")*(Personnel!$G$9:$G$100="Yes")*(66&gt;=Personnel!$E$9:$E$100)*((Personnel!$K$9:$K$100="")+(66&lt;=Personnel!$K$9:$K$100)&gt;0))</f>
        <v>3</v>
      </c>
      <c r="BS45" s="384" t="n">
        <f aca="false">SUMPRODUCT((Personnel!$P$9:$P$100="PM")*(Personnel!$G$9:$G$100="Yes")*(67&gt;=Personnel!$E$9:$E$100)*((Personnel!$K$9:$K$100="")+(67&lt;=Personnel!$K$9:$K$100)&gt;0))</f>
        <v>3</v>
      </c>
      <c r="BT45" s="384" t="n">
        <f aca="false">SUMPRODUCT((Personnel!$P$9:$P$100="PM")*(Personnel!$G$9:$G$100="Yes")*(68&gt;=Personnel!$E$9:$E$100)*((Personnel!$K$9:$K$100="")+(68&lt;=Personnel!$K$9:$K$100)&gt;0))</f>
        <v>3</v>
      </c>
      <c r="BU45" s="384" t="n">
        <f aca="false">SUMPRODUCT((Personnel!$P$9:$P$100="PM")*(Personnel!$G$9:$G$100="Yes")*(69&gt;=Personnel!$E$9:$E$100)*((Personnel!$K$9:$K$100="")+(69&lt;=Personnel!$K$9:$K$100)&gt;0))</f>
        <v>3</v>
      </c>
      <c r="BV45" s="384" t="n">
        <f aca="false">SUMPRODUCT((Personnel!$P$9:$P$100="PM")*(Personnel!$G$9:$G$100="Yes")*(70&gt;=Personnel!$E$9:$E$100)*((Personnel!$K$9:$K$100="")+(70&lt;=Personnel!$K$9:$K$100)&gt;0))</f>
        <v>3</v>
      </c>
      <c r="BW45" s="384" t="n">
        <f aca="false">SUMPRODUCT((Personnel!$P$9:$P$100="PM")*(Personnel!$G$9:$G$100="Yes")*(71&gt;=Personnel!$E$9:$E$100)*((Personnel!$K$9:$K$100="")+(71&lt;=Personnel!$K$9:$K$100)&gt;0))</f>
        <v>3</v>
      </c>
      <c r="BX45" s="384" t="n">
        <f aca="false">SUMPRODUCT((Personnel!$P$9:$P$100="PM")*(Personnel!$G$9:$G$100="Yes")*(72&gt;=Personnel!$E$9:$E$100)*((Personnel!$K$9:$K$100="")+(72&lt;=Personnel!$K$9:$K$100)&gt;0))</f>
        <v>3</v>
      </c>
      <c r="BY45" s="384" t="n">
        <f aca="false">SUMPRODUCT((Personnel!$P$9:$P$100="PM")*(Personnel!$G$9:$G$100="Yes")*(73&gt;=Personnel!$E$9:$E$100)*((Personnel!$K$9:$K$100="")+(73&lt;=Personnel!$K$9:$K$100)&gt;0))</f>
        <v>3</v>
      </c>
      <c r="BZ45" s="384" t="n">
        <f aca="false">SUMPRODUCT((Personnel!$P$9:$P$100="PM")*(Personnel!$G$9:$G$100="Yes")*(74&gt;=Personnel!$E$9:$E$100)*((Personnel!$K$9:$K$100="")+(74&lt;=Personnel!$K$9:$K$100)&gt;0))</f>
        <v>3</v>
      </c>
      <c r="CA45" s="384" t="n">
        <f aca="false">SUMPRODUCT((Personnel!$P$9:$P$100="PM")*(Personnel!$G$9:$G$100="Yes")*(75&gt;=Personnel!$E$9:$E$100)*((Personnel!$K$9:$K$100="")+(75&lt;=Personnel!$K$9:$K$100)&gt;0))</f>
        <v>3</v>
      </c>
      <c r="CB45" s="384" t="n">
        <f aca="false">SUMPRODUCT((Personnel!$P$9:$P$100="PM")*(Personnel!$G$9:$G$100="Yes")*(76&gt;=Personnel!$E$9:$E$100)*((Personnel!$K$9:$K$100="")+(76&lt;=Personnel!$K$9:$K$100)&gt;0))</f>
        <v>3</v>
      </c>
      <c r="CC45" s="384" t="n">
        <f aca="false">SUMPRODUCT((Personnel!$P$9:$P$100="PM")*(Personnel!$G$9:$G$100="Yes")*(77&gt;=Personnel!$E$9:$E$100)*((Personnel!$K$9:$K$100="")+(77&lt;=Personnel!$K$9:$K$100)&gt;0))</f>
        <v>3</v>
      </c>
      <c r="CD45" s="384" t="n">
        <f aca="false">SUMPRODUCT((Personnel!$P$9:$P$100="PM")*(Personnel!$G$9:$G$100="Yes")*(78&gt;=Personnel!$E$9:$E$100)*((Personnel!$K$9:$K$100="")+(78&lt;=Personnel!$K$9:$K$100)&gt;0))</f>
        <v>3</v>
      </c>
      <c r="CE45" s="384" t="n">
        <f aca="false">SUMPRODUCT((Personnel!$P$9:$P$100="PM")*(Personnel!$G$9:$G$100="Yes")*(79&gt;=Personnel!$E$9:$E$100)*((Personnel!$K$9:$K$100="")+(79&lt;=Personnel!$K$9:$K$100)&gt;0))</f>
        <v>3</v>
      </c>
      <c r="CF45" s="384" t="n">
        <f aca="false">SUMPRODUCT((Personnel!$P$9:$P$100="PM")*(Personnel!$G$9:$G$100="Yes")*(80&gt;=Personnel!$E$9:$E$100)*((Personnel!$K$9:$K$100="")+(80&lt;=Personnel!$K$9:$K$100)&gt;0))</f>
        <v>3</v>
      </c>
      <c r="CG45" s="384" t="n">
        <f aca="false">SUMPRODUCT((Personnel!$P$9:$P$100="PM")*(Personnel!$G$9:$G$100="Yes")*(81&gt;=Personnel!$E$9:$E$100)*((Personnel!$K$9:$K$100="")+(81&lt;=Personnel!$K$9:$K$100)&gt;0))</f>
        <v>3</v>
      </c>
      <c r="CH45" s="384" t="n">
        <f aca="false">SUMPRODUCT((Personnel!$P$9:$P$100="PM")*(Personnel!$G$9:$G$100="Yes")*(82&gt;=Personnel!$E$9:$E$100)*((Personnel!$K$9:$K$100="")+(82&lt;=Personnel!$K$9:$K$100)&gt;0))</f>
        <v>3</v>
      </c>
      <c r="CI45" s="384" t="n">
        <f aca="false">SUMPRODUCT((Personnel!$P$9:$P$100="PM")*(Personnel!$G$9:$G$100="Yes")*(83&gt;=Personnel!$E$9:$E$100)*((Personnel!$K$9:$K$100="")+(83&lt;=Personnel!$K$9:$K$100)&gt;0))</f>
        <v>3</v>
      </c>
      <c r="CJ45" s="384" t="n">
        <f aca="false">SUMPRODUCT((Personnel!$P$9:$P$100="PM")*(Personnel!$G$9:$G$100="Yes")*(84&gt;=Personnel!$E$9:$E$100)*((Personnel!$K$9:$K$100="")+(84&lt;=Personnel!$K$9:$K$100)&gt;0))</f>
        <v>3</v>
      </c>
      <c r="CK45" s="384" t="n">
        <f aca="false">SUMPRODUCT((Personnel!$P$9:$P$100="PM")*(Personnel!$G$9:$G$100="Yes")*(85&gt;=Personnel!$E$9:$E$100)*((Personnel!$K$9:$K$100="")+(85&lt;=Personnel!$K$9:$K$100)&gt;0))</f>
        <v>3</v>
      </c>
      <c r="CL45" s="384" t="n">
        <f aca="false">SUMPRODUCT((Personnel!$P$9:$P$100="PM")*(Personnel!$G$9:$G$100="Yes")*(86&gt;=Personnel!$E$9:$E$100)*((Personnel!$K$9:$K$100="")+(86&lt;=Personnel!$K$9:$K$100)&gt;0))</f>
        <v>3</v>
      </c>
      <c r="CM45" s="384" t="n">
        <f aca="false">SUMPRODUCT((Personnel!$P$9:$P$100="PM")*(Personnel!$G$9:$G$100="Yes")*(87&gt;=Personnel!$E$9:$E$100)*((Personnel!$K$9:$K$100="")+(87&lt;=Personnel!$K$9:$K$100)&gt;0))</f>
        <v>3</v>
      </c>
      <c r="CN45" s="384" t="n">
        <f aca="false">SUMPRODUCT((Personnel!$P$9:$P$100="PM")*(Personnel!$G$9:$G$100="Yes")*(88&gt;=Personnel!$E$9:$E$100)*((Personnel!$K$9:$K$100="")+(88&lt;=Personnel!$K$9:$K$100)&gt;0))</f>
        <v>3</v>
      </c>
      <c r="CO45" s="384" t="n">
        <f aca="false">SUMPRODUCT((Personnel!$P$9:$P$100="PM")*(Personnel!$G$9:$G$100="Yes")*(89&gt;=Personnel!$E$9:$E$100)*((Personnel!$K$9:$K$100="")+(89&lt;=Personnel!$K$9:$K$100)&gt;0))</f>
        <v>3</v>
      </c>
      <c r="CP45" s="384" t="n">
        <f aca="false">SUMPRODUCT((Personnel!$P$9:$P$100="PM")*(Personnel!$G$9:$G$100="Yes")*(90&gt;=Personnel!$E$9:$E$100)*((Personnel!$K$9:$K$100="")+(90&lt;=Personnel!$K$9:$K$100)&gt;0))</f>
        <v>3</v>
      </c>
      <c r="CQ45" s="384" t="n">
        <f aca="false">SUMPRODUCT((Personnel!$P$9:$P$100="PM")*(Personnel!$G$9:$G$100="Yes")*(91&gt;=Personnel!$E$9:$E$100)*((Personnel!$K$9:$K$100="")+(91&lt;=Personnel!$K$9:$K$100)&gt;0))</f>
        <v>3</v>
      </c>
      <c r="CR45" s="384" t="n">
        <f aca="false">SUMPRODUCT((Personnel!$P$9:$P$100="PM")*(Personnel!$G$9:$G$100="Yes")*(92&gt;=Personnel!$E$9:$E$100)*((Personnel!$K$9:$K$100="")+(92&lt;=Personnel!$K$9:$K$100)&gt;0))</f>
        <v>3</v>
      </c>
      <c r="CS45" s="384" t="n">
        <f aca="false">SUMPRODUCT((Personnel!$P$9:$P$100="PM")*(Personnel!$G$9:$G$100="Yes")*(93&gt;=Personnel!$E$9:$E$100)*((Personnel!$K$9:$K$100="")+(93&lt;=Personnel!$K$9:$K$100)&gt;0))</f>
        <v>3</v>
      </c>
      <c r="CT45" s="384" t="n">
        <f aca="false">SUMPRODUCT((Personnel!$P$9:$P$100="PM")*(Personnel!$G$9:$G$100="Yes")*(94&gt;=Personnel!$E$9:$E$100)*((Personnel!$K$9:$K$100="")+(94&lt;=Personnel!$K$9:$K$100)&gt;0))</f>
        <v>3</v>
      </c>
      <c r="CU45" s="384" t="n">
        <f aca="false">SUMPRODUCT((Personnel!$P$9:$P$100="PM")*(Personnel!$G$9:$G$100="Yes")*(95&gt;=Personnel!$E$9:$E$100)*((Personnel!$K$9:$K$100="")+(95&lt;=Personnel!$K$9:$K$100)&gt;0))</f>
        <v>3</v>
      </c>
      <c r="CV45" s="384" t="n">
        <f aca="false">SUMPRODUCT((Personnel!$P$9:$P$100="PM")*(Personnel!$G$9:$G$100="Yes")*(96&gt;=Personnel!$E$9:$E$100)*((Personnel!$K$9:$K$100="")+(96&lt;=Personnel!$K$9:$K$100)&gt;0))</f>
        <v>3</v>
      </c>
      <c r="CW45" s="384" t="n">
        <f aca="false">SUMPRODUCT((Personnel!$P$9:$P$100="PM")*(Personnel!$G$9:$G$100="Yes")*(97&gt;=Personnel!$E$9:$E$100)*((Personnel!$K$9:$K$100="")+(97&lt;=Personnel!$K$9:$K$100)&gt;0))</f>
        <v>3</v>
      </c>
      <c r="CX45" s="384" t="n">
        <f aca="false">SUMPRODUCT((Personnel!$P$9:$P$100="PM")*(Personnel!$G$9:$G$100="Yes")*(98&gt;=Personnel!$E$9:$E$100)*((Personnel!$K$9:$K$100="")+(98&lt;=Personnel!$K$9:$K$100)&gt;0))</f>
        <v>3</v>
      </c>
      <c r="CY45" s="384" t="n">
        <f aca="false">SUMPRODUCT((Personnel!$P$9:$P$100="PM")*(Personnel!$G$9:$G$100="Yes")*(99&gt;=Personnel!$E$9:$E$100)*((Personnel!$K$9:$K$100="")+(99&lt;=Personnel!$K$9:$K$100)&gt;0))</f>
        <v>3</v>
      </c>
      <c r="CZ45" s="384" t="n">
        <f aca="false">SUMPRODUCT((Personnel!$P$9:$P$100="PM")*(Personnel!$G$9:$G$100="Yes")*(100&gt;=Personnel!$E$9:$E$100)*((Personnel!$K$9:$K$100="")+(100&lt;=Personnel!$K$9:$K$100)&gt;0))</f>
        <v>3</v>
      </c>
      <c r="DA45" s="384" t="n">
        <f aca="false">SUMPRODUCT((Personnel!$P$9:$P$100="PM")*(Personnel!$G$9:$G$100="Yes")*(101&gt;=Personnel!$E$9:$E$100)*((Personnel!$K$9:$K$100="")+(101&lt;=Personnel!$K$9:$K$100)&gt;0))</f>
        <v>3</v>
      </c>
      <c r="DB45" s="384" t="n">
        <f aca="false">SUMPRODUCT((Personnel!$P$9:$P$100="PM")*(Personnel!$G$9:$G$100="Yes")*(102&gt;=Personnel!$E$9:$E$100)*((Personnel!$K$9:$K$100="")+(102&lt;=Personnel!$K$9:$K$100)&gt;0))</f>
        <v>3</v>
      </c>
      <c r="DC45" s="384" t="n">
        <f aca="false">SUMPRODUCT((Personnel!$P$9:$P$100="PM")*(Personnel!$G$9:$G$100="Yes")*(103&gt;=Personnel!$E$9:$E$100)*((Personnel!$K$9:$K$100="")+(103&lt;=Personnel!$K$9:$K$100)&gt;0))</f>
        <v>3</v>
      </c>
      <c r="DD45" s="384" t="n">
        <f aca="false">SUMPRODUCT((Personnel!$P$9:$P$100="PM")*(Personnel!$G$9:$G$100="Yes")*(104&gt;=Personnel!$E$9:$E$100)*((Personnel!$K$9:$K$100="")+(104&lt;=Personnel!$K$9:$K$100)&gt;0))</f>
        <v>3</v>
      </c>
      <c r="DE45" s="384" t="n">
        <f aca="false">SUMPRODUCT((Personnel!$P$9:$P$100="PM")*(Personnel!$G$9:$G$100="Yes")*(105&gt;=Personnel!$E$9:$E$100)*((Personnel!$K$9:$K$100="")+(105&lt;=Personnel!$K$9:$K$100)&gt;0))</f>
        <v>3</v>
      </c>
    </row>
    <row r="46" customFormat="false" ht="13.5" hidden="false" customHeight="true" outlineLevel="0" collapsed="false">
      <c r="A46" s="110" t="s">
        <v>1380</v>
      </c>
      <c r="E46" s="384" t="n">
        <f aca="false">SUMPRODUCT((Personnel!$P$9:$P$100="FE")*(Personnel!$G$9:$G$100="Yes")*(1&gt;=Personnel!$E$9:$E$100)*((Personnel!$K$9:$K$100="")+(1&lt;=Personnel!$K$9:$K$100)&gt;0))</f>
        <v>0</v>
      </c>
      <c r="F46" s="384" t="n">
        <f aca="false">SUMPRODUCT((Personnel!$P$9:$P$100="FE")*(Personnel!$G$9:$G$100="Yes")*(2&gt;=Personnel!$E$9:$E$100)*((Personnel!$K$9:$K$100="")+(2&lt;=Personnel!$K$9:$K$100)&gt;0))</f>
        <v>0</v>
      </c>
      <c r="G46" s="384" t="n">
        <f aca="false">SUMPRODUCT((Personnel!$P$9:$P$100="FE")*(Personnel!$G$9:$G$100="Yes")*(3&gt;=Personnel!$E$9:$E$100)*((Personnel!$K$9:$K$100="")+(3&lt;=Personnel!$K$9:$K$100)&gt;0))</f>
        <v>0</v>
      </c>
      <c r="H46" s="384" t="n">
        <f aca="false">SUMPRODUCT((Personnel!$P$9:$P$100="FE")*(Personnel!$G$9:$G$100="Yes")*(4&gt;=Personnel!$E$9:$E$100)*((Personnel!$K$9:$K$100="")+(4&lt;=Personnel!$K$9:$K$100)&gt;0))</f>
        <v>0</v>
      </c>
      <c r="I46" s="384" t="n">
        <f aca="false">SUMPRODUCT((Personnel!$P$9:$P$100="FE")*(Personnel!$G$9:$G$100="Yes")*(5&gt;=Personnel!$E$9:$E$100)*((Personnel!$K$9:$K$100="")+(5&lt;=Personnel!$K$9:$K$100)&gt;0))</f>
        <v>0</v>
      </c>
      <c r="J46" s="384" t="n">
        <f aca="false">SUMPRODUCT((Personnel!$P$9:$P$100="FE")*(Personnel!$G$9:$G$100="Yes")*(6&gt;=Personnel!$E$9:$E$100)*((Personnel!$K$9:$K$100="")+(6&lt;=Personnel!$K$9:$K$100)&gt;0))</f>
        <v>0</v>
      </c>
      <c r="K46" s="384" t="n">
        <f aca="false">SUMPRODUCT((Personnel!$P$9:$P$100="FE")*(Personnel!$G$9:$G$100="Yes")*(7&gt;=Personnel!$E$9:$E$100)*((Personnel!$K$9:$K$100="")+(7&lt;=Personnel!$K$9:$K$100)&gt;0))</f>
        <v>0</v>
      </c>
      <c r="L46" s="384" t="n">
        <f aca="false">SUMPRODUCT((Personnel!$P$9:$P$100="FE")*(Personnel!$G$9:$G$100="Yes")*(8&gt;=Personnel!$E$9:$E$100)*((Personnel!$K$9:$K$100="")+(8&lt;=Personnel!$K$9:$K$100)&gt;0))</f>
        <v>0</v>
      </c>
      <c r="M46" s="384" t="n">
        <f aca="false">SUMPRODUCT((Personnel!$P$9:$P$100="FE")*(Personnel!$G$9:$G$100="Yes")*(9&gt;=Personnel!$E$9:$E$100)*((Personnel!$K$9:$K$100="")+(9&lt;=Personnel!$K$9:$K$100)&gt;0))</f>
        <v>0</v>
      </c>
      <c r="N46" s="384" t="n">
        <f aca="false">SUMPRODUCT((Personnel!$P$9:$P$100="FE")*(Personnel!$G$9:$G$100="Yes")*(10&gt;=Personnel!$E$9:$E$100)*((Personnel!$K$9:$K$100="")+(10&lt;=Personnel!$K$9:$K$100)&gt;0))</f>
        <v>0</v>
      </c>
      <c r="O46" s="384" t="n">
        <f aca="false">SUMPRODUCT((Personnel!$P$9:$P$100="FE")*(Personnel!$G$9:$G$100="Yes")*(11&gt;=Personnel!$E$9:$E$100)*((Personnel!$K$9:$K$100="")+(11&lt;=Personnel!$K$9:$K$100)&gt;0))</f>
        <v>0</v>
      </c>
      <c r="P46" s="384" t="n">
        <f aca="false">SUMPRODUCT((Personnel!$P$9:$P$100="FE")*(Personnel!$G$9:$G$100="Yes")*(12&gt;=Personnel!$E$9:$E$100)*((Personnel!$K$9:$K$100="")+(12&lt;=Personnel!$K$9:$K$100)&gt;0))</f>
        <v>0</v>
      </c>
      <c r="Q46" s="384" t="n">
        <f aca="false">SUMPRODUCT((Personnel!$P$9:$P$100="FE")*(Personnel!$G$9:$G$100="Yes")*(13&gt;=Personnel!$E$9:$E$100)*((Personnel!$K$9:$K$100="")+(13&lt;=Personnel!$K$9:$K$100)&gt;0))</f>
        <v>0</v>
      </c>
      <c r="R46" s="384" t="n">
        <f aca="false">SUMPRODUCT((Personnel!$P$9:$P$100="FE")*(Personnel!$G$9:$G$100="Yes")*(14&gt;=Personnel!$E$9:$E$100)*((Personnel!$K$9:$K$100="")+(14&lt;=Personnel!$K$9:$K$100)&gt;0))</f>
        <v>0</v>
      </c>
      <c r="S46" s="384" t="n">
        <f aca="false">SUMPRODUCT((Personnel!$P$9:$P$100="FE")*(Personnel!$G$9:$G$100="Yes")*(15&gt;=Personnel!$E$9:$E$100)*((Personnel!$K$9:$K$100="")+(15&lt;=Personnel!$K$9:$K$100)&gt;0))</f>
        <v>0</v>
      </c>
      <c r="T46" s="384" t="n">
        <f aca="false">SUMPRODUCT((Personnel!$P$9:$P$100="FE")*(Personnel!$G$9:$G$100="Yes")*(16&gt;=Personnel!$E$9:$E$100)*((Personnel!$K$9:$K$100="")+(16&lt;=Personnel!$K$9:$K$100)&gt;0))</f>
        <v>0</v>
      </c>
      <c r="U46" s="384" t="n">
        <f aca="false">SUMPRODUCT((Personnel!$P$9:$P$100="FE")*(Personnel!$G$9:$G$100="Yes")*(17&gt;=Personnel!$E$9:$E$100)*((Personnel!$K$9:$K$100="")+(17&lt;=Personnel!$K$9:$K$100)&gt;0))</f>
        <v>0</v>
      </c>
      <c r="V46" s="384" t="n">
        <f aca="false">SUMPRODUCT((Personnel!$P$9:$P$100="FE")*(Personnel!$G$9:$G$100="Yes")*(18&gt;=Personnel!$E$9:$E$100)*((Personnel!$K$9:$K$100="")+(18&lt;=Personnel!$K$9:$K$100)&gt;0))</f>
        <v>0</v>
      </c>
      <c r="W46" s="384" t="n">
        <f aca="false">SUMPRODUCT((Personnel!$P$9:$P$100="FE")*(Personnel!$G$9:$G$100="Yes")*(19&gt;=Personnel!$E$9:$E$100)*((Personnel!$K$9:$K$100="")+(19&lt;=Personnel!$K$9:$K$100)&gt;0))</f>
        <v>0</v>
      </c>
      <c r="X46" s="384" t="n">
        <f aca="false">SUMPRODUCT((Personnel!$P$9:$P$100="FE")*(Personnel!$G$9:$G$100="Yes")*(20&gt;=Personnel!$E$9:$E$100)*((Personnel!$K$9:$K$100="")+(20&lt;=Personnel!$K$9:$K$100)&gt;0))</f>
        <v>0</v>
      </c>
      <c r="Y46" s="384" t="n">
        <f aca="false">SUMPRODUCT((Personnel!$P$9:$P$100="FE")*(Personnel!$G$9:$G$100="Yes")*(21&gt;=Personnel!$E$9:$E$100)*((Personnel!$K$9:$K$100="")+(21&lt;=Personnel!$K$9:$K$100)&gt;0))</f>
        <v>0</v>
      </c>
      <c r="Z46" s="384" t="n">
        <f aca="false">SUMPRODUCT((Personnel!$P$9:$P$100="FE")*(Personnel!$G$9:$G$100="Yes")*(22&gt;=Personnel!$E$9:$E$100)*((Personnel!$K$9:$K$100="")+(22&lt;=Personnel!$K$9:$K$100)&gt;0))</f>
        <v>0</v>
      </c>
      <c r="AA46" s="384" t="n">
        <f aca="false">SUMPRODUCT((Personnel!$P$9:$P$100="FE")*(Personnel!$G$9:$G$100="Yes")*(23&gt;=Personnel!$E$9:$E$100)*((Personnel!$K$9:$K$100="")+(23&lt;=Personnel!$K$9:$K$100)&gt;0))</f>
        <v>0</v>
      </c>
      <c r="AB46" s="384" t="n">
        <f aca="false">SUMPRODUCT((Personnel!$P$9:$P$100="FE")*(Personnel!$G$9:$G$100="Yes")*(24&gt;=Personnel!$E$9:$E$100)*((Personnel!$K$9:$K$100="")+(24&lt;=Personnel!$K$9:$K$100)&gt;0))</f>
        <v>0</v>
      </c>
      <c r="AC46" s="384" t="n">
        <f aca="false">SUMPRODUCT((Personnel!$P$9:$P$100="FE")*(Personnel!$G$9:$G$100="Yes")*(25&gt;=Personnel!$E$9:$E$100)*((Personnel!$K$9:$K$100="")+(25&lt;=Personnel!$K$9:$K$100)&gt;0))</f>
        <v>0</v>
      </c>
      <c r="AD46" s="384" t="n">
        <f aca="false">SUMPRODUCT((Personnel!$P$9:$P$100="FE")*(Personnel!$G$9:$G$100="Yes")*(26&gt;=Personnel!$E$9:$E$100)*((Personnel!$K$9:$K$100="")+(26&lt;=Personnel!$K$9:$K$100)&gt;0))</f>
        <v>0</v>
      </c>
      <c r="AE46" s="384" t="n">
        <f aca="false">SUMPRODUCT((Personnel!$P$9:$P$100="FE")*(Personnel!$G$9:$G$100="Yes")*(27&gt;=Personnel!$E$9:$E$100)*((Personnel!$K$9:$K$100="")+(27&lt;=Personnel!$K$9:$K$100)&gt;0))</f>
        <v>0</v>
      </c>
      <c r="AF46" s="384" t="n">
        <f aca="false">SUMPRODUCT((Personnel!$P$9:$P$100="FE")*(Personnel!$G$9:$G$100="Yes")*(28&gt;=Personnel!$E$9:$E$100)*((Personnel!$K$9:$K$100="")+(28&lt;=Personnel!$K$9:$K$100)&gt;0))</f>
        <v>0</v>
      </c>
      <c r="AG46" s="384" t="n">
        <f aca="false">SUMPRODUCT((Personnel!$P$9:$P$100="FE")*(Personnel!$G$9:$G$100="Yes")*(29&gt;=Personnel!$E$9:$E$100)*((Personnel!$K$9:$K$100="")+(29&lt;=Personnel!$K$9:$K$100)&gt;0))</f>
        <v>0</v>
      </c>
      <c r="AH46" s="384" t="n">
        <f aca="false">SUMPRODUCT((Personnel!$P$9:$P$100="FE")*(Personnel!$G$9:$G$100="Yes")*(30&gt;=Personnel!$E$9:$E$100)*((Personnel!$K$9:$K$100="")+(30&lt;=Personnel!$K$9:$K$100)&gt;0))</f>
        <v>0</v>
      </c>
      <c r="AI46" s="384" t="n">
        <f aca="false">SUMPRODUCT((Personnel!$P$9:$P$100="FE")*(Personnel!$G$9:$G$100="Yes")*(31&gt;=Personnel!$E$9:$E$100)*((Personnel!$K$9:$K$100="")+(31&lt;=Personnel!$K$9:$K$100)&gt;0))</f>
        <v>0</v>
      </c>
      <c r="AJ46" s="384" t="n">
        <f aca="false">SUMPRODUCT((Personnel!$P$9:$P$100="FE")*(Personnel!$G$9:$G$100="Yes")*(32&gt;=Personnel!$E$9:$E$100)*((Personnel!$K$9:$K$100="")+(32&lt;=Personnel!$K$9:$K$100)&gt;0))</f>
        <v>0</v>
      </c>
      <c r="AK46" s="384" t="n">
        <f aca="false">SUMPRODUCT((Personnel!$P$9:$P$100="FE")*(Personnel!$G$9:$G$100="Yes")*(33&gt;=Personnel!$E$9:$E$100)*((Personnel!$K$9:$K$100="")+(33&lt;=Personnel!$K$9:$K$100)&gt;0))</f>
        <v>0</v>
      </c>
      <c r="AL46" s="384" t="n">
        <f aca="false">SUMPRODUCT((Personnel!$P$9:$P$100="FE")*(Personnel!$G$9:$G$100="Yes")*(34&gt;=Personnel!$E$9:$E$100)*((Personnel!$K$9:$K$100="")+(34&lt;=Personnel!$K$9:$K$100)&gt;0))</f>
        <v>0</v>
      </c>
      <c r="AM46" s="384" t="n">
        <f aca="false">SUMPRODUCT((Personnel!$P$9:$P$100="FE")*(Personnel!$G$9:$G$100="Yes")*(35&gt;=Personnel!$E$9:$E$100)*((Personnel!$K$9:$K$100="")+(35&lt;=Personnel!$K$9:$K$100)&gt;0))</f>
        <v>0</v>
      </c>
      <c r="AN46" s="384" t="n">
        <f aca="false">SUMPRODUCT((Personnel!$P$9:$P$100="FE")*(Personnel!$G$9:$G$100="Yes")*(36&gt;=Personnel!$E$9:$E$100)*((Personnel!$K$9:$K$100="")+(36&lt;=Personnel!$K$9:$K$100)&gt;0))</f>
        <v>0</v>
      </c>
      <c r="AO46" s="384" t="n">
        <f aca="false">SUMPRODUCT((Personnel!$P$9:$P$100="FE")*(Personnel!$G$9:$G$100="Yes")*(37&gt;=Personnel!$E$9:$E$100)*((Personnel!$K$9:$K$100="")+(37&lt;=Personnel!$K$9:$K$100)&gt;0))</f>
        <v>0</v>
      </c>
      <c r="AP46" s="384" t="n">
        <f aca="false">SUMPRODUCT((Personnel!$P$9:$P$100="FE")*(Personnel!$G$9:$G$100="Yes")*(38&gt;=Personnel!$E$9:$E$100)*((Personnel!$K$9:$K$100="")+(38&lt;=Personnel!$K$9:$K$100)&gt;0))</f>
        <v>0</v>
      </c>
      <c r="AQ46" s="384" t="n">
        <f aca="false">SUMPRODUCT((Personnel!$P$9:$P$100="FE")*(Personnel!$G$9:$G$100="Yes")*(39&gt;=Personnel!$E$9:$E$100)*((Personnel!$K$9:$K$100="")+(39&lt;=Personnel!$K$9:$K$100)&gt;0))</f>
        <v>0</v>
      </c>
      <c r="AR46" s="384" t="n">
        <f aca="false">SUMPRODUCT((Personnel!$P$9:$P$100="FE")*(Personnel!$G$9:$G$100="Yes")*(40&gt;=Personnel!$E$9:$E$100)*((Personnel!$K$9:$K$100="")+(40&lt;=Personnel!$K$9:$K$100)&gt;0))</f>
        <v>0</v>
      </c>
      <c r="AS46" s="384" t="n">
        <f aca="false">SUMPRODUCT((Personnel!$P$9:$P$100="FE")*(Personnel!$G$9:$G$100="Yes")*(41&gt;=Personnel!$E$9:$E$100)*((Personnel!$K$9:$K$100="")+(41&lt;=Personnel!$K$9:$K$100)&gt;0))</f>
        <v>0</v>
      </c>
      <c r="AT46" s="384" t="n">
        <f aca="false">SUMPRODUCT((Personnel!$P$9:$P$100="FE")*(Personnel!$G$9:$G$100="Yes")*(42&gt;=Personnel!$E$9:$E$100)*((Personnel!$K$9:$K$100="")+(42&lt;=Personnel!$K$9:$K$100)&gt;0))</f>
        <v>0</v>
      </c>
      <c r="AU46" s="384" t="n">
        <f aca="false">SUMPRODUCT((Personnel!$P$9:$P$100="FE")*(Personnel!$G$9:$G$100="Yes")*(43&gt;=Personnel!$E$9:$E$100)*((Personnel!$K$9:$K$100="")+(43&lt;=Personnel!$K$9:$K$100)&gt;0))</f>
        <v>0</v>
      </c>
      <c r="AV46" s="384" t="n">
        <f aca="false">SUMPRODUCT((Personnel!$P$9:$P$100="FE")*(Personnel!$G$9:$G$100="Yes")*(44&gt;=Personnel!$E$9:$E$100)*((Personnel!$K$9:$K$100="")+(44&lt;=Personnel!$K$9:$K$100)&gt;0))</f>
        <v>0</v>
      </c>
      <c r="AW46" s="384" t="n">
        <f aca="false">SUMPRODUCT((Personnel!$P$9:$P$100="FE")*(Personnel!$G$9:$G$100="Yes")*(45&gt;=Personnel!$E$9:$E$100)*((Personnel!$K$9:$K$100="")+(45&lt;=Personnel!$K$9:$K$100)&gt;0))</f>
        <v>0</v>
      </c>
      <c r="AX46" s="384" t="n">
        <f aca="false">SUMPRODUCT((Personnel!$P$9:$P$100="FE")*(Personnel!$G$9:$G$100="Yes")*(46&gt;=Personnel!$E$9:$E$100)*((Personnel!$K$9:$K$100="")+(46&lt;=Personnel!$K$9:$K$100)&gt;0))</f>
        <v>0</v>
      </c>
      <c r="AY46" s="384" t="n">
        <f aca="false">SUMPRODUCT((Personnel!$P$9:$P$100="FE")*(Personnel!$G$9:$G$100="Yes")*(47&gt;=Personnel!$E$9:$E$100)*((Personnel!$K$9:$K$100="")+(47&lt;=Personnel!$K$9:$K$100)&gt;0))</f>
        <v>0</v>
      </c>
      <c r="AZ46" s="384" t="n">
        <f aca="false">SUMPRODUCT((Personnel!$P$9:$P$100="FE")*(Personnel!$G$9:$G$100="Yes")*(48&gt;=Personnel!$E$9:$E$100)*((Personnel!$K$9:$K$100="")+(48&lt;=Personnel!$K$9:$K$100)&gt;0))</f>
        <v>0</v>
      </c>
      <c r="BA46" s="384" t="n">
        <f aca="false">SUMPRODUCT((Personnel!$P$9:$P$100="FE")*(Personnel!$G$9:$G$100="Yes")*(49&gt;=Personnel!$E$9:$E$100)*((Personnel!$K$9:$K$100="")+(49&lt;=Personnel!$K$9:$K$100)&gt;0))</f>
        <v>0</v>
      </c>
      <c r="BB46" s="384" t="n">
        <f aca="false">SUMPRODUCT((Personnel!$P$9:$P$100="FE")*(Personnel!$G$9:$G$100="Yes")*(50&gt;=Personnel!$E$9:$E$100)*((Personnel!$K$9:$K$100="")+(50&lt;=Personnel!$K$9:$K$100)&gt;0))</f>
        <v>0</v>
      </c>
      <c r="BC46" s="384" t="n">
        <f aca="false">SUMPRODUCT((Personnel!$P$9:$P$100="FE")*(Personnel!$G$9:$G$100="Yes")*(51&gt;=Personnel!$E$9:$E$100)*((Personnel!$K$9:$K$100="")+(51&lt;=Personnel!$K$9:$K$100)&gt;0))</f>
        <v>0</v>
      </c>
      <c r="BD46" s="384" t="n">
        <f aca="false">SUMPRODUCT((Personnel!$P$9:$P$100="FE")*(Personnel!$G$9:$G$100="Yes")*(52&gt;=Personnel!$E$9:$E$100)*((Personnel!$K$9:$K$100="")+(52&lt;=Personnel!$K$9:$K$100)&gt;0))</f>
        <v>0</v>
      </c>
      <c r="BE46" s="384" t="n">
        <f aca="false">SUMPRODUCT((Personnel!$P$9:$P$100="FE")*(Personnel!$G$9:$G$100="Yes")*(53&gt;=Personnel!$E$9:$E$100)*((Personnel!$K$9:$K$100="")+(53&lt;=Personnel!$K$9:$K$100)&gt;0))</f>
        <v>0</v>
      </c>
      <c r="BF46" s="384" t="n">
        <f aca="false">SUMPRODUCT((Personnel!$P$9:$P$100="FE")*(Personnel!$G$9:$G$100="Yes")*(54&gt;=Personnel!$E$9:$E$100)*((Personnel!$K$9:$K$100="")+(54&lt;=Personnel!$K$9:$K$100)&gt;0))</f>
        <v>0</v>
      </c>
      <c r="BG46" s="384" t="n">
        <f aca="false">SUMPRODUCT((Personnel!$P$9:$P$100="FE")*(Personnel!$G$9:$G$100="Yes")*(55&gt;=Personnel!$E$9:$E$100)*((Personnel!$K$9:$K$100="")+(55&lt;=Personnel!$K$9:$K$100)&gt;0))</f>
        <v>0</v>
      </c>
      <c r="BH46" s="384" t="n">
        <f aca="false">SUMPRODUCT((Personnel!$P$9:$P$100="FE")*(Personnel!$G$9:$G$100="Yes")*(56&gt;=Personnel!$E$9:$E$100)*((Personnel!$K$9:$K$100="")+(56&lt;=Personnel!$K$9:$K$100)&gt;0))</f>
        <v>0</v>
      </c>
      <c r="BI46" s="384" t="n">
        <f aca="false">SUMPRODUCT((Personnel!$P$9:$P$100="FE")*(Personnel!$G$9:$G$100="Yes")*(57&gt;=Personnel!$E$9:$E$100)*((Personnel!$K$9:$K$100="")+(57&lt;=Personnel!$K$9:$K$100)&gt;0))</f>
        <v>0</v>
      </c>
      <c r="BJ46" s="384" t="n">
        <f aca="false">SUMPRODUCT((Personnel!$P$9:$P$100="FE")*(Personnel!$G$9:$G$100="Yes")*(58&gt;=Personnel!$E$9:$E$100)*((Personnel!$K$9:$K$100="")+(58&lt;=Personnel!$K$9:$K$100)&gt;0))</f>
        <v>0</v>
      </c>
      <c r="BK46" s="384" t="n">
        <f aca="false">SUMPRODUCT((Personnel!$P$9:$P$100="FE")*(Personnel!$G$9:$G$100="Yes")*(59&gt;=Personnel!$E$9:$E$100)*((Personnel!$K$9:$K$100="")+(59&lt;=Personnel!$K$9:$K$100)&gt;0))</f>
        <v>0</v>
      </c>
      <c r="BL46" s="384" t="n">
        <f aca="false">SUMPRODUCT((Personnel!$P$9:$P$100="FE")*(Personnel!$G$9:$G$100="Yes")*(60&gt;=Personnel!$E$9:$E$100)*((Personnel!$K$9:$K$100="")+(60&lt;=Personnel!$K$9:$K$100)&gt;0))</f>
        <v>0</v>
      </c>
      <c r="BM46" s="384" t="n">
        <f aca="false">SUMPRODUCT((Personnel!$P$9:$P$100="FE")*(Personnel!$G$9:$G$100="Yes")*(61&gt;=Personnel!$E$9:$E$100)*((Personnel!$K$9:$K$100="")+(61&lt;=Personnel!$K$9:$K$100)&gt;0))</f>
        <v>0</v>
      </c>
      <c r="BN46" s="384" t="n">
        <f aca="false">SUMPRODUCT((Personnel!$P$9:$P$100="FE")*(Personnel!$G$9:$G$100="Yes")*(62&gt;=Personnel!$E$9:$E$100)*((Personnel!$K$9:$K$100="")+(62&lt;=Personnel!$K$9:$K$100)&gt;0))</f>
        <v>0</v>
      </c>
      <c r="BO46" s="384" t="n">
        <f aca="false">SUMPRODUCT((Personnel!$P$9:$P$100="FE")*(Personnel!$G$9:$G$100="Yes")*(63&gt;=Personnel!$E$9:$E$100)*((Personnel!$K$9:$K$100="")+(63&lt;=Personnel!$K$9:$K$100)&gt;0))</f>
        <v>0</v>
      </c>
      <c r="BP46" s="384" t="n">
        <f aca="false">SUMPRODUCT((Personnel!$P$9:$P$100="FE")*(Personnel!$G$9:$G$100="Yes")*(64&gt;=Personnel!$E$9:$E$100)*((Personnel!$K$9:$K$100="")+(64&lt;=Personnel!$K$9:$K$100)&gt;0))</f>
        <v>0</v>
      </c>
      <c r="BQ46" s="384" t="n">
        <f aca="false">SUMPRODUCT((Personnel!$P$9:$P$100="FE")*(Personnel!$G$9:$G$100="Yes")*(65&gt;=Personnel!$E$9:$E$100)*((Personnel!$K$9:$K$100="")+(65&lt;=Personnel!$K$9:$K$100)&gt;0))</f>
        <v>0</v>
      </c>
      <c r="BR46" s="384" t="n">
        <f aca="false">SUMPRODUCT((Personnel!$P$9:$P$100="FE")*(Personnel!$G$9:$G$100="Yes")*(66&gt;=Personnel!$E$9:$E$100)*((Personnel!$K$9:$K$100="")+(66&lt;=Personnel!$K$9:$K$100)&gt;0))</f>
        <v>0</v>
      </c>
      <c r="BS46" s="384" t="n">
        <f aca="false">SUMPRODUCT((Personnel!$P$9:$P$100="FE")*(Personnel!$G$9:$G$100="Yes")*(67&gt;=Personnel!$E$9:$E$100)*((Personnel!$K$9:$K$100="")+(67&lt;=Personnel!$K$9:$K$100)&gt;0))</f>
        <v>0</v>
      </c>
      <c r="BT46" s="384" t="n">
        <f aca="false">SUMPRODUCT((Personnel!$P$9:$P$100="FE")*(Personnel!$G$9:$G$100="Yes")*(68&gt;=Personnel!$E$9:$E$100)*((Personnel!$K$9:$K$100="")+(68&lt;=Personnel!$K$9:$K$100)&gt;0))</f>
        <v>0</v>
      </c>
      <c r="BU46" s="384" t="n">
        <f aca="false">SUMPRODUCT((Personnel!$P$9:$P$100="FE")*(Personnel!$G$9:$G$100="Yes")*(69&gt;=Personnel!$E$9:$E$100)*((Personnel!$K$9:$K$100="")+(69&lt;=Personnel!$K$9:$K$100)&gt;0))</f>
        <v>0</v>
      </c>
      <c r="BV46" s="384" t="n">
        <f aca="false">SUMPRODUCT((Personnel!$P$9:$P$100="FE")*(Personnel!$G$9:$G$100="Yes")*(70&gt;=Personnel!$E$9:$E$100)*((Personnel!$K$9:$K$100="")+(70&lt;=Personnel!$K$9:$K$100)&gt;0))</f>
        <v>0</v>
      </c>
      <c r="BW46" s="384" t="n">
        <f aca="false">SUMPRODUCT((Personnel!$P$9:$P$100="FE")*(Personnel!$G$9:$G$100="Yes")*(71&gt;=Personnel!$E$9:$E$100)*((Personnel!$K$9:$K$100="")+(71&lt;=Personnel!$K$9:$K$100)&gt;0))</f>
        <v>0</v>
      </c>
      <c r="BX46" s="384" t="n">
        <f aca="false">SUMPRODUCT((Personnel!$P$9:$P$100="FE")*(Personnel!$G$9:$G$100="Yes")*(72&gt;=Personnel!$E$9:$E$100)*((Personnel!$K$9:$K$100="")+(72&lt;=Personnel!$K$9:$K$100)&gt;0))</f>
        <v>0</v>
      </c>
      <c r="BY46" s="384" t="n">
        <f aca="false">SUMPRODUCT((Personnel!$P$9:$P$100="FE")*(Personnel!$G$9:$G$100="Yes")*(73&gt;=Personnel!$E$9:$E$100)*((Personnel!$K$9:$K$100="")+(73&lt;=Personnel!$K$9:$K$100)&gt;0))</f>
        <v>0</v>
      </c>
      <c r="BZ46" s="384" t="n">
        <f aca="false">SUMPRODUCT((Personnel!$P$9:$P$100="FE")*(Personnel!$G$9:$G$100="Yes")*(74&gt;=Personnel!$E$9:$E$100)*((Personnel!$K$9:$K$100="")+(74&lt;=Personnel!$K$9:$K$100)&gt;0))</f>
        <v>0</v>
      </c>
      <c r="CA46" s="384" t="n">
        <f aca="false">SUMPRODUCT((Personnel!$P$9:$P$100="FE")*(Personnel!$G$9:$G$100="Yes")*(75&gt;=Personnel!$E$9:$E$100)*((Personnel!$K$9:$K$100="")+(75&lt;=Personnel!$K$9:$K$100)&gt;0))</f>
        <v>0</v>
      </c>
      <c r="CB46" s="384" t="n">
        <f aca="false">SUMPRODUCT((Personnel!$P$9:$P$100="FE")*(Personnel!$G$9:$G$100="Yes")*(76&gt;=Personnel!$E$9:$E$100)*((Personnel!$K$9:$K$100="")+(76&lt;=Personnel!$K$9:$K$100)&gt;0))</f>
        <v>0</v>
      </c>
      <c r="CC46" s="384" t="n">
        <f aca="false">SUMPRODUCT((Personnel!$P$9:$P$100="FE")*(Personnel!$G$9:$G$100="Yes")*(77&gt;=Personnel!$E$9:$E$100)*((Personnel!$K$9:$K$100="")+(77&lt;=Personnel!$K$9:$K$100)&gt;0))</f>
        <v>0</v>
      </c>
      <c r="CD46" s="384" t="n">
        <f aca="false">SUMPRODUCT((Personnel!$P$9:$P$100="FE")*(Personnel!$G$9:$G$100="Yes")*(78&gt;=Personnel!$E$9:$E$100)*((Personnel!$K$9:$K$100="")+(78&lt;=Personnel!$K$9:$K$100)&gt;0))</f>
        <v>0</v>
      </c>
      <c r="CE46" s="384" t="n">
        <f aca="false">SUMPRODUCT((Personnel!$P$9:$P$100="FE")*(Personnel!$G$9:$G$100="Yes")*(79&gt;=Personnel!$E$9:$E$100)*((Personnel!$K$9:$K$100="")+(79&lt;=Personnel!$K$9:$K$100)&gt;0))</f>
        <v>0</v>
      </c>
      <c r="CF46" s="384" t="n">
        <f aca="false">SUMPRODUCT((Personnel!$P$9:$P$100="FE")*(Personnel!$G$9:$G$100="Yes")*(80&gt;=Personnel!$E$9:$E$100)*((Personnel!$K$9:$K$100="")+(80&lt;=Personnel!$K$9:$K$100)&gt;0))</f>
        <v>0</v>
      </c>
      <c r="CG46" s="384" t="n">
        <f aca="false">SUMPRODUCT((Personnel!$P$9:$P$100="FE")*(Personnel!$G$9:$G$100="Yes")*(81&gt;=Personnel!$E$9:$E$100)*((Personnel!$K$9:$K$100="")+(81&lt;=Personnel!$K$9:$K$100)&gt;0))</f>
        <v>0</v>
      </c>
      <c r="CH46" s="384" t="n">
        <f aca="false">SUMPRODUCT((Personnel!$P$9:$P$100="FE")*(Personnel!$G$9:$G$100="Yes")*(82&gt;=Personnel!$E$9:$E$100)*((Personnel!$K$9:$K$100="")+(82&lt;=Personnel!$K$9:$K$100)&gt;0))</f>
        <v>0</v>
      </c>
      <c r="CI46" s="384" t="n">
        <f aca="false">SUMPRODUCT((Personnel!$P$9:$P$100="FE")*(Personnel!$G$9:$G$100="Yes")*(83&gt;=Personnel!$E$9:$E$100)*((Personnel!$K$9:$K$100="")+(83&lt;=Personnel!$K$9:$K$100)&gt;0))</f>
        <v>0</v>
      </c>
      <c r="CJ46" s="384" t="n">
        <f aca="false">SUMPRODUCT((Personnel!$P$9:$P$100="FE")*(Personnel!$G$9:$G$100="Yes")*(84&gt;=Personnel!$E$9:$E$100)*((Personnel!$K$9:$K$100="")+(84&lt;=Personnel!$K$9:$K$100)&gt;0))</f>
        <v>0</v>
      </c>
      <c r="CK46" s="384" t="n">
        <f aca="false">SUMPRODUCT((Personnel!$P$9:$P$100="FE")*(Personnel!$G$9:$G$100="Yes")*(85&gt;=Personnel!$E$9:$E$100)*((Personnel!$K$9:$K$100="")+(85&lt;=Personnel!$K$9:$K$100)&gt;0))</f>
        <v>0</v>
      </c>
      <c r="CL46" s="384" t="n">
        <f aca="false">SUMPRODUCT((Personnel!$P$9:$P$100="FE")*(Personnel!$G$9:$G$100="Yes")*(86&gt;=Personnel!$E$9:$E$100)*((Personnel!$K$9:$K$100="")+(86&lt;=Personnel!$K$9:$K$100)&gt;0))</f>
        <v>0</v>
      </c>
      <c r="CM46" s="384" t="n">
        <f aca="false">SUMPRODUCT((Personnel!$P$9:$P$100="FE")*(Personnel!$G$9:$G$100="Yes")*(87&gt;=Personnel!$E$9:$E$100)*((Personnel!$K$9:$K$100="")+(87&lt;=Personnel!$K$9:$K$100)&gt;0))</f>
        <v>0</v>
      </c>
      <c r="CN46" s="384" t="n">
        <f aca="false">SUMPRODUCT((Personnel!$P$9:$P$100="FE")*(Personnel!$G$9:$G$100="Yes")*(88&gt;=Personnel!$E$9:$E$100)*((Personnel!$K$9:$K$100="")+(88&lt;=Personnel!$K$9:$K$100)&gt;0))</f>
        <v>0</v>
      </c>
      <c r="CO46" s="384" t="n">
        <f aca="false">SUMPRODUCT((Personnel!$P$9:$P$100="FE")*(Personnel!$G$9:$G$100="Yes")*(89&gt;=Personnel!$E$9:$E$100)*((Personnel!$K$9:$K$100="")+(89&lt;=Personnel!$K$9:$K$100)&gt;0))</f>
        <v>0</v>
      </c>
      <c r="CP46" s="384" t="n">
        <f aca="false">SUMPRODUCT((Personnel!$P$9:$P$100="FE")*(Personnel!$G$9:$G$100="Yes")*(90&gt;=Personnel!$E$9:$E$100)*((Personnel!$K$9:$K$100="")+(90&lt;=Personnel!$K$9:$K$100)&gt;0))</f>
        <v>0</v>
      </c>
      <c r="CQ46" s="384" t="n">
        <f aca="false">SUMPRODUCT((Personnel!$P$9:$P$100="FE")*(Personnel!$G$9:$G$100="Yes")*(91&gt;=Personnel!$E$9:$E$100)*((Personnel!$K$9:$K$100="")+(91&lt;=Personnel!$K$9:$K$100)&gt;0))</f>
        <v>0</v>
      </c>
      <c r="CR46" s="384" t="n">
        <f aca="false">SUMPRODUCT((Personnel!$P$9:$P$100="FE")*(Personnel!$G$9:$G$100="Yes")*(92&gt;=Personnel!$E$9:$E$100)*((Personnel!$K$9:$K$100="")+(92&lt;=Personnel!$K$9:$K$100)&gt;0))</f>
        <v>0</v>
      </c>
      <c r="CS46" s="384" t="n">
        <f aca="false">SUMPRODUCT((Personnel!$P$9:$P$100="FE")*(Personnel!$G$9:$G$100="Yes")*(93&gt;=Personnel!$E$9:$E$100)*((Personnel!$K$9:$K$100="")+(93&lt;=Personnel!$K$9:$K$100)&gt;0))</f>
        <v>0</v>
      </c>
      <c r="CT46" s="384" t="n">
        <f aca="false">SUMPRODUCT((Personnel!$P$9:$P$100="FE")*(Personnel!$G$9:$G$100="Yes")*(94&gt;=Personnel!$E$9:$E$100)*((Personnel!$K$9:$K$100="")+(94&lt;=Personnel!$K$9:$K$100)&gt;0))</f>
        <v>0</v>
      </c>
      <c r="CU46" s="384" t="n">
        <f aca="false">SUMPRODUCT((Personnel!$P$9:$P$100="FE")*(Personnel!$G$9:$G$100="Yes")*(95&gt;=Personnel!$E$9:$E$100)*((Personnel!$K$9:$K$100="")+(95&lt;=Personnel!$K$9:$K$100)&gt;0))</f>
        <v>0</v>
      </c>
      <c r="CV46" s="384" t="n">
        <f aca="false">SUMPRODUCT((Personnel!$P$9:$P$100="FE")*(Personnel!$G$9:$G$100="Yes")*(96&gt;=Personnel!$E$9:$E$100)*((Personnel!$K$9:$K$100="")+(96&lt;=Personnel!$K$9:$K$100)&gt;0))</f>
        <v>0</v>
      </c>
      <c r="CW46" s="384" t="n">
        <f aca="false">SUMPRODUCT((Personnel!$P$9:$P$100="FE")*(Personnel!$G$9:$G$100="Yes")*(97&gt;=Personnel!$E$9:$E$100)*((Personnel!$K$9:$K$100="")+(97&lt;=Personnel!$K$9:$K$100)&gt;0))</f>
        <v>0</v>
      </c>
      <c r="CX46" s="384" t="n">
        <f aca="false">SUMPRODUCT((Personnel!$P$9:$P$100="FE")*(Personnel!$G$9:$G$100="Yes")*(98&gt;=Personnel!$E$9:$E$100)*((Personnel!$K$9:$K$100="")+(98&lt;=Personnel!$K$9:$K$100)&gt;0))</f>
        <v>0</v>
      </c>
      <c r="CY46" s="384" t="n">
        <f aca="false">SUMPRODUCT((Personnel!$P$9:$P$100="FE")*(Personnel!$G$9:$G$100="Yes")*(99&gt;=Personnel!$E$9:$E$100)*((Personnel!$K$9:$K$100="")+(99&lt;=Personnel!$K$9:$K$100)&gt;0))</f>
        <v>0</v>
      </c>
      <c r="CZ46" s="384" t="n">
        <f aca="false">SUMPRODUCT((Personnel!$P$9:$P$100="FE")*(Personnel!$G$9:$G$100="Yes")*(100&gt;=Personnel!$E$9:$E$100)*((Personnel!$K$9:$K$100="")+(100&lt;=Personnel!$K$9:$K$100)&gt;0))</f>
        <v>0</v>
      </c>
      <c r="DA46" s="384" t="n">
        <f aca="false">SUMPRODUCT((Personnel!$P$9:$P$100="FE")*(Personnel!$G$9:$G$100="Yes")*(101&gt;=Personnel!$E$9:$E$100)*((Personnel!$K$9:$K$100="")+(101&lt;=Personnel!$K$9:$K$100)&gt;0))</f>
        <v>0</v>
      </c>
      <c r="DB46" s="384" t="n">
        <f aca="false">SUMPRODUCT((Personnel!$P$9:$P$100="FE")*(Personnel!$G$9:$G$100="Yes")*(102&gt;=Personnel!$E$9:$E$100)*((Personnel!$K$9:$K$100="")+(102&lt;=Personnel!$K$9:$K$100)&gt;0))</f>
        <v>0</v>
      </c>
      <c r="DC46" s="384" t="n">
        <f aca="false">SUMPRODUCT((Personnel!$P$9:$P$100="FE")*(Personnel!$G$9:$G$100="Yes")*(103&gt;=Personnel!$E$9:$E$100)*((Personnel!$K$9:$K$100="")+(103&lt;=Personnel!$K$9:$K$100)&gt;0))</f>
        <v>0</v>
      </c>
      <c r="DD46" s="384" t="n">
        <f aca="false">SUMPRODUCT((Personnel!$P$9:$P$100="FE")*(Personnel!$G$9:$G$100="Yes")*(104&gt;=Personnel!$E$9:$E$100)*((Personnel!$K$9:$K$100="")+(104&lt;=Personnel!$K$9:$K$100)&gt;0))</f>
        <v>0</v>
      </c>
      <c r="DE46" s="384" t="n">
        <f aca="false">SUMPRODUCT((Personnel!$P$9:$P$100="FE")*(Personnel!$G$9:$G$100="Yes")*(105&gt;=Personnel!$E$9:$E$100)*((Personnel!$K$9:$K$100="")+(105&lt;=Personnel!$K$9:$K$100)&gt;0))</f>
        <v>0</v>
      </c>
    </row>
    <row r="48" customFormat="false" ht="13.5" hidden="false" customHeight="true" outlineLevel="0" collapsed="false">
      <c r="A48" s="211" t="s">
        <v>1381</v>
      </c>
      <c r="B48" s="212"/>
      <c r="C48" s="212"/>
      <c r="D48" s="212"/>
      <c r="E48" s="212"/>
      <c r="F48" s="212"/>
    </row>
    <row r="49" customFormat="false" ht="13.5" hidden="false" customHeight="true" outlineLevel="0" collapsed="false">
      <c r="A49" s="110" t="s">
        <v>1382</v>
      </c>
      <c r="B49" s="213" t="n">
        <f aca="false">$B$26</f>
        <v>160000</v>
      </c>
      <c r="E49" s="385" t="n">
        <f aca="false">IF(1&lt;5,0,IF(MAX(E38:E38)&gt;E43+0+$B$18,1,0))</f>
        <v>0</v>
      </c>
      <c r="F49" s="385" t="n">
        <f aca="false">IF(2&lt;5,0,IF(MAX(E38:F38)&gt;F43+0+$B$18,1,0))</f>
        <v>0</v>
      </c>
      <c r="G49" s="385" t="n">
        <f aca="false">IF(3&lt;5,0,IF(MAX(E38:G38)&gt;G43+0+$B$18,1,0))</f>
        <v>0</v>
      </c>
      <c r="H49" s="385" t="n">
        <f aca="false">IF(4&lt;5,0,IF(MAX(E38:H38)&gt;H43+0+$B$18,1,0))</f>
        <v>0</v>
      </c>
      <c r="I49" s="385" t="n">
        <f aca="false">IF(5&lt;5,0,IF(MAX(E38:I38)&gt;I43+0+$B$18,1,0))</f>
        <v>0</v>
      </c>
      <c r="J49" s="385" t="n">
        <f aca="false">IF(6&lt;5,0,IF(MAX(E38:J38)&gt;J43+0+$B$18,1,0))</f>
        <v>0</v>
      </c>
      <c r="K49" s="385" t="n">
        <f aca="false">IF(7&lt;5,0,IF(MAX(F38:K38)&gt;K43+0+$B$18,1,0))</f>
        <v>0</v>
      </c>
      <c r="L49" s="385" t="n">
        <f aca="false">IF(8&lt;5,0,IF(MAX(G38:L38)&gt;L43+0+$B$18,1,0))</f>
        <v>0</v>
      </c>
      <c r="M49" s="385" t="n">
        <f aca="false">IF(9&lt;5,0,IF(MAX(H38:M38)&gt;M43+0+$B$18,1,0))</f>
        <v>1</v>
      </c>
      <c r="N49" s="385" t="n">
        <f aca="false">IF(10&lt;5,0,IF(MAX(I38:N38)&gt;N43+0+$B$18,1,0))</f>
        <v>1</v>
      </c>
      <c r="O49" s="385" t="n">
        <f aca="false">IF(11&lt;5,0,IF(MAX(J38:O38)&gt;O43+0+$B$18,1,0))</f>
        <v>1</v>
      </c>
      <c r="P49" s="385" t="n">
        <f aca="false">IF(12&lt;5,0,IF(MAX(K38:P38)&gt;P43+0+$B$18,1,0))</f>
        <v>1</v>
      </c>
      <c r="Q49" s="385" t="n">
        <f aca="false">IF(13&lt;5,0,IF(MAX(L38:Q38)&gt;Q43+0+$B$18,1,0))</f>
        <v>1</v>
      </c>
      <c r="R49" s="385" t="n">
        <f aca="false">IF(14&lt;5,0,IF(MAX(M38:R38)&gt;R43+0+$B$18,1,0))</f>
        <v>1</v>
      </c>
      <c r="S49" s="385" t="n">
        <f aca="false">IF(15&lt;5,0,IF(MAX(N38:S38)&gt;S43+0+$B$18,1,0))</f>
        <v>1</v>
      </c>
      <c r="T49" s="385" t="n">
        <f aca="false">IF(16&lt;5,0,IF(MAX(O38:T38)&gt;T43+0+$B$18,1,0))</f>
        <v>1</v>
      </c>
      <c r="U49" s="385" t="n">
        <f aca="false">IF(17&lt;5,0,IF(MAX(P38:U38)&gt;U43+0+$B$18,1,0))</f>
        <v>1</v>
      </c>
      <c r="V49" s="385" t="n">
        <f aca="false">IF(18&lt;5,0,IF(MAX(Q38:V38)&gt;V43+0+$B$18,1,0))</f>
        <v>1</v>
      </c>
      <c r="W49" s="385" t="n">
        <f aca="false">IF(19&lt;5,0,IF(MAX(R38:W38)&gt;W43+0+$B$18,1,0))</f>
        <v>1</v>
      </c>
      <c r="X49" s="385" t="n">
        <f aca="false">IF(20&lt;5,0,IF(MAX(S38:X38)&gt;X43+0+$B$18,1,0))</f>
        <v>1</v>
      </c>
      <c r="Y49" s="385" t="n">
        <f aca="false">IF(21&lt;5,0,IF(MAX(T38:Y38)&gt;Y43+0+$B$18,1,0))</f>
        <v>1</v>
      </c>
      <c r="Z49" s="385" t="n">
        <f aca="false">IF(22&lt;5,0,IF(MAX(U38:Z38)&gt;Z43+0+$B$18,1,0))</f>
        <v>1</v>
      </c>
      <c r="AA49" s="385" t="n">
        <f aca="false">IF(23&lt;5,0,IF(MAX(V38:AA38)&gt;AA43+0+$B$18,1,0))</f>
        <v>1</v>
      </c>
      <c r="AB49" s="385" t="n">
        <f aca="false">IF(24&lt;5,0,IF(MAX(W38:AB38)&gt;AB43+0+$B$18,1,0))</f>
        <v>1</v>
      </c>
      <c r="AC49" s="385" t="n">
        <f aca="false">IF(25&lt;5,0,IF(MAX(X38:AC38)&gt;AC43+0+$B$18,1,0))</f>
        <v>1</v>
      </c>
      <c r="AD49" s="385" t="n">
        <f aca="false">IF(26&lt;5,0,IF(MAX(Y38:AD38)&gt;AD43+0+$B$18,1,0))</f>
        <v>1</v>
      </c>
      <c r="AE49" s="385" t="n">
        <f aca="false">IF(27&lt;5,0,IF(MAX(Z38:AE38)&gt;AE43+0+$B$18,1,0))</f>
        <v>1</v>
      </c>
      <c r="AF49" s="385" t="n">
        <f aca="false">IF(28&lt;5,0,IF(MAX(AA38:AF38)&gt;AF43+0+$B$18,1,0))</f>
        <v>1</v>
      </c>
      <c r="AG49" s="385" t="n">
        <f aca="false">IF(29&lt;5,0,IF(MAX(AB38:AG38)&gt;AG43+0+$B$18,1,0))</f>
        <v>1</v>
      </c>
      <c r="AH49" s="385" t="n">
        <f aca="false">IF(30&lt;5,0,IF(MAX(AC38:AH38)&gt;AH43+0+$B$18,1,0))</f>
        <v>1</v>
      </c>
      <c r="AI49" s="385" t="n">
        <f aca="false">IF(31&lt;5,0,IF(MAX(AD38:AI38)&gt;AI43+0+$B$18,1,0))</f>
        <v>1</v>
      </c>
      <c r="AJ49" s="385" t="n">
        <f aca="false">IF(32&lt;5,0,IF(MAX(AE38:AJ38)&gt;AJ43+0+$B$18,1,0))</f>
        <v>1</v>
      </c>
      <c r="AK49" s="385" t="n">
        <f aca="false">IF(33&lt;5,0,IF(MAX(AF38:AK38)&gt;AK43+0+$B$18,1,0))</f>
        <v>1</v>
      </c>
      <c r="AL49" s="385" t="n">
        <f aca="false">IF(34&lt;5,0,IF(MAX(AG38:AL38)&gt;AL43+0+$B$18,1,0))</f>
        <v>1</v>
      </c>
      <c r="AM49" s="385" t="n">
        <f aca="false">IF(35&lt;5,0,IF(MAX(AH38:AM38)&gt;AM43+0+$B$18,1,0))</f>
        <v>1</v>
      </c>
      <c r="AN49" s="385" t="n">
        <f aca="false">IF(36&lt;5,0,IF(MAX(AI38:AN38)&gt;AN43+0+$B$18,1,0))</f>
        <v>1</v>
      </c>
      <c r="AO49" s="385" t="n">
        <f aca="false">IF(37&lt;5,0,IF(MAX(AJ38:AO38)&gt;AO43+0+$B$18,1,0))</f>
        <v>1</v>
      </c>
      <c r="AP49" s="385" t="n">
        <f aca="false">IF(38&lt;5,0,IF(MAX(AK38:AP38)&gt;AP43+0+$B$18,1,0))</f>
        <v>1</v>
      </c>
      <c r="AQ49" s="385" t="n">
        <f aca="false">IF(39&lt;5,0,IF(MAX(AL38:AQ38)&gt;AQ43+0+$B$18,1,0))</f>
        <v>1</v>
      </c>
      <c r="AR49" s="385" t="n">
        <f aca="false">IF(40&lt;5,0,IF(MAX(AM38:AR38)&gt;AR43+0+$B$18,1,0))</f>
        <v>1</v>
      </c>
      <c r="AS49" s="385" t="n">
        <f aca="false">IF(41&lt;5,0,IF(MAX(AN38:AS38)&gt;AS43+0+$B$18,1,0))</f>
        <v>1</v>
      </c>
      <c r="AT49" s="385" t="n">
        <f aca="false">IF(42&lt;5,0,IF(MAX(AO38:AT38)&gt;AT43+0+$B$18,1,0))</f>
        <v>1</v>
      </c>
      <c r="AU49" s="385" t="n">
        <f aca="false">IF(43&lt;5,0,IF(MAX(AP38:AU38)&gt;AU43+0+$B$18,1,0))</f>
        <v>1</v>
      </c>
      <c r="AV49" s="385" t="n">
        <f aca="false">IF(44&lt;5,0,IF(MAX(AQ38:AV38)&gt;AV43+0+$B$18,1,0))</f>
        <v>1</v>
      </c>
      <c r="AW49" s="385" t="n">
        <f aca="false">IF(45&lt;5,0,IF(MAX(AR38:AW38)&gt;AW43+0+$B$18,1,0))</f>
        <v>1</v>
      </c>
      <c r="AX49" s="385" t="n">
        <f aca="false">IF(46&lt;5,0,IF(MAX(AS38:AX38)&gt;AX43+0+$B$18,1,0))</f>
        <v>1</v>
      </c>
      <c r="AY49" s="385" t="n">
        <f aca="false">IF(47&lt;5,0,IF(MAX(AT38:AY38)&gt;AY43+0+$B$18,1,0))</f>
        <v>1</v>
      </c>
      <c r="AZ49" s="385" t="n">
        <f aca="false">IF(48&lt;5,0,IF(MAX(AU38:AZ38)&gt;AZ43+0+$B$18,1,0))</f>
        <v>1</v>
      </c>
      <c r="BA49" s="385" t="n">
        <f aca="false">IF(49&lt;5,0,IF(MAX(AV38:BA38)&gt;BA43+0+$B$18,1,0))</f>
        <v>1</v>
      </c>
      <c r="BB49" s="385" t="n">
        <f aca="false">IF(50&lt;5,0,IF(MAX(AW38:BB38)&gt;BB43+0+$B$18,1,0))</f>
        <v>1</v>
      </c>
      <c r="BC49" s="385" t="n">
        <f aca="false">IF(51&lt;5,0,IF(MAX(AX38:BC38)&gt;BC43+0+$B$18,1,0))</f>
        <v>1</v>
      </c>
      <c r="BD49" s="385" t="n">
        <f aca="false">IF(52&lt;5,0,IF(MAX(AY38:BD38)&gt;BD43+0+$B$18,1,0))</f>
        <v>1</v>
      </c>
      <c r="BE49" s="385" t="n">
        <f aca="false">IF(53&lt;5,0,IF(MAX(AZ38:BE38)&gt;BE43+0+$B$18,1,0))</f>
        <v>1</v>
      </c>
      <c r="BF49" s="385" t="n">
        <f aca="false">IF(54&lt;5,0,IF(MAX(BA38:BF38)&gt;BF43+0+$B$18,1,0))</f>
        <v>1</v>
      </c>
      <c r="BG49" s="385" t="n">
        <f aca="false">IF(55&lt;5,0,IF(MAX(BB38:BG38)&gt;BG43+0+$B$18,1,0))</f>
        <v>1</v>
      </c>
      <c r="BH49" s="385" t="n">
        <f aca="false">IF(56&lt;5,0,IF(MAX(BC38:BH38)&gt;BH43+0+$B$18,1,0))</f>
        <v>1</v>
      </c>
      <c r="BI49" s="385" t="n">
        <f aca="false">IF(57&lt;5,0,IF(MAX(BD38:BI38)&gt;BI43+0+$B$18,1,0))</f>
        <v>1</v>
      </c>
      <c r="BJ49" s="385" t="n">
        <f aca="false">IF(58&lt;5,0,IF(MAX(BE38:BJ38)&gt;BJ43+0+$B$18,1,0))</f>
        <v>1</v>
      </c>
      <c r="BK49" s="385" t="n">
        <f aca="false">IF(59&lt;5,0,IF(MAX(BF38:BK38)&gt;BK43+0+$B$18,1,0))</f>
        <v>1</v>
      </c>
      <c r="BL49" s="385" t="n">
        <f aca="false">IF(60&lt;5,0,IF(MAX(BG38:BL38)&gt;BL43+0+$B$18,1,0))</f>
        <v>1</v>
      </c>
      <c r="BM49" s="385" t="n">
        <f aca="false">IF(61&lt;5,0,IF(MAX(BH38:BM38)&gt;BM43+0+$B$18,1,0))</f>
        <v>1</v>
      </c>
      <c r="BN49" s="385" t="n">
        <f aca="false">IF(62&lt;5,0,IF(MAX(BI38:BN38)&gt;BN43+0+$B$18,1,0))</f>
        <v>1</v>
      </c>
      <c r="BO49" s="385" t="n">
        <f aca="false">IF(63&lt;5,0,IF(MAX(BJ38:BO38)&gt;BO43+0+$B$18,1,0))</f>
        <v>1</v>
      </c>
      <c r="BP49" s="385" t="n">
        <f aca="false">IF(64&lt;5,0,IF(MAX(BK38:BP38)&gt;BP43+0+$B$18,1,0))</f>
        <v>1</v>
      </c>
      <c r="BQ49" s="385" t="n">
        <f aca="false">IF(65&lt;5,0,IF(MAX(BL38:BQ38)&gt;BQ43+0+$B$18,1,0))</f>
        <v>1</v>
      </c>
      <c r="BR49" s="385" t="n">
        <f aca="false">IF(66&lt;5,0,IF(MAX(BM38:BR38)&gt;BR43+0+$B$18,1,0))</f>
        <v>1</v>
      </c>
      <c r="BS49" s="385" t="n">
        <f aca="false">IF(67&lt;5,0,IF(MAX(BN38:BS38)&gt;BS43+0+$B$18,1,0))</f>
        <v>1</v>
      </c>
      <c r="BT49" s="385" t="n">
        <f aca="false">IF(68&lt;5,0,IF(MAX(BO38:BT38)&gt;BT43+0+$B$18,1,0))</f>
        <v>1</v>
      </c>
      <c r="BU49" s="385" t="n">
        <f aca="false">IF(69&lt;5,0,IF(MAX(BP38:BU38)&gt;BU43+0+$B$18,1,0))</f>
        <v>0</v>
      </c>
      <c r="BV49" s="385" t="n">
        <f aca="false">IF(70&lt;5,0,IF(MAX(BQ38:BV38)&gt;BV43+0+$B$18,1,0))</f>
        <v>0</v>
      </c>
      <c r="BW49" s="385" t="n">
        <f aca="false">IF(71&lt;5,0,IF(MAX(BR38:BW38)&gt;BW43+0+$B$18,1,0))</f>
        <v>0</v>
      </c>
      <c r="BX49" s="385" t="n">
        <f aca="false">IF(72&lt;5,0,IF(MAX(BS38:BX38)&gt;BX43+0+$B$18,1,0))</f>
        <v>0</v>
      </c>
      <c r="BY49" s="385" t="n">
        <f aca="false">IF(73&lt;5,0,IF(MAX(BT38:BY38)&gt;BY43+0+$B$18,1,0))</f>
        <v>0</v>
      </c>
      <c r="BZ49" s="385" t="n">
        <f aca="false">IF(74&lt;5,0,IF(MAX(BU38:BZ38)&gt;BZ43+0+$B$18,1,0))</f>
        <v>0</v>
      </c>
      <c r="CA49" s="385" t="n">
        <f aca="false">IF(75&lt;5,0,IF(MAX(BV38:CA38)&gt;CA43+0+$B$18,1,0))</f>
        <v>0</v>
      </c>
      <c r="CB49" s="385" t="n">
        <f aca="false">IF(76&lt;5,0,IF(MAX(BW38:CB38)&gt;CB43+0+$B$18,1,0))</f>
        <v>0</v>
      </c>
      <c r="CC49" s="385" t="n">
        <f aca="false">IF(77&lt;5,0,IF(MAX(BX38:CC38)&gt;CC43+0+$B$18,1,0))</f>
        <v>0</v>
      </c>
      <c r="CD49" s="385" t="n">
        <f aca="false">IF(78&lt;5,0,IF(MAX(BY38:CD38)&gt;CD43+0+$B$18,1,0))</f>
        <v>0</v>
      </c>
      <c r="CE49" s="385" t="n">
        <f aca="false">IF(79&lt;5,0,IF(MAX(BZ38:CE38)&gt;CE43+0+$B$18,1,0))</f>
        <v>0</v>
      </c>
      <c r="CF49" s="385" t="n">
        <f aca="false">IF(80&lt;5,0,IF(MAX(CA38:CF38)&gt;CF43+0+$B$18,1,0))</f>
        <v>0</v>
      </c>
      <c r="CG49" s="385" t="n">
        <f aca="false">IF(81&lt;5,0,IF(MAX(CB38:CG38)&gt;CG43+0+$B$18,1,0))</f>
        <v>0</v>
      </c>
      <c r="CH49" s="385" t="n">
        <f aca="false">IF(82&lt;5,0,IF(MAX(CC38:CH38)&gt;CH43+0+$B$18,1,0))</f>
        <v>0</v>
      </c>
      <c r="CI49" s="385" t="n">
        <f aca="false">IF(83&lt;5,0,IF(MAX(CD38:CI38)&gt;CI43+0+$B$18,1,0))</f>
        <v>0</v>
      </c>
      <c r="CJ49" s="385" t="n">
        <f aca="false">IF(84&lt;5,0,IF(MAX(CE38:CJ38)&gt;CJ43+0+$B$18,1,0))</f>
        <v>0</v>
      </c>
      <c r="CK49" s="385" t="n">
        <f aca="false">IF(85&lt;5,0,IF(MAX(CF38:CK38)&gt;CK43+0+$B$18,1,0))</f>
        <v>0</v>
      </c>
      <c r="CL49" s="385" t="n">
        <f aca="false">IF(86&lt;5,0,IF(MAX(CG38:CL38)&gt;CL43+0+$B$18,1,0))</f>
        <v>0</v>
      </c>
      <c r="CM49" s="385" t="n">
        <f aca="false">IF(87&lt;5,0,IF(MAX(CH38:CM38)&gt;CM43+0+$B$18,1,0))</f>
        <v>0</v>
      </c>
      <c r="CN49" s="385" t="n">
        <f aca="false">IF(88&lt;5,0,IF(MAX(CI38:CN38)&gt;CN43+0+$B$18,1,0))</f>
        <v>0</v>
      </c>
      <c r="CO49" s="385" t="n">
        <f aca="false">IF(89&lt;5,0,IF(MAX(CJ38:CO38)&gt;CO43+0+$B$18,1,0))</f>
        <v>0</v>
      </c>
      <c r="CP49" s="385" t="n">
        <f aca="false">IF(90&lt;5,0,IF(MAX(CK38:CP38)&gt;CP43+0+$B$18,1,0))</f>
        <v>0</v>
      </c>
      <c r="CQ49" s="385" t="n">
        <f aca="false">IF(91&lt;5,0,IF(MAX(CL38:CQ38)&gt;CQ43+0+$B$18,1,0))</f>
        <v>0</v>
      </c>
      <c r="CR49" s="385" t="n">
        <f aca="false">IF(92&lt;5,0,IF(MAX(CM38:CR38)&gt;CR43+0+$B$18,1,0))</f>
        <v>0</v>
      </c>
      <c r="CS49" s="385" t="n">
        <f aca="false">IF(93&lt;5,0,IF(MAX(CN38:CS38)&gt;CS43+0+$B$18,1,0))</f>
        <v>0</v>
      </c>
      <c r="CT49" s="385" t="n">
        <f aca="false">IF(94&lt;5,0,IF(MAX(CO38:CT38)&gt;CT43+0+$B$18,1,0))</f>
        <v>0</v>
      </c>
      <c r="CU49" s="385" t="n">
        <f aca="false">IF(95&lt;5,0,IF(MAX(CP38:CU38)&gt;CU43+0+$B$18,1,0))</f>
        <v>0</v>
      </c>
      <c r="CV49" s="385" t="n">
        <f aca="false">IF(96&lt;5,0,IF(MAX(CQ38:CV38)&gt;CV43+0+$B$18,1,0))</f>
        <v>0</v>
      </c>
      <c r="CW49" s="385" t="n">
        <f aca="false">IF(97&lt;5,0,IF(MAX(CR38:CW38)&gt;CW43+0+$B$18,1,0))</f>
        <v>0</v>
      </c>
      <c r="CX49" s="385" t="n">
        <f aca="false">IF(98&lt;5,0,IF(MAX(CS38:CX38)&gt;CX43+0+$B$18,1,0))</f>
        <v>0</v>
      </c>
      <c r="CY49" s="385" t="n">
        <f aca="false">IF(99&lt;5,0,IF(MAX(CT38:CY38)&gt;CY43+0+$B$18,1,0))</f>
        <v>0</v>
      </c>
      <c r="CZ49" s="385" t="n">
        <f aca="false">IF(100&lt;5,0,IF(MAX(CU38:CZ38)&gt;CZ43+0+$B$18,1,0))</f>
        <v>0</v>
      </c>
      <c r="DA49" s="385" t="n">
        <f aca="false">IF(101&lt;5,0,IF(MAX(CV38:DA38)&gt;DA43+0+$B$18,1,0))</f>
        <v>0</v>
      </c>
      <c r="DB49" s="385" t="n">
        <f aca="false">IF(102&lt;5,0,IF(MAX(CW38:DB38)&gt;DB43+0+$B$18,1,0))</f>
        <v>0</v>
      </c>
      <c r="DC49" s="385" t="n">
        <f aca="false">IF(103&lt;5,0,IF(MAX(CX38:DC38)&gt;DC43+0+$B$18,1,0))</f>
        <v>0</v>
      </c>
      <c r="DD49" s="385" t="n">
        <f aca="false">IF(104&lt;5,0,IF(MAX(CY38:DD38)&gt;DD43+0+$B$18,1,0))</f>
        <v>0</v>
      </c>
      <c r="DE49" s="385" t="n">
        <f aca="false">IF(105&lt;5,0,IF(MAX(CZ38:DE38)&gt;DE43+0+$B$18,1,0))</f>
        <v>0</v>
      </c>
    </row>
    <row r="50" customFormat="false" ht="13.5" hidden="false" customHeight="true" outlineLevel="0" collapsed="false">
      <c r="A50" s="110" t="s">
        <v>1383</v>
      </c>
      <c r="B50" s="213" t="n">
        <f aca="false">$B$26</f>
        <v>160000</v>
      </c>
      <c r="E50" s="385" t="n">
        <f aca="false">IF(1&lt;5,0,IF(MAX(E38:E38)&gt;E43+1+$B$18,1,0))</f>
        <v>0</v>
      </c>
      <c r="F50" s="385" t="n">
        <f aca="false">IF(2&lt;5,0,IF(MAX(E38:F38)&gt;F43+1+$B$18,1,0))</f>
        <v>0</v>
      </c>
      <c r="G50" s="385" t="n">
        <f aca="false">IF(3&lt;5,0,IF(MAX(E38:G38)&gt;G43+1+$B$18,1,0))</f>
        <v>0</v>
      </c>
      <c r="H50" s="385" t="n">
        <f aca="false">IF(4&lt;5,0,IF(MAX(E38:H38)&gt;H43+1+$B$18,1,0))</f>
        <v>0</v>
      </c>
      <c r="I50" s="385" t="n">
        <f aca="false">IF(5&lt;5,0,IF(MAX(E38:I38)&gt;I43+1+$B$18,1,0))</f>
        <v>0</v>
      </c>
      <c r="J50" s="385" t="n">
        <f aca="false">IF(6&lt;5,0,IF(MAX(E38:J38)&gt;J43+1+$B$18,1,0))</f>
        <v>0</v>
      </c>
      <c r="K50" s="385" t="n">
        <f aca="false">IF(7&lt;5,0,IF(MAX(F38:K38)&gt;K43+1+$B$18,1,0))</f>
        <v>0</v>
      </c>
      <c r="L50" s="385" t="n">
        <f aca="false">IF(8&lt;5,0,IF(MAX(G38:L38)&gt;L43+1+$B$18,1,0))</f>
        <v>0</v>
      </c>
      <c r="M50" s="385" t="n">
        <f aca="false">IF(9&lt;5,0,IF(MAX(H38:M38)&gt;M43+1+$B$18,1,0))</f>
        <v>0</v>
      </c>
      <c r="N50" s="385" t="n">
        <f aca="false">IF(10&lt;5,0,IF(MAX(I38:N38)&gt;N43+1+$B$18,1,0))</f>
        <v>1</v>
      </c>
      <c r="O50" s="385" t="n">
        <f aca="false">IF(11&lt;5,0,IF(MAX(J38:O38)&gt;O43+1+$B$18,1,0))</f>
        <v>1</v>
      </c>
      <c r="P50" s="385" t="n">
        <f aca="false">IF(12&lt;5,0,IF(MAX(K38:P38)&gt;P43+1+$B$18,1,0))</f>
        <v>1</v>
      </c>
      <c r="Q50" s="385" t="n">
        <f aca="false">IF(13&lt;5,0,IF(MAX(L38:Q38)&gt;Q43+1+$B$18,1,0))</f>
        <v>1</v>
      </c>
      <c r="R50" s="385" t="n">
        <f aca="false">IF(14&lt;5,0,IF(MAX(M38:R38)&gt;R43+1+$B$18,1,0))</f>
        <v>1</v>
      </c>
      <c r="S50" s="385" t="n">
        <f aca="false">IF(15&lt;5,0,IF(MAX(N38:S38)&gt;S43+1+$B$18,1,0))</f>
        <v>1</v>
      </c>
      <c r="T50" s="385" t="n">
        <f aca="false">IF(16&lt;5,0,IF(MAX(O38:T38)&gt;T43+1+$B$18,1,0))</f>
        <v>1</v>
      </c>
      <c r="U50" s="385" t="n">
        <f aca="false">IF(17&lt;5,0,IF(MAX(P38:U38)&gt;U43+1+$B$18,1,0))</f>
        <v>1</v>
      </c>
      <c r="V50" s="385" t="n">
        <f aca="false">IF(18&lt;5,0,IF(MAX(Q38:V38)&gt;V43+1+$B$18,1,0))</f>
        <v>1</v>
      </c>
      <c r="W50" s="385" t="n">
        <f aca="false">IF(19&lt;5,0,IF(MAX(R38:W38)&gt;W43+1+$B$18,1,0))</f>
        <v>1</v>
      </c>
      <c r="X50" s="385" t="n">
        <f aca="false">IF(20&lt;5,0,IF(MAX(S38:X38)&gt;X43+1+$B$18,1,0))</f>
        <v>1</v>
      </c>
      <c r="Y50" s="385" t="n">
        <f aca="false">IF(21&lt;5,0,IF(MAX(T38:Y38)&gt;Y43+1+$B$18,1,0))</f>
        <v>1</v>
      </c>
      <c r="Z50" s="385" t="n">
        <f aca="false">IF(22&lt;5,0,IF(MAX(U38:Z38)&gt;Z43+1+$B$18,1,0))</f>
        <v>1</v>
      </c>
      <c r="AA50" s="385" t="n">
        <f aca="false">IF(23&lt;5,0,IF(MAX(V38:AA38)&gt;AA43+1+$B$18,1,0))</f>
        <v>1</v>
      </c>
      <c r="AB50" s="385" t="n">
        <f aca="false">IF(24&lt;5,0,IF(MAX(W38:AB38)&gt;AB43+1+$B$18,1,0))</f>
        <v>1</v>
      </c>
      <c r="AC50" s="385" t="n">
        <f aca="false">IF(25&lt;5,0,IF(MAX(X38:AC38)&gt;AC43+1+$B$18,1,0))</f>
        <v>1</v>
      </c>
      <c r="AD50" s="385" t="n">
        <f aca="false">IF(26&lt;5,0,IF(MAX(Y38:AD38)&gt;AD43+1+$B$18,1,0))</f>
        <v>1</v>
      </c>
      <c r="AE50" s="385" t="n">
        <f aca="false">IF(27&lt;5,0,IF(MAX(Z38:AE38)&gt;AE43+1+$B$18,1,0))</f>
        <v>1</v>
      </c>
      <c r="AF50" s="385" t="n">
        <f aca="false">IF(28&lt;5,0,IF(MAX(AA38:AF38)&gt;AF43+1+$B$18,1,0))</f>
        <v>1</v>
      </c>
      <c r="AG50" s="385" t="n">
        <f aca="false">IF(29&lt;5,0,IF(MAX(AB38:AG38)&gt;AG43+1+$B$18,1,0))</f>
        <v>1</v>
      </c>
      <c r="AH50" s="385" t="n">
        <f aca="false">IF(30&lt;5,0,IF(MAX(AC38:AH38)&gt;AH43+1+$B$18,1,0))</f>
        <v>1</v>
      </c>
      <c r="AI50" s="385" t="n">
        <f aca="false">IF(31&lt;5,0,IF(MAX(AD38:AI38)&gt;AI43+1+$B$18,1,0))</f>
        <v>1</v>
      </c>
      <c r="AJ50" s="385" t="n">
        <f aca="false">IF(32&lt;5,0,IF(MAX(AE38:AJ38)&gt;AJ43+1+$B$18,1,0))</f>
        <v>1</v>
      </c>
      <c r="AK50" s="385" t="n">
        <f aca="false">IF(33&lt;5,0,IF(MAX(AF38:AK38)&gt;AK43+1+$B$18,1,0))</f>
        <v>1</v>
      </c>
      <c r="AL50" s="385" t="n">
        <f aca="false">IF(34&lt;5,0,IF(MAX(AG38:AL38)&gt;AL43+1+$B$18,1,0))</f>
        <v>1</v>
      </c>
      <c r="AM50" s="385" t="n">
        <f aca="false">IF(35&lt;5,0,IF(MAX(AH38:AM38)&gt;AM43+1+$B$18,1,0))</f>
        <v>1</v>
      </c>
      <c r="AN50" s="385" t="n">
        <f aca="false">IF(36&lt;5,0,IF(MAX(AI38:AN38)&gt;AN43+1+$B$18,1,0))</f>
        <v>1</v>
      </c>
      <c r="AO50" s="385" t="n">
        <f aca="false">IF(37&lt;5,0,IF(MAX(AJ38:AO38)&gt;AO43+1+$B$18,1,0))</f>
        <v>1</v>
      </c>
      <c r="AP50" s="385" t="n">
        <f aca="false">IF(38&lt;5,0,IF(MAX(AK38:AP38)&gt;AP43+1+$B$18,1,0))</f>
        <v>1</v>
      </c>
      <c r="AQ50" s="385" t="n">
        <f aca="false">IF(39&lt;5,0,IF(MAX(AL38:AQ38)&gt;AQ43+1+$B$18,1,0))</f>
        <v>1</v>
      </c>
      <c r="AR50" s="385" t="n">
        <f aca="false">IF(40&lt;5,0,IF(MAX(AM38:AR38)&gt;AR43+1+$B$18,1,0))</f>
        <v>1</v>
      </c>
      <c r="AS50" s="385" t="n">
        <f aca="false">IF(41&lt;5,0,IF(MAX(AN38:AS38)&gt;AS43+1+$B$18,1,0))</f>
        <v>1</v>
      </c>
      <c r="AT50" s="385" t="n">
        <f aca="false">IF(42&lt;5,0,IF(MAX(AO38:AT38)&gt;AT43+1+$B$18,1,0))</f>
        <v>1</v>
      </c>
      <c r="AU50" s="385" t="n">
        <f aca="false">IF(43&lt;5,0,IF(MAX(AP38:AU38)&gt;AU43+1+$B$18,1,0))</f>
        <v>1</v>
      </c>
      <c r="AV50" s="385" t="n">
        <f aca="false">IF(44&lt;5,0,IF(MAX(AQ38:AV38)&gt;AV43+1+$B$18,1,0))</f>
        <v>1</v>
      </c>
      <c r="AW50" s="385" t="n">
        <f aca="false">IF(45&lt;5,0,IF(MAX(AR38:AW38)&gt;AW43+1+$B$18,1,0))</f>
        <v>1</v>
      </c>
      <c r="AX50" s="385" t="n">
        <f aca="false">IF(46&lt;5,0,IF(MAX(AS38:AX38)&gt;AX43+1+$B$18,1,0))</f>
        <v>1</v>
      </c>
      <c r="AY50" s="385" t="n">
        <f aca="false">IF(47&lt;5,0,IF(MAX(AT38:AY38)&gt;AY43+1+$B$18,1,0))</f>
        <v>1</v>
      </c>
      <c r="AZ50" s="385" t="n">
        <f aca="false">IF(48&lt;5,0,IF(MAX(AU38:AZ38)&gt;AZ43+1+$B$18,1,0))</f>
        <v>1</v>
      </c>
      <c r="BA50" s="385" t="n">
        <f aca="false">IF(49&lt;5,0,IF(MAX(AV38:BA38)&gt;BA43+1+$B$18,1,0))</f>
        <v>1</v>
      </c>
      <c r="BB50" s="385" t="n">
        <f aca="false">IF(50&lt;5,0,IF(MAX(AW38:BB38)&gt;BB43+1+$B$18,1,0))</f>
        <v>1</v>
      </c>
      <c r="BC50" s="385" t="n">
        <f aca="false">IF(51&lt;5,0,IF(MAX(AX38:BC38)&gt;BC43+1+$B$18,1,0))</f>
        <v>1</v>
      </c>
      <c r="BD50" s="385" t="n">
        <f aca="false">IF(52&lt;5,0,IF(MAX(AY38:BD38)&gt;BD43+1+$B$18,1,0))</f>
        <v>1</v>
      </c>
      <c r="BE50" s="385" t="n">
        <f aca="false">IF(53&lt;5,0,IF(MAX(AZ38:BE38)&gt;BE43+1+$B$18,1,0))</f>
        <v>1</v>
      </c>
      <c r="BF50" s="385" t="n">
        <f aca="false">IF(54&lt;5,0,IF(MAX(BA38:BF38)&gt;BF43+1+$B$18,1,0))</f>
        <v>1</v>
      </c>
      <c r="BG50" s="385" t="n">
        <f aca="false">IF(55&lt;5,0,IF(MAX(BB38:BG38)&gt;BG43+1+$B$18,1,0))</f>
        <v>1</v>
      </c>
      <c r="BH50" s="385" t="n">
        <f aca="false">IF(56&lt;5,0,IF(MAX(BC38:BH38)&gt;BH43+1+$B$18,1,0))</f>
        <v>1</v>
      </c>
      <c r="BI50" s="385" t="n">
        <f aca="false">IF(57&lt;5,0,IF(MAX(BD38:BI38)&gt;BI43+1+$B$18,1,0))</f>
        <v>1</v>
      </c>
      <c r="BJ50" s="385" t="n">
        <f aca="false">IF(58&lt;5,0,IF(MAX(BE38:BJ38)&gt;BJ43+1+$B$18,1,0))</f>
        <v>1</v>
      </c>
      <c r="BK50" s="385" t="n">
        <f aca="false">IF(59&lt;5,0,IF(MAX(BF38:BK38)&gt;BK43+1+$B$18,1,0))</f>
        <v>1</v>
      </c>
      <c r="BL50" s="385" t="n">
        <f aca="false">IF(60&lt;5,0,IF(MAX(BG38:BL38)&gt;BL43+1+$B$18,1,0))</f>
        <v>1</v>
      </c>
      <c r="BM50" s="385" t="n">
        <f aca="false">IF(61&lt;5,0,IF(MAX(BH38:BM38)&gt;BM43+1+$B$18,1,0))</f>
        <v>1</v>
      </c>
      <c r="BN50" s="385" t="n">
        <f aca="false">IF(62&lt;5,0,IF(MAX(BI38:BN38)&gt;BN43+1+$B$18,1,0))</f>
        <v>1</v>
      </c>
      <c r="BO50" s="385" t="n">
        <f aca="false">IF(63&lt;5,0,IF(MAX(BJ38:BO38)&gt;BO43+1+$B$18,1,0))</f>
        <v>1</v>
      </c>
      <c r="BP50" s="385" t="n">
        <f aca="false">IF(64&lt;5,0,IF(MAX(BK38:BP38)&gt;BP43+1+$B$18,1,0))</f>
        <v>1</v>
      </c>
      <c r="BQ50" s="385" t="n">
        <f aca="false">IF(65&lt;5,0,IF(MAX(BL38:BQ38)&gt;BQ43+1+$B$18,1,0))</f>
        <v>1</v>
      </c>
      <c r="BR50" s="385" t="n">
        <f aca="false">IF(66&lt;5,0,IF(MAX(BM38:BR38)&gt;BR43+1+$B$18,1,0))</f>
        <v>1</v>
      </c>
      <c r="BS50" s="385" t="n">
        <f aca="false">IF(67&lt;5,0,IF(MAX(BN38:BS38)&gt;BS43+1+$B$18,1,0))</f>
        <v>1</v>
      </c>
      <c r="BT50" s="385" t="n">
        <f aca="false">IF(68&lt;5,0,IF(MAX(BO38:BT38)&gt;BT43+1+$B$18,1,0))</f>
        <v>0</v>
      </c>
      <c r="BU50" s="385" t="n">
        <f aca="false">IF(69&lt;5,0,IF(MAX(BP38:BU38)&gt;BU43+1+$B$18,1,0))</f>
        <v>0</v>
      </c>
      <c r="BV50" s="385" t="n">
        <f aca="false">IF(70&lt;5,0,IF(MAX(BQ38:BV38)&gt;BV43+1+$B$18,1,0))</f>
        <v>0</v>
      </c>
      <c r="BW50" s="385" t="n">
        <f aca="false">IF(71&lt;5,0,IF(MAX(BR38:BW38)&gt;BW43+1+$B$18,1,0))</f>
        <v>0</v>
      </c>
      <c r="BX50" s="385" t="n">
        <f aca="false">IF(72&lt;5,0,IF(MAX(BS38:BX38)&gt;BX43+1+$B$18,1,0))</f>
        <v>0</v>
      </c>
      <c r="BY50" s="385" t="n">
        <f aca="false">IF(73&lt;5,0,IF(MAX(BT38:BY38)&gt;BY43+1+$B$18,1,0))</f>
        <v>0</v>
      </c>
      <c r="BZ50" s="385" t="n">
        <f aca="false">IF(74&lt;5,0,IF(MAX(BU38:BZ38)&gt;BZ43+1+$B$18,1,0))</f>
        <v>0</v>
      </c>
      <c r="CA50" s="385" t="n">
        <f aca="false">IF(75&lt;5,0,IF(MAX(BV38:CA38)&gt;CA43+1+$B$18,1,0))</f>
        <v>0</v>
      </c>
      <c r="CB50" s="385" t="n">
        <f aca="false">IF(76&lt;5,0,IF(MAX(BW38:CB38)&gt;CB43+1+$B$18,1,0))</f>
        <v>0</v>
      </c>
      <c r="CC50" s="385" t="n">
        <f aca="false">IF(77&lt;5,0,IF(MAX(BX38:CC38)&gt;CC43+1+$B$18,1,0))</f>
        <v>0</v>
      </c>
      <c r="CD50" s="385" t="n">
        <f aca="false">IF(78&lt;5,0,IF(MAX(BY38:CD38)&gt;CD43+1+$B$18,1,0))</f>
        <v>0</v>
      </c>
      <c r="CE50" s="385" t="n">
        <f aca="false">IF(79&lt;5,0,IF(MAX(BZ38:CE38)&gt;CE43+1+$B$18,1,0))</f>
        <v>0</v>
      </c>
      <c r="CF50" s="385" t="n">
        <f aca="false">IF(80&lt;5,0,IF(MAX(CA38:CF38)&gt;CF43+1+$B$18,1,0))</f>
        <v>0</v>
      </c>
      <c r="CG50" s="385" t="n">
        <f aca="false">IF(81&lt;5,0,IF(MAX(CB38:CG38)&gt;CG43+1+$B$18,1,0))</f>
        <v>0</v>
      </c>
      <c r="CH50" s="385" t="n">
        <f aca="false">IF(82&lt;5,0,IF(MAX(CC38:CH38)&gt;CH43+1+$B$18,1,0))</f>
        <v>0</v>
      </c>
      <c r="CI50" s="385" t="n">
        <f aca="false">IF(83&lt;5,0,IF(MAX(CD38:CI38)&gt;CI43+1+$B$18,1,0))</f>
        <v>0</v>
      </c>
      <c r="CJ50" s="385" t="n">
        <f aca="false">IF(84&lt;5,0,IF(MAX(CE38:CJ38)&gt;CJ43+1+$B$18,1,0))</f>
        <v>0</v>
      </c>
      <c r="CK50" s="385" t="n">
        <f aca="false">IF(85&lt;5,0,IF(MAX(CF38:CK38)&gt;CK43+1+$B$18,1,0))</f>
        <v>0</v>
      </c>
      <c r="CL50" s="385" t="n">
        <f aca="false">IF(86&lt;5,0,IF(MAX(CG38:CL38)&gt;CL43+1+$B$18,1,0))</f>
        <v>0</v>
      </c>
      <c r="CM50" s="385" t="n">
        <f aca="false">IF(87&lt;5,0,IF(MAX(CH38:CM38)&gt;CM43+1+$B$18,1,0))</f>
        <v>0</v>
      </c>
      <c r="CN50" s="385" t="n">
        <f aca="false">IF(88&lt;5,0,IF(MAX(CI38:CN38)&gt;CN43+1+$B$18,1,0))</f>
        <v>0</v>
      </c>
      <c r="CO50" s="385" t="n">
        <f aca="false">IF(89&lt;5,0,IF(MAX(CJ38:CO38)&gt;CO43+1+$B$18,1,0))</f>
        <v>0</v>
      </c>
      <c r="CP50" s="385" t="n">
        <f aca="false">IF(90&lt;5,0,IF(MAX(CK38:CP38)&gt;CP43+1+$B$18,1,0))</f>
        <v>0</v>
      </c>
      <c r="CQ50" s="385" t="n">
        <f aca="false">IF(91&lt;5,0,IF(MAX(CL38:CQ38)&gt;CQ43+1+$B$18,1,0))</f>
        <v>0</v>
      </c>
      <c r="CR50" s="385" t="n">
        <f aca="false">IF(92&lt;5,0,IF(MAX(CM38:CR38)&gt;CR43+1+$B$18,1,0))</f>
        <v>0</v>
      </c>
      <c r="CS50" s="385" t="n">
        <f aca="false">IF(93&lt;5,0,IF(MAX(CN38:CS38)&gt;CS43+1+$B$18,1,0))</f>
        <v>0</v>
      </c>
      <c r="CT50" s="385" t="n">
        <f aca="false">IF(94&lt;5,0,IF(MAX(CO38:CT38)&gt;CT43+1+$B$18,1,0))</f>
        <v>0</v>
      </c>
      <c r="CU50" s="385" t="n">
        <f aca="false">IF(95&lt;5,0,IF(MAX(CP38:CU38)&gt;CU43+1+$B$18,1,0))</f>
        <v>0</v>
      </c>
      <c r="CV50" s="385" t="n">
        <f aca="false">IF(96&lt;5,0,IF(MAX(CQ38:CV38)&gt;CV43+1+$B$18,1,0))</f>
        <v>0</v>
      </c>
      <c r="CW50" s="385" t="n">
        <f aca="false">IF(97&lt;5,0,IF(MAX(CR38:CW38)&gt;CW43+1+$B$18,1,0))</f>
        <v>0</v>
      </c>
      <c r="CX50" s="385" t="n">
        <f aca="false">IF(98&lt;5,0,IF(MAX(CS38:CX38)&gt;CX43+1+$B$18,1,0))</f>
        <v>0</v>
      </c>
      <c r="CY50" s="385" t="n">
        <f aca="false">IF(99&lt;5,0,IF(MAX(CT38:CY38)&gt;CY43+1+$B$18,1,0))</f>
        <v>0</v>
      </c>
      <c r="CZ50" s="385" t="n">
        <f aca="false">IF(100&lt;5,0,IF(MAX(CU38:CZ38)&gt;CZ43+1+$B$18,1,0))</f>
        <v>0</v>
      </c>
      <c r="DA50" s="385" t="n">
        <f aca="false">IF(101&lt;5,0,IF(MAX(CV38:DA38)&gt;DA43+1+$B$18,1,0))</f>
        <v>0</v>
      </c>
      <c r="DB50" s="385" t="n">
        <f aca="false">IF(102&lt;5,0,IF(MAX(CW38:DB38)&gt;DB43+1+$B$18,1,0))</f>
        <v>0</v>
      </c>
      <c r="DC50" s="385" t="n">
        <f aca="false">IF(103&lt;5,0,IF(MAX(CX38:DC38)&gt;DC43+1+$B$18,1,0))</f>
        <v>0</v>
      </c>
      <c r="DD50" s="385" t="n">
        <f aca="false">IF(104&lt;5,0,IF(MAX(CY38:DD38)&gt;DD43+1+$B$18,1,0))</f>
        <v>0</v>
      </c>
      <c r="DE50" s="385" t="n">
        <f aca="false">IF(105&lt;5,0,IF(MAX(CZ38:DE38)&gt;DE43+1+$B$18,1,0))</f>
        <v>0</v>
      </c>
    </row>
    <row r="51" customFormat="false" ht="13.5" hidden="false" customHeight="true" outlineLevel="0" collapsed="false">
      <c r="A51" s="110" t="s">
        <v>1384</v>
      </c>
      <c r="B51" s="213" t="n">
        <f aca="false">$B$26</f>
        <v>160000</v>
      </c>
      <c r="E51" s="385" t="n">
        <f aca="false">IF(1&lt;5,0,IF(MAX(E38:E38)&gt;E43+2+$B$18,1,0))</f>
        <v>0</v>
      </c>
      <c r="F51" s="385" t="n">
        <f aca="false">IF(2&lt;5,0,IF(MAX(E38:F38)&gt;F43+2+$B$18,1,0))</f>
        <v>0</v>
      </c>
      <c r="G51" s="385" t="n">
        <f aca="false">IF(3&lt;5,0,IF(MAX(E38:G38)&gt;G43+2+$B$18,1,0))</f>
        <v>0</v>
      </c>
      <c r="H51" s="385" t="n">
        <f aca="false">IF(4&lt;5,0,IF(MAX(E38:H38)&gt;H43+2+$B$18,1,0))</f>
        <v>0</v>
      </c>
      <c r="I51" s="385" t="n">
        <f aca="false">IF(5&lt;5,0,IF(MAX(E38:I38)&gt;I43+2+$B$18,1,0))</f>
        <v>0</v>
      </c>
      <c r="J51" s="385" t="n">
        <f aca="false">IF(6&lt;5,0,IF(MAX(E38:J38)&gt;J43+2+$B$18,1,0))</f>
        <v>0</v>
      </c>
      <c r="K51" s="385" t="n">
        <f aca="false">IF(7&lt;5,0,IF(MAX(F38:K38)&gt;K43+2+$B$18,1,0))</f>
        <v>0</v>
      </c>
      <c r="L51" s="385" t="n">
        <f aca="false">IF(8&lt;5,0,IF(MAX(G38:L38)&gt;L43+2+$B$18,1,0))</f>
        <v>0</v>
      </c>
      <c r="M51" s="385" t="n">
        <f aca="false">IF(9&lt;5,0,IF(MAX(H38:M38)&gt;M43+2+$B$18,1,0))</f>
        <v>0</v>
      </c>
      <c r="N51" s="385" t="n">
        <f aca="false">IF(10&lt;5,0,IF(MAX(I38:N38)&gt;N43+2+$B$18,1,0))</f>
        <v>0</v>
      </c>
      <c r="O51" s="385" t="n">
        <f aca="false">IF(11&lt;5,0,IF(MAX(J38:O38)&gt;O43+2+$B$18,1,0))</f>
        <v>1</v>
      </c>
      <c r="P51" s="385" t="n">
        <f aca="false">IF(12&lt;5,0,IF(MAX(K38:P38)&gt;P43+2+$B$18,1,0))</f>
        <v>1</v>
      </c>
      <c r="Q51" s="385" t="n">
        <f aca="false">IF(13&lt;5,0,IF(MAX(L38:Q38)&gt;Q43+2+$B$18,1,0))</f>
        <v>1</v>
      </c>
      <c r="R51" s="385" t="n">
        <f aca="false">IF(14&lt;5,0,IF(MAX(M38:R38)&gt;R43+2+$B$18,1,0))</f>
        <v>1</v>
      </c>
      <c r="S51" s="385" t="n">
        <f aca="false">IF(15&lt;5,0,IF(MAX(N38:S38)&gt;S43+2+$B$18,1,0))</f>
        <v>1</v>
      </c>
      <c r="T51" s="385" t="n">
        <f aca="false">IF(16&lt;5,0,IF(MAX(O38:T38)&gt;T43+2+$B$18,1,0))</f>
        <v>1</v>
      </c>
      <c r="U51" s="385" t="n">
        <f aca="false">IF(17&lt;5,0,IF(MAX(P38:U38)&gt;U43+2+$B$18,1,0))</f>
        <v>1</v>
      </c>
      <c r="V51" s="385" t="n">
        <f aca="false">IF(18&lt;5,0,IF(MAX(Q38:V38)&gt;V43+2+$B$18,1,0))</f>
        <v>1</v>
      </c>
      <c r="W51" s="385" t="n">
        <f aca="false">IF(19&lt;5,0,IF(MAX(R38:W38)&gt;W43+2+$B$18,1,0))</f>
        <v>1</v>
      </c>
      <c r="X51" s="385" t="n">
        <f aca="false">IF(20&lt;5,0,IF(MAX(S38:X38)&gt;X43+2+$B$18,1,0))</f>
        <v>1</v>
      </c>
      <c r="Y51" s="385" t="n">
        <f aca="false">IF(21&lt;5,0,IF(MAX(T38:Y38)&gt;Y43+2+$B$18,1,0))</f>
        <v>1</v>
      </c>
      <c r="Z51" s="385" t="n">
        <f aca="false">IF(22&lt;5,0,IF(MAX(U38:Z38)&gt;Z43+2+$B$18,1,0))</f>
        <v>1</v>
      </c>
      <c r="AA51" s="385" t="n">
        <f aca="false">IF(23&lt;5,0,IF(MAX(V38:AA38)&gt;AA43+2+$B$18,1,0))</f>
        <v>1</v>
      </c>
      <c r="AB51" s="385" t="n">
        <f aca="false">IF(24&lt;5,0,IF(MAX(W38:AB38)&gt;AB43+2+$B$18,1,0))</f>
        <v>1</v>
      </c>
      <c r="AC51" s="385" t="n">
        <f aca="false">IF(25&lt;5,0,IF(MAX(X38:AC38)&gt;AC43+2+$B$18,1,0))</f>
        <v>1</v>
      </c>
      <c r="AD51" s="385" t="n">
        <f aca="false">IF(26&lt;5,0,IF(MAX(Y38:AD38)&gt;AD43+2+$B$18,1,0))</f>
        <v>1</v>
      </c>
      <c r="AE51" s="385" t="n">
        <f aca="false">IF(27&lt;5,0,IF(MAX(Z38:AE38)&gt;AE43+2+$B$18,1,0))</f>
        <v>1</v>
      </c>
      <c r="AF51" s="385" t="n">
        <f aca="false">IF(28&lt;5,0,IF(MAX(AA38:AF38)&gt;AF43+2+$B$18,1,0))</f>
        <v>1</v>
      </c>
      <c r="AG51" s="385" t="n">
        <f aca="false">IF(29&lt;5,0,IF(MAX(AB38:AG38)&gt;AG43+2+$B$18,1,0))</f>
        <v>1</v>
      </c>
      <c r="AH51" s="385" t="n">
        <f aca="false">IF(30&lt;5,0,IF(MAX(AC38:AH38)&gt;AH43+2+$B$18,1,0))</f>
        <v>1</v>
      </c>
      <c r="AI51" s="385" t="n">
        <f aca="false">IF(31&lt;5,0,IF(MAX(AD38:AI38)&gt;AI43+2+$B$18,1,0))</f>
        <v>1</v>
      </c>
      <c r="AJ51" s="385" t="n">
        <f aca="false">IF(32&lt;5,0,IF(MAX(AE38:AJ38)&gt;AJ43+2+$B$18,1,0))</f>
        <v>1</v>
      </c>
      <c r="AK51" s="385" t="n">
        <f aca="false">IF(33&lt;5,0,IF(MAX(AF38:AK38)&gt;AK43+2+$B$18,1,0))</f>
        <v>1</v>
      </c>
      <c r="AL51" s="385" t="n">
        <f aca="false">IF(34&lt;5,0,IF(MAX(AG38:AL38)&gt;AL43+2+$B$18,1,0))</f>
        <v>1</v>
      </c>
      <c r="AM51" s="385" t="n">
        <f aca="false">IF(35&lt;5,0,IF(MAX(AH38:AM38)&gt;AM43+2+$B$18,1,0))</f>
        <v>1</v>
      </c>
      <c r="AN51" s="385" t="n">
        <f aca="false">IF(36&lt;5,0,IF(MAX(AI38:AN38)&gt;AN43+2+$B$18,1,0))</f>
        <v>1</v>
      </c>
      <c r="AO51" s="385" t="n">
        <f aca="false">IF(37&lt;5,0,IF(MAX(AJ38:AO38)&gt;AO43+2+$B$18,1,0))</f>
        <v>1</v>
      </c>
      <c r="AP51" s="385" t="n">
        <f aca="false">IF(38&lt;5,0,IF(MAX(AK38:AP38)&gt;AP43+2+$B$18,1,0))</f>
        <v>1</v>
      </c>
      <c r="AQ51" s="385" t="n">
        <f aca="false">IF(39&lt;5,0,IF(MAX(AL38:AQ38)&gt;AQ43+2+$B$18,1,0))</f>
        <v>1</v>
      </c>
      <c r="AR51" s="385" t="n">
        <f aca="false">IF(40&lt;5,0,IF(MAX(AM38:AR38)&gt;AR43+2+$B$18,1,0))</f>
        <v>1</v>
      </c>
      <c r="AS51" s="385" t="n">
        <f aca="false">IF(41&lt;5,0,IF(MAX(AN38:AS38)&gt;AS43+2+$B$18,1,0))</f>
        <v>1</v>
      </c>
      <c r="AT51" s="385" t="n">
        <f aca="false">IF(42&lt;5,0,IF(MAX(AO38:AT38)&gt;AT43+2+$B$18,1,0))</f>
        <v>1</v>
      </c>
      <c r="AU51" s="385" t="n">
        <f aca="false">IF(43&lt;5,0,IF(MAX(AP38:AU38)&gt;AU43+2+$B$18,1,0))</f>
        <v>1</v>
      </c>
      <c r="AV51" s="385" t="n">
        <f aca="false">IF(44&lt;5,0,IF(MAX(AQ38:AV38)&gt;AV43+2+$B$18,1,0))</f>
        <v>1</v>
      </c>
      <c r="AW51" s="385" t="n">
        <f aca="false">IF(45&lt;5,0,IF(MAX(AR38:AW38)&gt;AW43+2+$B$18,1,0))</f>
        <v>1</v>
      </c>
      <c r="AX51" s="385" t="n">
        <f aca="false">IF(46&lt;5,0,IF(MAX(AS38:AX38)&gt;AX43+2+$B$18,1,0))</f>
        <v>1</v>
      </c>
      <c r="AY51" s="385" t="n">
        <f aca="false">IF(47&lt;5,0,IF(MAX(AT38:AY38)&gt;AY43+2+$B$18,1,0))</f>
        <v>1</v>
      </c>
      <c r="AZ51" s="385" t="n">
        <f aca="false">IF(48&lt;5,0,IF(MAX(AU38:AZ38)&gt;AZ43+2+$B$18,1,0))</f>
        <v>1</v>
      </c>
      <c r="BA51" s="385" t="n">
        <f aca="false">IF(49&lt;5,0,IF(MAX(AV38:BA38)&gt;BA43+2+$B$18,1,0))</f>
        <v>1</v>
      </c>
      <c r="BB51" s="385" t="n">
        <f aca="false">IF(50&lt;5,0,IF(MAX(AW38:BB38)&gt;BB43+2+$B$18,1,0))</f>
        <v>1</v>
      </c>
      <c r="BC51" s="385" t="n">
        <f aca="false">IF(51&lt;5,0,IF(MAX(AX38:BC38)&gt;BC43+2+$B$18,1,0))</f>
        <v>1</v>
      </c>
      <c r="BD51" s="385" t="n">
        <f aca="false">IF(52&lt;5,0,IF(MAX(AY38:BD38)&gt;BD43+2+$B$18,1,0))</f>
        <v>1</v>
      </c>
      <c r="BE51" s="385" t="n">
        <f aca="false">IF(53&lt;5,0,IF(MAX(AZ38:BE38)&gt;BE43+2+$B$18,1,0))</f>
        <v>1</v>
      </c>
      <c r="BF51" s="385" t="n">
        <f aca="false">IF(54&lt;5,0,IF(MAX(BA38:BF38)&gt;BF43+2+$B$18,1,0))</f>
        <v>1</v>
      </c>
      <c r="BG51" s="385" t="n">
        <f aca="false">IF(55&lt;5,0,IF(MAX(BB38:BG38)&gt;BG43+2+$B$18,1,0))</f>
        <v>1</v>
      </c>
      <c r="BH51" s="385" t="n">
        <f aca="false">IF(56&lt;5,0,IF(MAX(BC38:BH38)&gt;BH43+2+$B$18,1,0))</f>
        <v>1</v>
      </c>
      <c r="BI51" s="385" t="n">
        <f aca="false">IF(57&lt;5,0,IF(MAX(BD38:BI38)&gt;BI43+2+$B$18,1,0))</f>
        <v>1</v>
      </c>
      <c r="BJ51" s="385" t="n">
        <f aca="false">IF(58&lt;5,0,IF(MAX(BE38:BJ38)&gt;BJ43+2+$B$18,1,0))</f>
        <v>1</v>
      </c>
      <c r="BK51" s="385" t="n">
        <f aca="false">IF(59&lt;5,0,IF(MAX(BF38:BK38)&gt;BK43+2+$B$18,1,0))</f>
        <v>1</v>
      </c>
      <c r="BL51" s="385" t="n">
        <f aca="false">IF(60&lt;5,0,IF(MAX(BG38:BL38)&gt;BL43+2+$B$18,1,0))</f>
        <v>1</v>
      </c>
      <c r="BM51" s="385" t="n">
        <f aca="false">IF(61&lt;5,0,IF(MAX(BH38:BM38)&gt;BM43+2+$B$18,1,0))</f>
        <v>1</v>
      </c>
      <c r="BN51" s="385" t="n">
        <f aca="false">IF(62&lt;5,0,IF(MAX(BI38:BN38)&gt;BN43+2+$B$18,1,0))</f>
        <v>1</v>
      </c>
      <c r="BO51" s="385" t="n">
        <f aca="false">IF(63&lt;5,0,IF(MAX(BJ38:BO38)&gt;BO43+2+$B$18,1,0))</f>
        <v>1</v>
      </c>
      <c r="BP51" s="385" t="n">
        <f aca="false">IF(64&lt;5,0,IF(MAX(BK38:BP38)&gt;BP43+2+$B$18,1,0))</f>
        <v>0</v>
      </c>
      <c r="BQ51" s="385" t="n">
        <f aca="false">IF(65&lt;5,0,IF(MAX(BL38:BQ38)&gt;BQ43+2+$B$18,1,0))</f>
        <v>0</v>
      </c>
      <c r="BR51" s="385" t="n">
        <f aca="false">IF(66&lt;5,0,IF(MAX(BM38:BR38)&gt;BR43+2+$B$18,1,0))</f>
        <v>0</v>
      </c>
      <c r="BS51" s="385" t="n">
        <f aca="false">IF(67&lt;5,0,IF(MAX(BN38:BS38)&gt;BS43+2+$B$18,1,0))</f>
        <v>0</v>
      </c>
      <c r="BT51" s="385" t="n">
        <f aca="false">IF(68&lt;5,0,IF(MAX(BO38:BT38)&gt;BT43+2+$B$18,1,0))</f>
        <v>0</v>
      </c>
      <c r="BU51" s="385" t="n">
        <f aca="false">IF(69&lt;5,0,IF(MAX(BP38:BU38)&gt;BU43+2+$B$18,1,0))</f>
        <v>0</v>
      </c>
      <c r="BV51" s="385" t="n">
        <f aca="false">IF(70&lt;5,0,IF(MAX(BQ38:BV38)&gt;BV43+2+$B$18,1,0))</f>
        <v>0</v>
      </c>
      <c r="BW51" s="385" t="n">
        <f aca="false">IF(71&lt;5,0,IF(MAX(BR38:BW38)&gt;BW43+2+$B$18,1,0))</f>
        <v>0</v>
      </c>
      <c r="BX51" s="385" t="n">
        <f aca="false">IF(72&lt;5,0,IF(MAX(BS38:BX38)&gt;BX43+2+$B$18,1,0))</f>
        <v>0</v>
      </c>
      <c r="BY51" s="385" t="n">
        <f aca="false">IF(73&lt;5,0,IF(MAX(BT38:BY38)&gt;BY43+2+$B$18,1,0))</f>
        <v>0</v>
      </c>
      <c r="BZ51" s="385" t="n">
        <f aca="false">IF(74&lt;5,0,IF(MAX(BU38:BZ38)&gt;BZ43+2+$B$18,1,0))</f>
        <v>0</v>
      </c>
      <c r="CA51" s="385" t="n">
        <f aca="false">IF(75&lt;5,0,IF(MAX(BV38:CA38)&gt;CA43+2+$B$18,1,0))</f>
        <v>0</v>
      </c>
      <c r="CB51" s="385" t="n">
        <f aca="false">IF(76&lt;5,0,IF(MAX(BW38:CB38)&gt;CB43+2+$B$18,1,0))</f>
        <v>0</v>
      </c>
      <c r="CC51" s="385" t="n">
        <f aca="false">IF(77&lt;5,0,IF(MAX(BX38:CC38)&gt;CC43+2+$B$18,1,0))</f>
        <v>0</v>
      </c>
      <c r="CD51" s="385" t="n">
        <f aca="false">IF(78&lt;5,0,IF(MAX(BY38:CD38)&gt;CD43+2+$B$18,1,0))</f>
        <v>0</v>
      </c>
      <c r="CE51" s="385" t="n">
        <f aca="false">IF(79&lt;5,0,IF(MAX(BZ38:CE38)&gt;CE43+2+$B$18,1,0))</f>
        <v>0</v>
      </c>
      <c r="CF51" s="385" t="n">
        <f aca="false">IF(80&lt;5,0,IF(MAX(CA38:CF38)&gt;CF43+2+$B$18,1,0))</f>
        <v>0</v>
      </c>
      <c r="CG51" s="385" t="n">
        <f aca="false">IF(81&lt;5,0,IF(MAX(CB38:CG38)&gt;CG43+2+$B$18,1,0))</f>
        <v>0</v>
      </c>
      <c r="CH51" s="385" t="n">
        <f aca="false">IF(82&lt;5,0,IF(MAX(CC38:CH38)&gt;CH43+2+$B$18,1,0))</f>
        <v>0</v>
      </c>
      <c r="CI51" s="385" t="n">
        <f aca="false">IF(83&lt;5,0,IF(MAX(CD38:CI38)&gt;CI43+2+$B$18,1,0))</f>
        <v>0</v>
      </c>
      <c r="CJ51" s="385" t="n">
        <f aca="false">IF(84&lt;5,0,IF(MAX(CE38:CJ38)&gt;CJ43+2+$B$18,1,0))</f>
        <v>0</v>
      </c>
      <c r="CK51" s="385" t="n">
        <f aca="false">IF(85&lt;5,0,IF(MAX(CF38:CK38)&gt;CK43+2+$B$18,1,0))</f>
        <v>0</v>
      </c>
      <c r="CL51" s="385" t="n">
        <f aca="false">IF(86&lt;5,0,IF(MAX(CG38:CL38)&gt;CL43+2+$B$18,1,0))</f>
        <v>0</v>
      </c>
      <c r="CM51" s="385" t="n">
        <f aca="false">IF(87&lt;5,0,IF(MAX(CH38:CM38)&gt;CM43+2+$B$18,1,0))</f>
        <v>0</v>
      </c>
      <c r="CN51" s="385" t="n">
        <f aca="false">IF(88&lt;5,0,IF(MAX(CI38:CN38)&gt;CN43+2+$B$18,1,0))</f>
        <v>0</v>
      </c>
      <c r="CO51" s="385" t="n">
        <f aca="false">IF(89&lt;5,0,IF(MAX(CJ38:CO38)&gt;CO43+2+$B$18,1,0))</f>
        <v>0</v>
      </c>
      <c r="CP51" s="385" t="n">
        <f aca="false">IF(90&lt;5,0,IF(MAX(CK38:CP38)&gt;CP43+2+$B$18,1,0))</f>
        <v>0</v>
      </c>
      <c r="CQ51" s="385" t="n">
        <f aca="false">IF(91&lt;5,0,IF(MAX(CL38:CQ38)&gt;CQ43+2+$B$18,1,0))</f>
        <v>0</v>
      </c>
      <c r="CR51" s="385" t="n">
        <f aca="false">IF(92&lt;5,0,IF(MAX(CM38:CR38)&gt;CR43+2+$B$18,1,0))</f>
        <v>0</v>
      </c>
      <c r="CS51" s="385" t="n">
        <f aca="false">IF(93&lt;5,0,IF(MAX(CN38:CS38)&gt;CS43+2+$B$18,1,0))</f>
        <v>0</v>
      </c>
      <c r="CT51" s="385" t="n">
        <f aca="false">IF(94&lt;5,0,IF(MAX(CO38:CT38)&gt;CT43+2+$B$18,1,0))</f>
        <v>0</v>
      </c>
      <c r="CU51" s="385" t="n">
        <f aca="false">IF(95&lt;5,0,IF(MAX(CP38:CU38)&gt;CU43+2+$B$18,1,0))</f>
        <v>0</v>
      </c>
      <c r="CV51" s="385" t="n">
        <f aca="false">IF(96&lt;5,0,IF(MAX(CQ38:CV38)&gt;CV43+2+$B$18,1,0))</f>
        <v>0</v>
      </c>
      <c r="CW51" s="385" t="n">
        <f aca="false">IF(97&lt;5,0,IF(MAX(CR38:CW38)&gt;CW43+2+$B$18,1,0))</f>
        <v>0</v>
      </c>
      <c r="CX51" s="385" t="n">
        <f aca="false">IF(98&lt;5,0,IF(MAX(CS38:CX38)&gt;CX43+2+$B$18,1,0))</f>
        <v>0</v>
      </c>
      <c r="CY51" s="385" t="n">
        <f aca="false">IF(99&lt;5,0,IF(MAX(CT38:CY38)&gt;CY43+2+$B$18,1,0))</f>
        <v>0</v>
      </c>
      <c r="CZ51" s="385" t="n">
        <f aca="false">IF(100&lt;5,0,IF(MAX(CU38:CZ38)&gt;CZ43+2+$B$18,1,0))</f>
        <v>0</v>
      </c>
      <c r="DA51" s="385" t="n">
        <f aca="false">IF(101&lt;5,0,IF(MAX(CV38:DA38)&gt;DA43+2+$B$18,1,0))</f>
        <v>0</v>
      </c>
      <c r="DB51" s="385" t="n">
        <f aca="false">IF(102&lt;5,0,IF(MAX(CW38:DB38)&gt;DB43+2+$B$18,1,0))</f>
        <v>0</v>
      </c>
      <c r="DC51" s="385" t="n">
        <f aca="false">IF(103&lt;5,0,IF(MAX(CX38:DC38)&gt;DC43+2+$B$18,1,0))</f>
        <v>0</v>
      </c>
      <c r="DD51" s="385" t="n">
        <f aca="false">IF(104&lt;5,0,IF(MAX(CY38:DD38)&gt;DD43+2+$B$18,1,0))</f>
        <v>0</v>
      </c>
      <c r="DE51" s="385" t="n">
        <f aca="false">IF(105&lt;5,0,IF(MAX(CZ38:DE38)&gt;DE43+2+$B$18,1,0))</f>
        <v>0</v>
      </c>
    </row>
    <row r="52" customFormat="false" ht="13.5" hidden="false" customHeight="true" outlineLevel="0" collapsed="false">
      <c r="A52" s="110" t="s">
        <v>1385</v>
      </c>
      <c r="B52" s="213" t="n">
        <f aca="false">$B$26</f>
        <v>160000</v>
      </c>
      <c r="E52" s="385" t="n">
        <f aca="false">IF(1&lt;5,0,IF(MAX(E38:E38)&gt;E43+3+$B$18,1,0))</f>
        <v>0</v>
      </c>
      <c r="F52" s="385" t="n">
        <f aca="false">IF(2&lt;5,0,IF(MAX(E38:F38)&gt;F43+3+$B$18,1,0))</f>
        <v>0</v>
      </c>
      <c r="G52" s="385" t="n">
        <f aca="false">IF(3&lt;5,0,IF(MAX(E38:G38)&gt;G43+3+$B$18,1,0))</f>
        <v>0</v>
      </c>
      <c r="H52" s="385" t="n">
        <f aca="false">IF(4&lt;5,0,IF(MAX(E38:H38)&gt;H43+3+$B$18,1,0))</f>
        <v>0</v>
      </c>
      <c r="I52" s="385" t="n">
        <f aca="false">IF(5&lt;5,0,IF(MAX(E38:I38)&gt;I43+3+$B$18,1,0))</f>
        <v>0</v>
      </c>
      <c r="J52" s="385" t="n">
        <f aca="false">IF(6&lt;5,0,IF(MAX(E38:J38)&gt;J43+3+$B$18,1,0))</f>
        <v>0</v>
      </c>
      <c r="K52" s="385" t="n">
        <f aca="false">IF(7&lt;5,0,IF(MAX(F38:K38)&gt;K43+3+$B$18,1,0))</f>
        <v>0</v>
      </c>
      <c r="L52" s="385" t="n">
        <f aca="false">IF(8&lt;5,0,IF(MAX(G38:L38)&gt;L43+3+$B$18,1,0))</f>
        <v>0</v>
      </c>
      <c r="M52" s="385" t="n">
        <f aca="false">IF(9&lt;5,0,IF(MAX(H38:M38)&gt;M43+3+$B$18,1,0))</f>
        <v>0</v>
      </c>
      <c r="N52" s="385" t="n">
        <f aca="false">IF(10&lt;5,0,IF(MAX(I38:N38)&gt;N43+3+$B$18,1,0))</f>
        <v>0</v>
      </c>
      <c r="O52" s="385" t="n">
        <f aca="false">IF(11&lt;5,0,IF(MAX(J38:O38)&gt;O43+3+$B$18,1,0))</f>
        <v>0</v>
      </c>
      <c r="P52" s="385" t="n">
        <f aca="false">IF(12&lt;5,0,IF(MAX(K38:P38)&gt;P43+3+$B$18,1,0))</f>
        <v>0</v>
      </c>
      <c r="Q52" s="385" t="n">
        <f aca="false">IF(13&lt;5,0,IF(MAX(L38:Q38)&gt;Q43+3+$B$18,1,0))</f>
        <v>1</v>
      </c>
      <c r="R52" s="385" t="n">
        <f aca="false">IF(14&lt;5,0,IF(MAX(M38:R38)&gt;R43+3+$B$18,1,0))</f>
        <v>1</v>
      </c>
      <c r="S52" s="385" t="n">
        <f aca="false">IF(15&lt;5,0,IF(MAX(N38:S38)&gt;S43+3+$B$18,1,0))</f>
        <v>1</v>
      </c>
      <c r="T52" s="385" t="n">
        <f aca="false">IF(16&lt;5,0,IF(MAX(O38:T38)&gt;T43+3+$B$18,1,0))</f>
        <v>1</v>
      </c>
      <c r="U52" s="385" t="n">
        <f aca="false">IF(17&lt;5,0,IF(MAX(P38:U38)&gt;U43+3+$B$18,1,0))</f>
        <v>1</v>
      </c>
      <c r="V52" s="385" t="n">
        <f aca="false">IF(18&lt;5,0,IF(MAX(Q38:V38)&gt;V43+3+$B$18,1,0))</f>
        <v>1</v>
      </c>
      <c r="W52" s="385" t="n">
        <f aca="false">IF(19&lt;5,0,IF(MAX(R38:W38)&gt;W43+3+$B$18,1,0))</f>
        <v>1</v>
      </c>
      <c r="X52" s="385" t="n">
        <f aca="false">IF(20&lt;5,0,IF(MAX(S38:X38)&gt;X43+3+$B$18,1,0))</f>
        <v>1</v>
      </c>
      <c r="Y52" s="385" t="n">
        <f aca="false">IF(21&lt;5,0,IF(MAX(T38:Y38)&gt;Y43+3+$B$18,1,0))</f>
        <v>1</v>
      </c>
      <c r="Z52" s="385" t="n">
        <f aca="false">IF(22&lt;5,0,IF(MAX(U38:Z38)&gt;Z43+3+$B$18,1,0))</f>
        <v>1</v>
      </c>
      <c r="AA52" s="385" t="n">
        <f aca="false">IF(23&lt;5,0,IF(MAX(V38:AA38)&gt;AA43+3+$B$18,1,0))</f>
        <v>1</v>
      </c>
      <c r="AB52" s="385" t="n">
        <f aca="false">IF(24&lt;5,0,IF(MAX(W38:AB38)&gt;AB43+3+$B$18,1,0))</f>
        <v>1</v>
      </c>
      <c r="AC52" s="385" t="n">
        <f aca="false">IF(25&lt;5,0,IF(MAX(X38:AC38)&gt;AC43+3+$B$18,1,0))</f>
        <v>1</v>
      </c>
      <c r="AD52" s="385" t="n">
        <f aca="false">IF(26&lt;5,0,IF(MAX(Y38:AD38)&gt;AD43+3+$B$18,1,0))</f>
        <v>1</v>
      </c>
      <c r="AE52" s="385" t="n">
        <f aca="false">IF(27&lt;5,0,IF(MAX(Z38:AE38)&gt;AE43+3+$B$18,1,0))</f>
        <v>1</v>
      </c>
      <c r="AF52" s="385" t="n">
        <f aca="false">IF(28&lt;5,0,IF(MAX(AA38:AF38)&gt;AF43+3+$B$18,1,0))</f>
        <v>1</v>
      </c>
      <c r="AG52" s="385" t="n">
        <f aca="false">IF(29&lt;5,0,IF(MAX(AB38:AG38)&gt;AG43+3+$B$18,1,0))</f>
        <v>1</v>
      </c>
      <c r="AH52" s="385" t="n">
        <f aca="false">IF(30&lt;5,0,IF(MAX(AC38:AH38)&gt;AH43+3+$B$18,1,0))</f>
        <v>1</v>
      </c>
      <c r="AI52" s="385" t="n">
        <f aca="false">IF(31&lt;5,0,IF(MAX(AD38:AI38)&gt;AI43+3+$B$18,1,0))</f>
        <v>1</v>
      </c>
      <c r="AJ52" s="385" t="n">
        <f aca="false">IF(32&lt;5,0,IF(MAX(AE38:AJ38)&gt;AJ43+3+$B$18,1,0))</f>
        <v>1</v>
      </c>
      <c r="AK52" s="385" t="n">
        <f aca="false">IF(33&lt;5,0,IF(MAX(AF38:AK38)&gt;AK43+3+$B$18,1,0))</f>
        <v>1</v>
      </c>
      <c r="AL52" s="385" t="n">
        <f aca="false">IF(34&lt;5,0,IF(MAX(AG38:AL38)&gt;AL43+3+$B$18,1,0))</f>
        <v>1</v>
      </c>
      <c r="AM52" s="385" t="n">
        <f aca="false">IF(35&lt;5,0,IF(MAX(AH38:AM38)&gt;AM43+3+$B$18,1,0))</f>
        <v>1</v>
      </c>
      <c r="AN52" s="385" t="n">
        <f aca="false">IF(36&lt;5,0,IF(MAX(AI38:AN38)&gt;AN43+3+$B$18,1,0))</f>
        <v>1</v>
      </c>
      <c r="AO52" s="385" t="n">
        <f aca="false">IF(37&lt;5,0,IF(MAX(AJ38:AO38)&gt;AO43+3+$B$18,1,0))</f>
        <v>1</v>
      </c>
      <c r="AP52" s="385" t="n">
        <f aca="false">IF(38&lt;5,0,IF(MAX(AK38:AP38)&gt;AP43+3+$B$18,1,0))</f>
        <v>1</v>
      </c>
      <c r="AQ52" s="385" t="n">
        <f aca="false">IF(39&lt;5,0,IF(MAX(AL38:AQ38)&gt;AQ43+3+$B$18,1,0))</f>
        <v>1</v>
      </c>
      <c r="AR52" s="385" t="n">
        <f aca="false">IF(40&lt;5,0,IF(MAX(AM38:AR38)&gt;AR43+3+$B$18,1,0))</f>
        <v>1</v>
      </c>
      <c r="AS52" s="385" t="n">
        <f aca="false">IF(41&lt;5,0,IF(MAX(AN38:AS38)&gt;AS43+3+$B$18,1,0))</f>
        <v>1</v>
      </c>
      <c r="AT52" s="385" t="n">
        <f aca="false">IF(42&lt;5,0,IF(MAX(AO38:AT38)&gt;AT43+3+$B$18,1,0))</f>
        <v>1</v>
      </c>
      <c r="AU52" s="385" t="n">
        <f aca="false">IF(43&lt;5,0,IF(MAX(AP38:AU38)&gt;AU43+3+$B$18,1,0))</f>
        <v>1</v>
      </c>
      <c r="AV52" s="385" t="n">
        <f aca="false">IF(44&lt;5,0,IF(MAX(AQ38:AV38)&gt;AV43+3+$B$18,1,0))</f>
        <v>1</v>
      </c>
      <c r="AW52" s="385" t="n">
        <f aca="false">IF(45&lt;5,0,IF(MAX(AR38:AW38)&gt;AW43+3+$B$18,1,0))</f>
        <v>1</v>
      </c>
      <c r="AX52" s="385" t="n">
        <f aca="false">IF(46&lt;5,0,IF(MAX(AS38:AX38)&gt;AX43+3+$B$18,1,0))</f>
        <v>1</v>
      </c>
      <c r="AY52" s="385" t="n">
        <f aca="false">IF(47&lt;5,0,IF(MAX(AT38:AY38)&gt;AY43+3+$B$18,1,0))</f>
        <v>1</v>
      </c>
      <c r="AZ52" s="385" t="n">
        <f aca="false">IF(48&lt;5,0,IF(MAX(AU38:AZ38)&gt;AZ43+3+$B$18,1,0))</f>
        <v>1</v>
      </c>
      <c r="BA52" s="385" t="n">
        <f aca="false">IF(49&lt;5,0,IF(MAX(AV38:BA38)&gt;BA43+3+$B$18,1,0))</f>
        <v>1</v>
      </c>
      <c r="BB52" s="385" t="n">
        <f aca="false">IF(50&lt;5,0,IF(MAX(AW38:BB38)&gt;BB43+3+$B$18,1,0))</f>
        <v>1</v>
      </c>
      <c r="BC52" s="385" t="n">
        <f aca="false">IF(51&lt;5,0,IF(MAX(AX38:BC38)&gt;BC43+3+$B$18,1,0))</f>
        <v>1</v>
      </c>
      <c r="BD52" s="385" t="n">
        <f aca="false">IF(52&lt;5,0,IF(MAX(AY38:BD38)&gt;BD43+3+$B$18,1,0))</f>
        <v>1</v>
      </c>
      <c r="BE52" s="385" t="n">
        <f aca="false">IF(53&lt;5,0,IF(MAX(AZ38:BE38)&gt;BE43+3+$B$18,1,0))</f>
        <v>1</v>
      </c>
      <c r="BF52" s="385" t="n">
        <f aca="false">IF(54&lt;5,0,IF(MAX(BA38:BF38)&gt;BF43+3+$B$18,1,0))</f>
        <v>1</v>
      </c>
      <c r="BG52" s="385" t="n">
        <f aca="false">IF(55&lt;5,0,IF(MAX(BB38:BG38)&gt;BG43+3+$B$18,1,0))</f>
        <v>1</v>
      </c>
      <c r="BH52" s="385" t="n">
        <f aca="false">IF(56&lt;5,0,IF(MAX(BC38:BH38)&gt;BH43+3+$B$18,1,0))</f>
        <v>1</v>
      </c>
      <c r="BI52" s="385" t="n">
        <f aca="false">IF(57&lt;5,0,IF(MAX(BD38:BI38)&gt;BI43+3+$B$18,1,0))</f>
        <v>1</v>
      </c>
      <c r="BJ52" s="385" t="n">
        <f aca="false">IF(58&lt;5,0,IF(MAX(BE38:BJ38)&gt;BJ43+3+$B$18,1,0))</f>
        <v>1</v>
      </c>
      <c r="BK52" s="385" t="n">
        <f aca="false">IF(59&lt;5,0,IF(MAX(BF38:BK38)&gt;BK43+3+$B$18,1,0))</f>
        <v>1</v>
      </c>
      <c r="BL52" s="385" t="n">
        <f aca="false">IF(60&lt;5,0,IF(MAX(BG38:BL38)&gt;BL43+3+$B$18,1,0))</f>
        <v>1</v>
      </c>
      <c r="BM52" s="385" t="n">
        <f aca="false">IF(61&lt;5,0,IF(MAX(BH38:BM38)&gt;BM43+3+$B$18,1,0))</f>
        <v>1</v>
      </c>
      <c r="BN52" s="385" t="n">
        <f aca="false">IF(62&lt;5,0,IF(MAX(BI38:BN38)&gt;BN43+3+$B$18,1,0))</f>
        <v>1</v>
      </c>
      <c r="BO52" s="385" t="n">
        <f aca="false">IF(63&lt;5,0,IF(MAX(BJ38:BO38)&gt;BO43+3+$B$18,1,0))</f>
        <v>0</v>
      </c>
      <c r="BP52" s="385" t="n">
        <f aca="false">IF(64&lt;5,0,IF(MAX(BK38:BP38)&gt;BP43+3+$B$18,1,0))</f>
        <v>0</v>
      </c>
      <c r="BQ52" s="385" t="n">
        <f aca="false">IF(65&lt;5,0,IF(MAX(BL38:BQ38)&gt;BQ43+3+$B$18,1,0))</f>
        <v>0</v>
      </c>
      <c r="BR52" s="385" t="n">
        <f aca="false">IF(66&lt;5,0,IF(MAX(BM38:BR38)&gt;BR43+3+$B$18,1,0))</f>
        <v>0</v>
      </c>
      <c r="BS52" s="385" t="n">
        <f aca="false">IF(67&lt;5,0,IF(MAX(BN38:BS38)&gt;BS43+3+$B$18,1,0))</f>
        <v>0</v>
      </c>
      <c r="BT52" s="385" t="n">
        <f aca="false">IF(68&lt;5,0,IF(MAX(BO38:BT38)&gt;BT43+3+$B$18,1,0))</f>
        <v>0</v>
      </c>
      <c r="BU52" s="385" t="n">
        <f aca="false">IF(69&lt;5,0,IF(MAX(BP38:BU38)&gt;BU43+3+$B$18,1,0))</f>
        <v>0</v>
      </c>
      <c r="BV52" s="385" t="n">
        <f aca="false">IF(70&lt;5,0,IF(MAX(BQ38:BV38)&gt;BV43+3+$B$18,1,0))</f>
        <v>0</v>
      </c>
      <c r="BW52" s="385" t="n">
        <f aca="false">IF(71&lt;5,0,IF(MAX(BR38:BW38)&gt;BW43+3+$B$18,1,0))</f>
        <v>0</v>
      </c>
      <c r="BX52" s="385" t="n">
        <f aca="false">IF(72&lt;5,0,IF(MAX(BS38:BX38)&gt;BX43+3+$B$18,1,0))</f>
        <v>0</v>
      </c>
      <c r="BY52" s="385" t="n">
        <f aca="false">IF(73&lt;5,0,IF(MAX(BT38:BY38)&gt;BY43+3+$B$18,1,0))</f>
        <v>0</v>
      </c>
      <c r="BZ52" s="385" t="n">
        <f aca="false">IF(74&lt;5,0,IF(MAX(BU38:BZ38)&gt;BZ43+3+$B$18,1,0))</f>
        <v>0</v>
      </c>
      <c r="CA52" s="385" t="n">
        <f aca="false">IF(75&lt;5,0,IF(MAX(BV38:CA38)&gt;CA43+3+$B$18,1,0))</f>
        <v>0</v>
      </c>
      <c r="CB52" s="385" t="n">
        <f aca="false">IF(76&lt;5,0,IF(MAX(BW38:CB38)&gt;CB43+3+$B$18,1,0))</f>
        <v>0</v>
      </c>
      <c r="CC52" s="385" t="n">
        <f aca="false">IF(77&lt;5,0,IF(MAX(BX38:CC38)&gt;CC43+3+$B$18,1,0))</f>
        <v>0</v>
      </c>
      <c r="CD52" s="385" t="n">
        <f aca="false">IF(78&lt;5,0,IF(MAX(BY38:CD38)&gt;CD43+3+$B$18,1,0))</f>
        <v>0</v>
      </c>
      <c r="CE52" s="385" t="n">
        <f aca="false">IF(79&lt;5,0,IF(MAX(BZ38:CE38)&gt;CE43+3+$B$18,1,0))</f>
        <v>0</v>
      </c>
      <c r="CF52" s="385" t="n">
        <f aca="false">IF(80&lt;5,0,IF(MAX(CA38:CF38)&gt;CF43+3+$B$18,1,0))</f>
        <v>0</v>
      </c>
      <c r="CG52" s="385" t="n">
        <f aca="false">IF(81&lt;5,0,IF(MAX(CB38:CG38)&gt;CG43+3+$B$18,1,0))</f>
        <v>0</v>
      </c>
      <c r="CH52" s="385" t="n">
        <f aca="false">IF(82&lt;5,0,IF(MAX(CC38:CH38)&gt;CH43+3+$B$18,1,0))</f>
        <v>0</v>
      </c>
      <c r="CI52" s="385" t="n">
        <f aca="false">IF(83&lt;5,0,IF(MAX(CD38:CI38)&gt;CI43+3+$B$18,1,0))</f>
        <v>0</v>
      </c>
      <c r="CJ52" s="385" t="n">
        <f aca="false">IF(84&lt;5,0,IF(MAX(CE38:CJ38)&gt;CJ43+3+$B$18,1,0))</f>
        <v>0</v>
      </c>
      <c r="CK52" s="385" t="n">
        <f aca="false">IF(85&lt;5,0,IF(MAX(CF38:CK38)&gt;CK43+3+$B$18,1,0))</f>
        <v>0</v>
      </c>
      <c r="CL52" s="385" t="n">
        <f aca="false">IF(86&lt;5,0,IF(MAX(CG38:CL38)&gt;CL43+3+$B$18,1,0))</f>
        <v>0</v>
      </c>
      <c r="CM52" s="385" t="n">
        <f aca="false">IF(87&lt;5,0,IF(MAX(CH38:CM38)&gt;CM43+3+$B$18,1,0))</f>
        <v>0</v>
      </c>
      <c r="CN52" s="385" t="n">
        <f aca="false">IF(88&lt;5,0,IF(MAX(CI38:CN38)&gt;CN43+3+$B$18,1,0))</f>
        <v>0</v>
      </c>
      <c r="CO52" s="385" t="n">
        <f aca="false">IF(89&lt;5,0,IF(MAX(CJ38:CO38)&gt;CO43+3+$B$18,1,0))</f>
        <v>0</v>
      </c>
      <c r="CP52" s="385" t="n">
        <f aca="false">IF(90&lt;5,0,IF(MAX(CK38:CP38)&gt;CP43+3+$B$18,1,0))</f>
        <v>0</v>
      </c>
      <c r="CQ52" s="385" t="n">
        <f aca="false">IF(91&lt;5,0,IF(MAX(CL38:CQ38)&gt;CQ43+3+$B$18,1,0))</f>
        <v>0</v>
      </c>
      <c r="CR52" s="385" t="n">
        <f aca="false">IF(92&lt;5,0,IF(MAX(CM38:CR38)&gt;CR43+3+$B$18,1,0))</f>
        <v>0</v>
      </c>
      <c r="CS52" s="385" t="n">
        <f aca="false">IF(93&lt;5,0,IF(MAX(CN38:CS38)&gt;CS43+3+$B$18,1,0))</f>
        <v>0</v>
      </c>
      <c r="CT52" s="385" t="n">
        <f aca="false">IF(94&lt;5,0,IF(MAX(CO38:CT38)&gt;CT43+3+$B$18,1,0))</f>
        <v>0</v>
      </c>
      <c r="CU52" s="385" t="n">
        <f aca="false">IF(95&lt;5,0,IF(MAX(CP38:CU38)&gt;CU43+3+$B$18,1,0))</f>
        <v>0</v>
      </c>
      <c r="CV52" s="385" t="n">
        <f aca="false">IF(96&lt;5,0,IF(MAX(CQ38:CV38)&gt;CV43+3+$B$18,1,0))</f>
        <v>0</v>
      </c>
      <c r="CW52" s="385" t="n">
        <f aca="false">IF(97&lt;5,0,IF(MAX(CR38:CW38)&gt;CW43+3+$B$18,1,0))</f>
        <v>0</v>
      </c>
      <c r="CX52" s="385" t="n">
        <f aca="false">IF(98&lt;5,0,IF(MAX(CS38:CX38)&gt;CX43+3+$B$18,1,0))</f>
        <v>0</v>
      </c>
      <c r="CY52" s="385" t="n">
        <f aca="false">IF(99&lt;5,0,IF(MAX(CT38:CY38)&gt;CY43+3+$B$18,1,0))</f>
        <v>0</v>
      </c>
      <c r="CZ52" s="385" t="n">
        <f aca="false">IF(100&lt;5,0,IF(MAX(CU38:CZ38)&gt;CZ43+3+$B$18,1,0))</f>
        <v>0</v>
      </c>
      <c r="DA52" s="385" t="n">
        <f aca="false">IF(101&lt;5,0,IF(MAX(CV38:DA38)&gt;DA43+3+$B$18,1,0))</f>
        <v>0</v>
      </c>
      <c r="DB52" s="385" t="n">
        <f aca="false">IF(102&lt;5,0,IF(MAX(CW38:DB38)&gt;DB43+3+$B$18,1,0))</f>
        <v>0</v>
      </c>
      <c r="DC52" s="385" t="n">
        <f aca="false">IF(103&lt;5,0,IF(MAX(CX38:DC38)&gt;DC43+3+$B$18,1,0))</f>
        <v>0</v>
      </c>
      <c r="DD52" s="385" t="n">
        <f aca="false">IF(104&lt;5,0,IF(MAX(CY38:DD38)&gt;DD43+3+$B$18,1,0))</f>
        <v>0</v>
      </c>
      <c r="DE52" s="385" t="n">
        <f aca="false">IF(105&lt;5,0,IF(MAX(CZ38:DE38)&gt;DE43+3+$B$18,1,0))</f>
        <v>0</v>
      </c>
    </row>
    <row r="53" customFormat="false" ht="13.5" hidden="false" customHeight="true" outlineLevel="0" collapsed="false">
      <c r="A53" s="110" t="s">
        <v>1386</v>
      </c>
      <c r="B53" s="213" t="n">
        <f aca="false">$B$26</f>
        <v>160000</v>
      </c>
      <c r="E53" s="385" t="n">
        <f aca="false">IF(1&lt;5,0,IF(MAX(E38:E38)&gt;E43+4+$B$18,1,0))</f>
        <v>0</v>
      </c>
      <c r="F53" s="385" t="n">
        <f aca="false">IF(2&lt;5,0,IF(MAX(E38:F38)&gt;F43+4+$B$18,1,0))</f>
        <v>0</v>
      </c>
      <c r="G53" s="385" t="n">
        <f aca="false">IF(3&lt;5,0,IF(MAX(E38:G38)&gt;G43+4+$B$18,1,0))</f>
        <v>0</v>
      </c>
      <c r="H53" s="385" t="n">
        <f aca="false">IF(4&lt;5,0,IF(MAX(E38:H38)&gt;H43+4+$B$18,1,0))</f>
        <v>0</v>
      </c>
      <c r="I53" s="385" t="n">
        <f aca="false">IF(5&lt;5,0,IF(MAX(E38:I38)&gt;I43+4+$B$18,1,0))</f>
        <v>0</v>
      </c>
      <c r="J53" s="385" t="n">
        <f aca="false">IF(6&lt;5,0,IF(MAX(E38:J38)&gt;J43+4+$B$18,1,0))</f>
        <v>0</v>
      </c>
      <c r="K53" s="385" t="n">
        <f aca="false">IF(7&lt;5,0,IF(MAX(F38:K38)&gt;K43+4+$B$18,1,0))</f>
        <v>0</v>
      </c>
      <c r="L53" s="385" t="n">
        <f aca="false">IF(8&lt;5,0,IF(MAX(G38:L38)&gt;L43+4+$B$18,1,0))</f>
        <v>0</v>
      </c>
      <c r="M53" s="385" t="n">
        <f aca="false">IF(9&lt;5,0,IF(MAX(H38:M38)&gt;M43+4+$B$18,1,0))</f>
        <v>0</v>
      </c>
      <c r="N53" s="385" t="n">
        <f aca="false">IF(10&lt;5,0,IF(MAX(I38:N38)&gt;N43+4+$B$18,1,0))</f>
        <v>0</v>
      </c>
      <c r="O53" s="385" t="n">
        <f aca="false">IF(11&lt;5,0,IF(MAX(J38:O38)&gt;O43+4+$B$18,1,0))</f>
        <v>0</v>
      </c>
      <c r="P53" s="385" t="n">
        <f aca="false">IF(12&lt;5,0,IF(MAX(K38:P38)&gt;P43+4+$B$18,1,0))</f>
        <v>0</v>
      </c>
      <c r="Q53" s="385" t="n">
        <f aca="false">IF(13&lt;5,0,IF(MAX(L38:Q38)&gt;Q43+4+$B$18,1,0))</f>
        <v>0</v>
      </c>
      <c r="R53" s="385" t="n">
        <f aca="false">IF(14&lt;5,0,IF(MAX(M38:R38)&gt;R43+4+$B$18,1,0))</f>
        <v>1</v>
      </c>
      <c r="S53" s="385" t="n">
        <f aca="false">IF(15&lt;5,0,IF(MAX(N38:S38)&gt;S43+4+$B$18,1,0))</f>
        <v>1</v>
      </c>
      <c r="T53" s="385" t="n">
        <f aca="false">IF(16&lt;5,0,IF(MAX(O38:T38)&gt;T43+4+$B$18,1,0))</f>
        <v>1</v>
      </c>
      <c r="U53" s="385" t="n">
        <f aca="false">IF(17&lt;5,0,IF(MAX(P38:U38)&gt;U43+4+$B$18,1,0))</f>
        <v>1</v>
      </c>
      <c r="V53" s="385" t="n">
        <f aca="false">IF(18&lt;5,0,IF(MAX(Q38:V38)&gt;V43+4+$B$18,1,0))</f>
        <v>1</v>
      </c>
      <c r="W53" s="385" t="n">
        <f aca="false">IF(19&lt;5,0,IF(MAX(R38:W38)&gt;W43+4+$B$18,1,0))</f>
        <v>1</v>
      </c>
      <c r="X53" s="385" t="n">
        <f aca="false">IF(20&lt;5,0,IF(MAX(S38:X38)&gt;X43+4+$B$18,1,0))</f>
        <v>1</v>
      </c>
      <c r="Y53" s="385" t="n">
        <f aca="false">IF(21&lt;5,0,IF(MAX(T38:Y38)&gt;Y43+4+$B$18,1,0))</f>
        <v>1</v>
      </c>
      <c r="Z53" s="385" t="n">
        <f aca="false">IF(22&lt;5,0,IF(MAX(U38:Z38)&gt;Z43+4+$B$18,1,0))</f>
        <v>1</v>
      </c>
      <c r="AA53" s="385" t="n">
        <f aca="false">IF(23&lt;5,0,IF(MAX(V38:AA38)&gt;AA43+4+$B$18,1,0))</f>
        <v>1</v>
      </c>
      <c r="AB53" s="385" t="n">
        <f aca="false">IF(24&lt;5,0,IF(MAX(W38:AB38)&gt;AB43+4+$B$18,1,0))</f>
        <v>1</v>
      </c>
      <c r="AC53" s="385" t="n">
        <f aca="false">IF(25&lt;5,0,IF(MAX(X38:AC38)&gt;AC43+4+$B$18,1,0))</f>
        <v>1</v>
      </c>
      <c r="AD53" s="385" t="n">
        <f aca="false">IF(26&lt;5,0,IF(MAX(Y38:AD38)&gt;AD43+4+$B$18,1,0))</f>
        <v>1</v>
      </c>
      <c r="AE53" s="385" t="n">
        <f aca="false">IF(27&lt;5,0,IF(MAX(Z38:AE38)&gt;AE43+4+$B$18,1,0))</f>
        <v>1</v>
      </c>
      <c r="AF53" s="385" t="n">
        <f aca="false">IF(28&lt;5,0,IF(MAX(AA38:AF38)&gt;AF43+4+$B$18,1,0))</f>
        <v>1</v>
      </c>
      <c r="AG53" s="385" t="n">
        <f aca="false">IF(29&lt;5,0,IF(MAX(AB38:AG38)&gt;AG43+4+$B$18,1,0))</f>
        <v>1</v>
      </c>
      <c r="AH53" s="385" t="n">
        <f aca="false">IF(30&lt;5,0,IF(MAX(AC38:AH38)&gt;AH43+4+$B$18,1,0))</f>
        <v>1</v>
      </c>
      <c r="AI53" s="385" t="n">
        <f aca="false">IF(31&lt;5,0,IF(MAX(AD38:AI38)&gt;AI43+4+$B$18,1,0))</f>
        <v>1</v>
      </c>
      <c r="AJ53" s="385" t="n">
        <f aca="false">IF(32&lt;5,0,IF(MAX(AE38:AJ38)&gt;AJ43+4+$B$18,1,0))</f>
        <v>1</v>
      </c>
      <c r="AK53" s="385" t="n">
        <f aca="false">IF(33&lt;5,0,IF(MAX(AF38:AK38)&gt;AK43+4+$B$18,1,0))</f>
        <v>1</v>
      </c>
      <c r="AL53" s="385" t="n">
        <f aca="false">IF(34&lt;5,0,IF(MAX(AG38:AL38)&gt;AL43+4+$B$18,1,0))</f>
        <v>1</v>
      </c>
      <c r="AM53" s="385" t="n">
        <f aca="false">IF(35&lt;5,0,IF(MAX(AH38:AM38)&gt;AM43+4+$B$18,1,0))</f>
        <v>1</v>
      </c>
      <c r="AN53" s="385" t="n">
        <f aca="false">IF(36&lt;5,0,IF(MAX(AI38:AN38)&gt;AN43+4+$B$18,1,0))</f>
        <v>1</v>
      </c>
      <c r="AO53" s="385" t="n">
        <f aca="false">IF(37&lt;5,0,IF(MAX(AJ38:AO38)&gt;AO43+4+$B$18,1,0))</f>
        <v>1</v>
      </c>
      <c r="AP53" s="385" t="n">
        <f aca="false">IF(38&lt;5,0,IF(MAX(AK38:AP38)&gt;AP43+4+$B$18,1,0))</f>
        <v>1</v>
      </c>
      <c r="AQ53" s="385" t="n">
        <f aca="false">IF(39&lt;5,0,IF(MAX(AL38:AQ38)&gt;AQ43+4+$B$18,1,0))</f>
        <v>1</v>
      </c>
      <c r="AR53" s="385" t="n">
        <f aca="false">IF(40&lt;5,0,IF(MAX(AM38:AR38)&gt;AR43+4+$B$18,1,0))</f>
        <v>1</v>
      </c>
      <c r="AS53" s="385" t="n">
        <f aca="false">IF(41&lt;5,0,IF(MAX(AN38:AS38)&gt;AS43+4+$B$18,1,0))</f>
        <v>1</v>
      </c>
      <c r="AT53" s="385" t="n">
        <f aca="false">IF(42&lt;5,0,IF(MAX(AO38:AT38)&gt;AT43+4+$B$18,1,0))</f>
        <v>1</v>
      </c>
      <c r="AU53" s="385" t="n">
        <f aca="false">IF(43&lt;5,0,IF(MAX(AP38:AU38)&gt;AU43+4+$B$18,1,0))</f>
        <v>1</v>
      </c>
      <c r="AV53" s="385" t="n">
        <f aca="false">IF(44&lt;5,0,IF(MAX(AQ38:AV38)&gt;AV43+4+$B$18,1,0))</f>
        <v>1</v>
      </c>
      <c r="AW53" s="385" t="n">
        <f aca="false">IF(45&lt;5,0,IF(MAX(AR38:AW38)&gt;AW43+4+$B$18,1,0))</f>
        <v>1</v>
      </c>
      <c r="AX53" s="385" t="n">
        <f aca="false">IF(46&lt;5,0,IF(MAX(AS38:AX38)&gt;AX43+4+$B$18,1,0))</f>
        <v>1</v>
      </c>
      <c r="AY53" s="385" t="n">
        <f aca="false">IF(47&lt;5,0,IF(MAX(AT38:AY38)&gt;AY43+4+$B$18,1,0))</f>
        <v>1</v>
      </c>
      <c r="AZ53" s="385" t="n">
        <f aca="false">IF(48&lt;5,0,IF(MAX(AU38:AZ38)&gt;AZ43+4+$B$18,1,0))</f>
        <v>1</v>
      </c>
      <c r="BA53" s="385" t="n">
        <f aca="false">IF(49&lt;5,0,IF(MAX(AV38:BA38)&gt;BA43+4+$B$18,1,0))</f>
        <v>1</v>
      </c>
      <c r="BB53" s="385" t="n">
        <f aca="false">IF(50&lt;5,0,IF(MAX(AW38:BB38)&gt;BB43+4+$B$18,1,0))</f>
        <v>1</v>
      </c>
      <c r="BC53" s="385" t="n">
        <f aca="false">IF(51&lt;5,0,IF(MAX(AX38:BC38)&gt;BC43+4+$B$18,1,0))</f>
        <v>1</v>
      </c>
      <c r="BD53" s="385" t="n">
        <f aca="false">IF(52&lt;5,0,IF(MAX(AY38:BD38)&gt;BD43+4+$B$18,1,0))</f>
        <v>1</v>
      </c>
      <c r="BE53" s="385" t="n">
        <f aca="false">IF(53&lt;5,0,IF(MAX(AZ38:BE38)&gt;BE43+4+$B$18,1,0))</f>
        <v>1</v>
      </c>
      <c r="BF53" s="385" t="n">
        <f aca="false">IF(54&lt;5,0,IF(MAX(BA38:BF38)&gt;BF43+4+$B$18,1,0))</f>
        <v>1</v>
      </c>
      <c r="BG53" s="385" t="n">
        <f aca="false">IF(55&lt;5,0,IF(MAX(BB38:BG38)&gt;BG43+4+$B$18,1,0))</f>
        <v>1</v>
      </c>
      <c r="BH53" s="385" t="n">
        <f aca="false">IF(56&lt;5,0,IF(MAX(BC38:BH38)&gt;BH43+4+$B$18,1,0))</f>
        <v>1</v>
      </c>
      <c r="BI53" s="385" t="n">
        <f aca="false">IF(57&lt;5,0,IF(MAX(BD38:BI38)&gt;BI43+4+$B$18,1,0))</f>
        <v>1</v>
      </c>
      <c r="BJ53" s="385" t="n">
        <f aca="false">IF(58&lt;5,0,IF(MAX(BE38:BJ38)&gt;BJ43+4+$B$18,1,0))</f>
        <v>1</v>
      </c>
      <c r="BK53" s="385" t="n">
        <f aca="false">IF(59&lt;5,0,IF(MAX(BF38:BK38)&gt;BK43+4+$B$18,1,0))</f>
        <v>1</v>
      </c>
      <c r="BL53" s="385" t="n">
        <f aca="false">IF(60&lt;5,0,IF(MAX(BG38:BL38)&gt;BL43+4+$B$18,1,0))</f>
        <v>1</v>
      </c>
      <c r="BM53" s="385" t="n">
        <f aca="false">IF(61&lt;5,0,IF(MAX(BH38:BM38)&gt;BM43+4+$B$18,1,0))</f>
        <v>1</v>
      </c>
      <c r="BN53" s="385" t="n">
        <f aca="false">IF(62&lt;5,0,IF(MAX(BI38:BN38)&gt;BN43+4+$B$18,1,0))</f>
        <v>1</v>
      </c>
      <c r="BO53" s="385" t="n">
        <f aca="false">IF(63&lt;5,0,IF(MAX(BJ38:BO38)&gt;BO43+4+$B$18,1,0))</f>
        <v>0</v>
      </c>
      <c r="BP53" s="385" t="n">
        <f aca="false">IF(64&lt;5,0,IF(MAX(BK38:BP38)&gt;BP43+4+$B$18,1,0))</f>
        <v>0</v>
      </c>
      <c r="BQ53" s="385" t="n">
        <f aca="false">IF(65&lt;5,0,IF(MAX(BL38:BQ38)&gt;BQ43+4+$B$18,1,0))</f>
        <v>0</v>
      </c>
      <c r="BR53" s="385" t="n">
        <f aca="false">IF(66&lt;5,0,IF(MAX(BM38:BR38)&gt;BR43+4+$B$18,1,0))</f>
        <v>0</v>
      </c>
      <c r="BS53" s="385" t="n">
        <f aca="false">IF(67&lt;5,0,IF(MAX(BN38:BS38)&gt;BS43+4+$B$18,1,0))</f>
        <v>0</v>
      </c>
      <c r="BT53" s="385" t="n">
        <f aca="false">IF(68&lt;5,0,IF(MAX(BO38:BT38)&gt;BT43+4+$B$18,1,0))</f>
        <v>0</v>
      </c>
      <c r="BU53" s="385" t="n">
        <f aca="false">IF(69&lt;5,0,IF(MAX(BP38:BU38)&gt;BU43+4+$B$18,1,0))</f>
        <v>0</v>
      </c>
      <c r="BV53" s="385" t="n">
        <f aca="false">IF(70&lt;5,0,IF(MAX(BQ38:BV38)&gt;BV43+4+$B$18,1,0))</f>
        <v>0</v>
      </c>
      <c r="BW53" s="385" t="n">
        <f aca="false">IF(71&lt;5,0,IF(MAX(BR38:BW38)&gt;BW43+4+$B$18,1,0))</f>
        <v>0</v>
      </c>
      <c r="BX53" s="385" t="n">
        <f aca="false">IF(72&lt;5,0,IF(MAX(BS38:BX38)&gt;BX43+4+$B$18,1,0))</f>
        <v>0</v>
      </c>
      <c r="BY53" s="385" t="n">
        <f aca="false">IF(73&lt;5,0,IF(MAX(BT38:BY38)&gt;BY43+4+$B$18,1,0))</f>
        <v>0</v>
      </c>
      <c r="BZ53" s="385" t="n">
        <f aca="false">IF(74&lt;5,0,IF(MAX(BU38:BZ38)&gt;BZ43+4+$B$18,1,0))</f>
        <v>0</v>
      </c>
      <c r="CA53" s="385" t="n">
        <f aca="false">IF(75&lt;5,0,IF(MAX(BV38:CA38)&gt;CA43+4+$B$18,1,0))</f>
        <v>0</v>
      </c>
      <c r="CB53" s="385" t="n">
        <f aca="false">IF(76&lt;5,0,IF(MAX(BW38:CB38)&gt;CB43+4+$B$18,1,0))</f>
        <v>0</v>
      </c>
      <c r="CC53" s="385" t="n">
        <f aca="false">IF(77&lt;5,0,IF(MAX(BX38:CC38)&gt;CC43+4+$B$18,1,0))</f>
        <v>0</v>
      </c>
      <c r="CD53" s="385" t="n">
        <f aca="false">IF(78&lt;5,0,IF(MAX(BY38:CD38)&gt;CD43+4+$B$18,1,0))</f>
        <v>0</v>
      </c>
      <c r="CE53" s="385" t="n">
        <f aca="false">IF(79&lt;5,0,IF(MAX(BZ38:CE38)&gt;CE43+4+$B$18,1,0))</f>
        <v>0</v>
      </c>
      <c r="CF53" s="385" t="n">
        <f aca="false">IF(80&lt;5,0,IF(MAX(CA38:CF38)&gt;CF43+4+$B$18,1,0))</f>
        <v>0</v>
      </c>
      <c r="CG53" s="385" t="n">
        <f aca="false">IF(81&lt;5,0,IF(MAX(CB38:CG38)&gt;CG43+4+$B$18,1,0))</f>
        <v>0</v>
      </c>
      <c r="CH53" s="385" t="n">
        <f aca="false">IF(82&lt;5,0,IF(MAX(CC38:CH38)&gt;CH43+4+$B$18,1,0))</f>
        <v>0</v>
      </c>
      <c r="CI53" s="385" t="n">
        <f aca="false">IF(83&lt;5,0,IF(MAX(CD38:CI38)&gt;CI43+4+$B$18,1,0))</f>
        <v>0</v>
      </c>
      <c r="CJ53" s="385" t="n">
        <f aca="false">IF(84&lt;5,0,IF(MAX(CE38:CJ38)&gt;CJ43+4+$B$18,1,0))</f>
        <v>0</v>
      </c>
      <c r="CK53" s="385" t="n">
        <f aca="false">IF(85&lt;5,0,IF(MAX(CF38:CK38)&gt;CK43+4+$B$18,1,0))</f>
        <v>0</v>
      </c>
      <c r="CL53" s="385" t="n">
        <f aca="false">IF(86&lt;5,0,IF(MAX(CG38:CL38)&gt;CL43+4+$B$18,1,0))</f>
        <v>0</v>
      </c>
      <c r="CM53" s="385" t="n">
        <f aca="false">IF(87&lt;5,0,IF(MAX(CH38:CM38)&gt;CM43+4+$B$18,1,0))</f>
        <v>0</v>
      </c>
      <c r="CN53" s="385" t="n">
        <f aca="false">IF(88&lt;5,0,IF(MAX(CI38:CN38)&gt;CN43+4+$B$18,1,0))</f>
        <v>0</v>
      </c>
      <c r="CO53" s="385" t="n">
        <f aca="false">IF(89&lt;5,0,IF(MAX(CJ38:CO38)&gt;CO43+4+$B$18,1,0))</f>
        <v>0</v>
      </c>
      <c r="CP53" s="385" t="n">
        <f aca="false">IF(90&lt;5,0,IF(MAX(CK38:CP38)&gt;CP43+4+$B$18,1,0))</f>
        <v>0</v>
      </c>
      <c r="CQ53" s="385" t="n">
        <f aca="false">IF(91&lt;5,0,IF(MAX(CL38:CQ38)&gt;CQ43+4+$B$18,1,0))</f>
        <v>0</v>
      </c>
      <c r="CR53" s="385" t="n">
        <f aca="false">IF(92&lt;5,0,IF(MAX(CM38:CR38)&gt;CR43+4+$B$18,1,0))</f>
        <v>0</v>
      </c>
      <c r="CS53" s="385" t="n">
        <f aca="false">IF(93&lt;5,0,IF(MAX(CN38:CS38)&gt;CS43+4+$B$18,1,0))</f>
        <v>0</v>
      </c>
      <c r="CT53" s="385" t="n">
        <f aca="false">IF(94&lt;5,0,IF(MAX(CO38:CT38)&gt;CT43+4+$B$18,1,0))</f>
        <v>0</v>
      </c>
      <c r="CU53" s="385" t="n">
        <f aca="false">IF(95&lt;5,0,IF(MAX(CP38:CU38)&gt;CU43+4+$B$18,1,0))</f>
        <v>0</v>
      </c>
      <c r="CV53" s="385" t="n">
        <f aca="false">IF(96&lt;5,0,IF(MAX(CQ38:CV38)&gt;CV43+4+$B$18,1,0))</f>
        <v>0</v>
      </c>
      <c r="CW53" s="385" t="n">
        <f aca="false">IF(97&lt;5,0,IF(MAX(CR38:CW38)&gt;CW43+4+$B$18,1,0))</f>
        <v>0</v>
      </c>
      <c r="CX53" s="385" t="n">
        <f aca="false">IF(98&lt;5,0,IF(MAX(CS38:CX38)&gt;CX43+4+$B$18,1,0))</f>
        <v>0</v>
      </c>
      <c r="CY53" s="385" t="n">
        <f aca="false">IF(99&lt;5,0,IF(MAX(CT38:CY38)&gt;CY43+4+$B$18,1,0))</f>
        <v>0</v>
      </c>
      <c r="CZ53" s="385" t="n">
        <f aca="false">IF(100&lt;5,0,IF(MAX(CU38:CZ38)&gt;CZ43+4+$B$18,1,0))</f>
        <v>0</v>
      </c>
      <c r="DA53" s="385" t="n">
        <f aca="false">IF(101&lt;5,0,IF(MAX(CV38:DA38)&gt;DA43+4+$B$18,1,0))</f>
        <v>0</v>
      </c>
      <c r="DB53" s="385" t="n">
        <f aca="false">IF(102&lt;5,0,IF(MAX(CW38:DB38)&gt;DB43+4+$B$18,1,0))</f>
        <v>0</v>
      </c>
      <c r="DC53" s="385" t="n">
        <f aca="false">IF(103&lt;5,0,IF(MAX(CX38:DC38)&gt;DC43+4+$B$18,1,0))</f>
        <v>0</v>
      </c>
      <c r="DD53" s="385" t="n">
        <f aca="false">IF(104&lt;5,0,IF(MAX(CY38:DD38)&gt;DD43+4+$B$18,1,0))</f>
        <v>0</v>
      </c>
      <c r="DE53" s="385" t="n">
        <f aca="false">IF(105&lt;5,0,IF(MAX(CZ38:DE38)&gt;DE43+4+$B$18,1,0))</f>
        <v>0</v>
      </c>
    </row>
    <row r="54" customFormat="false" ht="13.5" hidden="false" customHeight="true" outlineLevel="0" collapsed="false">
      <c r="A54" s="110" t="s">
        <v>1387</v>
      </c>
      <c r="B54" s="213" t="n">
        <f aca="false">$B$27</f>
        <v>125000</v>
      </c>
      <c r="E54" s="385" t="n">
        <f aca="false">IF(1&lt;5,0,IF(MAX(E38:E38)&gt;E43+5+$B$18,1,0))</f>
        <v>0</v>
      </c>
      <c r="F54" s="385" t="n">
        <f aca="false">IF(2&lt;5,0,IF(MAX(E38:F38)&gt;F43+5+$B$18,1,0))</f>
        <v>0</v>
      </c>
      <c r="G54" s="385" t="n">
        <f aca="false">IF(3&lt;5,0,IF(MAX(E38:G38)&gt;G43+5+$B$18,1,0))</f>
        <v>0</v>
      </c>
      <c r="H54" s="385" t="n">
        <f aca="false">IF(4&lt;5,0,IF(MAX(E38:H38)&gt;H43+5+$B$18,1,0))</f>
        <v>0</v>
      </c>
      <c r="I54" s="385" t="n">
        <f aca="false">IF(5&lt;5,0,IF(MAX(E38:I38)&gt;I43+5+$B$18,1,0))</f>
        <v>0</v>
      </c>
      <c r="J54" s="385" t="n">
        <f aca="false">IF(6&lt;5,0,IF(MAX(E38:J38)&gt;J43+5+$B$18,1,0))</f>
        <v>0</v>
      </c>
      <c r="K54" s="385" t="n">
        <f aca="false">IF(7&lt;5,0,IF(MAX(F38:K38)&gt;K43+5+$B$18,1,0))</f>
        <v>0</v>
      </c>
      <c r="L54" s="385" t="n">
        <f aca="false">IF(8&lt;5,0,IF(MAX(G38:L38)&gt;L43+5+$B$18,1,0))</f>
        <v>0</v>
      </c>
      <c r="M54" s="385" t="n">
        <f aca="false">IF(9&lt;5,0,IF(MAX(H38:M38)&gt;M43+5+$B$18,1,0))</f>
        <v>0</v>
      </c>
      <c r="N54" s="385" t="n">
        <f aca="false">IF(10&lt;5,0,IF(MAX(I38:N38)&gt;N43+5+$B$18,1,0))</f>
        <v>0</v>
      </c>
      <c r="O54" s="385" t="n">
        <f aca="false">IF(11&lt;5,0,IF(MAX(J38:O38)&gt;O43+5+$B$18,1,0))</f>
        <v>0</v>
      </c>
      <c r="P54" s="385" t="n">
        <f aca="false">IF(12&lt;5,0,IF(MAX(K38:P38)&gt;P43+5+$B$18,1,0))</f>
        <v>0</v>
      </c>
      <c r="Q54" s="385" t="n">
        <f aca="false">IF(13&lt;5,0,IF(MAX(L38:Q38)&gt;Q43+5+$B$18,1,0))</f>
        <v>0</v>
      </c>
      <c r="R54" s="385" t="n">
        <f aca="false">IF(14&lt;5,0,IF(MAX(M38:R38)&gt;R43+5+$B$18,1,0))</f>
        <v>0</v>
      </c>
      <c r="S54" s="385" t="n">
        <f aca="false">IF(15&lt;5,0,IF(MAX(N38:S38)&gt;S43+5+$B$18,1,0))</f>
        <v>0</v>
      </c>
      <c r="T54" s="385" t="n">
        <f aca="false">IF(16&lt;5,0,IF(MAX(O38:T38)&gt;T43+5+$B$18,1,0))</f>
        <v>1</v>
      </c>
      <c r="U54" s="385" t="n">
        <f aca="false">IF(17&lt;5,0,IF(MAX(P38:U38)&gt;U43+5+$B$18,1,0))</f>
        <v>1</v>
      </c>
      <c r="V54" s="385" t="n">
        <f aca="false">IF(18&lt;5,0,IF(MAX(Q38:V38)&gt;V43+5+$B$18,1,0))</f>
        <v>1</v>
      </c>
      <c r="W54" s="385" t="n">
        <f aca="false">IF(19&lt;5,0,IF(MAX(R38:W38)&gt;W43+5+$B$18,1,0))</f>
        <v>1</v>
      </c>
      <c r="X54" s="385" t="n">
        <f aca="false">IF(20&lt;5,0,IF(MAX(S38:X38)&gt;X43+5+$B$18,1,0))</f>
        <v>1</v>
      </c>
      <c r="Y54" s="385" t="n">
        <f aca="false">IF(21&lt;5,0,IF(MAX(T38:Y38)&gt;Y43+5+$B$18,1,0))</f>
        <v>1</v>
      </c>
      <c r="Z54" s="385" t="n">
        <f aca="false">IF(22&lt;5,0,IF(MAX(U38:Z38)&gt;Z43+5+$B$18,1,0))</f>
        <v>0</v>
      </c>
      <c r="AA54" s="385" t="n">
        <f aca="false">IF(23&lt;5,0,IF(MAX(V38:AA38)&gt;AA43+5+$B$18,1,0))</f>
        <v>0</v>
      </c>
      <c r="AB54" s="385" t="n">
        <f aca="false">IF(24&lt;5,0,IF(MAX(W38:AB38)&gt;AB43+5+$B$18,1,0))</f>
        <v>0</v>
      </c>
      <c r="AC54" s="385" t="n">
        <f aca="false">IF(25&lt;5,0,IF(MAX(X38:AC38)&gt;AC43+5+$B$18,1,0))</f>
        <v>0</v>
      </c>
      <c r="AD54" s="385" t="n">
        <f aca="false">IF(26&lt;5,0,IF(MAX(Y38:AD38)&gt;AD43+5+$B$18,1,0))</f>
        <v>0</v>
      </c>
      <c r="AE54" s="385" t="n">
        <f aca="false">IF(27&lt;5,0,IF(MAX(Z38:AE38)&gt;AE43+5+$B$18,1,0))</f>
        <v>0</v>
      </c>
      <c r="AF54" s="385" t="n">
        <f aca="false">IF(28&lt;5,0,IF(MAX(AA38:AF38)&gt;AF43+5+$B$18,1,0))</f>
        <v>0</v>
      </c>
      <c r="AG54" s="385" t="n">
        <f aca="false">IF(29&lt;5,0,IF(MAX(AB38:AG38)&gt;AG43+5+$B$18,1,0))</f>
        <v>0</v>
      </c>
      <c r="AH54" s="385" t="n">
        <f aca="false">IF(30&lt;5,0,IF(MAX(AC38:AH38)&gt;AH43+5+$B$18,1,0))</f>
        <v>0</v>
      </c>
      <c r="AI54" s="385" t="n">
        <f aca="false">IF(31&lt;5,0,IF(MAX(AD38:AI38)&gt;AI43+5+$B$18,1,0))</f>
        <v>0</v>
      </c>
      <c r="AJ54" s="385" t="n">
        <f aca="false">IF(32&lt;5,0,IF(MAX(AE38:AJ38)&gt;AJ43+5+$B$18,1,0))</f>
        <v>0</v>
      </c>
      <c r="AK54" s="385" t="n">
        <f aca="false">IF(33&lt;5,0,IF(MAX(AF38:AK38)&gt;AK43+5+$B$18,1,0))</f>
        <v>0</v>
      </c>
      <c r="AL54" s="385" t="n">
        <f aca="false">IF(34&lt;5,0,IF(MAX(AG38:AL38)&gt;AL43+5+$B$18,1,0))</f>
        <v>0</v>
      </c>
      <c r="AM54" s="385" t="n">
        <f aca="false">IF(35&lt;5,0,IF(MAX(AH38:AM38)&gt;AM43+5+$B$18,1,0))</f>
        <v>0</v>
      </c>
      <c r="AN54" s="385" t="n">
        <f aca="false">IF(36&lt;5,0,IF(MAX(AI38:AN38)&gt;AN43+5+$B$18,1,0))</f>
        <v>0</v>
      </c>
      <c r="AO54" s="385" t="n">
        <f aca="false">IF(37&lt;5,0,IF(MAX(AJ38:AO38)&gt;AO43+5+$B$18,1,0))</f>
        <v>0</v>
      </c>
      <c r="AP54" s="385" t="n">
        <f aca="false">IF(38&lt;5,0,IF(MAX(AK38:AP38)&gt;AP43+5+$B$18,1,0))</f>
        <v>0</v>
      </c>
      <c r="AQ54" s="385" t="n">
        <f aca="false">IF(39&lt;5,0,IF(MAX(AL38:AQ38)&gt;AQ43+5+$B$18,1,0))</f>
        <v>1</v>
      </c>
      <c r="AR54" s="385" t="n">
        <f aca="false">IF(40&lt;5,0,IF(MAX(AM38:AR38)&gt;AR43+5+$B$18,1,0))</f>
        <v>1</v>
      </c>
      <c r="AS54" s="385" t="n">
        <f aca="false">IF(41&lt;5,0,IF(MAX(AN38:AS38)&gt;AS43+5+$B$18,1,0))</f>
        <v>1</v>
      </c>
      <c r="AT54" s="385" t="n">
        <f aca="false">IF(42&lt;5,0,IF(MAX(AO38:AT38)&gt;AT43+5+$B$18,1,0))</f>
        <v>1</v>
      </c>
      <c r="AU54" s="385" t="n">
        <f aca="false">IF(43&lt;5,0,IF(MAX(AP38:AU38)&gt;AU43+5+$B$18,1,0))</f>
        <v>1</v>
      </c>
      <c r="AV54" s="385" t="n">
        <f aca="false">IF(44&lt;5,0,IF(MAX(AQ38:AV38)&gt;AV43+5+$B$18,1,0))</f>
        <v>1</v>
      </c>
      <c r="AW54" s="385" t="n">
        <f aca="false">IF(45&lt;5,0,IF(MAX(AR38:AW38)&gt;AW43+5+$B$18,1,0))</f>
        <v>1</v>
      </c>
      <c r="AX54" s="385" t="n">
        <f aca="false">IF(46&lt;5,0,IF(MAX(AS38:AX38)&gt;AX43+5+$B$18,1,0))</f>
        <v>1</v>
      </c>
      <c r="AY54" s="385" t="n">
        <f aca="false">IF(47&lt;5,0,IF(MAX(AT38:AY38)&gt;AY43+5+$B$18,1,0))</f>
        <v>1</v>
      </c>
      <c r="AZ54" s="385" t="n">
        <f aca="false">IF(48&lt;5,0,IF(MAX(AU38:AZ38)&gt;AZ43+5+$B$18,1,0))</f>
        <v>1</v>
      </c>
      <c r="BA54" s="385" t="n">
        <f aca="false">IF(49&lt;5,0,IF(MAX(AV38:BA38)&gt;BA43+5+$B$18,1,0))</f>
        <v>1</v>
      </c>
      <c r="BB54" s="385" t="n">
        <f aca="false">IF(50&lt;5,0,IF(MAX(AW38:BB38)&gt;BB43+5+$B$18,1,0))</f>
        <v>1</v>
      </c>
      <c r="BC54" s="385" t="n">
        <f aca="false">IF(51&lt;5,0,IF(MAX(AX38:BC38)&gt;BC43+5+$B$18,1,0))</f>
        <v>1</v>
      </c>
      <c r="BD54" s="385" t="n">
        <f aca="false">IF(52&lt;5,0,IF(MAX(AY38:BD38)&gt;BD43+5+$B$18,1,0))</f>
        <v>1</v>
      </c>
      <c r="BE54" s="385" t="n">
        <f aca="false">IF(53&lt;5,0,IF(MAX(AZ38:BE38)&gt;BE43+5+$B$18,1,0))</f>
        <v>1</v>
      </c>
      <c r="BF54" s="385" t="n">
        <f aca="false">IF(54&lt;5,0,IF(MAX(BA38:BF38)&gt;BF43+5+$B$18,1,0))</f>
        <v>1</v>
      </c>
      <c r="BG54" s="385" t="n">
        <f aca="false">IF(55&lt;5,0,IF(MAX(BB38:BG38)&gt;BG43+5+$B$18,1,0))</f>
        <v>1</v>
      </c>
      <c r="BH54" s="385" t="n">
        <f aca="false">IF(56&lt;5,0,IF(MAX(BC38:BH38)&gt;BH43+5+$B$18,1,0))</f>
        <v>1</v>
      </c>
      <c r="BI54" s="385" t="n">
        <f aca="false">IF(57&lt;5,0,IF(MAX(BD38:BI38)&gt;BI43+5+$B$18,1,0))</f>
        <v>1</v>
      </c>
      <c r="BJ54" s="385" t="n">
        <f aca="false">IF(58&lt;5,0,IF(MAX(BE38:BJ38)&gt;BJ43+5+$B$18,1,0))</f>
        <v>1</v>
      </c>
      <c r="BK54" s="385" t="n">
        <f aca="false">IF(59&lt;5,0,IF(MAX(BF38:BK38)&gt;BK43+5+$B$18,1,0))</f>
        <v>1</v>
      </c>
      <c r="BL54" s="385" t="n">
        <f aca="false">IF(60&lt;5,0,IF(MAX(BG38:BL38)&gt;BL43+5+$B$18,1,0))</f>
        <v>1</v>
      </c>
      <c r="BM54" s="385" t="n">
        <f aca="false">IF(61&lt;5,0,IF(MAX(BH38:BM38)&gt;BM43+5+$B$18,1,0))</f>
        <v>0</v>
      </c>
      <c r="BN54" s="385" t="n">
        <f aca="false">IF(62&lt;5,0,IF(MAX(BI38:BN38)&gt;BN43+5+$B$18,1,0))</f>
        <v>0</v>
      </c>
      <c r="BO54" s="385" t="n">
        <f aca="false">IF(63&lt;5,0,IF(MAX(BJ38:BO38)&gt;BO43+5+$B$18,1,0))</f>
        <v>0</v>
      </c>
      <c r="BP54" s="385" t="n">
        <f aca="false">IF(64&lt;5,0,IF(MAX(BK38:BP38)&gt;BP43+5+$B$18,1,0))</f>
        <v>0</v>
      </c>
      <c r="BQ54" s="385" t="n">
        <f aca="false">IF(65&lt;5,0,IF(MAX(BL38:BQ38)&gt;BQ43+5+$B$18,1,0))</f>
        <v>0</v>
      </c>
      <c r="BR54" s="385" t="n">
        <f aca="false">IF(66&lt;5,0,IF(MAX(BM38:BR38)&gt;BR43+5+$B$18,1,0))</f>
        <v>0</v>
      </c>
      <c r="BS54" s="385" t="n">
        <f aca="false">IF(67&lt;5,0,IF(MAX(BN38:BS38)&gt;BS43+5+$B$18,1,0))</f>
        <v>0</v>
      </c>
      <c r="BT54" s="385" t="n">
        <f aca="false">IF(68&lt;5,0,IF(MAX(BO38:BT38)&gt;BT43+5+$B$18,1,0))</f>
        <v>0</v>
      </c>
      <c r="BU54" s="385" t="n">
        <f aca="false">IF(69&lt;5,0,IF(MAX(BP38:BU38)&gt;BU43+5+$B$18,1,0))</f>
        <v>0</v>
      </c>
      <c r="BV54" s="385" t="n">
        <f aca="false">IF(70&lt;5,0,IF(MAX(BQ38:BV38)&gt;BV43+5+$B$18,1,0))</f>
        <v>0</v>
      </c>
      <c r="BW54" s="385" t="n">
        <f aca="false">IF(71&lt;5,0,IF(MAX(BR38:BW38)&gt;BW43+5+$B$18,1,0))</f>
        <v>0</v>
      </c>
      <c r="BX54" s="385" t="n">
        <f aca="false">IF(72&lt;5,0,IF(MAX(BS38:BX38)&gt;BX43+5+$B$18,1,0))</f>
        <v>0</v>
      </c>
      <c r="BY54" s="385" t="n">
        <f aca="false">IF(73&lt;5,0,IF(MAX(BT38:BY38)&gt;BY43+5+$B$18,1,0))</f>
        <v>0</v>
      </c>
      <c r="BZ54" s="385" t="n">
        <f aca="false">IF(74&lt;5,0,IF(MAX(BU38:BZ38)&gt;BZ43+5+$B$18,1,0))</f>
        <v>0</v>
      </c>
      <c r="CA54" s="385" t="n">
        <f aca="false">IF(75&lt;5,0,IF(MAX(BV38:CA38)&gt;CA43+5+$B$18,1,0))</f>
        <v>0</v>
      </c>
      <c r="CB54" s="385" t="n">
        <f aca="false">IF(76&lt;5,0,IF(MAX(BW38:CB38)&gt;CB43+5+$B$18,1,0))</f>
        <v>0</v>
      </c>
      <c r="CC54" s="385" t="n">
        <f aca="false">IF(77&lt;5,0,IF(MAX(BX38:CC38)&gt;CC43+5+$B$18,1,0))</f>
        <v>0</v>
      </c>
      <c r="CD54" s="385" t="n">
        <f aca="false">IF(78&lt;5,0,IF(MAX(BY38:CD38)&gt;CD43+5+$B$18,1,0))</f>
        <v>0</v>
      </c>
      <c r="CE54" s="385" t="n">
        <f aca="false">IF(79&lt;5,0,IF(MAX(BZ38:CE38)&gt;CE43+5+$B$18,1,0))</f>
        <v>0</v>
      </c>
      <c r="CF54" s="385" t="n">
        <f aca="false">IF(80&lt;5,0,IF(MAX(CA38:CF38)&gt;CF43+5+$B$18,1,0))</f>
        <v>0</v>
      </c>
      <c r="CG54" s="385" t="n">
        <f aca="false">IF(81&lt;5,0,IF(MAX(CB38:CG38)&gt;CG43+5+$B$18,1,0))</f>
        <v>0</v>
      </c>
      <c r="CH54" s="385" t="n">
        <f aca="false">IF(82&lt;5,0,IF(MAX(CC38:CH38)&gt;CH43+5+$B$18,1,0))</f>
        <v>0</v>
      </c>
      <c r="CI54" s="385" t="n">
        <f aca="false">IF(83&lt;5,0,IF(MAX(CD38:CI38)&gt;CI43+5+$B$18,1,0))</f>
        <v>0</v>
      </c>
      <c r="CJ54" s="385" t="n">
        <f aca="false">IF(84&lt;5,0,IF(MAX(CE38:CJ38)&gt;CJ43+5+$B$18,1,0))</f>
        <v>0</v>
      </c>
      <c r="CK54" s="385" t="n">
        <f aca="false">IF(85&lt;5,0,IF(MAX(CF38:CK38)&gt;CK43+5+$B$18,1,0))</f>
        <v>0</v>
      </c>
      <c r="CL54" s="385" t="n">
        <f aca="false">IF(86&lt;5,0,IF(MAX(CG38:CL38)&gt;CL43+5+$B$18,1,0))</f>
        <v>0</v>
      </c>
      <c r="CM54" s="385" t="n">
        <f aca="false">IF(87&lt;5,0,IF(MAX(CH38:CM38)&gt;CM43+5+$B$18,1,0))</f>
        <v>0</v>
      </c>
      <c r="CN54" s="385" t="n">
        <f aca="false">IF(88&lt;5,0,IF(MAX(CI38:CN38)&gt;CN43+5+$B$18,1,0))</f>
        <v>0</v>
      </c>
      <c r="CO54" s="385" t="n">
        <f aca="false">IF(89&lt;5,0,IF(MAX(CJ38:CO38)&gt;CO43+5+$B$18,1,0))</f>
        <v>0</v>
      </c>
      <c r="CP54" s="385" t="n">
        <f aca="false">IF(90&lt;5,0,IF(MAX(CK38:CP38)&gt;CP43+5+$B$18,1,0))</f>
        <v>0</v>
      </c>
      <c r="CQ54" s="385" t="n">
        <f aca="false">IF(91&lt;5,0,IF(MAX(CL38:CQ38)&gt;CQ43+5+$B$18,1,0))</f>
        <v>0</v>
      </c>
      <c r="CR54" s="385" t="n">
        <f aca="false">IF(92&lt;5,0,IF(MAX(CM38:CR38)&gt;CR43+5+$B$18,1,0))</f>
        <v>0</v>
      </c>
      <c r="CS54" s="385" t="n">
        <f aca="false">IF(93&lt;5,0,IF(MAX(CN38:CS38)&gt;CS43+5+$B$18,1,0))</f>
        <v>0</v>
      </c>
      <c r="CT54" s="385" t="n">
        <f aca="false">IF(94&lt;5,0,IF(MAX(CO38:CT38)&gt;CT43+5+$B$18,1,0))</f>
        <v>0</v>
      </c>
      <c r="CU54" s="385" t="n">
        <f aca="false">IF(95&lt;5,0,IF(MAX(CP38:CU38)&gt;CU43+5+$B$18,1,0))</f>
        <v>0</v>
      </c>
      <c r="CV54" s="385" t="n">
        <f aca="false">IF(96&lt;5,0,IF(MAX(CQ38:CV38)&gt;CV43+5+$B$18,1,0))</f>
        <v>0</v>
      </c>
      <c r="CW54" s="385" t="n">
        <f aca="false">IF(97&lt;5,0,IF(MAX(CR38:CW38)&gt;CW43+5+$B$18,1,0))</f>
        <v>0</v>
      </c>
      <c r="CX54" s="385" t="n">
        <f aca="false">IF(98&lt;5,0,IF(MAX(CS38:CX38)&gt;CX43+5+$B$18,1,0))</f>
        <v>0</v>
      </c>
      <c r="CY54" s="385" t="n">
        <f aca="false">IF(99&lt;5,0,IF(MAX(CT38:CY38)&gt;CY43+5+$B$18,1,0))</f>
        <v>0</v>
      </c>
      <c r="CZ54" s="385" t="n">
        <f aca="false">IF(100&lt;5,0,IF(MAX(CU38:CZ38)&gt;CZ43+5+$B$18,1,0))</f>
        <v>0</v>
      </c>
      <c r="DA54" s="385" t="n">
        <f aca="false">IF(101&lt;5,0,IF(MAX(CV38:DA38)&gt;DA43+5+$B$18,1,0))</f>
        <v>0</v>
      </c>
      <c r="DB54" s="385" t="n">
        <f aca="false">IF(102&lt;5,0,IF(MAX(CW38:DB38)&gt;DB43+5+$B$18,1,0))</f>
        <v>0</v>
      </c>
      <c r="DC54" s="385" t="n">
        <f aca="false">IF(103&lt;5,0,IF(MAX(CX38:DC38)&gt;DC43+5+$B$18,1,0))</f>
        <v>0</v>
      </c>
      <c r="DD54" s="385" t="n">
        <f aca="false">IF(104&lt;5,0,IF(MAX(CY38:DD38)&gt;DD43+5+$B$18,1,0))</f>
        <v>0</v>
      </c>
      <c r="DE54" s="385" t="n">
        <f aca="false">IF(105&lt;5,0,IF(MAX(CZ38:DE38)&gt;DE43+5+$B$18,1,0))</f>
        <v>0</v>
      </c>
    </row>
    <row r="55" customFormat="false" ht="13.5" hidden="false" customHeight="true" outlineLevel="0" collapsed="false">
      <c r="A55" s="110" t="s">
        <v>1388</v>
      </c>
      <c r="B55" s="213" t="n">
        <f aca="false">$B$27</f>
        <v>125000</v>
      </c>
      <c r="E55" s="385" t="n">
        <f aca="false">IF(1&lt;5,0,IF(MAX(E38:E38)&gt;E43+6+$B$18,1,0))</f>
        <v>0</v>
      </c>
      <c r="F55" s="385" t="n">
        <f aca="false">IF(2&lt;5,0,IF(MAX(E38:F38)&gt;F43+6+$B$18,1,0))</f>
        <v>0</v>
      </c>
      <c r="G55" s="385" t="n">
        <f aca="false">IF(3&lt;5,0,IF(MAX(E38:G38)&gt;G43+6+$B$18,1,0))</f>
        <v>0</v>
      </c>
      <c r="H55" s="385" t="n">
        <f aca="false">IF(4&lt;5,0,IF(MAX(E38:H38)&gt;H43+6+$B$18,1,0))</f>
        <v>0</v>
      </c>
      <c r="I55" s="385" t="n">
        <f aca="false">IF(5&lt;5,0,IF(MAX(E38:I38)&gt;I43+6+$B$18,1,0))</f>
        <v>0</v>
      </c>
      <c r="J55" s="385" t="n">
        <f aca="false">IF(6&lt;5,0,IF(MAX(E38:J38)&gt;J43+6+$B$18,1,0))</f>
        <v>0</v>
      </c>
      <c r="K55" s="385" t="n">
        <f aca="false">IF(7&lt;5,0,IF(MAX(F38:K38)&gt;K43+6+$B$18,1,0))</f>
        <v>0</v>
      </c>
      <c r="L55" s="385" t="n">
        <f aca="false">IF(8&lt;5,0,IF(MAX(G38:L38)&gt;L43+6+$B$18,1,0))</f>
        <v>0</v>
      </c>
      <c r="M55" s="385" t="n">
        <f aca="false">IF(9&lt;5,0,IF(MAX(H38:M38)&gt;M43+6+$B$18,1,0))</f>
        <v>0</v>
      </c>
      <c r="N55" s="385" t="n">
        <f aca="false">IF(10&lt;5,0,IF(MAX(I38:N38)&gt;N43+6+$B$18,1,0))</f>
        <v>0</v>
      </c>
      <c r="O55" s="385" t="n">
        <f aca="false">IF(11&lt;5,0,IF(MAX(J38:O38)&gt;O43+6+$B$18,1,0))</f>
        <v>0</v>
      </c>
      <c r="P55" s="385" t="n">
        <f aca="false">IF(12&lt;5,0,IF(MAX(K38:P38)&gt;P43+6+$B$18,1,0))</f>
        <v>0</v>
      </c>
      <c r="Q55" s="385" t="n">
        <f aca="false">IF(13&lt;5,0,IF(MAX(L38:Q38)&gt;Q43+6+$B$18,1,0))</f>
        <v>0</v>
      </c>
      <c r="R55" s="385" t="n">
        <f aca="false">IF(14&lt;5,0,IF(MAX(M38:R38)&gt;R43+6+$B$18,1,0))</f>
        <v>0</v>
      </c>
      <c r="S55" s="385" t="n">
        <f aca="false">IF(15&lt;5,0,IF(MAX(N38:S38)&gt;S43+6+$B$18,1,0))</f>
        <v>0</v>
      </c>
      <c r="T55" s="385" t="n">
        <f aca="false">IF(16&lt;5,0,IF(MAX(O38:T38)&gt;T43+6+$B$18,1,0))</f>
        <v>0</v>
      </c>
      <c r="U55" s="385" t="n">
        <f aca="false">IF(17&lt;5,0,IF(MAX(P38:U38)&gt;U43+6+$B$18,1,0))</f>
        <v>0</v>
      </c>
      <c r="V55" s="385" t="n">
        <f aca="false">IF(18&lt;5,0,IF(MAX(Q38:V38)&gt;V43+6+$B$18,1,0))</f>
        <v>0</v>
      </c>
      <c r="W55" s="385" t="n">
        <f aca="false">IF(19&lt;5,0,IF(MAX(R38:W38)&gt;W43+6+$B$18,1,0))</f>
        <v>0</v>
      </c>
      <c r="X55" s="385" t="n">
        <f aca="false">IF(20&lt;5,0,IF(MAX(S38:X38)&gt;X43+6+$B$18,1,0))</f>
        <v>0</v>
      </c>
      <c r="Y55" s="385" t="n">
        <f aca="false">IF(21&lt;5,0,IF(MAX(T38:Y38)&gt;Y43+6+$B$18,1,0))</f>
        <v>0</v>
      </c>
      <c r="Z55" s="385" t="n">
        <f aca="false">IF(22&lt;5,0,IF(MAX(U38:Z38)&gt;Z43+6+$B$18,1,0))</f>
        <v>0</v>
      </c>
      <c r="AA55" s="385" t="n">
        <f aca="false">IF(23&lt;5,0,IF(MAX(V38:AA38)&gt;AA43+6+$B$18,1,0))</f>
        <v>0</v>
      </c>
      <c r="AB55" s="385" t="n">
        <f aca="false">IF(24&lt;5,0,IF(MAX(W38:AB38)&gt;AB43+6+$B$18,1,0))</f>
        <v>0</v>
      </c>
      <c r="AC55" s="385" t="n">
        <f aca="false">IF(25&lt;5,0,IF(MAX(X38:AC38)&gt;AC43+6+$B$18,1,0))</f>
        <v>0</v>
      </c>
      <c r="AD55" s="385" t="n">
        <f aca="false">IF(26&lt;5,0,IF(MAX(Y38:AD38)&gt;AD43+6+$B$18,1,0))</f>
        <v>0</v>
      </c>
      <c r="AE55" s="385" t="n">
        <f aca="false">IF(27&lt;5,0,IF(MAX(Z38:AE38)&gt;AE43+6+$B$18,1,0))</f>
        <v>0</v>
      </c>
      <c r="AF55" s="385" t="n">
        <f aca="false">IF(28&lt;5,0,IF(MAX(AA38:AF38)&gt;AF43+6+$B$18,1,0))</f>
        <v>0</v>
      </c>
      <c r="AG55" s="385" t="n">
        <f aca="false">IF(29&lt;5,0,IF(MAX(AB38:AG38)&gt;AG43+6+$B$18,1,0))</f>
        <v>0</v>
      </c>
      <c r="AH55" s="385" t="n">
        <f aca="false">IF(30&lt;5,0,IF(MAX(AC38:AH38)&gt;AH43+6+$B$18,1,0))</f>
        <v>0</v>
      </c>
      <c r="AI55" s="385" t="n">
        <f aca="false">IF(31&lt;5,0,IF(MAX(AD38:AI38)&gt;AI43+6+$B$18,1,0))</f>
        <v>0</v>
      </c>
      <c r="AJ55" s="385" t="n">
        <f aca="false">IF(32&lt;5,0,IF(MAX(AE38:AJ38)&gt;AJ43+6+$B$18,1,0))</f>
        <v>0</v>
      </c>
      <c r="AK55" s="385" t="n">
        <f aca="false">IF(33&lt;5,0,IF(MAX(AF38:AK38)&gt;AK43+6+$B$18,1,0))</f>
        <v>0</v>
      </c>
      <c r="AL55" s="385" t="n">
        <f aca="false">IF(34&lt;5,0,IF(MAX(AG38:AL38)&gt;AL43+6+$B$18,1,0))</f>
        <v>0</v>
      </c>
      <c r="AM55" s="385" t="n">
        <f aca="false">IF(35&lt;5,0,IF(MAX(AH38:AM38)&gt;AM43+6+$B$18,1,0))</f>
        <v>0</v>
      </c>
      <c r="AN55" s="385" t="n">
        <f aca="false">IF(36&lt;5,0,IF(MAX(AI38:AN38)&gt;AN43+6+$B$18,1,0))</f>
        <v>0</v>
      </c>
      <c r="AO55" s="385" t="n">
        <f aca="false">IF(37&lt;5,0,IF(MAX(AJ38:AO38)&gt;AO43+6+$B$18,1,0))</f>
        <v>0</v>
      </c>
      <c r="AP55" s="385" t="n">
        <f aca="false">IF(38&lt;5,0,IF(MAX(AK38:AP38)&gt;AP43+6+$B$18,1,0))</f>
        <v>0</v>
      </c>
      <c r="AQ55" s="385" t="n">
        <f aca="false">IF(39&lt;5,0,IF(MAX(AL38:AQ38)&gt;AQ43+6+$B$18,1,0))</f>
        <v>0</v>
      </c>
      <c r="AR55" s="385" t="n">
        <f aca="false">IF(40&lt;5,0,IF(MAX(AM38:AR38)&gt;AR43+6+$B$18,1,0))</f>
        <v>0</v>
      </c>
      <c r="AS55" s="385" t="n">
        <f aca="false">IF(41&lt;5,0,IF(MAX(AN38:AS38)&gt;AS43+6+$B$18,1,0))</f>
        <v>0</v>
      </c>
      <c r="AT55" s="385" t="n">
        <f aca="false">IF(42&lt;5,0,IF(MAX(AO38:AT38)&gt;AT43+6+$B$18,1,0))</f>
        <v>0</v>
      </c>
      <c r="AU55" s="385" t="n">
        <f aca="false">IF(43&lt;5,0,IF(MAX(AP38:AU38)&gt;AU43+6+$B$18,1,0))</f>
        <v>1</v>
      </c>
      <c r="AV55" s="385" t="n">
        <f aca="false">IF(44&lt;5,0,IF(MAX(AQ38:AV38)&gt;AV43+6+$B$18,1,0))</f>
        <v>1</v>
      </c>
      <c r="AW55" s="385" t="n">
        <f aca="false">IF(45&lt;5,0,IF(MAX(AR38:AW38)&gt;AW43+6+$B$18,1,0))</f>
        <v>1</v>
      </c>
      <c r="AX55" s="385" t="n">
        <f aca="false">IF(46&lt;5,0,IF(MAX(AS38:AX38)&gt;AX43+6+$B$18,1,0))</f>
        <v>1</v>
      </c>
      <c r="AY55" s="385" t="n">
        <f aca="false">IF(47&lt;5,0,IF(MAX(AT38:AY38)&gt;AY43+6+$B$18,1,0))</f>
        <v>1</v>
      </c>
      <c r="AZ55" s="385" t="n">
        <f aca="false">IF(48&lt;5,0,IF(MAX(AU38:AZ38)&gt;AZ43+6+$B$18,1,0))</f>
        <v>1</v>
      </c>
      <c r="BA55" s="385" t="n">
        <f aca="false">IF(49&lt;5,0,IF(MAX(AV38:BA38)&gt;BA43+6+$B$18,1,0))</f>
        <v>0</v>
      </c>
      <c r="BB55" s="385" t="n">
        <f aca="false">IF(50&lt;5,0,IF(MAX(AW38:BB38)&gt;BB43+6+$B$18,1,0))</f>
        <v>0</v>
      </c>
      <c r="BC55" s="385" t="n">
        <f aca="false">IF(51&lt;5,0,IF(MAX(AX38:BC38)&gt;BC43+6+$B$18,1,0))</f>
        <v>0</v>
      </c>
      <c r="BD55" s="385" t="n">
        <f aca="false">IF(52&lt;5,0,IF(MAX(AY38:BD38)&gt;BD43+6+$B$18,1,0))</f>
        <v>0</v>
      </c>
      <c r="BE55" s="385" t="n">
        <f aca="false">IF(53&lt;5,0,IF(MAX(AZ38:BE38)&gt;BE43+6+$B$18,1,0))</f>
        <v>0</v>
      </c>
      <c r="BF55" s="385" t="n">
        <f aca="false">IF(54&lt;5,0,IF(MAX(BA38:BF38)&gt;BF43+6+$B$18,1,0))</f>
        <v>0</v>
      </c>
      <c r="BG55" s="385" t="n">
        <f aca="false">IF(55&lt;5,0,IF(MAX(BB38:BG38)&gt;BG43+6+$B$18,1,0))</f>
        <v>0</v>
      </c>
      <c r="BH55" s="385" t="n">
        <f aca="false">IF(56&lt;5,0,IF(MAX(BC38:BH38)&gt;BH43+6+$B$18,1,0))</f>
        <v>0</v>
      </c>
      <c r="BI55" s="385" t="n">
        <f aca="false">IF(57&lt;5,0,IF(MAX(BD38:BI38)&gt;BI43+6+$B$18,1,0))</f>
        <v>0</v>
      </c>
      <c r="BJ55" s="385" t="n">
        <f aca="false">IF(58&lt;5,0,IF(MAX(BE38:BJ38)&gt;BJ43+6+$B$18,1,0))</f>
        <v>0</v>
      </c>
      <c r="BK55" s="385" t="n">
        <f aca="false">IF(59&lt;5,0,IF(MAX(BF38:BK38)&gt;BK43+6+$B$18,1,0))</f>
        <v>0</v>
      </c>
      <c r="BL55" s="385" t="n">
        <f aca="false">IF(60&lt;5,0,IF(MAX(BG38:BL38)&gt;BL43+6+$B$18,1,0))</f>
        <v>0</v>
      </c>
      <c r="BM55" s="385" t="n">
        <f aca="false">IF(61&lt;5,0,IF(MAX(BH38:BM38)&gt;BM43+6+$B$18,1,0))</f>
        <v>0</v>
      </c>
      <c r="BN55" s="385" t="n">
        <f aca="false">IF(62&lt;5,0,IF(MAX(BI38:BN38)&gt;BN43+6+$B$18,1,0))</f>
        <v>0</v>
      </c>
      <c r="BO55" s="385" t="n">
        <f aca="false">IF(63&lt;5,0,IF(MAX(BJ38:BO38)&gt;BO43+6+$B$18,1,0))</f>
        <v>0</v>
      </c>
      <c r="BP55" s="385" t="n">
        <f aca="false">IF(64&lt;5,0,IF(MAX(BK38:BP38)&gt;BP43+6+$B$18,1,0))</f>
        <v>0</v>
      </c>
      <c r="BQ55" s="385" t="n">
        <f aca="false">IF(65&lt;5,0,IF(MAX(BL38:BQ38)&gt;BQ43+6+$B$18,1,0))</f>
        <v>0</v>
      </c>
      <c r="BR55" s="385" t="n">
        <f aca="false">IF(66&lt;5,0,IF(MAX(BM38:BR38)&gt;BR43+6+$B$18,1,0))</f>
        <v>0</v>
      </c>
      <c r="BS55" s="385" t="n">
        <f aca="false">IF(67&lt;5,0,IF(MAX(BN38:BS38)&gt;BS43+6+$B$18,1,0))</f>
        <v>0</v>
      </c>
      <c r="BT55" s="385" t="n">
        <f aca="false">IF(68&lt;5,0,IF(MAX(BO38:BT38)&gt;BT43+6+$B$18,1,0))</f>
        <v>0</v>
      </c>
      <c r="BU55" s="385" t="n">
        <f aca="false">IF(69&lt;5,0,IF(MAX(BP38:BU38)&gt;BU43+6+$B$18,1,0))</f>
        <v>0</v>
      </c>
      <c r="BV55" s="385" t="n">
        <f aca="false">IF(70&lt;5,0,IF(MAX(BQ38:BV38)&gt;BV43+6+$B$18,1,0))</f>
        <v>0</v>
      </c>
      <c r="BW55" s="385" t="n">
        <f aca="false">IF(71&lt;5,0,IF(MAX(BR38:BW38)&gt;BW43+6+$B$18,1,0))</f>
        <v>0</v>
      </c>
      <c r="BX55" s="385" t="n">
        <f aca="false">IF(72&lt;5,0,IF(MAX(BS38:BX38)&gt;BX43+6+$B$18,1,0))</f>
        <v>0</v>
      </c>
      <c r="BY55" s="385" t="n">
        <f aca="false">IF(73&lt;5,0,IF(MAX(BT38:BY38)&gt;BY43+6+$B$18,1,0))</f>
        <v>0</v>
      </c>
      <c r="BZ55" s="385" t="n">
        <f aca="false">IF(74&lt;5,0,IF(MAX(BU38:BZ38)&gt;BZ43+6+$B$18,1,0))</f>
        <v>0</v>
      </c>
      <c r="CA55" s="385" t="n">
        <f aca="false">IF(75&lt;5,0,IF(MAX(BV38:CA38)&gt;CA43+6+$B$18,1,0))</f>
        <v>0</v>
      </c>
      <c r="CB55" s="385" t="n">
        <f aca="false">IF(76&lt;5,0,IF(MAX(BW38:CB38)&gt;CB43+6+$B$18,1,0))</f>
        <v>0</v>
      </c>
      <c r="CC55" s="385" t="n">
        <f aca="false">IF(77&lt;5,0,IF(MAX(BX38:CC38)&gt;CC43+6+$B$18,1,0))</f>
        <v>0</v>
      </c>
      <c r="CD55" s="385" t="n">
        <f aca="false">IF(78&lt;5,0,IF(MAX(BY38:CD38)&gt;CD43+6+$B$18,1,0))</f>
        <v>0</v>
      </c>
      <c r="CE55" s="385" t="n">
        <f aca="false">IF(79&lt;5,0,IF(MAX(BZ38:CE38)&gt;CE43+6+$B$18,1,0))</f>
        <v>0</v>
      </c>
      <c r="CF55" s="385" t="n">
        <f aca="false">IF(80&lt;5,0,IF(MAX(CA38:CF38)&gt;CF43+6+$B$18,1,0))</f>
        <v>0</v>
      </c>
      <c r="CG55" s="385" t="n">
        <f aca="false">IF(81&lt;5,0,IF(MAX(CB38:CG38)&gt;CG43+6+$B$18,1,0))</f>
        <v>0</v>
      </c>
      <c r="CH55" s="385" t="n">
        <f aca="false">IF(82&lt;5,0,IF(MAX(CC38:CH38)&gt;CH43+6+$B$18,1,0))</f>
        <v>0</v>
      </c>
      <c r="CI55" s="385" t="n">
        <f aca="false">IF(83&lt;5,0,IF(MAX(CD38:CI38)&gt;CI43+6+$B$18,1,0))</f>
        <v>0</v>
      </c>
      <c r="CJ55" s="385" t="n">
        <f aca="false">IF(84&lt;5,0,IF(MAX(CE38:CJ38)&gt;CJ43+6+$B$18,1,0))</f>
        <v>0</v>
      </c>
      <c r="CK55" s="385" t="n">
        <f aca="false">IF(85&lt;5,0,IF(MAX(CF38:CK38)&gt;CK43+6+$B$18,1,0))</f>
        <v>0</v>
      </c>
      <c r="CL55" s="385" t="n">
        <f aca="false">IF(86&lt;5,0,IF(MAX(CG38:CL38)&gt;CL43+6+$B$18,1,0))</f>
        <v>0</v>
      </c>
      <c r="CM55" s="385" t="n">
        <f aca="false">IF(87&lt;5,0,IF(MAX(CH38:CM38)&gt;CM43+6+$B$18,1,0))</f>
        <v>0</v>
      </c>
      <c r="CN55" s="385" t="n">
        <f aca="false">IF(88&lt;5,0,IF(MAX(CI38:CN38)&gt;CN43+6+$B$18,1,0))</f>
        <v>0</v>
      </c>
      <c r="CO55" s="385" t="n">
        <f aca="false">IF(89&lt;5,0,IF(MAX(CJ38:CO38)&gt;CO43+6+$B$18,1,0))</f>
        <v>0</v>
      </c>
      <c r="CP55" s="385" t="n">
        <f aca="false">IF(90&lt;5,0,IF(MAX(CK38:CP38)&gt;CP43+6+$B$18,1,0))</f>
        <v>0</v>
      </c>
      <c r="CQ55" s="385" t="n">
        <f aca="false">IF(91&lt;5,0,IF(MAX(CL38:CQ38)&gt;CQ43+6+$B$18,1,0))</f>
        <v>0</v>
      </c>
      <c r="CR55" s="385" t="n">
        <f aca="false">IF(92&lt;5,0,IF(MAX(CM38:CR38)&gt;CR43+6+$B$18,1,0))</f>
        <v>0</v>
      </c>
      <c r="CS55" s="385" t="n">
        <f aca="false">IF(93&lt;5,0,IF(MAX(CN38:CS38)&gt;CS43+6+$B$18,1,0))</f>
        <v>0</v>
      </c>
      <c r="CT55" s="385" t="n">
        <f aca="false">IF(94&lt;5,0,IF(MAX(CO38:CT38)&gt;CT43+6+$B$18,1,0))</f>
        <v>0</v>
      </c>
      <c r="CU55" s="385" t="n">
        <f aca="false">IF(95&lt;5,0,IF(MAX(CP38:CU38)&gt;CU43+6+$B$18,1,0))</f>
        <v>0</v>
      </c>
      <c r="CV55" s="385" t="n">
        <f aca="false">IF(96&lt;5,0,IF(MAX(CQ38:CV38)&gt;CV43+6+$B$18,1,0))</f>
        <v>0</v>
      </c>
      <c r="CW55" s="385" t="n">
        <f aca="false">IF(97&lt;5,0,IF(MAX(CR38:CW38)&gt;CW43+6+$B$18,1,0))</f>
        <v>0</v>
      </c>
      <c r="CX55" s="385" t="n">
        <f aca="false">IF(98&lt;5,0,IF(MAX(CS38:CX38)&gt;CX43+6+$B$18,1,0))</f>
        <v>0</v>
      </c>
      <c r="CY55" s="385" t="n">
        <f aca="false">IF(99&lt;5,0,IF(MAX(CT38:CY38)&gt;CY43+6+$B$18,1,0))</f>
        <v>0</v>
      </c>
      <c r="CZ55" s="385" t="n">
        <f aca="false">IF(100&lt;5,0,IF(MAX(CU38:CZ38)&gt;CZ43+6+$B$18,1,0))</f>
        <v>0</v>
      </c>
      <c r="DA55" s="385" t="n">
        <f aca="false">IF(101&lt;5,0,IF(MAX(CV38:DA38)&gt;DA43+6+$B$18,1,0))</f>
        <v>0</v>
      </c>
      <c r="DB55" s="385" t="n">
        <f aca="false">IF(102&lt;5,0,IF(MAX(CW38:DB38)&gt;DB43+6+$B$18,1,0))</f>
        <v>0</v>
      </c>
      <c r="DC55" s="385" t="n">
        <f aca="false">IF(103&lt;5,0,IF(MAX(CX38:DC38)&gt;DC43+6+$B$18,1,0))</f>
        <v>0</v>
      </c>
      <c r="DD55" s="385" t="n">
        <f aca="false">IF(104&lt;5,0,IF(MAX(CY38:DD38)&gt;DD43+6+$B$18,1,0))</f>
        <v>0</v>
      </c>
      <c r="DE55" s="385" t="n">
        <f aca="false">IF(105&lt;5,0,IF(MAX(CZ38:DE38)&gt;DE43+6+$B$18,1,0))</f>
        <v>0</v>
      </c>
    </row>
    <row r="56" customFormat="false" ht="13.5" hidden="false" customHeight="true" outlineLevel="0" collapsed="false">
      <c r="A56" s="110" t="s">
        <v>1389</v>
      </c>
      <c r="B56" s="213" t="n">
        <f aca="false">$B$27</f>
        <v>125000</v>
      </c>
      <c r="E56" s="385" t="n">
        <f aca="false">IF(1&lt;5,0,IF(MAX(E38:E38)&gt;E43+7+$B$18,1,0))</f>
        <v>0</v>
      </c>
      <c r="F56" s="385" t="n">
        <f aca="false">IF(2&lt;5,0,IF(MAX(E38:F38)&gt;F43+7+$B$18,1,0))</f>
        <v>0</v>
      </c>
      <c r="G56" s="385" t="n">
        <f aca="false">IF(3&lt;5,0,IF(MAX(E38:G38)&gt;G43+7+$B$18,1,0))</f>
        <v>0</v>
      </c>
      <c r="H56" s="385" t="n">
        <f aca="false">IF(4&lt;5,0,IF(MAX(E38:H38)&gt;H43+7+$B$18,1,0))</f>
        <v>0</v>
      </c>
      <c r="I56" s="385" t="n">
        <f aca="false">IF(5&lt;5,0,IF(MAX(E38:I38)&gt;I43+7+$B$18,1,0))</f>
        <v>0</v>
      </c>
      <c r="J56" s="385" t="n">
        <f aca="false">IF(6&lt;5,0,IF(MAX(E38:J38)&gt;J43+7+$B$18,1,0))</f>
        <v>0</v>
      </c>
      <c r="K56" s="385" t="n">
        <f aca="false">IF(7&lt;5,0,IF(MAX(F38:K38)&gt;K43+7+$B$18,1,0))</f>
        <v>0</v>
      </c>
      <c r="L56" s="385" t="n">
        <f aca="false">IF(8&lt;5,0,IF(MAX(G38:L38)&gt;L43+7+$B$18,1,0))</f>
        <v>0</v>
      </c>
      <c r="M56" s="385" t="n">
        <f aca="false">IF(9&lt;5,0,IF(MAX(H38:M38)&gt;M43+7+$B$18,1,0))</f>
        <v>0</v>
      </c>
      <c r="N56" s="385" t="n">
        <f aca="false">IF(10&lt;5,0,IF(MAX(I38:N38)&gt;N43+7+$B$18,1,0))</f>
        <v>0</v>
      </c>
      <c r="O56" s="385" t="n">
        <f aca="false">IF(11&lt;5,0,IF(MAX(J38:O38)&gt;O43+7+$B$18,1,0))</f>
        <v>0</v>
      </c>
      <c r="P56" s="385" t="n">
        <f aca="false">IF(12&lt;5,0,IF(MAX(K38:P38)&gt;P43+7+$B$18,1,0))</f>
        <v>0</v>
      </c>
      <c r="Q56" s="385" t="n">
        <f aca="false">IF(13&lt;5,0,IF(MAX(L38:Q38)&gt;Q43+7+$B$18,1,0))</f>
        <v>0</v>
      </c>
      <c r="R56" s="385" t="n">
        <f aca="false">IF(14&lt;5,0,IF(MAX(M38:R38)&gt;R43+7+$B$18,1,0))</f>
        <v>0</v>
      </c>
      <c r="S56" s="385" t="n">
        <f aca="false">IF(15&lt;5,0,IF(MAX(N38:S38)&gt;S43+7+$B$18,1,0))</f>
        <v>0</v>
      </c>
      <c r="T56" s="385" t="n">
        <f aca="false">IF(16&lt;5,0,IF(MAX(O38:T38)&gt;T43+7+$B$18,1,0))</f>
        <v>0</v>
      </c>
      <c r="U56" s="385" t="n">
        <f aca="false">IF(17&lt;5,0,IF(MAX(P38:U38)&gt;U43+7+$B$18,1,0))</f>
        <v>0</v>
      </c>
      <c r="V56" s="385" t="n">
        <f aca="false">IF(18&lt;5,0,IF(MAX(Q38:V38)&gt;V43+7+$B$18,1,0))</f>
        <v>0</v>
      </c>
      <c r="W56" s="385" t="n">
        <f aca="false">IF(19&lt;5,0,IF(MAX(R38:W38)&gt;W43+7+$B$18,1,0))</f>
        <v>0</v>
      </c>
      <c r="X56" s="385" t="n">
        <f aca="false">IF(20&lt;5,0,IF(MAX(S38:X38)&gt;X43+7+$B$18,1,0))</f>
        <v>0</v>
      </c>
      <c r="Y56" s="385" t="n">
        <f aca="false">IF(21&lt;5,0,IF(MAX(T38:Y38)&gt;Y43+7+$B$18,1,0))</f>
        <v>0</v>
      </c>
      <c r="Z56" s="385" t="n">
        <f aca="false">IF(22&lt;5,0,IF(MAX(U38:Z38)&gt;Z43+7+$B$18,1,0))</f>
        <v>0</v>
      </c>
      <c r="AA56" s="385" t="n">
        <f aca="false">IF(23&lt;5,0,IF(MAX(V38:AA38)&gt;AA43+7+$B$18,1,0))</f>
        <v>0</v>
      </c>
      <c r="AB56" s="385" t="n">
        <f aca="false">IF(24&lt;5,0,IF(MAX(W38:AB38)&gt;AB43+7+$B$18,1,0))</f>
        <v>0</v>
      </c>
      <c r="AC56" s="385" t="n">
        <f aca="false">IF(25&lt;5,0,IF(MAX(X38:AC38)&gt;AC43+7+$B$18,1,0))</f>
        <v>0</v>
      </c>
      <c r="AD56" s="385" t="n">
        <f aca="false">IF(26&lt;5,0,IF(MAX(Y38:AD38)&gt;AD43+7+$B$18,1,0))</f>
        <v>0</v>
      </c>
      <c r="AE56" s="385" t="n">
        <f aca="false">IF(27&lt;5,0,IF(MAX(Z38:AE38)&gt;AE43+7+$B$18,1,0))</f>
        <v>0</v>
      </c>
      <c r="AF56" s="385" t="n">
        <f aca="false">IF(28&lt;5,0,IF(MAX(AA38:AF38)&gt;AF43+7+$B$18,1,0))</f>
        <v>0</v>
      </c>
      <c r="AG56" s="385" t="n">
        <f aca="false">IF(29&lt;5,0,IF(MAX(AB38:AG38)&gt;AG43+7+$B$18,1,0))</f>
        <v>0</v>
      </c>
      <c r="AH56" s="385" t="n">
        <f aca="false">IF(30&lt;5,0,IF(MAX(AC38:AH38)&gt;AH43+7+$B$18,1,0))</f>
        <v>0</v>
      </c>
      <c r="AI56" s="385" t="n">
        <f aca="false">IF(31&lt;5,0,IF(MAX(AD38:AI38)&gt;AI43+7+$B$18,1,0))</f>
        <v>0</v>
      </c>
      <c r="AJ56" s="385" t="n">
        <f aca="false">IF(32&lt;5,0,IF(MAX(AE38:AJ38)&gt;AJ43+7+$B$18,1,0))</f>
        <v>0</v>
      </c>
      <c r="AK56" s="385" t="n">
        <f aca="false">IF(33&lt;5,0,IF(MAX(AF38:AK38)&gt;AK43+7+$B$18,1,0))</f>
        <v>0</v>
      </c>
      <c r="AL56" s="385" t="n">
        <f aca="false">IF(34&lt;5,0,IF(MAX(AG38:AL38)&gt;AL43+7+$B$18,1,0))</f>
        <v>0</v>
      </c>
      <c r="AM56" s="385" t="n">
        <f aca="false">IF(35&lt;5,0,IF(MAX(AH38:AM38)&gt;AM43+7+$B$18,1,0))</f>
        <v>0</v>
      </c>
      <c r="AN56" s="385" t="n">
        <f aca="false">IF(36&lt;5,0,IF(MAX(AI38:AN38)&gt;AN43+7+$B$18,1,0))</f>
        <v>0</v>
      </c>
      <c r="AO56" s="385" t="n">
        <f aca="false">IF(37&lt;5,0,IF(MAX(AJ38:AO38)&gt;AO43+7+$B$18,1,0))</f>
        <v>0</v>
      </c>
      <c r="AP56" s="385" t="n">
        <f aca="false">IF(38&lt;5,0,IF(MAX(AK38:AP38)&gt;AP43+7+$B$18,1,0))</f>
        <v>0</v>
      </c>
      <c r="AQ56" s="385" t="n">
        <f aca="false">IF(39&lt;5,0,IF(MAX(AL38:AQ38)&gt;AQ43+7+$B$18,1,0))</f>
        <v>0</v>
      </c>
      <c r="AR56" s="385" t="n">
        <f aca="false">IF(40&lt;5,0,IF(MAX(AM38:AR38)&gt;AR43+7+$B$18,1,0))</f>
        <v>0</v>
      </c>
      <c r="AS56" s="385" t="n">
        <f aca="false">IF(41&lt;5,0,IF(MAX(AN38:AS38)&gt;AS43+7+$B$18,1,0))</f>
        <v>0</v>
      </c>
      <c r="AT56" s="385" t="n">
        <f aca="false">IF(42&lt;5,0,IF(MAX(AO38:AT38)&gt;AT43+7+$B$18,1,0))</f>
        <v>0</v>
      </c>
      <c r="AU56" s="385" t="n">
        <f aca="false">IF(43&lt;5,0,IF(MAX(AP38:AU38)&gt;AU43+7+$B$18,1,0))</f>
        <v>0</v>
      </c>
      <c r="AV56" s="385" t="n">
        <f aca="false">IF(44&lt;5,0,IF(MAX(AQ38:AV38)&gt;AV43+7+$B$18,1,0))</f>
        <v>0</v>
      </c>
      <c r="AW56" s="385" t="n">
        <f aca="false">IF(45&lt;5,0,IF(MAX(AR38:AW38)&gt;AW43+7+$B$18,1,0))</f>
        <v>0</v>
      </c>
      <c r="AX56" s="385" t="n">
        <f aca="false">IF(46&lt;5,0,IF(MAX(AS38:AX38)&gt;AX43+7+$B$18,1,0))</f>
        <v>0</v>
      </c>
      <c r="AY56" s="385" t="n">
        <f aca="false">IF(47&lt;5,0,IF(MAX(AT38:AY38)&gt;AY43+7+$B$18,1,0))</f>
        <v>0</v>
      </c>
      <c r="AZ56" s="385" t="n">
        <f aca="false">IF(48&lt;5,0,IF(MAX(AU38:AZ38)&gt;AZ43+7+$B$18,1,0))</f>
        <v>0</v>
      </c>
      <c r="BA56" s="385" t="n">
        <f aca="false">IF(49&lt;5,0,IF(MAX(AV38:BA38)&gt;BA43+7+$B$18,1,0))</f>
        <v>0</v>
      </c>
      <c r="BB56" s="385" t="n">
        <f aca="false">IF(50&lt;5,0,IF(MAX(AW38:BB38)&gt;BB43+7+$B$18,1,0))</f>
        <v>0</v>
      </c>
      <c r="BC56" s="385" t="n">
        <f aca="false">IF(51&lt;5,0,IF(MAX(AX38:BC38)&gt;BC43+7+$B$18,1,0))</f>
        <v>0</v>
      </c>
      <c r="BD56" s="385" t="n">
        <f aca="false">IF(52&lt;5,0,IF(MAX(AY38:BD38)&gt;BD43+7+$B$18,1,0))</f>
        <v>0</v>
      </c>
      <c r="BE56" s="385" t="n">
        <f aca="false">IF(53&lt;5,0,IF(MAX(AZ38:BE38)&gt;BE43+7+$B$18,1,0))</f>
        <v>0</v>
      </c>
      <c r="BF56" s="385" t="n">
        <f aca="false">IF(54&lt;5,0,IF(MAX(BA38:BF38)&gt;BF43+7+$B$18,1,0))</f>
        <v>0</v>
      </c>
      <c r="BG56" s="385" t="n">
        <f aca="false">IF(55&lt;5,0,IF(MAX(BB38:BG38)&gt;BG43+7+$B$18,1,0))</f>
        <v>0</v>
      </c>
      <c r="BH56" s="385" t="n">
        <f aca="false">IF(56&lt;5,0,IF(MAX(BC38:BH38)&gt;BH43+7+$B$18,1,0))</f>
        <v>0</v>
      </c>
      <c r="BI56" s="385" t="n">
        <f aca="false">IF(57&lt;5,0,IF(MAX(BD38:BI38)&gt;BI43+7+$B$18,1,0))</f>
        <v>0</v>
      </c>
      <c r="BJ56" s="385" t="n">
        <f aca="false">IF(58&lt;5,0,IF(MAX(BE38:BJ38)&gt;BJ43+7+$B$18,1,0))</f>
        <v>0</v>
      </c>
      <c r="BK56" s="385" t="n">
        <f aca="false">IF(59&lt;5,0,IF(MAX(BF38:BK38)&gt;BK43+7+$B$18,1,0))</f>
        <v>0</v>
      </c>
      <c r="BL56" s="385" t="n">
        <f aca="false">IF(60&lt;5,0,IF(MAX(BG38:BL38)&gt;BL43+7+$B$18,1,0))</f>
        <v>0</v>
      </c>
      <c r="BM56" s="385" t="n">
        <f aca="false">IF(61&lt;5,0,IF(MAX(BH38:BM38)&gt;BM43+7+$B$18,1,0))</f>
        <v>0</v>
      </c>
      <c r="BN56" s="385" t="n">
        <f aca="false">IF(62&lt;5,0,IF(MAX(BI38:BN38)&gt;BN43+7+$B$18,1,0))</f>
        <v>0</v>
      </c>
      <c r="BO56" s="385" t="n">
        <f aca="false">IF(63&lt;5,0,IF(MAX(BJ38:BO38)&gt;BO43+7+$B$18,1,0))</f>
        <v>0</v>
      </c>
      <c r="BP56" s="385" t="n">
        <f aca="false">IF(64&lt;5,0,IF(MAX(BK38:BP38)&gt;BP43+7+$B$18,1,0))</f>
        <v>0</v>
      </c>
      <c r="BQ56" s="385" t="n">
        <f aca="false">IF(65&lt;5,0,IF(MAX(BL38:BQ38)&gt;BQ43+7+$B$18,1,0))</f>
        <v>0</v>
      </c>
      <c r="BR56" s="385" t="n">
        <f aca="false">IF(66&lt;5,0,IF(MAX(BM38:BR38)&gt;BR43+7+$B$18,1,0))</f>
        <v>0</v>
      </c>
      <c r="BS56" s="385" t="n">
        <f aca="false">IF(67&lt;5,0,IF(MAX(BN38:BS38)&gt;BS43+7+$B$18,1,0))</f>
        <v>0</v>
      </c>
      <c r="BT56" s="385" t="n">
        <f aca="false">IF(68&lt;5,0,IF(MAX(BO38:BT38)&gt;BT43+7+$B$18,1,0))</f>
        <v>0</v>
      </c>
      <c r="BU56" s="385" t="n">
        <f aca="false">IF(69&lt;5,0,IF(MAX(BP38:BU38)&gt;BU43+7+$B$18,1,0))</f>
        <v>0</v>
      </c>
      <c r="BV56" s="385" t="n">
        <f aca="false">IF(70&lt;5,0,IF(MAX(BQ38:BV38)&gt;BV43+7+$B$18,1,0))</f>
        <v>0</v>
      </c>
      <c r="BW56" s="385" t="n">
        <f aca="false">IF(71&lt;5,0,IF(MAX(BR38:BW38)&gt;BW43+7+$B$18,1,0))</f>
        <v>0</v>
      </c>
      <c r="BX56" s="385" t="n">
        <f aca="false">IF(72&lt;5,0,IF(MAX(BS38:BX38)&gt;BX43+7+$B$18,1,0))</f>
        <v>0</v>
      </c>
      <c r="BY56" s="385" t="n">
        <f aca="false">IF(73&lt;5,0,IF(MAX(BT38:BY38)&gt;BY43+7+$B$18,1,0))</f>
        <v>0</v>
      </c>
      <c r="BZ56" s="385" t="n">
        <f aca="false">IF(74&lt;5,0,IF(MAX(BU38:BZ38)&gt;BZ43+7+$B$18,1,0))</f>
        <v>0</v>
      </c>
      <c r="CA56" s="385" t="n">
        <f aca="false">IF(75&lt;5,0,IF(MAX(BV38:CA38)&gt;CA43+7+$B$18,1,0))</f>
        <v>0</v>
      </c>
      <c r="CB56" s="385" t="n">
        <f aca="false">IF(76&lt;5,0,IF(MAX(BW38:CB38)&gt;CB43+7+$B$18,1,0))</f>
        <v>0</v>
      </c>
      <c r="CC56" s="385" t="n">
        <f aca="false">IF(77&lt;5,0,IF(MAX(BX38:CC38)&gt;CC43+7+$B$18,1,0))</f>
        <v>0</v>
      </c>
      <c r="CD56" s="385" t="n">
        <f aca="false">IF(78&lt;5,0,IF(MAX(BY38:CD38)&gt;CD43+7+$B$18,1,0))</f>
        <v>0</v>
      </c>
      <c r="CE56" s="385" t="n">
        <f aca="false">IF(79&lt;5,0,IF(MAX(BZ38:CE38)&gt;CE43+7+$B$18,1,0))</f>
        <v>0</v>
      </c>
      <c r="CF56" s="385" t="n">
        <f aca="false">IF(80&lt;5,0,IF(MAX(CA38:CF38)&gt;CF43+7+$B$18,1,0))</f>
        <v>0</v>
      </c>
      <c r="CG56" s="385" t="n">
        <f aca="false">IF(81&lt;5,0,IF(MAX(CB38:CG38)&gt;CG43+7+$B$18,1,0))</f>
        <v>0</v>
      </c>
      <c r="CH56" s="385" t="n">
        <f aca="false">IF(82&lt;5,0,IF(MAX(CC38:CH38)&gt;CH43+7+$B$18,1,0))</f>
        <v>0</v>
      </c>
      <c r="CI56" s="385" t="n">
        <f aca="false">IF(83&lt;5,0,IF(MAX(CD38:CI38)&gt;CI43+7+$B$18,1,0))</f>
        <v>0</v>
      </c>
      <c r="CJ56" s="385" t="n">
        <f aca="false">IF(84&lt;5,0,IF(MAX(CE38:CJ38)&gt;CJ43+7+$B$18,1,0))</f>
        <v>0</v>
      </c>
      <c r="CK56" s="385" t="n">
        <f aca="false">IF(85&lt;5,0,IF(MAX(CF38:CK38)&gt;CK43+7+$B$18,1,0))</f>
        <v>0</v>
      </c>
      <c r="CL56" s="385" t="n">
        <f aca="false">IF(86&lt;5,0,IF(MAX(CG38:CL38)&gt;CL43+7+$B$18,1,0))</f>
        <v>0</v>
      </c>
      <c r="CM56" s="385" t="n">
        <f aca="false">IF(87&lt;5,0,IF(MAX(CH38:CM38)&gt;CM43+7+$B$18,1,0))</f>
        <v>0</v>
      </c>
      <c r="CN56" s="385" t="n">
        <f aca="false">IF(88&lt;5,0,IF(MAX(CI38:CN38)&gt;CN43+7+$B$18,1,0))</f>
        <v>0</v>
      </c>
      <c r="CO56" s="385" t="n">
        <f aca="false">IF(89&lt;5,0,IF(MAX(CJ38:CO38)&gt;CO43+7+$B$18,1,0))</f>
        <v>0</v>
      </c>
      <c r="CP56" s="385" t="n">
        <f aca="false">IF(90&lt;5,0,IF(MAX(CK38:CP38)&gt;CP43+7+$B$18,1,0))</f>
        <v>0</v>
      </c>
      <c r="CQ56" s="385" t="n">
        <f aca="false">IF(91&lt;5,0,IF(MAX(CL38:CQ38)&gt;CQ43+7+$B$18,1,0))</f>
        <v>0</v>
      </c>
      <c r="CR56" s="385" t="n">
        <f aca="false">IF(92&lt;5,0,IF(MAX(CM38:CR38)&gt;CR43+7+$B$18,1,0))</f>
        <v>0</v>
      </c>
      <c r="CS56" s="385" t="n">
        <f aca="false">IF(93&lt;5,0,IF(MAX(CN38:CS38)&gt;CS43+7+$B$18,1,0))</f>
        <v>0</v>
      </c>
      <c r="CT56" s="385" t="n">
        <f aca="false">IF(94&lt;5,0,IF(MAX(CO38:CT38)&gt;CT43+7+$B$18,1,0))</f>
        <v>0</v>
      </c>
      <c r="CU56" s="385" t="n">
        <f aca="false">IF(95&lt;5,0,IF(MAX(CP38:CU38)&gt;CU43+7+$B$18,1,0))</f>
        <v>0</v>
      </c>
      <c r="CV56" s="385" t="n">
        <f aca="false">IF(96&lt;5,0,IF(MAX(CQ38:CV38)&gt;CV43+7+$B$18,1,0))</f>
        <v>0</v>
      </c>
      <c r="CW56" s="385" t="n">
        <f aca="false">IF(97&lt;5,0,IF(MAX(CR38:CW38)&gt;CW43+7+$B$18,1,0))</f>
        <v>0</v>
      </c>
      <c r="CX56" s="385" t="n">
        <f aca="false">IF(98&lt;5,0,IF(MAX(CS38:CX38)&gt;CX43+7+$B$18,1,0))</f>
        <v>0</v>
      </c>
      <c r="CY56" s="385" t="n">
        <f aca="false">IF(99&lt;5,0,IF(MAX(CT38:CY38)&gt;CY43+7+$B$18,1,0))</f>
        <v>0</v>
      </c>
      <c r="CZ56" s="385" t="n">
        <f aca="false">IF(100&lt;5,0,IF(MAX(CU38:CZ38)&gt;CZ43+7+$B$18,1,0))</f>
        <v>0</v>
      </c>
      <c r="DA56" s="385" t="n">
        <f aca="false">IF(101&lt;5,0,IF(MAX(CV38:DA38)&gt;DA43+7+$B$18,1,0))</f>
        <v>0</v>
      </c>
      <c r="DB56" s="385" t="n">
        <f aca="false">IF(102&lt;5,0,IF(MAX(CW38:DB38)&gt;DB43+7+$B$18,1,0))</f>
        <v>0</v>
      </c>
      <c r="DC56" s="385" t="n">
        <f aca="false">IF(103&lt;5,0,IF(MAX(CX38:DC38)&gt;DC43+7+$B$18,1,0))</f>
        <v>0</v>
      </c>
      <c r="DD56" s="385" t="n">
        <f aca="false">IF(104&lt;5,0,IF(MAX(CY38:DD38)&gt;DD43+7+$B$18,1,0))</f>
        <v>0</v>
      </c>
      <c r="DE56" s="385" t="n">
        <f aca="false">IF(105&lt;5,0,IF(MAX(CZ38:DE38)&gt;DE43+7+$B$18,1,0))</f>
        <v>0</v>
      </c>
    </row>
    <row r="57" customFormat="false" ht="13.5" hidden="false" customHeight="true" outlineLevel="0" collapsed="false">
      <c r="A57" s="110" t="s">
        <v>1390</v>
      </c>
      <c r="B57" s="213" t="n">
        <f aca="false">$B$27</f>
        <v>125000</v>
      </c>
      <c r="E57" s="385" t="n">
        <f aca="false">IF(1&lt;5,0,IF(MAX(E38:E38)&gt;E43+8+$B$18,1,0))</f>
        <v>0</v>
      </c>
      <c r="F57" s="385" t="n">
        <f aca="false">IF(2&lt;5,0,IF(MAX(E38:F38)&gt;F43+8+$B$18,1,0))</f>
        <v>0</v>
      </c>
      <c r="G57" s="385" t="n">
        <f aca="false">IF(3&lt;5,0,IF(MAX(E38:G38)&gt;G43+8+$B$18,1,0))</f>
        <v>0</v>
      </c>
      <c r="H57" s="385" t="n">
        <f aca="false">IF(4&lt;5,0,IF(MAX(E38:H38)&gt;H43+8+$B$18,1,0))</f>
        <v>0</v>
      </c>
      <c r="I57" s="385" t="n">
        <f aca="false">IF(5&lt;5,0,IF(MAX(E38:I38)&gt;I43+8+$B$18,1,0))</f>
        <v>0</v>
      </c>
      <c r="J57" s="385" t="n">
        <f aca="false">IF(6&lt;5,0,IF(MAX(E38:J38)&gt;J43+8+$B$18,1,0))</f>
        <v>0</v>
      </c>
      <c r="K57" s="385" t="n">
        <f aca="false">IF(7&lt;5,0,IF(MAX(F38:K38)&gt;K43+8+$B$18,1,0))</f>
        <v>0</v>
      </c>
      <c r="L57" s="385" t="n">
        <f aca="false">IF(8&lt;5,0,IF(MAX(G38:L38)&gt;L43+8+$B$18,1,0))</f>
        <v>0</v>
      </c>
      <c r="M57" s="385" t="n">
        <f aca="false">IF(9&lt;5,0,IF(MAX(H38:M38)&gt;M43+8+$B$18,1,0))</f>
        <v>0</v>
      </c>
      <c r="N57" s="385" t="n">
        <f aca="false">IF(10&lt;5,0,IF(MAX(I38:N38)&gt;N43+8+$B$18,1,0))</f>
        <v>0</v>
      </c>
      <c r="O57" s="385" t="n">
        <f aca="false">IF(11&lt;5,0,IF(MAX(J38:O38)&gt;O43+8+$B$18,1,0))</f>
        <v>0</v>
      </c>
      <c r="P57" s="385" t="n">
        <f aca="false">IF(12&lt;5,0,IF(MAX(K38:P38)&gt;P43+8+$B$18,1,0))</f>
        <v>0</v>
      </c>
      <c r="Q57" s="385" t="n">
        <f aca="false">IF(13&lt;5,0,IF(MAX(L38:Q38)&gt;Q43+8+$B$18,1,0))</f>
        <v>0</v>
      </c>
      <c r="R57" s="385" t="n">
        <f aca="false">IF(14&lt;5,0,IF(MAX(M38:R38)&gt;R43+8+$B$18,1,0))</f>
        <v>0</v>
      </c>
      <c r="S57" s="385" t="n">
        <f aca="false">IF(15&lt;5,0,IF(MAX(N38:S38)&gt;S43+8+$B$18,1,0))</f>
        <v>0</v>
      </c>
      <c r="T57" s="385" t="n">
        <f aca="false">IF(16&lt;5,0,IF(MAX(O38:T38)&gt;T43+8+$B$18,1,0))</f>
        <v>0</v>
      </c>
      <c r="U57" s="385" t="n">
        <f aca="false">IF(17&lt;5,0,IF(MAX(P38:U38)&gt;U43+8+$B$18,1,0))</f>
        <v>0</v>
      </c>
      <c r="V57" s="385" t="n">
        <f aca="false">IF(18&lt;5,0,IF(MAX(Q38:V38)&gt;V43+8+$B$18,1,0))</f>
        <v>0</v>
      </c>
      <c r="W57" s="385" t="n">
        <f aca="false">IF(19&lt;5,0,IF(MAX(R38:W38)&gt;W43+8+$B$18,1,0))</f>
        <v>0</v>
      </c>
      <c r="X57" s="385" t="n">
        <f aca="false">IF(20&lt;5,0,IF(MAX(S38:X38)&gt;X43+8+$B$18,1,0))</f>
        <v>0</v>
      </c>
      <c r="Y57" s="385" t="n">
        <f aca="false">IF(21&lt;5,0,IF(MAX(T38:Y38)&gt;Y43+8+$B$18,1,0))</f>
        <v>0</v>
      </c>
      <c r="Z57" s="385" t="n">
        <f aca="false">IF(22&lt;5,0,IF(MAX(U38:Z38)&gt;Z43+8+$B$18,1,0))</f>
        <v>0</v>
      </c>
      <c r="AA57" s="385" t="n">
        <f aca="false">IF(23&lt;5,0,IF(MAX(V38:AA38)&gt;AA43+8+$B$18,1,0))</f>
        <v>0</v>
      </c>
      <c r="AB57" s="385" t="n">
        <f aca="false">IF(24&lt;5,0,IF(MAX(W38:AB38)&gt;AB43+8+$B$18,1,0))</f>
        <v>0</v>
      </c>
      <c r="AC57" s="385" t="n">
        <f aca="false">IF(25&lt;5,0,IF(MAX(X38:AC38)&gt;AC43+8+$B$18,1,0))</f>
        <v>0</v>
      </c>
      <c r="AD57" s="385" t="n">
        <f aca="false">IF(26&lt;5,0,IF(MAX(Y38:AD38)&gt;AD43+8+$B$18,1,0))</f>
        <v>0</v>
      </c>
      <c r="AE57" s="385" t="n">
        <f aca="false">IF(27&lt;5,0,IF(MAX(Z38:AE38)&gt;AE43+8+$B$18,1,0))</f>
        <v>0</v>
      </c>
      <c r="AF57" s="385" t="n">
        <f aca="false">IF(28&lt;5,0,IF(MAX(AA38:AF38)&gt;AF43+8+$B$18,1,0))</f>
        <v>0</v>
      </c>
      <c r="AG57" s="385" t="n">
        <f aca="false">IF(29&lt;5,0,IF(MAX(AB38:AG38)&gt;AG43+8+$B$18,1,0))</f>
        <v>0</v>
      </c>
      <c r="AH57" s="385" t="n">
        <f aca="false">IF(30&lt;5,0,IF(MAX(AC38:AH38)&gt;AH43+8+$B$18,1,0))</f>
        <v>0</v>
      </c>
      <c r="AI57" s="385" t="n">
        <f aca="false">IF(31&lt;5,0,IF(MAX(AD38:AI38)&gt;AI43+8+$B$18,1,0))</f>
        <v>0</v>
      </c>
      <c r="AJ57" s="385" t="n">
        <f aca="false">IF(32&lt;5,0,IF(MAX(AE38:AJ38)&gt;AJ43+8+$B$18,1,0))</f>
        <v>0</v>
      </c>
      <c r="AK57" s="385" t="n">
        <f aca="false">IF(33&lt;5,0,IF(MAX(AF38:AK38)&gt;AK43+8+$B$18,1,0))</f>
        <v>0</v>
      </c>
      <c r="AL57" s="385" t="n">
        <f aca="false">IF(34&lt;5,0,IF(MAX(AG38:AL38)&gt;AL43+8+$B$18,1,0))</f>
        <v>0</v>
      </c>
      <c r="AM57" s="385" t="n">
        <f aca="false">IF(35&lt;5,0,IF(MAX(AH38:AM38)&gt;AM43+8+$B$18,1,0))</f>
        <v>0</v>
      </c>
      <c r="AN57" s="385" t="n">
        <f aca="false">IF(36&lt;5,0,IF(MAX(AI38:AN38)&gt;AN43+8+$B$18,1,0))</f>
        <v>0</v>
      </c>
      <c r="AO57" s="385" t="n">
        <f aca="false">IF(37&lt;5,0,IF(MAX(AJ38:AO38)&gt;AO43+8+$B$18,1,0))</f>
        <v>0</v>
      </c>
      <c r="AP57" s="385" t="n">
        <f aca="false">IF(38&lt;5,0,IF(MAX(AK38:AP38)&gt;AP43+8+$B$18,1,0))</f>
        <v>0</v>
      </c>
      <c r="AQ57" s="385" t="n">
        <f aca="false">IF(39&lt;5,0,IF(MAX(AL38:AQ38)&gt;AQ43+8+$B$18,1,0))</f>
        <v>0</v>
      </c>
      <c r="AR57" s="385" t="n">
        <f aca="false">IF(40&lt;5,0,IF(MAX(AM38:AR38)&gt;AR43+8+$B$18,1,0))</f>
        <v>0</v>
      </c>
      <c r="AS57" s="385" t="n">
        <f aca="false">IF(41&lt;5,0,IF(MAX(AN38:AS38)&gt;AS43+8+$B$18,1,0))</f>
        <v>0</v>
      </c>
      <c r="AT57" s="385" t="n">
        <f aca="false">IF(42&lt;5,0,IF(MAX(AO38:AT38)&gt;AT43+8+$B$18,1,0))</f>
        <v>0</v>
      </c>
      <c r="AU57" s="385" t="n">
        <f aca="false">IF(43&lt;5,0,IF(MAX(AP38:AU38)&gt;AU43+8+$B$18,1,0))</f>
        <v>0</v>
      </c>
      <c r="AV57" s="385" t="n">
        <f aca="false">IF(44&lt;5,0,IF(MAX(AQ38:AV38)&gt;AV43+8+$B$18,1,0))</f>
        <v>0</v>
      </c>
      <c r="AW57" s="385" t="n">
        <f aca="false">IF(45&lt;5,0,IF(MAX(AR38:AW38)&gt;AW43+8+$B$18,1,0))</f>
        <v>0</v>
      </c>
      <c r="AX57" s="385" t="n">
        <f aca="false">IF(46&lt;5,0,IF(MAX(AS38:AX38)&gt;AX43+8+$B$18,1,0))</f>
        <v>0</v>
      </c>
      <c r="AY57" s="385" t="n">
        <f aca="false">IF(47&lt;5,0,IF(MAX(AT38:AY38)&gt;AY43+8+$B$18,1,0))</f>
        <v>0</v>
      </c>
      <c r="AZ57" s="385" t="n">
        <f aca="false">IF(48&lt;5,0,IF(MAX(AU38:AZ38)&gt;AZ43+8+$B$18,1,0))</f>
        <v>0</v>
      </c>
      <c r="BA57" s="385" t="n">
        <f aca="false">IF(49&lt;5,0,IF(MAX(AV38:BA38)&gt;BA43+8+$B$18,1,0))</f>
        <v>0</v>
      </c>
      <c r="BB57" s="385" t="n">
        <f aca="false">IF(50&lt;5,0,IF(MAX(AW38:BB38)&gt;BB43+8+$B$18,1,0))</f>
        <v>0</v>
      </c>
      <c r="BC57" s="385" t="n">
        <f aca="false">IF(51&lt;5,0,IF(MAX(AX38:BC38)&gt;BC43+8+$B$18,1,0))</f>
        <v>0</v>
      </c>
      <c r="BD57" s="385" t="n">
        <f aca="false">IF(52&lt;5,0,IF(MAX(AY38:BD38)&gt;BD43+8+$B$18,1,0))</f>
        <v>0</v>
      </c>
      <c r="BE57" s="385" t="n">
        <f aca="false">IF(53&lt;5,0,IF(MAX(AZ38:BE38)&gt;BE43+8+$B$18,1,0))</f>
        <v>0</v>
      </c>
      <c r="BF57" s="385" t="n">
        <f aca="false">IF(54&lt;5,0,IF(MAX(BA38:BF38)&gt;BF43+8+$B$18,1,0))</f>
        <v>0</v>
      </c>
      <c r="BG57" s="385" t="n">
        <f aca="false">IF(55&lt;5,0,IF(MAX(BB38:BG38)&gt;BG43+8+$B$18,1,0))</f>
        <v>0</v>
      </c>
      <c r="BH57" s="385" t="n">
        <f aca="false">IF(56&lt;5,0,IF(MAX(BC38:BH38)&gt;BH43+8+$B$18,1,0))</f>
        <v>0</v>
      </c>
      <c r="BI57" s="385" t="n">
        <f aca="false">IF(57&lt;5,0,IF(MAX(BD38:BI38)&gt;BI43+8+$B$18,1,0))</f>
        <v>0</v>
      </c>
      <c r="BJ57" s="385" t="n">
        <f aca="false">IF(58&lt;5,0,IF(MAX(BE38:BJ38)&gt;BJ43+8+$B$18,1,0))</f>
        <v>0</v>
      </c>
      <c r="BK57" s="385" t="n">
        <f aca="false">IF(59&lt;5,0,IF(MAX(BF38:BK38)&gt;BK43+8+$B$18,1,0))</f>
        <v>0</v>
      </c>
      <c r="BL57" s="385" t="n">
        <f aca="false">IF(60&lt;5,0,IF(MAX(BG38:BL38)&gt;BL43+8+$B$18,1,0))</f>
        <v>0</v>
      </c>
      <c r="BM57" s="385" t="n">
        <f aca="false">IF(61&lt;5,0,IF(MAX(BH38:BM38)&gt;BM43+8+$B$18,1,0))</f>
        <v>0</v>
      </c>
      <c r="BN57" s="385" t="n">
        <f aca="false">IF(62&lt;5,0,IF(MAX(BI38:BN38)&gt;BN43+8+$B$18,1,0))</f>
        <v>0</v>
      </c>
      <c r="BO57" s="385" t="n">
        <f aca="false">IF(63&lt;5,0,IF(MAX(BJ38:BO38)&gt;BO43+8+$B$18,1,0))</f>
        <v>0</v>
      </c>
      <c r="BP57" s="385" t="n">
        <f aca="false">IF(64&lt;5,0,IF(MAX(BK38:BP38)&gt;BP43+8+$B$18,1,0))</f>
        <v>0</v>
      </c>
      <c r="BQ57" s="385" t="n">
        <f aca="false">IF(65&lt;5,0,IF(MAX(BL38:BQ38)&gt;BQ43+8+$B$18,1,0))</f>
        <v>0</v>
      </c>
      <c r="BR57" s="385" t="n">
        <f aca="false">IF(66&lt;5,0,IF(MAX(BM38:BR38)&gt;BR43+8+$B$18,1,0))</f>
        <v>0</v>
      </c>
      <c r="BS57" s="385" t="n">
        <f aca="false">IF(67&lt;5,0,IF(MAX(BN38:BS38)&gt;BS43+8+$B$18,1,0))</f>
        <v>0</v>
      </c>
      <c r="BT57" s="385" t="n">
        <f aca="false">IF(68&lt;5,0,IF(MAX(BO38:BT38)&gt;BT43+8+$B$18,1,0))</f>
        <v>0</v>
      </c>
      <c r="BU57" s="385" t="n">
        <f aca="false">IF(69&lt;5,0,IF(MAX(BP38:BU38)&gt;BU43+8+$B$18,1,0))</f>
        <v>0</v>
      </c>
      <c r="BV57" s="385" t="n">
        <f aca="false">IF(70&lt;5,0,IF(MAX(BQ38:BV38)&gt;BV43+8+$B$18,1,0))</f>
        <v>0</v>
      </c>
      <c r="BW57" s="385" t="n">
        <f aca="false">IF(71&lt;5,0,IF(MAX(BR38:BW38)&gt;BW43+8+$B$18,1,0))</f>
        <v>0</v>
      </c>
      <c r="BX57" s="385" t="n">
        <f aca="false">IF(72&lt;5,0,IF(MAX(BS38:BX38)&gt;BX43+8+$B$18,1,0))</f>
        <v>0</v>
      </c>
      <c r="BY57" s="385" t="n">
        <f aca="false">IF(73&lt;5,0,IF(MAX(BT38:BY38)&gt;BY43+8+$B$18,1,0))</f>
        <v>0</v>
      </c>
      <c r="BZ57" s="385" t="n">
        <f aca="false">IF(74&lt;5,0,IF(MAX(BU38:BZ38)&gt;BZ43+8+$B$18,1,0))</f>
        <v>0</v>
      </c>
      <c r="CA57" s="385" t="n">
        <f aca="false">IF(75&lt;5,0,IF(MAX(BV38:CA38)&gt;CA43+8+$B$18,1,0))</f>
        <v>0</v>
      </c>
      <c r="CB57" s="385" t="n">
        <f aca="false">IF(76&lt;5,0,IF(MAX(BW38:CB38)&gt;CB43+8+$B$18,1,0))</f>
        <v>0</v>
      </c>
      <c r="CC57" s="385" t="n">
        <f aca="false">IF(77&lt;5,0,IF(MAX(BX38:CC38)&gt;CC43+8+$B$18,1,0))</f>
        <v>0</v>
      </c>
      <c r="CD57" s="385" t="n">
        <f aca="false">IF(78&lt;5,0,IF(MAX(BY38:CD38)&gt;CD43+8+$B$18,1,0))</f>
        <v>0</v>
      </c>
      <c r="CE57" s="385" t="n">
        <f aca="false">IF(79&lt;5,0,IF(MAX(BZ38:CE38)&gt;CE43+8+$B$18,1,0))</f>
        <v>0</v>
      </c>
      <c r="CF57" s="385" t="n">
        <f aca="false">IF(80&lt;5,0,IF(MAX(CA38:CF38)&gt;CF43+8+$B$18,1,0))</f>
        <v>0</v>
      </c>
      <c r="CG57" s="385" t="n">
        <f aca="false">IF(81&lt;5,0,IF(MAX(CB38:CG38)&gt;CG43+8+$B$18,1,0))</f>
        <v>0</v>
      </c>
      <c r="CH57" s="385" t="n">
        <f aca="false">IF(82&lt;5,0,IF(MAX(CC38:CH38)&gt;CH43+8+$B$18,1,0))</f>
        <v>0</v>
      </c>
      <c r="CI57" s="385" t="n">
        <f aca="false">IF(83&lt;5,0,IF(MAX(CD38:CI38)&gt;CI43+8+$B$18,1,0))</f>
        <v>0</v>
      </c>
      <c r="CJ57" s="385" t="n">
        <f aca="false">IF(84&lt;5,0,IF(MAX(CE38:CJ38)&gt;CJ43+8+$B$18,1,0))</f>
        <v>0</v>
      </c>
      <c r="CK57" s="385" t="n">
        <f aca="false">IF(85&lt;5,0,IF(MAX(CF38:CK38)&gt;CK43+8+$B$18,1,0))</f>
        <v>0</v>
      </c>
      <c r="CL57" s="385" t="n">
        <f aca="false">IF(86&lt;5,0,IF(MAX(CG38:CL38)&gt;CL43+8+$B$18,1,0))</f>
        <v>0</v>
      </c>
      <c r="CM57" s="385" t="n">
        <f aca="false">IF(87&lt;5,0,IF(MAX(CH38:CM38)&gt;CM43+8+$B$18,1,0))</f>
        <v>0</v>
      </c>
      <c r="CN57" s="385" t="n">
        <f aca="false">IF(88&lt;5,0,IF(MAX(CI38:CN38)&gt;CN43+8+$B$18,1,0))</f>
        <v>0</v>
      </c>
      <c r="CO57" s="385" t="n">
        <f aca="false">IF(89&lt;5,0,IF(MAX(CJ38:CO38)&gt;CO43+8+$B$18,1,0))</f>
        <v>0</v>
      </c>
      <c r="CP57" s="385" t="n">
        <f aca="false">IF(90&lt;5,0,IF(MAX(CK38:CP38)&gt;CP43+8+$B$18,1,0))</f>
        <v>0</v>
      </c>
      <c r="CQ57" s="385" t="n">
        <f aca="false">IF(91&lt;5,0,IF(MAX(CL38:CQ38)&gt;CQ43+8+$B$18,1,0))</f>
        <v>0</v>
      </c>
      <c r="CR57" s="385" t="n">
        <f aca="false">IF(92&lt;5,0,IF(MAX(CM38:CR38)&gt;CR43+8+$B$18,1,0))</f>
        <v>0</v>
      </c>
      <c r="CS57" s="385" t="n">
        <f aca="false">IF(93&lt;5,0,IF(MAX(CN38:CS38)&gt;CS43+8+$B$18,1,0))</f>
        <v>0</v>
      </c>
      <c r="CT57" s="385" t="n">
        <f aca="false">IF(94&lt;5,0,IF(MAX(CO38:CT38)&gt;CT43+8+$B$18,1,0))</f>
        <v>0</v>
      </c>
      <c r="CU57" s="385" t="n">
        <f aca="false">IF(95&lt;5,0,IF(MAX(CP38:CU38)&gt;CU43+8+$B$18,1,0))</f>
        <v>0</v>
      </c>
      <c r="CV57" s="385" t="n">
        <f aca="false">IF(96&lt;5,0,IF(MAX(CQ38:CV38)&gt;CV43+8+$B$18,1,0))</f>
        <v>0</v>
      </c>
      <c r="CW57" s="385" t="n">
        <f aca="false">IF(97&lt;5,0,IF(MAX(CR38:CW38)&gt;CW43+8+$B$18,1,0))</f>
        <v>0</v>
      </c>
      <c r="CX57" s="385" t="n">
        <f aca="false">IF(98&lt;5,0,IF(MAX(CS38:CX38)&gt;CX43+8+$B$18,1,0))</f>
        <v>0</v>
      </c>
      <c r="CY57" s="385" t="n">
        <f aca="false">IF(99&lt;5,0,IF(MAX(CT38:CY38)&gt;CY43+8+$B$18,1,0))</f>
        <v>0</v>
      </c>
      <c r="CZ57" s="385" t="n">
        <f aca="false">IF(100&lt;5,0,IF(MAX(CU38:CZ38)&gt;CZ43+8+$B$18,1,0))</f>
        <v>0</v>
      </c>
      <c r="DA57" s="385" t="n">
        <f aca="false">IF(101&lt;5,0,IF(MAX(CV38:DA38)&gt;DA43+8+$B$18,1,0))</f>
        <v>0</v>
      </c>
      <c r="DB57" s="385" t="n">
        <f aca="false">IF(102&lt;5,0,IF(MAX(CW38:DB38)&gt;DB43+8+$B$18,1,0))</f>
        <v>0</v>
      </c>
      <c r="DC57" s="385" t="n">
        <f aca="false">IF(103&lt;5,0,IF(MAX(CX38:DC38)&gt;DC43+8+$B$18,1,0))</f>
        <v>0</v>
      </c>
      <c r="DD57" s="385" t="n">
        <f aca="false">IF(104&lt;5,0,IF(MAX(CY38:DD38)&gt;DD43+8+$B$18,1,0))</f>
        <v>0</v>
      </c>
      <c r="DE57" s="385" t="n">
        <f aca="false">IF(105&lt;5,0,IF(MAX(CZ38:DE38)&gt;DE43+8+$B$18,1,0))</f>
        <v>0</v>
      </c>
    </row>
    <row r="58" customFormat="false" ht="13.5" hidden="false" customHeight="true" outlineLevel="0" collapsed="false">
      <c r="A58" s="110" t="s">
        <v>1391</v>
      </c>
      <c r="B58" s="213" t="n">
        <f aca="false">$B$27</f>
        <v>125000</v>
      </c>
      <c r="E58" s="385" t="n">
        <f aca="false">IF(1&lt;5,0,IF(MAX(E38:E38)&gt;E43+9+$B$18,1,0))</f>
        <v>0</v>
      </c>
      <c r="F58" s="385" t="n">
        <f aca="false">IF(2&lt;5,0,IF(MAX(E38:F38)&gt;F43+9+$B$18,1,0))</f>
        <v>0</v>
      </c>
      <c r="G58" s="385" t="n">
        <f aca="false">IF(3&lt;5,0,IF(MAX(E38:G38)&gt;G43+9+$B$18,1,0))</f>
        <v>0</v>
      </c>
      <c r="H58" s="385" t="n">
        <f aca="false">IF(4&lt;5,0,IF(MAX(E38:H38)&gt;H43+9+$B$18,1,0))</f>
        <v>0</v>
      </c>
      <c r="I58" s="385" t="n">
        <f aca="false">IF(5&lt;5,0,IF(MAX(E38:I38)&gt;I43+9+$B$18,1,0))</f>
        <v>0</v>
      </c>
      <c r="J58" s="385" t="n">
        <f aca="false">IF(6&lt;5,0,IF(MAX(E38:J38)&gt;J43+9+$B$18,1,0))</f>
        <v>0</v>
      </c>
      <c r="K58" s="385" t="n">
        <f aca="false">IF(7&lt;5,0,IF(MAX(F38:K38)&gt;K43+9+$B$18,1,0))</f>
        <v>0</v>
      </c>
      <c r="L58" s="385" t="n">
        <f aca="false">IF(8&lt;5,0,IF(MAX(G38:L38)&gt;L43+9+$B$18,1,0))</f>
        <v>0</v>
      </c>
      <c r="M58" s="385" t="n">
        <f aca="false">IF(9&lt;5,0,IF(MAX(H38:M38)&gt;M43+9+$B$18,1,0))</f>
        <v>0</v>
      </c>
      <c r="N58" s="385" t="n">
        <f aca="false">IF(10&lt;5,0,IF(MAX(I38:N38)&gt;N43+9+$B$18,1,0))</f>
        <v>0</v>
      </c>
      <c r="O58" s="385" t="n">
        <f aca="false">IF(11&lt;5,0,IF(MAX(J38:O38)&gt;O43+9+$B$18,1,0))</f>
        <v>0</v>
      </c>
      <c r="P58" s="385" t="n">
        <f aca="false">IF(12&lt;5,0,IF(MAX(K38:P38)&gt;P43+9+$B$18,1,0))</f>
        <v>0</v>
      </c>
      <c r="Q58" s="385" t="n">
        <f aca="false">IF(13&lt;5,0,IF(MAX(L38:Q38)&gt;Q43+9+$B$18,1,0))</f>
        <v>0</v>
      </c>
      <c r="R58" s="385" t="n">
        <f aca="false">IF(14&lt;5,0,IF(MAX(M38:R38)&gt;R43+9+$B$18,1,0))</f>
        <v>0</v>
      </c>
      <c r="S58" s="385" t="n">
        <f aca="false">IF(15&lt;5,0,IF(MAX(N38:S38)&gt;S43+9+$B$18,1,0))</f>
        <v>0</v>
      </c>
      <c r="T58" s="385" t="n">
        <f aca="false">IF(16&lt;5,0,IF(MAX(O38:T38)&gt;T43+9+$B$18,1,0))</f>
        <v>0</v>
      </c>
      <c r="U58" s="385" t="n">
        <f aca="false">IF(17&lt;5,0,IF(MAX(P38:U38)&gt;U43+9+$B$18,1,0))</f>
        <v>0</v>
      </c>
      <c r="V58" s="385" t="n">
        <f aca="false">IF(18&lt;5,0,IF(MAX(Q38:V38)&gt;V43+9+$B$18,1,0))</f>
        <v>0</v>
      </c>
      <c r="W58" s="385" t="n">
        <f aca="false">IF(19&lt;5,0,IF(MAX(R38:W38)&gt;W43+9+$B$18,1,0))</f>
        <v>0</v>
      </c>
      <c r="X58" s="385" t="n">
        <f aca="false">IF(20&lt;5,0,IF(MAX(S38:X38)&gt;X43+9+$B$18,1,0))</f>
        <v>0</v>
      </c>
      <c r="Y58" s="385" t="n">
        <f aca="false">IF(21&lt;5,0,IF(MAX(T38:Y38)&gt;Y43+9+$B$18,1,0))</f>
        <v>0</v>
      </c>
      <c r="Z58" s="385" t="n">
        <f aca="false">IF(22&lt;5,0,IF(MAX(U38:Z38)&gt;Z43+9+$B$18,1,0))</f>
        <v>0</v>
      </c>
      <c r="AA58" s="385" t="n">
        <f aca="false">IF(23&lt;5,0,IF(MAX(V38:AA38)&gt;AA43+9+$B$18,1,0))</f>
        <v>0</v>
      </c>
      <c r="AB58" s="385" t="n">
        <f aca="false">IF(24&lt;5,0,IF(MAX(W38:AB38)&gt;AB43+9+$B$18,1,0))</f>
        <v>0</v>
      </c>
      <c r="AC58" s="385" t="n">
        <f aca="false">IF(25&lt;5,0,IF(MAX(X38:AC38)&gt;AC43+9+$B$18,1,0))</f>
        <v>0</v>
      </c>
      <c r="AD58" s="385" t="n">
        <f aca="false">IF(26&lt;5,0,IF(MAX(Y38:AD38)&gt;AD43+9+$B$18,1,0))</f>
        <v>0</v>
      </c>
      <c r="AE58" s="385" t="n">
        <f aca="false">IF(27&lt;5,0,IF(MAX(Z38:AE38)&gt;AE43+9+$B$18,1,0))</f>
        <v>0</v>
      </c>
      <c r="AF58" s="385" t="n">
        <f aca="false">IF(28&lt;5,0,IF(MAX(AA38:AF38)&gt;AF43+9+$B$18,1,0))</f>
        <v>0</v>
      </c>
      <c r="AG58" s="385" t="n">
        <f aca="false">IF(29&lt;5,0,IF(MAX(AB38:AG38)&gt;AG43+9+$B$18,1,0))</f>
        <v>0</v>
      </c>
      <c r="AH58" s="385" t="n">
        <f aca="false">IF(30&lt;5,0,IF(MAX(AC38:AH38)&gt;AH43+9+$B$18,1,0))</f>
        <v>0</v>
      </c>
      <c r="AI58" s="385" t="n">
        <f aca="false">IF(31&lt;5,0,IF(MAX(AD38:AI38)&gt;AI43+9+$B$18,1,0))</f>
        <v>0</v>
      </c>
      <c r="AJ58" s="385" t="n">
        <f aca="false">IF(32&lt;5,0,IF(MAX(AE38:AJ38)&gt;AJ43+9+$B$18,1,0))</f>
        <v>0</v>
      </c>
      <c r="AK58" s="385" t="n">
        <f aca="false">IF(33&lt;5,0,IF(MAX(AF38:AK38)&gt;AK43+9+$B$18,1,0))</f>
        <v>0</v>
      </c>
      <c r="AL58" s="385" t="n">
        <f aca="false">IF(34&lt;5,0,IF(MAX(AG38:AL38)&gt;AL43+9+$B$18,1,0))</f>
        <v>0</v>
      </c>
      <c r="AM58" s="385" t="n">
        <f aca="false">IF(35&lt;5,0,IF(MAX(AH38:AM38)&gt;AM43+9+$B$18,1,0))</f>
        <v>0</v>
      </c>
      <c r="AN58" s="385" t="n">
        <f aca="false">IF(36&lt;5,0,IF(MAX(AI38:AN38)&gt;AN43+9+$B$18,1,0))</f>
        <v>0</v>
      </c>
      <c r="AO58" s="385" t="n">
        <f aca="false">IF(37&lt;5,0,IF(MAX(AJ38:AO38)&gt;AO43+9+$B$18,1,0))</f>
        <v>0</v>
      </c>
      <c r="AP58" s="385" t="n">
        <f aca="false">IF(38&lt;5,0,IF(MAX(AK38:AP38)&gt;AP43+9+$B$18,1,0))</f>
        <v>0</v>
      </c>
      <c r="AQ58" s="385" t="n">
        <f aca="false">IF(39&lt;5,0,IF(MAX(AL38:AQ38)&gt;AQ43+9+$B$18,1,0))</f>
        <v>0</v>
      </c>
      <c r="AR58" s="385" t="n">
        <f aca="false">IF(40&lt;5,0,IF(MAX(AM38:AR38)&gt;AR43+9+$B$18,1,0))</f>
        <v>0</v>
      </c>
      <c r="AS58" s="385" t="n">
        <f aca="false">IF(41&lt;5,0,IF(MAX(AN38:AS38)&gt;AS43+9+$B$18,1,0))</f>
        <v>0</v>
      </c>
      <c r="AT58" s="385" t="n">
        <f aca="false">IF(42&lt;5,0,IF(MAX(AO38:AT38)&gt;AT43+9+$B$18,1,0))</f>
        <v>0</v>
      </c>
      <c r="AU58" s="385" t="n">
        <f aca="false">IF(43&lt;5,0,IF(MAX(AP38:AU38)&gt;AU43+9+$B$18,1,0))</f>
        <v>0</v>
      </c>
      <c r="AV58" s="385" t="n">
        <f aca="false">IF(44&lt;5,0,IF(MAX(AQ38:AV38)&gt;AV43+9+$B$18,1,0))</f>
        <v>0</v>
      </c>
      <c r="AW58" s="385" t="n">
        <f aca="false">IF(45&lt;5,0,IF(MAX(AR38:AW38)&gt;AW43+9+$B$18,1,0))</f>
        <v>0</v>
      </c>
      <c r="AX58" s="385" t="n">
        <f aca="false">IF(46&lt;5,0,IF(MAX(AS38:AX38)&gt;AX43+9+$B$18,1,0))</f>
        <v>0</v>
      </c>
      <c r="AY58" s="385" t="n">
        <f aca="false">IF(47&lt;5,0,IF(MAX(AT38:AY38)&gt;AY43+9+$B$18,1,0))</f>
        <v>0</v>
      </c>
      <c r="AZ58" s="385" t="n">
        <f aca="false">IF(48&lt;5,0,IF(MAX(AU38:AZ38)&gt;AZ43+9+$B$18,1,0))</f>
        <v>0</v>
      </c>
      <c r="BA58" s="385" t="n">
        <f aca="false">IF(49&lt;5,0,IF(MAX(AV38:BA38)&gt;BA43+9+$B$18,1,0))</f>
        <v>0</v>
      </c>
      <c r="BB58" s="385" t="n">
        <f aca="false">IF(50&lt;5,0,IF(MAX(AW38:BB38)&gt;BB43+9+$B$18,1,0))</f>
        <v>0</v>
      </c>
      <c r="BC58" s="385" t="n">
        <f aca="false">IF(51&lt;5,0,IF(MAX(AX38:BC38)&gt;BC43+9+$B$18,1,0))</f>
        <v>0</v>
      </c>
      <c r="BD58" s="385" t="n">
        <f aca="false">IF(52&lt;5,0,IF(MAX(AY38:BD38)&gt;BD43+9+$B$18,1,0))</f>
        <v>0</v>
      </c>
      <c r="BE58" s="385" t="n">
        <f aca="false">IF(53&lt;5,0,IF(MAX(AZ38:BE38)&gt;BE43+9+$B$18,1,0))</f>
        <v>0</v>
      </c>
      <c r="BF58" s="385" t="n">
        <f aca="false">IF(54&lt;5,0,IF(MAX(BA38:BF38)&gt;BF43+9+$B$18,1,0))</f>
        <v>0</v>
      </c>
      <c r="BG58" s="385" t="n">
        <f aca="false">IF(55&lt;5,0,IF(MAX(BB38:BG38)&gt;BG43+9+$B$18,1,0))</f>
        <v>0</v>
      </c>
      <c r="BH58" s="385" t="n">
        <f aca="false">IF(56&lt;5,0,IF(MAX(BC38:BH38)&gt;BH43+9+$B$18,1,0))</f>
        <v>0</v>
      </c>
      <c r="BI58" s="385" t="n">
        <f aca="false">IF(57&lt;5,0,IF(MAX(BD38:BI38)&gt;BI43+9+$B$18,1,0))</f>
        <v>0</v>
      </c>
      <c r="BJ58" s="385" t="n">
        <f aca="false">IF(58&lt;5,0,IF(MAX(BE38:BJ38)&gt;BJ43+9+$B$18,1,0))</f>
        <v>0</v>
      </c>
      <c r="BK58" s="385" t="n">
        <f aca="false">IF(59&lt;5,0,IF(MAX(BF38:BK38)&gt;BK43+9+$B$18,1,0))</f>
        <v>0</v>
      </c>
      <c r="BL58" s="385" t="n">
        <f aca="false">IF(60&lt;5,0,IF(MAX(BG38:BL38)&gt;BL43+9+$B$18,1,0))</f>
        <v>0</v>
      </c>
      <c r="BM58" s="385" t="n">
        <f aca="false">IF(61&lt;5,0,IF(MAX(BH38:BM38)&gt;BM43+9+$B$18,1,0))</f>
        <v>0</v>
      </c>
      <c r="BN58" s="385" t="n">
        <f aca="false">IF(62&lt;5,0,IF(MAX(BI38:BN38)&gt;BN43+9+$B$18,1,0))</f>
        <v>0</v>
      </c>
      <c r="BO58" s="385" t="n">
        <f aca="false">IF(63&lt;5,0,IF(MAX(BJ38:BO38)&gt;BO43+9+$B$18,1,0))</f>
        <v>0</v>
      </c>
      <c r="BP58" s="385" t="n">
        <f aca="false">IF(64&lt;5,0,IF(MAX(BK38:BP38)&gt;BP43+9+$B$18,1,0))</f>
        <v>0</v>
      </c>
      <c r="BQ58" s="385" t="n">
        <f aca="false">IF(65&lt;5,0,IF(MAX(BL38:BQ38)&gt;BQ43+9+$B$18,1,0))</f>
        <v>0</v>
      </c>
      <c r="BR58" s="385" t="n">
        <f aca="false">IF(66&lt;5,0,IF(MAX(BM38:BR38)&gt;BR43+9+$B$18,1,0))</f>
        <v>0</v>
      </c>
      <c r="BS58" s="385" t="n">
        <f aca="false">IF(67&lt;5,0,IF(MAX(BN38:BS38)&gt;BS43+9+$B$18,1,0))</f>
        <v>0</v>
      </c>
      <c r="BT58" s="385" t="n">
        <f aca="false">IF(68&lt;5,0,IF(MAX(BO38:BT38)&gt;BT43+9+$B$18,1,0))</f>
        <v>0</v>
      </c>
      <c r="BU58" s="385" t="n">
        <f aca="false">IF(69&lt;5,0,IF(MAX(BP38:BU38)&gt;BU43+9+$B$18,1,0))</f>
        <v>0</v>
      </c>
      <c r="BV58" s="385" t="n">
        <f aca="false">IF(70&lt;5,0,IF(MAX(BQ38:BV38)&gt;BV43+9+$B$18,1,0))</f>
        <v>0</v>
      </c>
      <c r="BW58" s="385" t="n">
        <f aca="false">IF(71&lt;5,0,IF(MAX(BR38:BW38)&gt;BW43+9+$B$18,1,0))</f>
        <v>0</v>
      </c>
      <c r="BX58" s="385" t="n">
        <f aca="false">IF(72&lt;5,0,IF(MAX(BS38:BX38)&gt;BX43+9+$B$18,1,0))</f>
        <v>0</v>
      </c>
      <c r="BY58" s="385" t="n">
        <f aca="false">IF(73&lt;5,0,IF(MAX(BT38:BY38)&gt;BY43+9+$B$18,1,0))</f>
        <v>0</v>
      </c>
      <c r="BZ58" s="385" t="n">
        <f aca="false">IF(74&lt;5,0,IF(MAX(BU38:BZ38)&gt;BZ43+9+$B$18,1,0))</f>
        <v>0</v>
      </c>
      <c r="CA58" s="385" t="n">
        <f aca="false">IF(75&lt;5,0,IF(MAX(BV38:CA38)&gt;CA43+9+$B$18,1,0))</f>
        <v>0</v>
      </c>
      <c r="CB58" s="385" t="n">
        <f aca="false">IF(76&lt;5,0,IF(MAX(BW38:CB38)&gt;CB43+9+$B$18,1,0))</f>
        <v>0</v>
      </c>
      <c r="CC58" s="385" t="n">
        <f aca="false">IF(77&lt;5,0,IF(MAX(BX38:CC38)&gt;CC43+9+$B$18,1,0))</f>
        <v>0</v>
      </c>
      <c r="CD58" s="385" t="n">
        <f aca="false">IF(78&lt;5,0,IF(MAX(BY38:CD38)&gt;CD43+9+$B$18,1,0))</f>
        <v>0</v>
      </c>
      <c r="CE58" s="385" t="n">
        <f aca="false">IF(79&lt;5,0,IF(MAX(BZ38:CE38)&gt;CE43+9+$B$18,1,0))</f>
        <v>0</v>
      </c>
      <c r="CF58" s="385" t="n">
        <f aca="false">IF(80&lt;5,0,IF(MAX(CA38:CF38)&gt;CF43+9+$B$18,1,0))</f>
        <v>0</v>
      </c>
      <c r="CG58" s="385" t="n">
        <f aca="false">IF(81&lt;5,0,IF(MAX(CB38:CG38)&gt;CG43+9+$B$18,1,0))</f>
        <v>0</v>
      </c>
      <c r="CH58" s="385" t="n">
        <f aca="false">IF(82&lt;5,0,IF(MAX(CC38:CH38)&gt;CH43+9+$B$18,1,0))</f>
        <v>0</v>
      </c>
      <c r="CI58" s="385" t="n">
        <f aca="false">IF(83&lt;5,0,IF(MAX(CD38:CI38)&gt;CI43+9+$B$18,1,0))</f>
        <v>0</v>
      </c>
      <c r="CJ58" s="385" t="n">
        <f aca="false">IF(84&lt;5,0,IF(MAX(CE38:CJ38)&gt;CJ43+9+$B$18,1,0))</f>
        <v>0</v>
      </c>
      <c r="CK58" s="385" t="n">
        <f aca="false">IF(85&lt;5,0,IF(MAX(CF38:CK38)&gt;CK43+9+$B$18,1,0))</f>
        <v>0</v>
      </c>
      <c r="CL58" s="385" t="n">
        <f aca="false">IF(86&lt;5,0,IF(MAX(CG38:CL38)&gt;CL43+9+$B$18,1,0))</f>
        <v>0</v>
      </c>
      <c r="CM58" s="385" t="n">
        <f aca="false">IF(87&lt;5,0,IF(MAX(CH38:CM38)&gt;CM43+9+$B$18,1,0))</f>
        <v>0</v>
      </c>
      <c r="CN58" s="385" t="n">
        <f aca="false">IF(88&lt;5,0,IF(MAX(CI38:CN38)&gt;CN43+9+$B$18,1,0))</f>
        <v>0</v>
      </c>
      <c r="CO58" s="385" t="n">
        <f aca="false">IF(89&lt;5,0,IF(MAX(CJ38:CO38)&gt;CO43+9+$B$18,1,0))</f>
        <v>0</v>
      </c>
      <c r="CP58" s="385" t="n">
        <f aca="false">IF(90&lt;5,0,IF(MAX(CK38:CP38)&gt;CP43+9+$B$18,1,0))</f>
        <v>0</v>
      </c>
      <c r="CQ58" s="385" t="n">
        <f aca="false">IF(91&lt;5,0,IF(MAX(CL38:CQ38)&gt;CQ43+9+$B$18,1,0))</f>
        <v>0</v>
      </c>
      <c r="CR58" s="385" t="n">
        <f aca="false">IF(92&lt;5,0,IF(MAX(CM38:CR38)&gt;CR43+9+$B$18,1,0))</f>
        <v>0</v>
      </c>
      <c r="CS58" s="385" t="n">
        <f aca="false">IF(93&lt;5,0,IF(MAX(CN38:CS38)&gt;CS43+9+$B$18,1,0))</f>
        <v>0</v>
      </c>
      <c r="CT58" s="385" t="n">
        <f aca="false">IF(94&lt;5,0,IF(MAX(CO38:CT38)&gt;CT43+9+$B$18,1,0))</f>
        <v>0</v>
      </c>
      <c r="CU58" s="385" t="n">
        <f aca="false">IF(95&lt;5,0,IF(MAX(CP38:CU38)&gt;CU43+9+$B$18,1,0))</f>
        <v>0</v>
      </c>
      <c r="CV58" s="385" t="n">
        <f aca="false">IF(96&lt;5,0,IF(MAX(CQ38:CV38)&gt;CV43+9+$B$18,1,0))</f>
        <v>0</v>
      </c>
      <c r="CW58" s="385" t="n">
        <f aca="false">IF(97&lt;5,0,IF(MAX(CR38:CW38)&gt;CW43+9+$B$18,1,0))</f>
        <v>0</v>
      </c>
      <c r="CX58" s="385" t="n">
        <f aca="false">IF(98&lt;5,0,IF(MAX(CS38:CX38)&gt;CX43+9+$B$18,1,0))</f>
        <v>0</v>
      </c>
      <c r="CY58" s="385" t="n">
        <f aca="false">IF(99&lt;5,0,IF(MAX(CT38:CY38)&gt;CY43+9+$B$18,1,0))</f>
        <v>0</v>
      </c>
      <c r="CZ58" s="385" t="n">
        <f aca="false">IF(100&lt;5,0,IF(MAX(CU38:CZ38)&gt;CZ43+9+$B$18,1,0))</f>
        <v>0</v>
      </c>
      <c r="DA58" s="385" t="n">
        <f aca="false">IF(101&lt;5,0,IF(MAX(CV38:DA38)&gt;DA43+9+$B$18,1,0))</f>
        <v>0</v>
      </c>
      <c r="DB58" s="385" t="n">
        <f aca="false">IF(102&lt;5,0,IF(MAX(CW38:DB38)&gt;DB43+9+$B$18,1,0))</f>
        <v>0</v>
      </c>
      <c r="DC58" s="385" t="n">
        <f aca="false">IF(103&lt;5,0,IF(MAX(CX38:DC38)&gt;DC43+9+$B$18,1,0))</f>
        <v>0</v>
      </c>
      <c r="DD58" s="385" t="n">
        <f aca="false">IF(104&lt;5,0,IF(MAX(CY38:DD38)&gt;DD43+9+$B$18,1,0))</f>
        <v>0</v>
      </c>
      <c r="DE58" s="385" t="n">
        <f aca="false">IF(105&lt;5,0,IF(MAX(CZ38:DE38)&gt;DE43+9+$B$18,1,0))</f>
        <v>0</v>
      </c>
    </row>
    <row r="59" customFormat="false" ht="13.5" hidden="false" customHeight="true" outlineLevel="0" collapsed="false">
      <c r="E59" s="125"/>
      <c r="F59" s="125"/>
      <c r="G59" s="125"/>
      <c r="H59" s="125"/>
      <c r="I59" s="125"/>
      <c r="J59" s="125"/>
      <c r="K59" s="125"/>
      <c r="L59" s="125"/>
      <c r="M59" s="125"/>
      <c r="N59" s="125"/>
      <c r="O59" s="125"/>
      <c r="P59" s="125"/>
      <c r="Q59" s="125"/>
      <c r="R59" s="125"/>
      <c r="S59" s="125"/>
      <c r="T59" s="125"/>
      <c r="U59" s="125"/>
      <c r="V59" s="125"/>
      <c r="W59" s="125"/>
      <c r="X59" s="125"/>
      <c r="Y59" s="125"/>
      <c r="Z59" s="125"/>
      <c r="AA59" s="125"/>
      <c r="AB59" s="125"/>
      <c r="AC59" s="125"/>
      <c r="AD59" s="125"/>
      <c r="AE59" s="125"/>
      <c r="AF59" s="125"/>
      <c r="AG59" s="125"/>
      <c r="AH59" s="125"/>
      <c r="AI59" s="125"/>
      <c r="AJ59" s="125"/>
      <c r="AK59" s="125"/>
      <c r="AL59" s="125"/>
      <c r="AM59" s="125"/>
      <c r="AN59" s="125"/>
      <c r="AO59" s="125"/>
      <c r="AP59" s="125"/>
      <c r="AQ59" s="125"/>
      <c r="AR59" s="125"/>
      <c r="AS59" s="125"/>
      <c r="AT59" s="125"/>
      <c r="AU59" s="125"/>
      <c r="AV59" s="125"/>
      <c r="AW59" s="125"/>
      <c r="AX59" s="125"/>
      <c r="AY59" s="125"/>
      <c r="AZ59" s="125"/>
      <c r="BA59" s="125"/>
      <c r="BB59" s="125"/>
      <c r="BC59" s="125"/>
      <c r="BD59" s="125"/>
      <c r="BE59" s="125"/>
      <c r="BF59" s="125"/>
      <c r="BG59" s="125"/>
      <c r="BH59" s="125"/>
      <c r="BI59" s="125"/>
      <c r="BJ59" s="125"/>
      <c r="BK59" s="125"/>
      <c r="BL59" s="125"/>
      <c r="BM59" s="125"/>
      <c r="BN59" s="125"/>
      <c r="BO59" s="125"/>
      <c r="BP59" s="125"/>
      <c r="BQ59" s="125"/>
      <c r="BR59" s="125"/>
      <c r="BS59" s="125"/>
      <c r="BT59" s="125"/>
      <c r="BU59" s="125"/>
      <c r="BV59" s="125"/>
      <c r="BW59" s="125"/>
      <c r="BX59" s="125"/>
      <c r="BY59" s="125"/>
      <c r="BZ59" s="125"/>
      <c r="CA59" s="125"/>
      <c r="CB59" s="125"/>
      <c r="CC59" s="125"/>
      <c r="CD59" s="125"/>
      <c r="CE59" s="125"/>
      <c r="CF59" s="125"/>
      <c r="CG59" s="125"/>
      <c r="CH59" s="125"/>
      <c r="CI59" s="125"/>
      <c r="CJ59" s="125"/>
      <c r="CK59" s="125"/>
      <c r="CL59" s="125"/>
      <c r="CM59" s="125"/>
      <c r="CN59" s="125"/>
      <c r="CO59" s="125"/>
      <c r="CP59" s="125"/>
      <c r="CQ59" s="125"/>
      <c r="CR59" s="125"/>
      <c r="CS59" s="125"/>
      <c r="CT59" s="125"/>
      <c r="CU59" s="125"/>
      <c r="CV59" s="125"/>
      <c r="CW59" s="125"/>
      <c r="CX59" s="125"/>
      <c r="CY59" s="125"/>
      <c r="CZ59" s="125"/>
      <c r="DA59" s="125"/>
      <c r="DB59" s="125"/>
      <c r="DC59" s="125"/>
      <c r="DD59" s="125"/>
      <c r="DE59" s="125"/>
    </row>
    <row r="60" customFormat="false" ht="13.5" hidden="false" customHeight="true" outlineLevel="0" collapsed="false">
      <c r="E60" s="125"/>
      <c r="F60" s="125"/>
      <c r="G60" s="125"/>
      <c r="H60" s="125"/>
      <c r="I60" s="125"/>
      <c r="J60" s="125"/>
      <c r="K60" s="125"/>
      <c r="L60" s="125"/>
      <c r="M60" s="125"/>
      <c r="N60" s="125"/>
      <c r="O60" s="125"/>
      <c r="P60" s="125"/>
      <c r="Q60" s="125"/>
      <c r="R60" s="125"/>
      <c r="S60" s="125"/>
      <c r="T60" s="125"/>
      <c r="U60" s="125"/>
      <c r="V60" s="125"/>
      <c r="W60" s="125"/>
      <c r="X60" s="125"/>
      <c r="Y60" s="125"/>
      <c r="Z60" s="125"/>
      <c r="AA60" s="125"/>
      <c r="AB60" s="125"/>
      <c r="AC60" s="125"/>
      <c r="AD60" s="125"/>
      <c r="AE60" s="125"/>
      <c r="AF60" s="125"/>
      <c r="AG60" s="125"/>
      <c r="AH60" s="125"/>
      <c r="AI60" s="125"/>
      <c r="AJ60" s="125"/>
      <c r="AK60" s="125"/>
      <c r="AL60" s="125"/>
      <c r="AM60" s="125"/>
      <c r="AN60" s="125"/>
      <c r="AO60" s="125"/>
      <c r="AP60" s="125"/>
      <c r="AQ60" s="125"/>
      <c r="AR60" s="125"/>
      <c r="AS60" s="125"/>
      <c r="AT60" s="125"/>
      <c r="AU60" s="125"/>
      <c r="AV60" s="125"/>
      <c r="AW60" s="125"/>
      <c r="AX60" s="125"/>
      <c r="AY60" s="125"/>
      <c r="AZ60" s="125"/>
      <c r="BA60" s="125"/>
      <c r="BB60" s="125"/>
      <c r="BC60" s="125"/>
      <c r="BD60" s="125"/>
      <c r="BE60" s="125"/>
      <c r="BF60" s="125"/>
      <c r="BG60" s="125"/>
      <c r="BH60" s="125"/>
      <c r="BI60" s="125"/>
      <c r="BJ60" s="125"/>
      <c r="BK60" s="125"/>
      <c r="BL60" s="125"/>
      <c r="BM60" s="125"/>
      <c r="BN60" s="125"/>
      <c r="BO60" s="125"/>
      <c r="BP60" s="125"/>
      <c r="BQ60" s="125"/>
      <c r="BR60" s="125"/>
      <c r="BS60" s="125"/>
      <c r="BT60" s="125"/>
      <c r="BU60" s="125"/>
      <c r="BV60" s="125"/>
      <c r="BW60" s="125"/>
      <c r="BX60" s="125"/>
      <c r="BY60" s="125"/>
      <c r="BZ60" s="125"/>
      <c r="CA60" s="125"/>
      <c r="CB60" s="125"/>
      <c r="CC60" s="125"/>
      <c r="CD60" s="125"/>
      <c r="CE60" s="125"/>
      <c r="CF60" s="125"/>
      <c r="CG60" s="125"/>
      <c r="CH60" s="125"/>
      <c r="CI60" s="125"/>
      <c r="CJ60" s="125"/>
      <c r="CK60" s="125"/>
      <c r="CL60" s="125"/>
      <c r="CM60" s="125"/>
      <c r="CN60" s="125"/>
      <c r="CO60" s="125"/>
      <c r="CP60" s="125"/>
      <c r="CQ60" s="125"/>
      <c r="CR60" s="125"/>
      <c r="CS60" s="125"/>
      <c r="CT60" s="125"/>
      <c r="CU60" s="125"/>
      <c r="CV60" s="125"/>
      <c r="CW60" s="125"/>
      <c r="CX60" s="125"/>
      <c r="CY60" s="125"/>
      <c r="CZ60" s="125"/>
      <c r="DA60" s="125"/>
      <c r="DB60" s="125"/>
      <c r="DC60" s="125"/>
      <c r="DD60" s="125"/>
      <c r="DE60" s="125"/>
    </row>
    <row r="61" customFormat="false" ht="13.5" hidden="false" customHeight="true" outlineLevel="0" collapsed="false">
      <c r="A61" s="110" t="s">
        <v>1392</v>
      </c>
      <c r="B61" s="213" t="n">
        <f aca="false">$B$28</f>
        <v>130000</v>
      </c>
      <c r="E61" s="385" t="n">
        <f aca="false">IF(1&lt;5,0,IF(MAX(E39:E39)&gt;E44+0+$B$18,1,0))</f>
        <v>0</v>
      </c>
      <c r="F61" s="385" t="n">
        <f aca="false">IF(2&lt;5,0,IF(MAX(E39:F39)&gt;F44+0+$B$18,1,0))</f>
        <v>0</v>
      </c>
      <c r="G61" s="385" t="n">
        <f aca="false">IF(3&lt;5,0,IF(MAX(E39:G39)&gt;G44+0+$B$18,1,0))</f>
        <v>0</v>
      </c>
      <c r="H61" s="385" t="n">
        <f aca="false">IF(4&lt;5,0,IF(MAX(E39:H39)&gt;H44+0+$B$18,1,0))</f>
        <v>0</v>
      </c>
      <c r="I61" s="385" t="n">
        <f aca="false">IF(5&lt;5,0,IF(MAX(E39:I39)&gt;I44+0+$B$18,1,0))</f>
        <v>1</v>
      </c>
      <c r="J61" s="385" t="n">
        <f aca="false">IF(6&lt;5,0,IF(MAX(E39:J39)&gt;J44+0+$B$18,1,0))</f>
        <v>0</v>
      </c>
      <c r="K61" s="385" t="n">
        <f aca="false">IF(7&lt;5,0,IF(MAX(F39:K39)&gt;K44+0+$B$18,1,0))</f>
        <v>0</v>
      </c>
      <c r="L61" s="385" t="n">
        <f aca="false">IF(8&lt;5,0,IF(MAX(G39:L39)&gt;L44+0+$B$18,1,0))</f>
        <v>0</v>
      </c>
      <c r="M61" s="385" t="n">
        <f aca="false">IF(9&lt;5,0,IF(MAX(H39:M39)&gt;M44+0+$B$18,1,0))</f>
        <v>0</v>
      </c>
      <c r="N61" s="385" t="n">
        <f aca="false">IF(10&lt;5,0,IF(MAX(I39:N39)&gt;N44+0+$B$18,1,0))</f>
        <v>1</v>
      </c>
      <c r="O61" s="385" t="n">
        <f aca="false">IF(11&lt;5,0,IF(MAX(J39:O39)&gt;O44+0+$B$18,1,0))</f>
        <v>1</v>
      </c>
      <c r="P61" s="385" t="n">
        <f aca="false">IF(12&lt;5,0,IF(MAX(K39:P39)&gt;P44+0+$B$18,1,0))</f>
        <v>1</v>
      </c>
      <c r="Q61" s="385" t="n">
        <f aca="false">IF(13&lt;5,0,IF(MAX(L39:Q39)&gt;Q44+0+$B$18,1,0))</f>
        <v>1</v>
      </c>
      <c r="R61" s="385" t="n">
        <f aca="false">IF(14&lt;5,0,IF(MAX(M39:R39)&gt;R44+0+$B$18,1,0))</f>
        <v>1</v>
      </c>
      <c r="S61" s="385" t="n">
        <f aca="false">IF(15&lt;5,0,IF(MAX(N39:S39)&gt;S44+0+$B$18,1,0))</f>
        <v>1</v>
      </c>
      <c r="T61" s="385" t="n">
        <f aca="false">IF(16&lt;5,0,IF(MAX(O39:T39)&gt;T44+0+$B$18,1,0))</f>
        <v>1</v>
      </c>
      <c r="U61" s="385" t="n">
        <f aca="false">IF(17&lt;5,0,IF(MAX(P39:U39)&gt;U44+0+$B$18,1,0))</f>
        <v>1</v>
      </c>
      <c r="V61" s="385" t="n">
        <f aca="false">IF(18&lt;5,0,IF(MAX(Q39:V39)&gt;V44+0+$B$18,1,0))</f>
        <v>1</v>
      </c>
      <c r="W61" s="385" t="n">
        <f aca="false">IF(19&lt;5,0,IF(MAX(R39:W39)&gt;W44+0+$B$18,1,0))</f>
        <v>1</v>
      </c>
      <c r="X61" s="385" t="n">
        <f aca="false">IF(20&lt;5,0,IF(MAX(S39:X39)&gt;X44+0+$B$18,1,0))</f>
        <v>1</v>
      </c>
      <c r="Y61" s="385" t="n">
        <f aca="false">IF(21&lt;5,0,IF(MAX(T39:Y39)&gt;Y44+0+$B$18,1,0))</f>
        <v>1</v>
      </c>
      <c r="Z61" s="385" t="n">
        <f aca="false">IF(22&lt;5,0,IF(MAX(U39:Z39)&gt;Z44+0+$B$18,1,0))</f>
        <v>1</v>
      </c>
      <c r="AA61" s="385" t="n">
        <f aca="false">IF(23&lt;5,0,IF(MAX(V39:AA39)&gt;AA44+0+$B$18,1,0))</f>
        <v>1</v>
      </c>
      <c r="AB61" s="385" t="n">
        <f aca="false">IF(24&lt;5,0,IF(MAX(W39:AB39)&gt;AB44+0+$B$18,1,0))</f>
        <v>1</v>
      </c>
      <c r="AC61" s="385" t="n">
        <f aca="false">IF(25&lt;5,0,IF(MAX(X39:AC39)&gt;AC44+0+$B$18,1,0))</f>
        <v>1</v>
      </c>
      <c r="AD61" s="385" t="n">
        <f aca="false">IF(26&lt;5,0,IF(MAX(Y39:AD39)&gt;AD44+0+$B$18,1,0))</f>
        <v>1</v>
      </c>
      <c r="AE61" s="385" t="n">
        <f aca="false">IF(27&lt;5,0,IF(MAX(Z39:AE39)&gt;AE44+0+$B$18,1,0))</f>
        <v>1</v>
      </c>
      <c r="AF61" s="385" t="n">
        <f aca="false">IF(28&lt;5,0,IF(MAX(AA39:AF39)&gt;AF44+0+$B$18,1,0))</f>
        <v>1</v>
      </c>
      <c r="AG61" s="385" t="n">
        <f aca="false">IF(29&lt;5,0,IF(MAX(AB39:AG39)&gt;AG44+0+$B$18,1,0))</f>
        <v>1</v>
      </c>
      <c r="AH61" s="385" t="n">
        <f aca="false">IF(30&lt;5,0,IF(MAX(AC39:AH39)&gt;AH44+0+$B$18,1,0))</f>
        <v>1</v>
      </c>
      <c r="AI61" s="385" t="n">
        <f aca="false">IF(31&lt;5,0,IF(MAX(AD39:AI39)&gt;AI44+0+$B$18,1,0))</f>
        <v>1</v>
      </c>
      <c r="AJ61" s="385" t="n">
        <f aca="false">IF(32&lt;5,0,IF(MAX(AE39:AJ39)&gt;AJ44+0+$B$18,1,0))</f>
        <v>1</v>
      </c>
      <c r="AK61" s="385" t="n">
        <f aca="false">IF(33&lt;5,0,IF(MAX(AF39:AK39)&gt;AK44+0+$B$18,1,0))</f>
        <v>1</v>
      </c>
      <c r="AL61" s="385" t="n">
        <f aca="false">IF(34&lt;5,0,IF(MAX(AG39:AL39)&gt;AL44+0+$B$18,1,0))</f>
        <v>1</v>
      </c>
      <c r="AM61" s="385" t="n">
        <f aca="false">IF(35&lt;5,0,IF(MAX(AH39:AM39)&gt;AM44+0+$B$18,1,0))</f>
        <v>1</v>
      </c>
      <c r="AN61" s="385" t="n">
        <f aca="false">IF(36&lt;5,0,IF(MAX(AI39:AN39)&gt;AN44+0+$B$18,1,0))</f>
        <v>1</v>
      </c>
      <c r="AO61" s="385" t="n">
        <f aca="false">IF(37&lt;5,0,IF(MAX(AJ39:AO39)&gt;AO44+0+$B$18,1,0))</f>
        <v>1</v>
      </c>
      <c r="AP61" s="385" t="n">
        <f aca="false">IF(38&lt;5,0,IF(MAX(AK39:AP39)&gt;AP44+0+$B$18,1,0))</f>
        <v>1</v>
      </c>
      <c r="AQ61" s="385" t="n">
        <f aca="false">IF(39&lt;5,0,IF(MAX(AL39:AQ39)&gt;AQ44+0+$B$18,1,0))</f>
        <v>1</v>
      </c>
      <c r="AR61" s="385" t="n">
        <f aca="false">IF(40&lt;5,0,IF(MAX(AM39:AR39)&gt;AR44+0+$B$18,1,0))</f>
        <v>1</v>
      </c>
      <c r="AS61" s="385" t="n">
        <f aca="false">IF(41&lt;5,0,IF(MAX(AN39:AS39)&gt;AS44+0+$B$18,1,0))</f>
        <v>1</v>
      </c>
      <c r="AT61" s="385" t="n">
        <f aca="false">IF(42&lt;5,0,IF(MAX(AO39:AT39)&gt;AT44+0+$B$18,1,0))</f>
        <v>1</v>
      </c>
      <c r="AU61" s="385" t="n">
        <f aca="false">IF(43&lt;5,0,IF(MAX(AP39:AU39)&gt;AU44+0+$B$18,1,0))</f>
        <v>1</v>
      </c>
      <c r="AV61" s="385" t="n">
        <f aca="false">IF(44&lt;5,0,IF(MAX(AQ39:AV39)&gt;AV44+0+$B$18,1,0))</f>
        <v>1</v>
      </c>
      <c r="AW61" s="385" t="n">
        <f aca="false">IF(45&lt;5,0,IF(MAX(AR39:AW39)&gt;AW44+0+$B$18,1,0))</f>
        <v>1</v>
      </c>
      <c r="AX61" s="385" t="n">
        <f aca="false">IF(46&lt;5,0,IF(MAX(AS39:AX39)&gt;AX44+0+$B$18,1,0))</f>
        <v>1</v>
      </c>
      <c r="AY61" s="385" t="n">
        <f aca="false">IF(47&lt;5,0,IF(MAX(AT39:AY39)&gt;AY44+0+$B$18,1,0))</f>
        <v>1</v>
      </c>
      <c r="AZ61" s="385" t="n">
        <f aca="false">IF(48&lt;5,0,IF(MAX(AU39:AZ39)&gt;AZ44+0+$B$18,1,0))</f>
        <v>1</v>
      </c>
      <c r="BA61" s="385" t="n">
        <f aca="false">IF(49&lt;5,0,IF(MAX(AV39:BA39)&gt;BA44+0+$B$18,1,0))</f>
        <v>1</v>
      </c>
      <c r="BB61" s="385" t="n">
        <f aca="false">IF(50&lt;5,0,IF(MAX(AW39:BB39)&gt;BB44+0+$B$18,1,0))</f>
        <v>1</v>
      </c>
      <c r="BC61" s="385" t="n">
        <f aca="false">IF(51&lt;5,0,IF(MAX(AX39:BC39)&gt;BC44+0+$B$18,1,0))</f>
        <v>1</v>
      </c>
      <c r="BD61" s="385" t="n">
        <f aca="false">IF(52&lt;5,0,IF(MAX(AY39:BD39)&gt;BD44+0+$B$18,1,0))</f>
        <v>1</v>
      </c>
      <c r="BE61" s="385" t="n">
        <f aca="false">IF(53&lt;5,0,IF(MAX(AZ39:BE39)&gt;BE44+0+$B$18,1,0))</f>
        <v>1</v>
      </c>
      <c r="BF61" s="385" t="n">
        <f aca="false">IF(54&lt;5,0,IF(MAX(BA39:BF39)&gt;BF44+0+$B$18,1,0))</f>
        <v>1</v>
      </c>
      <c r="BG61" s="385" t="n">
        <f aca="false">IF(55&lt;5,0,IF(MAX(BB39:BG39)&gt;BG44+0+$B$18,1,0))</f>
        <v>1</v>
      </c>
      <c r="BH61" s="385" t="n">
        <f aca="false">IF(56&lt;5,0,IF(MAX(BC39:BH39)&gt;BH44+0+$B$18,1,0))</f>
        <v>1</v>
      </c>
      <c r="BI61" s="385" t="n">
        <f aca="false">IF(57&lt;5,0,IF(MAX(BD39:BI39)&gt;BI44+0+$B$18,1,0))</f>
        <v>1</v>
      </c>
      <c r="BJ61" s="385" t="n">
        <f aca="false">IF(58&lt;5,0,IF(MAX(BE39:BJ39)&gt;BJ44+0+$B$18,1,0))</f>
        <v>1</v>
      </c>
      <c r="BK61" s="385" t="n">
        <f aca="false">IF(59&lt;5,0,IF(MAX(BF39:BK39)&gt;BK44+0+$B$18,1,0))</f>
        <v>1</v>
      </c>
      <c r="BL61" s="385" t="n">
        <f aca="false">IF(60&lt;5,0,IF(MAX(BG39:BL39)&gt;BL44+0+$B$18,1,0))</f>
        <v>1</v>
      </c>
      <c r="BM61" s="385" t="n">
        <f aca="false">IF(61&lt;5,0,IF(MAX(BH39:BM39)&gt;BM44+0+$B$18,1,0))</f>
        <v>1</v>
      </c>
      <c r="BN61" s="385" t="n">
        <f aca="false">IF(62&lt;5,0,IF(MAX(BI39:BN39)&gt;BN44+0+$B$18,1,0))</f>
        <v>1</v>
      </c>
      <c r="BO61" s="385" t="n">
        <f aca="false">IF(63&lt;5,0,IF(MAX(BJ39:BO39)&gt;BO44+0+$B$18,1,0))</f>
        <v>1</v>
      </c>
      <c r="BP61" s="385" t="n">
        <f aca="false">IF(64&lt;5,0,IF(MAX(BK39:BP39)&gt;BP44+0+$B$18,1,0))</f>
        <v>1</v>
      </c>
      <c r="BQ61" s="385" t="n">
        <f aca="false">IF(65&lt;5,0,IF(MAX(BL39:BQ39)&gt;BQ44+0+$B$18,1,0))</f>
        <v>0</v>
      </c>
      <c r="BR61" s="385" t="n">
        <f aca="false">IF(66&lt;5,0,IF(MAX(BM39:BR39)&gt;BR44+0+$B$18,1,0))</f>
        <v>0</v>
      </c>
      <c r="BS61" s="385" t="n">
        <f aca="false">IF(67&lt;5,0,IF(MAX(BN39:BS39)&gt;BS44+0+$B$18,1,0))</f>
        <v>0</v>
      </c>
      <c r="BT61" s="385" t="n">
        <f aca="false">IF(68&lt;5,0,IF(MAX(BO39:BT39)&gt;BT44+0+$B$18,1,0))</f>
        <v>0</v>
      </c>
      <c r="BU61" s="385" t="n">
        <f aca="false">IF(69&lt;5,0,IF(MAX(BP39:BU39)&gt;BU44+0+$B$18,1,0))</f>
        <v>0</v>
      </c>
      <c r="BV61" s="385" t="n">
        <f aca="false">IF(70&lt;5,0,IF(MAX(BQ39:BV39)&gt;BV44+0+$B$18,1,0))</f>
        <v>0</v>
      </c>
      <c r="BW61" s="385" t="n">
        <f aca="false">IF(71&lt;5,0,IF(MAX(BR39:BW39)&gt;BW44+0+$B$18,1,0))</f>
        <v>0</v>
      </c>
      <c r="BX61" s="385" t="n">
        <f aca="false">IF(72&lt;5,0,IF(MAX(BS39:BX39)&gt;BX44+0+$B$18,1,0))</f>
        <v>0</v>
      </c>
      <c r="BY61" s="385" t="n">
        <f aca="false">IF(73&lt;5,0,IF(MAX(BT39:BY39)&gt;BY44+0+$B$18,1,0))</f>
        <v>0</v>
      </c>
      <c r="BZ61" s="385" t="n">
        <f aca="false">IF(74&lt;5,0,IF(MAX(BU39:BZ39)&gt;BZ44+0+$B$18,1,0))</f>
        <v>0</v>
      </c>
      <c r="CA61" s="385" t="n">
        <f aca="false">IF(75&lt;5,0,IF(MAX(BV39:CA39)&gt;CA44+0+$B$18,1,0))</f>
        <v>0</v>
      </c>
      <c r="CB61" s="385" t="n">
        <f aca="false">IF(76&lt;5,0,IF(MAX(BW39:CB39)&gt;CB44+0+$B$18,1,0))</f>
        <v>0</v>
      </c>
      <c r="CC61" s="385" t="n">
        <f aca="false">IF(77&lt;5,0,IF(MAX(BX39:CC39)&gt;CC44+0+$B$18,1,0))</f>
        <v>0</v>
      </c>
      <c r="CD61" s="385" t="n">
        <f aca="false">IF(78&lt;5,0,IF(MAX(BY39:CD39)&gt;CD44+0+$B$18,1,0))</f>
        <v>0</v>
      </c>
      <c r="CE61" s="385" t="n">
        <f aca="false">IF(79&lt;5,0,IF(MAX(BZ39:CE39)&gt;CE44+0+$B$18,1,0))</f>
        <v>0</v>
      </c>
      <c r="CF61" s="385" t="n">
        <f aca="false">IF(80&lt;5,0,IF(MAX(CA39:CF39)&gt;CF44+0+$B$18,1,0))</f>
        <v>0</v>
      </c>
      <c r="CG61" s="385" t="n">
        <f aca="false">IF(81&lt;5,0,IF(MAX(CB39:CG39)&gt;CG44+0+$B$18,1,0))</f>
        <v>0</v>
      </c>
      <c r="CH61" s="385" t="n">
        <f aca="false">IF(82&lt;5,0,IF(MAX(CC39:CH39)&gt;CH44+0+$B$18,1,0))</f>
        <v>0</v>
      </c>
      <c r="CI61" s="385" t="n">
        <f aca="false">IF(83&lt;5,0,IF(MAX(CD39:CI39)&gt;CI44+0+$B$18,1,0))</f>
        <v>0</v>
      </c>
      <c r="CJ61" s="385" t="n">
        <f aca="false">IF(84&lt;5,0,IF(MAX(CE39:CJ39)&gt;CJ44+0+$B$18,1,0))</f>
        <v>0</v>
      </c>
      <c r="CK61" s="385" t="n">
        <f aca="false">IF(85&lt;5,0,IF(MAX(CF39:CK39)&gt;CK44+0+$B$18,1,0))</f>
        <v>0</v>
      </c>
      <c r="CL61" s="385" t="n">
        <f aca="false">IF(86&lt;5,0,IF(MAX(CG39:CL39)&gt;CL44+0+$B$18,1,0))</f>
        <v>0</v>
      </c>
      <c r="CM61" s="385" t="n">
        <f aca="false">IF(87&lt;5,0,IF(MAX(CH39:CM39)&gt;CM44+0+$B$18,1,0))</f>
        <v>0</v>
      </c>
      <c r="CN61" s="385" t="n">
        <f aca="false">IF(88&lt;5,0,IF(MAX(CI39:CN39)&gt;CN44+0+$B$18,1,0))</f>
        <v>0</v>
      </c>
      <c r="CO61" s="385" t="n">
        <f aca="false">IF(89&lt;5,0,IF(MAX(CJ39:CO39)&gt;CO44+0+$B$18,1,0))</f>
        <v>0</v>
      </c>
      <c r="CP61" s="385" t="n">
        <f aca="false">IF(90&lt;5,0,IF(MAX(CK39:CP39)&gt;CP44+0+$B$18,1,0))</f>
        <v>0</v>
      </c>
      <c r="CQ61" s="385" t="n">
        <f aca="false">IF(91&lt;5,0,IF(MAX(CL39:CQ39)&gt;CQ44+0+$B$18,1,0))</f>
        <v>0</v>
      </c>
      <c r="CR61" s="385" t="n">
        <f aca="false">IF(92&lt;5,0,IF(MAX(CM39:CR39)&gt;CR44+0+$B$18,1,0))</f>
        <v>0</v>
      </c>
      <c r="CS61" s="385" t="n">
        <f aca="false">IF(93&lt;5,0,IF(MAX(CN39:CS39)&gt;CS44+0+$B$18,1,0))</f>
        <v>0</v>
      </c>
      <c r="CT61" s="385" t="n">
        <f aca="false">IF(94&lt;5,0,IF(MAX(CO39:CT39)&gt;CT44+0+$B$18,1,0))</f>
        <v>0</v>
      </c>
      <c r="CU61" s="385" t="n">
        <f aca="false">IF(95&lt;5,0,IF(MAX(CP39:CU39)&gt;CU44+0+$B$18,1,0))</f>
        <v>0</v>
      </c>
      <c r="CV61" s="385" t="n">
        <f aca="false">IF(96&lt;5,0,IF(MAX(CQ39:CV39)&gt;CV44+0+$B$18,1,0))</f>
        <v>0</v>
      </c>
      <c r="CW61" s="385" t="n">
        <f aca="false">IF(97&lt;5,0,IF(MAX(CR39:CW39)&gt;CW44+0+$B$18,1,0))</f>
        <v>0</v>
      </c>
      <c r="CX61" s="385" t="n">
        <f aca="false">IF(98&lt;5,0,IF(MAX(CS39:CX39)&gt;CX44+0+$B$18,1,0))</f>
        <v>0</v>
      </c>
      <c r="CY61" s="385" t="n">
        <f aca="false">IF(99&lt;5,0,IF(MAX(CT39:CY39)&gt;CY44+0+$B$18,1,0))</f>
        <v>0</v>
      </c>
      <c r="CZ61" s="385" t="n">
        <f aca="false">IF(100&lt;5,0,IF(MAX(CU39:CZ39)&gt;CZ44+0+$B$18,1,0))</f>
        <v>0</v>
      </c>
      <c r="DA61" s="385" t="n">
        <f aca="false">IF(101&lt;5,0,IF(MAX(CV39:DA39)&gt;DA44+0+$B$18,1,0))</f>
        <v>0</v>
      </c>
      <c r="DB61" s="385" t="n">
        <f aca="false">IF(102&lt;5,0,IF(MAX(CW39:DB39)&gt;DB44+0+$B$18,1,0))</f>
        <v>0</v>
      </c>
      <c r="DC61" s="385" t="n">
        <f aca="false">IF(103&lt;5,0,IF(MAX(CX39:DC39)&gt;DC44+0+$B$18,1,0))</f>
        <v>0</v>
      </c>
      <c r="DD61" s="385" t="n">
        <f aca="false">IF(104&lt;5,0,IF(MAX(CY39:DD39)&gt;DD44+0+$B$18,1,0))</f>
        <v>0</v>
      </c>
      <c r="DE61" s="385" t="n">
        <f aca="false">IF(105&lt;5,0,IF(MAX(CZ39:DE39)&gt;DE44+0+$B$18,1,0))</f>
        <v>0</v>
      </c>
    </row>
    <row r="62" customFormat="false" ht="13.5" hidden="false" customHeight="true" outlineLevel="0" collapsed="false">
      <c r="A62" s="110" t="s">
        <v>1393</v>
      </c>
      <c r="B62" s="213" t="n">
        <f aca="false">$B$28</f>
        <v>130000</v>
      </c>
      <c r="E62" s="385" t="n">
        <f aca="false">IF(1&lt;5,0,IF(MAX(E39:E39)&gt;E44+1+$B$18,1,0))</f>
        <v>0</v>
      </c>
      <c r="F62" s="385" t="n">
        <f aca="false">IF(2&lt;5,0,IF(MAX(E39:F39)&gt;F44+1+$B$18,1,0))</f>
        <v>0</v>
      </c>
      <c r="G62" s="385" t="n">
        <f aca="false">IF(3&lt;5,0,IF(MAX(E39:G39)&gt;G44+1+$B$18,1,0))</f>
        <v>0</v>
      </c>
      <c r="H62" s="385" t="n">
        <f aca="false">IF(4&lt;5,0,IF(MAX(E39:H39)&gt;H44+1+$B$18,1,0))</f>
        <v>0</v>
      </c>
      <c r="I62" s="385" t="n">
        <f aca="false">IF(5&lt;5,0,IF(MAX(E39:I39)&gt;I44+1+$B$18,1,0))</f>
        <v>0</v>
      </c>
      <c r="J62" s="385" t="n">
        <f aca="false">IF(6&lt;5,0,IF(MAX(E39:J39)&gt;J44+1+$B$18,1,0))</f>
        <v>0</v>
      </c>
      <c r="K62" s="385" t="n">
        <f aca="false">IF(7&lt;5,0,IF(MAX(F39:K39)&gt;K44+1+$B$18,1,0))</f>
        <v>0</v>
      </c>
      <c r="L62" s="385" t="n">
        <f aca="false">IF(8&lt;5,0,IF(MAX(G39:L39)&gt;L44+1+$B$18,1,0))</f>
        <v>0</v>
      </c>
      <c r="M62" s="385" t="n">
        <f aca="false">IF(9&lt;5,0,IF(MAX(H39:M39)&gt;M44+1+$B$18,1,0))</f>
        <v>0</v>
      </c>
      <c r="N62" s="385" t="n">
        <f aca="false">IF(10&lt;5,0,IF(MAX(I39:N39)&gt;N44+1+$B$18,1,0))</f>
        <v>0</v>
      </c>
      <c r="O62" s="385" t="n">
        <f aca="false">IF(11&lt;5,0,IF(MAX(J39:O39)&gt;O44+1+$B$18,1,0))</f>
        <v>0</v>
      </c>
      <c r="P62" s="385" t="n">
        <f aca="false">IF(12&lt;5,0,IF(MAX(K39:P39)&gt;P44+1+$B$18,1,0))</f>
        <v>0</v>
      </c>
      <c r="Q62" s="385" t="n">
        <f aca="false">IF(13&lt;5,0,IF(MAX(L39:Q39)&gt;Q44+1+$B$18,1,0))</f>
        <v>0</v>
      </c>
      <c r="R62" s="385" t="n">
        <f aca="false">IF(14&lt;5,0,IF(MAX(M39:R39)&gt;R44+1+$B$18,1,0))</f>
        <v>1</v>
      </c>
      <c r="S62" s="385" t="n">
        <f aca="false">IF(15&lt;5,0,IF(MAX(N39:S39)&gt;S44+1+$B$18,1,0))</f>
        <v>1</v>
      </c>
      <c r="T62" s="385" t="n">
        <f aca="false">IF(16&lt;5,0,IF(MAX(O39:T39)&gt;T44+1+$B$18,1,0))</f>
        <v>1</v>
      </c>
      <c r="U62" s="385" t="n">
        <f aca="false">IF(17&lt;5,0,IF(MAX(P39:U39)&gt;U44+1+$B$18,1,0))</f>
        <v>1</v>
      </c>
      <c r="V62" s="385" t="n">
        <f aca="false">IF(18&lt;5,0,IF(MAX(Q39:V39)&gt;V44+1+$B$18,1,0))</f>
        <v>1</v>
      </c>
      <c r="W62" s="385" t="n">
        <f aca="false">IF(19&lt;5,0,IF(MAX(R39:W39)&gt;W44+1+$B$18,1,0))</f>
        <v>1</v>
      </c>
      <c r="X62" s="385" t="n">
        <f aca="false">IF(20&lt;5,0,IF(MAX(S39:X39)&gt;X44+1+$B$18,1,0))</f>
        <v>1</v>
      </c>
      <c r="Y62" s="385" t="n">
        <f aca="false">IF(21&lt;5,0,IF(MAX(T39:Y39)&gt;Y44+1+$B$18,1,0))</f>
        <v>1</v>
      </c>
      <c r="Z62" s="385" t="n">
        <f aca="false">IF(22&lt;5,0,IF(MAX(U39:Z39)&gt;Z44+1+$B$18,1,0))</f>
        <v>1</v>
      </c>
      <c r="AA62" s="385" t="n">
        <f aca="false">IF(23&lt;5,0,IF(MAX(V39:AA39)&gt;AA44+1+$B$18,1,0))</f>
        <v>1</v>
      </c>
      <c r="AB62" s="385" t="n">
        <f aca="false">IF(24&lt;5,0,IF(MAX(W39:AB39)&gt;AB44+1+$B$18,1,0))</f>
        <v>1</v>
      </c>
      <c r="AC62" s="385" t="n">
        <f aca="false">IF(25&lt;5,0,IF(MAX(X39:AC39)&gt;AC44+1+$B$18,1,0))</f>
        <v>1</v>
      </c>
      <c r="AD62" s="385" t="n">
        <f aca="false">IF(26&lt;5,0,IF(MAX(Y39:AD39)&gt;AD44+1+$B$18,1,0))</f>
        <v>1</v>
      </c>
      <c r="AE62" s="385" t="n">
        <f aca="false">IF(27&lt;5,0,IF(MAX(Z39:AE39)&gt;AE44+1+$B$18,1,0))</f>
        <v>1</v>
      </c>
      <c r="AF62" s="385" t="n">
        <f aca="false">IF(28&lt;5,0,IF(MAX(AA39:AF39)&gt;AF44+1+$B$18,1,0))</f>
        <v>1</v>
      </c>
      <c r="AG62" s="385" t="n">
        <f aca="false">IF(29&lt;5,0,IF(MAX(AB39:AG39)&gt;AG44+1+$B$18,1,0))</f>
        <v>1</v>
      </c>
      <c r="AH62" s="385" t="n">
        <f aca="false">IF(30&lt;5,0,IF(MAX(AC39:AH39)&gt;AH44+1+$B$18,1,0))</f>
        <v>1</v>
      </c>
      <c r="AI62" s="385" t="n">
        <f aca="false">IF(31&lt;5,0,IF(MAX(AD39:AI39)&gt;AI44+1+$B$18,1,0))</f>
        <v>1</v>
      </c>
      <c r="AJ62" s="385" t="n">
        <f aca="false">IF(32&lt;5,0,IF(MAX(AE39:AJ39)&gt;AJ44+1+$B$18,1,0))</f>
        <v>1</v>
      </c>
      <c r="AK62" s="385" t="n">
        <f aca="false">IF(33&lt;5,0,IF(MAX(AF39:AK39)&gt;AK44+1+$B$18,1,0))</f>
        <v>1</v>
      </c>
      <c r="AL62" s="385" t="n">
        <f aca="false">IF(34&lt;5,0,IF(MAX(AG39:AL39)&gt;AL44+1+$B$18,1,0))</f>
        <v>1</v>
      </c>
      <c r="AM62" s="385" t="n">
        <f aca="false">IF(35&lt;5,0,IF(MAX(AH39:AM39)&gt;AM44+1+$B$18,1,0))</f>
        <v>1</v>
      </c>
      <c r="AN62" s="385" t="n">
        <f aca="false">IF(36&lt;5,0,IF(MAX(AI39:AN39)&gt;AN44+1+$B$18,1,0))</f>
        <v>1</v>
      </c>
      <c r="AO62" s="385" t="n">
        <f aca="false">IF(37&lt;5,0,IF(MAX(AJ39:AO39)&gt;AO44+1+$B$18,1,0))</f>
        <v>1</v>
      </c>
      <c r="AP62" s="385" t="n">
        <f aca="false">IF(38&lt;5,0,IF(MAX(AK39:AP39)&gt;AP44+1+$B$18,1,0))</f>
        <v>1</v>
      </c>
      <c r="AQ62" s="385" t="n">
        <f aca="false">IF(39&lt;5,0,IF(MAX(AL39:AQ39)&gt;AQ44+1+$B$18,1,0))</f>
        <v>1</v>
      </c>
      <c r="AR62" s="385" t="n">
        <f aca="false">IF(40&lt;5,0,IF(MAX(AM39:AR39)&gt;AR44+1+$B$18,1,0))</f>
        <v>1</v>
      </c>
      <c r="AS62" s="385" t="n">
        <f aca="false">IF(41&lt;5,0,IF(MAX(AN39:AS39)&gt;AS44+1+$B$18,1,0))</f>
        <v>1</v>
      </c>
      <c r="AT62" s="385" t="n">
        <f aca="false">IF(42&lt;5,0,IF(MAX(AO39:AT39)&gt;AT44+1+$B$18,1,0))</f>
        <v>1</v>
      </c>
      <c r="AU62" s="385" t="n">
        <f aca="false">IF(43&lt;5,0,IF(MAX(AP39:AU39)&gt;AU44+1+$B$18,1,0))</f>
        <v>1</v>
      </c>
      <c r="AV62" s="385" t="n">
        <f aca="false">IF(44&lt;5,0,IF(MAX(AQ39:AV39)&gt;AV44+1+$B$18,1,0))</f>
        <v>1</v>
      </c>
      <c r="AW62" s="385" t="n">
        <f aca="false">IF(45&lt;5,0,IF(MAX(AR39:AW39)&gt;AW44+1+$B$18,1,0))</f>
        <v>1</v>
      </c>
      <c r="AX62" s="385" t="n">
        <f aca="false">IF(46&lt;5,0,IF(MAX(AS39:AX39)&gt;AX44+1+$B$18,1,0))</f>
        <v>1</v>
      </c>
      <c r="AY62" s="385" t="n">
        <f aca="false">IF(47&lt;5,0,IF(MAX(AT39:AY39)&gt;AY44+1+$B$18,1,0))</f>
        <v>1</v>
      </c>
      <c r="AZ62" s="385" t="n">
        <f aca="false">IF(48&lt;5,0,IF(MAX(AU39:AZ39)&gt;AZ44+1+$B$18,1,0))</f>
        <v>1</v>
      </c>
      <c r="BA62" s="385" t="n">
        <f aca="false">IF(49&lt;5,0,IF(MAX(AV39:BA39)&gt;BA44+1+$B$18,1,0))</f>
        <v>1</v>
      </c>
      <c r="BB62" s="385" t="n">
        <f aca="false">IF(50&lt;5,0,IF(MAX(AW39:BB39)&gt;BB44+1+$B$18,1,0))</f>
        <v>1</v>
      </c>
      <c r="BC62" s="385" t="n">
        <f aca="false">IF(51&lt;5,0,IF(MAX(AX39:BC39)&gt;BC44+1+$B$18,1,0))</f>
        <v>1</v>
      </c>
      <c r="BD62" s="385" t="n">
        <f aca="false">IF(52&lt;5,0,IF(MAX(AY39:BD39)&gt;BD44+1+$B$18,1,0))</f>
        <v>1</v>
      </c>
      <c r="BE62" s="385" t="n">
        <f aca="false">IF(53&lt;5,0,IF(MAX(AZ39:BE39)&gt;BE44+1+$B$18,1,0))</f>
        <v>1</v>
      </c>
      <c r="BF62" s="385" t="n">
        <f aca="false">IF(54&lt;5,0,IF(MAX(BA39:BF39)&gt;BF44+1+$B$18,1,0))</f>
        <v>1</v>
      </c>
      <c r="BG62" s="385" t="n">
        <f aca="false">IF(55&lt;5,0,IF(MAX(BB39:BG39)&gt;BG44+1+$B$18,1,0))</f>
        <v>1</v>
      </c>
      <c r="BH62" s="385" t="n">
        <f aca="false">IF(56&lt;5,0,IF(MAX(BC39:BH39)&gt;BH44+1+$B$18,1,0))</f>
        <v>1</v>
      </c>
      <c r="BI62" s="385" t="n">
        <f aca="false">IF(57&lt;5,0,IF(MAX(BD39:BI39)&gt;BI44+1+$B$18,1,0))</f>
        <v>1</v>
      </c>
      <c r="BJ62" s="385" t="n">
        <f aca="false">IF(58&lt;5,0,IF(MAX(BE39:BJ39)&gt;BJ44+1+$B$18,1,0))</f>
        <v>1</v>
      </c>
      <c r="BK62" s="385" t="n">
        <f aca="false">IF(59&lt;5,0,IF(MAX(BF39:BK39)&gt;BK44+1+$B$18,1,0))</f>
        <v>0</v>
      </c>
      <c r="BL62" s="385" t="n">
        <f aca="false">IF(60&lt;5,0,IF(MAX(BG39:BL39)&gt;BL44+1+$B$18,1,0))</f>
        <v>0</v>
      </c>
      <c r="BM62" s="385" t="n">
        <f aca="false">IF(61&lt;5,0,IF(MAX(BH39:BM39)&gt;BM44+1+$B$18,1,0))</f>
        <v>0</v>
      </c>
      <c r="BN62" s="385" t="n">
        <f aca="false">IF(62&lt;5,0,IF(MAX(BI39:BN39)&gt;BN44+1+$B$18,1,0))</f>
        <v>0</v>
      </c>
      <c r="BO62" s="385" t="n">
        <f aca="false">IF(63&lt;5,0,IF(MAX(BJ39:BO39)&gt;BO44+1+$B$18,1,0))</f>
        <v>0</v>
      </c>
      <c r="BP62" s="385" t="n">
        <f aca="false">IF(64&lt;5,0,IF(MAX(BK39:BP39)&gt;BP44+1+$B$18,1,0))</f>
        <v>0</v>
      </c>
      <c r="BQ62" s="385" t="n">
        <f aca="false">IF(65&lt;5,0,IF(MAX(BL39:BQ39)&gt;BQ44+1+$B$18,1,0))</f>
        <v>0</v>
      </c>
      <c r="BR62" s="385" t="n">
        <f aca="false">IF(66&lt;5,0,IF(MAX(BM39:BR39)&gt;BR44+1+$B$18,1,0))</f>
        <v>0</v>
      </c>
      <c r="BS62" s="385" t="n">
        <f aca="false">IF(67&lt;5,0,IF(MAX(BN39:BS39)&gt;BS44+1+$B$18,1,0))</f>
        <v>0</v>
      </c>
      <c r="BT62" s="385" t="n">
        <f aca="false">IF(68&lt;5,0,IF(MAX(BO39:BT39)&gt;BT44+1+$B$18,1,0))</f>
        <v>0</v>
      </c>
      <c r="BU62" s="385" t="n">
        <f aca="false">IF(69&lt;5,0,IF(MAX(BP39:BU39)&gt;BU44+1+$B$18,1,0))</f>
        <v>0</v>
      </c>
      <c r="BV62" s="385" t="n">
        <f aca="false">IF(70&lt;5,0,IF(MAX(BQ39:BV39)&gt;BV44+1+$B$18,1,0))</f>
        <v>0</v>
      </c>
      <c r="BW62" s="385" t="n">
        <f aca="false">IF(71&lt;5,0,IF(MAX(BR39:BW39)&gt;BW44+1+$B$18,1,0))</f>
        <v>0</v>
      </c>
      <c r="BX62" s="385" t="n">
        <f aca="false">IF(72&lt;5,0,IF(MAX(BS39:BX39)&gt;BX44+1+$B$18,1,0))</f>
        <v>0</v>
      </c>
      <c r="BY62" s="385" t="n">
        <f aca="false">IF(73&lt;5,0,IF(MAX(BT39:BY39)&gt;BY44+1+$B$18,1,0))</f>
        <v>0</v>
      </c>
      <c r="BZ62" s="385" t="n">
        <f aca="false">IF(74&lt;5,0,IF(MAX(BU39:BZ39)&gt;BZ44+1+$B$18,1,0))</f>
        <v>0</v>
      </c>
      <c r="CA62" s="385" t="n">
        <f aca="false">IF(75&lt;5,0,IF(MAX(BV39:CA39)&gt;CA44+1+$B$18,1,0))</f>
        <v>0</v>
      </c>
      <c r="CB62" s="385" t="n">
        <f aca="false">IF(76&lt;5,0,IF(MAX(BW39:CB39)&gt;CB44+1+$B$18,1,0))</f>
        <v>0</v>
      </c>
      <c r="CC62" s="385" t="n">
        <f aca="false">IF(77&lt;5,0,IF(MAX(BX39:CC39)&gt;CC44+1+$B$18,1,0))</f>
        <v>0</v>
      </c>
      <c r="CD62" s="385" t="n">
        <f aca="false">IF(78&lt;5,0,IF(MAX(BY39:CD39)&gt;CD44+1+$B$18,1,0))</f>
        <v>0</v>
      </c>
      <c r="CE62" s="385" t="n">
        <f aca="false">IF(79&lt;5,0,IF(MAX(BZ39:CE39)&gt;CE44+1+$B$18,1,0))</f>
        <v>0</v>
      </c>
      <c r="CF62" s="385" t="n">
        <f aca="false">IF(80&lt;5,0,IF(MAX(CA39:CF39)&gt;CF44+1+$B$18,1,0))</f>
        <v>0</v>
      </c>
      <c r="CG62" s="385" t="n">
        <f aca="false">IF(81&lt;5,0,IF(MAX(CB39:CG39)&gt;CG44+1+$B$18,1,0))</f>
        <v>0</v>
      </c>
      <c r="CH62" s="385" t="n">
        <f aca="false">IF(82&lt;5,0,IF(MAX(CC39:CH39)&gt;CH44+1+$B$18,1,0))</f>
        <v>0</v>
      </c>
      <c r="CI62" s="385" t="n">
        <f aca="false">IF(83&lt;5,0,IF(MAX(CD39:CI39)&gt;CI44+1+$B$18,1,0))</f>
        <v>0</v>
      </c>
      <c r="CJ62" s="385" t="n">
        <f aca="false">IF(84&lt;5,0,IF(MAX(CE39:CJ39)&gt;CJ44+1+$B$18,1,0))</f>
        <v>0</v>
      </c>
      <c r="CK62" s="385" t="n">
        <f aca="false">IF(85&lt;5,0,IF(MAX(CF39:CK39)&gt;CK44+1+$B$18,1,0))</f>
        <v>0</v>
      </c>
      <c r="CL62" s="385" t="n">
        <f aca="false">IF(86&lt;5,0,IF(MAX(CG39:CL39)&gt;CL44+1+$B$18,1,0))</f>
        <v>0</v>
      </c>
      <c r="CM62" s="385" t="n">
        <f aca="false">IF(87&lt;5,0,IF(MAX(CH39:CM39)&gt;CM44+1+$B$18,1,0))</f>
        <v>0</v>
      </c>
      <c r="CN62" s="385" t="n">
        <f aca="false">IF(88&lt;5,0,IF(MAX(CI39:CN39)&gt;CN44+1+$B$18,1,0))</f>
        <v>0</v>
      </c>
      <c r="CO62" s="385" t="n">
        <f aca="false">IF(89&lt;5,0,IF(MAX(CJ39:CO39)&gt;CO44+1+$B$18,1,0))</f>
        <v>0</v>
      </c>
      <c r="CP62" s="385" t="n">
        <f aca="false">IF(90&lt;5,0,IF(MAX(CK39:CP39)&gt;CP44+1+$B$18,1,0))</f>
        <v>0</v>
      </c>
      <c r="CQ62" s="385" t="n">
        <f aca="false">IF(91&lt;5,0,IF(MAX(CL39:CQ39)&gt;CQ44+1+$B$18,1,0))</f>
        <v>0</v>
      </c>
      <c r="CR62" s="385" t="n">
        <f aca="false">IF(92&lt;5,0,IF(MAX(CM39:CR39)&gt;CR44+1+$B$18,1,0))</f>
        <v>0</v>
      </c>
      <c r="CS62" s="385" t="n">
        <f aca="false">IF(93&lt;5,0,IF(MAX(CN39:CS39)&gt;CS44+1+$B$18,1,0))</f>
        <v>0</v>
      </c>
      <c r="CT62" s="385" t="n">
        <f aca="false">IF(94&lt;5,0,IF(MAX(CO39:CT39)&gt;CT44+1+$B$18,1,0))</f>
        <v>0</v>
      </c>
      <c r="CU62" s="385" t="n">
        <f aca="false">IF(95&lt;5,0,IF(MAX(CP39:CU39)&gt;CU44+1+$B$18,1,0))</f>
        <v>0</v>
      </c>
      <c r="CV62" s="385" t="n">
        <f aca="false">IF(96&lt;5,0,IF(MAX(CQ39:CV39)&gt;CV44+1+$B$18,1,0))</f>
        <v>0</v>
      </c>
      <c r="CW62" s="385" t="n">
        <f aca="false">IF(97&lt;5,0,IF(MAX(CR39:CW39)&gt;CW44+1+$B$18,1,0))</f>
        <v>0</v>
      </c>
      <c r="CX62" s="385" t="n">
        <f aca="false">IF(98&lt;5,0,IF(MAX(CS39:CX39)&gt;CX44+1+$B$18,1,0))</f>
        <v>0</v>
      </c>
      <c r="CY62" s="385" t="n">
        <f aca="false">IF(99&lt;5,0,IF(MAX(CT39:CY39)&gt;CY44+1+$B$18,1,0))</f>
        <v>0</v>
      </c>
      <c r="CZ62" s="385" t="n">
        <f aca="false">IF(100&lt;5,0,IF(MAX(CU39:CZ39)&gt;CZ44+1+$B$18,1,0))</f>
        <v>0</v>
      </c>
      <c r="DA62" s="385" t="n">
        <f aca="false">IF(101&lt;5,0,IF(MAX(CV39:DA39)&gt;DA44+1+$B$18,1,0))</f>
        <v>0</v>
      </c>
      <c r="DB62" s="385" t="n">
        <f aca="false">IF(102&lt;5,0,IF(MAX(CW39:DB39)&gt;DB44+1+$B$18,1,0))</f>
        <v>0</v>
      </c>
      <c r="DC62" s="385" t="n">
        <f aca="false">IF(103&lt;5,0,IF(MAX(CX39:DC39)&gt;DC44+1+$B$18,1,0))</f>
        <v>0</v>
      </c>
      <c r="DD62" s="385" t="n">
        <f aca="false">IF(104&lt;5,0,IF(MAX(CY39:DD39)&gt;DD44+1+$B$18,1,0))</f>
        <v>0</v>
      </c>
      <c r="DE62" s="385" t="n">
        <f aca="false">IF(105&lt;5,0,IF(MAX(CZ39:DE39)&gt;DE44+1+$B$18,1,0))</f>
        <v>0</v>
      </c>
    </row>
    <row r="63" customFormat="false" ht="13.5" hidden="false" customHeight="true" outlineLevel="0" collapsed="false">
      <c r="A63" s="110" t="s">
        <v>1394</v>
      </c>
      <c r="B63" s="213" t="n">
        <f aca="false">$B$28</f>
        <v>130000</v>
      </c>
      <c r="E63" s="385" t="n">
        <f aca="false">IF(1&lt;5,0,IF(MAX(E39:E39)&gt;E44+2+$B$18,1,0))</f>
        <v>0</v>
      </c>
      <c r="F63" s="385" t="n">
        <f aca="false">IF(2&lt;5,0,IF(MAX(E39:F39)&gt;F44+2+$B$18,1,0))</f>
        <v>0</v>
      </c>
      <c r="G63" s="385" t="n">
        <f aca="false">IF(3&lt;5,0,IF(MAX(E39:G39)&gt;G44+2+$B$18,1,0))</f>
        <v>0</v>
      </c>
      <c r="H63" s="385" t="n">
        <f aca="false">IF(4&lt;5,0,IF(MAX(E39:H39)&gt;H44+2+$B$18,1,0))</f>
        <v>0</v>
      </c>
      <c r="I63" s="385" t="n">
        <f aca="false">IF(5&lt;5,0,IF(MAX(E39:I39)&gt;I44+2+$B$18,1,0))</f>
        <v>0</v>
      </c>
      <c r="J63" s="385" t="n">
        <f aca="false">IF(6&lt;5,0,IF(MAX(E39:J39)&gt;J44+2+$B$18,1,0))</f>
        <v>0</v>
      </c>
      <c r="K63" s="385" t="n">
        <f aca="false">IF(7&lt;5,0,IF(MAX(F39:K39)&gt;K44+2+$B$18,1,0))</f>
        <v>0</v>
      </c>
      <c r="L63" s="385" t="n">
        <f aca="false">IF(8&lt;5,0,IF(MAX(G39:L39)&gt;L44+2+$B$18,1,0))</f>
        <v>0</v>
      </c>
      <c r="M63" s="385" t="n">
        <f aca="false">IF(9&lt;5,0,IF(MAX(H39:M39)&gt;M44+2+$B$18,1,0))</f>
        <v>0</v>
      </c>
      <c r="N63" s="385" t="n">
        <f aca="false">IF(10&lt;5,0,IF(MAX(I39:N39)&gt;N44+2+$B$18,1,0))</f>
        <v>0</v>
      </c>
      <c r="O63" s="385" t="n">
        <f aca="false">IF(11&lt;5,0,IF(MAX(J39:O39)&gt;O44+2+$B$18,1,0))</f>
        <v>0</v>
      </c>
      <c r="P63" s="385" t="n">
        <f aca="false">IF(12&lt;5,0,IF(MAX(K39:P39)&gt;P44+2+$B$18,1,0))</f>
        <v>0</v>
      </c>
      <c r="Q63" s="385" t="n">
        <f aca="false">IF(13&lt;5,0,IF(MAX(L39:Q39)&gt;Q44+2+$B$18,1,0))</f>
        <v>0</v>
      </c>
      <c r="R63" s="385" t="n">
        <f aca="false">IF(14&lt;5,0,IF(MAX(M39:R39)&gt;R44+2+$B$18,1,0))</f>
        <v>0</v>
      </c>
      <c r="S63" s="385" t="n">
        <f aca="false">IF(15&lt;5,0,IF(MAX(N39:S39)&gt;S44+2+$B$18,1,0))</f>
        <v>0</v>
      </c>
      <c r="T63" s="385" t="n">
        <f aca="false">IF(16&lt;5,0,IF(MAX(O39:T39)&gt;T44+2+$B$18,1,0))</f>
        <v>0</v>
      </c>
      <c r="U63" s="385" t="n">
        <f aca="false">IF(17&lt;5,0,IF(MAX(P39:U39)&gt;U44+2+$B$18,1,0))</f>
        <v>0</v>
      </c>
      <c r="V63" s="385" t="n">
        <f aca="false">IF(18&lt;5,0,IF(MAX(Q39:V39)&gt;V44+2+$B$18,1,0))</f>
        <v>0</v>
      </c>
      <c r="W63" s="385" t="n">
        <f aca="false">IF(19&lt;5,0,IF(MAX(R39:W39)&gt;W44+2+$B$18,1,0))</f>
        <v>0</v>
      </c>
      <c r="X63" s="385" t="n">
        <f aca="false">IF(20&lt;5,0,IF(MAX(S39:X39)&gt;X44+2+$B$18,1,0))</f>
        <v>0</v>
      </c>
      <c r="Y63" s="385" t="n">
        <f aca="false">IF(21&lt;5,0,IF(MAX(T39:Y39)&gt;Y44+2+$B$18,1,0))</f>
        <v>0</v>
      </c>
      <c r="Z63" s="385" t="n">
        <f aca="false">IF(22&lt;5,0,IF(MAX(U39:Z39)&gt;Z44+2+$B$18,1,0))</f>
        <v>0</v>
      </c>
      <c r="AA63" s="385" t="n">
        <f aca="false">IF(23&lt;5,0,IF(MAX(V39:AA39)&gt;AA44+2+$B$18,1,0))</f>
        <v>0</v>
      </c>
      <c r="AB63" s="385" t="n">
        <f aca="false">IF(24&lt;5,0,IF(MAX(W39:AB39)&gt;AB44+2+$B$18,1,0))</f>
        <v>0</v>
      </c>
      <c r="AC63" s="385" t="n">
        <f aca="false">IF(25&lt;5,0,IF(MAX(X39:AC39)&gt;AC44+2+$B$18,1,0))</f>
        <v>0</v>
      </c>
      <c r="AD63" s="385" t="n">
        <f aca="false">IF(26&lt;5,0,IF(MAX(Y39:AD39)&gt;AD44+2+$B$18,1,0))</f>
        <v>0</v>
      </c>
      <c r="AE63" s="385" t="n">
        <f aca="false">IF(27&lt;5,0,IF(MAX(Z39:AE39)&gt;AE44+2+$B$18,1,0))</f>
        <v>0</v>
      </c>
      <c r="AF63" s="385" t="n">
        <f aca="false">IF(28&lt;5,0,IF(MAX(AA39:AF39)&gt;AF44+2+$B$18,1,0))</f>
        <v>0</v>
      </c>
      <c r="AG63" s="385" t="n">
        <f aca="false">IF(29&lt;5,0,IF(MAX(AB39:AG39)&gt;AG44+2+$B$18,1,0))</f>
        <v>0</v>
      </c>
      <c r="AH63" s="385" t="n">
        <f aca="false">IF(30&lt;5,0,IF(MAX(AC39:AH39)&gt;AH44+2+$B$18,1,0))</f>
        <v>0</v>
      </c>
      <c r="AI63" s="385" t="n">
        <f aca="false">IF(31&lt;5,0,IF(MAX(AD39:AI39)&gt;AI44+2+$B$18,1,0))</f>
        <v>0</v>
      </c>
      <c r="AJ63" s="385" t="n">
        <f aca="false">IF(32&lt;5,0,IF(MAX(AE39:AJ39)&gt;AJ44+2+$B$18,1,0))</f>
        <v>0</v>
      </c>
      <c r="AK63" s="385" t="n">
        <f aca="false">IF(33&lt;5,0,IF(MAX(AF39:AK39)&gt;AK44+2+$B$18,1,0))</f>
        <v>0</v>
      </c>
      <c r="AL63" s="385" t="n">
        <f aca="false">IF(34&lt;5,0,IF(MAX(AG39:AL39)&gt;AL44+2+$B$18,1,0))</f>
        <v>0</v>
      </c>
      <c r="AM63" s="385" t="n">
        <f aca="false">IF(35&lt;5,0,IF(MAX(AH39:AM39)&gt;AM44+2+$B$18,1,0))</f>
        <v>0</v>
      </c>
      <c r="AN63" s="385" t="n">
        <f aca="false">IF(36&lt;5,0,IF(MAX(AI39:AN39)&gt;AN44+2+$B$18,1,0))</f>
        <v>0</v>
      </c>
      <c r="AO63" s="385" t="n">
        <f aca="false">IF(37&lt;5,0,IF(MAX(AJ39:AO39)&gt;AO44+2+$B$18,1,0))</f>
        <v>0</v>
      </c>
      <c r="AP63" s="385" t="n">
        <f aca="false">IF(38&lt;5,0,IF(MAX(AK39:AP39)&gt;AP44+2+$B$18,1,0))</f>
        <v>0</v>
      </c>
      <c r="AQ63" s="385" t="n">
        <f aca="false">IF(39&lt;5,0,IF(MAX(AL39:AQ39)&gt;AQ44+2+$B$18,1,0))</f>
        <v>1</v>
      </c>
      <c r="AR63" s="385" t="n">
        <f aca="false">IF(40&lt;5,0,IF(MAX(AM39:AR39)&gt;AR44+2+$B$18,1,0))</f>
        <v>1</v>
      </c>
      <c r="AS63" s="385" t="n">
        <f aca="false">IF(41&lt;5,0,IF(MAX(AN39:AS39)&gt;AS44+2+$B$18,1,0))</f>
        <v>1</v>
      </c>
      <c r="AT63" s="385" t="n">
        <f aca="false">IF(42&lt;5,0,IF(MAX(AO39:AT39)&gt;AT44+2+$B$18,1,0))</f>
        <v>1</v>
      </c>
      <c r="AU63" s="385" t="n">
        <f aca="false">IF(43&lt;5,0,IF(MAX(AP39:AU39)&gt;AU44+2+$B$18,1,0))</f>
        <v>1</v>
      </c>
      <c r="AV63" s="385" t="n">
        <f aca="false">IF(44&lt;5,0,IF(MAX(AQ39:AV39)&gt;AV44+2+$B$18,1,0))</f>
        <v>1</v>
      </c>
      <c r="AW63" s="385" t="n">
        <f aca="false">IF(45&lt;5,0,IF(MAX(AR39:AW39)&gt;AW44+2+$B$18,1,0))</f>
        <v>0</v>
      </c>
      <c r="AX63" s="385" t="n">
        <f aca="false">IF(46&lt;5,0,IF(MAX(AS39:AX39)&gt;AX44+2+$B$18,1,0))</f>
        <v>0</v>
      </c>
      <c r="AY63" s="385" t="n">
        <f aca="false">IF(47&lt;5,0,IF(MAX(AT39:AY39)&gt;AY44+2+$B$18,1,0))</f>
        <v>0</v>
      </c>
      <c r="AZ63" s="385" t="n">
        <f aca="false">IF(48&lt;5,0,IF(MAX(AU39:AZ39)&gt;AZ44+2+$B$18,1,0))</f>
        <v>0</v>
      </c>
      <c r="BA63" s="385" t="n">
        <f aca="false">IF(49&lt;5,0,IF(MAX(AV39:BA39)&gt;BA44+2+$B$18,1,0))</f>
        <v>0</v>
      </c>
      <c r="BB63" s="385" t="n">
        <f aca="false">IF(50&lt;5,0,IF(MAX(AW39:BB39)&gt;BB44+2+$B$18,1,0))</f>
        <v>0</v>
      </c>
      <c r="BC63" s="385" t="n">
        <f aca="false">IF(51&lt;5,0,IF(MAX(AX39:BC39)&gt;BC44+2+$B$18,1,0))</f>
        <v>0</v>
      </c>
      <c r="BD63" s="385" t="n">
        <f aca="false">IF(52&lt;5,0,IF(MAX(AY39:BD39)&gt;BD44+2+$B$18,1,0))</f>
        <v>0</v>
      </c>
      <c r="BE63" s="385" t="n">
        <f aca="false">IF(53&lt;5,0,IF(MAX(AZ39:BE39)&gt;BE44+2+$B$18,1,0))</f>
        <v>0</v>
      </c>
      <c r="BF63" s="385" t="n">
        <f aca="false">IF(54&lt;5,0,IF(MAX(BA39:BF39)&gt;BF44+2+$B$18,1,0))</f>
        <v>0</v>
      </c>
      <c r="BG63" s="385" t="n">
        <f aca="false">IF(55&lt;5,0,IF(MAX(BB39:BG39)&gt;BG44+2+$B$18,1,0))</f>
        <v>0</v>
      </c>
      <c r="BH63" s="385" t="n">
        <f aca="false">IF(56&lt;5,0,IF(MAX(BC39:BH39)&gt;BH44+2+$B$18,1,0))</f>
        <v>0</v>
      </c>
      <c r="BI63" s="385" t="n">
        <f aca="false">IF(57&lt;5,0,IF(MAX(BD39:BI39)&gt;BI44+2+$B$18,1,0))</f>
        <v>0</v>
      </c>
      <c r="BJ63" s="385" t="n">
        <f aca="false">IF(58&lt;5,0,IF(MAX(BE39:BJ39)&gt;BJ44+2+$B$18,1,0))</f>
        <v>0</v>
      </c>
      <c r="BK63" s="385" t="n">
        <f aca="false">IF(59&lt;5,0,IF(MAX(BF39:BK39)&gt;BK44+2+$B$18,1,0))</f>
        <v>0</v>
      </c>
      <c r="BL63" s="385" t="n">
        <f aca="false">IF(60&lt;5,0,IF(MAX(BG39:BL39)&gt;BL44+2+$B$18,1,0))</f>
        <v>0</v>
      </c>
      <c r="BM63" s="385" t="n">
        <f aca="false">IF(61&lt;5,0,IF(MAX(BH39:BM39)&gt;BM44+2+$B$18,1,0))</f>
        <v>0</v>
      </c>
      <c r="BN63" s="385" t="n">
        <f aca="false">IF(62&lt;5,0,IF(MAX(BI39:BN39)&gt;BN44+2+$B$18,1,0))</f>
        <v>0</v>
      </c>
      <c r="BO63" s="385" t="n">
        <f aca="false">IF(63&lt;5,0,IF(MAX(BJ39:BO39)&gt;BO44+2+$B$18,1,0))</f>
        <v>0</v>
      </c>
      <c r="BP63" s="385" t="n">
        <f aca="false">IF(64&lt;5,0,IF(MAX(BK39:BP39)&gt;BP44+2+$B$18,1,0))</f>
        <v>0</v>
      </c>
      <c r="BQ63" s="385" t="n">
        <f aca="false">IF(65&lt;5,0,IF(MAX(BL39:BQ39)&gt;BQ44+2+$B$18,1,0))</f>
        <v>0</v>
      </c>
      <c r="BR63" s="385" t="n">
        <f aca="false">IF(66&lt;5,0,IF(MAX(BM39:BR39)&gt;BR44+2+$B$18,1,0))</f>
        <v>0</v>
      </c>
      <c r="BS63" s="385" t="n">
        <f aca="false">IF(67&lt;5,0,IF(MAX(BN39:BS39)&gt;BS44+2+$B$18,1,0))</f>
        <v>0</v>
      </c>
      <c r="BT63" s="385" t="n">
        <f aca="false">IF(68&lt;5,0,IF(MAX(BO39:BT39)&gt;BT44+2+$B$18,1,0))</f>
        <v>0</v>
      </c>
      <c r="BU63" s="385" t="n">
        <f aca="false">IF(69&lt;5,0,IF(MAX(BP39:BU39)&gt;BU44+2+$B$18,1,0))</f>
        <v>0</v>
      </c>
      <c r="BV63" s="385" t="n">
        <f aca="false">IF(70&lt;5,0,IF(MAX(BQ39:BV39)&gt;BV44+2+$B$18,1,0))</f>
        <v>0</v>
      </c>
      <c r="BW63" s="385" t="n">
        <f aca="false">IF(71&lt;5,0,IF(MAX(BR39:BW39)&gt;BW44+2+$B$18,1,0))</f>
        <v>0</v>
      </c>
      <c r="BX63" s="385" t="n">
        <f aca="false">IF(72&lt;5,0,IF(MAX(BS39:BX39)&gt;BX44+2+$B$18,1,0))</f>
        <v>0</v>
      </c>
      <c r="BY63" s="385" t="n">
        <f aca="false">IF(73&lt;5,0,IF(MAX(BT39:BY39)&gt;BY44+2+$B$18,1,0))</f>
        <v>0</v>
      </c>
      <c r="BZ63" s="385" t="n">
        <f aca="false">IF(74&lt;5,0,IF(MAX(BU39:BZ39)&gt;BZ44+2+$B$18,1,0))</f>
        <v>0</v>
      </c>
      <c r="CA63" s="385" t="n">
        <f aca="false">IF(75&lt;5,0,IF(MAX(BV39:CA39)&gt;CA44+2+$B$18,1,0))</f>
        <v>0</v>
      </c>
      <c r="CB63" s="385" t="n">
        <f aca="false">IF(76&lt;5,0,IF(MAX(BW39:CB39)&gt;CB44+2+$B$18,1,0))</f>
        <v>0</v>
      </c>
      <c r="CC63" s="385" t="n">
        <f aca="false">IF(77&lt;5,0,IF(MAX(BX39:CC39)&gt;CC44+2+$B$18,1,0))</f>
        <v>0</v>
      </c>
      <c r="CD63" s="385" t="n">
        <f aca="false">IF(78&lt;5,0,IF(MAX(BY39:CD39)&gt;CD44+2+$B$18,1,0))</f>
        <v>0</v>
      </c>
      <c r="CE63" s="385" t="n">
        <f aca="false">IF(79&lt;5,0,IF(MAX(BZ39:CE39)&gt;CE44+2+$B$18,1,0))</f>
        <v>0</v>
      </c>
      <c r="CF63" s="385" t="n">
        <f aca="false">IF(80&lt;5,0,IF(MAX(CA39:CF39)&gt;CF44+2+$B$18,1,0))</f>
        <v>0</v>
      </c>
      <c r="CG63" s="385" t="n">
        <f aca="false">IF(81&lt;5,0,IF(MAX(CB39:CG39)&gt;CG44+2+$B$18,1,0))</f>
        <v>0</v>
      </c>
      <c r="CH63" s="385" t="n">
        <f aca="false">IF(82&lt;5,0,IF(MAX(CC39:CH39)&gt;CH44+2+$B$18,1,0))</f>
        <v>0</v>
      </c>
      <c r="CI63" s="385" t="n">
        <f aca="false">IF(83&lt;5,0,IF(MAX(CD39:CI39)&gt;CI44+2+$B$18,1,0))</f>
        <v>0</v>
      </c>
      <c r="CJ63" s="385" t="n">
        <f aca="false">IF(84&lt;5,0,IF(MAX(CE39:CJ39)&gt;CJ44+2+$B$18,1,0))</f>
        <v>0</v>
      </c>
      <c r="CK63" s="385" t="n">
        <f aca="false">IF(85&lt;5,0,IF(MAX(CF39:CK39)&gt;CK44+2+$B$18,1,0))</f>
        <v>0</v>
      </c>
      <c r="CL63" s="385" t="n">
        <f aca="false">IF(86&lt;5,0,IF(MAX(CG39:CL39)&gt;CL44+2+$B$18,1,0))</f>
        <v>0</v>
      </c>
      <c r="CM63" s="385" t="n">
        <f aca="false">IF(87&lt;5,0,IF(MAX(CH39:CM39)&gt;CM44+2+$B$18,1,0))</f>
        <v>0</v>
      </c>
      <c r="CN63" s="385" t="n">
        <f aca="false">IF(88&lt;5,0,IF(MAX(CI39:CN39)&gt;CN44+2+$B$18,1,0))</f>
        <v>0</v>
      </c>
      <c r="CO63" s="385" t="n">
        <f aca="false">IF(89&lt;5,0,IF(MAX(CJ39:CO39)&gt;CO44+2+$B$18,1,0))</f>
        <v>0</v>
      </c>
      <c r="CP63" s="385" t="n">
        <f aca="false">IF(90&lt;5,0,IF(MAX(CK39:CP39)&gt;CP44+2+$B$18,1,0))</f>
        <v>0</v>
      </c>
      <c r="CQ63" s="385" t="n">
        <f aca="false">IF(91&lt;5,0,IF(MAX(CL39:CQ39)&gt;CQ44+2+$B$18,1,0))</f>
        <v>0</v>
      </c>
      <c r="CR63" s="385" t="n">
        <f aca="false">IF(92&lt;5,0,IF(MAX(CM39:CR39)&gt;CR44+2+$B$18,1,0))</f>
        <v>0</v>
      </c>
      <c r="CS63" s="385" t="n">
        <f aca="false">IF(93&lt;5,0,IF(MAX(CN39:CS39)&gt;CS44+2+$B$18,1,0))</f>
        <v>0</v>
      </c>
      <c r="CT63" s="385" t="n">
        <f aca="false">IF(94&lt;5,0,IF(MAX(CO39:CT39)&gt;CT44+2+$B$18,1,0))</f>
        <v>0</v>
      </c>
      <c r="CU63" s="385" t="n">
        <f aca="false">IF(95&lt;5,0,IF(MAX(CP39:CU39)&gt;CU44+2+$B$18,1,0))</f>
        <v>0</v>
      </c>
      <c r="CV63" s="385" t="n">
        <f aca="false">IF(96&lt;5,0,IF(MAX(CQ39:CV39)&gt;CV44+2+$B$18,1,0))</f>
        <v>0</v>
      </c>
      <c r="CW63" s="385" t="n">
        <f aca="false">IF(97&lt;5,0,IF(MAX(CR39:CW39)&gt;CW44+2+$B$18,1,0))</f>
        <v>0</v>
      </c>
      <c r="CX63" s="385" t="n">
        <f aca="false">IF(98&lt;5,0,IF(MAX(CS39:CX39)&gt;CX44+2+$B$18,1,0))</f>
        <v>0</v>
      </c>
      <c r="CY63" s="385" t="n">
        <f aca="false">IF(99&lt;5,0,IF(MAX(CT39:CY39)&gt;CY44+2+$B$18,1,0))</f>
        <v>0</v>
      </c>
      <c r="CZ63" s="385" t="n">
        <f aca="false">IF(100&lt;5,0,IF(MAX(CU39:CZ39)&gt;CZ44+2+$B$18,1,0))</f>
        <v>0</v>
      </c>
      <c r="DA63" s="385" t="n">
        <f aca="false">IF(101&lt;5,0,IF(MAX(CV39:DA39)&gt;DA44+2+$B$18,1,0))</f>
        <v>0</v>
      </c>
      <c r="DB63" s="385" t="n">
        <f aca="false">IF(102&lt;5,0,IF(MAX(CW39:DB39)&gt;DB44+2+$B$18,1,0))</f>
        <v>0</v>
      </c>
      <c r="DC63" s="385" t="n">
        <f aca="false">IF(103&lt;5,0,IF(MAX(CX39:DC39)&gt;DC44+2+$B$18,1,0))</f>
        <v>0</v>
      </c>
      <c r="DD63" s="385" t="n">
        <f aca="false">IF(104&lt;5,0,IF(MAX(CY39:DD39)&gt;DD44+2+$B$18,1,0))</f>
        <v>0</v>
      </c>
      <c r="DE63" s="385" t="n">
        <f aca="false">IF(105&lt;5,0,IF(MAX(CZ39:DE39)&gt;DE44+2+$B$18,1,0))</f>
        <v>0</v>
      </c>
    </row>
    <row r="64" customFormat="false" ht="13.5" hidden="false" customHeight="true" outlineLevel="0" collapsed="false">
      <c r="A64" s="110" t="s">
        <v>1395</v>
      </c>
      <c r="B64" s="213" t="n">
        <f aca="false">$B$28</f>
        <v>130000</v>
      </c>
      <c r="E64" s="385" t="n">
        <f aca="false">IF(1&lt;5,0,IF(MAX(E39:E39)&gt;E44+3+$B$18,1,0))</f>
        <v>0</v>
      </c>
      <c r="F64" s="385" t="n">
        <f aca="false">IF(2&lt;5,0,IF(MAX(E39:F39)&gt;F44+3+$B$18,1,0))</f>
        <v>0</v>
      </c>
      <c r="G64" s="385" t="n">
        <f aca="false">IF(3&lt;5,0,IF(MAX(E39:G39)&gt;G44+3+$B$18,1,0))</f>
        <v>0</v>
      </c>
      <c r="H64" s="385" t="n">
        <f aca="false">IF(4&lt;5,0,IF(MAX(E39:H39)&gt;H44+3+$B$18,1,0))</f>
        <v>0</v>
      </c>
      <c r="I64" s="385" t="n">
        <f aca="false">IF(5&lt;5,0,IF(MAX(E39:I39)&gt;I44+3+$B$18,1,0))</f>
        <v>0</v>
      </c>
      <c r="J64" s="385" t="n">
        <f aca="false">IF(6&lt;5,0,IF(MAX(E39:J39)&gt;J44+3+$B$18,1,0))</f>
        <v>0</v>
      </c>
      <c r="K64" s="385" t="n">
        <f aca="false">IF(7&lt;5,0,IF(MAX(F39:K39)&gt;K44+3+$B$18,1,0))</f>
        <v>0</v>
      </c>
      <c r="L64" s="385" t="n">
        <f aca="false">IF(8&lt;5,0,IF(MAX(G39:L39)&gt;L44+3+$B$18,1,0))</f>
        <v>0</v>
      </c>
      <c r="M64" s="385" t="n">
        <f aca="false">IF(9&lt;5,0,IF(MAX(H39:M39)&gt;M44+3+$B$18,1,0))</f>
        <v>0</v>
      </c>
      <c r="N64" s="385" t="n">
        <f aca="false">IF(10&lt;5,0,IF(MAX(I39:N39)&gt;N44+3+$B$18,1,0))</f>
        <v>0</v>
      </c>
      <c r="O64" s="385" t="n">
        <f aca="false">IF(11&lt;5,0,IF(MAX(J39:O39)&gt;O44+3+$B$18,1,0))</f>
        <v>0</v>
      </c>
      <c r="P64" s="385" t="n">
        <f aca="false">IF(12&lt;5,0,IF(MAX(K39:P39)&gt;P44+3+$B$18,1,0))</f>
        <v>0</v>
      </c>
      <c r="Q64" s="385" t="n">
        <f aca="false">IF(13&lt;5,0,IF(MAX(L39:Q39)&gt;Q44+3+$B$18,1,0))</f>
        <v>0</v>
      </c>
      <c r="R64" s="385" t="n">
        <f aca="false">IF(14&lt;5,0,IF(MAX(M39:R39)&gt;R44+3+$B$18,1,0))</f>
        <v>0</v>
      </c>
      <c r="S64" s="385" t="n">
        <f aca="false">IF(15&lt;5,0,IF(MAX(N39:S39)&gt;S44+3+$B$18,1,0))</f>
        <v>0</v>
      </c>
      <c r="T64" s="385" t="n">
        <f aca="false">IF(16&lt;5,0,IF(MAX(O39:T39)&gt;T44+3+$B$18,1,0))</f>
        <v>0</v>
      </c>
      <c r="U64" s="385" t="n">
        <f aca="false">IF(17&lt;5,0,IF(MAX(P39:U39)&gt;U44+3+$B$18,1,0))</f>
        <v>0</v>
      </c>
      <c r="V64" s="385" t="n">
        <f aca="false">IF(18&lt;5,0,IF(MAX(Q39:V39)&gt;V44+3+$B$18,1,0))</f>
        <v>0</v>
      </c>
      <c r="W64" s="385" t="n">
        <f aca="false">IF(19&lt;5,0,IF(MAX(R39:W39)&gt;W44+3+$B$18,1,0))</f>
        <v>0</v>
      </c>
      <c r="X64" s="385" t="n">
        <f aca="false">IF(20&lt;5,0,IF(MAX(S39:X39)&gt;X44+3+$B$18,1,0))</f>
        <v>0</v>
      </c>
      <c r="Y64" s="385" t="n">
        <f aca="false">IF(21&lt;5,0,IF(MAX(T39:Y39)&gt;Y44+3+$B$18,1,0))</f>
        <v>0</v>
      </c>
      <c r="Z64" s="385" t="n">
        <f aca="false">IF(22&lt;5,0,IF(MAX(U39:Z39)&gt;Z44+3+$B$18,1,0))</f>
        <v>0</v>
      </c>
      <c r="AA64" s="385" t="n">
        <f aca="false">IF(23&lt;5,0,IF(MAX(V39:AA39)&gt;AA44+3+$B$18,1,0))</f>
        <v>0</v>
      </c>
      <c r="AB64" s="385" t="n">
        <f aca="false">IF(24&lt;5,0,IF(MAX(W39:AB39)&gt;AB44+3+$B$18,1,0))</f>
        <v>0</v>
      </c>
      <c r="AC64" s="385" t="n">
        <f aca="false">IF(25&lt;5,0,IF(MAX(X39:AC39)&gt;AC44+3+$B$18,1,0))</f>
        <v>0</v>
      </c>
      <c r="AD64" s="385" t="n">
        <f aca="false">IF(26&lt;5,0,IF(MAX(Y39:AD39)&gt;AD44+3+$B$18,1,0))</f>
        <v>0</v>
      </c>
      <c r="AE64" s="385" t="n">
        <f aca="false">IF(27&lt;5,0,IF(MAX(Z39:AE39)&gt;AE44+3+$B$18,1,0))</f>
        <v>0</v>
      </c>
      <c r="AF64" s="385" t="n">
        <f aca="false">IF(28&lt;5,0,IF(MAX(AA39:AF39)&gt;AF44+3+$B$18,1,0))</f>
        <v>0</v>
      </c>
      <c r="AG64" s="385" t="n">
        <f aca="false">IF(29&lt;5,0,IF(MAX(AB39:AG39)&gt;AG44+3+$B$18,1,0))</f>
        <v>0</v>
      </c>
      <c r="AH64" s="385" t="n">
        <f aca="false">IF(30&lt;5,0,IF(MAX(AC39:AH39)&gt;AH44+3+$B$18,1,0))</f>
        <v>0</v>
      </c>
      <c r="AI64" s="385" t="n">
        <f aca="false">IF(31&lt;5,0,IF(MAX(AD39:AI39)&gt;AI44+3+$B$18,1,0))</f>
        <v>0</v>
      </c>
      <c r="AJ64" s="385" t="n">
        <f aca="false">IF(32&lt;5,0,IF(MAX(AE39:AJ39)&gt;AJ44+3+$B$18,1,0))</f>
        <v>0</v>
      </c>
      <c r="AK64" s="385" t="n">
        <f aca="false">IF(33&lt;5,0,IF(MAX(AF39:AK39)&gt;AK44+3+$B$18,1,0))</f>
        <v>0</v>
      </c>
      <c r="AL64" s="385" t="n">
        <f aca="false">IF(34&lt;5,0,IF(MAX(AG39:AL39)&gt;AL44+3+$B$18,1,0))</f>
        <v>0</v>
      </c>
      <c r="AM64" s="385" t="n">
        <f aca="false">IF(35&lt;5,0,IF(MAX(AH39:AM39)&gt;AM44+3+$B$18,1,0))</f>
        <v>0</v>
      </c>
      <c r="AN64" s="385" t="n">
        <f aca="false">IF(36&lt;5,0,IF(MAX(AI39:AN39)&gt;AN44+3+$B$18,1,0))</f>
        <v>0</v>
      </c>
      <c r="AO64" s="385" t="n">
        <f aca="false">IF(37&lt;5,0,IF(MAX(AJ39:AO39)&gt;AO44+3+$B$18,1,0))</f>
        <v>0</v>
      </c>
      <c r="AP64" s="385" t="n">
        <f aca="false">IF(38&lt;5,0,IF(MAX(AK39:AP39)&gt;AP44+3+$B$18,1,0))</f>
        <v>0</v>
      </c>
      <c r="AQ64" s="385" t="n">
        <f aca="false">IF(39&lt;5,0,IF(MAX(AL39:AQ39)&gt;AQ44+3+$B$18,1,0))</f>
        <v>0</v>
      </c>
      <c r="AR64" s="385" t="n">
        <f aca="false">IF(40&lt;5,0,IF(MAX(AM39:AR39)&gt;AR44+3+$B$18,1,0))</f>
        <v>0</v>
      </c>
      <c r="AS64" s="385" t="n">
        <f aca="false">IF(41&lt;5,0,IF(MAX(AN39:AS39)&gt;AS44+3+$B$18,1,0))</f>
        <v>0</v>
      </c>
      <c r="AT64" s="385" t="n">
        <f aca="false">IF(42&lt;5,0,IF(MAX(AO39:AT39)&gt;AT44+3+$B$18,1,0))</f>
        <v>0</v>
      </c>
      <c r="AU64" s="385" t="n">
        <f aca="false">IF(43&lt;5,0,IF(MAX(AP39:AU39)&gt;AU44+3+$B$18,1,0))</f>
        <v>0</v>
      </c>
      <c r="AV64" s="385" t="n">
        <f aca="false">IF(44&lt;5,0,IF(MAX(AQ39:AV39)&gt;AV44+3+$B$18,1,0))</f>
        <v>0</v>
      </c>
      <c r="AW64" s="385" t="n">
        <f aca="false">IF(45&lt;5,0,IF(MAX(AR39:AW39)&gt;AW44+3+$B$18,1,0))</f>
        <v>0</v>
      </c>
      <c r="AX64" s="385" t="n">
        <f aca="false">IF(46&lt;5,0,IF(MAX(AS39:AX39)&gt;AX44+3+$B$18,1,0))</f>
        <v>0</v>
      </c>
      <c r="AY64" s="385" t="n">
        <f aca="false">IF(47&lt;5,0,IF(MAX(AT39:AY39)&gt;AY44+3+$B$18,1,0))</f>
        <v>0</v>
      </c>
      <c r="AZ64" s="385" t="n">
        <f aca="false">IF(48&lt;5,0,IF(MAX(AU39:AZ39)&gt;AZ44+3+$B$18,1,0))</f>
        <v>0</v>
      </c>
      <c r="BA64" s="385" t="n">
        <f aca="false">IF(49&lt;5,0,IF(MAX(AV39:BA39)&gt;BA44+3+$B$18,1,0))</f>
        <v>0</v>
      </c>
      <c r="BB64" s="385" t="n">
        <f aca="false">IF(50&lt;5,0,IF(MAX(AW39:BB39)&gt;BB44+3+$B$18,1,0))</f>
        <v>0</v>
      </c>
      <c r="BC64" s="385" t="n">
        <f aca="false">IF(51&lt;5,0,IF(MAX(AX39:BC39)&gt;BC44+3+$B$18,1,0))</f>
        <v>0</v>
      </c>
      <c r="BD64" s="385" t="n">
        <f aca="false">IF(52&lt;5,0,IF(MAX(AY39:BD39)&gt;BD44+3+$B$18,1,0))</f>
        <v>0</v>
      </c>
      <c r="BE64" s="385" t="n">
        <f aca="false">IF(53&lt;5,0,IF(MAX(AZ39:BE39)&gt;BE44+3+$B$18,1,0))</f>
        <v>0</v>
      </c>
      <c r="BF64" s="385" t="n">
        <f aca="false">IF(54&lt;5,0,IF(MAX(BA39:BF39)&gt;BF44+3+$B$18,1,0))</f>
        <v>0</v>
      </c>
      <c r="BG64" s="385" t="n">
        <f aca="false">IF(55&lt;5,0,IF(MAX(BB39:BG39)&gt;BG44+3+$B$18,1,0))</f>
        <v>0</v>
      </c>
      <c r="BH64" s="385" t="n">
        <f aca="false">IF(56&lt;5,0,IF(MAX(BC39:BH39)&gt;BH44+3+$B$18,1,0))</f>
        <v>0</v>
      </c>
      <c r="BI64" s="385" t="n">
        <f aca="false">IF(57&lt;5,0,IF(MAX(BD39:BI39)&gt;BI44+3+$B$18,1,0))</f>
        <v>0</v>
      </c>
      <c r="BJ64" s="385" t="n">
        <f aca="false">IF(58&lt;5,0,IF(MAX(BE39:BJ39)&gt;BJ44+3+$B$18,1,0))</f>
        <v>0</v>
      </c>
      <c r="BK64" s="385" t="n">
        <f aca="false">IF(59&lt;5,0,IF(MAX(BF39:BK39)&gt;BK44+3+$B$18,1,0))</f>
        <v>0</v>
      </c>
      <c r="BL64" s="385" t="n">
        <f aca="false">IF(60&lt;5,0,IF(MAX(BG39:BL39)&gt;BL44+3+$B$18,1,0))</f>
        <v>0</v>
      </c>
      <c r="BM64" s="385" t="n">
        <f aca="false">IF(61&lt;5,0,IF(MAX(BH39:BM39)&gt;BM44+3+$B$18,1,0))</f>
        <v>0</v>
      </c>
      <c r="BN64" s="385" t="n">
        <f aca="false">IF(62&lt;5,0,IF(MAX(BI39:BN39)&gt;BN44+3+$B$18,1,0))</f>
        <v>0</v>
      </c>
      <c r="BO64" s="385" t="n">
        <f aca="false">IF(63&lt;5,0,IF(MAX(BJ39:BO39)&gt;BO44+3+$B$18,1,0))</f>
        <v>0</v>
      </c>
      <c r="BP64" s="385" t="n">
        <f aca="false">IF(64&lt;5,0,IF(MAX(BK39:BP39)&gt;BP44+3+$B$18,1,0))</f>
        <v>0</v>
      </c>
      <c r="BQ64" s="385" t="n">
        <f aca="false">IF(65&lt;5,0,IF(MAX(BL39:BQ39)&gt;BQ44+3+$B$18,1,0))</f>
        <v>0</v>
      </c>
      <c r="BR64" s="385" t="n">
        <f aca="false">IF(66&lt;5,0,IF(MAX(BM39:BR39)&gt;BR44+3+$B$18,1,0))</f>
        <v>0</v>
      </c>
      <c r="BS64" s="385" t="n">
        <f aca="false">IF(67&lt;5,0,IF(MAX(BN39:BS39)&gt;BS44+3+$B$18,1,0))</f>
        <v>0</v>
      </c>
      <c r="BT64" s="385" t="n">
        <f aca="false">IF(68&lt;5,0,IF(MAX(BO39:BT39)&gt;BT44+3+$B$18,1,0))</f>
        <v>0</v>
      </c>
      <c r="BU64" s="385" t="n">
        <f aca="false">IF(69&lt;5,0,IF(MAX(BP39:BU39)&gt;BU44+3+$B$18,1,0))</f>
        <v>0</v>
      </c>
      <c r="BV64" s="385" t="n">
        <f aca="false">IF(70&lt;5,0,IF(MAX(BQ39:BV39)&gt;BV44+3+$B$18,1,0))</f>
        <v>0</v>
      </c>
      <c r="BW64" s="385" t="n">
        <f aca="false">IF(71&lt;5,0,IF(MAX(BR39:BW39)&gt;BW44+3+$B$18,1,0))</f>
        <v>0</v>
      </c>
      <c r="BX64" s="385" t="n">
        <f aca="false">IF(72&lt;5,0,IF(MAX(BS39:BX39)&gt;BX44+3+$B$18,1,0))</f>
        <v>0</v>
      </c>
      <c r="BY64" s="385" t="n">
        <f aca="false">IF(73&lt;5,0,IF(MAX(BT39:BY39)&gt;BY44+3+$B$18,1,0))</f>
        <v>0</v>
      </c>
      <c r="BZ64" s="385" t="n">
        <f aca="false">IF(74&lt;5,0,IF(MAX(BU39:BZ39)&gt;BZ44+3+$B$18,1,0))</f>
        <v>0</v>
      </c>
      <c r="CA64" s="385" t="n">
        <f aca="false">IF(75&lt;5,0,IF(MAX(BV39:CA39)&gt;CA44+3+$B$18,1,0))</f>
        <v>0</v>
      </c>
      <c r="CB64" s="385" t="n">
        <f aca="false">IF(76&lt;5,0,IF(MAX(BW39:CB39)&gt;CB44+3+$B$18,1,0))</f>
        <v>0</v>
      </c>
      <c r="CC64" s="385" t="n">
        <f aca="false">IF(77&lt;5,0,IF(MAX(BX39:CC39)&gt;CC44+3+$B$18,1,0))</f>
        <v>0</v>
      </c>
      <c r="CD64" s="385" t="n">
        <f aca="false">IF(78&lt;5,0,IF(MAX(BY39:CD39)&gt;CD44+3+$B$18,1,0))</f>
        <v>0</v>
      </c>
      <c r="CE64" s="385" t="n">
        <f aca="false">IF(79&lt;5,0,IF(MAX(BZ39:CE39)&gt;CE44+3+$B$18,1,0))</f>
        <v>0</v>
      </c>
      <c r="CF64" s="385" t="n">
        <f aca="false">IF(80&lt;5,0,IF(MAX(CA39:CF39)&gt;CF44+3+$B$18,1,0))</f>
        <v>0</v>
      </c>
      <c r="CG64" s="385" t="n">
        <f aca="false">IF(81&lt;5,0,IF(MAX(CB39:CG39)&gt;CG44+3+$B$18,1,0))</f>
        <v>0</v>
      </c>
      <c r="CH64" s="385" t="n">
        <f aca="false">IF(82&lt;5,0,IF(MAX(CC39:CH39)&gt;CH44+3+$B$18,1,0))</f>
        <v>0</v>
      </c>
      <c r="CI64" s="385" t="n">
        <f aca="false">IF(83&lt;5,0,IF(MAX(CD39:CI39)&gt;CI44+3+$B$18,1,0))</f>
        <v>0</v>
      </c>
      <c r="CJ64" s="385" t="n">
        <f aca="false">IF(84&lt;5,0,IF(MAX(CE39:CJ39)&gt;CJ44+3+$B$18,1,0))</f>
        <v>0</v>
      </c>
      <c r="CK64" s="385" t="n">
        <f aca="false">IF(85&lt;5,0,IF(MAX(CF39:CK39)&gt;CK44+3+$B$18,1,0))</f>
        <v>0</v>
      </c>
      <c r="CL64" s="385" t="n">
        <f aca="false">IF(86&lt;5,0,IF(MAX(CG39:CL39)&gt;CL44+3+$B$18,1,0))</f>
        <v>0</v>
      </c>
      <c r="CM64" s="385" t="n">
        <f aca="false">IF(87&lt;5,0,IF(MAX(CH39:CM39)&gt;CM44+3+$B$18,1,0))</f>
        <v>0</v>
      </c>
      <c r="CN64" s="385" t="n">
        <f aca="false">IF(88&lt;5,0,IF(MAX(CI39:CN39)&gt;CN44+3+$B$18,1,0))</f>
        <v>0</v>
      </c>
      <c r="CO64" s="385" t="n">
        <f aca="false">IF(89&lt;5,0,IF(MAX(CJ39:CO39)&gt;CO44+3+$B$18,1,0))</f>
        <v>0</v>
      </c>
      <c r="CP64" s="385" t="n">
        <f aca="false">IF(90&lt;5,0,IF(MAX(CK39:CP39)&gt;CP44+3+$B$18,1,0))</f>
        <v>0</v>
      </c>
      <c r="CQ64" s="385" t="n">
        <f aca="false">IF(91&lt;5,0,IF(MAX(CL39:CQ39)&gt;CQ44+3+$B$18,1,0))</f>
        <v>0</v>
      </c>
      <c r="CR64" s="385" t="n">
        <f aca="false">IF(92&lt;5,0,IF(MAX(CM39:CR39)&gt;CR44+3+$B$18,1,0))</f>
        <v>0</v>
      </c>
      <c r="CS64" s="385" t="n">
        <f aca="false">IF(93&lt;5,0,IF(MAX(CN39:CS39)&gt;CS44+3+$B$18,1,0))</f>
        <v>0</v>
      </c>
      <c r="CT64" s="385" t="n">
        <f aca="false">IF(94&lt;5,0,IF(MAX(CO39:CT39)&gt;CT44+3+$B$18,1,0))</f>
        <v>0</v>
      </c>
      <c r="CU64" s="385" t="n">
        <f aca="false">IF(95&lt;5,0,IF(MAX(CP39:CU39)&gt;CU44+3+$B$18,1,0))</f>
        <v>0</v>
      </c>
      <c r="CV64" s="385" t="n">
        <f aca="false">IF(96&lt;5,0,IF(MAX(CQ39:CV39)&gt;CV44+3+$B$18,1,0))</f>
        <v>0</v>
      </c>
      <c r="CW64" s="385" t="n">
        <f aca="false">IF(97&lt;5,0,IF(MAX(CR39:CW39)&gt;CW44+3+$B$18,1,0))</f>
        <v>0</v>
      </c>
      <c r="CX64" s="385" t="n">
        <f aca="false">IF(98&lt;5,0,IF(MAX(CS39:CX39)&gt;CX44+3+$B$18,1,0))</f>
        <v>0</v>
      </c>
      <c r="CY64" s="385" t="n">
        <f aca="false">IF(99&lt;5,0,IF(MAX(CT39:CY39)&gt;CY44+3+$B$18,1,0))</f>
        <v>0</v>
      </c>
      <c r="CZ64" s="385" t="n">
        <f aca="false">IF(100&lt;5,0,IF(MAX(CU39:CZ39)&gt;CZ44+3+$B$18,1,0))</f>
        <v>0</v>
      </c>
      <c r="DA64" s="385" t="n">
        <f aca="false">IF(101&lt;5,0,IF(MAX(CV39:DA39)&gt;DA44+3+$B$18,1,0))</f>
        <v>0</v>
      </c>
      <c r="DB64" s="385" t="n">
        <f aca="false">IF(102&lt;5,0,IF(MAX(CW39:DB39)&gt;DB44+3+$B$18,1,0))</f>
        <v>0</v>
      </c>
      <c r="DC64" s="385" t="n">
        <f aca="false">IF(103&lt;5,0,IF(MAX(CX39:DC39)&gt;DC44+3+$B$18,1,0))</f>
        <v>0</v>
      </c>
      <c r="DD64" s="385" t="n">
        <f aca="false">IF(104&lt;5,0,IF(MAX(CY39:DD39)&gt;DD44+3+$B$18,1,0))</f>
        <v>0</v>
      </c>
      <c r="DE64" s="385" t="n">
        <f aca="false">IF(105&lt;5,0,IF(MAX(CZ39:DE39)&gt;DE44+3+$B$18,1,0))</f>
        <v>0</v>
      </c>
    </row>
    <row r="65" customFormat="false" ht="13.5" hidden="false" customHeight="true" outlineLevel="0" collapsed="false">
      <c r="A65" s="110" t="s">
        <v>1396</v>
      </c>
      <c r="B65" s="213" t="n">
        <f aca="false">$B$28</f>
        <v>130000</v>
      </c>
      <c r="E65" s="385" t="n">
        <f aca="false">IF(1&lt;5,0,IF(MAX(E39:E39)&gt;E44+4+$B$18,1,0))</f>
        <v>0</v>
      </c>
      <c r="F65" s="385" t="n">
        <f aca="false">IF(2&lt;5,0,IF(MAX(E39:F39)&gt;F44+4+$B$18,1,0))</f>
        <v>0</v>
      </c>
      <c r="G65" s="385" t="n">
        <f aca="false">IF(3&lt;5,0,IF(MAX(E39:G39)&gt;G44+4+$B$18,1,0))</f>
        <v>0</v>
      </c>
      <c r="H65" s="385" t="n">
        <f aca="false">IF(4&lt;5,0,IF(MAX(E39:H39)&gt;H44+4+$B$18,1,0))</f>
        <v>0</v>
      </c>
      <c r="I65" s="385" t="n">
        <f aca="false">IF(5&lt;5,0,IF(MAX(E39:I39)&gt;I44+4+$B$18,1,0))</f>
        <v>0</v>
      </c>
      <c r="J65" s="385" t="n">
        <f aca="false">IF(6&lt;5,0,IF(MAX(E39:J39)&gt;J44+4+$B$18,1,0))</f>
        <v>0</v>
      </c>
      <c r="K65" s="385" t="n">
        <f aca="false">IF(7&lt;5,0,IF(MAX(F39:K39)&gt;K44+4+$B$18,1,0))</f>
        <v>0</v>
      </c>
      <c r="L65" s="385" t="n">
        <f aca="false">IF(8&lt;5,0,IF(MAX(G39:L39)&gt;L44+4+$B$18,1,0))</f>
        <v>0</v>
      </c>
      <c r="M65" s="385" t="n">
        <f aca="false">IF(9&lt;5,0,IF(MAX(H39:M39)&gt;M44+4+$B$18,1,0))</f>
        <v>0</v>
      </c>
      <c r="N65" s="385" t="n">
        <f aca="false">IF(10&lt;5,0,IF(MAX(I39:N39)&gt;N44+4+$B$18,1,0))</f>
        <v>0</v>
      </c>
      <c r="O65" s="385" t="n">
        <f aca="false">IF(11&lt;5,0,IF(MAX(J39:O39)&gt;O44+4+$B$18,1,0))</f>
        <v>0</v>
      </c>
      <c r="P65" s="385" t="n">
        <f aca="false">IF(12&lt;5,0,IF(MAX(K39:P39)&gt;P44+4+$B$18,1,0))</f>
        <v>0</v>
      </c>
      <c r="Q65" s="385" t="n">
        <f aca="false">IF(13&lt;5,0,IF(MAX(L39:Q39)&gt;Q44+4+$B$18,1,0))</f>
        <v>0</v>
      </c>
      <c r="R65" s="385" t="n">
        <f aca="false">IF(14&lt;5,0,IF(MAX(M39:R39)&gt;R44+4+$B$18,1,0))</f>
        <v>0</v>
      </c>
      <c r="S65" s="385" t="n">
        <f aca="false">IF(15&lt;5,0,IF(MAX(N39:S39)&gt;S44+4+$B$18,1,0))</f>
        <v>0</v>
      </c>
      <c r="T65" s="385" t="n">
        <f aca="false">IF(16&lt;5,0,IF(MAX(O39:T39)&gt;T44+4+$B$18,1,0))</f>
        <v>0</v>
      </c>
      <c r="U65" s="385" t="n">
        <f aca="false">IF(17&lt;5,0,IF(MAX(P39:U39)&gt;U44+4+$B$18,1,0))</f>
        <v>0</v>
      </c>
      <c r="V65" s="385" t="n">
        <f aca="false">IF(18&lt;5,0,IF(MAX(Q39:V39)&gt;V44+4+$B$18,1,0))</f>
        <v>0</v>
      </c>
      <c r="W65" s="385" t="n">
        <f aca="false">IF(19&lt;5,0,IF(MAX(R39:W39)&gt;W44+4+$B$18,1,0))</f>
        <v>0</v>
      </c>
      <c r="X65" s="385" t="n">
        <f aca="false">IF(20&lt;5,0,IF(MAX(S39:X39)&gt;X44+4+$B$18,1,0))</f>
        <v>0</v>
      </c>
      <c r="Y65" s="385" t="n">
        <f aca="false">IF(21&lt;5,0,IF(MAX(T39:Y39)&gt;Y44+4+$B$18,1,0))</f>
        <v>0</v>
      </c>
      <c r="Z65" s="385" t="n">
        <f aca="false">IF(22&lt;5,0,IF(MAX(U39:Z39)&gt;Z44+4+$B$18,1,0))</f>
        <v>0</v>
      </c>
      <c r="AA65" s="385" t="n">
        <f aca="false">IF(23&lt;5,0,IF(MAX(V39:AA39)&gt;AA44+4+$B$18,1,0))</f>
        <v>0</v>
      </c>
      <c r="AB65" s="385" t="n">
        <f aca="false">IF(24&lt;5,0,IF(MAX(W39:AB39)&gt;AB44+4+$B$18,1,0))</f>
        <v>0</v>
      </c>
      <c r="AC65" s="385" t="n">
        <f aca="false">IF(25&lt;5,0,IF(MAX(X39:AC39)&gt;AC44+4+$B$18,1,0))</f>
        <v>0</v>
      </c>
      <c r="AD65" s="385" t="n">
        <f aca="false">IF(26&lt;5,0,IF(MAX(Y39:AD39)&gt;AD44+4+$B$18,1,0))</f>
        <v>0</v>
      </c>
      <c r="AE65" s="385" t="n">
        <f aca="false">IF(27&lt;5,0,IF(MAX(Z39:AE39)&gt;AE44+4+$B$18,1,0))</f>
        <v>0</v>
      </c>
      <c r="AF65" s="385" t="n">
        <f aca="false">IF(28&lt;5,0,IF(MAX(AA39:AF39)&gt;AF44+4+$B$18,1,0))</f>
        <v>0</v>
      </c>
      <c r="AG65" s="385" t="n">
        <f aca="false">IF(29&lt;5,0,IF(MAX(AB39:AG39)&gt;AG44+4+$B$18,1,0))</f>
        <v>0</v>
      </c>
      <c r="AH65" s="385" t="n">
        <f aca="false">IF(30&lt;5,0,IF(MAX(AC39:AH39)&gt;AH44+4+$B$18,1,0))</f>
        <v>0</v>
      </c>
      <c r="AI65" s="385" t="n">
        <f aca="false">IF(31&lt;5,0,IF(MAX(AD39:AI39)&gt;AI44+4+$B$18,1,0))</f>
        <v>0</v>
      </c>
      <c r="AJ65" s="385" t="n">
        <f aca="false">IF(32&lt;5,0,IF(MAX(AE39:AJ39)&gt;AJ44+4+$B$18,1,0))</f>
        <v>0</v>
      </c>
      <c r="AK65" s="385" t="n">
        <f aca="false">IF(33&lt;5,0,IF(MAX(AF39:AK39)&gt;AK44+4+$B$18,1,0))</f>
        <v>0</v>
      </c>
      <c r="AL65" s="385" t="n">
        <f aca="false">IF(34&lt;5,0,IF(MAX(AG39:AL39)&gt;AL44+4+$B$18,1,0))</f>
        <v>0</v>
      </c>
      <c r="AM65" s="385" t="n">
        <f aca="false">IF(35&lt;5,0,IF(MAX(AH39:AM39)&gt;AM44+4+$B$18,1,0))</f>
        <v>0</v>
      </c>
      <c r="AN65" s="385" t="n">
        <f aca="false">IF(36&lt;5,0,IF(MAX(AI39:AN39)&gt;AN44+4+$B$18,1,0))</f>
        <v>0</v>
      </c>
      <c r="AO65" s="385" t="n">
        <f aca="false">IF(37&lt;5,0,IF(MAX(AJ39:AO39)&gt;AO44+4+$B$18,1,0))</f>
        <v>0</v>
      </c>
      <c r="AP65" s="385" t="n">
        <f aca="false">IF(38&lt;5,0,IF(MAX(AK39:AP39)&gt;AP44+4+$B$18,1,0))</f>
        <v>0</v>
      </c>
      <c r="AQ65" s="385" t="n">
        <f aca="false">IF(39&lt;5,0,IF(MAX(AL39:AQ39)&gt;AQ44+4+$B$18,1,0))</f>
        <v>0</v>
      </c>
      <c r="AR65" s="385" t="n">
        <f aca="false">IF(40&lt;5,0,IF(MAX(AM39:AR39)&gt;AR44+4+$B$18,1,0))</f>
        <v>0</v>
      </c>
      <c r="AS65" s="385" t="n">
        <f aca="false">IF(41&lt;5,0,IF(MAX(AN39:AS39)&gt;AS44+4+$B$18,1,0))</f>
        <v>0</v>
      </c>
      <c r="AT65" s="385" t="n">
        <f aca="false">IF(42&lt;5,0,IF(MAX(AO39:AT39)&gt;AT44+4+$B$18,1,0))</f>
        <v>0</v>
      </c>
      <c r="AU65" s="385" t="n">
        <f aca="false">IF(43&lt;5,0,IF(MAX(AP39:AU39)&gt;AU44+4+$B$18,1,0))</f>
        <v>0</v>
      </c>
      <c r="AV65" s="385" t="n">
        <f aca="false">IF(44&lt;5,0,IF(MAX(AQ39:AV39)&gt;AV44+4+$B$18,1,0))</f>
        <v>0</v>
      </c>
      <c r="AW65" s="385" t="n">
        <f aca="false">IF(45&lt;5,0,IF(MAX(AR39:AW39)&gt;AW44+4+$B$18,1,0))</f>
        <v>0</v>
      </c>
      <c r="AX65" s="385" t="n">
        <f aca="false">IF(46&lt;5,0,IF(MAX(AS39:AX39)&gt;AX44+4+$B$18,1,0))</f>
        <v>0</v>
      </c>
      <c r="AY65" s="385" t="n">
        <f aca="false">IF(47&lt;5,0,IF(MAX(AT39:AY39)&gt;AY44+4+$B$18,1,0))</f>
        <v>0</v>
      </c>
      <c r="AZ65" s="385" t="n">
        <f aca="false">IF(48&lt;5,0,IF(MAX(AU39:AZ39)&gt;AZ44+4+$B$18,1,0))</f>
        <v>0</v>
      </c>
      <c r="BA65" s="385" t="n">
        <f aca="false">IF(49&lt;5,0,IF(MAX(AV39:BA39)&gt;BA44+4+$B$18,1,0))</f>
        <v>0</v>
      </c>
      <c r="BB65" s="385" t="n">
        <f aca="false">IF(50&lt;5,0,IF(MAX(AW39:BB39)&gt;BB44+4+$B$18,1,0))</f>
        <v>0</v>
      </c>
      <c r="BC65" s="385" t="n">
        <f aca="false">IF(51&lt;5,0,IF(MAX(AX39:BC39)&gt;BC44+4+$B$18,1,0))</f>
        <v>0</v>
      </c>
      <c r="BD65" s="385" t="n">
        <f aca="false">IF(52&lt;5,0,IF(MAX(AY39:BD39)&gt;BD44+4+$B$18,1,0))</f>
        <v>0</v>
      </c>
      <c r="BE65" s="385" t="n">
        <f aca="false">IF(53&lt;5,0,IF(MAX(AZ39:BE39)&gt;BE44+4+$B$18,1,0))</f>
        <v>0</v>
      </c>
      <c r="BF65" s="385" t="n">
        <f aca="false">IF(54&lt;5,0,IF(MAX(BA39:BF39)&gt;BF44+4+$B$18,1,0))</f>
        <v>0</v>
      </c>
      <c r="BG65" s="385" t="n">
        <f aca="false">IF(55&lt;5,0,IF(MAX(BB39:BG39)&gt;BG44+4+$B$18,1,0))</f>
        <v>0</v>
      </c>
      <c r="BH65" s="385" t="n">
        <f aca="false">IF(56&lt;5,0,IF(MAX(BC39:BH39)&gt;BH44+4+$B$18,1,0))</f>
        <v>0</v>
      </c>
      <c r="BI65" s="385" t="n">
        <f aca="false">IF(57&lt;5,0,IF(MAX(BD39:BI39)&gt;BI44+4+$B$18,1,0))</f>
        <v>0</v>
      </c>
      <c r="BJ65" s="385" t="n">
        <f aca="false">IF(58&lt;5,0,IF(MAX(BE39:BJ39)&gt;BJ44+4+$B$18,1,0))</f>
        <v>0</v>
      </c>
      <c r="BK65" s="385" t="n">
        <f aca="false">IF(59&lt;5,0,IF(MAX(BF39:BK39)&gt;BK44+4+$B$18,1,0))</f>
        <v>0</v>
      </c>
      <c r="BL65" s="385" t="n">
        <f aca="false">IF(60&lt;5,0,IF(MAX(BG39:BL39)&gt;BL44+4+$B$18,1,0))</f>
        <v>0</v>
      </c>
      <c r="BM65" s="385" t="n">
        <f aca="false">IF(61&lt;5,0,IF(MAX(BH39:BM39)&gt;BM44+4+$B$18,1,0))</f>
        <v>0</v>
      </c>
      <c r="BN65" s="385" t="n">
        <f aca="false">IF(62&lt;5,0,IF(MAX(BI39:BN39)&gt;BN44+4+$B$18,1,0))</f>
        <v>0</v>
      </c>
      <c r="BO65" s="385" t="n">
        <f aca="false">IF(63&lt;5,0,IF(MAX(BJ39:BO39)&gt;BO44+4+$B$18,1,0))</f>
        <v>0</v>
      </c>
      <c r="BP65" s="385" t="n">
        <f aca="false">IF(64&lt;5,0,IF(MAX(BK39:BP39)&gt;BP44+4+$B$18,1,0))</f>
        <v>0</v>
      </c>
      <c r="BQ65" s="385" t="n">
        <f aca="false">IF(65&lt;5,0,IF(MAX(BL39:BQ39)&gt;BQ44+4+$B$18,1,0))</f>
        <v>0</v>
      </c>
      <c r="BR65" s="385" t="n">
        <f aca="false">IF(66&lt;5,0,IF(MAX(BM39:BR39)&gt;BR44+4+$B$18,1,0))</f>
        <v>0</v>
      </c>
      <c r="BS65" s="385" t="n">
        <f aca="false">IF(67&lt;5,0,IF(MAX(BN39:BS39)&gt;BS44+4+$B$18,1,0))</f>
        <v>0</v>
      </c>
      <c r="BT65" s="385" t="n">
        <f aca="false">IF(68&lt;5,0,IF(MAX(BO39:BT39)&gt;BT44+4+$B$18,1,0))</f>
        <v>0</v>
      </c>
      <c r="BU65" s="385" t="n">
        <f aca="false">IF(69&lt;5,0,IF(MAX(BP39:BU39)&gt;BU44+4+$B$18,1,0))</f>
        <v>0</v>
      </c>
      <c r="BV65" s="385" t="n">
        <f aca="false">IF(70&lt;5,0,IF(MAX(BQ39:BV39)&gt;BV44+4+$B$18,1,0))</f>
        <v>0</v>
      </c>
      <c r="BW65" s="385" t="n">
        <f aca="false">IF(71&lt;5,0,IF(MAX(BR39:BW39)&gt;BW44+4+$B$18,1,0))</f>
        <v>0</v>
      </c>
      <c r="BX65" s="385" t="n">
        <f aca="false">IF(72&lt;5,0,IF(MAX(BS39:BX39)&gt;BX44+4+$B$18,1,0))</f>
        <v>0</v>
      </c>
      <c r="BY65" s="385" t="n">
        <f aca="false">IF(73&lt;5,0,IF(MAX(BT39:BY39)&gt;BY44+4+$B$18,1,0))</f>
        <v>0</v>
      </c>
      <c r="BZ65" s="385" t="n">
        <f aca="false">IF(74&lt;5,0,IF(MAX(BU39:BZ39)&gt;BZ44+4+$B$18,1,0))</f>
        <v>0</v>
      </c>
      <c r="CA65" s="385" t="n">
        <f aca="false">IF(75&lt;5,0,IF(MAX(BV39:CA39)&gt;CA44+4+$B$18,1,0))</f>
        <v>0</v>
      </c>
      <c r="CB65" s="385" t="n">
        <f aca="false">IF(76&lt;5,0,IF(MAX(BW39:CB39)&gt;CB44+4+$B$18,1,0))</f>
        <v>0</v>
      </c>
      <c r="CC65" s="385" t="n">
        <f aca="false">IF(77&lt;5,0,IF(MAX(BX39:CC39)&gt;CC44+4+$B$18,1,0))</f>
        <v>0</v>
      </c>
      <c r="CD65" s="385" t="n">
        <f aca="false">IF(78&lt;5,0,IF(MAX(BY39:CD39)&gt;CD44+4+$B$18,1,0))</f>
        <v>0</v>
      </c>
      <c r="CE65" s="385" t="n">
        <f aca="false">IF(79&lt;5,0,IF(MAX(BZ39:CE39)&gt;CE44+4+$B$18,1,0))</f>
        <v>0</v>
      </c>
      <c r="CF65" s="385" t="n">
        <f aca="false">IF(80&lt;5,0,IF(MAX(CA39:CF39)&gt;CF44+4+$B$18,1,0))</f>
        <v>0</v>
      </c>
      <c r="CG65" s="385" t="n">
        <f aca="false">IF(81&lt;5,0,IF(MAX(CB39:CG39)&gt;CG44+4+$B$18,1,0))</f>
        <v>0</v>
      </c>
      <c r="CH65" s="385" t="n">
        <f aca="false">IF(82&lt;5,0,IF(MAX(CC39:CH39)&gt;CH44+4+$B$18,1,0))</f>
        <v>0</v>
      </c>
      <c r="CI65" s="385" t="n">
        <f aca="false">IF(83&lt;5,0,IF(MAX(CD39:CI39)&gt;CI44+4+$B$18,1,0))</f>
        <v>0</v>
      </c>
      <c r="CJ65" s="385" t="n">
        <f aca="false">IF(84&lt;5,0,IF(MAX(CE39:CJ39)&gt;CJ44+4+$B$18,1,0))</f>
        <v>0</v>
      </c>
      <c r="CK65" s="385" t="n">
        <f aca="false">IF(85&lt;5,0,IF(MAX(CF39:CK39)&gt;CK44+4+$B$18,1,0))</f>
        <v>0</v>
      </c>
      <c r="CL65" s="385" t="n">
        <f aca="false">IF(86&lt;5,0,IF(MAX(CG39:CL39)&gt;CL44+4+$B$18,1,0))</f>
        <v>0</v>
      </c>
      <c r="CM65" s="385" t="n">
        <f aca="false">IF(87&lt;5,0,IF(MAX(CH39:CM39)&gt;CM44+4+$B$18,1,0))</f>
        <v>0</v>
      </c>
      <c r="CN65" s="385" t="n">
        <f aca="false">IF(88&lt;5,0,IF(MAX(CI39:CN39)&gt;CN44+4+$B$18,1,0))</f>
        <v>0</v>
      </c>
      <c r="CO65" s="385" t="n">
        <f aca="false">IF(89&lt;5,0,IF(MAX(CJ39:CO39)&gt;CO44+4+$B$18,1,0))</f>
        <v>0</v>
      </c>
      <c r="CP65" s="385" t="n">
        <f aca="false">IF(90&lt;5,0,IF(MAX(CK39:CP39)&gt;CP44+4+$B$18,1,0))</f>
        <v>0</v>
      </c>
      <c r="CQ65" s="385" t="n">
        <f aca="false">IF(91&lt;5,0,IF(MAX(CL39:CQ39)&gt;CQ44+4+$B$18,1,0))</f>
        <v>0</v>
      </c>
      <c r="CR65" s="385" t="n">
        <f aca="false">IF(92&lt;5,0,IF(MAX(CM39:CR39)&gt;CR44+4+$B$18,1,0))</f>
        <v>0</v>
      </c>
      <c r="CS65" s="385" t="n">
        <f aca="false">IF(93&lt;5,0,IF(MAX(CN39:CS39)&gt;CS44+4+$B$18,1,0))</f>
        <v>0</v>
      </c>
      <c r="CT65" s="385" t="n">
        <f aca="false">IF(94&lt;5,0,IF(MAX(CO39:CT39)&gt;CT44+4+$B$18,1,0))</f>
        <v>0</v>
      </c>
      <c r="CU65" s="385" t="n">
        <f aca="false">IF(95&lt;5,0,IF(MAX(CP39:CU39)&gt;CU44+4+$B$18,1,0))</f>
        <v>0</v>
      </c>
      <c r="CV65" s="385" t="n">
        <f aca="false">IF(96&lt;5,0,IF(MAX(CQ39:CV39)&gt;CV44+4+$B$18,1,0))</f>
        <v>0</v>
      </c>
      <c r="CW65" s="385" t="n">
        <f aca="false">IF(97&lt;5,0,IF(MAX(CR39:CW39)&gt;CW44+4+$B$18,1,0))</f>
        <v>0</v>
      </c>
      <c r="CX65" s="385" t="n">
        <f aca="false">IF(98&lt;5,0,IF(MAX(CS39:CX39)&gt;CX44+4+$B$18,1,0))</f>
        <v>0</v>
      </c>
      <c r="CY65" s="385" t="n">
        <f aca="false">IF(99&lt;5,0,IF(MAX(CT39:CY39)&gt;CY44+4+$B$18,1,0))</f>
        <v>0</v>
      </c>
      <c r="CZ65" s="385" t="n">
        <f aca="false">IF(100&lt;5,0,IF(MAX(CU39:CZ39)&gt;CZ44+4+$B$18,1,0))</f>
        <v>0</v>
      </c>
      <c r="DA65" s="385" t="n">
        <f aca="false">IF(101&lt;5,0,IF(MAX(CV39:DA39)&gt;DA44+4+$B$18,1,0))</f>
        <v>0</v>
      </c>
      <c r="DB65" s="385" t="n">
        <f aca="false">IF(102&lt;5,0,IF(MAX(CW39:DB39)&gt;DB44+4+$B$18,1,0))</f>
        <v>0</v>
      </c>
      <c r="DC65" s="385" t="n">
        <f aca="false">IF(103&lt;5,0,IF(MAX(CX39:DC39)&gt;DC44+4+$B$18,1,0))</f>
        <v>0</v>
      </c>
      <c r="DD65" s="385" t="n">
        <f aca="false">IF(104&lt;5,0,IF(MAX(CY39:DD39)&gt;DD44+4+$B$18,1,0))</f>
        <v>0</v>
      </c>
      <c r="DE65" s="385" t="n">
        <f aca="false">IF(105&lt;5,0,IF(MAX(CZ39:DE39)&gt;DE44+4+$B$18,1,0))</f>
        <v>0</v>
      </c>
    </row>
    <row r="66" customFormat="false" ht="13.5" hidden="false" customHeight="true" outlineLevel="0" collapsed="false">
      <c r="A66" s="110" t="s">
        <v>1397</v>
      </c>
      <c r="B66" s="213" t="n">
        <f aca="false">$B$28</f>
        <v>130000</v>
      </c>
      <c r="E66" s="385" t="n">
        <f aca="false">IF(1&lt;5,0,IF(MAX(E39:E39)&gt;E44+5+$B$18,1,0))</f>
        <v>0</v>
      </c>
      <c r="F66" s="385" t="n">
        <f aca="false">IF(2&lt;5,0,IF(MAX(E39:F39)&gt;F44+5+$B$18,1,0))</f>
        <v>0</v>
      </c>
      <c r="G66" s="385" t="n">
        <f aca="false">IF(3&lt;5,0,IF(MAX(E39:G39)&gt;G44+5+$B$18,1,0))</f>
        <v>0</v>
      </c>
      <c r="H66" s="385" t="n">
        <f aca="false">IF(4&lt;5,0,IF(MAX(E39:H39)&gt;H44+5+$B$18,1,0))</f>
        <v>0</v>
      </c>
      <c r="I66" s="385" t="n">
        <f aca="false">IF(5&lt;5,0,IF(MAX(E39:I39)&gt;I44+5+$B$18,1,0))</f>
        <v>0</v>
      </c>
      <c r="J66" s="385" t="n">
        <f aca="false">IF(6&lt;5,0,IF(MAX(E39:J39)&gt;J44+5+$B$18,1,0))</f>
        <v>0</v>
      </c>
      <c r="K66" s="385" t="n">
        <f aca="false">IF(7&lt;5,0,IF(MAX(F39:K39)&gt;K44+5+$B$18,1,0))</f>
        <v>0</v>
      </c>
      <c r="L66" s="385" t="n">
        <f aca="false">IF(8&lt;5,0,IF(MAX(G39:L39)&gt;L44+5+$B$18,1,0))</f>
        <v>0</v>
      </c>
      <c r="M66" s="385" t="n">
        <f aca="false">IF(9&lt;5,0,IF(MAX(H39:M39)&gt;M44+5+$B$18,1,0))</f>
        <v>0</v>
      </c>
      <c r="N66" s="385" t="n">
        <f aca="false">IF(10&lt;5,0,IF(MAX(I39:N39)&gt;N44+5+$B$18,1,0))</f>
        <v>0</v>
      </c>
      <c r="O66" s="385" t="n">
        <f aca="false">IF(11&lt;5,0,IF(MAX(J39:O39)&gt;O44+5+$B$18,1,0))</f>
        <v>0</v>
      </c>
      <c r="P66" s="385" t="n">
        <f aca="false">IF(12&lt;5,0,IF(MAX(K39:P39)&gt;P44+5+$B$18,1,0))</f>
        <v>0</v>
      </c>
      <c r="Q66" s="385" t="n">
        <f aca="false">IF(13&lt;5,0,IF(MAX(L39:Q39)&gt;Q44+5+$B$18,1,0))</f>
        <v>0</v>
      </c>
      <c r="R66" s="385" t="n">
        <f aca="false">IF(14&lt;5,0,IF(MAX(M39:R39)&gt;R44+5+$B$18,1,0))</f>
        <v>0</v>
      </c>
      <c r="S66" s="385" t="n">
        <f aca="false">IF(15&lt;5,0,IF(MAX(N39:S39)&gt;S44+5+$B$18,1,0))</f>
        <v>0</v>
      </c>
      <c r="T66" s="385" t="n">
        <f aca="false">IF(16&lt;5,0,IF(MAX(O39:T39)&gt;T44+5+$B$18,1,0))</f>
        <v>0</v>
      </c>
      <c r="U66" s="385" t="n">
        <f aca="false">IF(17&lt;5,0,IF(MAX(P39:U39)&gt;U44+5+$B$18,1,0))</f>
        <v>0</v>
      </c>
      <c r="V66" s="385" t="n">
        <f aca="false">IF(18&lt;5,0,IF(MAX(Q39:V39)&gt;V44+5+$B$18,1,0))</f>
        <v>0</v>
      </c>
      <c r="W66" s="385" t="n">
        <f aca="false">IF(19&lt;5,0,IF(MAX(R39:W39)&gt;W44+5+$B$18,1,0))</f>
        <v>0</v>
      </c>
      <c r="X66" s="385" t="n">
        <f aca="false">IF(20&lt;5,0,IF(MAX(S39:X39)&gt;X44+5+$B$18,1,0))</f>
        <v>0</v>
      </c>
      <c r="Y66" s="385" t="n">
        <f aca="false">IF(21&lt;5,0,IF(MAX(T39:Y39)&gt;Y44+5+$B$18,1,0))</f>
        <v>0</v>
      </c>
      <c r="Z66" s="385" t="n">
        <f aca="false">IF(22&lt;5,0,IF(MAX(U39:Z39)&gt;Z44+5+$B$18,1,0))</f>
        <v>0</v>
      </c>
      <c r="AA66" s="385" t="n">
        <f aca="false">IF(23&lt;5,0,IF(MAX(V39:AA39)&gt;AA44+5+$B$18,1,0))</f>
        <v>0</v>
      </c>
      <c r="AB66" s="385" t="n">
        <f aca="false">IF(24&lt;5,0,IF(MAX(W39:AB39)&gt;AB44+5+$B$18,1,0))</f>
        <v>0</v>
      </c>
      <c r="AC66" s="385" t="n">
        <f aca="false">IF(25&lt;5,0,IF(MAX(X39:AC39)&gt;AC44+5+$B$18,1,0))</f>
        <v>0</v>
      </c>
      <c r="AD66" s="385" t="n">
        <f aca="false">IF(26&lt;5,0,IF(MAX(Y39:AD39)&gt;AD44+5+$B$18,1,0))</f>
        <v>0</v>
      </c>
      <c r="AE66" s="385" t="n">
        <f aca="false">IF(27&lt;5,0,IF(MAX(Z39:AE39)&gt;AE44+5+$B$18,1,0))</f>
        <v>0</v>
      </c>
      <c r="AF66" s="385" t="n">
        <f aca="false">IF(28&lt;5,0,IF(MAX(AA39:AF39)&gt;AF44+5+$B$18,1,0))</f>
        <v>0</v>
      </c>
      <c r="AG66" s="385" t="n">
        <f aca="false">IF(29&lt;5,0,IF(MAX(AB39:AG39)&gt;AG44+5+$B$18,1,0))</f>
        <v>0</v>
      </c>
      <c r="AH66" s="385" t="n">
        <f aca="false">IF(30&lt;5,0,IF(MAX(AC39:AH39)&gt;AH44+5+$B$18,1,0))</f>
        <v>0</v>
      </c>
      <c r="AI66" s="385" t="n">
        <f aca="false">IF(31&lt;5,0,IF(MAX(AD39:AI39)&gt;AI44+5+$B$18,1,0))</f>
        <v>0</v>
      </c>
      <c r="AJ66" s="385" t="n">
        <f aca="false">IF(32&lt;5,0,IF(MAX(AE39:AJ39)&gt;AJ44+5+$B$18,1,0))</f>
        <v>0</v>
      </c>
      <c r="AK66" s="385" t="n">
        <f aca="false">IF(33&lt;5,0,IF(MAX(AF39:AK39)&gt;AK44+5+$B$18,1,0))</f>
        <v>0</v>
      </c>
      <c r="AL66" s="385" t="n">
        <f aca="false">IF(34&lt;5,0,IF(MAX(AG39:AL39)&gt;AL44+5+$B$18,1,0))</f>
        <v>0</v>
      </c>
      <c r="AM66" s="385" t="n">
        <f aca="false">IF(35&lt;5,0,IF(MAX(AH39:AM39)&gt;AM44+5+$B$18,1,0))</f>
        <v>0</v>
      </c>
      <c r="AN66" s="385" t="n">
        <f aca="false">IF(36&lt;5,0,IF(MAX(AI39:AN39)&gt;AN44+5+$B$18,1,0))</f>
        <v>0</v>
      </c>
      <c r="AO66" s="385" t="n">
        <f aca="false">IF(37&lt;5,0,IF(MAX(AJ39:AO39)&gt;AO44+5+$B$18,1,0))</f>
        <v>0</v>
      </c>
      <c r="AP66" s="385" t="n">
        <f aca="false">IF(38&lt;5,0,IF(MAX(AK39:AP39)&gt;AP44+5+$B$18,1,0))</f>
        <v>0</v>
      </c>
      <c r="AQ66" s="385" t="n">
        <f aca="false">IF(39&lt;5,0,IF(MAX(AL39:AQ39)&gt;AQ44+5+$B$18,1,0))</f>
        <v>0</v>
      </c>
      <c r="AR66" s="385" t="n">
        <f aca="false">IF(40&lt;5,0,IF(MAX(AM39:AR39)&gt;AR44+5+$B$18,1,0))</f>
        <v>0</v>
      </c>
      <c r="AS66" s="385" t="n">
        <f aca="false">IF(41&lt;5,0,IF(MAX(AN39:AS39)&gt;AS44+5+$B$18,1,0))</f>
        <v>0</v>
      </c>
      <c r="AT66" s="385" t="n">
        <f aca="false">IF(42&lt;5,0,IF(MAX(AO39:AT39)&gt;AT44+5+$B$18,1,0))</f>
        <v>0</v>
      </c>
      <c r="AU66" s="385" t="n">
        <f aca="false">IF(43&lt;5,0,IF(MAX(AP39:AU39)&gt;AU44+5+$B$18,1,0))</f>
        <v>0</v>
      </c>
      <c r="AV66" s="385" t="n">
        <f aca="false">IF(44&lt;5,0,IF(MAX(AQ39:AV39)&gt;AV44+5+$B$18,1,0))</f>
        <v>0</v>
      </c>
      <c r="AW66" s="385" t="n">
        <f aca="false">IF(45&lt;5,0,IF(MAX(AR39:AW39)&gt;AW44+5+$B$18,1,0))</f>
        <v>0</v>
      </c>
      <c r="AX66" s="385" t="n">
        <f aca="false">IF(46&lt;5,0,IF(MAX(AS39:AX39)&gt;AX44+5+$B$18,1,0))</f>
        <v>0</v>
      </c>
      <c r="AY66" s="385" t="n">
        <f aca="false">IF(47&lt;5,0,IF(MAX(AT39:AY39)&gt;AY44+5+$B$18,1,0))</f>
        <v>0</v>
      </c>
      <c r="AZ66" s="385" t="n">
        <f aca="false">IF(48&lt;5,0,IF(MAX(AU39:AZ39)&gt;AZ44+5+$B$18,1,0))</f>
        <v>0</v>
      </c>
      <c r="BA66" s="385" t="n">
        <f aca="false">IF(49&lt;5,0,IF(MAX(AV39:BA39)&gt;BA44+5+$B$18,1,0))</f>
        <v>0</v>
      </c>
      <c r="BB66" s="385" t="n">
        <f aca="false">IF(50&lt;5,0,IF(MAX(AW39:BB39)&gt;BB44+5+$B$18,1,0))</f>
        <v>0</v>
      </c>
      <c r="BC66" s="385" t="n">
        <f aca="false">IF(51&lt;5,0,IF(MAX(AX39:BC39)&gt;BC44+5+$B$18,1,0))</f>
        <v>0</v>
      </c>
      <c r="BD66" s="385" t="n">
        <f aca="false">IF(52&lt;5,0,IF(MAX(AY39:BD39)&gt;BD44+5+$B$18,1,0))</f>
        <v>0</v>
      </c>
      <c r="BE66" s="385" t="n">
        <f aca="false">IF(53&lt;5,0,IF(MAX(AZ39:BE39)&gt;BE44+5+$B$18,1,0))</f>
        <v>0</v>
      </c>
      <c r="BF66" s="385" t="n">
        <f aca="false">IF(54&lt;5,0,IF(MAX(BA39:BF39)&gt;BF44+5+$B$18,1,0))</f>
        <v>0</v>
      </c>
      <c r="BG66" s="385" t="n">
        <f aca="false">IF(55&lt;5,0,IF(MAX(BB39:BG39)&gt;BG44+5+$B$18,1,0))</f>
        <v>0</v>
      </c>
      <c r="BH66" s="385" t="n">
        <f aca="false">IF(56&lt;5,0,IF(MAX(BC39:BH39)&gt;BH44+5+$B$18,1,0))</f>
        <v>0</v>
      </c>
      <c r="BI66" s="385" t="n">
        <f aca="false">IF(57&lt;5,0,IF(MAX(BD39:BI39)&gt;BI44+5+$B$18,1,0))</f>
        <v>0</v>
      </c>
      <c r="BJ66" s="385" t="n">
        <f aca="false">IF(58&lt;5,0,IF(MAX(BE39:BJ39)&gt;BJ44+5+$B$18,1,0))</f>
        <v>0</v>
      </c>
      <c r="BK66" s="385" t="n">
        <f aca="false">IF(59&lt;5,0,IF(MAX(BF39:BK39)&gt;BK44+5+$B$18,1,0))</f>
        <v>0</v>
      </c>
      <c r="BL66" s="385" t="n">
        <f aca="false">IF(60&lt;5,0,IF(MAX(BG39:BL39)&gt;BL44+5+$B$18,1,0))</f>
        <v>0</v>
      </c>
      <c r="BM66" s="385" t="n">
        <f aca="false">IF(61&lt;5,0,IF(MAX(BH39:BM39)&gt;BM44+5+$B$18,1,0))</f>
        <v>0</v>
      </c>
      <c r="BN66" s="385" t="n">
        <f aca="false">IF(62&lt;5,0,IF(MAX(BI39:BN39)&gt;BN44+5+$B$18,1,0))</f>
        <v>0</v>
      </c>
      <c r="BO66" s="385" t="n">
        <f aca="false">IF(63&lt;5,0,IF(MAX(BJ39:BO39)&gt;BO44+5+$B$18,1,0))</f>
        <v>0</v>
      </c>
      <c r="BP66" s="385" t="n">
        <f aca="false">IF(64&lt;5,0,IF(MAX(BK39:BP39)&gt;BP44+5+$B$18,1,0))</f>
        <v>0</v>
      </c>
      <c r="BQ66" s="385" t="n">
        <f aca="false">IF(65&lt;5,0,IF(MAX(BL39:BQ39)&gt;BQ44+5+$B$18,1,0))</f>
        <v>0</v>
      </c>
      <c r="BR66" s="385" t="n">
        <f aca="false">IF(66&lt;5,0,IF(MAX(BM39:BR39)&gt;BR44+5+$B$18,1,0))</f>
        <v>0</v>
      </c>
      <c r="BS66" s="385" t="n">
        <f aca="false">IF(67&lt;5,0,IF(MAX(BN39:BS39)&gt;BS44+5+$B$18,1,0))</f>
        <v>0</v>
      </c>
      <c r="BT66" s="385" t="n">
        <f aca="false">IF(68&lt;5,0,IF(MAX(BO39:BT39)&gt;BT44+5+$B$18,1,0))</f>
        <v>0</v>
      </c>
      <c r="BU66" s="385" t="n">
        <f aca="false">IF(69&lt;5,0,IF(MAX(BP39:BU39)&gt;BU44+5+$B$18,1,0))</f>
        <v>0</v>
      </c>
      <c r="BV66" s="385" t="n">
        <f aca="false">IF(70&lt;5,0,IF(MAX(BQ39:BV39)&gt;BV44+5+$B$18,1,0))</f>
        <v>0</v>
      </c>
      <c r="BW66" s="385" t="n">
        <f aca="false">IF(71&lt;5,0,IF(MAX(BR39:BW39)&gt;BW44+5+$B$18,1,0))</f>
        <v>0</v>
      </c>
      <c r="BX66" s="385" t="n">
        <f aca="false">IF(72&lt;5,0,IF(MAX(BS39:BX39)&gt;BX44+5+$B$18,1,0))</f>
        <v>0</v>
      </c>
      <c r="BY66" s="385" t="n">
        <f aca="false">IF(73&lt;5,0,IF(MAX(BT39:BY39)&gt;BY44+5+$B$18,1,0))</f>
        <v>0</v>
      </c>
      <c r="BZ66" s="385" t="n">
        <f aca="false">IF(74&lt;5,0,IF(MAX(BU39:BZ39)&gt;BZ44+5+$B$18,1,0))</f>
        <v>0</v>
      </c>
      <c r="CA66" s="385" t="n">
        <f aca="false">IF(75&lt;5,0,IF(MAX(BV39:CA39)&gt;CA44+5+$B$18,1,0))</f>
        <v>0</v>
      </c>
      <c r="CB66" s="385" t="n">
        <f aca="false">IF(76&lt;5,0,IF(MAX(BW39:CB39)&gt;CB44+5+$B$18,1,0))</f>
        <v>0</v>
      </c>
      <c r="CC66" s="385" t="n">
        <f aca="false">IF(77&lt;5,0,IF(MAX(BX39:CC39)&gt;CC44+5+$B$18,1,0))</f>
        <v>0</v>
      </c>
      <c r="CD66" s="385" t="n">
        <f aca="false">IF(78&lt;5,0,IF(MAX(BY39:CD39)&gt;CD44+5+$B$18,1,0))</f>
        <v>0</v>
      </c>
      <c r="CE66" s="385" t="n">
        <f aca="false">IF(79&lt;5,0,IF(MAX(BZ39:CE39)&gt;CE44+5+$B$18,1,0))</f>
        <v>0</v>
      </c>
      <c r="CF66" s="385" t="n">
        <f aca="false">IF(80&lt;5,0,IF(MAX(CA39:CF39)&gt;CF44+5+$B$18,1,0))</f>
        <v>0</v>
      </c>
      <c r="CG66" s="385" t="n">
        <f aca="false">IF(81&lt;5,0,IF(MAX(CB39:CG39)&gt;CG44+5+$B$18,1,0))</f>
        <v>0</v>
      </c>
      <c r="CH66" s="385" t="n">
        <f aca="false">IF(82&lt;5,0,IF(MAX(CC39:CH39)&gt;CH44+5+$B$18,1,0))</f>
        <v>0</v>
      </c>
      <c r="CI66" s="385" t="n">
        <f aca="false">IF(83&lt;5,0,IF(MAX(CD39:CI39)&gt;CI44+5+$B$18,1,0))</f>
        <v>0</v>
      </c>
      <c r="CJ66" s="385" t="n">
        <f aca="false">IF(84&lt;5,0,IF(MAX(CE39:CJ39)&gt;CJ44+5+$B$18,1,0))</f>
        <v>0</v>
      </c>
      <c r="CK66" s="385" t="n">
        <f aca="false">IF(85&lt;5,0,IF(MAX(CF39:CK39)&gt;CK44+5+$B$18,1,0))</f>
        <v>0</v>
      </c>
      <c r="CL66" s="385" t="n">
        <f aca="false">IF(86&lt;5,0,IF(MAX(CG39:CL39)&gt;CL44+5+$B$18,1,0))</f>
        <v>0</v>
      </c>
      <c r="CM66" s="385" t="n">
        <f aca="false">IF(87&lt;5,0,IF(MAX(CH39:CM39)&gt;CM44+5+$B$18,1,0))</f>
        <v>0</v>
      </c>
      <c r="CN66" s="385" t="n">
        <f aca="false">IF(88&lt;5,0,IF(MAX(CI39:CN39)&gt;CN44+5+$B$18,1,0))</f>
        <v>0</v>
      </c>
      <c r="CO66" s="385" t="n">
        <f aca="false">IF(89&lt;5,0,IF(MAX(CJ39:CO39)&gt;CO44+5+$B$18,1,0))</f>
        <v>0</v>
      </c>
      <c r="CP66" s="385" t="n">
        <f aca="false">IF(90&lt;5,0,IF(MAX(CK39:CP39)&gt;CP44+5+$B$18,1,0))</f>
        <v>0</v>
      </c>
      <c r="CQ66" s="385" t="n">
        <f aca="false">IF(91&lt;5,0,IF(MAX(CL39:CQ39)&gt;CQ44+5+$B$18,1,0))</f>
        <v>0</v>
      </c>
      <c r="CR66" s="385" t="n">
        <f aca="false">IF(92&lt;5,0,IF(MAX(CM39:CR39)&gt;CR44+5+$B$18,1,0))</f>
        <v>0</v>
      </c>
      <c r="CS66" s="385" t="n">
        <f aca="false">IF(93&lt;5,0,IF(MAX(CN39:CS39)&gt;CS44+5+$B$18,1,0))</f>
        <v>0</v>
      </c>
      <c r="CT66" s="385" t="n">
        <f aca="false">IF(94&lt;5,0,IF(MAX(CO39:CT39)&gt;CT44+5+$B$18,1,0))</f>
        <v>0</v>
      </c>
      <c r="CU66" s="385" t="n">
        <f aca="false">IF(95&lt;5,0,IF(MAX(CP39:CU39)&gt;CU44+5+$B$18,1,0))</f>
        <v>0</v>
      </c>
      <c r="CV66" s="385" t="n">
        <f aca="false">IF(96&lt;5,0,IF(MAX(CQ39:CV39)&gt;CV44+5+$B$18,1,0))</f>
        <v>0</v>
      </c>
      <c r="CW66" s="385" t="n">
        <f aca="false">IF(97&lt;5,0,IF(MAX(CR39:CW39)&gt;CW44+5+$B$18,1,0))</f>
        <v>0</v>
      </c>
      <c r="CX66" s="385" t="n">
        <f aca="false">IF(98&lt;5,0,IF(MAX(CS39:CX39)&gt;CX44+5+$B$18,1,0))</f>
        <v>0</v>
      </c>
      <c r="CY66" s="385" t="n">
        <f aca="false">IF(99&lt;5,0,IF(MAX(CT39:CY39)&gt;CY44+5+$B$18,1,0))</f>
        <v>0</v>
      </c>
      <c r="CZ66" s="385" t="n">
        <f aca="false">IF(100&lt;5,0,IF(MAX(CU39:CZ39)&gt;CZ44+5+$B$18,1,0))</f>
        <v>0</v>
      </c>
      <c r="DA66" s="385" t="n">
        <f aca="false">IF(101&lt;5,0,IF(MAX(CV39:DA39)&gt;DA44+5+$B$18,1,0))</f>
        <v>0</v>
      </c>
      <c r="DB66" s="385" t="n">
        <f aca="false">IF(102&lt;5,0,IF(MAX(CW39:DB39)&gt;DB44+5+$B$18,1,0))</f>
        <v>0</v>
      </c>
      <c r="DC66" s="385" t="n">
        <f aca="false">IF(103&lt;5,0,IF(MAX(CX39:DC39)&gt;DC44+5+$B$18,1,0))</f>
        <v>0</v>
      </c>
      <c r="DD66" s="385" t="n">
        <f aca="false">IF(104&lt;5,0,IF(MAX(CY39:DD39)&gt;DD44+5+$B$18,1,0))</f>
        <v>0</v>
      </c>
      <c r="DE66" s="385" t="n">
        <f aca="false">IF(105&lt;5,0,IF(MAX(CZ39:DE39)&gt;DE44+5+$B$18,1,0))</f>
        <v>0</v>
      </c>
    </row>
    <row r="67" customFormat="false" ht="13.5" hidden="false" customHeight="true" outlineLevel="0" collapsed="false">
      <c r="A67" s="110" t="s">
        <v>1398</v>
      </c>
      <c r="B67" s="213" t="n">
        <f aca="false">$B$28</f>
        <v>130000</v>
      </c>
      <c r="E67" s="385" t="n">
        <f aca="false">IF(1&lt;5,0,IF(MAX(E39:E39)&gt;E44+6+$B$18,1,0))</f>
        <v>0</v>
      </c>
      <c r="F67" s="385" t="n">
        <f aca="false">IF(2&lt;5,0,IF(MAX(E39:F39)&gt;F44+6+$B$18,1,0))</f>
        <v>0</v>
      </c>
      <c r="G67" s="385" t="n">
        <f aca="false">IF(3&lt;5,0,IF(MAX(E39:G39)&gt;G44+6+$B$18,1,0))</f>
        <v>0</v>
      </c>
      <c r="H67" s="385" t="n">
        <f aca="false">IF(4&lt;5,0,IF(MAX(E39:H39)&gt;H44+6+$B$18,1,0))</f>
        <v>0</v>
      </c>
      <c r="I67" s="385" t="n">
        <f aca="false">IF(5&lt;5,0,IF(MAX(E39:I39)&gt;I44+6+$B$18,1,0))</f>
        <v>0</v>
      </c>
      <c r="J67" s="385" t="n">
        <f aca="false">IF(6&lt;5,0,IF(MAX(E39:J39)&gt;J44+6+$B$18,1,0))</f>
        <v>0</v>
      </c>
      <c r="K67" s="385" t="n">
        <f aca="false">IF(7&lt;5,0,IF(MAX(F39:K39)&gt;K44+6+$B$18,1,0))</f>
        <v>0</v>
      </c>
      <c r="L67" s="385" t="n">
        <f aca="false">IF(8&lt;5,0,IF(MAX(G39:L39)&gt;L44+6+$B$18,1,0))</f>
        <v>0</v>
      </c>
      <c r="M67" s="385" t="n">
        <f aca="false">IF(9&lt;5,0,IF(MAX(H39:M39)&gt;M44+6+$B$18,1,0))</f>
        <v>0</v>
      </c>
      <c r="N67" s="385" t="n">
        <f aca="false">IF(10&lt;5,0,IF(MAX(I39:N39)&gt;N44+6+$B$18,1,0))</f>
        <v>0</v>
      </c>
      <c r="O67" s="385" t="n">
        <f aca="false">IF(11&lt;5,0,IF(MAX(J39:O39)&gt;O44+6+$B$18,1,0))</f>
        <v>0</v>
      </c>
      <c r="P67" s="385" t="n">
        <f aca="false">IF(12&lt;5,0,IF(MAX(K39:P39)&gt;P44+6+$B$18,1,0))</f>
        <v>0</v>
      </c>
      <c r="Q67" s="385" t="n">
        <f aca="false">IF(13&lt;5,0,IF(MAX(L39:Q39)&gt;Q44+6+$B$18,1,0))</f>
        <v>0</v>
      </c>
      <c r="R67" s="385" t="n">
        <f aca="false">IF(14&lt;5,0,IF(MAX(M39:R39)&gt;R44+6+$B$18,1,0))</f>
        <v>0</v>
      </c>
      <c r="S67" s="385" t="n">
        <f aca="false">IF(15&lt;5,0,IF(MAX(N39:S39)&gt;S44+6+$B$18,1,0))</f>
        <v>0</v>
      </c>
      <c r="T67" s="385" t="n">
        <f aca="false">IF(16&lt;5,0,IF(MAX(O39:T39)&gt;T44+6+$B$18,1,0))</f>
        <v>0</v>
      </c>
      <c r="U67" s="385" t="n">
        <f aca="false">IF(17&lt;5,0,IF(MAX(P39:U39)&gt;U44+6+$B$18,1,0))</f>
        <v>0</v>
      </c>
      <c r="V67" s="385" t="n">
        <f aca="false">IF(18&lt;5,0,IF(MAX(Q39:V39)&gt;V44+6+$B$18,1,0))</f>
        <v>0</v>
      </c>
      <c r="W67" s="385" t="n">
        <f aca="false">IF(19&lt;5,0,IF(MAX(R39:W39)&gt;W44+6+$B$18,1,0))</f>
        <v>0</v>
      </c>
      <c r="X67" s="385" t="n">
        <f aca="false">IF(20&lt;5,0,IF(MAX(S39:X39)&gt;X44+6+$B$18,1,0))</f>
        <v>0</v>
      </c>
      <c r="Y67" s="385" t="n">
        <f aca="false">IF(21&lt;5,0,IF(MAX(T39:Y39)&gt;Y44+6+$B$18,1,0))</f>
        <v>0</v>
      </c>
      <c r="Z67" s="385" t="n">
        <f aca="false">IF(22&lt;5,0,IF(MAX(U39:Z39)&gt;Z44+6+$B$18,1,0))</f>
        <v>0</v>
      </c>
      <c r="AA67" s="385" t="n">
        <f aca="false">IF(23&lt;5,0,IF(MAX(V39:AA39)&gt;AA44+6+$B$18,1,0))</f>
        <v>0</v>
      </c>
      <c r="AB67" s="385" t="n">
        <f aca="false">IF(24&lt;5,0,IF(MAX(W39:AB39)&gt;AB44+6+$B$18,1,0))</f>
        <v>0</v>
      </c>
      <c r="AC67" s="385" t="n">
        <f aca="false">IF(25&lt;5,0,IF(MAX(X39:AC39)&gt;AC44+6+$B$18,1,0))</f>
        <v>0</v>
      </c>
      <c r="AD67" s="385" t="n">
        <f aca="false">IF(26&lt;5,0,IF(MAX(Y39:AD39)&gt;AD44+6+$B$18,1,0))</f>
        <v>0</v>
      </c>
      <c r="AE67" s="385" t="n">
        <f aca="false">IF(27&lt;5,0,IF(MAX(Z39:AE39)&gt;AE44+6+$B$18,1,0))</f>
        <v>0</v>
      </c>
      <c r="AF67" s="385" t="n">
        <f aca="false">IF(28&lt;5,0,IF(MAX(AA39:AF39)&gt;AF44+6+$B$18,1,0))</f>
        <v>0</v>
      </c>
      <c r="AG67" s="385" t="n">
        <f aca="false">IF(29&lt;5,0,IF(MAX(AB39:AG39)&gt;AG44+6+$B$18,1,0))</f>
        <v>0</v>
      </c>
      <c r="AH67" s="385" t="n">
        <f aca="false">IF(30&lt;5,0,IF(MAX(AC39:AH39)&gt;AH44+6+$B$18,1,0))</f>
        <v>0</v>
      </c>
      <c r="AI67" s="385" t="n">
        <f aca="false">IF(31&lt;5,0,IF(MAX(AD39:AI39)&gt;AI44+6+$B$18,1,0))</f>
        <v>0</v>
      </c>
      <c r="AJ67" s="385" t="n">
        <f aca="false">IF(32&lt;5,0,IF(MAX(AE39:AJ39)&gt;AJ44+6+$B$18,1,0))</f>
        <v>0</v>
      </c>
      <c r="AK67" s="385" t="n">
        <f aca="false">IF(33&lt;5,0,IF(MAX(AF39:AK39)&gt;AK44+6+$B$18,1,0))</f>
        <v>0</v>
      </c>
      <c r="AL67" s="385" t="n">
        <f aca="false">IF(34&lt;5,0,IF(MAX(AG39:AL39)&gt;AL44+6+$B$18,1,0))</f>
        <v>0</v>
      </c>
      <c r="AM67" s="385" t="n">
        <f aca="false">IF(35&lt;5,0,IF(MAX(AH39:AM39)&gt;AM44+6+$B$18,1,0))</f>
        <v>0</v>
      </c>
      <c r="AN67" s="385" t="n">
        <f aca="false">IF(36&lt;5,0,IF(MAX(AI39:AN39)&gt;AN44+6+$B$18,1,0))</f>
        <v>0</v>
      </c>
      <c r="AO67" s="385" t="n">
        <f aca="false">IF(37&lt;5,0,IF(MAX(AJ39:AO39)&gt;AO44+6+$B$18,1,0))</f>
        <v>0</v>
      </c>
      <c r="AP67" s="385" t="n">
        <f aca="false">IF(38&lt;5,0,IF(MAX(AK39:AP39)&gt;AP44+6+$B$18,1,0))</f>
        <v>0</v>
      </c>
      <c r="AQ67" s="385" t="n">
        <f aca="false">IF(39&lt;5,0,IF(MAX(AL39:AQ39)&gt;AQ44+6+$B$18,1,0))</f>
        <v>0</v>
      </c>
      <c r="AR67" s="385" t="n">
        <f aca="false">IF(40&lt;5,0,IF(MAX(AM39:AR39)&gt;AR44+6+$B$18,1,0))</f>
        <v>0</v>
      </c>
      <c r="AS67" s="385" t="n">
        <f aca="false">IF(41&lt;5,0,IF(MAX(AN39:AS39)&gt;AS44+6+$B$18,1,0))</f>
        <v>0</v>
      </c>
      <c r="AT67" s="385" t="n">
        <f aca="false">IF(42&lt;5,0,IF(MAX(AO39:AT39)&gt;AT44+6+$B$18,1,0))</f>
        <v>0</v>
      </c>
      <c r="AU67" s="385" t="n">
        <f aca="false">IF(43&lt;5,0,IF(MAX(AP39:AU39)&gt;AU44+6+$B$18,1,0))</f>
        <v>0</v>
      </c>
      <c r="AV67" s="385" t="n">
        <f aca="false">IF(44&lt;5,0,IF(MAX(AQ39:AV39)&gt;AV44+6+$B$18,1,0))</f>
        <v>0</v>
      </c>
      <c r="AW67" s="385" t="n">
        <f aca="false">IF(45&lt;5,0,IF(MAX(AR39:AW39)&gt;AW44+6+$B$18,1,0))</f>
        <v>0</v>
      </c>
      <c r="AX67" s="385" t="n">
        <f aca="false">IF(46&lt;5,0,IF(MAX(AS39:AX39)&gt;AX44+6+$B$18,1,0))</f>
        <v>0</v>
      </c>
      <c r="AY67" s="385" t="n">
        <f aca="false">IF(47&lt;5,0,IF(MAX(AT39:AY39)&gt;AY44+6+$B$18,1,0))</f>
        <v>0</v>
      </c>
      <c r="AZ67" s="385" t="n">
        <f aca="false">IF(48&lt;5,0,IF(MAX(AU39:AZ39)&gt;AZ44+6+$B$18,1,0))</f>
        <v>0</v>
      </c>
      <c r="BA67" s="385" t="n">
        <f aca="false">IF(49&lt;5,0,IF(MAX(AV39:BA39)&gt;BA44+6+$B$18,1,0))</f>
        <v>0</v>
      </c>
      <c r="BB67" s="385" t="n">
        <f aca="false">IF(50&lt;5,0,IF(MAX(AW39:BB39)&gt;BB44+6+$B$18,1,0))</f>
        <v>0</v>
      </c>
      <c r="BC67" s="385" t="n">
        <f aca="false">IF(51&lt;5,0,IF(MAX(AX39:BC39)&gt;BC44+6+$B$18,1,0))</f>
        <v>0</v>
      </c>
      <c r="BD67" s="385" t="n">
        <f aca="false">IF(52&lt;5,0,IF(MAX(AY39:BD39)&gt;BD44+6+$B$18,1,0))</f>
        <v>0</v>
      </c>
      <c r="BE67" s="385" t="n">
        <f aca="false">IF(53&lt;5,0,IF(MAX(AZ39:BE39)&gt;BE44+6+$B$18,1,0))</f>
        <v>0</v>
      </c>
      <c r="BF67" s="385" t="n">
        <f aca="false">IF(54&lt;5,0,IF(MAX(BA39:BF39)&gt;BF44+6+$B$18,1,0))</f>
        <v>0</v>
      </c>
      <c r="BG67" s="385" t="n">
        <f aca="false">IF(55&lt;5,0,IF(MAX(BB39:BG39)&gt;BG44+6+$B$18,1,0))</f>
        <v>0</v>
      </c>
      <c r="BH67" s="385" t="n">
        <f aca="false">IF(56&lt;5,0,IF(MAX(BC39:BH39)&gt;BH44+6+$B$18,1,0))</f>
        <v>0</v>
      </c>
      <c r="BI67" s="385" t="n">
        <f aca="false">IF(57&lt;5,0,IF(MAX(BD39:BI39)&gt;BI44+6+$B$18,1,0))</f>
        <v>0</v>
      </c>
      <c r="BJ67" s="385" t="n">
        <f aca="false">IF(58&lt;5,0,IF(MAX(BE39:BJ39)&gt;BJ44+6+$B$18,1,0))</f>
        <v>0</v>
      </c>
      <c r="BK67" s="385" t="n">
        <f aca="false">IF(59&lt;5,0,IF(MAX(BF39:BK39)&gt;BK44+6+$B$18,1,0))</f>
        <v>0</v>
      </c>
      <c r="BL67" s="385" t="n">
        <f aca="false">IF(60&lt;5,0,IF(MAX(BG39:BL39)&gt;BL44+6+$B$18,1,0))</f>
        <v>0</v>
      </c>
      <c r="BM67" s="385" t="n">
        <f aca="false">IF(61&lt;5,0,IF(MAX(BH39:BM39)&gt;BM44+6+$B$18,1,0))</f>
        <v>0</v>
      </c>
      <c r="BN67" s="385" t="n">
        <f aca="false">IF(62&lt;5,0,IF(MAX(BI39:BN39)&gt;BN44+6+$B$18,1,0))</f>
        <v>0</v>
      </c>
      <c r="BO67" s="385" t="n">
        <f aca="false">IF(63&lt;5,0,IF(MAX(BJ39:BO39)&gt;BO44+6+$B$18,1,0))</f>
        <v>0</v>
      </c>
      <c r="BP67" s="385" t="n">
        <f aca="false">IF(64&lt;5,0,IF(MAX(BK39:BP39)&gt;BP44+6+$B$18,1,0))</f>
        <v>0</v>
      </c>
      <c r="BQ67" s="385" t="n">
        <f aca="false">IF(65&lt;5,0,IF(MAX(BL39:BQ39)&gt;BQ44+6+$B$18,1,0))</f>
        <v>0</v>
      </c>
      <c r="BR67" s="385" t="n">
        <f aca="false">IF(66&lt;5,0,IF(MAX(BM39:BR39)&gt;BR44+6+$B$18,1,0))</f>
        <v>0</v>
      </c>
      <c r="BS67" s="385" t="n">
        <f aca="false">IF(67&lt;5,0,IF(MAX(BN39:BS39)&gt;BS44+6+$B$18,1,0))</f>
        <v>0</v>
      </c>
      <c r="BT67" s="385" t="n">
        <f aca="false">IF(68&lt;5,0,IF(MAX(BO39:BT39)&gt;BT44+6+$B$18,1,0))</f>
        <v>0</v>
      </c>
      <c r="BU67" s="385" t="n">
        <f aca="false">IF(69&lt;5,0,IF(MAX(BP39:BU39)&gt;BU44+6+$B$18,1,0))</f>
        <v>0</v>
      </c>
      <c r="BV67" s="385" t="n">
        <f aca="false">IF(70&lt;5,0,IF(MAX(BQ39:BV39)&gt;BV44+6+$B$18,1,0))</f>
        <v>0</v>
      </c>
      <c r="BW67" s="385" t="n">
        <f aca="false">IF(71&lt;5,0,IF(MAX(BR39:BW39)&gt;BW44+6+$B$18,1,0))</f>
        <v>0</v>
      </c>
      <c r="BX67" s="385" t="n">
        <f aca="false">IF(72&lt;5,0,IF(MAX(BS39:BX39)&gt;BX44+6+$B$18,1,0))</f>
        <v>0</v>
      </c>
      <c r="BY67" s="385" t="n">
        <f aca="false">IF(73&lt;5,0,IF(MAX(BT39:BY39)&gt;BY44+6+$B$18,1,0))</f>
        <v>0</v>
      </c>
      <c r="BZ67" s="385" t="n">
        <f aca="false">IF(74&lt;5,0,IF(MAX(BU39:BZ39)&gt;BZ44+6+$B$18,1,0))</f>
        <v>0</v>
      </c>
      <c r="CA67" s="385" t="n">
        <f aca="false">IF(75&lt;5,0,IF(MAX(BV39:CA39)&gt;CA44+6+$B$18,1,0))</f>
        <v>0</v>
      </c>
      <c r="CB67" s="385" t="n">
        <f aca="false">IF(76&lt;5,0,IF(MAX(BW39:CB39)&gt;CB44+6+$B$18,1,0))</f>
        <v>0</v>
      </c>
      <c r="CC67" s="385" t="n">
        <f aca="false">IF(77&lt;5,0,IF(MAX(BX39:CC39)&gt;CC44+6+$B$18,1,0))</f>
        <v>0</v>
      </c>
      <c r="CD67" s="385" t="n">
        <f aca="false">IF(78&lt;5,0,IF(MAX(BY39:CD39)&gt;CD44+6+$B$18,1,0))</f>
        <v>0</v>
      </c>
      <c r="CE67" s="385" t="n">
        <f aca="false">IF(79&lt;5,0,IF(MAX(BZ39:CE39)&gt;CE44+6+$B$18,1,0))</f>
        <v>0</v>
      </c>
      <c r="CF67" s="385" t="n">
        <f aca="false">IF(80&lt;5,0,IF(MAX(CA39:CF39)&gt;CF44+6+$B$18,1,0))</f>
        <v>0</v>
      </c>
      <c r="CG67" s="385" t="n">
        <f aca="false">IF(81&lt;5,0,IF(MAX(CB39:CG39)&gt;CG44+6+$B$18,1,0))</f>
        <v>0</v>
      </c>
      <c r="CH67" s="385" t="n">
        <f aca="false">IF(82&lt;5,0,IF(MAX(CC39:CH39)&gt;CH44+6+$B$18,1,0))</f>
        <v>0</v>
      </c>
      <c r="CI67" s="385" t="n">
        <f aca="false">IF(83&lt;5,0,IF(MAX(CD39:CI39)&gt;CI44+6+$B$18,1,0))</f>
        <v>0</v>
      </c>
      <c r="CJ67" s="385" t="n">
        <f aca="false">IF(84&lt;5,0,IF(MAX(CE39:CJ39)&gt;CJ44+6+$B$18,1,0))</f>
        <v>0</v>
      </c>
      <c r="CK67" s="385" t="n">
        <f aca="false">IF(85&lt;5,0,IF(MAX(CF39:CK39)&gt;CK44+6+$B$18,1,0))</f>
        <v>0</v>
      </c>
      <c r="CL67" s="385" t="n">
        <f aca="false">IF(86&lt;5,0,IF(MAX(CG39:CL39)&gt;CL44+6+$B$18,1,0))</f>
        <v>0</v>
      </c>
      <c r="CM67" s="385" t="n">
        <f aca="false">IF(87&lt;5,0,IF(MAX(CH39:CM39)&gt;CM44+6+$B$18,1,0))</f>
        <v>0</v>
      </c>
      <c r="CN67" s="385" t="n">
        <f aca="false">IF(88&lt;5,0,IF(MAX(CI39:CN39)&gt;CN44+6+$B$18,1,0))</f>
        <v>0</v>
      </c>
      <c r="CO67" s="385" t="n">
        <f aca="false">IF(89&lt;5,0,IF(MAX(CJ39:CO39)&gt;CO44+6+$B$18,1,0))</f>
        <v>0</v>
      </c>
      <c r="CP67" s="385" t="n">
        <f aca="false">IF(90&lt;5,0,IF(MAX(CK39:CP39)&gt;CP44+6+$B$18,1,0))</f>
        <v>0</v>
      </c>
      <c r="CQ67" s="385" t="n">
        <f aca="false">IF(91&lt;5,0,IF(MAX(CL39:CQ39)&gt;CQ44+6+$B$18,1,0))</f>
        <v>0</v>
      </c>
      <c r="CR67" s="385" t="n">
        <f aca="false">IF(92&lt;5,0,IF(MAX(CM39:CR39)&gt;CR44+6+$B$18,1,0))</f>
        <v>0</v>
      </c>
      <c r="CS67" s="385" t="n">
        <f aca="false">IF(93&lt;5,0,IF(MAX(CN39:CS39)&gt;CS44+6+$B$18,1,0))</f>
        <v>0</v>
      </c>
      <c r="CT67" s="385" t="n">
        <f aca="false">IF(94&lt;5,0,IF(MAX(CO39:CT39)&gt;CT44+6+$B$18,1,0))</f>
        <v>0</v>
      </c>
      <c r="CU67" s="385" t="n">
        <f aca="false">IF(95&lt;5,0,IF(MAX(CP39:CU39)&gt;CU44+6+$B$18,1,0))</f>
        <v>0</v>
      </c>
      <c r="CV67" s="385" t="n">
        <f aca="false">IF(96&lt;5,0,IF(MAX(CQ39:CV39)&gt;CV44+6+$B$18,1,0))</f>
        <v>0</v>
      </c>
      <c r="CW67" s="385" t="n">
        <f aca="false">IF(97&lt;5,0,IF(MAX(CR39:CW39)&gt;CW44+6+$B$18,1,0))</f>
        <v>0</v>
      </c>
      <c r="CX67" s="385" t="n">
        <f aca="false">IF(98&lt;5,0,IF(MAX(CS39:CX39)&gt;CX44+6+$B$18,1,0))</f>
        <v>0</v>
      </c>
      <c r="CY67" s="385" t="n">
        <f aca="false">IF(99&lt;5,0,IF(MAX(CT39:CY39)&gt;CY44+6+$B$18,1,0))</f>
        <v>0</v>
      </c>
      <c r="CZ67" s="385" t="n">
        <f aca="false">IF(100&lt;5,0,IF(MAX(CU39:CZ39)&gt;CZ44+6+$B$18,1,0))</f>
        <v>0</v>
      </c>
      <c r="DA67" s="385" t="n">
        <f aca="false">IF(101&lt;5,0,IF(MAX(CV39:DA39)&gt;DA44+6+$B$18,1,0))</f>
        <v>0</v>
      </c>
      <c r="DB67" s="385" t="n">
        <f aca="false">IF(102&lt;5,0,IF(MAX(CW39:DB39)&gt;DB44+6+$B$18,1,0))</f>
        <v>0</v>
      </c>
      <c r="DC67" s="385" t="n">
        <f aca="false">IF(103&lt;5,0,IF(MAX(CX39:DC39)&gt;DC44+6+$B$18,1,0))</f>
        <v>0</v>
      </c>
      <c r="DD67" s="385" t="n">
        <f aca="false">IF(104&lt;5,0,IF(MAX(CY39:DD39)&gt;DD44+6+$B$18,1,0))</f>
        <v>0</v>
      </c>
      <c r="DE67" s="385" t="n">
        <f aca="false">IF(105&lt;5,0,IF(MAX(CZ39:DE39)&gt;DE44+6+$B$18,1,0))</f>
        <v>0</v>
      </c>
    </row>
    <row r="68" customFormat="false" ht="13.5" hidden="false" customHeight="true" outlineLevel="0" collapsed="false">
      <c r="A68" s="110" t="s">
        <v>1399</v>
      </c>
      <c r="B68" s="213" t="n">
        <f aca="false">$B$28</f>
        <v>130000</v>
      </c>
      <c r="E68" s="385" t="n">
        <f aca="false">IF(1&lt;5,0,IF(MAX(E39:E39)&gt;E44+7+$B$18,1,0))</f>
        <v>0</v>
      </c>
      <c r="F68" s="385" t="n">
        <f aca="false">IF(2&lt;5,0,IF(MAX(E39:F39)&gt;F44+7+$B$18,1,0))</f>
        <v>0</v>
      </c>
      <c r="G68" s="385" t="n">
        <f aca="false">IF(3&lt;5,0,IF(MAX(E39:G39)&gt;G44+7+$B$18,1,0))</f>
        <v>0</v>
      </c>
      <c r="H68" s="385" t="n">
        <f aca="false">IF(4&lt;5,0,IF(MAX(E39:H39)&gt;H44+7+$B$18,1,0))</f>
        <v>0</v>
      </c>
      <c r="I68" s="385" t="n">
        <f aca="false">IF(5&lt;5,0,IF(MAX(E39:I39)&gt;I44+7+$B$18,1,0))</f>
        <v>0</v>
      </c>
      <c r="J68" s="385" t="n">
        <f aca="false">IF(6&lt;5,0,IF(MAX(E39:J39)&gt;J44+7+$B$18,1,0))</f>
        <v>0</v>
      </c>
      <c r="K68" s="385" t="n">
        <f aca="false">IF(7&lt;5,0,IF(MAX(F39:K39)&gt;K44+7+$B$18,1,0))</f>
        <v>0</v>
      </c>
      <c r="L68" s="385" t="n">
        <f aca="false">IF(8&lt;5,0,IF(MAX(G39:L39)&gt;L44+7+$B$18,1,0))</f>
        <v>0</v>
      </c>
      <c r="M68" s="385" t="n">
        <f aca="false">IF(9&lt;5,0,IF(MAX(H39:M39)&gt;M44+7+$B$18,1,0))</f>
        <v>0</v>
      </c>
      <c r="N68" s="385" t="n">
        <f aca="false">IF(10&lt;5,0,IF(MAX(I39:N39)&gt;N44+7+$B$18,1,0))</f>
        <v>0</v>
      </c>
      <c r="O68" s="385" t="n">
        <f aca="false">IF(11&lt;5,0,IF(MAX(J39:O39)&gt;O44+7+$B$18,1,0))</f>
        <v>0</v>
      </c>
      <c r="P68" s="385" t="n">
        <f aca="false">IF(12&lt;5,0,IF(MAX(K39:P39)&gt;P44+7+$B$18,1,0))</f>
        <v>0</v>
      </c>
      <c r="Q68" s="385" t="n">
        <f aca="false">IF(13&lt;5,0,IF(MAX(L39:Q39)&gt;Q44+7+$B$18,1,0))</f>
        <v>0</v>
      </c>
      <c r="R68" s="385" t="n">
        <f aca="false">IF(14&lt;5,0,IF(MAX(M39:R39)&gt;R44+7+$B$18,1,0))</f>
        <v>0</v>
      </c>
      <c r="S68" s="385" t="n">
        <f aca="false">IF(15&lt;5,0,IF(MAX(N39:S39)&gt;S44+7+$B$18,1,0))</f>
        <v>0</v>
      </c>
      <c r="T68" s="385" t="n">
        <f aca="false">IF(16&lt;5,0,IF(MAX(O39:T39)&gt;T44+7+$B$18,1,0))</f>
        <v>0</v>
      </c>
      <c r="U68" s="385" t="n">
        <f aca="false">IF(17&lt;5,0,IF(MAX(P39:U39)&gt;U44+7+$B$18,1,0))</f>
        <v>0</v>
      </c>
      <c r="V68" s="385" t="n">
        <f aca="false">IF(18&lt;5,0,IF(MAX(Q39:V39)&gt;V44+7+$B$18,1,0))</f>
        <v>0</v>
      </c>
      <c r="W68" s="385" t="n">
        <f aca="false">IF(19&lt;5,0,IF(MAX(R39:W39)&gt;W44+7+$B$18,1,0))</f>
        <v>0</v>
      </c>
      <c r="X68" s="385" t="n">
        <f aca="false">IF(20&lt;5,0,IF(MAX(S39:X39)&gt;X44+7+$B$18,1,0))</f>
        <v>0</v>
      </c>
      <c r="Y68" s="385" t="n">
        <f aca="false">IF(21&lt;5,0,IF(MAX(T39:Y39)&gt;Y44+7+$B$18,1,0))</f>
        <v>0</v>
      </c>
      <c r="Z68" s="385" t="n">
        <f aca="false">IF(22&lt;5,0,IF(MAX(U39:Z39)&gt;Z44+7+$B$18,1,0))</f>
        <v>0</v>
      </c>
      <c r="AA68" s="385" t="n">
        <f aca="false">IF(23&lt;5,0,IF(MAX(V39:AA39)&gt;AA44+7+$B$18,1,0))</f>
        <v>0</v>
      </c>
      <c r="AB68" s="385" t="n">
        <f aca="false">IF(24&lt;5,0,IF(MAX(W39:AB39)&gt;AB44+7+$B$18,1,0))</f>
        <v>0</v>
      </c>
      <c r="AC68" s="385" t="n">
        <f aca="false">IF(25&lt;5,0,IF(MAX(X39:AC39)&gt;AC44+7+$B$18,1,0))</f>
        <v>0</v>
      </c>
      <c r="AD68" s="385" t="n">
        <f aca="false">IF(26&lt;5,0,IF(MAX(Y39:AD39)&gt;AD44+7+$B$18,1,0))</f>
        <v>0</v>
      </c>
      <c r="AE68" s="385" t="n">
        <f aca="false">IF(27&lt;5,0,IF(MAX(Z39:AE39)&gt;AE44+7+$B$18,1,0))</f>
        <v>0</v>
      </c>
      <c r="AF68" s="385" t="n">
        <f aca="false">IF(28&lt;5,0,IF(MAX(AA39:AF39)&gt;AF44+7+$B$18,1,0))</f>
        <v>0</v>
      </c>
      <c r="AG68" s="385" t="n">
        <f aca="false">IF(29&lt;5,0,IF(MAX(AB39:AG39)&gt;AG44+7+$B$18,1,0))</f>
        <v>0</v>
      </c>
      <c r="AH68" s="385" t="n">
        <f aca="false">IF(30&lt;5,0,IF(MAX(AC39:AH39)&gt;AH44+7+$B$18,1,0))</f>
        <v>0</v>
      </c>
      <c r="AI68" s="385" t="n">
        <f aca="false">IF(31&lt;5,0,IF(MAX(AD39:AI39)&gt;AI44+7+$B$18,1,0))</f>
        <v>0</v>
      </c>
      <c r="AJ68" s="385" t="n">
        <f aca="false">IF(32&lt;5,0,IF(MAX(AE39:AJ39)&gt;AJ44+7+$B$18,1,0))</f>
        <v>0</v>
      </c>
      <c r="AK68" s="385" t="n">
        <f aca="false">IF(33&lt;5,0,IF(MAX(AF39:AK39)&gt;AK44+7+$B$18,1,0))</f>
        <v>0</v>
      </c>
      <c r="AL68" s="385" t="n">
        <f aca="false">IF(34&lt;5,0,IF(MAX(AG39:AL39)&gt;AL44+7+$B$18,1,0))</f>
        <v>0</v>
      </c>
      <c r="AM68" s="385" t="n">
        <f aca="false">IF(35&lt;5,0,IF(MAX(AH39:AM39)&gt;AM44+7+$B$18,1,0))</f>
        <v>0</v>
      </c>
      <c r="AN68" s="385" t="n">
        <f aca="false">IF(36&lt;5,0,IF(MAX(AI39:AN39)&gt;AN44+7+$B$18,1,0))</f>
        <v>0</v>
      </c>
      <c r="AO68" s="385" t="n">
        <f aca="false">IF(37&lt;5,0,IF(MAX(AJ39:AO39)&gt;AO44+7+$B$18,1,0))</f>
        <v>0</v>
      </c>
      <c r="AP68" s="385" t="n">
        <f aca="false">IF(38&lt;5,0,IF(MAX(AK39:AP39)&gt;AP44+7+$B$18,1,0))</f>
        <v>0</v>
      </c>
      <c r="AQ68" s="385" t="n">
        <f aca="false">IF(39&lt;5,0,IF(MAX(AL39:AQ39)&gt;AQ44+7+$B$18,1,0))</f>
        <v>0</v>
      </c>
      <c r="AR68" s="385" t="n">
        <f aca="false">IF(40&lt;5,0,IF(MAX(AM39:AR39)&gt;AR44+7+$B$18,1,0))</f>
        <v>0</v>
      </c>
      <c r="AS68" s="385" t="n">
        <f aca="false">IF(41&lt;5,0,IF(MAX(AN39:AS39)&gt;AS44+7+$B$18,1,0))</f>
        <v>0</v>
      </c>
      <c r="AT68" s="385" t="n">
        <f aca="false">IF(42&lt;5,0,IF(MAX(AO39:AT39)&gt;AT44+7+$B$18,1,0))</f>
        <v>0</v>
      </c>
      <c r="AU68" s="385" t="n">
        <f aca="false">IF(43&lt;5,0,IF(MAX(AP39:AU39)&gt;AU44+7+$B$18,1,0))</f>
        <v>0</v>
      </c>
      <c r="AV68" s="385" t="n">
        <f aca="false">IF(44&lt;5,0,IF(MAX(AQ39:AV39)&gt;AV44+7+$B$18,1,0))</f>
        <v>0</v>
      </c>
      <c r="AW68" s="385" t="n">
        <f aca="false">IF(45&lt;5,0,IF(MAX(AR39:AW39)&gt;AW44+7+$B$18,1,0))</f>
        <v>0</v>
      </c>
      <c r="AX68" s="385" t="n">
        <f aca="false">IF(46&lt;5,0,IF(MAX(AS39:AX39)&gt;AX44+7+$B$18,1,0))</f>
        <v>0</v>
      </c>
      <c r="AY68" s="385" t="n">
        <f aca="false">IF(47&lt;5,0,IF(MAX(AT39:AY39)&gt;AY44+7+$B$18,1,0))</f>
        <v>0</v>
      </c>
      <c r="AZ68" s="385" t="n">
        <f aca="false">IF(48&lt;5,0,IF(MAX(AU39:AZ39)&gt;AZ44+7+$B$18,1,0))</f>
        <v>0</v>
      </c>
      <c r="BA68" s="385" t="n">
        <f aca="false">IF(49&lt;5,0,IF(MAX(AV39:BA39)&gt;BA44+7+$B$18,1,0))</f>
        <v>0</v>
      </c>
      <c r="BB68" s="385" t="n">
        <f aca="false">IF(50&lt;5,0,IF(MAX(AW39:BB39)&gt;BB44+7+$B$18,1,0))</f>
        <v>0</v>
      </c>
      <c r="BC68" s="385" t="n">
        <f aca="false">IF(51&lt;5,0,IF(MAX(AX39:BC39)&gt;BC44+7+$B$18,1,0))</f>
        <v>0</v>
      </c>
      <c r="BD68" s="385" t="n">
        <f aca="false">IF(52&lt;5,0,IF(MAX(AY39:BD39)&gt;BD44+7+$B$18,1,0))</f>
        <v>0</v>
      </c>
      <c r="BE68" s="385" t="n">
        <f aca="false">IF(53&lt;5,0,IF(MAX(AZ39:BE39)&gt;BE44+7+$B$18,1,0))</f>
        <v>0</v>
      </c>
      <c r="BF68" s="385" t="n">
        <f aca="false">IF(54&lt;5,0,IF(MAX(BA39:BF39)&gt;BF44+7+$B$18,1,0))</f>
        <v>0</v>
      </c>
      <c r="BG68" s="385" t="n">
        <f aca="false">IF(55&lt;5,0,IF(MAX(BB39:BG39)&gt;BG44+7+$B$18,1,0))</f>
        <v>0</v>
      </c>
      <c r="BH68" s="385" t="n">
        <f aca="false">IF(56&lt;5,0,IF(MAX(BC39:BH39)&gt;BH44+7+$B$18,1,0))</f>
        <v>0</v>
      </c>
      <c r="BI68" s="385" t="n">
        <f aca="false">IF(57&lt;5,0,IF(MAX(BD39:BI39)&gt;BI44+7+$B$18,1,0))</f>
        <v>0</v>
      </c>
      <c r="BJ68" s="385" t="n">
        <f aca="false">IF(58&lt;5,0,IF(MAX(BE39:BJ39)&gt;BJ44+7+$B$18,1,0))</f>
        <v>0</v>
      </c>
      <c r="BK68" s="385" t="n">
        <f aca="false">IF(59&lt;5,0,IF(MAX(BF39:BK39)&gt;BK44+7+$B$18,1,0))</f>
        <v>0</v>
      </c>
      <c r="BL68" s="385" t="n">
        <f aca="false">IF(60&lt;5,0,IF(MAX(BG39:BL39)&gt;BL44+7+$B$18,1,0))</f>
        <v>0</v>
      </c>
      <c r="BM68" s="385" t="n">
        <f aca="false">IF(61&lt;5,0,IF(MAX(BH39:BM39)&gt;BM44+7+$B$18,1,0))</f>
        <v>0</v>
      </c>
      <c r="BN68" s="385" t="n">
        <f aca="false">IF(62&lt;5,0,IF(MAX(BI39:BN39)&gt;BN44+7+$B$18,1,0))</f>
        <v>0</v>
      </c>
      <c r="BO68" s="385" t="n">
        <f aca="false">IF(63&lt;5,0,IF(MAX(BJ39:BO39)&gt;BO44+7+$B$18,1,0))</f>
        <v>0</v>
      </c>
      <c r="BP68" s="385" t="n">
        <f aca="false">IF(64&lt;5,0,IF(MAX(BK39:BP39)&gt;BP44+7+$B$18,1,0))</f>
        <v>0</v>
      </c>
      <c r="BQ68" s="385" t="n">
        <f aca="false">IF(65&lt;5,0,IF(MAX(BL39:BQ39)&gt;BQ44+7+$B$18,1,0))</f>
        <v>0</v>
      </c>
      <c r="BR68" s="385" t="n">
        <f aca="false">IF(66&lt;5,0,IF(MAX(BM39:BR39)&gt;BR44+7+$B$18,1,0))</f>
        <v>0</v>
      </c>
      <c r="BS68" s="385" t="n">
        <f aca="false">IF(67&lt;5,0,IF(MAX(BN39:BS39)&gt;BS44+7+$B$18,1,0))</f>
        <v>0</v>
      </c>
      <c r="BT68" s="385" t="n">
        <f aca="false">IF(68&lt;5,0,IF(MAX(BO39:BT39)&gt;BT44+7+$B$18,1,0))</f>
        <v>0</v>
      </c>
      <c r="BU68" s="385" t="n">
        <f aca="false">IF(69&lt;5,0,IF(MAX(BP39:BU39)&gt;BU44+7+$B$18,1,0))</f>
        <v>0</v>
      </c>
      <c r="BV68" s="385" t="n">
        <f aca="false">IF(70&lt;5,0,IF(MAX(BQ39:BV39)&gt;BV44+7+$B$18,1,0))</f>
        <v>0</v>
      </c>
      <c r="BW68" s="385" t="n">
        <f aca="false">IF(71&lt;5,0,IF(MAX(BR39:BW39)&gt;BW44+7+$B$18,1,0))</f>
        <v>0</v>
      </c>
      <c r="BX68" s="385" t="n">
        <f aca="false">IF(72&lt;5,0,IF(MAX(BS39:BX39)&gt;BX44+7+$B$18,1,0))</f>
        <v>0</v>
      </c>
      <c r="BY68" s="385" t="n">
        <f aca="false">IF(73&lt;5,0,IF(MAX(BT39:BY39)&gt;BY44+7+$B$18,1,0))</f>
        <v>0</v>
      </c>
      <c r="BZ68" s="385" t="n">
        <f aca="false">IF(74&lt;5,0,IF(MAX(BU39:BZ39)&gt;BZ44+7+$B$18,1,0))</f>
        <v>0</v>
      </c>
      <c r="CA68" s="385" t="n">
        <f aca="false">IF(75&lt;5,0,IF(MAX(BV39:CA39)&gt;CA44+7+$B$18,1,0))</f>
        <v>0</v>
      </c>
      <c r="CB68" s="385" t="n">
        <f aca="false">IF(76&lt;5,0,IF(MAX(BW39:CB39)&gt;CB44+7+$B$18,1,0))</f>
        <v>0</v>
      </c>
      <c r="CC68" s="385" t="n">
        <f aca="false">IF(77&lt;5,0,IF(MAX(BX39:CC39)&gt;CC44+7+$B$18,1,0))</f>
        <v>0</v>
      </c>
      <c r="CD68" s="385" t="n">
        <f aca="false">IF(78&lt;5,0,IF(MAX(BY39:CD39)&gt;CD44+7+$B$18,1,0))</f>
        <v>0</v>
      </c>
      <c r="CE68" s="385" t="n">
        <f aca="false">IF(79&lt;5,0,IF(MAX(BZ39:CE39)&gt;CE44+7+$B$18,1,0))</f>
        <v>0</v>
      </c>
      <c r="CF68" s="385" t="n">
        <f aca="false">IF(80&lt;5,0,IF(MAX(CA39:CF39)&gt;CF44+7+$B$18,1,0))</f>
        <v>0</v>
      </c>
      <c r="CG68" s="385" t="n">
        <f aca="false">IF(81&lt;5,0,IF(MAX(CB39:CG39)&gt;CG44+7+$B$18,1,0))</f>
        <v>0</v>
      </c>
      <c r="CH68" s="385" t="n">
        <f aca="false">IF(82&lt;5,0,IF(MAX(CC39:CH39)&gt;CH44+7+$B$18,1,0))</f>
        <v>0</v>
      </c>
      <c r="CI68" s="385" t="n">
        <f aca="false">IF(83&lt;5,0,IF(MAX(CD39:CI39)&gt;CI44+7+$B$18,1,0))</f>
        <v>0</v>
      </c>
      <c r="CJ68" s="385" t="n">
        <f aca="false">IF(84&lt;5,0,IF(MAX(CE39:CJ39)&gt;CJ44+7+$B$18,1,0))</f>
        <v>0</v>
      </c>
      <c r="CK68" s="385" t="n">
        <f aca="false">IF(85&lt;5,0,IF(MAX(CF39:CK39)&gt;CK44+7+$B$18,1,0))</f>
        <v>0</v>
      </c>
      <c r="CL68" s="385" t="n">
        <f aca="false">IF(86&lt;5,0,IF(MAX(CG39:CL39)&gt;CL44+7+$B$18,1,0))</f>
        <v>0</v>
      </c>
      <c r="CM68" s="385" t="n">
        <f aca="false">IF(87&lt;5,0,IF(MAX(CH39:CM39)&gt;CM44+7+$B$18,1,0))</f>
        <v>0</v>
      </c>
      <c r="CN68" s="385" t="n">
        <f aca="false">IF(88&lt;5,0,IF(MAX(CI39:CN39)&gt;CN44+7+$B$18,1,0))</f>
        <v>0</v>
      </c>
      <c r="CO68" s="385" t="n">
        <f aca="false">IF(89&lt;5,0,IF(MAX(CJ39:CO39)&gt;CO44+7+$B$18,1,0))</f>
        <v>0</v>
      </c>
      <c r="CP68" s="385" t="n">
        <f aca="false">IF(90&lt;5,0,IF(MAX(CK39:CP39)&gt;CP44+7+$B$18,1,0))</f>
        <v>0</v>
      </c>
      <c r="CQ68" s="385" t="n">
        <f aca="false">IF(91&lt;5,0,IF(MAX(CL39:CQ39)&gt;CQ44+7+$B$18,1,0))</f>
        <v>0</v>
      </c>
      <c r="CR68" s="385" t="n">
        <f aca="false">IF(92&lt;5,0,IF(MAX(CM39:CR39)&gt;CR44+7+$B$18,1,0))</f>
        <v>0</v>
      </c>
      <c r="CS68" s="385" t="n">
        <f aca="false">IF(93&lt;5,0,IF(MAX(CN39:CS39)&gt;CS44+7+$B$18,1,0))</f>
        <v>0</v>
      </c>
      <c r="CT68" s="385" t="n">
        <f aca="false">IF(94&lt;5,0,IF(MAX(CO39:CT39)&gt;CT44+7+$B$18,1,0))</f>
        <v>0</v>
      </c>
      <c r="CU68" s="385" t="n">
        <f aca="false">IF(95&lt;5,0,IF(MAX(CP39:CU39)&gt;CU44+7+$B$18,1,0))</f>
        <v>0</v>
      </c>
      <c r="CV68" s="385" t="n">
        <f aca="false">IF(96&lt;5,0,IF(MAX(CQ39:CV39)&gt;CV44+7+$B$18,1,0))</f>
        <v>0</v>
      </c>
      <c r="CW68" s="385" t="n">
        <f aca="false">IF(97&lt;5,0,IF(MAX(CR39:CW39)&gt;CW44+7+$B$18,1,0))</f>
        <v>0</v>
      </c>
      <c r="CX68" s="385" t="n">
        <f aca="false">IF(98&lt;5,0,IF(MAX(CS39:CX39)&gt;CX44+7+$B$18,1,0))</f>
        <v>0</v>
      </c>
      <c r="CY68" s="385" t="n">
        <f aca="false">IF(99&lt;5,0,IF(MAX(CT39:CY39)&gt;CY44+7+$B$18,1,0))</f>
        <v>0</v>
      </c>
      <c r="CZ68" s="385" t="n">
        <f aca="false">IF(100&lt;5,0,IF(MAX(CU39:CZ39)&gt;CZ44+7+$B$18,1,0))</f>
        <v>0</v>
      </c>
      <c r="DA68" s="385" t="n">
        <f aca="false">IF(101&lt;5,0,IF(MAX(CV39:DA39)&gt;DA44+7+$B$18,1,0))</f>
        <v>0</v>
      </c>
      <c r="DB68" s="385" t="n">
        <f aca="false">IF(102&lt;5,0,IF(MAX(CW39:DB39)&gt;DB44+7+$B$18,1,0))</f>
        <v>0</v>
      </c>
      <c r="DC68" s="385" t="n">
        <f aca="false">IF(103&lt;5,0,IF(MAX(CX39:DC39)&gt;DC44+7+$B$18,1,0))</f>
        <v>0</v>
      </c>
      <c r="DD68" s="385" t="n">
        <f aca="false">IF(104&lt;5,0,IF(MAX(CY39:DD39)&gt;DD44+7+$B$18,1,0))</f>
        <v>0</v>
      </c>
      <c r="DE68" s="385" t="n">
        <f aca="false">IF(105&lt;5,0,IF(MAX(CZ39:DE39)&gt;DE44+7+$B$18,1,0))</f>
        <v>0</v>
      </c>
    </row>
    <row r="69" customFormat="false" ht="13.5" hidden="false" customHeight="true" outlineLevel="0" collapsed="false">
      <c r="E69" s="125"/>
      <c r="F69" s="125"/>
      <c r="G69" s="125"/>
      <c r="H69" s="125"/>
      <c r="I69" s="125"/>
      <c r="J69" s="125"/>
      <c r="K69" s="125"/>
      <c r="L69" s="125"/>
      <c r="M69" s="125"/>
      <c r="N69" s="125"/>
      <c r="O69" s="125"/>
      <c r="P69" s="125"/>
      <c r="Q69" s="125"/>
      <c r="R69" s="125"/>
      <c r="S69" s="125"/>
      <c r="T69" s="125"/>
      <c r="U69" s="125"/>
      <c r="V69" s="125"/>
      <c r="W69" s="125"/>
      <c r="X69" s="125"/>
      <c r="Y69" s="125"/>
      <c r="Z69" s="125"/>
      <c r="AA69" s="125"/>
      <c r="AB69" s="125"/>
      <c r="AC69" s="125"/>
      <c r="AD69" s="125"/>
      <c r="AE69" s="125"/>
      <c r="AF69" s="125"/>
      <c r="AG69" s="125"/>
      <c r="AH69" s="125"/>
      <c r="AI69" s="125"/>
      <c r="AJ69" s="125"/>
      <c r="AK69" s="125"/>
      <c r="AL69" s="125"/>
      <c r="AM69" s="125"/>
      <c r="AN69" s="125"/>
      <c r="AO69" s="125"/>
      <c r="AP69" s="125"/>
      <c r="AQ69" s="125"/>
      <c r="AR69" s="125"/>
      <c r="AS69" s="125"/>
      <c r="AT69" s="125"/>
      <c r="AU69" s="125"/>
      <c r="AV69" s="125"/>
      <c r="AW69" s="125"/>
      <c r="AX69" s="125"/>
      <c r="AY69" s="125"/>
      <c r="AZ69" s="125"/>
      <c r="BA69" s="125"/>
      <c r="BB69" s="125"/>
      <c r="BC69" s="125"/>
      <c r="BD69" s="125"/>
      <c r="BE69" s="125"/>
      <c r="BF69" s="125"/>
      <c r="BG69" s="125"/>
      <c r="BH69" s="125"/>
      <c r="BI69" s="125"/>
      <c r="BJ69" s="125"/>
      <c r="BK69" s="125"/>
      <c r="BL69" s="125"/>
      <c r="BM69" s="125"/>
      <c r="BN69" s="125"/>
      <c r="BO69" s="125"/>
      <c r="BP69" s="125"/>
      <c r="BQ69" s="125"/>
      <c r="BR69" s="125"/>
      <c r="BS69" s="125"/>
      <c r="BT69" s="125"/>
      <c r="BU69" s="125"/>
      <c r="BV69" s="125"/>
      <c r="BW69" s="125"/>
      <c r="BX69" s="125"/>
      <c r="BY69" s="125"/>
      <c r="BZ69" s="125"/>
      <c r="CA69" s="125"/>
      <c r="CB69" s="125"/>
      <c r="CC69" s="125"/>
      <c r="CD69" s="125"/>
      <c r="CE69" s="125"/>
      <c r="CF69" s="125"/>
      <c r="CG69" s="125"/>
      <c r="CH69" s="125"/>
      <c r="CI69" s="125"/>
      <c r="CJ69" s="125"/>
      <c r="CK69" s="125"/>
      <c r="CL69" s="125"/>
      <c r="CM69" s="125"/>
      <c r="CN69" s="125"/>
      <c r="CO69" s="125"/>
      <c r="CP69" s="125"/>
      <c r="CQ69" s="125"/>
      <c r="CR69" s="125"/>
      <c r="CS69" s="125"/>
      <c r="CT69" s="125"/>
      <c r="CU69" s="125"/>
      <c r="CV69" s="125"/>
      <c r="CW69" s="125"/>
      <c r="CX69" s="125"/>
      <c r="CY69" s="125"/>
      <c r="CZ69" s="125"/>
      <c r="DA69" s="125"/>
      <c r="DB69" s="125"/>
      <c r="DC69" s="125"/>
      <c r="DD69" s="125"/>
      <c r="DE69" s="125"/>
    </row>
    <row r="70" customFormat="false" ht="13.5" hidden="false" customHeight="true" outlineLevel="0" collapsed="false">
      <c r="E70" s="125"/>
      <c r="F70" s="125"/>
      <c r="G70" s="125"/>
      <c r="H70" s="125"/>
      <c r="I70" s="125"/>
      <c r="J70" s="125"/>
      <c r="K70" s="125"/>
      <c r="L70" s="125"/>
      <c r="M70" s="125"/>
      <c r="N70" s="125"/>
      <c r="O70" s="125"/>
      <c r="P70" s="125"/>
      <c r="Q70" s="125"/>
      <c r="R70" s="125"/>
      <c r="S70" s="125"/>
      <c r="T70" s="125"/>
      <c r="U70" s="125"/>
      <c r="V70" s="125"/>
      <c r="W70" s="125"/>
      <c r="X70" s="125"/>
      <c r="Y70" s="125"/>
      <c r="Z70" s="125"/>
      <c r="AA70" s="125"/>
      <c r="AB70" s="125"/>
      <c r="AC70" s="125"/>
      <c r="AD70" s="125"/>
      <c r="AE70" s="125"/>
      <c r="AF70" s="125"/>
      <c r="AG70" s="125"/>
      <c r="AH70" s="125"/>
      <c r="AI70" s="125"/>
      <c r="AJ70" s="125"/>
      <c r="AK70" s="125"/>
      <c r="AL70" s="125"/>
      <c r="AM70" s="125"/>
      <c r="AN70" s="125"/>
      <c r="AO70" s="125"/>
      <c r="AP70" s="125"/>
      <c r="AQ70" s="125"/>
      <c r="AR70" s="125"/>
      <c r="AS70" s="125"/>
      <c r="AT70" s="125"/>
      <c r="AU70" s="125"/>
      <c r="AV70" s="125"/>
      <c r="AW70" s="125"/>
      <c r="AX70" s="125"/>
      <c r="AY70" s="125"/>
      <c r="AZ70" s="125"/>
      <c r="BA70" s="125"/>
      <c r="BB70" s="125"/>
      <c r="BC70" s="125"/>
      <c r="BD70" s="125"/>
      <c r="BE70" s="125"/>
      <c r="BF70" s="125"/>
      <c r="BG70" s="125"/>
      <c r="BH70" s="125"/>
      <c r="BI70" s="125"/>
      <c r="BJ70" s="125"/>
      <c r="BK70" s="125"/>
      <c r="BL70" s="125"/>
      <c r="BM70" s="125"/>
      <c r="BN70" s="125"/>
      <c r="BO70" s="125"/>
      <c r="BP70" s="125"/>
      <c r="BQ70" s="125"/>
      <c r="BR70" s="125"/>
      <c r="BS70" s="125"/>
      <c r="BT70" s="125"/>
      <c r="BU70" s="125"/>
      <c r="BV70" s="125"/>
      <c r="BW70" s="125"/>
      <c r="BX70" s="125"/>
      <c r="BY70" s="125"/>
      <c r="BZ70" s="125"/>
      <c r="CA70" s="125"/>
      <c r="CB70" s="125"/>
      <c r="CC70" s="125"/>
      <c r="CD70" s="125"/>
      <c r="CE70" s="125"/>
      <c r="CF70" s="125"/>
      <c r="CG70" s="125"/>
      <c r="CH70" s="125"/>
      <c r="CI70" s="125"/>
      <c r="CJ70" s="125"/>
      <c r="CK70" s="125"/>
      <c r="CL70" s="125"/>
      <c r="CM70" s="125"/>
      <c r="CN70" s="125"/>
      <c r="CO70" s="125"/>
      <c r="CP70" s="125"/>
      <c r="CQ70" s="125"/>
      <c r="CR70" s="125"/>
      <c r="CS70" s="125"/>
      <c r="CT70" s="125"/>
      <c r="CU70" s="125"/>
      <c r="CV70" s="125"/>
      <c r="CW70" s="125"/>
      <c r="CX70" s="125"/>
      <c r="CY70" s="125"/>
      <c r="CZ70" s="125"/>
      <c r="DA70" s="125"/>
      <c r="DB70" s="125"/>
      <c r="DC70" s="125"/>
      <c r="DD70" s="125"/>
      <c r="DE70" s="125"/>
    </row>
    <row r="71" customFormat="false" ht="13.5" hidden="false" customHeight="true" outlineLevel="0" collapsed="false">
      <c r="A71" s="110" t="s">
        <v>1400</v>
      </c>
      <c r="B71" s="213" t="n">
        <f aca="false">$B$29</f>
        <v>180000</v>
      </c>
      <c r="E71" s="385" t="n">
        <f aca="false">IF(1&lt;5,0,IF(MAX(E40:E40)&gt;E45+0+$B$18,1,0))</f>
        <v>0</v>
      </c>
      <c r="F71" s="385" t="n">
        <f aca="false">IF(2&lt;5,0,IF(MAX(E40:F40)&gt;F45+0+$B$18,1,0))</f>
        <v>0</v>
      </c>
      <c r="G71" s="385" t="n">
        <f aca="false">IF(3&lt;5,0,IF(MAX(E40:G40)&gt;G45+0+$B$18,1,0))</f>
        <v>0</v>
      </c>
      <c r="H71" s="385" t="n">
        <f aca="false">IF(4&lt;5,0,IF(MAX(E40:H40)&gt;H45+0+$B$18,1,0))</f>
        <v>0</v>
      </c>
      <c r="I71" s="385" t="n">
        <f aca="false">IF(5&lt;5,0,IF(MAX(E40:I40)&gt;I45+0+$B$18,1,0))</f>
        <v>0</v>
      </c>
      <c r="J71" s="385" t="n">
        <f aca="false">IF(6&lt;5,0,IF(MAX(E40:J40)&gt;J45+0+$B$18,1,0))</f>
        <v>0</v>
      </c>
      <c r="K71" s="385" t="n">
        <f aca="false">IF(7&lt;5,0,IF(MAX(F40:K40)&gt;K45+0+$B$18,1,0))</f>
        <v>0</v>
      </c>
      <c r="L71" s="385" t="n">
        <f aca="false">IF(8&lt;5,0,IF(MAX(G40:L40)&gt;L45+0+$B$18,1,0))</f>
        <v>0</v>
      </c>
      <c r="M71" s="385" t="n">
        <f aca="false">IF(9&lt;5,0,IF(MAX(H40:M40)&gt;M45+0+$B$18,1,0))</f>
        <v>0</v>
      </c>
      <c r="N71" s="385" t="n">
        <f aca="false">IF(10&lt;5,0,IF(MAX(I40:N40)&gt;N45+0+$B$18,1,0))</f>
        <v>0</v>
      </c>
      <c r="O71" s="385" t="n">
        <f aca="false">IF(11&lt;5,0,IF(MAX(J40:O40)&gt;O45+0+$B$18,1,0))</f>
        <v>1</v>
      </c>
      <c r="P71" s="385" t="n">
        <f aca="false">IF(12&lt;5,0,IF(MAX(K40:P40)&gt;P45+0+$B$18,1,0))</f>
        <v>1</v>
      </c>
      <c r="Q71" s="385" t="n">
        <f aca="false">IF(13&lt;5,0,IF(MAX(L40:Q40)&gt;Q45+0+$B$18,1,0))</f>
        <v>1</v>
      </c>
      <c r="R71" s="385" t="n">
        <f aca="false">IF(14&lt;5,0,IF(MAX(M40:R40)&gt;R45+0+$B$18,1,0))</f>
        <v>1</v>
      </c>
      <c r="S71" s="385" t="n">
        <f aca="false">IF(15&lt;5,0,IF(MAX(N40:S40)&gt;S45+0+$B$18,1,0))</f>
        <v>1</v>
      </c>
      <c r="T71" s="385" t="n">
        <f aca="false">IF(16&lt;5,0,IF(MAX(O40:T40)&gt;T45+0+$B$18,1,0))</f>
        <v>1</v>
      </c>
      <c r="U71" s="385" t="n">
        <f aca="false">IF(17&lt;5,0,IF(MAX(P40:U40)&gt;U45+0+$B$18,1,0))</f>
        <v>1</v>
      </c>
      <c r="V71" s="385" t="n">
        <f aca="false">IF(18&lt;5,0,IF(MAX(Q40:V40)&gt;V45+0+$B$18,1,0))</f>
        <v>1</v>
      </c>
      <c r="W71" s="385" t="n">
        <f aca="false">IF(19&lt;5,0,IF(MAX(R40:W40)&gt;W45+0+$B$18,1,0))</f>
        <v>1</v>
      </c>
      <c r="X71" s="385" t="n">
        <f aca="false">IF(20&lt;5,0,IF(MAX(S40:X40)&gt;X45+0+$B$18,1,0))</f>
        <v>1</v>
      </c>
      <c r="Y71" s="385" t="n">
        <f aca="false">IF(21&lt;5,0,IF(MAX(T40:Y40)&gt;Y45+0+$B$18,1,0))</f>
        <v>1</v>
      </c>
      <c r="Z71" s="385" t="n">
        <f aca="false">IF(22&lt;5,0,IF(MAX(U40:Z40)&gt;Z45+0+$B$18,1,0))</f>
        <v>1</v>
      </c>
      <c r="AA71" s="385" t="n">
        <f aca="false">IF(23&lt;5,0,IF(MAX(V40:AA40)&gt;AA45+0+$B$18,1,0))</f>
        <v>1</v>
      </c>
      <c r="AB71" s="385" t="n">
        <f aca="false">IF(24&lt;5,0,IF(MAX(W40:AB40)&gt;AB45+0+$B$18,1,0))</f>
        <v>1</v>
      </c>
      <c r="AC71" s="385" t="n">
        <f aca="false">IF(25&lt;5,0,IF(MAX(X40:AC40)&gt;AC45+0+$B$18,1,0))</f>
        <v>1</v>
      </c>
      <c r="AD71" s="385" t="n">
        <f aca="false">IF(26&lt;5,0,IF(MAX(Y40:AD40)&gt;AD45+0+$B$18,1,0))</f>
        <v>1</v>
      </c>
      <c r="AE71" s="385" t="n">
        <f aca="false">IF(27&lt;5,0,IF(MAX(Z40:AE40)&gt;AE45+0+$B$18,1,0))</f>
        <v>1</v>
      </c>
      <c r="AF71" s="385" t="n">
        <f aca="false">IF(28&lt;5,0,IF(MAX(AA40:AF40)&gt;AF45+0+$B$18,1,0))</f>
        <v>1</v>
      </c>
      <c r="AG71" s="385" t="n">
        <f aca="false">IF(29&lt;5,0,IF(MAX(AB40:AG40)&gt;AG45+0+$B$18,1,0))</f>
        <v>1</v>
      </c>
      <c r="AH71" s="385" t="n">
        <f aca="false">IF(30&lt;5,0,IF(MAX(AC40:AH40)&gt;AH45+0+$B$18,1,0))</f>
        <v>1</v>
      </c>
      <c r="AI71" s="385" t="n">
        <f aca="false">IF(31&lt;5,0,IF(MAX(AD40:AI40)&gt;AI45+0+$B$18,1,0))</f>
        <v>1</v>
      </c>
      <c r="AJ71" s="385" t="n">
        <f aca="false">IF(32&lt;5,0,IF(MAX(AE40:AJ40)&gt;AJ45+0+$B$18,1,0))</f>
        <v>1</v>
      </c>
      <c r="AK71" s="385" t="n">
        <f aca="false">IF(33&lt;5,0,IF(MAX(AF40:AK40)&gt;AK45+0+$B$18,1,0))</f>
        <v>1</v>
      </c>
      <c r="AL71" s="385" t="n">
        <f aca="false">IF(34&lt;5,0,IF(MAX(AG40:AL40)&gt;AL45+0+$B$18,1,0))</f>
        <v>1</v>
      </c>
      <c r="AM71" s="385" t="n">
        <f aca="false">IF(35&lt;5,0,IF(MAX(AH40:AM40)&gt;AM45+0+$B$18,1,0))</f>
        <v>1</v>
      </c>
      <c r="AN71" s="385" t="n">
        <f aca="false">IF(36&lt;5,0,IF(MAX(AI40:AN40)&gt;AN45+0+$B$18,1,0))</f>
        <v>1</v>
      </c>
      <c r="AO71" s="385" t="n">
        <f aca="false">IF(37&lt;5,0,IF(MAX(AJ40:AO40)&gt;AO45+0+$B$18,1,0))</f>
        <v>1</v>
      </c>
      <c r="AP71" s="385" t="n">
        <f aca="false">IF(38&lt;5,0,IF(MAX(AK40:AP40)&gt;AP45+0+$B$18,1,0))</f>
        <v>1</v>
      </c>
      <c r="AQ71" s="385" t="n">
        <f aca="false">IF(39&lt;5,0,IF(MAX(AL40:AQ40)&gt;AQ45+0+$B$18,1,0))</f>
        <v>1</v>
      </c>
      <c r="AR71" s="385" t="n">
        <f aca="false">IF(40&lt;5,0,IF(MAX(AM40:AR40)&gt;AR45+0+$B$18,1,0))</f>
        <v>1</v>
      </c>
      <c r="AS71" s="385" t="n">
        <f aca="false">IF(41&lt;5,0,IF(MAX(AN40:AS40)&gt;AS45+0+$B$18,1,0))</f>
        <v>1</v>
      </c>
      <c r="AT71" s="385" t="n">
        <f aca="false">IF(42&lt;5,0,IF(MAX(AO40:AT40)&gt;AT45+0+$B$18,1,0))</f>
        <v>1</v>
      </c>
      <c r="AU71" s="385" t="n">
        <f aca="false">IF(43&lt;5,0,IF(MAX(AP40:AU40)&gt;AU45+0+$B$18,1,0))</f>
        <v>1</v>
      </c>
      <c r="AV71" s="385" t="n">
        <f aca="false">IF(44&lt;5,0,IF(MAX(AQ40:AV40)&gt;AV45+0+$B$18,1,0))</f>
        <v>1</v>
      </c>
      <c r="AW71" s="385" t="n">
        <f aca="false">IF(45&lt;5,0,IF(MAX(AR40:AW40)&gt;AW45+0+$B$18,1,0))</f>
        <v>1</v>
      </c>
      <c r="AX71" s="385" t="n">
        <f aca="false">IF(46&lt;5,0,IF(MAX(AS40:AX40)&gt;AX45+0+$B$18,1,0))</f>
        <v>1</v>
      </c>
      <c r="AY71" s="385" t="n">
        <f aca="false">IF(47&lt;5,0,IF(MAX(AT40:AY40)&gt;AY45+0+$B$18,1,0))</f>
        <v>1</v>
      </c>
      <c r="AZ71" s="385" t="n">
        <f aca="false">IF(48&lt;5,0,IF(MAX(AU40:AZ40)&gt;AZ45+0+$B$18,1,0))</f>
        <v>1</v>
      </c>
      <c r="BA71" s="385" t="n">
        <f aca="false">IF(49&lt;5,0,IF(MAX(AV40:BA40)&gt;BA45+0+$B$18,1,0))</f>
        <v>1</v>
      </c>
      <c r="BB71" s="385" t="n">
        <f aca="false">IF(50&lt;5,0,IF(MAX(AW40:BB40)&gt;BB45+0+$B$18,1,0))</f>
        <v>0</v>
      </c>
      <c r="BC71" s="385" t="n">
        <f aca="false">IF(51&lt;5,0,IF(MAX(AX40:BC40)&gt;BC45+0+$B$18,1,0))</f>
        <v>0</v>
      </c>
      <c r="BD71" s="385" t="n">
        <f aca="false">IF(52&lt;5,0,IF(MAX(AY40:BD40)&gt;BD45+0+$B$18,1,0))</f>
        <v>0</v>
      </c>
      <c r="BE71" s="385" t="n">
        <f aca="false">IF(53&lt;5,0,IF(MAX(AZ40:BE40)&gt;BE45+0+$B$18,1,0))</f>
        <v>0</v>
      </c>
      <c r="BF71" s="385" t="n">
        <f aca="false">IF(54&lt;5,0,IF(MAX(BA40:BF40)&gt;BF45+0+$B$18,1,0))</f>
        <v>0</v>
      </c>
      <c r="BG71" s="385" t="n">
        <f aca="false">IF(55&lt;5,0,IF(MAX(BB40:BG40)&gt;BG45+0+$B$18,1,0))</f>
        <v>0</v>
      </c>
      <c r="BH71" s="385" t="n">
        <f aca="false">IF(56&lt;5,0,IF(MAX(BC40:BH40)&gt;BH45+0+$B$18,1,0))</f>
        <v>0</v>
      </c>
      <c r="BI71" s="385" t="n">
        <f aca="false">IF(57&lt;5,0,IF(MAX(BD40:BI40)&gt;BI45+0+$B$18,1,0))</f>
        <v>0</v>
      </c>
      <c r="BJ71" s="385" t="n">
        <f aca="false">IF(58&lt;5,0,IF(MAX(BE40:BJ40)&gt;BJ45+0+$B$18,1,0))</f>
        <v>0</v>
      </c>
      <c r="BK71" s="385" t="n">
        <f aca="false">IF(59&lt;5,0,IF(MAX(BF40:BK40)&gt;BK45+0+$B$18,1,0))</f>
        <v>0</v>
      </c>
      <c r="BL71" s="385" t="n">
        <f aca="false">IF(60&lt;5,0,IF(MAX(BG40:BL40)&gt;BL45+0+$B$18,1,0))</f>
        <v>0</v>
      </c>
      <c r="BM71" s="385" t="n">
        <f aca="false">IF(61&lt;5,0,IF(MAX(BH40:BM40)&gt;BM45+0+$B$18,1,0))</f>
        <v>0</v>
      </c>
      <c r="BN71" s="385" t="n">
        <f aca="false">IF(62&lt;5,0,IF(MAX(BI40:BN40)&gt;BN45+0+$B$18,1,0))</f>
        <v>0</v>
      </c>
      <c r="BO71" s="385" t="n">
        <f aca="false">IF(63&lt;5,0,IF(MAX(BJ40:BO40)&gt;BO45+0+$B$18,1,0))</f>
        <v>0</v>
      </c>
      <c r="BP71" s="385" t="n">
        <f aca="false">IF(64&lt;5,0,IF(MAX(BK40:BP40)&gt;BP45+0+$B$18,1,0))</f>
        <v>0</v>
      </c>
      <c r="BQ71" s="385" t="n">
        <f aca="false">IF(65&lt;5,0,IF(MAX(BL40:BQ40)&gt;BQ45+0+$B$18,1,0))</f>
        <v>0</v>
      </c>
      <c r="BR71" s="385" t="n">
        <f aca="false">IF(66&lt;5,0,IF(MAX(BM40:BR40)&gt;BR45+0+$B$18,1,0))</f>
        <v>0</v>
      </c>
      <c r="BS71" s="385" t="n">
        <f aca="false">IF(67&lt;5,0,IF(MAX(BN40:BS40)&gt;BS45+0+$B$18,1,0))</f>
        <v>0</v>
      </c>
      <c r="BT71" s="385" t="n">
        <f aca="false">IF(68&lt;5,0,IF(MAX(BO40:BT40)&gt;BT45+0+$B$18,1,0))</f>
        <v>0</v>
      </c>
      <c r="BU71" s="385" t="n">
        <f aca="false">IF(69&lt;5,0,IF(MAX(BP40:BU40)&gt;BU45+0+$B$18,1,0))</f>
        <v>0</v>
      </c>
      <c r="BV71" s="385" t="n">
        <f aca="false">IF(70&lt;5,0,IF(MAX(BQ40:BV40)&gt;BV45+0+$B$18,1,0))</f>
        <v>0</v>
      </c>
      <c r="BW71" s="385" t="n">
        <f aca="false">IF(71&lt;5,0,IF(MAX(BR40:BW40)&gt;BW45+0+$B$18,1,0))</f>
        <v>0</v>
      </c>
      <c r="BX71" s="385" t="n">
        <f aca="false">IF(72&lt;5,0,IF(MAX(BS40:BX40)&gt;BX45+0+$B$18,1,0))</f>
        <v>0</v>
      </c>
      <c r="BY71" s="385" t="n">
        <f aca="false">IF(73&lt;5,0,IF(MAX(BT40:BY40)&gt;BY45+0+$B$18,1,0))</f>
        <v>0</v>
      </c>
      <c r="BZ71" s="385" t="n">
        <f aca="false">IF(74&lt;5,0,IF(MAX(BU40:BZ40)&gt;BZ45+0+$B$18,1,0))</f>
        <v>0</v>
      </c>
      <c r="CA71" s="385" t="n">
        <f aca="false">IF(75&lt;5,0,IF(MAX(BV40:CA40)&gt;CA45+0+$B$18,1,0))</f>
        <v>0</v>
      </c>
      <c r="CB71" s="385" t="n">
        <f aca="false">IF(76&lt;5,0,IF(MAX(BW40:CB40)&gt;CB45+0+$B$18,1,0))</f>
        <v>0</v>
      </c>
      <c r="CC71" s="385" t="n">
        <f aca="false">IF(77&lt;5,0,IF(MAX(BX40:CC40)&gt;CC45+0+$B$18,1,0))</f>
        <v>0</v>
      </c>
      <c r="CD71" s="385" t="n">
        <f aca="false">IF(78&lt;5,0,IF(MAX(BY40:CD40)&gt;CD45+0+$B$18,1,0))</f>
        <v>0</v>
      </c>
      <c r="CE71" s="385" t="n">
        <f aca="false">IF(79&lt;5,0,IF(MAX(BZ40:CE40)&gt;CE45+0+$B$18,1,0))</f>
        <v>0</v>
      </c>
      <c r="CF71" s="385" t="n">
        <f aca="false">IF(80&lt;5,0,IF(MAX(CA40:CF40)&gt;CF45+0+$B$18,1,0))</f>
        <v>0</v>
      </c>
      <c r="CG71" s="385" t="n">
        <f aca="false">IF(81&lt;5,0,IF(MAX(CB40:CG40)&gt;CG45+0+$B$18,1,0))</f>
        <v>0</v>
      </c>
      <c r="CH71" s="385" t="n">
        <f aca="false">IF(82&lt;5,0,IF(MAX(CC40:CH40)&gt;CH45+0+$B$18,1,0))</f>
        <v>0</v>
      </c>
      <c r="CI71" s="385" t="n">
        <f aca="false">IF(83&lt;5,0,IF(MAX(CD40:CI40)&gt;CI45+0+$B$18,1,0))</f>
        <v>0</v>
      </c>
      <c r="CJ71" s="385" t="n">
        <f aca="false">IF(84&lt;5,0,IF(MAX(CE40:CJ40)&gt;CJ45+0+$B$18,1,0))</f>
        <v>0</v>
      </c>
      <c r="CK71" s="385" t="n">
        <f aca="false">IF(85&lt;5,0,IF(MAX(CF40:CK40)&gt;CK45+0+$B$18,1,0))</f>
        <v>0</v>
      </c>
      <c r="CL71" s="385" t="n">
        <f aca="false">IF(86&lt;5,0,IF(MAX(CG40:CL40)&gt;CL45+0+$B$18,1,0))</f>
        <v>0</v>
      </c>
      <c r="CM71" s="385" t="n">
        <f aca="false">IF(87&lt;5,0,IF(MAX(CH40:CM40)&gt;CM45+0+$B$18,1,0))</f>
        <v>0</v>
      </c>
      <c r="CN71" s="385" t="n">
        <f aca="false">IF(88&lt;5,0,IF(MAX(CI40:CN40)&gt;CN45+0+$B$18,1,0))</f>
        <v>0</v>
      </c>
      <c r="CO71" s="385" t="n">
        <f aca="false">IF(89&lt;5,0,IF(MAX(CJ40:CO40)&gt;CO45+0+$B$18,1,0))</f>
        <v>0</v>
      </c>
      <c r="CP71" s="385" t="n">
        <f aca="false">IF(90&lt;5,0,IF(MAX(CK40:CP40)&gt;CP45+0+$B$18,1,0))</f>
        <v>0</v>
      </c>
      <c r="CQ71" s="385" t="n">
        <f aca="false">IF(91&lt;5,0,IF(MAX(CL40:CQ40)&gt;CQ45+0+$B$18,1,0))</f>
        <v>0</v>
      </c>
      <c r="CR71" s="385" t="n">
        <f aca="false">IF(92&lt;5,0,IF(MAX(CM40:CR40)&gt;CR45+0+$B$18,1,0))</f>
        <v>0</v>
      </c>
      <c r="CS71" s="385" t="n">
        <f aca="false">IF(93&lt;5,0,IF(MAX(CN40:CS40)&gt;CS45+0+$B$18,1,0))</f>
        <v>0</v>
      </c>
      <c r="CT71" s="385" t="n">
        <f aca="false">IF(94&lt;5,0,IF(MAX(CO40:CT40)&gt;CT45+0+$B$18,1,0))</f>
        <v>0</v>
      </c>
      <c r="CU71" s="385" t="n">
        <f aca="false">IF(95&lt;5,0,IF(MAX(CP40:CU40)&gt;CU45+0+$B$18,1,0))</f>
        <v>0</v>
      </c>
      <c r="CV71" s="385" t="n">
        <f aca="false">IF(96&lt;5,0,IF(MAX(CQ40:CV40)&gt;CV45+0+$B$18,1,0))</f>
        <v>0</v>
      </c>
      <c r="CW71" s="385" t="n">
        <f aca="false">IF(97&lt;5,0,IF(MAX(CR40:CW40)&gt;CW45+0+$B$18,1,0))</f>
        <v>0</v>
      </c>
      <c r="CX71" s="385" t="n">
        <f aca="false">IF(98&lt;5,0,IF(MAX(CS40:CX40)&gt;CX45+0+$B$18,1,0))</f>
        <v>0</v>
      </c>
      <c r="CY71" s="385" t="n">
        <f aca="false">IF(99&lt;5,0,IF(MAX(CT40:CY40)&gt;CY45+0+$B$18,1,0))</f>
        <v>0</v>
      </c>
      <c r="CZ71" s="385" t="n">
        <f aca="false">IF(100&lt;5,0,IF(MAX(CU40:CZ40)&gt;CZ45+0+$B$18,1,0))</f>
        <v>0</v>
      </c>
      <c r="DA71" s="385" t="n">
        <f aca="false">IF(101&lt;5,0,IF(MAX(CV40:DA40)&gt;DA45+0+$B$18,1,0))</f>
        <v>0</v>
      </c>
      <c r="DB71" s="385" t="n">
        <f aca="false">IF(102&lt;5,0,IF(MAX(CW40:DB40)&gt;DB45+0+$B$18,1,0))</f>
        <v>0</v>
      </c>
      <c r="DC71" s="385" t="n">
        <f aca="false">IF(103&lt;5,0,IF(MAX(CX40:DC40)&gt;DC45+0+$B$18,1,0))</f>
        <v>0</v>
      </c>
      <c r="DD71" s="385" t="n">
        <f aca="false">IF(104&lt;5,0,IF(MAX(CY40:DD40)&gt;DD45+0+$B$18,1,0))</f>
        <v>0</v>
      </c>
      <c r="DE71" s="385" t="n">
        <f aca="false">IF(105&lt;5,0,IF(MAX(CZ40:DE40)&gt;DE45+0+$B$18,1,0))</f>
        <v>0</v>
      </c>
    </row>
    <row r="72" customFormat="false" ht="13.5" hidden="false" customHeight="true" outlineLevel="0" collapsed="false">
      <c r="A72" s="110" t="s">
        <v>1401</v>
      </c>
      <c r="B72" s="213" t="n">
        <f aca="false">$B$29</f>
        <v>180000</v>
      </c>
      <c r="E72" s="385" t="n">
        <f aca="false">IF(1&lt;5,0,IF(MAX(E40:E40)&gt;E45+1+$B$18,1,0))</f>
        <v>0</v>
      </c>
      <c r="F72" s="385" t="n">
        <f aca="false">IF(2&lt;5,0,IF(MAX(E40:F40)&gt;F45+1+$B$18,1,0))</f>
        <v>0</v>
      </c>
      <c r="G72" s="385" t="n">
        <f aca="false">IF(3&lt;5,0,IF(MAX(E40:G40)&gt;G45+1+$B$18,1,0))</f>
        <v>0</v>
      </c>
      <c r="H72" s="385" t="n">
        <f aca="false">IF(4&lt;5,0,IF(MAX(E40:H40)&gt;H45+1+$B$18,1,0))</f>
        <v>0</v>
      </c>
      <c r="I72" s="385" t="n">
        <f aca="false">IF(5&lt;5,0,IF(MAX(E40:I40)&gt;I45+1+$B$18,1,0))</f>
        <v>0</v>
      </c>
      <c r="J72" s="385" t="n">
        <f aca="false">IF(6&lt;5,0,IF(MAX(E40:J40)&gt;J45+1+$B$18,1,0))</f>
        <v>0</v>
      </c>
      <c r="K72" s="385" t="n">
        <f aca="false">IF(7&lt;5,0,IF(MAX(F40:K40)&gt;K45+1+$B$18,1,0))</f>
        <v>0</v>
      </c>
      <c r="L72" s="385" t="n">
        <f aca="false">IF(8&lt;5,0,IF(MAX(G40:L40)&gt;L45+1+$B$18,1,0))</f>
        <v>0</v>
      </c>
      <c r="M72" s="385" t="n">
        <f aca="false">IF(9&lt;5,0,IF(MAX(H40:M40)&gt;M45+1+$B$18,1,0))</f>
        <v>0</v>
      </c>
      <c r="N72" s="385" t="n">
        <f aca="false">IF(10&lt;5,0,IF(MAX(I40:N40)&gt;N45+1+$B$18,1,0))</f>
        <v>0</v>
      </c>
      <c r="O72" s="385" t="n">
        <f aca="false">IF(11&lt;5,0,IF(MAX(J40:O40)&gt;O45+1+$B$18,1,0))</f>
        <v>0</v>
      </c>
      <c r="P72" s="385" t="n">
        <f aca="false">IF(12&lt;5,0,IF(MAX(K40:P40)&gt;P45+1+$B$18,1,0))</f>
        <v>0</v>
      </c>
      <c r="Q72" s="385" t="n">
        <f aca="false">IF(13&lt;5,0,IF(MAX(L40:Q40)&gt;Q45+1+$B$18,1,0))</f>
        <v>0</v>
      </c>
      <c r="R72" s="385" t="n">
        <f aca="false">IF(14&lt;5,0,IF(MAX(M40:R40)&gt;R45+1+$B$18,1,0))</f>
        <v>0</v>
      </c>
      <c r="S72" s="385" t="n">
        <f aca="false">IF(15&lt;5,0,IF(MAX(N40:S40)&gt;S45+1+$B$18,1,0))</f>
        <v>0</v>
      </c>
      <c r="T72" s="385" t="n">
        <f aca="false">IF(16&lt;5,0,IF(MAX(O40:T40)&gt;T45+1+$B$18,1,0))</f>
        <v>0</v>
      </c>
      <c r="U72" s="385" t="n">
        <f aca="false">IF(17&lt;5,0,IF(MAX(P40:U40)&gt;U45+1+$B$18,1,0))</f>
        <v>0</v>
      </c>
      <c r="V72" s="385" t="n">
        <f aca="false">IF(18&lt;5,0,IF(MAX(Q40:V40)&gt;V45+1+$B$18,1,0))</f>
        <v>0</v>
      </c>
      <c r="W72" s="385" t="n">
        <f aca="false">IF(19&lt;5,0,IF(MAX(R40:W40)&gt;W45+1+$B$18,1,0))</f>
        <v>0</v>
      </c>
      <c r="X72" s="385" t="n">
        <f aca="false">IF(20&lt;5,0,IF(MAX(S40:X40)&gt;X45+1+$B$18,1,0))</f>
        <v>0</v>
      </c>
      <c r="Y72" s="385" t="n">
        <f aca="false">IF(21&lt;5,0,IF(MAX(T40:Y40)&gt;Y45+1+$B$18,1,0))</f>
        <v>0</v>
      </c>
      <c r="Z72" s="385" t="n">
        <f aca="false">IF(22&lt;5,0,IF(MAX(U40:Z40)&gt;Z45+1+$B$18,1,0))</f>
        <v>0</v>
      </c>
      <c r="AA72" s="385" t="n">
        <f aca="false">IF(23&lt;5,0,IF(MAX(V40:AA40)&gt;AA45+1+$B$18,1,0))</f>
        <v>0</v>
      </c>
      <c r="AB72" s="385" t="n">
        <f aca="false">IF(24&lt;5,0,IF(MAX(W40:AB40)&gt;AB45+1+$B$18,1,0))</f>
        <v>0</v>
      </c>
      <c r="AC72" s="385" t="n">
        <f aca="false">IF(25&lt;5,0,IF(MAX(X40:AC40)&gt;AC45+1+$B$18,1,0))</f>
        <v>0</v>
      </c>
      <c r="AD72" s="385" t="n">
        <f aca="false">IF(26&lt;5,0,IF(MAX(Y40:AD40)&gt;AD45+1+$B$18,1,0))</f>
        <v>0</v>
      </c>
      <c r="AE72" s="385" t="n">
        <f aca="false">IF(27&lt;5,0,IF(MAX(Z40:AE40)&gt;AE45+1+$B$18,1,0))</f>
        <v>0</v>
      </c>
      <c r="AF72" s="385" t="n">
        <f aca="false">IF(28&lt;5,0,IF(MAX(AA40:AF40)&gt;AF45+1+$B$18,1,0))</f>
        <v>0</v>
      </c>
      <c r="AG72" s="385" t="n">
        <f aca="false">IF(29&lt;5,0,IF(MAX(AB40:AG40)&gt;AG45+1+$B$18,1,0))</f>
        <v>0</v>
      </c>
      <c r="AH72" s="385" t="n">
        <f aca="false">IF(30&lt;5,0,IF(MAX(AC40:AH40)&gt;AH45+1+$B$18,1,0))</f>
        <v>0</v>
      </c>
      <c r="AI72" s="385" t="n">
        <f aca="false">IF(31&lt;5,0,IF(MAX(AD40:AI40)&gt;AI45+1+$B$18,1,0))</f>
        <v>0</v>
      </c>
      <c r="AJ72" s="385" t="n">
        <f aca="false">IF(32&lt;5,0,IF(MAX(AE40:AJ40)&gt;AJ45+1+$B$18,1,0))</f>
        <v>0</v>
      </c>
      <c r="AK72" s="385" t="n">
        <f aca="false">IF(33&lt;5,0,IF(MAX(AF40:AK40)&gt;AK45+1+$B$18,1,0))</f>
        <v>0</v>
      </c>
      <c r="AL72" s="385" t="n">
        <f aca="false">IF(34&lt;5,0,IF(MAX(AG40:AL40)&gt;AL45+1+$B$18,1,0))</f>
        <v>0</v>
      </c>
      <c r="AM72" s="385" t="n">
        <f aca="false">IF(35&lt;5,0,IF(MAX(AH40:AM40)&gt;AM45+1+$B$18,1,0))</f>
        <v>0</v>
      </c>
      <c r="AN72" s="385" t="n">
        <f aca="false">IF(36&lt;5,0,IF(MAX(AI40:AN40)&gt;AN45+1+$B$18,1,0))</f>
        <v>0</v>
      </c>
      <c r="AO72" s="385" t="n">
        <f aca="false">IF(37&lt;5,0,IF(MAX(AJ40:AO40)&gt;AO45+1+$B$18,1,0))</f>
        <v>0</v>
      </c>
      <c r="AP72" s="385" t="n">
        <f aca="false">IF(38&lt;5,0,IF(MAX(AK40:AP40)&gt;AP45+1+$B$18,1,0))</f>
        <v>0</v>
      </c>
      <c r="AQ72" s="385" t="n">
        <f aca="false">IF(39&lt;5,0,IF(MAX(AL40:AQ40)&gt;AQ45+1+$B$18,1,0))</f>
        <v>0</v>
      </c>
      <c r="AR72" s="385" t="n">
        <f aca="false">IF(40&lt;5,0,IF(MAX(AM40:AR40)&gt;AR45+1+$B$18,1,0))</f>
        <v>0</v>
      </c>
      <c r="AS72" s="385" t="n">
        <f aca="false">IF(41&lt;5,0,IF(MAX(AN40:AS40)&gt;AS45+1+$B$18,1,0))</f>
        <v>0</v>
      </c>
      <c r="AT72" s="385" t="n">
        <f aca="false">IF(42&lt;5,0,IF(MAX(AO40:AT40)&gt;AT45+1+$B$18,1,0))</f>
        <v>0</v>
      </c>
      <c r="AU72" s="385" t="n">
        <f aca="false">IF(43&lt;5,0,IF(MAX(AP40:AU40)&gt;AU45+1+$B$18,1,0))</f>
        <v>0</v>
      </c>
      <c r="AV72" s="385" t="n">
        <f aca="false">IF(44&lt;5,0,IF(MAX(AQ40:AV40)&gt;AV45+1+$B$18,1,0))</f>
        <v>0</v>
      </c>
      <c r="AW72" s="385" t="n">
        <f aca="false">IF(45&lt;5,0,IF(MAX(AR40:AW40)&gt;AW45+1+$B$18,1,0))</f>
        <v>0</v>
      </c>
      <c r="AX72" s="385" t="n">
        <f aca="false">IF(46&lt;5,0,IF(MAX(AS40:AX40)&gt;AX45+1+$B$18,1,0))</f>
        <v>0</v>
      </c>
      <c r="AY72" s="385" t="n">
        <f aca="false">IF(47&lt;5,0,IF(MAX(AT40:AY40)&gt;AY45+1+$B$18,1,0))</f>
        <v>0</v>
      </c>
      <c r="AZ72" s="385" t="n">
        <f aca="false">IF(48&lt;5,0,IF(MAX(AU40:AZ40)&gt;AZ45+1+$B$18,1,0))</f>
        <v>0</v>
      </c>
      <c r="BA72" s="385" t="n">
        <f aca="false">IF(49&lt;5,0,IF(MAX(AV40:BA40)&gt;BA45+1+$B$18,1,0))</f>
        <v>0</v>
      </c>
      <c r="BB72" s="385" t="n">
        <f aca="false">IF(50&lt;5,0,IF(MAX(AW40:BB40)&gt;BB45+1+$B$18,1,0))</f>
        <v>0</v>
      </c>
      <c r="BC72" s="385" t="n">
        <f aca="false">IF(51&lt;5,0,IF(MAX(AX40:BC40)&gt;BC45+1+$B$18,1,0))</f>
        <v>0</v>
      </c>
      <c r="BD72" s="385" t="n">
        <f aca="false">IF(52&lt;5,0,IF(MAX(AY40:BD40)&gt;BD45+1+$B$18,1,0))</f>
        <v>0</v>
      </c>
      <c r="BE72" s="385" t="n">
        <f aca="false">IF(53&lt;5,0,IF(MAX(AZ40:BE40)&gt;BE45+1+$B$18,1,0))</f>
        <v>0</v>
      </c>
      <c r="BF72" s="385" t="n">
        <f aca="false">IF(54&lt;5,0,IF(MAX(BA40:BF40)&gt;BF45+1+$B$18,1,0))</f>
        <v>0</v>
      </c>
      <c r="BG72" s="385" t="n">
        <f aca="false">IF(55&lt;5,0,IF(MAX(BB40:BG40)&gt;BG45+1+$B$18,1,0))</f>
        <v>0</v>
      </c>
      <c r="BH72" s="385" t="n">
        <f aca="false">IF(56&lt;5,0,IF(MAX(BC40:BH40)&gt;BH45+1+$B$18,1,0))</f>
        <v>0</v>
      </c>
      <c r="BI72" s="385" t="n">
        <f aca="false">IF(57&lt;5,0,IF(MAX(BD40:BI40)&gt;BI45+1+$B$18,1,0))</f>
        <v>0</v>
      </c>
      <c r="BJ72" s="385" t="n">
        <f aca="false">IF(58&lt;5,0,IF(MAX(BE40:BJ40)&gt;BJ45+1+$B$18,1,0))</f>
        <v>0</v>
      </c>
      <c r="BK72" s="385" t="n">
        <f aca="false">IF(59&lt;5,0,IF(MAX(BF40:BK40)&gt;BK45+1+$B$18,1,0))</f>
        <v>0</v>
      </c>
      <c r="BL72" s="385" t="n">
        <f aca="false">IF(60&lt;5,0,IF(MAX(BG40:BL40)&gt;BL45+1+$B$18,1,0))</f>
        <v>0</v>
      </c>
      <c r="BM72" s="385" t="n">
        <f aca="false">IF(61&lt;5,0,IF(MAX(BH40:BM40)&gt;BM45+1+$B$18,1,0))</f>
        <v>0</v>
      </c>
      <c r="BN72" s="385" t="n">
        <f aca="false">IF(62&lt;5,0,IF(MAX(BI40:BN40)&gt;BN45+1+$B$18,1,0))</f>
        <v>0</v>
      </c>
      <c r="BO72" s="385" t="n">
        <f aca="false">IF(63&lt;5,0,IF(MAX(BJ40:BO40)&gt;BO45+1+$B$18,1,0))</f>
        <v>0</v>
      </c>
      <c r="BP72" s="385" t="n">
        <f aca="false">IF(64&lt;5,0,IF(MAX(BK40:BP40)&gt;BP45+1+$B$18,1,0))</f>
        <v>0</v>
      </c>
      <c r="BQ72" s="385" t="n">
        <f aca="false">IF(65&lt;5,0,IF(MAX(BL40:BQ40)&gt;BQ45+1+$B$18,1,0))</f>
        <v>0</v>
      </c>
      <c r="BR72" s="385" t="n">
        <f aca="false">IF(66&lt;5,0,IF(MAX(BM40:BR40)&gt;BR45+1+$B$18,1,0))</f>
        <v>0</v>
      </c>
      <c r="BS72" s="385" t="n">
        <f aca="false">IF(67&lt;5,0,IF(MAX(BN40:BS40)&gt;BS45+1+$B$18,1,0))</f>
        <v>0</v>
      </c>
      <c r="BT72" s="385" t="n">
        <f aca="false">IF(68&lt;5,0,IF(MAX(BO40:BT40)&gt;BT45+1+$B$18,1,0))</f>
        <v>0</v>
      </c>
      <c r="BU72" s="385" t="n">
        <f aca="false">IF(69&lt;5,0,IF(MAX(BP40:BU40)&gt;BU45+1+$B$18,1,0))</f>
        <v>0</v>
      </c>
      <c r="BV72" s="385" t="n">
        <f aca="false">IF(70&lt;5,0,IF(MAX(BQ40:BV40)&gt;BV45+1+$B$18,1,0))</f>
        <v>0</v>
      </c>
      <c r="BW72" s="385" t="n">
        <f aca="false">IF(71&lt;5,0,IF(MAX(BR40:BW40)&gt;BW45+1+$B$18,1,0))</f>
        <v>0</v>
      </c>
      <c r="BX72" s="385" t="n">
        <f aca="false">IF(72&lt;5,0,IF(MAX(BS40:BX40)&gt;BX45+1+$B$18,1,0))</f>
        <v>0</v>
      </c>
      <c r="BY72" s="385" t="n">
        <f aca="false">IF(73&lt;5,0,IF(MAX(BT40:BY40)&gt;BY45+1+$B$18,1,0))</f>
        <v>0</v>
      </c>
      <c r="BZ72" s="385" t="n">
        <f aca="false">IF(74&lt;5,0,IF(MAX(BU40:BZ40)&gt;BZ45+1+$B$18,1,0))</f>
        <v>0</v>
      </c>
      <c r="CA72" s="385" t="n">
        <f aca="false">IF(75&lt;5,0,IF(MAX(BV40:CA40)&gt;CA45+1+$B$18,1,0))</f>
        <v>0</v>
      </c>
      <c r="CB72" s="385" t="n">
        <f aca="false">IF(76&lt;5,0,IF(MAX(BW40:CB40)&gt;CB45+1+$B$18,1,0))</f>
        <v>0</v>
      </c>
      <c r="CC72" s="385" t="n">
        <f aca="false">IF(77&lt;5,0,IF(MAX(BX40:CC40)&gt;CC45+1+$B$18,1,0))</f>
        <v>0</v>
      </c>
      <c r="CD72" s="385" t="n">
        <f aca="false">IF(78&lt;5,0,IF(MAX(BY40:CD40)&gt;CD45+1+$B$18,1,0))</f>
        <v>0</v>
      </c>
      <c r="CE72" s="385" t="n">
        <f aca="false">IF(79&lt;5,0,IF(MAX(BZ40:CE40)&gt;CE45+1+$B$18,1,0))</f>
        <v>0</v>
      </c>
      <c r="CF72" s="385" t="n">
        <f aca="false">IF(80&lt;5,0,IF(MAX(CA40:CF40)&gt;CF45+1+$B$18,1,0))</f>
        <v>0</v>
      </c>
      <c r="CG72" s="385" t="n">
        <f aca="false">IF(81&lt;5,0,IF(MAX(CB40:CG40)&gt;CG45+1+$B$18,1,0))</f>
        <v>0</v>
      </c>
      <c r="CH72" s="385" t="n">
        <f aca="false">IF(82&lt;5,0,IF(MAX(CC40:CH40)&gt;CH45+1+$B$18,1,0))</f>
        <v>0</v>
      </c>
      <c r="CI72" s="385" t="n">
        <f aca="false">IF(83&lt;5,0,IF(MAX(CD40:CI40)&gt;CI45+1+$B$18,1,0))</f>
        <v>0</v>
      </c>
      <c r="CJ72" s="385" t="n">
        <f aca="false">IF(84&lt;5,0,IF(MAX(CE40:CJ40)&gt;CJ45+1+$B$18,1,0))</f>
        <v>0</v>
      </c>
      <c r="CK72" s="385" t="n">
        <f aca="false">IF(85&lt;5,0,IF(MAX(CF40:CK40)&gt;CK45+1+$B$18,1,0))</f>
        <v>0</v>
      </c>
      <c r="CL72" s="385" t="n">
        <f aca="false">IF(86&lt;5,0,IF(MAX(CG40:CL40)&gt;CL45+1+$B$18,1,0))</f>
        <v>0</v>
      </c>
      <c r="CM72" s="385" t="n">
        <f aca="false">IF(87&lt;5,0,IF(MAX(CH40:CM40)&gt;CM45+1+$B$18,1,0))</f>
        <v>0</v>
      </c>
      <c r="CN72" s="385" t="n">
        <f aca="false">IF(88&lt;5,0,IF(MAX(CI40:CN40)&gt;CN45+1+$B$18,1,0))</f>
        <v>0</v>
      </c>
      <c r="CO72" s="385" t="n">
        <f aca="false">IF(89&lt;5,0,IF(MAX(CJ40:CO40)&gt;CO45+1+$B$18,1,0))</f>
        <v>0</v>
      </c>
      <c r="CP72" s="385" t="n">
        <f aca="false">IF(90&lt;5,0,IF(MAX(CK40:CP40)&gt;CP45+1+$B$18,1,0))</f>
        <v>0</v>
      </c>
      <c r="CQ72" s="385" t="n">
        <f aca="false">IF(91&lt;5,0,IF(MAX(CL40:CQ40)&gt;CQ45+1+$B$18,1,0))</f>
        <v>0</v>
      </c>
      <c r="CR72" s="385" t="n">
        <f aca="false">IF(92&lt;5,0,IF(MAX(CM40:CR40)&gt;CR45+1+$B$18,1,0))</f>
        <v>0</v>
      </c>
      <c r="CS72" s="385" t="n">
        <f aca="false">IF(93&lt;5,0,IF(MAX(CN40:CS40)&gt;CS45+1+$B$18,1,0))</f>
        <v>0</v>
      </c>
      <c r="CT72" s="385" t="n">
        <f aca="false">IF(94&lt;5,0,IF(MAX(CO40:CT40)&gt;CT45+1+$B$18,1,0))</f>
        <v>0</v>
      </c>
      <c r="CU72" s="385" t="n">
        <f aca="false">IF(95&lt;5,0,IF(MAX(CP40:CU40)&gt;CU45+1+$B$18,1,0))</f>
        <v>0</v>
      </c>
      <c r="CV72" s="385" t="n">
        <f aca="false">IF(96&lt;5,0,IF(MAX(CQ40:CV40)&gt;CV45+1+$B$18,1,0))</f>
        <v>0</v>
      </c>
      <c r="CW72" s="385" t="n">
        <f aca="false">IF(97&lt;5,0,IF(MAX(CR40:CW40)&gt;CW45+1+$B$18,1,0))</f>
        <v>0</v>
      </c>
      <c r="CX72" s="385" t="n">
        <f aca="false">IF(98&lt;5,0,IF(MAX(CS40:CX40)&gt;CX45+1+$B$18,1,0))</f>
        <v>0</v>
      </c>
      <c r="CY72" s="385" t="n">
        <f aca="false">IF(99&lt;5,0,IF(MAX(CT40:CY40)&gt;CY45+1+$B$18,1,0))</f>
        <v>0</v>
      </c>
      <c r="CZ72" s="385" t="n">
        <f aca="false">IF(100&lt;5,0,IF(MAX(CU40:CZ40)&gt;CZ45+1+$B$18,1,0))</f>
        <v>0</v>
      </c>
      <c r="DA72" s="385" t="n">
        <f aca="false">IF(101&lt;5,0,IF(MAX(CV40:DA40)&gt;DA45+1+$B$18,1,0))</f>
        <v>0</v>
      </c>
      <c r="DB72" s="385" t="n">
        <f aca="false">IF(102&lt;5,0,IF(MAX(CW40:DB40)&gt;DB45+1+$B$18,1,0))</f>
        <v>0</v>
      </c>
      <c r="DC72" s="385" t="n">
        <f aca="false">IF(103&lt;5,0,IF(MAX(CX40:DC40)&gt;DC45+1+$B$18,1,0))</f>
        <v>0</v>
      </c>
      <c r="DD72" s="385" t="n">
        <f aca="false">IF(104&lt;5,0,IF(MAX(CY40:DD40)&gt;DD45+1+$B$18,1,0))</f>
        <v>0</v>
      </c>
      <c r="DE72" s="385" t="n">
        <f aca="false">IF(105&lt;5,0,IF(MAX(CZ40:DE40)&gt;DE45+1+$B$18,1,0))</f>
        <v>0</v>
      </c>
    </row>
    <row r="73" customFormat="false" ht="13.5" hidden="false" customHeight="true" outlineLevel="0" collapsed="false">
      <c r="A73" s="110" t="s">
        <v>1402</v>
      </c>
      <c r="B73" s="213" t="n">
        <f aca="false">$B$29</f>
        <v>180000</v>
      </c>
      <c r="E73" s="385" t="n">
        <f aca="false">IF(1&lt;5,0,IF(MAX(E40:E40)&gt;E45+2+$B$18,1,0))</f>
        <v>0</v>
      </c>
      <c r="F73" s="385" t="n">
        <f aca="false">IF(2&lt;5,0,IF(MAX(E40:F40)&gt;F45+2+$B$18,1,0))</f>
        <v>0</v>
      </c>
      <c r="G73" s="385" t="n">
        <f aca="false">IF(3&lt;5,0,IF(MAX(E40:G40)&gt;G45+2+$B$18,1,0))</f>
        <v>0</v>
      </c>
      <c r="H73" s="385" t="n">
        <f aca="false">IF(4&lt;5,0,IF(MAX(E40:H40)&gt;H45+2+$B$18,1,0))</f>
        <v>0</v>
      </c>
      <c r="I73" s="385" t="n">
        <f aca="false">IF(5&lt;5,0,IF(MAX(E40:I40)&gt;I45+2+$B$18,1,0))</f>
        <v>0</v>
      </c>
      <c r="J73" s="385" t="n">
        <f aca="false">IF(6&lt;5,0,IF(MAX(E40:J40)&gt;J45+2+$B$18,1,0))</f>
        <v>0</v>
      </c>
      <c r="K73" s="385" t="n">
        <f aca="false">IF(7&lt;5,0,IF(MAX(F40:K40)&gt;K45+2+$B$18,1,0))</f>
        <v>0</v>
      </c>
      <c r="L73" s="385" t="n">
        <f aca="false">IF(8&lt;5,0,IF(MAX(G40:L40)&gt;L45+2+$B$18,1,0))</f>
        <v>0</v>
      </c>
      <c r="M73" s="385" t="n">
        <f aca="false">IF(9&lt;5,0,IF(MAX(H40:M40)&gt;M45+2+$B$18,1,0))</f>
        <v>0</v>
      </c>
      <c r="N73" s="385" t="n">
        <f aca="false">IF(10&lt;5,0,IF(MAX(I40:N40)&gt;N45+2+$B$18,1,0))</f>
        <v>0</v>
      </c>
      <c r="O73" s="385" t="n">
        <f aca="false">IF(11&lt;5,0,IF(MAX(J40:O40)&gt;O45+2+$B$18,1,0))</f>
        <v>0</v>
      </c>
      <c r="P73" s="385" t="n">
        <f aca="false">IF(12&lt;5,0,IF(MAX(K40:P40)&gt;P45+2+$B$18,1,0))</f>
        <v>0</v>
      </c>
      <c r="Q73" s="385" t="n">
        <f aca="false">IF(13&lt;5,0,IF(MAX(L40:Q40)&gt;Q45+2+$B$18,1,0))</f>
        <v>0</v>
      </c>
      <c r="R73" s="385" t="n">
        <f aca="false">IF(14&lt;5,0,IF(MAX(M40:R40)&gt;R45+2+$B$18,1,0))</f>
        <v>0</v>
      </c>
      <c r="S73" s="385" t="n">
        <f aca="false">IF(15&lt;5,0,IF(MAX(N40:S40)&gt;S45+2+$B$18,1,0))</f>
        <v>0</v>
      </c>
      <c r="T73" s="385" t="n">
        <f aca="false">IF(16&lt;5,0,IF(MAX(O40:T40)&gt;T45+2+$B$18,1,0))</f>
        <v>0</v>
      </c>
      <c r="U73" s="385" t="n">
        <f aca="false">IF(17&lt;5,0,IF(MAX(P40:U40)&gt;U45+2+$B$18,1,0))</f>
        <v>0</v>
      </c>
      <c r="V73" s="385" t="n">
        <f aca="false">IF(18&lt;5,0,IF(MAX(Q40:V40)&gt;V45+2+$B$18,1,0))</f>
        <v>0</v>
      </c>
      <c r="W73" s="385" t="n">
        <f aca="false">IF(19&lt;5,0,IF(MAX(R40:W40)&gt;W45+2+$B$18,1,0))</f>
        <v>0</v>
      </c>
      <c r="X73" s="385" t="n">
        <f aca="false">IF(20&lt;5,0,IF(MAX(S40:X40)&gt;X45+2+$B$18,1,0))</f>
        <v>0</v>
      </c>
      <c r="Y73" s="385" t="n">
        <f aca="false">IF(21&lt;5,0,IF(MAX(T40:Y40)&gt;Y45+2+$B$18,1,0))</f>
        <v>0</v>
      </c>
      <c r="Z73" s="385" t="n">
        <f aca="false">IF(22&lt;5,0,IF(MAX(U40:Z40)&gt;Z45+2+$B$18,1,0))</f>
        <v>0</v>
      </c>
      <c r="AA73" s="385" t="n">
        <f aca="false">IF(23&lt;5,0,IF(MAX(V40:AA40)&gt;AA45+2+$B$18,1,0))</f>
        <v>0</v>
      </c>
      <c r="AB73" s="385" t="n">
        <f aca="false">IF(24&lt;5,0,IF(MAX(W40:AB40)&gt;AB45+2+$B$18,1,0))</f>
        <v>0</v>
      </c>
      <c r="AC73" s="385" t="n">
        <f aca="false">IF(25&lt;5,0,IF(MAX(X40:AC40)&gt;AC45+2+$B$18,1,0))</f>
        <v>0</v>
      </c>
      <c r="AD73" s="385" t="n">
        <f aca="false">IF(26&lt;5,0,IF(MAX(Y40:AD40)&gt;AD45+2+$B$18,1,0))</f>
        <v>0</v>
      </c>
      <c r="AE73" s="385" t="n">
        <f aca="false">IF(27&lt;5,0,IF(MAX(Z40:AE40)&gt;AE45+2+$B$18,1,0))</f>
        <v>0</v>
      </c>
      <c r="AF73" s="385" t="n">
        <f aca="false">IF(28&lt;5,0,IF(MAX(AA40:AF40)&gt;AF45+2+$B$18,1,0))</f>
        <v>0</v>
      </c>
      <c r="AG73" s="385" t="n">
        <f aca="false">IF(29&lt;5,0,IF(MAX(AB40:AG40)&gt;AG45+2+$B$18,1,0))</f>
        <v>0</v>
      </c>
      <c r="AH73" s="385" t="n">
        <f aca="false">IF(30&lt;5,0,IF(MAX(AC40:AH40)&gt;AH45+2+$B$18,1,0))</f>
        <v>0</v>
      </c>
      <c r="AI73" s="385" t="n">
        <f aca="false">IF(31&lt;5,0,IF(MAX(AD40:AI40)&gt;AI45+2+$B$18,1,0))</f>
        <v>0</v>
      </c>
      <c r="AJ73" s="385" t="n">
        <f aca="false">IF(32&lt;5,0,IF(MAX(AE40:AJ40)&gt;AJ45+2+$B$18,1,0))</f>
        <v>0</v>
      </c>
      <c r="AK73" s="385" t="n">
        <f aca="false">IF(33&lt;5,0,IF(MAX(AF40:AK40)&gt;AK45+2+$B$18,1,0))</f>
        <v>0</v>
      </c>
      <c r="AL73" s="385" t="n">
        <f aca="false">IF(34&lt;5,0,IF(MAX(AG40:AL40)&gt;AL45+2+$B$18,1,0))</f>
        <v>0</v>
      </c>
      <c r="AM73" s="385" t="n">
        <f aca="false">IF(35&lt;5,0,IF(MAX(AH40:AM40)&gt;AM45+2+$B$18,1,0))</f>
        <v>0</v>
      </c>
      <c r="AN73" s="385" t="n">
        <f aca="false">IF(36&lt;5,0,IF(MAX(AI40:AN40)&gt;AN45+2+$B$18,1,0))</f>
        <v>0</v>
      </c>
      <c r="AO73" s="385" t="n">
        <f aca="false">IF(37&lt;5,0,IF(MAX(AJ40:AO40)&gt;AO45+2+$B$18,1,0))</f>
        <v>0</v>
      </c>
      <c r="AP73" s="385" t="n">
        <f aca="false">IF(38&lt;5,0,IF(MAX(AK40:AP40)&gt;AP45+2+$B$18,1,0))</f>
        <v>0</v>
      </c>
      <c r="AQ73" s="385" t="n">
        <f aca="false">IF(39&lt;5,0,IF(MAX(AL40:AQ40)&gt;AQ45+2+$B$18,1,0))</f>
        <v>0</v>
      </c>
      <c r="AR73" s="385" t="n">
        <f aca="false">IF(40&lt;5,0,IF(MAX(AM40:AR40)&gt;AR45+2+$B$18,1,0))</f>
        <v>0</v>
      </c>
      <c r="AS73" s="385" t="n">
        <f aca="false">IF(41&lt;5,0,IF(MAX(AN40:AS40)&gt;AS45+2+$B$18,1,0))</f>
        <v>0</v>
      </c>
      <c r="AT73" s="385" t="n">
        <f aca="false">IF(42&lt;5,0,IF(MAX(AO40:AT40)&gt;AT45+2+$B$18,1,0))</f>
        <v>0</v>
      </c>
      <c r="AU73" s="385" t="n">
        <f aca="false">IF(43&lt;5,0,IF(MAX(AP40:AU40)&gt;AU45+2+$B$18,1,0))</f>
        <v>0</v>
      </c>
      <c r="AV73" s="385" t="n">
        <f aca="false">IF(44&lt;5,0,IF(MAX(AQ40:AV40)&gt;AV45+2+$B$18,1,0))</f>
        <v>0</v>
      </c>
      <c r="AW73" s="385" t="n">
        <f aca="false">IF(45&lt;5,0,IF(MAX(AR40:AW40)&gt;AW45+2+$B$18,1,0))</f>
        <v>0</v>
      </c>
      <c r="AX73" s="385" t="n">
        <f aca="false">IF(46&lt;5,0,IF(MAX(AS40:AX40)&gt;AX45+2+$B$18,1,0))</f>
        <v>0</v>
      </c>
      <c r="AY73" s="385" t="n">
        <f aca="false">IF(47&lt;5,0,IF(MAX(AT40:AY40)&gt;AY45+2+$B$18,1,0))</f>
        <v>0</v>
      </c>
      <c r="AZ73" s="385" t="n">
        <f aca="false">IF(48&lt;5,0,IF(MAX(AU40:AZ40)&gt;AZ45+2+$B$18,1,0))</f>
        <v>0</v>
      </c>
      <c r="BA73" s="385" t="n">
        <f aca="false">IF(49&lt;5,0,IF(MAX(AV40:BA40)&gt;BA45+2+$B$18,1,0))</f>
        <v>0</v>
      </c>
      <c r="BB73" s="385" t="n">
        <f aca="false">IF(50&lt;5,0,IF(MAX(AW40:BB40)&gt;BB45+2+$B$18,1,0))</f>
        <v>0</v>
      </c>
      <c r="BC73" s="385" t="n">
        <f aca="false">IF(51&lt;5,0,IF(MAX(AX40:BC40)&gt;BC45+2+$B$18,1,0))</f>
        <v>0</v>
      </c>
      <c r="BD73" s="385" t="n">
        <f aca="false">IF(52&lt;5,0,IF(MAX(AY40:BD40)&gt;BD45+2+$B$18,1,0))</f>
        <v>0</v>
      </c>
      <c r="BE73" s="385" t="n">
        <f aca="false">IF(53&lt;5,0,IF(MAX(AZ40:BE40)&gt;BE45+2+$B$18,1,0))</f>
        <v>0</v>
      </c>
      <c r="BF73" s="385" t="n">
        <f aca="false">IF(54&lt;5,0,IF(MAX(BA40:BF40)&gt;BF45+2+$B$18,1,0))</f>
        <v>0</v>
      </c>
      <c r="BG73" s="385" t="n">
        <f aca="false">IF(55&lt;5,0,IF(MAX(BB40:BG40)&gt;BG45+2+$B$18,1,0))</f>
        <v>0</v>
      </c>
      <c r="BH73" s="385" t="n">
        <f aca="false">IF(56&lt;5,0,IF(MAX(BC40:BH40)&gt;BH45+2+$B$18,1,0))</f>
        <v>0</v>
      </c>
      <c r="BI73" s="385" t="n">
        <f aca="false">IF(57&lt;5,0,IF(MAX(BD40:BI40)&gt;BI45+2+$B$18,1,0))</f>
        <v>0</v>
      </c>
      <c r="BJ73" s="385" t="n">
        <f aca="false">IF(58&lt;5,0,IF(MAX(BE40:BJ40)&gt;BJ45+2+$B$18,1,0))</f>
        <v>0</v>
      </c>
      <c r="BK73" s="385" t="n">
        <f aca="false">IF(59&lt;5,0,IF(MAX(BF40:BK40)&gt;BK45+2+$B$18,1,0))</f>
        <v>0</v>
      </c>
      <c r="BL73" s="385" t="n">
        <f aca="false">IF(60&lt;5,0,IF(MAX(BG40:BL40)&gt;BL45+2+$B$18,1,0))</f>
        <v>0</v>
      </c>
      <c r="BM73" s="385" t="n">
        <f aca="false">IF(61&lt;5,0,IF(MAX(BH40:BM40)&gt;BM45+2+$B$18,1,0))</f>
        <v>0</v>
      </c>
      <c r="BN73" s="385" t="n">
        <f aca="false">IF(62&lt;5,0,IF(MAX(BI40:BN40)&gt;BN45+2+$B$18,1,0))</f>
        <v>0</v>
      </c>
      <c r="BO73" s="385" t="n">
        <f aca="false">IF(63&lt;5,0,IF(MAX(BJ40:BO40)&gt;BO45+2+$B$18,1,0))</f>
        <v>0</v>
      </c>
      <c r="BP73" s="385" t="n">
        <f aca="false">IF(64&lt;5,0,IF(MAX(BK40:BP40)&gt;BP45+2+$B$18,1,0))</f>
        <v>0</v>
      </c>
      <c r="BQ73" s="385" t="n">
        <f aca="false">IF(65&lt;5,0,IF(MAX(BL40:BQ40)&gt;BQ45+2+$B$18,1,0))</f>
        <v>0</v>
      </c>
      <c r="BR73" s="385" t="n">
        <f aca="false">IF(66&lt;5,0,IF(MAX(BM40:BR40)&gt;BR45+2+$B$18,1,0))</f>
        <v>0</v>
      </c>
      <c r="BS73" s="385" t="n">
        <f aca="false">IF(67&lt;5,0,IF(MAX(BN40:BS40)&gt;BS45+2+$B$18,1,0))</f>
        <v>0</v>
      </c>
      <c r="BT73" s="385" t="n">
        <f aca="false">IF(68&lt;5,0,IF(MAX(BO40:BT40)&gt;BT45+2+$B$18,1,0))</f>
        <v>0</v>
      </c>
      <c r="BU73" s="385" t="n">
        <f aca="false">IF(69&lt;5,0,IF(MAX(BP40:BU40)&gt;BU45+2+$B$18,1,0))</f>
        <v>0</v>
      </c>
      <c r="BV73" s="385" t="n">
        <f aca="false">IF(70&lt;5,0,IF(MAX(BQ40:BV40)&gt;BV45+2+$B$18,1,0))</f>
        <v>0</v>
      </c>
      <c r="BW73" s="385" t="n">
        <f aca="false">IF(71&lt;5,0,IF(MAX(BR40:BW40)&gt;BW45+2+$B$18,1,0))</f>
        <v>0</v>
      </c>
      <c r="BX73" s="385" t="n">
        <f aca="false">IF(72&lt;5,0,IF(MAX(BS40:BX40)&gt;BX45+2+$B$18,1,0))</f>
        <v>0</v>
      </c>
      <c r="BY73" s="385" t="n">
        <f aca="false">IF(73&lt;5,0,IF(MAX(BT40:BY40)&gt;BY45+2+$B$18,1,0))</f>
        <v>0</v>
      </c>
      <c r="BZ73" s="385" t="n">
        <f aca="false">IF(74&lt;5,0,IF(MAX(BU40:BZ40)&gt;BZ45+2+$B$18,1,0))</f>
        <v>0</v>
      </c>
      <c r="CA73" s="385" t="n">
        <f aca="false">IF(75&lt;5,0,IF(MAX(BV40:CA40)&gt;CA45+2+$B$18,1,0))</f>
        <v>0</v>
      </c>
      <c r="CB73" s="385" t="n">
        <f aca="false">IF(76&lt;5,0,IF(MAX(BW40:CB40)&gt;CB45+2+$B$18,1,0))</f>
        <v>0</v>
      </c>
      <c r="CC73" s="385" t="n">
        <f aca="false">IF(77&lt;5,0,IF(MAX(BX40:CC40)&gt;CC45+2+$B$18,1,0))</f>
        <v>0</v>
      </c>
      <c r="CD73" s="385" t="n">
        <f aca="false">IF(78&lt;5,0,IF(MAX(BY40:CD40)&gt;CD45+2+$B$18,1,0))</f>
        <v>0</v>
      </c>
      <c r="CE73" s="385" t="n">
        <f aca="false">IF(79&lt;5,0,IF(MAX(BZ40:CE40)&gt;CE45+2+$B$18,1,0))</f>
        <v>0</v>
      </c>
      <c r="CF73" s="385" t="n">
        <f aca="false">IF(80&lt;5,0,IF(MAX(CA40:CF40)&gt;CF45+2+$B$18,1,0))</f>
        <v>0</v>
      </c>
      <c r="CG73" s="385" t="n">
        <f aca="false">IF(81&lt;5,0,IF(MAX(CB40:CG40)&gt;CG45+2+$B$18,1,0))</f>
        <v>0</v>
      </c>
      <c r="CH73" s="385" t="n">
        <f aca="false">IF(82&lt;5,0,IF(MAX(CC40:CH40)&gt;CH45+2+$B$18,1,0))</f>
        <v>0</v>
      </c>
      <c r="CI73" s="385" t="n">
        <f aca="false">IF(83&lt;5,0,IF(MAX(CD40:CI40)&gt;CI45+2+$B$18,1,0))</f>
        <v>0</v>
      </c>
      <c r="CJ73" s="385" t="n">
        <f aca="false">IF(84&lt;5,0,IF(MAX(CE40:CJ40)&gt;CJ45+2+$B$18,1,0))</f>
        <v>0</v>
      </c>
      <c r="CK73" s="385" t="n">
        <f aca="false">IF(85&lt;5,0,IF(MAX(CF40:CK40)&gt;CK45+2+$B$18,1,0))</f>
        <v>0</v>
      </c>
      <c r="CL73" s="385" t="n">
        <f aca="false">IF(86&lt;5,0,IF(MAX(CG40:CL40)&gt;CL45+2+$B$18,1,0))</f>
        <v>0</v>
      </c>
      <c r="CM73" s="385" t="n">
        <f aca="false">IF(87&lt;5,0,IF(MAX(CH40:CM40)&gt;CM45+2+$B$18,1,0))</f>
        <v>0</v>
      </c>
      <c r="CN73" s="385" t="n">
        <f aca="false">IF(88&lt;5,0,IF(MAX(CI40:CN40)&gt;CN45+2+$B$18,1,0))</f>
        <v>0</v>
      </c>
      <c r="CO73" s="385" t="n">
        <f aca="false">IF(89&lt;5,0,IF(MAX(CJ40:CO40)&gt;CO45+2+$B$18,1,0))</f>
        <v>0</v>
      </c>
      <c r="CP73" s="385" t="n">
        <f aca="false">IF(90&lt;5,0,IF(MAX(CK40:CP40)&gt;CP45+2+$B$18,1,0))</f>
        <v>0</v>
      </c>
      <c r="CQ73" s="385" t="n">
        <f aca="false">IF(91&lt;5,0,IF(MAX(CL40:CQ40)&gt;CQ45+2+$B$18,1,0))</f>
        <v>0</v>
      </c>
      <c r="CR73" s="385" t="n">
        <f aca="false">IF(92&lt;5,0,IF(MAX(CM40:CR40)&gt;CR45+2+$B$18,1,0))</f>
        <v>0</v>
      </c>
      <c r="CS73" s="385" t="n">
        <f aca="false">IF(93&lt;5,0,IF(MAX(CN40:CS40)&gt;CS45+2+$B$18,1,0))</f>
        <v>0</v>
      </c>
      <c r="CT73" s="385" t="n">
        <f aca="false">IF(94&lt;5,0,IF(MAX(CO40:CT40)&gt;CT45+2+$B$18,1,0))</f>
        <v>0</v>
      </c>
      <c r="CU73" s="385" t="n">
        <f aca="false">IF(95&lt;5,0,IF(MAX(CP40:CU40)&gt;CU45+2+$B$18,1,0))</f>
        <v>0</v>
      </c>
      <c r="CV73" s="385" t="n">
        <f aca="false">IF(96&lt;5,0,IF(MAX(CQ40:CV40)&gt;CV45+2+$B$18,1,0))</f>
        <v>0</v>
      </c>
      <c r="CW73" s="385" t="n">
        <f aca="false">IF(97&lt;5,0,IF(MAX(CR40:CW40)&gt;CW45+2+$B$18,1,0))</f>
        <v>0</v>
      </c>
      <c r="CX73" s="385" t="n">
        <f aca="false">IF(98&lt;5,0,IF(MAX(CS40:CX40)&gt;CX45+2+$B$18,1,0))</f>
        <v>0</v>
      </c>
      <c r="CY73" s="385" t="n">
        <f aca="false">IF(99&lt;5,0,IF(MAX(CT40:CY40)&gt;CY45+2+$B$18,1,0))</f>
        <v>0</v>
      </c>
      <c r="CZ73" s="385" t="n">
        <f aca="false">IF(100&lt;5,0,IF(MAX(CU40:CZ40)&gt;CZ45+2+$B$18,1,0))</f>
        <v>0</v>
      </c>
      <c r="DA73" s="385" t="n">
        <f aca="false">IF(101&lt;5,0,IF(MAX(CV40:DA40)&gt;DA45+2+$B$18,1,0))</f>
        <v>0</v>
      </c>
      <c r="DB73" s="385" t="n">
        <f aca="false">IF(102&lt;5,0,IF(MAX(CW40:DB40)&gt;DB45+2+$B$18,1,0))</f>
        <v>0</v>
      </c>
      <c r="DC73" s="385" t="n">
        <f aca="false">IF(103&lt;5,0,IF(MAX(CX40:DC40)&gt;DC45+2+$B$18,1,0))</f>
        <v>0</v>
      </c>
      <c r="DD73" s="385" t="n">
        <f aca="false">IF(104&lt;5,0,IF(MAX(CY40:DD40)&gt;DD45+2+$B$18,1,0))</f>
        <v>0</v>
      </c>
      <c r="DE73" s="385" t="n">
        <f aca="false">IF(105&lt;5,0,IF(MAX(CZ40:DE40)&gt;DE45+2+$B$18,1,0))</f>
        <v>0</v>
      </c>
    </row>
    <row r="74" customFormat="false" ht="13.5" hidden="false" customHeight="true" outlineLevel="0" collapsed="false">
      <c r="A74" s="110" t="s">
        <v>1403</v>
      </c>
      <c r="B74" s="213" t="n">
        <f aca="false">$B$29</f>
        <v>180000</v>
      </c>
      <c r="E74" s="385" t="n">
        <f aca="false">IF(1&lt;5,0,IF(MAX(E40:E40)&gt;E45+3+$B$18,1,0))</f>
        <v>0</v>
      </c>
      <c r="F74" s="385" t="n">
        <f aca="false">IF(2&lt;5,0,IF(MAX(E40:F40)&gt;F45+3+$B$18,1,0))</f>
        <v>0</v>
      </c>
      <c r="G74" s="385" t="n">
        <f aca="false">IF(3&lt;5,0,IF(MAX(E40:G40)&gt;G45+3+$B$18,1,0))</f>
        <v>0</v>
      </c>
      <c r="H74" s="385" t="n">
        <f aca="false">IF(4&lt;5,0,IF(MAX(E40:H40)&gt;H45+3+$B$18,1,0))</f>
        <v>0</v>
      </c>
      <c r="I74" s="385" t="n">
        <f aca="false">IF(5&lt;5,0,IF(MAX(E40:I40)&gt;I45+3+$B$18,1,0))</f>
        <v>0</v>
      </c>
      <c r="J74" s="385" t="n">
        <f aca="false">IF(6&lt;5,0,IF(MAX(E40:J40)&gt;J45+3+$B$18,1,0))</f>
        <v>0</v>
      </c>
      <c r="K74" s="385" t="n">
        <f aca="false">IF(7&lt;5,0,IF(MAX(F40:K40)&gt;K45+3+$B$18,1,0))</f>
        <v>0</v>
      </c>
      <c r="L74" s="385" t="n">
        <f aca="false">IF(8&lt;5,0,IF(MAX(G40:L40)&gt;L45+3+$B$18,1,0))</f>
        <v>0</v>
      </c>
      <c r="M74" s="385" t="n">
        <f aca="false">IF(9&lt;5,0,IF(MAX(H40:M40)&gt;M45+3+$B$18,1,0))</f>
        <v>0</v>
      </c>
      <c r="N74" s="385" t="n">
        <f aca="false">IF(10&lt;5,0,IF(MAX(I40:N40)&gt;N45+3+$B$18,1,0))</f>
        <v>0</v>
      </c>
      <c r="O74" s="385" t="n">
        <f aca="false">IF(11&lt;5,0,IF(MAX(J40:O40)&gt;O45+3+$B$18,1,0))</f>
        <v>0</v>
      </c>
      <c r="P74" s="385" t="n">
        <f aca="false">IF(12&lt;5,0,IF(MAX(K40:P40)&gt;P45+3+$B$18,1,0))</f>
        <v>0</v>
      </c>
      <c r="Q74" s="385" t="n">
        <f aca="false">IF(13&lt;5,0,IF(MAX(L40:Q40)&gt;Q45+3+$B$18,1,0))</f>
        <v>0</v>
      </c>
      <c r="R74" s="385" t="n">
        <f aca="false">IF(14&lt;5,0,IF(MAX(M40:R40)&gt;R45+3+$B$18,1,0))</f>
        <v>0</v>
      </c>
      <c r="S74" s="385" t="n">
        <f aca="false">IF(15&lt;5,0,IF(MAX(N40:S40)&gt;S45+3+$B$18,1,0))</f>
        <v>0</v>
      </c>
      <c r="T74" s="385" t="n">
        <f aca="false">IF(16&lt;5,0,IF(MAX(O40:T40)&gt;T45+3+$B$18,1,0))</f>
        <v>0</v>
      </c>
      <c r="U74" s="385" t="n">
        <f aca="false">IF(17&lt;5,0,IF(MAX(P40:U40)&gt;U45+3+$B$18,1,0))</f>
        <v>0</v>
      </c>
      <c r="V74" s="385" t="n">
        <f aca="false">IF(18&lt;5,0,IF(MAX(Q40:V40)&gt;V45+3+$B$18,1,0))</f>
        <v>0</v>
      </c>
      <c r="W74" s="385" t="n">
        <f aca="false">IF(19&lt;5,0,IF(MAX(R40:W40)&gt;W45+3+$B$18,1,0))</f>
        <v>0</v>
      </c>
      <c r="X74" s="385" t="n">
        <f aca="false">IF(20&lt;5,0,IF(MAX(S40:X40)&gt;X45+3+$B$18,1,0))</f>
        <v>0</v>
      </c>
      <c r="Y74" s="385" t="n">
        <f aca="false">IF(21&lt;5,0,IF(MAX(T40:Y40)&gt;Y45+3+$B$18,1,0))</f>
        <v>0</v>
      </c>
      <c r="Z74" s="385" t="n">
        <f aca="false">IF(22&lt;5,0,IF(MAX(U40:Z40)&gt;Z45+3+$B$18,1,0))</f>
        <v>0</v>
      </c>
      <c r="AA74" s="385" t="n">
        <f aca="false">IF(23&lt;5,0,IF(MAX(V40:AA40)&gt;AA45+3+$B$18,1,0))</f>
        <v>0</v>
      </c>
      <c r="AB74" s="385" t="n">
        <f aca="false">IF(24&lt;5,0,IF(MAX(W40:AB40)&gt;AB45+3+$B$18,1,0))</f>
        <v>0</v>
      </c>
      <c r="AC74" s="385" t="n">
        <f aca="false">IF(25&lt;5,0,IF(MAX(X40:AC40)&gt;AC45+3+$B$18,1,0))</f>
        <v>0</v>
      </c>
      <c r="AD74" s="385" t="n">
        <f aca="false">IF(26&lt;5,0,IF(MAX(Y40:AD40)&gt;AD45+3+$B$18,1,0))</f>
        <v>0</v>
      </c>
      <c r="AE74" s="385" t="n">
        <f aca="false">IF(27&lt;5,0,IF(MAX(Z40:AE40)&gt;AE45+3+$B$18,1,0))</f>
        <v>0</v>
      </c>
      <c r="AF74" s="385" t="n">
        <f aca="false">IF(28&lt;5,0,IF(MAX(AA40:AF40)&gt;AF45+3+$B$18,1,0))</f>
        <v>0</v>
      </c>
      <c r="AG74" s="385" t="n">
        <f aca="false">IF(29&lt;5,0,IF(MAX(AB40:AG40)&gt;AG45+3+$B$18,1,0))</f>
        <v>0</v>
      </c>
      <c r="AH74" s="385" t="n">
        <f aca="false">IF(30&lt;5,0,IF(MAX(AC40:AH40)&gt;AH45+3+$B$18,1,0))</f>
        <v>0</v>
      </c>
      <c r="AI74" s="385" t="n">
        <f aca="false">IF(31&lt;5,0,IF(MAX(AD40:AI40)&gt;AI45+3+$B$18,1,0))</f>
        <v>0</v>
      </c>
      <c r="AJ74" s="385" t="n">
        <f aca="false">IF(32&lt;5,0,IF(MAX(AE40:AJ40)&gt;AJ45+3+$B$18,1,0))</f>
        <v>0</v>
      </c>
      <c r="AK74" s="385" t="n">
        <f aca="false">IF(33&lt;5,0,IF(MAX(AF40:AK40)&gt;AK45+3+$B$18,1,0))</f>
        <v>0</v>
      </c>
      <c r="AL74" s="385" t="n">
        <f aca="false">IF(34&lt;5,0,IF(MAX(AG40:AL40)&gt;AL45+3+$B$18,1,0))</f>
        <v>0</v>
      </c>
      <c r="AM74" s="385" t="n">
        <f aca="false">IF(35&lt;5,0,IF(MAX(AH40:AM40)&gt;AM45+3+$B$18,1,0))</f>
        <v>0</v>
      </c>
      <c r="AN74" s="385" t="n">
        <f aca="false">IF(36&lt;5,0,IF(MAX(AI40:AN40)&gt;AN45+3+$B$18,1,0))</f>
        <v>0</v>
      </c>
      <c r="AO74" s="385" t="n">
        <f aca="false">IF(37&lt;5,0,IF(MAX(AJ40:AO40)&gt;AO45+3+$B$18,1,0))</f>
        <v>0</v>
      </c>
      <c r="AP74" s="385" t="n">
        <f aca="false">IF(38&lt;5,0,IF(MAX(AK40:AP40)&gt;AP45+3+$B$18,1,0))</f>
        <v>0</v>
      </c>
      <c r="AQ74" s="385" t="n">
        <f aca="false">IF(39&lt;5,0,IF(MAX(AL40:AQ40)&gt;AQ45+3+$B$18,1,0))</f>
        <v>0</v>
      </c>
      <c r="AR74" s="385" t="n">
        <f aca="false">IF(40&lt;5,0,IF(MAX(AM40:AR40)&gt;AR45+3+$B$18,1,0))</f>
        <v>0</v>
      </c>
      <c r="AS74" s="385" t="n">
        <f aca="false">IF(41&lt;5,0,IF(MAX(AN40:AS40)&gt;AS45+3+$B$18,1,0))</f>
        <v>0</v>
      </c>
      <c r="AT74" s="385" t="n">
        <f aca="false">IF(42&lt;5,0,IF(MAX(AO40:AT40)&gt;AT45+3+$B$18,1,0))</f>
        <v>0</v>
      </c>
      <c r="AU74" s="385" t="n">
        <f aca="false">IF(43&lt;5,0,IF(MAX(AP40:AU40)&gt;AU45+3+$B$18,1,0))</f>
        <v>0</v>
      </c>
      <c r="AV74" s="385" t="n">
        <f aca="false">IF(44&lt;5,0,IF(MAX(AQ40:AV40)&gt;AV45+3+$B$18,1,0))</f>
        <v>0</v>
      </c>
      <c r="AW74" s="385" t="n">
        <f aca="false">IF(45&lt;5,0,IF(MAX(AR40:AW40)&gt;AW45+3+$B$18,1,0))</f>
        <v>0</v>
      </c>
      <c r="AX74" s="385" t="n">
        <f aca="false">IF(46&lt;5,0,IF(MAX(AS40:AX40)&gt;AX45+3+$B$18,1,0))</f>
        <v>0</v>
      </c>
      <c r="AY74" s="385" t="n">
        <f aca="false">IF(47&lt;5,0,IF(MAX(AT40:AY40)&gt;AY45+3+$B$18,1,0))</f>
        <v>0</v>
      </c>
      <c r="AZ74" s="385" t="n">
        <f aca="false">IF(48&lt;5,0,IF(MAX(AU40:AZ40)&gt;AZ45+3+$B$18,1,0))</f>
        <v>0</v>
      </c>
      <c r="BA74" s="385" t="n">
        <f aca="false">IF(49&lt;5,0,IF(MAX(AV40:BA40)&gt;BA45+3+$B$18,1,0))</f>
        <v>0</v>
      </c>
      <c r="BB74" s="385" t="n">
        <f aca="false">IF(50&lt;5,0,IF(MAX(AW40:BB40)&gt;BB45+3+$B$18,1,0))</f>
        <v>0</v>
      </c>
      <c r="BC74" s="385" t="n">
        <f aca="false">IF(51&lt;5,0,IF(MAX(AX40:BC40)&gt;BC45+3+$B$18,1,0))</f>
        <v>0</v>
      </c>
      <c r="BD74" s="385" t="n">
        <f aca="false">IF(52&lt;5,0,IF(MAX(AY40:BD40)&gt;BD45+3+$B$18,1,0))</f>
        <v>0</v>
      </c>
      <c r="BE74" s="385" t="n">
        <f aca="false">IF(53&lt;5,0,IF(MAX(AZ40:BE40)&gt;BE45+3+$B$18,1,0))</f>
        <v>0</v>
      </c>
      <c r="BF74" s="385" t="n">
        <f aca="false">IF(54&lt;5,0,IF(MAX(BA40:BF40)&gt;BF45+3+$B$18,1,0))</f>
        <v>0</v>
      </c>
      <c r="BG74" s="385" t="n">
        <f aca="false">IF(55&lt;5,0,IF(MAX(BB40:BG40)&gt;BG45+3+$B$18,1,0))</f>
        <v>0</v>
      </c>
      <c r="BH74" s="385" t="n">
        <f aca="false">IF(56&lt;5,0,IF(MAX(BC40:BH40)&gt;BH45+3+$B$18,1,0))</f>
        <v>0</v>
      </c>
      <c r="BI74" s="385" t="n">
        <f aca="false">IF(57&lt;5,0,IF(MAX(BD40:BI40)&gt;BI45+3+$B$18,1,0))</f>
        <v>0</v>
      </c>
      <c r="BJ74" s="385" t="n">
        <f aca="false">IF(58&lt;5,0,IF(MAX(BE40:BJ40)&gt;BJ45+3+$B$18,1,0))</f>
        <v>0</v>
      </c>
      <c r="BK74" s="385" t="n">
        <f aca="false">IF(59&lt;5,0,IF(MAX(BF40:BK40)&gt;BK45+3+$B$18,1,0))</f>
        <v>0</v>
      </c>
      <c r="BL74" s="385" t="n">
        <f aca="false">IF(60&lt;5,0,IF(MAX(BG40:BL40)&gt;BL45+3+$B$18,1,0))</f>
        <v>0</v>
      </c>
      <c r="BM74" s="385" t="n">
        <f aca="false">IF(61&lt;5,0,IF(MAX(BH40:BM40)&gt;BM45+3+$B$18,1,0))</f>
        <v>0</v>
      </c>
      <c r="BN74" s="385" t="n">
        <f aca="false">IF(62&lt;5,0,IF(MAX(BI40:BN40)&gt;BN45+3+$B$18,1,0))</f>
        <v>0</v>
      </c>
      <c r="BO74" s="385" t="n">
        <f aca="false">IF(63&lt;5,0,IF(MAX(BJ40:BO40)&gt;BO45+3+$B$18,1,0))</f>
        <v>0</v>
      </c>
      <c r="BP74" s="385" t="n">
        <f aca="false">IF(64&lt;5,0,IF(MAX(BK40:BP40)&gt;BP45+3+$B$18,1,0))</f>
        <v>0</v>
      </c>
      <c r="BQ74" s="385" t="n">
        <f aca="false">IF(65&lt;5,0,IF(MAX(BL40:BQ40)&gt;BQ45+3+$B$18,1,0))</f>
        <v>0</v>
      </c>
      <c r="BR74" s="385" t="n">
        <f aca="false">IF(66&lt;5,0,IF(MAX(BM40:BR40)&gt;BR45+3+$B$18,1,0))</f>
        <v>0</v>
      </c>
      <c r="BS74" s="385" t="n">
        <f aca="false">IF(67&lt;5,0,IF(MAX(BN40:BS40)&gt;BS45+3+$B$18,1,0))</f>
        <v>0</v>
      </c>
      <c r="BT74" s="385" t="n">
        <f aca="false">IF(68&lt;5,0,IF(MAX(BO40:BT40)&gt;BT45+3+$B$18,1,0))</f>
        <v>0</v>
      </c>
      <c r="BU74" s="385" t="n">
        <f aca="false">IF(69&lt;5,0,IF(MAX(BP40:BU40)&gt;BU45+3+$B$18,1,0))</f>
        <v>0</v>
      </c>
      <c r="BV74" s="385" t="n">
        <f aca="false">IF(70&lt;5,0,IF(MAX(BQ40:BV40)&gt;BV45+3+$B$18,1,0))</f>
        <v>0</v>
      </c>
      <c r="BW74" s="385" t="n">
        <f aca="false">IF(71&lt;5,0,IF(MAX(BR40:BW40)&gt;BW45+3+$B$18,1,0))</f>
        <v>0</v>
      </c>
      <c r="BX74" s="385" t="n">
        <f aca="false">IF(72&lt;5,0,IF(MAX(BS40:BX40)&gt;BX45+3+$B$18,1,0))</f>
        <v>0</v>
      </c>
      <c r="BY74" s="385" t="n">
        <f aca="false">IF(73&lt;5,0,IF(MAX(BT40:BY40)&gt;BY45+3+$B$18,1,0))</f>
        <v>0</v>
      </c>
      <c r="BZ74" s="385" t="n">
        <f aca="false">IF(74&lt;5,0,IF(MAX(BU40:BZ40)&gt;BZ45+3+$B$18,1,0))</f>
        <v>0</v>
      </c>
      <c r="CA74" s="385" t="n">
        <f aca="false">IF(75&lt;5,0,IF(MAX(BV40:CA40)&gt;CA45+3+$B$18,1,0))</f>
        <v>0</v>
      </c>
      <c r="CB74" s="385" t="n">
        <f aca="false">IF(76&lt;5,0,IF(MAX(BW40:CB40)&gt;CB45+3+$B$18,1,0))</f>
        <v>0</v>
      </c>
      <c r="CC74" s="385" t="n">
        <f aca="false">IF(77&lt;5,0,IF(MAX(BX40:CC40)&gt;CC45+3+$B$18,1,0))</f>
        <v>0</v>
      </c>
      <c r="CD74" s="385" t="n">
        <f aca="false">IF(78&lt;5,0,IF(MAX(BY40:CD40)&gt;CD45+3+$B$18,1,0))</f>
        <v>0</v>
      </c>
      <c r="CE74" s="385" t="n">
        <f aca="false">IF(79&lt;5,0,IF(MAX(BZ40:CE40)&gt;CE45+3+$B$18,1,0))</f>
        <v>0</v>
      </c>
      <c r="CF74" s="385" t="n">
        <f aca="false">IF(80&lt;5,0,IF(MAX(CA40:CF40)&gt;CF45+3+$B$18,1,0))</f>
        <v>0</v>
      </c>
      <c r="CG74" s="385" t="n">
        <f aca="false">IF(81&lt;5,0,IF(MAX(CB40:CG40)&gt;CG45+3+$B$18,1,0))</f>
        <v>0</v>
      </c>
      <c r="CH74" s="385" t="n">
        <f aca="false">IF(82&lt;5,0,IF(MAX(CC40:CH40)&gt;CH45+3+$B$18,1,0))</f>
        <v>0</v>
      </c>
      <c r="CI74" s="385" t="n">
        <f aca="false">IF(83&lt;5,0,IF(MAX(CD40:CI40)&gt;CI45+3+$B$18,1,0))</f>
        <v>0</v>
      </c>
      <c r="CJ74" s="385" t="n">
        <f aca="false">IF(84&lt;5,0,IF(MAX(CE40:CJ40)&gt;CJ45+3+$B$18,1,0))</f>
        <v>0</v>
      </c>
      <c r="CK74" s="385" t="n">
        <f aca="false">IF(85&lt;5,0,IF(MAX(CF40:CK40)&gt;CK45+3+$B$18,1,0))</f>
        <v>0</v>
      </c>
      <c r="CL74" s="385" t="n">
        <f aca="false">IF(86&lt;5,0,IF(MAX(CG40:CL40)&gt;CL45+3+$B$18,1,0))</f>
        <v>0</v>
      </c>
      <c r="CM74" s="385" t="n">
        <f aca="false">IF(87&lt;5,0,IF(MAX(CH40:CM40)&gt;CM45+3+$B$18,1,0))</f>
        <v>0</v>
      </c>
      <c r="CN74" s="385" t="n">
        <f aca="false">IF(88&lt;5,0,IF(MAX(CI40:CN40)&gt;CN45+3+$B$18,1,0))</f>
        <v>0</v>
      </c>
      <c r="CO74" s="385" t="n">
        <f aca="false">IF(89&lt;5,0,IF(MAX(CJ40:CO40)&gt;CO45+3+$B$18,1,0))</f>
        <v>0</v>
      </c>
      <c r="CP74" s="385" t="n">
        <f aca="false">IF(90&lt;5,0,IF(MAX(CK40:CP40)&gt;CP45+3+$B$18,1,0))</f>
        <v>0</v>
      </c>
      <c r="CQ74" s="385" t="n">
        <f aca="false">IF(91&lt;5,0,IF(MAX(CL40:CQ40)&gt;CQ45+3+$B$18,1,0))</f>
        <v>0</v>
      </c>
      <c r="CR74" s="385" t="n">
        <f aca="false">IF(92&lt;5,0,IF(MAX(CM40:CR40)&gt;CR45+3+$B$18,1,0))</f>
        <v>0</v>
      </c>
      <c r="CS74" s="385" t="n">
        <f aca="false">IF(93&lt;5,0,IF(MAX(CN40:CS40)&gt;CS45+3+$B$18,1,0))</f>
        <v>0</v>
      </c>
      <c r="CT74" s="385" t="n">
        <f aca="false">IF(94&lt;5,0,IF(MAX(CO40:CT40)&gt;CT45+3+$B$18,1,0))</f>
        <v>0</v>
      </c>
      <c r="CU74" s="385" t="n">
        <f aca="false">IF(95&lt;5,0,IF(MAX(CP40:CU40)&gt;CU45+3+$B$18,1,0))</f>
        <v>0</v>
      </c>
      <c r="CV74" s="385" t="n">
        <f aca="false">IF(96&lt;5,0,IF(MAX(CQ40:CV40)&gt;CV45+3+$B$18,1,0))</f>
        <v>0</v>
      </c>
      <c r="CW74" s="385" t="n">
        <f aca="false">IF(97&lt;5,0,IF(MAX(CR40:CW40)&gt;CW45+3+$B$18,1,0))</f>
        <v>0</v>
      </c>
      <c r="CX74" s="385" t="n">
        <f aca="false">IF(98&lt;5,0,IF(MAX(CS40:CX40)&gt;CX45+3+$B$18,1,0))</f>
        <v>0</v>
      </c>
      <c r="CY74" s="385" t="n">
        <f aca="false">IF(99&lt;5,0,IF(MAX(CT40:CY40)&gt;CY45+3+$B$18,1,0))</f>
        <v>0</v>
      </c>
      <c r="CZ74" s="385" t="n">
        <f aca="false">IF(100&lt;5,0,IF(MAX(CU40:CZ40)&gt;CZ45+3+$B$18,1,0))</f>
        <v>0</v>
      </c>
      <c r="DA74" s="385" t="n">
        <f aca="false">IF(101&lt;5,0,IF(MAX(CV40:DA40)&gt;DA45+3+$B$18,1,0))</f>
        <v>0</v>
      </c>
      <c r="DB74" s="385" t="n">
        <f aca="false">IF(102&lt;5,0,IF(MAX(CW40:DB40)&gt;DB45+3+$B$18,1,0))</f>
        <v>0</v>
      </c>
      <c r="DC74" s="385" t="n">
        <f aca="false">IF(103&lt;5,0,IF(MAX(CX40:DC40)&gt;DC45+3+$B$18,1,0))</f>
        <v>0</v>
      </c>
      <c r="DD74" s="385" t="n">
        <f aca="false">IF(104&lt;5,0,IF(MAX(CY40:DD40)&gt;DD45+3+$B$18,1,0))</f>
        <v>0</v>
      </c>
      <c r="DE74" s="385" t="n">
        <f aca="false">IF(105&lt;5,0,IF(MAX(CZ40:DE40)&gt;DE45+3+$B$18,1,0))</f>
        <v>0</v>
      </c>
    </row>
    <row r="75" customFormat="false" ht="13.5" hidden="false" customHeight="true" outlineLevel="0" collapsed="false">
      <c r="E75" s="125"/>
      <c r="F75" s="125"/>
      <c r="G75" s="125"/>
      <c r="H75" s="125"/>
      <c r="I75" s="125"/>
      <c r="J75" s="125"/>
      <c r="K75" s="125"/>
      <c r="L75" s="125"/>
      <c r="M75" s="125"/>
      <c r="N75" s="125"/>
      <c r="O75" s="125"/>
      <c r="P75" s="125"/>
      <c r="Q75" s="125"/>
      <c r="R75" s="125"/>
      <c r="S75" s="125"/>
      <c r="T75" s="125"/>
      <c r="U75" s="125"/>
      <c r="V75" s="125"/>
      <c r="W75" s="125"/>
      <c r="X75" s="125"/>
      <c r="Y75" s="125"/>
      <c r="Z75" s="125"/>
      <c r="AA75" s="125"/>
      <c r="AB75" s="125"/>
      <c r="AC75" s="125"/>
      <c r="AD75" s="125"/>
      <c r="AE75" s="125"/>
      <c r="AF75" s="125"/>
      <c r="AG75" s="125"/>
      <c r="AH75" s="125"/>
      <c r="AI75" s="125"/>
      <c r="AJ75" s="125"/>
      <c r="AK75" s="125"/>
      <c r="AL75" s="125"/>
      <c r="AM75" s="125"/>
      <c r="AN75" s="125"/>
      <c r="AO75" s="125"/>
      <c r="AP75" s="125"/>
      <c r="AQ75" s="125"/>
      <c r="AR75" s="125"/>
      <c r="AS75" s="125"/>
      <c r="AT75" s="125"/>
      <c r="AU75" s="125"/>
      <c r="AV75" s="125"/>
      <c r="AW75" s="125"/>
      <c r="AX75" s="125"/>
      <c r="AY75" s="125"/>
      <c r="AZ75" s="125"/>
      <c r="BA75" s="125"/>
      <c r="BB75" s="125"/>
      <c r="BC75" s="125"/>
      <c r="BD75" s="125"/>
      <c r="BE75" s="125"/>
      <c r="BF75" s="125"/>
      <c r="BG75" s="125"/>
      <c r="BH75" s="125"/>
      <c r="BI75" s="125"/>
      <c r="BJ75" s="125"/>
      <c r="BK75" s="125"/>
      <c r="BL75" s="125"/>
      <c r="BM75" s="125"/>
      <c r="BN75" s="125"/>
      <c r="BO75" s="125"/>
      <c r="BP75" s="125"/>
      <c r="BQ75" s="125"/>
      <c r="BR75" s="125"/>
      <c r="BS75" s="125"/>
      <c r="BT75" s="125"/>
      <c r="BU75" s="125"/>
      <c r="BV75" s="125"/>
      <c r="BW75" s="125"/>
      <c r="BX75" s="125"/>
      <c r="BY75" s="125"/>
      <c r="BZ75" s="125"/>
      <c r="CA75" s="125"/>
      <c r="CB75" s="125"/>
      <c r="CC75" s="125"/>
      <c r="CD75" s="125"/>
      <c r="CE75" s="125"/>
      <c r="CF75" s="125"/>
      <c r="CG75" s="125"/>
      <c r="CH75" s="125"/>
      <c r="CI75" s="125"/>
      <c r="CJ75" s="125"/>
      <c r="CK75" s="125"/>
      <c r="CL75" s="125"/>
      <c r="CM75" s="125"/>
      <c r="CN75" s="125"/>
      <c r="CO75" s="125"/>
      <c r="CP75" s="125"/>
      <c r="CQ75" s="125"/>
      <c r="CR75" s="125"/>
      <c r="CS75" s="125"/>
      <c r="CT75" s="125"/>
      <c r="CU75" s="125"/>
      <c r="CV75" s="125"/>
      <c r="CW75" s="125"/>
      <c r="CX75" s="125"/>
      <c r="CY75" s="125"/>
      <c r="CZ75" s="125"/>
      <c r="DA75" s="125"/>
      <c r="DB75" s="125"/>
      <c r="DC75" s="125"/>
      <c r="DD75" s="125"/>
      <c r="DE75" s="125"/>
    </row>
    <row r="76" customFormat="false" ht="13.5" hidden="false" customHeight="true" outlineLevel="0" collapsed="false">
      <c r="E76" s="125"/>
      <c r="F76" s="125"/>
      <c r="G76" s="125"/>
      <c r="H76" s="125"/>
      <c r="I76" s="125"/>
      <c r="J76" s="125"/>
      <c r="K76" s="125"/>
      <c r="L76" s="125"/>
      <c r="M76" s="125"/>
      <c r="N76" s="125"/>
      <c r="O76" s="125"/>
      <c r="P76" s="125"/>
      <c r="Q76" s="125"/>
      <c r="R76" s="125"/>
      <c r="S76" s="125"/>
      <c r="T76" s="125"/>
      <c r="U76" s="125"/>
      <c r="V76" s="125"/>
      <c r="W76" s="125"/>
      <c r="X76" s="125"/>
      <c r="Y76" s="125"/>
      <c r="Z76" s="125"/>
      <c r="AA76" s="125"/>
      <c r="AB76" s="125"/>
      <c r="AC76" s="125"/>
      <c r="AD76" s="125"/>
      <c r="AE76" s="125"/>
      <c r="AF76" s="125"/>
      <c r="AG76" s="125"/>
      <c r="AH76" s="125"/>
      <c r="AI76" s="125"/>
      <c r="AJ76" s="125"/>
      <c r="AK76" s="125"/>
      <c r="AL76" s="125"/>
      <c r="AM76" s="125"/>
      <c r="AN76" s="125"/>
      <c r="AO76" s="125"/>
      <c r="AP76" s="125"/>
      <c r="AQ76" s="125"/>
      <c r="AR76" s="125"/>
      <c r="AS76" s="125"/>
      <c r="AT76" s="125"/>
      <c r="AU76" s="125"/>
      <c r="AV76" s="125"/>
      <c r="AW76" s="125"/>
      <c r="AX76" s="125"/>
      <c r="AY76" s="125"/>
      <c r="AZ76" s="125"/>
      <c r="BA76" s="125"/>
      <c r="BB76" s="125"/>
      <c r="BC76" s="125"/>
      <c r="BD76" s="125"/>
      <c r="BE76" s="125"/>
      <c r="BF76" s="125"/>
      <c r="BG76" s="125"/>
      <c r="BH76" s="125"/>
      <c r="BI76" s="125"/>
      <c r="BJ76" s="125"/>
      <c r="BK76" s="125"/>
      <c r="BL76" s="125"/>
      <c r="BM76" s="125"/>
      <c r="BN76" s="125"/>
      <c r="BO76" s="125"/>
      <c r="BP76" s="125"/>
      <c r="BQ76" s="125"/>
      <c r="BR76" s="125"/>
      <c r="BS76" s="125"/>
      <c r="BT76" s="125"/>
      <c r="BU76" s="125"/>
      <c r="BV76" s="125"/>
      <c r="BW76" s="125"/>
      <c r="BX76" s="125"/>
      <c r="BY76" s="125"/>
      <c r="BZ76" s="125"/>
      <c r="CA76" s="125"/>
      <c r="CB76" s="125"/>
      <c r="CC76" s="125"/>
      <c r="CD76" s="125"/>
      <c r="CE76" s="125"/>
      <c r="CF76" s="125"/>
      <c r="CG76" s="125"/>
      <c r="CH76" s="125"/>
      <c r="CI76" s="125"/>
      <c r="CJ76" s="125"/>
      <c r="CK76" s="125"/>
      <c r="CL76" s="125"/>
      <c r="CM76" s="125"/>
      <c r="CN76" s="125"/>
      <c r="CO76" s="125"/>
      <c r="CP76" s="125"/>
      <c r="CQ76" s="125"/>
      <c r="CR76" s="125"/>
      <c r="CS76" s="125"/>
      <c r="CT76" s="125"/>
      <c r="CU76" s="125"/>
      <c r="CV76" s="125"/>
      <c r="CW76" s="125"/>
      <c r="CX76" s="125"/>
      <c r="CY76" s="125"/>
      <c r="CZ76" s="125"/>
      <c r="DA76" s="125"/>
      <c r="DB76" s="125"/>
      <c r="DC76" s="125"/>
      <c r="DD76" s="125"/>
      <c r="DE76" s="125"/>
    </row>
    <row r="77" customFormat="false" ht="13.5" hidden="false" customHeight="true" outlineLevel="0" collapsed="false">
      <c r="A77" s="110" t="s">
        <v>1404</v>
      </c>
      <c r="B77" s="213" t="n">
        <f aca="false">$B$30</f>
        <v>80000</v>
      </c>
      <c r="E77" s="385" t="n">
        <f aca="false">IF(1&lt;5,0,IF(MAX(E37:E37)&gt;=$B$22,1,0))</f>
        <v>0</v>
      </c>
      <c r="F77" s="385" t="n">
        <f aca="false">IF(2&lt;5,0,IF(MAX(E37:F37)&gt;=$B$22,1,0))</f>
        <v>0</v>
      </c>
      <c r="G77" s="385" t="n">
        <f aca="false">IF(3&lt;5,0,IF(MAX(E37:G37)&gt;=$B$22,1,0))</f>
        <v>0</v>
      </c>
      <c r="H77" s="385" t="n">
        <f aca="false">IF(4&lt;5,0,IF(MAX(E37:H37)&gt;=$B$22,1,0))</f>
        <v>0</v>
      </c>
      <c r="I77" s="385" t="n">
        <f aca="false">IF(5&lt;5,0,IF(MAX(E37:I37)&gt;=$B$22,1,0))</f>
        <v>0</v>
      </c>
      <c r="J77" s="385" t="n">
        <f aca="false">IF(6&lt;5,0,IF(MAX(E37:J37)&gt;=$B$22,1,0))</f>
        <v>0</v>
      </c>
      <c r="K77" s="385" t="n">
        <f aca="false">IF(7&lt;5,0,IF(MAX(F37:K37)&gt;=$B$22,1,0))</f>
        <v>0</v>
      </c>
      <c r="L77" s="385" t="n">
        <f aca="false">IF(8&lt;5,0,IF(MAX(G37:L37)&gt;=$B$22,1,0))</f>
        <v>0</v>
      </c>
      <c r="M77" s="385" t="n">
        <f aca="false">IF(9&lt;5,0,IF(MAX(H37:M37)&gt;=$B$22,1,0))</f>
        <v>0</v>
      </c>
      <c r="N77" s="385" t="n">
        <f aca="false">IF(10&lt;5,0,IF(MAX(I37:N37)&gt;=$B$22,1,0))</f>
        <v>0</v>
      </c>
      <c r="O77" s="385" t="n">
        <f aca="false">IF(11&lt;5,0,IF(MAX(J37:O37)&gt;=$B$22,1,0))</f>
        <v>1</v>
      </c>
      <c r="P77" s="385" t="n">
        <f aca="false">IF(12&lt;5,0,IF(MAX(K37:P37)&gt;=$B$22,1,0))</f>
        <v>1</v>
      </c>
      <c r="Q77" s="385" t="n">
        <f aca="false">IF(13&lt;5,0,IF(MAX(L37:Q37)&gt;=$B$22,1,0))</f>
        <v>1</v>
      </c>
      <c r="R77" s="385" t="n">
        <f aca="false">IF(14&lt;5,0,IF(MAX(M37:R37)&gt;=$B$22,1,0))</f>
        <v>1</v>
      </c>
      <c r="S77" s="385" t="n">
        <f aca="false">IF(15&lt;5,0,IF(MAX(N37:S37)&gt;=$B$22,1,0))</f>
        <v>1</v>
      </c>
      <c r="T77" s="385" t="n">
        <f aca="false">IF(16&lt;5,0,IF(MAX(O37:T37)&gt;=$B$22,1,0))</f>
        <v>1</v>
      </c>
      <c r="U77" s="385" t="n">
        <f aca="false">IF(17&lt;5,0,IF(MAX(P37:U37)&gt;=$B$22,1,0))</f>
        <v>1</v>
      </c>
      <c r="V77" s="385" t="n">
        <f aca="false">IF(18&lt;5,0,IF(MAX(Q37:V37)&gt;=$B$22,1,0))</f>
        <v>1</v>
      </c>
      <c r="W77" s="385" t="n">
        <f aca="false">IF(19&lt;5,0,IF(MAX(R37:W37)&gt;=$B$22,1,0))</f>
        <v>1</v>
      </c>
      <c r="X77" s="385" t="n">
        <f aca="false">IF(20&lt;5,0,IF(MAX(S37:X37)&gt;=$B$22,1,0))</f>
        <v>1</v>
      </c>
      <c r="Y77" s="385" t="n">
        <f aca="false">IF(21&lt;5,0,IF(MAX(T37:Y37)&gt;=$B$22,1,0))</f>
        <v>1</v>
      </c>
      <c r="Z77" s="385" t="n">
        <f aca="false">IF(22&lt;5,0,IF(MAX(U37:Z37)&gt;=$B$22,1,0))</f>
        <v>1</v>
      </c>
      <c r="AA77" s="385" t="n">
        <f aca="false">IF(23&lt;5,0,IF(MAX(V37:AA37)&gt;=$B$22,1,0))</f>
        <v>1</v>
      </c>
      <c r="AB77" s="385" t="n">
        <f aca="false">IF(24&lt;5,0,IF(MAX(W37:AB37)&gt;=$B$22,1,0))</f>
        <v>1</v>
      </c>
      <c r="AC77" s="385" t="n">
        <f aca="false">IF(25&lt;5,0,IF(MAX(X37:AC37)&gt;=$B$22,1,0))</f>
        <v>1</v>
      </c>
      <c r="AD77" s="385" t="n">
        <f aca="false">IF(26&lt;5,0,IF(MAX(Y37:AD37)&gt;=$B$22,1,0))</f>
        <v>1</v>
      </c>
      <c r="AE77" s="385" t="n">
        <f aca="false">IF(27&lt;5,0,IF(MAX(Z37:AE37)&gt;=$B$22,1,0))</f>
        <v>1</v>
      </c>
      <c r="AF77" s="385" t="n">
        <f aca="false">IF(28&lt;5,0,IF(MAX(AA37:AF37)&gt;=$B$22,1,0))</f>
        <v>1</v>
      </c>
      <c r="AG77" s="385" t="n">
        <f aca="false">IF(29&lt;5,0,IF(MAX(AB37:AG37)&gt;=$B$22,1,0))</f>
        <v>1</v>
      </c>
      <c r="AH77" s="385" t="n">
        <f aca="false">IF(30&lt;5,0,IF(MAX(AC37:AH37)&gt;=$B$22,1,0))</f>
        <v>1</v>
      </c>
      <c r="AI77" s="385" t="n">
        <f aca="false">IF(31&lt;5,0,IF(MAX(AD37:AI37)&gt;=$B$22,1,0))</f>
        <v>1</v>
      </c>
      <c r="AJ77" s="385" t="n">
        <f aca="false">IF(32&lt;5,0,IF(MAX(AE37:AJ37)&gt;=$B$22,1,0))</f>
        <v>1</v>
      </c>
      <c r="AK77" s="385" t="n">
        <f aca="false">IF(33&lt;5,0,IF(MAX(AF37:AK37)&gt;=$B$22,1,0))</f>
        <v>1</v>
      </c>
      <c r="AL77" s="385" t="n">
        <f aca="false">IF(34&lt;5,0,IF(MAX(AG37:AL37)&gt;=$B$22,1,0))</f>
        <v>1</v>
      </c>
      <c r="AM77" s="385" t="n">
        <f aca="false">IF(35&lt;5,0,IF(MAX(AH37:AM37)&gt;=$B$22,1,0))</f>
        <v>1</v>
      </c>
      <c r="AN77" s="385" t="n">
        <f aca="false">IF(36&lt;5,0,IF(MAX(AI37:AN37)&gt;=$B$22,1,0))</f>
        <v>1</v>
      </c>
      <c r="AO77" s="385" t="n">
        <f aca="false">IF(37&lt;5,0,IF(MAX(AJ37:AO37)&gt;=$B$22,1,0))</f>
        <v>1</v>
      </c>
      <c r="AP77" s="385" t="n">
        <f aca="false">IF(38&lt;5,0,IF(MAX(AK37:AP37)&gt;=$B$22,1,0))</f>
        <v>1</v>
      </c>
      <c r="AQ77" s="385" t="n">
        <f aca="false">IF(39&lt;5,0,IF(MAX(AL37:AQ37)&gt;=$B$22,1,0))</f>
        <v>1</v>
      </c>
      <c r="AR77" s="385" t="n">
        <f aca="false">IF(40&lt;5,0,IF(MAX(AM37:AR37)&gt;=$B$22,1,0))</f>
        <v>1</v>
      </c>
      <c r="AS77" s="385" t="n">
        <f aca="false">IF(41&lt;5,0,IF(MAX(AN37:AS37)&gt;=$B$22,1,0))</f>
        <v>1</v>
      </c>
      <c r="AT77" s="385" t="n">
        <f aca="false">IF(42&lt;5,0,IF(MAX(AO37:AT37)&gt;=$B$22,1,0))</f>
        <v>1</v>
      </c>
      <c r="AU77" s="385" t="n">
        <f aca="false">IF(43&lt;5,0,IF(MAX(AP37:AU37)&gt;=$B$22,1,0))</f>
        <v>1</v>
      </c>
      <c r="AV77" s="385" t="n">
        <f aca="false">IF(44&lt;5,0,IF(MAX(AQ37:AV37)&gt;=$B$22,1,0))</f>
        <v>1</v>
      </c>
      <c r="AW77" s="385" t="n">
        <f aca="false">IF(45&lt;5,0,IF(MAX(AR37:AW37)&gt;=$B$22,1,0))</f>
        <v>1</v>
      </c>
      <c r="AX77" s="385" t="n">
        <f aca="false">IF(46&lt;5,0,IF(MAX(AS37:AX37)&gt;=$B$22,1,0))</f>
        <v>1</v>
      </c>
      <c r="AY77" s="385" t="n">
        <f aca="false">IF(47&lt;5,0,IF(MAX(AT37:AY37)&gt;=$B$22,1,0))</f>
        <v>1</v>
      </c>
      <c r="AZ77" s="385" t="n">
        <f aca="false">IF(48&lt;5,0,IF(MAX(AU37:AZ37)&gt;=$B$22,1,0))</f>
        <v>1</v>
      </c>
      <c r="BA77" s="385" t="n">
        <f aca="false">IF(49&lt;5,0,IF(MAX(AV37:BA37)&gt;=$B$22,1,0))</f>
        <v>1</v>
      </c>
      <c r="BB77" s="385" t="n">
        <f aca="false">IF(50&lt;5,0,IF(MAX(AW37:BB37)&gt;=$B$22,1,0))</f>
        <v>1</v>
      </c>
      <c r="BC77" s="385" t="n">
        <f aca="false">IF(51&lt;5,0,IF(MAX(AX37:BC37)&gt;=$B$22,1,0))</f>
        <v>1</v>
      </c>
      <c r="BD77" s="385" t="n">
        <f aca="false">IF(52&lt;5,0,IF(MAX(AY37:BD37)&gt;=$B$22,1,0))</f>
        <v>1</v>
      </c>
      <c r="BE77" s="385" t="n">
        <f aca="false">IF(53&lt;5,0,IF(MAX(AZ37:BE37)&gt;=$B$22,1,0))</f>
        <v>1</v>
      </c>
      <c r="BF77" s="385" t="n">
        <f aca="false">IF(54&lt;5,0,IF(MAX(BA37:BF37)&gt;=$B$22,1,0))</f>
        <v>1</v>
      </c>
      <c r="BG77" s="385" t="n">
        <f aca="false">IF(55&lt;5,0,IF(MAX(BB37:BG37)&gt;=$B$22,1,0))</f>
        <v>1</v>
      </c>
      <c r="BH77" s="385" t="n">
        <f aca="false">IF(56&lt;5,0,IF(MAX(BC37:BH37)&gt;=$B$22,1,0))</f>
        <v>1</v>
      </c>
      <c r="BI77" s="385" t="n">
        <f aca="false">IF(57&lt;5,0,IF(MAX(BD37:BI37)&gt;=$B$22,1,0))</f>
        <v>1</v>
      </c>
      <c r="BJ77" s="385" t="n">
        <f aca="false">IF(58&lt;5,0,IF(MAX(BE37:BJ37)&gt;=$B$22,1,0))</f>
        <v>1</v>
      </c>
      <c r="BK77" s="385" t="n">
        <f aca="false">IF(59&lt;5,0,IF(MAX(BF37:BK37)&gt;=$B$22,1,0))</f>
        <v>1</v>
      </c>
      <c r="BL77" s="385" t="n">
        <f aca="false">IF(60&lt;5,0,IF(MAX(BG37:BL37)&gt;=$B$22,1,0))</f>
        <v>1</v>
      </c>
      <c r="BM77" s="385" t="n">
        <f aca="false">IF(61&lt;5,0,IF(MAX(BH37:BM37)&gt;=$B$22,1,0))</f>
        <v>1</v>
      </c>
      <c r="BN77" s="385" t="n">
        <f aca="false">IF(62&lt;5,0,IF(MAX(BI37:BN37)&gt;=$B$22,1,0))</f>
        <v>1</v>
      </c>
      <c r="BO77" s="385" t="n">
        <f aca="false">IF(63&lt;5,0,IF(MAX(BJ37:BO37)&gt;=$B$22,1,0))</f>
        <v>0</v>
      </c>
      <c r="BP77" s="385" t="n">
        <f aca="false">IF(64&lt;5,0,IF(MAX(BK37:BP37)&gt;=$B$22,1,0))</f>
        <v>0</v>
      </c>
      <c r="BQ77" s="385" t="n">
        <f aca="false">IF(65&lt;5,0,IF(MAX(BL37:BQ37)&gt;=$B$22,1,0))</f>
        <v>0</v>
      </c>
      <c r="BR77" s="385" t="n">
        <f aca="false">IF(66&lt;5,0,IF(MAX(BM37:BR37)&gt;=$B$22,1,0))</f>
        <v>0</v>
      </c>
      <c r="BS77" s="385" t="n">
        <f aca="false">IF(67&lt;5,0,IF(MAX(BN37:BS37)&gt;=$B$22,1,0))</f>
        <v>0</v>
      </c>
      <c r="BT77" s="385" t="n">
        <f aca="false">IF(68&lt;5,0,IF(MAX(BO37:BT37)&gt;=$B$22,1,0))</f>
        <v>0</v>
      </c>
      <c r="BU77" s="385" t="n">
        <f aca="false">IF(69&lt;5,0,IF(MAX(BP37:BU37)&gt;=$B$22,1,0))</f>
        <v>0</v>
      </c>
      <c r="BV77" s="385" t="n">
        <f aca="false">IF(70&lt;5,0,IF(MAX(BQ37:BV37)&gt;=$B$22,1,0))</f>
        <v>0</v>
      </c>
      <c r="BW77" s="385" t="n">
        <f aca="false">IF(71&lt;5,0,IF(MAX(BR37:BW37)&gt;=$B$22,1,0))</f>
        <v>0</v>
      </c>
      <c r="BX77" s="385" t="n">
        <f aca="false">IF(72&lt;5,0,IF(MAX(BS37:BX37)&gt;=$B$22,1,0))</f>
        <v>0</v>
      </c>
      <c r="BY77" s="385" t="n">
        <f aca="false">IF(73&lt;5,0,IF(MAX(BT37:BY37)&gt;=$B$22,1,0))</f>
        <v>0</v>
      </c>
      <c r="BZ77" s="385" t="n">
        <f aca="false">IF(74&lt;5,0,IF(MAX(BU37:BZ37)&gt;=$B$22,1,0))</f>
        <v>0</v>
      </c>
      <c r="CA77" s="385" t="n">
        <f aca="false">IF(75&lt;5,0,IF(MAX(BV37:CA37)&gt;=$B$22,1,0))</f>
        <v>0</v>
      </c>
      <c r="CB77" s="385" t="n">
        <f aca="false">IF(76&lt;5,0,IF(MAX(BW37:CB37)&gt;=$B$22,1,0))</f>
        <v>0</v>
      </c>
      <c r="CC77" s="385" t="n">
        <f aca="false">IF(77&lt;5,0,IF(MAX(BX37:CC37)&gt;=$B$22,1,0))</f>
        <v>0</v>
      </c>
      <c r="CD77" s="385" t="n">
        <f aca="false">IF(78&lt;5,0,IF(MAX(BY37:CD37)&gt;=$B$22,1,0))</f>
        <v>0</v>
      </c>
      <c r="CE77" s="385" t="n">
        <f aca="false">IF(79&lt;5,0,IF(MAX(BZ37:CE37)&gt;=$B$22,1,0))</f>
        <v>0</v>
      </c>
      <c r="CF77" s="385" t="n">
        <f aca="false">IF(80&lt;5,0,IF(MAX(CA37:CF37)&gt;=$B$22,1,0))</f>
        <v>0</v>
      </c>
      <c r="CG77" s="385" t="n">
        <f aca="false">IF(81&lt;5,0,IF(MAX(CB37:CG37)&gt;=$B$22,1,0))</f>
        <v>0</v>
      </c>
      <c r="CH77" s="385" t="n">
        <f aca="false">IF(82&lt;5,0,IF(MAX(CC37:CH37)&gt;=$B$22,1,0))</f>
        <v>0</v>
      </c>
      <c r="CI77" s="385" t="n">
        <f aca="false">IF(83&lt;5,0,IF(MAX(CD37:CI37)&gt;=$B$22,1,0))</f>
        <v>0</v>
      </c>
      <c r="CJ77" s="385" t="n">
        <f aca="false">IF(84&lt;5,0,IF(MAX(CE37:CJ37)&gt;=$B$22,1,0))</f>
        <v>0</v>
      </c>
      <c r="CK77" s="385" t="n">
        <f aca="false">IF(85&lt;5,0,IF(MAX(CF37:CK37)&gt;=$B$22,1,0))</f>
        <v>0</v>
      </c>
      <c r="CL77" s="385" t="n">
        <f aca="false">IF(86&lt;5,0,IF(MAX(CG37:CL37)&gt;=$B$22,1,0))</f>
        <v>0</v>
      </c>
      <c r="CM77" s="385" t="n">
        <f aca="false">IF(87&lt;5,0,IF(MAX(CH37:CM37)&gt;=$B$22,1,0))</f>
        <v>0</v>
      </c>
      <c r="CN77" s="385" t="n">
        <f aca="false">IF(88&lt;5,0,IF(MAX(CI37:CN37)&gt;=$B$22,1,0))</f>
        <v>0</v>
      </c>
      <c r="CO77" s="385" t="n">
        <f aca="false">IF(89&lt;5,0,IF(MAX(CJ37:CO37)&gt;=$B$22,1,0))</f>
        <v>0</v>
      </c>
      <c r="CP77" s="385" t="n">
        <f aca="false">IF(90&lt;5,0,IF(MAX(CK37:CP37)&gt;=$B$22,1,0))</f>
        <v>0</v>
      </c>
      <c r="CQ77" s="385" t="n">
        <f aca="false">IF(91&lt;5,0,IF(MAX(CL37:CQ37)&gt;=$B$22,1,0))</f>
        <v>0</v>
      </c>
      <c r="CR77" s="385" t="n">
        <f aca="false">IF(92&lt;5,0,IF(MAX(CM37:CR37)&gt;=$B$22,1,0))</f>
        <v>0</v>
      </c>
      <c r="CS77" s="385" t="n">
        <f aca="false">IF(93&lt;5,0,IF(MAX(CN37:CS37)&gt;=$B$22,1,0))</f>
        <v>0</v>
      </c>
      <c r="CT77" s="385" t="n">
        <f aca="false">IF(94&lt;5,0,IF(MAX(CO37:CT37)&gt;=$B$22,1,0))</f>
        <v>0</v>
      </c>
      <c r="CU77" s="385" t="n">
        <f aca="false">IF(95&lt;5,0,IF(MAX(CP37:CU37)&gt;=$B$22,1,0))</f>
        <v>0</v>
      </c>
      <c r="CV77" s="385" t="n">
        <f aca="false">IF(96&lt;5,0,IF(MAX(CQ37:CV37)&gt;=$B$22,1,0))</f>
        <v>0</v>
      </c>
      <c r="CW77" s="385" t="n">
        <f aca="false">IF(97&lt;5,0,IF(MAX(CR37:CW37)&gt;=$B$22,1,0))</f>
        <v>0</v>
      </c>
      <c r="CX77" s="385" t="n">
        <f aca="false">IF(98&lt;5,0,IF(MAX(CS37:CX37)&gt;=$B$22,1,0))</f>
        <v>0</v>
      </c>
      <c r="CY77" s="385" t="n">
        <f aca="false">IF(99&lt;5,0,IF(MAX(CT37:CY37)&gt;=$B$22,1,0))</f>
        <v>0</v>
      </c>
      <c r="CZ77" s="385" t="n">
        <f aca="false">IF(100&lt;5,0,IF(MAX(CU37:CZ37)&gt;=$B$22,1,0))</f>
        <v>0</v>
      </c>
      <c r="DA77" s="385" t="n">
        <f aca="false">IF(101&lt;5,0,IF(MAX(CV37:DA37)&gt;=$B$22,1,0))</f>
        <v>0</v>
      </c>
      <c r="DB77" s="385" t="n">
        <f aca="false">IF(102&lt;5,0,IF(MAX(CW37:DB37)&gt;=$B$22,1,0))</f>
        <v>0</v>
      </c>
      <c r="DC77" s="385" t="n">
        <f aca="false">IF(103&lt;5,0,IF(MAX(CX37:DC37)&gt;=$B$22,1,0))</f>
        <v>0</v>
      </c>
      <c r="DD77" s="385" t="n">
        <f aca="false">IF(104&lt;5,0,IF(MAX(CY37:DD37)&gt;=$B$22,1,0))</f>
        <v>0</v>
      </c>
      <c r="DE77" s="385" t="n">
        <f aca="false">IF(105&lt;5,0,IF(MAX(CZ37:DE37)&gt;=$B$22,1,0))</f>
        <v>0</v>
      </c>
    </row>
    <row r="78" customFormat="false" ht="13.5" hidden="false" customHeight="true" outlineLevel="0" collapsed="false">
      <c r="A78" s="110" t="s">
        <v>1405</v>
      </c>
      <c r="B78" s="213" t="n">
        <f aca="false">$B$30</f>
        <v>80000</v>
      </c>
      <c r="E78" s="385" t="n">
        <f aca="false">IF(1&lt;5,0,IF(MAX(E37:E37)&gt;=$B$23,1,0))</f>
        <v>0</v>
      </c>
      <c r="F78" s="385" t="n">
        <f aca="false">IF(2&lt;5,0,IF(MAX(E37:F37)&gt;=$B$23,1,0))</f>
        <v>0</v>
      </c>
      <c r="G78" s="385" t="n">
        <f aca="false">IF(3&lt;5,0,IF(MAX(E37:G37)&gt;=$B$23,1,0))</f>
        <v>0</v>
      </c>
      <c r="H78" s="385" t="n">
        <f aca="false">IF(4&lt;5,0,IF(MAX(E37:H37)&gt;=$B$23,1,0))</f>
        <v>0</v>
      </c>
      <c r="I78" s="385" t="n">
        <f aca="false">IF(5&lt;5,0,IF(MAX(E37:I37)&gt;=$B$23,1,0))</f>
        <v>0</v>
      </c>
      <c r="J78" s="385" t="n">
        <f aca="false">IF(6&lt;5,0,IF(MAX(E37:J37)&gt;=$B$23,1,0))</f>
        <v>0</v>
      </c>
      <c r="K78" s="385" t="n">
        <f aca="false">IF(7&lt;5,0,IF(MAX(F37:K37)&gt;=$B$23,1,0))</f>
        <v>0</v>
      </c>
      <c r="L78" s="385" t="n">
        <f aca="false">IF(8&lt;5,0,IF(MAX(G37:L37)&gt;=$B$23,1,0))</f>
        <v>0</v>
      </c>
      <c r="M78" s="385" t="n">
        <f aca="false">IF(9&lt;5,0,IF(MAX(H37:M37)&gt;=$B$23,1,0))</f>
        <v>0</v>
      </c>
      <c r="N78" s="385" t="n">
        <f aca="false">IF(10&lt;5,0,IF(MAX(I37:N37)&gt;=$B$23,1,0))</f>
        <v>0</v>
      </c>
      <c r="O78" s="385" t="n">
        <f aca="false">IF(11&lt;5,0,IF(MAX(J37:O37)&gt;=$B$23,1,0))</f>
        <v>0</v>
      </c>
      <c r="P78" s="385" t="n">
        <f aca="false">IF(12&lt;5,0,IF(MAX(K37:P37)&gt;=$B$23,1,0))</f>
        <v>0</v>
      </c>
      <c r="Q78" s="385" t="n">
        <f aca="false">IF(13&lt;5,0,IF(MAX(L37:Q37)&gt;=$B$23,1,0))</f>
        <v>0</v>
      </c>
      <c r="R78" s="385" t="n">
        <f aca="false">IF(14&lt;5,0,IF(MAX(M37:R37)&gt;=$B$23,1,0))</f>
        <v>1</v>
      </c>
      <c r="S78" s="385" t="n">
        <f aca="false">IF(15&lt;5,0,IF(MAX(N37:S37)&gt;=$B$23,1,0))</f>
        <v>1</v>
      </c>
      <c r="T78" s="385" t="n">
        <f aca="false">IF(16&lt;5,0,IF(MAX(O37:T37)&gt;=$B$23,1,0))</f>
        <v>1</v>
      </c>
      <c r="U78" s="385" t="n">
        <f aca="false">IF(17&lt;5,0,IF(MAX(P37:U37)&gt;=$B$23,1,0))</f>
        <v>1</v>
      </c>
      <c r="V78" s="385" t="n">
        <f aca="false">IF(18&lt;5,0,IF(MAX(Q37:V37)&gt;=$B$23,1,0))</f>
        <v>1</v>
      </c>
      <c r="W78" s="385" t="n">
        <f aca="false">IF(19&lt;5,0,IF(MAX(R37:W37)&gt;=$B$23,1,0))</f>
        <v>1</v>
      </c>
      <c r="X78" s="385" t="n">
        <f aca="false">IF(20&lt;5,0,IF(MAX(S37:X37)&gt;=$B$23,1,0))</f>
        <v>1</v>
      </c>
      <c r="Y78" s="385" t="n">
        <f aca="false">IF(21&lt;5,0,IF(MAX(T37:Y37)&gt;=$B$23,1,0))</f>
        <v>1</v>
      </c>
      <c r="Z78" s="385" t="n">
        <f aca="false">IF(22&lt;5,0,IF(MAX(U37:Z37)&gt;=$B$23,1,0))</f>
        <v>1</v>
      </c>
      <c r="AA78" s="385" t="n">
        <f aca="false">IF(23&lt;5,0,IF(MAX(V37:AA37)&gt;=$B$23,1,0))</f>
        <v>1</v>
      </c>
      <c r="AB78" s="385" t="n">
        <f aca="false">IF(24&lt;5,0,IF(MAX(W37:AB37)&gt;=$B$23,1,0))</f>
        <v>0</v>
      </c>
      <c r="AC78" s="385" t="n">
        <f aca="false">IF(25&lt;5,0,IF(MAX(X37:AC37)&gt;=$B$23,1,0))</f>
        <v>0</v>
      </c>
      <c r="AD78" s="385" t="n">
        <f aca="false">IF(26&lt;5,0,IF(MAX(Y37:AD37)&gt;=$B$23,1,0))</f>
        <v>0</v>
      </c>
      <c r="AE78" s="385" t="n">
        <f aca="false">IF(27&lt;5,0,IF(MAX(Z37:AE37)&gt;=$B$23,1,0))</f>
        <v>0</v>
      </c>
      <c r="AF78" s="385" t="n">
        <f aca="false">IF(28&lt;5,0,IF(MAX(AA37:AF37)&gt;=$B$23,1,0))</f>
        <v>0</v>
      </c>
      <c r="AG78" s="385" t="n">
        <f aca="false">IF(29&lt;5,0,IF(MAX(AB37:AG37)&gt;=$B$23,1,0))</f>
        <v>0</v>
      </c>
      <c r="AH78" s="385" t="n">
        <f aca="false">IF(30&lt;5,0,IF(MAX(AC37:AH37)&gt;=$B$23,1,0))</f>
        <v>0</v>
      </c>
      <c r="AI78" s="385" t="n">
        <f aca="false">IF(31&lt;5,0,IF(MAX(AD37:AI37)&gt;=$B$23,1,0))</f>
        <v>0</v>
      </c>
      <c r="AJ78" s="385" t="n">
        <f aca="false">IF(32&lt;5,0,IF(MAX(AE37:AJ37)&gt;=$B$23,1,0))</f>
        <v>1</v>
      </c>
      <c r="AK78" s="385" t="n">
        <f aca="false">IF(33&lt;5,0,IF(MAX(AF37:AK37)&gt;=$B$23,1,0))</f>
        <v>1</v>
      </c>
      <c r="AL78" s="385" t="n">
        <f aca="false">IF(34&lt;5,0,IF(MAX(AG37:AL37)&gt;=$B$23,1,0))</f>
        <v>1</v>
      </c>
      <c r="AM78" s="385" t="n">
        <f aca="false">IF(35&lt;5,0,IF(MAX(AH37:AM37)&gt;=$B$23,1,0))</f>
        <v>1</v>
      </c>
      <c r="AN78" s="385" t="n">
        <f aca="false">IF(36&lt;5,0,IF(MAX(AI37:AN37)&gt;=$B$23,1,0))</f>
        <v>1</v>
      </c>
      <c r="AO78" s="385" t="n">
        <f aca="false">IF(37&lt;5,0,IF(MAX(AJ37:AO37)&gt;=$B$23,1,0))</f>
        <v>1</v>
      </c>
      <c r="AP78" s="385" t="n">
        <f aca="false">IF(38&lt;5,0,IF(MAX(AK37:AP37)&gt;=$B$23,1,0))</f>
        <v>1</v>
      </c>
      <c r="AQ78" s="385" t="n">
        <f aca="false">IF(39&lt;5,0,IF(MAX(AL37:AQ37)&gt;=$B$23,1,0))</f>
        <v>1</v>
      </c>
      <c r="AR78" s="385" t="n">
        <f aca="false">IF(40&lt;5,0,IF(MAX(AM37:AR37)&gt;=$B$23,1,0))</f>
        <v>1</v>
      </c>
      <c r="AS78" s="385" t="n">
        <f aca="false">IF(41&lt;5,0,IF(MAX(AN37:AS37)&gt;=$B$23,1,0))</f>
        <v>1</v>
      </c>
      <c r="AT78" s="385" t="n">
        <f aca="false">IF(42&lt;5,0,IF(MAX(AO37:AT37)&gt;=$B$23,1,0))</f>
        <v>1</v>
      </c>
      <c r="AU78" s="385" t="n">
        <f aca="false">IF(43&lt;5,0,IF(MAX(AP37:AU37)&gt;=$B$23,1,0))</f>
        <v>1</v>
      </c>
      <c r="AV78" s="385" t="n">
        <f aca="false">IF(44&lt;5,0,IF(MAX(AQ37:AV37)&gt;=$B$23,1,0))</f>
        <v>1</v>
      </c>
      <c r="AW78" s="385" t="n">
        <f aca="false">IF(45&lt;5,0,IF(MAX(AR37:AW37)&gt;=$B$23,1,0))</f>
        <v>1</v>
      </c>
      <c r="AX78" s="385" t="n">
        <f aca="false">IF(46&lt;5,0,IF(MAX(AS37:AX37)&gt;=$B$23,1,0))</f>
        <v>1</v>
      </c>
      <c r="AY78" s="385" t="n">
        <f aca="false">IF(47&lt;5,0,IF(MAX(AT37:AY37)&gt;=$B$23,1,0))</f>
        <v>1</v>
      </c>
      <c r="AZ78" s="385" t="n">
        <f aca="false">IF(48&lt;5,0,IF(MAX(AU37:AZ37)&gt;=$B$23,1,0))</f>
        <v>1</v>
      </c>
      <c r="BA78" s="385" t="n">
        <f aca="false">IF(49&lt;5,0,IF(MAX(AV37:BA37)&gt;=$B$23,1,0))</f>
        <v>1</v>
      </c>
      <c r="BB78" s="385" t="n">
        <f aca="false">IF(50&lt;5,0,IF(MAX(AW37:BB37)&gt;=$B$23,1,0))</f>
        <v>1</v>
      </c>
      <c r="BC78" s="385" t="n">
        <f aca="false">IF(51&lt;5,0,IF(MAX(AX37:BC37)&gt;=$B$23,1,0))</f>
        <v>1</v>
      </c>
      <c r="BD78" s="385" t="n">
        <f aca="false">IF(52&lt;5,0,IF(MAX(AY37:BD37)&gt;=$B$23,1,0))</f>
        <v>1</v>
      </c>
      <c r="BE78" s="385" t="n">
        <f aca="false">IF(53&lt;5,0,IF(MAX(AZ37:BE37)&gt;=$B$23,1,0))</f>
        <v>1</v>
      </c>
      <c r="BF78" s="385" t="n">
        <f aca="false">IF(54&lt;5,0,IF(MAX(BA37:BF37)&gt;=$B$23,1,0))</f>
        <v>1</v>
      </c>
      <c r="BG78" s="385" t="n">
        <f aca="false">IF(55&lt;5,0,IF(MAX(BB37:BG37)&gt;=$B$23,1,0))</f>
        <v>1</v>
      </c>
      <c r="BH78" s="385" t="n">
        <f aca="false">IF(56&lt;5,0,IF(MAX(BC37:BH37)&gt;=$B$23,1,0))</f>
        <v>1</v>
      </c>
      <c r="BI78" s="385" t="n">
        <f aca="false">IF(57&lt;5,0,IF(MAX(BD37:BI37)&gt;=$B$23,1,0))</f>
        <v>1</v>
      </c>
      <c r="BJ78" s="385" t="n">
        <f aca="false">IF(58&lt;5,0,IF(MAX(BE37:BJ37)&gt;=$B$23,1,0))</f>
        <v>1</v>
      </c>
      <c r="BK78" s="385" t="n">
        <f aca="false">IF(59&lt;5,0,IF(MAX(BF37:BK37)&gt;=$B$23,1,0))</f>
        <v>1</v>
      </c>
      <c r="BL78" s="385" t="n">
        <f aca="false">IF(60&lt;5,0,IF(MAX(BG37:BL37)&gt;=$B$23,1,0))</f>
        <v>1</v>
      </c>
      <c r="BM78" s="385" t="n">
        <f aca="false">IF(61&lt;5,0,IF(MAX(BH37:BM37)&gt;=$B$23,1,0))</f>
        <v>1</v>
      </c>
      <c r="BN78" s="385" t="n">
        <f aca="false">IF(62&lt;5,0,IF(MAX(BI37:BN37)&gt;=$B$23,1,0))</f>
        <v>0</v>
      </c>
      <c r="BO78" s="385" t="n">
        <f aca="false">IF(63&lt;5,0,IF(MAX(BJ37:BO37)&gt;=$B$23,1,0))</f>
        <v>0</v>
      </c>
      <c r="BP78" s="385" t="n">
        <f aca="false">IF(64&lt;5,0,IF(MAX(BK37:BP37)&gt;=$B$23,1,0))</f>
        <v>0</v>
      </c>
      <c r="BQ78" s="385" t="n">
        <f aca="false">IF(65&lt;5,0,IF(MAX(BL37:BQ37)&gt;=$B$23,1,0))</f>
        <v>0</v>
      </c>
      <c r="BR78" s="385" t="n">
        <f aca="false">IF(66&lt;5,0,IF(MAX(BM37:BR37)&gt;=$B$23,1,0))</f>
        <v>0</v>
      </c>
      <c r="BS78" s="385" t="n">
        <f aca="false">IF(67&lt;5,0,IF(MAX(BN37:BS37)&gt;=$B$23,1,0))</f>
        <v>0</v>
      </c>
      <c r="BT78" s="385" t="n">
        <f aca="false">IF(68&lt;5,0,IF(MAX(BO37:BT37)&gt;=$B$23,1,0))</f>
        <v>0</v>
      </c>
      <c r="BU78" s="385" t="n">
        <f aca="false">IF(69&lt;5,0,IF(MAX(BP37:BU37)&gt;=$B$23,1,0))</f>
        <v>0</v>
      </c>
      <c r="BV78" s="385" t="n">
        <f aca="false">IF(70&lt;5,0,IF(MAX(BQ37:BV37)&gt;=$B$23,1,0))</f>
        <v>0</v>
      </c>
      <c r="BW78" s="385" t="n">
        <f aca="false">IF(71&lt;5,0,IF(MAX(BR37:BW37)&gt;=$B$23,1,0))</f>
        <v>0</v>
      </c>
      <c r="BX78" s="385" t="n">
        <f aca="false">IF(72&lt;5,0,IF(MAX(BS37:BX37)&gt;=$B$23,1,0))</f>
        <v>0</v>
      </c>
      <c r="BY78" s="385" t="n">
        <f aca="false">IF(73&lt;5,0,IF(MAX(BT37:BY37)&gt;=$B$23,1,0))</f>
        <v>0</v>
      </c>
      <c r="BZ78" s="385" t="n">
        <f aca="false">IF(74&lt;5,0,IF(MAX(BU37:BZ37)&gt;=$B$23,1,0))</f>
        <v>0</v>
      </c>
      <c r="CA78" s="385" t="n">
        <f aca="false">IF(75&lt;5,0,IF(MAX(BV37:CA37)&gt;=$B$23,1,0))</f>
        <v>0</v>
      </c>
      <c r="CB78" s="385" t="n">
        <f aca="false">IF(76&lt;5,0,IF(MAX(BW37:CB37)&gt;=$B$23,1,0))</f>
        <v>0</v>
      </c>
      <c r="CC78" s="385" t="n">
        <f aca="false">IF(77&lt;5,0,IF(MAX(BX37:CC37)&gt;=$B$23,1,0))</f>
        <v>0</v>
      </c>
      <c r="CD78" s="385" t="n">
        <f aca="false">IF(78&lt;5,0,IF(MAX(BY37:CD37)&gt;=$B$23,1,0))</f>
        <v>0</v>
      </c>
      <c r="CE78" s="385" t="n">
        <f aca="false">IF(79&lt;5,0,IF(MAX(BZ37:CE37)&gt;=$B$23,1,0))</f>
        <v>0</v>
      </c>
      <c r="CF78" s="385" t="n">
        <f aca="false">IF(80&lt;5,0,IF(MAX(CA37:CF37)&gt;=$B$23,1,0))</f>
        <v>0</v>
      </c>
      <c r="CG78" s="385" t="n">
        <f aca="false">IF(81&lt;5,0,IF(MAX(CB37:CG37)&gt;=$B$23,1,0))</f>
        <v>0</v>
      </c>
      <c r="CH78" s="385" t="n">
        <f aca="false">IF(82&lt;5,0,IF(MAX(CC37:CH37)&gt;=$B$23,1,0))</f>
        <v>0</v>
      </c>
      <c r="CI78" s="385" t="n">
        <f aca="false">IF(83&lt;5,0,IF(MAX(CD37:CI37)&gt;=$B$23,1,0))</f>
        <v>0</v>
      </c>
      <c r="CJ78" s="385" t="n">
        <f aca="false">IF(84&lt;5,0,IF(MAX(CE37:CJ37)&gt;=$B$23,1,0))</f>
        <v>0</v>
      </c>
      <c r="CK78" s="385" t="n">
        <f aca="false">IF(85&lt;5,0,IF(MAX(CF37:CK37)&gt;=$B$23,1,0))</f>
        <v>0</v>
      </c>
      <c r="CL78" s="385" t="n">
        <f aca="false">IF(86&lt;5,0,IF(MAX(CG37:CL37)&gt;=$B$23,1,0))</f>
        <v>0</v>
      </c>
      <c r="CM78" s="385" t="n">
        <f aca="false">IF(87&lt;5,0,IF(MAX(CH37:CM37)&gt;=$B$23,1,0))</f>
        <v>0</v>
      </c>
      <c r="CN78" s="385" t="n">
        <f aca="false">IF(88&lt;5,0,IF(MAX(CI37:CN37)&gt;=$B$23,1,0))</f>
        <v>0</v>
      </c>
      <c r="CO78" s="385" t="n">
        <f aca="false">IF(89&lt;5,0,IF(MAX(CJ37:CO37)&gt;=$B$23,1,0))</f>
        <v>0</v>
      </c>
      <c r="CP78" s="385" t="n">
        <f aca="false">IF(90&lt;5,0,IF(MAX(CK37:CP37)&gt;=$B$23,1,0))</f>
        <v>0</v>
      </c>
      <c r="CQ78" s="385" t="n">
        <f aca="false">IF(91&lt;5,0,IF(MAX(CL37:CQ37)&gt;=$B$23,1,0))</f>
        <v>0</v>
      </c>
      <c r="CR78" s="385" t="n">
        <f aca="false">IF(92&lt;5,0,IF(MAX(CM37:CR37)&gt;=$B$23,1,0))</f>
        <v>0</v>
      </c>
      <c r="CS78" s="385" t="n">
        <f aca="false">IF(93&lt;5,0,IF(MAX(CN37:CS37)&gt;=$B$23,1,0))</f>
        <v>0</v>
      </c>
      <c r="CT78" s="385" t="n">
        <f aca="false">IF(94&lt;5,0,IF(MAX(CO37:CT37)&gt;=$B$23,1,0))</f>
        <v>0</v>
      </c>
      <c r="CU78" s="385" t="n">
        <f aca="false">IF(95&lt;5,0,IF(MAX(CP37:CU37)&gt;=$B$23,1,0))</f>
        <v>0</v>
      </c>
      <c r="CV78" s="385" t="n">
        <f aca="false">IF(96&lt;5,0,IF(MAX(CQ37:CV37)&gt;=$B$23,1,0))</f>
        <v>0</v>
      </c>
      <c r="CW78" s="385" t="n">
        <f aca="false">IF(97&lt;5,0,IF(MAX(CR37:CW37)&gt;=$B$23,1,0))</f>
        <v>0</v>
      </c>
      <c r="CX78" s="385" t="n">
        <f aca="false">IF(98&lt;5,0,IF(MAX(CS37:CX37)&gt;=$B$23,1,0))</f>
        <v>0</v>
      </c>
      <c r="CY78" s="385" t="n">
        <f aca="false">IF(99&lt;5,0,IF(MAX(CT37:CY37)&gt;=$B$23,1,0))</f>
        <v>0</v>
      </c>
      <c r="CZ78" s="385" t="n">
        <f aca="false">IF(100&lt;5,0,IF(MAX(CU37:CZ37)&gt;=$B$23,1,0))</f>
        <v>0</v>
      </c>
      <c r="DA78" s="385" t="n">
        <f aca="false">IF(101&lt;5,0,IF(MAX(CV37:DA37)&gt;=$B$23,1,0))</f>
        <v>0</v>
      </c>
      <c r="DB78" s="385" t="n">
        <f aca="false">IF(102&lt;5,0,IF(MAX(CW37:DB37)&gt;=$B$23,1,0))</f>
        <v>0</v>
      </c>
      <c r="DC78" s="385" t="n">
        <f aca="false">IF(103&lt;5,0,IF(MAX(CX37:DC37)&gt;=$B$23,1,0))</f>
        <v>0</v>
      </c>
      <c r="DD78" s="385" t="n">
        <f aca="false">IF(104&lt;5,0,IF(MAX(CY37:DD37)&gt;=$B$23,1,0))</f>
        <v>0</v>
      </c>
      <c r="DE78" s="385" t="n">
        <f aca="false">IF(105&lt;5,0,IF(MAX(CZ37:DE37)&gt;=$B$23,1,0))</f>
        <v>0</v>
      </c>
    </row>
    <row r="80" customFormat="false" ht="13.5" hidden="false" customHeight="true" outlineLevel="0" collapsed="false">
      <c r="A80" s="211" t="s">
        <v>1406</v>
      </c>
      <c r="B80" s="212"/>
      <c r="C80" s="212"/>
      <c r="D80" s="212"/>
      <c r="E80" s="212"/>
      <c r="F80" s="212"/>
    </row>
    <row r="81" customFormat="false" ht="13.5" hidden="false" customHeight="true" outlineLevel="0" collapsed="false">
      <c r="A81" s="110" t="s">
        <v>1407</v>
      </c>
      <c r="E81" s="386" t="n">
        <f aca="false">(SUMPRODUCT($B$49:$B$58,E49:E58)+SUMPRODUCT($B$61:$B$68,E61:E68)+SUMPRODUCT($B$71:$B$74,E71:E74)+SUMPRODUCT($B$77:$B$78,E77:E78)+SUMPRODUCT($B$99:$B$104,E99:E104))/12</f>
        <v>0</v>
      </c>
      <c r="F81" s="386" t="n">
        <f aca="false">(SUMPRODUCT($B$49:$B$58,F49:F58)+SUMPRODUCT($B$61:$B$68,F61:F68)+SUMPRODUCT($B$71:$B$74,F71:F74)+SUMPRODUCT($B$77:$B$78,F77:F78)+SUMPRODUCT($B$99:$B$104,F99:F104))/12</f>
        <v>0</v>
      </c>
      <c r="G81" s="386" t="n">
        <f aca="false">(SUMPRODUCT($B$49:$B$58,G49:G58)+SUMPRODUCT($B$61:$B$68,G61:G68)+SUMPRODUCT($B$71:$B$74,G71:G74)+SUMPRODUCT($B$77:$B$78,G77:G78)+SUMPRODUCT($B$99:$B$104,G99:G104))/12</f>
        <v>0</v>
      </c>
      <c r="H81" s="386" t="n">
        <f aca="false">(SUMPRODUCT($B$49:$B$58,H49:H58)+SUMPRODUCT($B$61:$B$68,H61:H68)+SUMPRODUCT($B$71:$B$74,H71:H74)+SUMPRODUCT($B$77:$B$78,H77:H78)+SUMPRODUCT($B$99:$B$104,H99:H104))/12</f>
        <v>0</v>
      </c>
      <c r="I81" s="386" t="n">
        <f aca="false">(SUMPRODUCT($B$49:$B$58,I49:I58)+SUMPRODUCT($B$61:$B$68,I61:I68)+SUMPRODUCT($B$71:$B$74,I71:I74)+SUMPRODUCT($B$77:$B$78,I77:I78)+SUMPRODUCT($B$99:$B$104,I99:I104))/12</f>
        <v>10833.3333333333</v>
      </c>
      <c r="J81" s="386" t="n">
        <f aca="false">(SUMPRODUCT($B$49:$B$58,J49:J58)+SUMPRODUCT($B$61:$B$68,J61:J68)+SUMPRODUCT($B$71:$B$74,J71:J74)+SUMPRODUCT($B$77:$B$78,J77:J78)+SUMPRODUCT($B$99:$B$104,J99:J104))/12</f>
        <v>0</v>
      </c>
      <c r="K81" s="386" t="n">
        <f aca="false">(SUMPRODUCT($B$49:$B$58,K49:K58)+SUMPRODUCT($B$61:$B$68,K61:K68)+SUMPRODUCT($B$71:$B$74,K71:K74)+SUMPRODUCT($B$77:$B$78,K77:K78)+SUMPRODUCT($B$99:$B$104,K99:K104))/12</f>
        <v>0</v>
      </c>
      <c r="L81" s="386" t="n">
        <f aca="false">(SUMPRODUCT($B$49:$B$58,L49:L58)+SUMPRODUCT($B$61:$B$68,L61:L68)+SUMPRODUCT($B$71:$B$74,L71:L74)+SUMPRODUCT($B$77:$B$78,L77:L78)+SUMPRODUCT($B$99:$B$104,L99:L104))/12</f>
        <v>0</v>
      </c>
      <c r="M81" s="386" t="n">
        <f aca="false">(SUMPRODUCT($B$49:$B$58,M49:M58)+SUMPRODUCT($B$61:$B$68,M61:M68)+SUMPRODUCT($B$71:$B$74,M71:M74)+SUMPRODUCT($B$77:$B$78,M77:M78)+SUMPRODUCT($B$99:$B$104,M99:M104))/12</f>
        <v>23750</v>
      </c>
      <c r="N81" s="386" t="n">
        <f aca="false">(SUMPRODUCT($B$49:$B$58,N49:N58)+SUMPRODUCT($B$61:$B$68,N61:N68)+SUMPRODUCT($B$71:$B$74,N71:N74)+SUMPRODUCT($B$77:$B$78,N77:N78)+SUMPRODUCT($B$99:$B$104,N99:N104))/12</f>
        <v>47916.6666666667</v>
      </c>
      <c r="O81" s="386" t="n">
        <f aca="false">(SUMPRODUCT($B$49:$B$58,O49:O58)+SUMPRODUCT($B$61:$B$68,O61:O68)+SUMPRODUCT($B$71:$B$74,O71:O74)+SUMPRODUCT($B$77:$B$78,O77:O78)+SUMPRODUCT($B$99:$B$104,O99:O104))/12</f>
        <v>93333.3333333333</v>
      </c>
      <c r="P81" s="386" t="n">
        <f aca="false">(SUMPRODUCT($B$49:$B$58,P49:P58)+SUMPRODUCT($B$61:$B$68,P61:P68)+SUMPRODUCT($B$71:$B$74,P71:P74)+SUMPRODUCT($B$77:$B$78,P77:P78)+SUMPRODUCT($B$99:$B$104,P99:P104))/12</f>
        <v>93333.3333333333</v>
      </c>
      <c r="Q81" s="386" t="n">
        <f aca="false">(SUMPRODUCT($B$49:$B$58,Q49:Q58)+SUMPRODUCT($B$61:$B$68,Q61:Q68)+SUMPRODUCT($B$71:$B$74,Q71:Q74)+SUMPRODUCT($B$77:$B$78,Q77:Q78)+SUMPRODUCT($B$99:$B$104,Q99:Q104))/12</f>
        <v>117083.333333333</v>
      </c>
      <c r="R81" s="386" t="n">
        <f aca="false">(SUMPRODUCT($B$49:$B$58,R49:R58)+SUMPRODUCT($B$61:$B$68,R61:R68)+SUMPRODUCT($B$71:$B$74,R71:R74)+SUMPRODUCT($B$77:$B$78,R77:R78)+SUMPRODUCT($B$99:$B$104,R99:R104))/12</f>
        <v>147916.666666667</v>
      </c>
      <c r="S81" s="386" t="n">
        <f aca="false">(SUMPRODUCT($B$49:$B$58,S49:S58)+SUMPRODUCT($B$61:$B$68,S61:S68)+SUMPRODUCT($B$71:$B$74,S71:S74)+SUMPRODUCT($B$77:$B$78,S77:S78)+SUMPRODUCT($B$99:$B$104,S99:S104))/12</f>
        <v>158333.333333333</v>
      </c>
      <c r="T81" s="386" t="n">
        <f aca="false">(SUMPRODUCT($B$49:$B$58,T49:T58)+SUMPRODUCT($B$61:$B$68,T61:T68)+SUMPRODUCT($B$71:$B$74,T71:T74)+SUMPRODUCT($B$77:$B$78,T77:T78)+SUMPRODUCT($B$99:$B$104,T99:T104))/12</f>
        <v>168750</v>
      </c>
      <c r="U81" s="386" t="n">
        <f aca="false">(SUMPRODUCT($B$49:$B$58,U49:U58)+SUMPRODUCT($B$61:$B$68,U61:U68)+SUMPRODUCT($B$71:$B$74,U71:U74)+SUMPRODUCT($B$77:$B$78,U77:U78)+SUMPRODUCT($B$99:$B$104,U99:U104))/12</f>
        <v>168750</v>
      </c>
      <c r="V81" s="386" t="n">
        <f aca="false">(SUMPRODUCT($B$49:$B$58,V49:V58)+SUMPRODUCT($B$61:$B$68,V61:V68)+SUMPRODUCT($B$71:$B$74,V71:V74)+SUMPRODUCT($B$77:$B$78,V77:V78)+SUMPRODUCT($B$99:$B$104,V99:V104))/12</f>
        <v>168750</v>
      </c>
      <c r="W81" s="386" t="n">
        <f aca="false">(SUMPRODUCT($B$49:$B$58,W49:W58)+SUMPRODUCT($B$61:$B$68,W61:W68)+SUMPRODUCT($B$71:$B$74,W71:W74)+SUMPRODUCT($B$77:$B$78,W77:W78)+SUMPRODUCT($B$99:$B$104,W99:W104))/12</f>
        <v>168750</v>
      </c>
      <c r="X81" s="386" t="n">
        <f aca="false">(SUMPRODUCT($B$49:$B$58,X49:X58)+SUMPRODUCT($B$61:$B$68,X61:X68)+SUMPRODUCT($B$71:$B$74,X71:X74)+SUMPRODUCT($B$77:$B$78,X77:X78)+SUMPRODUCT($B$99:$B$104,X99:X104))/12</f>
        <v>168750</v>
      </c>
      <c r="Y81" s="386" t="n">
        <f aca="false">(SUMPRODUCT($B$49:$B$58,Y49:Y58)+SUMPRODUCT($B$61:$B$68,Y61:Y68)+SUMPRODUCT($B$71:$B$74,Y71:Y74)+SUMPRODUCT($B$77:$B$78,Y77:Y78)+SUMPRODUCT($B$99:$B$104,Y99:Y104))/12</f>
        <v>168750</v>
      </c>
      <c r="Z81" s="386" t="n">
        <f aca="false">(SUMPRODUCT($B$49:$B$58,Z49:Z58)+SUMPRODUCT($B$61:$B$68,Z61:Z68)+SUMPRODUCT($B$71:$B$74,Z71:Z74)+SUMPRODUCT($B$77:$B$78,Z77:Z78)+SUMPRODUCT($B$99:$B$104,Z99:Z104))/12</f>
        <v>158333.333333333</v>
      </c>
      <c r="AA81" s="386" t="n">
        <f aca="false">(SUMPRODUCT($B$49:$B$58,AA49:AA58)+SUMPRODUCT($B$61:$B$68,AA61:AA68)+SUMPRODUCT($B$71:$B$74,AA71:AA74)+SUMPRODUCT($B$77:$B$78,AA77:AA78)+SUMPRODUCT($B$99:$B$104,AA99:AA104))/12</f>
        <v>158333.333333333</v>
      </c>
      <c r="AB81" s="386" t="n">
        <f aca="false">(SUMPRODUCT($B$49:$B$58,AB49:AB58)+SUMPRODUCT($B$61:$B$68,AB61:AB68)+SUMPRODUCT($B$71:$B$74,AB71:AB74)+SUMPRODUCT($B$77:$B$78,AB77:AB78)+SUMPRODUCT($B$99:$B$104,AB99:AB104))/12</f>
        <v>151666.666666667</v>
      </c>
      <c r="AC81" s="386" t="n">
        <f aca="false">(SUMPRODUCT($B$49:$B$58,AC49:AC58)+SUMPRODUCT($B$61:$B$68,AC61:AC68)+SUMPRODUCT($B$71:$B$74,AC71:AC74)+SUMPRODUCT($B$77:$B$78,AC77:AC78)+SUMPRODUCT($B$99:$B$104,AC99:AC104))/12</f>
        <v>151666.666666667</v>
      </c>
      <c r="AD81" s="386" t="n">
        <f aca="false">(SUMPRODUCT($B$49:$B$58,AD49:AD58)+SUMPRODUCT($B$61:$B$68,AD61:AD68)+SUMPRODUCT($B$71:$B$74,AD71:AD74)+SUMPRODUCT($B$77:$B$78,AD77:AD78)+SUMPRODUCT($B$99:$B$104,AD99:AD104))/12</f>
        <v>151666.666666667</v>
      </c>
      <c r="AE81" s="386" t="n">
        <f aca="false">(SUMPRODUCT($B$49:$B$58,AE49:AE58)+SUMPRODUCT($B$61:$B$68,AE61:AE68)+SUMPRODUCT($B$71:$B$74,AE71:AE74)+SUMPRODUCT($B$77:$B$78,AE77:AE78)+SUMPRODUCT($B$99:$B$104,AE99:AE104))/12</f>
        <v>151666.666666667</v>
      </c>
      <c r="AF81" s="386" t="n">
        <f aca="false">(SUMPRODUCT($B$49:$B$58,AF49:AF58)+SUMPRODUCT($B$61:$B$68,AF61:AF68)+SUMPRODUCT($B$71:$B$74,AF71:AF74)+SUMPRODUCT($B$77:$B$78,AF77:AF78)+SUMPRODUCT($B$99:$B$104,AF99:AF104))/12</f>
        <v>151666.666666667</v>
      </c>
      <c r="AG81" s="386" t="n">
        <f aca="false">(SUMPRODUCT($B$49:$B$58,AG49:AG58)+SUMPRODUCT($B$61:$B$68,AG61:AG68)+SUMPRODUCT($B$71:$B$74,AG71:AG74)+SUMPRODUCT($B$77:$B$78,AG77:AG78)+SUMPRODUCT($B$99:$B$104,AG99:AG104))/12</f>
        <v>151666.666666667</v>
      </c>
      <c r="AH81" s="386" t="n">
        <f aca="false">(SUMPRODUCT($B$49:$B$58,AH49:AH58)+SUMPRODUCT($B$61:$B$68,AH61:AH68)+SUMPRODUCT($B$71:$B$74,AH71:AH74)+SUMPRODUCT($B$77:$B$78,AH77:AH78)+SUMPRODUCT($B$99:$B$104,AH99:AH104))/12</f>
        <v>151666.666666667</v>
      </c>
      <c r="AI81" s="386" t="n">
        <f aca="false">(SUMPRODUCT($B$49:$B$58,AI49:AI58)+SUMPRODUCT($B$61:$B$68,AI61:AI68)+SUMPRODUCT($B$71:$B$74,AI71:AI74)+SUMPRODUCT($B$77:$B$78,AI77:AI78)+SUMPRODUCT($B$99:$B$104,AI99:AI104))/12</f>
        <v>151666.666666667</v>
      </c>
      <c r="AJ81" s="386" t="n">
        <f aca="false">(SUMPRODUCT($B$49:$B$58,AJ49:AJ58)+SUMPRODUCT($B$61:$B$68,AJ61:AJ68)+SUMPRODUCT($B$71:$B$74,AJ71:AJ74)+SUMPRODUCT($B$77:$B$78,AJ77:AJ78)+SUMPRODUCT($B$99:$B$104,AJ99:AJ104))/12</f>
        <v>168750</v>
      </c>
      <c r="AK81" s="386" t="n">
        <f aca="false">(SUMPRODUCT($B$49:$B$58,AK49:AK58)+SUMPRODUCT($B$61:$B$68,AK61:AK68)+SUMPRODUCT($B$71:$B$74,AK71:AK74)+SUMPRODUCT($B$77:$B$78,AK77:AK78)+SUMPRODUCT($B$99:$B$104,AK99:AK104))/12</f>
        <v>168750</v>
      </c>
      <c r="AL81" s="386" t="n">
        <f aca="false">(SUMPRODUCT($B$49:$B$58,AL49:AL58)+SUMPRODUCT($B$61:$B$68,AL61:AL68)+SUMPRODUCT($B$71:$B$74,AL71:AL74)+SUMPRODUCT($B$77:$B$78,AL77:AL78)+SUMPRODUCT($B$99:$B$104,AL99:AL104))/12</f>
        <v>168750</v>
      </c>
      <c r="AM81" s="386" t="n">
        <f aca="false">(SUMPRODUCT($B$49:$B$58,AM49:AM58)+SUMPRODUCT($B$61:$B$68,AM61:AM68)+SUMPRODUCT($B$71:$B$74,AM71:AM74)+SUMPRODUCT($B$77:$B$78,AM77:AM78)+SUMPRODUCT($B$99:$B$104,AM99:AM104))/12</f>
        <v>168750</v>
      </c>
      <c r="AN81" s="386" t="n">
        <f aca="false">(SUMPRODUCT($B$49:$B$58,AN49:AN58)+SUMPRODUCT($B$61:$B$68,AN61:AN68)+SUMPRODUCT($B$71:$B$74,AN71:AN74)+SUMPRODUCT($B$77:$B$78,AN77:AN78)+SUMPRODUCT($B$99:$B$104,AN99:AN104))/12</f>
        <v>168750</v>
      </c>
      <c r="AO81" s="386" t="n">
        <f aca="false">(SUMPRODUCT($B$49:$B$58,AO49:AO58)+SUMPRODUCT($B$61:$B$68,AO61:AO68)+SUMPRODUCT($B$71:$B$74,AO71:AO74)+SUMPRODUCT($B$77:$B$78,AO77:AO78)+SUMPRODUCT($B$99:$B$104,AO99:AO104))/12</f>
        <v>168750</v>
      </c>
      <c r="AP81" s="386" t="n">
        <f aca="false">(SUMPRODUCT($B$49:$B$58,AP49:AP58)+SUMPRODUCT($B$61:$B$68,AP61:AP68)+SUMPRODUCT($B$71:$B$74,AP71:AP74)+SUMPRODUCT($B$77:$B$78,AP77:AP78)+SUMPRODUCT($B$99:$B$104,AP99:AP104))/12</f>
        <v>168750</v>
      </c>
      <c r="AQ81" s="386" t="n">
        <f aca="false">(SUMPRODUCT($B$49:$B$58,AQ49:AQ58)+SUMPRODUCT($B$61:$B$68,AQ61:AQ68)+SUMPRODUCT($B$71:$B$74,AQ71:AQ74)+SUMPRODUCT($B$77:$B$78,AQ77:AQ78)+SUMPRODUCT($B$99:$B$104,AQ99:AQ104))/12</f>
        <v>190000</v>
      </c>
      <c r="AR81" s="386" t="n">
        <f aca="false">(SUMPRODUCT($B$49:$B$58,AR49:AR58)+SUMPRODUCT($B$61:$B$68,AR61:AR68)+SUMPRODUCT($B$71:$B$74,AR71:AR74)+SUMPRODUCT($B$77:$B$78,AR77:AR78)+SUMPRODUCT($B$99:$B$104,AR99:AR104))/12</f>
        <v>190000</v>
      </c>
      <c r="AS81" s="386" t="n">
        <f aca="false">(SUMPRODUCT($B$49:$B$58,AS49:AS58)+SUMPRODUCT($B$61:$B$68,AS61:AS68)+SUMPRODUCT($B$71:$B$74,AS71:AS74)+SUMPRODUCT($B$77:$B$78,AS77:AS78)+SUMPRODUCT($B$99:$B$104,AS99:AS104))/12</f>
        <v>190000</v>
      </c>
      <c r="AT81" s="386" t="n">
        <f aca="false">(SUMPRODUCT($B$49:$B$58,AT49:AT58)+SUMPRODUCT($B$61:$B$68,AT61:AT68)+SUMPRODUCT($B$71:$B$74,AT71:AT74)+SUMPRODUCT($B$77:$B$78,AT77:AT78)+SUMPRODUCT($B$99:$B$104,AT99:AT104))/12</f>
        <v>190000</v>
      </c>
      <c r="AU81" s="386" t="n">
        <f aca="false">(SUMPRODUCT($B$49:$B$58,AU49:AU58)+SUMPRODUCT($B$61:$B$68,AU61:AU68)+SUMPRODUCT($B$71:$B$74,AU71:AU74)+SUMPRODUCT($B$77:$B$78,AU77:AU78)+SUMPRODUCT($B$99:$B$104,AU99:AU104))/12</f>
        <v>210833.333333333</v>
      </c>
      <c r="AV81" s="386" t="n">
        <f aca="false">(SUMPRODUCT($B$49:$B$58,AV49:AV58)+SUMPRODUCT($B$61:$B$68,AV61:AV68)+SUMPRODUCT($B$71:$B$74,AV71:AV74)+SUMPRODUCT($B$77:$B$78,AV77:AV78)+SUMPRODUCT($B$99:$B$104,AV99:AV104))/12</f>
        <v>210833.333333333</v>
      </c>
      <c r="AW81" s="386" t="n">
        <f aca="false">(SUMPRODUCT($B$49:$B$58,AW49:AW58)+SUMPRODUCT($B$61:$B$68,AW61:AW68)+SUMPRODUCT($B$71:$B$74,AW71:AW74)+SUMPRODUCT($B$77:$B$78,AW77:AW78)+SUMPRODUCT($B$99:$B$104,AW99:AW104))/12</f>
        <v>200000</v>
      </c>
      <c r="AX81" s="386" t="n">
        <f aca="false">(SUMPRODUCT($B$49:$B$58,AX49:AX58)+SUMPRODUCT($B$61:$B$68,AX61:AX68)+SUMPRODUCT($B$71:$B$74,AX71:AX74)+SUMPRODUCT($B$77:$B$78,AX77:AX78)+SUMPRODUCT($B$99:$B$104,AX99:AX104))/12</f>
        <v>200000</v>
      </c>
      <c r="AY81" s="386" t="n">
        <f aca="false">(SUMPRODUCT($B$49:$B$58,AY49:AY58)+SUMPRODUCT($B$61:$B$68,AY61:AY68)+SUMPRODUCT($B$71:$B$74,AY71:AY74)+SUMPRODUCT($B$77:$B$78,AY77:AY78)+SUMPRODUCT($B$99:$B$104,AY99:AY104))/12</f>
        <v>200000</v>
      </c>
      <c r="AZ81" s="386" t="n">
        <f aca="false">(SUMPRODUCT($B$49:$B$58,AZ49:AZ58)+SUMPRODUCT($B$61:$B$68,AZ61:AZ68)+SUMPRODUCT($B$71:$B$74,AZ71:AZ74)+SUMPRODUCT($B$77:$B$78,AZ77:AZ78)+SUMPRODUCT($B$99:$B$104,AZ99:AZ104))/12</f>
        <v>200000</v>
      </c>
      <c r="BA81" s="386" t="n">
        <f aca="false">(SUMPRODUCT($B$49:$B$58,BA49:BA58)+SUMPRODUCT($B$61:$B$68,BA61:BA68)+SUMPRODUCT($B$71:$B$74,BA71:BA74)+SUMPRODUCT($B$77:$B$78,BA77:BA78)+SUMPRODUCT($B$99:$B$104,BA99:BA104))/12</f>
        <v>179166.666666667</v>
      </c>
      <c r="BB81" s="386" t="n">
        <f aca="false">(SUMPRODUCT($B$49:$B$58,BB49:BB58)+SUMPRODUCT($B$61:$B$68,BB61:BB68)+SUMPRODUCT($B$71:$B$74,BB71:BB74)+SUMPRODUCT($B$77:$B$78,BB77:BB78)+SUMPRODUCT($B$99:$B$104,BB99:BB104))/12</f>
        <v>153750</v>
      </c>
      <c r="BC81" s="386" t="n">
        <f aca="false">(SUMPRODUCT($B$49:$B$58,BC49:BC58)+SUMPRODUCT($B$61:$B$68,BC61:BC68)+SUMPRODUCT($B$71:$B$74,BC71:BC74)+SUMPRODUCT($B$77:$B$78,BC77:BC78)+SUMPRODUCT($B$99:$B$104,BC99:BC104))/12</f>
        <v>153750</v>
      </c>
      <c r="BD81" s="386" t="n">
        <f aca="false">(SUMPRODUCT($B$49:$B$58,BD49:BD58)+SUMPRODUCT($B$61:$B$68,BD61:BD68)+SUMPRODUCT($B$71:$B$74,BD71:BD74)+SUMPRODUCT($B$77:$B$78,BD77:BD78)+SUMPRODUCT($B$99:$B$104,BD99:BD104))/12</f>
        <v>153750</v>
      </c>
      <c r="BE81" s="386" t="n">
        <f aca="false">(SUMPRODUCT($B$49:$B$58,BE49:BE58)+SUMPRODUCT($B$61:$B$68,BE61:BE68)+SUMPRODUCT($B$71:$B$74,BE71:BE74)+SUMPRODUCT($B$77:$B$78,BE77:BE78)+SUMPRODUCT($B$99:$B$104,BE99:BE104))/12</f>
        <v>153750</v>
      </c>
      <c r="BF81" s="386" t="n">
        <f aca="false">(SUMPRODUCT($B$49:$B$58,BF49:BF58)+SUMPRODUCT($B$61:$B$68,BF61:BF68)+SUMPRODUCT($B$71:$B$74,BF71:BF74)+SUMPRODUCT($B$77:$B$78,BF77:BF78)+SUMPRODUCT($B$99:$B$104,BF99:BF104))/12</f>
        <v>153750</v>
      </c>
      <c r="BG81" s="386" t="n">
        <f aca="false">(SUMPRODUCT($B$49:$B$58,BG49:BG58)+SUMPRODUCT($B$61:$B$68,BG61:BG68)+SUMPRODUCT($B$71:$B$74,BG71:BG74)+SUMPRODUCT($B$77:$B$78,BG77:BG78)+SUMPRODUCT($B$99:$B$104,BG99:BG104))/12</f>
        <v>153750</v>
      </c>
      <c r="BH81" s="386" t="n">
        <f aca="false">(SUMPRODUCT($B$49:$B$58,BH49:BH58)+SUMPRODUCT($B$61:$B$68,BH61:BH68)+SUMPRODUCT($B$71:$B$74,BH71:BH74)+SUMPRODUCT($B$77:$B$78,BH77:BH78)+SUMPRODUCT($B$99:$B$104,BH99:BH104))/12</f>
        <v>153750</v>
      </c>
      <c r="BI81" s="386" t="n">
        <f aca="false">(SUMPRODUCT($B$49:$B$58,BI49:BI58)+SUMPRODUCT($B$61:$B$68,BI61:BI68)+SUMPRODUCT($B$71:$B$74,BI71:BI74)+SUMPRODUCT($B$77:$B$78,BI77:BI78)+SUMPRODUCT($B$99:$B$104,BI99:BI104))/12</f>
        <v>153750</v>
      </c>
      <c r="BJ81" s="386" t="n">
        <f aca="false">(SUMPRODUCT($B$49:$B$58,BJ49:BJ58)+SUMPRODUCT($B$61:$B$68,BJ61:BJ68)+SUMPRODUCT($B$71:$B$74,BJ71:BJ74)+SUMPRODUCT($B$77:$B$78,BJ77:BJ78)+SUMPRODUCT($B$99:$B$104,BJ99:BJ104))/12</f>
        <v>153750</v>
      </c>
      <c r="BK81" s="386" t="n">
        <f aca="false">(SUMPRODUCT($B$49:$B$58,BK49:BK58)+SUMPRODUCT($B$61:$B$68,BK61:BK68)+SUMPRODUCT($B$71:$B$74,BK71:BK74)+SUMPRODUCT($B$77:$B$78,BK77:BK78)+SUMPRODUCT($B$99:$B$104,BK99:BK104))/12</f>
        <v>142916.666666667</v>
      </c>
      <c r="BL81" s="386" t="n">
        <f aca="false">(SUMPRODUCT($B$49:$B$58,BL49:BL58)+SUMPRODUCT($B$61:$B$68,BL61:BL68)+SUMPRODUCT($B$71:$B$74,BL71:BL74)+SUMPRODUCT($B$77:$B$78,BL77:BL78)+SUMPRODUCT($B$99:$B$104,BL99:BL104))/12</f>
        <v>142916.666666667</v>
      </c>
      <c r="BM81" s="386" t="n">
        <f aca="false">(SUMPRODUCT($B$49:$B$58,BM49:BM58)+SUMPRODUCT($B$61:$B$68,BM61:BM68)+SUMPRODUCT($B$71:$B$74,BM71:BM74)+SUMPRODUCT($B$77:$B$78,BM77:BM78)+SUMPRODUCT($B$99:$B$104,BM99:BM104))/12</f>
        <v>132500</v>
      </c>
      <c r="BN81" s="386" t="n">
        <f aca="false">(SUMPRODUCT($B$49:$B$58,BN49:BN58)+SUMPRODUCT($B$61:$B$68,BN61:BN68)+SUMPRODUCT($B$71:$B$74,BN71:BN74)+SUMPRODUCT($B$77:$B$78,BN77:BN78)+SUMPRODUCT($B$99:$B$104,BN99:BN104))/12</f>
        <v>115416.666666667</v>
      </c>
      <c r="BO81" s="386" t="n">
        <f aca="false">(SUMPRODUCT($B$49:$B$58,BO49:BO58)+SUMPRODUCT($B$61:$B$68,BO61:BO68)+SUMPRODUCT($B$71:$B$74,BO71:BO74)+SUMPRODUCT($B$77:$B$78,BO77:BO78)+SUMPRODUCT($B$99:$B$104,BO99:BO104))/12</f>
        <v>71666.6666666667</v>
      </c>
      <c r="BP81" s="386" t="n">
        <f aca="false">(SUMPRODUCT($B$49:$B$58,BP49:BP58)+SUMPRODUCT($B$61:$B$68,BP61:BP68)+SUMPRODUCT($B$71:$B$74,BP71:BP74)+SUMPRODUCT($B$77:$B$78,BP77:BP78)+SUMPRODUCT($B$99:$B$104,BP99:BP104))/12</f>
        <v>47916.6666666667</v>
      </c>
      <c r="BQ81" s="386" t="n">
        <f aca="false">(SUMPRODUCT($B$49:$B$58,BQ49:BQ58)+SUMPRODUCT($B$61:$B$68,BQ61:BQ68)+SUMPRODUCT($B$71:$B$74,BQ71:BQ74)+SUMPRODUCT($B$77:$B$78,BQ77:BQ78)+SUMPRODUCT($B$99:$B$104,BQ99:BQ104))/12</f>
        <v>37083.3333333333</v>
      </c>
      <c r="BR81" s="386" t="n">
        <f aca="false">(SUMPRODUCT($B$49:$B$58,BR49:BR58)+SUMPRODUCT($B$61:$B$68,BR61:BR68)+SUMPRODUCT($B$71:$B$74,BR71:BR74)+SUMPRODUCT($B$77:$B$78,BR77:BR78)+SUMPRODUCT($B$99:$B$104,BR99:BR104))/12</f>
        <v>37083.3333333333</v>
      </c>
      <c r="BS81" s="386" t="n">
        <f aca="false">(SUMPRODUCT($B$49:$B$58,BS49:BS58)+SUMPRODUCT($B$61:$B$68,BS61:BS68)+SUMPRODUCT($B$71:$B$74,BS71:BS74)+SUMPRODUCT($B$77:$B$78,BS77:BS78)+SUMPRODUCT($B$99:$B$104,BS99:BS104))/12</f>
        <v>37083.3333333333</v>
      </c>
      <c r="BT81" s="386" t="n">
        <f aca="false">(SUMPRODUCT($B$49:$B$58,BT49:BT58)+SUMPRODUCT($B$61:$B$68,BT61:BT68)+SUMPRODUCT($B$71:$B$74,BT71:BT74)+SUMPRODUCT($B$77:$B$78,BT77:BT78)+SUMPRODUCT($B$99:$B$104,BT99:BT104))/12</f>
        <v>23750</v>
      </c>
      <c r="BU81" s="386" t="n">
        <f aca="false">(SUMPRODUCT($B$49:$B$58,BU49:BU58)+SUMPRODUCT($B$61:$B$68,BU61:BU68)+SUMPRODUCT($B$71:$B$74,BU71:BU74)+SUMPRODUCT($B$77:$B$78,BU77:BU78)+SUMPRODUCT($B$99:$B$104,BU99:BU104))/12</f>
        <v>0</v>
      </c>
      <c r="BV81" s="386" t="n">
        <f aca="false">(SUMPRODUCT($B$49:$B$58,BV49:BV58)+SUMPRODUCT($B$61:$B$68,BV61:BV68)+SUMPRODUCT($B$71:$B$74,BV71:BV74)+SUMPRODUCT($B$77:$B$78,BV77:BV78)+SUMPRODUCT($B$99:$B$104,BV99:BV104))/12</f>
        <v>0</v>
      </c>
      <c r="BW81" s="386" t="n">
        <f aca="false">(SUMPRODUCT($B$49:$B$58,BW49:BW58)+SUMPRODUCT($B$61:$B$68,BW61:BW68)+SUMPRODUCT($B$71:$B$74,BW71:BW74)+SUMPRODUCT($B$77:$B$78,BW77:BW78)+SUMPRODUCT($B$99:$B$104,BW99:BW104))/12</f>
        <v>0</v>
      </c>
      <c r="BX81" s="386" t="n">
        <f aca="false">(SUMPRODUCT($B$49:$B$58,BX49:BX58)+SUMPRODUCT($B$61:$B$68,BX61:BX68)+SUMPRODUCT($B$71:$B$74,BX71:BX74)+SUMPRODUCT($B$77:$B$78,BX77:BX78)+SUMPRODUCT($B$99:$B$104,BX99:BX104))/12</f>
        <v>0</v>
      </c>
      <c r="BY81" s="386" t="n">
        <f aca="false">(SUMPRODUCT($B$49:$B$58,BY49:BY58)+SUMPRODUCT($B$61:$B$68,BY61:BY68)+SUMPRODUCT($B$71:$B$74,BY71:BY74)+SUMPRODUCT($B$77:$B$78,BY77:BY78)+SUMPRODUCT($B$99:$B$104,BY99:BY104))/12</f>
        <v>0</v>
      </c>
      <c r="BZ81" s="386" t="n">
        <f aca="false">(SUMPRODUCT($B$49:$B$58,BZ49:BZ58)+SUMPRODUCT($B$61:$B$68,BZ61:BZ68)+SUMPRODUCT($B$71:$B$74,BZ71:BZ74)+SUMPRODUCT($B$77:$B$78,BZ77:BZ78)+SUMPRODUCT($B$99:$B$104,BZ99:BZ104))/12</f>
        <v>0</v>
      </c>
      <c r="CA81" s="386" t="n">
        <f aca="false">(SUMPRODUCT($B$49:$B$58,CA49:CA58)+SUMPRODUCT($B$61:$B$68,CA61:CA68)+SUMPRODUCT($B$71:$B$74,CA71:CA74)+SUMPRODUCT($B$77:$B$78,CA77:CA78)+SUMPRODUCT($B$99:$B$104,CA99:CA104))/12</f>
        <v>0</v>
      </c>
      <c r="CB81" s="386" t="n">
        <f aca="false">(SUMPRODUCT($B$49:$B$58,CB49:CB58)+SUMPRODUCT($B$61:$B$68,CB61:CB68)+SUMPRODUCT($B$71:$B$74,CB71:CB74)+SUMPRODUCT($B$77:$B$78,CB77:CB78)+SUMPRODUCT($B$99:$B$104,CB99:CB104))/12</f>
        <v>0</v>
      </c>
      <c r="CC81" s="386" t="n">
        <f aca="false">(SUMPRODUCT($B$49:$B$58,CC49:CC58)+SUMPRODUCT($B$61:$B$68,CC61:CC68)+SUMPRODUCT($B$71:$B$74,CC71:CC74)+SUMPRODUCT($B$77:$B$78,CC77:CC78)+SUMPRODUCT($B$99:$B$104,CC99:CC104))/12</f>
        <v>0</v>
      </c>
      <c r="CD81" s="386" t="n">
        <f aca="false">(SUMPRODUCT($B$49:$B$58,CD49:CD58)+SUMPRODUCT($B$61:$B$68,CD61:CD68)+SUMPRODUCT($B$71:$B$74,CD71:CD74)+SUMPRODUCT($B$77:$B$78,CD77:CD78)+SUMPRODUCT($B$99:$B$104,CD99:CD104))/12</f>
        <v>0</v>
      </c>
      <c r="CE81" s="386" t="n">
        <f aca="false">(SUMPRODUCT($B$49:$B$58,CE49:CE58)+SUMPRODUCT($B$61:$B$68,CE61:CE68)+SUMPRODUCT($B$71:$B$74,CE71:CE74)+SUMPRODUCT($B$77:$B$78,CE77:CE78)+SUMPRODUCT($B$99:$B$104,CE99:CE104))/12</f>
        <v>0</v>
      </c>
      <c r="CF81" s="386" t="n">
        <f aca="false">(SUMPRODUCT($B$49:$B$58,CF49:CF58)+SUMPRODUCT($B$61:$B$68,CF61:CF68)+SUMPRODUCT($B$71:$B$74,CF71:CF74)+SUMPRODUCT($B$77:$B$78,CF77:CF78)+SUMPRODUCT($B$99:$B$104,CF99:CF104))/12</f>
        <v>0</v>
      </c>
      <c r="CG81" s="386" t="n">
        <f aca="false">(SUMPRODUCT($B$49:$B$58,CG49:CG58)+SUMPRODUCT($B$61:$B$68,CG61:CG68)+SUMPRODUCT($B$71:$B$74,CG71:CG74)+SUMPRODUCT($B$77:$B$78,CG77:CG78)+SUMPRODUCT($B$99:$B$104,CG99:CG104))/12</f>
        <v>0</v>
      </c>
      <c r="CH81" s="386" t="n">
        <f aca="false">(SUMPRODUCT($B$49:$B$58,CH49:CH58)+SUMPRODUCT($B$61:$B$68,CH61:CH68)+SUMPRODUCT($B$71:$B$74,CH71:CH74)+SUMPRODUCT($B$77:$B$78,CH77:CH78)+SUMPRODUCT($B$99:$B$104,CH99:CH104))/12</f>
        <v>0</v>
      </c>
      <c r="CI81" s="386" t="n">
        <f aca="false">(SUMPRODUCT($B$49:$B$58,CI49:CI58)+SUMPRODUCT($B$61:$B$68,CI61:CI68)+SUMPRODUCT($B$71:$B$74,CI71:CI74)+SUMPRODUCT($B$77:$B$78,CI77:CI78)+SUMPRODUCT($B$99:$B$104,CI99:CI104))/12</f>
        <v>0</v>
      </c>
      <c r="CJ81" s="386" t="n">
        <f aca="false">(SUMPRODUCT($B$49:$B$58,CJ49:CJ58)+SUMPRODUCT($B$61:$B$68,CJ61:CJ68)+SUMPRODUCT($B$71:$B$74,CJ71:CJ74)+SUMPRODUCT($B$77:$B$78,CJ77:CJ78)+SUMPRODUCT($B$99:$B$104,CJ99:CJ104))/12</f>
        <v>0</v>
      </c>
      <c r="CK81" s="386" t="n">
        <f aca="false">(SUMPRODUCT($B$49:$B$58,CK49:CK58)+SUMPRODUCT($B$61:$B$68,CK61:CK68)+SUMPRODUCT($B$71:$B$74,CK71:CK74)+SUMPRODUCT($B$77:$B$78,CK77:CK78)+SUMPRODUCT($B$99:$B$104,CK99:CK104))/12</f>
        <v>0</v>
      </c>
      <c r="CL81" s="386" t="n">
        <f aca="false">(SUMPRODUCT($B$49:$B$58,CL49:CL58)+SUMPRODUCT($B$61:$B$68,CL61:CL68)+SUMPRODUCT($B$71:$B$74,CL71:CL74)+SUMPRODUCT($B$77:$B$78,CL77:CL78)+SUMPRODUCT($B$99:$B$104,CL99:CL104))/12</f>
        <v>0</v>
      </c>
      <c r="CM81" s="386" t="n">
        <f aca="false">(SUMPRODUCT($B$49:$B$58,CM49:CM58)+SUMPRODUCT($B$61:$B$68,CM61:CM68)+SUMPRODUCT($B$71:$B$74,CM71:CM74)+SUMPRODUCT($B$77:$B$78,CM77:CM78)+SUMPRODUCT($B$99:$B$104,CM99:CM104))/12</f>
        <v>0</v>
      </c>
      <c r="CN81" s="386" t="n">
        <f aca="false">(SUMPRODUCT($B$49:$B$58,CN49:CN58)+SUMPRODUCT($B$61:$B$68,CN61:CN68)+SUMPRODUCT($B$71:$B$74,CN71:CN74)+SUMPRODUCT($B$77:$B$78,CN77:CN78)+SUMPRODUCT($B$99:$B$104,CN99:CN104))/12</f>
        <v>0</v>
      </c>
      <c r="CO81" s="386" t="n">
        <f aca="false">(SUMPRODUCT($B$49:$B$58,CO49:CO58)+SUMPRODUCT($B$61:$B$68,CO61:CO68)+SUMPRODUCT($B$71:$B$74,CO71:CO74)+SUMPRODUCT($B$77:$B$78,CO77:CO78)+SUMPRODUCT($B$99:$B$104,CO99:CO104))/12</f>
        <v>0</v>
      </c>
      <c r="CP81" s="386" t="n">
        <f aca="false">(SUMPRODUCT($B$49:$B$58,CP49:CP58)+SUMPRODUCT($B$61:$B$68,CP61:CP68)+SUMPRODUCT($B$71:$B$74,CP71:CP74)+SUMPRODUCT($B$77:$B$78,CP77:CP78)+SUMPRODUCT($B$99:$B$104,CP99:CP104))/12</f>
        <v>0</v>
      </c>
      <c r="CQ81" s="386" t="n">
        <f aca="false">(SUMPRODUCT($B$49:$B$58,CQ49:CQ58)+SUMPRODUCT($B$61:$B$68,CQ61:CQ68)+SUMPRODUCT($B$71:$B$74,CQ71:CQ74)+SUMPRODUCT($B$77:$B$78,CQ77:CQ78)+SUMPRODUCT($B$99:$B$104,CQ99:CQ104))/12</f>
        <v>0</v>
      </c>
      <c r="CR81" s="386" t="n">
        <f aca="false">(SUMPRODUCT($B$49:$B$58,CR49:CR58)+SUMPRODUCT($B$61:$B$68,CR61:CR68)+SUMPRODUCT($B$71:$B$74,CR71:CR74)+SUMPRODUCT($B$77:$B$78,CR77:CR78)+SUMPRODUCT($B$99:$B$104,CR99:CR104))/12</f>
        <v>0</v>
      </c>
      <c r="CS81" s="386" t="n">
        <f aca="false">(SUMPRODUCT($B$49:$B$58,CS49:CS58)+SUMPRODUCT($B$61:$B$68,CS61:CS68)+SUMPRODUCT($B$71:$B$74,CS71:CS74)+SUMPRODUCT($B$77:$B$78,CS77:CS78)+SUMPRODUCT($B$99:$B$104,CS99:CS104))/12</f>
        <v>0</v>
      </c>
      <c r="CT81" s="386" t="n">
        <f aca="false">(SUMPRODUCT($B$49:$B$58,CT49:CT58)+SUMPRODUCT($B$61:$B$68,CT61:CT68)+SUMPRODUCT($B$71:$B$74,CT71:CT74)+SUMPRODUCT($B$77:$B$78,CT77:CT78)+SUMPRODUCT($B$99:$B$104,CT99:CT104))/12</f>
        <v>0</v>
      </c>
      <c r="CU81" s="386" t="n">
        <f aca="false">(SUMPRODUCT($B$49:$B$58,CU49:CU58)+SUMPRODUCT($B$61:$B$68,CU61:CU68)+SUMPRODUCT($B$71:$B$74,CU71:CU74)+SUMPRODUCT($B$77:$B$78,CU77:CU78)+SUMPRODUCT($B$99:$B$104,CU99:CU104))/12</f>
        <v>0</v>
      </c>
      <c r="CV81" s="386" t="n">
        <f aca="false">(SUMPRODUCT($B$49:$B$58,CV49:CV58)+SUMPRODUCT($B$61:$B$68,CV61:CV68)+SUMPRODUCT($B$71:$B$74,CV71:CV74)+SUMPRODUCT($B$77:$B$78,CV77:CV78)+SUMPRODUCT($B$99:$B$104,CV99:CV104))/12</f>
        <v>0</v>
      </c>
      <c r="CW81" s="386" t="n">
        <f aca="false">(SUMPRODUCT($B$49:$B$58,CW49:CW58)+SUMPRODUCT($B$61:$B$68,CW61:CW68)+SUMPRODUCT($B$71:$B$74,CW71:CW74)+SUMPRODUCT($B$77:$B$78,CW77:CW78)+SUMPRODUCT($B$99:$B$104,CW99:CW104))/12</f>
        <v>0</v>
      </c>
      <c r="CX81" s="386" t="n">
        <f aca="false">(SUMPRODUCT($B$49:$B$58,CX49:CX58)+SUMPRODUCT($B$61:$B$68,CX61:CX68)+SUMPRODUCT($B$71:$B$74,CX71:CX74)+SUMPRODUCT($B$77:$B$78,CX77:CX78)+SUMPRODUCT($B$99:$B$104,CX99:CX104))/12</f>
        <v>0</v>
      </c>
      <c r="CY81" s="386" t="n">
        <f aca="false">(SUMPRODUCT($B$49:$B$58,CY49:CY58)+SUMPRODUCT($B$61:$B$68,CY61:CY68)+SUMPRODUCT($B$71:$B$74,CY71:CY74)+SUMPRODUCT($B$77:$B$78,CY77:CY78)+SUMPRODUCT($B$99:$B$104,CY99:CY104))/12</f>
        <v>0</v>
      </c>
      <c r="CZ81" s="386" t="n">
        <f aca="false">(SUMPRODUCT($B$49:$B$58,CZ49:CZ58)+SUMPRODUCT($B$61:$B$68,CZ61:CZ68)+SUMPRODUCT($B$71:$B$74,CZ71:CZ74)+SUMPRODUCT($B$77:$B$78,CZ77:CZ78)+SUMPRODUCT($B$99:$B$104,CZ99:CZ104))/12</f>
        <v>0</v>
      </c>
      <c r="DA81" s="386" t="n">
        <f aca="false">(SUMPRODUCT($B$49:$B$58,DA49:DA58)+SUMPRODUCT($B$61:$B$68,DA61:DA68)+SUMPRODUCT($B$71:$B$74,DA71:DA74)+SUMPRODUCT($B$77:$B$78,DA77:DA78)+SUMPRODUCT($B$99:$B$104,DA99:DA104))/12</f>
        <v>0</v>
      </c>
      <c r="DB81" s="386" t="n">
        <f aca="false">(SUMPRODUCT($B$49:$B$58,DB49:DB58)+SUMPRODUCT($B$61:$B$68,DB61:DB68)+SUMPRODUCT($B$71:$B$74,DB71:DB74)+SUMPRODUCT($B$77:$B$78,DB77:DB78)+SUMPRODUCT($B$99:$B$104,DB99:DB104))/12</f>
        <v>0</v>
      </c>
      <c r="DC81" s="386" t="n">
        <f aca="false">(SUMPRODUCT($B$49:$B$58,DC49:DC58)+SUMPRODUCT($B$61:$B$68,DC61:DC68)+SUMPRODUCT($B$71:$B$74,DC71:DC74)+SUMPRODUCT($B$77:$B$78,DC77:DC78)+SUMPRODUCT($B$99:$B$104,DC99:DC104))/12</f>
        <v>0</v>
      </c>
      <c r="DD81" s="386" t="n">
        <f aca="false">(SUMPRODUCT($B$49:$B$58,DD49:DD58)+SUMPRODUCT($B$61:$B$68,DD61:DD68)+SUMPRODUCT($B$71:$B$74,DD71:DD74)+SUMPRODUCT($B$77:$B$78,DD77:DD78)+SUMPRODUCT($B$99:$B$104,DD99:DD104))/12</f>
        <v>0</v>
      </c>
      <c r="DE81" s="386" t="n">
        <f aca="false">(SUMPRODUCT($B$49:$B$58,DE49:DE58)+SUMPRODUCT($B$61:$B$68,DE61:DE68)+SUMPRODUCT($B$71:$B$74,DE71:DE74)+SUMPRODUCT($B$77:$B$78,DE77:DE78)+SUMPRODUCT($B$99:$B$104,DE99:DE104))/12</f>
        <v>0</v>
      </c>
    </row>
    <row r="82" customFormat="false" ht="13.5" hidden="false" customHeight="true" outlineLevel="0" collapsed="false">
      <c r="A82" s="110" t="s">
        <v>1408</v>
      </c>
      <c r="E82" s="386" t="n">
        <v>0</v>
      </c>
      <c r="F82" s="386" t="n">
        <f aca="false">(SUMPRODUCT($B$49:$B$58,(F49:F58&gt;E49:E58)*1)+SUMPRODUCT($B$61:$B$68,(F61:F68&gt;E61:E68)*1)+SUMPRODUCT($B$71:$B$74,(F71:F74&gt;E71:E74)*1)+SUMPRODUCT($B$77:$B$78,(F77:F78&gt;E77:E78)*1)+SUMPRODUCT($B$99:$B$104,(F99:F104&gt;E99:E104)*1))*$B$21</f>
        <v>0</v>
      </c>
      <c r="G82" s="386" t="n">
        <f aca="false">(SUMPRODUCT($B$49:$B$58,(G49:G58&gt;F49:F58)*1)+SUMPRODUCT($B$61:$B$68,(G61:G68&gt;F61:F68)*1)+SUMPRODUCT($B$71:$B$74,(G71:G74&gt;F71:F74)*1)+SUMPRODUCT($B$77:$B$78,(G77:G78&gt;F77:F78)*1)+SUMPRODUCT($B$99:$B$104,(G99:G104&gt;F99:F104)*1))*$B$21</f>
        <v>0</v>
      </c>
      <c r="H82" s="386" t="n">
        <f aca="false">(SUMPRODUCT($B$49:$B$58,(H49:H58&gt;G49:G58)*1)+SUMPRODUCT($B$61:$B$68,(H61:H68&gt;G61:G68)*1)+SUMPRODUCT($B$71:$B$74,(H71:H74&gt;G71:G74)*1)+SUMPRODUCT($B$77:$B$78,(H77:H78&gt;G77:G78)*1)+SUMPRODUCT($B$99:$B$104,(H99:H104&gt;G99:G104)*1))*$B$21</f>
        <v>0</v>
      </c>
      <c r="I82" s="386" t="n">
        <f aca="false">(SUMPRODUCT($B$49:$B$58,(I49:I58&gt;H49:H58)*1)+SUMPRODUCT($B$61:$B$68,(I61:I68&gt;H61:H68)*1)+SUMPRODUCT($B$71:$B$74,(I71:I74&gt;H71:H74)*1)+SUMPRODUCT($B$77:$B$78,(I77:I78&gt;H77:H78)*1)+SUMPRODUCT($B$99:$B$104,(I99:I104&gt;H99:H104)*1))*$B$21</f>
        <v>19500</v>
      </c>
      <c r="J82" s="386" t="n">
        <f aca="false">(SUMPRODUCT($B$49:$B$58,(J49:J58&gt;I49:I58)*1)+SUMPRODUCT($B$61:$B$68,(J61:J68&gt;I61:I68)*1)+SUMPRODUCT($B$71:$B$74,(J71:J74&gt;I71:I74)*1)+SUMPRODUCT($B$77:$B$78,(J77:J78&gt;I77:I78)*1)+SUMPRODUCT($B$99:$B$104,(J99:J104&gt;I99:I104)*1))*$B$21</f>
        <v>0</v>
      </c>
      <c r="K82" s="386" t="n">
        <f aca="false">(SUMPRODUCT($B$49:$B$58,(K49:K58&gt;J49:J58)*1)+SUMPRODUCT($B$61:$B$68,(K61:K68&gt;J61:J68)*1)+SUMPRODUCT($B$71:$B$74,(K71:K74&gt;J71:J74)*1)+SUMPRODUCT($B$77:$B$78,(K77:K78&gt;J77:J78)*1)+SUMPRODUCT($B$99:$B$104,(K99:K104&gt;J99:J104)*1))*$B$21</f>
        <v>0</v>
      </c>
      <c r="L82" s="386" t="n">
        <f aca="false">(SUMPRODUCT($B$49:$B$58,(L49:L58&gt;K49:K58)*1)+SUMPRODUCT($B$61:$B$68,(L61:L68&gt;K61:K68)*1)+SUMPRODUCT($B$71:$B$74,(L71:L74&gt;K71:K74)*1)+SUMPRODUCT($B$77:$B$78,(L77:L78&gt;K77:K78)*1)+SUMPRODUCT($B$99:$B$104,(L99:L104&gt;K99:K104)*1))*$B$21</f>
        <v>0</v>
      </c>
      <c r="M82" s="386" t="n">
        <f aca="false">(SUMPRODUCT($B$49:$B$58,(M49:M58&gt;L49:L58)*1)+SUMPRODUCT($B$61:$B$68,(M61:M68&gt;L61:L68)*1)+SUMPRODUCT($B$71:$B$74,(M71:M74&gt;L71:L74)*1)+SUMPRODUCT($B$77:$B$78,(M77:M78&gt;L77:L78)*1)+SUMPRODUCT($B$99:$B$104,(M99:M104&gt;L99:L104)*1))*$B$21</f>
        <v>42750</v>
      </c>
      <c r="N82" s="386" t="n">
        <f aca="false">(SUMPRODUCT($B$49:$B$58,(N49:N58&gt;M49:M58)*1)+SUMPRODUCT($B$61:$B$68,(N61:N68&gt;M61:M68)*1)+SUMPRODUCT($B$71:$B$74,(N71:N74&gt;M71:M74)*1)+SUMPRODUCT($B$77:$B$78,(N77:N78&gt;M77:M78)*1)+SUMPRODUCT($B$99:$B$104,(N99:N104&gt;M99:M104)*1))*$B$21</f>
        <v>43500</v>
      </c>
      <c r="O82" s="386" t="n">
        <f aca="false">(SUMPRODUCT($B$49:$B$58,(O49:O58&gt;N49:N58)*1)+SUMPRODUCT($B$61:$B$68,(O61:O68&gt;N61:N68)*1)+SUMPRODUCT($B$71:$B$74,(O71:O74&gt;N71:N74)*1)+SUMPRODUCT($B$77:$B$78,(O77:O78&gt;N77:N78)*1)+SUMPRODUCT($B$99:$B$104,(O99:O104&gt;N99:N104)*1))*$B$21</f>
        <v>81750</v>
      </c>
      <c r="P82" s="386" t="n">
        <f aca="false">(SUMPRODUCT($B$49:$B$58,(P49:P58&gt;O49:O58)*1)+SUMPRODUCT($B$61:$B$68,(P61:P68&gt;O61:O68)*1)+SUMPRODUCT($B$71:$B$74,(P71:P74&gt;O71:O74)*1)+SUMPRODUCT($B$77:$B$78,(P77:P78&gt;O77:O78)*1)+SUMPRODUCT($B$99:$B$104,(P99:P104&gt;O99:O104)*1))*$B$21</f>
        <v>0</v>
      </c>
      <c r="Q82" s="386" t="n">
        <f aca="false">(SUMPRODUCT($B$49:$B$58,(Q49:Q58&gt;P49:P58)*1)+SUMPRODUCT($B$61:$B$68,(Q61:Q68&gt;P61:P68)*1)+SUMPRODUCT($B$71:$B$74,(Q71:Q74&gt;P71:P74)*1)+SUMPRODUCT($B$77:$B$78,(Q77:Q78&gt;P77:P78)*1)+SUMPRODUCT($B$99:$B$104,(Q99:Q104&gt;P99:P104)*1))*$B$21</f>
        <v>42750</v>
      </c>
      <c r="R82" s="386" t="n">
        <f aca="false">(SUMPRODUCT($B$49:$B$58,(R49:R58&gt;Q49:Q58)*1)+SUMPRODUCT($B$61:$B$68,(R61:R68&gt;Q61:Q68)*1)+SUMPRODUCT($B$71:$B$74,(R71:R74&gt;Q71:Q74)*1)+SUMPRODUCT($B$77:$B$78,(R77:R78&gt;Q77:Q78)*1)+SUMPRODUCT($B$99:$B$104,(R99:R104&gt;Q99:Q104)*1))*$B$21</f>
        <v>55500</v>
      </c>
      <c r="S82" s="386" t="n">
        <f aca="false">(SUMPRODUCT($B$49:$B$58,(S49:S58&gt;R49:R58)*1)+SUMPRODUCT($B$61:$B$68,(S61:S68&gt;R61:R68)*1)+SUMPRODUCT($B$71:$B$74,(S71:S74&gt;R71:R74)*1)+SUMPRODUCT($B$77:$B$78,(S77:S78&gt;R77:R78)*1)+SUMPRODUCT($B$99:$B$104,(S99:S104&gt;R99:R104)*1))*$B$21</f>
        <v>18750</v>
      </c>
      <c r="T82" s="386" t="n">
        <f aca="false">(SUMPRODUCT($B$49:$B$58,(T49:T58&gt;S49:S58)*1)+SUMPRODUCT($B$61:$B$68,(T61:T68&gt;S61:S68)*1)+SUMPRODUCT($B$71:$B$74,(T71:T74&gt;S71:S74)*1)+SUMPRODUCT($B$77:$B$78,(T77:T78&gt;S77:S78)*1)+SUMPRODUCT($B$99:$B$104,(T99:T104&gt;S99:S104)*1))*$B$21</f>
        <v>18750</v>
      </c>
      <c r="U82" s="386" t="n">
        <f aca="false">(SUMPRODUCT($B$49:$B$58,(U49:U58&gt;T49:T58)*1)+SUMPRODUCT($B$61:$B$68,(U61:U68&gt;T61:T68)*1)+SUMPRODUCT($B$71:$B$74,(U71:U74&gt;T71:T74)*1)+SUMPRODUCT($B$77:$B$78,(U77:U78&gt;T77:T78)*1)+SUMPRODUCT($B$99:$B$104,(U99:U104&gt;T99:T104)*1))*$B$21</f>
        <v>0</v>
      </c>
      <c r="V82" s="386" t="n">
        <f aca="false">(SUMPRODUCT($B$49:$B$58,(V49:V58&gt;U49:U58)*1)+SUMPRODUCT($B$61:$B$68,(V61:V68&gt;U61:U68)*1)+SUMPRODUCT($B$71:$B$74,(V71:V74&gt;U71:U74)*1)+SUMPRODUCT($B$77:$B$78,(V77:V78&gt;U77:U78)*1)+SUMPRODUCT($B$99:$B$104,(V99:V104&gt;U99:U104)*1))*$B$21</f>
        <v>0</v>
      </c>
      <c r="W82" s="386" t="n">
        <f aca="false">(SUMPRODUCT($B$49:$B$58,(W49:W58&gt;V49:V58)*1)+SUMPRODUCT($B$61:$B$68,(W61:W68&gt;V61:V68)*1)+SUMPRODUCT($B$71:$B$74,(W71:W74&gt;V71:V74)*1)+SUMPRODUCT($B$77:$B$78,(W77:W78&gt;V77:V78)*1)+SUMPRODUCT($B$99:$B$104,(W99:W104&gt;V99:V104)*1))*$B$21</f>
        <v>0</v>
      </c>
      <c r="X82" s="386" t="n">
        <f aca="false">(SUMPRODUCT($B$49:$B$58,(X49:X58&gt;W49:W58)*1)+SUMPRODUCT($B$61:$B$68,(X61:X68&gt;W61:W68)*1)+SUMPRODUCT($B$71:$B$74,(X71:X74&gt;W71:W74)*1)+SUMPRODUCT($B$77:$B$78,(X77:X78&gt;W77:W78)*1)+SUMPRODUCT($B$99:$B$104,(X99:X104&gt;W99:W104)*1))*$B$21</f>
        <v>0</v>
      </c>
      <c r="Y82" s="386" t="n">
        <f aca="false">(SUMPRODUCT($B$49:$B$58,(Y49:Y58&gt;X49:X58)*1)+SUMPRODUCT($B$61:$B$68,(Y61:Y68&gt;X61:X68)*1)+SUMPRODUCT($B$71:$B$74,(Y71:Y74&gt;X71:X74)*1)+SUMPRODUCT($B$77:$B$78,(Y77:Y78&gt;X77:X78)*1)+SUMPRODUCT($B$99:$B$104,(Y99:Y104&gt;X99:X104)*1))*$B$21</f>
        <v>0</v>
      </c>
      <c r="Z82" s="386" t="n">
        <f aca="false">(SUMPRODUCT($B$49:$B$58,(Z49:Z58&gt;Y49:Y58)*1)+SUMPRODUCT($B$61:$B$68,(Z61:Z68&gt;Y61:Y68)*1)+SUMPRODUCT($B$71:$B$74,(Z71:Z74&gt;Y71:Y74)*1)+SUMPRODUCT($B$77:$B$78,(Z77:Z78&gt;Y77:Y78)*1)+SUMPRODUCT($B$99:$B$104,(Z99:Z104&gt;Y99:Y104)*1))*$B$21</f>
        <v>0</v>
      </c>
      <c r="AA82" s="386" t="n">
        <f aca="false">(SUMPRODUCT($B$49:$B$58,(AA49:AA58&gt;Z49:Z58)*1)+SUMPRODUCT($B$61:$B$68,(AA61:AA68&gt;Z61:Z68)*1)+SUMPRODUCT($B$71:$B$74,(AA71:AA74&gt;Z71:Z74)*1)+SUMPRODUCT($B$77:$B$78,(AA77:AA78&gt;Z77:Z78)*1)+SUMPRODUCT($B$99:$B$104,(AA99:AA104&gt;Z99:Z104)*1))*$B$21</f>
        <v>0</v>
      </c>
      <c r="AB82" s="386" t="n">
        <f aca="false">(SUMPRODUCT($B$49:$B$58,(AB49:AB58&gt;AA49:AA58)*1)+SUMPRODUCT($B$61:$B$68,(AB61:AB68&gt;AA61:AA68)*1)+SUMPRODUCT($B$71:$B$74,(AB71:AB74&gt;AA71:AA74)*1)+SUMPRODUCT($B$77:$B$78,(AB77:AB78&gt;AA77:AA78)*1)+SUMPRODUCT($B$99:$B$104,(AB99:AB104&gt;AA99:AA104)*1))*$B$21</f>
        <v>0</v>
      </c>
      <c r="AC82" s="386" t="n">
        <f aca="false">(SUMPRODUCT($B$49:$B$58,(AC49:AC58&gt;AB49:AB58)*1)+SUMPRODUCT($B$61:$B$68,(AC61:AC68&gt;AB61:AB68)*1)+SUMPRODUCT($B$71:$B$74,(AC71:AC74&gt;AB71:AB74)*1)+SUMPRODUCT($B$77:$B$78,(AC77:AC78&gt;AB77:AB78)*1)+SUMPRODUCT($B$99:$B$104,(AC99:AC104&gt;AB99:AB104)*1))*$B$21</f>
        <v>0</v>
      </c>
      <c r="AD82" s="386" t="n">
        <f aca="false">(SUMPRODUCT($B$49:$B$58,(AD49:AD58&gt;AC49:AC58)*1)+SUMPRODUCT($B$61:$B$68,(AD61:AD68&gt;AC61:AC68)*1)+SUMPRODUCT($B$71:$B$74,(AD71:AD74&gt;AC71:AC74)*1)+SUMPRODUCT($B$77:$B$78,(AD77:AD78&gt;AC77:AC78)*1)+SUMPRODUCT($B$99:$B$104,(AD99:AD104&gt;AC99:AC104)*1))*$B$21</f>
        <v>0</v>
      </c>
      <c r="AE82" s="386" t="n">
        <f aca="false">(SUMPRODUCT($B$49:$B$58,(AE49:AE58&gt;AD49:AD58)*1)+SUMPRODUCT($B$61:$B$68,(AE61:AE68&gt;AD61:AD68)*1)+SUMPRODUCT($B$71:$B$74,(AE71:AE74&gt;AD71:AD74)*1)+SUMPRODUCT($B$77:$B$78,(AE77:AE78&gt;AD77:AD78)*1)+SUMPRODUCT($B$99:$B$104,(AE99:AE104&gt;AD99:AD104)*1))*$B$21</f>
        <v>0</v>
      </c>
      <c r="AF82" s="386" t="n">
        <f aca="false">(SUMPRODUCT($B$49:$B$58,(AF49:AF58&gt;AE49:AE58)*1)+SUMPRODUCT($B$61:$B$68,(AF61:AF68&gt;AE61:AE68)*1)+SUMPRODUCT($B$71:$B$74,(AF71:AF74&gt;AE71:AE74)*1)+SUMPRODUCT($B$77:$B$78,(AF77:AF78&gt;AE77:AE78)*1)+SUMPRODUCT($B$99:$B$104,(AF99:AF104&gt;AE99:AE104)*1))*$B$21</f>
        <v>0</v>
      </c>
      <c r="AG82" s="386" t="n">
        <f aca="false">(SUMPRODUCT($B$49:$B$58,(AG49:AG58&gt;AF49:AF58)*1)+SUMPRODUCT($B$61:$B$68,(AG61:AG68&gt;AF61:AF68)*1)+SUMPRODUCT($B$71:$B$74,(AG71:AG74&gt;AF71:AF74)*1)+SUMPRODUCT($B$77:$B$78,(AG77:AG78&gt;AF77:AF78)*1)+SUMPRODUCT($B$99:$B$104,(AG99:AG104&gt;AF99:AF104)*1))*$B$21</f>
        <v>0</v>
      </c>
      <c r="AH82" s="386" t="n">
        <f aca="false">(SUMPRODUCT($B$49:$B$58,(AH49:AH58&gt;AG49:AG58)*1)+SUMPRODUCT($B$61:$B$68,(AH61:AH68&gt;AG61:AG68)*1)+SUMPRODUCT($B$71:$B$74,(AH71:AH74&gt;AG71:AG74)*1)+SUMPRODUCT($B$77:$B$78,(AH77:AH78&gt;AG77:AG78)*1)+SUMPRODUCT($B$99:$B$104,(AH99:AH104&gt;AG99:AG104)*1))*$B$21</f>
        <v>0</v>
      </c>
      <c r="AI82" s="386" t="n">
        <f aca="false">(SUMPRODUCT($B$49:$B$58,(AI49:AI58&gt;AH49:AH58)*1)+SUMPRODUCT($B$61:$B$68,(AI61:AI68&gt;AH61:AH68)*1)+SUMPRODUCT($B$71:$B$74,(AI71:AI74&gt;AH71:AH74)*1)+SUMPRODUCT($B$77:$B$78,(AI77:AI78&gt;AH77:AH78)*1)+SUMPRODUCT($B$99:$B$104,(AI99:AI104&gt;AH99:AH104)*1))*$B$21</f>
        <v>0</v>
      </c>
      <c r="AJ82" s="386" t="n">
        <f aca="false">(SUMPRODUCT($B$49:$B$58,(AJ49:AJ58&gt;AI49:AI58)*1)+SUMPRODUCT($B$61:$B$68,(AJ61:AJ68&gt;AI61:AI68)*1)+SUMPRODUCT($B$71:$B$74,(AJ71:AJ74&gt;AI71:AI74)*1)+SUMPRODUCT($B$77:$B$78,(AJ77:AJ78&gt;AI77:AI78)*1)+SUMPRODUCT($B$99:$B$104,(AJ99:AJ104&gt;AI99:AI104)*1))*$B$21</f>
        <v>30750</v>
      </c>
      <c r="AK82" s="386" t="n">
        <f aca="false">(SUMPRODUCT($B$49:$B$58,(AK49:AK58&gt;AJ49:AJ58)*1)+SUMPRODUCT($B$61:$B$68,(AK61:AK68&gt;AJ61:AJ68)*1)+SUMPRODUCT($B$71:$B$74,(AK71:AK74&gt;AJ71:AJ74)*1)+SUMPRODUCT($B$77:$B$78,(AK77:AK78&gt;AJ77:AJ78)*1)+SUMPRODUCT($B$99:$B$104,(AK99:AK104&gt;AJ99:AJ104)*1))*$B$21</f>
        <v>0</v>
      </c>
      <c r="AL82" s="386" t="n">
        <f aca="false">(SUMPRODUCT($B$49:$B$58,(AL49:AL58&gt;AK49:AK58)*1)+SUMPRODUCT($B$61:$B$68,(AL61:AL68&gt;AK61:AK68)*1)+SUMPRODUCT($B$71:$B$74,(AL71:AL74&gt;AK71:AK74)*1)+SUMPRODUCT($B$77:$B$78,(AL77:AL78&gt;AK77:AK78)*1)+SUMPRODUCT($B$99:$B$104,(AL99:AL104&gt;AK99:AK104)*1))*$B$21</f>
        <v>0</v>
      </c>
      <c r="AM82" s="386" t="n">
        <f aca="false">(SUMPRODUCT($B$49:$B$58,(AM49:AM58&gt;AL49:AL58)*1)+SUMPRODUCT($B$61:$B$68,(AM61:AM68&gt;AL61:AL68)*1)+SUMPRODUCT($B$71:$B$74,(AM71:AM74&gt;AL71:AL74)*1)+SUMPRODUCT($B$77:$B$78,(AM77:AM78&gt;AL77:AL78)*1)+SUMPRODUCT($B$99:$B$104,(AM99:AM104&gt;AL99:AL104)*1))*$B$21</f>
        <v>0</v>
      </c>
      <c r="AN82" s="386" t="n">
        <f aca="false">(SUMPRODUCT($B$49:$B$58,(AN49:AN58&gt;AM49:AM58)*1)+SUMPRODUCT($B$61:$B$68,(AN61:AN68&gt;AM61:AM68)*1)+SUMPRODUCT($B$71:$B$74,(AN71:AN74&gt;AM71:AM74)*1)+SUMPRODUCT($B$77:$B$78,(AN77:AN78&gt;AM77:AM78)*1)+SUMPRODUCT($B$99:$B$104,(AN99:AN104&gt;AM99:AM104)*1))*$B$21</f>
        <v>0</v>
      </c>
      <c r="AO82" s="386" t="n">
        <f aca="false">(SUMPRODUCT($B$49:$B$58,(AO49:AO58&gt;AN49:AN58)*1)+SUMPRODUCT($B$61:$B$68,(AO61:AO68&gt;AN61:AN68)*1)+SUMPRODUCT($B$71:$B$74,(AO71:AO74&gt;AN71:AN74)*1)+SUMPRODUCT($B$77:$B$78,(AO77:AO78&gt;AN77:AN78)*1)+SUMPRODUCT($B$99:$B$104,(AO99:AO104&gt;AN99:AN104)*1))*$B$21</f>
        <v>0</v>
      </c>
      <c r="AP82" s="386" t="n">
        <f aca="false">(SUMPRODUCT($B$49:$B$58,(AP49:AP58&gt;AO49:AO58)*1)+SUMPRODUCT($B$61:$B$68,(AP61:AP68&gt;AO61:AO68)*1)+SUMPRODUCT($B$71:$B$74,(AP71:AP74&gt;AO71:AO74)*1)+SUMPRODUCT($B$77:$B$78,(AP77:AP78&gt;AO77:AO78)*1)+SUMPRODUCT($B$99:$B$104,(AP99:AP104&gt;AO99:AO104)*1))*$B$21</f>
        <v>0</v>
      </c>
      <c r="AQ82" s="386" t="n">
        <f aca="false">(SUMPRODUCT($B$49:$B$58,(AQ49:AQ58&gt;AP49:AP58)*1)+SUMPRODUCT($B$61:$B$68,(AQ61:AQ68&gt;AP61:AP68)*1)+SUMPRODUCT($B$71:$B$74,(AQ71:AQ74&gt;AP71:AP74)*1)+SUMPRODUCT($B$77:$B$78,(AQ77:AQ78&gt;AP77:AP78)*1)+SUMPRODUCT($B$99:$B$104,(AQ99:AQ104&gt;AP99:AP104)*1))*$B$21</f>
        <v>38250</v>
      </c>
      <c r="AR82" s="386" t="n">
        <f aca="false">(SUMPRODUCT($B$49:$B$58,(AR49:AR58&gt;AQ49:AQ58)*1)+SUMPRODUCT($B$61:$B$68,(AR61:AR68&gt;AQ61:AQ68)*1)+SUMPRODUCT($B$71:$B$74,(AR71:AR74&gt;AQ71:AQ74)*1)+SUMPRODUCT($B$77:$B$78,(AR77:AR78&gt;AQ77:AQ78)*1)+SUMPRODUCT($B$99:$B$104,(AR99:AR104&gt;AQ99:AQ104)*1))*$B$21</f>
        <v>0</v>
      </c>
      <c r="AS82" s="386" t="n">
        <f aca="false">(SUMPRODUCT($B$49:$B$58,(AS49:AS58&gt;AR49:AR58)*1)+SUMPRODUCT($B$61:$B$68,(AS61:AS68&gt;AR61:AR68)*1)+SUMPRODUCT($B$71:$B$74,(AS71:AS74&gt;AR71:AR74)*1)+SUMPRODUCT($B$77:$B$78,(AS77:AS78&gt;AR77:AR78)*1)+SUMPRODUCT($B$99:$B$104,(AS99:AS104&gt;AR99:AR104)*1))*$B$21</f>
        <v>0</v>
      </c>
      <c r="AT82" s="386" t="n">
        <f aca="false">(SUMPRODUCT($B$49:$B$58,(AT49:AT58&gt;AS49:AS58)*1)+SUMPRODUCT($B$61:$B$68,(AT61:AT68&gt;AS61:AS68)*1)+SUMPRODUCT($B$71:$B$74,(AT71:AT74&gt;AS71:AS74)*1)+SUMPRODUCT($B$77:$B$78,(AT77:AT78&gt;AS77:AS78)*1)+SUMPRODUCT($B$99:$B$104,(AT99:AT104&gt;AS99:AS104)*1))*$B$21</f>
        <v>0</v>
      </c>
      <c r="AU82" s="386" t="n">
        <f aca="false">(SUMPRODUCT($B$49:$B$58,(AU49:AU58&gt;AT49:AT58)*1)+SUMPRODUCT($B$61:$B$68,(AU61:AU68&gt;AT61:AT68)*1)+SUMPRODUCT($B$71:$B$74,(AU71:AU74&gt;AT71:AT74)*1)+SUMPRODUCT($B$77:$B$78,(AU77:AU78&gt;AT77:AT78)*1)+SUMPRODUCT($B$99:$B$104,(AU99:AU104&gt;AT99:AT104)*1))*$B$21</f>
        <v>37500</v>
      </c>
      <c r="AV82" s="386" t="n">
        <f aca="false">(SUMPRODUCT($B$49:$B$58,(AV49:AV58&gt;AU49:AU58)*1)+SUMPRODUCT($B$61:$B$68,(AV61:AV68&gt;AU61:AU68)*1)+SUMPRODUCT($B$71:$B$74,(AV71:AV74&gt;AU71:AU74)*1)+SUMPRODUCT($B$77:$B$78,(AV77:AV78&gt;AU77:AU78)*1)+SUMPRODUCT($B$99:$B$104,(AV99:AV104&gt;AU99:AU104)*1))*$B$21</f>
        <v>0</v>
      </c>
      <c r="AW82" s="386" t="n">
        <f aca="false">(SUMPRODUCT($B$49:$B$58,(AW49:AW58&gt;AV49:AV58)*1)+SUMPRODUCT($B$61:$B$68,(AW61:AW68&gt;AV61:AV68)*1)+SUMPRODUCT($B$71:$B$74,(AW71:AW74&gt;AV71:AV74)*1)+SUMPRODUCT($B$77:$B$78,(AW77:AW78&gt;AV77:AV78)*1)+SUMPRODUCT($B$99:$B$104,(AW99:AW104&gt;AV99:AV104)*1))*$B$21</f>
        <v>0</v>
      </c>
      <c r="AX82" s="386" t="n">
        <f aca="false">(SUMPRODUCT($B$49:$B$58,(AX49:AX58&gt;AW49:AW58)*1)+SUMPRODUCT($B$61:$B$68,(AX61:AX68&gt;AW61:AW68)*1)+SUMPRODUCT($B$71:$B$74,(AX71:AX74&gt;AW71:AW74)*1)+SUMPRODUCT($B$77:$B$78,(AX77:AX78&gt;AW77:AW78)*1)+SUMPRODUCT($B$99:$B$104,(AX99:AX104&gt;AW99:AW104)*1))*$B$21</f>
        <v>0</v>
      </c>
      <c r="AY82" s="386" t="n">
        <f aca="false">(SUMPRODUCT($B$49:$B$58,(AY49:AY58&gt;AX49:AX58)*1)+SUMPRODUCT($B$61:$B$68,(AY61:AY68&gt;AX61:AX68)*1)+SUMPRODUCT($B$71:$B$74,(AY71:AY74&gt;AX71:AX74)*1)+SUMPRODUCT($B$77:$B$78,(AY77:AY78&gt;AX77:AX78)*1)+SUMPRODUCT($B$99:$B$104,(AY99:AY104&gt;AX99:AX104)*1))*$B$21</f>
        <v>0</v>
      </c>
      <c r="AZ82" s="386" t="n">
        <f aca="false">(SUMPRODUCT($B$49:$B$58,(AZ49:AZ58&gt;AY49:AY58)*1)+SUMPRODUCT($B$61:$B$68,(AZ61:AZ68&gt;AY61:AY68)*1)+SUMPRODUCT($B$71:$B$74,(AZ71:AZ74&gt;AY71:AY74)*1)+SUMPRODUCT($B$77:$B$78,(AZ77:AZ78&gt;AY77:AY78)*1)+SUMPRODUCT($B$99:$B$104,(AZ99:AZ104&gt;AY99:AY104)*1))*$B$21</f>
        <v>0</v>
      </c>
      <c r="BA82" s="386" t="n">
        <f aca="false">(SUMPRODUCT($B$49:$B$58,(BA49:BA58&gt;AZ49:AZ58)*1)+SUMPRODUCT($B$61:$B$68,(BA61:BA68&gt;AZ61:AZ68)*1)+SUMPRODUCT($B$71:$B$74,(BA71:BA74&gt;AZ71:AZ74)*1)+SUMPRODUCT($B$77:$B$78,(BA77:BA78&gt;AZ77:AZ78)*1)+SUMPRODUCT($B$99:$B$104,(BA99:BA104&gt;AZ99:AZ104)*1))*$B$21</f>
        <v>0</v>
      </c>
      <c r="BB82" s="386" t="n">
        <f aca="false">(SUMPRODUCT($B$49:$B$58,(BB49:BB58&gt;BA49:BA58)*1)+SUMPRODUCT($B$61:$B$68,(BB61:BB68&gt;BA61:BA68)*1)+SUMPRODUCT($B$71:$B$74,(BB71:BB74&gt;BA71:BA74)*1)+SUMPRODUCT($B$77:$B$78,(BB77:BB78&gt;BA77:BA78)*1)+SUMPRODUCT($B$99:$B$104,(BB99:BB104&gt;BA99:BA104)*1))*$B$21</f>
        <v>0</v>
      </c>
      <c r="BC82" s="386" t="n">
        <f aca="false">(SUMPRODUCT($B$49:$B$58,(BC49:BC58&gt;BB49:BB58)*1)+SUMPRODUCT($B$61:$B$68,(BC61:BC68&gt;BB61:BB68)*1)+SUMPRODUCT($B$71:$B$74,(BC71:BC74&gt;BB71:BB74)*1)+SUMPRODUCT($B$77:$B$78,(BC77:BC78&gt;BB77:BB78)*1)+SUMPRODUCT($B$99:$B$104,(BC99:BC104&gt;BB99:BB104)*1))*$B$21</f>
        <v>0</v>
      </c>
      <c r="BD82" s="386" t="n">
        <f aca="false">(SUMPRODUCT($B$49:$B$58,(BD49:BD58&gt;BC49:BC58)*1)+SUMPRODUCT($B$61:$B$68,(BD61:BD68&gt;BC61:BC68)*1)+SUMPRODUCT($B$71:$B$74,(BD71:BD74&gt;BC71:BC74)*1)+SUMPRODUCT($B$77:$B$78,(BD77:BD78&gt;BC77:BC78)*1)+SUMPRODUCT($B$99:$B$104,(BD99:BD104&gt;BC99:BC104)*1))*$B$21</f>
        <v>0</v>
      </c>
      <c r="BE82" s="386" t="n">
        <f aca="false">(SUMPRODUCT($B$49:$B$58,(BE49:BE58&gt;BD49:BD58)*1)+SUMPRODUCT($B$61:$B$68,(BE61:BE68&gt;BD61:BD68)*1)+SUMPRODUCT($B$71:$B$74,(BE71:BE74&gt;BD71:BD74)*1)+SUMPRODUCT($B$77:$B$78,(BE77:BE78&gt;BD77:BD78)*1)+SUMPRODUCT($B$99:$B$104,(BE99:BE104&gt;BD99:BD104)*1))*$B$21</f>
        <v>0</v>
      </c>
      <c r="BF82" s="386" t="n">
        <f aca="false">(SUMPRODUCT($B$49:$B$58,(BF49:BF58&gt;BE49:BE58)*1)+SUMPRODUCT($B$61:$B$68,(BF61:BF68&gt;BE61:BE68)*1)+SUMPRODUCT($B$71:$B$74,(BF71:BF74&gt;BE71:BE74)*1)+SUMPRODUCT($B$77:$B$78,(BF77:BF78&gt;BE77:BE78)*1)+SUMPRODUCT($B$99:$B$104,(BF99:BF104&gt;BE99:BE104)*1))*$B$21</f>
        <v>0</v>
      </c>
      <c r="BG82" s="386" t="n">
        <f aca="false">(SUMPRODUCT($B$49:$B$58,(BG49:BG58&gt;BF49:BF58)*1)+SUMPRODUCT($B$61:$B$68,(BG61:BG68&gt;BF61:BF68)*1)+SUMPRODUCT($B$71:$B$74,(BG71:BG74&gt;BF71:BF74)*1)+SUMPRODUCT($B$77:$B$78,(BG77:BG78&gt;BF77:BF78)*1)+SUMPRODUCT($B$99:$B$104,(BG99:BG104&gt;BF99:BF104)*1))*$B$21</f>
        <v>0</v>
      </c>
      <c r="BH82" s="386" t="n">
        <f aca="false">(SUMPRODUCT($B$49:$B$58,(BH49:BH58&gt;BG49:BG58)*1)+SUMPRODUCT($B$61:$B$68,(BH61:BH68&gt;BG61:BG68)*1)+SUMPRODUCT($B$71:$B$74,(BH71:BH74&gt;BG71:BG74)*1)+SUMPRODUCT($B$77:$B$78,(BH77:BH78&gt;BG77:BG78)*1)+SUMPRODUCT($B$99:$B$104,(BH99:BH104&gt;BG99:BG104)*1))*$B$21</f>
        <v>0</v>
      </c>
      <c r="BI82" s="386" t="n">
        <f aca="false">(SUMPRODUCT($B$49:$B$58,(BI49:BI58&gt;BH49:BH58)*1)+SUMPRODUCT($B$61:$B$68,(BI61:BI68&gt;BH61:BH68)*1)+SUMPRODUCT($B$71:$B$74,(BI71:BI74&gt;BH71:BH74)*1)+SUMPRODUCT($B$77:$B$78,(BI77:BI78&gt;BH77:BH78)*1)+SUMPRODUCT($B$99:$B$104,(BI99:BI104&gt;BH99:BH104)*1))*$B$21</f>
        <v>0</v>
      </c>
      <c r="BJ82" s="386" t="n">
        <f aca="false">(SUMPRODUCT($B$49:$B$58,(BJ49:BJ58&gt;BI49:BI58)*1)+SUMPRODUCT($B$61:$B$68,(BJ61:BJ68&gt;BI61:BI68)*1)+SUMPRODUCT($B$71:$B$74,(BJ71:BJ74&gt;BI71:BI74)*1)+SUMPRODUCT($B$77:$B$78,(BJ77:BJ78&gt;BI77:BI78)*1)+SUMPRODUCT($B$99:$B$104,(BJ99:BJ104&gt;BI99:BI104)*1))*$B$21</f>
        <v>0</v>
      </c>
      <c r="BK82" s="386" t="n">
        <f aca="false">(SUMPRODUCT($B$49:$B$58,(BK49:BK58&gt;BJ49:BJ58)*1)+SUMPRODUCT($B$61:$B$68,(BK61:BK68&gt;BJ61:BJ68)*1)+SUMPRODUCT($B$71:$B$74,(BK71:BK74&gt;BJ71:BJ74)*1)+SUMPRODUCT($B$77:$B$78,(BK77:BK78&gt;BJ77:BJ78)*1)+SUMPRODUCT($B$99:$B$104,(BK99:BK104&gt;BJ99:BJ104)*1))*$B$21</f>
        <v>0</v>
      </c>
      <c r="BL82" s="386" t="n">
        <f aca="false">(SUMPRODUCT($B$49:$B$58,(BL49:BL58&gt;BK49:BK58)*1)+SUMPRODUCT($B$61:$B$68,(BL61:BL68&gt;BK61:BK68)*1)+SUMPRODUCT($B$71:$B$74,(BL71:BL74&gt;BK71:BK74)*1)+SUMPRODUCT($B$77:$B$78,(BL77:BL78&gt;BK77:BK78)*1)+SUMPRODUCT($B$99:$B$104,(BL99:BL104&gt;BK99:BK104)*1))*$B$21</f>
        <v>0</v>
      </c>
      <c r="BM82" s="386" t="n">
        <f aca="false">(SUMPRODUCT($B$49:$B$58,(BM49:BM58&gt;BL49:BL58)*1)+SUMPRODUCT($B$61:$B$68,(BM61:BM68&gt;BL61:BL68)*1)+SUMPRODUCT($B$71:$B$74,(BM71:BM74&gt;BL71:BL74)*1)+SUMPRODUCT($B$77:$B$78,(BM77:BM78&gt;BL77:BL78)*1)+SUMPRODUCT($B$99:$B$104,(BM99:BM104&gt;BL99:BL104)*1))*$B$21</f>
        <v>0</v>
      </c>
      <c r="BN82" s="386" t="n">
        <f aca="false">(SUMPRODUCT($B$49:$B$58,(BN49:BN58&gt;BM49:BM58)*1)+SUMPRODUCT($B$61:$B$68,(BN61:BN68&gt;BM61:BM68)*1)+SUMPRODUCT($B$71:$B$74,(BN71:BN74&gt;BM71:BM74)*1)+SUMPRODUCT($B$77:$B$78,(BN77:BN78&gt;BM77:BM78)*1)+SUMPRODUCT($B$99:$B$104,(BN99:BN104&gt;BM99:BM104)*1))*$B$21</f>
        <v>0</v>
      </c>
      <c r="BO82" s="386" t="n">
        <f aca="false">(SUMPRODUCT($B$49:$B$58,(BO49:BO58&gt;BN49:BN58)*1)+SUMPRODUCT($B$61:$B$68,(BO61:BO68&gt;BN61:BN68)*1)+SUMPRODUCT($B$71:$B$74,(BO71:BO74&gt;BN71:BN74)*1)+SUMPRODUCT($B$77:$B$78,(BO77:BO78&gt;BN77:BN78)*1)+SUMPRODUCT($B$99:$B$104,(BO99:BO104&gt;BN99:BN104)*1))*$B$21</f>
        <v>0</v>
      </c>
      <c r="BP82" s="386" t="n">
        <f aca="false">(SUMPRODUCT($B$49:$B$58,(BP49:BP58&gt;BO49:BO58)*1)+SUMPRODUCT($B$61:$B$68,(BP61:BP68&gt;BO61:BO68)*1)+SUMPRODUCT($B$71:$B$74,(BP71:BP74&gt;BO71:BO74)*1)+SUMPRODUCT($B$77:$B$78,(BP77:BP78&gt;BO77:BO78)*1)+SUMPRODUCT($B$99:$B$104,(BP99:BP104&gt;BO99:BO104)*1))*$B$21</f>
        <v>0</v>
      </c>
      <c r="BQ82" s="386" t="n">
        <f aca="false">(SUMPRODUCT($B$49:$B$58,(BQ49:BQ58&gt;BP49:BP58)*1)+SUMPRODUCT($B$61:$B$68,(BQ61:BQ68&gt;BP61:BP68)*1)+SUMPRODUCT($B$71:$B$74,(BQ71:BQ74&gt;BP71:BP74)*1)+SUMPRODUCT($B$77:$B$78,(BQ77:BQ78&gt;BP77:BP78)*1)+SUMPRODUCT($B$99:$B$104,(BQ99:BQ104&gt;BP99:BP104)*1))*$B$21</f>
        <v>0</v>
      </c>
      <c r="BR82" s="386" t="n">
        <f aca="false">(SUMPRODUCT($B$49:$B$58,(BR49:BR58&gt;BQ49:BQ58)*1)+SUMPRODUCT($B$61:$B$68,(BR61:BR68&gt;BQ61:BQ68)*1)+SUMPRODUCT($B$71:$B$74,(BR71:BR74&gt;BQ71:BQ74)*1)+SUMPRODUCT($B$77:$B$78,(BR77:BR78&gt;BQ77:BQ78)*1)+SUMPRODUCT($B$99:$B$104,(BR99:BR104&gt;BQ99:BQ104)*1))*$B$21</f>
        <v>0</v>
      </c>
      <c r="BS82" s="386" t="n">
        <f aca="false">(SUMPRODUCT($B$49:$B$58,(BS49:BS58&gt;BR49:BR58)*1)+SUMPRODUCT($B$61:$B$68,(BS61:BS68&gt;BR61:BR68)*1)+SUMPRODUCT($B$71:$B$74,(BS71:BS74&gt;BR71:BR74)*1)+SUMPRODUCT($B$77:$B$78,(BS77:BS78&gt;BR77:BR78)*1)+SUMPRODUCT($B$99:$B$104,(BS99:BS104&gt;BR99:BR104)*1))*$B$21</f>
        <v>0</v>
      </c>
      <c r="BT82" s="386" t="n">
        <f aca="false">(SUMPRODUCT($B$49:$B$58,(BT49:BT58&gt;BS49:BS58)*1)+SUMPRODUCT($B$61:$B$68,(BT61:BT68&gt;BS61:BS68)*1)+SUMPRODUCT($B$71:$B$74,(BT71:BT74&gt;BS71:BS74)*1)+SUMPRODUCT($B$77:$B$78,(BT77:BT78&gt;BS77:BS78)*1)+SUMPRODUCT($B$99:$B$104,(BT99:BT104&gt;BS99:BS104)*1))*$B$21</f>
        <v>0</v>
      </c>
      <c r="BU82" s="386" t="n">
        <f aca="false">(SUMPRODUCT($B$49:$B$58,(BU49:BU58&gt;BT49:BT58)*1)+SUMPRODUCT($B$61:$B$68,(BU61:BU68&gt;BT61:BT68)*1)+SUMPRODUCT($B$71:$B$74,(BU71:BU74&gt;BT71:BT74)*1)+SUMPRODUCT($B$77:$B$78,(BU77:BU78&gt;BT77:BT78)*1)+SUMPRODUCT($B$99:$B$104,(BU99:BU104&gt;BT99:BT104)*1))*$B$21</f>
        <v>0</v>
      </c>
      <c r="BV82" s="386" t="n">
        <f aca="false">(SUMPRODUCT($B$49:$B$58,(BV49:BV58&gt;BU49:BU58)*1)+SUMPRODUCT($B$61:$B$68,(BV61:BV68&gt;BU61:BU68)*1)+SUMPRODUCT($B$71:$B$74,(BV71:BV74&gt;BU71:BU74)*1)+SUMPRODUCT($B$77:$B$78,(BV77:BV78&gt;BU77:BU78)*1)+SUMPRODUCT($B$99:$B$104,(BV99:BV104&gt;BU99:BU104)*1))*$B$21</f>
        <v>0</v>
      </c>
      <c r="BW82" s="386" t="n">
        <f aca="false">(SUMPRODUCT($B$49:$B$58,(BW49:BW58&gt;BV49:BV58)*1)+SUMPRODUCT($B$61:$B$68,(BW61:BW68&gt;BV61:BV68)*1)+SUMPRODUCT($B$71:$B$74,(BW71:BW74&gt;BV71:BV74)*1)+SUMPRODUCT($B$77:$B$78,(BW77:BW78&gt;BV77:BV78)*1)+SUMPRODUCT($B$99:$B$104,(BW99:BW104&gt;BV99:BV104)*1))*$B$21</f>
        <v>0</v>
      </c>
      <c r="BX82" s="386" t="n">
        <f aca="false">(SUMPRODUCT($B$49:$B$58,(BX49:BX58&gt;BW49:BW58)*1)+SUMPRODUCT($B$61:$B$68,(BX61:BX68&gt;BW61:BW68)*1)+SUMPRODUCT($B$71:$B$74,(BX71:BX74&gt;BW71:BW74)*1)+SUMPRODUCT($B$77:$B$78,(BX77:BX78&gt;BW77:BW78)*1)+SUMPRODUCT($B$99:$B$104,(BX99:BX104&gt;BW99:BW104)*1))*$B$21</f>
        <v>0</v>
      </c>
      <c r="BY82" s="386" t="n">
        <f aca="false">(SUMPRODUCT($B$49:$B$58,(BY49:BY58&gt;BX49:BX58)*1)+SUMPRODUCT($B$61:$B$68,(BY61:BY68&gt;BX61:BX68)*1)+SUMPRODUCT($B$71:$B$74,(BY71:BY74&gt;BX71:BX74)*1)+SUMPRODUCT($B$77:$B$78,(BY77:BY78&gt;BX77:BX78)*1)+SUMPRODUCT($B$99:$B$104,(BY99:BY104&gt;BX99:BX104)*1))*$B$21</f>
        <v>0</v>
      </c>
      <c r="BZ82" s="386" t="n">
        <f aca="false">(SUMPRODUCT($B$49:$B$58,(BZ49:BZ58&gt;BY49:BY58)*1)+SUMPRODUCT($B$61:$B$68,(BZ61:BZ68&gt;BY61:BY68)*1)+SUMPRODUCT($B$71:$B$74,(BZ71:BZ74&gt;BY71:BY74)*1)+SUMPRODUCT($B$77:$B$78,(BZ77:BZ78&gt;BY77:BY78)*1)+SUMPRODUCT($B$99:$B$104,(BZ99:BZ104&gt;BY99:BY104)*1))*$B$21</f>
        <v>0</v>
      </c>
      <c r="CA82" s="386" t="n">
        <f aca="false">(SUMPRODUCT($B$49:$B$58,(CA49:CA58&gt;BZ49:BZ58)*1)+SUMPRODUCT($B$61:$B$68,(CA61:CA68&gt;BZ61:BZ68)*1)+SUMPRODUCT($B$71:$B$74,(CA71:CA74&gt;BZ71:BZ74)*1)+SUMPRODUCT($B$77:$B$78,(CA77:CA78&gt;BZ77:BZ78)*1)+SUMPRODUCT($B$99:$B$104,(CA99:CA104&gt;BZ99:BZ104)*1))*$B$21</f>
        <v>0</v>
      </c>
      <c r="CB82" s="386" t="n">
        <f aca="false">(SUMPRODUCT($B$49:$B$58,(CB49:CB58&gt;CA49:CA58)*1)+SUMPRODUCT($B$61:$B$68,(CB61:CB68&gt;CA61:CA68)*1)+SUMPRODUCT($B$71:$B$74,(CB71:CB74&gt;CA71:CA74)*1)+SUMPRODUCT($B$77:$B$78,(CB77:CB78&gt;CA77:CA78)*1)+SUMPRODUCT($B$99:$B$104,(CB99:CB104&gt;CA99:CA104)*1))*$B$21</f>
        <v>0</v>
      </c>
      <c r="CC82" s="386" t="n">
        <f aca="false">(SUMPRODUCT($B$49:$B$58,(CC49:CC58&gt;CB49:CB58)*1)+SUMPRODUCT($B$61:$B$68,(CC61:CC68&gt;CB61:CB68)*1)+SUMPRODUCT($B$71:$B$74,(CC71:CC74&gt;CB71:CB74)*1)+SUMPRODUCT($B$77:$B$78,(CC77:CC78&gt;CB77:CB78)*1)+SUMPRODUCT($B$99:$B$104,(CC99:CC104&gt;CB99:CB104)*1))*$B$21</f>
        <v>0</v>
      </c>
      <c r="CD82" s="386" t="n">
        <f aca="false">(SUMPRODUCT($B$49:$B$58,(CD49:CD58&gt;CC49:CC58)*1)+SUMPRODUCT($B$61:$B$68,(CD61:CD68&gt;CC61:CC68)*1)+SUMPRODUCT($B$71:$B$74,(CD71:CD74&gt;CC71:CC74)*1)+SUMPRODUCT($B$77:$B$78,(CD77:CD78&gt;CC77:CC78)*1)+SUMPRODUCT($B$99:$B$104,(CD99:CD104&gt;CC99:CC104)*1))*$B$21</f>
        <v>0</v>
      </c>
      <c r="CE82" s="386" t="n">
        <f aca="false">(SUMPRODUCT($B$49:$B$58,(CE49:CE58&gt;CD49:CD58)*1)+SUMPRODUCT($B$61:$B$68,(CE61:CE68&gt;CD61:CD68)*1)+SUMPRODUCT($B$71:$B$74,(CE71:CE74&gt;CD71:CD74)*1)+SUMPRODUCT($B$77:$B$78,(CE77:CE78&gt;CD77:CD78)*1)+SUMPRODUCT($B$99:$B$104,(CE99:CE104&gt;CD99:CD104)*1))*$B$21</f>
        <v>0</v>
      </c>
      <c r="CF82" s="386" t="n">
        <f aca="false">(SUMPRODUCT($B$49:$B$58,(CF49:CF58&gt;CE49:CE58)*1)+SUMPRODUCT($B$61:$B$68,(CF61:CF68&gt;CE61:CE68)*1)+SUMPRODUCT($B$71:$B$74,(CF71:CF74&gt;CE71:CE74)*1)+SUMPRODUCT($B$77:$B$78,(CF77:CF78&gt;CE77:CE78)*1)+SUMPRODUCT($B$99:$B$104,(CF99:CF104&gt;CE99:CE104)*1))*$B$21</f>
        <v>0</v>
      </c>
      <c r="CG82" s="386" t="n">
        <f aca="false">(SUMPRODUCT($B$49:$B$58,(CG49:CG58&gt;CF49:CF58)*1)+SUMPRODUCT($B$61:$B$68,(CG61:CG68&gt;CF61:CF68)*1)+SUMPRODUCT($B$71:$B$74,(CG71:CG74&gt;CF71:CF74)*1)+SUMPRODUCT($B$77:$B$78,(CG77:CG78&gt;CF77:CF78)*1)+SUMPRODUCT($B$99:$B$104,(CG99:CG104&gt;CF99:CF104)*1))*$B$21</f>
        <v>0</v>
      </c>
      <c r="CH82" s="386" t="n">
        <f aca="false">(SUMPRODUCT($B$49:$B$58,(CH49:CH58&gt;CG49:CG58)*1)+SUMPRODUCT($B$61:$B$68,(CH61:CH68&gt;CG61:CG68)*1)+SUMPRODUCT($B$71:$B$74,(CH71:CH74&gt;CG71:CG74)*1)+SUMPRODUCT($B$77:$B$78,(CH77:CH78&gt;CG77:CG78)*1)+SUMPRODUCT($B$99:$B$104,(CH99:CH104&gt;CG99:CG104)*1))*$B$21</f>
        <v>0</v>
      </c>
      <c r="CI82" s="386" t="n">
        <f aca="false">(SUMPRODUCT($B$49:$B$58,(CI49:CI58&gt;CH49:CH58)*1)+SUMPRODUCT($B$61:$B$68,(CI61:CI68&gt;CH61:CH68)*1)+SUMPRODUCT($B$71:$B$74,(CI71:CI74&gt;CH71:CH74)*1)+SUMPRODUCT($B$77:$B$78,(CI77:CI78&gt;CH77:CH78)*1)+SUMPRODUCT($B$99:$B$104,(CI99:CI104&gt;CH99:CH104)*1))*$B$21</f>
        <v>0</v>
      </c>
      <c r="CJ82" s="386" t="n">
        <f aca="false">(SUMPRODUCT($B$49:$B$58,(CJ49:CJ58&gt;CI49:CI58)*1)+SUMPRODUCT($B$61:$B$68,(CJ61:CJ68&gt;CI61:CI68)*1)+SUMPRODUCT($B$71:$B$74,(CJ71:CJ74&gt;CI71:CI74)*1)+SUMPRODUCT($B$77:$B$78,(CJ77:CJ78&gt;CI77:CI78)*1)+SUMPRODUCT($B$99:$B$104,(CJ99:CJ104&gt;CI99:CI104)*1))*$B$21</f>
        <v>0</v>
      </c>
      <c r="CK82" s="386" t="n">
        <f aca="false">(SUMPRODUCT($B$49:$B$58,(CK49:CK58&gt;CJ49:CJ58)*1)+SUMPRODUCT($B$61:$B$68,(CK61:CK68&gt;CJ61:CJ68)*1)+SUMPRODUCT($B$71:$B$74,(CK71:CK74&gt;CJ71:CJ74)*1)+SUMPRODUCT($B$77:$B$78,(CK77:CK78&gt;CJ77:CJ78)*1)+SUMPRODUCT($B$99:$B$104,(CK99:CK104&gt;CJ99:CJ104)*1))*$B$21</f>
        <v>0</v>
      </c>
      <c r="CL82" s="386" t="n">
        <f aca="false">(SUMPRODUCT($B$49:$B$58,(CL49:CL58&gt;CK49:CK58)*1)+SUMPRODUCT($B$61:$B$68,(CL61:CL68&gt;CK61:CK68)*1)+SUMPRODUCT($B$71:$B$74,(CL71:CL74&gt;CK71:CK74)*1)+SUMPRODUCT($B$77:$B$78,(CL77:CL78&gt;CK77:CK78)*1)+SUMPRODUCT($B$99:$B$104,(CL99:CL104&gt;CK99:CK104)*1))*$B$21</f>
        <v>0</v>
      </c>
      <c r="CM82" s="386" t="n">
        <f aca="false">(SUMPRODUCT($B$49:$B$58,(CM49:CM58&gt;CL49:CL58)*1)+SUMPRODUCT($B$61:$B$68,(CM61:CM68&gt;CL61:CL68)*1)+SUMPRODUCT($B$71:$B$74,(CM71:CM74&gt;CL71:CL74)*1)+SUMPRODUCT($B$77:$B$78,(CM77:CM78&gt;CL77:CL78)*1)+SUMPRODUCT($B$99:$B$104,(CM99:CM104&gt;CL99:CL104)*1))*$B$21</f>
        <v>0</v>
      </c>
      <c r="CN82" s="386" t="n">
        <f aca="false">(SUMPRODUCT($B$49:$B$58,(CN49:CN58&gt;CM49:CM58)*1)+SUMPRODUCT($B$61:$B$68,(CN61:CN68&gt;CM61:CM68)*1)+SUMPRODUCT($B$71:$B$74,(CN71:CN74&gt;CM71:CM74)*1)+SUMPRODUCT($B$77:$B$78,(CN77:CN78&gt;CM77:CM78)*1)+SUMPRODUCT($B$99:$B$104,(CN99:CN104&gt;CM99:CM104)*1))*$B$21</f>
        <v>0</v>
      </c>
      <c r="CO82" s="386" t="n">
        <f aca="false">(SUMPRODUCT($B$49:$B$58,(CO49:CO58&gt;CN49:CN58)*1)+SUMPRODUCT($B$61:$B$68,(CO61:CO68&gt;CN61:CN68)*1)+SUMPRODUCT($B$71:$B$74,(CO71:CO74&gt;CN71:CN74)*1)+SUMPRODUCT($B$77:$B$78,(CO77:CO78&gt;CN77:CN78)*1)+SUMPRODUCT($B$99:$B$104,(CO99:CO104&gt;CN99:CN104)*1))*$B$21</f>
        <v>0</v>
      </c>
      <c r="CP82" s="386" t="n">
        <f aca="false">(SUMPRODUCT($B$49:$B$58,(CP49:CP58&gt;CO49:CO58)*1)+SUMPRODUCT($B$61:$B$68,(CP61:CP68&gt;CO61:CO68)*1)+SUMPRODUCT($B$71:$B$74,(CP71:CP74&gt;CO71:CO74)*1)+SUMPRODUCT($B$77:$B$78,(CP77:CP78&gt;CO77:CO78)*1)+SUMPRODUCT($B$99:$B$104,(CP99:CP104&gt;CO99:CO104)*1))*$B$21</f>
        <v>0</v>
      </c>
      <c r="CQ82" s="386" t="n">
        <f aca="false">(SUMPRODUCT($B$49:$B$58,(CQ49:CQ58&gt;CP49:CP58)*1)+SUMPRODUCT($B$61:$B$68,(CQ61:CQ68&gt;CP61:CP68)*1)+SUMPRODUCT($B$71:$B$74,(CQ71:CQ74&gt;CP71:CP74)*1)+SUMPRODUCT($B$77:$B$78,(CQ77:CQ78&gt;CP77:CP78)*1)+SUMPRODUCT($B$99:$B$104,(CQ99:CQ104&gt;CP99:CP104)*1))*$B$21</f>
        <v>0</v>
      </c>
      <c r="CR82" s="386" t="n">
        <f aca="false">(SUMPRODUCT($B$49:$B$58,(CR49:CR58&gt;CQ49:CQ58)*1)+SUMPRODUCT($B$61:$B$68,(CR61:CR68&gt;CQ61:CQ68)*1)+SUMPRODUCT($B$71:$B$74,(CR71:CR74&gt;CQ71:CQ74)*1)+SUMPRODUCT($B$77:$B$78,(CR77:CR78&gt;CQ77:CQ78)*1)+SUMPRODUCT($B$99:$B$104,(CR99:CR104&gt;CQ99:CQ104)*1))*$B$21</f>
        <v>0</v>
      </c>
      <c r="CS82" s="386" t="n">
        <f aca="false">(SUMPRODUCT($B$49:$B$58,(CS49:CS58&gt;CR49:CR58)*1)+SUMPRODUCT($B$61:$B$68,(CS61:CS68&gt;CR61:CR68)*1)+SUMPRODUCT($B$71:$B$74,(CS71:CS74&gt;CR71:CR74)*1)+SUMPRODUCT($B$77:$B$78,(CS77:CS78&gt;CR77:CR78)*1)+SUMPRODUCT($B$99:$B$104,(CS99:CS104&gt;CR99:CR104)*1))*$B$21</f>
        <v>0</v>
      </c>
      <c r="CT82" s="386" t="n">
        <f aca="false">(SUMPRODUCT($B$49:$B$58,(CT49:CT58&gt;CS49:CS58)*1)+SUMPRODUCT($B$61:$B$68,(CT61:CT68&gt;CS61:CS68)*1)+SUMPRODUCT($B$71:$B$74,(CT71:CT74&gt;CS71:CS74)*1)+SUMPRODUCT($B$77:$B$78,(CT77:CT78&gt;CS77:CS78)*1)+SUMPRODUCT($B$99:$B$104,(CT99:CT104&gt;CS99:CS104)*1))*$B$21</f>
        <v>0</v>
      </c>
      <c r="CU82" s="386" t="n">
        <f aca="false">(SUMPRODUCT($B$49:$B$58,(CU49:CU58&gt;CT49:CT58)*1)+SUMPRODUCT($B$61:$B$68,(CU61:CU68&gt;CT61:CT68)*1)+SUMPRODUCT($B$71:$B$74,(CU71:CU74&gt;CT71:CT74)*1)+SUMPRODUCT($B$77:$B$78,(CU77:CU78&gt;CT77:CT78)*1)+SUMPRODUCT($B$99:$B$104,(CU99:CU104&gt;CT99:CT104)*1))*$B$21</f>
        <v>0</v>
      </c>
      <c r="CV82" s="386" t="n">
        <f aca="false">(SUMPRODUCT($B$49:$B$58,(CV49:CV58&gt;CU49:CU58)*1)+SUMPRODUCT($B$61:$B$68,(CV61:CV68&gt;CU61:CU68)*1)+SUMPRODUCT($B$71:$B$74,(CV71:CV74&gt;CU71:CU74)*1)+SUMPRODUCT($B$77:$B$78,(CV77:CV78&gt;CU77:CU78)*1)+SUMPRODUCT($B$99:$B$104,(CV99:CV104&gt;CU99:CU104)*1))*$B$21</f>
        <v>0</v>
      </c>
      <c r="CW82" s="386" t="n">
        <f aca="false">(SUMPRODUCT($B$49:$B$58,(CW49:CW58&gt;CV49:CV58)*1)+SUMPRODUCT($B$61:$B$68,(CW61:CW68&gt;CV61:CV68)*1)+SUMPRODUCT($B$71:$B$74,(CW71:CW74&gt;CV71:CV74)*1)+SUMPRODUCT($B$77:$B$78,(CW77:CW78&gt;CV77:CV78)*1)+SUMPRODUCT($B$99:$B$104,(CW99:CW104&gt;CV99:CV104)*1))*$B$21</f>
        <v>0</v>
      </c>
      <c r="CX82" s="386" t="n">
        <f aca="false">(SUMPRODUCT($B$49:$B$58,(CX49:CX58&gt;CW49:CW58)*1)+SUMPRODUCT($B$61:$B$68,(CX61:CX68&gt;CW61:CW68)*1)+SUMPRODUCT($B$71:$B$74,(CX71:CX74&gt;CW71:CW74)*1)+SUMPRODUCT($B$77:$B$78,(CX77:CX78&gt;CW77:CW78)*1)+SUMPRODUCT($B$99:$B$104,(CX99:CX104&gt;CW99:CW104)*1))*$B$21</f>
        <v>0</v>
      </c>
      <c r="CY82" s="386" t="n">
        <f aca="false">(SUMPRODUCT($B$49:$B$58,(CY49:CY58&gt;CX49:CX58)*1)+SUMPRODUCT($B$61:$B$68,(CY61:CY68&gt;CX61:CX68)*1)+SUMPRODUCT($B$71:$B$74,(CY71:CY74&gt;CX71:CX74)*1)+SUMPRODUCT($B$77:$B$78,(CY77:CY78&gt;CX77:CX78)*1)+SUMPRODUCT($B$99:$B$104,(CY99:CY104&gt;CX99:CX104)*1))*$B$21</f>
        <v>0</v>
      </c>
      <c r="CZ82" s="386" t="n">
        <f aca="false">(SUMPRODUCT($B$49:$B$58,(CZ49:CZ58&gt;CY49:CY58)*1)+SUMPRODUCT($B$61:$B$68,(CZ61:CZ68&gt;CY61:CY68)*1)+SUMPRODUCT($B$71:$B$74,(CZ71:CZ74&gt;CY71:CY74)*1)+SUMPRODUCT($B$77:$B$78,(CZ77:CZ78&gt;CY77:CY78)*1)+SUMPRODUCT($B$99:$B$104,(CZ99:CZ104&gt;CY99:CY104)*1))*$B$21</f>
        <v>0</v>
      </c>
      <c r="DA82" s="386" t="n">
        <f aca="false">(SUMPRODUCT($B$49:$B$58,(DA49:DA58&gt;CZ49:CZ58)*1)+SUMPRODUCT($B$61:$B$68,(DA61:DA68&gt;CZ61:CZ68)*1)+SUMPRODUCT($B$71:$B$74,(DA71:DA74&gt;CZ71:CZ74)*1)+SUMPRODUCT($B$77:$B$78,(DA77:DA78&gt;CZ77:CZ78)*1)+SUMPRODUCT($B$99:$B$104,(DA99:DA104&gt;CZ99:CZ104)*1))*$B$21</f>
        <v>0</v>
      </c>
      <c r="DB82" s="386" t="n">
        <f aca="false">(SUMPRODUCT($B$49:$B$58,(DB49:DB58&gt;DA49:DA58)*1)+SUMPRODUCT($B$61:$B$68,(DB61:DB68&gt;DA61:DA68)*1)+SUMPRODUCT($B$71:$B$74,(DB71:DB74&gt;DA71:DA74)*1)+SUMPRODUCT($B$77:$B$78,(DB77:DB78&gt;DA77:DA78)*1)+SUMPRODUCT($B$99:$B$104,(DB99:DB104&gt;DA99:DA104)*1))*$B$21</f>
        <v>0</v>
      </c>
      <c r="DC82" s="386" t="n">
        <f aca="false">(SUMPRODUCT($B$49:$B$58,(DC49:DC58&gt;DB49:DB58)*1)+SUMPRODUCT($B$61:$B$68,(DC61:DC68&gt;DB61:DB68)*1)+SUMPRODUCT($B$71:$B$74,(DC71:DC74&gt;DB71:DB74)*1)+SUMPRODUCT($B$77:$B$78,(DC77:DC78&gt;DB77:DB78)*1)+SUMPRODUCT($B$99:$B$104,(DC99:DC104&gt;DB99:DB104)*1))*$B$21</f>
        <v>0</v>
      </c>
      <c r="DD82" s="386" t="n">
        <f aca="false">(SUMPRODUCT($B$49:$B$58,(DD49:DD58&gt;DC49:DC58)*1)+SUMPRODUCT($B$61:$B$68,(DD61:DD68&gt;DC61:DC68)*1)+SUMPRODUCT($B$71:$B$74,(DD71:DD74&gt;DC71:DC74)*1)+SUMPRODUCT($B$77:$B$78,(DD77:DD78&gt;DC77:DC78)*1)+SUMPRODUCT($B$99:$B$104,(DD99:DD104&gt;DC99:DC104)*1))*$B$21</f>
        <v>0</v>
      </c>
      <c r="DE82" s="386" t="n">
        <f aca="false">(SUMPRODUCT($B$49:$B$58,(DE49:DE58&gt;DD49:DD58)*1)+SUMPRODUCT($B$61:$B$68,(DE61:DE68&gt;DD61:DD68)*1)+SUMPRODUCT($B$71:$B$74,(DE71:DE74&gt;DD71:DD74)*1)+SUMPRODUCT($B$77:$B$78,(DE77:DE78&gt;DD77:DD78)*1)+SUMPRODUCT($B$99:$B$104,(DE99:DE104&gt;DD99:DD104)*1))*$B$21</f>
        <v>0</v>
      </c>
    </row>
    <row r="83" customFormat="false" ht="13.5" hidden="false" customHeight="true" outlineLevel="0" collapsed="false">
      <c r="A83" s="110" t="s">
        <v>1409</v>
      </c>
      <c r="E83" s="386" t="n">
        <v>0</v>
      </c>
      <c r="F83" s="386" t="n">
        <f aca="false">(SUMPRODUCT($B$49:$B$58,(E49:E58&gt;F49:F58)*1)+SUMPRODUCT($B$61:$B$68,(E61:E68&gt;F61:F68)*1)+SUMPRODUCT($B$71:$B$74,(E71:E74&gt;F71:F74)*1)+SUMPRODUCT($B$77:$B$78,(E77:E78&gt;F77:F78)*1)+SUMPRODUCT($B$99:$B$104,(E99:E104&gt;F99:F104)*1))*$B$20/52</f>
        <v>0</v>
      </c>
      <c r="G83" s="386" t="n">
        <f aca="false">(SUMPRODUCT($B$49:$B$58,(F49:F58&gt;G49:G58)*1)+SUMPRODUCT($B$61:$B$68,(F61:F68&gt;G61:G68)*1)+SUMPRODUCT($B$71:$B$74,(F71:F74&gt;G71:G74)*1)+SUMPRODUCT($B$77:$B$78,(F77:F78&gt;G77:G78)*1)+SUMPRODUCT($B$99:$B$104,(F99:F104&gt;G99:G104)*1))*$B$20/52</f>
        <v>0</v>
      </c>
      <c r="H83" s="386" t="n">
        <f aca="false">(SUMPRODUCT($B$49:$B$58,(G49:G58&gt;H49:H58)*1)+SUMPRODUCT($B$61:$B$68,(G61:G68&gt;H61:H68)*1)+SUMPRODUCT($B$71:$B$74,(G71:G74&gt;H71:H74)*1)+SUMPRODUCT($B$77:$B$78,(G77:G78&gt;H77:H78)*1)+SUMPRODUCT($B$99:$B$104,(G99:G104&gt;H99:H104)*1))*$B$20/52</f>
        <v>0</v>
      </c>
      <c r="I83" s="386" t="n">
        <f aca="false">(SUMPRODUCT($B$49:$B$58,(H49:H58&gt;I49:I58)*1)+SUMPRODUCT($B$61:$B$68,(H61:H68&gt;I61:I68)*1)+SUMPRODUCT($B$71:$B$74,(H71:H74&gt;I71:I74)*1)+SUMPRODUCT($B$77:$B$78,(H77:H78&gt;I77:I78)*1)+SUMPRODUCT($B$99:$B$104,(H99:H104&gt;I99:I104)*1))*$B$20/52</f>
        <v>0</v>
      </c>
      <c r="J83" s="386" t="n">
        <f aca="false">(SUMPRODUCT($B$49:$B$58,(I49:I58&gt;J49:J58)*1)+SUMPRODUCT($B$61:$B$68,(I61:I68&gt;J61:J68)*1)+SUMPRODUCT($B$71:$B$74,(I71:I74&gt;J71:J74)*1)+SUMPRODUCT($B$77:$B$78,(I77:I78&gt;J77:J78)*1)+SUMPRODUCT($B$99:$B$104,(I99:I104&gt;J99:J104)*1))*$B$20/52</f>
        <v>10000</v>
      </c>
      <c r="K83" s="386" t="n">
        <f aca="false">(SUMPRODUCT($B$49:$B$58,(J49:J58&gt;K49:K58)*1)+SUMPRODUCT($B$61:$B$68,(J61:J68&gt;K61:K68)*1)+SUMPRODUCT($B$71:$B$74,(J71:J74&gt;K71:K74)*1)+SUMPRODUCT($B$77:$B$78,(J77:J78&gt;K77:K78)*1)+SUMPRODUCT($B$99:$B$104,(J99:J104&gt;K99:K104)*1))*$B$20/52</f>
        <v>0</v>
      </c>
      <c r="L83" s="386" t="n">
        <f aca="false">(SUMPRODUCT($B$49:$B$58,(K49:K58&gt;L49:L58)*1)+SUMPRODUCT($B$61:$B$68,(K61:K68&gt;L61:L68)*1)+SUMPRODUCT($B$71:$B$74,(K71:K74&gt;L71:L74)*1)+SUMPRODUCT($B$77:$B$78,(K77:K78&gt;L77:L78)*1)+SUMPRODUCT($B$99:$B$104,(K99:K104&gt;L99:L104)*1))*$B$20/52</f>
        <v>0</v>
      </c>
      <c r="M83" s="386" t="n">
        <f aca="false">(SUMPRODUCT($B$49:$B$58,(L49:L58&gt;M49:M58)*1)+SUMPRODUCT($B$61:$B$68,(L61:L68&gt;M61:M68)*1)+SUMPRODUCT($B$71:$B$74,(L71:L74&gt;M71:M74)*1)+SUMPRODUCT($B$77:$B$78,(L77:L78&gt;M77:M78)*1)+SUMPRODUCT($B$99:$B$104,(L99:L104&gt;M99:M104)*1))*$B$20/52</f>
        <v>0</v>
      </c>
      <c r="N83" s="386" t="n">
        <f aca="false">(SUMPRODUCT($B$49:$B$58,(M49:M58&gt;N49:N58)*1)+SUMPRODUCT($B$61:$B$68,(M61:M68&gt;N61:N68)*1)+SUMPRODUCT($B$71:$B$74,(M71:M74&gt;N71:N74)*1)+SUMPRODUCT($B$77:$B$78,(M77:M78&gt;N77:N78)*1)+SUMPRODUCT($B$99:$B$104,(M99:M104&gt;N99:N104)*1))*$B$20/52</f>
        <v>0</v>
      </c>
      <c r="O83" s="386" t="n">
        <f aca="false">(SUMPRODUCT($B$49:$B$58,(N49:N58&gt;O49:O58)*1)+SUMPRODUCT($B$61:$B$68,(N61:N68&gt;O61:O68)*1)+SUMPRODUCT($B$71:$B$74,(N71:N74&gt;O71:O74)*1)+SUMPRODUCT($B$77:$B$78,(N77:N78&gt;O77:O78)*1)+SUMPRODUCT($B$99:$B$104,(N99:N104&gt;O99:O104)*1))*$B$20/52</f>
        <v>0</v>
      </c>
      <c r="P83" s="386" t="n">
        <f aca="false">(SUMPRODUCT($B$49:$B$58,(O49:O58&gt;P49:P58)*1)+SUMPRODUCT($B$61:$B$68,(O61:O68&gt;P61:P68)*1)+SUMPRODUCT($B$71:$B$74,(O71:O74&gt;P71:P74)*1)+SUMPRODUCT($B$77:$B$78,(O77:O78&gt;P77:P78)*1)+SUMPRODUCT($B$99:$B$104,(O99:O104&gt;P99:P104)*1))*$B$20/52</f>
        <v>0</v>
      </c>
      <c r="Q83" s="386" t="n">
        <f aca="false">(SUMPRODUCT($B$49:$B$58,(P49:P58&gt;Q49:Q58)*1)+SUMPRODUCT($B$61:$B$68,(P61:P68&gt;Q61:Q68)*1)+SUMPRODUCT($B$71:$B$74,(P71:P74&gt;Q71:Q74)*1)+SUMPRODUCT($B$77:$B$78,(P77:P78&gt;Q77:Q78)*1)+SUMPRODUCT($B$99:$B$104,(P99:P104&gt;Q99:Q104)*1))*$B$20/52</f>
        <v>0</v>
      </c>
      <c r="R83" s="386" t="n">
        <f aca="false">(SUMPRODUCT($B$49:$B$58,(Q49:Q58&gt;R49:R58)*1)+SUMPRODUCT($B$61:$B$68,(Q61:Q68&gt;R61:R68)*1)+SUMPRODUCT($B$71:$B$74,(Q71:Q74&gt;R71:R74)*1)+SUMPRODUCT($B$77:$B$78,(Q77:Q78&gt;R77:R78)*1)+SUMPRODUCT($B$99:$B$104,(Q99:Q104&gt;R99:R104)*1))*$B$20/52</f>
        <v>0</v>
      </c>
      <c r="S83" s="386" t="n">
        <f aca="false">(SUMPRODUCT($B$49:$B$58,(R49:R58&gt;S49:S58)*1)+SUMPRODUCT($B$61:$B$68,(R61:R68&gt;S61:S68)*1)+SUMPRODUCT($B$71:$B$74,(R71:R74&gt;S71:S74)*1)+SUMPRODUCT($B$77:$B$78,(R77:R78&gt;S77:S78)*1)+SUMPRODUCT($B$99:$B$104,(R99:R104&gt;S99:S104)*1))*$B$20/52</f>
        <v>0</v>
      </c>
      <c r="T83" s="386" t="n">
        <f aca="false">(SUMPRODUCT($B$49:$B$58,(S49:S58&gt;T49:T58)*1)+SUMPRODUCT($B$61:$B$68,(S61:S68&gt;T61:T68)*1)+SUMPRODUCT($B$71:$B$74,(S71:S74&gt;T71:T74)*1)+SUMPRODUCT($B$77:$B$78,(S77:S78&gt;T77:T78)*1)+SUMPRODUCT($B$99:$B$104,(S99:S104&gt;T99:T104)*1))*$B$20/52</f>
        <v>0</v>
      </c>
      <c r="U83" s="386" t="n">
        <f aca="false">(SUMPRODUCT($B$49:$B$58,(T49:T58&gt;U49:U58)*1)+SUMPRODUCT($B$61:$B$68,(T61:T68&gt;U61:U68)*1)+SUMPRODUCT($B$71:$B$74,(T71:T74&gt;U71:U74)*1)+SUMPRODUCT($B$77:$B$78,(T77:T78&gt;U77:U78)*1)+SUMPRODUCT($B$99:$B$104,(T99:T104&gt;U99:U104)*1))*$B$20/52</f>
        <v>0</v>
      </c>
      <c r="V83" s="386" t="n">
        <f aca="false">(SUMPRODUCT($B$49:$B$58,(U49:U58&gt;V49:V58)*1)+SUMPRODUCT($B$61:$B$68,(U61:U68&gt;V61:V68)*1)+SUMPRODUCT($B$71:$B$74,(U71:U74&gt;V71:V74)*1)+SUMPRODUCT($B$77:$B$78,(U77:U78&gt;V77:V78)*1)+SUMPRODUCT($B$99:$B$104,(U99:U104&gt;V99:V104)*1))*$B$20/52</f>
        <v>0</v>
      </c>
      <c r="W83" s="386" t="n">
        <f aca="false">(SUMPRODUCT($B$49:$B$58,(V49:V58&gt;W49:W58)*1)+SUMPRODUCT($B$61:$B$68,(V61:V68&gt;W61:W68)*1)+SUMPRODUCT($B$71:$B$74,(V71:V74&gt;W71:W74)*1)+SUMPRODUCT($B$77:$B$78,(V77:V78&gt;W77:W78)*1)+SUMPRODUCT($B$99:$B$104,(V99:V104&gt;W99:W104)*1))*$B$20/52</f>
        <v>0</v>
      </c>
      <c r="X83" s="386" t="n">
        <f aca="false">(SUMPRODUCT($B$49:$B$58,(W49:W58&gt;X49:X58)*1)+SUMPRODUCT($B$61:$B$68,(W61:W68&gt;X61:X68)*1)+SUMPRODUCT($B$71:$B$74,(W71:W74&gt;X71:X74)*1)+SUMPRODUCT($B$77:$B$78,(W77:W78&gt;X77:X78)*1)+SUMPRODUCT($B$99:$B$104,(W99:W104&gt;X99:X104)*1))*$B$20/52</f>
        <v>0</v>
      </c>
      <c r="Y83" s="386" t="n">
        <f aca="false">(SUMPRODUCT($B$49:$B$58,(X49:X58&gt;Y49:Y58)*1)+SUMPRODUCT($B$61:$B$68,(X61:X68&gt;Y61:Y68)*1)+SUMPRODUCT($B$71:$B$74,(X71:X74&gt;Y71:Y74)*1)+SUMPRODUCT($B$77:$B$78,(X77:X78&gt;Y77:Y78)*1)+SUMPRODUCT($B$99:$B$104,(X99:X104&gt;Y99:Y104)*1))*$B$20/52</f>
        <v>0</v>
      </c>
      <c r="Z83" s="386" t="n">
        <f aca="false">(SUMPRODUCT($B$49:$B$58,(Y49:Y58&gt;Z49:Z58)*1)+SUMPRODUCT($B$61:$B$68,(Y61:Y68&gt;Z61:Z68)*1)+SUMPRODUCT($B$71:$B$74,(Y71:Y74&gt;Z71:Z74)*1)+SUMPRODUCT($B$77:$B$78,(Y77:Y78&gt;Z77:Z78)*1)+SUMPRODUCT($B$99:$B$104,(Y99:Y104&gt;Z99:Z104)*1))*$B$20/52</f>
        <v>9615.38461538462</v>
      </c>
      <c r="AA83" s="386" t="n">
        <f aca="false">(SUMPRODUCT($B$49:$B$58,(Z49:Z58&gt;AA49:AA58)*1)+SUMPRODUCT($B$61:$B$68,(Z61:Z68&gt;AA61:AA68)*1)+SUMPRODUCT($B$71:$B$74,(Z71:Z74&gt;AA71:AA74)*1)+SUMPRODUCT($B$77:$B$78,(Z77:Z78&gt;AA77:AA78)*1)+SUMPRODUCT($B$99:$B$104,(Z99:Z104&gt;AA99:AA104)*1))*$B$20/52</f>
        <v>0</v>
      </c>
      <c r="AB83" s="386" t="n">
        <f aca="false">(SUMPRODUCT($B$49:$B$58,(AA49:AA58&gt;AB49:AB58)*1)+SUMPRODUCT($B$61:$B$68,(AA61:AA68&gt;AB61:AB68)*1)+SUMPRODUCT($B$71:$B$74,(AA71:AA74&gt;AB71:AB74)*1)+SUMPRODUCT($B$77:$B$78,(AA77:AA78&gt;AB77:AB78)*1)+SUMPRODUCT($B$99:$B$104,(AA99:AA104&gt;AB99:AB104)*1))*$B$20/52</f>
        <v>6153.84615384615</v>
      </c>
      <c r="AC83" s="386" t="n">
        <f aca="false">(SUMPRODUCT($B$49:$B$58,(AB49:AB58&gt;AC49:AC58)*1)+SUMPRODUCT($B$61:$B$68,(AB61:AB68&gt;AC61:AC68)*1)+SUMPRODUCT($B$71:$B$74,(AB71:AB74&gt;AC71:AC74)*1)+SUMPRODUCT($B$77:$B$78,(AB77:AB78&gt;AC77:AC78)*1)+SUMPRODUCT($B$99:$B$104,(AB99:AB104&gt;AC99:AC104)*1))*$B$20/52</f>
        <v>0</v>
      </c>
      <c r="AD83" s="386" t="n">
        <f aca="false">(SUMPRODUCT($B$49:$B$58,(AC49:AC58&gt;AD49:AD58)*1)+SUMPRODUCT($B$61:$B$68,(AC61:AC68&gt;AD61:AD68)*1)+SUMPRODUCT($B$71:$B$74,(AC71:AC74&gt;AD71:AD74)*1)+SUMPRODUCT($B$77:$B$78,(AC77:AC78&gt;AD77:AD78)*1)+SUMPRODUCT($B$99:$B$104,(AC99:AC104&gt;AD99:AD104)*1))*$B$20/52</f>
        <v>0</v>
      </c>
      <c r="AE83" s="386" t="n">
        <f aca="false">(SUMPRODUCT($B$49:$B$58,(AD49:AD58&gt;AE49:AE58)*1)+SUMPRODUCT($B$61:$B$68,(AD61:AD68&gt;AE61:AE68)*1)+SUMPRODUCT($B$71:$B$74,(AD71:AD74&gt;AE71:AE74)*1)+SUMPRODUCT($B$77:$B$78,(AD77:AD78&gt;AE77:AE78)*1)+SUMPRODUCT($B$99:$B$104,(AD99:AD104&gt;AE99:AE104)*1))*$B$20/52</f>
        <v>0</v>
      </c>
      <c r="AF83" s="386" t="n">
        <f aca="false">(SUMPRODUCT($B$49:$B$58,(AE49:AE58&gt;AF49:AF58)*1)+SUMPRODUCT($B$61:$B$68,(AE61:AE68&gt;AF61:AF68)*1)+SUMPRODUCT($B$71:$B$74,(AE71:AE74&gt;AF71:AF74)*1)+SUMPRODUCT($B$77:$B$78,(AE77:AE78&gt;AF77:AF78)*1)+SUMPRODUCT($B$99:$B$104,(AE99:AE104&gt;AF99:AF104)*1))*$B$20/52</f>
        <v>0</v>
      </c>
      <c r="AG83" s="386" t="n">
        <f aca="false">(SUMPRODUCT($B$49:$B$58,(AF49:AF58&gt;AG49:AG58)*1)+SUMPRODUCT($B$61:$B$68,(AF61:AF68&gt;AG61:AG68)*1)+SUMPRODUCT($B$71:$B$74,(AF71:AF74&gt;AG71:AG74)*1)+SUMPRODUCT($B$77:$B$78,(AF77:AF78&gt;AG77:AG78)*1)+SUMPRODUCT($B$99:$B$104,(AF99:AF104&gt;AG99:AG104)*1))*$B$20/52</f>
        <v>0</v>
      </c>
      <c r="AH83" s="386" t="n">
        <f aca="false">(SUMPRODUCT($B$49:$B$58,(AG49:AG58&gt;AH49:AH58)*1)+SUMPRODUCT($B$61:$B$68,(AG61:AG68&gt;AH61:AH68)*1)+SUMPRODUCT($B$71:$B$74,(AG71:AG74&gt;AH71:AH74)*1)+SUMPRODUCT($B$77:$B$78,(AG77:AG78&gt;AH77:AH78)*1)+SUMPRODUCT($B$99:$B$104,(AG99:AG104&gt;AH99:AH104)*1))*$B$20/52</f>
        <v>0</v>
      </c>
      <c r="AI83" s="386" t="n">
        <f aca="false">(SUMPRODUCT($B$49:$B$58,(AH49:AH58&gt;AI49:AI58)*1)+SUMPRODUCT($B$61:$B$68,(AH61:AH68&gt;AI61:AI68)*1)+SUMPRODUCT($B$71:$B$74,(AH71:AH74&gt;AI71:AI74)*1)+SUMPRODUCT($B$77:$B$78,(AH77:AH78&gt;AI77:AI78)*1)+SUMPRODUCT($B$99:$B$104,(AH99:AH104&gt;AI99:AI104)*1))*$B$20/52</f>
        <v>0</v>
      </c>
      <c r="AJ83" s="386" t="n">
        <f aca="false">(SUMPRODUCT($B$49:$B$58,(AI49:AI58&gt;AJ49:AJ58)*1)+SUMPRODUCT($B$61:$B$68,(AI61:AI68&gt;AJ61:AJ68)*1)+SUMPRODUCT($B$71:$B$74,(AI71:AI74&gt;AJ71:AJ74)*1)+SUMPRODUCT($B$77:$B$78,(AI77:AI78&gt;AJ77:AJ78)*1)+SUMPRODUCT($B$99:$B$104,(AI99:AI104&gt;AJ99:AJ104)*1))*$B$20/52</f>
        <v>0</v>
      </c>
      <c r="AK83" s="386" t="n">
        <f aca="false">(SUMPRODUCT($B$49:$B$58,(AJ49:AJ58&gt;AK49:AK58)*1)+SUMPRODUCT($B$61:$B$68,(AJ61:AJ68&gt;AK61:AK68)*1)+SUMPRODUCT($B$71:$B$74,(AJ71:AJ74&gt;AK71:AK74)*1)+SUMPRODUCT($B$77:$B$78,(AJ77:AJ78&gt;AK77:AK78)*1)+SUMPRODUCT($B$99:$B$104,(AJ99:AJ104&gt;AK99:AK104)*1))*$B$20/52</f>
        <v>0</v>
      </c>
      <c r="AL83" s="386" t="n">
        <f aca="false">(SUMPRODUCT($B$49:$B$58,(AK49:AK58&gt;AL49:AL58)*1)+SUMPRODUCT($B$61:$B$68,(AK61:AK68&gt;AL61:AL68)*1)+SUMPRODUCT($B$71:$B$74,(AK71:AK74&gt;AL71:AL74)*1)+SUMPRODUCT($B$77:$B$78,(AK77:AK78&gt;AL77:AL78)*1)+SUMPRODUCT($B$99:$B$104,(AK99:AK104&gt;AL99:AL104)*1))*$B$20/52</f>
        <v>0</v>
      </c>
      <c r="AM83" s="386" t="n">
        <f aca="false">(SUMPRODUCT($B$49:$B$58,(AL49:AL58&gt;AM49:AM58)*1)+SUMPRODUCT($B$61:$B$68,(AL61:AL68&gt;AM61:AM68)*1)+SUMPRODUCT($B$71:$B$74,(AL71:AL74&gt;AM71:AM74)*1)+SUMPRODUCT($B$77:$B$78,(AL77:AL78&gt;AM77:AM78)*1)+SUMPRODUCT($B$99:$B$104,(AL99:AL104&gt;AM99:AM104)*1))*$B$20/52</f>
        <v>0</v>
      </c>
      <c r="AN83" s="386" t="n">
        <f aca="false">(SUMPRODUCT($B$49:$B$58,(AM49:AM58&gt;AN49:AN58)*1)+SUMPRODUCT($B$61:$B$68,(AM61:AM68&gt;AN61:AN68)*1)+SUMPRODUCT($B$71:$B$74,(AM71:AM74&gt;AN71:AN74)*1)+SUMPRODUCT($B$77:$B$78,(AM77:AM78&gt;AN77:AN78)*1)+SUMPRODUCT($B$99:$B$104,(AM99:AM104&gt;AN99:AN104)*1))*$B$20/52</f>
        <v>0</v>
      </c>
      <c r="AO83" s="386" t="n">
        <f aca="false">(SUMPRODUCT($B$49:$B$58,(AN49:AN58&gt;AO49:AO58)*1)+SUMPRODUCT($B$61:$B$68,(AN61:AN68&gt;AO61:AO68)*1)+SUMPRODUCT($B$71:$B$74,(AN71:AN74&gt;AO71:AO74)*1)+SUMPRODUCT($B$77:$B$78,(AN77:AN78&gt;AO77:AO78)*1)+SUMPRODUCT($B$99:$B$104,(AN99:AN104&gt;AO99:AO104)*1))*$B$20/52</f>
        <v>0</v>
      </c>
      <c r="AP83" s="386" t="n">
        <f aca="false">(SUMPRODUCT($B$49:$B$58,(AO49:AO58&gt;AP49:AP58)*1)+SUMPRODUCT($B$61:$B$68,(AO61:AO68&gt;AP61:AP68)*1)+SUMPRODUCT($B$71:$B$74,(AO71:AO74&gt;AP71:AP74)*1)+SUMPRODUCT($B$77:$B$78,(AO77:AO78&gt;AP77:AP78)*1)+SUMPRODUCT($B$99:$B$104,(AO99:AO104&gt;AP99:AP104)*1))*$B$20/52</f>
        <v>0</v>
      </c>
      <c r="AQ83" s="386" t="n">
        <f aca="false">(SUMPRODUCT($B$49:$B$58,(AP49:AP58&gt;AQ49:AQ58)*1)+SUMPRODUCT($B$61:$B$68,(AP61:AP68&gt;AQ61:AQ68)*1)+SUMPRODUCT($B$71:$B$74,(AP71:AP74&gt;AQ71:AQ74)*1)+SUMPRODUCT($B$77:$B$78,(AP77:AP78&gt;AQ77:AQ78)*1)+SUMPRODUCT($B$99:$B$104,(AP99:AP104&gt;AQ99:AQ104)*1))*$B$20/52</f>
        <v>0</v>
      </c>
      <c r="AR83" s="386" t="n">
        <f aca="false">(SUMPRODUCT($B$49:$B$58,(AQ49:AQ58&gt;AR49:AR58)*1)+SUMPRODUCT($B$61:$B$68,(AQ61:AQ68&gt;AR61:AR68)*1)+SUMPRODUCT($B$71:$B$74,(AQ71:AQ74&gt;AR71:AR74)*1)+SUMPRODUCT($B$77:$B$78,(AQ77:AQ78&gt;AR77:AR78)*1)+SUMPRODUCT($B$99:$B$104,(AQ99:AQ104&gt;AR99:AR104)*1))*$B$20/52</f>
        <v>0</v>
      </c>
      <c r="AS83" s="386" t="n">
        <f aca="false">(SUMPRODUCT($B$49:$B$58,(AR49:AR58&gt;AS49:AS58)*1)+SUMPRODUCT($B$61:$B$68,(AR61:AR68&gt;AS61:AS68)*1)+SUMPRODUCT($B$71:$B$74,(AR71:AR74&gt;AS71:AS74)*1)+SUMPRODUCT($B$77:$B$78,(AR77:AR78&gt;AS77:AS78)*1)+SUMPRODUCT($B$99:$B$104,(AR99:AR104&gt;AS99:AS104)*1))*$B$20/52</f>
        <v>0</v>
      </c>
      <c r="AT83" s="386" t="n">
        <f aca="false">(SUMPRODUCT($B$49:$B$58,(AS49:AS58&gt;AT49:AT58)*1)+SUMPRODUCT($B$61:$B$68,(AS61:AS68&gt;AT61:AT68)*1)+SUMPRODUCT($B$71:$B$74,(AS71:AS74&gt;AT71:AT74)*1)+SUMPRODUCT($B$77:$B$78,(AS77:AS78&gt;AT77:AT78)*1)+SUMPRODUCT($B$99:$B$104,(AS99:AS104&gt;AT99:AT104)*1))*$B$20/52</f>
        <v>0</v>
      </c>
      <c r="AU83" s="386" t="n">
        <f aca="false">(SUMPRODUCT($B$49:$B$58,(AT49:AT58&gt;AU49:AU58)*1)+SUMPRODUCT($B$61:$B$68,(AT61:AT68&gt;AU61:AU68)*1)+SUMPRODUCT($B$71:$B$74,(AT71:AT74&gt;AU71:AU74)*1)+SUMPRODUCT($B$77:$B$78,(AT77:AT78&gt;AU77:AU78)*1)+SUMPRODUCT($B$99:$B$104,(AT99:AT104&gt;AU99:AU104)*1))*$B$20/52</f>
        <v>0</v>
      </c>
      <c r="AV83" s="386" t="n">
        <f aca="false">(SUMPRODUCT($B$49:$B$58,(AU49:AU58&gt;AV49:AV58)*1)+SUMPRODUCT($B$61:$B$68,(AU61:AU68&gt;AV61:AV68)*1)+SUMPRODUCT($B$71:$B$74,(AU71:AU74&gt;AV71:AV74)*1)+SUMPRODUCT($B$77:$B$78,(AU77:AU78&gt;AV77:AV78)*1)+SUMPRODUCT($B$99:$B$104,(AU99:AU104&gt;AV99:AV104)*1))*$B$20/52</f>
        <v>0</v>
      </c>
      <c r="AW83" s="386" t="n">
        <f aca="false">(SUMPRODUCT($B$49:$B$58,(AV49:AV58&gt;AW49:AW58)*1)+SUMPRODUCT($B$61:$B$68,(AV61:AV68&gt;AW61:AW68)*1)+SUMPRODUCT($B$71:$B$74,(AV71:AV74&gt;AW71:AW74)*1)+SUMPRODUCT($B$77:$B$78,(AV77:AV78&gt;AW77:AW78)*1)+SUMPRODUCT($B$99:$B$104,(AV99:AV104&gt;AW99:AW104)*1))*$B$20/52</f>
        <v>10000</v>
      </c>
      <c r="AX83" s="386" t="n">
        <f aca="false">(SUMPRODUCT($B$49:$B$58,(AW49:AW58&gt;AX49:AX58)*1)+SUMPRODUCT($B$61:$B$68,(AW61:AW68&gt;AX61:AX68)*1)+SUMPRODUCT($B$71:$B$74,(AW71:AW74&gt;AX71:AX74)*1)+SUMPRODUCT($B$77:$B$78,(AW77:AW78&gt;AX77:AX78)*1)+SUMPRODUCT($B$99:$B$104,(AW99:AW104&gt;AX99:AX104)*1))*$B$20/52</f>
        <v>0</v>
      </c>
      <c r="AY83" s="386" t="n">
        <f aca="false">(SUMPRODUCT($B$49:$B$58,(AX49:AX58&gt;AY49:AY58)*1)+SUMPRODUCT($B$61:$B$68,(AX61:AX68&gt;AY61:AY68)*1)+SUMPRODUCT($B$71:$B$74,(AX71:AX74&gt;AY71:AY74)*1)+SUMPRODUCT($B$77:$B$78,(AX77:AX78&gt;AY77:AY78)*1)+SUMPRODUCT($B$99:$B$104,(AX99:AX104&gt;AY99:AY104)*1))*$B$20/52</f>
        <v>0</v>
      </c>
      <c r="AZ83" s="386" t="n">
        <f aca="false">(SUMPRODUCT($B$49:$B$58,(AY49:AY58&gt;AZ49:AZ58)*1)+SUMPRODUCT($B$61:$B$68,(AY61:AY68&gt;AZ61:AZ68)*1)+SUMPRODUCT($B$71:$B$74,(AY71:AY74&gt;AZ71:AZ74)*1)+SUMPRODUCT($B$77:$B$78,(AY77:AY78&gt;AZ77:AZ78)*1)+SUMPRODUCT($B$99:$B$104,(AY99:AY104&gt;AZ99:AZ104)*1))*$B$20/52</f>
        <v>0</v>
      </c>
      <c r="BA83" s="386" t="n">
        <f aca="false">(SUMPRODUCT($B$49:$B$58,(AZ49:AZ58&gt;BA49:BA58)*1)+SUMPRODUCT($B$61:$B$68,(AZ61:AZ68&gt;BA61:BA68)*1)+SUMPRODUCT($B$71:$B$74,(AZ71:AZ74&gt;BA71:BA74)*1)+SUMPRODUCT($B$77:$B$78,(AZ77:AZ78&gt;BA77:BA78)*1)+SUMPRODUCT($B$99:$B$104,(AZ99:AZ104&gt;BA99:BA104)*1))*$B$20/52</f>
        <v>19230.7692307692</v>
      </c>
      <c r="BB83" s="386" t="n">
        <f aca="false">(SUMPRODUCT($B$49:$B$58,(BA49:BA58&gt;BB49:BB58)*1)+SUMPRODUCT($B$61:$B$68,(BA61:BA68&gt;BB61:BB68)*1)+SUMPRODUCT($B$71:$B$74,(BA71:BA74&gt;BB71:BB74)*1)+SUMPRODUCT($B$77:$B$78,(BA77:BA78&gt;BB77:BB78)*1)+SUMPRODUCT($B$99:$B$104,(BA99:BA104&gt;BB99:BB104)*1))*$B$20/52</f>
        <v>23461.5384615385</v>
      </c>
      <c r="BC83" s="386" t="n">
        <f aca="false">(SUMPRODUCT($B$49:$B$58,(BB49:BB58&gt;BC49:BC58)*1)+SUMPRODUCT($B$61:$B$68,(BB61:BB68&gt;BC61:BC68)*1)+SUMPRODUCT($B$71:$B$74,(BB71:BB74&gt;BC71:BC74)*1)+SUMPRODUCT($B$77:$B$78,(BB77:BB78&gt;BC77:BC78)*1)+SUMPRODUCT($B$99:$B$104,(BB99:BB104&gt;BC99:BC104)*1))*$B$20/52</f>
        <v>0</v>
      </c>
      <c r="BD83" s="386" t="n">
        <f aca="false">(SUMPRODUCT($B$49:$B$58,(BC49:BC58&gt;BD49:BD58)*1)+SUMPRODUCT($B$61:$B$68,(BC61:BC68&gt;BD61:BD68)*1)+SUMPRODUCT($B$71:$B$74,(BC71:BC74&gt;BD71:BD74)*1)+SUMPRODUCT($B$77:$B$78,(BC77:BC78&gt;BD77:BD78)*1)+SUMPRODUCT($B$99:$B$104,(BC99:BC104&gt;BD99:BD104)*1))*$B$20/52</f>
        <v>0</v>
      </c>
      <c r="BE83" s="386" t="n">
        <f aca="false">(SUMPRODUCT($B$49:$B$58,(BD49:BD58&gt;BE49:BE58)*1)+SUMPRODUCT($B$61:$B$68,(BD61:BD68&gt;BE61:BE68)*1)+SUMPRODUCT($B$71:$B$74,(BD71:BD74&gt;BE71:BE74)*1)+SUMPRODUCT($B$77:$B$78,(BD77:BD78&gt;BE77:BE78)*1)+SUMPRODUCT($B$99:$B$104,(BD99:BD104&gt;BE99:BE104)*1))*$B$20/52</f>
        <v>0</v>
      </c>
      <c r="BF83" s="386" t="n">
        <f aca="false">(SUMPRODUCT($B$49:$B$58,(BE49:BE58&gt;BF49:BF58)*1)+SUMPRODUCT($B$61:$B$68,(BE61:BE68&gt;BF61:BF68)*1)+SUMPRODUCT($B$71:$B$74,(BE71:BE74&gt;BF71:BF74)*1)+SUMPRODUCT($B$77:$B$78,(BE77:BE78&gt;BF77:BF78)*1)+SUMPRODUCT($B$99:$B$104,(BE99:BE104&gt;BF99:BF104)*1))*$B$20/52</f>
        <v>0</v>
      </c>
      <c r="BG83" s="386" t="n">
        <f aca="false">(SUMPRODUCT($B$49:$B$58,(BF49:BF58&gt;BG49:BG58)*1)+SUMPRODUCT($B$61:$B$68,(BF61:BF68&gt;BG61:BG68)*1)+SUMPRODUCT($B$71:$B$74,(BF71:BF74&gt;BG71:BG74)*1)+SUMPRODUCT($B$77:$B$78,(BF77:BF78&gt;BG77:BG78)*1)+SUMPRODUCT($B$99:$B$104,(BF99:BF104&gt;BG99:BG104)*1))*$B$20/52</f>
        <v>0</v>
      </c>
      <c r="BH83" s="386" t="n">
        <f aca="false">(SUMPRODUCT($B$49:$B$58,(BG49:BG58&gt;BH49:BH58)*1)+SUMPRODUCT($B$61:$B$68,(BG61:BG68&gt;BH61:BH68)*1)+SUMPRODUCT($B$71:$B$74,(BG71:BG74&gt;BH71:BH74)*1)+SUMPRODUCT($B$77:$B$78,(BG77:BG78&gt;BH77:BH78)*1)+SUMPRODUCT($B$99:$B$104,(BG99:BG104&gt;BH99:BH104)*1))*$B$20/52</f>
        <v>0</v>
      </c>
      <c r="BI83" s="386" t="n">
        <f aca="false">(SUMPRODUCT($B$49:$B$58,(BH49:BH58&gt;BI49:BI58)*1)+SUMPRODUCT($B$61:$B$68,(BH61:BH68&gt;BI61:BI68)*1)+SUMPRODUCT($B$71:$B$74,(BH71:BH74&gt;BI71:BI74)*1)+SUMPRODUCT($B$77:$B$78,(BH77:BH78&gt;BI77:BI78)*1)+SUMPRODUCT($B$99:$B$104,(BH99:BH104&gt;BI99:BI104)*1))*$B$20/52</f>
        <v>0</v>
      </c>
      <c r="BJ83" s="386" t="n">
        <f aca="false">(SUMPRODUCT($B$49:$B$58,(BI49:BI58&gt;BJ49:BJ58)*1)+SUMPRODUCT($B$61:$B$68,(BI61:BI68&gt;BJ61:BJ68)*1)+SUMPRODUCT($B$71:$B$74,(BI71:BI74&gt;BJ71:BJ74)*1)+SUMPRODUCT($B$77:$B$78,(BI77:BI78&gt;BJ77:BJ78)*1)+SUMPRODUCT($B$99:$B$104,(BI99:BI104&gt;BJ99:BJ104)*1))*$B$20/52</f>
        <v>0</v>
      </c>
      <c r="BK83" s="386" t="n">
        <f aca="false">(SUMPRODUCT($B$49:$B$58,(BJ49:BJ58&gt;BK49:BK58)*1)+SUMPRODUCT($B$61:$B$68,(BJ61:BJ68&gt;BK61:BK68)*1)+SUMPRODUCT($B$71:$B$74,(BJ71:BJ74&gt;BK71:BK74)*1)+SUMPRODUCT($B$77:$B$78,(BJ77:BJ78&gt;BK77:BK78)*1)+SUMPRODUCT($B$99:$B$104,(BJ99:BJ104&gt;BK99:BK104)*1))*$B$20/52</f>
        <v>10000</v>
      </c>
      <c r="BL83" s="386" t="n">
        <f aca="false">(SUMPRODUCT($B$49:$B$58,(BK49:BK58&gt;BL49:BL58)*1)+SUMPRODUCT($B$61:$B$68,(BK61:BK68&gt;BL61:BL68)*1)+SUMPRODUCT($B$71:$B$74,(BK71:BK74&gt;BL71:BL74)*1)+SUMPRODUCT($B$77:$B$78,(BK77:BK78&gt;BL77:BL78)*1)+SUMPRODUCT($B$99:$B$104,(BK99:BK104&gt;BL99:BL104)*1))*$B$20/52</f>
        <v>0</v>
      </c>
      <c r="BM83" s="386" t="n">
        <f aca="false">(SUMPRODUCT($B$49:$B$58,(BL49:BL58&gt;BM49:BM58)*1)+SUMPRODUCT($B$61:$B$68,(BL61:BL68&gt;BM61:BM68)*1)+SUMPRODUCT($B$71:$B$74,(BL71:BL74&gt;BM71:BM74)*1)+SUMPRODUCT($B$77:$B$78,(BL77:BL78&gt;BM77:BM78)*1)+SUMPRODUCT($B$99:$B$104,(BL99:BL104&gt;BM99:BM104)*1))*$B$20/52</f>
        <v>9615.38461538462</v>
      </c>
      <c r="BN83" s="386" t="n">
        <f aca="false">(SUMPRODUCT($B$49:$B$58,(BM49:BM58&gt;BN49:BN58)*1)+SUMPRODUCT($B$61:$B$68,(BM61:BM68&gt;BN61:BN68)*1)+SUMPRODUCT($B$71:$B$74,(BM71:BM74&gt;BN71:BN74)*1)+SUMPRODUCT($B$77:$B$78,(BM77:BM78&gt;BN77:BN78)*1)+SUMPRODUCT($B$99:$B$104,(BM99:BM104&gt;BN99:BN104)*1))*$B$20/52</f>
        <v>15769.2307692308</v>
      </c>
      <c r="BO83" s="386" t="n">
        <f aca="false">(SUMPRODUCT($B$49:$B$58,(BN49:BN58&gt;BO49:BO58)*1)+SUMPRODUCT($B$61:$B$68,(BN61:BN68&gt;BO61:BO68)*1)+SUMPRODUCT($B$71:$B$74,(BN71:BN74&gt;BO71:BO74)*1)+SUMPRODUCT($B$77:$B$78,(BN77:BN78&gt;BO77:BO78)*1)+SUMPRODUCT($B$99:$B$104,(BN99:BN104&gt;BO99:BO104)*1))*$B$20/52</f>
        <v>40384.6153846154</v>
      </c>
      <c r="BP83" s="386" t="n">
        <f aca="false">(SUMPRODUCT($B$49:$B$58,(BO49:BO58&gt;BP49:BP58)*1)+SUMPRODUCT($B$61:$B$68,(BO61:BO68&gt;BP61:BP68)*1)+SUMPRODUCT($B$71:$B$74,(BO71:BO74&gt;BP71:BP74)*1)+SUMPRODUCT($B$77:$B$78,(BO77:BO78&gt;BP77:BP78)*1)+SUMPRODUCT($B$99:$B$104,(BO99:BO104&gt;BP99:BP104)*1))*$B$20/52</f>
        <v>21923.0769230769</v>
      </c>
      <c r="BQ83" s="386" t="n">
        <f aca="false">(SUMPRODUCT($B$49:$B$58,(BP49:BP58&gt;BQ49:BQ58)*1)+SUMPRODUCT($B$61:$B$68,(BP61:BP68&gt;BQ61:BQ68)*1)+SUMPRODUCT($B$71:$B$74,(BP71:BP74&gt;BQ71:BQ74)*1)+SUMPRODUCT($B$77:$B$78,(BP77:BP78&gt;BQ77:BQ78)*1)+SUMPRODUCT($B$99:$B$104,(BP99:BP104&gt;BQ99:BQ104)*1))*$B$20/52</f>
        <v>10000</v>
      </c>
      <c r="BR83" s="386" t="n">
        <f aca="false">(SUMPRODUCT($B$49:$B$58,(BQ49:BQ58&gt;BR49:BR58)*1)+SUMPRODUCT($B$61:$B$68,(BQ61:BQ68&gt;BR61:BR68)*1)+SUMPRODUCT($B$71:$B$74,(BQ71:BQ74&gt;BR71:BR74)*1)+SUMPRODUCT($B$77:$B$78,(BQ77:BQ78&gt;BR77:BR78)*1)+SUMPRODUCT($B$99:$B$104,(BQ99:BQ104&gt;BR99:BR104)*1))*$B$20/52</f>
        <v>0</v>
      </c>
      <c r="BS83" s="386" t="n">
        <f aca="false">(SUMPRODUCT($B$49:$B$58,(BR49:BR58&gt;BS49:BS58)*1)+SUMPRODUCT($B$61:$B$68,(BR61:BR68&gt;BS61:BS68)*1)+SUMPRODUCT($B$71:$B$74,(BR71:BR74&gt;BS71:BS74)*1)+SUMPRODUCT($B$77:$B$78,(BR77:BR78&gt;BS77:BS78)*1)+SUMPRODUCT($B$99:$B$104,(BR99:BR104&gt;BS99:BS104)*1))*$B$20/52</f>
        <v>0</v>
      </c>
      <c r="BT83" s="386" t="n">
        <f aca="false">(SUMPRODUCT($B$49:$B$58,(BS49:BS58&gt;BT49:BT58)*1)+SUMPRODUCT($B$61:$B$68,(BS61:BS68&gt;BT61:BT68)*1)+SUMPRODUCT($B$71:$B$74,(BS71:BS74&gt;BT71:BT74)*1)+SUMPRODUCT($B$77:$B$78,(BS77:BS78&gt;BT77:BT78)*1)+SUMPRODUCT($B$99:$B$104,(BS99:BS104&gt;BT99:BT104)*1))*$B$20/52</f>
        <v>12307.6923076923</v>
      </c>
      <c r="BU83" s="386" t="n">
        <f aca="false">(SUMPRODUCT($B$49:$B$58,(BT49:BT58&gt;BU49:BU58)*1)+SUMPRODUCT($B$61:$B$68,(BT61:BT68&gt;BU61:BU68)*1)+SUMPRODUCT($B$71:$B$74,(BT71:BT74&gt;BU71:BU74)*1)+SUMPRODUCT($B$77:$B$78,(BT77:BT78&gt;BU77:BU78)*1)+SUMPRODUCT($B$99:$B$104,(BT99:BT104&gt;BU99:BU104)*1))*$B$20/52</f>
        <v>21923.0769230769</v>
      </c>
      <c r="BV83" s="386" t="n">
        <f aca="false">(SUMPRODUCT($B$49:$B$58,(BU49:BU58&gt;BV49:BV58)*1)+SUMPRODUCT($B$61:$B$68,(BU61:BU68&gt;BV61:BV68)*1)+SUMPRODUCT($B$71:$B$74,(BU71:BU74&gt;BV71:BV74)*1)+SUMPRODUCT($B$77:$B$78,(BU77:BU78&gt;BV77:BV78)*1)+SUMPRODUCT($B$99:$B$104,(BU99:BU104&gt;BV99:BV104)*1))*$B$20/52</f>
        <v>0</v>
      </c>
      <c r="BW83" s="386" t="n">
        <f aca="false">(SUMPRODUCT($B$49:$B$58,(BV49:BV58&gt;BW49:BW58)*1)+SUMPRODUCT($B$61:$B$68,(BV61:BV68&gt;BW61:BW68)*1)+SUMPRODUCT($B$71:$B$74,(BV71:BV74&gt;BW71:BW74)*1)+SUMPRODUCT($B$77:$B$78,(BV77:BV78&gt;BW77:BW78)*1)+SUMPRODUCT($B$99:$B$104,(BV99:BV104&gt;BW99:BW104)*1))*$B$20/52</f>
        <v>0</v>
      </c>
      <c r="BX83" s="386" t="n">
        <f aca="false">(SUMPRODUCT($B$49:$B$58,(BW49:BW58&gt;BX49:BX58)*1)+SUMPRODUCT($B$61:$B$68,(BW61:BW68&gt;BX61:BX68)*1)+SUMPRODUCT($B$71:$B$74,(BW71:BW74&gt;BX71:BX74)*1)+SUMPRODUCT($B$77:$B$78,(BW77:BW78&gt;BX77:BX78)*1)+SUMPRODUCT($B$99:$B$104,(BW99:BW104&gt;BX99:BX104)*1))*$B$20/52</f>
        <v>0</v>
      </c>
      <c r="BY83" s="386" t="n">
        <f aca="false">(SUMPRODUCT($B$49:$B$58,(BX49:BX58&gt;BY49:BY58)*1)+SUMPRODUCT($B$61:$B$68,(BX61:BX68&gt;BY61:BY68)*1)+SUMPRODUCT($B$71:$B$74,(BX71:BX74&gt;BY71:BY74)*1)+SUMPRODUCT($B$77:$B$78,(BX77:BX78&gt;BY77:BY78)*1)+SUMPRODUCT($B$99:$B$104,(BX99:BX104&gt;BY99:BY104)*1))*$B$20/52</f>
        <v>0</v>
      </c>
      <c r="BZ83" s="386" t="n">
        <f aca="false">(SUMPRODUCT($B$49:$B$58,(BY49:BY58&gt;BZ49:BZ58)*1)+SUMPRODUCT($B$61:$B$68,(BY61:BY68&gt;BZ61:BZ68)*1)+SUMPRODUCT($B$71:$B$74,(BY71:BY74&gt;BZ71:BZ74)*1)+SUMPRODUCT($B$77:$B$78,(BY77:BY78&gt;BZ77:BZ78)*1)+SUMPRODUCT($B$99:$B$104,(BY99:BY104&gt;BZ99:BZ104)*1))*$B$20/52</f>
        <v>0</v>
      </c>
      <c r="CA83" s="386" t="n">
        <f aca="false">(SUMPRODUCT($B$49:$B$58,(BZ49:BZ58&gt;CA49:CA58)*1)+SUMPRODUCT($B$61:$B$68,(BZ61:BZ68&gt;CA61:CA68)*1)+SUMPRODUCT($B$71:$B$74,(BZ71:BZ74&gt;CA71:CA74)*1)+SUMPRODUCT($B$77:$B$78,(BZ77:BZ78&gt;CA77:CA78)*1)+SUMPRODUCT($B$99:$B$104,(BZ99:BZ104&gt;CA99:CA104)*1))*$B$20/52</f>
        <v>0</v>
      </c>
      <c r="CB83" s="386" t="n">
        <f aca="false">(SUMPRODUCT($B$49:$B$58,(CA49:CA58&gt;CB49:CB58)*1)+SUMPRODUCT($B$61:$B$68,(CA61:CA68&gt;CB61:CB68)*1)+SUMPRODUCT($B$71:$B$74,(CA71:CA74&gt;CB71:CB74)*1)+SUMPRODUCT($B$77:$B$78,(CA77:CA78&gt;CB77:CB78)*1)+SUMPRODUCT($B$99:$B$104,(CA99:CA104&gt;CB99:CB104)*1))*$B$20/52</f>
        <v>0</v>
      </c>
      <c r="CC83" s="386" t="n">
        <f aca="false">(SUMPRODUCT($B$49:$B$58,(CB49:CB58&gt;CC49:CC58)*1)+SUMPRODUCT($B$61:$B$68,(CB61:CB68&gt;CC61:CC68)*1)+SUMPRODUCT($B$71:$B$74,(CB71:CB74&gt;CC71:CC74)*1)+SUMPRODUCT($B$77:$B$78,(CB77:CB78&gt;CC77:CC78)*1)+SUMPRODUCT($B$99:$B$104,(CB99:CB104&gt;CC99:CC104)*1))*$B$20/52</f>
        <v>0</v>
      </c>
      <c r="CD83" s="386" t="n">
        <f aca="false">(SUMPRODUCT($B$49:$B$58,(CC49:CC58&gt;CD49:CD58)*1)+SUMPRODUCT($B$61:$B$68,(CC61:CC68&gt;CD61:CD68)*1)+SUMPRODUCT($B$71:$B$74,(CC71:CC74&gt;CD71:CD74)*1)+SUMPRODUCT($B$77:$B$78,(CC77:CC78&gt;CD77:CD78)*1)+SUMPRODUCT($B$99:$B$104,(CC99:CC104&gt;CD99:CD104)*1))*$B$20/52</f>
        <v>0</v>
      </c>
      <c r="CE83" s="386" t="n">
        <f aca="false">(SUMPRODUCT($B$49:$B$58,(CD49:CD58&gt;CE49:CE58)*1)+SUMPRODUCT($B$61:$B$68,(CD61:CD68&gt;CE61:CE68)*1)+SUMPRODUCT($B$71:$B$74,(CD71:CD74&gt;CE71:CE74)*1)+SUMPRODUCT($B$77:$B$78,(CD77:CD78&gt;CE77:CE78)*1)+SUMPRODUCT($B$99:$B$104,(CD99:CD104&gt;CE99:CE104)*1))*$B$20/52</f>
        <v>0</v>
      </c>
      <c r="CF83" s="386" t="n">
        <f aca="false">(SUMPRODUCT($B$49:$B$58,(CE49:CE58&gt;CF49:CF58)*1)+SUMPRODUCT($B$61:$B$68,(CE61:CE68&gt;CF61:CF68)*1)+SUMPRODUCT($B$71:$B$74,(CE71:CE74&gt;CF71:CF74)*1)+SUMPRODUCT($B$77:$B$78,(CE77:CE78&gt;CF77:CF78)*1)+SUMPRODUCT($B$99:$B$104,(CE99:CE104&gt;CF99:CF104)*1))*$B$20/52</f>
        <v>0</v>
      </c>
      <c r="CG83" s="386" t="n">
        <f aca="false">(SUMPRODUCT($B$49:$B$58,(CF49:CF58&gt;CG49:CG58)*1)+SUMPRODUCT($B$61:$B$68,(CF61:CF68&gt;CG61:CG68)*1)+SUMPRODUCT($B$71:$B$74,(CF71:CF74&gt;CG71:CG74)*1)+SUMPRODUCT($B$77:$B$78,(CF77:CF78&gt;CG77:CG78)*1)+SUMPRODUCT($B$99:$B$104,(CF99:CF104&gt;CG99:CG104)*1))*$B$20/52</f>
        <v>0</v>
      </c>
      <c r="CH83" s="386" t="n">
        <f aca="false">(SUMPRODUCT($B$49:$B$58,(CG49:CG58&gt;CH49:CH58)*1)+SUMPRODUCT($B$61:$B$68,(CG61:CG68&gt;CH61:CH68)*1)+SUMPRODUCT($B$71:$B$74,(CG71:CG74&gt;CH71:CH74)*1)+SUMPRODUCT($B$77:$B$78,(CG77:CG78&gt;CH77:CH78)*1)+SUMPRODUCT($B$99:$B$104,(CG99:CG104&gt;CH99:CH104)*1))*$B$20/52</f>
        <v>0</v>
      </c>
      <c r="CI83" s="386" t="n">
        <f aca="false">(SUMPRODUCT($B$49:$B$58,(CH49:CH58&gt;CI49:CI58)*1)+SUMPRODUCT($B$61:$B$68,(CH61:CH68&gt;CI61:CI68)*1)+SUMPRODUCT($B$71:$B$74,(CH71:CH74&gt;CI71:CI74)*1)+SUMPRODUCT($B$77:$B$78,(CH77:CH78&gt;CI77:CI78)*1)+SUMPRODUCT($B$99:$B$104,(CH99:CH104&gt;CI99:CI104)*1))*$B$20/52</f>
        <v>0</v>
      </c>
      <c r="CJ83" s="386" t="n">
        <f aca="false">(SUMPRODUCT($B$49:$B$58,(CI49:CI58&gt;CJ49:CJ58)*1)+SUMPRODUCT($B$61:$B$68,(CI61:CI68&gt;CJ61:CJ68)*1)+SUMPRODUCT($B$71:$B$74,(CI71:CI74&gt;CJ71:CJ74)*1)+SUMPRODUCT($B$77:$B$78,(CI77:CI78&gt;CJ77:CJ78)*1)+SUMPRODUCT($B$99:$B$104,(CI99:CI104&gt;CJ99:CJ104)*1))*$B$20/52</f>
        <v>0</v>
      </c>
      <c r="CK83" s="386" t="n">
        <f aca="false">(SUMPRODUCT($B$49:$B$58,(CJ49:CJ58&gt;CK49:CK58)*1)+SUMPRODUCT($B$61:$B$68,(CJ61:CJ68&gt;CK61:CK68)*1)+SUMPRODUCT($B$71:$B$74,(CJ71:CJ74&gt;CK71:CK74)*1)+SUMPRODUCT($B$77:$B$78,(CJ77:CJ78&gt;CK77:CK78)*1)+SUMPRODUCT($B$99:$B$104,(CJ99:CJ104&gt;CK99:CK104)*1))*$B$20/52</f>
        <v>0</v>
      </c>
      <c r="CL83" s="386" t="n">
        <f aca="false">(SUMPRODUCT($B$49:$B$58,(CK49:CK58&gt;CL49:CL58)*1)+SUMPRODUCT($B$61:$B$68,(CK61:CK68&gt;CL61:CL68)*1)+SUMPRODUCT($B$71:$B$74,(CK71:CK74&gt;CL71:CL74)*1)+SUMPRODUCT($B$77:$B$78,(CK77:CK78&gt;CL77:CL78)*1)+SUMPRODUCT($B$99:$B$104,(CK99:CK104&gt;CL99:CL104)*1))*$B$20/52</f>
        <v>0</v>
      </c>
      <c r="CM83" s="386" t="n">
        <f aca="false">(SUMPRODUCT($B$49:$B$58,(CL49:CL58&gt;CM49:CM58)*1)+SUMPRODUCT($B$61:$B$68,(CL61:CL68&gt;CM61:CM68)*1)+SUMPRODUCT($B$71:$B$74,(CL71:CL74&gt;CM71:CM74)*1)+SUMPRODUCT($B$77:$B$78,(CL77:CL78&gt;CM77:CM78)*1)+SUMPRODUCT($B$99:$B$104,(CL99:CL104&gt;CM99:CM104)*1))*$B$20/52</f>
        <v>0</v>
      </c>
      <c r="CN83" s="386" t="n">
        <f aca="false">(SUMPRODUCT($B$49:$B$58,(CM49:CM58&gt;CN49:CN58)*1)+SUMPRODUCT($B$61:$B$68,(CM61:CM68&gt;CN61:CN68)*1)+SUMPRODUCT($B$71:$B$74,(CM71:CM74&gt;CN71:CN74)*1)+SUMPRODUCT($B$77:$B$78,(CM77:CM78&gt;CN77:CN78)*1)+SUMPRODUCT($B$99:$B$104,(CM99:CM104&gt;CN99:CN104)*1))*$B$20/52</f>
        <v>0</v>
      </c>
      <c r="CO83" s="386" t="n">
        <f aca="false">(SUMPRODUCT($B$49:$B$58,(CN49:CN58&gt;CO49:CO58)*1)+SUMPRODUCT($B$61:$B$68,(CN61:CN68&gt;CO61:CO68)*1)+SUMPRODUCT($B$71:$B$74,(CN71:CN74&gt;CO71:CO74)*1)+SUMPRODUCT($B$77:$B$78,(CN77:CN78&gt;CO77:CO78)*1)+SUMPRODUCT($B$99:$B$104,(CN99:CN104&gt;CO99:CO104)*1))*$B$20/52</f>
        <v>0</v>
      </c>
      <c r="CP83" s="386" t="n">
        <f aca="false">(SUMPRODUCT($B$49:$B$58,(CO49:CO58&gt;CP49:CP58)*1)+SUMPRODUCT($B$61:$B$68,(CO61:CO68&gt;CP61:CP68)*1)+SUMPRODUCT($B$71:$B$74,(CO71:CO74&gt;CP71:CP74)*1)+SUMPRODUCT($B$77:$B$78,(CO77:CO78&gt;CP77:CP78)*1)+SUMPRODUCT($B$99:$B$104,(CO99:CO104&gt;CP99:CP104)*1))*$B$20/52</f>
        <v>0</v>
      </c>
      <c r="CQ83" s="386" t="n">
        <f aca="false">(SUMPRODUCT($B$49:$B$58,(CP49:CP58&gt;CQ49:CQ58)*1)+SUMPRODUCT($B$61:$B$68,(CP61:CP68&gt;CQ61:CQ68)*1)+SUMPRODUCT($B$71:$B$74,(CP71:CP74&gt;CQ71:CQ74)*1)+SUMPRODUCT($B$77:$B$78,(CP77:CP78&gt;CQ77:CQ78)*1)+SUMPRODUCT($B$99:$B$104,(CP99:CP104&gt;CQ99:CQ104)*1))*$B$20/52</f>
        <v>0</v>
      </c>
      <c r="CR83" s="386" t="n">
        <f aca="false">(SUMPRODUCT($B$49:$B$58,(CQ49:CQ58&gt;CR49:CR58)*1)+SUMPRODUCT($B$61:$B$68,(CQ61:CQ68&gt;CR61:CR68)*1)+SUMPRODUCT($B$71:$B$74,(CQ71:CQ74&gt;CR71:CR74)*1)+SUMPRODUCT($B$77:$B$78,(CQ77:CQ78&gt;CR77:CR78)*1)+SUMPRODUCT($B$99:$B$104,(CQ99:CQ104&gt;CR99:CR104)*1))*$B$20/52</f>
        <v>0</v>
      </c>
      <c r="CS83" s="386" t="n">
        <f aca="false">(SUMPRODUCT($B$49:$B$58,(CR49:CR58&gt;CS49:CS58)*1)+SUMPRODUCT($B$61:$B$68,(CR61:CR68&gt;CS61:CS68)*1)+SUMPRODUCT($B$71:$B$74,(CR71:CR74&gt;CS71:CS74)*1)+SUMPRODUCT($B$77:$B$78,(CR77:CR78&gt;CS77:CS78)*1)+SUMPRODUCT($B$99:$B$104,(CR99:CR104&gt;CS99:CS104)*1))*$B$20/52</f>
        <v>0</v>
      </c>
      <c r="CT83" s="386" t="n">
        <f aca="false">(SUMPRODUCT($B$49:$B$58,(CS49:CS58&gt;CT49:CT58)*1)+SUMPRODUCT($B$61:$B$68,(CS61:CS68&gt;CT61:CT68)*1)+SUMPRODUCT($B$71:$B$74,(CS71:CS74&gt;CT71:CT74)*1)+SUMPRODUCT($B$77:$B$78,(CS77:CS78&gt;CT77:CT78)*1)+SUMPRODUCT($B$99:$B$104,(CS99:CS104&gt;CT99:CT104)*1))*$B$20/52</f>
        <v>0</v>
      </c>
      <c r="CU83" s="386" t="n">
        <f aca="false">(SUMPRODUCT($B$49:$B$58,(CT49:CT58&gt;CU49:CU58)*1)+SUMPRODUCT($B$61:$B$68,(CT61:CT68&gt;CU61:CU68)*1)+SUMPRODUCT($B$71:$B$74,(CT71:CT74&gt;CU71:CU74)*1)+SUMPRODUCT($B$77:$B$78,(CT77:CT78&gt;CU77:CU78)*1)+SUMPRODUCT($B$99:$B$104,(CT99:CT104&gt;CU99:CU104)*1))*$B$20/52</f>
        <v>0</v>
      </c>
      <c r="CV83" s="386" t="n">
        <f aca="false">(SUMPRODUCT($B$49:$B$58,(CU49:CU58&gt;CV49:CV58)*1)+SUMPRODUCT($B$61:$B$68,(CU61:CU68&gt;CV61:CV68)*1)+SUMPRODUCT($B$71:$B$74,(CU71:CU74&gt;CV71:CV74)*1)+SUMPRODUCT($B$77:$B$78,(CU77:CU78&gt;CV77:CV78)*1)+SUMPRODUCT($B$99:$B$104,(CU99:CU104&gt;CV99:CV104)*1))*$B$20/52</f>
        <v>0</v>
      </c>
      <c r="CW83" s="386" t="n">
        <f aca="false">(SUMPRODUCT($B$49:$B$58,(CV49:CV58&gt;CW49:CW58)*1)+SUMPRODUCT($B$61:$B$68,(CV61:CV68&gt;CW61:CW68)*1)+SUMPRODUCT($B$71:$B$74,(CV71:CV74&gt;CW71:CW74)*1)+SUMPRODUCT($B$77:$B$78,(CV77:CV78&gt;CW77:CW78)*1)+SUMPRODUCT($B$99:$B$104,(CV99:CV104&gt;CW99:CW104)*1))*$B$20/52</f>
        <v>0</v>
      </c>
      <c r="CX83" s="386" t="n">
        <f aca="false">(SUMPRODUCT($B$49:$B$58,(CW49:CW58&gt;CX49:CX58)*1)+SUMPRODUCT($B$61:$B$68,(CW61:CW68&gt;CX61:CX68)*1)+SUMPRODUCT($B$71:$B$74,(CW71:CW74&gt;CX71:CX74)*1)+SUMPRODUCT($B$77:$B$78,(CW77:CW78&gt;CX77:CX78)*1)+SUMPRODUCT($B$99:$B$104,(CW99:CW104&gt;CX99:CX104)*1))*$B$20/52</f>
        <v>0</v>
      </c>
      <c r="CY83" s="386" t="n">
        <f aca="false">(SUMPRODUCT($B$49:$B$58,(CX49:CX58&gt;CY49:CY58)*1)+SUMPRODUCT($B$61:$B$68,(CX61:CX68&gt;CY61:CY68)*1)+SUMPRODUCT($B$71:$B$74,(CX71:CX74&gt;CY71:CY74)*1)+SUMPRODUCT($B$77:$B$78,(CX77:CX78&gt;CY77:CY78)*1)+SUMPRODUCT($B$99:$B$104,(CX99:CX104&gt;CY99:CY104)*1))*$B$20/52</f>
        <v>0</v>
      </c>
      <c r="CZ83" s="386" t="n">
        <f aca="false">(SUMPRODUCT($B$49:$B$58,(CY49:CY58&gt;CZ49:CZ58)*1)+SUMPRODUCT($B$61:$B$68,(CY61:CY68&gt;CZ61:CZ68)*1)+SUMPRODUCT($B$71:$B$74,(CY71:CY74&gt;CZ71:CZ74)*1)+SUMPRODUCT($B$77:$B$78,(CY77:CY78&gt;CZ77:CZ78)*1)+SUMPRODUCT($B$99:$B$104,(CY99:CY104&gt;CZ99:CZ104)*1))*$B$20/52</f>
        <v>0</v>
      </c>
      <c r="DA83" s="386" t="n">
        <f aca="false">(SUMPRODUCT($B$49:$B$58,(CZ49:CZ58&gt;DA49:DA58)*1)+SUMPRODUCT($B$61:$B$68,(CZ61:CZ68&gt;DA61:DA68)*1)+SUMPRODUCT($B$71:$B$74,(CZ71:CZ74&gt;DA71:DA74)*1)+SUMPRODUCT($B$77:$B$78,(CZ77:CZ78&gt;DA77:DA78)*1)+SUMPRODUCT($B$99:$B$104,(CZ99:CZ104&gt;DA99:DA104)*1))*$B$20/52</f>
        <v>0</v>
      </c>
      <c r="DB83" s="386" t="n">
        <f aca="false">(SUMPRODUCT($B$49:$B$58,(DA49:DA58&gt;DB49:DB58)*1)+SUMPRODUCT($B$61:$B$68,(DA61:DA68&gt;DB61:DB68)*1)+SUMPRODUCT($B$71:$B$74,(DA71:DA74&gt;DB71:DB74)*1)+SUMPRODUCT($B$77:$B$78,(DA77:DA78&gt;DB77:DB78)*1)+SUMPRODUCT($B$99:$B$104,(DA99:DA104&gt;DB99:DB104)*1))*$B$20/52</f>
        <v>0</v>
      </c>
      <c r="DC83" s="386" t="n">
        <f aca="false">(SUMPRODUCT($B$49:$B$58,(DB49:DB58&gt;DC49:DC58)*1)+SUMPRODUCT($B$61:$B$68,(DB61:DB68&gt;DC61:DC68)*1)+SUMPRODUCT($B$71:$B$74,(DB71:DB74&gt;DC71:DC74)*1)+SUMPRODUCT($B$77:$B$78,(DB77:DB78&gt;DC77:DC78)*1)+SUMPRODUCT($B$99:$B$104,(DB99:DB104&gt;DC99:DC104)*1))*$B$20/52</f>
        <v>0</v>
      </c>
      <c r="DD83" s="386" t="n">
        <f aca="false">(SUMPRODUCT($B$49:$B$58,(DC49:DC58&gt;DD49:DD58)*1)+SUMPRODUCT($B$61:$B$68,(DC61:DC68&gt;DD61:DD68)*1)+SUMPRODUCT($B$71:$B$74,(DC71:DC74&gt;DD71:DD74)*1)+SUMPRODUCT($B$77:$B$78,(DC77:DC78&gt;DD77:DD78)*1)+SUMPRODUCT($B$99:$B$104,(DC99:DC104&gt;DD99:DD104)*1))*$B$20/52</f>
        <v>0</v>
      </c>
      <c r="DE83" s="386" t="n">
        <f aca="false">(SUMPRODUCT($B$49:$B$58,(DD49:DD58&gt;DE49:DE58)*1)+SUMPRODUCT($B$61:$B$68,(DD61:DD68&gt;DE61:DE68)*1)+SUMPRODUCT($B$71:$B$74,(DD71:DD74&gt;DE71:DE74)*1)+SUMPRODUCT($B$77:$B$78,(DD77:DD78&gt;DE77:DE78)*1)+SUMPRODUCT($B$99:$B$104,(DD99:DD104&gt;DE99:DE104)*1))*$B$20/52</f>
        <v>0</v>
      </c>
    </row>
    <row r="84" customFormat="false" ht="13.5" hidden="false" customHeight="true" outlineLevel="0" collapsed="false">
      <c r="A84" s="110" t="s">
        <v>1410</v>
      </c>
      <c r="E84" s="386" t="n">
        <f aca="false">E82+E83</f>
        <v>0</v>
      </c>
      <c r="F84" s="386" t="n">
        <f aca="false">F82+F83</f>
        <v>0</v>
      </c>
      <c r="G84" s="386" t="n">
        <f aca="false">G82+G83</f>
        <v>0</v>
      </c>
      <c r="H84" s="386" t="n">
        <f aca="false">H82+H83</f>
        <v>0</v>
      </c>
      <c r="I84" s="386" t="n">
        <f aca="false">I82+I83</f>
        <v>19500</v>
      </c>
      <c r="J84" s="386" t="n">
        <f aca="false">J82+J83</f>
        <v>10000</v>
      </c>
      <c r="K84" s="386" t="n">
        <f aca="false">K82+K83</f>
        <v>0</v>
      </c>
      <c r="L84" s="386" t="n">
        <f aca="false">L82+L83</f>
        <v>0</v>
      </c>
      <c r="M84" s="386" t="n">
        <f aca="false">M82+M83</f>
        <v>42750</v>
      </c>
      <c r="N84" s="386" t="n">
        <f aca="false">N82+N83</f>
        <v>43500</v>
      </c>
      <c r="O84" s="386" t="n">
        <f aca="false">O82+O83</f>
        <v>81750</v>
      </c>
      <c r="P84" s="386" t="n">
        <f aca="false">P82+P83</f>
        <v>0</v>
      </c>
      <c r="Q84" s="386" t="n">
        <f aca="false">Q82+Q83</f>
        <v>42750</v>
      </c>
      <c r="R84" s="386" t="n">
        <f aca="false">R82+R83</f>
        <v>55500</v>
      </c>
      <c r="S84" s="386" t="n">
        <f aca="false">S82+S83</f>
        <v>18750</v>
      </c>
      <c r="T84" s="386" t="n">
        <f aca="false">T82+T83</f>
        <v>18750</v>
      </c>
      <c r="U84" s="386" t="n">
        <f aca="false">U82+U83</f>
        <v>0</v>
      </c>
      <c r="V84" s="386" t="n">
        <f aca="false">V82+V83</f>
        <v>0</v>
      </c>
      <c r="W84" s="386" t="n">
        <f aca="false">W82+W83</f>
        <v>0</v>
      </c>
      <c r="X84" s="386" t="n">
        <f aca="false">X82+X83</f>
        <v>0</v>
      </c>
      <c r="Y84" s="386" t="n">
        <f aca="false">Y82+Y83</f>
        <v>0</v>
      </c>
      <c r="Z84" s="386" t="n">
        <f aca="false">Z82+Z83</f>
        <v>9615.38461538462</v>
      </c>
      <c r="AA84" s="386" t="n">
        <f aca="false">AA82+AA83</f>
        <v>0</v>
      </c>
      <c r="AB84" s="386" t="n">
        <f aca="false">AB82+AB83</f>
        <v>6153.84615384615</v>
      </c>
      <c r="AC84" s="386" t="n">
        <f aca="false">AC82+AC83</f>
        <v>0</v>
      </c>
      <c r="AD84" s="386" t="n">
        <f aca="false">AD82+AD83</f>
        <v>0</v>
      </c>
      <c r="AE84" s="386" t="n">
        <f aca="false">AE82+AE83</f>
        <v>0</v>
      </c>
      <c r="AF84" s="386" t="n">
        <f aca="false">AF82+AF83</f>
        <v>0</v>
      </c>
      <c r="AG84" s="386" t="n">
        <f aca="false">AG82+AG83</f>
        <v>0</v>
      </c>
      <c r="AH84" s="386" t="n">
        <f aca="false">AH82+AH83</f>
        <v>0</v>
      </c>
      <c r="AI84" s="386" t="n">
        <f aca="false">AI82+AI83</f>
        <v>0</v>
      </c>
      <c r="AJ84" s="386" t="n">
        <f aca="false">AJ82+AJ83</f>
        <v>30750</v>
      </c>
      <c r="AK84" s="386" t="n">
        <f aca="false">AK82+AK83</f>
        <v>0</v>
      </c>
      <c r="AL84" s="386" t="n">
        <f aca="false">AL82+AL83</f>
        <v>0</v>
      </c>
      <c r="AM84" s="386" t="n">
        <f aca="false">AM82+AM83</f>
        <v>0</v>
      </c>
      <c r="AN84" s="386" t="n">
        <f aca="false">AN82+AN83</f>
        <v>0</v>
      </c>
      <c r="AO84" s="386" t="n">
        <f aca="false">AO82+AO83</f>
        <v>0</v>
      </c>
      <c r="AP84" s="386" t="n">
        <f aca="false">AP82+AP83</f>
        <v>0</v>
      </c>
      <c r="AQ84" s="386" t="n">
        <f aca="false">AQ82+AQ83</f>
        <v>38250</v>
      </c>
      <c r="AR84" s="386" t="n">
        <f aca="false">AR82+AR83</f>
        <v>0</v>
      </c>
      <c r="AS84" s="386" t="n">
        <f aca="false">AS82+AS83</f>
        <v>0</v>
      </c>
      <c r="AT84" s="386" t="n">
        <f aca="false">AT82+AT83</f>
        <v>0</v>
      </c>
      <c r="AU84" s="386" t="n">
        <f aca="false">AU82+AU83</f>
        <v>37500</v>
      </c>
      <c r="AV84" s="386" t="n">
        <f aca="false">AV82+AV83</f>
        <v>0</v>
      </c>
      <c r="AW84" s="386" t="n">
        <f aca="false">AW82+AW83</f>
        <v>10000</v>
      </c>
      <c r="AX84" s="386" t="n">
        <f aca="false">AX82+AX83</f>
        <v>0</v>
      </c>
      <c r="AY84" s="386" t="n">
        <f aca="false">AY82+AY83</f>
        <v>0</v>
      </c>
      <c r="AZ84" s="386" t="n">
        <f aca="false">AZ82+AZ83</f>
        <v>0</v>
      </c>
      <c r="BA84" s="386" t="n">
        <f aca="false">BA82+BA83</f>
        <v>19230.7692307692</v>
      </c>
      <c r="BB84" s="386" t="n">
        <f aca="false">BB82+BB83</f>
        <v>23461.5384615385</v>
      </c>
      <c r="BC84" s="386" t="n">
        <f aca="false">BC82+BC83</f>
        <v>0</v>
      </c>
      <c r="BD84" s="386" t="n">
        <f aca="false">BD82+BD83</f>
        <v>0</v>
      </c>
      <c r="BE84" s="386" t="n">
        <f aca="false">BE82+BE83</f>
        <v>0</v>
      </c>
      <c r="BF84" s="386" t="n">
        <f aca="false">BF82+BF83</f>
        <v>0</v>
      </c>
      <c r="BG84" s="386" t="n">
        <f aca="false">BG82+BG83</f>
        <v>0</v>
      </c>
      <c r="BH84" s="386" t="n">
        <f aca="false">BH82+BH83</f>
        <v>0</v>
      </c>
      <c r="BI84" s="386" t="n">
        <f aca="false">BI82+BI83</f>
        <v>0</v>
      </c>
      <c r="BJ84" s="386" t="n">
        <f aca="false">BJ82+BJ83</f>
        <v>0</v>
      </c>
      <c r="BK84" s="386" t="n">
        <f aca="false">BK82+BK83</f>
        <v>10000</v>
      </c>
      <c r="BL84" s="386" t="n">
        <f aca="false">BL82+BL83</f>
        <v>0</v>
      </c>
      <c r="BM84" s="386" t="n">
        <f aca="false">BM82+BM83</f>
        <v>9615.38461538462</v>
      </c>
      <c r="BN84" s="386" t="n">
        <f aca="false">BN82+BN83</f>
        <v>15769.2307692308</v>
      </c>
      <c r="BO84" s="386" t="n">
        <f aca="false">BO82+BO83</f>
        <v>40384.6153846154</v>
      </c>
      <c r="BP84" s="386" t="n">
        <f aca="false">BP82+BP83</f>
        <v>21923.0769230769</v>
      </c>
      <c r="BQ84" s="386" t="n">
        <f aca="false">BQ82+BQ83</f>
        <v>10000</v>
      </c>
      <c r="BR84" s="386" t="n">
        <f aca="false">BR82+BR83</f>
        <v>0</v>
      </c>
      <c r="BS84" s="386" t="n">
        <f aca="false">BS82+BS83</f>
        <v>0</v>
      </c>
      <c r="BT84" s="386" t="n">
        <f aca="false">BT82+BT83</f>
        <v>12307.6923076923</v>
      </c>
      <c r="BU84" s="386" t="n">
        <f aca="false">BU82+BU83</f>
        <v>21923.0769230769</v>
      </c>
      <c r="BV84" s="386" t="n">
        <f aca="false">BV82+BV83</f>
        <v>0</v>
      </c>
      <c r="BW84" s="386" t="n">
        <f aca="false">BW82+BW83</f>
        <v>0</v>
      </c>
      <c r="BX84" s="386" t="n">
        <f aca="false">BX82+BX83</f>
        <v>0</v>
      </c>
      <c r="BY84" s="386" t="n">
        <f aca="false">BY82+BY83</f>
        <v>0</v>
      </c>
      <c r="BZ84" s="386" t="n">
        <f aca="false">BZ82+BZ83</f>
        <v>0</v>
      </c>
      <c r="CA84" s="386" t="n">
        <f aca="false">CA82+CA83</f>
        <v>0</v>
      </c>
      <c r="CB84" s="386" t="n">
        <f aca="false">CB82+CB83</f>
        <v>0</v>
      </c>
      <c r="CC84" s="386" t="n">
        <f aca="false">CC82+CC83</f>
        <v>0</v>
      </c>
      <c r="CD84" s="386" t="n">
        <f aca="false">CD82+CD83</f>
        <v>0</v>
      </c>
      <c r="CE84" s="386" t="n">
        <f aca="false">CE82+CE83</f>
        <v>0</v>
      </c>
      <c r="CF84" s="386" t="n">
        <f aca="false">CF82+CF83</f>
        <v>0</v>
      </c>
      <c r="CG84" s="386" t="n">
        <f aca="false">CG82+CG83</f>
        <v>0</v>
      </c>
      <c r="CH84" s="386" t="n">
        <f aca="false">CH82+CH83</f>
        <v>0</v>
      </c>
      <c r="CI84" s="386" t="n">
        <f aca="false">CI82+CI83</f>
        <v>0</v>
      </c>
      <c r="CJ84" s="386" t="n">
        <f aca="false">CJ82+CJ83</f>
        <v>0</v>
      </c>
      <c r="CK84" s="386" t="n">
        <f aca="false">CK82+CK83</f>
        <v>0</v>
      </c>
      <c r="CL84" s="386" t="n">
        <f aca="false">CL82+CL83</f>
        <v>0</v>
      </c>
      <c r="CM84" s="386" t="n">
        <f aca="false">CM82+CM83</f>
        <v>0</v>
      </c>
      <c r="CN84" s="386" t="n">
        <f aca="false">CN82+CN83</f>
        <v>0</v>
      </c>
      <c r="CO84" s="386" t="n">
        <f aca="false">CO82+CO83</f>
        <v>0</v>
      </c>
      <c r="CP84" s="386" t="n">
        <f aca="false">CP82+CP83</f>
        <v>0</v>
      </c>
      <c r="CQ84" s="386" t="n">
        <f aca="false">CQ82+CQ83</f>
        <v>0</v>
      </c>
      <c r="CR84" s="386" t="n">
        <f aca="false">CR82+CR83</f>
        <v>0</v>
      </c>
      <c r="CS84" s="386" t="n">
        <f aca="false">CS82+CS83</f>
        <v>0</v>
      </c>
      <c r="CT84" s="386" t="n">
        <f aca="false">CT82+CT83</f>
        <v>0</v>
      </c>
      <c r="CU84" s="386" t="n">
        <f aca="false">CU82+CU83</f>
        <v>0</v>
      </c>
      <c r="CV84" s="386" t="n">
        <f aca="false">CV82+CV83</f>
        <v>0</v>
      </c>
      <c r="CW84" s="386" t="n">
        <f aca="false">CW82+CW83</f>
        <v>0</v>
      </c>
      <c r="CX84" s="386" t="n">
        <f aca="false">CX82+CX83</f>
        <v>0</v>
      </c>
      <c r="CY84" s="386" t="n">
        <f aca="false">CY82+CY83</f>
        <v>0</v>
      </c>
      <c r="CZ84" s="386" t="n">
        <f aca="false">CZ82+CZ83</f>
        <v>0</v>
      </c>
      <c r="DA84" s="386" t="n">
        <f aca="false">DA82+DA83</f>
        <v>0</v>
      </c>
      <c r="DB84" s="386" t="n">
        <f aca="false">DB82+DB83</f>
        <v>0</v>
      </c>
      <c r="DC84" s="386" t="n">
        <f aca="false">DC82+DC83</f>
        <v>0</v>
      </c>
      <c r="DD84" s="386" t="n">
        <f aca="false">DD82+DD83</f>
        <v>0</v>
      </c>
      <c r="DE84" s="386" t="n">
        <f aca="false">DE82+DE83</f>
        <v>0</v>
      </c>
    </row>
    <row r="86" customFormat="false" ht="13.5" hidden="false" customHeight="true" outlineLevel="0" collapsed="false">
      <c r="A86" s="211" t="s">
        <v>1411</v>
      </c>
      <c r="B86" s="212"/>
      <c r="C86" s="212"/>
      <c r="D86" s="212"/>
      <c r="E86" s="212"/>
      <c r="F86" s="212"/>
    </row>
    <row r="87" customFormat="false" ht="13.5" hidden="false" customHeight="true" outlineLevel="0" collapsed="false">
      <c r="A87" s="110" t="s">
        <v>1412</v>
      </c>
      <c r="E87" s="384" t="n">
        <f aca="false">E43+SUM(E49:E58)</f>
        <v>4</v>
      </c>
      <c r="F87" s="384" t="n">
        <f aca="false">F43+SUM(F49:F58)</f>
        <v>5</v>
      </c>
      <c r="G87" s="384" t="n">
        <f aca="false">G43+SUM(G49:G58)</f>
        <v>5</v>
      </c>
      <c r="H87" s="384" t="n">
        <f aca="false">H43+SUM(H49:H58)</f>
        <v>6</v>
      </c>
      <c r="I87" s="384" t="n">
        <f aca="false">I43+SUM(I49:I58)</f>
        <v>6</v>
      </c>
      <c r="J87" s="384" t="n">
        <f aca="false">J43+SUM(J49:J58)</f>
        <v>7</v>
      </c>
      <c r="K87" s="384" t="n">
        <f aca="false">K43+SUM(K49:K58)</f>
        <v>7</v>
      </c>
      <c r="L87" s="384" t="n">
        <f aca="false">L43+SUM(L49:L58)</f>
        <v>7</v>
      </c>
      <c r="M87" s="384" t="n">
        <f aca="false">M43+SUM(M49:M58)</f>
        <v>8</v>
      </c>
      <c r="N87" s="384" t="n">
        <f aca="false">N43+SUM(N49:N58)</f>
        <v>9</v>
      </c>
      <c r="O87" s="384" t="n">
        <f aca="false">O43+SUM(O49:O58)</f>
        <v>10</v>
      </c>
      <c r="P87" s="384" t="n">
        <f aca="false">P43+SUM(P49:P58)</f>
        <v>10</v>
      </c>
      <c r="Q87" s="384" t="n">
        <f aca="false">Q43+SUM(Q49:Q58)</f>
        <v>11</v>
      </c>
      <c r="R87" s="384" t="n">
        <f aca="false">R43+SUM(R49:R58)</f>
        <v>12</v>
      </c>
      <c r="S87" s="384" t="n">
        <f aca="false">S43+SUM(S49:S58)</f>
        <v>12</v>
      </c>
      <c r="T87" s="384" t="n">
        <f aca="false">T43+SUM(T49:T58)</f>
        <v>13</v>
      </c>
      <c r="U87" s="384" t="n">
        <f aca="false">U43+SUM(U49:U58)</f>
        <v>13</v>
      </c>
      <c r="V87" s="384" t="n">
        <f aca="false">V43+SUM(V49:V58)</f>
        <v>13</v>
      </c>
      <c r="W87" s="384" t="n">
        <f aca="false">W43+SUM(W49:W58)</f>
        <v>13</v>
      </c>
      <c r="X87" s="384" t="n">
        <f aca="false">X43+SUM(X49:X58)</f>
        <v>13</v>
      </c>
      <c r="Y87" s="384" t="n">
        <f aca="false">Y43+SUM(Y49:Y58)</f>
        <v>13</v>
      </c>
      <c r="Z87" s="384" t="n">
        <f aca="false">Z43+SUM(Z49:Z58)</f>
        <v>12</v>
      </c>
      <c r="AA87" s="384" t="n">
        <f aca="false">AA43+SUM(AA49:AA58)</f>
        <v>12</v>
      </c>
      <c r="AB87" s="384" t="n">
        <f aca="false">AB43+SUM(AB49:AB58)</f>
        <v>12</v>
      </c>
      <c r="AC87" s="384" t="n">
        <f aca="false">AC43+SUM(AC49:AC58)</f>
        <v>12</v>
      </c>
      <c r="AD87" s="384" t="n">
        <f aca="false">AD43+SUM(AD49:AD58)</f>
        <v>12</v>
      </c>
      <c r="AE87" s="384" t="n">
        <f aca="false">AE43+SUM(AE49:AE58)</f>
        <v>12</v>
      </c>
      <c r="AF87" s="384" t="n">
        <f aca="false">AF43+SUM(AF49:AF58)</f>
        <v>12</v>
      </c>
      <c r="AG87" s="384" t="n">
        <f aca="false">AG43+SUM(AG49:AG58)</f>
        <v>12</v>
      </c>
      <c r="AH87" s="384" t="n">
        <f aca="false">AH43+SUM(AH49:AH58)</f>
        <v>12</v>
      </c>
      <c r="AI87" s="384" t="n">
        <f aca="false">AI43+SUM(AI49:AI58)</f>
        <v>12</v>
      </c>
      <c r="AJ87" s="384" t="n">
        <f aca="false">AJ43+SUM(AJ49:AJ58)</f>
        <v>12</v>
      </c>
      <c r="AK87" s="384" t="n">
        <f aca="false">AK43+SUM(AK49:AK58)</f>
        <v>12</v>
      </c>
      <c r="AL87" s="384" t="n">
        <f aca="false">AL43+SUM(AL49:AL58)</f>
        <v>12</v>
      </c>
      <c r="AM87" s="384" t="n">
        <f aca="false">AM43+SUM(AM49:AM58)</f>
        <v>12</v>
      </c>
      <c r="AN87" s="384" t="n">
        <f aca="false">AN43+SUM(AN49:AN58)</f>
        <v>12</v>
      </c>
      <c r="AO87" s="384" t="n">
        <f aca="false">AO43+SUM(AO49:AO58)</f>
        <v>12</v>
      </c>
      <c r="AP87" s="384" t="n">
        <f aca="false">AP43+SUM(AP49:AP58)</f>
        <v>12</v>
      </c>
      <c r="AQ87" s="384" t="n">
        <f aca="false">AQ43+SUM(AQ49:AQ58)</f>
        <v>13</v>
      </c>
      <c r="AR87" s="384" t="n">
        <f aca="false">AR43+SUM(AR49:AR58)</f>
        <v>13</v>
      </c>
      <c r="AS87" s="384" t="n">
        <f aca="false">AS43+SUM(AS49:AS58)</f>
        <v>13</v>
      </c>
      <c r="AT87" s="384" t="n">
        <f aca="false">AT43+SUM(AT49:AT58)</f>
        <v>13</v>
      </c>
      <c r="AU87" s="384" t="n">
        <f aca="false">AU43+SUM(AU49:AU58)</f>
        <v>14</v>
      </c>
      <c r="AV87" s="384" t="n">
        <f aca="false">AV43+SUM(AV49:AV58)</f>
        <v>14</v>
      </c>
      <c r="AW87" s="384" t="n">
        <f aca="false">AW43+SUM(AW49:AW58)</f>
        <v>14</v>
      </c>
      <c r="AX87" s="384" t="n">
        <f aca="false">AX43+SUM(AX49:AX58)</f>
        <v>14</v>
      </c>
      <c r="AY87" s="384" t="n">
        <f aca="false">AY43+SUM(AY49:AY58)</f>
        <v>14</v>
      </c>
      <c r="AZ87" s="384" t="n">
        <f aca="false">AZ43+SUM(AZ49:AZ58)</f>
        <v>14</v>
      </c>
      <c r="BA87" s="384" t="n">
        <f aca="false">BA43+SUM(BA49:BA58)</f>
        <v>13</v>
      </c>
      <c r="BB87" s="384" t="n">
        <f aca="false">BB43+SUM(BB49:BB58)</f>
        <v>13</v>
      </c>
      <c r="BC87" s="384" t="n">
        <f aca="false">BC43+SUM(BC49:BC58)</f>
        <v>13</v>
      </c>
      <c r="BD87" s="384" t="n">
        <f aca="false">BD43+SUM(BD49:BD58)</f>
        <v>13</v>
      </c>
      <c r="BE87" s="384" t="n">
        <f aca="false">BE43+SUM(BE49:BE58)</f>
        <v>13</v>
      </c>
      <c r="BF87" s="384" t="n">
        <f aca="false">BF43+SUM(BF49:BF58)</f>
        <v>13</v>
      </c>
      <c r="BG87" s="384" t="n">
        <f aca="false">BG43+SUM(BG49:BG58)</f>
        <v>13</v>
      </c>
      <c r="BH87" s="384" t="n">
        <f aca="false">BH43+SUM(BH49:BH58)</f>
        <v>13</v>
      </c>
      <c r="BI87" s="384" t="n">
        <f aca="false">BI43+SUM(BI49:BI58)</f>
        <v>13</v>
      </c>
      <c r="BJ87" s="384" t="n">
        <f aca="false">BJ43+SUM(BJ49:BJ58)</f>
        <v>13</v>
      </c>
      <c r="BK87" s="384" t="n">
        <f aca="false">BK43+SUM(BK49:BK58)</f>
        <v>13</v>
      </c>
      <c r="BL87" s="384" t="n">
        <f aca="false">BL43+SUM(BL49:BL58)</f>
        <v>13</v>
      </c>
      <c r="BM87" s="384" t="n">
        <f aca="false">BM43+SUM(BM49:BM58)</f>
        <v>12</v>
      </c>
      <c r="BN87" s="384" t="n">
        <f aca="false">BN43+SUM(BN49:BN58)</f>
        <v>12</v>
      </c>
      <c r="BO87" s="384" t="n">
        <f aca="false">BO43+SUM(BO49:BO58)</f>
        <v>10</v>
      </c>
      <c r="BP87" s="384" t="n">
        <f aca="false">BP43+SUM(BP49:BP58)</f>
        <v>9</v>
      </c>
      <c r="BQ87" s="384" t="n">
        <f aca="false">BQ43+SUM(BQ49:BQ58)</f>
        <v>9</v>
      </c>
      <c r="BR87" s="384" t="n">
        <f aca="false">BR43+SUM(BR49:BR58)</f>
        <v>9</v>
      </c>
      <c r="BS87" s="384" t="n">
        <f aca="false">BS43+SUM(BS49:BS58)</f>
        <v>9</v>
      </c>
      <c r="BT87" s="384" t="n">
        <f aca="false">BT43+SUM(BT49:BT58)</f>
        <v>8</v>
      </c>
      <c r="BU87" s="384" t="n">
        <f aca="false">BU43+SUM(BU49:BU58)</f>
        <v>7</v>
      </c>
      <c r="BV87" s="384" t="n">
        <f aca="false">BV43+SUM(BV49:BV58)</f>
        <v>7</v>
      </c>
      <c r="BW87" s="384" t="n">
        <f aca="false">BW43+SUM(BW49:BW58)</f>
        <v>7</v>
      </c>
      <c r="BX87" s="384" t="n">
        <f aca="false">BX43+SUM(BX49:BX58)</f>
        <v>7</v>
      </c>
      <c r="BY87" s="384" t="n">
        <f aca="false">BY43+SUM(BY49:BY58)</f>
        <v>7</v>
      </c>
      <c r="BZ87" s="384" t="n">
        <f aca="false">BZ43+SUM(BZ49:BZ58)</f>
        <v>7</v>
      </c>
      <c r="CA87" s="384" t="n">
        <f aca="false">CA43+SUM(CA49:CA58)</f>
        <v>7</v>
      </c>
      <c r="CB87" s="384" t="n">
        <f aca="false">CB43+SUM(CB49:CB58)</f>
        <v>7</v>
      </c>
      <c r="CC87" s="384" t="n">
        <f aca="false">CC43+SUM(CC49:CC58)</f>
        <v>7</v>
      </c>
      <c r="CD87" s="384" t="n">
        <f aca="false">CD43+SUM(CD49:CD58)</f>
        <v>7</v>
      </c>
      <c r="CE87" s="384" t="n">
        <f aca="false">CE43+SUM(CE49:CE58)</f>
        <v>7</v>
      </c>
      <c r="CF87" s="384" t="n">
        <f aca="false">CF43+SUM(CF49:CF58)</f>
        <v>7</v>
      </c>
      <c r="CG87" s="384" t="n">
        <f aca="false">CG43+SUM(CG49:CG58)</f>
        <v>7</v>
      </c>
      <c r="CH87" s="384" t="n">
        <f aca="false">CH43+SUM(CH49:CH58)</f>
        <v>7</v>
      </c>
      <c r="CI87" s="384" t="n">
        <f aca="false">CI43+SUM(CI49:CI58)</f>
        <v>7</v>
      </c>
      <c r="CJ87" s="384" t="n">
        <f aca="false">CJ43+SUM(CJ49:CJ58)</f>
        <v>7</v>
      </c>
      <c r="CK87" s="384" t="n">
        <f aca="false">CK43+SUM(CK49:CK58)</f>
        <v>7</v>
      </c>
      <c r="CL87" s="384" t="n">
        <f aca="false">CL43+SUM(CL49:CL58)</f>
        <v>7</v>
      </c>
      <c r="CM87" s="384" t="n">
        <f aca="false">CM43+SUM(CM49:CM58)</f>
        <v>7</v>
      </c>
      <c r="CN87" s="384" t="n">
        <f aca="false">CN43+SUM(CN49:CN58)</f>
        <v>7</v>
      </c>
      <c r="CO87" s="384" t="n">
        <f aca="false">CO43+SUM(CO49:CO58)</f>
        <v>7</v>
      </c>
      <c r="CP87" s="384" t="n">
        <f aca="false">CP43+SUM(CP49:CP58)</f>
        <v>7</v>
      </c>
      <c r="CQ87" s="384" t="n">
        <f aca="false">CQ43+SUM(CQ49:CQ58)</f>
        <v>7</v>
      </c>
      <c r="CR87" s="384" t="n">
        <f aca="false">CR43+SUM(CR49:CR58)</f>
        <v>7</v>
      </c>
      <c r="CS87" s="384" t="n">
        <f aca="false">CS43+SUM(CS49:CS58)</f>
        <v>7</v>
      </c>
      <c r="CT87" s="384" t="n">
        <f aca="false">CT43+SUM(CT49:CT58)</f>
        <v>7</v>
      </c>
      <c r="CU87" s="384" t="n">
        <f aca="false">CU43+SUM(CU49:CU58)</f>
        <v>7</v>
      </c>
      <c r="CV87" s="384" t="n">
        <f aca="false">CV43+SUM(CV49:CV58)</f>
        <v>7</v>
      </c>
      <c r="CW87" s="384" t="n">
        <f aca="false">CW43+SUM(CW49:CW58)</f>
        <v>7</v>
      </c>
      <c r="CX87" s="384" t="n">
        <f aca="false">CX43+SUM(CX49:CX58)</f>
        <v>7</v>
      </c>
      <c r="CY87" s="384" t="n">
        <f aca="false">CY43+SUM(CY49:CY58)</f>
        <v>7</v>
      </c>
      <c r="CZ87" s="384" t="n">
        <f aca="false">CZ43+SUM(CZ49:CZ58)</f>
        <v>7</v>
      </c>
      <c r="DA87" s="384" t="n">
        <f aca="false">DA43+SUM(DA49:DA58)</f>
        <v>7</v>
      </c>
      <c r="DB87" s="384" t="n">
        <f aca="false">DB43+SUM(DB49:DB58)</f>
        <v>7</v>
      </c>
      <c r="DC87" s="384" t="n">
        <f aca="false">DC43+SUM(DC49:DC58)</f>
        <v>7</v>
      </c>
      <c r="DD87" s="384" t="n">
        <f aca="false">DD43+SUM(DD49:DD58)</f>
        <v>7</v>
      </c>
      <c r="DE87" s="384" t="n">
        <f aca="false">DE43+SUM(DE49:DE58)</f>
        <v>7</v>
      </c>
    </row>
    <row r="88" customFormat="false" ht="13.5" hidden="false" customHeight="true" outlineLevel="0" collapsed="false">
      <c r="A88" s="110" t="s">
        <v>1413</v>
      </c>
      <c r="E88" s="384" t="n">
        <f aca="false">E37-E87</f>
        <v>1</v>
      </c>
      <c r="F88" s="384" t="n">
        <f aca="false">F37-F87</f>
        <v>0</v>
      </c>
      <c r="G88" s="384" t="n">
        <f aca="false">G37-G87</f>
        <v>0</v>
      </c>
      <c r="H88" s="384" t="n">
        <f aca="false">H37-H87</f>
        <v>-1</v>
      </c>
      <c r="I88" s="384" t="n">
        <f aca="false">I37-I87</f>
        <v>1</v>
      </c>
      <c r="J88" s="384" t="n">
        <f aca="false">J37-J87</f>
        <v>1</v>
      </c>
      <c r="K88" s="384" t="n">
        <f aca="false">K37-K87</f>
        <v>1</v>
      </c>
      <c r="L88" s="384" t="n">
        <f aca="false">L37-L87</f>
        <v>1</v>
      </c>
      <c r="M88" s="384" t="n">
        <f aca="false">M37-M87</f>
        <v>0</v>
      </c>
      <c r="N88" s="384" t="n">
        <f aca="false">N37-N87</f>
        <v>1</v>
      </c>
      <c r="O88" s="384" t="n">
        <f aca="false">O37-O87</f>
        <v>1</v>
      </c>
      <c r="P88" s="384" t="n">
        <f aca="false">P37-P87</f>
        <v>1</v>
      </c>
      <c r="Q88" s="384" t="n">
        <f aca="false">Q37-Q87</f>
        <v>1</v>
      </c>
      <c r="R88" s="384" t="n">
        <f aca="false">R37-R87</f>
        <v>1</v>
      </c>
      <c r="S88" s="384" t="n">
        <f aca="false">S37-S87</f>
        <v>2</v>
      </c>
      <c r="T88" s="384" t="n">
        <f aca="false">T37-T87</f>
        <v>1</v>
      </c>
      <c r="U88" s="384" t="n">
        <f aca="false">U37-U87</f>
        <v>1</v>
      </c>
      <c r="V88" s="384" t="n">
        <f aca="false">V37-V87</f>
        <v>0</v>
      </c>
      <c r="W88" s="384" t="n">
        <f aca="false">W37-W87</f>
        <v>-1</v>
      </c>
      <c r="X88" s="384" t="n">
        <f aca="false">X37-X87</f>
        <v>-1</v>
      </c>
      <c r="Y88" s="384" t="n">
        <f aca="false">Y37-Y87</f>
        <v>-1</v>
      </c>
      <c r="Z88" s="384" t="n">
        <f aca="false">Z37-Z87</f>
        <v>0</v>
      </c>
      <c r="AA88" s="384" t="n">
        <f aca="false">AA37-AA87</f>
        <v>0</v>
      </c>
      <c r="AB88" s="384" t="n">
        <f aca="false">AB37-AB87</f>
        <v>0</v>
      </c>
      <c r="AC88" s="384" t="n">
        <f aca="false">AC37-AC87</f>
        <v>-1</v>
      </c>
      <c r="AD88" s="384" t="n">
        <f aca="false">AD37-AD87</f>
        <v>-1</v>
      </c>
      <c r="AE88" s="384" t="n">
        <f aca="false">AE37-AE87</f>
        <v>0</v>
      </c>
      <c r="AF88" s="384" t="n">
        <f aca="false">AF37-AF87</f>
        <v>0</v>
      </c>
      <c r="AG88" s="384" t="n">
        <f aca="false">AG37-AG87</f>
        <v>-1</v>
      </c>
      <c r="AH88" s="384" t="n">
        <f aca="false">AH37-AH87</f>
        <v>-1</v>
      </c>
      <c r="AI88" s="384" t="n">
        <f aca="false">AI37-AI87</f>
        <v>0</v>
      </c>
      <c r="AJ88" s="384" t="n">
        <f aca="false">AJ37-AJ87</f>
        <v>1</v>
      </c>
      <c r="AK88" s="384" t="n">
        <f aca="false">AK37-AK87</f>
        <v>0</v>
      </c>
      <c r="AL88" s="384" t="n">
        <f aca="false">AL37-AL87</f>
        <v>0</v>
      </c>
      <c r="AM88" s="384" t="n">
        <f aca="false">AM37-AM87</f>
        <v>0</v>
      </c>
      <c r="AN88" s="384" t="n">
        <f aca="false">AN37-AN87</f>
        <v>1</v>
      </c>
      <c r="AO88" s="384" t="n">
        <f aca="false">AO37-AO87</f>
        <v>1</v>
      </c>
      <c r="AP88" s="384" t="n">
        <f aca="false">AP37-AP87</f>
        <v>2</v>
      </c>
      <c r="AQ88" s="384" t="n">
        <f aca="false">AQ37-AQ87</f>
        <v>2</v>
      </c>
      <c r="AR88" s="384" t="n">
        <f aca="false">AR37-AR87</f>
        <v>2</v>
      </c>
      <c r="AS88" s="384" t="n">
        <f aca="false">AS37-AS87</f>
        <v>2</v>
      </c>
      <c r="AT88" s="384" t="n">
        <f aca="false">AT37-AT87</f>
        <v>2</v>
      </c>
      <c r="AU88" s="384" t="n">
        <f aca="false">AU37-AU87</f>
        <v>0</v>
      </c>
      <c r="AV88" s="384" t="n">
        <f aca="false">AV37-AV87</f>
        <v>0</v>
      </c>
      <c r="AW88" s="384" t="n">
        <f aca="false">AW37-AW87</f>
        <v>0</v>
      </c>
      <c r="AX88" s="384" t="n">
        <f aca="false">AX37-AX87</f>
        <v>0</v>
      </c>
      <c r="AY88" s="384" t="n">
        <f aca="false">AY37-AY87</f>
        <v>0</v>
      </c>
      <c r="AZ88" s="384" t="n">
        <f aca="false">AZ37-AZ87</f>
        <v>0</v>
      </c>
      <c r="BA88" s="384" t="n">
        <f aca="false">BA37-BA87</f>
        <v>1</v>
      </c>
      <c r="BB88" s="384" t="n">
        <f aca="false">BB37-BB87</f>
        <v>1</v>
      </c>
      <c r="BC88" s="384" t="n">
        <f aca="false">BC37-BC87</f>
        <v>1</v>
      </c>
      <c r="BD88" s="384" t="n">
        <f aca="false">BD37-BD87</f>
        <v>1</v>
      </c>
      <c r="BE88" s="384" t="n">
        <f aca="false">BE37-BE87</f>
        <v>1</v>
      </c>
      <c r="BF88" s="384" t="n">
        <f aca="false">BF37-BF87</f>
        <v>1</v>
      </c>
      <c r="BG88" s="384" t="n">
        <f aca="false">BG37-BG87</f>
        <v>1</v>
      </c>
      <c r="BH88" s="384" t="n">
        <f aca="false">BH37-BH87</f>
        <v>0</v>
      </c>
      <c r="BI88" s="384" t="n">
        <f aca="false">BI37-BI87</f>
        <v>-2</v>
      </c>
      <c r="BJ88" s="384" t="n">
        <f aca="false">BJ37-BJ87</f>
        <v>-3</v>
      </c>
      <c r="BK88" s="384" t="n">
        <f aca="false">BK37-BK87</f>
        <v>-3</v>
      </c>
      <c r="BL88" s="384" t="n">
        <f aca="false">BL37-BL87</f>
        <v>-3</v>
      </c>
      <c r="BM88" s="384" t="n">
        <f aca="false">BM37-BM87</f>
        <v>-2</v>
      </c>
      <c r="BN88" s="384" t="n">
        <f aca="false">BN37-BN87</f>
        <v>-3</v>
      </c>
      <c r="BO88" s="384" t="n">
        <f aca="false">BO37-BO87</f>
        <v>-2</v>
      </c>
      <c r="BP88" s="384" t="n">
        <f aca="false">BP37-BP87</f>
        <v>-1</v>
      </c>
      <c r="BQ88" s="384" t="n">
        <f aca="false">BQ37-BQ87</f>
        <v>-1</v>
      </c>
      <c r="BR88" s="384" t="n">
        <f aca="false">BR37-BR87</f>
        <v>-1</v>
      </c>
      <c r="BS88" s="384" t="n">
        <f aca="false">BS37-BS87</f>
        <v>-2</v>
      </c>
      <c r="BT88" s="384" t="n">
        <f aca="false">BT37-BT87</f>
        <v>-2</v>
      </c>
      <c r="BU88" s="384" t="n">
        <f aca="false">BU37-BU87</f>
        <v>-2</v>
      </c>
      <c r="BV88" s="384" t="n">
        <f aca="false">BV37-BV87</f>
        <v>-3</v>
      </c>
      <c r="BW88" s="384" t="n">
        <f aca="false">BW37-BW87</f>
        <v>-4</v>
      </c>
      <c r="BX88" s="384" t="n">
        <f aca="false">BX37-BX87</f>
        <v>-5</v>
      </c>
      <c r="BY88" s="384" t="n">
        <f aca="false">BY37-BY87</f>
        <v>-6</v>
      </c>
      <c r="BZ88" s="384" t="n">
        <f aca="false">BZ37-BZ87</f>
        <v>-7</v>
      </c>
      <c r="CA88" s="384" t="n">
        <f aca="false">CA37-CA87</f>
        <v>-7</v>
      </c>
      <c r="CB88" s="384" t="n">
        <f aca="false">CB37-CB87</f>
        <v>-7</v>
      </c>
      <c r="CC88" s="384" t="n">
        <f aca="false">CC37-CC87</f>
        <v>-7</v>
      </c>
      <c r="CD88" s="384" t="n">
        <f aca="false">CD37-CD87</f>
        <v>-7</v>
      </c>
      <c r="CE88" s="384" t="n">
        <f aca="false">CE37-CE87</f>
        <v>-7</v>
      </c>
      <c r="CF88" s="384" t="n">
        <f aca="false">CF37-CF87</f>
        <v>-7</v>
      </c>
      <c r="CG88" s="384" t="n">
        <f aca="false">CG37-CG87</f>
        <v>-7</v>
      </c>
      <c r="CH88" s="384" t="n">
        <f aca="false">CH37-CH87</f>
        <v>-7</v>
      </c>
      <c r="CI88" s="384" t="n">
        <f aca="false">CI37-CI87</f>
        <v>-7</v>
      </c>
      <c r="CJ88" s="384" t="n">
        <f aca="false">CJ37-CJ87</f>
        <v>-7</v>
      </c>
      <c r="CK88" s="384" t="n">
        <f aca="false">CK37-CK87</f>
        <v>-7</v>
      </c>
      <c r="CL88" s="384" t="n">
        <f aca="false">CL37-CL87</f>
        <v>-7</v>
      </c>
      <c r="CM88" s="384" t="n">
        <f aca="false">CM37-CM87</f>
        <v>-7</v>
      </c>
      <c r="CN88" s="384" t="n">
        <f aca="false">CN37-CN87</f>
        <v>-7</v>
      </c>
      <c r="CO88" s="384" t="n">
        <f aca="false">CO37-CO87</f>
        <v>-7</v>
      </c>
      <c r="CP88" s="384" t="n">
        <f aca="false">CP37-CP87</f>
        <v>-7</v>
      </c>
      <c r="CQ88" s="384" t="n">
        <f aca="false">CQ37-CQ87</f>
        <v>-7</v>
      </c>
      <c r="CR88" s="384" t="n">
        <f aca="false">CR37-CR87</f>
        <v>-7</v>
      </c>
      <c r="CS88" s="384" t="n">
        <f aca="false">CS37-CS87</f>
        <v>-7</v>
      </c>
      <c r="CT88" s="384" t="n">
        <f aca="false">CT37-CT87</f>
        <v>-7</v>
      </c>
      <c r="CU88" s="384" t="n">
        <f aca="false">CU37-CU87</f>
        <v>-7</v>
      </c>
      <c r="CV88" s="384" t="n">
        <f aca="false">CV37-CV87</f>
        <v>-7</v>
      </c>
      <c r="CW88" s="384" t="n">
        <f aca="false">CW37-CW87</f>
        <v>-7</v>
      </c>
      <c r="CX88" s="384" t="n">
        <f aca="false">CX37-CX87</f>
        <v>-7</v>
      </c>
      <c r="CY88" s="384" t="n">
        <f aca="false">CY37-CY87</f>
        <v>-7</v>
      </c>
      <c r="CZ88" s="384" t="n">
        <f aca="false">CZ37-CZ87</f>
        <v>-7</v>
      </c>
      <c r="DA88" s="384" t="n">
        <f aca="false">DA37-DA87</f>
        <v>-7</v>
      </c>
      <c r="DB88" s="384" t="n">
        <f aca="false">DB37-DB87</f>
        <v>-7</v>
      </c>
      <c r="DC88" s="384" t="n">
        <f aca="false">DC37-DC87</f>
        <v>-7</v>
      </c>
      <c r="DD88" s="384" t="n">
        <f aca="false">DD37-DD87</f>
        <v>-7</v>
      </c>
      <c r="DE88" s="384" t="n">
        <f aca="false">DE37-DE87</f>
        <v>-7</v>
      </c>
    </row>
    <row r="89" customFormat="false" ht="13.5" hidden="false" customHeight="true" outlineLevel="0" collapsed="false">
      <c r="A89" s="110" t="s">
        <v>1414</v>
      </c>
      <c r="E89" s="384" t="n">
        <f aca="false">(E87+E44+SUM(E61:E68)+E45+SUM(E71:E74))-(E38+E39+E40)</f>
        <v>0.945</v>
      </c>
      <c r="F89" s="384" t="n">
        <f aca="false">(F87+F44+SUM(F61:F68)+F45+SUM(F71:F74))-(F38+F39+F40)</f>
        <v>2.945</v>
      </c>
      <c r="G89" s="384" t="n">
        <f aca="false">(G87+G44+SUM(G61:G68)+G45+SUM(G71:G74))-(G38+G39+G40)</f>
        <v>2.945</v>
      </c>
      <c r="H89" s="384" t="n">
        <f aca="false">(H87+H44+SUM(H61:H68)+H45+SUM(H71:H74))-(H38+H39+H40)</f>
        <v>3.945</v>
      </c>
      <c r="I89" s="384" t="n">
        <f aca="false">(I87+I44+SUM(I61:I68)+I45+SUM(I71:I74))-(I38+I39+I40)</f>
        <v>0.745000000000001</v>
      </c>
      <c r="J89" s="384" t="n">
        <f aca="false">(J87+J44+SUM(J61:J68)+J45+SUM(J71:J74))-(J38+J39+J40)</f>
        <v>0.7525</v>
      </c>
      <c r="K89" s="384" t="n">
        <f aca="false">(K87+K44+SUM(K61:K68)+K45+SUM(K71:K74))-(K38+K39+K40)</f>
        <v>0.7525</v>
      </c>
      <c r="L89" s="384" t="n">
        <f aca="false">(L87+L44+SUM(L61:L68)+L45+SUM(L71:L74))-(L38+L39+L40)</f>
        <v>0.7525</v>
      </c>
      <c r="M89" s="384" t="n">
        <f aca="false">(M87+M44+SUM(M61:M68)+M45+SUM(M71:M74))-(M38+M39+M40)</f>
        <v>0.427499999999998</v>
      </c>
      <c r="N89" s="384" t="n">
        <f aca="false">(N87+N44+SUM(N61:N68)+N45+SUM(N71:N74))-(N38+N39+N40)</f>
        <v>0.77</v>
      </c>
      <c r="O89" s="384" t="n">
        <f aca="false">(O87+O44+SUM(O61:O68)+O45+SUM(O71:O74))-(O38+O39+O40)</f>
        <v>1.23</v>
      </c>
      <c r="P89" s="384" t="n">
        <f aca="false">(P87+P44+SUM(P61:P68)+P45+SUM(P71:P74))-(P38+P39+P40)</f>
        <v>1.23</v>
      </c>
      <c r="Q89" s="384" t="n">
        <f aca="false">(Q87+Q44+SUM(Q61:Q68)+Q45+SUM(Q71:Q74))-(Q38+Q39+Q40)</f>
        <v>0.6875</v>
      </c>
      <c r="R89" s="384" t="n">
        <f aca="false">(R87+R44+SUM(R61:R68)+R45+SUM(R71:R74))-(R38+R39+R40)</f>
        <v>1.3625</v>
      </c>
      <c r="S89" s="384" t="n">
        <f aca="false">(S87+S44+SUM(S61:S68)+S45+SUM(S71:S74))-(S38+S39+S40)</f>
        <v>0.262499999999999</v>
      </c>
      <c r="T89" s="384" t="n">
        <f aca="false">(T87+T44+SUM(T61:T68)+T45+SUM(T71:T74))-(T38+T39+T40)</f>
        <v>0.162499999999998</v>
      </c>
      <c r="U89" s="384" t="n">
        <f aca="false">(U87+U44+SUM(U61:U68)+U45+SUM(U71:U74))-(U38+U39+U40)</f>
        <v>1.595</v>
      </c>
      <c r="V89" s="384" t="n">
        <f aca="false">(V87+V44+SUM(V61:V68)+V45+SUM(V71:V74))-(V38+V39+V40)</f>
        <v>1.595</v>
      </c>
      <c r="W89" s="384" t="n">
        <f aca="false">(W87+W44+SUM(W61:W68)+W45+SUM(W71:W74))-(W38+W39+W40)</f>
        <v>2.695</v>
      </c>
      <c r="X89" s="384" t="n">
        <f aca="false">(X87+X44+SUM(X61:X68)+X45+SUM(X71:X74))-(X38+X39+X40)</f>
        <v>1.92</v>
      </c>
      <c r="Y89" s="384" t="n">
        <f aca="false">(Y87+Y44+SUM(Y61:Y68)+Y45+SUM(Y71:Y74))-(Y38+Y39+Y40)</f>
        <v>3.245</v>
      </c>
      <c r="Z89" s="384" t="n">
        <f aca="false">(Z87+Z44+SUM(Z61:Z68)+Z45+SUM(Z71:Z74))-(Z38+Z39+Z40)</f>
        <v>2.47</v>
      </c>
      <c r="AA89" s="384" t="n">
        <f aca="false">(AA87+AA44+SUM(AA61:AA68)+AA45+SUM(AA71:AA74))-(AA38+AA39+AA40)</f>
        <v>2.47</v>
      </c>
      <c r="AB89" s="384" t="n">
        <f aca="false">(AB87+AB44+SUM(AB61:AB68)+AB45+SUM(AB71:AB74))-(AB38+AB39+AB40)</f>
        <v>1.145</v>
      </c>
      <c r="AC89" s="384" t="n">
        <f aca="false">(AC87+AC44+SUM(AC61:AC68)+AC45+SUM(AC71:AC74))-(AC38+AC39+AC40)</f>
        <v>2.245</v>
      </c>
      <c r="AD89" s="384" t="n">
        <f aca="false">(AD87+AD44+SUM(AD61:AD68)+AD45+SUM(AD71:AD74))-(AD38+AD39+AD40)</f>
        <v>3.9025</v>
      </c>
      <c r="AE89" s="384" t="n">
        <f aca="false">(AE87+AE44+SUM(AE61:AE68)+AE45+SUM(AE71:AE74))-(AE38+AE39+AE40)</f>
        <v>2.36</v>
      </c>
      <c r="AF89" s="384" t="n">
        <f aca="false">(AF87+AF44+SUM(AF61:AF68)+AF45+SUM(AF71:AF74))-(AF38+AF39+AF40)</f>
        <v>2.36</v>
      </c>
      <c r="AG89" s="384" t="n">
        <f aca="false">(AG87+AG44+SUM(AG61:AG68)+AG45+SUM(AG71:AG74))-(AG38+AG39+AG40)</f>
        <v>1.035</v>
      </c>
      <c r="AH89" s="384" t="n">
        <f aca="false">(AH87+AH44+SUM(AH61:AH68)+AH45+SUM(AH71:AH74))-(AH38+AH39+AH40)</f>
        <v>2.4675</v>
      </c>
      <c r="AI89" s="384" t="n">
        <f aca="false">(AI87+AI44+SUM(AI61:AI68)+AI45+SUM(AI71:AI74))-(AI38+AI39+AI40)</f>
        <v>2.575</v>
      </c>
      <c r="AJ89" s="384" t="n">
        <f aca="false">(AJ87+AJ44+SUM(AJ61:AJ68)+AJ45+SUM(AJ71:AJ74))-(AJ38+AJ39+AJ40)</f>
        <v>1.475</v>
      </c>
      <c r="AK89" s="384" t="n">
        <f aca="false">(AK87+AK44+SUM(AK61:AK68)+AK45+SUM(AK71:AK74))-(AK38+AK39+AK40)</f>
        <v>0.149999999999999</v>
      </c>
      <c r="AL89" s="384" t="n">
        <f aca="false">(AL87+AL44+SUM(AL61:AL68)+AL45+SUM(AL71:AL74))-(AL38+AL39+AL40)</f>
        <v>1.525</v>
      </c>
      <c r="AM89" s="384" t="n">
        <f aca="false">(AM87+AM44+SUM(AM61:AM68)+AM45+SUM(AM71:AM74))-(AM38+AM39+AM40)</f>
        <v>1.3</v>
      </c>
      <c r="AN89" s="384" t="n">
        <f aca="false">(AN87+AN44+SUM(AN61:AN68)+AN45+SUM(AN71:AN74))-(AN38+AN39+AN40)</f>
        <v>1.075</v>
      </c>
      <c r="AO89" s="384" t="n">
        <f aca="false">(AO87+AO44+SUM(AO61:AO68)+AO45+SUM(AO71:AO74))-(AO38+AO39+AO40)</f>
        <v>-0.25</v>
      </c>
      <c r="AP89" s="384" t="n">
        <f aca="false">(AP87+AP44+SUM(AP61:AP68)+AP45+SUM(AP71:AP74))-(AP38+AP39+AP40)</f>
        <v>-0.199999999999999</v>
      </c>
      <c r="AQ89" s="384" t="n">
        <f aca="false">(AQ87+AQ44+SUM(AQ61:AQ68)+AQ45+SUM(AQ71:AQ74))-(AQ38+AQ39+AQ40)</f>
        <v>0.475000000000001</v>
      </c>
      <c r="AR89" s="384" t="n">
        <f aca="false">(AR87+AR44+SUM(AR61:AR68)+AR45+SUM(AR71:AR74))-(AR38+AR39+AR40)</f>
        <v>1.2</v>
      </c>
      <c r="AS89" s="384" t="n">
        <f aca="false">(AS87+AS44+SUM(AS61:AS68)+AS45+SUM(AS71:AS74))-(AS38+AS39+AS40)</f>
        <v>1.7</v>
      </c>
      <c r="AT89" s="384" t="n">
        <f aca="false">(AT87+AT44+SUM(AT61:AT68)+AT45+SUM(AT71:AT74))-(AT38+AT39+AT40)</f>
        <v>1.7</v>
      </c>
      <c r="AU89" s="384" t="n">
        <f aca="false">(AU87+AU44+SUM(AU61:AU68)+AU45+SUM(AU71:AU74))-(AU38+AU39+AU40)</f>
        <v>1.375</v>
      </c>
      <c r="AV89" s="384" t="n">
        <f aca="false">(AV87+AV44+SUM(AV61:AV68)+AV45+SUM(AV71:AV74))-(AV38+AV39+AV40)</f>
        <v>2.525</v>
      </c>
      <c r="AW89" s="384" t="n">
        <f aca="false">(AW87+AW44+SUM(AW61:AW68)+AW45+SUM(AW71:AW74))-(AW38+AW39+AW40)</f>
        <v>3.125</v>
      </c>
      <c r="AX89" s="384" t="n">
        <f aca="false">(AX87+AX44+SUM(AX61:AX68)+AX45+SUM(AX71:AX74))-(AX38+AX39+AX40)</f>
        <v>3.35</v>
      </c>
      <c r="AY89" s="384" t="n">
        <f aca="false">(AY87+AY44+SUM(AY61:AY68)+AY45+SUM(AY71:AY74))-(AY38+AY39+AY40)</f>
        <v>3.575</v>
      </c>
      <c r="AZ89" s="384" t="n">
        <f aca="false">(AZ87+AZ44+SUM(AZ61:AZ68)+AZ45+SUM(AZ71:AZ74))-(AZ38+AZ39+AZ40)</f>
        <v>2.475</v>
      </c>
      <c r="BA89" s="384" t="n">
        <f aca="false">(BA87+BA44+SUM(BA61:BA68)+BA45+SUM(BA71:BA74))-(BA38+BA39+BA40)</f>
        <v>1.475</v>
      </c>
      <c r="BB89" s="384" t="n">
        <f aca="false">(BB87+BB44+SUM(BB61:BB68)+BB45+SUM(BB71:BB74))-(BB38+BB39+BB40)</f>
        <v>0.475000000000001</v>
      </c>
      <c r="BC89" s="384" t="n">
        <f aca="false">(BC87+BC44+SUM(BC61:BC68)+BC45+SUM(BC71:BC74))-(BC38+BC39+BC40)</f>
        <v>0.475000000000001</v>
      </c>
      <c r="BD89" s="384" t="n">
        <f aca="false">(BD87+BD44+SUM(BD61:BD68)+BD45+SUM(BD71:BD74))-(BD38+BD39+BD40)</f>
        <v>0.475000000000001</v>
      </c>
      <c r="BE89" s="384" t="n">
        <f aca="false">(BE87+BE44+SUM(BE61:BE68)+BE45+SUM(BE71:BE74))-(BE38+BE39+BE40)</f>
        <v>0.475000000000001</v>
      </c>
      <c r="BF89" s="384" t="n">
        <f aca="false">(BF87+BF44+SUM(BF61:BF68)+BF45+SUM(BF71:BF74))-(BF38+BF39+BF40)</f>
        <v>0.975000000000001</v>
      </c>
      <c r="BG89" s="384" t="n">
        <f aca="false">(BG87+BG44+SUM(BG61:BG68)+BG45+SUM(BG71:BG74))-(BG38+BG39+BG40)</f>
        <v>0.975000000000001</v>
      </c>
      <c r="BH89" s="384" t="n">
        <f aca="false">(BH87+BH44+SUM(BH61:BH68)+BH45+SUM(BH71:BH74))-(BH38+BH39+BH40)</f>
        <v>2.075</v>
      </c>
      <c r="BI89" s="384" t="n">
        <f aca="false">(BI87+BI44+SUM(BI61:BI68)+BI45+SUM(BI71:BI74))-(BI38+BI39+BI40)</f>
        <v>3.175</v>
      </c>
      <c r="BJ89" s="384" t="n">
        <f aca="false">(BJ87+BJ44+SUM(BJ61:BJ68)+BJ45+SUM(BJ71:BJ74))-(BJ38+BJ39+BJ40)</f>
        <v>5.65</v>
      </c>
      <c r="BK89" s="384" t="n">
        <f aca="false">(BK87+BK44+SUM(BK61:BK68)+BK45+SUM(BK71:BK74))-(BK38+BK39+BK40)</f>
        <v>5.975</v>
      </c>
      <c r="BL89" s="384" t="n">
        <f aca="false">(BL87+BL44+SUM(BL61:BL68)+BL45+SUM(BL71:BL74))-(BL38+BL39+BL40)</f>
        <v>6.2</v>
      </c>
      <c r="BM89" s="384" t="n">
        <f aca="false">(BM87+BM44+SUM(BM61:BM68)+BM45+SUM(BM71:BM74))-(BM38+BM39+BM40)</f>
        <v>5.2</v>
      </c>
      <c r="BN89" s="384" t="n">
        <f aca="false">(BN87+BN44+SUM(BN61:BN68)+BN45+SUM(BN71:BN74))-(BN38+BN39+BN40)</f>
        <v>5.2</v>
      </c>
      <c r="BO89" s="384" t="n">
        <f aca="false">(BO87+BO44+SUM(BO61:BO68)+BO45+SUM(BO71:BO74))-(BO38+BO39+BO40)</f>
        <v>4.3</v>
      </c>
      <c r="BP89" s="384" t="n">
        <f aca="false">(BP87+BP44+SUM(BP61:BP68)+BP45+SUM(BP71:BP74))-(BP38+BP39+BP40)</f>
        <v>4.625</v>
      </c>
      <c r="BQ89" s="384" t="n">
        <f aca="false">(BQ87+BQ44+SUM(BQ61:BQ68)+BQ45+SUM(BQ71:BQ74))-(BQ38+BQ39+BQ40)</f>
        <v>3.85</v>
      </c>
      <c r="BR89" s="384" t="n">
        <f aca="false">(BR87+BR44+SUM(BR61:BR68)+BR45+SUM(BR71:BR74))-(BR38+BR39+BR40)</f>
        <v>4.075</v>
      </c>
      <c r="BS89" s="384" t="n">
        <f aca="false">(BS87+BS44+SUM(BS61:BS68)+BS45+SUM(BS71:BS74))-(BS38+BS39+BS40)</f>
        <v>4.3</v>
      </c>
      <c r="BT89" s="384" t="n">
        <f aca="false">(BT87+BT44+SUM(BT61:BT68)+BT45+SUM(BT71:BT74))-(BT38+BT39+BT40)</f>
        <v>4.625</v>
      </c>
      <c r="BU89" s="384" t="n">
        <f aca="false">(BU87+BU44+SUM(BU61:BU68)+BU45+SUM(BU71:BU74))-(BU38+BU39+BU40)</f>
        <v>4.95</v>
      </c>
      <c r="BV89" s="384" t="n">
        <f aca="false">(BV87+BV44+SUM(BV61:BV68)+BV45+SUM(BV71:BV74))-(BV38+BV39+BV40)</f>
        <v>6.275</v>
      </c>
      <c r="BW89" s="384" t="n">
        <f aca="false">(BW87+BW44+SUM(BW61:BW68)+BW45+SUM(BW71:BW74))-(BW38+BW39+BW40)</f>
        <v>7.6</v>
      </c>
      <c r="BX89" s="384" t="n">
        <f aca="false">(BX87+BX44+SUM(BX61:BX68)+BX45+SUM(BX71:BX74))-(BX38+BX39+BX40)</f>
        <v>8.7</v>
      </c>
      <c r="BY89" s="384" t="n">
        <f aca="false">(BY87+BY44+SUM(BY61:BY68)+BY45+SUM(BY71:BY74))-(BY38+BY39+BY40)</f>
        <v>9.8</v>
      </c>
      <c r="BZ89" s="384" t="n">
        <f aca="false">(BZ87+BZ44+SUM(BZ61:BZ68)+BZ45+SUM(BZ71:BZ74))-(BZ38+BZ39+BZ40)</f>
        <v>10.9</v>
      </c>
      <c r="CA89" s="384" t="n">
        <f aca="false">(CA87+CA44+SUM(CA61:CA68)+CA45+SUM(CA71:CA74))-(CA38+CA39+CA40)</f>
        <v>12</v>
      </c>
      <c r="CB89" s="384" t="n">
        <f aca="false">(CB87+CB44+SUM(CB61:CB68)+CB45+SUM(CB71:CB74))-(CB38+CB39+CB40)</f>
        <v>12</v>
      </c>
      <c r="CC89" s="384" t="n">
        <f aca="false">(CC87+CC44+SUM(CC61:CC68)+CC45+SUM(CC71:CC74))-(CC38+CC39+CC40)</f>
        <v>12</v>
      </c>
      <c r="CD89" s="384" t="n">
        <f aca="false">(CD87+CD44+SUM(CD61:CD68)+CD45+SUM(CD71:CD74))-(CD38+CD39+CD40)</f>
        <v>12</v>
      </c>
      <c r="CE89" s="384" t="n">
        <f aca="false">(CE87+CE44+SUM(CE61:CE68)+CE45+SUM(CE71:CE74))-(CE38+CE39+CE40)</f>
        <v>12</v>
      </c>
      <c r="CF89" s="384" t="n">
        <f aca="false">(CF87+CF44+SUM(CF61:CF68)+CF45+SUM(CF71:CF74))-(CF38+CF39+CF40)</f>
        <v>12</v>
      </c>
      <c r="CG89" s="384" t="n">
        <f aca="false">(CG87+CG44+SUM(CG61:CG68)+CG45+SUM(CG71:CG74))-(CG38+CG39+CG40)</f>
        <v>12</v>
      </c>
      <c r="CH89" s="384" t="n">
        <f aca="false">(CH87+CH44+SUM(CH61:CH68)+CH45+SUM(CH71:CH74))-(CH38+CH39+CH40)</f>
        <v>12</v>
      </c>
      <c r="CI89" s="384" t="n">
        <f aca="false">(CI87+CI44+SUM(CI61:CI68)+CI45+SUM(CI71:CI74))-(CI38+CI39+CI40)</f>
        <v>12</v>
      </c>
      <c r="CJ89" s="384" t="n">
        <f aca="false">(CJ87+CJ44+SUM(CJ61:CJ68)+CJ45+SUM(CJ71:CJ74))-(CJ38+CJ39+CJ40)</f>
        <v>12</v>
      </c>
      <c r="CK89" s="384" t="n">
        <f aca="false">(CK87+CK44+SUM(CK61:CK68)+CK45+SUM(CK71:CK74))-(CK38+CK39+CK40)</f>
        <v>12</v>
      </c>
      <c r="CL89" s="384" t="n">
        <f aca="false">(CL87+CL44+SUM(CL61:CL68)+CL45+SUM(CL71:CL74))-(CL38+CL39+CL40)</f>
        <v>12</v>
      </c>
      <c r="CM89" s="384" t="n">
        <f aca="false">(CM87+CM44+SUM(CM61:CM68)+CM45+SUM(CM71:CM74))-(CM38+CM39+CM40)</f>
        <v>12</v>
      </c>
      <c r="CN89" s="384" t="n">
        <f aca="false">(CN87+CN44+SUM(CN61:CN68)+CN45+SUM(CN71:CN74))-(CN38+CN39+CN40)</f>
        <v>12</v>
      </c>
      <c r="CO89" s="384" t="n">
        <f aca="false">(CO87+CO44+SUM(CO61:CO68)+CO45+SUM(CO71:CO74))-(CO38+CO39+CO40)</f>
        <v>12</v>
      </c>
      <c r="CP89" s="384" t="n">
        <f aca="false">(CP87+CP44+SUM(CP61:CP68)+CP45+SUM(CP71:CP74))-(CP38+CP39+CP40)</f>
        <v>12</v>
      </c>
      <c r="CQ89" s="384" t="n">
        <f aca="false">(CQ87+CQ44+SUM(CQ61:CQ68)+CQ45+SUM(CQ71:CQ74))-(CQ38+CQ39+CQ40)</f>
        <v>12</v>
      </c>
      <c r="CR89" s="384" t="n">
        <f aca="false">(CR87+CR44+SUM(CR61:CR68)+CR45+SUM(CR71:CR74))-(CR38+CR39+CR40)</f>
        <v>12</v>
      </c>
      <c r="CS89" s="384" t="n">
        <f aca="false">(CS87+CS44+SUM(CS61:CS68)+CS45+SUM(CS71:CS74))-(CS38+CS39+CS40)</f>
        <v>12</v>
      </c>
      <c r="CT89" s="384" t="n">
        <f aca="false">(CT87+CT44+SUM(CT61:CT68)+CT45+SUM(CT71:CT74))-(CT38+CT39+CT40)</f>
        <v>12</v>
      </c>
      <c r="CU89" s="384" t="n">
        <f aca="false">(CU87+CU44+SUM(CU61:CU68)+CU45+SUM(CU71:CU74))-(CU38+CU39+CU40)</f>
        <v>12</v>
      </c>
      <c r="CV89" s="384" t="n">
        <f aca="false">(CV87+CV44+SUM(CV61:CV68)+CV45+SUM(CV71:CV74))-(CV38+CV39+CV40)</f>
        <v>12</v>
      </c>
      <c r="CW89" s="384" t="n">
        <f aca="false">(CW87+CW44+SUM(CW61:CW68)+CW45+SUM(CW71:CW74))-(CW38+CW39+CW40)</f>
        <v>12</v>
      </c>
      <c r="CX89" s="384" t="n">
        <f aca="false">(CX87+CX44+SUM(CX61:CX68)+CX45+SUM(CX71:CX74))-(CX38+CX39+CX40)</f>
        <v>12</v>
      </c>
      <c r="CY89" s="384" t="n">
        <f aca="false">(CY87+CY44+SUM(CY61:CY68)+CY45+SUM(CY71:CY74))-(CY38+CY39+CY40)</f>
        <v>12</v>
      </c>
      <c r="CZ89" s="384" t="n">
        <f aca="false">(CZ87+CZ44+SUM(CZ61:CZ68)+CZ45+SUM(CZ71:CZ74))-(CZ38+CZ39+CZ40)</f>
        <v>12</v>
      </c>
      <c r="DA89" s="384" t="n">
        <f aca="false">(DA87+DA44+SUM(DA61:DA68)+DA45+SUM(DA71:DA74))-(DA38+DA39+DA40)</f>
        <v>12</v>
      </c>
      <c r="DB89" s="384" t="n">
        <f aca="false">(DB87+DB44+SUM(DB61:DB68)+DB45+SUM(DB71:DB74))-(DB38+DB39+DB40)</f>
        <v>12</v>
      </c>
      <c r="DC89" s="384" t="n">
        <f aca="false">(DC87+DC44+SUM(DC61:DC68)+DC45+SUM(DC71:DC74))-(DC38+DC39+DC40)</f>
        <v>12</v>
      </c>
      <c r="DD89" s="384" t="n">
        <f aca="false">(DD87+DD44+SUM(DD61:DD68)+DD45+SUM(DD71:DD74))-(DD38+DD39+DD40)</f>
        <v>12</v>
      </c>
      <c r="DE89" s="384" t="n">
        <f aca="false">(DE87+DE44+SUM(DE61:DE68)+DE45+SUM(DE71:DE74))-(DE38+DE39+DE40)</f>
        <v>12</v>
      </c>
    </row>
    <row r="91" customFormat="false" ht="13.5" hidden="false" customHeight="true" outlineLevel="0" collapsed="false">
      <c r="A91" s="211" t="s">
        <v>1415</v>
      </c>
      <c r="B91" s="212"/>
    </row>
    <row r="92" customFormat="false" ht="13.5" hidden="false" customHeight="true" outlineLevel="0" collapsed="false">
      <c r="A92" s="110" t="s">
        <v>1416</v>
      </c>
      <c r="B92" s="381" t="n">
        <v>1</v>
      </c>
    </row>
    <row r="93" customFormat="false" ht="13.5" hidden="false" customHeight="true" outlineLevel="0" collapsed="false">
      <c r="A93" s="110" t="s">
        <v>1417</v>
      </c>
      <c r="B93" s="381" t="n">
        <v>0.5</v>
      </c>
    </row>
    <row r="94" customFormat="false" ht="13.5" hidden="false" customHeight="true" outlineLevel="0" collapsed="false">
      <c r="A94" s="110" t="s">
        <v>1418</v>
      </c>
      <c r="B94" s="381" t="n">
        <v>0.33</v>
      </c>
    </row>
    <row r="96" customFormat="false" ht="13.5" hidden="false" customHeight="true" outlineLevel="0" collapsed="false">
      <c r="A96" s="1" t="s">
        <v>1419</v>
      </c>
      <c r="E96" s="1" t="n">
        <f aca="false">SUMPRODUCT((Projects!$G$2:$G$45="Yes")*(1&gt;=Projects!$C$2:$C$45-$B$15)*(1&lt;=Projects!$W$2:$W$45+$B$17)*((Projects!$B$2:$B$45&gt;=$B$12)*$B$92+(Projects!$B$2:$B$45&lt;$B$12)*(Projects!$B$2:$B$45&gt;=$B$13)*$B$93+(Projects!$B$2:$B$45&lt;$B$13)*$B$94))</f>
        <v>2.16</v>
      </c>
      <c r="F96" s="1" t="n">
        <f aca="false">SUMPRODUCT((Projects!$G$2:$G$45="Yes")*(2&gt;=Projects!$C$2:$C$45-$B$15)*(2&lt;=Projects!$W$2:$W$45+$B$17)*((Projects!$B$2:$B$45&gt;=$B$12)*$B$92+(Projects!$B$2:$B$45&lt;$B$12)*(Projects!$B$2:$B$45&gt;=$B$13)*$B$93+(Projects!$B$2:$B$45&lt;$B$13)*$B$94))</f>
        <v>2.16</v>
      </c>
      <c r="G96" s="1" t="n">
        <f aca="false">SUMPRODUCT((Projects!$G$2:$G$45="Yes")*(3&gt;=Projects!$C$2:$C$45-$B$15)*(3&lt;=Projects!$W$2:$W$45+$B$17)*((Projects!$B$2:$B$45&gt;=$B$12)*$B$92+(Projects!$B$2:$B$45&lt;$B$12)*(Projects!$B$2:$B$45&gt;=$B$13)*$B$93+(Projects!$B$2:$B$45&lt;$B$13)*$B$94))</f>
        <v>2.16</v>
      </c>
      <c r="H96" s="1" t="n">
        <f aca="false">SUMPRODUCT((Projects!$G$2:$G$45="Yes")*(4&gt;=Projects!$C$2:$C$45-$B$15)*(4&lt;=Projects!$W$2:$W$45+$B$17)*((Projects!$B$2:$B$45&gt;=$B$12)*$B$92+(Projects!$B$2:$B$45&lt;$B$12)*(Projects!$B$2:$B$45&gt;=$B$13)*$B$93+(Projects!$B$2:$B$45&lt;$B$13)*$B$94))</f>
        <v>2.16</v>
      </c>
      <c r="I96" s="1" t="n">
        <f aca="false">SUMPRODUCT((Projects!$G$2:$G$45="Yes")*(5&gt;=Projects!$C$2:$C$45-$B$15)*(5&lt;=Projects!$W$2:$W$45+$B$17)*((Projects!$B$2:$B$45&gt;=$B$12)*$B$92+(Projects!$B$2:$B$45&lt;$B$12)*(Projects!$B$2:$B$45&gt;=$B$13)*$B$93+(Projects!$B$2:$B$45&lt;$B$13)*$B$94))</f>
        <v>3.66</v>
      </c>
      <c r="J96" s="1" t="n">
        <f aca="false">SUMPRODUCT((Projects!$G$2:$G$45="Yes")*(6&gt;=Projects!$C$2:$C$45-$B$15)*(6&lt;=Projects!$W$2:$W$45+$B$17)*((Projects!$B$2:$B$45&gt;=$B$12)*$B$92+(Projects!$B$2:$B$45&lt;$B$12)*(Projects!$B$2:$B$45&gt;=$B$13)*$B$93+(Projects!$B$2:$B$45&lt;$B$13)*$B$94))</f>
        <v>4.16</v>
      </c>
      <c r="K96" s="1" t="n">
        <f aca="false">SUMPRODUCT((Projects!$G$2:$G$45="Yes")*(7&gt;=Projects!$C$2:$C$45-$B$15)*(7&lt;=Projects!$W$2:$W$45+$B$17)*((Projects!$B$2:$B$45&gt;=$B$12)*$B$92+(Projects!$B$2:$B$45&lt;$B$12)*(Projects!$B$2:$B$45&gt;=$B$13)*$B$93+(Projects!$B$2:$B$45&lt;$B$13)*$B$94))</f>
        <v>4.16</v>
      </c>
      <c r="L96" s="1" t="n">
        <f aca="false">SUMPRODUCT((Projects!$G$2:$G$45="Yes")*(8&gt;=Projects!$C$2:$C$45-$B$15)*(8&lt;=Projects!$W$2:$W$45+$B$17)*((Projects!$B$2:$B$45&gt;=$B$12)*$B$92+(Projects!$B$2:$B$45&lt;$B$12)*(Projects!$B$2:$B$45&gt;=$B$13)*$B$93+(Projects!$B$2:$B$45&lt;$B$13)*$B$94))</f>
        <v>4.16</v>
      </c>
      <c r="M96" s="1" t="n">
        <f aca="false">SUMPRODUCT((Projects!$G$2:$G$45="Yes")*(9&gt;=Projects!$C$2:$C$45-$B$15)*(9&lt;=Projects!$W$2:$W$45+$B$17)*((Projects!$B$2:$B$45&gt;=$B$12)*$B$92+(Projects!$B$2:$B$45&lt;$B$12)*(Projects!$B$2:$B$45&gt;=$B$13)*$B$93+(Projects!$B$2:$B$45&lt;$B$13)*$B$94))</f>
        <v>4.66</v>
      </c>
      <c r="N96" s="1" t="n">
        <f aca="false">SUMPRODUCT((Projects!$G$2:$G$45="Yes")*(10&gt;=Projects!$C$2:$C$45-$B$15)*(10&lt;=Projects!$W$2:$W$45+$B$17)*((Projects!$B$2:$B$45&gt;=$B$12)*$B$92+(Projects!$B$2:$B$45&lt;$B$12)*(Projects!$B$2:$B$45&gt;=$B$13)*$B$93+(Projects!$B$2:$B$45&lt;$B$13)*$B$94))</f>
        <v>5.16</v>
      </c>
      <c r="O96" s="1" t="n">
        <f aca="false">SUMPRODUCT((Projects!$G$2:$G$45="Yes")*(11&gt;=Projects!$C$2:$C$45-$B$15)*(11&lt;=Projects!$W$2:$W$45+$B$17)*((Projects!$B$2:$B$45&gt;=$B$12)*$B$92+(Projects!$B$2:$B$45&lt;$B$12)*(Projects!$B$2:$B$45&gt;=$B$13)*$B$93+(Projects!$B$2:$B$45&lt;$B$13)*$B$94))</f>
        <v>5.49</v>
      </c>
      <c r="P96" s="1" t="n">
        <f aca="false">SUMPRODUCT((Projects!$G$2:$G$45="Yes")*(12&gt;=Projects!$C$2:$C$45-$B$15)*(12&lt;=Projects!$W$2:$W$45+$B$17)*((Projects!$B$2:$B$45&gt;=$B$12)*$B$92+(Projects!$B$2:$B$45&lt;$B$12)*(Projects!$B$2:$B$45&gt;=$B$13)*$B$93+(Projects!$B$2:$B$45&lt;$B$13)*$B$94))</f>
        <v>5.49</v>
      </c>
      <c r="Q96" s="1" t="n">
        <f aca="false">SUMPRODUCT((Projects!$G$2:$G$45="Yes")*(13&gt;=Projects!$C$2:$C$45-$B$15)*(13&lt;=Projects!$W$2:$W$45+$B$17)*((Projects!$B$2:$B$45&gt;=$B$12)*$B$92+(Projects!$B$2:$B$45&lt;$B$12)*(Projects!$B$2:$B$45&gt;=$B$13)*$B$93+(Projects!$B$2:$B$45&lt;$B$13)*$B$94))</f>
        <v>6.49</v>
      </c>
      <c r="R96" s="1" t="n">
        <f aca="false">SUMPRODUCT((Projects!$G$2:$G$45="Yes")*(14&gt;=Projects!$C$2:$C$45-$B$15)*(14&lt;=Projects!$W$2:$W$45+$B$17)*((Projects!$B$2:$B$45&gt;=$B$12)*$B$92+(Projects!$B$2:$B$45&lt;$B$12)*(Projects!$B$2:$B$45&gt;=$B$13)*$B$93+(Projects!$B$2:$B$45&lt;$B$13)*$B$94))</f>
        <v>6.99</v>
      </c>
      <c r="S96" s="1" t="n">
        <f aca="false">SUMPRODUCT((Projects!$G$2:$G$45="Yes")*(15&gt;=Projects!$C$2:$C$45-$B$15)*(15&lt;=Projects!$W$2:$W$45+$B$17)*((Projects!$B$2:$B$45&gt;=$B$12)*$B$92+(Projects!$B$2:$B$45&lt;$B$12)*(Projects!$B$2:$B$45&gt;=$B$13)*$B$93+(Projects!$B$2:$B$45&lt;$B$13)*$B$94))</f>
        <v>7.49</v>
      </c>
      <c r="T96" s="1" t="n">
        <f aca="false">SUMPRODUCT((Projects!$G$2:$G$45="Yes")*(16&gt;=Projects!$C$2:$C$45-$B$15)*(16&lt;=Projects!$W$2:$W$45+$B$17)*((Projects!$B$2:$B$45&gt;=$B$12)*$B$92+(Projects!$B$2:$B$45&lt;$B$12)*(Projects!$B$2:$B$45&gt;=$B$13)*$B$93+(Projects!$B$2:$B$45&lt;$B$13)*$B$94))</f>
        <v>7.99</v>
      </c>
      <c r="U96" s="1" t="n">
        <f aca="false">SUMPRODUCT((Projects!$G$2:$G$45="Yes")*(17&gt;=Projects!$C$2:$C$45-$B$15)*(17&lt;=Projects!$W$2:$W$45+$B$17)*((Projects!$B$2:$B$45&gt;=$B$12)*$B$92+(Projects!$B$2:$B$45&lt;$B$12)*(Projects!$B$2:$B$45&gt;=$B$13)*$B$93+(Projects!$B$2:$B$45&lt;$B$13)*$B$94))</f>
        <v>7.66</v>
      </c>
      <c r="V96" s="1" t="n">
        <f aca="false">SUMPRODUCT((Projects!$G$2:$G$45="Yes")*(18&gt;=Projects!$C$2:$C$45-$B$15)*(18&lt;=Projects!$W$2:$W$45+$B$17)*((Projects!$B$2:$B$45&gt;=$B$12)*$B$92+(Projects!$B$2:$B$45&lt;$B$12)*(Projects!$B$2:$B$45&gt;=$B$13)*$B$93+(Projects!$B$2:$B$45&lt;$B$13)*$B$94))</f>
        <v>7.66</v>
      </c>
      <c r="W96" s="1" t="n">
        <f aca="false">SUMPRODUCT((Projects!$G$2:$G$45="Yes")*(19&gt;=Projects!$C$2:$C$45-$B$15)*(19&lt;=Projects!$W$2:$W$45+$B$17)*((Projects!$B$2:$B$45&gt;=$B$12)*$B$92+(Projects!$B$2:$B$45&lt;$B$12)*(Projects!$B$2:$B$45&gt;=$B$13)*$B$93+(Projects!$B$2:$B$45&lt;$B$13)*$B$94))</f>
        <v>7.16</v>
      </c>
      <c r="X96" s="1" t="n">
        <f aca="false">SUMPRODUCT((Projects!$G$2:$G$45="Yes")*(20&gt;=Projects!$C$2:$C$45-$B$15)*(20&lt;=Projects!$W$2:$W$45+$B$17)*((Projects!$B$2:$B$45&gt;=$B$12)*$B$92+(Projects!$B$2:$B$45&lt;$B$12)*(Projects!$B$2:$B$45&gt;=$B$13)*$B$93+(Projects!$B$2:$B$45&lt;$B$13)*$B$94))</f>
        <v>7.66</v>
      </c>
      <c r="Y96" s="1" t="n">
        <f aca="false">SUMPRODUCT((Projects!$G$2:$G$45="Yes")*(21&gt;=Projects!$C$2:$C$45-$B$15)*(21&lt;=Projects!$W$2:$W$45+$B$17)*((Projects!$B$2:$B$45&gt;=$B$12)*$B$92+(Projects!$B$2:$B$45&lt;$B$12)*(Projects!$B$2:$B$45&gt;=$B$13)*$B$93+(Projects!$B$2:$B$45&lt;$B$13)*$B$94))</f>
        <v>7.16</v>
      </c>
      <c r="Z96" s="1" t="n">
        <f aca="false">SUMPRODUCT((Projects!$G$2:$G$45="Yes")*(22&gt;=Projects!$C$2:$C$45-$B$15)*(22&lt;=Projects!$W$2:$W$45+$B$17)*((Projects!$B$2:$B$45&gt;=$B$12)*$B$92+(Projects!$B$2:$B$45&lt;$B$12)*(Projects!$B$2:$B$45&gt;=$B$13)*$B$93+(Projects!$B$2:$B$45&lt;$B$13)*$B$94))</f>
        <v>7.16</v>
      </c>
      <c r="AA96" s="1" t="n">
        <f aca="false">SUMPRODUCT((Projects!$G$2:$G$45="Yes")*(23&gt;=Projects!$C$2:$C$45-$B$15)*(23&lt;=Projects!$W$2:$W$45+$B$17)*((Projects!$B$2:$B$45&gt;=$B$12)*$B$92+(Projects!$B$2:$B$45&lt;$B$12)*(Projects!$B$2:$B$45&gt;=$B$13)*$B$93+(Projects!$B$2:$B$45&lt;$B$13)*$B$94))</f>
        <v>7.16</v>
      </c>
      <c r="AB96" s="1" t="n">
        <f aca="false">SUMPRODUCT((Projects!$G$2:$G$45="Yes")*(24&gt;=Projects!$C$2:$C$45-$B$15)*(24&lt;=Projects!$W$2:$W$45+$B$17)*((Projects!$B$2:$B$45&gt;=$B$12)*$B$92+(Projects!$B$2:$B$45&lt;$B$12)*(Projects!$B$2:$B$45&gt;=$B$13)*$B$93+(Projects!$B$2:$B$45&lt;$B$13)*$B$94))</f>
        <v>7.66</v>
      </c>
      <c r="AC96" s="1" t="n">
        <f aca="false">SUMPRODUCT((Projects!$G$2:$G$45="Yes")*(25&gt;=Projects!$C$2:$C$45-$B$15)*(25&lt;=Projects!$W$2:$W$45+$B$17)*((Projects!$B$2:$B$45&gt;=$B$12)*$B$92+(Projects!$B$2:$B$45&lt;$B$12)*(Projects!$B$2:$B$45&gt;=$B$13)*$B$93+(Projects!$B$2:$B$45&lt;$B$13)*$B$94))</f>
        <v>7.16</v>
      </c>
      <c r="AD96" s="1" t="n">
        <f aca="false">SUMPRODUCT((Projects!$G$2:$G$45="Yes")*(26&gt;=Projects!$C$2:$C$45-$B$15)*(26&lt;=Projects!$W$2:$W$45+$B$17)*((Projects!$B$2:$B$45&gt;=$B$12)*$B$92+(Projects!$B$2:$B$45&lt;$B$12)*(Projects!$B$2:$B$45&gt;=$B$13)*$B$93+(Projects!$B$2:$B$45&lt;$B$13)*$B$94))</f>
        <v>6.66</v>
      </c>
      <c r="AE96" s="1" t="n">
        <f aca="false">SUMPRODUCT((Projects!$G$2:$G$45="Yes")*(27&gt;=Projects!$C$2:$C$45-$B$15)*(27&lt;=Projects!$W$2:$W$45+$B$17)*((Projects!$B$2:$B$45&gt;=$B$12)*$B$92+(Projects!$B$2:$B$45&lt;$B$12)*(Projects!$B$2:$B$45&gt;=$B$13)*$B$93+(Projects!$B$2:$B$45&lt;$B$13)*$B$94))</f>
        <v>7.66</v>
      </c>
      <c r="AF96" s="1" t="n">
        <f aca="false">SUMPRODUCT((Projects!$G$2:$G$45="Yes")*(28&gt;=Projects!$C$2:$C$45-$B$15)*(28&lt;=Projects!$W$2:$W$45+$B$17)*((Projects!$B$2:$B$45&gt;=$B$12)*$B$92+(Projects!$B$2:$B$45&lt;$B$12)*(Projects!$B$2:$B$45&gt;=$B$13)*$B$93+(Projects!$B$2:$B$45&lt;$B$13)*$B$94))</f>
        <v>7.66</v>
      </c>
      <c r="AG96" s="1" t="n">
        <f aca="false">SUMPRODUCT((Projects!$G$2:$G$45="Yes")*(29&gt;=Projects!$C$2:$C$45-$B$15)*(29&lt;=Projects!$W$2:$W$45+$B$17)*((Projects!$B$2:$B$45&gt;=$B$12)*$B$92+(Projects!$B$2:$B$45&lt;$B$12)*(Projects!$B$2:$B$45&gt;=$B$13)*$B$93+(Projects!$B$2:$B$45&lt;$B$13)*$B$94))</f>
        <v>8.16</v>
      </c>
      <c r="AH96" s="1" t="n">
        <f aca="false">SUMPRODUCT((Projects!$G$2:$G$45="Yes")*(30&gt;=Projects!$C$2:$C$45-$B$15)*(30&lt;=Projects!$W$2:$W$45+$B$17)*((Projects!$B$2:$B$45&gt;=$B$12)*$B$92+(Projects!$B$2:$B$45&lt;$B$12)*(Projects!$B$2:$B$45&gt;=$B$13)*$B$93+(Projects!$B$2:$B$45&lt;$B$13)*$B$94))</f>
        <v>7.83</v>
      </c>
      <c r="AI96" s="1" t="n">
        <f aca="false">SUMPRODUCT((Projects!$G$2:$G$45="Yes")*(31&gt;=Projects!$C$2:$C$45-$B$15)*(31&lt;=Projects!$W$2:$W$45+$B$17)*((Projects!$B$2:$B$45&gt;=$B$12)*$B$92+(Projects!$B$2:$B$45&lt;$B$12)*(Projects!$B$2:$B$45&gt;=$B$13)*$B$93+(Projects!$B$2:$B$45&lt;$B$13)*$B$94))</f>
        <v>8</v>
      </c>
      <c r="AJ96" s="1" t="n">
        <f aca="false">SUMPRODUCT((Projects!$G$2:$G$45="Yes")*(32&gt;=Projects!$C$2:$C$45-$B$15)*(32&lt;=Projects!$W$2:$W$45+$B$17)*((Projects!$B$2:$B$45&gt;=$B$12)*$B$92+(Projects!$B$2:$B$45&lt;$B$12)*(Projects!$B$2:$B$45&gt;=$B$13)*$B$93+(Projects!$B$2:$B$45&lt;$B$13)*$B$94))</f>
        <v>8.5</v>
      </c>
      <c r="AK96" s="1" t="n">
        <f aca="false">SUMPRODUCT((Projects!$G$2:$G$45="Yes")*(33&gt;=Projects!$C$2:$C$45-$B$15)*(33&lt;=Projects!$W$2:$W$45+$B$17)*((Projects!$B$2:$B$45&gt;=$B$12)*$B$92+(Projects!$B$2:$B$45&lt;$B$12)*(Projects!$B$2:$B$45&gt;=$B$13)*$B$93+(Projects!$B$2:$B$45&lt;$B$13)*$B$94))</f>
        <v>9</v>
      </c>
      <c r="AL96" s="1" t="n">
        <f aca="false">SUMPRODUCT((Projects!$G$2:$G$45="Yes")*(34&gt;=Projects!$C$2:$C$45-$B$15)*(34&lt;=Projects!$W$2:$W$45+$B$17)*((Projects!$B$2:$B$45&gt;=$B$12)*$B$92+(Projects!$B$2:$B$45&lt;$B$12)*(Projects!$B$2:$B$45&gt;=$B$13)*$B$93+(Projects!$B$2:$B$45&lt;$B$13)*$B$94))</f>
        <v>8.5</v>
      </c>
      <c r="AM96" s="1" t="n">
        <f aca="false">SUMPRODUCT((Projects!$G$2:$G$45="Yes")*(35&gt;=Projects!$C$2:$C$45-$B$15)*(35&lt;=Projects!$W$2:$W$45+$B$17)*((Projects!$B$2:$B$45&gt;=$B$12)*$B$92+(Projects!$B$2:$B$45&lt;$B$12)*(Projects!$B$2:$B$45&gt;=$B$13)*$B$93+(Projects!$B$2:$B$45&lt;$B$13)*$B$94))</f>
        <v>8.5</v>
      </c>
      <c r="AN96" s="1" t="n">
        <f aca="false">SUMPRODUCT((Projects!$G$2:$G$45="Yes")*(36&gt;=Projects!$C$2:$C$45-$B$15)*(36&lt;=Projects!$W$2:$W$45+$B$17)*((Projects!$B$2:$B$45&gt;=$B$12)*$B$92+(Projects!$B$2:$B$45&lt;$B$12)*(Projects!$B$2:$B$45&gt;=$B$13)*$B$93+(Projects!$B$2:$B$45&lt;$B$13)*$B$94))</f>
        <v>8.5</v>
      </c>
      <c r="AO96" s="1" t="n">
        <f aca="false">SUMPRODUCT((Projects!$G$2:$G$45="Yes")*(37&gt;=Projects!$C$2:$C$45-$B$15)*(37&lt;=Projects!$W$2:$W$45+$B$17)*((Projects!$B$2:$B$45&gt;=$B$12)*$B$92+(Projects!$B$2:$B$45&lt;$B$12)*(Projects!$B$2:$B$45&gt;=$B$13)*$B$93+(Projects!$B$2:$B$45&lt;$B$13)*$B$94))</f>
        <v>9</v>
      </c>
      <c r="AP96" s="1" t="n">
        <f aca="false">SUMPRODUCT((Projects!$G$2:$G$45="Yes")*(38&gt;=Projects!$C$2:$C$45-$B$15)*(38&lt;=Projects!$W$2:$W$45+$B$17)*((Projects!$B$2:$B$45&gt;=$B$12)*$B$92+(Projects!$B$2:$B$45&lt;$B$12)*(Projects!$B$2:$B$45&gt;=$B$13)*$B$93+(Projects!$B$2:$B$45&lt;$B$13)*$B$94))</f>
        <v>8.5</v>
      </c>
      <c r="AQ96" s="1" t="n">
        <f aca="false">SUMPRODUCT((Projects!$G$2:$G$45="Yes")*(39&gt;=Projects!$C$2:$C$45-$B$15)*(39&lt;=Projects!$W$2:$W$45+$B$17)*((Projects!$B$2:$B$45&gt;=$B$12)*$B$92+(Projects!$B$2:$B$45&lt;$B$12)*(Projects!$B$2:$B$45&gt;=$B$13)*$B$93+(Projects!$B$2:$B$45&lt;$B$13)*$B$94))</f>
        <v>9</v>
      </c>
      <c r="AR96" s="1" t="n">
        <f aca="false">SUMPRODUCT((Projects!$G$2:$G$45="Yes")*(40&gt;=Projects!$C$2:$C$45-$B$15)*(40&lt;=Projects!$W$2:$W$45+$B$17)*((Projects!$B$2:$B$45&gt;=$B$12)*$B$92+(Projects!$B$2:$B$45&lt;$B$12)*(Projects!$B$2:$B$45&gt;=$B$13)*$B$93+(Projects!$B$2:$B$45&lt;$B$13)*$B$94))</f>
        <v>9</v>
      </c>
      <c r="AS96" s="1" t="n">
        <f aca="false">SUMPRODUCT((Projects!$G$2:$G$45="Yes")*(41&gt;=Projects!$C$2:$C$45-$B$15)*(41&lt;=Projects!$W$2:$W$45+$B$17)*((Projects!$B$2:$B$45&gt;=$B$12)*$B$92+(Projects!$B$2:$B$45&lt;$B$12)*(Projects!$B$2:$B$45&gt;=$B$13)*$B$93+(Projects!$B$2:$B$45&lt;$B$13)*$B$94))</f>
        <v>9</v>
      </c>
      <c r="AT96" s="1" t="n">
        <f aca="false">SUMPRODUCT((Projects!$G$2:$G$45="Yes")*(42&gt;=Projects!$C$2:$C$45-$B$15)*(42&lt;=Projects!$W$2:$W$45+$B$17)*((Projects!$B$2:$B$45&gt;=$B$12)*$B$92+(Projects!$B$2:$B$45&lt;$B$12)*(Projects!$B$2:$B$45&gt;=$B$13)*$B$93+(Projects!$B$2:$B$45&lt;$B$13)*$B$94))</f>
        <v>9</v>
      </c>
      <c r="AU96" s="1" t="n">
        <f aca="false">SUMPRODUCT((Projects!$G$2:$G$45="Yes")*(43&gt;=Projects!$C$2:$C$45-$B$15)*(43&lt;=Projects!$W$2:$W$45+$B$17)*((Projects!$B$2:$B$45&gt;=$B$12)*$B$92+(Projects!$B$2:$B$45&lt;$B$12)*(Projects!$B$2:$B$45&gt;=$B$13)*$B$93+(Projects!$B$2:$B$45&lt;$B$13)*$B$94))</f>
        <v>9.5</v>
      </c>
      <c r="AV96" s="1" t="n">
        <f aca="false">SUMPRODUCT((Projects!$G$2:$G$45="Yes")*(44&gt;=Projects!$C$2:$C$45-$B$15)*(44&lt;=Projects!$W$2:$W$45+$B$17)*((Projects!$B$2:$B$45&gt;=$B$12)*$B$92+(Projects!$B$2:$B$45&lt;$B$12)*(Projects!$B$2:$B$45&gt;=$B$13)*$B$93+(Projects!$B$2:$B$45&lt;$B$13)*$B$94))</f>
        <v>8.5</v>
      </c>
      <c r="AW96" s="1" t="n">
        <f aca="false">SUMPRODUCT((Projects!$G$2:$G$45="Yes")*(45&gt;=Projects!$C$2:$C$45-$B$15)*(45&lt;=Projects!$W$2:$W$45+$B$17)*((Projects!$B$2:$B$45&gt;=$B$12)*$B$92+(Projects!$B$2:$B$45&lt;$B$12)*(Projects!$B$2:$B$45&gt;=$B$13)*$B$93+(Projects!$B$2:$B$45&lt;$B$13)*$B$94))</f>
        <v>7.5</v>
      </c>
      <c r="AX96" s="1" t="n">
        <f aca="false">SUMPRODUCT((Projects!$G$2:$G$45="Yes")*(46&gt;=Projects!$C$2:$C$45-$B$15)*(46&lt;=Projects!$W$2:$W$45+$B$17)*((Projects!$B$2:$B$45&gt;=$B$12)*$B$92+(Projects!$B$2:$B$45&lt;$B$12)*(Projects!$B$2:$B$45&gt;=$B$13)*$B$93+(Projects!$B$2:$B$45&lt;$B$13)*$B$94))</f>
        <v>7.5</v>
      </c>
      <c r="AY96" s="1" t="n">
        <f aca="false">SUMPRODUCT((Projects!$G$2:$G$45="Yes")*(47&gt;=Projects!$C$2:$C$45-$B$15)*(47&lt;=Projects!$W$2:$W$45+$B$17)*((Projects!$B$2:$B$45&gt;=$B$12)*$B$92+(Projects!$B$2:$B$45&lt;$B$12)*(Projects!$B$2:$B$45&gt;=$B$13)*$B$93+(Projects!$B$2:$B$45&lt;$B$13)*$B$94))</f>
        <v>7.5</v>
      </c>
      <c r="AZ96" s="1" t="n">
        <f aca="false">SUMPRODUCT((Projects!$G$2:$G$45="Yes")*(48&gt;=Projects!$C$2:$C$45-$B$15)*(48&lt;=Projects!$W$2:$W$45+$B$17)*((Projects!$B$2:$B$45&gt;=$B$12)*$B$92+(Projects!$B$2:$B$45&lt;$B$12)*(Projects!$B$2:$B$45&gt;=$B$13)*$B$93+(Projects!$B$2:$B$45&lt;$B$13)*$B$94))</f>
        <v>8</v>
      </c>
      <c r="BA96" s="1" t="n">
        <f aca="false">SUMPRODUCT((Projects!$G$2:$G$45="Yes")*(49&gt;=Projects!$C$2:$C$45-$B$15)*(49&lt;=Projects!$W$2:$W$45+$B$17)*((Projects!$B$2:$B$45&gt;=$B$12)*$B$92+(Projects!$B$2:$B$45&lt;$B$12)*(Projects!$B$2:$B$45&gt;=$B$13)*$B$93+(Projects!$B$2:$B$45&lt;$B$13)*$B$94))</f>
        <v>8</v>
      </c>
      <c r="BB96" s="1" t="n">
        <f aca="false">SUMPRODUCT((Projects!$G$2:$G$45="Yes")*(50&gt;=Projects!$C$2:$C$45-$B$15)*(50&lt;=Projects!$W$2:$W$45+$B$17)*((Projects!$B$2:$B$45&gt;=$B$12)*$B$92+(Projects!$B$2:$B$45&lt;$B$12)*(Projects!$B$2:$B$45&gt;=$B$13)*$B$93+(Projects!$B$2:$B$45&lt;$B$13)*$B$94))</f>
        <v>8</v>
      </c>
      <c r="BC96" s="1" t="n">
        <f aca="false">SUMPRODUCT((Projects!$G$2:$G$45="Yes")*(51&gt;=Projects!$C$2:$C$45-$B$15)*(51&lt;=Projects!$W$2:$W$45+$B$17)*((Projects!$B$2:$B$45&gt;=$B$12)*$B$92+(Projects!$B$2:$B$45&lt;$B$12)*(Projects!$B$2:$B$45&gt;=$B$13)*$B$93+(Projects!$B$2:$B$45&lt;$B$13)*$B$94))</f>
        <v>8</v>
      </c>
      <c r="BD96" s="1" t="n">
        <f aca="false">SUMPRODUCT((Projects!$G$2:$G$45="Yes")*(52&gt;=Projects!$C$2:$C$45-$B$15)*(52&lt;=Projects!$W$2:$W$45+$B$17)*((Projects!$B$2:$B$45&gt;=$B$12)*$B$92+(Projects!$B$2:$B$45&lt;$B$12)*(Projects!$B$2:$B$45&gt;=$B$13)*$B$93+(Projects!$B$2:$B$45&lt;$B$13)*$B$94))</f>
        <v>8</v>
      </c>
      <c r="BE96" s="1" t="n">
        <f aca="false">SUMPRODUCT((Projects!$G$2:$G$45="Yes")*(53&gt;=Projects!$C$2:$C$45-$B$15)*(53&lt;=Projects!$W$2:$W$45+$B$17)*((Projects!$B$2:$B$45&gt;=$B$12)*$B$92+(Projects!$B$2:$B$45&lt;$B$12)*(Projects!$B$2:$B$45&gt;=$B$13)*$B$93+(Projects!$B$2:$B$45&lt;$B$13)*$B$94))</f>
        <v>8</v>
      </c>
      <c r="BF96" s="1" t="n">
        <f aca="false">SUMPRODUCT((Projects!$G$2:$G$45="Yes")*(54&gt;=Projects!$C$2:$C$45-$B$15)*(54&lt;=Projects!$W$2:$W$45+$B$17)*((Projects!$B$2:$B$45&gt;=$B$12)*$B$92+(Projects!$B$2:$B$45&lt;$B$12)*(Projects!$B$2:$B$45&gt;=$B$13)*$B$93+(Projects!$B$2:$B$45&lt;$B$13)*$B$94))</f>
        <v>8</v>
      </c>
      <c r="BG96" s="1" t="n">
        <f aca="false">SUMPRODUCT((Projects!$G$2:$G$45="Yes")*(55&gt;=Projects!$C$2:$C$45-$B$15)*(55&lt;=Projects!$W$2:$W$45+$B$17)*((Projects!$B$2:$B$45&gt;=$B$12)*$B$92+(Projects!$B$2:$B$45&lt;$B$12)*(Projects!$B$2:$B$45&gt;=$B$13)*$B$93+(Projects!$B$2:$B$45&lt;$B$13)*$B$94))</f>
        <v>8</v>
      </c>
      <c r="BH96" s="1" t="n">
        <f aca="false">SUMPRODUCT((Projects!$G$2:$G$45="Yes")*(56&gt;=Projects!$C$2:$C$45-$B$15)*(56&lt;=Projects!$W$2:$W$45+$B$17)*((Projects!$B$2:$B$45&gt;=$B$12)*$B$92+(Projects!$B$2:$B$45&lt;$B$12)*(Projects!$B$2:$B$45&gt;=$B$13)*$B$93+(Projects!$B$2:$B$45&lt;$B$13)*$B$94))</f>
        <v>7.5</v>
      </c>
      <c r="BI96" s="1" t="n">
        <f aca="false">SUMPRODUCT((Projects!$G$2:$G$45="Yes")*(57&gt;=Projects!$C$2:$C$45-$B$15)*(57&lt;=Projects!$W$2:$W$45+$B$17)*((Projects!$B$2:$B$45&gt;=$B$12)*$B$92+(Projects!$B$2:$B$45&lt;$B$12)*(Projects!$B$2:$B$45&gt;=$B$13)*$B$93+(Projects!$B$2:$B$45&lt;$B$13)*$B$94))</f>
        <v>7</v>
      </c>
      <c r="BJ96" s="1" t="n">
        <f aca="false">SUMPRODUCT((Projects!$G$2:$G$45="Yes")*(58&gt;=Projects!$C$2:$C$45-$B$15)*(58&lt;=Projects!$W$2:$W$45+$B$17)*((Projects!$B$2:$B$45&gt;=$B$12)*$B$92+(Projects!$B$2:$B$45&lt;$B$12)*(Projects!$B$2:$B$45&gt;=$B$13)*$B$93+(Projects!$B$2:$B$45&lt;$B$13)*$B$94))</f>
        <v>5.5</v>
      </c>
      <c r="BK96" s="1" t="n">
        <f aca="false">SUMPRODUCT((Projects!$G$2:$G$45="Yes")*(59&gt;=Projects!$C$2:$C$45-$B$15)*(59&lt;=Projects!$W$2:$W$45+$B$17)*((Projects!$B$2:$B$45&gt;=$B$12)*$B$92+(Projects!$B$2:$B$45&lt;$B$12)*(Projects!$B$2:$B$45&gt;=$B$13)*$B$93+(Projects!$B$2:$B$45&lt;$B$13)*$B$94))</f>
        <v>5</v>
      </c>
      <c r="BL96" s="1" t="n">
        <f aca="false">SUMPRODUCT((Projects!$G$2:$G$45="Yes")*(60&gt;=Projects!$C$2:$C$45-$B$15)*(60&lt;=Projects!$W$2:$W$45+$B$17)*((Projects!$B$2:$B$45&gt;=$B$12)*$B$92+(Projects!$B$2:$B$45&lt;$B$12)*(Projects!$B$2:$B$45&gt;=$B$13)*$B$93+(Projects!$B$2:$B$45&lt;$B$13)*$B$94))</f>
        <v>5</v>
      </c>
      <c r="BM96" s="1" t="n">
        <f aca="false">SUMPRODUCT((Projects!$G$2:$G$45="Yes")*(61&gt;=Projects!$C$2:$C$45-$B$15)*(61&lt;=Projects!$W$2:$W$45+$B$17)*((Projects!$B$2:$B$45&gt;=$B$12)*$B$92+(Projects!$B$2:$B$45&lt;$B$12)*(Projects!$B$2:$B$45&gt;=$B$13)*$B$93+(Projects!$B$2:$B$45&lt;$B$13)*$B$94))</f>
        <v>5</v>
      </c>
      <c r="BN96" s="1" t="n">
        <f aca="false">SUMPRODUCT((Projects!$G$2:$G$45="Yes")*(62&gt;=Projects!$C$2:$C$45-$B$15)*(62&lt;=Projects!$W$2:$W$45+$B$17)*((Projects!$B$2:$B$45&gt;=$B$12)*$B$92+(Projects!$B$2:$B$45&lt;$B$12)*(Projects!$B$2:$B$45&gt;=$B$13)*$B$93+(Projects!$B$2:$B$45&lt;$B$13)*$B$94))</f>
        <v>5</v>
      </c>
      <c r="BO96" s="1" t="n">
        <f aca="false">SUMPRODUCT((Projects!$G$2:$G$45="Yes")*(63&gt;=Projects!$C$2:$C$45-$B$15)*(63&lt;=Projects!$W$2:$W$45+$B$17)*((Projects!$B$2:$B$45&gt;=$B$12)*$B$92+(Projects!$B$2:$B$45&lt;$B$12)*(Projects!$B$2:$B$45&gt;=$B$13)*$B$93+(Projects!$B$2:$B$45&lt;$B$13)*$B$94))</f>
        <v>4.5</v>
      </c>
      <c r="BP96" s="1" t="n">
        <f aca="false">SUMPRODUCT((Projects!$G$2:$G$45="Yes")*(64&gt;=Projects!$C$2:$C$45-$B$15)*(64&lt;=Projects!$W$2:$W$45+$B$17)*((Projects!$B$2:$B$45&gt;=$B$12)*$B$92+(Projects!$B$2:$B$45&lt;$B$12)*(Projects!$B$2:$B$45&gt;=$B$13)*$B$93+(Projects!$B$2:$B$45&lt;$B$13)*$B$94))</f>
        <v>4</v>
      </c>
      <c r="BQ96" s="1" t="n">
        <f aca="false">SUMPRODUCT((Projects!$G$2:$G$45="Yes")*(65&gt;=Projects!$C$2:$C$45-$B$15)*(65&lt;=Projects!$W$2:$W$45+$B$17)*((Projects!$B$2:$B$45&gt;=$B$12)*$B$92+(Projects!$B$2:$B$45&lt;$B$12)*(Projects!$B$2:$B$45&gt;=$B$13)*$B$93+(Projects!$B$2:$B$45&lt;$B$13)*$B$94))</f>
        <v>4</v>
      </c>
      <c r="BR96" s="1" t="n">
        <f aca="false">SUMPRODUCT((Projects!$G$2:$G$45="Yes")*(66&gt;=Projects!$C$2:$C$45-$B$15)*(66&lt;=Projects!$W$2:$W$45+$B$17)*((Projects!$B$2:$B$45&gt;=$B$12)*$B$92+(Projects!$B$2:$B$45&lt;$B$12)*(Projects!$B$2:$B$45&gt;=$B$13)*$B$93+(Projects!$B$2:$B$45&lt;$B$13)*$B$94))</f>
        <v>4</v>
      </c>
      <c r="BS96" s="1" t="n">
        <f aca="false">SUMPRODUCT((Projects!$G$2:$G$45="Yes")*(67&gt;=Projects!$C$2:$C$45-$B$15)*(67&lt;=Projects!$W$2:$W$45+$B$17)*((Projects!$B$2:$B$45&gt;=$B$12)*$B$92+(Projects!$B$2:$B$45&lt;$B$12)*(Projects!$B$2:$B$45&gt;=$B$13)*$B$93+(Projects!$B$2:$B$45&lt;$B$13)*$B$94))</f>
        <v>4</v>
      </c>
      <c r="BT96" s="1" t="n">
        <f aca="false">SUMPRODUCT((Projects!$G$2:$G$45="Yes")*(68&gt;=Projects!$C$2:$C$45-$B$15)*(68&lt;=Projects!$W$2:$W$45+$B$17)*((Projects!$B$2:$B$45&gt;=$B$12)*$B$92+(Projects!$B$2:$B$45&lt;$B$12)*(Projects!$B$2:$B$45&gt;=$B$13)*$B$93+(Projects!$B$2:$B$45&lt;$B$13)*$B$94))</f>
        <v>3.5</v>
      </c>
      <c r="BU96" s="1" t="n">
        <f aca="false">SUMPRODUCT((Projects!$G$2:$G$45="Yes")*(69&gt;=Projects!$C$2:$C$45-$B$15)*(69&lt;=Projects!$W$2:$W$45+$B$17)*((Projects!$B$2:$B$45&gt;=$B$12)*$B$92+(Projects!$B$2:$B$45&lt;$B$12)*(Projects!$B$2:$B$45&gt;=$B$13)*$B$93+(Projects!$B$2:$B$45&lt;$B$13)*$B$94))</f>
        <v>3</v>
      </c>
      <c r="BV96" s="1" t="n">
        <f aca="false">SUMPRODUCT((Projects!$G$2:$G$45="Yes")*(70&gt;=Projects!$C$2:$C$45-$B$15)*(70&lt;=Projects!$W$2:$W$45+$B$17)*((Projects!$B$2:$B$45&gt;=$B$12)*$B$92+(Projects!$B$2:$B$45&lt;$B$12)*(Projects!$B$2:$B$45&gt;=$B$13)*$B$93+(Projects!$B$2:$B$45&lt;$B$13)*$B$94))</f>
        <v>2.5</v>
      </c>
      <c r="BW96" s="1" t="n">
        <f aca="false">SUMPRODUCT((Projects!$G$2:$G$45="Yes")*(71&gt;=Projects!$C$2:$C$45-$B$15)*(71&lt;=Projects!$W$2:$W$45+$B$17)*((Projects!$B$2:$B$45&gt;=$B$12)*$B$92+(Projects!$B$2:$B$45&lt;$B$12)*(Projects!$B$2:$B$45&gt;=$B$13)*$B$93+(Projects!$B$2:$B$45&lt;$B$13)*$B$94))</f>
        <v>2</v>
      </c>
      <c r="BX96" s="1" t="n">
        <f aca="false">SUMPRODUCT((Projects!$G$2:$G$45="Yes")*(72&gt;=Projects!$C$2:$C$45-$B$15)*(72&lt;=Projects!$W$2:$W$45+$B$17)*((Projects!$B$2:$B$45&gt;=$B$12)*$B$92+(Projects!$B$2:$B$45&lt;$B$12)*(Projects!$B$2:$B$45&gt;=$B$13)*$B$93+(Projects!$B$2:$B$45&lt;$B$13)*$B$94))</f>
        <v>1.5</v>
      </c>
      <c r="BY96" s="1" t="n">
        <f aca="false">SUMPRODUCT((Projects!$G$2:$G$45="Yes")*(73&gt;=Projects!$C$2:$C$45-$B$15)*(73&lt;=Projects!$W$2:$W$45+$B$17)*((Projects!$B$2:$B$45&gt;=$B$12)*$B$92+(Projects!$B$2:$B$45&lt;$B$12)*(Projects!$B$2:$B$45&gt;=$B$13)*$B$93+(Projects!$B$2:$B$45&lt;$B$13)*$B$94))</f>
        <v>1</v>
      </c>
      <c r="BZ96" s="1" t="n">
        <f aca="false">SUMPRODUCT((Projects!$G$2:$G$45="Yes")*(74&gt;=Projects!$C$2:$C$45-$B$15)*(74&lt;=Projects!$W$2:$W$45+$B$17)*((Projects!$B$2:$B$45&gt;=$B$12)*$B$92+(Projects!$B$2:$B$45&lt;$B$12)*(Projects!$B$2:$B$45&gt;=$B$13)*$B$93+(Projects!$B$2:$B$45&lt;$B$13)*$B$94))</f>
        <v>0.5</v>
      </c>
      <c r="CA96" s="1" t="n">
        <f aca="false">SUMPRODUCT((Projects!$G$2:$G$45="Yes")*(75&gt;=Projects!$C$2:$C$45-$B$15)*(75&lt;=Projects!$W$2:$W$45+$B$17)*((Projects!$B$2:$B$45&gt;=$B$12)*$B$92+(Projects!$B$2:$B$45&lt;$B$12)*(Projects!$B$2:$B$45&gt;=$B$13)*$B$93+(Projects!$B$2:$B$45&lt;$B$13)*$B$94))</f>
        <v>0</v>
      </c>
      <c r="CB96" s="1" t="n">
        <f aca="false">SUMPRODUCT((Projects!$G$2:$G$45="Yes")*(76&gt;=Projects!$C$2:$C$45-$B$15)*(76&lt;=Projects!$W$2:$W$45+$B$17)*((Projects!$B$2:$B$45&gt;=$B$12)*$B$92+(Projects!$B$2:$B$45&lt;$B$12)*(Projects!$B$2:$B$45&gt;=$B$13)*$B$93+(Projects!$B$2:$B$45&lt;$B$13)*$B$94))</f>
        <v>0</v>
      </c>
      <c r="CC96" s="1" t="n">
        <f aca="false">SUMPRODUCT((Projects!$G$2:$G$45="Yes")*(77&gt;=Projects!$C$2:$C$45-$B$15)*(77&lt;=Projects!$W$2:$W$45+$B$17)*((Projects!$B$2:$B$45&gt;=$B$12)*$B$92+(Projects!$B$2:$B$45&lt;$B$12)*(Projects!$B$2:$B$45&gt;=$B$13)*$B$93+(Projects!$B$2:$B$45&lt;$B$13)*$B$94))</f>
        <v>0</v>
      </c>
      <c r="CD96" s="1" t="n">
        <f aca="false">SUMPRODUCT((Projects!$G$2:$G$45="Yes")*(78&gt;=Projects!$C$2:$C$45-$B$15)*(78&lt;=Projects!$W$2:$W$45+$B$17)*((Projects!$B$2:$B$45&gt;=$B$12)*$B$92+(Projects!$B$2:$B$45&lt;$B$12)*(Projects!$B$2:$B$45&gt;=$B$13)*$B$93+(Projects!$B$2:$B$45&lt;$B$13)*$B$94))</f>
        <v>0</v>
      </c>
      <c r="CE96" s="1" t="n">
        <f aca="false">SUMPRODUCT((Projects!$G$2:$G$45="Yes")*(79&gt;=Projects!$C$2:$C$45-$B$15)*(79&lt;=Projects!$W$2:$W$45+$B$17)*((Projects!$B$2:$B$45&gt;=$B$12)*$B$92+(Projects!$B$2:$B$45&lt;$B$12)*(Projects!$B$2:$B$45&gt;=$B$13)*$B$93+(Projects!$B$2:$B$45&lt;$B$13)*$B$94))</f>
        <v>0</v>
      </c>
      <c r="CF96" s="1" t="n">
        <f aca="false">SUMPRODUCT((Projects!$G$2:$G$45="Yes")*(80&gt;=Projects!$C$2:$C$45-$B$15)*(80&lt;=Projects!$W$2:$W$45+$B$17)*((Projects!$B$2:$B$45&gt;=$B$12)*$B$92+(Projects!$B$2:$B$45&lt;$B$12)*(Projects!$B$2:$B$45&gt;=$B$13)*$B$93+(Projects!$B$2:$B$45&lt;$B$13)*$B$94))</f>
        <v>0</v>
      </c>
      <c r="CG96" s="1" t="n">
        <f aca="false">SUMPRODUCT((Projects!$G$2:$G$45="Yes")*(81&gt;=Projects!$C$2:$C$45-$B$15)*(81&lt;=Projects!$W$2:$W$45+$B$17)*((Projects!$B$2:$B$45&gt;=$B$12)*$B$92+(Projects!$B$2:$B$45&lt;$B$12)*(Projects!$B$2:$B$45&gt;=$B$13)*$B$93+(Projects!$B$2:$B$45&lt;$B$13)*$B$94))</f>
        <v>0</v>
      </c>
      <c r="CH96" s="1" t="n">
        <f aca="false">SUMPRODUCT((Projects!$G$2:$G$45="Yes")*(82&gt;=Projects!$C$2:$C$45-$B$15)*(82&lt;=Projects!$W$2:$W$45+$B$17)*((Projects!$B$2:$B$45&gt;=$B$12)*$B$92+(Projects!$B$2:$B$45&lt;$B$12)*(Projects!$B$2:$B$45&gt;=$B$13)*$B$93+(Projects!$B$2:$B$45&lt;$B$13)*$B$94))</f>
        <v>0</v>
      </c>
      <c r="CI96" s="1" t="n">
        <f aca="false">SUMPRODUCT((Projects!$G$2:$G$45="Yes")*(83&gt;=Projects!$C$2:$C$45-$B$15)*(83&lt;=Projects!$W$2:$W$45+$B$17)*((Projects!$B$2:$B$45&gt;=$B$12)*$B$92+(Projects!$B$2:$B$45&lt;$B$12)*(Projects!$B$2:$B$45&gt;=$B$13)*$B$93+(Projects!$B$2:$B$45&lt;$B$13)*$B$94))</f>
        <v>0</v>
      </c>
      <c r="CJ96" s="1" t="n">
        <f aca="false">SUMPRODUCT((Projects!$G$2:$G$45="Yes")*(84&gt;=Projects!$C$2:$C$45-$B$15)*(84&lt;=Projects!$W$2:$W$45+$B$17)*((Projects!$B$2:$B$45&gt;=$B$12)*$B$92+(Projects!$B$2:$B$45&lt;$B$12)*(Projects!$B$2:$B$45&gt;=$B$13)*$B$93+(Projects!$B$2:$B$45&lt;$B$13)*$B$94))</f>
        <v>0</v>
      </c>
      <c r="CK96" s="1" t="n">
        <f aca="false">SUMPRODUCT((Projects!$G$2:$G$45="Yes")*(85&gt;=Projects!$C$2:$C$45-$B$15)*(85&lt;=Projects!$W$2:$W$45+$B$17)*((Projects!$B$2:$B$45&gt;=$B$12)*$B$92+(Projects!$B$2:$B$45&lt;$B$12)*(Projects!$B$2:$B$45&gt;=$B$13)*$B$93+(Projects!$B$2:$B$45&lt;$B$13)*$B$94))</f>
        <v>0</v>
      </c>
      <c r="CL96" s="1" t="n">
        <f aca="false">SUMPRODUCT((Projects!$G$2:$G$45="Yes")*(86&gt;=Projects!$C$2:$C$45-$B$15)*(86&lt;=Projects!$W$2:$W$45+$B$17)*((Projects!$B$2:$B$45&gt;=$B$12)*$B$92+(Projects!$B$2:$B$45&lt;$B$12)*(Projects!$B$2:$B$45&gt;=$B$13)*$B$93+(Projects!$B$2:$B$45&lt;$B$13)*$B$94))</f>
        <v>0</v>
      </c>
      <c r="CM96" s="1" t="n">
        <f aca="false">SUMPRODUCT((Projects!$G$2:$G$45="Yes")*(87&gt;=Projects!$C$2:$C$45-$B$15)*(87&lt;=Projects!$W$2:$W$45+$B$17)*((Projects!$B$2:$B$45&gt;=$B$12)*$B$92+(Projects!$B$2:$B$45&lt;$B$12)*(Projects!$B$2:$B$45&gt;=$B$13)*$B$93+(Projects!$B$2:$B$45&lt;$B$13)*$B$94))</f>
        <v>0</v>
      </c>
      <c r="CN96" s="1" t="n">
        <f aca="false">SUMPRODUCT((Projects!$G$2:$G$45="Yes")*(88&gt;=Projects!$C$2:$C$45-$B$15)*(88&lt;=Projects!$W$2:$W$45+$B$17)*((Projects!$B$2:$B$45&gt;=$B$12)*$B$92+(Projects!$B$2:$B$45&lt;$B$12)*(Projects!$B$2:$B$45&gt;=$B$13)*$B$93+(Projects!$B$2:$B$45&lt;$B$13)*$B$94))</f>
        <v>0</v>
      </c>
      <c r="CO96" s="1" t="n">
        <f aca="false">SUMPRODUCT((Projects!$G$2:$G$45="Yes")*(89&gt;=Projects!$C$2:$C$45-$B$15)*(89&lt;=Projects!$W$2:$W$45+$B$17)*((Projects!$B$2:$B$45&gt;=$B$12)*$B$92+(Projects!$B$2:$B$45&lt;$B$12)*(Projects!$B$2:$B$45&gt;=$B$13)*$B$93+(Projects!$B$2:$B$45&lt;$B$13)*$B$94))</f>
        <v>0</v>
      </c>
      <c r="CP96" s="1" t="n">
        <f aca="false">SUMPRODUCT((Projects!$G$2:$G$45="Yes")*(90&gt;=Projects!$C$2:$C$45-$B$15)*(90&lt;=Projects!$W$2:$W$45+$B$17)*((Projects!$B$2:$B$45&gt;=$B$12)*$B$92+(Projects!$B$2:$B$45&lt;$B$12)*(Projects!$B$2:$B$45&gt;=$B$13)*$B$93+(Projects!$B$2:$B$45&lt;$B$13)*$B$94))</f>
        <v>0</v>
      </c>
      <c r="CQ96" s="1" t="n">
        <f aca="false">SUMPRODUCT((Projects!$G$2:$G$45="Yes")*(91&gt;=Projects!$C$2:$C$45-$B$15)*(91&lt;=Projects!$W$2:$W$45+$B$17)*((Projects!$B$2:$B$45&gt;=$B$12)*$B$92+(Projects!$B$2:$B$45&lt;$B$12)*(Projects!$B$2:$B$45&gt;=$B$13)*$B$93+(Projects!$B$2:$B$45&lt;$B$13)*$B$94))</f>
        <v>0</v>
      </c>
      <c r="CR96" s="1" t="n">
        <f aca="false">SUMPRODUCT((Projects!$G$2:$G$45="Yes")*(92&gt;=Projects!$C$2:$C$45-$B$15)*(92&lt;=Projects!$W$2:$W$45+$B$17)*((Projects!$B$2:$B$45&gt;=$B$12)*$B$92+(Projects!$B$2:$B$45&lt;$B$12)*(Projects!$B$2:$B$45&gt;=$B$13)*$B$93+(Projects!$B$2:$B$45&lt;$B$13)*$B$94))</f>
        <v>0</v>
      </c>
      <c r="CS96" s="1" t="n">
        <f aca="false">SUMPRODUCT((Projects!$G$2:$G$45="Yes")*(93&gt;=Projects!$C$2:$C$45-$B$15)*(93&lt;=Projects!$W$2:$W$45+$B$17)*((Projects!$B$2:$B$45&gt;=$B$12)*$B$92+(Projects!$B$2:$B$45&lt;$B$12)*(Projects!$B$2:$B$45&gt;=$B$13)*$B$93+(Projects!$B$2:$B$45&lt;$B$13)*$B$94))</f>
        <v>0</v>
      </c>
      <c r="CT96" s="1" t="n">
        <f aca="false">SUMPRODUCT((Projects!$G$2:$G$45="Yes")*(94&gt;=Projects!$C$2:$C$45-$B$15)*(94&lt;=Projects!$W$2:$W$45+$B$17)*((Projects!$B$2:$B$45&gt;=$B$12)*$B$92+(Projects!$B$2:$B$45&lt;$B$12)*(Projects!$B$2:$B$45&gt;=$B$13)*$B$93+(Projects!$B$2:$B$45&lt;$B$13)*$B$94))</f>
        <v>0</v>
      </c>
      <c r="CU96" s="1" t="n">
        <f aca="false">SUMPRODUCT((Projects!$G$2:$G$45="Yes")*(95&gt;=Projects!$C$2:$C$45-$B$15)*(95&lt;=Projects!$W$2:$W$45+$B$17)*((Projects!$B$2:$B$45&gt;=$B$12)*$B$92+(Projects!$B$2:$B$45&lt;$B$12)*(Projects!$B$2:$B$45&gt;=$B$13)*$B$93+(Projects!$B$2:$B$45&lt;$B$13)*$B$94))</f>
        <v>0</v>
      </c>
      <c r="CV96" s="1" t="n">
        <f aca="false">SUMPRODUCT((Projects!$G$2:$G$45="Yes")*(96&gt;=Projects!$C$2:$C$45-$B$15)*(96&lt;=Projects!$W$2:$W$45+$B$17)*((Projects!$B$2:$B$45&gt;=$B$12)*$B$92+(Projects!$B$2:$B$45&lt;$B$12)*(Projects!$B$2:$B$45&gt;=$B$13)*$B$93+(Projects!$B$2:$B$45&lt;$B$13)*$B$94))</f>
        <v>0</v>
      </c>
      <c r="CW96" s="1" t="n">
        <f aca="false">SUMPRODUCT((Projects!$G$2:$G$45="Yes")*(97&gt;=Projects!$C$2:$C$45-$B$15)*(97&lt;=Projects!$W$2:$W$45+$B$17)*((Projects!$B$2:$B$45&gt;=$B$12)*$B$92+(Projects!$B$2:$B$45&lt;$B$12)*(Projects!$B$2:$B$45&gt;=$B$13)*$B$93+(Projects!$B$2:$B$45&lt;$B$13)*$B$94))</f>
        <v>0</v>
      </c>
      <c r="CX96" s="1" t="n">
        <f aca="false">SUMPRODUCT((Projects!$G$2:$G$45="Yes")*(98&gt;=Projects!$C$2:$C$45-$B$15)*(98&lt;=Projects!$W$2:$W$45+$B$17)*((Projects!$B$2:$B$45&gt;=$B$12)*$B$92+(Projects!$B$2:$B$45&lt;$B$12)*(Projects!$B$2:$B$45&gt;=$B$13)*$B$93+(Projects!$B$2:$B$45&lt;$B$13)*$B$94))</f>
        <v>0</v>
      </c>
      <c r="CY96" s="1" t="n">
        <f aca="false">SUMPRODUCT((Projects!$G$2:$G$45="Yes")*(99&gt;=Projects!$C$2:$C$45-$B$15)*(99&lt;=Projects!$W$2:$W$45+$B$17)*((Projects!$B$2:$B$45&gt;=$B$12)*$B$92+(Projects!$B$2:$B$45&lt;$B$12)*(Projects!$B$2:$B$45&gt;=$B$13)*$B$93+(Projects!$B$2:$B$45&lt;$B$13)*$B$94))</f>
        <v>0</v>
      </c>
      <c r="CZ96" s="1" t="n">
        <f aca="false">SUMPRODUCT((Projects!$G$2:$G$45="Yes")*(100&gt;=Projects!$C$2:$C$45-$B$15)*(100&lt;=Projects!$W$2:$W$45+$B$17)*((Projects!$B$2:$B$45&gt;=$B$12)*$B$92+(Projects!$B$2:$B$45&lt;$B$12)*(Projects!$B$2:$B$45&gt;=$B$13)*$B$93+(Projects!$B$2:$B$45&lt;$B$13)*$B$94))</f>
        <v>0</v>
      </c>
      <c r="DA96" s="1" t="n">
        <f aca="false">SUMPRODUCT((Projects!$G$2:$G$45="Yes")*(101&gt;=Projects!$C$2:$C$45-$B$15)*(101&lt;=Projects!$W$2:$W$45+$B$17)*((Projects!$B$2:$B$45&gt;=$B$12)*$B$92+(Projects!$B$2:$B$45&lt;$B$12)*(Projects!$B$2:$B$45&gt;=$B$13)*$B$93+(Projects!$B$2:$B$45&lt;$B$13)*$B$94))</f>
        <v>0</v>
      </c>
      <c r="DB96" s="1" t="n">
        <f aca="false">SUMPRODUCT((Projects!$G$2:$G$45="Yes")*(102&gt;=Projects!$C$2:$C$45-$B$15)*(102&lt;=Projects!$W$2:$W$45+$B$17)*((Projects!$B$2:$B$45&gt;=$B$12)*$B$92+(Projects!$B$2:$B$45&lt;$B$12)*(Projects!$B$2:$B$45&gt;=$B$13)*$B$93+(Projects!$B$2:$B$45&lt;$B$13)*$B$94))</f>
        <v>0</v>
      </c>
      <c r="DC96" s="1" t="n">
        <f aca="false">SUMPRODUCT((Projects!$G$2:$G$45="Yes")*(103&gt;=Projects!$C$2:$C$45-$B$15)*(103&lt;=Projects!$W$2:$W$45+$B$17)*((Projects!$B$2:$B$45&gt;=$B$12)*$B$92+(Projects!$B$2:$B$45&lt;$B$12)*(Projects!$B$2:$B$45&gt;=$B$13)*$B$93+(Projects!$B$2:$B$45&lt;$B$13)*$B$94))</f>
        <v>0</v>
      </c>
      <c r="DD96" s="1" t="n">
        <f aca="false">SUMPRODUCT((Projects!$G$2:$G$45="Yes")*(104&gt;=Projects!$C$2:$C$45-$B$15)*(104&lt;=Projects!$W$2:$W$45+$B$17)*((Projects!$B$2:$B$45&gt;=$B$12)*$B$92+(Projects!$B$2:$B$45&lt;$B$12)*(Projects!$B$2:$B$45&gt;=$B$13)*$B$93+(Projects!$B$2:$B$45&lt;$B$13)*$B$94))</f>
        <v>0</v>
      </c>
      <c r="DE96" s="1" t="n">
        <f aca="false">SUMPRODUCT((Projects!$G$2:$G$45="Yes")*(105&gt;=Projects!$C$2:$C$45-$B$15)*(105&lt;=Projects!$W$2:$W$45+$B$17)*((Projects!$B$2:$B$45&gt;=$B$12)*$B$92+(Projects!$B$2:$B$45&lt;$B$12)*(Projects!$B$2:$B$45&gt;=$B$13)*$B$93+(Projects!$B$2:$B$45&lt;$B$13)*$B$94))</f>
        <v>0</v>
      </c>
    </row>
    <row r="97" customFormat="false" ht="13.5" hidden="false" customHeight="true" outlineLevel="0" collapsed="false">
      <c r="A97" s="1" t="s">
        <v>1420</v>
      </c>
      <c r="E97" s="1" t="n">
        <f aca="false">SUMPRODUCT((Personnel!$P$9:$P$100="ASST")*(Personnel!$G$9:$G$100="Yes")*(1&gt;=Personnel!$E$9:$E$100)*((Personnel!$K$9:$K$100="")+(1&lt;=Personnel!$K$9:$K$100)&gt;0))</f>
        <v>1</v>
      </c>
      <c r="F97" s="1" t="n">
        <f aca="false">SUMPRODUCT((Personnel!$P$9:$P$100="ASST")*(Personnel!$G$9:$G$100="Yes")*(2&gt;=Personnel!$E$9:$E$100)*((Personnel!$K$9:$K$100="")+(2&lt;=Personnel!$K$9:$K$100)&gt;0))</f>
        <v>1</v>
      </c>
      <c r="G97" s="1" t="n">
        <f aca="false">SUMPRODUCT((Personnel!$P$9:$P$100="ASST")*(Personnel!$G$9:$G$100="Yes")*(3&gt;=Personnel!$E$9:$E$100)*((Personnel!$K$9:$K$100="")+(3&lt;=Personnel!$K$9:$K$100)&gt;0))</f>
        <v>3</v>
      </c>
      <c r="H97" s="1" t="n">
        <f aca="false">SUMPRODUCT((Personnel!$P$9:$P$100="ASST")*(Personnel!$G$9:$G$100="Yes")*(4&gt;=Personnel!$E$9:$E$100)*((Personnel!$K$9:$K$100="")+(4&lt;=Personnel!$K$9:$K$100)&gt;0))</f>
        <v>3</v>
      </c>
      <c r="I97" s="1" t="n">
        <f aca="false">SUMPRODUCT((Personnel!$P$9:$P$100="ASST")*(Personnel!$G$9:$G$100="Yes")*(5&gt;=Personnel!$E$9:$E$100)*((Personnel!$K$9:$K$100="")+(5&lt;=Personnel!$K$9:$K$100)&gt;0))</f>
        <v>4</v>
      </c>
      <c r="J97" s="1" t="n">
        <f aca="false">SUMPRODUCT((Personnel!$P$9:$P$100="ASST")*(Personnel!$G$9:$G$100="Yes")*(6&gt;=Personnel!$E$9:$E$100)*((Personnel!$K$9:$K$100="")+(6&lt;=Personnel!$K$9:$K$100)&gt;0))</f>
        <v>4</v>
      </c>
      <c r="K97" s="1" t="n">
        <f aca="false">SUMPRODUCT((Personnel!$P$9:$P$100="ASST")*(Personnel!$G$9:$G$100="Yes")*(7&gt;=Personnel!$E$9:$E$100)*((Personnel!$K$9:$K$100="")+(7&lt;=Personnel!$K$9:$K$100)&gt;0))</f>
        <v>4</v>
      </c>
      <c r="L97" s="1" t="n">
        <f aca="false">SUMPRODUCT((Personnel!$P$9:$P$100="ASST")*(Personnel!$G$9:$G$100="Yes")*(8&gt;=Personnel!$E$9:$E$100)*((Personnel!$K$9:$K$100="")+(8&lt;=Personnel!$K$9:$K$100)&gt;0))</f>
        <v>4</v>
      </c>
      <c r="M97" s="1" t="n">
        <f aca="false">SUMPRODUCT((Personnel!$P$9:$P$100="ASST")*(Personnel!$G$9:$G$100="Yes")*(9&gt;=Personnel!$E$9:$E$100)*((Personnel!$K$9:$K$100="")+(9&lt;=Personnel!$K$9:$K$100)&gt;0))</f>
        <v>4</v>
      </c>
      <c r="N97" s="1" t="n">
        <f aca="false">SUMPRODUCT((Personnel!$P$9:$P$100="ASST")*(Personnel!$G$9:$G$100="Yes")*(10&gt;=Personnel!$E$9:$E$100)*((Personnel!$K$9:$K$100="")+(10&lt;=Personnel!$K$9:$K$100)&gt;0))</f>
        <v>4</v>
      </c>
      <c r="O97" s="1" t="n">
        <f aca="false">SUMPRODUCT((Personnel!$P$9:$P$100="ASST")*(Personnel!$G$9:$G$100="Yes")*(11&gt;=Personnel!$E$9:$E$100)*((Personnel!$K$9:$K$100="")+(11&lt;=Personnel!$K$9:$K$100)&gt;0))</f>
        <v>4</v>
      </c>
      <c r="P97" s="1" t="n">
        <f aca="false">SUMPRODUCT((Personnel!$P$9:$P$100="ASST")*(Personnel!$G$9:$G$100="Yes")*(12&gt;=Personnel!$E$9:$E$100)*((Personnel!$K$9:$K$100="")+(12&lt;=Personnel!$K$9:$K$100)&gt;0))</f>
        <v>4</v>
      </c>
      <c r="Q97" s="1" t="n">
        <f aca="false">SUMPRODUCT((Personnel!$P$9:$P$100="ASST")*(Personnel!$G$9:$G$100="Yes")*(13&gt;=Personnel!$E$9:$E$100)*((Personnel!$K$9:$K$100="")+(13&lt;=Personnel!$K$9:$K$100)&gt;0))</f>
        <v>4</v>
      </c>
      <c r="R97" s="1" t="n">
        <f aca="false">SUMPRODUCT((Personnel!$P$9:$P$100="ASST")*(Personnel!$G$9:$G$100="Yes")*(14&gt;=Personnel!$E$9:$E$100)*((Personnel!$K$9:$K$100="")+(14&lt;=Personnel!$K$9:$K$100)&gt;0))</f>
        <v>4</v>
      </c>
      <c r="S97" s="1" t="n">
        <f aca="false">SUMPRODUCT((Personnel!$P$9:$P$100="ASST")*(Personnel!$G$9:$G$100="Yes")*(15&gt;=Personnel!$E$9:$E$100)*((Personnel!$K$9:$K$100="")+(15&lt;=Personnel!$K$9:$K$100)&gt;0))</f>
        <v>4</v>
      </c>
      <c r="T97" s="1" t="n">
        <f aca="false">SUMPRODUCT((Personnel!$P$9:$P$100="ASST")*(Personnel!$G$9:$G$100="Yes")*(16&gt;=Personnel!$E$9:$E$100)*((Personnel!$K$9:$K$100="")+(16&lt;=Personnel!$K$9:$K$100)&gt;0))</f>
        <v>4</v>
      </c>
      <c r="U97" s="1" t="n">
        <f aca="false">SUMPRODUCT((Personnel!$P$9:$P$100="ASST")*(Personnel!$G$9:$G$100="Yes")*(17&gt;=Personnel!$E$9:$E$100)*((Personnel!$K$9:$K$100="")+(17&lt;=Personnel!$K$9:$K$100)&gt;0))</f>
        <v>4</v>
      </c>
      <c r="V97" s="1" t="n">
        <f aca="false">SUMPRODUCT((Personnel!$P$9:$P$100="ASST")*(Personnel!$G$9:$G$100="Yes")*(18&gt;=Personnel!$E$9:$E$100)*((Personnel!$K$9:$K$100="")+(18&lt;=Personnel!$K$9:$K$100)&gt;0))</f>
        <v>4</v>
      </c>
      <c r="W97" s="1" t="n">
        <f aca="false">SUMPRODUCT((Personnel!$P$9:$P$100="ASST")*(Personnel!$G$9:$G$100="Yes")*(19&gt;=Personnel!$E$9:$E$100)*((Personnel!$K$9:$K$100="")+(19&lt;=Personnel!$K$9:$K$100)&gt;0))</f>
        <v>4</v>
      </c>
      <c r="X97" s="1" t="n">
        <f aca="false">SUMPRODUCT((Personnel!$P$9:$P$100="ASST")*(Personnel!$G$9:$G$100="Yes")*(20&gt;=Personnel!$E$9:$E$100)*((Personnel!$K$9:$K$100="")+(20&lt;=Personnel!$K$9:$K$100)&gt;0))</f>
        <v>4</v>
      </c>
      <c r="Y97" s="1" t="n">
        <f aca="false">SUMPRODUCT((Personnel!$P$9:$P$100="ASST")*(Personnel!$G$9:$G$100="Yes")*(21&gt;=Personnel!$E$9:$E$100)*((Personnel!$K$9:$K$100="")+(21&lt;=Personnel!$K$9:$K$100)&gt;0))</f>
        <v>4</v>
      </c>
      <c r="Z97" s="1" t="n">
        <f aca="false">SUMPRODUCT((Personnel!$P$9:$P$100="ASST")*(Personnel!$G$9:$G$100="Yes")*(22&gt;=Personnel!$E$9:$E$100)*((Personnel!$K$9:$K$100="")+(22&lt;=Personnel!$K$9:$K$100)&gt;0))</f>
        <v>4</v>
      </c>
      <c r="AA97" s="1" t="n">
        <f aca="false">SUMPRODUCT((Personnel!$P$9:$P$100="ASST")*(Personnel!$G$9:$G$100="Yes")*(23&gt;=Personnel!$E$9:$E$100)*((Personnel!$K$9:$K$100="")+(23&lt;=Personnel!$K$9:$K$100)&gt;0))</f>
        <v>4</v>
      </c>
      <c r="AB97" s="1" t="n">
        <f aca="false">SUMPRODUCT((Personnel!$P$9:$P$100="ASST")*(Personnel!$G$9:$G$100="Yes")*(24&gt;=Personnel!$E$9:$E$100)*((Personnel!$K$9:$K$100="")+(24&lt;=Personnel!$K$9:$K$100)&gt;0))</f>
        <v>4</v>
      </c>
      <c r="AC97" s="1" t="n">
        <f aca="false">SUMPRODUCT((Personnel!$P$9:$P$100="ASST")*(Personnel!$G$9:$G$100="Yes")*(25&gt;=Personnel!$E$9:$E$100)*((Personnel!$K$9:$K$100="")+(25&lt;=Personnel!$K$9:$K$100)&gt;0))</f>
        <v>4</v>
      </c>
      <c r="AD97" s="1" t="n">
        <f aca="false">SUMPRODUCT((Personnel!$P$9:$P$100="ASST")*(Personnel!$G$9:$G$100="Yes")*(26&gt;=Personnel!$E$9:$E$100)*((Personnel!$K$9:$K$100="")+(26&lt;=Personnel!$K$9:$K$100)&gt;0))</f>
        <v>4</v>
      </c>
      <c r="AE97" s="1" t="n">
        <f aca="false">SUMPRODUCT((Personnel!$P$9:$P$100="ASST")*(Personnel!$G$9:$G$100="Yes")*(27&gt;=Personnel!$E$9:$E$100)*((Personnel!$K$9:$K$100="")+(27&lt;=Personnel!$K$9:$K$100)&gt;0))</f>
        <v>4</v>
      </c>
      <c r="AF97" s="1" t="n">
        <f aca="false">SUMPRODUCT((Personnel!$P$9:$P$100="ASST")*(Personnel!$G$9:$G$100="Yes")*(28&gt;=Personnel!$E$9:$E$100)*((Personnel!$K$9:$K$100="")+(28&lt;=Personnel!$K$9:$K$100)&gt;0))</f>
        <v>4</v>
      </c>
      <c r="AG97" s="1" t="n">
        <f aca="false">SUMPRODUCT((Personnel!$P$9:$P$100="ASST")*(Personnel!$G$9:$G$100="Yes")*(29&gt;=Personnel!$E$9:$E$100)*((Personnel!$K$9:$K$100="")+(29&lt;=Personnel!$K$9:$K$100)&gt;0))</f>
        <v>4</v>
      </c>
      <c r="AH97" s="1" t="n">
        <f aca="false">SUMPRODUCT((Personnel!$P$9:$P$100="ASST")*(Personnel!$G$9:$G$100="Yes")*(30&gt;=Personnel!$E$9:$E$100)*((Personnel!$K$9:$K$100="")+(30&lt;=Personnel!$K$9:$K$100)&gt;0))</f>
        <v>4</v>
      </c>
      <c r="AI97" s="1" t="n">
        <f aca="false">SUMPRODUCT((Personnel!$P$9:$P$100="ASST")*(Personnel!$G$9:$G$100="Yes")*(31&gt;=Personnel!$E$9:$E$100)*((Personnel!$K$9:$K$100="")+(31&lt;=Personnel!$K$9:$K$100)&gt;0))</f>
        <v>4</v>
      </c>
      <c r="AJ97" s="1" t="n">
        <f aca="false">SUMPRODUCT((Personnel!$P$9:$P$100="ASST")*(Personnel!$G$9:$G$100="Yes")*(32&gt;=Personnel!$E$9:$E$100)*((Personnel!$K$9:$K$100="")+(32&lt;=Personnel!$K$9:$K$100)&gt;0))</f>
        <v>4</v>
      </c>
      <c r="AK97" s="1" t="n">
        <f aca="false">SUMPRODUCT((Personnel!$P$9:$P$100="ASST")*(Personnel!$G$9:$G$100="Yes")*(33&gt;=Personnel!$E$9:$E$100)*((Personnel!$K$9:$K$100="")+(33&lt;=Personnel!$K$9:$K$100)&gt;0))</f>
        <v>4</v>
      </c>
      <c r="AL97" s="1" t="n">
        <f aca="false">SUMPRODUCT((Personnel!$P$9:$P$100="ASST")*(Personnel!$G$9:$G$100="Yes")*(34&gt;=Personnel!$E$9:$E$100)*((Personnel!$K$9:$K$100="")+(34&lt;=Personnel!$K$9:$K$100)&gt;0))</f>
        <v>4</v>
      </c>
      <c r="AM97" s="1" t="n">
        <f aca="false">SUMPRODUCT((Personnel!$P$9:$P$100="ASST")*(Personnel!$G$9:$G$100="Yes")*(35&gt;=Personnel!$E$9:$E$100)*((Personnel!$K$9:$K$100="")+(35&lt;=Personnel!$K$9:$K$100)&gt;0))</f>
        <v>4</v>
      </c>
      <c r="AN97" s="1" t="n">
        <f aca="false">SUMPRODUCT((Personnel!$P$9:$P$100="ASST")*(Personnel!$G$9:$G$100="Yes")*(36&gt;=Personnel!$E$9:$E$100)*((Personnel!$K$9:$K$100="")+(36&lt;=Personnel!$K$9:$K$100)&gt;0))</f>
        <v>4</v>
      </c>
      <c r="AO97" s="1" t="n">
        <f aca="false">SUMPRODUCT((Personnel!$P$9:$P$100="ASST")*(Personnel!$G$9:$G$100="Yes")*(37&gt;=Personnel!$E$9:$E$100)*((Personnel!$K$9:$K$100="")+(37&lt;=Personnel!$K$9:$K$100)&gt;0))</f>
        <v>4</v>
      </c>
      <c r="AP97" s="1" t="n">
        <f aca="false">SUMPRODUCT((Personnel!$P$9:$P$100="ASST")*(Personnel!$G$9:$G$100="Yes")*(38&gt;=Personnel!$E$9:$E$100)*((Personnel!$K$9:$K$100="")+(38&lt;=Personnel!$K$9:$K$100)&gt;0))</f>
        <v>4</v>
      </c>
      <c r="AQ97" s="1" t="n">
        <f aca="false">SUMPRODUCT((Personnel!$P$9:$P$100="ASST")*(Personnel!$G$9:$G$100="Yes")*(39&gt;=Personnel!$E$9:$E$100)*((Personnel!$K$9:$K$100="")+(39&lt;=Personnel!$K$9:$K$100)&gt;0))</f>
        <v>4</v>
      </c>
      <c r="AR97" s="1" t="n">
        <f aca="false">SUMPRODUCT((Personnel!$P$9:$P$100="ASST")*(Personnel!$G$9:$G$100="Yes")*(40&gt;=Personnel!$E$9:$E$100)*((Personnel!$K$9:$K$100="")+(40&lt;=Personnel!$K$9:$K$100)&gt;0))</f>
        <v>4</v>
      </c>
      <c r="AS97" s="1" t="n">
        <f aca="false">SUMPRODUCT((Personnel!$P$9:$P$100="ASST")*(Personnel!$G$9:$G$100="Yes")*(41&gt;=Personnel!$E$9:$E$100)*((Personnel!$K$9:$K$100="")+(41&lt;=Personnel!$K$9:$K$100)&gt;0))</f>
        <v>4</v>
      </c>
      <c r="AT97" s="1" t="n">
        <f aca="false">SUMPRODUCT((Personnel!$P$9:$P$100="ASST")*(Personnel!$G$9:$G$100="Yes")*(42&gt;=Personnel!$E$9:$E$100)*((Personnel!$K$9:$K$100="")+(42&lt;=Personnel!$K$9:$K$100)&gt;0))</f>
        <v>4</v>
      </c>
      <c r="AU97" s="1" t="n">
        <f aca="false">SUMPRODUCT((Personnel!$P$9:$P$100="ASST")*(Personnel!$G$9:$G$100="Yes")*(43&gt;=Personnel!$E$9:$E$100)*((Personnel!$K$9:$K$100="")+(43&lt;=Personnel!$K$9:$K$100)&gt;0))</f>
        <v>4</v>
      </c>
      <c r="AV97" s="1" t="n">
        <f aca="false">SUMPRODUCT((Personnel!$P$9:$P$100="ASST")*(Personnel!$G$9:$G$100="Yes")*(44&gt;=Personnel!$E$9:$E$100)*((Personnel!$K$9:$K$100="")+(44&lt;=Personnel!$K$9:$K$100)&gt;0))</f>
        <v>4</v>
      </c>
      <c r="AW97" s="1" t="n">
        <f aca="false">SUMPRODUCT((Personnel!$P$9:$P$100="ASST")*(Personnel!$G$9:$G$100="Yes")*(45&gt;=Personnel!$E$9:$E$100)*((Personnel!$K$9:$K$100="")+(45&lt;=Personnel!$K$9:$K$100)&gt;0))</f>
        <v>4</v>
      </c>
      <c r="AX97" s="1" t="n">
        <f aca="false">SUMPRODUCT((Personnel!$P$9:$P$100="ASST")*(Personnel!$G$9:$G$100="Yes")*(46&gt;=Personnel!$E$9:$E$100)*((Personnel!$K$9:$K$100="")+(46&lt;=Personnel!$K$9:$K$100)&gt;0))</f>
        <v>4</v>
      </c>
      <c r="AY97" s="1" t="n">
        <f aca="false">SUMPRODUCT((Personnel!$P$9:$P$100="ASST")*(Personnel!$G$9:$G$100="Yes")*(47&gt;=Personnel!$E$9:$E$100)*((Personnel!$K$9:$K$100="")+(47&lt;=Personnel!$K$9:$K$100)&gt;0))</f>
        <v>4</v>
      </c>
      <c r="AZ97" s="1" t="n">
        <f aca="false">SUMPRODUCT((Personnel!$P$9:$P$100="ASST")*(Personnel!$G$9:$G$100="Yes")*(48&gt;=Personnel!$E$9:$E$100)*((Personnel!$K$9:$K$100="")+(48&lt;=Personnel!$K$9:$K$100)&gt;0))</f>
        <v>4</v>
      </c>
      <c r="BA97" s="1" t="n">
        <f aca="false">SUMPRODUCT((Personnel!$P$9:$P$100="ASST")*(Personnel!$G$9:$G$100="Yes")*(49&gt;=Personnel!$E$9:$E$100)*((Personnel!$K$9:$K$100="")+(49&lt;=Personnel!$K$9:$K$100)&gt;0))</f>
        <v>4</v>
      </c>
      <c r="BB97" s="1" t="n">
        <f aca="false">SUMPRODUCT((Personnel!$P$9:$P$100="ASST")*(Personnel!$G$9:$G$100="Yes")*(50&gt;=Personnel!$E$9:$E$100)*((Personnel!$K$9:$K$100="")+(50&lt;=Personnel!$K$9:$K$100)&gt;0))</f>
        <v>4</v>
      </c>
      <c r="BC97" s="1" t="n">
        <f aca="false">SUMPRODUCT((Personnel!$P$9:$P$100="ASST")*(Personnel!$G$9:$G$100="Yes")*(51&gt;=Personnel!$E$9:$E$100)*((Personnel!$K$9:$K$100="")+(51&lt;=Personnel!$K$9:$K$100)&gt;0))</f>
        <v>4</v>
      </c>
      <c r="BD97" s="1" t="n">
        <f aca="false">SUMPRODUCT((Personnel!$P$9:$P$100="ASST")*(Personnel!$G$9:$G$100="Yes")*(52&gt;=Personnel!$E$9:$E$100)*((Personnel!$K$9:$K$100="")+(52&lt;=Personnel!$K$9:$K$100)&gt;0))</f>
        <v>4</v>
      </c>
      <c r="BE97" s="1" t="n">
        <f aca="false">SUMPRODUCT((Personnel!$P$9:$P$100="ASST")*(Personnel!$G$9:$G$100="Yes")*(53&gt;=Personnel!$E$9:$E$100)*((Personnel!$K$9:$K$100="")+(53&lt;=Personnel!$K$9:$K$100)&gt;0))</f>
        <v>4</v>
      </c>
      <c r="BF97" s="1" t="n">
        <f aca="false">SUMPRODUCT((Personnel!$P$9:$P$100="ASST")*(Personnel!$G$9:$G$100="Yes")*(54&gt;=Personnel!$E$9:$E$100)*((Personnel!$K$9:$K$100="")+(54&lt;=Personnel!$K$9:$K$100)&gt;0))</f>
        <v>4</v>
      </c>
      <c r="BG97" s="1" t="n">
        <f aca="false">SUMPRODUCT((Personnel!$P$9:$P$100="ASST")*(Personnel!$G$9:$G$100="Yes")*(55&gt;=Personnel!$E$9:$E$100)*((Personnel!$K$9:$K$100="")+(55&lt;=Personnel!$K$9:$K$100)&gt;0))</f>
        <v>4</v>
      </c>
      <c r="BH97" s="1" t="n">
        <f aca="false">SUMPRODUCT((Personnel!$P$9:$P$100="ASST")*(Personnel!$G$9:$G$100="Yes")*(56&gt;=Personnel!$E$9:$E$100)*((Personnel!$K$9:$K$100="")+(56&lt;=Personnel!$K$9:$K$100)&gt;0))</f>
        <v>4</v>
      </c>
      <c r="BI97" s="1" t="n">
        <f aca="false">SUMPRODUCT((Personnel!$P$9:$P$100="ASST")*(Personnel!$G$9:$G$100="Yes")*(57&gt;=Personnel!$E$9:$E$100)*((Personnel!$K$9:$K$100="")+(57&lt;=Personnel!$K$9:$K$100)&gt;0))</f>
        <v>4</v>
      </c>
      <c r="BJ97" s="1" t="n">
        <f aca="false">SUMPRODUCT((Personnel!$P$9:$P$100="ASST")*(Personnel!$G$9:$G$100="Yes")*(58&gt;=Personnel!$E$9:$E$100)*((Personnel!$K$9:$K$100="")+(58&lt;=Personnel!$K$9:$K$100)&gt;0))</f>
        <v>4</v>
      </c>
      <c r="BK97" s="1" t="n">
        <f aca="false">SUMPRODUCT((Personnel!$P$9:$P$100="ASST")*(Personnel!$G$9:$G$100="Yes")*(59&gt;=Personnel!$E$9:$E$100)*((Personnel!$K$9:$K$100="")+(59&lt;=Personnel!$K$9:$K$100)&gt;0))</f>
        <v>4</v>
      </c>
      <c r="BL97" s="1" t="n">
        <f aca="false">SUMPRODUCT((Personnel!$P$9:$P$100="ASST")*(Personnel!$G$9:$G$100="Yes")*(60&gt;=Personnel!$E$9:$E$100)*((Personnel!$K$9:$K$100="")+(60&lt;=Personnel!$K$9:$K$100)&gt;0))</f>
        <v>4</v>
      </c>
      <c r="BM97" s="1" t="n">
        <f aca="false">SUMPRODUCT((Personnel!$P$9:$P$100="ASST")*(Personnel!$G$9:$G$100="Yes")*(61&gt;=Personnel!$E$9:$E$100)*((Personnel!$K$9:$K$100="")+(61&lt;=Personnel!$K$9:$K$100)&gt;0))</f>
        <v>4</v>
      </c>
      <c r="BN97" s="1" t="n">
        <f aca="false">SUMPRODUCT((Personnel!$P$9:$P$100="ASST")*(Personnel!$G$9:$G$100="Yes")*(62&gt;=Personnel!$E$9:$E$100)*((Personnel!$K$9:$K$100="")+(62&lt;=Personnel!$K$9:$K$100)&gt;0))</f>
        <v>4</v>
      </c>
      <c r="BO97" s="1" t="n">
        <f aca="false">SUMPRODUCT((Personnel!$P$9:$P$100="ASST")*(Personnel!$G$9:$G$100="Yes")*(63&gt;=Personnel!$E$9:$E$100)*((Personnel!$K$9:$K$100="")+(63&lt;=Personnel!$K$9:$K$100)&gt;0))</f>
        <v>4</v>
      </c>
      <c r="BP97" s="1" t="n">
        <f aca="false">SUMPRODUCT((Personnel!$P$9:$P$100="ASST")*(Personnel!$G$9:$G$100="Yes")*(64&gt;=Personnel!$E$9:$E$100)*((Personnel!$K$9:$K$100="")+(64&lt;=Personnel!$K$9:$K$100)&gt;0))</f>
        <v>4</v>
      </c>
      <c r="BQ97" s="1" t="n">
        <f aca="false">SUMPRODUCT((Personnel!$P$9:$P$100="ASST")*(Personnel!$G$9:$G$100="Yes")*(65&gt;=Personnel!$E$9:$E$100)*((Personnel!$K$9:$K$100="")+(65&lt;=Personnel!$K$9:$K$100)&gt;0))</f>
        <v>4</v>
      </c>
      <c r="BR97" s="1" t="n">
        <f aca="false">SUMPRODUCT((Personnel!$P$9:$P$100="ASST")*(Personnel!$G$9:$G$100="Yes")*(66&gt;=Personnel!$E$9:$E$100)*((Personnel!$K$9:$K$100="")+(66&lt;=Personnel!$K$9:$K$100)&gt;0))</f>
        <v>4</v>
      </c>
      <c r="BS97" s="1" t="n">
        <f aca="false">SUMPRODUCT((Personnel!$P$9:$P$100="ASST")*(Personnel!$G$9:$G$100="Yes")*(67&gt;=Personnel!$E$9:$E$100)*((Personnel!$K$9:$K$100="")+(67&lt;=Personnel!$K$9:$K$100)&gt;0))</f>
        <v>4</v>
      </c>
      <c r="BT97" s="1" t="n">
        <f aca="false">SUMPRODUCT((Personnel!$P$9:$P$100="ASST")*(Personnel!$G$9:$G$100="Yes")*(68&gt;=Personnel!$E$9:$E$100)*((Personnel!$K$9:$K$100="")+(68&lt;=Personnel!$K$9:$K$100)&gt;0))</f>
        <v>4</v>
      </c>
      <c r="BU97" s="1" t="n">
        <f aca="false">SUMPRODUCT((Personnel!$P$9:$P$100="ASST")*(Personnel!$G$9:$G$100="Yes")*(69&gt;=Personnel!$E$9:$E$100)*((Personnel!$K$9:$K$100="")+(69&lt;=Personnel!$K$9:$K$100)&gt;0))</f>
        <v>4</v>
      </c>
      <c r="BV97" s="1" t="n">
        <f aca="false">SUMPRODUCT((Personnel!$P$9:$P$100="ASST")*(Personnel!$G$9:$G$100="Yes")*(70&gt;=Personnel!$E$9:$E$100)*((Personnel!$K$9:$K$100="")+(70&lt;=Personnel!$K$9:$K$100)&gt;0))</f>
        <v>4</v>
      </c>
      <c r="BW97" s="1" t="n">
        <f aca="false">SUMPRODUCT((Personnel!$P$9:$P$100="ASST")*(Personnel!$G$9:$G$100="Yes")*(71&gt;=Personnel!$E$9:$E$100)*((Personnel!$K$9:$K$100="")+(71&lt;=Personnel!$K$9:$K$100)&gt;0))</f>
        <v>4</v>
      </c>
      <c r="BX97" s="1" t="n">
        <f aca="false">SUMPRODUCT((Personnel!$P$9:$P$100="ASST")*(Personnel!$G$9:$G$100="Yes")*(72&gt;=Personnel!$E$9:$E$100)*((Personnel!$K$9:$K$100="")+(72&lt;=Personnel!$K$9:$K$100)&gt;0))</f>
        <v>4</v>
      </c>
      <c r="BY97" s="1" t="n">
        <f aca="false">SUMPRODUCT((Personnel!$P$9:$P$100="ASST")*(Personnel!$G$9:$G$100="Yes")*(73&gt;=Personnel!$E$9:$E$100)*((Personnel!$K$9:$K$100="")+(73&lt;=Personnel!$K$9:$K$100)&gt;0))</f>
        <v>4</v>
      </c>
      <c r="BZ97" s="1" t="n">
        <f aca="false">SUMPRODUCT((Personnel!$P$9:$P$100="ASST")*(Personnel!$G$9:$G$100="Yes")*(74&gt;=Personnel!$E$9:$E$100)*((Personnel!$K$9:$K$100="")+(74&lt;=Personnel!$K$9:$K$100)&gt;0))</f>
        <v>4</v>
      </c>
      <c r="CA97" s="1" t="n">
        <f aca="false">SUMPRODUCT((Personnel!$P$9:$P$100="ASST")*(Personnel!$G$9:$G$100="Yes")*(75&gt;=Personnel!$E$9:$E$100)*((Personnel!$K$9:$K$100="")+(75&lt;=Personnel!$K$9:$K$100)&gt;0))</f>
        <v>4</v>
      </c>
      <c r="CB97" s="1" t="n">
        <f aca="false">SUMPRODUCT((Personnel!$P$9:$P$100="ASST")*(Personnel!$G$9:$G$100="Yes")*(76&gt;=Personnel!$E$9:$E$100)*((Personnel!$K$9:$K$100="")+(76&lt;=Personnel!$K$9:$K$100)&gt;0))</f>
        <v>4</v>
      </c>
      <c r="CC97" s="1" t="n">
        <f aca="false">SUMPRODUCT((Personnel!$P$9:$P$100="ASST")*(Personnel!$G$9:$G$100="Yes")*(77&gt;=Personnel!$E$9:$E$100)*((Personnel!$K$9:$K$100="")+(77&lt;=Personnel!$K$9:$K$100)&gt;0))</f>
        <v>4</v>
      </c>
      <c r="CD97" s="1" t="n">
        <f aca="false">SUMPRODUCT((Personnel!$P$9:$P$100="ASST")*(Personnel!$G$9:$G$100="Yes")*(78&gt;=Personnel!$E$9:$E$100)*((Personnel!$K$9:$K$100="")+(78&lt;=Personnel!$K$9:$K$100)&gt;0))</f>
        <v>4</v>
      </c>
      <c r="CE97" s="1" t="n">
        <f aca="false">SUMPRODUCT((Personnel!$P$9:$P$100="ASST")*(Personnel!$G$9:$G$100="Yes")*(79&gt;=Personnel!$E$9:$E$100)*((Personnel!$K$9:$K$100="")+(79&lt;=Personnel!$K$9:$K$100)&gt;0))</f>
        <v>4</v>
      </c>
      <c r="CF97" s="1" t="n">
        <f aca="false">SUMPRODUCT((Personnel!$P$9:$P$100="ASST")*(Personnel!$G$9:$G$100="Yes")*(80&gt;=Personnel!$E$9:$E$100)*((Personnel!$K$9:$K$100="")+(80&lt;=Personnel!$K$9:$K$100)&gt;0))</f>
        <v>4</v>
      </c>
      <c r="CG97" s="1" t="n">
        <f aca="false">SUMPRODUCT((Personnel!$P$9:$P$100="ASST")*(Personnel!$G$9:$G$100="Yes")*(81&gt;=Personnel!$E$9:$E$100)*((Personnel!$K$9:$K$100="")+(81&lt;=Personnel!$K$9:$K$100)&gt;0))</f>
        <v>4</v>
      </c>
      <c r="CH97" s="1" t="n">
        <f aca="false">SUMPRODUCT((Personnel!$P$9:$P$100="ASST")*(Personnel!$G$9:$G$100="Yes")*(82&gt;=Personnel!$E$9:$E$100)*((Personnel!$K$9:$K$100="")+(82&lt;=Personnel!$K$9:$K$100)&gt;0))</f>
        <v>4</v>
      </c>
      <c r="CI97" s="1" t="n">
        <f aca="false">SUMPRODUCT((Personnel!$P$9:$P$100="ASST")*(Personnel!$G$9:$G$100="Yes")*(83&gt;=Personnel!$E$9:$E$100)*((Personnel!$K$9:$K$100="")+(83&lt;=Personnel!$K$9:$K$100)&gt;0))</f>
        <v>4</v>
      </c>
      <c r="CJ97" s="1" t="n">
        <f aca="false">SUMPRODUCT((Personnel!$P$9:$P$100="ASST")*(Personnel!$G$9:$G$100="Yes")*(84&gt;=Personnel!$E$9:$E$100)*((Personnel!$K$9:$K$100="")+(84&lt;=Personnel!$K$9:$K$100)&gt;0))</f>
        <v>4</v>
      </c>
      <c r="CK97" s="1" t="n">
        <f aca="false">SUMPRODUCT((Personnel!$P$9:$P$100="ASST")*(Personnel!$G$9:$G$100="Yes")*(85&gt;=Personnel!$E$9:$E$100)*((Personnel!$K$9:$K$100="")+(85&lt;=Personnel!$K$9:$K$100)&gt;0))</f>
        <v>4</v>
      </c>
      <c r="CL97" s="1" t="n">
        <f aca="false">SUMPRODUCT((Personnel!$P$9:$P$100="ASST")*(Personnel!$G$9:$G$100="Yes")*(86&gt;=Personnel!$E$9:$E$100)*((Personnel!$K$9:$K$100="")+(86&lt;=Personnel!$K$9:$K$100)&gt;0))</f>
        <v>4</v>
      </c>
      <c r="CM97" s="1" t="n">
        <f aca="false">SUMPRODUCT((Personnel!$P$9:$P$100="ASST")*(Personnel!$G$9:$G$100="Yes")*(87&gt;=Personnel!$E$9:$E$100)*((Personnel!$K$9:$K$100="")+(87&lt;=Personnel!$K$9:$K$100)&gt;0))</f>
        <v>4</v>
      </c>
      <c r="CN97" s="1" t="n">
        <f aca="false">SUMPRODUCT((Personnel!$P$9:$P$100="ASST")*(Personnel!$G$9:$G$100="Yes")*(88&gt;=Personnel!$E$9:$E$100)*((Personnel!$K$9:$K$100="")+(88&lt;=Personnel!$K$9:$K$100)&gt;0))</f>
        <v>4</v>
      </c>
      <c r="CO97" s="1" t="n">
        <f aca="false">SUMPRODUCT((Personnel!$P$9:$P$100="ASST")*(Personnel!$G$9:$G$100="Yes")*(89&gt;=Personnel!$E$9:$E$100)*((Personnel!$K$9:$K$100="")+(89&lt;=Personnel!$K$9:$K$100)&gt;0))</f>
        <v>4</v>
      </c>
      <c r="CP97" s="1" t="n">
        <f aca="false">SUMPRODUCT((Personnel!$P$9:$P$100="ASST")*(Personnel!$G$9:$G$100="Yes")*(90&gt;=Personnel!$E$9:$E$100)*((Personnel!$K$9:$K$100="")+(90&lt;=Personnel!$K$9:$K$100)&gt;0))</f>
        <v>4</v>
      </c>
      <c r="CQ97" s="1" t="n">
        <f aca="false">SUMPRODUCT((Personnel!$P$9:$P$100="ASST")*(Personnel!$G$9:$G$100="Yes")*(91&gt;=Personnel!$E$9:$E$100)*((Personnel!$K$9:$K$100="")+(91&lt;=Personnel!$K$9:$K$100)&gt;0))</f>
        <v>4</v>
      </c>
      <c r="CR97" s="1" t="n">
        <f aca="false">SUMPRODUCT((Personnel!$P$9:$P$100="ASST")*(Personnel!$G$9:$G$100="Yes")*(92&gt;=Personnel!$E$9:$E$100)*((Personnel!$K$9:$K$100="")+(92&lt;=Personnel!$K$9:$K$100)&gt;0))</f>
        <v>4</v>
      </c>
      <c r="CS97" s="1" t="n">
        <f aca="false">SUMPRODUCT((Personnel!$P$9:$P$100="ASST")*(Personnel!$G$9:$G$100="Yes")*(93&gt;=Personnel!$E$9:$E$100)*((Personnel!$K$9:$K$100="")+(93&lt;=Personnel!$K$9:$K$100)&gt;0))</f>
        <v>4</v>
      </c>
      <c r="CT97" s="1" t="n">
        <f aca="false">SUMPRODUCT((Personnel!$P$9:$P$100="ASST")*(Personnel!$G$9:$G$100="Yes")*(94&gt;=Personnel!$E$9:$E$100)*((Personnel!$K$9:$K$100="")+(94&lt;=Personnel!$K$9:$K$100)&gt;0))</f>
        <v>4</v>
      </c>
      <c r="CU97" s="1" t="n">
        <f aca="false">SUMPRODUCT((Personnel!$P$9:$P$100="ASST")*(Personnel!$G$9:$G$100="Yes")*(95&gt;=Personnel!$E$9:$E$100)*((Personnel!$K$9:$K$100="")+(95&lt;=Personnel!$K$9:$K$100)&gt;0))</f>
        <v>4</v>
      </c>
      <c r="CV97" s="1" t="n">
        <f aca="false">SUMPRODUCT((Personnel!$P$9:$P$100="ASST")*(Personnel!$G$9:$G$100="Yes")*(96&gt;=Personnel!$E$9:$E$100)*((Personnel!$K$9:$K$100="")+(96&lt;=Personnel!$K$9:$K$100)&gt;0))</f>
        <v>4</v>
      </c>
      <c r="CW97" s="1" t="n">
        <f aca="false">SUMPRODUCT((Personnel!$P$9:$P$100="ASST")*(Personnel!$G$9:$G$100="Yes")*(97&gt;=Personnel!$E$9:$E$100)*((Personnel!$K$9:$K$100="")+(97&lt;=Personnel!$K$9:$K$100)&gt;0))</f>
        <v>4</v>
      </c>
      <c r="CX97" s="1" t="n">
        <f aca="false">SUMPRODUCT((Personnel!$P$9:$P$100="ASST")*(Personnel!$G$9:$G$100="Yes")*(98&gt;=Personnel!$E$9:$E$100)*((Personnel!$K$9:$K$100="")+(98&lt;=Personnel!$K$9:$K$100)&gt;0))</f>
        <v>4</v>
      </c>
      <c r="CY97" s="1" t="n">
        <f aca="false">SUMPRODUCT((Personnel!$P$9:$P$100="ASST")*(Personnel!$G$9:$G$100="Yes")*(99&gt;=Personnel!$E$9:$E$100)*((Personnel!$K$9:$K$100="")+(99&lt;=Personnel!$K$9:$K$100)&gt;0))</f>
        <v>4</v>
      </c>
      <c r="CZ97" s="1" t="n">
        <f aca="false">SUMPRODUCT((Personnel!$P$9:$P$100="ASST")*(Personnel!$G$9:$G$100="Yes")*(100&gt;=Personnel!$E$9:$E$100)*((Personnel!$K$9:$K$100="")+(100&lt;=Personnel!$K$9:$K$100)&gt;0))</f>
        <v>4</v>
      </c>
      <c r="DA97" s="1" t="n">
        <f aca="false">SUMPRODUCT((Personnel!$P$9:$P$100="ASST")*(Personnel!$G$9:$G$100="Yes")*(101&gt;=Personnel!$E$9:$E$100)*((Personnel!$K$9:$K$100="")+(101&lt;=Personnel!$K$9:$K$100)&gt;0))</f>
        <v>4</v>
      </c>
      <c r="DB97" s="1" t="n">
        <f aca="false">SUMPRODUCT((Personnel!$P$9:$P$100="ASST")*(Personnel!$G$9:$G$100="Yes")*(102&gt;=Personnel!$E$9:$E$100)*((Personnel!$K$9:$K$100="")+(102&lt;=Personnel!$K$9:$K$100)&gt;0))</f>
        <v>4</v>
      </c>
      <c r="DC97" s="1" t="n">
        <f aca="false">SUMPRODUCT((Personnel!$P$9:$P$100="ASST")*(Personnel!$G$9:$G$100="Yes")*(103&gt;=Personnel!$E$9:$E$100)*((Personnel!$K$9:$K$100="")+(103&lt;=Personnel!$K$9:$K$100)&gt;0))</f>
        <v>4</v>
      </c>
      <c r="DD97" s="1" t="n">
        <f aca="false">SUMPRODUCT((Personnel!$P$9:$P$100="ASST")*(Personnel!$G$9:$G$100="Yes")*(104&gt;=Personnel!$E$9:$E$100)*((Personnel!$K$9:$K$100="")+(104&lt;=Personnel!$K$9:$K$100)&gt;0))</f>
        <v>4</v>
      </c>
      <c r="DE97" s="1" t="n">
        <f aca="false">SUMPRODUCT((Personnel!$P$9:$P$100="ASST")*(Personnel!$G$9:$G$100="Yes")*(105&gt;=Personnel!$E$9:$E$100)*((Personnel!$K$9:$K$100="")+(105&lt;=Personnel!$K$9:$K$100)&gt;0))</f>
        <v>4</v>
      </c>
    </row>
    <row r="99" customFormat="false" ht="13.5" hidden="false" customHeight="true" outlineLevel="0" collapsed="false">
      <c r="A99" s="110" t="s">
        <v>1421</v>
      </c>
      <c r="B99" s="213" t="n">
        <f aca="false">$B$27</f>
        <v>125000</v>
      </c>
      <c r="E99" s="385" t="n">
        <f aca="false">IF(1&lt;5,0,IF(MAX(E96)&gt;E97+0+$B$18,1,0))</f>
        <v>0</v>
      </c>
      <c r="F99" s="385" t="n">
        <f aca="false">IF(2&lt;5,0,IF(MAX(E96:F96)&gt;F97+0+$B$18,1,0))</f>
        <v>0</v>
      </c>
      <c r="G99" s="385" t="n">
        <f aca="false">IF(3&lt;5,0,IF(MAX(E96:G96)&gt;G97+0+$B$18,1,0))</f>
        <v>0</v>
      </c>
      <c r="H99" s="385" t="n">
        <f aca="false">IF(4&lt;5,0,IF(MAX(E96:H96)&gt;H97+0+$B$18,1,0))</f>
        <v>0</v>
      </c>
      <c r="I99" s="385" t="n">
        <f aca="false">IF(5&lt;5,0,IF(MAX(E96:I96)&gt;I97+0+$B$18,1,0))</f>
        <v>0</v>
      </c>
      <c r="J99" s="385" t="n">
        <f aca="false">IF(6&lt;5,0,IF(MAX(E96:J96)&gt;J97+0+$B$18,1,0))</f>
        <v>0</v>
      </c>
      <c r="K99" s="385" t="n">
        <f aca="false">IF(7&lt;5,0,IF(MAX(F96:K96)&gt;K97+0+$B$18,1,0))</f>
        <v>0</v>
      </c>
      <c r="L99" s="385" t="n">
        <f aca="false">IF(8&lt;5,0,IF(MAX(G96:L96)&gt;L97+0+$B$18,1,0))</f>
        <v>0</v>
      </c>
      <c r="M99" s="385" t="n">
        <f aca="false">IF(9&lt;5,0,IF(MAX(H96:M96)&gt;M97+0+$B$18,1,0))</f>
        <v>1</v>
      </c>
      <c r="N99" s="385" t="n">
        <f aca="false">IF(10&lt;5,0,IF(MAX(I96:N96)&gt;N97+0+$B$18,1,0))</f>
        <v>1</v>
      </c>
      <c r="O99" s="385" t="n">
        <f aca="false">IF(11&lt;5,0,IF(MAX(J96:O96)&gt;O97+0+$B$18,1,0))</f>
        <v>1</v>
      </c>
      <c r="P99" s="385" t="n">
        <f aca="false">IF(12&lt;5,0,IF(MAX(K96:P96)&gt;P97+0+$B$18,1,0))</f>
        <v>1</v>
      </c>
      <c r="Q99" s="385" t="n">
        <f aca="false">IF(13&lt;5,0,IF(MAX(L96:Q96)&gt;Q97+0+$B$18,1,0))</f>
        <v>1</v>
      </c>
      <c r="R99" s="385" t="n">
        <f aca="false">IF(14&lt;5,0,IF(MAX(M96:R96)&gt;R97+0+$B$18,1,0))</f>
        <v>1</v>
      </c>
      <c r="S99" s="385" t="n">
        <f aca="false">IF(15&lt;5,0,IF(MAX(N96:S96)&gt;S97+0+$B$18,1,0))</f>
        <v>1</v>
      </c>
      <c r="T99" s="385" t="n">
        <f aca="false">IF(16&lt;5,0,IF(MAX(O96:T96)&gt;T97+0+$B$18,1,0))</f>
        <v>1</v>
      </c>
      <c r="U99" s="385" t="n">
        <f aca="false">IF(17&lt;5,0,IF(MAX(P96:U96)&gt;U97+0+$B$18,1,0))</f>
        <v>1</v>
      </c>
      <c r="V99" s="385" t="n">
        <f aca="false">IF(18&lt;5,0,IF(MAX(Q96:V96)&gt;V97+0+$B$18,1,0))</f>
        <v>1</v>
      </c>
      <c r="W99" s="385" t="n">
        <f aca="false">IF(19&lt;5,0,IF(MAX(R96:W96)&gt;W97+0+$B$18,1,0))</f>
        <v>1</v>
      </c>
      <c r="X99" s="385" t="n">
        <f aca="false">IF(20&lt;5,0,IF(MAX(S96:X96)&gt;X97+0+$B$18,1,0))</f>
        <v>1</v>
      </c>
      <c r="Y99" s="385" t="n">
        <f aca="false">IF(21&lt;5,0,IF(MAX(T96:Y96)&gt;Y97+0+$B$18,1,0))</f>
        <v>1</v>
      </c>
      <c r="Z99" s="385" t="n">
        <f aca="false">IF(22&lt;5,0,IF(MAX(U96:Z96)&gt;Z97+0+$B$18,1,0))</f>
        <v>1</v>
      </c>
      <c r="AA99" s="385" t="n">
        <f aca="false">IF(23&lt;5,0,IF(MAX(V96:AA96)&gt;AA97+0+$B$18,1,0))</f>
        <v>1</v>
      </c>
      <c r="AB99" s="385" t="n">
        <f aca="false">IF(24&lt;5,0,IF(MAX(W96:AB96)&gt;AB97+0+$B$18,1,0))</f>
        <v>1</v>
      </c>
      <c r="AC99" s="385" t="n">
        <f aca="false">IF(25&lt;5,0,IF(MAX(X96:AC96)&gt;AC97+0+$B$18,1,0))</f>
        <v>1</v>
      </c>
      <c r="AD99" s="385" t="n">
        <f aca="false">IF(26&lt;5,0,IF(MAX(Y96:AD96)&gt;AD97+0+$B$18,1,0))</f>
        <v>1</v>
      </c>
      <c r="AE99" s="385" t="n">
        <f aca="false">IF(27&lt;5,0,IF(MAX(Z96:AE96)&gt;AE97+0+$B$18,1,0))</f>
        <v>1</v>
      </c>
      <c r="AF99" s="385" t="n">
        <f aca="false">IF(28&lt;5,0,IF(MAX(AA96:AF96)&gt;AF97+0+$B$18,1,0))</f>
        <v>1</v>
      </c>
      <c r="AG99" s="385" t="n">
        <f aca="false">IF(29&lt;5,0,IF(MAX(AB96:AG96)&gt;AG97+0+$B$18,1,0))</f>
        <v>1</v>
      </c>
      <c r="AH99" s="385" t="n">
        <f aca="false">IF(30&lt;5,0,IF(MAX(AC96:AH96)&gt;AH97+0+$B$18,1,0))</f>
        <v>1</v>
      </c>
      <c r="AI99" s="385" t="n">
        <f aca="false">IF(31&lt;5,0,IF(MAX(AD96:AI96)&gt;AI97+0+$B$18,1,0))</f>
        <v>1</v>
      </c>
      <c r="AJ99" s="385" t="n">
        <f aca="false">IF(32&lt;5,0,IF(MAX(AE96:AJ96)&gt;AJ97+0+$B$18,1,0))</f>
        <v>1</v>
      </c>
      <c r="AK99" s="385" t="n">
        <f aca="false">IF(33&lt;5,0,IF(MAX(AF96:AK96)&gt;AK97+0+$B$18,1,0))</f>
        <v>1</v>
      </c>
      <c r="AL99" s="385" t="n">
        <f aca="false">IF(34&lt;5,0,IF(MAX(AG96:AL96)&gt;AL97+0+$B$18,1,0))</f>
        <v>1</v>
      </c>
      <c r="AM99" s="385" t="n">
        <f aca="false">IF(35&lt;5,0,IF(MAX(AH96:AM96)&gt;AM97+0+$B$18,1,0))</f>
        <v>1</v>
      </c>
      <c r="AN99" s="385" t="n">
        <f aca="false">IF(36&lt;5,0,IF(MAX(AI96:AN96)&gt;AN97+0+$B$18,1,0))</f>
        <v>1</v>
      </c>
      <c r="AO99" s="385" t="n">
        <f aca="false">IF(37&lt;5,0,IF(MAX(AJ96:AO96)&gt;AO97+0+$B$18,1,0))</f>
        <v>1</v>
      </c>
      <c r="AP99" s="385" t="n">
        <f aca="false">IF(38&lt;5,0,IF(MAX(AK96:AP96)&gt;AP97+0+$B$18,1,0))</f>
        <v>1</v>
      </c>
      <c r="AQ99" s="385" t="n">
        <f aca="false">IF(39&lt;5,0,IF(MAX(AL96:AQ96)&gt;AQ97+0+$B$18,1,0))</f>
        <v>1</v>
      </c>
      <c r="AR99" s="385" t="n">
        <f aca="false">IF(40&lt;5,0,IF(MAX(AM96:AR96)&gt;AR97+0+$B$18,1,0))</f>
        <v>1</v>
      </c>
      <c r="AS99" s="385" t="n">
        <f aca="false">IF(41&lt;5,0,IF(MAX(AN96:AS96)&gt;AS97+0+$B$18,1,0))</f>
        <v>1</v>
      </c>
      <c r="AT99" s="385" t="n">
        <f aca="false">IF(42&lt;5,0,IF(MAX(AO96:AT96)&gt;AT97+0+$B$18,1,0))</f>
        <v>1</v>
      </c>
      <c r="AU99" s="385" t="n">
        <f aca="false">IF(43&lt;5,0,IF(MAX(AP96:AU96)&gt;AU97+0+$B$18,1,0))</f>
        <v>1</v>
      </c>
      <c r="AV99" s="385" t="n">
        <f aca="false">IF(44&lt;5,0,IF(MAX(AQ96:AV96)&gt;AV97+0+$B$18,1,0))</f>
        <v>1</v>
      </c>
      <c r="AW99" s="385" t="n">
        <f aca="false">IF(45&lt;5,0,IF(MAX(AR96:AW96)&gt;AW97+0+$B$18,1,0))</f>
        <v>1</v>
      </c>
      <c r="AX99" s="385" t="n">
        <f aca="false">IF(46&lt;5,0,IF(MAX(AS96:AX96)&gt;AX97+0+$B$18,1,0))</f>
        <v>1</v>
      </c>
      <c r="AY99" s="385" t="n">
        <f aca="false">IF(47&lt;5,0,IF(MAX(AT96:AY96)&gt;AY97+0+$B$18,1,0))</f>
        <v>1</v>
      </c>
      <c r="AZ99" s="385" t="n">
        <f aca="false">IF(48&lt;5,0,IF(MAX(AU96:AZ96)&gt;AZ97+0+$B$18,1,0))</f>
        <v>1</v>
      </c>
      <c r="BA99" s="385" t="n">
        <f aca="false">IF(49&lt;5,0,IF(MAX(AV96:BA96)&gt;BA97+0+$B$18,1,0))</f>
        <v>1</v>
      </c>
      <c r="BB99" s="385" t="n">
        <f aca="false">IF(50&lt;5,0,IF(MAX(AW96:BB96)&gt;BB97+0+$B$18,1,0))</f>
        <v>1</v>
      </c>
      <c r="BC99" s="385" t="n">
        <f aca="false">IF(51&lt;5,0,IF(MAX(AX96:BC96)&gt;BC97+0+$B$18,1,0))</f>
        <v>1</v>
      </c>
      <c r="BD99" s="385" t="n">
        <f aca="false">IF(52&lt;5,0,IF(MAX(AY96:BD96)&gt;BD97+0+$B$18,1,0))</f>
        <v>1</v>
      </c>
      <c r="BE99" s="385" t="n">
        <f aca="false">IF(53&lt;5,0,IF(MAX(AZ96:BE96)&gt;BE97+0+$B$18,1,0))</f>
        <v>1</v>
      </c>
      <c r="BF99" s="385" t="n">
        <f aca="false">IF(54&lt;5,0,IF(MAX(BA96:BF96)&gt;BF97+0+$B$18,1,0))</f>
        <v>1</v>
      </c>
      <c r="BG99" s="385" t="n">
        <f aca="false">IF(55&lt;5,0,IF(MAX(BB96:BG96)&gt;BG97+0+$B$18,1,0))</f>
        <v>1</v>
      </c>
      <c r="BH99" s="385" t="n">
        <f aca="false">IF(56&lt;5,0,IF(MAX(BC96:BH96)&gt;BH97+0+$B$18,1,0))</f>
        <v>1</v>
      </c>
      <c r="BI99" s="385" t="n">
        <f aca="false">IF(57&lt;5,0,IF(MAX(BD96:BI96)&gt;BI97+0+$B$18,1,0))</f>
        <v>1</v>
      </c>
      <c r="BJ99" s="385" t="n">
        <f aca="false">IF(58&lt;5,0,IF(MAX(BE96:BJ96)&gt;BJ97+0+$B$18,1,0))</f>
        <v>1</v>
      </c>
      <c r="BK99" s="385" t="n">
        <f aca="false">IF(59&lt;5,0,IF(MAX(BF96:BK96)&gt;BK97+0+$B$18,1,0))</f>
        <v>1</v>
      </c>
      <c r="BL99" s="385" t="n">
        <f aca="false">IF(60&lt;5,0,IF(MAX(BG96:BL96)&gt;BL97+0+$B$18,1,0))</f>
        <v>1</v>
      </c>
      <c r="BM99" s="385" t="n">
        <f aca="false">IF(61&lt;5,0,IF(MAX(BH96:BM96)&gt;BM97+0+$B$18,1,0))</f>
        <v>1</v>
      </c>
      <c r="BN99" s="385" t="n">
        <f aca="false">IF(62&lt;5,0,IF(MAX(BI96:BN96)&gt;BN97+0+$B$18,1,0))</f>
        <v>1</v>
      </c>
      <c r="BO99" s="385" t="n">
        <f aca="false">IF(63&lt;5,0,IF(MAX(BJ96:BO96)&gt;BO97+0+$B$18,1,0))</f>
        <v>1</v>
      </c>
      <c r="BP99" s="385" t="n">
        <f aca="false">IF(64&lt;5,0,IF(MAX(BK96:BP96)&gt;BP97+0+$B$18,1,0))</f>
        <v>1</v>
      </c>
      <c r="BQ99" s="385" t="n">
        <f aca="false">IF(65&lt;5,0,IF(MAX(BL96:BQ96)&gt;BQ97+0+$B$18,1,0))</f>
        <v>1</v>
      </c>
      <c r="BR99" s="385" t="n">
        <f aca="false">IF(66&lt;5,0,IF(MAX(BM96:BR96)&gt;BR97+0+$B$18,1,0))</f>
        <v>1</v>
      </c>
      <c r="BS99" s="385" t="n">
        <f aca="false">IF(67&lt;5,0,IF(MAX(BN96:BS96)&gt;BS97+0+$B$18,1,0))</f>
        <v>1</v>
      </c>
      <c r="BT99" s="385" t="n">
        <f aca="false">IF(68&lt;5,0,IF(MAX(BO96:BT96)&gt;BT97+0+$B$18,1,0))</f>
        <v>1</v>
      </c>
      <c r="BU99" s="385" t="n">
        <f aca="false">IF(69&lt;5,0,IF(MAX(BP96:BU96)&gt;BU97+0+$B$18,1,0))</f>
        <v>0</v>
      </c>
      <c r="BV99" s="385" t="n">
        <f aca="false">IF(70&lt;5,0,IF(MAX(BQ96:BV96)&gt;BV97+0+$B$18,1,0))</f>
        <v>0</v>
      </c>
      <c r="BW99" s="385" t="n">
        <f aca="false">IF(71&lt;5,0,IF(MAX(BR96:BW96)&gt;BW97+0+$B$18,1,0))</f>
        <v>0</v>
      </c>
      <c r="BX99" s="385" t="n">
        <f aca="false">IF(72&lt;5,0,IF(MAX(BS96:BX96)&gt;BX97+0+$B$18,1,0))</f>
        <v>0</v>
      </c>
      <c r="BY99" s="385" t="n">
        <f aca="false">IF(73&lt;5,0,IF(MAX(BT96:BY96)&gt;BY97+0+$B$18,1,0))</f>
        <v>0</v>
      </c>
      <c r="BZ99" s="385" t="n">
        <f aca="false">IF(74&lt;5,0,IF(MAX(BU96:BZ96)&gt;BZ97+0+$B$18,1,0))</f>
        <v>0</v>
      </c>
      <c r="CA99" s="385" t="n">
        <f aca="false">IF(75&lt;5,0,IF(MAX(BV96:CA96)&gt;CA97+0+$B$18,1,0))</f>
        <v>0</v>
      </c>
      <c r="CB99" s="385" t="n">
        <f aca="false">IF(76&lt;5,0,IF(MAX(BW96:CB96)&gt;CB97+0+$B$18,1,0))</f>
        <v>0</v>
      </c>
      <c r="CC99" s="385" t="n">
        <f aca="false">IF(77&lt;5,0,IF(MAX(BX96:CC96)&gt;CC97+0+$B$18,1,0))</f>
        <v>0</v>
      </c>
      <c r="CD99" s="385" t="n">
        <f aca="false">IF(78&lt;5,0,IF(MAX(BY96:CD96)&gt;CD97+0+$B$18,1,0))</f>
        <v>0</v>
      </c>
      <c r="CE99" s="385" t="n">
        <f aca="false">IF(79&lt;5,0,IF(MAX(BZ96:CE96)&gt;CE97+0+$B$18,1,0))</f>
        <v>0</v>
      </c>
      <c r="CF99" s="385" t="n">
        <f aca="false">IF(80&lt;5,0,IF(MAX(CA96:CF96)&gt;CF97+0+$B$18,1,0))</f>
        <v>0</v>
      </c>
      <c r="CG99" s="385" t="n">
        <f aca="false">IF(81&lt;5,0,IF(MAX(CB96:CG96)&gt;CG97+0+$B$18,1,0))</f>
        <v>0</v>
      </c>
      <c r="CH99" s="385" t="n">
        <f aca="false">IF(82&lt;5,0,IF(MAX(CC96:CH96)&gt;CH97+0+$B$18,1,0))</f>
        <v>0</v>
      </c>
      <c r="CI99" s="385" t="n">
        <f aca="false">IF(83&lt;5,0,IF(MAX(CD96:CI96)&gt;CI97+0+$B$18,1,0))</f>
        <v>0</v>
      </c>
      <c r="CJ99" s="385" t="n">
        <f aca="false">IF(84&lt;5,0,IF(MAX(CE96:CJ96)&gt;CJ97+0+$B$18,1,0))</f>
        <v>0</v>
      </c>
      <c r="CK99" s="385" t="n">
        <f aca="false">IF(85&lt;5,0,IF(MAX(CF96:CK96)&gt;CK97+0+$B$18,1,0))</f>
        <v>0</v>
      </c>
      <c r="CL99" s="385" t="n">
        <f aca="false">IF(86&lt;5,0,IF(MAX(CG96:CL96)&gt;CL97+0+$B$18,1,0))</f>
        <v>0</v>
      </c>
      <c r="CM99" s="385" t="n">
        <f aca="false">IF(87&lt;5,0,IF(MAX(CH96:CM96)&gt;CM97+0+$B$18,1,0))</f>
        <v>0</v>
      </c>
      <c r="CN99" s="385" t="n">
        <f aca="false">IF(88&lt;5,0,IF(MAX(CI96:CN96)&gt;CN97+0+$B$18,1,0))</f>
        <v>0</v>
      </c>
      <c r="CO99" s="385" t="n">
        <f aca="false">IF(89&lt;5,0,IF(MAX(CJ96:CO96)&gt;CO97+0+$B$18,1,0))</f>
        <v>0</v>
      </c>
      <c r="CP99" s="385" t="n">
        <f aca="false">IF(90&lt;5,0,IF(MAX(CK96:CP96)&gt;CP97+0+$B$18,1,0))</f>
        <v>0</v>
      </c>
      <c r="CQ99" s="385" t="n">
        <f aca="false">IF(91&lt;5,0,IF(MAX(CL96:CQ96)&gt;CQ97+0+$B$18,1,0))</f>
        <v>0</v>
      </c>
      <c r="CR99" s="385" t="n">
        <f aca="false">IF(92&lt;5,0,IF(MAX(CM96:CR96)&gt;CR97+0+$B$18,1,0))</f>
        <v>0</v>
      </c>
      <c r="CS99" s="385" t="n">
        <f aca="false">IF(93&lt;5,0,IF(MAX(CN96:CS96)&gt;CS97+0+$B$18,1,0))</f>
        <v>0</v>
      </c>
      <c r="CT99" s="385" t="n">
        <f aca="false">IF(94&lt;5,0,IF(MAX(CO96:CT96)&gt;CT97+0+$B$18,1,0))</f>
        <v>0</v>
      </c>
      <c r="CU99" s="385" t="n">
        <f aca="false">IF(95&lt;5,0,IF(MAX(CP96:CU96)&gt;CU97+0+$B$18,1,0))</f>
        <v>0</v>
      </c>
      <c r="CV99" s="385" t="n">
        <f aca="false">IF(96&lt;5,0,IF(MAX(CQ96:CV96)&gt;CV97+0+$B$18,1,0))</f>
        <v>0</v>
      </c>
      <c r="CW99" s="385" t="n">
        <f aca="false">IF(97&lt;5,0,IF(MAX(CR96:CW96)&gt;CW97+0+$B$18,1,0))</f>
        <v>0</v>
      </c>
      <c r="CX99" s="385" t="n">
        <f aca="false">IF(98&lt;5,0,IF(MAX(CS96:CX96)&gt;CX97+0+$B$18,1,0))</f>
        <v>0</v>
      </c>
      <c r="CY99" s="385" t="n">
        <f aca="false">IF(99&lt;5,0,IF(MAX(CT96:CY96)&gt;CY97+0+$B$18,1,0))</f>
        <v>0</v>
      </c>
      <c r="CZ99" s="385" t="n">
        <f aca="false">IF(100&lt;5,0,IF(MAX(CU96:CZ96)&gt;CZ97+0+$B$18,1,0))</f>
        <v>0</v>
      </c>
      <c r="DA99" s="385" t="n">
        <f aca="false">IF(101&lt;5,0,IF(MAX(CV96:DA96)&gt;DA97+0+$B$18,1,0))</f>
        <v>0</v>
      </c>
      <c r="DB99" s="385" t="n">
        <f aca="false">IF(102&lt;5,0,IF(MAX(CW96:DB96)&gt;DB97+0+$B$18,1,0))</f>
        <v>0</v>
      </c>
      <c r="DC99" s="385" t="n">
        <f aca="false">IF(103&lt;5,0,IF(MAX(CX96:DC96)&gt;DC97+0+$B$18,1,0))</f>
        <v>0</v>
      </c>
      <c r="DD99" s="385" t="n">
        <f aca="false">IF(104&lt;5,0,IF(MAX(CY96:DD96)&gt;DD97+0+$B$18,1,0))</f>
        <v>0</v>
      </c>
      <c r="DE99" s="385" t="n">
        <f aca="false">IF(105&lt;5,0,IF(MAX(CZ96:DE96)&gt;DE97+0+$B$18,1,0))</f>
        <v>0</v>
      </c>
    </row>
    <row r="100" customFormat="false" ht="13.5" hidden="false" customHeight="true" outlineLevel="0" collapsed="false">
      <c r="A100" s="110" t="s">
        <v>1422</v>
      </c>
      <c r="B100" s="213" t="n">
        <f aca="false">$B$27</f>
        <v>125000</v>
      </c>
      <c r="E100" s="385" t="n">
        <f aca="false">IF(1&lt;5,0,IF(MAX(E96)&gt;E97+1+$B$18,1,0))</f>
        <v>0</v>
      </c>
      <c r="F100" s="385" t="n">
        <f aca="false">IF(2&lt;5,0,IF(MAX(E96:F96)&gt;F97+1+$B$18,1,0))</f>
        <v>0</v>
      </c>
      <c r="G100" s="385" t="n">
        <f aca="false">IF(3&lt;5,0,IF(MAX(E96:G96)&gt;G97+1+$B$18,1,0))</f>
        <v>0</v>
      </c>
      <c r="H100" s="385" t="n">
        <f aca="false">IF(4&lt;5,0,IF(MAX(E96:H96)&gt;H97+1+$B$18,1,0))</f>
        <v>0</v>
      </c>
      <c r="I100" s="385" t="n">
        <f aca="false">IF(5&lt;5,0,IF(MAX(E96:I96)&gt;I97+1+$B$18,1,0))</f>
        <v>0</v>
      </c>
      <c r="J100" s="385" t="n">
        <f aca="false">IF(6&lt;5,0,IF(MAX(E96:J96)&gt;J97+1+$B$18,1,0))</f>
        <v>0</v>
      </c>
      <c r="K100" s="385" t="n">
        <f aca="false">IF(7&lt;5,0,IF(MAX(F96:K96)&gt;K97+1+$B$18,1,0))</f>
        <v>0</v>
      </c>
      <c r="L100" s="385" t="n">
        <f aca="false">IF(8&lt;5,0,IF(MAX(G96:L96)&gt;L97+1+$B$18,1,0))</f>
        <v>0</v>
      </c>
      <c r="M100" s="385" t="n">
        <f aca="false">IF(9&lt;5,0,IF(MAX(H96:M96)&gt;M97+1+$B$18,1,0))</f>
        <v>0</v>
      </c>
      <c r="N100" s="385" t="n">
        <f aca="false">IF(10&lt;5,0,IF(MAX(I96:N96)&gt;N97+1+$B$18,1,0))</f>
        <v>0</v>
      </c>
      <c r="O100" s="385" t="n">
        <f aca="false">IF(11&lt;5,0,IF(MAX(J96:O96)&gt;O97+1+$B$18,1,0))</f>
        <v>1</v>
      </c>
      <c r="P100" s="385" t="n">
        <f aca="false">IF(12&lt;5,0,IF(MAX(K96:P96)&gt;P97+1+$B$18,1,0))</f>
        <v>1</v>
      </c>
      <c r="Q100" s="385" t="n">
        <f aca="false">IF(13&lt;5,0,IF(MAX(L96:Q96)&gt;Q97+1+$B$18,1,0))</f>
        <v>1</v>
      </c>
      <c r="R100" s="385" t="n">
        <f aca="false">IF(14&lt;5,0,IF(MAX(M96:R96)&gt;R97+1+$B$18,1,0))</f>
        <v>1</v>
      </c>
      <c r="S100" s="385" t="n">
        <f aca="false">IF(15&lt;5,0,IF(MAX(N96:S96)&gt;S97+1+$B$18,1,0))</f>
        <v>1</v>
      </c>
      <c r="T100" s="385" t="n">
        <f aca="false">IF(16&lt;5,0,IF(MAX(O96:T96)&gt;T97+1+$B$18,1,0))</f>
        <v>1</v>
      </c>
      <c r="U100" s="385" t="n">
        <f aca="false">IF(17&lt;5,0,IF(MAX(P96:U96)&gt;U97+1+$B$18,1,0))</f>
        <v>1</v>
      </c>
      <c r="V100" s="385" t="n">
        <f aca="false">IF(18&lt;5,0,IF(MAX(Q96:V96)&gt;V97+1+$B$18,1,0))</f>
        <v>1</v>
      </c>
      <c r="W100" s="385" t="n">
        <f aca="false">IF(19&lt;5,0,IF(MAX(R96:W96)&gt;W97+1+$B$18,1,0))</f>
        <v>1</v>
      </c>
      <c r="X100" s="385" t="n">
        <f aca="false">IF(20&lt;5,0,IF(MAX(S96:X96)&gt;X97+1+$B$18,1,0))</f>
        <v>1</v>
      </c>
      <c r="Y100" s="385" t="n">
        <f aca="false">IF(21&lt;5,0,IF(MAX(T96:Y96)&gt;Y97+1+$B$18,1,0))</f>
        <v>1</v>
      </c>
      <c r="Z100" s="385" t="n">
        <f aca="false">IF(22&lt;5,0,IF(MAX(U96:Z96)&gt;Z97+1+$B$18,1,0))</f>
        <v>1</v>
      </c>
      <c r="AA100" s="385" t="n">
        <f aca="false">IF(23&lt;5,0,IF(MAX(V96:AA96)&gt;AA97+1+$B$18,1,0))</f>
        <v>1</v>
      </c>
      <c r="AB100" s="385" t="n">
        <f aca="false">IF(24&lt;5,0,IF(MAX(W96:AB96)&gt;AB97+1+$B$18,1,0))</f>
        <v>1</v>
      </c>
      <c r="AC100" s="385" t="n">
        <f aca="false">IF(25&lt;5,0,IF(MAX(X96:AC96)&gt;AC97+1+$B$18,1,0))</f>
        <v>1</v>
      </c>
      <c r="AD100" s="385" t="n">
        <f aca="false">IF(26&lt;5,0,IF(MAX(Y96:AD96)&gt;AD97+1+$B$18,1,0))</f>
        <v>1</v>
      </c>
      <c r="AE100" s="385" t="n">
        <f aca="false">IF(27&lt;5,0,IF(MAX(Z96:AE96)&gt;AE97+1+$B$18,1,0))</f>
        <v>1</v>
      </c>
      <c r="AF100" s="385" t="n">
        <f aca="false">IF(28&lt;5,0,IF(MAX(AA96:AF96)&gt;AF97+1+$B$18,1,0))</f>
        <v>1</v>
      </c>
      <c r="AG100" s="385" t="n">
        <f aca="false">IF(29&lt;5,0,IF(MAX(AB96:AG96)&gt;AG97+1+$B$18,1,0))</f>
        <v>1</v>
      </c>
      <c r="AH100" s="385" t="n">
        <f aca="false">IF(30&lt;5,0,IF(MAX(AC96:AH96)&gt;AH97+1+$B$18,1,0))</f>
        <v>1</v>
      </c>
      <c r="AI100" s="385" t="n">
        <f aca="false">IF(31&lt;5,0,IF(MAX(AD96:AI96)&gt;AI97+1+$B$18,1,0))</f>
        <v>1</v>
      </c>
      <c r="AJ100" s="385" t="n">
        <f aca="false">IF(32&lt;5,0,IF(MAX(AE96:AJ96)&gt;AJ97+1+$B$18,1,0))</f>
        <v>1</v>
      </c>
      <c r="AK100" s="385" t="n">
        <f aca="false">IF(33&lt;5,0,IF(MAX(AF96:AK96)&gt;AK97+1+$B$18,1,0))</f>
        <v>1</v>
      </c>
      <c r="AL100" s="385" t="n">
        <f aca="false">IF(34&lt;5,0,IF(MAX(AG96:AL96)&gt;AL97+1+$B$18,1,0))</f>
        <v>1</v>
      </c>
      <c r="AM100" s="385" t="n">
        <f aca="false">IF(35&lt;5,0,IF(MAX(AH96:AM96)&gt;AM97+1+$B$18,1,0))</f>
        <v>1</v>
      </c>
      <c r="AN100" s="385" t="n">
        <f aca="false">IF(36&lt;5,0,IF(MAX(AI96:AN96)&gt;AN97+1+$B$18,1,0))</f>
        <v>1</v>
      </c>
      <c r="AO100" s="385" t="n">
        <f aca="false">IF(37&lt;5,0,IF(MAX(AJ96:AO96)&gt;AO97+1+$B$18,1,0))</f>
        <v>1</v>
      </c>
      <c r="AP100" s="385" t="n">
        <f aca="false">IF(38&lt;5,0,IF(MAX(AK96:AP96)&gt;AP97+1+$B$18,1,0))</f>
        <v>1</v>
      </c>
      <c r="AQ100" s="385" t="n">
        <f aca="false">IF(39&lt;5,0,IF(MAX(AL96:AQ96)&gt;AQ97+1+$B$18,1,0))</f>
        <v>1</v>
      </c>
      <c r="AR100" s="385" t="n">
        <f aca="false">IF(40&lt;5,0,IF(MAX(AM96:AR96)&gt;AR97+1+$B$18,1,0))</f>
        <v>1</v>
      </c>
      <c r="AS100" s="385" t="n">
        <f aca="false">IF(41&lt;5,0,IF(MAX(AN96:AS96)&gt;AS97+1+$B$18,1,0))</f>
        <v>1</v>
      </c>
      <c r="AT100" s="385" t="n">
        <f aca="false">IF(42&lt;5,0,IF(MAX(AO96:AT96)&gt;AT97+1+$B$18,1,0))</f>
        <v>1</v>
      </c>
      <c r="AU100" s="385" t="n">
        <f aca="false">IF(43&lt;5,0,IF(MAX(AP96:AU96)&gt;AU97+1+$B$18,1,0))</f>
        <v>1</v>
      </c>
      <c r="AV100" s="385" t="n">
        <f aca="false">IF(44&lt;5,0,IF(MAX(AQ96:AV96)&gt;AV97+1+$B$18,1,0))</f>
        <v>1</v>
      </c>
      <c r="AW100" s="385" t="n">
        <f aca="false">IF(45&lt;5,0,IF(MAX(AR96:AW96)&gt;AW97+1+$B$18,1,0))</f>
        <v>1</v>
      </c>
      <c r="AX100" s="385" t="n">
        <f aca="false">IF(46&lt;5,0,IF(MAX(AS96:AX96)&gt;AX97+1+$B$18,1,0))</f>
        <v>1</v>
      </c>
      <c r="AY100" s="385" t="n">
        <f aca="false">IF(47&lt;5,0,IF(MAX(AT96:AY96)&gt;AY97+1+$B$18,1,0))</f>
        <v>1</v>
      </c>
      <c r="AZ100" s="385" t="n">
        <f aca="false">IF(48&lt;5,0,IF(MAX(AU96:AZ96)&gt;AZ97+1+$B$18,1,0))</f>
        <v>1</v>
      </c>
      <c r="BA100" s="385" t="n">
        <f aca="false">IF(49&lt;5,0,IF(MAX(AV96:BA96)&gt;BA97+1+$B$18,1,0))</f>
        <v>1</v>
      </c>
      <c r="BB100" s="385" t="n">
        <f aca="false">IF(50&lt;5,0,IF(MAX(AW96:BB96)&gt;BB97+1+$B$18,1,0))</f>
        <v>1</v>
      </c>
      <c r="BC100" s="385" t="n">
        <f aca="false">IF(51&lt;5,0,IF(MAX(AX96:BC96)&gt;BC97+1+$B$18,1,0))</f>
        <v>1</v>
      </c>
      <c r="BD100" s="385" t="n">
        <f aca="false">IF(52&lt;5,0,IF(MAX(AY96:BD96)&gt;BD97+1+$B$18,1,0))</f>
        <v>1</v>
      </c>
      <c r="BE100" s="385" t="n">
        <f aca="false">IF(53&lt;5,0,IF(MAX(AZ96:BE96)&gt;BE97+1+$B$18,1,0))</f>
        <v>1</v>
      </c>
      <c r="BF100" s="385" t="n">
        <f aca="false">IF(54&lt;5,0,IF(MAX(BA96:BF96)&gt;BF97+1+$B$18,1,0))</f>
        <v>1</v>
      </c>
      <c r="BG100" s="385" t="n">
        <f aca="false">IF(55&lt;5,0,IF(MAX(BB96:BG96)&gt;BG97+1+$B$18,1,0))</f>
        <v>1</v>
      </c>
      <c r="BH100" s="385" t="n">
        <f aca="false">IF(56&lt;5,0,IF(MAX(BC96:BH96)&gt;BH97+1+$B$18,1,0))</f>
        <v>1</v>
      </c>
      <c r="BI100" s="385" t="n">
        <f aca="false">IF(57&lt;5,0,IF(MAX(BD96:BI96)&gt;BI97+1+$B$18,1,0))</f>
        <v>1</v>
      </c>
      <c r="BJ100" s="385" t="n">
        <f aca="false">IF(58&lt;5,0,IF(MAX(BE96:BJ96)&gt;BJ97+1+$B$18,1,0))</f>
        <v>1</v>
      </c>
      <c r="BK100" s="385" t="n">
        <f aca="false">IF(59&lt;5,0,IF(MAX(BF96:BK96)&gt;BK97+1+$B$18,1,0))</f>
        <v>1</v>
      </c>
      <c r="BL100" s="385" t="n">
        <f aca="false">IF(60&lt;5,0,IF(MAX(BG96:BL96)&gt;BL97+1+$B$18,1,0))</f>
        <v>1</v>
      </c>
      <c r="BM100" s="385" t="n">
        <f aca="false">IF(61&lt;5,0,IF(MAX(BH96:BM96)&gt;BM97+1+$B$18,1,0))</f>
        <v>1</v>
      </c>
      <c r="BN100" s="385" t="n">
        <f aca="false">IF(62&lt;5,0,IF(MAX(BI96:BN96)&gt;BN97+1+$B$18,1,0))</f>
        <v>1</v>
      </c>
      <c r="BO100" s="385" t="n">
        <f aca="false">IF(63&lt;5,0,IF(MAX(BJ96:BO96)&gt;BO97+1+$B$18,1,0))</f>
        <v>1</v>
      </c>
      <c r="BP100" s="385" t="n">
        <f aca="false">IF(64&lt;5,0,IF(MAX(BK96:BP96)&gt;BP97+1+$B$18,1,0))</f>
        <v>0</v>
      </c>
      <c r="BQ100" s="385" t="n">
        <f aca="false">IF(65&lt;5,0,IF(MAX(BL96:BQ96)&gt;BQ97+1+$B$18,1,0))</f>
        <v>0</v>
      </c>
      <c r="BR100" s="385" t="n">
        <f aca="false">IF(66&lt;5,0,IF(MAX(BM96:BR96)&gt;BR97+1+$B$18,1,0))</f>
        <v>0</v>
      </c>
      <c r="BS100" s="385" t="n">
        <f aca="false">IF(67&lt;5,0,IF(MAX(BN96:BS96)&gt;BS97+1+$B$18,1,0))</f>
        <v>0</v>
      </c>
      <c r="BT100" s="385" t="n">
        <f aca="false">IF(68&lt;5,0,IF(MAX(BO96:BT96)&gt;BT97+1+$B$18,1,0))</f>
        <v>0</v>
      </c>
      <c r="BU100" s="385" t="n">
        <f aca="false">IF(69&lt;5,0,IF(MAX(BP96:BU96)&gt;BU97+1+$B$18,1,0))</f>
        <v>0</v>
      </c>
      <c r="BV100" s="385" t="n">
        <f aca="false">IF(70&lt;5,0,IF(MAX(BQ96:BV96)&gt;BV97+1+$B$18,1,0))</f>
        <v>0</v>
      </c>
      <c r="BW100" s="385" t="n">
        <f aca="false">IF(71&lt;5,0,IF(MAX(BR96:BW96)&gt;BW97+1+$B$18,1,0))</f>
        <v>0</v>
      </c>
      <c r="BX100" s="385" t="n">
        <f aca="false">IF(72&lt;5,0,IF(MAX(BS96:BX96)&gt;BX97+1+$B$18,1,0))</f>
        <v>0</v>
      </c>
      <c r="BY100" s="385" t="n">
        <f aca="false">IF(73&lt;5,0,IF(MAX(BT96:BY96)&gt;BY97+1+$B$18,1,0))</f>
        <v>0</v>
      </c>
      <c r="BZ100" s="385" t="n">
        <f aca="false">IF(74&lt;5,0,IF(MAX(BU96:BZ96)&gt;BZ97+1+$B$18,1,0))</f>
        <v>0</v>
      </c>
      <c r="CA100" s="385" t="n">
        <f aca="false">IF(75&lt;5,0,IF(MAX(BV96:CA96)&gt;CA97+1+$B$18,1,0))</f>
        <v>0</v>
      </c>
      <c r="CB100" s="385" t="n">
        <f aca="false">IF(76&lt;5,0,IF(MAX(BW96:CB96)&gt;CB97+1+$B$18,1,0))</f>
        <v>0</v>
      </c>
      <c r="CC100" s="385" t="n">
        <f aca="false">IF(77&lt;5,0,IF(MAX(BX96:CC96)&gt;CC97+1+$B$18,1,0))</f>
        <v>0</v>
      </c>
      <c r="CD100" s="385" t="n">
        <f aca="false">IF(78&lt;5,0,IF(MAX(BY96:CD96)&gt;CD97+1+$B$18,1,0))</f>
        <v>0</v>
      </c>
      <c r="CE100" s="385" t="n">
        <f aca="false">IF(79&lt;5,0,IF(MAX(BZ96:CE96)&gt;CE97+1+$B$18,1,0))</f>
        <v>0</v>
      </c>
      <c r="CF100" s="385" t="n">
        <f aca="false">IF(80&lt;5,0,IF(MAX(CA96:CF96)&gt;CF97+1+$B$18,1,0))</f>
        <v>0</v>
      </c>
      <c r="CG100" s="385" t="n">
        <f aca="false">IF(81&lt;5,0,IF(MAX(CB96:CG96)&gt;CG97+1+$B$18,1,0))</f>
        <v>0</v>
      </c>
      <c r="CH100" s="385" t="n">
        <f aca="false">IF(82&lt;5,0,IF(MAX(CC96:CH96)&gt;CH97+1+$B$18,1,0))</f>
        <v>0</v>
      </c>
      <c r="CI100" s="385" t="n">
        <f aca="false">IF(83&lt;5,0,IF(MAX(CD96:CI96)&gt;CI97+1+$B$18,1,0))</f>
        <v>0</v>
      </c>
      <c r="CJ100" s="385" t="n">
        <f aca="false">IF(84&lt;5,0,IF(MAX(CE96:CJ96)&gt;CJ97+1+$B$18,1,0))</f>
        <v>0</v>
      </c>
      <c r="CK100" s="385" t="n">
        <f aca="false">IF(85&lt;5,0,IF(MAX(CF96:CK96)&gt;CK97+1+$B$18,1,0))</f>
        <v>0</v>
      </c>
      <c r="CL100" s="385" t="n">
        <f aca="false">IF(86&lt;5,0,IF(MAX(CG96:CL96)&gt;CL97+1+$B$18,1,0))</f>
        <v>0</v>
      </c>
      <c r="CM100" s="385" t="n">
        <f aca="false">IF(87&lt;5,0,IF(MAX(CH96:CM96)&gt;CM97+1+$B$18,1,0))</f>
        <v>0</v>
      </c>
      <c r="CN100" s="385" t="n">
        <f aca="false">IF(88&lt;5,0,IF(MAX(CI96:CN96)&gt;CN97+1+$B$18,1,0))</f>
        <v>0</v>
      </c>
      <c r="CO100" s="385" t="n">
        <f aca="false">IF(89&lt;5,0,IF(MAX(CJ96:CO96)&gt;CO97+1+$B$18,1,0))</f>
        <v>0</v>
      </c>
      <c r="CP100" s="385" t="n">
        <f aca="false">IF(90&lt;5,0,IF(MAX(CK96:CP96)&gt;CP97+1+$B$18,1,0))</f>
        <v>0</v>
      </c>
      <c r="CQ100" s="385" t="n">
        <f aca="false">IF(91&lt;5,0,IF(MAX(CL96:CQ96)&gt;CQ97+1+$B$18,1,0))</f>
        <v>0</v>
      </c>
      <c r="CR100" s="385" t="n">
        <f aca="false">IF(92&lt;5,0,IF(MAX(CM96:CR96)&gt;CR97+1+$B$18,1,0))</f>
        <v>0</v>
      </c>
      <c r="CS100" s="385" t="n">
        <f aca="false">IF(93&lt;5,0,IF(MAX(CN96:CS96)&gt;CS97+1+$B$18,1,0))</f>
        <v>0</v>
      </c>
      <c r="CT100" s="385" t="n">
        <f aca="false">IF(94&lt;5,0,IF(MAX(CO96:CT96)&gt;CT97+1+$B$18,1,0))</f>
        <v>0</v>
      </c>
      <c r="CU100" s="385" t="n">
        <f aca="false">IF(95&lt;5,0,IF(MAX(CP96:CU96)&gt;CU97+1+$B$18,1,0))</f>
        <v>0</v>
      </c>
      <c r="CV100" s="385" t="n">
        <f aca="false">IF(96&lt;5,0,IF(MAX(CQ96:CV96)&gt;CV97+1+$B$18,1,0))</f>
        <v>0</v>
      </c>
      <c r="CW100" s="385" t="n">
        <f aca="false">IF(97&lt;5,0,IF(MAX(CR96:CW96)&gt;CW97+1+$B$18,1,0))</f>
        <v>0</v>
      </c>
      <c r="CX100" s="385" t="n">
        <f aca="false">IF(98&lt;5,0,IF(MAX(CS96:CX96)&gt;CX97+1+$B$18,1,0))</f>
        <v>0</v>
      </c>
      <c r="CY100" s="385" t="n">
        <f aca="false">IF(99&lt;5,0,IF(MAX(CT96:CY96)&gt;CY97+1+$B$18,1,0))</f>
        <v>0</v>
      </c>
      <c r="CZ100" s="385" t="n">
        <f aca="false">IF(100&lt;5,0,IF(MAX(CU96:CZ96)&gt;CZ97+1+$B$18,1,0))</f>
        <v>0</v>
      </c>
      <c r="DA100" s="385" t="n">
        <f aca="false">IF(101&lt;5,0,IF(MAX(CV96:DA96)&gt;DA97+1+$B$18,1,0))</f>
        <v>0</v>
      </c>
      <c r="DB100" s="385" t="n">
        <f aca="false">IF(102&lt;5,0,IF(MAX(CW96:DB96)&gt;DB97+1+$B$18,1,0))</f>
        <v>0</v>
      </c>
      <c r="DC100" s="385" t="n">
        <f aca="false">IF(103&lt;5,0,IF(MAX(CX96:DC96)&gt;DC97+1+$B$18,1,0))</f>
        <v>0</v>
      </c>
      <c r="DD100" s="385" t="n">
        <f aca="false">IF(104&lt;5,0,IF(MAX(CY96:DD96)&gt;DD97+1+$B$18,1,0))</f>
        <v>0</v>
      </c>
      <c r="DE100" s="385" t="n">
        <f aca="false">IF(105&lt;5,0,IF(MAX(CZ96:DE96)&gt;DE97+1+$B$18,1,0))</f>
        <v>0</v>
      </c>
    </row>
    <row r="101" customFormat="false" ht="13.5" hidden="false" customHeight="true" outlineLevel="0" collapsed="false">
      <c r="A101" s="110" t="s">
        <v>1423</v>
      </c>
      <c r="B101" s="213" t="n">
        <f aca="false">$B$27</f>
        <v>125000</v>
      </c>
      <c r="E101" s="385" t="n">
        <f aca="false">IF(1&lt;5,0,IF(MAX(E96)&gt;E97+2+$B$18,1,0))</f>
        <v>0</v>
      </c>
      <c r="F101" s="385" t="n">
        <f aca="false">IF(2&lt;5,0,IF(MAX(E96:F96)&gt;F97+2+$B$18,1,0))</f>
        <v>0</v>
      </c>
      <c r="G101" s="385" t="n">
        <f aca="false">IF(3&lt;5,0,IF(MAX(E96:G96)&gt;G97+2+$B$18,1,0))</f>
        <v>0</v>
      </c>
      <c r="H101" s="385" t="n">
        <f aca="false">IF(4&lt;5,0,IF(MAX(E96:H96)&gt;H97+2+$B$18,1,0))</f>
        <v>0</v>
      </c>
      <c r="I101" s="385" t="n">
        <f aca="false">IF(5&lt;5,0,IF(MAX(E96:I96)&gt;I97+2+$B$18,1,0))</f>
        <v>0</v>
      </c>
      <c r="J101" s="385" t="n">
        <f aca="false">IF(6&lt;5,0,IF(MAX(E96:J96)&gt;J97+2+$B$18,1,0))</f>
        <v>0</v>
      </c>
      <c r="K101" s="385" t="n">
        <f aca="false">IF(7&lt;5,0,IF(MAX(F96:K96)&gt;K97+2+$B$18,1,0))</f>
        <v>0</v>
      </c>
      <c r="L101" s="385" t="n">
        <f aca="false">IF(8&lt;5,0,IF(MAX(G96:L96)&gt;L97+2+$B$18,1,0))</f>
        <v>0</v>
      </c>
      <c r="M101" s="385" t="n">
        <f aca="false">IF(9&lt;5,0,IF(MAX(H96:M96)&gt;M97+2+$B$18,1,0))</f>
        <v>0</v>
      </c>
      <c r="N101" s="385" t="n">
        <f aca="false">IF(10&lt;5,0,IF(MAX(I96:N96)&gt;N97+2+$B$18,1,0))</f>
        <v>0</v>
      </c>
      <c r="O101" s="385" t="n">
        <f aca="false">IF(11&lt;5,0,IF(MAX(J96:O96)&gt;O97+2+$B$18,1,0))</f>
        <v>0</v>
      </c>
      <c r="P101" s="385" t="n">
        <f aca="false">IF(12&lt;5,0,IF(MAX(K96:P96)&gt;P97+2+$B$18,1,0))</f>
        <v>0</v>
      </c>
      <c r="Q101" s="385" t="n">
        <f aca="false">IF(13&lt;5,0,IF(MAX(L96:Q96)&gt;Q97+2+$B$18,1,0))</f>
        <v>1</v>
      </c>
      <c r="R101" s="385" t="n">
        <f aca="false">IF(14&lt;5,0,IF(MAX(M96:R96)&gt;R97+2+$B$18,1,0))</f>
        <v>1</v>
      </c>
      <c r="S101" s="385" t="n">
        <f aca="false">IF(15&lt;5,0,IF(MAX(N96:S96)&gt;S97+2+$B$18,1,0))</f>
        <v>1</v>
      </c>
      <c r="T101" s="385" t="n">
        <f aca="false">IF(16&lt;5,0,IF(MAX(O96:T96)&gt;T97+2+$B$18,1,0))</f>
        <v>1</v>
      </c>
      <c r="U101" s="385" t="n">
        <f aca="false">IF(17&lt;5,0,IF(MAX(P96:U96)&gt;U97+2+$B$18,1,0))</f>
        <v>1</v>
      </c>
      <c r="V101" s="385" t="n">
        <f aca="false">IF(18&lt;5,0,IF(MAX(Q96:V96)&gt;V97+2+$B$18,1,0))</f>
        <v>1</v>
      </c>
      <c r="W101" s="385" t="n">
        <f aca="false">IF(19&lt;5,0,IF(MAX(R96:W96)&gt;W97+2+$B$18,1,0))</f>
        <v>1</v>
      </c>
      <c r="X101" s="385" t="n">
        <f aca="false">IF(20&lt;5,0,IF(MAX(S96:X96)&gt;X97+2+$B$18,1,0))</f>
        <v>1</v>
      </c>
      <c r="Y101" s="385" t="n">
        <f aca="false">IF(21&lt;5,0,IF(MAX(T96:Y96)&gt;Y97+2+$B$18,1,0))</f>
        <v>1</v>
      </c>
      <c r="Z101" s="385" t="n">
        <f aca="false">IF(22&lt;5,0,IF(MAX(U96:Z96)&gt;Z97+2+$B$18,1,0))</f>
        <v>1</v>
      </c>
      <c r="AA101" s="385" t="n">
        <f aca="false">IF(23&lt;5,0,IF(MAX(V96:AA96)&gt;AA97+2+$B$18,1,0))</f>
        <v>1</v>
      </c>
      <c r="AB101" s="385" t="n">
        <f aca="false">IF(24&lt;5,0,IF(MAX(W96:AB96)&gt;AB97+2+$B$18,1,0))</f>
        <v>1</v>
      </c>
      <c r="AC101" s="385" t="n">
        <f aca="false">IF(25&lt;5,0,IF(MAX(X96:AC96)&gt;AC97+2+$B$18,1,0))</f>
        <v>1</v>
      </c>
      <c r="AD101" s="385" t="n">
        <f aca="false">IF(26&lt;5,0,IF(MAX(Y96:AD96)&gt;AD97+2+$B$18,1,0))</f>
        <v>1</v>
      </c>
      <c r="AE101" s="385" t="n">
        <f aca="false">IF(27&lt;5,0,IF(MAX(Z96:AE96)&gt;AE97+2+$B$18,1,0))</f>
        <v>1</v>
      </c>
      <c r="AF101" s="385" t="n">
        <f aca="false">IF(28&lt;5,0,IF(MAX(AA96:AF96)&gt;AF97+2+$B$18,1,0))</f>
        <v>1</v>
      </c>
      <c r="AG101" s="385" t="n">
        <f aca="false">IF(29&lt;5,0,IF(MAX(AB96:AG96)&gt;AG97+2+$B$18,1,0))</f>
        <v>1</v>
      </c>
      <c r="AH101" s="385" t="n">
        <f aca="false">IF(30&lt;5,0,IF(MAX(AC96:AH96)&gt;AH97+2+$B$18,1,0))</f>
        <v>1</v>
      </c>
      <c r="AI101" s="385" t="n">
        <f aca="false">IF(31&lt;5,0,IF(MAX(AD96:AI96)&gt;AI97+2+$B$18,1,0))</f>
        <v>1</v>
      </c>
      <c r="AJ101" s="385" t="n">
        <f aca="false">IF(32&lt;5,0,IF(MAX(AE96:AJ96)&gt;AJ97+2+$B$18,1,0))</f>
        <v>1</v>
      </c>
      <c r="AK101" s="385" t="n">
        <f aca="false">IF(33&lt;5,0,IF(MAX(AF96:AK96)&gt;AK97+2+$B$18,1,0))</f>
        <v>1</v>
      </c>
      <c r="AL101" s="385" t="n">
        <f aca="false">IF(34&lt;5,0,IF(MAX(AG96:AL96)&gt;AL97+2+$B$18,1,0))</f>
        <v>1</v>
      </c>
      <c r="AM101" s="385" t="n">
        <f aca="false">IF(35&lt;5,0,IF(MAX(AH96:AM96)&gt;AM97+2+$B$18,1,0))</f>
        <v>1</v>
      </c>
      <c r="AN101" s="385" t="n">
        <f aca="false">IF(36&lt;5,0,IF(MAX(AI96:AN96)&gt;AN97+2+$B$18,1,0))</f>
        <v>1</v>
      </c>
      <c r="AO101" s="385" t="n">
        <f aca="false">IF(37&lt;5,0,IF(MAX(AJ96:AO96)&gt;AO97+2+$B$18,1,0))</f>
        <v>1</v>
      </c>
      <c r="AP101" s="385" t="n">
        <f aca="false">IF(38&lt;5,0,IF(MAX(AK96:AP96)&gt;AP97+2+$B$18,1,0))</f>
        <v>1</v>
      </c>
      <c r="AQ101" s="385" t="n">
        <f aca="false">IF(39&lt;5,0,IF(MAX(AL96:AQ96)&gt;AQ97+2+$B$18,1,0))</f>
        <v>1</v>
      </c>
      <c r="AR101" s="385" t="n">
        <f aca="false">IF(40&lt;5,0,IF(MAX(AM96:AR96)&gt;AR97+2+$B$18,1,0))</f>
        <v>1</v>
      </c>
      <c r="AS101" s="385" t="n">
        <f aca="false">IF(41&lt;5,0,IF(MAX(AN96:AS96)&gt;AS97+2+$B$18,1,0))</f>
        <v>1</v>
      </c>
      <c r="AT101" s="385" t="n">
        <f aca="false">IF(42&lt;5,0,IF(MAX(AO96:AT96)&gt;AT97+2+$B$18,1,0))</f>
        <v>1</v>
      </c>
      <c r="AU101" s="385" t="n">
        <f aca="false">IF(43&lt;5,0,IF(MAX(AP96:AU96)&gt;AU97+2+$B$18,1,0))</f>
        <v>1</v>
      </c>
      <c r="AV101" s="385" t="n">
        <f aca="false">IF(44&lt;5,0,IF(MAX(AQ96:AV96)&gt;AV97+2+$B$18,1,0))</f>
        <v>1</v>
      </c>
      <c r="AW101" s="385" t="n">
        <f aca="false">IF(45&lt;5,0,IF(MAX(AR96:AW96)&gt;AW97+2+$B$18,1,0))</f>
        <v>1</v>
      </c>
      <c r="AX101" s="385" t="n">
        <f aca="false">IF(46&lt;5,0,IF(MAX(AS96:AX96)&gt;AX97+2+$B$18,1,0))</f>
        <v>1</v>
      </c>
      <c r="AY101" s="385" t="n">
        <f aca="false">IF(47&lt;5,0,IF(MAX(AT96:AY96)&gt;AY97+2+$B$18,1,0))</f>
        <v>1</v>
      </c>
      <c r="AZ101" s="385" t="n">
        <f aca="false">IF(48&lt;5,0,IF(MAX(AU96:AZ96)&gt;AZ97+2+$B$18,1,0))</f>
        <v>1</v>
      </c>
      <c r="BA101" s="385" t="n">
        <f aca="false">IF(49&lt;5,0,IF(MAX(AV96:BA96)&gt;BA97+2+$B$18,1,0))</f>
        <v>1</v>
      </c>
      <c r="BB101" s="385" t="n">
        <f aca="false">IF(50&lt;5,0,IF(MAX(AW96:BB96)&gt;BB97+2+$B$18,1,0))</f>
        <v>1</v>
      </c>
      <c r="BC101" s="385" t="n">
        <f aca="false">IF(51&lt;5,0,IF(MAX(AX96:BC96)&gt;BC97+2+$B$18,1,0))</f>
        <v>1</v>
      </c>
      <c r="BD101" s="385" t="n">
        <f aca="false">IF(52&lt;5,0,IF(MAX(AY96:BD96)&gt;BD97+2+$B$18,1,0))</f>
        <v>1</v>
      </c>
      <c r="BE101" s="385" t="n">
        <f aca="false">IF(53&lt;5,0,IF(MAX(AZ96:BE96)&gt;BE97+2+$B$18,1,0))</f>
        <v>1</v>
      </c>
      <c r="BF101" s="385" t="n">
        <f aca="false">IF(54&lt;5,0,IF(MAX(BA96:BF96)&gt;BF97+2+$B$18,1,0))</f>
        <v>1</v>
      </c>
      <c r="BG101" s="385" t="n">
        <f aca="false">IF(55&lt;5,0,IF(MAX(BB96:BG96)&gt;BG97+2+$B$18,1,0))</f>
        <v>1</v>
      </c>
      <c r="BH101" s="385" t="n">
        <f aca="false">IF(56&lt;5,0,IF(MAX(BC96:BH96)&gt;BH97+2+$B$18,1,0))</f>
        <v>1</v>
      </c>
      <c r="BI101" s="385" t="n">
        <f aca="false">IF(57&lt;5,0,IF(MAX(BD96:BI96)&gt;BI97+2+$B$18,1,0))</f>
        <v>1</v>
      </c>
      <c r="BJ101" s="385" t="n">
        <f aca="false">IF(58&lt;5,0,IF(MAX(BE96:BJ96)&gt;BJ97+2+$B$18,1,0))</f>
        <v>1</v>
      </c>
      <c r="BK101" s="385" t="n">
        <f aca="false">IF(59&lt;5,0,IF(MAX(BF96:BK96)&gt;BK97+2+$B$18,1,0))</f>
        <v>1</v>
      </c>
      <c r="BL101" s="385" t="n">
        <f aca="false">IF(60&lt;5,0,IF(MAX(BG96:BL96)&gt;BL97+2+$B$18,1,0))</f>
        <v>1</v>
      </c>
      <c r="BM101" s="385" t="n">
        <f aca="false">IF(61&lt;5,0,IF(MAX(BH96:BM96)&gt;BM97+2+$B$18,1,0))</f>
        <v>1</v>
      </c>
      <c r="BN101" s="385" t="n">
        <f aca="false">IF(62&lt;5,0,IF(MAX(BI96:BN96)&gt;BN97+2+$B$18,1,0))</f>
        <v>1</v>
      </c>
      <c r="BO101" s="385" t="n">
        <f aca="false">IF(63&lt;5,0,IF(MAX(BJ96:BO96)&gt;BO97+2+$B$18,1,0))</f>
        <v>0</v>
      </c>
      <c r="BP101" s="385" t="n">
        <f aca="false">IF(64&lt;5,0,IF(MAX(BK96:BP96)&gt;BP97+2+$B$18,1,0))</f>
        <v>0</v>
      </c>
      <c r="BQ101" s="385" t="n">
        <f aca="false">IF(65&lt;5,0,IF(MAX(BL96:BQ96)&gt;BQ97+2+$B$18,1,0))</f>
        <v>0</v>
      </c>
      <c r="BR101" s="385" t="n">
        <f aca="false">IF(66&lt;5,0,IF(MAX(BM96:BR96)&gt;BR97+2+$B$18,1,0))</f>
        <v>0</v>
      </c>
      <c r="BS101" s="385" t="n">
        <f aca="false">IF(67&lt;5,0,IF(MAX(BN96:BS96)&gt;BS97+2+$B$18,1,0))</f>
        <v>0</v>
      </c>
      <c r="BT101" s="385" t="n">
        <f aca="false">IF(68&lt;5,0,IF(MAX(BO96:BT96)&gt;BT97+2+$B$18,1,0))</f>
        <v>0</v>
      </c>
      <c r="BU101" s="385" t="n">
        <f aca="false">IF(69&lt;5,0,IF(MAX(BP96:BU96)&gt;BU97+2+$B$18,1,0))</f>
        <v>0</v>
      </c>
      <c r="BV101" s="385" t="n">
        <f aca="false">IF(70&lt;5,0,IF(MAX(BQ96:BV96)&gt;BV97+2+$B$18,1,0))</f>
        <v>0</v>
      </c>
      <c r="BW101" s="385" t="n">
        <f aca="false">IF(71&lt;5,0,IF(MAX(BR96:BW96)&gt;BW97+2+$B$18,1,0))</f>
        <v>0</v>
      </c>
      <c r="BX101" s="385" t="n">
        <f aca="false">IF(72&lt;5,0,IF(MAX(BS96:BX96)&gt;BX97+2+$B$18,1,0))</f>
        <v>0</v>
      </c>
      <c r="BY101" s="385" t="n">
        <f aca="false">IF(73&lt;5,0,IF(MAX(BT96:BY96)&gt;BY97+2+$B$18,1,0))</f>
        <v>0</v>
      </c>
      <c r="BZ101" s="385" t="n">
        <f aca="false">IF(74&lt;5,0,IF(MAX(BU96:BZ96)&gt;BZ97+2+$B$18,1,0))</f>
        <v>0</v>
      </c>
      <c r="CA101" s="385" t="n">
        <f aca="false">IF(75&lt;5,0,IF(MAX(BV96:CA96)&gt;CA97+2+$B$18,1,0))</f>
        <v>0</v>
      </c>
      <c r="CB101" s="385" t="n">
        <f aca="false">IF(76&lt;5,0,IF(MAX(BW96:CB96)&gt;CB97+2+$B$18,1,0))</f>
        <v>0</v>
      </c>
      <c r="CC101" s="385" t="n">
        <f aca="false">IF(77&lt;5,0,IF(MAX(BX96:CC96)&gt;CC97+2+$B$18,1,0))</f>
        <v>0</v>
      </c>
      <c r="CD101" s="385" t="n">
        <f aca="false">IF(78&lt;5,0,IF(MAX(BY96:CD96)&gt;CD97+2+$B$18,1,0))</f>
        <v>0</v>
      </c>
      <c r="CE101" s="385" t="n">
        <f aca="false">IF(79&lt;5,0,IF(MAX(BZ96:CE96)&gt;CE97+2+$B$18,1,0))</f>
        <v>0</v>
      </c>
      <c r="CF101" s="385" t="n">
        <f aca="false">IF(80&lt;5,0,IF(MAX(CA96:CF96)&gt;CF97+2+$B$18,1,0))</f>
        <v>0</v>
      </c>
      <c r="CG101" s="385" t="n">
        <f aca="false">IF(81&lt;5,0,IF(MAX(CB96:CG96)&gt;CG97+2+$B$18,1,0))</f>
        <v>0</v>
      </c>
      <c r="CH101" s="385" t="n">
        <f aca="false">IF(82&lt;5,0,IF(MAX(CC96:CH96)&gt;CH97+2+$B$18,1,0))</f>
        <v>0</v>
      </c>
      <c r="CI101" s="385" t="n">
        <f aca="false">IF(83&lt;5,0,IF(MAX(CD96:CI96)&gt;CI97+2+$B$18,1,0))</f>
        <v>0</v>
      </c>
      <c r="CJ101" s="385" t="n">
        <f aca="false">IF(84&lt;5,0,IF(MAX(CE96:CJ96)&gt;CJ97+2+$B$18,1,0))</f>
        <v>0</v>
      </c>
      <c r="CK101" s="385" t="n">
        <f aca="false">IF(85&lt;5,0,IF(MAX(CF96:CK96)&gt;CK97+2+$B$18,1,0))</f>
        <v>0</v>
      </c>
      <c r="CL101" s="385" t="n">
        <f aca="false">IF(86&lt;5,0,IF(MAX(CG96:CL96)&gt;CL97+2+$B$18,1,0))</f>
        <v>0</v>
      </c>
      <c r="CM101" s="385" t="n">
        <f aca="false">IF(87&lt;5,0,IF(MAX(CH96:CM96)&gt;CM97+2+$B$18,1,0))</f>
        <v>0</v>
      </c>
      <c r="CN101" s="385" t="n">
        <f aca="false">IF(88&lt;5,0,IF(MAX(CI96:CN96)&gt;CN97+2+$B$18,1,0))</f>
        <v>0</v>
      </c>
      <c r="CO101" s="385" t="n">
        <f aca="false">IF(89&lt;5,0,IF(MAX(CJ96:CO96)&gt;CO97+2+$B$18,1,0))</f>
        <v>0</v>
      </c>
      <c r="CP101" s="385" t="n">
        <f aca="false">IF(90&lt;5,0,IF(MAX(CK96:CP96)&gt;CP97+2+$B$18,1,0))</f>
        <v>0</v>
      </c>
      <c r="CQ101" s="385" t="n">
        <f aca="false">IF(91&lt;5,0,IF(MAX(CL96:CQ96)&gt;CQ97+2+$B$18,1,0))</f>
        <v>0</v>
      </c>
      <c r="CR101" s="385" t="n">
        <f aca="false">IF(92&lt;5,0,IF(MAX(CM96:CR96)&gt;CR97+2+$B$18,1,0))</f>
        <v>0</v>
      </c>
      <c r="CS101" s="385" t="n">
        <f aca="false">IF(93&lt;5,0,IF(MAX(CN96:CS96)&gt;CS97+2+$B$18,1,0))</f>
        <v>0</v>
      </c>
      <c r="CT101" s="385" t="n">
        <f aca="false">IF(94&lt;5,0,IF(MAX(CO96:CT96)&gt;CT97+2+$B$18,1,0))</f>
        <v>0</v>
      </c>
      <c r="CU101" s="385" t="n">
        <f aca="false">IF(95&lt;5,0,IF(MAX(CP96:CU96)&gt;CU97+2+$B$18,1,0))</f>
        <v>0</v>
      </c>
      <c r="CV101" s="385" t="n">
        <f aca="false">IF(96&lt;5,0,IF(MAX(CQ96:CV96)&gt;CV97+2+$B$18,1,0))</f>
        <v>0</v>
      </c>
      <c r="CW101" s="385" t="n">
        <f aca="false">IF(97&lt;5,0,IF(MAX(CR96:CW96)&gt;CW97+2+$B$18,1,0))</f>
        <v>0</v>
      </c>
      <c r="CX101" s="385" t="n">
        <f aca="false">IF(98&lt;5,0,IF(MAX(CS96:CX96)&gt;CX97+2+$B$18,1,0))</f>
        <v>0</v>
      </c>
      <c r="CY101" s="385" t="n">
        <f aca="false">IF(99&lt;5,0,IF(MAX(CT96:CY96)&gt;CY97+2+$B$18,1,0))</f>
        <v>0</v>
      </c>
      <c r="CZ101" s="385" t="n">
        <f aca="false">IF(100&lt;5,0,IF(MAX(CU96:CZ96)&gt;CZ97+2+$B$18,1,0))</f>
        <v>0</v>
      </c>
      <c r="DA101" s="385" t="n">
        <f aca="false">IF(101&lt;5,0,IF(MAX(CV96:DA96)&gt;DA97+2+$B$18,1,0))</f>
        <v>0</v>
      </c>
      <c r="DB101" s="385" t="n">
        <f aca="false">IF(102&lt;5,0,IF(MAX(CW96:DB96)&gt;DB97+2+$B$18,1,0))</f>
        <v>0</v>
      </c>
      <c r="DC101" s="385" t="n">
        <f aca="false">IF(103&lt;5,0,IF(MAX(CX96:DC96)&gt;DC97+2+$B$18,1,0))</f>
        <v>0</v>
      </c>
      <c r="DD101" s="385" t="n">
        <f aca="false">IF(104&lt;5,0,IF(MAX(CY96:DD96)&gt;DD97+2+$B$18,1,0))</f>
        <v>0</v>
      </c>
      <c r="DE101" s="385" t="n">
        <f aca="false">IF(105&lt;5,0,IF(MAX(CZ96:DE96)&gt;DE97+2+$B$18,1,0))</f>
        <v>0</v>
      </c>
    </row>
    <row r="102" customFormat="false" ht="13.5" hidden="false" customHeight="true" outlineLevel="0" collapsed="false">
      <c r="A102" s="110" t="s">
        <v>1424</v>
      </c>
      <c r="B102" s="213" t="n">
        <f aca="false">$B$27</f>
        <v>125000</v>
      </c>
      <c r="E102" s="385" t="n">
        <f aca="false">IF(1&lt;5,0,IF(MAX(E96)&gt;E97+3+$B$18,1,0))</f>
        <v>0</v>
      </c>
      <c r="F102" s="385" t="n">
        <f aca="false">IF(2&lt;5,0,IF(MAX(E96:F96)&gt;F97+3+$B$18,1,0))</f>
        <v>0</v>
      </c>
      <c r="G102" s="385" t="n">
        <f aca="false">IF(3&lt;5,0,IF(MAX(E96:G96)&gt;G97+3+$B$18,1,0))</f>
        <v>0</v>
      </c>
      <c r="H102" s="385" t="n">
        <f aca="false">IF(4&lt;5,0,IF(MAX(E96:H96)&gt;H97+3+$B$18,1,0))</f>
        <v>0</v>
      </c>
      <c r="I102" s="385" t="n">
        <f aca="false">IF(5&lt;5,0,IF(MAX(E96:I96)&gt;I97+3+$B$18,1,0))</f>
        <v>0</v>
      </c>
      <c r="J102" s="385" t="n">
        <f aca="false">IF(6&lt;5,0,IF(MAX(E96:J96)&gt;J97+3+$B$18,1,0))</f>
        <v>0</v>
      </c>
      <c r="K102" s="385" t="n">
        <f aca="false">IF(7&lt;5,0,IF(MAX(F96:K96)&gt;K97+3+$B$18,1,0))</f>
        <v>0</v>
      </c>
      <c r="L102" s="385" t="n">
        <f aca="false">IF(8&lt;5,0,IF(MAX(G96:L96)&gt;L97+3+$B$18,1,0))</f>
        <v>0</v>
      </c>
      <c r="M102" s="385" t="n">
        <f aca="false">IF(9&lt;5,0,IF(MAX(H96:M96)&gt;M97+3+$B$18,1,0))</f>
        <v>0</v>
      </c>
      <c r="N102" s="385" t="n">
        <f aca="false">IF(10&lt;5,0,IF(MAX(I96:N96)&gt;N97+3+$B$18,1,0))</f>
        <v>0</v>
      </c>
      <c r="O102" s="385" t="n">
        <f aca="false">IF(11&lt;5,0,IF(MAX(J96:O96)&gt;O97+3+$B$18,1,0))</f>
        <v>0</v>
      </c>
      <c r="P102" s="385" t="n">
        <f aca="false">IF(12&lt;5,0,IF(MAX(K96:P96)&gt;P97+3+$B$18,1,0))</f>
        <v>0</v>
      </c>
      <c r="Q102" s="385" t="n">
        <f aca="false">IF(13&lt;5,0,IF(MAX(L96:Q96)&gt;Q97+3+$B$18,1,0))</f>
        <v>0</v>
      </c>
      <c r="R102" s="385" t="n">
        <f aca="false">IF(14&lt;5,0,IF(MAX(M96:R96)&gt;R97+3+$B$18,1,0))</f>
        <v>0</v>
      </c>
      <c r="S102" s="385" t="n">
        <f aca="false">IF(15&lt;5,0,IF(MAX(N96:S96)&gt;S97+3+$B$18,1,0))</f>
        <v>1</v>
      </c>
      <c r="T102" s="385" t="n">
        <f aca="false">IF(16&lt;5,0,IF(MAX(O96:T96)&gt;T97+3+$B$18,1,0))</f>
        <v>1</v>
      </c>
      <c r="U102" s="385" t="n">
        <f aca="false">IF(17&lt;5,0,IF(MAX(P96:U96)&gt;U97+3+$B$18,1,0))</f>
        <v>1</v>
      </c>
      <c r="V102" s="385" t="n">
        <f aca="false">IF(18&lt;5,0,IF(MAX(Q96:V96)&gt;V97+3+$B$18,1,0))</f>
        <v>1</v>
      </c>
      <c r="W102" s="385" t="n">
        <f aca="false">IF(19&lt;5,0,IF(MAX(R96:W96)&gt;W97+3+$B$18,1,0))</f>
        <v>1</v>
      </c>
      <c r="X102" s="385" t="n">
        <f aca="false">IF(20&lt;5,0,IF(MAX(S96:X96)&gt;X97+3+$B$18,1,0))</f>
        <v>1</v>
      </c>
      <c r="Y102" s="385" t="n">
        <f aca="false">IF(21&lt;5,0,IF(MAX(T96:Y96)&gt;Y97+3+$B$18,1,0))</f>
        <v>1</v>
      </c>
      <c r="Z102" s="385" t="n">
        <f aca="false">IF(22&lt;5,0,IF(MAX(U96:Z96)&gt;Z97+3+$B$18,1,0))</f>
        <v>1</v>
      </c>
      <c r="AA102" s="385" t="n">
        <f aca="false">IF(23&lt;5,0,IF(MAX(V96:AA96)&gt;AA97+3+$B$18,1,0))</f>
        <v>1</v>
      </c>
      <c r="AB102" s="385" t="n">
        <f aca="false">IF(24&lt;5,0,IF(MAX(W96:AB96)&gt;AB97+3+$B$18,1,0))</f>
        <v>1</v>
      </c>
      <c r="AC102" s="385" t="n">
        <f aca="false">IF(25&lt;5,0,IF(MAX(X96:AC96)&gt;AC97+3+$B$18,1,0))</f>
        <v>1</v>
      </c>
      <c r="AD102" s="385" t="n">
        <f aca="false">IF(26&lt;5,0,IF(MAX(Y96:AD96)&gt;AD97+3+$B$18,1,0))</f>
        <v>1</v>
      </c>
      <c r="AE102" s="385" t="n">
        <f aca="false">IF(27&lt;5,0,IF(MAX(Z96:AE96)&gt;AE97+3+$B$18,1,0))</f>
        <v>1</v>
      </c>
      <c r="AF102" s="385" t="n">
        <f aca="false">IF(28&lt;5,0,IF(MAX(AA96:AF96)&gt;AF97+3+$B$18,1,0))</f>
        <v>1</v>
      </c>
      <c r="AG102" s="385" t="n">
        <f aca="false">IF(29&lt;5,0,IF(MAX(AB96:AG96)&gt;AG97+3+$B$18,1,0))</f>
        <v>1</v>
      </c>
      <c r="AH102" s="385" t="n">
        <f aca="false">IF(30&lt;5,0,IF(MAX(AC96:AH96)&gt;AH97+3+$B$18,1,0))</f>
        <v>1</v>
      </c>
      <c r="AI102" s="385" t="n">
        <f aca="false">IF(31&lt;5,0,IF(MAX(AD96:AI96)&gt;AI97+3+$B$18,1,0))</f>
        <v>1</v>
      </c>
      <c r="AJ102" s="385" t="n">
        <f aca="false">IF(32&lt;5,0,IF(MAX(AE96:AJ96)&gt;AJ97+3+$B$18,1,0))</f>
        <v>1</v>
      </c>
      <c r="AK102" s="385" t="n">
        <f aca="false">IF(33&lt;5,0,IF(MAX(AF96:AK96)&gt;AK97+3+$B$18,1,0))</f>
        <v>1</v>
      </c>
      <c r="AL102" s="385" t="n">
        <f aca="false">IF(34&lt;5,0,IF(MAX(AG96:AL96)&gt;AL97+3+$B$18,1,0))</f>
        <v>1</v>
      </c>
      <c r="AM102" s="385" t="n">
        <f aca="false">IF(35&lt;5,0,IF(MAX(AH96:AM96)&gt;AM97+3+$B$18,1,0))</f>
        <v>1</v>
      </c>
      <c r="AN102" s="385" t="n">
        <f aca="false">IF(36&lt;5,0,IF(MAX(AI96:AN96)&gt;AN97+3+$B$18,1,0))</f>
        <v>1</v>
      </c>
      <c r="AO102" s="385" t="n">
        <f aca="false">IF(37&lt;5,0,IF(MAX(AJ96:AO96)&gt;AO97+3+$B$18,1,0))</f>
        <v>1</v>
      </c>
      <c r="AP102" s="385" t="n">
        <f aca="false">IF(38&lt;5,0,IF(MAX(AK96:AP96)&gt;AP97+3+$B$18,1,0))</f>
        <v>1</v>
      </c>
      <c r="AQ102" s="385" t="n">
        <f aca="false">IF(39&lt;5,0,IF(MAX(AL96:AQ96)&gt;AQ97+3+$B$18,1,0))</f>
        <v>1</v>
      </c>
      <c r="AR102" s="385" t="n">
        <f aca="false">IF(40&lt;5,0,IF(MAX(AM96:AR96)&gt;AR97+3+$B$18,1,0))</f>
        <v>1</v>
      </c>
      <c r="AS102" s="385" t="n">
        <f aca="false">IF(41&lt;5,0,IF(MAX(AN96:AS96)&gt;AS97+3+$B$18,1,0))</f>
        <v>1</v>
      </c>
      <c r="AT102" s="385" t="n">
        <f aca="false">IF(42&lt;5,0,IF(MAX(AO96:AT96)&gt;AT97+3+$B$18,1,0))</f>
        <v>1</v>
      </c>
      <c r="AU102" s="385" t="n">
        <f aca="false">IF(43&lt;5,0,IF(MAX(AP96:AU96)&gt;AU97+3+$B$18,1,0))</f>
        <v>1</v>
      </c>
      <c r="AV102" s="385" t="n">
        <f aca="false">IF(44&lt;5,0,IF(MAX(AQ96:AV96)&gt;AV97+3+$B$18,1,0))</f>
        <v>1</v>
      </c>
      <c r="AW102" s="385" t="n">
        <f aca="false">IF(45&lt;5,0,IF(MAX(AR96:AW96)&gt;AW97+3+$B$18,1,0))</f>
        <v>1</v>
      </c>
      <c r="AX102" s="385" t="n">
        <f aca="false">IF(46&lt;5,0,IF(MAX(AS96:AX96)&gt;AX97+3+$B$18,1,0))</f>
        <v>1</v>
      </c>
      <c r="AY102" s="385" t="n">
        <f aca="false">IF(47&lt;5,0,IF(MAX(AT96:AY96)&gt;AY97+3+$B$18,1,0))</f>
        <v>1</v>
      </c>
      <c r="AZ102" s="385" t="n">
        <f aca="false">IF(48&lt;5,0,IF(MAX(AU96:AZ96)&gt;AZ97+3+$B$18,1,0))</f>
        <v>1</v>
      </c>
      <c r="BA102" s="385" t="n">
        <f aca="false">IF(49&lt;5,0,IF(MAX(AV96:BA96)&gt;BA97+3+$B$18,1,0))</f>
        <v>1</v>
      </c>
      <c r="BB102" s="385" t="n">
        <f aca="false">IF(50&lt;5,0,IF(MAX(AW96:BB96)&gt;BB97+3+$B$18,1,0))</f>
        <v>1</v>
      </c>
      <c r="BC102" s="385" t="n">
        <f aca="false">IF(51&lt;5,0,IF(MAX(AX96:BC96)&gt;BC97+3+$B$18,1,0))</f>
        <v>1</v>
      </c>
      <c r="BD102" s="385" t="n">
        <f aca="false">IF(52&lt;5,0,IF(MAX(AY96:BD96)&gt;BD97+3+$B$18,1,0))</f>
        <v>1</v>
      </c>
      <c r="BE102" s="385" t="n">
        <f aca="false">IF(53&lt;5,0,IF(MAX(AZ96:BE96)&gt;BE97+3+$B$18,1,0))</f>
        <v>1</v>
      </c>
      <c r="BF102" s="385" t="n">
        <f aca="false">IF(54&lt;5,0,IF(MAX(BA96:BF96)&gt;BF97+3+$B$18,1,0))</f>
        <v>1</v>
      </c>
      <c r="BG102" s="385" t="n">
        <f aca="false">IF(55&lt;5,0,IF(MAX(BB96:BG96)&gt;BG97+3+$B$18,1,0))</f>
        <v>1</v>
      </c>
      <c r="BH102" s="385" t="n">
        <f aca="false">IF(56&lt;5,0,IF(MAX(BC96:BH96)&gt;BH97+3+$B$18,1,0))</f>
        <v>1</v>
      </c>
      <c r="BI102" s="385" t="n">
        <f aca="false">IF(57&lt;5,0,IF(MAX(BD96:BI96)&gt;BI97+3+$B$18,1,0))</f>
        <v>1</v>
      </c>
      <c r="BJ102" s="385" t="n">
        <f aca="false">IF(58&lt;5,0,IF(MAX(BE96:BJ96)&gt;BJ97+3+$B$18,1,0))</f>
        <v>1</v>
      </c>
      <c r="BK102" s="385" t="n">
        <f aca="false">IF(59&lt;5,0,IF(MAX(BF96:BK96)&gt;BK97+3+$B$18,1,0))</f>
        <v>1</v>
      </c>
      <c r="BL102" s="385" t="n">
        <f aca="false">IF(60&lt;5,0,IF(MAX(BG96:BL96)&gt;BL97+3+$B$18,1,0))</f>
        <v>1</v>
      </c>
      <c r="BM102" s="385" t="n">
        <f aca="false">IF(61&lt;5,0,IF(MAX(BH96:BM96)&gt;BM97+3+$B$18,1,0))</f>
        <v>1</v>
      </c>
      <c r="BN102" s="385" t="n">
        <f aca="false">IF(62&lt;5,0,IF(MAX(BI96:BN96)&gt;BN97+3+$B$18,1,0))</f>
        <v>0</v>
      </c>
      <c r="BO102" s="385" t="n">
        <f aca="false">IF(63&lt;5,0,IF(MAX(BJ96:BO96)&gt;BO97+3+$B$18,1,0))</f>
        <v>0</v>
      </c>
      <c r="BP102" s="385" t="n">
        <f aca="false">IF(64&lt;5,0,IF(MAX(BK96:BP96)&gt;BP97+3+$B$18,1,0))</f>
        <v>0</v>
      </c>
      <c r="BQ102" s="385" t="n">
        <f aca="false">IF(65&lt;5,0,IF(MAX(BL96:BQ96)&gt;BQ97+3+$B$18,1,0))</f>
        <v>0</v>
      </c>
      <c r="BR102" s="385" t="n">
        <f aca="false">IF(66&lt;5,0,IF(MAX(BM96:BR96)&gt;BR97+3+$B$18,1,0))</f>
        <v>0</v>
      </c>
      <c r="BS102" s="385" t="n">
        <f aca="false">IF(67&lt;5,0,IF(MAX(BN96:BS96)&gt;BS97+3+$B$18,1,0))</f>
        <v>0</v>
      </c>
      <c r="BT102" s="385" t="n">
        <f aca="false">IF(68&lt;5,0,IF(MAX(BO96:BT96)&gt;BT97+3+$B$18,1,0))</f>
        <v>0</v>
      </c>
      <c r="BU102" s="385" t="n">
        <f aca="false">IF(69&lt;5,0,IF(MAX(BP96:BU96)&gt;BU97+3+$B$18,1,0))</f>
        <v>0</v>
      </c>
      <c r="BV102" s="385" t="n">
        <f aca="false">IF(70&lt;5,0,IF(MAX(BQ96:BV96)&gt;BV97+3+$B$18,1,0))</f>
        <v>0</v>
      </c>
      <c r="BW102" s="385" t="n">
        <f aca="false">IF(71&lt;5,0,IF(MAX(BR96:BW96)&gt;BW97+3+$B$18,1,0))</f>
        <v>0</v>
      </c>
      <c r="BX102" s="385" t="n">
        <f aca="false">IF(72&lt;5,0,IF(MAX(BS96:BX96)&gt;BX97+3+$B$18,1,0))</f>
        <v>0</v>
      </c>
      <c r="BY102" s="385" t="n">
        <f aca="false">IF(73&lt;5,0,IF(MAX(BT96:BY96)&gt;BY97+3+$B$18,1,0))</f>
        <v>0</v>
      </c>
      <c r="BZ102" s="385" t="n">
        <f aca="false">IF(74&lt;5,0,IF(MAX(BU96:BZ96)&gt;BZ97+3+$B$18,1,0))</f>
        <v>0</v>
      </c>
      <c r="CA102" s="385" t="n">
        <f aca="false">IF(75&lt;5,0,IF(MAX(BV96:CA96)&gt;CA97+3+$B$18,1,0))</f>
        <v>0</v>
      </c>
      <c r="CB102" s="385" t="n">
        <f aca="false">IF(76&lt;5,0,IF(MAX(BW96:CB96)&gt;CB97+3+$B$18,1,0))</f>
        <v>0</v>
      </c>
      <c r="CC102" s="385" t="n">
        <f aca="false">IF(77&lt;5,0,IF(MAX(BX96:CC96)&gt;CC97+3+$B$18,1,0))</f>
        <v>0</v>
      </c>
      <c r="CD102" s="385" t="n">
        <f aca="false">IF(78&lt;5,0,IF(MAX(BY96:CD96)&gt;CD97+3+$B$18,1,0))</f>
        <v>0</v>
      </c>
      <c r="CE102" s="385" t="n">
        <f aca="false">IF(79&lt;5,0,IF(MAX(BZ96:CE96)&gt;CE97+3+$B$18,1,0))</f>
        <v>0</v>
      </c>
      <c r="CF102" s="385" t="n">
        <f aca="false">IF(80&lt;5,0,IF(MAX(CA96:CF96)&gt;CF97+3+$B$18,1,0))</f>
        <v>0</v>
      </c>
      <c r="CG102" s="385" t="n">
        <f aca="false">IF(81&lt;5,0,IF(MAX(CB96:CG96)&gt;CG97+3+$B$18,1,0))</f>
        <v>0</v>
      </c>
      <c r="CH102" s="385" t="n">
        <f aca="false">IF(82&lt;5,0,IF(MAX(CC96:CH96)&gt;CH97+3+$B$18,1,0))</f>
        <v>0</v>
      </c>
      <c r="CI102" s="385" t="n">
        <f aca="false">IF(83&lt;5,0,IF(MAX(CD96:CI96)&gt;CI97+3+$B$18,1,0))</f>
        <v>0</v>
      </c>
      <c r="CJ102" s="385" t="n">
        <f aca="false">IF(84&lt;5,0,IF(MAX(CE96:CJ96)&gt;CJ97+3+$B$18,1,0))</f>
        <v>0</v>
      </c>
      <c r="CK102" s="385" t="n">
        <f aca="false">IF(85&lt;5,0,IF(MAX(CF96:CK96)&gt;CK97+3+$B$18,1,0))</f>
        <v>0</v>
      </c>
      <c r="CL102" s="385" t="n">
        <f aca="false">IF(86&lt;5,0,IF(MAX(CG96:CL96)&gt;CL97+3+$B$18,1,0))</f>
        <v>0</v>
      </c>
      <c r="CM102" s="385" t="n">
        <f aca="false">IF(87&lt;5,0,IF(MAX(CH96:CM96)&gt;CM97+3+$B$18,1,0))</f>
        <v>0</v>
      </c>
      <c r="CN102" s="385" t="n">
        <f aca="false">IF(88&lt;5,0,IF(MAX(CI96:CN96)&gt;CN97+3+$B$18,1,0))</f>
        <v>0</v>
      </c>
      <c r="CO102" s="385" t="n">
        <f aca="false">IF(89&lt;5,0,IF(MAX(CJ96:CO96)&gt;CO97+3+$B$18,1,0))</f>
        <v>0</v>
      </c>
      <c r="CP102" s="385" t="n">
        <f aca="false">IF(90&lt;5,0,IF(MAX(CK96:CP96)&gt;CP97+3+$B$18,1,0))</f>
        <v>0</v>
      </c>
      <c r="CQ102" s="385" t="n">
        <f aca="false">IF(91&lt;5,0,IF(MAX(CL96:CQ96)&gt;CQ97+3+$B$18,1,0))</f>
        <v>0</v>
      </c>
      <c r="CR102" s="385" t="n">
        <f aca="false">IF(92&lt;5,0,IF(MAX(CM96:CR96)&gt;CR97+3+$B$18,1,0))</f>
        <v>0</v>
      </c>
      <c r="CS102" s="385" t="n">
        <f aca="false">IF(93&lt;5,0,IF(MAX(CN96:CS96)&gt;CS97+3+$B$18,1,0))</f>
        <v>0</v>
      </c>
      <c r="CT102" s="385" t="n">
        <f aca="false">IF(94&lt;5,0,IF(MAX(CO96:CT96)&gt;CT97+3+$B$18,1,0))</f>
        <v>0</v>
      </c>
      <c r="CU102" s="385" t="n">
        <f aca="false">IF(95&lt;5,0,IF(MAX(CP96:CU96)&gt;CU97+3+$B$18,1,0))</f>
        <v>0</v>
      </c>
      <c r="CV102" s="385" t="n">
        <f aca="false">IF(96&lt;5,0,IF(MAX(CQ96:CV96)&gt;CV97+3+$B$18,1,0))</f>
        <v>0</v>
      </c>
      <c r="CW102" s="385" t="n">
        <f aca="false">IF(97&lt;5,0,IF(MAX(CR96:CW96)&gt;CW97+3+$B$18,1,0))</f>
        <v>0</v>
      </c>
      <c r="CX102" s="385" t="n">
        <f aca="false">IF(98&lt;5,0,IF(MAX(CS96:CX96)&gt;CX97+3+$B$18,1,0))</f>
        <v>0</v>
      </c>
      <c r="CY102" s="385" t="n">
        <f aca="false">IF(99&lt;5,0,IF(MAX(CT96:CY96)&gt;CY97+3+$B$18,1,0))</f>
        <v>0</v>
      </c>
      <c r="CZ102" s="385" t="n">
        <f aca="false">IF(100&lt;5,0,IF(MAX(CU96:CZ96)&gt;CZ97+3+$B$18,1,0))</f>
        <v>0</v>
      </c>
      <c r="DA102" s="385" t="n">
        <f aca="false">IF(101&lt;5,0,IF(MAX(CV96:DA96)&gt;DA97+3+$B$18,1,0))</f>
        <v>0</v>
      </c>
      <c r="DB102" s="385" t="n">
        <f aca="false">IF(102&lt;5,0,IF(MAX(CW96:DB96)&gt;DB97+3+$B$18,1,0))</f>
        <v>0</v>
      </c>
      <c r="DC102" s="385" t="n">
        <f aca="false">IF(103&lt;5,0,IF(MAX(CX96:DC96)&gt;DC97+3+$B$18,1,0))</f>
        <v>0</v>
      </c>
      <c r="DD102" s="385" t="n">
        <f aca="false">IF(104&lt;5,0,IF(MAX(CY96:DD96)&gt;DD97+3+$B$18,1,0))</f>
        <v>0</v>
      </c>
      <c r="DE102" s="385" t="n">
        <f aca="false">IF(105&lt;5,0,IF(MAX(CZ96:DE96)&gt;DE97+3+$B$18,1,0))</f>
        <v>0</v>
      </c>
    </row>
    <row r="103" customFormat="false" ht="13.5" hidden="false" customHeight="true" outlineLevel="0" collapsed="false">
      <c r="A103" s="110" t="s">
        <v>1425</v>
      </c>
      <c r="B103" s="213" t="n">
        <f aca="false">$B$27</f>
        <v>125000</v>
      </c>
      <c r="E103" s="385" t="n">
        <f aca="false">IF(1&lt;5,0,IF(MAX(E96)&gt;E97+4+$B$18,1,0))</f>
        <v>0</v>
      </c>
      <c r="F103" s="385" t="n">
        <f aca="false">IF(2&lt;5,0,IF(MAX(E96:F96)&gt;F97+4+$B$18,1,0))</f>
        <v>0</v>
      </c>
      <c r="G103" s="385" t="n">
        <f aca="false">IF(3&lt;5,0,IF(MAX(E96:G96)&gt;G97+4+$B$18,1,0))</f>
        <v>0</v>
      </c>
      <c r="H103" s="385" t="n">
        <f aca="false">IF(4&lt;5,0,IF(MAX(E96:H96)&gt;H97+4+$B$18,1,0))</f>
        <v>0</v>
      </c>
      <c r="I103" s="385" t="n">
        <f aca="false">IF(5&lt;5,0,IF(MAX(E96:I96)&gt;I97+4+$B$18,1,0))</f>
        <v>0</v>
      </c>
      <c r="J103" s="385" t="n">
        <f aca="false">IF(6&lt;5,0,IF(MAX(E96:J96)&gt;J97+4+$B$18,1,0))</f>
        <v>0</v>
      </c>
      <c r="K103" s="385" t="n">
        <f aca="false">IF(7&lt;5,0,IF(MAX(F96:K96)&gt;K97+4+$B$18,1,0))</f>
        <v>0</v>
      </c>
      <c r="L103" s="385" t="n">
        <f aca="false">IF(8&lt;5,0,IF(MAX(G96:L96)&gt;L97+4+$B$18,1,0))</f>
        <v>0</v>
      </c>
      <c r="M103" s="385" t="n">
        <f aca="false">IF(9&lt;5,0,IF(MAX(H96:M96)&gt;M97+4+$B$18,1,0))</f>
        <v>0</v>
      </c>
      <c r="N103" s="385" t="n">
        <f aca="false">IF(10&lt;5,0,IF(MAX(I96:N96)&gt;N97+4+$B$18,1,0))</f>
        <v>0</v>
      </c>
      <c r="O103" s="385" t="n">
        <f aca="false">IF(11&lt;5,0,IF(MAX(J96:O96)&gt;O97+4+$B$18,1,0))</f>
        <v>0</v>
      </c>
      <c r="P103" s="385" t="n">
        <f aca="false">IF(12&lt;5,0,IF(MAX(K96:P96)&gt;P97+4+$B$18,1,0))</f>
        <v>0</v>
      </c>
      <c r="Q103" s="385" t="n">
        <f aca="false">IF(13&lt;5,0,IF(MAX(L96:Q96)&gt;Q97+4+$B$18,1,0))</f>
        <v>0</v>
      </c>
      <c r="R103" s="385" t="n">
        <f aca="false">IF(14&lt;5,0,IF(MAX(M96:R96)&gt;R97+4+$B$18,1,0))</f>
        <v>0</v>
      </c>
      <c r="S103" s="385" t="n">
        <f aca="false">IF(15&lt;5,0,IF(MAX(N96:S96)&gt;S97+4+$B$18,1,0))</f>
        <v>0</v>
      </c>
      <c r="T103" s="385" t="n">
        <f aca="false">IF(16&lt;5,0,IF(MAX(O96:T96)&gt;T97+4+$B$18,1,0))</f>
        <v>0</v>
      </c>
      <c r="U103" s="385" t="n">
        <f aca="false">IF(17&lt;5,0,IF(MAX(P96:U96)&gt;U97+4+$B$18,1,0))</f>
        <v>0</v>
      </c>
      <c r="V103" s="385" t="n">
        <f aca="false">IF(18&lt;5,0,IF(MAX(Q96:V96)&gt;V97+4+$B$18,1,0))</f>
        <v>0</v>
      </c>
      <c r="W103" s="385" t="n">
        <f aca="false">IF(19&lt;5,0,IF(MAX(R96:W96)&gt;W97+4+$B$18,1,0))</f>
        <v>0</v>
      </c>
      <c r="X103" s="385" t="n">
        <f aca="false">IF(20&lt;5,0,IF(MAX(S96:X96)&gt;X97+4+$B$18,1,0))</f>
        <v>0</v>
      </c>
      <c r="Y103" s="385" t="n">
        <f aca="false">IF(21&lt;5,0,IF(MAX(T96:Y96)&gt;Y97+4+$B$18,1,0))</f>
        <v>0</v>
      </c>
      <c r="Z103" s="385" t="n">
        <f aca="false">IF(22&lt;5,0,IF(MAX(U96:Z96)&gt;Z97+4+$B$18,1,0))</f>
        <v>0</v>
      </c>
      <c r="AA103" s="385" t="n">
        <f aca="false">IF(23&lt;5,0,IF(MAX(V96:AA96)&gt;AA97+4+$B$18,1,0))</f>
        <v>0</v>
      </c>
      <c r="AB103" s="385" t="n">
        <f aca="false">IF(24&lt;5,0,IF(MAX(W96:AB96)&gt;AB97+4+$B$18,1,0))</f>
        <v>0</v>
      </c>
      <c r="AC103" s="385" t="n">
        <f aca="false">IF(25&lt;5,0,IF(MAX(X96:AC96)&gt;AC97+4+$B$18,1,0))</f>
        <v>0</v>
      </c>
      <c r="AD103" s="385" t="n">
        <f aca="false">IF(26&lt;5,0,IF(MAX(Y96:AD96)&gt;AD97+4+$B$18,1,0))</f>
        <v>0</v>
      </c>
      <c r="AE103" s="385" t="n">
        <f aca="false">IF(27&lt;5,0,IF(MAX(Z96:AE96)&gt;AE97+4+$B$18,1,0))</f>
        <v>0</v>
      </c>
      <c r="AF103" s="385" t="n">
        <f aca="false">IF(28&lt;5,0,IF(MAX(AA96:AF96)&gt;AF97+4+$B$18,1,0))</f>
        <v>0</v>
      </c>
      <c r="AG103" s="385" t="n">
        <f aca="false">IF(29&lt;5,0,IF(MAX(AB96:AG96)&gt;AG97+4+$B$18,1,0))</f>
        <v>0</v>
      </c>
      <c r="AH103" s="385" t="n">
        <f aca="false">IF(30&lt;5,0,IF(MAX(AC96:AH96)&gt;AH97+4+$B$18,1,0))</f>
        <v>0</v>
      </c>
      <c r="AI103" s="385" t="n">
        <f aca="false">IF(31&lt;5,0,IF(MAX(AD96:AI96)&gt;AI97+4+$B$18,1,0))</f>
        <v>0</v>
      </c>
      <c r="AJ103" s="385" t="n">
        <f aca="false">IF(32&lt;5,0,IF(MAX(AE96:AJ96)&gt;AJ97+4+$B$18,1,0))</f>
        <v>1</v>
      </c>
      <c r="AK103" s="385" t="n">
        <f aca="false">IF(33&lt;5,0,IF(MAX(AF96:AK96)&gt;AK97+4+$B$18,1,0))</f>
        <v>1</v>
      </c>
      <c r="AL103" s="385" t="n">
        <f aca="false">IF(34&lt;5,0,IF(MAX(AG96:AL96)&gt;AL97+4+$B$18,1,0))</f>
        <v>1</v>
      </c>
      <c r="AM103" s="385" t="n">
        <f aca="false">IF(35&lt;5,0,IF(MAX(AH96:AM96)&gt;AM97+4+$B$18,1,0))</f>
        <v>1</v>
      </c>
      <c r="AN103" s="385" t="n">
        <f aca="false">IF(36&lt;5,0,IF(MAX(AI96:AN96)&gt;AN97+4+$B$18,1,0))</f>
        <v>1</v>
      </c>
      <c r="AO103" s="385" t="n">
        <f aca="false">IF(37&lt;5,0,IF(MAX(AJ96:AO96)&gt;AO97+4+$B$18,1,0))</f>
        <v>1</v>
      </c>
      <c r="AP103" s="385" t="n">
        <f aca="false">IF(38&lt;5,0,IF(MAX(AK96:AP96)&gt;AP97+4+$B$18,1,0))</f>
        <v>1</v>
      </c>
      <c r="AQ103" s="385" t="n">
        <f aca="false">IF(39&lt;5,0,IF(MAX(AL96:AQ96)&gt;AQ97+4+$B$18,1,0))</f>
        <v>1</v>
      </c>
      <c r="AR103" s="385" t="n">
        <f aca="false">IF(40&lt;5,0,IF(MAX(AM96:AR96)&gt;AR97+4+$B$18,1,0))</f>
        <v>1</v>
      </c>
      <c r="AS103" s="385" t="n">
        <f aca="false">IF(41&lt;5,0,IF(MAX(AN96:AS96)&gt;AS97+4+$B$18,1,0))</f>
        <v>1</v>
      </c>
      <c r="AT103" s="385" t="n">
        <f aca="false">IF(42&lt;5,0,IF(MAX(AO96:AT96)&gt;AT97+4+$B$18,1,0))</f>
        <v>1</v>
      </c>
      <c r="AU103" s="385" t="n">
        <f aca="false">IF(43&lt;5,0,IF(MAX(AP96:AU96)&gt;AU97+4+$B$18,1,0))</f>
        <v>1</v>
      </c>
      <c r="AV103" s="385" t="n">
        <f aca="false">IF(44&lt;5,0,IF(MAX(AQ96:AV96)&gt;AV97+4+$B$18,1,0))</f>
        <v>1</v>
      </c>
      <c r="AW103" s="385" t="n">
        <f aca="false">IF(45&lt;5,0,IF(MAX(AR96:AW96)&gt;AW97+4+$B$18,1,0))</f>
        <v>1</v>
      </c>
      <c r="AX103" s="385" t="n">
        <f aca="false">IF(46&lt;5,0,IF(MAX(AS96:AX96)&gt;AX97+4+$B$18,1,0))</f>
        <v>1</v>
      </c>
      <c r="AY103" s="385" t="n">
        <f aca="false">IF(47&lt;5,0,IF(MAX(AT96:AY96)&gt;AY97+4+$B$18,1,0))</f>
        <v>1</v>
      </c>
      <c r="AZ103" s="385" t="n">
        <f aca="false">IF(48&lt;5,0,IF(MAX(AU96:AZ96)&gt;AZ97+4+$B$18,1,0))</f>
        <v>1</v>
      </c>
      <c r="BA103" s="385" t="n">
        <f aca="false">IF(49&lt;5,0,IF(MAX(AV96:BA96)&gt;BA97+4+$B$18,1,0))</f>
        <v>1</v>
      </c>
      <c r="BB103" s="385" t="n">
        <f aca="false">IF(50&lt;5,0,IF(MAX(AW96:BB96)&gt;BB97+4+$B$18,1,0))</f>
        <v>0</v>
      </c>
      <c r="BC103" s="385" t="n">
        <f aca="false">IF(51&lt;5,0,IF(MAX(AX96:BC96)&gt;BC97+4+$B$18,1,0))</f>
        <v>0</v>
      </c>
      <c r="BD103" s="385" t="n">
        <f aca="false">IF(52&lt;5,0,IF(MAX(AY96:BD96)&gt;BD97+4+$B$18,1,0))</f>
        <v>0</v>
      </c>
      <c r="BE103" s="385" t="n">
        <f aca="false">IF(53&lt;5,0,IF(MAX(AZ96:BE96)&gt;BE97+4+$B$18,1,0))</f>
        <v>0</v>
      </c>
      <c r="BF103" s="385" t="n">
        <f aca="false">IF(54&lt;5,0,IF(MAX(BA96:BF96)&gt;BF97+4+$B$18,1,0))</f>
        <v>0</v>
      </c>
      <c r="BG103" s="385" t="n">
        <f aca="false">IF(55&lt;5,0,IF(MAX(BB96:BG96)&gt;BG97+4+$B$18,1,0))</f>
        <v>0</v>
      </c>
      <c r="BH103" s="385" t="n">
        <f aca="false">IF(56&lt;5,0,IF(MAX(BC96:BH96)&gt;BH97+4+$B$18,1,0))</f>
        <v>0</v>
      </c>
      <c r="BI103" s="385" t="n">
        <f aca="false">IF(57&lt;5,0,IF(MAX(BD96:BI96)&gt;BI97+4+$B$18,1,0))</f>
        <v>0</v>
      </c>
      <c r="BJ103" s="385" t="n">
        <f aca="false">IF(58&lt;5,0,IF(MAX(BE96:BJ96)&gt;BJ97+4+$B$18,1,0))</f>
        <v>0</v>
      </c>
      <c r="BK103" s="385" t="n">
        <f aca="false">IF(59&lt;5,0,IF(MAX(BF96:BK96)&gt;BK97+4+$B$18,1,0))</f>
        <v>0</v>
      </c>
      <c r="BL103" s="385" t="n">
        <f aca="false">IF(60&lt;5,0,IF(MAX(BG96:BL96)&gt;BL97+4+$B$18,1,0))</f>
        <v>0</v>
      </c>
      <c r="BM103" s="385" t="n">
        <f aca="false">IF(61&lt;5,0,IF(MAX(BH96:BM96)&gt;BM97+4+$B$18,1,0))</f>
        <v>0</v>
      </c>
      <c r="BN103" s="385" t="n">
        <f aca="false">IF(62&lt;5,0,IF(MAX(BI96:BN96)&gt;BN97+4+$B$18,1,0))</f>
        <v>0</v>
      </c>
      <c r="BO103" s="385" t="n">
        <f aca="false">IF(63&lt;5,0,IF(MAX(BJ96:BO96)&gt;BO97+4+$B$18,1,0))</f>
        <v>0</v>
      </c>
      <c r="BP103" s="385" t="n">
        <f aca="false">IF(64&lt;5,0,IF(MAX(BK96:BP96)&gt;BP97+4+$B$18,1,0))</f>
        <v>0</v>
      </c>
      <c r="BQ103" s="385" t="n">
        <f aca="false">IF(65&lt;5,0,IF(MAX(BL96:BQ96)&gt;BQ97+4+$B$18,1,0))</f>
        <v>0</v>
      </c>
      <c r="BR103" s="385" t="n">
        <f aca="false">IF(66&lt;5,0,IF(MAX(BM96:BR96)&gt;BR97+4+$B$18,1,0))</f>
        <v>0</v>
      </c>
      <c r="BS103" s="385" t="n">
        <f aca="false">IF(67&lt;5,0,IF(MAX(BN96:BS96)&gt;BS97+4+$B$18,1,0))</f>
        <v>0</v>
      </c>
      <c r="BT103" s="385" t="n">
        <f aca="false">IF(68&lt;5,0,IF(MAX(BO96:BT96)&gt;BT97+4+$B$18,1,0))</f>
        <v>0</v>
      </c>
      <c r="BU103" s="385" t="n">
        <f aca="false">IF(69&lt;5,0,IF(MAX(BP96:BU96)&gt;BU97+4+$B$18,1,0))</f>
        <v>0</v>
      </c>
      <c r="BV103" s="385" t="n">
        <f aca="false">IF(70&lt;5,0,IF(MAX(BQ96:BV96)&gt;BV97+4+$B$18,1,0))</f>
        <v>0</v>
      </c>
      <c r="BW103" s="385" t="n">
        <f aca="false">IF(71&lt;5,0,IF(MAX(BR96:BW96)&gt;BW97+4+$B$18,1,0))</f>
        <v>0</v>
      </c>
      <c r="BX103" s="385" t="n">
        <f aca="false">IF(72&lt;5,0,IF(MAX(BS96:BX96)&gt;BX97+4+$B$18,1,0))</f>
        <v>0</v>
      </c>
      <c r="BY103" s="385" t="n">
        <f aca="false">IF(73&lt;5,0,IF(MAX(BT96:BY96)&gt;BY97+4+$B$18,1,0))</f>
        <v>0</v>
      </c>
      <c r="BZ103" s="385" t="n">
        <f aca="false">IF(74&lt;5,0,IF(MAX(BU96:BZ96)&gt;BZ97+4+$B$18,1,0))</f>
        <v>0</v>
      </c>
      <c r="CA103" s="385" t="n">
        <f aca="false">IF(75&lt;5,0,IF(MAX(BV96:CA96)&gt;CA97+4+$B$18,1,0))</f>
        <v>0</v>
      </c>
      <c r="CB103" s="385" t="n">
        <f aca="false">IF(76&lt;5,0,IF(MAX(BW96:CB96)&gt;CB97+4+$B$18,1,0))</f>
        <v>0</v>
      </c>
      <c r="CC103" s="385" t="n">
        <f aca="false">IF(77&lt;5,0,IF(MAX(BX96:CC96)&gt;CC97+4+$B$18,1,0))</f>
        <v>0</v>
      </c>
      <c r="CD103" s="385" t="n">
        <f aca="false">IF(78&lt;5,0,IF(MAX(BY96:CD96)&gt;CD97+4+$B$18,1,0))</f>
        <v>0</v>
      </c>
      <c r="CE103" s="385" t="n">
        <f aca="false">IF(79&lt;5,0,IF(MAX(BZ96:CE96)&gt;CE97+4+$B$18,1,0))</f>
        <v>0</v>
      </c>
      <c r="CF103" s="385" t="n">
        <f aca="false">IF(80&lt;5,0,IF(MAX(CA96:CF96)&gt;CF97+4+$B$18,1,0))</f>
        <v>0</v>
      </c>
      <c r="CG103" s="385" t="n">
        <f aca="false">IF(81&lt;5,0,IF(MAX(CB96:CG96)&gt;CG97+4+$B$18,1,0))</f>
        <v>0</v>
      </c>
      <c r="CH103" s="385" t="n">
        <f aca="false">IF(82&lt;5,0,IF(MAX(CC96:CH96)&gt;CH97+4+$B$18,1,0))</f>
        <v>0</v>
      </c>
      <c r="CI103" s="385" t="n">
        <f aca="false">IF(83&lt;5,0,IF(MAX(CD96:CI96)&gt;CI97+4+$B$18,1,0))</f>
        <v>0</v>
      </c>
      <c r="CJ103" s="385" t="n">
        <f aca="false">IF(84&lt;5,0,IF(MAX(CE96:CJ96)&gt;CJ97+4+$B$18,1,0))</f>
        <v>0</v>
      </c>
      <c r="CK103" s="385" t="n">
        <f aca="false">IF(85&lt;5,0,IF(MAX(CF96:CK96)&gt;CK97+4+$B$18,1,0))</f>
        <v>0</v>
      </c>
      <c r="CL103" s="385" t="n">
        <f aca="false">IF(86&lt;5,0,IF(MAX(CG96:CL96)&gt;CL97+4+$B$18,1,0))</f>
        <v>0</v>
      </c>
      <c r="CM103" s="385" t="n">
        <f aca="false">IF(87&lt;5,0,IF(MAX(CH96:CM96)&gt;CM97+4+$B$18,1,0))</f>
        <v>0</v>
      </c>
      <c r="CN103" s="385" t="n">
        <f aca="false">IF(88&lt;5,0,IF(MAX(CI96:CN96)&gt;CN97+4+$B$18,1,0))</f>
        <v>0</v>
      </c>
      <c r="CO103" s="385" t="n">
        <f aca="false">IF(89&lt;5,0,IF(MAX(CJ96:CO96)&gt;CO97+4+$B$18,1,0))</f>
        <v>0</v>
      </c>
      <c r="CP103" s="385" t="n">
        <f aca="false">IF(90&lt;5,0,IF(MAX(CK96:CP96)&gt;CP97+4+$B$18,1,0))</f>
        <v>0</v>
      </c>
      <c r="CQ103" s="385" t="n">
        <f aca="false">IF(91&lt;5,0,IF(MAX(CL96:CQ96)&gt;CQ97+4+$B$18,1,0))</f>
        <v>0</v>
      </c>
      <c r="CR103" s="385" t="n">
        <f aca="false">IF(92&lt;5,0,IF(MAX(CM96:CR96)&gt;CR97+4+$B$18,1,0))</f>
        <v>0</v>
      </c>
      <c r="CS103" s="385" t="n">
        <f aca="false">IF(93&lt;5,0,IF(MAX(CN96:CS96)&gt;CS97+4+$B$18,1,0))</f>
        <v>0</v>
      </c>
      <c r="CT103" s="385" t="n">
        <f aca="false">IF(94&lt;5,0,IF(MAX(CO96:CT96)&gt;CT97+4+$B$18,1,0))</f>
        <v>0</v>
      </c>
      <c r="CU103" s="385" t="n">
        <f aca="false">IF(95&lt;5,0,IF(MAX(CP96:CU96)&gt;CU97+4+$B$18,1,0))</f>
        <v>0</v>
      </c>
      <c r="CV103" s="385" t="n">
        <f aca="false">IF(96&lt;5,0,IF(MAX(CQ96:CV96)&gt;CV97+4+$B$18,1,0))</f>
        <v>0</v>
      </c>
      <c r="CW103" s="385" t="n">
        <f aca="false">IF(97&lt;5,0,IF(MAX(CR96:CW96)&gt;CW97+4+$B$18,1,0))</f>
        <v>0</v>
      </c>
      <c r="CX103" s="385" t="n">
        <f aca="false">IF(98&lt;5,0,IF(MAX(CS96:CX96)&gt;CX97+4+$B$18,1,0))</f>
        <v>0</v>
      </c>
      <c r="CY103" s="385" t="n">
        <f aca="false">IF(99&lt;5,0,IF(MAX(CT96:CY96)&gt;CY97+4+$B$18,1,0))</f>
        <v>0</v>
      </c>
      <c r="CZ103" s="385" t="n">
        <f aca="false">IF(100&lt;5,0,IF(MAX(CU96:CZ96)&gt;CZ97+4+$B$18,1,0))</f>
        <v>0</v>
      </c>
      <c r="DA103" s="385" t="n">
        <f aca="false">IF(101&lt;5,0,IF(MAX(CV96:DA96)&gt;DA97+4+$B$18,1,0))</f>
        <v>0</v>
      </c>
      <c r="DB103" s="385" t="n">
        <f aca="false">IF(102&lt;5,0,IF(MAX(CW96:DB96)&gt;DB97+4+$B$18,1,0))</f>
        <v>0</v>
      </c>
      <c r="DC103" s="385" t="n">
        <f aca="false">IF(103&lt;5,0,IF(MAX(CX96:DC96)&gt;DC97+4+$B$18,1,0))</f>
        <v>0</v>
      </c>
      <c r="DD103" s="385" t="n">
        <f aca="false">IF(104&lt;5,0,IF(MAX(CY96:DD96)&gt;DD97+4+$B$18,1,0))</f>
        <v>0</v>
      </c>
      <c r="DE103" s="385" t="n">
        <f aca="false">IF(105&lt;5,0,IF(MAX(CZ96:DE96)&gt;DE97+4+$B$18,1,0))</f>
        <v>0</v>
      </c>
    </row>
    <row r="104" customFormat="false" ht="13.5" hidden="false" customHeight="true" outlineLevel="0" collapsed="false">
      <c r="A104" s="110" t="s">
        <v>1426</v>
      </c>
      <c r="B104" s="213" t="n">
        <f aca="false">$B$27</f>
        <v>125000</v>
      </c>
      <c r="E104" s="385" t="n">
        <f aca="false">IF(1&lt;5,0,IF(MAX(E96)&gt;E97+5+$B$18,1,0))</f>
        <v>0</v>
      </c>
      <c r="F104" s="385" t="n">
        <f aca="false">IF(2&lt;5,0,IF(MAX(E96:F96)&gt;F97+5+$B$18,1,0))</f>
        <v>0</v>
      </c>
      <c r="G104" s="385" t="n">
        <f aca="false">IF(3&lt;5,0,IF(MAX(E96:G96)&gt;G97+5+$B$18,1,0))</f>
        <v>0</v>
      </c>
      <c r="H104" s="385" t="n">
        <f aca="false">IF(4&lt;5,0,IF(MAX(E96:H96)&gt;H97+5+$B$18,1,0))</f>
        <v>0</v>
      </c>
      <c r="I104" s="385" t="n">
        <f aca="false">IF(5&lt;5,0,IF(MAX(E96:I96)&gt;I97+5+$B$18,1,0))</f>
        <v>0</v>
      </c>
      <c r="J104" s="385" t="n">
        <f aca="false">IF(6&lt;5,0,IF(MAX(E96:J96)&gt;J97+5+$B$18,1,0))</f>
        <v>0</v>
      </c>
      <c r="K104" s="385" t="n">
        <f aca="false">IF(7&lt;5,0,IF(MAX(F96:K96)&gt;K97+5+$B$18,1,0))</f>
        <v>0</v>
      </c>
      <c r="L104" s="385" t="n">
        <f aca="false">IF(8&lt;5,0,IF(MAX(G96:L96)&gt;L97+5+$B$18,1,0))</f>
        <v>0</v>
      </c>
      <c r="M104" s="385" t="n">
        <f aca="false">IF(9&lt;5,0,IF(MAX(H96:M96)&gt;M97+5+$B$18,1,0))</f>
        <v>0</v>
      </c>
      <c r="N104" s="385" t="n">
        <f aca="false">IF(10&lt;5,0,IF(MAX(I96:N96)&gt;N97+5+$B$18,1,0))</f>
        <v>0</v>
      </c>
      <c r="O104" s="385" t="n">
        <f aca="false">IF(11&lt;5,0,IF(MAX(J96:O96)&gt;O97+5+$B$18,1,0))</f>
        <v>0</v>
      </c>
      <c r="P104" s="385" t="n">
        <f aca="false">IF(12&lt;5,0,IF(MAX(K96:P96)&gt;P97+5+$B$18,1,0))</f>
        <v>0</v>
      </c>
      <c r="Q104" s="385" t="n">
        <f aca="false">IF(13&lt;5,0,IF(MAX(L96:Q96)&gt;Q97+5+$B$18,1,0))</f>
        <v>0</v>
      </c>
      <c r="R104" s="385" t="n">
        <f aca="false">IF(14&lt;5,0,IF(MAX(M96:R96)&gt;R97+5+$B$18,1,0))</f>
        <v>0</v>
      </c>
      <c r="S104" s="385" t="n">
        <f aca="false">IF(15&lt;5,0,IF(MAX(N96:S96)&gt;S97+5+$B$18,1,0))</f>
        <v>0</v>
      </c>
      <c r="T104" s="385" t="n">
        <f aca="false">IF(16&lt;5,0,IF(MAX(O96:T96)&gt;T97+5+$B$18,1,0))</f>
        <v>0</v>
      </c>
      <c r="U104" s="385" t="n">
        <f aca="false">IF(17&lt;5,0,IF(MAX(P96:U96)&gt;U97+5+$B$18,1,0))</f>
        <v>0</v>
      </c>
      <c r="V104" s="385" t="n">
        <f aca="false">IF(18&lt;5,0,IF(MAX(Q96:V96)&gt;V97+5+$B$18,1,0))</f>
        <v>0</v>
      </c>
      <c r="W104" s="385" t="n">
        <f aca="false">IF(19&lt;5,0,IF(MAX(R96:W96)&gt;W97+5+$B$18,1,0))</f>
        <v>0</v>
      </c>
      <c r="X104" s="385" t="n">
        <f aca="false">IF(20&lt;5,0,IF(MAX(S96:X96)&gt;X97+5+$B$18,1,0))</f>
        <v>0</v>
      </c>
      <c r="Y104" s="385" t="n">
        <f aca="false">IF(21&lt;5,0,IF(MAX(T96:Y96)&gt;Y97+5+$B$18,1,0))</f>
        <v>0</v>
      </c>
      <c r="Z104" s="385" t="n">
        <f aca="false">IF(22&lt;5,0,IF(MAX(U96:Z96)&gt;Z97+5+$B$18,1,0))</f>
        <v>0</v>
      </c>
      <c r="AA104" s="385" t="n">
        <f aca="false">IF(23&lt;5,0,IF(MAX(V96:AA96)&gt;AA97+5+$B$18,1,0))</f>
        <v>0</v>
      </c>
      <c r="AB104" s="385" t="n">
        <f aca="false">IF(24&lt;5,0,IF(MAX(W96:AB96)&gt;AB97+5+$B$18,1,0))</f>
        <v>0</v>
      </c>
      <c r="AC104" s="385" t="n">
        <f aca="false">IF(25&lt;5,0,IF(MAX(X96:AC96)&gt;AC97+5+$B$18,1,0))</f>
        <v>0</v>
      </c>
      <c r="AD104" s="385" t="n">
        <f aca="false">IF(26&lt;5,0,IF(MAX(Y96:AD96)&gt;AD97+5+$B$18,1,0))</f>
        <v>0</v>
      </c>
      <c r="AE104" s="385" t="n">
        <f aca="false">IF(27&lt;5,0,IF(MAX(Z96:AE96)&gt;AE97+5+$B$18,1,0))</f>
        <v>0</v>
      </c>
      <c r="AF104" s="385" t="n">
        <f aca="false">IF(28&lt;5,0,IF(MAX(AA96:AF96)&gt;AF97+5+$B$18,1,0))</f>
        <v>0</v>
      </c>
      <c r="AG104" s="385" t="n">
        <f aca="false">IF(29&lt;5,0,IF(MAX(AB96:AG96)&gt;AG97+5+$B$18,1,0))</f>
        <v>0</v>
      </c>
      <c r="AH104" s="385" t="n">
        <f aca="false">IF(30&lt;5,0,IF(MAX(AC96:AH96)&gt;AH97+5+$B$18,1,0))</f>
        <v>0</v>
      </c>
      <c r="AI104" s="385" t="n">
        <f aca="false">IF(31&lt;5,0,IF(MAX(AD96:AI96)&gt;AI97+5+$B$18,1,0))</f>
        <v>0</v>
      </c>
      <c r="AJ104" s="385" t="n">
        <f aca="false">IF(32&lt;5,0,IF(MAX(AE96:AJ96)&gt;AJ97+5+$B$18,1,0))</f>
        <v>0</v>
      </c>
      <c r="AK104" s="385" t="n">
        <f aca="false">IF(33&lt;5,0,IF(MAX(AF96:AK96)&gt;AK97+5+$B$18,1,0))</f>
        <v>0</v>
      </c>
      <c r="AL104" s="385" t="n">
        <f aca="false">IF(34&lt;5,0,IF(MAX(AG96:AL96)&gt;AL97+5+$B$18,1,0))</f>
        <v>0</v>
      </c>
      <c r="AM104" s="385" t="n">
        <f aca="false">IF(35&lt;5,0,IF(MAX(AH96:AM96)&gt;AM97+5+$B$18,1,0))</f>
        <v>0</v>
      </c>
      <c r="AN104" s="385" t="n">
        <f aca="false">IF(36&lt;5,0,IF(MAX(AI96:AN96)&gt;AN97+5+$B$18,1,0))</f>
        <v>0</v>
      </c>
      <c r="AO104" s="385" t="n">
        <f aca="false">IF(37&lt;5,0,IF(MAX(AJ96:AO96)&gt;AO97+5+$B$18,1,0))</f>
        <v>0</v>
      </c>
      <c r="AP104" s="385" t="n">
        <f aca="false">IF(38&lt;5,0,IF(MAX(AK96:AP96)&gt;AP97+5+$B$18,1,0))</f>
        <v>0</v>
      </c>
      <c r="AQ104" s="385" t="n">
        <f aca="false">IF(39&lt;5,0,IF(MAX(AL96:AQ96)&gt;AQ97+5+$B$18,1,0))</f>
        <v>0</v>
      </c>
      <c r="AR104" s="385" t="n">
        <f aca="false">IF(40&lt;5,0,IF(MAX(AM96:AR96)&gt;AR97+5+$B$18,1,0))</f>
        <v>0</v>
      </c>
      <c r="AS104" s="385" t="n">
        <f aca="false">IF(41&lt;5,0,IF(MAX(AN96:AS96)&gt;AS97+5+$B$18,1,0))</f>
        <v>0</v>
      </c>
      <c r="AT104" s="385" t="n">
        <f aca="false">IF(42&lt;5,0,IF(MAX(AO96:AT96)&gt;AT97+5+$B$18,1,0))</f>
        <v>0</v>
      </c>
      <c r="AU104" s="385" t="n">
        <f aca="false">IF(43&lt;5,0,IF(MAX(AP96:AU96)&gt;AU97+5+$B$18,1,0))</f>
        <v>1</v>
      </c>
      <c r="AV104" s="385" t="n">
        <f aca="false">IF(44&lt;5,0,IF(MAX(AQ96:AV96)&gt;AV97+5+$B$18,1,0))</f>
        <v>1</v>
      </c>
      <c r="AW104" s="385" t="n">
        <f aca="false">IF(45&lt;5,0,IF(MAX(AR96:AW96)&gt;AW97+5+$B$18,1,0))</f>
        <v>1</v>
      </c>
      <c r="AX104" s="385" t="n">
        <f aca="false">IF(46&lt;5,0,IF(MAX(AS96:AX96)&gt;AX97+5+$B$18,1,0))</f>
        <v>1</v>
      </c>
      <c r="AY104" s="385" t="n">
        <f aca="false">IF(47&lt;5,0,IF(MAX(AT96:AY96)&gt;AY97+5+$B$18,1,0))</f>
        <v>1</v>
      </c>
      <c r="AZ104" s="385" t="n">
        <f aca="false">IF(48&lt;5,0,IF(MAX(AU96:AZ96)&gt;AZ97+5+$B$18,1,0))</f>
        <v>1</v>
      </c>
      <c r="BA104" s="385" t="n">
        <f aca="false">IF(49&lt;5,0,IF(MAX(AV96:BA96)&gt;BA97+5+$B$18,1,0))</f>
        <v>0</v>
      </c>
      <c r="BB104" s="385" t="n">
        <f aca="false">IF(50&lt;5,0,IF(MAX(AW96:BB96)&gt;BB97+5+$B$18,1,0))</f>
        <v>0</v>
      </c>
      <c r="BC104" s="385" t="n">
        <f aca="false">IF(51&lt;5,0,IF(MAX(AX96:BC96)&gt;BC97+5+$B$18,1,0))</f>
        <v>0</v>
      </c>
      <c r="BD104" s="385" t="n">
        <f aca="false">IF(52&lt;5,0,IF(MAX(AY96:BD96)&gt;BD97+5+$B$18,1,0))</f>
        <v>0</v>
      </c>
      <c r="BE104" s="385" t="n">
        <f aca="false">IF(53&lt;5,0,IF(MAX(AZ96:BE96)&gt;BE97+5+$B$18,1,0))</f>
        <v>0</v>
      </c>
      <c r="BF104" s="385" t="n">
        <f aca="false">IF(54&lt;5,0,IF(MAX(BA96:BF96)&gt;BF97+5+$B$18,1,0))</f>
        <v>0</v>
      </c>
      <c r="BG104" s="385" t="n">
        <f aca="false">IF(55&lt;5,0,IF(MAX(BB96:BG96)&gt;BG97+5+$B$18,1,0))</f>
        <v>0</v>
      </c>
      <c r="BH104" s="385" t="n">
        <f aca="false">IF(56&lt;5,0,IF(MAX(BC96:BH96)&gt;BH97+5+$B$18,1,0))</f>
        <v>0</v>
      </c>
      <c r="BI104" s="385" t="n">
        <f aca="false">IF(57&lt;5,0,IF(MAX(BD96:BI96)&gt;BI97+5+$B$18,1,0))</f>
        <v>0</v>
      </c>
      <c r="BJ104" s="385" t="n">
        <f aca="false">IF(58&lt;5,0,IF(MAX(BE96:BJ96)&gt;BJ97+5+$B$18,1,0))</f>
        <v>0</v>
      </c>
      <c r="BK104" s="385" t="n">
        <f aca="false">IF(59&lt;5,0,IF(MAX(BF96:BK96)&gt;BK97+5+$B$18,1,0))</f>
        <v>0</v>
      </c>
      <c r="BL104" s="385" t="n">
        <f aca="false">IF(60&lt;5,0,IF(MAX(BG96:BL96)&gt;BL97+5+$B$18,1,0))</f>
        <v>0</v>
      </c>
      <c r="BM104" s="385" t="n">
        <f aca="false">IF(61&lt;5,0,IF(MAX(BH96:BM96)&gt;BM97+5+$B$18,1,0))</f>
        <v>0</v>
      </c>
      <c r="BN104" s="385" t="n">
        <f aca="false">IF(62&lt;5,0,IF(MAX(BI96:BN96)&gt;BN97+5+$B$18,1,0))</f>
        <v>0</v>
      </c>
      <c r="BO104" s="385" t="n">
        <f aca="false">IF(63&lt;5,0,IF(MAX(BJ96:BO96)&gt;BO97+5+$B$18,1,0))</f>
        <v>0</v>
      </c>
      <c r="BP104" s="385" t="n">
        <f aca="false">IF(64&lt;5,0,IF(MAX(BK96:BP96)&gt;BP97+5+$B$18,1,0))</f>
        <v>0</v>
      </c>
      <c r="BQ104" s="385" t="n">
        <f aca="false">IF(65&lt;5,0,IF(MAX(BL96:BQ96)&gt;BQ97+5+$B$18,1,0))</f>
        <v>0</v>
      </c>
      <c r="BR104" s="385" t="n">
        <f aca="false">IF(66&lt;5,0,IF(MAX(BM96:BR96)&gt;BR97+5+$B$18,1,0))</f>
        <v>0</v>
      </c>
      <c r="BS104" s="385" t="n">
        <f aca="false">IF(67&lt;5,0,IF(MAX(BN96:BS96)&gt;BS97+5+$B$18,1,0))</f>
        <v>0</v>
      </c>
      <c r="BT104" s="385" t="n">
        <f aca="false">IF(68&lt;5,0,IF(MAX(BO96:BT96)&gt;BT97+5+$B$18,1,0))</f>
        <v>0</v>
      </c>
      <c r="BU104" s="385" t="n">
        <f aca="false">IF(69&lt;5,0,IF(MAX(BP96:BU96)&gt;BU97+5+$B$18,1,0))</f>
        <v>0</v>
      </c>
      <c r="BV104" s="385" t="n">
        <f aca="false">IF(70&lt;5,0,IF(MAX(BQ96:BV96)&gt;BV97+5+$B$18,1,0))</f>
        <v>0</v>
      </c>
      <c r="BW104" s="385" t="n">
        <f aca="false">IF(71&lt;5,0,IF(MAX(BR96:BW96)&gt;BW97+5+$B$18,1,0))</f>
        <v>0</v>
      </c>
      <c r="BX104" s="385" t="n">
        <f aca="false">IF(72&lt;5,0,IF(MAX(BS96:BX96)&gt;BX97+5+$B$18,1,0))</f>
        <v>0</v>
      </c>
      <c r="BY104" s="385" t="n">
        <f aca="false">IF(73&lt;5,0,IF(MAX(BT96:BY96)&gt;BY97+5+$B$18,1,0))</f>
        <v>0</v>
      </c>
      <c r="BZ104" s="385" t="n">
        <f aca="false">IF(74&lt;5,0,IF(MAX(BU96:BZ96)&gt;BZ97+5+$B$18,1,0))</f>
        <v>0</v>
      </c>
      <c r="CA104" s="385" t="n">
        <f aca="false">IF(75&lt;5,0,IF(MAX(BV96:CA96)&gt;CA97+5+$B$18,1,0))</f>
        <v>0</v>
      </c>
      <c r="CB104" s="385" t="n">
        <f aca="false">IF(76&lt;5,0,IF(MAX(BW96:CB96)&gt;CB97+5+$B$18,1,0))</f>
        <v>0</v>
      </c>
      <c r="CC104" s="385" t="n">
        <f aca="false">IF(77&lt;5,0,IF(MAX(BX96:CC96)&gt;CC97+5+$B$18,1,0))</f>
        <v>0</v>
      </c>
      <c r="CD104" s="385" t="n">
        <f aca="false">IF(78&lt;5,0,IF(MAX(BY96:CD96)&gt;CD97+5+$B$18,1,0))</f>
        <v>0</v>
      </c>
      <c r="CE104" s="385" t="n">
        <f aca="false">IF(79&lt;5,0,IF(MAX(BZ96:CE96)&gt;CE97+5+$B$18,1,0))</f>
        <v>0</v>
      </c>
      <c r="CF104" s="385" t="n">
        <f aca="false">IF(80&lt;5,0,IF(MAX(CA96:CF96)&gt;CF97+5+$B$18,1,0))</f>
        <v>0</v>
      </c>
      <c r="CG104" s="385" t="n">
        <f aca="false">IF(81&lt;5,0,IF(MAX(CB96:CG96)&gt;CG97+5+$B$18,1,0))</f>
        <v>0</v>
      </c>
      <c r="CH104" s="385" t="n">
        <f aca="false">IF(82&lt;5,0,IF(MAX(CC96:CH96)&gt;CH97+5+$B$18,1,0))</f>
        <v>0</v>
      </c>
      <c r="CI104" s="385" t="n">
        <f aca="false">IF(83&lt;5,0,IF(MAX(CD96:CI96)&gt;CI97+5+$B$18,1,0))</f>
        <v>0</v>
      </c>
      <c r="CJ104" s="385" t="n">
        <f aca="false">IF(84&lt;5,0,IF(MAX(CE96:CJ96)&gt;CJ97+5+$B$18,1,0))</f>
        <v>0</v>
      </c>
      <c r="CK104" s="385" t="n">
        <f aca="false">IF(85&lt;5,0,IF(MAX(CF96:CK96)&gt;CK97+5+$B$18,1,0))</f>
        <v>0</v>
      </c>
      <c r="CL104" s="385" t="n">
        <f aca="false">IF(86&lt;5,0,IF(MAX(CG96:CL96)&gt;CL97+5+$B$18,1,0))</f>
        <v>0</v>
      </c>
      <c r="CM104" s="385" t="n">
        <f aca="false">IF(87&lt;5,0,IF(MAX(CH96:CM96)&gt;CM97+5+$B$18,1,0))</f>
        <v>0</v>
      </c>
      <c r="CN104" s="385" t="n">
        <f aca="false">IF(88&lt;5,0,IF(MAX(CI96:CN96)&gt;CN97+5+$B$18,1,0))</f>
        <v>0</v>
      </c>
      <c r="CO104" s="385" t="n">
        <f aca="false">IF(89&lt;5,0,IF(MAX(CJ96:CO96)&gt;CO97+5+$B$18,1,0))</f>
        <v>0</v>
      </c>
      <c r="CP104" s="385" t="n">
        <f aca="false">IF(90&lt;5,0,IF(MAX(CK96:CP96)&gt;CP97+5+$B$18,1,0))</f>
        <v>0</v>
      </c>
      <c r="CQ104" s="385" t="n">
        <f aca="false">IF(91&lt;5,0,IF(MAX(CL96:CQ96)&gt;CQ97+5+$B$18,1,0))</f>
        <v>0</v>
      </c>
      <c r="CR104" s="385" t="n">
        <f aca="false">IF(92&lt;5,0,IF(MAX(CM96:CR96)&gt;CR97+5+$B$18,1,0))</f>
        <v>0</v>
      </c>
      <c r="CS104" s="385" t="n">
        <f aca="false">IF(93&lt;5,0,IF(MAX(CN96:CS96)&gt;CS97+5+$B$18,1,0))</f>
        <v>0</v>
      </c>
      <c r="CT104" s="385" t="n">
        <f aca="false">IF(94&lt;5,0,IF(MAX(CO96:CT96)&gt;CT97+5+$B$18,1,0))</f>
        <v>0</v>
      </c>
      <c r="CU104" s="385" t="n">
        <f aca="false">IF(95&lt;5,0,IF(MAX(CP96:CU96)&gt;CU97+5+$B$18,1,0))</f>
        <v>0</v>
      </c>
      <c r="CV104" s="385" t="n">
        <f aca="false">IF(96&lt;5,0,IF(MAX(CQ96:CV96)&gt;CV97+5+$B$18,1,0))</f>
        <v>0</v>
      </c>
      <c r="CW104" s="385" t="n">
        <f aca="false">IF(97&lt;5,0,IF(MAX(CR96:CW96)&gt;CW97+5+$B$18,1,0))</f>
        <v>0</v>
      </c>
      <c r="CX104" s="385" t="n">
        <f aca="false">IF(98&lt;5,0,IF(MAX(CS96:CX96)&gt;CX97+5+$B$18,1,0))</f>
        <v>0</v>
      </c>
      <c r="CY104" s="385" t="n">
        <f aca="false">IF(99&lt;5,0,IF(MAX(CT96:CY96)&gt;CY97+5+$B$18,1,0))</f>
        <v>0</v>
      </c>
      <c r="CZ104" s="385" t="n">
        <f aca="false">IF(100&lt;5,0,IF(MAX(CU96:CZ96)&gt;CZ97+5+$B$18,1,0))</f>
        <v>0</v>
      </c>
      <c r="DA104" s="385" t="n">
        <f aca="false">IF(101&lt;5,0,IF(MAX(CV96:DA96)&gt;DA97+5+$B$18,1,0))</f>
        <v>0</v>
      </c>
      <c r="DB104" s="385" t="n">
        <f aca="false">IF(102&lt;5,0,IF(MAX(CW96:DB96)&gt;DB97+5+$B$18,1,0))</f>
        <v>0</v>
      </c>
      <c r="DC104" s="385" t="n">
        <f aca="false">IF(103&lt;5,0,IF(MAX(CX96:DC96)&gt;DC97+5+$B$18,1,0))</f>
        <v>0</v>
      </c>
      <c r="DD104" s="385" t="n">
        <f aca="false">IF(104&lt;5,0,IF(MAX(CY96:DD96)&gt;DD97+5+$B$18,1,0))</f>
        <v>0</v>
      </c>
      <c r="DE104" s="385" t="n">
        <f aca="false">IF(105&lt;5,0,IF(MAX(CZ96:DE96)&gt;DE97+5+$B$18,1,0))</f>
        <v>0</v>
      </c>
    </row>
    <row r="106" customFormat="false" ht="13.5" hidden="false" customHeight="true" outlineLevel="0" collapsed="false">
      <c r="A106" s="110" t="s">
        <v>1427</v>
      </c>
      <c r="B106" s="381" t="n">
        <v>3</v>
      </c>
    </row>
    <row r="107" customFormat="false" ht="13.5" hidden="false" customHeight="true" outlineLevel="0" collapsed="false">
      <c r="A107" s="110" t="s">
        <v>1428</v>
      </c>
      <c r="B107" s="381" t="n">
        <v>0.5</v>
      </c>
    </row>
    <row r="108" customFormat="false" ht="13.5" hidden="false" customHeight="true" outlineLevel="0" collapsed="false">
      <c r="A108" s="1" t="s">
        <v>1429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true"/>
  </sheetPr>
  <dimension ref="A1:AD66"/>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1" ySplit="10" topLeftCell="B11" activePane="bottomRight" state="frozen"/>
      <selection pane="topLeft" activeCell="A1" activeCellId="0" sqref="A1"/>
      <selection pane="topRight" activeCell="B1" activeCellId="0" sqref="B1"/>
      <selection pane="bottomLeft" activeCell="A11" activeCellId="0" sqref="A11"/>
      <selection pane="bottomRight" activeCell="A1" activeCellId="0" sqref="A1"/>
    </sheetView>
  </sheetViews>
  <sheetFormatPr defaultColWidth="8.59375" defaultRowHeight="15" zeroHeight="false" outlineLevelRow="0" outlineLevelCol="0"/>
  <cols>
    <col collapsed="false" customWidth="true" hidden="false" outlineLevel="0" max="1" min="1" style="1" width="30"/>
    <col collapsed="false" customWidth="true" hidden="false" outlineLevel="0" max="2" min="2" style="1" width="9"/>
    <col collapsed="false" customWidth="true" hidden="false" outlineLevel="0" max="6" min="3" style="1" width="13"/>
    <col collapsed="false" customWidth="true" hidden="false" outlineLevel="0" max="7" min="7" style="1" width="9"/>
    <col collapsed="false" customWidth="true" hidden="false" outlineLevel="0" max="8" min="8" style="1" width="8"/>
    <col collapsed="false" customWidth="true" hidden="false" outlineLevel="0" max="9" min="9" style="1" width="9"/>
    <col collapsed="false" customWidth="true" hidden="false" outlineLevel="0" max="10" min="10" style="1" width="13"/>
    <col collapsed="false" customWidth="true" hidden="false" outlineLevel="0" max="11" min="11" style="1" width="8"/>
    <col collapsed="false" customWidth="true" hidden="false" outlineLevel="0" max="12" min="12" style="1" width="13"/>
    <col collapsed="false" customWidth="true" hidden="false" outlineLevel="0" max="13" min="13" style="1" width="8"/>
    <col collapsed="false" customWidth="true" hidden="false" outlineLevel="0" max="14" min="14" style="1" width="9"/>
    <col collapsed="false" customWidth="true" hidden="false" outlineLevel="0" max="15" min="15" style="1" width="13"/>
    <col collapsed="false" customWidth="true" hidden="false" outlineLevel="0" max="16" min="16" style="1" width="8"/>
    <col collapsed="false" customWidth="true" hidden="false" outlineLevel="0" max="17" min="17" style="1" width="13"/>
    <col collapsed="false" customWidth="true" hidden="false" outlineLevel="0" max="18" min="18" style="1" width="8"/>
    <col collapsed="false" customWidth="true" hidden="false" outlineLevel="0" max="19" min="19" style="1" width="5"/>
    <col collapsed="false" customWidth="true" hidden="false" outlineLevel="0" max="23" min="20" style="1" width="13"/>
    <col collapsed="false" customWidth="true" hidden="false" outlineLevel="0" max="24" min="24" style="1" width="7"/>
    <col collapsed="false" customWidth="true" hidden="false" outlineLevel="0" max="26" min="25" style="1" width="13"/>
    <col collapsed="false" customWidth="true" hidden="false" outlineLevel="0" max="29" min="27" style="1" width="14"/>
    <col collapsed="false" customWidth="true" hidden="false" outlineLevel="0" max="30" min="30" style="1" width="60"/>
  </cols>
  <sheetData>
    <row r="1" customFormat="false" ht="18" hidden="false" customHeight="true" outlineLevel="0" collapsed="false">
      <c r="A1" s="206" t="s">
        <v>1430</v>
      </c>
    </row>
    <row r="2" customFormat="false" ht="13.5" hidden="false" customHeight="true" outlineLevel="0" collapsed="false">
      <c r="A2" s="387" t="s">
        <v>1431</v>
      </c>
    </row>
    <row r="3" customFormat="false" ht="15" hidden="false" customHeight="true" outlineLevel="0" collapsed="false">
      <c r="A3" s="388" t="s">
        <v>1432</v>
      </c>
    </row>
    <row r="4" customFormat="false" ht="15" hidden="false" customHeight="true" outlineLevel="0" collapsed="false">
      <c r="A4" s="120" t="s">
        <v>1433</v>
      </c>
      <c r="C4" s="389" t="n">
        <f aca="false">Assumptions!$B$15</f>
        <v>0.015</v>
      </c>
      <c r="D4" s="390" t="s">
        <v>1434</v>
      </c>
    </row>
    <row r="5" customFormat="false" ht="15" hidden="false" customHeight="true" outlineLevel="0" collapsed="false">
      <c r="A5" s="120" t="s">
        <v>1435</v>
      </c>
      <c r="C5" s="391" t="n">
        <f aca="false">95034/12993776.05</f>
        <v>0.00731380929102591</v>
      </c>
      <c r="D5" s="390" t="s">
        <v>1436</v>
      </c>
    </row>
    <row r="6" customFormat="false" ht="15" hidden="false" customHeight="true" outlineLevel="0" collapsed="false">
      <c r="A6" s="120" t="s">
        <v>1437</v>
      </c>
      <c r="C6" s="389" t="n">
        <f aca="false">Assumptions!$B$17</f>
        <v>0.0325</v>
      </c>
      <c r="D6" s="390" t="s">
        <v>1438</v>
      </c>
    </row>
    <row r="7" customFormat="false" ht="15" hidden="false" customHeight="true" outlineLevel="0" collapsed="false">
      <c r="A7" s="120" t="s">
        <v>1439</v>
      </c>
      <c r="C7" s="392" t="n">
        <v>1800000</v>
      </c>
      <c r="D7" s="390" t="s">
        <v>1440</v>
      </c>
      <c r="F7" s="393" t="s">
        <v>1441</v>
      </c>
      <c r="H7" s="394" t="n">
        <f aca="false">SUMPRODUCT(($S$11:$S$54=1)*($H$11:$H$54&lt;=$C$8)*$Z$11:$Z$54)</f>
        <v>692876.895125</v>
      </c>
    </row>
    <row r="8" customFormat="false" ht="15" hidden="false" customHeight="true" outlineLevel="0" collapsed="false">
      <c r="A8" s="120" t="s">
        <v>1442</v>
      </c>
      <c r="C8" s="395" t="n">
        <f aca="false">SUMPRODUCT(--(Model!$B$4:$DE$4="Actuals"))-3</f>
        <v>5</v>
      </c>
      <c r="D8" s="390" t="s">
        <v>1443</v>
      </c>
      <c r="F8" s="393" t="s">
        <v>1444</v>
      </c>
      <c r="H8" s="394" t="n">
        <f aca="false">SUMIFS($O$11:$O$54,$H$11:$H$54,"&lt;="&amp;$C$8)</f>
        <v>0</v>
      </c>
    </row>
    <row r="9" customFormat="false" ht="15" hidden="false" customHeight="true" outlineLevel="0" collapsed="false">
      <c r="A9" s="120" t="s">
        <v>1445</v>
      </c>
      <c r="C9" s="396" t="n">
        <f aca="false">SUM(AC11:AC54)</f>
        <v>692876.895125</v>
      </c>
      <c r="D9" s="390" t="s">
        <v>1446</v>
      </c>
      <c r="F9" s="393" t="s">
        <v>1447</v>
      </c>
      <c r="H9" s="397" t="n">
        <v>10</v>
      </c>
    </row>
    <row r="10" customFormat="false" ht="48" hidden="false" customHeight="true" outlineLevel="0" collapsed="false">
      <c r="A10" s="176" t="s">
        <v>453</v>
      </c>
      <c r="B10" s="176" t="s">
        <v>1448</v>
      </c>
      <c r="C10" s="176" t="s">
        <v>551</v>
      </c>
      <c r="D10" s="176" t="s">
        <v>552</v>
      </c>
      <c r="E10" s="176" t="s">
        <v>1449</v>
      </c>
      <c r="F10" s="176" t="s">
        <v>1450</v>
      </c>
      <c r="G10" s="176" t="s">
        <v>1451</v>
      </c>
      <c r="H10" s="176" t="s">
        <v>1452</v>
      </c>
      <c r="I10" s="176" t="s">
        <v>1453</v>
      </c>
      <c r="J10" s="176" t="s">
        <v>1454</v>
      </c>
      <c r="K10" s="176" t="s">
        <v>1455</v>
      </c>
      <c r="L10" s="176" t="s">
        <v>1456</v>
      </c>
      <c r="M10" s="176" t="s">
        <v>1455</v>
      </c>
      <c r="N10" s="176" t="s">
        <v>1457</v>
      </c>
      <c r="O10" s="176" t="s">
        <v>1458</v>
      </c>
      <c r="P10" s="176" t="s">
        <v>1455</v>
      </c>
      <c r="Q10" s="176" t="s">
        <v>1459</v>
      </c>
      <c r="R10" s="176" t="s">
        <v>1460</v>
      </c>
      <c r="S10" s="176" t="s">
        <v>1461</v>
      </c>
      <c r="T10" s="176" t="s">
        <v>1462</v>
      </c>
      <c r="U10" s="176" t="s">
        <v>1463</v>
      </c>
      <c r="V10" s="176" t="s">
        <v>1464</v>
      </c>
      <c r="W10" s="176" t="s">
        <v>1465</v>
      </c>
      <c r="X10" s="176" t="s">
        <v>1466</v>
      </c>
      <c r="Y10" s="176" t="s">
        <v>1467</v>
      </c>
      <c r="Z10" s="176" t="s">
        <v>1468</v>
      </c>
      <c r="AA10" s="176" t="s">
        <v>1469</v>
      </c>
      <c r="AB10" s="176" t="s">
        <v>1470</v>
      </c>
      <c r="AC10" s="176" t="s">
        <v>1471</v>
      </c>
      <c r="AD10" s="176" t="s">
        <v>613</v>
      </c>
    </row>
    <row r="11" customFormat="false" ht="15" hidden="false" customHeight="true" outlineLevel="0" collapsed="false">
      <c r="A11" s="398" t="str">
        <f aca="false">Projects!$A$2</f>
        <v>Crenshaw</v>
      </c>
      <c r="B11" s="399"/>
      <c r="C11" s="400" t="str">
        <f aca="false">Projects!$F$2</f>
        <v>No</v>
      </c>
      <c r="D11" s="400" t="str">
        <f aca="false">Projects!$G$2</f>
        <v>Yes</v>
      </c>
      <c r="E11" s="401"/>
      <c r="F11" s="402" t="n">
        <f aca="false">IF($E11&lt;&gt;"",$E11,Projects!$B$2)</f>
        <v>7126075</v>
      </c>
      <c r="G11" s="399"/>
      <c r="H11" s="403" t="n">
        <f aca="false">IF($G11&lt;&gt;"",$G11,Projects!$C$2)</f>
        <v>1</v>
      </c>
      <c r="I11" s="404"/>
      <c r="J11" s="401"/>
      <c r="K11" s="399"/>
      <c r="L11" s="401"/>
      <c r="M11" s="399"/>
      <c r="N11" s="404"/>
      <c r="O11" s="401"/>
      <c r="P11" s="399"/>
      <c r="Q11" s="401"/>
      <c r="R11" s="399"/>
      <c r="S11" s="403" t="n">
        <f aca="false">IF(AND($C11="Yes",$D11="Yes"),1,0)</f>
        <v>0</v>
      </c>
      <c r="T11" s="402" t="n">
        <f aca="false">$S11*IF($J11&lt;&gt;"",$J11,$F11*IF($I11&lt;&gt;"",$I11,$C$4)/(1+IF($I11&lt;&gt;"",$I11,$C$4)))</f>
        <v>0</v>
      </c>
      <c r="U11" s="402" t="n">
        <f aca="false">$S11*IF($L11&lt;&gt;"",$L11,$F11*$C$5)</f>
        <v>0</v>
      </c>
      <c r="V11" s="402" t="n">
        <f aca="false">$S11*$F11*IF($N11&lt;&gt;"",$N11,$C$6)</f>
        <v>0</v>
      </c>
      <c r="W11" s="402" t="n">
        <f aca="false">MAX(0,$V11-$U11)</f>
        <v>0</v>
      </c>
      <c r="X11" s="403" t="n">
        <f aca="false">IF($B11&lt;&gt;"",$B11,100+$H11)</f>
        <v>101</v>
      </c>
      <c r="Y11" s="402" t="n">
        <f aca="false">$S11*MAX(0,MIN($W11,$C$7-SUMIFS($W$11:$W$54,$X$11:$X$54,"&lt;"&amp;$X11)))</f>
        <v>0</v>
      </c>
      <c r="Z11" s="402" t="n">
        <f aca="false">$W11-$Y11</f>
        <v>0</v>
      </c>
      <c r="AA11" s="405" t="n">
        <f aca="false">$S11*($T11-$U11-$Z11)</f>
        <v>0</v>
      </c>
      <c r="AB11" s="405" t="n">
        <f aca="false">$S11*($T11-$U11)</f>
        <v>0</v>
      </c>
      <c r="AC11" s="402" t="n">
        <f aca="false">IF(AND($S11=1,$H11&lt;=$C$8),$Z11-N($O11),0)</f>
        <v>0</v>
      </c>
      <c r="AD11" s="406"/>
    </row>
    <row r="12" customFormat="false" ht="15" hidden="false" customHeight="true" outlineLevel="0" collapsed="false">
      <c r="A12" s="407" t="str">
        <f aca="false">Projects!$A$3</f>
        <v>Ramsgate</v>
      </c>
      <c r="B12" s="399"/>
      <c r="C12" s="408" t="str">
        <f aca="false">Projects!$F$3</f>
        <v>No</v>
      </c>
      <c r="D12" s="408" t="str">
        <f aca="false">Projects!$G$3</f>
        <v>Yes</v>
      </c>
      <c r="E12" s="401"/>
      <c r="F12" s="409" t="n">
        <f aca="false">IF($E12&lt;&gt;"",$E12,Projects!$B$3)</f>
        <v>20176449</v>
      </c>
      <c r="G12" s="399"/>
      <c r="H12" s="410" t="n">
        <f aca="false">IF($G12&lt;&gt;"",$G12,Projects!$C$3)</f>
        <v>1</v>
      </c>
      <c r="I12" s="404"/>
      <c r="J12" s="401"/>
      <c r="K12" s="399"/>
      <c r="L12" s="401"/>
      <c r="M12" s="399"/>
      <c r="N12" s="404"/>
      <c r="O12" s="401"/>
      <c r="P12" s="399"/>
      <c r="Q12" s="401"/>
      <c r="R12" s="399"/>
      <c r="S12" s="410" t="n">
        <f aca="false">IF(AND($C12="Yes",$D12="Yes"),1,0)</f>
        <v>0</v>
      </c>
      <c r="T12" s="409" t="n">
        <f aca="false">$S12*IF($J12&lt;&gt;"",$J12,$F12*IF($I12&lt;&gt;"",$I12,$C$4)/(1+IF($I12&lt;&gt;"",$I12,$C$4)))</f>
        <v>0</v>
      </c>
      <c r="U12" s="409" t="n">
        <f aca="false">$S12*IF($L12&lt;&gt;"",$L12,$F12*$C$5)</f>
        <v>0</v>
      </c>
      <c r="V12" s="409" t="n">
        <f aca="false">$S12*$F12*IF($N12&lt;&gt;"",$N12,$C$6)</f>
        <v>0</v>
      </c>
      <c r="W12" s="409" t="n">
        <f aca="false">MAX(0,$V12-$U12)</f>
        <v>0</v>
      </c>
      <c r="X12" s="410" t="n">
        <f aca="false">IF($B12&lt;&gt;"",$B12,100+$H12)</f>
        <v>101</v>
      </c>
      <c r="Y12" s="409" t="n">
        <f aca="false">$S12*MAX(0,MIN($W12,$C$7-SUMIFS($W$11:$W$54,$X$11:$X$54,"&lt;"&amp;$X12)))</f>
        <v>0</v>
      </c>
      <c r="Z12" s="409" t="n">
        <f aca="false">$W12-$Y12</f>
        <v>0</v>
      </c>
      <c r="AA12" s="411" t="n">
        <f aca="false">$S12*($T12-$U12-$Z12)</f>
        <v>0</v>
      </c>
      <c r="AB12" s="411" t="n">
        <f aca="false">$S12*($T12-$U12)</f>
        <v>0</v>
      </c>
      <c r="AC12" s="409" t="n">
        <f aca="false">IF(AND($S12=1,$H12&lt;=$C$8),$Z12-N($O12),0)</f>
        <v>0</v>
      </c>
      <c r="AD12" s="412"/>
    </row>
    <row r="13" customFormat="false" ht="15" hidden="false" customHeight="true" outlineLevel="0" collapsed="false">
      <c r="A13" s="398" t="str">
        <f aca="false">Projects!$A$4</f>
        <v>Califa</v>
      </c>
      <c r="B13" s="399" t="n">
        <v>1</v>
      </c>
      <c r="C13" s="400" t="str">
        <f aca="false">Projects!$F$4</f>
        <v>Yes</v>
      </c>
      <c r="D13" s="400" t="str">
        <f aca="false">Projects!$G$4</f>
        <v>Yes</v>
      </c>
      <c r="E13" s="401" t="n">
        <v>13425608</v>
      </c>
      <c r="F13" s="402" t="n">
        <f aca="false">IF($E13&lt;&gt;"",$E13,Projects!$B$4)</f>
        <v>13425608</v>
      </c>
      <c r="G13" s="399" t="n">
        <v>-99</v>
      </c>
      <c r="H13" s="403" t="n">
        <f aca="false">IF($G13&lt;&gt;"",$G13,Projects!$C$4)</f>
        <v>-99</v>
      </c>
      <c r="I13" s="404"/>
      <c r="J13" s="401" t="n">
        <v>198408</v>
      </c>
      <c r="K13" s="399" t="n">
        <v>-99</v>
      </c>
      <c r="L13" s="401" t="n">
        <v>97905</v>
      </c>
      <c r="M13" s="399" t="n">
        <v>-99</v>
      </c>
      <c r="N13" s="404"/>
      <c r="O13" s="401"/>
      <c r="P13" s="399"/>
      <c r="Q13" s="401"/>
      <c r="R13" s="399"/>
      <c r="S13" s="403" t="n">
        <f aca="false">IF(AND($C13="Yes",$D13="Yes"),1,0)</f>
        <v>1</v>
      </c>
      <c r="T13" s="402" t="n">
        <f aca="false">$S13*IF($J13&lt;&gt;"",$J13,$F13*IF($I13&lt;&gt;"",$I13,$C$4)/(1+IF($I13&lt;&gt;"",$I13,$C$4)))</f>
        <v>198408</v>
      </c>
      <c r="U13" s="402" t="n">
        <f aca="false">$S13*IF($L13&lt;&gt;"",$L13,$F13*$C$5)</f>
        <v>97905</v>
      </c>
      <c r="V13" s="402" t="n">
        <f aca="false">$S13*$F13*IF($N13&lt;&gt;"",$N13,$C$6)</f>
        <v>436332.26</v>
      </c>
      <c r="W13" s="402" t="n">
        <f aca="false">MAX(0,$V13-$U13)</f>
        <v>338427.26</v>
      </c>
      <c r="X13" s="403" t="n">
        <f aca="false">IF($B13&lt;&gt;"",$B13,100+$H13)</f>
        <v>1</v>
      </c>
      <c r="Y13" s="402" t="n">
        <f aca="false">$S13*MAX(0,MIN($W13,$C$7-SUMIFS($W$11:$W$54,$X$11:$X$54,"&lt;"&amp;$X13)))</f>
        <v>338427.26</v>
      </c>
      <c r="Z13" s="402" t="n">
        <f aca="false">$W13-$Y13</f>
        <v>0</v>
      </c>
      <c r="AA13" s="405" t="n">
        <f aca="false">$S13*($T13-$U13-$Z13)</f>
        <v>100503</v>
      </c>
      <c r="AB13" s="405" t="n">
        <f aca="false">$S13*($T13-$U13)</f>
        <v>100503</v>
      </c>
      <c r="AC13" s="402" t="n">
        <f aca="false">IF(AND($S13=1,$H13&lt;=$C$8),$Z13-N($O13),0)</f>
        <v>0</v>
      </c>
      <c r="AD13" s="406" t="s">
        <v>1472</v>
      </c>
    </row>
    <row r="14" customFormat="false" ht="15" hidden="false" customHeight="true" outlineLevel="0" collapsed="false">
      <c r="A14" s="407" t="str">
        <f aca="false">Projects!$A$5</f>
        <v>Whipple</v>
      </c>
      <c r="B14" s="399" t="n">
        <v>2</v>
      </c>
      <c r="C14" s="408" t="str">
        <f aca="false">Projects!$F$5</f>
        <v>Yes</v>
      </c>
      <c r="D14" s="408" t="str">
        <f aca="false">Projects!$G$5</f>
        <v>Yes</v>
      </c>
      <c r="E14" s="401" t="n">
        <v>15347360</v>
      </c>
      <c r="F14" s="409" t="n">
        <f aca="false">IF($E14&lt;&gt;"",$E14,Projects!$B$5)</f>
        <v>15347360</v>
      </c>
      <c r="G14" s="399" t="n">
        <v>-99</v>
      </c>
      <c r="H14" s="410" t="n">
        <f aca="false">IF($G14&lt;&gt;"",$G14,Projects!$C$5)</f>
        <v>-99</v>
      </c>
      <c r="I14" s="404"/>
      <c r="J14" s="401" t="n">
        <v>226808</v>
      </c>
      <c r="K14" s="399" t="n">
        <v>-99</v>
      </c>
      <c r="L14" s="401" t="n">
        <v>110685</v>
      </c>
      <c r="M14" s="399" t="n">
        <v>-99</v>
      </c>
      <c r="N14" s="404"/>
      <c r="O14" s="401"/>
      <c r="P14" s="399"/>
      <c r="Q14" s="401"/>
      <c r="R14" s="399"/>
      <c r="S14" s="410" t="n">
        <f aca="false">IF(AND($C14="Yes",$D14="Yes"),1,0)</f>
        <v>1</v>
      </c>
      <c r="T14" s="409" t="n">
        <f aca="false">$S14*IF($J14&lt;&gt;"",$J14,$F14*IF($I14&lt;&gt;"",$I14,$C$4)/(1+IF($I14&lt;&gt;"",$I14,$C$4)))</f>
        <v>226808</v>
      </c>
      <c r="U14" s="409" t="n">
        <f aca="false">$S14*IF($L14&lt;&gt;"",$L14,$F14*$C$5)</f>
        <v>110685</v>
      </c>
      <c r="V14" s="409" t="n">
        <f aca="false">$S14*$F14*IF($N14&lt;&gt;"",$N14,$C$6)</f>
        <v>498789.2</v>
      </c>
      <c r="W14" s="409" t="n">
        <f aca="false">MAX(0,$V14-$U14)</f>
        <v>388104.2</v>
      </c>
      <c r="X14" s="410" t="n">
        <f aca="false">IF($B14&lt;&gt;"",$B14,100+$H14)</f>
        <v>2</v>
      </c>
      <c r="Y14" s="409" t="n">
        <f aca="false">$S14*MAX(0,MIN($W14,$C$7-SUMIFS($W$11:$W$54,$X$11:$X$54,"&lt;"&amp;$X14)))</f>
        <v>388104.2</v>
      </c>
      <c r="Z14" s="409" t="n">
        <f aca="false">$W14-$Y14</f>
        <v>0</v>
      </c>
      <c r="AA14" s="411" t="n">
        <f aca="false">$S14*($T14-$U14-$Z14)</f>
        <v>116123</v>
      </c>
      <c r="AB14" s="411" t="n">
        <f aca="false">$S14*($T14-$U14)</f>
        <v>116123</v>
      </c>
      <c r="AC14" s="409" t="n">
        <f aca="false">IF(AND($S14=1,$H14&lt;=$C$8),$Z14-N($O14),0)</f>
        <v>0</v>
      </c>
      <c r="AD14" s="412" t="s">
        <v>1472</v>
      </c>
    </row>
    <row r="15" customFormat="false" ht="15" hidden="false" customHeight="true" outlineLevel="0" collapsed="false">
      <c r="A15" s="398" t="str">
        <f aca="false">Projects!$A$6</f>
        <v>Nelrose</v>
      </c>
      <c r="B15" s="399"/>
      <c r="C15" s="400" t="str">
        <f aca="false">Projects!$F$6</f>
        <v>No</v>
      </c>
      <c r="D15" s="400" t="str">
        <f aca="false">Projects!$G$6</f>
        <v>Yes</v>
      </c>
      <c r="E15" s="401"/>
      <c r="F15" s="402" t="n">
        <f aca="false">IF($E15&lt;&gt;"",$E15,Projects!$B$6)</f>
        <v>3623245</v>
      </c>
      <c r="G15" s="399"/>
      <c r="H15" s="403" t="n">
        <f aca="false">IF($G15&lt;&gt;"",$G15,Projects!$C$6)</f>
        <v>1</v>
      </c>
      <c r="I15" s="404"/>
      <c r="J15" s="401"/>
      <c r="K15" s="399"/>
      <c r="L15" s="401"/>
      <c r="M15" s="399"/>
      <c r="N15" s="404"/>
      <c r="O15" s="401"/>
      <c r="P15" s="399"/>
      <c r="Q15" s="401"/>
      <c r="R15" s="399"/>
      <c r="S15" s="403" t="n">
        <f aca="false">IF(AND($C15="Yes",$D15="Yes"),1,0)</f>
        <v>0</v>
      </c>
      <c r="T15" s="402" t="n">
        <f aca="false">$S15*IF($J15&lt;&gt;"",$J15,$F15*IF($I15&lt;&gt;"",$I15,$C$4)/(1+IF($I15&lt;&gt;"",$I15,$C$4)))</f>
        <v>0</v>
      </c>
      <c r="U15" s="402" t="n">
        <f aca="false">$S15*IF($L15&lt;&gt;"",$L15,$F15*$C$5)</f>
        <v>0</v>
      </c>
      <c r="V15" s="402" t="n">
        <f aca="false">$S15*$F15*IF($N15&lt;&gt;"",$N15,$C$6)</f>
        <v>0</v>
      </c>
      <c r="W15" s="402" t="n">
        <f aca="false">MAX(0,$V15-$U15)</f>
        <v>0</v>
      </c>
      <c r="X15" s="403" t="n">
        <f aca="false">IF($B15&lt;&gt;"",$B15,100+$H15)</f>
        <v>101</v>
      </c>
      <c r="Y15" s="402" t="n">
        <f aca="false">$S15*MAX(0,MIN($W15,$C$7-SUMIFS($W$11:$W$54,$X$11:$X$54,"&lt;"&amp;$X15)))</f>
        <v>0</v>
      </c>
      <c r="Z15" s="402" t="n">
        <f aca="false">$W15-$Y15</f>
        <v>0</v>
      </c>
      <c r="AA15" s="405" t="n">
        <f aca="false">$S15*($T15-$U15-$Z15)</f>
        <v>0</v>
      </c>
      <c r="AB15" s="405" t="n">
        <f aca="false">$S15*($T15-$U15)</f>
        <v>0</v>
      </c>
      <c r="AC15" s="402" t="n">
        <f aca="false">IF(AND($S15=1,$H15&lt;=$C$8),$Z15-N($O15),0)</f>
        <v>0</v>
      </c>
      <c r="AD15" s="406"/>
    </row>
    <row r="16" customFormat="false" ht="15" hidden="false" customHeight="true" outlineLevel="0" collapsed="false">
      <c r="A16" s="407" t="str">
        <f aca="false">Projects!$A$7</f>
        <v>Francis</v>
      </c>
      <c r="B16" s="399" t="n">
        <v>4</v>
      </c>
      <c r="C16" s="408" t="str">
        <f aca="false">Projects!$F$7</f>
        <v>Yes</v>
      </c>
      <c r="D16" s="408" t="str">
        <f aca="false">Projects!$G$7</f>
        <v>Yes</v>
      </c>
      <c r="E16" s="401"/>
      <c r="F16" s="409" t="n">
        <f aca="false">IF($E16&lt;&gt;"",$E16,Projects!$B$7)</f>
        <v>42794765</v>
      </c>
      <c r="G16" s="399" t="n">
        <v>4</v>
      </c>
      <c r="H16" s="410" t="n">
        <f aca="false">IF($G16&lt;&gt;"",$G16,Projects!$C$7)</f>
        <v>4</v>
      </c>
      <c r="I16" s="404" t="n">
        <v>0.02</v>
      </c>
      <c r="J16" s="401" t="n">
        <v>839113</v>
      </c>
      <c r="K16" s="399" t="n">
        <v>4</v>
      </c>
      <c r="L16" s="401" t="n">
        <v>313735</v>
      </c>
      <c r="M16" s="399" t="n">
        <v>5</v>
      </c>
      <c r="N16" s="404"/>
      <c r="O16" s="401"/>
      <c r="P16" s="399"/>
      <c r="Q16" s="401"/>
      <c r="R16" s="399"/>
      <c r="S16" s="410" t="n">
        <f aca="false">IF(AND($C16="Yes",$D16="Yes"),1,0)</f>
        <v>1</v>
      </c>
      <c r="T16" s="409" t="n">
        <f aca="false">$S16*IF($J16&lt;&gt;"",$J16,$F16*IF($I16&lt;&gt;"",$I16,$C$4)/(1+IF($I16&lt;&gt;"",$I16,$C$4)))</f>
        <v>839113</v>
      </c>
      <c r="U16" s="409" t="n">
        <f aca="false">$S16*IF($L16&lt;&gt;"",$L16,$F16*$C$5)</f>
        <v>313735</v>
      </c>
      <c r="V16" s="409" t="n">
        <f aca="false">$S16*$F16*IF($N16&lt;&gt;"",$N16,$C$6)</f>
        <v>1390829.8625</v>
      </c>
      <c r="W16" s="409" t="n">
        <f aca="false">MAX(0,$V16-$U16)</f>
        <v>1077094.8625</v>
      </c>
      <c r="X16" s="410" t="n">
        <f aca="false">IF($B16&lt;&gt;"",$B16,100+$H16)</f>
        <v>4</v>
      </c>
      <c r="Y16" s="409" t="n">
        <f aca="false">$S16*MAX(0,MIN($W16,$C$7-SUMIFS($W$11:$W$54,$X$11:$X$54,"&lt;"&amp;$X16)))</f>
        <v>711481.689</v>
      </c>
      <c r="Z16" s="409" t="n">
        <f aca="false">$W16-$Y16</f>
        <v>365613.1735</v>
      </c>
      <c r="AA16" s="411" t="n">
        <f aca="false">$S16*($T16-$U16-$Z16)</f>
        <v>159764.8265</v>
      </c>
      <c r="AB16" s="411" t="n">
        <f aca="false">$S16*($T16-$U16)</f>
        <v>525378</v>
      </c>
      <c r="AC16" s="409" t="n">
        <f aca="false">IF(AND($S16=1,$H16&lt;=$C$8),$Z16-N($O16),0)</f>
        <v>365613.1735</v>
      </c>
      <c r="AD16" s="412" t="s">
        <v>1473</v>
      </c>
    </row>
    <row r="17" customFormat="false" ht="15" hidden="false" customHeight="true" outlineLevel="0" collapsed="false">
      <c r="A17" s="398" t="str">
        <f aca="false">Projects!$A$8</f>
        <v>Lexington</v>
      </c>
      <c r="B17" s="399" t="n">
        <v>5</v>
      </c>
      <c r="C17" s="400" t="str">
        <f aca="false">Projects!$F$8</f>
        <v>Yes</v>
      </c>
      <c r="D17" s="400" t="str">
        <f aca="false">Projects!$G$8</f>
        <v>Yes</v>
      </c>
      <c r="E17" s="401"/>
      <c r="F17" s="402" t="n">
        <f aca="false">IF($E17&lt;&gt;"",$E17,Projects!$B$8)</f>
        <v>12993776.05</v>
      </c>
      <c r="G17" s="399" t="n">
        <v>5</v>
      </c>
      <c r="H17" s="403" t="n">
        <f aca="false">IF($G17&lt;&gt;"",$G17,Projects!$C$8)</f>
        <v>5</v>
      </c>
      <c r="I17" s="404"/>
      <c r="J17" s="401" t="n">
        <v>192026.25</v>
      </c>
      <c r="K17" s="399" t="n">
        <v>5</v>
      </c>
      <c r="L17" s="401" t="n">
        <v>95034</v>
      </c>
      <c r="M17" s="399" t="n">
        <v>5</v>
      </c>
      <c r="N17" s="404"/>
      <c r="O17" s="401"/>
      <c r="P17" s="399"/>
      <c r="Q17" s="401"/>
      <c r="R17" s="399"/>
      <c r="S17" s="403" t="n">
        <f aca="false">IF(AND($C17="Yes",$D17="Yes"),1,0)</f>
        <v>1</v>
      </c>
      <c r="T17" s="402" t="n">
        <f aca="false">$S17*IF($J17&lt;&gt;"",$J17,$F17*IF($I17&lt;&gt;"",$I17,$C$4)/(1+IF($I17&lt;&gt;"",$I17,$C$4)))</f>
        <v>192026.25</v>
      </c>
      <c r="U17" s="402" t="n">
        <f aca="false">$S17*IF($L17&lt;&gt;"",$L17,$F17*$C$5)</f>
        <v>95034</v>
      </c>
      <c r="V17" s="402" t="n">
        <f aca="false">$S17*$F17*IF($N17&lt;&gt;"",$N17,$C$6)</f>
        <v>422297.721625</v>
      </c>
      <c r="W17" s="402" t="n">
        <f aca="false">MAX(0,$V17-$U17)</f>
        <v>327263.721625</v>
      </c>
      <c r="X17" s="403" t="n">
        <f aca="false">IF($B17&lt;&gt;"",$B17,100+$H17)</f>
        <v>5</v>
      </c>
      <c r="Y17" s="402" t="n">
        <f aca="false">$S17*MAX(0,MIN($W17,$C$7-SUMIFS($W$11:$W$54,$X$11:$X$54,"&lt;"&amp;$X17)))</f>
        <v>0</v>
      </c>
      <c r="Z17" s="402" t="n">
        <f aca="false">$W17-$Y17</f>
        <v>327263.721625</v>
      </c>
      <c r="AA17" s="405" t="n">
        <f aca="false">$S17*($T17-$U17-$Z17)</f>
        <v>-230271.471625</v>
      </c>
      <c r="AB17" s="405" t="n">
        <f aca="false">$S17*($T17-$U17)</f>
        <v>96992.25</v>
      </c>
      <c r="AC17" s="402" t="n">
        <f aca="false">IF(AND($S17=1,$H17&lt;=$C$8),$Z17-N($O17),0)</f>
        <v>327263.721625</v>
      </c>
      <c r="AD17" s="406" t="s">
        <v>1474</v>
      </c>
    </row>
    <row r="18" customFormat="false" ht="15" hidden="false" customHeight="true" outlineLevel="0" collapsed="false">
      <c r="A18" s="407" t="str">
        <f aca="false">Projects!$A$9</f>
        <v>Riverton</v>
      </c>
      <c r="B18" s="399" t="n">
        <v>3</v>
      </c>
      <c r="C18" s="408" t="str">
        <f aca="false">Projects!$F$9</f>
        <v>Yes</v>
      </c>
      <c r="D18" s="408" t="str">
        <f aca="false">Projects!$G$9</f>
        <v>Yes</v>
      </c>
      <c r="E18" s="401"/>
      <c r="F18" s="409" t="n">
        <f aca="false">IF($E18&lt;&gt;"",$E18,Projects!$B$9)</f>
        <v>14337010.8</v>
      </c>
      <c r="G18" s="399" t="n">
        <v>4</v>
      </c>
      <c r="H18" s="410" t="n">
        <f aca="false">IF($G18&lt;&gt;"",$G18,Projects!$C$9)</f>
        <v>4</v>
      </c>
      <c r="I18" s="404"/>
      <c r="J18" s="401" t="n">
        <v>211877</v>
      </c>
      <c r="K18" s="399" t="n">
        <v>4</v>
      </c>
      <c r="L18" s="401" t="n">
        <v>103966</v>
      </c>
      <c r="M18" s="399" t="n">
        <v>4</v>
      </c>
      <c r="N18" s="404"/>
      <c r="O18" s="401"/>
      <c r="P18" s="399"/>
      <c r="Q18" s="401"/>
      <c r="R18" s="399"/>
      <c r="S18" s="410" t="n">
        <f aca="false">IF(AND($C18="Yes",$D18="Yes"),1,0)</f>
        <v>1</v>
      </c>
      <c r="T18" s="409" t="n">
        <f aca="false">$S18*IF($J18&lt;&gt;"",$J18,$F18*IF($I18&lt;&gt;"",$I18,$C$4)/(1+IF($I18&lt;&gt;"",$I18,$C$4)))</f>
        <v>211877</v>
      </c>
      <c r="U18" s="409" t="n">
        <f aca="false">$S18*IF($L18&lt;&gt;"",$L18,$F18*$C$5)</f>
        <v>103966</v>
      </c>
      <c r="V18" s="409" t="n">
        <f aca="false">$S18*$F18*IF($N18&lt;&gt;"",$N18,$C$6)</f>
        <v>465952.851</v>
      </c>
      <c r="W18" s="409" t="n">
        <f aca="false">MAX(0,$V18-$U18)</f>
        <v>361986.851</v>
      </c>
      <c r="X18" s="410" t="n">
        <f aca="false">IF($B18&lt;&gt;"",$B18,100+$H18)</f>
        <v>3</v>
      </c>
      <c r="Y18" s="409" t="n">
        <f aca="false">$S18*MAX(0,MIN($W18,$C$7-SUMIFS($W$11:$W$54,$X$11:$X$54,"&lt;"&amp;$X18)))</f>
        <v>361986.851</v>
      </c>
      <c r="Z18" s="409" t="n">
        <f aca="false">$W18-$Y18</f>
        <v>0</v>
      </c>
      <c r="AA18" s="411" t="n">
        <f aca="false">$S18*($T18-$U18-$Z18)</f>
        <v>107911</v>
      </c>
      <c r="AB18" s="411" t="n">
        <f aca="false">$S18*($T18-$U18)</f>
        <v>107911</v>
      </c>
      <c r="AC18" s="409" t="n">
        <f aca="false">IF(AND($S18=1,$H18&lt;=$C$8),$Z18-N($O18),0)</f>
        <v>0</v>
      </c>
      <c r="AD18" s="412" t="s">
        <v>1475</v>
      </c>
    </row>
    <row r="19" customFormat="false" ht="15" hidden="false" customHeight="true" outlineLevel="0" collapsed="false">
      <c r="A19" s="398" t="str">
        <f aca="false">Projects!$A$10</f>
        <v>Acama</v>
      </c>
      <c r="B19" s="399"/>
      <c r="C19" s="400" t="str">
        <f aca="false">Projects!$F$10</f>
        <v>Yes</v>
      </c>
      <c r="D19" s="400" t="str">
        <f aca="false">Projects!$G$10</f>
        <v>Yes</v>
      </c>
      <c r="E19" s="401"/>
      <c r="F19" s="402" t="n">
        <f aca="false">IF($E19&lt;&gt;"",$E19,Projects!$B$10)</f>
        <v>21263405</v>
      </c>
      <c r="G19" s="399"/>
      <c r="H19" s="403" t="n">
        <f aca="false">IF($G19&lt;&gt;"",$G19,Projects!$C$10)</f>
        <v>9</v>
      </c>
      <c r="I19" s="404"/>
      <c r="J19" s="401"/>
      <c r="K19" s="399"/>
      <c r="L19" s="401"/>
      <c r="M19" s="399"/>
      <c r="N19" s="404"/>
      <c r="O19" s="401"/>
      <c r="P19" s="399"/>
      <c r="Q19" s="401"/>
      <c r="R19" s="399"/>
      <c r="S19" s="403" t="n">
        <f aca="false">IF(AND($C19="Yes",$D19="Yes"),1,0)</f>
        <v>1</v>
      </c>
      <c r="T19" s="402" t="n">
        <f aca="false">$S19*IF($J19&lt;&gt;"",$J19,$F19*IF($I19&lt;&gt;"",$I19,$C$4)/(1+IF($I19&lt;&gt;"",$I19,$C$4)))</f>
        <v>314237.512315271</v>
      </c>
      <c r="U19" s="402" t="n">
        <f aca="false">$S19*IF($L19&lt;&gt;"",$L19,$F19*$C$5)</f>
        <v>155516.489047847</v>
      </c>
      <c r="V19" s="402" t="n">
        <f aca="false">$S19*$F19*IF($N19&lt;&gt;"",$N19,$C$6)</f>
        <v>691060.6625</v>
      </c>
      <c r="W19" s="402" t="n">
        <f aca="false">MAX(0,$V19-$U19)</f>
        <v>535544.173452153</v>
      </c>
      <c r="X19" s="403" t="n">
        <f aca="false">IF($B19&lt;&gt;"",$B19,100+$H19)</f>
        <v>109</v>
      </c>
      <c r="Y19" s="402" t="n">
        <f aca="false">$S19*MAX(0,MIN($W19,$C$7-SUMIFS($W$11:$W$54,$X$11:$X$54,"&lt;"&amp;$X19)))</f>
        <v>0</v>
      </c>
      <c r="Z19" s="402" t="n">
        <f aca="false">$W19-$Y19</f>
        <v>535544.173452153</v>
      </c>
      <c r="AA19" s="405" t="n">
        <f aca="false">$S19*($T19-$U19-$Z19)</f>
        <v>-376823.150184729</v>
      </c>
      <c r="AB19" s="405" t="n">
        <f aca="false">$S19*($T19-$U19)</f>
        <v>158721.023267424</v>
      </c>
      <c r="AC19" s="402" t="n">
        <f aca="false">IF(AND($S19=1,$H19&lt;=$C$8),$Z19-N($O19),0)</f>
        <v>0</v>
      </c>
      <c r="AD19" s="406" t="s">
        <v>1476</v>
      </c>
    </row>
    <row r="20" customFormat="false" ht="15" hidden="false" customHeight="true" outlineLevel="0" collapsed="false">
      <c r="A20" s="407" t="str">
        <f aca="false">Projects!$A$11</f>
        <v>Klump</v>
      </c>
      <c r="B20" s="399"/>
      <c r="C20" s="408" t="str">
        <f aca="false">Projects!$F$11</f>
        <v>No</v>
      </c>
      <c r="D20" s="408" t="str">
        <f aca="false">Projects!$G$11</f>
        <v>Yes</v>
      </c>
      <c r="E20" s="401"/>
      <c r="F20" s="409" t="n">
        <f aca="false">IF($E20&lt;&gt;"",$E20,Projects!$B$11)</f>
        <v>9577109</v>
      </c>
      <c r="G20" s="399"/>
      <c r="H20" s="410" t="n">
        <f aca="false">IF($G20&lt;&gt;"",$G20,Projects!$C$11)</f>
        <v>11</v>
      </c>
      <c r="I20" s="404"/>
      <c r="J20" s="401"/>
      <c r="K20" s="399"/>
      <c r="L20" s="401"/>
      <c r="M20" s="399"/>
      <c r="N20" s="404"/>
      <c r="O20" s="401"/>
      <c r="P20" s="399"/>
      <c r="Q20" s="401"/>
      <c r="R20" s="399"/>
      <c r="S20" s="410" t="n">
        <f aca="false">IF(AND($C20="Yes",$D20="Yes"),1,0)</f>
        <v>0</v>
      </c>
      <c r="T20" s="409" t="n">
        <f aca="false">$S20*IF($J20&lt;&gt;"",$J20,$F20*IF($I20&lt;&gt;"",$I20,$C$4)/(1+IF($I20&lt;&gt;"",$I20,$C$4)))</f>
        <v>0</v>
      </c>
      <c r="U20" s="409" t="n">
        <f aca="false">$S20*IF($L20&lt;&gt;"",$L20,$F20*$C$5)</f>
        <v>0</v>
      </c>
      <c r="V20" s="409" t="n">
        <f aca="false">$S20*$F20*IF($N20&lt;&gt;"",$N20,$C$6)</f>
        <v>0</v>
      </c>
      <c r="W20" s="409" t="n">
        <f aca="false">MAX(0,$V20-$U20)</f>
        <v>0</v>
      </c>
      <c r="X20" s="410" t="n">
        <f aca="false">IF($B20&lt;&gt;"",$B20,100+$H20)</f>
        <v>111</v>
      </c>
      <c r="Y20" s="409" t="n">
        <f aca="false">$S20*MAX(0,MIN($W20,$C$7-SUMIFS($W$11:$W$54,$X$11:$X$54,"&lt;"&amp;$X20)))</f>
        <v>0</v>
      </c>
      <c r="Z20" s="409" t="n">
        <f aca="false">$W20-$Y20</f>
        <v>0</v>
      </c>
      <c r="AA20" s="411" t="n">
        <f aca="false">$S20*($T20-$U20-$Z20)</f>
        <v>0</v>
      </c>
      <c r="AB20" s="411" t="n">
        <f aca="false">$S20*($T20-$U20)</f>
        <v>0</v>
      </c>
      <c r="AC20" s="409" t="n">
        <f aca="false">IF(AND($S20=1,$H20&lt;=$C$8),$Z20-N($O20),0)</f>
        <v>0</v>
      </c>
      <c r="AD20" s="412"/>
    </row>
    <row r="21" customFormat="false" ht="15" hidden="false" customHeight="true" outlineLevel="0" collapsed="false">
      <c r="A21" s="398" t="str">
        <f aca="false">Projects!$A$12</f>
        <v>Scott</v>
      </c>
      <c r="B21" s="399"/>
      <c r="C21" s="400" t="str">
        <f aca="false">Projects!$F$12</f>
        <v>No</v>
      </c>
      <c r="D21" s="400" t="str">
        <f aca="false">Projects!$G$12</f>
        <v>Yes</v>
      </c>
      <c r="E21" s="401"/>
      <c r="F21" s="402" t="n">
        <f aca="false">IF($E21&lt;&gt;"",$E21,Projects!$B$12)</f>
        <v>7545203</v>
      </c>
      <c r="G21" s="399"/>
      <c r="H21" s="403" t="n">
        <f aca="false">IF($G21&lt;&gt;"",$G21,Projects!$C$12)</f>
        <v>10</v>
      </c>
      <c r="I21" s="404"/>
      <c r="J21" s="401"/>
      <c r="K21" s="399"/>
      <c r="L21" s="401"/>
      <c r="M21" s="399"/>
      <c r="N21" s="404"/>
      <c r="O21" s="401"/>
      <c r="P21" s="399"/>
      <c r="Q21" s="401"/>
      <c r="R21" s="399"/>
      <c r="S21" s="403" t="n">
        <f aca="false">IF(AND($C21="Yes",$D21="Yes"),1,0)</f>
        <v>0</v>
      </c>
      <c r="T21" s="402" t="n">
        <f aca="false">$S21*IF($J21&lt;&gt;"",$J21,$F21*IF($I21&lt;&gt;"",$I21,$C$4)/(1+IF($I21&lt;&gt;"",$I21,$C$4)))</f>
        <v>0</v>
      </c>
      <c r="U21" s="402" t="n">
        <f aca="false">$S21*IF($L21&lt;&gt;"",$L21,$F21*$C$5)</f>
        <v>0</v>
      </c>
      <c r="V21" s="402" t="n">
        <f aca="false">$S21*$F21*IF($N21&lt;&gt;"",$N21,$C$6)</f>
        <v>0</v>
      </c>
      <c r="W21" s="402" t="n">
        <f aca="false">MAX(0,$V21-$U21)</f>
        <v>0</v>
      </c>
      <c r="X21" s="403" t="n">
        <f aca="false">IF($B21&lt;&gt;"",$B21,100+$H21)</f>
        <v>110</v>
      </c>
      <c r="Y21" s="402" t="n">
        <f aca="false">$S21*MAX(0,MIN($W21,$C$7-SUMIFS($W$11:$W$54,$X$11:$X$54,"&lt;"&amp;$X21)))</f>
        <v>0</v>
      </c>
      <c r="Z21" s="402" t="n">
        <f aca="false">$W21-$Y21</f>
        <v>0</v>
      </c>
      <c r="AA21" s="405" t="n">
        <f aca="false">$S21*($T21-$U21-$Z21)</f>
        <v>0</v>
      </c>
      <c r="AB21" s="405" t="n">
        <f aca="false">$S21*($T21-$U21)</f>
        <v>0</v>
      </c>
      <c r="AC21" s="402" t="n">
        <f aca="false">IF(AND($S21=1,$H21&lt;=$C$8),$Z21-N($O21),0)</f>
        <v>0</v>
      </c>
      <c r="AD21" s="406"/>
    </row>
    <row r="22" customFormat="false" ht="15" hidden="false" customHeight="true" outlineLevel="0" collapsed="false">
      <c r="A22" s="407" t="str">
        <f aca="false">Projects!$A$13</f>
        <v>Reseda</v>
      </c>
      <c r="B22" s="399"/>
      <c r="C22" s="408" t="str">
        <f aca="false">Projects!$F$13</f>
        <v>Yes</v>
      </c>
      <c r="D22" s="408" t="str">
        <f aca="false">Projects!$G$13</f>
        <v>Yes</v>
      </c>
      <c r="E22" s="401"/>
      <c r="F22" s="409" t="n">
        <f aca="false">IF($E22&lt;&gt;"",$E22,Projects!$B$13)</f>
        <v>45266770</v>
      </c>
      <c r="G22" s="399"/>
      <c r="H22" s="410" t="n">
        <f aca="false">IF($G22&lt;&gt;"",$G22,Projects!$C$13)</f>
        <v>13</v>
      </c>
      <c r="I22" s="404"/>
      <c r="J22" s="401"/>
      <c r="K22" s="399"/>
      <c r="L22" s="401"/>
      <c r="M22" s="399"/>
      <c r="N22" s="404"/>
      <c r="O22" s="401"/>
      <c r="P22" s="399"/>
      <c r="Q22" s="401"/>
      <c r="R22" s="399"/>
      <c r="S22" s="410" t="n">
        <f aca="false">IF(AND($C22="Yes",$D22="Yes"),1,0)</f>
        <v>1</v>
      </c>
      <c r="T22" s="409" t="n">
        <f aca="false">$S22*IF($J22&lt;&gt;"",$J22,$F22*IF($I22&lt;&gt;"",$I22,$C$4)/(1+IF($I22&lt;&gt;"",$I22,$C$4)))</f>
        <v>668967.044334975</v>
      </c>
      <c r="U22" s="409" t="n">
        <f aca="false">$S22*IF($L22&lt;&gt;"",$L22,$F22*$C$5)</f>
        <v>331072.523000733</v>
      </c>
      <c r="V22" s="409" t="n">
        <f aca="false">$S22*$F22*IF($N22&lt;&gt;"",$N22,$C$6)</f>
        <v>1471170.025</v>
      </c>
      <c r="W22" s="409" t="n">
        <f aca="false">MAX(0,$V22-$U22)</f>
        <v>1140097.50199927</v>
      </c>
      <c r="X22" s="410" t="n">
        <f aca="false">IF($B22&lt;&gt;"",$B22,100+$H22)</f>
        <v>113</v>
      </c>
      <c r="Y22" s="409" t="n">
        <f aca="false">$S22*MAX(0,MIN($W22,$C$7-SUMIFS($W$11:$W$54,$X$11:$X$54,"&lt;"&amp;$X22)))</f>
        <v>0</v>
      </c>
      <c r="Z22" s="409" t="n">
        <f aca="false">$W22-$Y22</f>
        <v>1140097.50199927</v>
      </c>
      <c r="AA22" s="411" t="n">
        <f aca="false">$S22*($T22-$U22-$Z22)</f>
        <v>-802202.980665025</v>
      </c>
      <c r="AB22" s="411" t="n">
        <f aca="false">$S22*($T22-$U22)</f>
        <v>337894.521334242</v>
      </c>
      <c r="AC22" s="409" t="n">
        <f aca="false">IF(AND($S22=1,$H22&lt;=$C$8),$Z22-N($O22),0)</f>
        <v>0</v>
      </c>
      <c r="AD22" s="412"/>
    </row>
    <row r="23" customFormat="false" ht="15" hidden="false" customHeight="true" outlineLevel="0" collapsed="false">
      <c r="A23" s="398" t="str">
        <f aca="false">Projects!$A$14</f>
        <v>3rd St</v>
      </c>
      <c r="B23" s="399"/>
      <c r="C23" s="400" t="str">
        <f aca="false">Projects!$F$14</f>
        <v>Yes</v>
      </c>
      <c r="D23" s="400" t="str">
        <f aca="false">Projects!$G$14</f>
        <v>Yes</v>
      </c>
      <c r="E23" s="401"/>
      <c r="F23" s="402" t="n">
        <f aca="false">IF($E23&lt;&gt;"",$E23,Projects!$B$14)</f>
        <v>41354632</v>
      </c>
      <c r="G23" s="399"/>
      <c r="H23" s="403" t="n">
        <f aca="false">IF($G23&lt;&gt;"",$G23,Projects!$C$14)</f>
        <v>27</v>
      </c>
      <c r="I23" s="404"/>
      <c r="J23" s="401"/>
      <c r="K23" s="399"/>
      <c r="L23" s="401"/>
      <c r="M23" s="399"/>
      <c r="N23" s="404"/>
      <c r="O23" s="401"/>
      <c r="P23" s="399"/>
      <c r="Q23" s="401"/>
      <c r="R23" s="399"/>
      <c r="S23" s="403" t="n">
        <f aca="false">IF(AND($C23="Yes",$D23="Yes"),1,0)</f>
        <v>1</v>
      </c>
      <c r="T23" s="402" t="n">
        <f aca="false">$S23*IF($J23&lt;&gt;"",$J23,$F23*IF($I23&lt;&gt;"",$I23,$C$4)/(1+IF($I23&lt;&gt;"",$I23,$C$4)))</f>
        <v>611152.197044335</v>
      </c>
      <c r="U23" s="402" t="n">
        <f aca="false">$S23*IF($L23&lt;&gt;"",$L23,$F23*$C$5)</f>
        <v>302459.891748558</v>
      </c>
      <c r="V23" s="402" t="n">
        <f aca="false">$S23*$F23*IF($N23&lt;&gt;"",$N23,$C$6)</f>
        <v>1344025.54</v>
      </c>
      <c r="W23" s="402" t="n">
        <f aca="false">MAX(0,$V23-$U23)</f>
        <v>1041565.64825144</v>
      </c>
      <c r="X23" s="403" t="n">
        <f aca="false">IF($B23&lt;&gt;"",$B23,100+$H23)</f>
        <v>127</v>
      </c>
      <c r="Y23" s="402" t="n">
        <f aca="false">$S23*MAX(0,MIN($W23,$C$7-SUMIFS($W$11:$W$54,$X$11:$X$54,"&lt;"&amp;$X23)))</f>
        <v>0</v>
      </c>
      <c r="Z23" s="402" t="n">
        <f aca="false">$W23-$Y23</f>
        <v>1041565.64825144</v>
      </c>
      <c r="AA23" s="405" t="n">
        <f aca="false">$S23*($T23-$U23-$Z23)</f>
        <v>-732873.342955665</v>
      </c>
      <c r="AB23" s="405" t="n">
        <f aca="false">$S23*($T23-$U23)</f>
        <v>308692.305295778</v>
      </c>
      <c r="AC23" s="402" t="n">
        <f aca="false">IF(AND($S23=1,$H23&lt;=$C$8),$Z23-N($O23),0)</f>
        <v>0</v>
      </c>
      <c r="AD23" s="406"/>
    </row>
    <row r="24" customFormat="false" ht="15" hidden="false" customHeight="true" outlineLevel="0" collapsed="false">
      <c r="A24" s="407" t="str">
        <f aca="false">Projects!$A$17</f>
        <v>Dickens</v>
      </c>
      <c r="B24" s="399"/>
      <c r="C24" s="408" t="str">
        <f aca="false">Projects!$F$17</f>
        <v>Yes</v>
      </c>
      <c r="D24" s="408" t="str">
        <f aca="false">Projects!$G$17</f>
        <v>Yes</v>
      </c>
      <c r="E24" s="401"/>
      <c r="F24" s="409" t="n">
        <f aca="false">IF($E24&lt;&gt;"",$E24,Projects!$B$17)</f>
        <v>15316015</v>
      </c>
      <c r="G24" s="399"/>
      <c r="H24" s="410" t="n">
        <f aca="false">IF($G24&lt;&gt;"",$G24,Projects!$C$17)</f>
        <v>14</v>
      </c>
      <c r="I24" s="404"/>
      <c r="J24" s="401"/>
      <c r="K24" s="399"/>
      <c r="L24" s="401"/>
      <c r="M24" s="399"/>
      <c r="N24" s="404"/>
      <c r="O24" s="401"/>
      <c r="P24" s="399"/>
      <c r="Q24" s="401"/>
      <c r="R24" s="399"/>
      <c r="S24" s="410" t="n">
        <f aca="false">IF(AND($C24="Yes",$D24="Yes"),1,0)</f>
        <v>1</v>
      </c>
      <c r="T24" s="409" t="n">
        <f aca="false">$S24*IF($J24&lt;&gt;"",$J24,$F24*IF($I24&lt;&gt;"",$I24,$C$4)/(1+IF($I24&lt;&gt;"",$I24,$C$4)))</f>
        <v>226345.049261084</v>
      </c>
      <c r="U24" s="409" t="n">
        <f aca="false">$S24*IF($L24&lt;&gt;"",$L24,$F24*$C$5)</f>
        <v>112018.412808492</v>
      </c>
      <c r="V24" s="409" t="n">
        <f aca="false">$S24*$F24*IF($N24&lt;&gt;"",$N24,$C$6)</f>
        <v>497770.4875</v>
      </c>
      <c r="W24" s="409" t="n">
        <f aca="false">MAX(0,$V24-$U24)</f>
        <v>385752.074691508</v>
      </c>
      <c r="X24" s="410" t="n">
        <f aca="false">IF($B24&lt;&gt;"",$B24,100+$H24)</f>
        <v>114</v>
      </c>
      <c r="Y24" s="409" t="n">
        <f aca="false">$S24*MAX(0,MIN($W24,$C$7-SUMIFS($W$11:$W$54,$X$11:$X$54,"&lt;"&amp;$X24)))</f>
        <v>0</v>
      </c>
      <c r="Z24" s="409" t="n">
        <f aca="false">$W24-$Y24</f>
        <v>385752.074691508</v>
      </c>
      <c r="AA24" s="411" t="n">
        <f aca="false">$S24*($T24-$U24-$Z24)</f>
        <v>-271425.438238916</v>
      </c>
      <c r="AB24" s="411" t="n">
        <f aca="false">$S24*($T24-$U24)</f>
        <v>114326.636452592</v>
      </c>
      <c r="AC24" s="409" t="n">
        <f aca="false">IF(AND($S24=1,$H24&lt;=$C$8),$Z24-N($O24),0)</f>
        <v>0</v>
      </c>
      <c r="AD24" s="412"/>
    </row>
    <row r="25" customFormat="false" ht="15" hidden="false" customHeight="true" outlineLevel="0" collapsed="false">
      <c r="A25" s="398" t="str">
        <f aca="false">Projects!$A$18</f>
        <v>Riverton 75</v>
      </c>
      <c r="B25" s="399"/>
      <c r="C25" s="400" t="str">
        <f aca="false">Projects!$F$18</f>
        <v>Yes</v>
      </c>
      <c r="D25" s="400" t="str">
        <f aca="false">Projects!$G$18</f>
        <v>Yes</v>
      </c>
      <c r="E25" s="401"/>
      <c r="F25" s="402" t="n">
        <f aca="false">IF($E25&lt;&gt;"",$E25,Projects!$B$18)</f>
        <v>11317385</v>
      </c>
      <c r="G25" s="399"/>
      <c r="H25" s="403" t="n">
        <f aca="false">IF($G25&lt;&gt;"",$G25,Projects!$C$18)</f>
        <v>15</v>
      </c>
      <c r="I25" s="404"/>
      <c r="J25" s="401"/>
      <c r="K25" s="399"/>
      <c r="L25" s="401"/>
      <c r="M25" s="399"/>
      <c r="N25" s="404"/>
      <c r="O25" s="401"/>
      <c r="P25" s="399"/>
      <c r="Q25" s="401"/>
      <c r="R25" s="399"/>
      <c r="S25" s="403" t="n">
        <f aca="false">IF(AND($C25="Yes",$D25="Yes"),1,0)</f>
        <v>1</v>
      </c>
      <c r="T25" s="402" t="n">
        <f aca="false">$S25*IF($J25&lt;&gt;"",$J25,$F25*IF($I25&lt;&gt;"",$I25,$C$4)/(1+IF($I25&lt;&gt;"",$I25,$C$4)))</f>
        <v>167251.995073892</v>
      </c>
      <c r="U25" s="402" t="n">
        <f aca="false">$S25*IF($L25&lt;&gt;"",$L25,$F25*$C$5)</f>
        <v>82773.1955631173</v>
      </c>
      <c r="V25" s="402" t="n">
        <f aca="false">$S25*$F25*IF($N25&lt;&gt;"",$N25,$C$6)</f>
        <v>367815.0125</v>
      </c>
      <c r="W25" s="402" t="n">
        <f aca="false">MAX(0,$V25-$U25)</f>
        <v>285041.816936883</v>
      </c>
      <c r="X25" s="403" t="n">
        <f aca="false">IF($B25&lt;&gt;"",$B25,100+$H25)</f>
        <v>115</v>
      </c>
      <c r="Y25" s="402" t="n">
        <f aca="false">$S25*MAX(0,MIN($W25,$C$7-SUMIFS($W$11:$W$54,$X$11:$X$54,"&lt;"&amp;$X25)))</f>
        <v>0</v>
      </c>
      <c r="Z25" s="402" t="n">
        <f aca="false">$W25-$Y25</f>
        <v>285041.816936883</v>
      </c>
      <c r="AA25" s="405" t="n">
        <f aca="false">$S25*($T25-$U25-$Z25)</f>
        <v>-200563.017426108</v>
      </c>
      <c r="AB25" s="405" t="n">
        <f aca="false">$S25*($T25-$U25)</f>
        <v>84478.7995107743</v>
      </c>
      <c r="AC25" s="402" t="n">
        <f aca="false">IF(AND($S25=1,$H25&lt;=$C$8),$Z25-N($O25),0)</f>
        <v>0</v>
      </c>
      <c r="AD25" s="406"/>
    </row>
    <row r="26" customFormat="false" ht="15" hidden="false" customHeight="true" outlineLevel="0" collapsed="false">
      <c r="A26" s="407" t="str">
        <f aca="false">Projects!$A$19</f>
        <v>Moorpark</v>
      </c>
      <c r="B26" s="399"/>
      <c r="C26" s="408" t="str">
        <f aca="false">Projects!$F$19</f>
        <v>Yes</v>
      </c>
      <c r="D26" s="408" t="str">
        <f aca="false">Projects!$G$19</f>
        <v>Yes</v>
      </c>
      <c r="E26" s="401"/>
      <c r="F26" s="409" t="n">
        <f aca="false">IF($E26&lt;&gt;"",$E26,Projects!$B$19)</f>
        <v>18442769</v>
      </c>
      <c r="G26" s="399"/>
      <c r="H26" s="410" t="n">
        <f aca="false">IF($G26&lt;&gt;"",$G26,Projects!$C$19)</f>
        <v>16</v>
      </c>
      <c r="I26" s="404"/>
      <c r="J26" s="401"/>
      <c r="K26" s="399"/>
      <c r="L26" s="401"/>
      <c r="M26" s="399"/>
      <c r="N26" s="404"/>
      <c r="O26" s="401"/>
      <c r="P26" s="399"/>
      <c r="Q26" s="401"/>
      <c r="R26" s="399"/>
      <c r="S26" s="410" t="n">
        <f aca="false">IF(AND($C26="Yes",$D26="Yes"),1,0)</f>
        <v>1</v>
      </c>
      <c r="T26" s="409" t="n">
        <f aca="false">$S26*IF($J26&lt;&gt;"",$J26,$F26*IF($I26&lt;&gt;"",$I26,$C$4)/(1+IF($I26&lt;&gt;"",$I26,$C$4)))</f>
        <v>272553.236453202</v>
      </c>
      <c r="U26" s="409" t="n">
        <f aca="false">$S26*IF($L26&lt;&gt;"",$L26,$F26*$C$5)</f>
        <v>134886.895264445</v>
      </c>
      <c r="V26" s="409" t="n">
        <f aca="false">$S26*$F26*IF($N26&lt;&gt;"",$N26,$C$6)</f>
        <v>599389.9925</v>
      </c>
      <c r="W26" s="409" t="n">
        <f aca="false">MAX(0,$V26-$U26)</f>
        <v>464503.097235555</v>
      </c>
      <c r="X26" s="410" t="n">
        <f aca="false">IF($B26&lt;&gt;"",$B26,100+$H26)</f>
        <v>116</v>
      </c>
      <c r="Y26" s="409" t="n">
        <f aca="false">$S26*MAX(0,MIN($W26,$C$7-SUMIFS($W$11:$W$54,$X$11:$X$54,"&lt;"&amp;$X26)))</f>
        <v>0</v>
      </c>
      <c r="Z26" s="409" t="n">
        <f aca="false">$W26-$Y26</f>
        <v>464503.097235555</v>
      </c>
      <c r="AA26" s="411" t="n">
        <f aca="false">$S26*($T26-$U26-$Z26)</f>
        <v>-326836.756046798</v>
      </c>
      <c r="AB26" s="411" t="n">
        <f aca="false">$S26*($T26-$U26)</f>
        <v>137666.341188757</v>
      </c>
      <c r="AC26" s="409" t="n">
        <f aca="false">IF(AND($S26=1,$H26&lt;=$C$8),$Z26-N($O26),0)</f>
        <v>0</v>
      </c>
      <c r="AD26" s="412"/>
    </row>
    <row r="27" customFormat="false" ht="15" hidden="false" customHeight="true" outlineLevel="0" collapsed="false">
      <c r="A27" s="398" t="str">
        <f aca="false">Projects!$A$20</f>
        <v>Beverly (BD-04)</v>
      </c>
      <c r="B27" s="399"/>
      <c r="C27" s="400" t="str">
        <f aca="false">Projects!$F$20</f>
        <v>No</v>
      </c>
      <c r="D27" s="400" t="str">
        <f aca="false">Projects!$G$20</f>
        <v>Yes</v>
      </c>
      <c r="E27" s="401"/>
      <c r="F27" s="402" t="n">
        <f aca="false">IF($E27&lt;&gt;"",$E27,Projects!$B$20)</f>
        <v>25026330.58</v>
      </c>
      <c r="G27" s="399"/>
      <c r="H27" s="403" t="n">
        <f aca="false">IF($G27&lt;&gt;"",$G27,Projects!$C$20)</f>
        <v>20</v>
      </c>
      <c r="I27" s="404"/>
      <c r="J27" s="401"/>
      <c r="K27" s="399"/>
      <c r="L27" s="401"/>
      <c r="M27" s="399"/>
      <c r="N27" s="404"/>
      <c r="O27" s="401"/>
      <c r="P27" s="399"/>
      <c r="Q27" s="401"/>
      <c r="R27" s="399"/>
      <c r="S27" s="403" t="n">
        <f aca="false">IF(AND($C27="Yes",$D27="Yes"),1,0)</f>
        <v>0</v>
      </c>
      <c r="T27" s="402" t="n">
        <f aca="false">$S27*IF($J27&lt;&gt;"",$J27,$F27*IF($I27&lt;&gt;"",$I27,$C$4)/(1+IF($I27&lt;&gt;"",$I27,$C$4)))</f>
        <v>0</v>
      </c>
      <c r="U27" s="402" t="n">
        <f aca="false">$S27*IF($L27&lt;&gt;"",$L27,$F27*$C$5)</f>
        <v>0</v>
      </c>
      <c r="V27" s="402" t="n">
        <f aca="false">$S27*$F27*IF($N27&lt;&gt;"",$N27,$C$6)</f>
        <v>0</v>
      </c>
      <c r="W27" s="402" t="n">
        <f aca="false">MAX(0,$V27-$U27)</f>
        <v>0</v>
      </c>
      <c r="X27" s="403" t="n">
        <f aca="false">IF($B27&lt;&gt;"",$B27,100+$H27)</f>
        <v>120</v>
      </c>
      <c r="Y27" s="402" t="n">
        <f aca="false">$S27*MAX(0,MIN($W27,$C$7-SUMIFS($W$11:$W$54,$X$11:$X$54,"&lt;"&amp;$X27)))</f>
        <v>0</v>
      </c>
      <c r="Z27" s="402" t="n">
        <f aca="false">$W27-$Y27</f>
        <v>0</v>
      </c>
      <c r="AA27" s="405" t="n">
        <f aca="false">$S27*($T27-$U27-$Z27)</f>
        <v>0</v>
      </c>
      <c r="AB27" s="405" t="n">
        <f aca="false">$S27*($T27-$U27)</f>
        <v>0</v>
      </c>
      <c r="AC27" s="402" t="n">
        <f aca="false">IF(AND($S27=1,$H27&lt;=$C$8),$Z27-N($O27),0)</f>
        <v>0</v>
      </c>
      <c r="AD27" s="406"/>
    </row>
    <row r="28" customFormat="false" ht="15" hidden="false" customHeight="true" outlineLevel="0" collapsed="false">
      <c r="A28" s="407" t="str">
        <f aca="false">Projects!$A$21</f>
        <v>Troost (HVN)</v>
      </c>
      <c r="B28" s="399"/>
      <c r="C28" s="408" t="str">
        <f aca="false">Projects!$F$21</f>
        <v>No</v>
      </c>
      <c r="D28" s="408" t="str">
        <f aca="false">Projects!$G$21</f>
        <v>Yes</v>
      </c>
      <c r="E28" s="401"/>
      <c r="F28" s="409" t="n">
        <f aca="false">IF($E28&lt;&gt;"",$E28,Projects!$B$21)</f>
        <v>15189508.75</v>
      </c>
      <c r="G28" s="399"/>
      <c r="H28" s="410" t="n">
        <f aca="false">IF($G28&lt;&gt;"",$G28,Projects!$C$21)</f>
        <v>10</v>
      </c>
      <c r="I28" s="404"/>
      <c r="J28" s="401"/>
      <c r="K28" s="399"/>
      <c r="L28" s="401"/>
      <c r="M28" s="399"/>
      <c r="N28" s="404"/>
      <c r="O28" s="401"/>
      <c r="P28" s="399"/>
      <c r="Q28" s="401"/>
      <c r="R28" s="399"/>
      <c r="S28" s="410" t="n">
        <f aca="false">IF(AND($C28="Yes",$D28="Yes"),1,0)</f>
        <v>0</v>
      </c>
      <c r="T28" s="409" t="n">
        <f aca="false">$S28*IF($J28&lt;&gt;"",$J28,$F28*IF($I28&lt;&gt;"",$I28,$C$4)/(1+IF($I28&lt;&gt;"",$I28,$C$4)))</f>
        <v>0</v>
      </c>
      <c r="U28" s="409" t="n">
        <f aca="false">$S28*IF($L28&lt;&gt;"",$L28,$F28*$C$5)</f>
        <v>0</v>
      </c>
      <c r="V28" s="409" t="n">
        <f aca="false">$S28*$F28*IF($N28&lt;&gt;"",$N28,$C$6)</f>
        <v>0</v>
      </c>
      <c r="W28" s="409" t="n">
        <f aca="false">MAX(0,$V28-$U28)</f>
        <v>0</v>
      </c>
      <c r="X28" s="410" t="n">
        <f aca="false">IF($B28&lt;&gt;"",$B28,100+$H28)</f>
        <v>110</v>
      </c>
      <c r="Y28" s="409" t="n">
        <f aca="false">$S28*MAX(0,MIN($W28,$C$7-SUMIFS($W$11:$W$54,$X$11:$X$54,"&lt;"&amp;$X28)))</f>
        <v>0</v>
      </c>
      <c r="Z28" s="409" t="n">
        <f aca="false">$W28-$Y28</f>
        <v>0</v>
      </c>
      <c r="AA28" s="411" t="n">
        <f aca="false">$S28*($T28-$U28-$Z28)</f>
        <v>0</v>
      </c>
      <c r="AB28" s="411" t="n">
        <f aca="false">$S28*($T28-$U28)</f>
        <v>0</v>
      </c>
      <c r="AC28" s="409" t="n">
        <f aca="false">IF(AND($S28=1,$H28&lt;=$C$8),$Z28-N($O28),0)</f>
        <v>0</v>
      </c>
      <c r="AD28" s="412"/>
    </row>
    <row r="29" customFormat="false" ht="15" hidden="false" customHeight="true" outlineLevel="0" collapsed="false">
      <c r="A29" s="398" t="str">
        <f aca="false">Projects!$A$22</f>
        <v>BD-06</v>
      </c>
      <c r="B29" s="399"/>
      <c r="C29" s="400" t="str">
        <f aca="false">Projects!$F$22</f>
        <v>No</v>
      </c>
      <c r="D29" s="400" t="str">
        <f aca="false">Projects!$G$22</f>
        <v>No</v>
      </c>
      <c r="E29" s="401"/>
      <c r="F29" s="402" t="n">
        <f aca="false">IF($E29&lt;&gt;"",$E29,Projects!$B$22)</f>
        <v>15000000</v>
      </c>
      <c r="G29" s="399"/>
      <c r="H29" s="403" t="n">
        <f aca="false">IF($G29&lt;&gt;"",$G29,Projects!$C$22)</f>
        <v>16</v>
      </c>
      <c r="I29" s="404"/>
      <c r="J29" s="401"/>
      <c r="K29" s="399"/>
      <c r="L29" s="401"/>
      <c r="M29" s="399"/>
      <c r="N29" s="404"/>
      <c r="O29" s="401"/>
      <c r="P29" s="399"/>
      <c r="Q29" s="401"/>
      <c r="R29" s="399"/>
      <c r="S29" s="403" t="n">
        <f aca="false">IF(AND($C29="Yes",$D29="Yes"),1,0)</f>
        <v>0</v>
      </c>
      <c r="T29" s="402" t="n">
        <f aca="false">$S29*IF($J29&lt;&gt;"",$J29,$F29*IF($I29&lt;&gt;"",$I29,$C$4)/(1+IF($I29&lt;&gt;"",$I29,$C$4)))</f>
        <v>0</v>
      </c>
      <c r="U29" s="402" t="n">
        <f aca="false">$S29*IF($L29&lt;&gt;"",$L29,$F29*$C$5)</f>
        <v>0</v>
      </c>
      <c r="V29" s="402" t="n">
        <f aca="false">$S29*$F29*IF($N29&lt;&gt;"",$N29,$C$6)</f>
        <v>0</v>
      </c>
      <c r="W29" s="402" t="n">
        <f aca="false">MAX(0,$V29-$U29)</f>
        <v>0</v>
      </c>
      <c r="X29" s="403" t="n">
        <f aca="false">IF($B29&lt;&gt;"",$B29,100+$H29)</f>
        <v>116</v>
      </c>
      <c r="Y29" s="402" t="n">
        <f aca="false">$S29*MAX(0,MIN($W29,$C$7-SUMIFS($W$11:$W$54,$X$11:$X$54,"&lt;"&amp;$X29)))</f>
        <v>0</v>
      </c>
      <c r="Z29" s="402" t="n">
        <f aca="false">$W29-$Y29</f>
        <v>0</v>
      </c>
      <c r="AA29" s="405" t="n">
        <f aca="false">$S29*($T29-$U29-$Z29)</f>
        <v>0</v>
      </c>
      <c r="AB29" s="405" t="n">
        <f aca="false">$S29*($T29-$U29)</f>
        <v>0</v>
      </c>
      <c r="AC29" s="402" t="n">
        <f aca="false">IF(AND($S29=1,$H29&lt;=$C$8),$Z29-N($O29),0)</f>
        <v>0</v>
      </c>
      <c r="AD29" s="406"/>
    </row>
    <row r="30" customFormat="false" ht="15" hidden="false" customHeight="true" outlineLevel="0" collapsed="false">
      <c r="A30" s="407" t="str">
        <f aca="false">Projects!$A$23</f>
        <v>BD-07</v>
      </c>
      <c r="B30" s="399"/>
      <c r="C30" s="408" t="str">
        <f aca="false">Projects!$F$23</f>
        <v>Yes</v>
      </c>
      <c r="D30" s="408" t="str">
        <f aca="false">Projects!$G$23</f>
        <v>No</v>
      </c>
      <c r="E30" s="401"/>
      <c r="F30" s="409" t="n">
        <f aca="false">IF($E30&lt;&gt;"",$E30,Projects!$B$23)</f>
        <v>15000000</v>
      </c>
      <c r="G30" s="399"/>
      <c r="H30" s="410" t="n">
        <f aca="false">IF($G30&lt;&gt;"",$G30,Projects!$C$23)</f>
        <v>17</v>
      </c>
      <c r="I30" s="404"/>
      <c r="J30" s="401"/>
      <c r="K30" s="399"/>
      <c r="L30" s="401"/>
      <c r="M30" s="399"/>
      <c r="N30" s="404"/>
      <c r="O30" s="401"/>
      <c r="P30" s="399"/>
      <c r="Q30" s="401"/>
      <c r="R30" s="399"/>
      <c r="S30" s="410" t="n">
        <f aca="false">IF(AND($C30="Yes",$D30="Yes"),1,0)</f>
        <v>0</v>
      </c>
      <c r="T30" s="409" t="n">
        <f aca="false">$S30*IF($J30&lt;&gt;"",$J30,$F30*IF($I30&lt;&gt;"",$I30,$C$4)/(1+IF($I30&lt;&gt;"",$I30,$C$4)))</f>
        <v>0</v>
      </c>
      <c r="U30" s="409" t="n">
        <f aca="false">$S30*IF($L30&lt;&gt;"",$L30,$F30*$C$5)</f>
        <v>0</v>
      </c>
      <c r="V30" s="409" t="n">
        <f aca="false">$S30*$F30*IF($N30&lt;&gt;"",$N30,$C$6)</f>
        <v>0</v>
      </c>
      <c r="W30" s="409" t="n">
        <f aca="false">MAX(0,$V30-$U30)</f>
        <v>0</v>
      </c>
      <c r="X30" s="410" t="n">
        <f aca="false">IF($B30&lt;&gt;"",$B30,100+$H30)</f>
        <v>117</v>
      </c>
      <c r="Y30" s="409" t="n">
        <f aca="false">$S30*MAX(0,MIN($W30,$C$7-SUMIFS($W$11:$W$54,$X$11:$X$54,"&lt;"&amp;$X30)))</f>
        <v>0</v>
      </c>
      <c r="Z30" s="409" t="n">
        <f aca="false">$W30-$Y30</f>
        <v>0</v>
      </c>
      <c r="AA30" s="411" t="n">
        <f aca="false">$S30*($T30-$U30-$Z30)</f>
        <v>0</v>
      </c>
      <c r="AB30" s="411" t="n">
        <f aca="false">$S30*($T30-$U30)</f>
        <v>0</v>
      </c>
      <c r="AC30" s="409" t="n">
        <f aca="false">IF(AND($S30=1,$H30&lt;=$C$8),$Z30-N($O30),0)</f>
        <v>0</v>
      </c>
      <c r="AD30" s="412"/>
    </row>
    <row r="31" customFormat="false" ht="15" hidden="false" customHeight="true" outlineLevel="0" collapsed="false">
      <c r="A31" s="398" t="str">
        <f aca="false">Projects!$A$24</f>
        <v>BD-08</v>
      </c>
      <c r="B31" s="399"/>
      <c r="C31" s="400" t="str">
        <f aca="false">Projects!$F$24</f>
        <v>No</v>
      </c>
      <c r="D31" s="400" t="str">
        <f aca="false">Projects!$G$24</f>
        <v>Yes</v>
      </c>
      <c r="E31" s="401"/>
      <c r="F31" s="402" t="n">
        <f aca="false">IF($E31&lt;&gt;"",$E31,Projects!$B$24)</f>
        <v>18000000</v>
      </c>
      <c r="G31" s="399"/>
      <c r="H31" s="403" t="n">
        <f aca="false">IF($G31&lt;&gt;"",$G31,Projects!$C$24)</f>
        <v>24</v>
      </c>
      <c r="I31" s="404"/>
      <c r="J31" s="401"/>
      <c r="K31" s="399"/>
      <c r="L31" s="401"/>
      <c r="M31" s="399"/>
      <c r="N31" s="404"/>
      <c r="O31" s="401"/>
      <c r="P31" s="399"/>
      <c r="Q31" s="401"/>
      <c r="R31" s="399"/>
      <c r="S31" s="403" t="n">
        <f aca="false">IF(AND($C31="Yes",$D31="Yes"),1,0)</f>
        <v>0</v>
      </c>
      <c r="T31" s="402" t="n">
        <f aca="false">$S31*IF($J31&lt;&gt;"",$J31,$F31*IF($I31&lt;&gt;"",$I31,$C$4)/(1+IF($I31&lt;&gt;"",$I31,$C$4)))</f>
        <v>0</v>
      </c>
      <c r="U31" s="402" t="n">
        <f aca="false">$S31*IF($L31&lt;&gt;"",$L31,$F31*$C$5)</f>
        <v>0</v>
      </c>
      <c r="V31" s="402" t="n">
        <f aca="false">$S31*$F31*IF($N31&lt;&gt;"",$N31,$C$6)</f>
        <v>0</v>
      </c>
      <c r="W31" s="402" t="n">
        <f aca="false">MAX(0,$V31-$U31)</f>
        <v>0</v>
      </c>
      <c r="X31" s="403" t="n">
        <f aca="false">IF($B31&lt;&gt;"",$B31,100+$H31)</f>
        <v>124</v>
      </c>
      <c r="Y31" s="402" t="n">
        <f aca="false">$S31*MAX(0,MIN($W31,$C$7-SUMIFS($W$11:$W$54,$X$11:$X$54,"&lt;"&amp;$X31)))</f>
        <v>0</v>
      </c>
      <c r="Z31" s="402" t="n">
        <f aca="false">$W31-$Y31</f>
        <v>0</v>
      </c>
      <c r="AA31" s="405" t="n">
        <f aca="false">$S31*($T31-$U31-$Z31)</f>
        <v>0</v>
      </c>
      <c r="AB31" s="405" t="n">
        <f aca="false">$S31*($T31-$U31)</f>
        <v>0</v>
      </c>
      <c r="AC31" s="402" t="n">
        <f aca="false">IF(AND($S31=1,$H31&lt;=$C$8),$Z31-N($O31),0)</f>
        <v>0</v>
      </c>
      <c r="AD31" s="406"/>
    </row>
    <row r="32" customFormat="false" ht="15" hidden="false" customHeight="true" outlineLevel="0" collapsed="false">
      <c r="A32" s="407" t="str">
        <f aca="false">Projects!$A$25</f>
        <v>BD-09</v>
      </c>
      <c r="B32" s="399"/>
      <c r="C32" s="408" t="str">
        <f aca="false">Projects!$F$25</f>
        <v>No</v>
      </c>
      <c r="D32" s="408" t="str">
        <f aca="false">Projects!$G$25</f>
        <v>Yes</v>
      </c>
      <c r="E32" s="401"/>
      <c r="F32" s="409" t="n">
        <f aca="false">IF($E32&lt;&gt;"",$E32,Projects!$B$25)</f>
        <v>18000000</v>
      </c>
      <c r="G32" s="399"/>
      <c r="H32" s="410" t="n">
        <f aca="false">IF($G32&lt;&gt;"",$G32,Projects!$C$25)</f>
        <v>29</v>
      </c>
      <c r="I32" s="404"/>
      <c r="J32" s="401"/>
      <c r="K32" s="399"/>
      <c r="L32" s="401"/>
      <c r="M32" s="399"/>
      <c r="N32" s="404"/>
      <c r="O32" s="401"/>
      <c r="P32" s="399"/>
      <c r="Q32" s="401"/>
      <c r="R32" s="399"/>
      <c r="S32" s="410" t="n">
        <f aca="false">IF(AND($C32="Yes",$D32="Yes"),1,0)</f>
        <v>0</v>
      </c>
      <c r="T32" s="409" t="n">
        <f aca="false">$S32*IF($J32&lt;&gt;"",$J32,$F32*IF($I32&lt;&gt;"",$I32,$C$4)/(1+IF($I32&lt;&gt;"",$I32,$C$4)))</f>
        <v>0</v>
      </c>
      <c r="U32" s="409" t="n">
        <f aca="false">$S32*IF($L32&lt;&gt;"",$L32,$F32*$C$5)</f>
        <v>0</v>
      </c>
      <c r="V32" s="409" t="n">
        <f aca="false">$S32*$F32*IF($N32&lt;&gt;"",$N32,$C$6)</f>
        <v>0</v>
      </c>
      <c r="W32" s="409" t="n">
        <f aca="false">MAX(0,$V32-$U32)</f>
        <v>0</v>
      </c>
      <c r="X32" s="410" t="n">
        <f aca="false">IF($B32&lt;&gt;"",$B32,100+$H32)</f>
        <v>129</v>
      </c>
      <c r="Y32" s="409" t="n">
        <f aca="false">$S32*MAX(0,MIN($W32,$C$7-SUMIFS($W$11:$W$54,$X$11:$X$54,"&lt;"&amp;$X32)))</f>
        <v>0</v>
      </c>
      <c r="Z32" s="409" t="n">
        <f aca="false">$W32-$Y32</f>
        <v>0</v>
      </c>
      <c r="AA32" s="411" t="n">
        <f aca="false">$S32*($T32-$U32-$Z32)</f>
        <v>0</v>
      </c>
      <c r="AB32" s="411" t="n">
        <f aca="false">$S32*($T32-$U32)</f>
        <v>0</v>
      </c>
      <c r="AC32" s="409" t="n">
        <f aca="false">IF(AND($S32=1,$H32&lt;=$C$8),$Z32-N($O32),0)</f>
        <v>0</v>
      </c>
      <c r="AD32" s="412"/>
    </row>
    <row r="33" customFormat="false" ht="15" hidden="false" customHeight="true" outlineLevel="0" collapsed="false">
      <c r="A33" s="398" t="str">
        <f aca="false">Projects!$A$26</f>
        <v>BD-10</v>
      </c>
      <c r="B33" s="399"/>
      <c r="C33" s="400" t="str">
        <f aca="false">Projects!$F$26</f>
        <v>No</v>
      </c>
      <c r="D33" s="400" t="str">
        <f aca="false">Projects!$G$26</f>
        <v>Yes</v>
      </c>
      <c r="E33" s="401"/>
      <c r="F33" s="402" t="n">
        <f aca="false">IF($E33&lt;&gt;"",$E33,Projects!$B$26)</f>
        <v>18000000</v>
      </c>
      <c r="G33" s="399"/>
      <c r="H33" s="403" t="n">
        <f aca="false">IF($G33&lt;&gt;"",$G33,Projects!$C$26)</f>
        <v>30</v>
      </c>
      <c r="I33" s="404"/>
      <c r="J33" s="401"/>
      <c r="K33" s="399"/>
      <c r="L33" s="401"/>
      <c r="M33" s="399"/>
      <c r="N33" s="404"/>
      <c r="O33" s="401"/>
      <c r="P33" s="399"/>
      <c r="Q33" s="401"/>
      <c r="R33" s="399"/>
      <c r="S33" s="403" t="n">
        <f aca="false">IF(AND($C33="Yes",$D33="Yes"),1,0)</f>
        <v>0</v>
      </c>
      <c r="T33" s="402" t="n">
        <f aca="false">$S33*IF($J33&lt;&gt;"",$J33,$F33*IF($I33&lt;&gt;"",$I33,$C$4)/(1+IF($I33&lt;&gt;"",$I33,$C$4)))</f>
        <v>0</v>
      </c>
      <c r="U33" s="402" t="n">
        <f aca="false">$S33*IF($L33&lt;&gt;"",$L33,$F33*$C$5)</f>
        <v>0</v>
      </c>
      <c r="V33" s="402" t="n">
        <f aca="false">$S33*$F33*IF($N33&lt;&gt;"",$N33,$C$6)</f>
        <v>0</v>
      </c>
      <c r="W33" s="402" t="n">
        <f aca="false">MAX(0,$V33-$U33)</f>
        <v>0</v>
      </c>
      <c r="X33" s="403" t="n">
        <f aca="false">IF($B33&lt;&gt;"",$B33,100+$H33)</f>
        <v>130</v>
      </c>
      <c r="Y33" s="402" t="n">
        <f aca="false">$S33*MAX(0,MIN($W33,$C$7-SUMIFS($W$11:$W$54,$X$11:$X$54,"&lt;"&amp;$X33)))</f>
        <v>0</v>
      </c>
      <c r="Z33" s="402" t="n">
        <f aca="false">$W33-$Y33</f>
        <v>0</v>
      </c>
      <c r="AA33" s="405" t="n">
        <f aca="false">$S33*($T33-$U33-$Z33)</f>
        <v>0</v>
      </c>
      <c r="AB33" s="405" t="n">
        <f aca="false">$S33*($T33-$U33)</f>
        <v>0</v>
      </c>
      <c r="AC33" s="402" t="n">
        <f aca="false">IF(AND($S33=1,$H33&lt;=$C$8),$Z33-N($O33),0)</f>
        <v>0</v>
      </c>
      <c r="AD33" s="406"/>
    </row>
    <row r="34" customFormat="false" ht="15" hidden="false" customHeight="true" outlineLevel="0" collapsed="false">
      <c r="A34" s="407" t="str">
        <f aca="false">Projects!$A$27</f>
        <v>BD-11</v>
      </c>
      <c r="B34" s="399"/>
      <c r="C34" s="408" t="str">
        <f aca="false">Projects!$F$27</f>
        <v>No</v>
      </c>
      <c r="D34" s="408" t="str">
        <f aca="false">Projects!$G$27</f>
        <v>Yes</v>
      </c>
      <c r="E34" s="401"/>
      <c r="F34" s="409" t="n">
        <f aca="false">IF($E34&lt;&gt;"",$E34,Projects!$B$27)</f>
        <v>15000000</v>
      </c>
      <c r="G34" s="399"/>
      <c r="H34" s="410" t="n">
        <f aca="false">IF($G34&lt;&gt;"",$G34,Projects!$C$27)</f>
        <v>31</v>
      </c>
      <c r="I34" s="404"/>
      <c r="J34" s="401"/>
      <c r="K34" s="399"/>
      <c r="L34" s="401"/>
      <c r="M34" s="399"/>
      <c r="N34" s="404"/>
      <c r="O34" s="401"/>
      <c r="P34" s="399"/>
      <c r="Q34" s="401"/>
      <c r="R34" s="399"/>
      <c r="S34" s="410" t="n">
        <f aca="false">IF(AND($C34="Yes",$D34="Yes"),1,0)</f>
        <v>0</v>
      </c>
      <c r="T34" s="409" t="n">
        <f aca="false">$S34*IF($J34&lt;&gt;"",$J34,$F34*IF($I34&lt;&gt;"",$I34,$C$4)/(1+IF($I34&lt;&gt;"",$I34,$C$4)))</f>
        <v>0</v>
      </c>
      <c r="U34" s="409" t="n">
        <f aca="false">$S34*IF($L34&lt;&gt;"",$L34,$F34*$C$5)</f>
        <v>0</v>
      </c>
      <c r="V34" s="409" t="n">
        <f aca="false">$S34*$F34*IF($N34&lt;&gt;"",$N34,$C$6)</f>
        <v>0</v>
      </c>
      <c r="W34" s="409" t="n">
        <f aca="false">MAX(0,$V34-$U34)</f>
        <v>0</v>
      </c>
      <c r="X34" s="410" t="n">
        <f aca="false">IF($B34&lt;&gt;"",$B34,100+$H34)</f>
        <v>131</v>
      </c>
      <c r="Y34" s="409" t="n">
        <f aca="false">$S34*MAX(0,MIN($W34,$C$7-SUMIFS($W$11:$W$54,$X$11:$X$54,"&lt;"&amp;$X34)))</f>
        <v>0</v>
      </c>
      <c r="Z34" s="409" t="n">
        <f aca="false">$W34-$Y34</f>
        <v>0</v>
      </c>
      <c r="AA34" s="411" t="n">
        <f aca="false">$S34*($T34-$U34-$Z34)</f>
        <v>0</v>
      </c>
      <c r="AB34" s="411" t="n">
        <f aca="false">$S34*($T34-$U34)</f>
        <v>0</v>
      </c>
      <c r="AC34" s="409" t="n">
        <f aca="false">IF(AND($S34=1,$H34&lt;=$C$8),$Z34-N($O34),0)</f>
        <v>0</v>
      </c>
      <c r="AD34" s="412"/>
    </row>
    <row r="35" customFormat="false" ht="15" hidden="false" customHeight="true" outlineLevel="0" collapsed="false">
      <c r="A35" s="398" t="str">
        <f aca="false">Projects!$A$28</f>
        <v>BD-12</v>
      </c>
      <c r="B35" s="399"/>
      <c r="C35" s="400" t="str">
        <f aca="false">Projects!$F$28</f>
        <v>Yes</v>
      </c>
      <c r="D35" s="400" t="str">
        <f aca="false">Projects!$G$28</f>
        <v>Yes</v>
      </c>
      <c r="E35" s="401"/>
      <c r="F35" s="402" t="n">
        <f aca="false">IF($E35&lt;&gt;"",$E35,Projects!$B$28)</f>
        <v>15000000</v>
      </c>
      <c r="G35" s="399"/>
      <c r="H35" s="403" t="n">
        <f aca="false">IF($G35&lt;&gt;"",$G35,Projects!$C$28)</f>
        <v>32</v>
      </c>
      <c r="I35" s="404"/>
      <c r="J35" s="401"/>
      <c r="K35" s="399"/>
      <c r="L35" s="401"/>
      <c r="M35" s="399"/>
      <c r="N35" s="404"/>
      <c r="O35" s="401"/>
      <c r="P35" s="399"/>
      <c r="Q35" s="401"/>
      <c r="R35" s="399"/>
      <c r="S35" s="403" t="n">
        <f aca="false">IF(AND($C35="Yes",$D35="Yes"),1,0)</f>
        <v>1</v>
      </c>
      <c r="T35" s="402" t="n">
        <f aca="false">$S35*IF($J35&lt;&gt;"",$J35,$F35*IF($I35&lt;&gt;"",$I35,$C$4)/(1+IF($I35&lt;&gt;"",$I35,$C$4)))</f>
        <v>221674.876847291</v>
      </c>
      <c r="U35" s="402" t="n">
        <f aca="false">$S35*IF($L35&lt;&gt;"",$L35,$F35*$C$5)</f>
        <v>109707.139365389</v>
      </c>
      <c r="V35" s="402" t="n">
        <f aca="false">$S35*$F35*IF($N35&lt;&gt;"",$N35,$C$6)</f>
        <v>487500</v>
      </c>
      <c r="W35" s="402" t="n">
        <f aca="false">MAX(0,$V35-$U35)</f>
        <v>377792.860634611</v>
      </c>
      <c r="X35" s="403" t="n">
        <f aca="false">IF($B35&lt;&gt;"",$B35,100+$H35)</f>
        <v>132</v>
      </c>
      <c r="Y35" s="402" t="n">
        <f aca="false">$S35*MAX(0,MIN($W35,$C$7-SUMIFS($W$11:$W$54,$X$11:$X$54,"&lt;"&amp;$X35)))</f>
        <v>0</v>
      </c>
      <c r="Z35" s="402" t="n">
        <f aca="false">$W35-$Y35</f>
        <v>377792.860634611</v>
      </c>
      <c r="AA35" s="405" t="n">
        <f aca="false">$S35*($T35-$U35-$Z35)</f>
        <v>-265825.123152709</v>
      </c>
      <c r="AB35" s="405" t="n">
        <f aca="false">$S35*($T35-$U35)</f>
        <v>111967.737481902</v>
      </c>
      <c r="AC35" s="402" t="n">
        <f aca="false">IF(AND($S35=1,$H35&lt;=$C$8),$Z35-N($O35),0)</f>
        <v>0</v>
      </c>
      <c r="AD35" s="406"/>
    </row>
    <row r="36" customFormat="false" ht="15" hidden="false" customHeight="true" outlineLevel="0" collapsed="false">
      <c r="A36" s="407" t="str">
        <f aca="false">Projects!$A$29</f>
        <v>BD-13</v>
      </c>
      <c r="B36" s="399"/>
      <c r="C36" s="408" t="str">
        <f aca="false">Projects!$F$29</f>
        <v>No</v>
      </c>
      <c r="D36" s="408" t="str">
        <f aca="false">Projects!$G$29</f>
        <v>Yes</v>
      </c>
      <c r="E36" s="401"/>
      <c r="F36" s="409" t="n">
        <f aca="false">IF($E36&lt;&gt;"",$E36,Projects!$B$29)</f>
        <v>15000000</v>
      </c>
      <c r="G36" s="399"/>
      <c r="H36" s="410" t="n">
        <f aca="false">IF($G36&lt;&gt;"",$G36,Projects!$C$29)</f>
        <v>33</v>
      </c>
      <c r="I36" s="404"/>
      <c r="J36" s="401"/>
      <c r="K36" s="399"/>
      <c r="L36" s="401"/>
      <c r="M36" s="399"/>
      <c r="N36" s="404"/>
      <c r="O36" s="401"/>
      <c r="P36" s="399"/>
      <c r="Q36" s="401"/>
      <c r="R36" s="399"/>
      <c r="S36" s="410" t="n">
        <f aca="false">IF(AND($C36="Yes",$D36="Yes"),1,0)</f>
        <v>0</v>
      </c>
      <c r="T36" s="409" t="n">
        <f aca="false">$S36*IF($J36&lt;&gt;"",$J36,$F36*IF($I36&lt;&gt;"",$I36,$C$4)/(1+IF($I36&lt;&gt;"",$I36,$C$4)))</f>
        <v>0</v>
      </c>
      <c r="U36" s="409" t="n">
        <f aca="false">$S36*IF($L36&lt;&gt;"",$L36,$F36*$C$5)</f>
        <v>0</v>
      </c>
      <c r="V36" s="409" t="n">
        <f aca="false">$S36*$F36*IF($N36&lt;&gt;"",$N36,$C$6)</f>
        <v>0</v>
      </c>
      <c r="W36" s="409" t="n">
        <f aca="false">MAX(0,$V36-$U36)</f>
        <v>0</v>
      </c>
      <c r="X36" s="410" t="n">
        <f aca="false">IF($B36&lt;&gt;"",$B36,100+$H36)</f>
        <v>133</v>
      </c>
      <c r="Y36" s="409" t="n">
        <f aca="false">$S36*MAX(0,MIN($W36,$C$7-SUMIFS($W$11:$W$54,$X$11:$X$54,"&lt;"&amp;$X36)))</f>
        <v>0</v>
      </c>
      <c r="Z36" s="409" t="n">
        <f aca="false">$W36-$Y36</f>
        <v>0</v>
      </c>
      <c r="AA36" s="411" t="n">
        <f aca="false">$S36*($T36-$U36-$Z36)</f>
        <v>0</v>
      </c>
      <c r="AB36" s="411" t="n">
        <f aca="false">$S36*($T36-$U36)</f>
        <v>0</v>
      </c>
      <c r="AC36" s="409" t="n">
        <f aca="false">IF(AND($S36=1,$H36&lt;=$C$8),$Z36-N($O36),0)</f>
        <v>0</v>
      </c>
      <c r="AD36" s="412"/>
    </row>
    <row r="37" customFormat="false" ht="15" hidden="false" customHeight="true" outlineLevel="0" collapsed="false">
      <c r="A37" s="398" t="str">
        <f aca="false">Projects!$A$30</f>
        <v>BD-14</v>
      </c>
      <c r="B37" s="399"/>
      <c r="C37" s="400" t="str">
        <f aca="false">Projects!$F$30</f>
        <v>No</v>
      </c>
      <c r="D37" s="400" t="str">
        <f aca="false">Projects!$G$30</f>
        <v>Yes</v>
      </c>
      <c r="E37" s="401"/>
      <c r="F37" s="402" t="n">
        <f aca="false">IF($E37&lt;&gt;"",$E37,Projects!$B$30)</f>
        <v>15000000</v>
      </c>
      <c r="G37" s="399"/>
      <c r="H37" s="403" t="n">
        <f aca="false">IF($G37&lt;&gt;"",$G37,Projects!$C$30)</f>
        <v>34</v>
      </c>
      <c r="I37" s="404"/>
      <c r="J37" s="401"/>
      <c r="K37" s="399"/>
      <c r="L37" s="401"/>
      <c r="M37" s="399"/>
      <c r="N37" s="404"/>
      <c r="O37" s="401"/>
      <c r="P37" s="399"/>
      <c r="Q37" s="401"/>
      <c r="R37" s="399"/>
      <c r="S37" s="403" t="n">
        <f aca="false">IF(AND($C37="Yes",$D37="Yes"),1,0)</f>
        <v>0</v>
      </c>
      <c r="T37" s="402" t="n">
        <f aca="false">$S37*IF($J37&lt;&gt;"",$J37,$F37*IF($I37&lt;&gt;"",$I37,$C$4)/(1+IF($I37&lt;&gt;"",$I37,$C$4)))</f>
        <v>0</v>
      </c>
      <c r="U37" s="402" t="n">
        <f aca="false">$S37*IF($L37&lt;&gt;"",$L37,$F37*$C$5)</f>
        <v>0</v>
      </c>
      <c r="V37" s="402" t="n">
        <f aca="false">$S37*$F37*IF($N37&lt;&gt;"",$N37,$C$6)</f>
        <v>0</v>
      </c>
      <c r="W37" s="402" t="n">
        <f aca="false">MAX(0,$V37-$U37)</f>
        <v>0</v>
      </c>
      <c r="X37" s="403" t="n">
        <f aca="false">IF($B37&lt;&gt;"",$B37,100+$H37)</f>
        <v>134</v>
      </c>
      <c r="Y37" s="402" t="n">
        <f aca="false">$S37*MAX(0,MIN($W37,$C$7-SUMIFS($W$11:$W$54,$X$11:$X$54,"&lt;"&amp;$X37)))</f>
        <v>0</v>
      </c>
      <c r="Z37" s="402" t="n">
        <f aca="false">$W37-$Y37</f>
        <v>0</v>
      </c>
      <c r="AA37" s="405" t="n">
        <f aca="false">$S37*($T37-$U37-$Z37)</f>
        <v>0</v>
      </c>
      <c r="AB37" s="405" t="n">
        <f aca="false">$S37*($T37-$U37)</f>
        <v>0</v>
      </c>
      <c r="AC37" s="402" t="n">
        <f aca="false">IF(AND($S37=1,$H37&lt;=$C$8),$Z37-N($O37),0)</f>
        <v>0</v>
      </c>
      <c r="AD37" s="406"/>
    </row>
    <row r="38" customFormat="false" ht="15" hidden="false" customHeight="true" outlineLevel="0" collapsed="false">
      <c r="A38" s="407" t="str">
        <f aca="false">Projects!$A$31</f>
        <v>BD-15</v>
      </c>
      <c r="B38" s="399"/>
      <c r="C38" s="408" t="str">
        <f aca="false">Projects!$F$31</f>
        <v>No</v>
      </c>
      <c r="D38" s="408" t="str">
        <f aca="false">Projects!$G$31</f>
        <v>Yes</v>
      </c>
      <c r="E38" s="401"/>
      <c r="F38" s="409" t="n">
        <f aca="false">IF($E38&lt;&gt;"",$E38,Projects!$B$31)</f>
        <v>18000000</v>
      </c>
      <c r="G38" s="399"/>
      <c r="H38" s="410" t="n">
        <f aca="false">IF($G38&lt;&gt;"",$G38,Projects!$C$31)</f>
        <v>35</v>
      </c>
      <c r="I38" s="404"/>
      <c r="J38" s="401"/>
      <c r="K38" s="399"/>
      <c r="L38" s="401"/>
      <c r="M38" s="399"/>
      <c r="N38" s="404"/>
      <c r="O38" s="401"/>
      <c r="P38" s="399"/>
      <c r="Q38" s="401"/>
      <c r="R38" s="399"/>
      <c r="S38" s="410" t="n">
        <f aca="false">IF(AND($C38="Yes",$D38="Yes"),1,0)</f>
        <v>0</v>
      </c>
      <c r="T38" s="409" t="n">
        <f aca="false">$S38*IF($J38&lt;&gt;"",$J38,$F38*IF($I38&lt;&gt;"",$I38,$C$4)/(1+IF($I38&lt;&gt;"",$I38,$C$4)))</f>
        <v>0</v>
      </c>
      <c r="U38" s="409" t="n">
        <f aca="false">$S38*IF($L38&lt;&gt;"",$L38,$F38*$C$5)</f>
        <v>0</v>
      </c>
      <c r="V38" s="409" t="n">
        <f aca="false">$S38*$F38*IF($N38&lt;&gt;"",$N38,$C$6)</f>
        <v>0</v>
      </c>
      <c r="W38" s="409" t="n">
        <f aca="false">MAX(0,$V38-$U38)</f>
        <v>0</v>
      </c>
      <c r="X38" s="410" t="n">
        <f aca="false">IF($B38&lt;&gt;"",$B38,100+$H38)</f>
        <v>135</v>
      </c>
      <c r="Y38" s="409" t="n">
        <f aca="false">$S38*MAX(0,MIN($W38,$C$7-SUMIFS($W$11:$W$54,$X$11:$X$54,"&lt;"&amp;$X38)))</f>
        <v>0</v>
      </c>
      <c r="Z38" s="409" t="n">
        <f aca="false">$W38-$Y38</f>
        <v>0</v>
      </c>
      <c r="AA38" s="411" t="n">
        <f aca="false">$S38*($T38-$U38-$Z38)</f>
        <v>0</v>
      </c>
      <c r="AB38" s="411" t="n">
        <f aca="false">$S38*($T38-$U38)</f>
        <v>0</v>
      </c>
      <c r="AC38" s="409" t="n">
        <f aca="false">IF(AND($S38=1,$H38&lt;=$C$8),$Z38-N($O38),0)</f>
        <v>0</v>
      </c>
      <c r="AD38" s="412"/>
    </row>
    <row r="39" customFormat="false" ht="15" hidden="false" customHeight="true" outlineLevel="0" collapsed="false">
      <c r="A39" s="398" t="str">
        <f aca="false">Projects!$A$32</f>
        <v>BD-16</v>
      </c>
      <c r="B39" s="399"/>
      <c r="C39" s="400" t="str">
        <f aca="false">Projects!$F$32</f>
        <v>No</v>
      </c>
      <c r="D39" s="400" t="str">
        <f aca="false">Projects!$G$32</f>
        <v>Yes</v>
      </c>
      <c r="E39" s="401"/>
      <c r="F39" s="402" t="n">
        <f aca="false">IF($E39&lt;&gt;"",$E39,Projects!$B$32)</f>
        <v>15000000</v>
      </c>
      <c r="G39" s="399"/>
      <c r="H39" s="403" t="n">
        <f aca="false">IF($G39&lt;&gt;"",$G39,Projects!$C$32)</f>
        <v>36</v>
      </c>
      <c r="I39" s="404"/>
      <c r="J39" s="401"/>
      <c r="K39" s="399"/>
      <c r="L39" s="401"/>
      <c r="M39" s="399"/>
      <c r="N39" s="404"/>
      <c r="O39" s="401"/>
      <c r="P39" s="399"/>
      <c r="Q39" s="401"/>
      <c r="R39" s="399"/>
      <c r="S39" s="403" t="n">
        <f aca="false">IF(AND($C39="Yes",$D39="Yes"),1,0)</f>
        <v>0</v>
      </c>
      <c r="T39" s="402" t="n">
        <f aca="false">$S39*IF($J39&lt;&gt;"",$J39,$F39*IF($I39&lt;&gt;"",$I39,$C$4)/(1+IF($I39&lt;&gt;"",$I39,$C$4)))</f>
        <v>0</v>
      </c>
      <c r="U39" s="402" t="n">
        <f aca="false">$S39*IF($L39&lt;&gt;"",$L39,$F39*$C$5)</f>
        <v>0</v>
      </c>
      <c r="V39" s="402" t="n">
        <f aca="false">$S39*$F39*IF($N39&lt;&gt;"",$N39,$C$6)</f>
        <v>0</v>
      </c>
      <c r="W39" s="402" t="n">
        <f aca="false">MAX(0,$V39-$U39)</f>
        <v>0</v>
      </c>
      <c r="X39" s="403" t="n">
        <f aca="false">IF($B39&lt;&gt;"",$B39,100+$H39)</f>
        <v>136</v>
      </c>
      <c r="Y39" s="402" t="n">
        <f aca="false">$S39*MAX(0,MIN($W39,$C$7-SUMIFS($W$11:$W$54,$X$11:$X$54,"&lt;"&amp;$X39)))</f>
        <v>0</v>
      </c>
      <c r="Z39" s="402" t="n">
        <f aca="false">$W39-$Y39</f>
        <v>0</v>
      </c>
      <c r="AA39" s="405" t="n">
        <f aca="false">$S39*($T39-$U39-$Z39)</f>
        <v>0</v>
      </c>
      <c r="AB39" s="405" t="n">
        <f aca="false">$S39*($T39-$U39)</f>
        <v>0</v>
      </c>
      <c r="AC39" s="402" t="n">
        <f aca="false">IF(AND($S39=1,$H39&lt;=$C$8),$Z39-N($O39),0)</f>
        <v>0</v>
      </c>
      <c r="AD39" s="406"/>
    </row>
    <row r="40" customFormat="false" ht="15" hidden="false" customHeight="true" outlineLevel="0" collapsed="false">
      <c r="A40" s="407" t="str">
        <f aca="false">Projects!$A$33</f>
        <v>BD-17</v>
      </c>
      <c r="B40" s="399"/>
      <c r="C40" s="408" t="str">
        <f aca="false">Projects!$F$33</f>
        <v>No</v>
      </c>
      <c r="D40" s="408" t="str">
        <f aca="false">Projects!$G$33</f>
        <v>Yes</v>
      </c>
      <c r="E40" s="401"/>
      <c r="F40" s="409" t="n">
        <f aca="false">IF($E40&lt;&gt;"",$E40,Projects!$B$33)</f>
        <v>15000000</v>
      </c>
      <c r="G40" s="399"/>
      <c r="H40" s="410" t="n">
        <f aca="false">IF($G40&lt;&gt;"",$G40,Projects!$C$33)</f>
        <v>37</v>
      </c>
      <c r="I40" s="404"/>
      <c r="J40" s="401"/>
      <c r="K40" s="399"/>
      <c r="L40" s="401"/>
      <c r="M40" s="399"/>
      <c r="N40" s="404"/>
      <c r="O40" s="401"/>
      <c r="P40" s="399"/>
      <c r="Q40" s="401"/>
      <c r="R40" s="399"/>
      <c r="S40" s="410" t="n">
        <f aca="false">IF(AND($C40="Yes",$D40="Yes"),1,0)</f>
        <v>0</v>
      </c>
      <c r="T40" s="409" t="n">
        <f aca="false">$S40*IF($J40&lt;&gt;"",$J40,$F40*IF($I40&lt;&gt;"",$I40,$C$4)/(1+IF($I40&lt;&gt;"",$I40,$C$4)))</f>
        <v>0</v>
      </c>
      <c r="U40" s="409" t="n">
        <f aca="false">$S40*IF($L40&lt;&gt;"",$L40,$F40*$C$5)</f>
        <v>0</v>
      </c>
      <c r="V40" s="409" t="n">
        <f aca="false">$S40*$F40*IF($N40&lt;&gt;"",$N40,$C$6)</f>
        <v>0</v>
      </c>
      <c r="W40" s="409" t="n">
        <f aca="false">MAX(0,$V40-$U40)</f>
        <v>0</v>
      </c>
      <c r="X40" s="410" t="n">
        <f aca="false">IF($B40&lt;&gt;"",$B40,100+$H40)</f>
        <v>137</v>
      </c>
      <c r="Y40" s="409" t="n">
        <f aca="false">$S40*MAX(0,MIN($W40,$C$7-SUMIFS($W$11:$W$54,$X$11:$X$54,"&lt;"&amp;$X40)))</f>
        <v>0</v>
      </c>
      <c r="Z40" s="409" t="n">
        <f aca="false">$W40-$Y40</f>
        <v>0</v>
      </c>
      <c r="AA40" s="411" t="n">
        <f aca="false">$S40*($T40-$U40-$Z40)</f>
        <v>0</v>
      </c>
      <c r="AB40" s="411" t="n">
        <f aca="false">$S40*($T40-$U40)</f>
        <v>0</v>
      </c>
      <c r="AC40" s="409" t="n">
        <f aca="false">IF(AND($S40=1,$H40&lt;=$C$8),$Z40-N($O40),0)</f>
        <v>0</v>
      </c>
      <c r="AD40" s="412"/>
    </row>
    <row r="41" customFormat="false" ht="15" hidden="false" customHeight="true" outlineLevel="0" collapsed="false">
      <c r="A41" s="398" t="str">
        <f aca="false">Projects!$A$34</f>
        <v>BD-18</v>
      </c>
      <c r="B41" s="399"/>
      <c r="C41" s="400" t="str">
        <f aca="false">Projects!$F$34</f>
        <v>Yes</v>
      </c>
      <c r="D41" s="400" t="str">
        <f aca="false">Projects!$G$34</f>
        <v>Yes</v>
      </c>
      <c r="E41" s="401"/>
      <c r="F41" s="402" t="n">
        <f aca="false">IF($E41&lt;&gt;"",$E41,Projects!$B$34)</f>
        <v>18000000</v>
      </c>
      <c r="G41" s="399"/>
      <c r="H41" s="403" t="n">
        <f aca="false">IF($G41&lt;&gt;"",$G41,Projects!$C$34)</f>
        <v>38</v>
      </c>
      <c r="I41" s="404"/>
      <c r="J41" s="401"/>
      <c r="K41" s="399"/>
      <c r="L41" s="401"/>
      <c r="M41" s="399"/>
      <c r="N41" s="404"/>
      <c r="O41" s="401"/>
      <c r="P41" s="399"/>
      <c r="Q41" s="401"/>
      <c r="R41" s="399"/>
      <c r="S41" s="403" t="n">
        <f aca="false">IF(AND($C41="Yes",$D41="Yes"),1,0)</f>
        <v>1</v>
      </c>
      <c r="T41" s="402" t="n">
        <f aca="false">$S41*IF($J41&lt;&gt;"",$J41,$F41*IF($I41&lt;&gt;"",$I41,$C$4)/(1+IF($I41&lt;&gt;"",$I41,$C$4)))</f>
        <v>266009.852216749</v>
      </c>
      <c r="U41" s="402" t="n">
        <f aca="false">$S41*IF($L41&lt;&gt;"",$L41,$F41*$C$5)</f>
        <v>131648.567238466</v>
      </c>
      <c r="V41" s="402" t="n">
        <f aca="false">$S41*$F41*IF($N41&lt;&gt;"",$N41,$C$6)</f>
        <v>585000</v>
      </c>
      <c r="W41" s="402" t="n">
        <f aca="false">MAX(0,$V41-$U41)</f>
        <v>453351.432761534</v>
      </c>
      <c r="X41" s="403" t="n">
        <f aca="false">IF($B41&lt;&gt;"",$B41,100+$H41)</f>
        <v>138</v>
      </c>
      <c r="Y41" s="402" t="n">
        <f aca="false">$S41*MAX(0,MIN($W41,$C$7-SUMIFS($W$11:$W$54,$X$11:$X$54,"&lt;"&amp;$X41)))</f>
        <v>0</v>
      </c>
      <c r="Z41" s="402" t="n">
        <f aca="false">$W41-$Y41</f>
        <v>453351.432761534</v>
      </c>
      <c r="AA41" s="405" t="n">
        <f aca="false">$S41*($T41-$U41-$Z41)</f>
        <v>-318990.147783251</v>
      </c>
      <c r="AB41" s="405" t="n">
        <f aca="false">$S41*($T41-$U41)</f>
        <v>134361.284978282</v>
      </c>
      <c r="AC41" s="402" t="n">
        <f aca="false">IF(AND($S41=1,$H41&lt;=$C$8),$Z41-N($O41),0)</f>
        <v>0</v>
      </c>
      <c r="AD41" s="406"/>
    </row>
    <row r="42" customFormat="false" ht="15" hidden="false" customHeight="true" outlineLevel="0" collapsed="false">
      <c r="A42" s="407" t="str">
        <f aca="false">Projects!$A$35</f>
        <v>BD-19</v>
      </c>
      <c r="B42" s="399"/>
      <c r="C42" s="408" t="str">
        <f aca="false">Projects!$F$35</f>
        <v>No</v>
      </c>
      <c r="D42" s="408" t="str">
        <f aca="false">Projects!$G$35</f>
        <v>Yes</v>
      </c>
      <c r="E42" s="401"/>
      <c r="F42" s="409" t="n">
        <f aca="false">IF($E42&lt;&gt;"",$E42,Projects!$B$35)</f>
        <v>15000000</v>
      </c>
      <c r="G42" s="399"/>
      <c r="H42" s="410" t="n">
        <f aca="false">IF($G42&lt;&gt;"",$G42,Projects!$C$35)</f>
        <v>39</v>
      </c>
      <c r="I42" s="404"/>
      <c r="J42" s="401"/>
      <c r="K42" s="399"/>
      <c r="L42" s="401"/>
      <c r="M42" s="399"/>
      <c r="N42" s="404"/>
      <c r="O42" s="401"/>
      <c r="P42" s="399"/>
      <c r="Q42" s="401"/>
      <c r="R42" s="399"/>
      <c r="S42" s="410" t="n">
        <f aca="false">IF(AND($C42="Yes",$D42="Yes"),1,0)</f>
        <v>0</v>
      </c>
      <c r="T42" s="409" t="n">
        <f aca="false">$S42*IF($J42&lt;&gt;"",$J42,$F42*IF($I42&lt;&gt;"",$I42,$C$4)/(1+IF($I42&lt;&gt;"",$I42,$C$4)))</f>
        <v>0</v>
      </c>
      <c r="U42" s="409" t="n">
        <f aca="false">$S42*IF($L42&lt;&gt;"",$L42,$F42*$C$5)</f>
        <v>0</v>
      </c>
      <c r="V42" s="409" t="n">
        <f aca="false">$S42*$F42*IF($N42&lt;&gt;"",$N42,$C$6)</f>
        <v>0</v>
      </c>
      <c r="W42" s="409" t="n">
        <f aca="false">MAX(0,$V42-$U42)</f>
        <v>0</v>
      </c>
      <c r="X42" s="410" t="n">
        <f aca="false">IF($B42&lt;&gt;"",$B42,100+$H42)</f>
        <v>139</v>
      </c>
      <c r="Y42" s="409" t="n">
        <f aca="false">$S42*MAX(0,MIN($W42,$C$7-SUMIFS($W$11:$W$54,$X$11:$X$54,"&lt;"&amp;$X42)))</f>
        <v>0</v>
      </c>
      <c r="Z42" s="409" t="n">
        <f aca="false">$W42-$Y42</f>
        <v>0</v>
      </c>
      <c r="AA42" s="411" t="n">
        <f aca="false">$S42*($T42-$U42-$Z42)</f>
        <v>0</v>
      </c>
      <c r="AB42" s="411" t="n">
        <f aca="false">$S42*($T42-$U42)</f>
        <v>0</v>
      </c>
      <c r="AC42" s="409" t="n">
        <f aca="false">IF(AND($S42=1,$H42&lt;=$C$8),$Z42-N($O42),0)</f>
        <v>0</v>
      </c>
      <c r="AD42" s="412"/>
    </row>
    <row r="43" customFormat="false" ht="15" hidden="false" customHeight="true" outlineLevel="0" collapsed="false">
      <c r="A43" s="398" t="str">
        <f aca="false">Projects!$A$36</f>
        <v>BD-20</v>
      </c>
      <c r="B43" s="399"/>
      <c r="C43" s="400" t="str">
        <f aca="false">Projects!$F$36</f>
        <v>No</v>
      </c>
      <c r="D43" s="400" t="str">
        <f aca="false">Projects!$G$36</f>
        <v>Yes</v>
      </c>
      <c r="E43" s="401"/>
      <c r="F43" s="402" t="n">
        <f aca="false">IF($E43&lt;&gt;"",$E43,Projects!$B$36)</f>
        <v>18000000</v>
      </c>
      <c r="G43" s="399"/>
      <c r="H43" s="403" t="n">
        <f aca="false">IF($G43&lt;&gt;"",$G43,Projects!$C$36)</f>
        <v>43</v>
      </c>
      <c r="I43" s="404"/>
      <c r="J43" s="401"/>
      <c r="K43" s="399"/>
      <c r="L43" s="401"/>
      <c r="M43" s="399"/>
      <c r="N43" s="404"/>
      <c r="O43" s="401"/>
      <c r="P43" s="399"/>
      <c r="Q43" s="401"/>
      <c r="R43" s="399"/>
      <c r="S43" s="403" t="n">
        <f aca="false">IF(AND($C43="Yes",$D43="Yes"),1,0)</f>
        <v>0</v>
      </c>
      <c r="T43" s="402" t="n">
        <f aca="false">$S43*IF($J43&lt;&gt;"",$J43,$F43*IF($I43&lt;&gt;"",$I43,$C$4)/(1+IF($I43&lt;&gt;"",$I43,$C$4)))</f>
        <v>0</v>
      </c>
      <c r="U43" s="402" t="n">
        <f aca="false">$S43*IF($L43&lt;&gt;"",$L43,$F43*$C$5)</f>
        <v>0</v>
      </c>
      <c r="V43" s="402" t="n">
        <f aca="false">$S43*$F43*IF($N43&lt;&gt;"",$N43,$C$6)</f>
        <v>0</v>
      </c>
      <c r="W43" s="402" t="n">
        <f aca="false">MAX(0,$V43-$U43)</f>
        <v>0</v>
      </c>
      <c r="X43" s="403" t="n">
        <f aca="false">IF($B43&lt;&gt;"",$B43,100+$H43)</f>
        <v>143</v>
      </c>
      <c r="Y43" s="402" t="n">
        <f aca="false">$S43*MAX(0,MIN($W43,$C$7-SUMIFS($W$11:$W$54,$X$11:$X$54,"&lt;"&amp;$X43)))</f>
        <v>0</v>
      </c>
      <c r="Z43" s="402" t="n">
        <f aca="false">$W43-$Y43</f>
        <v>0</v>
      </c>
      <c r="AA43" s="405" t="n">
        <f aca="false">$S43*($T43-$U43-$Z43)</f>
        <v>0</v>
      </c>
      <c r="AB43" s="405" t="n">
        <f aca="false">$S43*($T43-$U43)</f>
        <v>0</v>
      </c>
      <c r="AC43" s="402" t="n">
        <f aca="false">IF(AND($S43=1,$H43&lt;=$C$8),$Z43-N($O43),0)</f>
        <v>0</v>
      </c>
      <c r="AD43" s="406"/>
    </row>
    <row r="44" customFormat="false" ht="15" hidden="false" customHeight="true" outlineLevel="0" collapsed="false">
      <c r="A44" s="407" t="str">
        <f aca="false">Projects!$A$37</f>
        <v>BD-21</v>
      </c>
      <c r="B44" s="399"/>
      <c r="C44" s="408" t="str">
        <f aca="false">Projects!$F$37</f>
        <v>No</v>
      </c>
      <c r="D44" s="408" t="str">
        <f aca="false">Projects!$G$37</f>
        <v>Yes</v>
      </c>
      <c r="E44" s="401"/>
      <c r="F44" s="409" t="n">
        <f aca="false">IF($E44&lt;&gt;"",$E44,Projects!$B$37)</f>
        <v>15000000</v>
      </c>
      <c r="G44" s="399"/>
      <c r="H44" s="410" t="n">
        <f aca="false">IF($G44&lt;&gt;"",$G44,Projects!$C$37)</f>
        <v>44</v>
      </c>
      <c r="I44" s="404"/>
      <c r="J44" s="401"/>
      <c r="K44" s="399"/>
      <c r="L44" s="401"/>
      <c r="M44" s="399"/>
      <c r="N44" s="404"/>
      <c r="O44" s="401"/>
      <c r="P44" s="399"/>
      <c r="Q44" s="401"/>
      <c r="R44" s="399"/>
      <c r="S44" s="410" t="n">
        <f aca="false">IF(AND($C44="Yes",$D44="Yes"),1,0)</f>
        <v>0</v>
      </c>
      <c r="T44" s="409" t="n">
        <f aca="false">$S44*IF($J44&lt;&gt;"",$J44,$F44*IF($I44&lt;&gt;"",$I44,$C$4)/(1+IF($I44&lt;&gt;"",$I44,$C$4)))</f>
        <v>0</v>
      </c>
      <c r="U44" s="409" t="n">
        <f aca="false">$S44*IF($L44&lt;&gt;"",$L44,$F44*$C$5)</f>
        <v>0</v>
      </c>
      <c r="V44" s="409" t="n">
        <f aca="false">$S44*$F44*IF($N44&lt;&gt;"",$N44,$C$6)</f>
        <v>0</v>
      </c>
      <c r="W44" s="409" t="n">
        <f aca="false">MAX(0,$V44-$U44)</f>
        <v>0</v>
      </c>
      <c r="X44" s="410" t="n">
        <f aca="false">IF($B44&lt;&gt;"",$B44,100+$H44)</f>
        <v>144</v>
      </c>
      <c r="Y44" s="409" t="n">
        <f aca="false">$S44*MAX(0,MIN($W44,$C$7-SUMIFS($W$11:$W$54,$X$11:$X$54,"&lt;"&amp;$X44)))</f>
        <v>0</v>
      </c>
      <c r="Z44" s="409" t="n">
        <f aca="false">$W44-$Y44</f>
        <v>0</v>
      </c>
      <c r="AA44" s="411" t="n">
        <f aca="false">$S44*($T44-$U44-$Z44)</f>
        <v>0</v>
      </c>
      <c r="AB44" s="411" t="n">
        <f aca="false">$S44*($T44-$U44)</f>
        <v>0</v>
      </c>
      <c r="AC44" s="409" t="n">
        <f aca="false">IF(AND($S44=1,$H44&lt;=$C$8),$Z44-N($O44),0)</f>
        <v>0</v>
      </c>
      <c r="AD44" s="412"/>
    </row>
    <row r="45" customFormat="false" ht="15" hidden="false" customHeight="true" outlineLevel="0" collapsed="false">
      <c r="A45" s="398" t="str">
        <f aca="false">Projects!$A$38</f>
        <v>BD-22</v>
      </c>
      <c r="B45" s="399"/>
      <c r="C45" s="400" t="str">
        <f aca="false">Projects!$F$38</f>
        <v>No</v>
      </c>
      <c r="D45" s="400" t="str">
        <f aca="false">Projects!$G$38</f>
        <v>Yes</v>
      </c>
      <c r="E45" s="401"/>
      <c r="F45" s="402" t="n">
        <f aca="false">IF($E45&lt;&gt;"",$E45,Projects!$B$38)</f>
        <v>15000000</v>
      </c>
      <c r="G45" s="399"/>
      <c r="H45" s="403" t="n">
        <f aca="false">IF($G45&lt;&gt;"",$G45,Projects!$C$38)</f>
        <v>48</v>
      </c>
      <c r="I45" s="404"/>
      <c r="J45" s="401"/>
      <c r="K45" s="399"/>
      <c r="L45" s="401"/>
      <c r="M45" s="399"/>
      <c r="N45" s="404"/>
      <c r="O45" s="401"/>
      <c r="P45" s="399"/>
      <c r="Q45" s="401"/>
      <c r="R45" s="399"/>
      <c r="S45" s="403" t="n">
        <f aca="false">IF(AND($C45="Yes",$D45="Yes"),1,0)</f>
        <v>0</v>
      </c>
      <c r="T45" s="402" t="n">
        <f aca="false">$S45*IF($J45&lt;&gt;"",$J45,$F45*IF($I45&lt;&gt;"",$I45,$C$4)/(1+IF($I45&lt;&gt;"",$I45,$C$4)))</f>
        <v>0</v>
      </c>
      <c r="U45" s="402" t="n">
        <f aca="false">$S45*IF($L45&lt;&gt;"",$L45,$F45*$C$5)</f>
        <v>0</v>
      </c>
      <c r="V45" s="402" t="n">
        <f aca="false">$S45*$F45*IF($N45&lt;&gt;"",$N45,$C$6)</f>
        <v>0</v>
      </c>
      <c r="W45" s="402" t="n">
        <f aca="false">MAX(0,$V45-$U45)</f>
        <v>0</v>
      </c>
      <c r="X45" s="403" t="n">
        <f aca="false">IF($B45&lt;&gt;"",$B45,100+$H45)</f>
        <v>148</v>
      </c>
      <c r="Y45" s="402" t="n">
        <f aca="false">$S45*MAX(0,MIN($W45,$C$7-SUMIFS($W$11:$W$54,$X$11:$X$54,"&lt;"&amp;$X45)))</f>
        <v>0</v>
      </c>
      <c r="Z45" s="402" t="n">
        <f aca="false">$W45-$Y45</f>
        <v>0</v>
      </c>
      <c r="AA45" s="405" t="n">
        <f aca="false">$S45*($T45-$U45-$Z45)</f>
        <v>0</v>
      </c>
      <c r="AB45" s="405" t="n">
        <f aca="false">$S45*($T45-$U45)</f>
        <v>0</v>
      </c>
      <c r="AC45" s="402" t="n">
        <f aca="false">IF(AND($S45=1,$H45&lt;=$C$8),$Z45-N($O45),0)</f>
        <v>0</v>
      </c>
      <c r="AD45" s="406"/>
    </row>
    <row r="46" customFormat="false" ht="15" hidden="false" customHeight="true" outlineLevel="0" collapsed="false">
      <c r="A46" s="407" t="str">
        <f aca="false">Projects!$A$39</f>
        <v>BD-23</v>
      </c>
      <c r="B46" s="399"/>
      <c r="C46" s="408" t="str">
        <f aca="false">Projects!$F$39</f>
        <v>No</v>
      </c>
      <c r="D46" s="408" t="str">
        <f aca="false">Projects!$G$39</f>
        <v>Yes</v>
      </c>
      <c r="E46" s="401"/>
      <c r="F46" s="409" t="n">
        <f aca="false">IF($E46&lt;&gt;"",$E46,Projects!$B$39)</f>
        <v>18000000</v>
      </c>
      <c r="G46" s="399"/>
      <c r="H46" s="410" t="n">
        <f aca="false">IF($G46&lt;&gt;"",$G46,Projects!$C$39)</f>
        <v>49</v>
      </c>
      <c r="I46" s="404"/>
      <c r="J46" s="401"/>
      <c r="K46" s="399"/>
      <c r="L46" s="401"/>
      <c r="M46" s="399"/>
      <c r="N46" s="404"/>
      <c r="O46" s="401"/>
      <c r="P46" s="399"/>
      <c r="Q46" s="401"/>
      <c r="R46" s="399"/>
      <c r="S46" s="410" t="n">
        <f aca="false">IF(AND($C46="Yes",$D46="Yes"),1,0)</f>
        <v>0</v>
      </c>
      <c r="T46" s="409" t="n">
        <f aca="false">$S46*IF($J46&lt;&gt;"",$J46,$F46*IF($I46&lt;&gt;"",$I46,$C$4)/(1+IF($I46&lt;&gt;"",$I46,$C$4)))</f>
        <v>0</v>
      </c>
      <c r="U46" s="409" t="n">
        <f aca="false">$S46*IF($L46&lt;&gt;"",$L46,$F46*$C$5)</f>
        <v>0</v>
      </c>
      <c r="V46" s="409" t="n">
        <f aca="false">$S46*$F46*IF($N46&lt;&gt;"",$N46,$C$6)</f>
        <v>0</v>
      </c>
      <c r="W46" s="409" t="n">
        <f aca="false">MAX(0,$V46-$U46)</f>
        <v>0</v>
      </c>
      <c r="X46" s="410" t="n">
        <f aca="false">IF($B46&lt;&gt;"",$B46,100+$H46)</f>
        <v>149</v>
      </c>
      <c r="Y46" s="409" t="n">
        <f aca="false">$S46*MAX(0,MIN($W46,$C$7-SUMIFS($W$11:$W$54,$X$11:$X$54,"&lt;"&amp;$X46)))</f>
        <v>0</v>
      </c>
      <c r="Z46" s="409" t="n">
        <f aca="false">$W46-$Y46</f>
        <v>0</v>
      </c>
      <c r="AA46" s="411" t="n">
        <f aca="false">$S46*($T46-$U46-$Z46)</f>
        <v>0</v>
      </c>
      <c r="AB46" s="411" t="n">
        <f aca="false">$S46*($T46-$U46)</f>
        <v>0</v>
      </c>
      <c r="AC46" s="409" t="n">
        <f aca="false">IF(AND($S46=1,$H46&lt;=$C$8),$Z46-N($O46),0)</f>
        <v>0</v>
      </c>
      <c r="AD46" s="412"/>
    </row>
    <row r="47" customFormat="false" ht="15" hidden="false" customHeight="true" outlineLevel="0" collapsed="false">
      <c r="A47" s="398" t="str">
        <f aca="false">Projects!$A$40</f>
        <v>BD-24</v>
      </c>
      <c r="B47" s="399"/>
      <c r="C47" s="400" t="str">
        <f aca="false">Projects!$F$40</f>
        <v>Yes</v>
      </c>
      <c r="D47" s="400" t="str">
        <f aca="false">Projects!$G$40</f>
        <v>Yes</v>
      </c>
      <c r="E47" s="401"/>
      <c r="F47" s="402" t="n">
        <f aca="false">IF($E47&lt;&gt;"",$E47,Projects!$B$40)</f>
        <v>15000000</v>
      </c>
      <c r="G47" s="399"/>
      <c r="H47" s="403" t="n">
        <f aca="false">IF($G47&lt;&gt;"",$G47,Projects!$C$40)</f>
        <v>50</v>
      </c>
      <c r="I47" s="404"/>
      <c r="J47" s="401"/>
      <c r="K47" s="399"/>
      <c r="L47" s="401"/>
      <c r="M47" s="399"/>
      <c r="N47" s="404"/>
      <c r="O47" s="401"/>
      <c r="P47" s="399"/>
      <c r="Q47" s="401"/>
      <c r="R47" s="399"/>
      <c r="S47" s="403" t="n">
        <f aca="false">IF(AND($C47="Yes",$D47="Yes"),1,0)</f>
        <v>1</v>
      </c>
      <c r="T47" s="402" t="n">
        <f aca="false">$S47*IF($J47&lt;&gt;"",$J47,$F47*IF($I47&lt;&gt;"",$I47,$C$4)/(1+IF($I47&lt;&gt;"",$I47,$C$4)))</f>
        <v>221674.876847291</v>
      </c>
      <c r="U47" s="402" t="n">
        <f aca="false">$S47*IF($L47&lt;&gt;"",$L47,$F47*$C$5)</f>
        <v>109707.139365389</v>
      </c>
      <c r="V47" s="402" t="n">
        <f aca="false">$S47*$F47*IF($N47&lt;&gt;"",$N47,$C$6)</f>
        <v>487500</v>
      </c>
      <c r="W47" s="402" t="n">
        <f aca="false">MAX(0,$V47-$U47)</f>
        <v>377792.860634611</v>
      </c>
      <c r="X47" s="403" t="n">
        <f aca="false">IF($B47&lt;&gt;"",$B47,100+$H47)</f>
        <v>150</v>
      </c>
      <c r="Y47" s="402" t="n">
        <f aca="false">$S47*MAX(0,MIN($W47,$C$7-SUMIFS($W$11:$W$54,$X$11:$X$54,"&lt;"&amp;$X47)))</f>
        <v>0</v>
      </c>
      <c r="Z47" s="402" t="n">
        <f aca="false">$W47-$Y47</f>
        <v>377792.860634611</v>
      </c>
      <c r="AA47" s="405" t="n">
        <f aca="false">$S47*($T47-$U47-$Z47)</f>
        <v>-265825.123152709</v>
      </c>
      <c r="AB47" s="405" t="n">
        <f aca="false">$S47*($T47-$U47)</f>
        <v>111967.737481902</v>
      </c>
      <c r="AC47" s="402" t="n">
        <f aca="false">IF(AND($S47=1,$H47&lt;=$C$8),$Z47-N($O47),0)</f>
        <v>0</v>
      </c>
      <c r="AD47" s="406"/>
    </row>
    <row r="48" customFormat="false" ht="15" hidden="false" customHeight="true" outlineLevel="0" collapsed="false">
      <c r="A48" s="407" t="str">
        <f aca="false">Projects!$A$41</f>
        <v>BD-25</v>
      </c>
      <c r="B48" s="399"/>
      <c r="C48" s="408" t="str">
        <f aca="false">Projects!$F$41</f>
        <v>No</v>
      </c>
      <c r="D48" s="408" t="str">
        <f aca="false">Projects!$G$41</f>
        <v>Yes</v>
      </c>
      <c r="E48" s="401"/>
      <c r="F48" s="409" t="n">
        <f aca="false">IF($E48&lt;&gt;"",$E48,Projects!$B$41)</f>
        <v>15000000</v>
      </c>
      <c r="G48" s="399"/>
      <c r="H48" s="410" t="n">
        <f aca="false">IF($G48&lt;&gt;"",$G48,Projects!$C$41)</f>
        <v>51</v>
      </c>
      <c r="I48" s="404"/>
      <c r="J48" s="401"/>
      <c r="K48" s="399"/>
      <c r="L48" s="401"/>
      <c r="M48" s="399"/>
      <c r="N48" s="404"/>
      <c r="O48" s="401"/>
      <c r="P48" s="399"/>
      <c r="Q48" s="401"/>
      <c r="R48" s="399"/>
      <c r="S48" s="410" t="n">
        <f aca="false">IF(AND($C48="Yes",$D48="Yes"),1,0)</f>
        <v>0</v>
      </c>
      <c r="T48" s="409" t="n">
        <f aca="false">$S48*IF($J48&lt;&gt;"",$J48,$F48*IF($I48&lt;&gt;"",$I48,$C$4)/(1+IF($I48&lt;&gt;"",$I48,$C$4)))</f>
        <v>0</v>
      </c>
      <c r="U48" s="409" t="n">
        <f aca="false">$S48*IF($L48&lt;&gt;"",$L48,$F48*$C$5)</f>
        <v>0</v>
      </c>
      <c r="V48" s="409" t="n">
        <f aca="false">$S48*$F48*IF($N48&lt;&gt;"",$N48,$C$6)</f>
        <v>0</v>
      </c>
      <c r="W48" s="409" t="n">
        <f aca="false">MAX(0,$V48-$U48)</f>
        <v>0</v>
      </c>
      <c r="X48" s="410" t="n">
        <f aca="false">IF($B48&lt;&gt;"",$B48,100+$H48)</f>
        <v>151</v>
      </c>
      <c r="Y48" s="409" t="n">
        <f aca="false">$S48*MAX(0,MIN($W48,$C$7-SUMIFS($W$11:$W$54,$X$11:$X$54,"&lt;"&amp;$X48)))</f>
        <v>0</v>
      </c>
      <c r="Z48" s="409" t="n">
        <f aca="false">$W48-$Y48</f>
        <v>0</v>
      </c>
      <c r="AA48" s="411" t="n">
        <f aca="false">$S48*($T48-$U48-$Z48)</f>
        <v>0</v>
      </c>
      <c r="AB48" s="411" t="n">
        <f aca="false">$S48*($T48-$U48)</f>
        <v>0</v>
      </c>
      <c r="AC48" s="409" t="n">
        <f aca="false">IF(AND($S48=1,$H48&lt;=$C$8),$Z48-N($O48),0)</f>
        <v>0</v>
      </c>
      <c r="AD48" s="412"/>
    </row>
    <row r="49" customFormat="false" ht="15" hidden="false" customHeight="true" outlineLevel="0" collapsed="false">
      <c r="A49" s="398" t="str">
        <f aca="false">Projects!$A$42</f>
        <v>BD-26</v>
      </c>
      <c r="B49" s="399"/>
      <c r="C49" s="400" t="str">
        <f aca="false">Projects!$F$42</f>
        <v>No</v>
      </c>
      <c r="D49" s="400" t="str">
        <f aca="false">Projects!$G$42</f>
        <v>Yes</v>
      </c>
      <c r="E49" s="401"/>
      <c r="F49" s="402" t="n">
        <f aca="false">IF($E49&lt;&gt;"",$E49,Projects!$B$42)</f>
        <v>18000000</v>
      </c>
      <c r="G49" s="399"/>
      <c r="H49" s="403" t="n">
        <f aca="false">IF($G49&lt;&gt;"",$G49,Projects!$C$42)</f>
        <v>52</v>
      </c>
      <c r="I49" s="404"/>
      <c r="J49" s="401"/>
      <c r="K49" s="399"/>
      <c r="L49" s="401"/>
      <c r="M49" s="399"/>
      <c r="N49" s="404"/>
      <c r="O49" s="401"/>
      <c r="P49" s="399"/>
      <c r="Q49" s="401"/>
      <c r="R49" s="399"/>
      <c r="S49" s="403" t="n">
        <f aca="false">IF(AND($C49="Yes",$D49="Yes"),1,0)</f>
        <v>0</v>
      </c>
      <c r="T49" s="402" t="n">
        <f aca="false">$S49*IF($J49&lt;&gt;"",$J49,$F49*IF($I49&lt;&gt;"",$I49,$C$4)/(1+IF($I49&lt;&gt;"",$I49,$C$4)))</f>
        <v>0</v>
      </c>
      <c r="U49" s="402" t="n">
        <f aca="false">$S49*IF($L49&lt;&gt;"",$L49,$F49*$C$5)</f>
        <v>0</v>
      </c>
      <c r="V49" s="402" t="n">
        <f aca="false">$S49*$F49*IF($N49&lt;&gt;"",$N49,$C$6)</f>
        <v>0</v>
      </c>
      <c r="W49" s="402" t="n">
        <f aca="false">MAX(0,$V49-$U49)</f>
        <v>0</v>
      </c>
      <c r="X49" s="403" t="n">
        <f aca="false">IF($B49&lt;&gt;"",$B49,100+$H49)</f>
        <v>152</v>
      </c>
      <c r="Y49" s="402" t="n">
        <f aca="false">$S49*MAX(0,MIN($W49,$C$7-SUMIFS($W$11:$W$54,$X$11:$X$54,"&lt;"&amp;$X49)))</f>
        <v>0</v>
      </c>
      <c r="Z49" s="402" t="n">
        <f aca="false">$W49-$Y49</f>
        <v>0</v>
      </c>
      <c r="AA49" s="405" t="n">
        <f aca="false">$S49*($T49-$U49-$Z49)</f>
        <v>0</v>
      </c>
      <c r="AB49" s="405" t="n">
        <f aca="false">$S49*($T49-$U49)</f>
        <v>0</v>
      </c>
      <c r="AC49" s="402" t="n">
        <f aca="false">IF(AND($S49=1,$H49&lt;=$C$8),$Z49-N($O49),0)</f>
        <v>0</v>
      </c>
      <c r="AD49" s="406"/>
    </row>
    <row r="50" customFormat="false" ht="15" hidden="false" customHeight="true" outlineLevel="0" collapsed="false">
      <c r="A50" s="407" t="str">
        <f aca="false">Projects!$A$43</f>
        <v>BD-27</v>
      </c>
      <c r="B50" s="399"/>
      <c r="C50" s="408" t="str">
        <f aca="false">Projects!$F$43</f>
        <v>No</v>
      </c>
      <c r="D50" s="408" t="str">
        <f aca="false">Projects!$G$43</f>
        <v>Yes</v>
      </c>
      <c r="E50" s="401"/>
      <c r="F50" s="409" t="n">
        <f aca="false">IF($E50&lt;&gt;"",$E50,Projects!$B$43)</f>
        <v>15000000</v>
      </c>
      <c r="G50" s="399"/>
      <c r="H50" s="410" t="n">
        <f aca="false">IF($G50&lt;&gt;"",$G50,Projects!$C$43)</f>
        <v>53</v>
      </c>
      <c r="I50" s="404"/>
      <c r="J50" s="401"/>
      <c r="K50" s="399"/>
      <c r="L50" s="401"/>
      <c r="M50" s="399"/>
      <c r="N50" s="404"/>
      <c r="O50" s="401"/>
      <c r="P50" s="399"/>
      <c r="Q50" s="401"/>
      <c r="R50" s="399"/>
      <c r="S50" s="410" t="n">
        <f aca="false">IF(AND($C50="Yes",$D50="Yes"),1,0)</f>
        <v>0</v>
      </c>
      <c r="T50" s="409" t="n">
        <f aca="false">$S50*IF($J50&lt;&gt;"",$J50,$F50*IF($I50&lt;&gt;"",$I50,$C$4)/(1+IF($I50&lt;&gt;"",$I50,$C$4)))</f>
        <v>0</v>
      </c>
      <c r="U50" s="409" t="n">
        <f aca="false">$S50*IF($L50&lt;&gt;"",$L50,$F50*$C$5)</f>
        <v>0</v>
      </c>
      <c r="V50" s="409" t="n">
        <f aca="false">$S50*$F50*IF($N50&lt;&gt;"",$N50,$C$6)</f>
        <v>0</v>
      </c>
      <c r="W50" s="409" t="n">
        <f aca="false">MAX(0,$V50-$U50)</f>
        <v>0</v>
      </c>
      <c r="X50" s="410" t="n">
        <f aca="false">IF($B50&lt;&gt;"",$B50,100+$H50)</f>
        <v>153</v>
      </c>
      <c r="Y50" s="409" t="n">
        <f aca="false">$S50*MAX(0,MIN($W50,$C$7-SUMIFS($W$11:$W$54,$X$11:$X$54,"&lt;"&amp;$X50)))</f>
        <v>0</v>
      </c>
      <c r="Z50" s="409" t="n">
        <f aca="false">$W50-$Y50</f>
        <v>0</v>
      </c>
      <c r="AA50" s="411" t="n">
        <f aca="false">$S50*($T50-$U50-$Z50)</f>
        <v>0</v>
      </c>
      <c r="AB50" s="411" t="n">
        <f aca="false">$S50*($T50-$U50)</f>
        <v>0</v>
      </c>
      <c r="AC50" s="409" t="n">
        <f aca="false">IF(AND($S50=1,$H50&lt;=$C$8),$Z50-N($O50),0)</f>
        <v>0</v>
      </c>
      <c r="AD50" s="412"/>
    </row>
    <row r="51" customFormat="false" ht="15" hidden="false" customHeight="true" outlineLevel="0" collapsed="false">
      <c r="A51" s="398" t="str">
        <f aca="false">Projects!$A$44</f>
        <v>BD-28</v>
      </c>
      <c r="B51" s="399"/>
      <c r="C51" s="400" t="str">
        <f aca="false">Projects!$F$44</f>
        <v>No</v>
      </c>
      <c r="D51" s="400" t="str">
        <f aca="false">Projects!$G$44</f>
        <v>Yes</v>
      </c>
      <c r="E51" s="401"/>
      <c r="F51" s="402" t="n">
        <f aca="false">IF($E51&lt;&gt;"",$E51,Projects!$B$44)</f>
        <v>15000000</v>
      </c>
      <c r="G51" s="399"/>
      <c r="H51" s="403" t="n">
        <f aca="false">IF($G51&lt;&gt;"",$G51,Projects!$C$44)</f>
        <v>54</v>
      </c>
      <c r="I51" s="404"/>
      <c r="J51" s="401"/>
      <c r="K51" s="399"/>
      <c r="L51" s="401"/>
      <c r="M51" s="399"/>
      <c r="N51" s="404"/>
      <c r="O51" s="401"/>
      <c r="P51" s="399"/>
      <c r="Q51" s="401"/>
      <c r="R51" s="399"/>
      <c r="S51" s="403" t="n">
        <f aca="false">IF(AND($C51="Yes",$D51="Yes"),1,0)</f>
        <v>0</v>
      </c>
      <c r="T51" s="402" t="n">
        <f aca="false">$S51*IF($J51&lt;&gt;"",$J51,$F51*IF($I51&lt;&gt;"",$I51,$C$4)/(1+IF($I51&lt;&gt;"",$I51,$C$4)))</f>
        <v>0</v>
      </c>
      <c r="U51" s="402" t="n">
        <f aca="false">$S51*IF($L51&lt;&gt;"",$L51,$F51*$C$5)</f>
        <v>0</v>
      </c>
      <c r="V51" s="402" t="n">
        <f aca="false">$S51*$F51*IF($N51&lt;&gt;"",$N51,$C$6)</f>
        <v>0</v>
      </c>
      <c r="W51" s="402" t="n">
        <f aca="false">MAX(0,$V51-$U51)</f>
        <v>0</v>
      </c>
      <c r="X51" s="403" t="n">
        <f aca="false">IF($B51&lt;&gt;"",$B51,100+$H51)</f>
        <v>154</v>
      </c>
      <c r="Y51" s="402" t="n">
        <f aca="false">$S51*MAX(0,MIN($W51,$C$7-SUMIFS($W$11:$W$54,$X$11:$X$54,"&lt;"&amp;$X51)))</f>
        <v>0</v>
      </c>
      <c r="Z51" s="402" t="n">
        <f aca="false">$W51-$Y51</f>
        <v>0</v>
      </c>
      <c r="AA51" s="405" t="n">
        <f aca="false">$S51*($T51-$U51-$Z51)</f>
        <v>0</v>
      </c>
      <c r="AB51" s="405" t="n">
        <f aca="false">$S51*($T51-$U51)</f>
        <v>0</v>
      </c>
      <c r="AC51" s="402" t="n">
        <f aca="false">IF(AND($S51=1,$H51&lt;=$C$8),$Z51-N($O51),0)</f>
        <v>0</v>
      </c>
      <c r="AD51" s="406"/>
    </row>
    <row r="52" customFormat="false" ht="15" hidden="false" customHeight="true" outlineLevel="0" collapsed="false">
      <c r="A52" s="407" t="str">
        <f aca="false">Projects!$A$45</f>
        <v>BD-29</v>
      </c>
      <c r="B52" s="399"/>
      <c r="C52" s="408" t="str">
        <f aca="false">Projects!$F$45</f>
        <v>No</v>
      </c>
      <c r="D52" s="408" t="str">
        <f aca="false">Projects!$G$45</f>
        <v>Yes</v>
      </c>
      <c r="E52" s="401"/>
      <c r="F52" s="409" t="n">
        <f aca="false">IF($E52&lt;&gt;"",$E52,Projects!$B$45)</f>
        <v>18000000</v>
      </c>
      <c r="G52" s="399"/>
      <c r="H52" s="410" t="n">
        <f aca="false">IF($G52&lt;&gt;"",$G52,Projects!$C$45)</f>
        <v>55</v>
      </c>
      <c r="I52" s="404"/>
      <c r="J52" s="401"/>
      <c r="K52" s="399"/>
      <c r="L52" s="401"/>
      <c r="M52" s="399"/>
      <c r="N52" s="404"/>
      <c r="O52" s="401"/>
      <c r="P52" s="399"/>
      <c r="Q52" s="401"/>
      <c r="R52" s="399"/>
      <c r="S52" s="410" t="n">
        <f aca="false">IF(AND($C52="Yes",$D52="Yes"),1,0)</f>
        <v>0</v>
      </c>
      <c r="T52" s="409" t="n">
        <f aca="false">$S52*IF($J52&lt;&gt;"",$J52,$F52*IF($I52&lt;&gt;"",$I52,$C$4)/(1+IF($I52&lt;&gt;"",$I52,$C$4)))</f>
        <v>0</v>
      </c>
      <c r="U52" s="409" t="n">
        <f aca="false">$S52*IF($L52&lt;&gt;"",$L52,$F52*$C$5)</f>
        <v>0</v>
      </c>
      <c r="V52" s="409" t="n">
        <f aca="false">$S52*$F52*IF($N52&lt;&gt;"",$N52,$C$6)</f>
        <v>0</v>
      </c>
      <c r="W52" s="409" t="n">
        <f aca="false">MAX(0,$V52-$U52)</f>
        <v>0</v>
      </c>
      <c r="X52" s="410" t="n">
        <f aca="false">IF($B52&lt;&gt;"",$B52,100+$H52)</f>
        <v>155</v>
      </c>
      <c r="Y52" s="409" t="n">
        <f aca="false">$S52*MAX(0,MIN($W52,$C$7-SUMIFS($W$11:$W$54,$X$11:$X$54,"&lt;"&amp;$X52)))</f>
        <v>0</v>
      </c>
      <c r="Z52" s="409" t="n">
        <f aca="false">$W52-$Y52</f>
        <v>0</v>
      </c>
      <c r="AA52" s="411" t="n">
        <f aca="false">$S52*($T52-$U52-$Z52)</f>
        <v>0</v>
      </c>
      <c r="AB52" s="411" t="n">
        <f aca="false">$S52*($T52-$U52)</f>
        <v>0</v>
      </c>
      <c r="AC52" s="409" t="n">
        <f aca="false">IF(AND($S52=1,$H52&lt;=$C$8),$Z52-N($O52),0)</f>
        <v>0</v>
      </c>
      <c r="AD52" s="412"/>
    </row>
    <row r="53" customFormat="false" ht="15" hidden="false" customHeight="true" outlineLevel="0" collapsed="false">
      <c r="A53" s="398" t="str">
        <f aca="false">Projects!$A$46</f>
        <v>BD-30</v>
      </c>
      <c r="B53" s="399"/>
      <c r="C53" s="400" t="str">
        <f aca="false">Projects!$F$46</f>
        <v>Yes</v>
      </c>
      <c r="D53" s="400" t="str">
        <f aca="false">Projects!$G$46</f>
        <v>Yes</v>
      </c>
      <c r="E53" s="401"/>
      <c r="F53" s="402" t="n">
        <f aca="false">IF($E53&lt;&gt;"",$E53,Projects!$B$46)</f>
        <v>15000000</v>
      </c>
      <c r="G53" s="399"/>
      <c r="H53" s="403" t="n">
        <f aca="false">IF($G53&lt;&gt;"",$G53,Projects!$C$46)</f>
        <v>56</v>
      </c>
      <c r="I53" s="404"/>
      <c r="J53" s="401"/>
      <c r="K53" s="399"/>
      <c r="L53" s="401"/>
      <c r="M53" s="399"/>
      <c r="N53" s="404"/>
      <c r="O53" s="401"/>
      <c r="P53" s="399"/>
      <c r="Q53" s="401"/>
      <c r="R53" s="399"/>
      <c r="S53" s="403" t="n">
        <f aca="false">IF(AND($C53="Yes",$D53="Yes"),1,0)</f>
        <v>1</v>
      </c>
      <c r="T53" s="402" t="n">
        <f aca="false">$S53*IF($J53&lt;&gt;"",$J53,$F53*IF($I53&lt;&gt;"",$I53,$C$4)/(1+IF($I53&lt;&gt;"",$I53,$C$4)))</f>
        <v>221674.876847291</v>
      </c>
      <c r="U53" s="402" t="n">
        <f aca="false">$S53*IF($L53&lt;&gt;"",$L53,$F53*$C$5)</f>
        <v>109707.139365389</v>
      </c>
      <c r="V53" s="402" t="n">
        <f aca="false">$S53*$F53*IF($N53&lt;&gt;"",$N53,$C$6)</f>
        <v>487500</v>
      </c>
      <c r="W53" s="402" t="n">
        <f aca="false">MAX(0,$V53-$U53)</f>
        <v>377792.860634611</v>
      </c>
      <c r="X53" s="403" t="n">
        <f aca="false">IF($B53&lt;&gt;"",$B53,100+$H53)</f>
        <v>156</v>
      </c>
      <c r="Y53" s="402" t="n">
        <f aca="false">$S53*MAX(0,MIN($W53,$C$7-SUMIFS($W$11:$W$54,$X$11:$X$54,"&lt;"&amp;$X53)))</f>
        <v>0</v>
      </c>
      <c r="Z53" s="402" t="n">
        <f aca="false">$W53-$Y53</f>
        <v>377792.860634611</v>
      </c>
      <c r="AA53" s="405" t="n">
        <f aca="false">$S53*($T53-$U53-$Z53)</f>
        <v>-265825.123152709</v>
      </c>
      <c r="AB53" s="405" t="n">
        <f aca="false">$S53*($T53-$U53)</f>
        <v>111967.737481902</v>
      </c>
      <c r="AC53" s="402" t="n">
        <f aca="false">IF(AND($S53=1,$H53&lt;=$C$8),$Z53-N($O53),0)</f>
        <v>0</v>
      </c>
      <c r="AD53" s="406"/>
    </row>
    <row r="54" customFormat="false" ht="15" hidden="false" customHeight="true" outlineLevel="0" collapsed="false">
      <c r="A54" s="407" t="s">
        <v>50</v>
      </c>
      <c r="B54" s="399"/>
      <c r="C54" s="408" t="s">
        <v>567</v>
      </c>
      <c r="D54" s="408" t="s">
        <v>567</v>
      </c>
      <c r="E54" s="401"/>
      <c r="F54" s="409" t="n">
        <v>0</v>
      </c>
      <c r="G54" s="399"/>
      <c r="H54" s="410" t="n">
        <v>0</v>
      </c>
      <c r="I54" s="404"/>
      <c r="J54" s="401"/>
      <c r="K54" s="399"/>
      <c r="L54" s="401"/>
      <c r="M54" s="399"/>
      <c r="N54" s="404"/>
      <c r="O54" s="401"/>
      <c r="P54" s="399"/>
      <c r="Q54" s="401"/>
      <c r="R54" s="399"/>
      <c r="S54" s="410" t="n">
        <f aca="false">IF(AND($C54="Yes",$D54="Yes"),1,0)</f>
        <v>0</v>
      </c>
      <c r="T54" s="409" t="n">
        <f aca="false">$S54*IF($J54&lt;&gt;"",$J54,$F54*IF($I54&lt;&gt;"",$I54,$C$4)/(1+IF($I54&lt;&gt;"",$I54,$C$4)))</f>
        <v>0</v>
      </c>
      <c r="U54" s="409" t="n">
        <f aca="false">$S54*IF($L54&lt;&gt;"",$L54,$F54*$C$5)</f>
        <v>0</v>
      </c>
      <c r="V54" s="409" t="n">
        <f aca="false">$S54*$F54*IF($N54&lt;&gt;"",$N54,$C$6)</f>
        <v>0</v>
      </c>
      <c r="W54" s="409" t="n">
        <f aca="false">MAX(0,$V54-$U54)</f>
        <v>0</v>
      </c>
      <c r="X54" s="410" t="n">
        <f aca="false">IF($B54&lt;&gt;"",$B54,100+$H54)</f>
        <v>100</v>
      </c>
      <c r="Y54" s="409" t="n">
        <f aca="false">$S54*MAX(0,MIN($W54,$C$7-SUMIFS($W$11:$W$54,$X$11:$X$54,"&lt;"&amp;$X54)))</f>
        <v>0</v>
      </c>
      <c r="Z54" s="409" t="n">
        <f aca="false">$W54-$Y54</f>
        <v>0</v>
      </c>
      <c r="AA54" s="411" t="n">
        <f aca="false">$S54*($T54-$U54-$Z54)</f>
        <v>0</v>
      </c>
      <c r="AB54" s="411" t="n">
        <f aca="false">$S54*($T54-$U54)</f>
        <v>0</v>
      </c>
      <c r="AC54" s="409" t="n">
        <f aca="false">IF(AND($S54=1,$H54&lt;=$C$8),$Z54-N($O54),0)</f>
        <v>0</v>
      </c>
      <c r="AD54" s="412"/>
    </row>
    <row r="56" customFormat="false" ht="15.75" hidden="false" customHeight="true" outlineLevel="0" collapsed="false">
      <c r="A56" s="413" t="s">
        <v>472</v>
      </c>
      <c r="B56" s="414"/>
      <c r="C56" s="414"/>
      <c r="D56" s="414"/>
      <c r="E56" s="414"/>
      <c r="F56" s="414"/>
      <c r="G56" s="414"/>
      <c r="H56" s="414"/>
      <c r="I56" s="414"/>
      <c r="J56" s="414"/>
      <c r="K56" s="414"/>
      <c r="L56" s="414"/>
      <c r="M56" s="414"/>
      <c r="N56" s="414"/>
      <c r="O56" s="414"/>
      <c r="P56" s="414"/>
      <c r="Q56" s="414"/>
      <c r="R56" s="414"/>
      <c r="S56" s="414"/>
      <c r="T56" s="414" t="n">
        <f aca="false">SUM(T11:T54)</f>
        <v>4859773.76724138</v>
      </c>
      <c r="U56" s="414" t="n">
        <f aca="false">SUM(U11:U54)</f>
        <v>2300822.39276782</v>
      </c>
      <c r="V56" s="414" t="n">
        <f aca="false">SUM(V11:V54)</f>
        <v>10232933.615125</v>
      </c>
      <c r="W56" s="414" t="n">
        <f aca="false">SUM(W11:W54)</f>
        <v>7932111.22235718</v>
      </c>
      <c r="X56" s="414"/>
      <c r="Y56" s="414" t="n">
        <f aca="false">SUM(Y11:Y54)</f>
        <v>1800000</v>
      </c>
      <c r="Z56" s="415" t="n">
        <f aca="false">SUM(Z11:Z54)</f>
        <v>6132111.22235718</v>
      </c>
      <c r="AA56" s="415" t="n">
        <f aca="false">SUM(AA11:AA54)</f>
        <v>-3573159.84788362</v>
      </c>
      <c r="AB56" s="415" t="n">
        <f aca="false">SUM(AB11:AB54)</f>
        <v>2558951.37447356</v>
      </c>
      <c r="AC56" s="415" t="n">
        <f aca="false">SUM(AC11:AC54)</f>
        <v>692876.895125</v>
      </c>
      <c r="AD56" s="414"/>
    </row>
    <row r="57" customFormat="false" ht="15" hidden="false" customHeight="true" outlineLevel="0" collapsed="false">
      <c r="A57" s="120" t="s">
        <v>1477</v>
      </c>
      <c r="C57" s="416" t="str">
        <f aca="false">IF(Y56&lt;=$C$7+0.5,"OK","OVER CAP")</f>
        <v>OK</v>
      </c>
      <c r="D57" s="390" t="s">
        <v>1478</v>
      </c>
    </row>
    <row r="58" customFormat="false" ht="15" hidden="false" customHeight="true" outlineLevel="0" collapsed="false">
      <c r="A58" s="120" t="s">
        <v>1477</v>
      </c>
      <c r="C58" s="416" t="str">
        <f aca="false">IF(ABS(SUM(Model!$B$150:$DE$150)-SUMPRODUCT((H11:H54&gt;=-2)*(H11:H54&lt;=105)*T11:T54))&lt;1,"OK","CHECK")</f>
        <v>OK</v>
      </c>
      <c r="D58" s="390" t="s">
        <v>1479</v>
      </c>
    </row>
    <row r="60" customFormat="false" ht="15" hidden="false" customHeight="true" outlineLevel="0" collapsed="false">
      <c r="A60" s="417" t="s">
        <v>1480</v>
      </c>
    </row>
    <row r="61" customFormat="false" ht="15" hidden="false" customHeight="true" outlineLevel="0" collapsed="false">
      <c r="A61" s="390" t="s">
        <v>1481</v>
      </c>
    </row>
    <row r="62" customFormat="false" ht="15" hidden="false" customHeight="true" outlineLevel="0" collapsed="false">
      <c r="A62" s="390" t="s">
        <v>1482</v>
      </c>
    </row>
    <row r="63" customFormat="false" ht="15" hidden="false" customHeight="true" outlineLevel="0" collapsed="false">
      <c r="A63" s="390" t="s">
        <v>1483</v>
      </c>
    </row>
    <row r="64" customFormat="false" ht="15" hidden="false" customHeight="true" outlineLevel="0" collapsed="false">
      <c r="A64" s="390" t="s">
        <v>1484</v>
      </c>
    </row>
    <row r="65" customFormat="false" ht="15" hidden="false" customHeight="true" outlineLevel="0" collapsed="false">
      <c r="A65" s="390" t="s">
        <v>1485</v>
      </c>
    </row>
    <row r="66" customFormat="false" ht="15" hidden="false" customHeight="true" outlineLevel="0" collapsed="false">
      <c r="A66" s="390" t="s">
        <v>1486</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2026-03-23T03:32:22Z</dcterms:created>
  <dc:creator>openpyxl</dc:creator>
  <dc:description/>
  <dc:language>en-US</dc:language>
  <cp:lastModifiedBy>Chris Andresen</cp:lastModifiedBy>
  <dcterms:modified xsi:type="dcterms:W3CDTF">2026-09-30T12:44:28Z</dcterms:modified>
  <cp:revision>17</cp:revision>
  <dc:subject/>
  <dc:title/>
</cp:coreProperties>
</file>

<file path=docProps/custom.xml><?xml version="1.0" encoding="utf-8"?>
<Properties xmlns="http://schemas.openxmlformats.org/officeDocument/2006/custom-properties" xmlns:vt="http://schemas.openxmlformats.org/officeDocument/2006/docPropsVTypes"/>
</file>